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427"/>
  <workbookPr/>
  <mc:AlternateContent xmlns:mc="http://schemas.openxmlformats.org/markup-compatibility/2006">
    <mc:Choice Requires="x15">
      <x15ac:absPath xmlns:x15ac="http://schemas.microsoft.com/office/spreadsheetml/2010/11/ac" url="https://ntsbgov-my.sharepoint.com/personal/eleazar_nepomuceno_ntsb_gov/Documents/Documents/CASES/2023 FY/WPR23FA007 N887QR Jumal, CA 106059/Environment/"/>
    </mc:Choice>
  </mc:AlternateContent>
  <xr:revisionPtr revIDLastSave="23" documentId="11_7985AD1980C25F110F4EED5345926FDA00E4C6F4" xr6:coauthVersionLast="47" xr6:coauthVersionMax="47" xr10:uidLastSave="{A63FA301-A199-463E-8291-05A6205527DB}"/>
  <bookViews>
    <workbookView xWindow="1044" yWindow="1644" windowWidth="22260" windowHeight="14736" xr2:uid="{00000000-000D-0000-FFFF-FFFF00000000}"/>
  </bookViews>
  <sheets>
    <sheet name="20221004_AC3944_497083612_ADSB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2" i="1" l="1"/>
  <c r="C2" i="1"/>
  <c r="S2" i="1"/>
  <c r="T2" i="1"/>
  <c r="U2" i="1"/>
  <c r="BD2" i="1"/>
  <c r="CE2" i="1"/>
  <c r="A3" i="1"/>
  <c r="C3" i="1"/>
  <c r="S3" i="1"/>
  <c r="T3" i="1"/>
  <c r="U3" i="1"/>
  <c r="BD3" i="1"/>
  <c r="CE3" i="1"/>
  <c r="A4" i="1"/>
  <c r="C4" i="1"/>
  <c r="S4" i="1"/>
  <c r="T4" i="1"/>
  <c r="U4" i="1"/>
  <c r="BD4" i="1"/>
  <c r="CE4" i="1"/>
  <c r="A5" i="1"/>
  <c r="C5" i="1"/>
  <c r="S5" i="1"/>
  <c r="T5" i="1"/>
  <c r="U5" i="1"/>
  <c r="BD5" i="1"/>
  <c r="CE5" i="1"/>
  <c r="A6" i="1"/>
  <c r="C6" i="1"/>
  <c r="S6" i="1"/>
  <c r="T6" i="1"/>
  <c r="U6" i="1"/>
  <c r="BD6" i="1"/>
  <c r="CE6" i="1"/>
  <c r="A7" i="1"/>
  <c r="C7" i="1"/>
  <c r="S7" i="1"/>
  <c r="T7" i="1"/>
  <c r="U7" i="1"/>
  <c r="BD7" i="1"/>
  <c r="CE7" i="1"/>
  <c r="A8" i="1"/>
  <c r="C8" i="1"/>
  <c r="S8" i="1"/>
  <c r="T8" i="1"/>
  <c r="U8" i="1"/>
  <c r="BD8" i="1"/>
  <c r="CE8" i="1"/>
  <c r="A9" i="1"/>
  <c r="C9" i="1"/>
  <c r="S9" i="1"/>
  <c r="T9" i="1"/>
  <c r="U9" i="1"/>
  <c r="BD9" i="1"/>
  <c r="CE9" i="1"/>
  <c r="A10" i="1"/>
  <c r="C10" i="1"/>
  <c r="S10" i="1"/>
  <c r="T10" i="1"/>
  <c r="U10" i="1"/>
  <c r="BD10" i="1"/>
  <c r="CE10" i="1"/>
  <c r="A11" i="1"/>
  <c r="C11" i="1"/>
  <c r="S11" i="1"/>
  <c r="T11" i="1"/>
  <c r="U11" i="1"/>
  <c r="BD11" i="1"/>
  <c r="CE11" i="1"/>
  <c r="A12" i="1"/>
  <c r="C12" i="1"/>
  <c r="S12" i="1"/>
  <c r="T12" i="1"/>
  <c r="U12" i="1"/>
  <c r="BD12" i="1"/>
  <c r="CE12" i="1"/>
  <c r="A13" i="1"/>
  <c r="C13" i="1"/>
  <c r="S13" i="1"/>
  <c r="T13" i="1"/>
  <c r="U13" i="1"/>
  <c r="BD13" i="1"/>
  <c r="CE13" i="1"/>
  <c r="A14" i="1"/>
  <c r="C14" i="1"/>
  <c r="S14" i="1"/>
  <c r="T14" i="1"/>
  <c r="U14" i="1"/>
  <c r="BD14" i="1"/>
  <c r="CE14" i="1"/>
  <c r="A15" i="1"/>
  <c r="C15" i="1"/>
  <c r="S15" i="1"/>
  <c r="T15" i="1"/>
  <c r="U15" i="1"/>
  <c r="BD15" i="1"/>
  <c r="CE15" i="1"/>
  <c r="A16" i="1"/>
  <c r="C16" i="1"/>
  <c r="S16" i="1"/>
  <c r="T16" i="1"/>
  <c r="U16" i="1"/>
  <c r="BD16" i="1"/>
  <c r="CE16" i="1"/>
  <c r="A17" i="1"/>
  <c r="C17" i="1"/>
  <c r="S17" i="1"/>
  <c r="T17" i="1"/>
  <c r="U17" i="1"/>
  <c r="BD17" i="1"/>
  <c r="CE17" i="1"/>
  <c r="A18" i="1"/>
  <c r="C18" i="1"/>
  <c r="S18" i="1"/>
  <c r="T18" i="1"/>
  <c r="U18" i="1"/>
  <c r="BD18" i="1"/>
  <c r="CE18" i="1"/>
  <c r="A19" i="1"/>
  <c r="C19" i="1"/>
  <c r="S19" i="1"/>
  <c r="T19" i="1"/>
  <c r="U19" i="1"/>
  <c r="BD19" i="1"/>
  <c r="CE19" i="1"/>
  <c r="A20" i="1"/>
  <c r="C20" i="1"/>
  <c r="S20" i="1"/>
  <c r="T20" i="1"/>
  <c r="U20" i="1"/>
  <c r="BD20" i="1"/>
  <c r="CE20" i="1"/>
  <c r="A21" i="1"/>
  <c r="C21" i="1"/>
  <c r="S21" i="1"/>
  <c r="T21" i="1"/>
  <c r="U21" i="1"/>
  <c r="BD21" i="1"/>
  <c r="CE21" i="1"/>
  <c r="A22" i="1"/>
  <c r="C22" i="1"/>
  <c r="S22" i="1"/>
  <c r="T22" i="1"/>
  <c r="U22" i="1"/>
  <c r="BD22" i="1"/>
  <c r="CE22" i="1"/>
  <c r="A23" i="1"/>
  <c r="C23" i="1"/>
  <c r="S23" i="1"/>
  <c r="T23" i="1"/>
  <c r="U23" i="1"/>
  <c r="BD23" i="1"/>
  <c r="CE23" i="1"/>
  <c r="A24" i="1"/>
  <c r="C24" i="1"/>
  <c r="S24" i="1"/>
  <c r="T24" i="1"/>
  <c r="U24" i="1"/>
  <c r="BD24" i="1"/>
  <c r="CE24" i="1"/>
  <c r="A25" i="1"/>
  <c r="C25" i="1"/>
  <c r="S25" i="1"/>
  <c r="T25" i="1"/>
  <c r="U25" i="1"/>
  <c r="BD25" i="1"/>
  <c r="CE25" i="1"/>
  <c r="A26" i="1"/>
  <c r="C26" i="1"/>
  <c r="S26" i="1"/>
  <c r="T26" i="1"/>
  <c r="U26" i="1"/>
  <c r="BD26" i="1"/>
  <c r="CE26" i="1"/>
  <c r="A27" i="1"/>
  <c r="C27" i="1"/>
  <c r="S27" i="1"/>
  <c r="T27" i="1"/>
  <c r="U27" i="1"/>
  <c r="BD27" i="1"/>
  <c r="CE27" i="1"/>
  <c r="A28" i="1"/>
  <c r="C28" i="1"/>
  <c r="S28" i="1"/>
  <c r="T28" i="1"/>
  <c r="U28" i="1"/>
  <c r="BD28" i="1"/>
  <c r="CE28" i="1"/>
  <c r="A29" i="1"/>
  <c r="C29" i="1"/>
  <c r="S29" i="1"/>
  <c r="T29" i="1"/>
  <c r="U29" i="1"/>
  <c r="BD29" i="1"/>
  <c r="CE29" i="1"/>
  <c r="A30" i="1"/>
  <c r="C30" i="1"/>
  <c r="S30" i="1"/>
  <c r="T30" i="1"/>
  <c r="U30" i="1"/>
  <c r="BD30" i="1"/>
  <c r="CE30" i="1"/>
  <c r="A31" i="1"/>
  <c r="C31" i="1"/>
  <c r="S31" i="1"/>
  <c r="T31" i="1"/>
  <c r="U31" i="1"/>
  <c r="BD31" i="1"/>
  <c r="CE31" i="1"/>
  <c r="A32" i="1"/>
  <c r="C32" i="1"/>
  <c r="S32" i="1"/>
  <c r="T32" i="1"/>
  <c r="U32" i="1"/>
  <c r="BD32" i="1"/>
  <c r="CE32" i="1"/>
  <c r="A33" i="1"/>
  <c r="C33" i="1"/>
  <c r="S33" i="1"/>
  <c r="T33" i="1"/>
  <c r="U33" i="1"/>
  <c r="BD33" i="1"/>
  <c r="CE33" i="1"/>
  <c r="A34" i="1"/>
  <c r="C34" i="1"/>
  <c r="S34" i="1"/>
  <c r="T34" i="1"/>
  <c r="U34" i="1"/>
  <c r="BD34" i="1"/>
  <c r="CE34" i="1"/>
  <c r="A35" i="1"/>
  <c r="C35" i="1"/>
  <c r="S35" i="1"/>
  <c r="T35" i="1"/>
  <c r="U35" i="1"/>
  <c r="BD35" i="1"/>
  <c r="CE35" i="1"/>
  <c r="A36" i="1"/>
  <c r="C36" i="1"/>
  <c r="S36" i="1"/>
  <c r="T36" i="1"/>
  <c r="U36" i="1"/>
  <c r="BD36" i="1"/>
  <c r="CE36" i="1"/>
  <c r="A37" i="1"/>
  <c r="C37" i="1"/>
  <c r="S37" i="1"/>
  <c r="T37" i="1"/>
  <c r="U37" i="1"/>
  <c r="BD37" i="1"/>
  <c r="CE37" i="1"/>
  <c r="A38" i="1"/>
  <c r="C38" i="1"/>
  <c r="S38" i="1"/>
  <c r="T38" i="1"/>
  <c r="U38" i="1"/>
  <c r="BD38" i="1"/>
  <c r="CE38" i="1"/>
  <c r="A39" i="1"/>
  <c r="C39" i="1"/>
  <c r="S39" i="1"/>
  <c r="T39" i="1"/>
  <c r="U39" i="1"/>
  <c r="BD39" i="1"/>
  <c r="CE39" i="1"/>
  <c r="A40" i="1"/>
  <c r="C40" i="1"/>
  <c r="S40" i="1"/>
  <c r="T40" i="1"/>
  <c r="U40" i="1"/>
  <c r="BD40" i="1"/>
  <c r="CE40" i="1"/>
  <c r="A41" i="1"/>
  <c r="C41" i="1"/>
  <c r="S41" i="1"/>
  <c r="T41" i="1"/>
  <c r="U41" i="1"/>
  <c r="BD41" i="1"/>
  <c r="CE41" i="1"/>
  <c r="A42" i="1"/>
  <c r="C42" i="1"/>
  <c r="S42" i="1"/>
  <c r="T42" i="1"/>
  <c r="U42" i="1"/>
  <c r="BD42" i="1"/>
  <c r="CE42" i="1"/>
  <c r="A43" i="1"/>
  <c r="C43" i="1"/>
  <c r="S43" i="1"/>
  <c r="T43" i="1"/>
  <c r="U43" i="1"/>
  <c r="BD43" i="1"/>
  <c r="CE43" i="1"/>
  <c r="A44" i="1"/>
  <c r="C44" i="1"/>
  <c r="S44" i="1"/>
  <c r="T44" i="1"/>
  <c r="U44" i="1"/>
  <c r="BD44" i="1"/>
  <c r="CE44" i="1"/>
  <c r="A45" i="1"/>
  <c r="C45" i="1"/>
  <c r="S45" i="1"/>
  <c r="T45" i="1"/>
  <c r="U45" i="1"/>
  <c r="BD45" i="1"/>
  <c r="CE45" i="1"/>
  <c r="A46" i="1"/>
  <c r="C46" i="1"/>
  <c r="S46" i="1"/>
  <c r="T46" i="1"/>
  <c r="U46" i="1"/>
  <c r="BD46" i="1"/>
  <c r="CE46" i="1"/>
  <c r="A47" i="1"/>
  <c r="C47" i="1"/>
  <c r="S47" i="1"/>
  <c r="T47" i="1"/>
  <c r="U47" i="1"/>
  <c r="BD47" i="1"/>
  <c r="CE47" i="1"/>
  <c r="A48" i="1"/>
  <c r="C48" i="1"/>
  <c r="S48" i="1"/>
  <c r="T48" i="1"/>
  <c r="U48" i="1"/>
  <c r="BD48" i="1"/>
  <c r="CE48" i="1"/>
  <c r="A49" i="1"/>
  <c r="C49" i="1"/>
  <c r="S49" i="1"/>
  <c r="T49" i="1"/>
  <c r="U49" i="1"/>
  <c r="BD49" i="1"/>
  <c r="CE49" i="1"/>
  <c r="A50" i="1"/>
  <c r="C50" i="1"/>
  <c r="S50" i="1"/>
  <c r="T50" i="1"/>
  <c r="U50" i="1"/>
  <c r="BD50" i="1"/>
  <c r="CE50" i="1"/>
  <c r="A51" i="1"/>
  <c r="C51" i="1"/>
  <c r="S51" i="1"/>
  <c r="T51" i="1"/>
  <c r="U51" i="1"/>
  <c r="BD51" i="1"/>
  <c r="CE51" i="1"/>
  <c r="A52" i="1"/>
  <c r="C52" i="1"/>
  <c r="S52" i="1"/>
  <c r="T52" i="1"/>
  <c r="U52" i="1"/>
  <c r="BD52" i="1"/>
  <c r="CE52" i="1"/>
  <c r="A53" i="1"/>
  <c r="C53" i="1"/>
  <c r="S53" i="1"/>
  <c r="T53" i="1"/>
  <c r="U53" i="1"/>
  <c r="BD53" i="1"/>
  <c r="CE53" i="1"/>
  <c r="A54" i="1"/>
  <c r="C54" i="1"/>
  <c r="S54" i="1"/>
  <c r="T54" i="1"/>
  <c r="U54" i="1"/>
  <c r="BD54" i="1"/>
  <c r="CE54" i="1"/>
  <c r="A55" i="1"/>
  <c r="C55" i="1"/>
  <c r="S55" i="1"/>
  <c r="T55" i="1"/>
  <c r="U55" i="1"/>
  <c r="BD55" i="1"/>
  <c r="CE55" i="1"/>
  <c r="A56" i="1"/>
  <c r="C56" i="1"/>
  <c r="S56" i="1"/>
  <c r="T56" i="1"/>
  <c r="U56" i="1"/>
  <c r="BD56" i="1"/>
  <c r="CE56" i="1"/>
  <c r="A57" i="1"/>
  <c r="C57" i="1"/>
  <c r="S57" i="1"/>
  <c r="T57" i="1"/>
  <c r="U57" i="1"/>
  <c r="BD57" i="1"/>
  <c r="CE57" i="1"/>
  <c r="A58" i="1"/>
  <c r="C58" i="1"/>
  <c r="S58" i="1"/>
  <c r="T58" i="1"/>
  <c r="U58" i="1"/>
  <c r="BD58" i="1"/>
  <c r="CE58" i="1"/>
  <c r="A59" i="1"/>
  <c r="C59" i="1"/>
  <c r="S59" i="1"/>
  <c r="T59" i="1"/>
  <c r="U59" i="1"/>
  <c r="BD59" i="1"/>
  <c r="CE59" i="1"/>
  <c r="A60" i="1"/>
  <c r="C60" i="1"/>
  <c r="S60" i="1"/>
  <c r="T60" i="1"/>
  <c r="U60" i="1"/>
  <c r="BD60" i="1"/>
  <c r="CE60" i="1"/>
  <c r="A61" i="1"/>
  <c r="C61" i="1"/>
  <c r="S61" i="1"/>
  <c r="T61" i="1"/>
  <c r="U61" i="1"/>
  <c r="BD61" i="1"/>
  <c r="CE61" i="1"/>
  <c r="A62" i="1"/>
  <c r="C62" i="1"/>
  <c r="S62" i="1"/>
  <c r="T62" i="1"/>
  <c r="U62" i="1"/>
  <c r="BD62" i="1"/>
  <c r="CE62" i="1"/>
  <c r="A63" i="1"/>
  <c r="C63" i="1"/>
  <c r="S63" i="1"/>
  <c r="T63" i="1"/>
  <c r="U63" i="1"/>
  <c r="BD63" i="1"/>
  <c r="CE63" i="1"/>
  <c r="A64" i="1"/>
  <c r="C64" i="1"/>
  <c r="S64" i="1"/>
  <c r="T64" i="1"/>
  <c r="U64" i="1"/>
  <c r="BD64" i="1"/>
  <c r="CE64" i="1"/>
  <c r="A65" i="1"/>
  <c r="C65" i="1"/>
  <c r="S65" i="1"/>
  <c r="T65" i="1"/>
  <c r="U65" i="1"/>
  <c r="BD65" i="1"/>
  <c r="CE65" i="1"/>
  <c r="A66" i="1"/>
  <c r="C66" i="1"/>
  <c r="S66" i="1"/>
  <c r="T66" i="1"/>
  <c r="U66" i="1"/>
  <c r="BD66" i="1"/>
  <c r="CE66" i="1"/>
  <c r="A67" i="1"/>
  <c r="C67" i="1"/>
  <c r="S67" i="1"/>
  <c r="T67" i="1"/>
  <c r="U67" i="1"/>
  <c r="BD67" i="1"/>
  <c r="CE67" i="1"/>
  <c r="A68" i="1"/>
  <c r="C68" i="1"/>
  <c r="S68" i="1"/>
  <c r="T68" i="1"/>
  <c r="U68" i="1"/>
  <c r="BD68" i="1"/>
  <c r="CE68" i="1"/>
  <c r="A69" i="1"/>
  <c r="C69" i="1"/>
  <c r="S69" i="1"/>
  <c r="T69" i="1"/>
  <c r="U69" i="1"/>
  <c r="BD69" i="1"/>
  <c r="CE69" i="1"/>
  <c r="A70" i="1"/>
  <c r="C70" i="1"/>
  <c r="S70" i="1"/>
  <c r="T70" i="1"/>
  <c r="U70" i="1"/>
  <c r="BD70" i="1"/>
  <c r="CE70" i="1"/>
  <c r="A71" i="1"/>
  <c r="C71" i="1"/>
  <c r="S71" i="1"/>
  <c r="T71" i="1"/>
  <c r="U71" i="1"/>
  <c r="BD71" i="1"/>
  <c r="CE71" i="1"/>
  <c r="A72" i="1"/>
  <c r="C72" i="1"/>
  <c r="S72" i="1"/>
  <c r="T72" i="1"/>
  <c r="U72" i="1"/>
  <c r="BD72" i="1"/>
  <c r="CE72" i="1"/>
  <c r="A73" i="1"/>
  <c r="C73" i="1"/>
  <c r="S73" i="1"/>
  <c r="T73" i="1"/>
  <c r="U73" i="1"/>
  <c r="BD73" i="1"/>
  <c r="CE73" i="1"/>
  <c r="A74" i="1"/>
  <c r="C74" i="1"/>
  <c r="S74" i="1"/>
  <c r="T74" i="1"/>
  <c r="U74" i="1"/>
  <c r="BD74" i="1"/>
  <c r="CE74" i="1"/>
  <c r="A75" i="1"/>
  <c r="C75" i="1"/>
  <c r="S75" i="1"/>
  <c r="T75" i="1"/>
  <c r="U75" i="1"/>
  <c r="BD75" i="1"/>
  <c r="CE75" i="1"/>
  <c r="A76" i="1"/>
  <c r="C76" i="1"/>
  <c r="S76" i="1"/>
  <c r="T76" i="1"/>
  <c r="U76" i="1"/>
  <c r="BD76" i="1"/>
  <c r="CE76" i="1"/>
  <c r="A77" i="1"/>
  <c r="C77" i="1"/>
  <c r="S77" i="1"/>
  <c r="T77" i="1"/>
  <c r="U77" i="1"/>
  <c r="BD77" i="1"/>
  <c r="CE77" i="1"/>
  <c r="A78" i="1"/>
  <c r="C78" i="1"/>
  <c r="S78" i="1"/>
  <c r="T78" i="1"/>
  <c r="U78" i="1"/>
  <c r="BD78" i="1"/>
  <c r="CE78" i="1"/>
  <c r="A79" i="1"/>
  <c r="C79" i="1"/>
  <c r="S79" i="1"/>
  <c r="T79" i="1"/>
  <c r="U79" i="1"/>
  <c r="BD79" i="1"/>
  <c r="CE79" i="1"/>
  <c r="A80" i="1"/>
  <c r="C80" i="1"/>
  <c r="S80" i="1"/>
  <c r="T80" i="1"/>
  <c r="U80" i="1"/>
  <c r="BD80" i="1"/>
  <c r="CE80" i="1"/>
  <c r="A81" i="1"/>
  <c r="C81" i="1"/>
  <c r="S81" i="1"/>
  <c r="T81" i="1"/>
  <c r="U81" i="1"/>
  <c r="BD81" i="1"/>
  <c r="CE81" i="1"/>
  <c r="A82" i="1"/>
  <c r="C82" i="1"/>
  <c r="S82" i="1"/>
  <c r="T82" i="1"/>
  <c r="U82" i="1"/>
  <c r="BD82" i="1"/>
  <c r="CE82" i="1"/>
  <c r="A83" i="1"/>
  <c r="C83" i="1"/>
  <c r="S83" i="1"/>
  <c r="T83" i="1"/>
  <c r="U83" i="1"/>
  <c r="BD83" i="1"/>
  <c r="CE83" i="1"/>
  <c r="A84" i="1"/>
  <c r="C84" i="1"/>
  <c r="S84" i="1"/>
  <c r="T84" i="1"/>
  <c r="U84" i="1"/>
  <c r="BD84" i="1"/>
  <c r="CE84" i="1"/>
  <c r="A85" i="1"/>
  <c r="C85" i="1"/>
  <c r="S85" i="1"/>
  <c r="T85" i="1"/>
  <c r="U85" i="1"/>
  <c r="BD85" i="1"/>
  <c r="CE85" i="1"/>
  <c r="A86" i="1"/>
  <c r="C86" i="1"/>
  <c r="S86" i="1"/>
  <c r="T86" i="1"/>
  <c r="U86" i="1"/>
  <c r="BD86" i="1"/>
  <c r="CE86" i="1"/>
  <c r="A87" i="1"/>
  <c r="C87" i="1"/>
  <c r="S87" i="1"/>
  <c r="T87" i="1"/>
  <c r="U87" i="1"/>
  <c r="BD87" i="1"/>
  <c r="CE87" i="1"/>
  <c r="A88" i="1"/>
  <c r="C88" i="1"/>
  <c r="S88" i="1"/>
  <c r="T88" i="1"/>
  <c r="U88" i="1"/>
  <c r="BD88" i="1"/>
  <c r="CE88" i="1"/>
  <c r="A89" i="1"/>
  <c r="C89" i="1"/>
  <c r="S89" i="1"/>
  <c r="T89" i="1"/>
  <c r="U89" i="1"/>
  <c r="BD89" i="1"/>
  <c r="CE89" i="1"/>
  <c r="A90" i="1"/>
  <c r="C90" i="1"/>
  <c r="S90" i="1"/>
  <c r="T90" i="1"/>
  <c r="U90" i="1"/>
  <c r="BD90" i="1"/>
  <c r="CE90" i="1"/>
  <c r="A91" i="1"/>
  <c r="C91" i="1"/>
  <c r="S91" i="1"/>
  <c r="T91" i="1"/>
  <c r="U91" i="1"/>
  <c r="BD91" i="1"/>
  <c r="CE91" i="1"/>
  <c r="A92" i="1"/>
  <c r="C92" i="1"/>
  <c r="S92" i="1"/>
  <c r="T92" i="1"/>
  <c r="U92" i="1"/>
  <c r="BD92" i="1"/>
  <c r="CE92" i="1"/>
  <c r="A93" i="1"/>
  <c r="C93" i="1"/>
  <c r="S93" i="1"/>
  <c r="T93" i="1"/>
  <c r="U93" i="1"/>
  <c r="BD93" i="1"/>
  <c r="CE93" i="1"/>
  <c r="A94" i="1"/>
  <c r="C94" i="1"/>
  <c r="S94" i="1"/>
  <c r="T94" i="1"/>
  <c r="U94" i="1"/>
  <c r="BD94" i="1"/>
  <c r="CE94" i="1"/>
  <c r="A95" i="1"/>
  <c r="C95" i="1"/>
  <c r="S95" i="1"/>
  <c r="T95" i="1"/>
  <c r="U95" i="1"/>
  <c r="BD95" i="1"/>
  <c r="CE95" i="1"/>
  <c r="A96" i="1"/>
  <c r="C96" i="1"/>
  <c r="S96" i="1"/>
  <c r="T96" i="1"/>
  <c r="U96" i="1"/>
  <c r="BD96" i="1"/>
  <c r="CE96" i="1"/>
  <c r="A97" i="1"/>
  <c r="C97" i="1"/>
  <c r="S97" i="1"/>
  <c r="T97" i="1"/>
  <c r="U97" i="1"/>
  <c r="BD97" i="1"/>
  <c r="CE97" i="1"/>
  <c r="A98" i="1"/>
  <c r="C98" i="1"/>
  <c r="S98" i="1"/>
  <c r="T98" i="1"/>
  <c r="U98" i="1"/>
  <c r="BD98" i="1"/>
  <c r="CE98" i="1"/>
  <c r="A99" i="1"/>
  <c r="C99" i="1"/>
  <c r="S99" i="1"/>
  <c r="T99" i="1"/>
  <c r="U99" i="1"/>
  <c r="BD99" i="1"/>
  <c r="CE99" i="1"/>
  <c r="A100" i="1"/>
  <c r="C100" i="1"/>
  <c r="S100" i="1"/>
  <c r="T100" i="1"/>
  <c r="U100" i="1"/>
  <c r="BD100" i="1"/>
  <c r="CE100" i="1"/>
  <c r="A101" i="1"/>
  <c r="C101" i="1"/>
  <c r="S101" i="1"/>
  <c r="T101" i="1"/>
  <c r="U101" i="1"/>
  <c r="BD101" i="1"/>
  <c r="CE101" i="1"/>
  <c r="A102" i="1"/>
  <c r="C102" i="1"/>
  <c r="S102" i="1"/>
  <c r="T102" i="1"/>
  <c r="U102" i="1"/>
  <c r="BD102" i="1"/>
  <c r="CE102" i="1"/>
  <c r="A103" i="1"/>
  <c r="C103" i="1"/>
  <c r="S103" i="1"/>
  <c r="T103" i="1"/>
  <c r="U103" i="1"/>
  <c r="BD103" i="1"/>
  <c r="CE103" i="1"/>
  <c r="A104" i="1"/>
  <c r="C104" i="1"/>
  <c r="S104" i="1"/>
  <c r="T104" i="1"/>
  <c r="U104" i="1"/>
  <c r="BD104" i="1"/>
  <c r="CE104" i="1"/>
  <c r="A105" i="1"/>
  <c r="C105" i="1"/>
  <c r="S105" i="1"/>
  <c r="T105" i="1"/>
  <c r="U105" i="1"/>
  <c r="BD105" i="1"/>
  <c r="CE105" i="1"/>
  <c r="A106" i="1"/>
  <c r="C106" i="1"/>
  <c r="S106" i="1"/>
  <c r="T106" i="1"/>
  <c r="U106" i="1"/>
  <c r="BD106" i="1"/>
  <c r="CE106" i="1"/>
  <c r="A107" i="1"/>
  <c r="C107" i="1"/>
  <c r="S107" i="1"/>
  <c r="T107" i="1"/>
  <c r="U107" i="1"/>
  <c r="BD107" i="1"/>
  <c r="CE107" i="1"/>
  <c r="A108" i="1"/>
  <c r="C108" i="1"/>
  <c r="S108" i="1"/>
  <c r="T108" i="1"/>
  <c r="U108" i="1"/>
  <c r="BD108" i="1"/>
  <c r="CE108" i="1"/>
  <c r="A109" i="1"/>
  <c r="C109" i="1"/>
  <c r="S109" i="1"/>
  <c r="T109" i="1"/>
  <c r="U109" i="1"/>
  <c r="BD109" i="1"/>
  <c r="CE109" i="1"/>
  <c r="A110" i="1"/>
  <c r="C110" i="1"/>
  <c r="S110" i="1"/>
  <c r="T110" i="1"/>
  <c r="U110" i="1"/>
  <c r="BD110" i="1"/>
  <c r="CE110" i="1"/>
  <c r="A111" i="1"/>
  <c r="C111" i="1"/>
  <c r="S111" i="1"/>
  <c r="T111" i="1"/>
  <c r="U111" i="1"/>
  <c r="BD111" i="1"/>
  <c r="CE111" i="1"/>
  <c r="A112" i="1"/>
  <c r="C112" i="1"/>
  <c r="S112" i="1"/>
  <c r="T112" i="1"/>
  <c r="U112" i="1"/>
  <c r="BD112" i="1"/>
  <c r="CE112" i="1"/>
  <c r="A113" i="1"/>
  <c r="C113" i="1"/>
  <c r="S113" i="1"/>
  <c r="T113" i="1"/>
  <c r="U113" i="1"/>
  <c r="BD113" i="1"/>
  <c r="CE113" i="1"/>
  <c r="A114" i="1"/>
  <c r="C114" i="1"/>
  <c r="S114" i="1"/>
  <c r="T114" i="1"/>
  <c r="U114" i="1"/>
  <c r="BD114" i="1"/>
  <c r="CE114" i="1"/>
  <c r="A115" i="1"/>
  <c r="C115" i="1"/>
  <c r="S115" i="1"/>
  <c r="T115" i="1"/>
  <c r="U115" i="1"/>
  <c r="BD115" i="1"/>
  <c r="CE115" i="1"/>
  <c r="A116" i="1"/>
  <c r="C116" i="1"/>
  <c r="S116" i="1"/>
  <c r="T116" i="1"/>
  <c r="U116" i="1"/>
  <c r="BD116" i="1"/>
  <c r="CE116" i="1"/>
  <c r="A117" i="1"/>
  <c r="C117" i="1"/>
  <c r="S117" i="1"/>
  <c r="T117" i="1"/>
  <c r="U117" i="1"/>
  <c r="BD117" i="1"/>
  <c r="CE117" i="1"/>
  <c r="A118" i="1"/>
  <c r="C118" i="1"/>
  <c r="S118" i="1"/>
  <c r="T118" i="1"/>
  <c r="U118" i="1"/>
  <c r="BD118" i="1"/>
  <c r="CE118" i="1"/>
  <c r="A119" i="1"/>
  <c r="C119" i="1"/>
  <c r="S119" i="1"/>
  <c r="T119" i="1"/>
  <c r="U119" i="1"/>
  <c r="BD119" i="1"/>
  <c r="CE119" i="1"/>
  <c r="A120" i="1"/>
  <c r="C120" i="1"/>
  <c r="S120" i="1"/>
  <c r="T120" i="1"/>
  <c r="U120" i="1"/>
  <c r="BD120" i="1"/>
  <c r="CE120" i="1"/>
  <c r="A121" i="1"/>
  <c r="C121" i="1"/>
  <c r="S121" i="1"/>
  <c r="T121" i="1"/>
  <c r="U121" i="1"/>
  <c r="BD121" i="1"/>
  <c r="CE121" i="1"/>
  <c r="A122" i="1"/>
  <c r="C122" i="1"/>
  <c r="S122" i="1"/>
  <c r="T122" i="1"/>
  <c r="U122" i="1"/>
  <c r="BD122" i="1"/>
  <c r="CE122" i="1"/>
  <c r="A123" i="1"/>
  <c r="C123" i="1"/>
  <c r="S123" i="1"/>
  <c r="T123" i="1"/>
  <c r="U123" i="1"/>
  <c r="BD123" i="1"/>
  <c r="CE123" i="1"/>
  <c r="A124" i="1"/>
  <c r="C124" i="1"/>
  <c r="S124" i="1"/>
  <c r="T124" i="1"/>
  <c r="U124" i="1"/>
  <c r="BD124" i="1"/>
  <c r="CE124" i="1"/>
  <c r="A125" i="1"/>
  <c r="C125" i="1"/>
  <c r="S125" i="1"/>
  <c r="T125" i="1"/>
  <c r="U125" i="1"/>
  <c r="BD125" i="1"/>
  <c r="CE125" i="1"/>
  <c r="A126" i="1"/>
  <c r="C126" i="1"/>
  <c r="S126" i="1"/>
  <c r="T126" i="1"/>
  <c r="U126" i="1"/>
  <c r="BD126" i="1"/>
  <c r="CE126" i="1"/>
  <c r="A127" i="1"/>
  <c r="C127" i="1"/>
  <c r="S127" i="1"/>
  <c r="T127" i="1"/>
  <c r="U127" i="1"/>
  <c r="BD127" i="1"/>
  <c r="CE127" i="1"/>
  <c r="A128" i="1"/>
  <c r="C128" i="1"/>
  <c r="S128" i="1"/>
  <c r="T128" i="1"/>
  <c r="U128" i="1"/>
  <c r="BD128" i="1"/>
  <c r="CE128" i="1"/>
  <c r="A129" i="1"/>
  <c r="C129" i="1"/>
  <c r="S129" i="1"/>
  <c r="T129" i="1"/>
  <c r="U129" i="1"/>
  <c r="BD129" i="1"/>
  <c r="CE129" i="1"/>
  <c r="A130" i="1"/>
  <c r="C130" i="1"/>
  <c r="S130" i="1"/>
  <c r="T130" i="1"/>
  <c r="U130" i="1"/>
  <c r="BD130" i="1"/>
  <c r="CE130" i="1"/>
  <c r="A131" i="1"/>
  <c r="C131" i="1"/>
  <c r="S131" i="1"/>
  <c r="T131" i="1"/>
  <c r="U131" i="1"/>
  <c r="BD131" i="1"/>
  <c r="CE131" i="1"/>
  <c r="A132" i="1"/>
  <c r="C132" i="1"/>
  <c r="S132" i="1"/>
  <c r="T132" i="1"/>
  <c r="U132" i="1"/>
  <c r="BD132" i="1"/>
  <c r="CE132" i="1"/>
  <c r="A133" i="1"/>
  <c r="C133" i="1"/>
  <c r="S133" i="1"/>
  <c r="T133" i="1"/>
  <c r="U133" i="1"/>
  <c r="BD133" i="1"/>
  <c r="CE133" i="1"/>
  <c r="A134" i="1"/>
  <c r="C134" i="1"/>
  <c r="S134" i="1"/>
  <c r="T134" i="1"/>
  <c r="U134" i="1"/>
  <c r="BD134" i="1"/>
  <c r="CE134" i="1"/>
  <c r="A135" i="1"/>
  <c r="C135" i="1"/>
  <c r="S135" i="1"/>
  <c r="T135" i="1"/>
  <c r="U135" i="1"/>
  <c r="BD135" i="1"/>
  <c r="CE135" i="1"/>
  <c r="A136" i="1"/>
  <c r="C136" i="1"/>
  <c r="S136" i="1"/>
  <c r="T136" i="1"/>
  <c r="U136" i="1"/>
  <c r="BD136" i="1"/>
  <c r="CE136" i="1"/>
  <c r="A137" i="1"/>
  <c r="C137" i="1"/>
  <c r="S137" i="1"/>
  <c r="T137" i="1"/>
  <c r="U137" i="1"/>
  <c r="BD137" i="1"/>
  <c r="CE137" i="1"/>
  <c r="A138" i="1"/>
  <c r="C138" i="1"/>
  <c r="S138" i="1"/>
  <c r="T138" i="1"/>
  <c r="U138" i="1"/>
  <c r="BD138" i="1"/>
  <c r="CE138" i="1"/>
  <c r="A139" i="1"/>
  <c r="C139" i="1"/>
  <c r="S139" i="1"/>
  <c r="T139" i="1"/>
  <c r="U139" i="1"/>
  <c r="BD139" i="1"/>
  <c r="CE139" i="1"/>
  <c r="A140" i="1"/>
  <c r="C140" i="1"/>
  <c r="S140" i="1"/>
  <c r="T140" i="1"/>
  <c r="U140" i="1"/>
  <c r="BD140" i="1"/>
  <c r="CE140" i="1"/>
  <c r="A141" i="1"/>
  <c r="C141" i="1"/>
  <c r="S141" i="1"/>
  <c r="T141" i="1"/>
  <c r="U141" i="1"/>
  <c r="BD141" i="1"/>
  <c r="CE141" i="1"/>
  <c r="A142" i="1"/>
  <c r="C142" i="1"/>
  <c r="S142" i="1"/>
  <c r="T142" i="1"/>
  <c r="U142" i="1"/>
  <c r="BD142" i="1"/>
  <c r="CE142" i="1"/>
  <c r="A143" i="1"/>
  <c r="C143" i="1"/>
  <c r="S143" i="1"/>
  <c r="T143" i="1"/>
  <c r="U143" i="1"/>
  <c r="BD143" i="1"/>
  <c r="CE143" i="1"/>
  <c r="A144" i="1"/>
  <c r="C144" i="1"/>
  <c r="S144" i="1"/>
  <c r="T144" i="1"/>
  <c r="U144" i="1"/>
  <c r="BD144" i="1"/>
  <c r="CE144" i="1"/>
  <c r="A145" i="1"/>
  <c r="C145" i="1"/>
  <c r="S145" i="1"/>
  <c r="T145" i="1"/>
  <c r="U145" i="1"/>
  <c r="BD145" i="1"/>
  <c r="CE145" i="1"/>
  <c r="A146" i="1"/>
  <c r="C146" i="1"/>
  <c r="S146" i="1"/>
  <c r="T146" i="1"/>
  <c r="U146" i="1"/>
  <c r="BD146" i="1"/>
  <c r="CE146" i="1"/>
  <c r="A147" i="1"/>
  <c r="C147" i="1"/>
  <c r="S147" i="1"/>
  <c r="T147" i="1"/>
  <c r="U147" i="1"/>
  <c r="BD147" i="1"/>
  <c r="CE147" i="1"/>
  <c r="A148" i="1"/>
  <c r="C148" i="1"/>
  <c r="S148" i="1"/>
  <c r="T148" i="1"/>
  <c r="U148" i="1"/>
  <c r="BD148" i="1"/>
  <c r="CE148" i="1"/>
  <c r="A149" i="1"/>
  <c r="C149" i="1"/>
  <c r="S149" i="1"/>
  <c r="T149" i="1"/>
  <c r="U149" i="1"/>
  <c r="BD149" i="1"/>
  <c r="CE149" i="1"/>
  <c r="A150" i="1"/>
  <c r="C150" i="1"/>
  <c r="S150" i="1"/>
  <c r="T150" i="1"/>
  <c r="U150" i="1"/>
  <c r="BD150" i="1"/>
  <c r="CE150" i="1"/>
  <c r="A151" i="1"/>
  <c r="C151" i="1"/>
  <c r="S151" i="1"/>
  <c r="T151" i="1"/>
  <c r="U151" i="1"/>
  <c r="BD151" i="1"/>
  <c r="CE151" i="1"/>
  <c r="A152" i="1"/>
  <c r="C152" i="1"/>
  <c r="S152" i="1"/>
  <c r="T152" i="1"/>
  <c r="U152" i="1"/>
  <c r="BD152" i="1"/>
  <c r="CE152" i="1"/>
  <c r="A153" i="1"/>
  <c r="C153" i="1"/>
  <c r="S153" i="1"/>
  <c r="T153" i="1"/>
  <c r="U153" i="1"/>
  <c r="BD153" i="1"/>
  <c r="CE153" i="1"/>
  <c r="A154" i="1"/>
  <c r="C154" i="1"/>
  <c r="S154" i="1"/>
  <c r="T154" i="1"/>
  <c r="U154" i="1"/>
  <c r="BD154" i="1"/>
  <c r="CE154" i="1"/>
  <c r="A155" i="1"/>
  <c r="C155" i="1"/>
  <c r="S155" i="1"/>
  <c r="T155" i="1"/>
  <c r="U155" i="1"/>
  <c r="BD155" i="1"/>
  <c r="CE155" i="1"/>
  <c r="A156" i="1"/>
  <c r="C156" i="1"/>
  <c r="S156" i="1"/>
  <c r="T156" i="1"/>
  <c r="U156" i="1"/>
  <c r="BD156" i="1"/>
  <c r="CE156" i="1"/>
  <c r="A157" i="1"/>
  <c r="C157" i="1"/>
  <c r="S157" i="1"/>
  <c r="T157" i="1"/>
  <c r="U157" i="1"/>
  <c r="BD157" i="1"/>
  <c r="CE157" i="1"/>
  <c r="A158" i="1"/>
  <c r="C158" i="1"/>
  <c r="S158" i="1"/>
  <c r="T158" i="1"/>
  <c r="U158" i="1"/>
  <c r="BD158" i="1"/>
  <c r="CE158" i="1"/>
  <c r="A159" i="1"/>
  <c r="C159" i="1"/>
  <c r="S159" i="1"/>
  <c r="T159" i="1"/>
  <c r="U159" i="1"/>
  <c r="BD159" i="1"/>
  <c r="CE159" i="1"/>
  <c r="A160" i="1"/>
  <c r="C160" i="1"/>
  <c r="S160" i="1"/>
  <c r="T160" i="1"/>
  <c r="U160" i="1"/>
  <c r="BD160" i="1"/>
  <c r="CE160" i="1"/>
  <c r="A161" i="1"/>
  <c r="C161" i="1"/>
  <c r="S161" i="1"/>
  <c r="T161" i="1"/>
  <c r="U161" i="1"/>
  <c r="BD161" i="1"/>
  <c r="CE161" i="1"/>
  <c r="A162" i="1"/>
  <c r="C162" i="1"/>
  <c r="S162" i="1"/>
  <c r="T162" i="1"/>
  <c r="U162" i="1"/>
  <c r="BD162" i="1"/>
  <c r="CE162" i="1"/>
  <c r="A163" i="1"/>
  <c r="C163" i="1"/>
  <c r="S163" i="1"/>
  <c r="T163" i="1"/>
  <c r="U163" i="1"/>
  <c r="BD163" i="1"/>
  <c r="CE163" i="1"/>
  <c r="A164" i="1"/>
  <c r="C164" i="1"/>
  <c r="S164" i="1"/>
  <c r="T164" i="1"/>
  <c r="U164" i="1"/>
  <c r="BD164" i="1"/>
  <c r="CE164" i="1"/>
  <c r="A165" i="1"/>
  <c r="C165" i="1"/>
  <c r="S165" i="1"/>
  <c r="T165" i="1"/>
  <c r="U165" i="1"/>
  <c r="BD165" i="1"/>
  <c r="CE165" i="1"/>
  <c r="A166" i="1"/>
  <c r="C166" i="1"/>
  <c r="S166" i="1"/>
  <c r="T166" i="1"/>
  <c r="U166" i="1"/>
  <c r="BD166" i="1"/>
  <c r="CE166" i="1"/>
  <c r="A167" i="1"/>
  <c r="C167" i="1"/>
  <c r="S167" i="1"/>
  <c r="T167" i="1"/>
  <c r="U167" i="1"/>
  <c r="BD167" i="1"/>
  <c r="CE167" i="1"/>
  <c r="A168" i="1"/>
  <c r="C168" i="1"/>
  <c r="S168" i="1"/>
  <c r="T168" i="1"/>
  <c r="U168" i="1"/>
  <c r="BD168" i="1"/>
  <c r="CE168" i="1"/>
  <c r="A169" i="1"/>
  <c r="C169" i="1"/>
  <c r="S169" i="1"/>
  <c r="T169" i="1"/>
  <c r="U169" i="1"/>
  <c r="BD169" i="1"/>
  <c r="CE169" i="1"/>
  <c r="A170" i="1"/>
  <c r="C170" i="1"/>
  <c r="S170" i="1"/>
  <c r="T170" i="1"/>
  <c r="U170" i="1"/>
  <c r="BD170" i="1"/>
  <c r="CE170" i="1"/>
  <c r="A171" i="1"/>
  <c r="C171" i="1"/>
  <c r="S171" i="1"/>
  <c r="T171" i="1"/>
  <c r="U171" i="1"/>
  <c r="BD171" i="1"/>
  <c r="CE171" i="1"/>
  <c r="A172" i="1"/>
  <c r="C172" i="1"/>
  <c r="S172" i="1"/>
  <c r="T172" i="1"/>
  <c r="U172" i="1"/>
  <c r="BD172" i="1"/>
  <c r="CE172" i="1"/>
  <c r="A173" i="1"/>
  <c r="C173" i="1"/>
  <c r="S173" i="1"/>
  <c r="T173" i="1"/>
  <c r="U173" i="1"/>
  <c r="BD173" i="1"/>
  <c r="CE173" i="1"/>
  <c r="A174" i="1"/>
  <c r="C174" i="1"/>
  <c r="S174" i="1"/>
  <c r="T174" i="1"/>
  <c r="U174" i="1"/>
  <c r="BD174" i="1"/>
  <c r="CE174" i="1"/>
  <c r="A175" i="1"/>
  <c r="C175" i="1"/>
  <c r="S175" i="1"/>
  <c r="T175" i="1"/>
  <c r="U175" i="1"/>
  <c r="BD175" i="1"/>
  <c r="CE175" i="1"/>
  <c r="A176" i="1"/>
  <c r="C176" i="1"/>
  <c r="S176" i="1"/>
  <c r="T176" i="1"/>
  <c r="U176" i="1"/>
  <c r="BD176" i="1"/>
  <c r="CE176" i="1"/>
  <c r="A177" i="1"/>
  <c r="C177" i="1"/>
  <c r="S177" i="1"/>
  <c r="T177" i="1"/>
  <c r="U177" i="1"/>
  <c r="BD177" i="1"/>
  <c r="CE177" i="1"/>
  <c r="A178" i="1"/>
  <c r="C178" i="1"/>
  <c r="S178" i="1"/>
  <c r="T178" i="1"/>
  <c r="U178" i="1"/>
  <c r="BD178" i="1"/>
  <c r="CE178" i="1"/>
  <c r="A179" i="1"/>
  <c r="C179" i="1"/>
  <c r="S179" i="1"/>
  <c r="T179" i="1"/>
  <c r="U179" i="1"/>
  <c r="BD179" i="1"/>
  <c r="CE179" i="1"/>
  <c r="A180" i="1"/>
  <c r="C180" i="1"/>
  <c r="S180" i="1"/>
  <c r="T180" i="1"/>
  <c r="U180" i="1"/>
  <c r="BD180" i="1"/>
  <c r="CE180" i="1"/>
  <c r="A181" i="1"/>
  <c r="C181" i="1"/>
  <c r="S181" i="1"/>
  <c r="T181" i="1"/>
  <c r="U181" i="1"/>
  <c r="BD181" i="1"/>
  <c r="CE181" i="1"/>
  <c r="A182" i="1"/>
  <c r="C182" i="1"/>
  <c r="S182" i="1"/>
  <c r="T182" i="1"/>
  <c r="U182" i="1"/>
  <c r="BD182" i="1"/>
  <c r="CE182" i="1"/>
  <c r="A183" i="1"/>
  <c r="C183" i="1"/>
  <c r="S183" i="1"/>
  <c r="T183" i="1"/>
  <c r="U183" i="1"/>
  <c r="BD183" i="1"/>
  <c r="CE183" i="1"/>
  <c r="A184" i="1"/>
  <c r="C184" i="1"/>
  <c r="S184" i="1"/>
  <c r="T184" i="1"/>
  <c r="U184" i="1"/>
  <c r="BD184" i="1"/>
  <c r="CE184" i="1"/>
  <c r="A185" i="1"/>
  <c r="C185" i="1"/>
  <c r="S185" i="1"/>
  <c r="T185" i="1"/>
  <c r="U185" i="1"/>
  <c r="BD185" i="1"/>
  <c r="CE185" i="1"/>
  <c r="A186" i="1"/>
  <c r="C186" i="1"/>
  <c r="S186" i="1"/>
  <c r="T186" i="1"/>
  <c r="U186" i="1"/>
  <c r="BD186" i="1"/>
  <c r="CE186" i="1"/>
  <c r="A187" i="1"/>
  <c r="C187" i="1"/>
  <c r="S187" i="1"/>
  <c r="T187" i="1"/>
  <c r="U187" i="1"/>
  <c r="BD187" i="1"/>
  <c r="CE187" i="1"/>
  <c r="A188" i="1"/>
  <c r="C188" i="1"/>
  <c r="S188" i="1"/>
  <c r="T188" i="1"/>
  <c r="U188" i="1"/>
  <c r="BD188" i="1"/>
  <c r="CE188" i="1"/>
  <c r="A189" i="1"/>
  <c r="C189" i="1"/>
  <c r="S189" i="1"/>
  <c r="T189" i="1"/>
  <c r="U189" i="1"/>
  <c r="BD189" i="1"/>
  <c r="CE189" i="1"/>
  <c r="A190" i="1"/>
  <c r="C190" i="1"/>
  <c r="S190" i="1"/>
  <c r="T190" i="1"/>
  <c r="U190" i="1"/>
  <c r="BD190" i="1"/>
  <c r="CE190" i="1"/>
  <c r="A191" i="1"/>
  <c r="C191" i="1"/>
  <c r="S191" i="1"/>
  <c r="T191" i="1"/>
  <c r="U191" i="1"/>
  <c r="BD191" i="1"/>
  <c r="CE191" i="1"/>
  <c r="A192" i="1"/>
  <c r="C192" i="1"/>
  <c r="S192" i="1"/>
  <c r="T192" i="1"/>
  <c r="U192" i="1"/>
  <c r="BD192" i="1"/>
  <c r="CE192" i="1"/>
  <c r="A193" i="1"/>
  <c r="C193" i="1"/>
  <c r="S193" i="1"/>
  <c r="T193" i="1"/>
  <c r="U193" i="1"/>
  <c r="BD193" i="1"/>
  <c r="CE193" i="1"/>
  <c r="A194" i="1"/>
  <c r="C194" i="1"/>
  <c r="S194" i="1"/>
  <c r="T194" i="1"/>
  <c r="U194" i="1"/>
  <c r="BD194" i="1"/>
  <c r="CE194" i="1"/>
  <c r="A195" i="1"/>
  <c r="C195" i="1"/>
  <c r="S195" i="1"/>
  <c r="T195" i="1"/>
  <c r="U195" i="1"/>
  <c r="BD195" i="1"/>
  <c r="CE195" i="1"/>
  <c r="A196" i="1"/>
  <c r="C196" i="1"/>
  <c r="S196" i="1"/>
  <c r="T196" i="1"/>
  <c r="U196" i="1"/>
  <c r="BD196" i="1"/>
  <c r="CE196" i="1"/>
  <c r="A197" i="1"/>
  <c r="C197" i="1"/>
  <c r="S197" i="1"/>
  <c r="T197" i="1"/>
  <c r="U197" i="1"/>
  <c r="BD197" i="1"/>
  <c r="CE197" i="1"/>
  <c r="A198" i="1"/>
  <c r="C198" i="1"/>
  <c r="S198" i="1"/>
  <c r="T198" i="1"/>
  <c r="U198" i="1"/>
  <c r="BD198" i="1"/>
  <c r="CE198" i="1"/>
  <c r="A199" i="1"/>
  <c r="C199" i="1"/>
  <c r="S199" i="1"/>
  <c r="T199" i="1"/>
  <c r="U199" i="1"/>
  <c r="BD199" i="1"/>
  <c r="CE199" i="1"/>
  <c r="A200" i="1"/>
  <c r="C200" i="1"/>
  <c r="S200" i="1"/>
  <c r="T200" i="1"/>
  <c r="U200" i="1"/>
  <c r="BD200" i="1"/>
  <c r="CE200" i="1"/>
  <c r="A201" i="1"/>
  <c r="C201" i="1"/>
  <c r="S201" i="1"/>
  <c r="T201" i="1"/>
  <c r="U201" i="1"/>
  <c r="BD201" i="1"/>
  <c r="CE201" i="1"/>
  <c r="A202" i="1"/>
  <c r="C202" i="1"/>
  <c r="S202" i="1"/>
  <c r="T202" i="1"/>
  <c r="U202" i="1"/>
  <c r="BD202" i="1"/>
  <c r="CE202" i="1"/>
  <c r="A203" i="1"/>
  <c r="C203" i="1"/>
  <c r="S203" i="1"/>
  <c r="T203" i="1"/>
  <c r="U203" i="1"/>
  <c r="BD203" i="1"/>
  <c r="CE203" i="1"/>
  <c r="A204" i="1"/>
  <c r="C204" i="1"/>
  <c r="S204" i="1"/>
  <c r="T204" i="1"/>
  <c r="U204" i="1"/>
  <c r="BD204" i="1"/>
  <c r="CE204" i="1"/>
  <c r="A205" i="1"/>
  <c r="C205" i="1"/>
  <c r="S205" i="1"/>
  <c r="T205" i="1"/>
  <c r="U205" i="1"/>
  <c r="BD205" i="1"/>
  <c r="CE205" i="1"/>
  <c r="A206" i="1"/>
  <c r="C206" i="1"/>
  <c r="S206" i="1"/>
  <c r="T206" i="1"/>
  <c r="U206" i="1"/>
  <c r="BD206" i="1"/>
  <c r="CE206" i="1"/>
  <c r="A207" i="1"/>
  <c r="C207" i="1"/>
  <c r="S207" i="1"/>
  <c r="T207" i="1"/>
  <c r="U207" i="1"/>
  <c r="BD207" i="1"/>
  <c r="CE207" i="1"/>
  <c r="A208" i="1"/>
  <c r="C208" i="1"/>
  <c r="S208" i="1"/>
  <c r="T208" i="1"/>
  <c r="U208" i="1"/>
  <c r="BD208" i="1"/>
  <c r="CE208" i="1"/>
  <c r="A209" i="1"/>
  <c r="C209" i="1"/>
  <c r="S209" i="1"/>
  <c r="T209" i="1"/>
  <c r="U209" i="1"/>
  <c r="BD209" i="1"/>
  <c r="CE209" i="1"/>
  <c r="A210" i="1"/>
  <c r="C210" i="1"/>
  <c r="S210" i="1"/>
  <c r="T210" i="1"/>
  <c r="U210" i="1"/>
  <c r="BD210" i="1"/>
  <c r="CE210" i="1"/>
  <c r="A211" i="1"/>
  <c r="C211" i="1"/>
  <c r="S211" i="1"/>
  <c r="T211" i="1"/>
  <c r="U211" i="1"/>
  <c r="BD211" i="1"/>
  <c r="CE211" i="1"/>
  <c r="A212" i="1"/>
  <c r="C212" i="1"/>
  <c r="S212" i="1"/>
  <c r="T212" i="1"/>
  <c r="U212" i="1"/>
  <c r="BD212" i="1"/>
  <c r="CE212" i="1"/>
  <c r="A213" i="1"/>
  <c r="C213" i="1"/>
  <c r="S213" i="1"/>
  <c r="T213" i="1"/>
  <c r="U213" i="1"/>
  <c r="BD213" i="1"/>
  <c r="CE213" i="1"/>
  <c r="A214" i="1"/>
  <c r="C214" i="1"/>
  <c r="S214" i="1"/>
  <c r="T214" i="1"/>
  <c r="U214" i="1"/>
  <c r="BD214" i="1"/>
  <c r="CE214" i="1"/>
  <c r="A215" i="1"/>
  <c r="C215" i="1"/>
  <c r="S215" i="1"/>
  <c r="T215" i="1"/>
  <c r="U215" i="1"/>
  <c r="BD215" i="1"/>
  <c r="CE215" i="1"/>
  <c r="A216" i="1"/>
  <c r="C216" i="1"/>
  <c r="S216" i="1"/>
  <c r="T216" i="1"/>
  <c r="U216" i="1"/>
  <c r="BD216" i="1"/>
  <c r="CE216" i="1"/>
  <c r="A217" i="1"/>
  <c r="C217" i="1"/>
  <c r="S217" i="1"/>
  <c r="T217" i="1"/>
  <c r="U217" i="1"/>
  <c r="BD217" i="1"/>
  <c r="CE217" i="1"/>
  <c r="A218" i="1"/>
  <c r="C218" i="1"/>
  <c r="S218" i="1"/>
  <c r="T218" i="1"/>
  <c r="U218" i="1"/>
  <c r="BD218" i="1"/>
  <c r="CE218" i="1"/>
  <c r="A219" i="1"/>
  <c r="C219" i="1"/>
  <c r="S219" i="1"/>
  <c r="T219" i="1"/>
  <c r="U219" i="1"/>
  <c r="BD219" i="1"/>
  <c r="CE219" i="1"/>
  <c r="A220" i="1"/>
  <c r="C220" i="1"/>
  <c r="S220" i="1"/>
  <c r="T220" i="1"/>
  <c r="U220" i="1"/>
  <c r="BD220" i="1"/>
  <c r="CE220" i="1"/>
  <c r="A221" i="1"/>
  <c r="C221" i="1"/>
  <c r="S221" i="1"/>
  <c r="T221" i="1"/>
  <c r="U221" i="1"/>
  <c r="BD221" i="1"/>
  <c r="CE221" i="1"/>
  <c r="A222" i="1"/>
  <c r="C222" i="1"/>
  <c r="S222" i="1"/>
  <c r="T222" i="1"/>
  <c r="U222" i="1"/>
  <c r="BD222" i="1"/>
  <c r="CE222" i="1"/>
  <c r="A223" i="1"/>
  <c r="C223" i="1"/>
  <c r="S223" i="1"/>
  <c r="T223" i="1"/>
  <c r="U223" i="1"/>
  <c r="BD223" i="1"/>
  <c r="CE223" i="1"/>
  <c r="A224" i="1"/>
  <c r="C224" i="1"/>
  <c r="S224" i="1"/>
  <c r="T224" i="1"/>
  <c r="U224" i="1"/>
  <c r="BD224" i="1"/>
  <c r="CE224" i="1"/>
  <c r="A225" i="1"/>
  <c r="C225" i="1"/>
  <c r="S225" i="1"/>
  <c r="T225" i="1"/>
  <c r="U225" i="1"/>
  <c r="BD225" i="1"/>
  <c r="CE225" i="1"/>
  <c r="A226" i="1"/>
  <c r="C226" i="1"/>
  <c r="S226" i="1"/>
  <c r="T226" i="1"/>
  <c r="U226" i="1"/>
  <c r="BD226" i="1"/>
  <c r="CE226" i="1"/>
  <c r="A227" i="1"/>
  <c r="C227" i="1"/>
  <c r="S227" i="1"/>
  <c r="T227" i="1"/>
  <c r="U227" i="1"/>
  <c r="BD227" i="1"/>
  <c r="CE227" i="1"/>
  <c r="A228" i="1"/>
  <c r="C228" i="1"/>
  <c r="S228" i="1"/>
  <c r="T228" i="1"/>
  <c r="U228" i="1"/>
  <c r="BD228" i="1"/>
  <c r="CE228" i="1"/>
  <c r="A229" i="1"/>
  <c r="C229" i="1"/>
  <c r="S229" i="1"/>
  <c r="T229" i="1"/>
  <c r="U229" i="1"/>
  <c r="BD229" i="1"/>
  <c r="CE229" i="1"/>
  <c r="A230" i="1"/>
  <c r="C230" i="1"/>
  <c r="S230" i="1"/>
  <c r="T230" i="1"/>
  <c r="U230" i="1"/>
  <c r="BD230" i="1"/>
  <c r="CE230" i="1"/>
  <c r="A231" i="1"/>
  <c r="C231" i="1"/>
  <c r="S231" i="1"/>
  <c r="T231" i="1"/>
  <c r="U231" i="1"/>
  <c r="BD231" i="1"/>
  <c r="CE231" i="1"/>
  <c r="A232" i="1"/>
  <c r="C232" i="1"/>
  <c r="S232" i="1"/>
  <c r="T232" i="1"/>
  <c r="U232" i="1"/>
  <c r="BD232" i="1"/>
  <c r="CE232" i="1"/>
  <c r="A233" i="1"/>
  <c r="C233" i="1"/>
  <c r="S233" i="1"/>
  <c r="T233" i="1"/>
  <c r="U233" i="1"/>
  <c r="BD233" i="1"/>
  <c r="CE233" i="1"/>
  <c r="A234" i="1"/>
  <c r="C234" i="1"/>
  <c r="S234" i="1"/>
  <c r="T234" i="1"/>
  <c r="U234" i="1"/>
  <c r="BD234" i="1"/>
  <c r="CE234" i="1"/>
  <c r="A235" i="1"/>
  <c r="C235" i="1"/>
  <c r="S235" i="1"/>
  <c r="T235" i="1"/>
  <c r="U235" i="1"/>
  <c r="BD235" i="1"/>
  <c r="CE235" i="1"/>
  <c r="A236" i="1"/>
  <c r="C236" i="1"/>
  <c r="S236" i="1"/>
  <c r="T236" i="1"/>
  <c r="U236" i="1"/>
  <c r="BD236" i="1"/>
  <c r="CE236" i="1"/>
  <c r="A237" i="1"/>
  <c r="C237" i="1"/>
  <c r="S237" i="1"/>
  <c r="T237" i="1"/>
  <c r="U237" i="1"/>
  <c r="BD237" i="1"/>
  <c r="CE237" i="1"/>
  <c r="A238" i="1"/>
  <c r="C238" i="1"/>
  <c r="S238" i="1"/>
  <c r="T238" i="1"/>
  <c r="U238" i="1"/>
  <c r="BD238" i="1"/>
  <c r="CE238" i="1"/>
  <c r="A239" i="1"/>
  <c r="C239" i="1"/>
  <c r="S239" i="1"/>
  <c r="T239" i="1"/>
  <c r="U239" i="1"/>
  <c r="BD239" i="1"/>
  <c r="CE239" i="1"/>
  <c r="A240" i="1"/>
  <c r="C240" i="1"/>
  <c r="S240" i="1"/>
  <c r="T240" i="1"/>
  <c r="U240" i="1"/>
  <c r="BD240" i="1"/>
  <c r="CE240" i="1"/>
  <c r="A241" i="1"/>
  <c r="C241" i="1"/>
  <c r="S241" i="1"/>
  <c r="T241" i="1"/>
  <c r="U241" i="1"/>
  <c r="BD241" i="1"/>
  <c r="CE241" i="1"/>
  <c r="A242" i="1"/>
  <c r="C242" i="1"/>
  <c r="S242" i="1"/>
  <c r="T242" i="1"/>
  <c r="U242" i="1"/>
  <c r="BD242" i="1"/>
  <c r="CE242" i="1"/>
  <c r="A243" i="1"/>
  <c r="C243" i="1"/>
  <c r="S243" i="1"/>
  <c r="T243" i="1"/>
  <c r="U243" i="1"/>
  <c r="BD243" i="1"/>
  <c r="CE243" i="1"/>
  <c r="A244" i="1"/>
  <c r="C244" i="1"/>
  <c r="S244" i="1"/>
  <c r="T244" i="1"/>
  <c r="U244" i="1"/>
  <c r="BD244" i="1"/>
  <c r="CE244" i="1"/>
  <c r="A245" i="1"/>
  <c r="C245" i="1"/>
  <c r="S245" i="1"/>
  <c r="T245" i="1"/>
  <c r="U245" i="1"/>
  <c r="BD245" i="1"/>
  <c r="CE245" i="1"/>
  <c r="A246" i="1"/>
  <c r="C246" i="1"/>
  <c r="S246" i="1"/>
  <c r="T246" i="1"/>
  <c r="U246" i="1"/>
  <c r="BD246" i="1"/>
  <c r="CE246" i="1"/>
  <c r="A247" i="1"/>
  <c r="C247" i="1"/>
  <c r="S247" i="1"/>
  <c r="T247" i="1"/>
  <c r="U247" i="1"/>
  <c r="BD247" i="1"/>
  <c r="CE247" i="1"/>
  <c r="A248" i="1"/>
  <c r="C248" i="1"/>
  <c r="S248" i="1"/>
  <c r="T248" i="1"/>
  <c r="U248" i="1"/>
  <c r="BD248" i="1"/>
  <c r="CE248" i="1"/>
  <c r="A249" i="1"/>
  <c r="C249" i="1"/>
  <c r="S249" i="1"/>
  <c r="T249" i="1"/>
  <c r="U249" i="1"/>
  <c r="BD249" i="1"/>
  <c r="CE249" i="1"/>
  <c r="A250" i="1"/>
  <c r="C250" i="1"/>
  <c r="S250" i="1"/>
  <c r="T250" i="1"/>
  <c r="U250" i="1"/>
  <c r="BD250" i="1"/>
  <c r="CE250" i="1"/>
  <c r="A251" i="1"/>
  <c r="C251" i="1"/>
  <c r="S251" i="1"/>
  <c r="T251" i="1"/>
  <c r="U251" i="1"/>
  <c r="BD251" i="1"/>
  <c r="CE251" i="1"/>
  <c r="A252" i="1"/>
  <c r="C252" i="1"/>
  <c r="S252" i="1"/>
  <c r="T252" i="1"/>
  <c r="U252" i="1"/>
  <c r="BD252" i="1"/>
  <c r="CE252" i="1"/>
  <c r="A253" i="1"/>
  <c r="C253" i="1"/>
  <c r="S253" i="1"/>
  <c r="T253" i="1"/>
  <c r="U253" i="1"/>
  <c r="BD253" i="1"/>
  <c r="CE253" i="1"/>
  <c r="A254" i="1"/>
  <c r="C254" i="1"/>
  <c r="S254" i="1"/>
  <c r="T254" i="1"/>
  <c r="U254" i="1"/>
  <c r="BD254" i="1"/>
  <c r="CE254" i="1"/>
  <c r="A255" i="1"/>
  <c r="C255" i="1"/>
  <c r="S255" i="1"/>
  <c r="T255" i="1"/>
  <c r="U255" i="1"/>
  <c r="BD255" i="1"/>
  <c r="CE255" i="1"/>
  <c r="A256" i="1"/>
  <c r="C256" i="1"/>
  <c r="S256" i="1"/>
  <c r="T256" i="1"/>
  <c r="U256" i="1"/>
  <c r="BD256" i="1"/>
  <c r="CE256" i="1"/>
  <c r="A257" i="1"/>
  <c r="C257" i="1"/>
  <c r="S257" i="1"/>
  <c r="T257" i="1"/>
  <c r="U257" i="1"/>
  <c r="BD257" i="1"/>
  <c r="CE257" i="1"/>
  <c r="A258" i="1"/>
  <c r="C258" i="1"/>
  <c r="S258" i="1"/>
  <c r="T258" i="1"/>
  <c r="U258" i="1"/>
  <c r="BD258" i="1"/>
  <c r="CE258" i="1"/>
  <c r="A259" i="1"/>
  <c r="C259" i="1"/>
  <c r="S259" i="1"/>
  <c r="T259" i="1"/>
  <c r="U259" i="1"/>
  <c r="BD259" i="1"/>
  <c r="CE259" i="1"/>
  <c r="A260" i="1"/>
  <c r="C260" i="1"/>
  <c r="S260" i="1"/>
  <c r="T260" i="1"/>
  <c r="U260" i="1"/>
  <c r="BD260" i="1"/>
  <c r="CE260" i="1"/>
  <c r="A261" i="1"/>
  <c r="C261" i="1"/>
  <c r="S261" i="1"/>
  <c r="T261" i="1"/>
  <c r="U261" i="1"/>
  <c r="BD261" i="1"/>
  <c r="CE261" i="1"/>
  <c r="A262" i="1"/>
  <c r="C262" i="1"/>
  <c r="S262" i="1"/>
  <c r="T262" i="1"/>
  <c r="U262" i="1"/>
  <c r="BD262" i="1"/>
  <c r="CE262" i="1"/>
  <c r="A263" i="1"/>
  <c r="C263" i="1"/>
  <c r="S263" i="1"/>
  <c r="T263" i="1"/>
  <c r="U263" i="1"/>
  <c r="BD263" i="1"/>
  <c r="CE263" i="1"/>
  <c r="A264" i="1"/>
  <c r="C264" i="1"/>
  <c r="S264" i="1"/>
  <c r="T264" i="1"/>
  <c r="U264" i="1"/>
  <c r="BD264" i="1"/>
  <c r="CE264" i="1"/>
  <c r="A265" i="1"/>
  <c r="C265" i="1"/>
  <c r="S265" i="1"/>
  <c r="T265" i="1"/>
  <c r="U265" i="1"/>
  <c r="BD265" i="1"/>
  <c r="CE265" i="1"/>
  <c r="A266" i="1"/>
  <c r="C266" i="1"/>
  <c r="S266" i="1"/>
  <c r="T266" i="1"/>
  <c r="U266" i="1"/>
  <c r="BD266" i="1"/>
  <c r="CE266" i="1"/>
  <c r="A267" i="1"/>
  <c r="C267" i="1"/>
  <c r="S267" i="1"/>
  <c r="T267" i="1"/>
  <c r="U267" i="1"/>
  <c r="BD267" i="1"/>
  <c r="CE267" i="1"/>
  <c r="A268" i="1"/>
  <c r="C268" i="1"/>
  <c r="S268" i="1"/>
  <c r="T268" i="1"/>
  <c r="U268" i="1"/>
  <c r="BD268" i="1"/>
  <c r="CE268" i="1"/>
  <c r="A269" i="1"/>
  <c r="C269" i="1"/>
  <c r="S269" i="1"/>
  <c r="T269" i="1"/>
  <c r="U269" i="1"/>
  <c r="BD269" i="1"/>
  <c r="CE269" i="1"/>
  <c r="A270" i="1"/>
  <c r="C270" i="1"/>
  <c r="S270" i="1"/>
  <c r="T270" i="1"/>
  <c r="U270" i="1"/>
  <c r="BD270" i="1"/>
  <c r="CE270" i="1"/>
  <c r="A271" i="1"/>
  <c r="C271" i="1"/>
  <c r="S271" i="1"/>
  <c r="T271" i="1"/>
  <c r="U271" i="1"/>
  <c r="BD271" i="1"/>
  <c r="CE271" i="1"/>
  <c r="A272" i="1"/>
  <c r="C272" i="1"/>
  <c r="S272" i="1"/>
  <c r="T272" i="1"/>
  <c r="U272" i="1"/>
  <c r="BD272" i="1"/>
  <c r="CE272" i="1"/>
  <c r="A273" i="1"/>
  <c r="C273" i="1"/>
  <c r="S273" i="1"/>
  <c r="T273" i="1"/>
  <c r="U273" i="1"/>
  <c r="BD273" i="1"/>
  <c r="CE273" i="1"/>
  <c r="A274" i="1"/>
  <c r="C274" i="1"/>
  <c r="S274" i="1"/>
  <c r="T274" i="1"/>
  <c r="U274" i="1"/>
  <c r="BD274" i="1"/>
  <c r="CE274" i="1"/>
  <c r="A275" i="1"/>
  <c r="C275" i="1"/>
  <c r="S275" i="1"/>
  <c r="T275" i="1"/>
  <c r="U275" i="1"/>
  <c r="BD275" i="1"/>
  <c r="CE275" i="1"/>
  <c r="A276" i="1"/>
  <c r="C276" i="1"/>
  <c r="S276" i="1"/>
  <c r="T276" i="1"/>
  <c r="U276" i="1"/>
  <c r="BD276" i="1"/>
  <c r="CE276" i="1"/>
  <c r="A277" i="1"/>
  <c r="C277" i="1"/>
  <c r="S277" i="1"/>
  <c r="T277" i="1"/>
  <c r="U277" i="1"/>
  <c r="BD277" i="1"/>
  <c r="CE277" i="1"/>
  <c r="A278" i="1"/>
  <c r="C278" i="1"/>
  <c r="S278" i="1"/>
  <c r="T278" i="1"/>
  <c r="U278" i="1"/>
  <c r="BD278" i="1"/>
  <c r="CE278" i="1"/>
  <c r="A279" i="1"/>
  <c r="C279" i="1"/>
  <c r="S279" i="1"/>
  <c r="T279" i="1"/>
  <c r="U279" i="1"/>
  <c r="BD279" i="1"/>
  <c r="CE279" i="1"/>
  <c r="A280" i="1"/>
  <c r="C280" i="1"/>
  <c r="S280" i="1"/>
  <c r="T280" i="1"/>
  <c r="U280" i="1"/>
  <c r="BD280" i="1"/>
  <c r="CE280" i="1"/>
  <c r="A281" i="1"/>
  <c r="C281" i="1"/>
  <c r="S281" i="1"/>
  <c r="T281" i="1"/>
  <c r="U281" i="1"/>
  <c r="BD281" i="1"/>
  <c r="CE281" i="1"/>
  <c r="A282" i="1"/>
  <c r="C282" i="1"/>
  <c r="S282" i="1"/>
  <c r="T282" i="1"/>
  <c r="U282" i="1"/>
  <c r="BD282" i="1"/>
  <c r="CE282" i="1"/>
  <c r="A283" i="1"/>
  <c r="C283" i="1"/>
  <c r="S283" i="1"/>
  <c r="T283" i="1"/>
  <c r="U283" i="1"/>
  <c r="BD283" i="1"/>
  <c r="CE283" i="1"/>
  <c r="A284" i="1"/>
  <c r="C284" i="1"/>
  <c r="S284" i="1"/>
  <c r="T284" i="1"/>
  <c r="U284" i="1"/>
  <c r="BD284" i="1"/>
  <c r="CE284" i="1"/>
  <c r="A285" i="1"/>
  <c r="C285" i="1"/>
  <c r="S285" i="1"/>
  <c r="T285" i="1"/>
  <c r="U285" i="1"/>
  <c r="BD285" i="1"/>
  <c r="CE285" i="1"/>
  <c r="A286" i="1"/>
  <c r="C286" i="1"/>
  <c r="S286" i="1"/>
  <c r="T286" i="1"/>
  <c r="U286" i="1"/>
  <c r="BD286" i="1"/>
  <c r="CE286" i="1"/>
  <c r="A287" i="1"/>
  <c r="C287" i="1"/>
  <c r="S287" i="1"/>
  <c r="T287" i="1"/>
  <c r="U287" i="1"/>
  <c r="BD287" i="1"/>
  <c r="CE287" i="1"/>
  <c r="A288" i="1"/>
  <c r="C288" i="1"/>
  <c r="S288" i="1"/>
  <c r="T288" i="1"/>
  <c r="U288" i="1"/>
  <c r="BD288" i="1"/>
  <c r="CE288" i="1"/>
  <c r="A289" i="1"/>
  <c r="C289" i="1"/>
  <c r="S289" i="1"/>
  <c r="T289" i="1"/>
  <c r="U289" i="1"/>
  <c r="BD289" i="1"/>
  <c r="CE289" i="1"/>
  <c r="A290" i="1"/>
  <c r="C290" i="1"/>
  <c r="S290" i="1"/>
  <c r="T290" i="1"/>
  <c r="U290" i="1"/>
  <c r="BD290" i="1"/>
  <c r="CE290" i="1"/>
  <c r="A291" i="1"/>
  <c r="C291" i="1"/>
  <c r="S291" i="1"/>
  <c r="T291" i="1"/>
  <c r="U291" i="1"/>
  <c r="BD291" i="1"/>
  <c r="CE291" i="1"/>
  <c r="A292" i="1"/>
  <c r="C292" i="1"/>
  <c r="S292" i="1"/>
  <c r="T292" i="1"/>
  <c r="U292" i="1"/>
  <c r="BD292" i="1"/>
  <c r="CE292" i="1"/>
  <c r="A293" i="1"/>
  <c r="C293" i="1"/>
  <c r="S293" i="1"/>
  <c r="T293" i="1"/>
  <c r="U293" i="1"/>
  <c r="BD293" i="1"/>
  <c r="CE293" i="1"/>
  <c r="A294" i="1"/>
  <c r="C294" i="1"/>
  <c r="S294" i="1"/>
  <c r="T294" i="1"/>
  <c r="U294" i="1"/>
  <c r="BD294" i="1"/>
  <c r="CE294" i="1"/>
  <c r="A295" i="1"/>
  <c r="C295" i="1"/>
  <c r="S295" i="1"/>
  <c r="T295" i="1"/>
  <c r="U295" i="1"/>
  <c r="BD295" i="1"/>
  <c r="CE295" i="1"/>
  <c r="A296" i="1"/>
  <c r="C296" i="1"/>
  <c r="S296" i="1"/>
  <c r="T296" i="1"/>
  <c r="U296" i="1"/>
  <c r="BD296" i="1"/>
  <c r="CE296" i="1"/>
  <c r="A297" i="1"/>
  <c r="C297" i="1"/>
  <c r="S297" i="1"/>
  <c r="T297" i="1"/>
  <c r="U297" i="1"/>
  <c r="BD297" i="1"/>
  <c r="CE297" i="1"/>
  <c r="A298" i="1"/>
  <c r="C298" i="1"/>
  <c r="S298" i="1"/>
  <c r="T298" i="1"/>
  <c r="U298" i="1"/>
  <c r="BD298" i="1"/>
  <c r="CE298" i="1"/>
  <c r="A299" i="1"/>
  <c r="C299" i="1"/>
  <c r="S299" i="1"/>
  <c r="T299" i="1"/>
  <c r="U299" i="1"/>
  <c r="BD299" i="1"/>
  <c r="CE299" i="1"/>
  <c r="A300" i="1"/>
  <c r="C300" i="1"/>
  <c r="S300" i="1"/>
  <c r="T300" i="1"/>
  <c r="U300" i="1"/>
  <c r="BD300" i="1"/>
  <c r="CE300" i="1"/>
  <c r="A301" i="1"/>
  <c r="C301" i="1"/>
  <c r="S301" i="1"/>
  <c r="T301" i="1"/>
  <c r="U301" i="1"/>
  <c r="BD301" i="1"/>
  <c r="CE301" i="1"/>
  <c r="A302" i="1"/>
  <c r="C302" i="1"/>
  <c r="S302" i="1"/>
  <c r="T302" i="1"/>
  <c r="U302" i="1"/>
  <c r="BD302" i="1"/>
  <c r="CE302" i="1"/>
  <c r="A303" i="1"/>
  <c r="C303" i="1"/>
  <c r="S303" i="1"/>
  <c r="T303" i="1"/>
  <c r="U303" i="1"/>
  <c r="BD303" i="1"/>
  <c r="CE303" i="1"/>
  <c r="A304" i="1"/>
  <c r="C304" i="1"/>
  <c r="S304" i="1"/>
  <c r="T304" i="1"/>
  <c r="U304" i="1"/>
  <c r="BD304" i="1"/>
  <c r="CE304" i="1"/>
  <c r="A305" i="1"/>
  <c r="C305" i="1"/>
  <c r="S305" i="1"/>
  <c r="T305" i="1"/>
  <c r="U305" i="1"/>
  <c r="BD305" i="1"/>
  <c r="CE305" i="1"/>
  <c r="A306" i="1"/>
  <c r="C306" i="1"/>
  <c r="S306" i="1"/>
  <c r="T306" i="1"/>
  <c r="U306" i="1"/>
  <c r="BD306" i="1"/>
  <c r="CE306" i="1"/>
  <c r="A307" i="1"/>
  <c r="C307" i="1"/>
  <c r="S307" i="1"/>
  <c r="T307" i="1"/>
  <c r="U307" i="1"/>
  <c r="BD307" i="1"/>
  <c r="CE307" i="1"/>
  <c r="A308" i="1"/>
  <c r="C308" i="1"/>
  <c r="S308" i="1"/>
  <c r="T308" i="1"/>
  <c r="U308" i="1"/>
  <c r="BD308" i="1"/>
  <c r="CE308" i="1"/>
  <c r="A309" i="1"/>
  <c r="C309" i="1"/>
  <c r="S309" i="1"/>
  <c r="T309" i="1"/>
  <c r="U309" i="1"/>
  <c r="BD309" i="1"/>
  <c r="CE309" i="1"/>
  <c r="A310" i="1"/>
  <c r="C310" i="1"/>
  <c r="S310" i="1"/>
  <c r="T310" i="1"/>
  <c r="U310" i="1"/>
  <c r="BD310" i="1"/>
  <c r="CE310" i="1"/>
  <c r="A311" i="1"/>
  <c r="C311" i="1"/>
  <c r="S311" i="1"/>
  <c r="T311" i="1"/>
  <c r="U311" i="1"/>
  <c r="BD311" i="1"/>
  <c r="CE311" i="1"/>
  <c r="A312" i="1"/>
  <c r="C312" i="1"/>
  <c r="S312" i="1"/>
  <c r="T312" i="1"/>
  <c r="U312" i="1"/>
  <c r="BD312" i="1"/>
  <c r="CE312" i="1"/>
  <c r="A313" i="1"/>
  <c r="C313" i="1"/>
  <c r="S313" i="1"/>
  <c r="T313" i="1"/>
  <c r="U313" i="1"/>
  <c r="BD313" i="1"/>
  <c r="CE313" i="1"/>
  <c r="A314" i="1"/>
  <c r="C314" i="1"/>
  <c r="S314" i="1"/>
  <c r="T314" i="1"/>
  <c r="U314" i="1"/>
  <c r="BD314" i="1"/>
  <c r="CE314" i="1"/>
  <c r="A315" i="1"/>
  <c r="C315" i="1"/>
  <c r="S315" i="1"/>
  <c r="T315" i="1"/>
  <c r="U315" i="1"/>
  <c r="BD315" i="1"/>
  <c r="CE315" i="1"/>
  <c r="A316" i="1"/>
  <c r="C316" i="1"/>
  <c r="S316" i="1"/>
  <c r="T316" i="1"/>
  <c r="U316" i="1"/>
  <c r="BD316" i="1"/>
  <c r="CE316" i="1"/>
  <c r="A317" i="1"/>
  <c r="C317" i="1"/>
  <c r="S317" i="1"/>
  <c r="T317" i="1"/>
  <c r="U317" i="1"/>
  <c r="BD317" i="1"/>
  <c r="CE317" i="1"/>
  <c r="A318" i="1"/>
  <c r="C318" i="1"/>
  <c r="S318" i="1"/>
  <c r="T318" i="1"/>
  <c r="U318" i="1"/>
  <c r="BD318" i="1"/>
  <c r="CE318" i="1"/>
  <c r="A319" i="1"/>
  <c r="C319" i="1"/>
  <c r="S319" i="1"/>
  <c r="T319" i="1"/>
  <c r="U319" i="1"/>
  <c r="BD319" i="1"/>
  <c r="CE319" i="1"/>
  <c r="A320" i="1"/>
  <c r="C320" i="1"/>
  <c r="S320" i="1"/>
  <c r="T320" i="1"/>
  <c r="U320" i="1"/>
  <c r="BD320" i="1"/>
  <c r="CE320" i="1"/>
  <c r="A321" i="1"/>
  <c r="C321" i="1"/>
  <c r="S321" i="1"/>
  <c r="T321" i="1"/>
  <c r="U321" i="1"/>
  <c r="BD321" i="1"/>
  <c r="CE321" i="1"/>
  <c r="A322" i="1"/>
  <c r="C322" i="1"/>
  <c r="S322" i="1"/>
  <c r="T322" i="1"/>
  <c r="U322" i="1"/>
  <c r="BD322" i="1"/>
  <c r="CE322" i="1"/>
  <c r="A323" i="1"/>
  <c r="C323" i="1"/>
  <c r="S323" i="1"/>
  <c r="T323" i="1"/>
  <c r="U323" i="1"/>
  <c r="BD323" i="1"/>
  <c r="CE323" i="1"/>
  <c r="A324" i="1"/>
  <c r="C324" i="1"/>
  <c r="S324" i="1"/>
  <c r="T324" i="1"/>
  <c r="U324" i="1"/>
  <c r="BD324" i="1"/>
  <c r="CE324" i="1"/>
  <c r="A325" i="1"/>
  <c r="C325" i="1"/>
  <c r="S325" i="1"/>
  <c r="T325" i="1"/>
  <c r="U325" i="1"/>
  <c r="BD325" i="1"/>
  <c r="CE325" i="1"/>
  <c r="A326" i="1"/>
  <c r="C326" i="1"/>
  <c r="S326" i="1"/>
  <c r="T326" i="1"/>
  <c r="U326" i="1"/>
  <c r="BD326" i="1"/>
  <c r="CE326" i="1"/>
  <c r="A327" i="1"/>
  <c r="C327" i="1"/>
  <c r="S327" i="1"/>
  <c r="T327" i="1"/>
  <c r="U327" i="1"/>
  <c r="BD327" i="1"/>
  <c r="CE327" i="1"/>
  <c r="A328" i="1"/>
  <c r="C328" i="1"/>
  <c r="S328" i="1"/>
  <c r="T328" i="1"/>
  <c r="U328" i="1"/>
  <c r="BD328" i="1"/>
  <c r="CE328" i="1"/>
  <c r="A329" i="1"/>
  <c r="C329" i="1"/>
  <c r="S329" i="1"/>
  <c r="T329" i="1"/>
  <c r="U329" i="1"/>
  <c r="BD329" i="1"/>
  <c r="CE329" i="1"/>
  <c r="A330" i="1"/>
  <c r="C330" i="1"/>
  <c r="S330" i="1"/>
  <c r="T330" i="1"/>
  <c r="U330" i="1"/>
  <c r="BD330" i="1"/>
  <c r="CE330" i="1"/>
  <c r="A331" i="1"/>
  <c r="C331" i="1"/>
  <c r="S331" i="1"/>
  <c r="T331" i="1"/>
  <c r="U331" i="1"/>
  <c r="BD331" i="1"/>
  <c r="CE331" i="1"/>
  <c r="A332" i="1"/>
  <c r="C332" i="1"/>
  <c r="S332" i="1"/>
  <c r="T332" i="1"/>
  <c r="U332" i="1"/>
  <c r="BD332" i="1"/>
  <c r="CE332" i="1"/>
  <c r="A333" i="1"/>
  <c r="C333" i="1"/>
  <c r="S333" i="1"/>
  <c r="T333" i="1"/>
  <c r="U333" i="1"/>
  <c r="BD333" i="1"/>
  <c r="CE333" i="1"/>
  <c r="A334" i="1"/>
  <c r="C334" i="1"/>
  <c r="S334" i="1"/>
  <c r="T334" i="1"/>
  <c r="U334" i="1"/>
  <c r="BD334" i="1"/>
  <c r="CE334" i="1"/>
  <c r="A335" i="1"/>
  <c r="C335" i="1"/>
  <c r="S335" i="1"/>
  <c r="T335" i="1"/>
  <c r="U335" i="1"/>
  <c r="BD335" i="1"/>
  <c r="CE335" i="1"/>
  <c r="A336" i="1"/>
  <c r="C336" i="1"/>
  <c r="S336" i="1"/>
  <c r="T336" i="1"/>
  <c r="U336" i="1"/>
  <c r="BD336" i="1"/>
  <c r="CE336" i="1"/>
  <c r="A337" i="1"/>
  <c r="C337" i="1"/>
  <c r="S337" i="1"/>
  <c r="T337" i="1"/>
  <c r="U337" i="1"/>
  <c r="BD337" i="1"/>
  <c r="CE337" i="1"/>
  <c r="A338" i="1"/>
  <c r="C338" i="1"/>
  <c r="S338" i="1"/>
  <c r="T338" i="1"/>
  <c r="U338" i="1"/>
  <c r="BD338" i="1"/>
  <c r="CE338" i="1"/>
  <c r="A339" i="1"/>
  <c r="C339" i="1"/>
  <c r="S339" i="1"/>
  <c r="T339" i="1"/>
  <c r="U339" i="1"/>
  <c r="BD339" i="1"/>
  <c r="CE339" i="1"/>
  <c r="A340" i="1"/>
  <c r="C340" i="1"/>
  <c r="S340" i="1"/>
  <c r="T340" i="1"/>
  <c r="U340" i="1"/>
  <c r="BD340" i="1"/>
  <c r="CE340" i="1"/>
  <c r="A341" i="1"/>
  <c r="C341" i="1"/>
  <c r="S341" i="1"/>
  <c r="T341" i="1"/>
  <c r="U341" i="1"/>
  <c r="BD341" i="1"/>
  <c r="CE341" i="1"/>
  <c r="A342" i="1"/>
  <c r="C342" i="1"/>
  <c r="S342" i="1"/>
  <c r="T342" i="1"/>
  <c r="U342" i="1"/>
  <c r="BD342" i="1"/>
  <c r="CE342" i="1"/>
  <c r="A343" i="1"/>
  <c r="C343" i="1"/>
  <c r="S343" i="1"/>
  <c r="T343" i="1"/>
  <c r="U343" i="1"/>
  <c r="BD343" i="1"/>
  <c r="CE343" i="1"/>
  <c r="A344" i="1"/>
  <c r="C344" i="1"/>
  <c r="S344" i="1"/>
  <c r="T344" i="1"/>
  <c r="U344" i="1"/>
  <c r="BD344" i="1"/>
  <c r="CE344" i="1"/>
  <c r="A345" i="1"/>
  <c r="C345" i="1"/>
  <c r="S345" i="1"/>
  <c r="T345" i="1"/>
  <c r="U345" i="1"/>
  <c r="BD345" i="1"/>
  <c r="CE345" i="1"/>
  <c r="A346" i="1"/>
  <c r="C346" i="1"/>
  <c r="S346" i="1"/>
  <c r="T346" i="1"/>
  <c r="U346" i="1"/>
  <c r="BD346" i="1"/>
  <c r="CE346" i="1"/>
  <c r="A347" i="1"/>
  <c r="C347" i="1"/>
  <c r="S347" i="1"/>
  <c r="T347" i="1"/>
  <c r="U347" i="1"/>
  <c r="BD347" i="1"/>
  <c r="CE347" i="1"/>
  <c r="A348" i="1"/>
  <c r="C348" i="1"/>
  <c r="S348" i="1"/>
  <c r="T348" i="1"/>
  <c r="U348" i="1"/>
  <c r="BD348" i="1"/>
  <c r="CE348" i="1"/>
  <c r="A349" i="1"/>
  <c r="C349" i="1"/>
  <c r="S349" i="1"/>
  <c r="T349" i="1"/>
  <c r="U349" i="1"/>
  <c r="BD349" i="1"/>
  <c r="CE349" i="1"/>
  <c r="A350" i="1"/>
  <c r="C350" i="1"/>
  <c r="S350" i="1"/>
  <c r="T350" i="1"/>
  <c r="U350" i="1"/>
  <c r="BD350" i="1"/>
  <c r="CE350" i="1"/>
  <c r="A351" i="1"/>
  <c r="C351" i="1"/>
  <c r="S351" i="1"/>
  <c r="T351" i="1"/>
  <c r="U351" i="1"/>
  <c r="BD351" i="1"/>
  <c r="CE351" i="1"/>
  <c r="A352" i="1"/>
  <c r="C352" i="1"/>
  <c r="S352" i="1"/>
  <c r="T352" i="1"/>
  <c r="U352" i="1"/>
  <c r="BD352" i="1"/>
  <c r="CE352" i="1"/>
  <c r="A353" i="1"/>
  <c r="C353" i="1"/>
  <c r="S353" i="1"/>
  <c r="T353" i="1"/>
  <c r="U353" i="1"/>
  <c r="BD353" i="1"/>
  <c r="CE353" i="1"/>
  <c r="A354" i="1"/>
  <c r="C354" i="1"/>
  <c r="S354" i="1"/>
  <c r="T354" i="1"/>
  <c r="U354" i="1"/>
  <c r="BD354" i="1"/>
  <c r="CE354" i="1"/>
  <c r="A355" i="1"/>
  <c r="C355" i="1"/>
  <c r="S355" i="1"/>
  <c r="T355" i="1"/>
  <c r="U355" i="1"/>
  <c r="BD355" i="1"/>
  <c r="CE355" i="1"/>
  <c r="A356" i="1"/>
  <c r="C356" i="1"/>
  <c r="S356" i="1"/>
  <c r="T356" i="1"/>
  <c r="U356" i="1"/>
  <c r="BD356" i="1"/>
  <c r="CE356" i="1"/>
  <c r="A357" i="1"/>
  <c r="C357" i="1"/>
  <c r="S357" i="1"/>
  <c r="T357" i="1"/>
  <c r="U357" i="1"/>
  <c r="BD357" i="1"/>
  <c r="CE357" i="1"/>
  <c r="A358" i="1"/>
  <c r="C358" i="1"/>
  <c r="S358" i="1"/>
  <c r="T358" i="1"/>
  <c r="U358" i="1"/>
  <c r="BD358" i="1"/>
  <c r="CE358" i="1"/>
  <c r="A359" i="1"/>
  <c r="C359" i="1"/>
  <c r="S359" i="1"/>
  <c r="T359" i="1"/>
  <c r="U359" i="1"/>
  <c r="BD359" i="1"/>
  <c r="CE359" i="1"/>
  <c r="A360" i="1"/>
  <c r="C360" i="1"/>
  <c r="S360" i="1"/>
  <c r="T360" i="1"/>
  <c r="U360" i="1"/>
  <c r="BD360" i="1"/>
  <c r="CE360" i="1"/>
  <c r="A361" i="1"/>
  <c r="C361" i="1"/>
  <c r="S361" i="1"/>
  <c r="T361" i="1"/>
  <c r="U361" i="1"/>
  <c r="BD361" i="1"/>
  <c r="CE361" i="1"/>
  <c r="A362" i="1"/>
  <c r="C362" i="1"/>
  <c r="S362" i="1"/>
  <c r="T362" i="1"/>
  <c r="U362" i="1"/>
  <c r="BD362" i="1"/>
  <c r="CE362" i="1"/>
  <c r="A363" i="1"/>
  <c r="C363" i="1"/>
  <c r="S363" i="1"/>
  <c r="T363" i="1"/>
  <c r="U363" i="1"/>
  <c r="BD363" i="1"/>
  <c r="CE363" i="1"/>
  <c r="A364" i="1"/>
  <c r="C364" i="1"/>
  <c r="S364" i="1"/>
  <c r="T364" i="1"/>
  <c r="U364" i="1"/>
  <c r="BD364" i="1"/>
  <c r="CE364" i="1"/>
  <c r="A365" i="1"/>
  <c r="C365" i="1"/>
  <c r="S365" i="1"/>
  <c r="T365" i="1"/>
  <c r="U365" i="1"/>
  <c r="BD365" i="1"/>
  <c r="CE365" i="1"/>
  <c r="A366" i="1"/>
  <c r="C366" i="1"/>
  <c r="S366" i="1"/>
  <c r="T366" i="1"/>
  <c r="U366" i="1"/>
  <c r="BD366" i="1"/>
  <c r="CE366" i="1"/>
  <c r="A367" i="1"/>
  <c r="C367" i="1"/>
  <c r="S367" i="1"/>
  <c r="T367" i="1"/>
  <c r="U367" i="1"/>
  <c r="BD367" i="1"/>
  <c r="CE367" i="1"/>
  <c r="A368" i="1"/>
  <c r="C368" i="1"/>
  <c r="S368" i="1"/>
  <c r="T368" i="1"/>
  <c r="U368" i="1"/>
  <c r="BD368" i="1"/>
  <c r="CE368" i="1"/>
  <c r="A369" i="1"/>
  <c r="C369" i="1"/>
  <c r="S369" i="1"/>
  <c r="T369" i="1"/>
  <c r="U369" i="1"/>
  <c r="BD369" i="1"/>
  <c r="CE369" i="1"/>
  <c r="A370" i="1"/>
  <c r="C370" i="1"/>
  <c r="S370" i="1"/>
  <c r="T370" i="1"/>
  <c r="U370" i="1"/>
  <c r="BD370" i="1"/>
  <c r="CE370" i="1"/>
  <c r="A371" i="1"/>
  <c r="C371" i="1"/>
  <c r="S371" i="1"/>
  <c r="T371" i="1"/>
  <c r="U371" i="1"/>
  <c r="BD371" i="1"/>
  <c r="CE371" i="1"/>
  <c r="A372" i="1"/>
  <c r="C372" i="1"/>
  <c r="S372" i="1"/>
  <c r="T372" i="1"/>
  <c r="U372" i="1"/>
  <c r="BD372" i="1"/>
  <c r="CE372" i="1"/>
  <c r="A373" i="1"/>
  <c r="C373" i="1"/>
  <c r="S373" i="1"/>
  <c r="T373" i="1"/>
  <c r="U373" i="1"/>
  <c r="BD373" i="1"/>
  <c r="CE373" i="1"/>
  <c r="A374" i="1"/>
  <c r="C374" i="1"/>
  <c r="S374" i="1"/>
  <c r="T374" i="1"/>
  <c r="U374" i="1"/>
  <c r="BD374" i="1"/>
  <c r="CE374" i="1"/>
  <c r="A375" i="1"/>
  <c r="C375" i="1"/>
  <c r="S375" i="1"/>
  <c r="T375" i="1"/>
  <c r="U375" i="1"/>
  <c r="BD375" i="1"/>
  <c r="CE375" i="1"/>
  <c r="A376" i="1"/>
  <c r="C376" i="1"/>
  <c r="S376" i="1"/>
  <c r="T376" i="1"/>
  <c r="U376" i="1"/>
  <c r="BD376" i="1"/>
  <c r="CE376" i="1"/>
  <c r="A377" i="1"/>
  <c r="C377" i="1"/>
  <c r="S377" i="1"/>
  <c r="T377" i="1"/>
  <c r="U377" i="1"/>
  <c r="BD377" i="1"/>
  <c r="CE377" i="1"/>
  <c r="A378" i="1"/>
  <c r="C378" i="1"/>
  <c r="S378" i="1"/>
  <c r="T378" i="1"/>
  <c r="U378" i="1"/>
  <c r="BD378" i="1"/>
  <c r="CE378" i="1"/>
  <c r="A379" i="1"/>
  <c r="C379" i="1"/>
  <c r="S379" i="1"/>
  <c r="T379" i="1"/>
  <c r="U379" i="1"/>
  <c r="BD379" i="1"/>
  <c r="CE379" i="1"/>
  <c r="A380" i="1"/>
  <c r="C380" i="1"/>
  <c r="S380" i="1"/>
  <c r="T380" i="1"/>
  <c r="U380" i="1"/>
  <c r="BD380" i="1"/>
  <c r="CE380" i="1"/>
  <c r="A381" i="1"/>
  <c r="C381" i="1"/>
  <c r="S381" i="1"/>
  <c r="T381" i="1"/>
  <c r="U381" i="1"/>
  <c r="BD381" i="1"/>
  <c r="CE381" i="1"/>
  <c r="A382" i="1"/>
  <c r="C382" i="1"/>
  <c r="S382" i="1"/>
  <c r="T382" i="1"/>
  <c r="U382" i="1"/>
  <c r="BD382" i="1"/>
  <c r="CE382" i="1"/>
  <c r="A383" i="1"/>
  <c r="C383" i="1"/>
  <c r="S383" i="1"/>
  <c r="T383" i="1"/>
  <c r="U383" i="1"/>
  <c r="BD383" i="1"/>
  <c r="CE383" i="1"/>
  <c r="A384" i="1"/>
  <c r="C384" i="1"/>
  <c r="S384" i="1"/>
  <c r="T384" i="1"/>
  <c r="U384" i="1"/>
  <c r="BD384" i="1"/>
  <c r="CE384" i="1"/>
  <c r="A385" i="1"/>
  <c r="C385" i="1"/>
  <c r="S385" i="1"/>
  <c r="T385" i="1"/>
  <c r="U385" i="1"/>
  <c r="BD385" i="1"/>
  <c r="CE385" i="1"/>
  <c r="A386" i="1"/>
  <c r="C386" i="1"/>
  <c r="S386" i="1"/>
  <c r="T386" i="1"/>
  <c r="U386" i="1"/>
  <c r="BD386" i="1"/>
  <c r="CE386" i="1"/>
  <c r="A387" i="1"/>
  <c r="C387" i="1"/>
  <c r="S387" i="1"/>
  <c r="T387" i="1"/>
  <c r="U387" i="1"/>
  <c r="BD387" i="1"/>
  <c r="CE387" i="1"/>
  <c r="A388" i="1"/>
  <c r="C388" i="1"/>
  <c r="S388" i="1"/>
  <c r="T388" i="1"/>
  <c r="U388" i="1"/>
  <c r="BD388" i="1"/>
  <c r="CE388" i="1"/>
  <c r="A389" i="1"/>
  <c r="C389" i="1"/>
  <c r="S389" i="1"/>
  <c r="T389" i="1"/>
  <c r="U389" i="1"/>
  <c r="BD389" i="1"/>
  <c r="CE389" i="1"/>
  <c r="A390" i="1"/>
  <c r="C390" i="1"/>
  <c r="S390" i="1"/>
  <c r="T390" i="1"/>
  <c r="U390" i="1"/>
  <c r="BD390" i="1"/>
  <c r="CE390" i="1"/>
  <c r="A391" i="1"/>
  <c r="C391" i="1"/>
  <c r="S391" i="1"/>
  <c r="T391" i="1"/>
  <c r="U391" i="1"/>
  <c r="BD391" i="1"/>
  <c r="CE391" i="1"/>
  <c r="A392" i="1"/>
  <c r="C392" i="1"/>
  <c r="S392" i="1"/>
  <c r="T392" i="1"/>
  <c r="U392" i="1"/>
  <c r="BD392" i="1"/>
  <c r="CE392" i="1"/>
  <c r="A393" i="1"/>
  <c r="C393" i="1"/>
  <c r="S393" i="1"/>
  <c r="T393" i="1"/>
  <c r="U393" i="1"/>
  <c r="BD393" i="1"/>
  <c r="CE393" i="1"/>
  <c r="A394" i="1"/>
  <c r="C394" i="1"/>
  <c r="S394" i="1"/>
  <c r="T394" i="1"/>
  <c r="U394" i="1"/>
  <c r="BD394" i="1"/>
  <c r="CE394" i="1"/>
  <c r="A395" i="1"/>
  <c r="C395" i="1"/>
  <c r="S395" i="1"/>
  <c r="T395" i="1"/>
  <c r="U395" i="1"/>
  <c r="BD395" i="1"/>
  <c r="CE395" i="1"/>
  <c r="A396" i="1"/>
  <c r="C396" i="1"/>
  <c r="S396" i="1"/>
  <c r="T396" i="1"/>
  <c r="U396" i="1"/>
  <c r="BD396" i="1"/>
  <c r="CE396" i="1"/>
  <c r="A397" i="1"/>
  <c r="C397" i="1"/>
  <c r="S397" i="1"/>
  <c r="T397" i="1"/>
  <c r="U397" i="1"/>
  <c r="BD397" i="1"/>
  <c r="CE397" i="1"/>
  <c r="A398" i="1"/>
  <c r="C398" i="1"/>
  <c r="S398" i="1"/>
  <c r="T398" i="1"/>
  <c r="U398" i="1"/>
  <c r="BD398" i="1"/>
  <c r="CE398" i="1"/>
  <c r="A399" i="1"/>
  <c r="C399" i="1"/>
  <c r="S399" i="1"/>
  <c r="T399" i="1"/>
  <c r="U399" i="1"/>
  <c r="BD399" i="1"/>
  <c r="CE399" i="1"/>
  <c r="A400" i="1"/>
  <c r="C400" i="1"/>
  <c r="S400" i="1"/>
  <c r="T400" i="1"/>
  <c r="U400" i="1"/>
  <c r="BD400" i="1"/>
  <c r="CE400" i="1"/>
  <c r="A401" i="1"/>
  <c r="C401" i="1"/>
  <c r="S401" i="1"/>
  <c r="T401" i="1"/>
  <c r="U401" i="1"/>
  <c r="BD401" i="1"/>
  <c r="CE401" i="1"/>
  <c r="A402" i="1"/>
  <c r="C402" i="1"/>
  <c r="S402" i="1"/>
  <c r="T402" i="1"/>
  <c r="U402" i="1"/>
  <c r="BD402" i="1"/>
  <c r="CE402" i="1"/>
  <c r="A403" i="1"/>
  <c r="C403" i="1"/>
  <c r="S403" i="1"/>
  <c r="T403" i="1"/>
  <c r="U403" i="1"/>
  <c r="BD403" i="1"/>
  <c r="CE403" i="1"/>
  <c r="A404" i="1"/>
  <c r="C404" i="1"/>
  <c r="S404" i="1"/>
  <c r="T404" i="1"/>
  <c r="U404" i="1"/>
  <c r="BD404" i="1"/>
  <c r="CE404" i="1"/>
  <c r="A405" i="1"/>
  <c r="C405" i="1"/>
  <c r="S405" i="1"/>
  <c r="T405" i="1"/>
  <c r="U405" i="1"/>
  <c r="BD405" i="1"/>
  <c r="CE405" i="1"/>
  <c r="A406" i="1"/>
  <c r="C406" i="1"/>
  <c r="S406" i="1"/>
  <c r="T406" i="1"/>
  <c r="U406" i="1"/>
  <c r="BD406" i="1"/>
  <c r="CE406" i="1"/>
  <c r="A407" i="1"/>
  <c r="C407" i="1"/>
  <c r="S407" i="1"/>
  <c r="T407" i="1"/>
  <c r="U407" i="1"/>
  <c r="BD407" i="1"/>
  <c r="CE407" i="1"/>
  <c r="A408" i="1"/>
  <c r="C408" i="1"/>
  <c r="S408" i="1"/>
  <c r="T408" i="1"/>
  <c r="U408" i="1"/>
  <c r="BD408" i="1"/>
  <c r="CE408" i="1"/>
  <c r="A409" i="1"/>
  <c r="C409" i="1"/>
  <c r="S409" i="1"/>
  <c r="T409" i="1"/>
  <c r="U409" i="1"/>
  <c r="BD409" i="1"/>
  <c r="CE409" i="1"/>
  <c r="A410" i="1"/>
  <c r="C410" i="1"/>
  <c r="S410" i="1"/>
  <c r="T410" i="1"/>
  <c r="U410" i="1"/>
  <c r="BD410" i="1"/>
  <c r="CE410" i="1"/>
  <c r="A411" i="1"/>
  <c r="C411" i="1"/>
  <c r="S411" i="1"/>
  <c r="T411" i="1"/>
  <c r="U411" i="1"/>
  <c r="BD411" i="1"/>
  <c r="CE411" i="1"/>
  <c r="A412" i="1"/>
  <c r="C412" i="1"/>
  <c r="S412" i="1"/>
  <c r="T412" i="1"/>
  <c r="U412" i="1"/>
  <c r="BD412" i="1"/>
  <c r="CE412" i="1"/>
  <c r="A413" i="1"/>
  <c r="C413" i="1"/>
  <c r="S413" i="1"/>
  <c r="T413" i="1"/>
  <c r="U413" i="1"/>
  <c r="BD413" i="1"/>
  <c r="CE413" i="1"/>
  <c r="A414" i="1"/>
  <c r="C414" i="1"/>
  <c r="S414" i="1"/>
  <c r="T414" i="1"/>
  <c r="U414" i="1"/>
  <c r="BD414" i="1"/>
  <c r="CE414" i="1"/>
  <c r="A415" i="1"/>
  <c r="C415" i="1"/>
  <c r="S415" i="1"/>
  <c r="T415" i="1"/>
  <c r="U415" i="1"/>
  <c r="BD415" i="1"/>
  <c r="CE415" i="1"/>
  <c r="A416" i="1"/>
  <c r="C416" i="1"/>
  <c r="S416" i="1"/>
  <c r="T416" i="1"/>
  <c r="U416" i="1"/>
  <c r="BD416" i="1"/>
  <c r="CE416" i="1"/>
  <c r="A417" i="1"/>
  <c r="C417" i="1"/>
  <c r="S417" i="1"/>
  <c r="T417" i="1"/>
  <c r="U417" i="1"/>
  <c r="BD417" i="1"/>
  <c r="CE417" i="1"/>
  <c r="A418" i="1"/>
  <c r="C418" i="1"/>
  <c r="S418" i="1"/>
  <c r="T418" i="1"/>
  <c r="U418" i="1"/>
  <c r="BD418" i="1"/>
  <c r="CE418" i="1"/>
  <c r="A419" i="1"/>
  <c r="C419" i="1"/>
  <c r="S419" i="1"/>
  <c r="T419" i="1"/>
  <c r="U419" i="1"/>
  <c r="BD419" i="1"/>
  <c r="CE419" i="1"/>
  <c r="A420" i="1"/>
  <c r="C420" i="1"/>
  <c r="S420" i="1"/>
  <c r="T420" i="1"/>
  <c r="U420" i="1"/>
  <c r="BD420" i="1"/>
  <c r="CE420" i="1"/>
  <c r="A421" i="1"/>
  <c r="C421" i="1"/>
  <c r="S421" i="1"/>
  <c r="T421" i="1"/>
  <c r="U421" i="1"/>
  <c r="BD421" i="1"/>
  <c r="CE421" i="1"/>
  <c r="A422" i="1"/>
  <c r="C422" i="1"/>
  <c r="S422" i="1"/>
  <c r="T422" i="1"/>
  <c r="U422" i="1"/>
  <c r="BD422" i="1"/>
  <c r="CE422" i="1"/>
  <c r="A423" i="1"/>
  <c r="C423" i="1"/>
  <c r="S423" i="1"/>
  <c r="T423" i="1"/>
  <c r="U423" i="1"/>
  <c r="BD423" i="1"/>
  <c r="CE423" i="1"/>
  <c r="A424" i="1"/>
  <c r="C424" i="1"/>
  <c r="S424" i="1"/>
  <c r="T424" i="1"/>
  <c r="U424" i="1"/>
  <c r="BD424" i="1"/>
  <c r="CE424" i="1"/>
  <c r="A425" i="1"/>
  <c r="C425" i="1"/>
  <c r="S425" i="1"/>
  <c r="T425" i="1"/>
  <c r="U425" i="1"/>
  <c r="BD425" i="1"/>
  <c r="CE425" i="1"/>
  <c r="A426" i="1"/>
  <c r="C426" i="1"/>
  <c r="S426" i="1"/>
  <c r="T426" i="1"/>
  <c r="U426" i="1"/>
  <c r="BD426" i="1"/>
  <c r="CE426" i="1"/>
  <c r="A427" i="1"/>
  <c r="C427" i="1"/>
  <c r="S427" i="1"/>
  <c r="T427" i="1"/>
  <c r="U427" i="1"/>
  <c r="BD427" i="1"/>
  <c r="CE427" i="1"/>
  <c r="A428" i="1"/>
  <c r="C428" i="1"/>
  <c r="S428" i="1"/>
  <c r="T428" i="1"/>
  <c r="U428" i="1"/>
  <c r="BD428" i="1"/>
  <c r="CE428" i="1"/>
  <c r="A429" i="1"/>
  <c r="C429" i="1"/>
  <c r="S429" i="1"/>
  <c r="T429" i="1"/>
  <c r="U429" i="1"/>
  <c r="BD429" i="1"/>
  <c r="CE429" i="1"/>
  <c r="A430" i="1"/>
  <c r="C430" i="1"/>
  <c r="S430" i="1"/>
  <c r="T430" i="1"/>
  <c r="U430" i="1"/>
  <c r="BD430" i="1"/>
  <c r="CE430" i="1"/>
  <c r="A431" i="1"/>
  <c r="C431" i="1"/>
  <c r="S431" i="1"/>
  <c r="T431" i="1"/>
  <c r="U431" i="1"/>
  <c r="BD431" i="1"/>
  <c r="CE431" i="1"/>
  <c r="A432" i="1"/>
  <c r="C432" i="1"/>
  <c r="S432" i="1"/>
  <c r="T432" i="1"/>
  <c r="U432" i="1"/>
  <c r="BD432" i="1"/>
  <c r="CE432" i="1"/>
  <c r="A433" i="1"/>
  <c r="C433" i="1"/>
  <c r="S433" i="1"/>
  <c r="T433" i="1"/>
  <c r="U433" i="1"/>
  <c r="BD433" i="1"/>
  <c r="CE433" i="1"/>
  <c r="A434" i="1"/>
  <c r="C434" i="1"/>
  <c r="S434" i="1"/>
  <c r="T434" i="1"/>
  <c r="U434" i="1"/>
  <c r="BD434" i="1"/>
  <c r="CE434" i="1"/>
  <c r="A435" i="1"/>
  <c r="C435" i="1"/>
  <c r="S435" i="1"/>
  <c r="T435" i="1"/>
  <c r="U435" i="1"/>
  <c r="BD435" i="1"/>
  <c r="CE435" i="1"/>
  <c r="A436" i="1"/>
  <c r="C436" i="1"/>
  <c r="S436" i="1"/>
  <c r="T436" i="1"/>
  <c r="U436" i="1"/>
  <c r="BD436" i="1"/>
  <c r="CE436" i="1"/>
  <c r="A437" i="1"/>
  <c r="C437" i="1"/>
  <c r="S437" i="1"/>
  <c r="T437" i="1"/>
  <c r="U437" i="1"/>
  <c r="BD437" i="1"/>
  <c r="CE437" i="1"/>
  <c r="A438" i="1"/>
  <c r="C438" i="1"/>
  <c r="S438" i="1"/>
  <c r="T438" i="1"/>
  <c r="U438" i="1"/>
  <c r="BD438" i="1"/>
  <c r="CE438" i="1"/>
  <c r="A439" i="1"/>
  <c r="C439" i="1"/>
  <c r="S439" i="1"/>
  <c r="T439" i="1"/>
  <c r="U439" i="1"/>
  <c r="BD439" i="1"/>
  <c r="CE439" i="1"/>
  <c r="A440" i="1"/>
  <c r="C440" i="1"/>
  <c r="S440" i="1"/>
  <c r="T440" i="1"/>
  <c r="U440" i="1"/>
  <c r="BD440" i="1"/>
  <c r="CE440" i="1"/>
  <c r="A441" i="1"/>
  <c r="C441" i="1"/>
  <c r="S441" i="1"/>
  <c r="T441" i="1"/>
  <c r="U441" i="1"/>
  <c r="BD441" i="1"/>
  <c r="CE441" i="1"/>
  <c r="A442" i="1"/>
  <c r="C442" i="1"/>
  <c r="S442" i="1"/>
  <c r="T442" i="1"/>
  <c r="U442" i="1"/>
  <c r="BD442" i="1"/>
  <c r="CE442" i="1"/>
  <c r="A443" i="1"/>
  <c r="C443" i="1"/>
  <c r="S443" i="1"/>
  <c r="T443" i="1"/>
  <c r="U443" i="1"/>
  <c r="BD443" i="1"/>
  <c r="CE443" i="1"/>
  <c r="A444" i="1"/>
  <c r="C444" i="1"/>
  <c r="S444" i="1"/>
  <c r="T444" i="1"/>
  <c r="U444" i="1"/>
  <c r="BD444" i="1"/>
  <c r="CE444" i="1"/>
  <c r="A445" i="1"/>
  <c r="C445" i="1"/>
  <c r="S445" i="1"/>
  <c r="T445" i="1"/>
  <c r="U445" i="1"/>
  <c r="BD445" i="1"/>
  <c r="CE445" i="1"/>
  <c r="A446" i="1"/>
  <c r="C446" i="1"/>
  <c r="S446" i="1"/>
  <c r="T446" i="1"/>
  <c r="U446" i="1"/>
  <c r="BD446" i="1"/>
  <c r="CE446" i="1"/>
  <c r="A447" i="1"/>
  <c r="C447" i="1"/>
  <c r="S447" i="1"/>
  <c r="T447" i="1"/>
  <c r="U447" i="1"/>
  <c r="BD447" i="1"/>
  <c r="CE447" i="1"/>
  <c r="A448" i="1"/>
  <c r="C448" i="1"/>
  <c r="S448" i="1"/>
  <c r="T448" i="1"/>
  <c r="U448" i="1"/>
  <c r="BD448" i="1"/>
  <c r="CE448" i="1"/>
  <c r="A449" i="1"/>
  <c r="C449" i="1"/>
  <c r="S449" i="1"/>
  <c r="T449" i="1"/>
  <c r="U449" i="1"/>
  <c r="BD449" i="1"/>
  <c r="CE449" i="1"/>
  <c r="A450" i="1"/>
  <c r="C450" i="1"/>
  <c r="S450" i="1"/>
  <c r="T450" i="1"/>
  <c r="U450" i="1"/>
  <c r="BD450" i="1"/>
  <c r="CE450" i="1"/>
  <c r="A451" i="1"/>
  <c r="C451" i="1"/>
  <c r="S451" i="1"/>
  <c r="T451" i="1"/>
  <c r="U451" i="1"/>
  <c r="BD451" i="1"/>
  <c r="CE451" i="1"/>
  <c r="A452" i="1"/>
  <c r="C452" i="1"/>
  <c r="S452" i="1"/>
  <c r="T452" i="1"/>
  <c r="U452" i="1"/>
  <c r="BD452" i="1"/>
  <c r="CE452" i="1"/>
  <c r="A453" i="1"/>
  <c r="C453" i="1"/>
  <c r="S453" i="1"/>
  <c r="T453" i="1"/>
  <c r="U453" i="1"/>
  <c r="BD453" i="1"/>
  <c r="CE453" i="1"/>
  <c r="A454" i="1"/>
  <c r="C454" i="1"/>
  <c r="S454" i="1"/>
  <c r="T454" i="1"/>
  <c r="U454" i="1"/>
  <c r="BD454" i="1"/>
  <c r="CE454" i="1"/>
  <c r="A455" i="1"/>
  <c r="C455" i="1"/>
  <c r="S455" i="1"/>
  <c r="T455" i="1"/>
  <c r="U455" i="1"/>
  <c r="BD455" i="1"/>
  <c r="CE455" i="1"/>
  <c r="A456" i="1"/>
  <c r="C456" i="1"/>
  <c r="S456" i="1"/>
  <c r="T456" i="1"/>
  <c r="U456" i="1"/>
  <c r="BD456" i="1"/>
  <c r="CE456" i="1"/>
  <c r="A457" i="1"/>
  <c r="C457" i="1"/>
  <c r="S457" i="1"/>
  <c r="T457" i="1"/>
  <c r="U457" i="1"/>
  <c r="BD457" i="1"/>
  <c r="CE457" i="1"/>
  <c r="A458" i="1"/>
  <c r="C458" i="1"/>
  <c r="S458" i="1"/>
  <c r="T458" i="1"/>
  <c r="U458" i="1"/>
  <c r="BD458" i="1"/>
  <c r="CE458" i="1"/>
  <c r="A459" i="1"/>
  <c r="C459" i="1"/>
  <c r="S459" i="1"/>
  <c r="T459" i="1"/>
  <c r="U459" i="1"/>
  <c r="BD459" i="1"/>
  <c r="CE459" i="1"/>
  <c r="A460" i="1"/>
  <c r="C460" i="1"/>
  <c r="S460" i="1"/>
  <c r="T460" i="1"/>
  <c r="U460" i="1"/>
  <c r="BD460" i="1"/>
  <c r="CE460" i="1"/>
  <c r="A461" i="1"/>
  <c r="C461" i="1"/>
  <c r="S461" i="1"/>
  <c r="T461" i="1"/>
  <c r="U461" i="1"/>
  <c r="BD461" i="1"/>
  <c r="CE461" i="1"/>
  <c r="A462" i="1"/>
  <c r="C462" i="1"/>
  <c r="S462" i="1"/>
  <c r="T462" i="1"/>
  <c r="U462" i="1"/>
  <c r="BD462" i="1"/>
  <c r="CE462" i="1"/>
  <c r="A463" i="1"/>
  <c r="C463" i="1"/>
  <c r="S463" i="1"/>
  <c r="T463" i="1"/>
  <c r="U463" i="1"/>
  <c r="BD463" i="1"/>
  <c r="CE463" i="1"/>
  <c r="A464" i="1"/>
  <c r="C464" i="1"/>
  <c r="S464" i="1"/>
  <c r="T464" i="1"/>
  <c r="U464" i="1"/>
  <c r="BD464" i="1"/>
  <c r="CE464" i="1"/>
  <c r="A465" i="1"/>
  <c r="C465" i="1"/>
  <c r="S465" i="1"/>
  <c r="T465" i="1"/>
  <c r="U465" i="1"/>
  <c r="BD465" i="1"/>
  <c r="CE465" i="1"/>
  <c r="A466" i="1"/>
  <c r="C466" i="1"/>
  <c r="S466" i="1"/>
  <c r="T466" i="1"/>
  <c r="U466" i="1"/>
  <c r="BD466" i="1"/>
  <c r="CE466" i="1"/>
  <c r="A467" i="1"/>
  <c r="C467" i="1"/>
  <c r="S467" i="1"/>
  <c r="T467" i="1"/>
  <c r="U467" i="1"/>
  <c r="BD467" i="1"/>
  <c r="CE467" i="1"/>
  <c r="A468" i="1"/>
  <c r="C468" i="1"/>
  <c r="S468" i="1"/>
  <c r="T468" i="1"/>
  <c r="U468" i="1"/>
  <c r="BD468" i="1"/>
  <c r="CE468" i="1"/>
  <c r="A469" i="1"/>
  <c r="C469" i="1"/>
  <c r="S469" i="1"/>
  <c r="T469" i="1"/>
  <c r="U469" i="1"/>
  <c r="BD469" i="1"/>
  <c r="CE469" i="1"/>
  <c r="A470" i="1"/>
  <c r="C470" i="1"/>
  <c r="S470" i="1"/>
  <c r="T470" i="1"/>
  <c r="U470" i="1"/>
  <c r="BD470" i="1"/>
  <c r="CE470" i="1"/>
  <c r="A471" i="1"/>
  <c r="C471" i="1"/>
  <c r="S471" i="1"/>
  <c r="T471" i="1"/>
  <c r="U471" i="1"/>
  <c r="BD471" i="1"/>
  <c r="CE471" i="1"/>
  <c r="A472" i="1"/>
  <c r="C472" i="1"/>
  <c r="S472" i="1"/>
  <c r="T472" i="1"/>
  <c r="U472" i="1"/>
  <c r="BD472" i="1"/>
  <c r="CE472" i="1"/>
  <c r="A473" i="1"/>
  <c r="C473" i="1"/>
  <c r="S473" i="1"/>
  <c r="T473" i="1"/>
  <c r="U473" i="1"/>
  <c r="BD473" i="1"/>
  <c r="CE473" i="1"/>
  <c r="A474" i="1"/>
  <c r="C474" i="1"/>
  <c r="S474" i="1"/>
  <c r="T474" i="1"/>
  <c r="U474" i="1"/>
  <c r="BD474" i="1"/>
  <c r="CE474" i="1"/>
  <c r="A475" i="1"/>
  <c r="C475" i="1"/>
  <c r="S475" i="1"/>
  <c r="T475" i="1"/>
  <c r="U475" i="1"/>
  <c r="BD475" i="1"/>
  <c r="CE475" i="1"/>
  <c r="A476" i="1"/>
  <c r="C476" i="1"/>
  <c r="S476" i="1"/>
  <c r="T476" i="1"/>
  <c r="U476" i="1"/>
  <c r="BD476" i="1"/>
  <c r="CE476" i="1"/>
  <c r="A477" i="1"/>
  <c r="C477" i="1"/>
  <c r="S477" i="1"/>
  <c r="T477" i="1"/>
  <c r="U477" i="1"/>
  <c r="BD477" i="1"/>
  <c r="CE477" i="1"/>
  <c r="A478" i="1"/>
  <c r="C478" i="1"/>
  <c r="S478" i="1"/>
  <c r="T478" i="1"/>
  <c r="U478" i="1"/>
  <c r="BD478" i="1"/>
  <c r="CE478" i="1"/>
  <c r="A479" i="1"/>
  <c r="C479" i="1"/>
  <c r="S479" i="1"/>
  <c r="T479" i="1"/>
  <c r="U479" i="1"/>
  <c r="BD479" i="1"/>
  <c r="CE479" i="1"/>
  <c r="A480" i="1"/>
  <c r="C480" i="1"/>
  <c r="S480" i="1"/>
  <c r="T480" i="1"/>
  <c r="U480" i="1"/>
  <c r="BD480" i="1"/>
  <c r="CE480" i="1"/>
  <c r="A481" i="1"/>
  <c r="C481" i="1"/>
  <c r="S481" i="1"/>
  <c r="T481" i="1"/>
  <c r="U481" i="1"/>
  <c r="BD481" i="1"/>
  <c r="CE481" i="1"/>
  <c r="A482" i="1"/>
  <c r="C482" i="1"/>
  <c r="S482" i="1"/>
  <c r="T482" i="1"/>
  <c r="U482" i="1"/>
  <c r="BD482" i="1"/>
  <c r="CE482" i="1"/>
  <c r="A483" i="1"/>
  <c r="C483" i="1"/>
  <c r="S483" i="1"/>
  <c r="T483" i="1"/>
  <c r="U483" i="1"/>
  <c r="BD483" i="1"/>
  <c r="CE483" i="1"/>
  <c r="A484" i="1"/>
  <c r="C484" i="1"/>
  <c r="S484" i="1"/>
  <c r="T484" i="1"/>
  <c r="U484" i="1"/>
  <c r="BD484" i="1"/>
  <c r="CE484" i="1"/>
  <c r="A485" i="1"/>
  <c r="C485" i="1"/>
  <c r="S485" i="1"/>
  <c r="T485" i="1"/>
  <c r="U485" i="1"/>
  <c r="BD485" i="1"/>
  <c r="CE485" i="1"/>
  <c r="A486" i="1"/>
  <c r="C486" i="1"/>
  <c r="S486" i="1"/>
  <c r="T486" i="1"/>
  <c r="U486" i="1"/>
  <c r="BD486" i="1"/>
  <c r="CE486" i="1"/>
  <c r="A487" i="1"/>
  <c r="C487" i="1"/>
  <c r="S487" i="1"/>
  <c r="T487" i="1"/>
  <c r="U487" i="1"/>
  <c r="BD487" i="1"/>
  <c r="CE487" i="1"/>
  <c r="A488" i="1"/>
  <c r="C488" i="1"/>
  <c r="S488" i="1"/>
  <c r="T488" i="1"/>
  <c r="U488" i="1"/>
  <c r="BD488" i="1"/>
  <c r="CE488" i="1"/>
  <c r="A489" i="1"/>
  <c r="C489" i="1"/>
  <c r="S489" i="1"/>
  <c r="T489" i="1"/>
  <c r="U489" i="1"/>
  <c r="BD489" i="1"/>
  <c r="CE489" i="1"/>
  <c r="A490" i="1"/>
  <c r="C490" i="1"/>
  <c r="S490" i="1"/>
  <c r="T490" i="1"/>
  <c r="U490" i="1"/>
  <c r="BD490" i="1"/>
  <c r="CE490" i="1"/>
  <c r="A491" i="1"/>
  <c r="C491" i="1"/>
  <c r="S491" i="1"/>
  <c r="T491" i="1"/>
  <c r="U491" i="1"/>
  <c r="BD491" i="1"/>
  <c r="CE491" i="1"/>
  <c r="A492" i="1"/>
  <c r="C492" i="1"/>
  <c r="S492" i="1"/>
  <c r="T492" i="1"/>
  <c r="U492" i="1"/>
  <c r="BD492" i="1"/>
  <c r="CE492" i="1"/>
  <c r="A493" i="1"/>
  <c r="C493" i="1"/>
  <c r="S493" i="1"/>
  <c r="T493" i="1"/>
  <c r="U493" i="1"/>
  <c r="BD493" i="1"/>
  <c r="CE493" i="1"/>
  <c r="A494" i="1"/>
  <c r="C494" i="1"/>
  <c r="S494" i="1"/>
  <c r="T494" i="1"/>
  <c r="U494" i="1"/>
  <c r="BD494" i="1"/>
  <c r="CE494" i="1"/>
  <c r="A495" i="1"/>
  <c r="C495" i="1"/>
  <c r="S495" i="1"/>
  <c r="T495" i="1"/>
  <c r="U495" i="1"/>
  <c r="BD495" i="1"/>
  <c r="CE495" i="1"/>
  <c r="A496" i="1"/>
  <c r="C496" i="1"/>
  <c r="S496" i="1"/>
  <c r="T496" i="1"/>
  <c r="U496" i="1"/>
  <c r="BD496" i="1"/>
  <c r="CE496" i="1"/>
  <c r="A497" i="1"/>
  <c r="C497" i="1"/>
  <c r="S497" i="1"/>
  <c r="T497" i="1"/>
  <c r="U497" i="1"/>
  <c r="BD497" i="1"/>
  <c r="CE497" i="1"/>
  <c r="A498" i="1"/>
  <c r="C498" i="1"/>
  <c r="S498" i="1"/>
  <c r="T498" i="1"/>
  <c r="U498" i="1"/>
  <c r="BD498" i="1"/>
  <c r="CE498" i="1"/>
  <c r="A499" i="1"/>
  <c r="C499" i="1"/>
  <c r="S499" i="1"/>
  <c r="T499" i="1"/>
  <c r="U499" i="1"/>
  <c r="BD499" i="1"/>
  <c r="CE499" i="1"/>
  <c r="A500" i="1"/>
  <c r="C500" i="1"/>
  <c r="S500" i="1"/>
  <c r="T500" i="1"/>
  <c r="U500" i="1"/>
  <c r="BD500" i="1"/>
  <c r="CE500" i="1"/>
  <c r="A501" i="1"/>
  <c r="C501" i="1"/>
  <c r="S501" i="1"/>
  <c r="T501" i="1"/>
  <c r="U501" i="1"/>
  <c r="BD501" i="1"/>
  <c r="CE501" i="1"/>
  <c r="A502" i="1"/>
  <c r="C502" i="1"/>
  <c r="S502" i="1"/>
  <c r="T502" i="1"/>
  <c r="U502" i="1"/>
  <c r="BD502" i="1"/>
  <c r="CE502" i="1"/>
  <c r="A503" i="1"/>
  <c r="C503" i="1"/>
  <c r="S503" i="1"/>
  <c r="T503" i="1"/>
  <c r="U503" i="1"/>
  <c r="BD503" i="1"/>
  <c r="CE503" i="1"/>
  <c r="A504" i="1"/>
  <c r="C504" i="1"/>
  <c r="S504" i="1"/>
  <c r="T504" i="1"/>
  <c r="U504" i="1"/>
  <c r="BD504" i="1"/>
  <c r="CE504" i="1"/>
  <c r="A505" i="1"/>
  <c r="C505" i="1"/>
  <c r="S505" i="1"/>
  <c r="T505" i="1"/>
  <c r="U505" i="1"/>
  <c r="BD505" i="1"/>
  <c r="CE505" i="1"/>
  <c r="A506" i="1"/>
  <c r="C506" i="1"/>
  <c r="S506" i="1"/>
  <c r="T506" i="1"/>
  <c r="U506" i="1"/>
  <c r="BD506" i="1"/>
  <c r="CE506" i="1"/>
  <c r="A507" i="1"/>
  <c r="C507" i="1"/>
  <c r="S507" i="1"/>
  <c r="T507" i="1"/>
  <c r="U507" i="1"/>
  <c r="BD507" i="1"/>
  <c r="CE507" i="1"/>
  <c r="A508" i="1"/>
  <c r="C508" i="1"/>
  <c r="S508" i="1"/>
  <c r="T508" i="1"/>
  <c r="U508" i="1"/>
  <c r="BD508" i="1"/>
  <c r="CE508" i="1"/>
  <c r="A509" i="1"/>
  <c r="C509" i="1"/>
  <c r="S509" i="1"/>
  <c r="T509" i="1"/>
  <c r="U509" i="1"/>
  <c r="BD509" i="1"/>
  <c r="CE509" i="1"/>
  <c r="A510" i="1"/>
  <c r="C510" i="1"/>
  <c r="S510" i="1"/>
  <c r="T510" i="1"/>
  <c r="U510" i="1"/>
  <c r="BD510" i="1"/>
  <c r="CE510" i="1"/>
  <c r="A511" i="1"/>
  <c r="C511" i="1"/>
  <c r="S511" i="1"/>
  <c r="T511" i="1"/>
  <c r="U511" i="1"/>
  <c r="BD511" i="1"/>
  <c r="CE511" i="1"/>
  <c r="A512" i="1"/>
  <c r="C512" i="1"/>
  <c r="S512" i="1"/>
  <c r="T512" i="1"/>
  <c r="U512" i="1"/>
  <c r="BD512" i="1"/>
  <c r="CE512" i="1"/>
  <c r="A513" i="1"/>
  <c r="C513" i="1"/>
  <c r="S513" i="1"/>
  <c r="T513" i="1"/>
  <c r="U513" i="1"/>
  <c r="BD513" i="1"/>
  <c r="CE513" i="1"/>
  <c r="A514" i="1"/>
  <c r="C514" i="1"/>
  <c r="S514" i="1"/>
  <c r="T514" i="1"/>
  <c r="U514" i="1"/>
  <c r="BD514" i="1"/>
  <c r="CE514" i="1"/>
  <c r="A515" i="1"/>
  <c r="C515" i="1"/>
  <c r="S515" i="1"/>
  <c r="T515" i="1"/>
  <c r="U515" i="1"/>
  <c r="BD515" i="1"/>
  <c r="CE515" i="1"/>
  <c r="A516" i="1"/>
  <c r="C516" i="1"/>
  <c r="S516" i="1"/>
  <c r="T516" i="1"/>
  <c r="U516" i="1"/>
  <c r="BD516" i="1"/>
  <c r="CE516" i="1"/>
  <c r="A517" i="1"/>
  <c r="C517" i="1"/>
  <c r="S517" i="1"/>
  <c r="T517" i="1"/>
  <c r="U517" i="1"/>
  <c r="BD517" i="1"/>
  <c r="CE517" i="1"/>
  <c r="A518" i="1"/>
  <c r="C518" i="1"/>
  <c r="S518" i="1"/>
  <c r="T518" i="1"/>
  <c r="U518" i="1"/>
  <c r="BD518" i="1"/>
  <c r="CE518" i="1"/>
  <c r="A519" i="1"/>
  <c r="C519" i="1"/>
  <c r="S519" i="1"/>
  <c r="T519" i="1"/>
  <c r="U519" i="1"/>
  <c r="BD519" i="1"/>
  <c r="CE519" i="1"/>
  <c r="A520" i="1"/>
  <c r="C520" i="1"/>
  <c r="S520" i="1"/>
  <c r="T520" i="1"/>
  <c r="U520" i="1"/>
  <c r="BD520" i="1"/>
  <c r="CE520" i="1"/>
  <c r="A521" i="1"/>
  <c r="C521" i="1"/>
  <c r="S521" i="1"/>
  <c r="T521" i="1"/>
  <c r="U521" i="1"/>
  <c r="BD521" i="1"/>
  <c r="CE521" i="1"/>
  <c r="A522" i="1"/>
  <c r="C522" i="1"/>
  <c r="S522" i="1"/>
  <c r="T522" i="1"/>
  <c r="U522" i="1"/>
  <c r="BD522" i="1"/>
  <c r="CE522" i="1"/>
  <c r="A523" i="1"/>
  <c r="C523" i="1"/>
  <c r="S523" i="1"/>
  <c r="T523" i="1"/>
  <c r="U523" i="1"/>
  <c r="BD523" i="1"/>
  <c r="CE523" i="1"/>
  <c r="A524" i="1"/>
  <c r="C524" i="1"/>
  <c r="S524" i="1"/>
  <c r="T524" i="1"/>
  <c r="U524" i="1"/>
  <c r="BD524" i="1"/>
  <c r="CE524" i="1"/>
  <c r="A525" i="1"/>
  <c r="C525" i="1"/>
  <c r="S525" i="1"/>
  <c r="T525" i="1"/>
  <c r="U525" i="1"/>
  <c r="BD525" i="1"/>
  <c r="CE525" i="1"/>
  <c r="A526" i="1"/>
  <c r="C526" i="1"/>
  <c r="S526" i="1"/>
  <c r="T526" i="1"/>
  <c r="U526" i="1"/>
  <c r="BD526" i="1"/>
  <c r="CE526" i="1"/>
  <c r="A527" i="1"/>
  <c r="C527" i="1"/>
  <c r="S527" i="1"/>
  <c r="T527" i="1"/>
  <c r="U527" i="1"/>
  <c r="BD527" i="1"/>
  <c r="CE527" i="1"/>
  <c r="A528" i="1"/>
  <c r="C528" i="1"/>
  <c r="S528" i="1"/>
  <c r="T528" i="1"/>
  <c r="U528" i="1"/>
  <c r="BD528" i="1"/>
  <c r="CE528" i="1"/>
  <c r="A529" i="1"/>
  <c r="C529" i="1"/>
  <c r="S529" i="1"/>
  <c r="T529" i="1"/>
  <c r="U529" i="1"/>
  <c r="BD529" i="1"/>
  <c r="CE529" i="1"/>
  <c r="A530" i="1"/>
  <c r="C530" i="1"/>
  <c r="S530" i="1"/>
  <c r="T530" i="1"/>
  <c r="U530" i="1"/>
  <c r="BD530" i="1"/>
  <c r="CE530" i="1"/>
  <c r="A531" i="1"/>
  <c r="C531" i="1"/>
  <c r="S531" i="1"/>
  <c r="T531" i="1"/>
  <c r="U531" i="1"/>
  <c r="BD531" i="1"/>
  <c r="CE531" i="1"/>
  <c r="A532" i="1"/>
  <c r="C532" i="1"/>
  <c r="S532" i="1"/>
  <c r="T532" i="1"/>
  <c r="U532" i="1"/>
  <c r="BD532" i="1"/>
  <c r="CE532" i="1"/>
  <c r="A533" i="1"/>
  <c r="C533" i="1"/>
  <c r="S533" i="1"/>
  <c r="T533" i="1"/>
  <c r="U533" i="1"/>
  <c r="BD533" i="1"/>
  <c r="CE533" i="1"/>
  <c r="A534" i="1"/>
  <c r="C534" i="1"/>
  <c r="S534" i="1"/>
  <c r="T534" i="1"/>
  <c r="U534" i="1"/>
  <c r="BD534" i="1"/>
  <c r="CE534" i="1"/>
  <c r="A535" i="1"/>
  <c r="C535" i="1"/>
  <c r="S535" i="1"/>
  <c r="T535" i="1"/>
  <c r="U535" i="1"/>
  <c r="BD535" i="1"/>
  <c r="CE535" i="1"/>
  <c r="A536" i="1"/>
  <c r="C536" i="1"/>
  <c r="S536" i="1"/>
  <c r="T536" i="1"/>
  <c r="U536" i="1"/>
  <c r="BD536" i="1"/>
  <c r="CE536" i="1"/>
  <c r="A537" i="1"/>
  <c r="C537" i="1"/>
  <c r="S537" i="1"/>
  <c r="T537" i="1"/>
  <c r="U537" i="1"/>
  <c r="BD537" i="1"/>
  <c r="CE537" i="1"/>
  <c r="A538" i="1"/>
  <c r="C538" i="1"/>
  <c r="S538" i="1"/>
  <c r="T538" i="1"/>
  <c r="U538" i="1"/>
  <c r="BD538" i="1"/>
  <c r="CE538" i="1"/>
  <c r="A539" i="1"/>
  <c r="C539" i="1"/>
  <c r="S539" i="1"/>
  <c r="T539" i="1"/>
  <c r="U539" i="1"/>
  <c r="BD539" i="1"/>
  <c r="CE539" i="1"/>
  <c r="A540" i="1"/>
  <c r="C540" i="1"/>
  <c r="S540" i="1"/>
  <c r="T540" i="1"/>
  <c r="U540" i="1"/>
  <c r="BD540" i="1"/>
  <c r="CE540" i="1"/>
  <c r="A541" i="1"/>
  <c r="C541" i="1"/>
  <c r="S541" i="1"/>
  <c r="T541" i="1"/>
  <c r="U541" i="1"/>
  <c r="BD541" i="1"/>
  <c r="CE541" i="1"/>
  <c r="A542" i="1"/>
  <c r="C542" i="1"/>
  <c r="S542" i="1"/>
  <c r="T542" i="1"/>
  <c r="U542" i="1"/>
  <c r="BD542" i="1"/>
  <c r="CE542" i="1"/>
  <c r="A543" i="1"/>
  <c r="C543" i="1"/>
  <c r="S543" i="1"/>
  <c r="T543" i="1"/>
  <c r="U543" i="1"/>
  <c r="BD543" i="1"/>
  <c r="CE543" i="1"/>
  <c r="A544" i="1"/>
  <c r="C544" i="1"/>
  <c r="S544" i="1"/>
  <c r="T544" i="1"/>
  <c r="U544" i="1"/>
  <c r="BD544" i="1"/>
  <c r="CE544" i="1"/>
  <c r="A545" i="1"/>
  <c r="C545" i="1"/>
  <c r="S545" i="1"/>
  <c r="T545" i="1"/>
  <c r="U545" i="1"/>
  <c r="BD545" i="1"/>
  <c r="CE545" i="1"/>
  <c r="A546" i="1"/>
  <c r="C546" i="1"/>
  <c r="S546" i="1"/>
  <c r="T546" i="1"/>
  <c r="U546" i="1"/>
  <c r="BD546" i="1"/>
  <c r="CE546" i="1"/>
  <c r="A547" i="1"/>
  <c r="C547" i="1"/>
  <c r="S547" i="1"/>
  <c r="T547" i="1"/>
  <c r="U547" i="1"/>
  <c r="BD547" i="1"/>
  <c r="CE547" i="1"/>
  <c r="A548" i="1"/>
  <c r="C548" i="1"/>
  <c r="S548" i="1"/>
  <c r="T548" i="1"/>
  <c r="U548" i="1"/>
  <c r="BD548" i="1"/>
  <c r="CE548" i="1"/>
  <c r="A549" i="1"/>
  <c r="C549" i="1"/>
  <c r="S549" i="1"/>
  <c r="T549" i="1"/>
  <c r="U549" i="1"/>
  <c r="BD549" i="1"/>
  <c r="CE549" i="1"/>
  <c r="A550" i="1"/>
  <c r="C550" i="1"/>
  <c r="S550" i="1"/>
  <c r="T550" i="1"/>
  <c r="U550" i="1"/>
  <c r="BD550" i="1"/>
  <c r="CE550" i="1"/>
  <c r="A551" i="1"/>
  <c r="C551" i="1"/>
  <c r="S551" i="1"/>
  <c r="T551" i="1"/>
  <c r="U551" i="1"/>
  <c r="BD551" i="1"/>
  <c r="CE551" i="1"/>
  <c r="A552" i="1"/>
  <c r="C552" i="1"/>
  <c r="S552" i="1"/>
  <c r="T552" i="1"/>
  <c r="U552" i="1"/>
  <c r="BD552" i="1"/>
  <c r="CE552" i="1"/>
  <c r="A553" i="1"/>
  <c r="C553" i="1"/>
  <c r="S553" i="1"/>
  <c r="T553" i="1"/>
  <c r="U553" i="1"/>
  <c r="BD553" i="1"/>
  <c r="CE553" i="1"/>
  <c r="A554" i="1"/>
  <c r="C554" i="1"/>
  <c r="S554" i="1"/>
  <c r="T554" i="1"/>
  <c r="U554" i="1"/>
  <c r="BD554" i="1"/>
  <c r="CE554" i="1"/>
  <c r="A555" i="1"/>
  <c r="C555" i="1"/>
  <c r="S555" i="1"/>
  <c r="T555" i="1"/>
  <c r="U555" i="1"/>
  <c r="BD555" i="1"/>
  <c r="CE555" i="1"/>
  <c r="A556" i="1"/>
  <c r="C556" i="1"/>
  <c r="S556" i="1"/>
  <c r="T556" i="1"/>
  <c r="U556" i="1"/>
  <c r="BD556" i="1"/>
  <c r="CE556" i="1"/>
  <c r="A557" i="1"/>
  <c r="C557" i="1"/>
  <c r="S557" i="1"/>
  <c r="T557" i="1"/>
  <c r="U557" i="1"/>
  <c r="BD557" i="1"/>
  <c r="CE557" i="1"/>
  <c r="A558" i="1"/>
  <c r="C558" i="1"/>
  <c r="S558" i="1"/>
  <c r="T558" i="1"/>
  <c r="U558" i="1"/>
  <c r="BD558" i="1"/>
  <c r="CE558" i="1"/>
  <c r="A559" i="1"/>
  <c r="C559" i="1"/>
  <c r="S559" i="1"/>
  <c r="T559" i="1"/>
  <c r="U559" i="1"/>
  <c r="BD559" i="1"/>
  <c r="CE559" i="1"/>
  <c r="A560" i="1"/>
  <c r="C560" i="1"/>
  <c r="S560" i="1"/>
  <c r="T560" i="1"/>
  <c r="U560" i="1"/>
  <c r="BD560" i="1"/>
  <c r="CE560" i="1"/>
  <c r="A561" i="1"/>
  <c r="C561" i="1"/>
  <c r="S561" i="1"/>
  <c r="T561" i="1"/>
  <c r="U561" i="1"/>
  <c r="BD561" i="1"/>
  <c r="CE561" i="1"/>
  <c r="A562" i="1"/>
  <c r="C562" i="1"/>
  <c r="S562" i="1"/>
  <c r="T562" i="1"/>
  <c r="U562" i="1"/>
  <c r="BD562" i="1"/>
  <c r="CE562" i="1"/>
  <c r="A563" i="1"/>
  <c r="C563" i="1"/>
  <c r="S563" i="1"/>
  <c r="T563" i="1"/>
  <c r="U563" i="1"/>
  <c r="BD563" i="1"/>
  <c r="CE563" i="1"/>
  <c r="A564" i="1"/>
  <c r="C564" i="1"/>
  <c r="S564" i="1"/>
  <c r="T564" i="1"/>
  <c r="U564" i="1"/>
  <c r="BD564" i="1"/>
  <c r="CE564" i="1"/>
  <c r="A565" i="1"/>
  <c r="C565" i="1"/>
  <c r="S565" i="1"/>
  <c r="T565" i="1"/>
  <c r="U565" i="1"/>
  <c r="BD565" i="1"/>
  <c r="CE565" i="1"/>
  <c r="A566" i="1"/>
  <c r="C566" i="1"/>
  <c r="S566" i="1"/>
  <c r="T566" i="1"/>
  <c r="U566" i="1"/>
  <c r="BD566" i="1"/>
  <c r="CE566" i="1"/>
  <c r="A567" i="1"/>
  <c r="C567" i="1"/>
  <c r="S567" i="1"/>
  <c r="T567" i="1"/>
  <c r="U567" i="1"/>
  <c r="BD567" i="1"/>
  <c r="CE567" i="1"/>
  <c r="A568" i="1"/>
  <c r="C568" i="1"/>
  <c r="S568" i="1"/>
  <c r="T568" i="1"/>
  <c r="U568" i="1"/>
  <c r="BD568" i="1"/>
  <c r="CE568" i="1"/>
  <c r="A569" i="1"/>
  <c r="C569" i="1"/>
  <c r="S569" i="1"/>
  <c r="T569" i="1"/>
  <c r="U569" i="1"/>
  <c r="BD569" i="1"/>
  <c r="CE569" i="1"/>
  <c r="A570" i="1"/>
  <c r="C570" i="1"/>
  <c r="S570" i="1"/>
  <c r="T570" i="1"/>
  <c r="U570" i="1"/>
  <c r="BD570" i="1"/>
  <c r="CE570" i="1"/>
  <c r="A571" i="1"/>
  <c r="C571" i="1"/>
  <c r="S571" i="1"/>
  <c r="T571" i="1"/>
  <c r="U571" i="1"/>
  <c r="BD571" i="1"/>
  <c r="CE571" i="1"/>
  <c r="A572" i="1"/>
  <c r="C572" i="1"/>
  <c r="S572" i="1"/>
  <c r="T572" i="1"/>
  <c r="U572" i="1"/>
  <c r="BD572" i="1"/>
  <c r="CE572" i="1"/>
  <c r="A573" i="1"/>
  <c r="C573" i="1"/>
  <c r="S573" i="1"/>
  <c r="T573" i="1"/>
  <c r="U573" i="1"/>
  <c r="BD573" i="1"/>
  <c r="CE573" i="1"/>
  <c r="A574" i="1"/>
  <c r="C574" i="1"/>
  <c r="S574" i="1"/>
  <c r="T574" i="1"/>
  <c r="U574" i="1"/>
  <c r="BD574" i="1"/>
  <c r="CE574" i="1"/>
  <c r="A575" i="1"/>
  <c r="C575" i="1"/>
  <c r="S575" i="1"/>
  <c r="T575" i="1"/>
  <c r="U575" i="1"/>
  <c r="BD575" i="1"/>
  <c r="CE575" i="1"/>
  <c r="A576" i="1"/>
  <c r="C576" i="1"/>
  <c r="S576" i="1"/>
  <c r="T576" i="1"/>
  <c r="U576" i="1"/>
  <c r="BD576" i="1"/>
  <c r="CE576" i="1"/>
  <c r="A577" i="1"/>
  <c r="C577" i="1"/>
  <c r="S577" i="1"/>
  <c r="T577" i="1"/>
  <c r="U577" i="1"/>
  <c r="BD577" i="1"/>
  <c r="CE577" i="1"/>
  <c r="A578" i="1"/>
  <c r="C578" i="1"/>
  <c r="S578" i="1"/>
  <c r="T578" i="1"/>
  <c r="U578" i="1"/>
  <c r="BD578" i="1"/>
  <c r="CE578" i="1"/>
  <c r="A579" i="1"/>
  <c r="C579" i="1"/>
  <c r="S579" i="1"/>
  <c r="T579" i="1"/>
  <c r="U579" i="1"/>
  <c r="BD579" i="1"/>
  <c r="CE579" i="1"/>
  <c r="A580" i="1"/>
  <c r="C580" i="1"/>
  <c r="S580" i="1"/>
  <c r="T580" i="1"/>
  <c r="U580" i="1"/>
  <c r="BD580" i="1"/>
  <c r="CE580" i="1"/>
  <c r="A581" i="1"/>
  <c r="C581" i="1"/>
  <c r="S581" i="1"/>
  <c r="T581" i="1"/>
  <c r="U581" i="1"/>
  <c r="BD581" i="1"/>
  <c r="CE581" i="1"/>
  <c r="A582" i="1"/>
  <c r="C582" i="1"/>
  <c r="S582" i="1"/>
  <c r="T582" i="1"/>
  <c r="U582" i="1"/>
  <c r="BD582" i="1"/>
  <c r="CE582" i="1"/>
  <c r="A583" i="1"/>
  <c r="C583" i="1"/>
  <c r="S583" i="1"/>
  <c r="T583" i="1"/>
  <c r="U583" i="1"/>
  <c r="BD583" i="1"/>
  <c r="CE583" i="1"/>
  <c r="A584" i="1"/>
  <c r="C584" i="1"/>
  <c r="S584" i="1"/>
  <c r="T584" i="1"/>
  <c r="U584" i="1"/>
  <c r="BD584" i="1"/>
  <c r="CE584" i="1"/>
  <c r="A585" i="1"/>
  <c r="C585" i="1"/>
  <c r="S585" i="1"/>
  <c r="T585" i="1"/>
  <c r="U585" i="1"/>
  <c r="BD585" i="1"/>
  <c r="CE585" i="1"/>
  <c r="A586" i="1"/>
  <c r="C586" i="1"/>
  <c r="S586" i="1"/>
  <c r="T586" i="1"/>
  <c r="U586" i="1"/>
  <c r="BD586" i="1"/>
  <c r="CE586" i="1"/>
  <c r="A587" i="1"/>
  <c r="C587" i="1"/>
  <c r="S587" i="1"/>
  <c r="T587" i="1"/>
  <c r="U587" i="1"/>
  <c r="BD587" i="1"/>
  <c r="CE587" i="1"/>
  <c r="A588" i="1"/>
  <c r="C588" i="1"/>
  <c r="S588" i="1"/>
  <c r="T588" i="1"/>
  <c r="U588" i="1"/>
  <c r="BD588" i="1"/>
  <c r="CE588" i="1"/>
  <c r="A589" i="1"/>
  <c r="C589" i="1"/>
  <c r="S589" i="1"/>
  <c r="T589" i="1"/>
  <c r="U589" i="1"/>
  <c r="BD589" i="1"/>
  <c r="CE589" i="1"/>
  <c r="A590" i="1"/>
  <c r="C590" i="1"/>
  <c r="S590" i="1"/>
  <c r="T590" i="1"/>
  <c r="U590" i="1"/>
  <c r="BD590" i="1"/>
  <c r="CE590" i="1"/>
  <c r="A591" i="1"/>
  <c r="C591" i="1"/>
  <c r="S591" i="1"/>
  <c r="T591" i="1"/>
  <c r="U591" i="1"/>
  <c r="BD591" i="1"/>
  <c r="CE591" i="1"/>
  <c r="A592" i="1"/>
  <c r="C592" i="1"/>
  <c r="S592" i="1"/>
  <c r="T592" i="1"/>
  <c r="U592" i="1"/>
  <c r="BD592" i="1"/>
  <c r="CE592" i="1"/>
  <c r="A593" i="1"/>
  <c r="C593" i="1"/>
  <c r="S593" i="1"/>
  <c r="T593" i="1"/>
  <c r="U593" i="1"/>
  <c r="BD593" i="1"/>
  <c r="CE593" i="1"/>
  <c r="A594" i="1"/>
  <c r="C594" i="1"/>
  <c r="S594" i="1"/>
  <c r="T594" i="1"/>
  <c r="U594" i="1"/>
  <c r="BD594" i="1"/>
  <c r="CE594" i="1"/>
  <c r="A595" i="1"/>
  <c r="C595" i="1"/>
  <c r="S595" i="1"/>
  <c r="T595" i="1"/>
  <c r="U595" i="1"/>
  <c r="BD595" i="1"/>
  <c r="CE595" i="1"/>
  <c r="A596" i="1"/>
  <c r="C596" i="1"/>
  <c r="S596" i="1"/>
  <c r="T596" i="1"/>
  <c r="U596" i="1"/>
  <c r="BD596" i="1"/>
  <c r="CE596" i="1"/>
  <c r="A597" i="1"/>
  <c r="C597" i="1"/>
  <c r="S597" i="1"/>
  <c r="T597" i="1"/>
  <c r="U597" i="1"/>
  <c r="BD597" i="1"/>
  <c r="CE597" i="1"/>
  <c r="A598" i="1"/>
  <c r="C598" i="1"/>
  <c r="S598" i="1"/>
  <c r="T598" i="1"/>
  <c r="U598" i="1"/>
  <c r="BD598" i="1"/>
  <c r="CE598" i="1"/>
  <c r="A599" i="1"/>
  <c r="C599" i="1"/>
  <c r="S599" i="1"/>
  <c r="T599" i="1"/>
  <c r="U599" i="1"/>
  <c r="BD599" i="1"/>
  <c r="CE599" i="1"/>
  <c r="A600" i="1"/>
  <c r="C600" i="1"/>
  <c r="S600" i="1"/>
  <c r="T600" i="1"/>
  <c r="U600" i="1"/>
  <c r="BD600" i="1"/>
  <c r="CE600" i="1"/>
  <c r="A601" i="1"/>
  <c r="C601" i="1"/>
  <c r="S601" i="1"/>
  <c r="T601" i="1"/>
  <c r="U601" i="1"/>
  <c r="BD601" i="1"/>
  <c r="CE601" i="1"/>
  <c r="A602" i="1"/>
  <c r="C602" i="1"/>
  <c r="S602" i="1"/>
  <c r="T602" i="1"/>
  <c r="U602" i="1"/>
  <c r="BD602" i="1"/>
  <c r="CE602" i="1"/>
  <c r="A603" i="1"/>
  <c r="C603" i="1"/>
  <c r="S603" i="1"/>
  <c r="T603" i="1"/>
  <c r="U603" i="1"/>
  <c r="BD603" i="1"/>
  <c r="CE603" i="1"/>
  <c r="A604" i="1"/>
  <c r="C604" i="1"/>
  <c r="S604" i="1"/>
  <c r="T604" i="1"/>
  <c r="U604" i="1"/>
  <c r="BD604" i="1"/>
  <c r="CE604" i="1"/>
  <c r="A605" i="1"/>
  <c r="C605" i="1"/>
  <c r="S605" i="1"/>
  <c r="T605" i="1"/>
  <c r="U605" i="1"/>
  <c r="BD605" i="1"/>
  <c r="CE605" i="1"/>
  <c r="A606" i="1"/>
  <c r="C606" i="1"/>
  <c r="S606" i="1"/>
  <c r="T606" i="1"/>
  <c r="U606" i="1"/>
  <c r="BD606" i="1"/>
  <c r="CE606" i="1"/>
  <c r="A607" i="1"/>
  <c r="C607" i="1"/>
  <c r="S607" i="1"/>
  <c r="T607" i="1"/>
  <c r="U607" i="1"/>
  <c r="BD607" i="1"/>
  <c r="CE607" i="1"/>
  <c r="A608" i="1"/>
  <c r="C608" i="1"/>
  <c r="S608" i="1"/>
  <c r="T608" i="1"/>
  <c r="U608" i="1"/>
  <c r="BD608" i="1"/>
  <c r="CE608" i="1"/>
  <c r="A609" i="1"/>
  <c r="C609" i="1"/>
  <c r="S609" i="1"/>
  <c r="T609" i="1"/>
  <c r="U609" i="1"/>
  <c r="BD609" i="1"/>
  <c r="CE609" i="1"/>
  <c r="A610" i="1"/>
  <c r="C610" i="1"/>
  <c r="S610" i="1"/>
  <c r="T610" i="1"/>
  <c r="U610" i="1"/>
  <c r="BD610" i="1"/>
  <c r="CE610" i="1"/>
  <c r="A611" i="1"/>
  <c r="C611" i="1"/>
  <c r="S611" i="1"/>
  <c r="T611" i="1"/>
  <c r="U611" i="1"/>
  <c r="BD611" i="1"/>
  <c r="CE611" i="1"/>
  <c r="A612" i="1"/>
  <c r="C612" i="1"/>
  <c r="S612" i="1"/>
  <c r="T612" i="1"/>
  <c r="U612" i="1"/>
  <c r="BD612" i="1"/>
  <c r="CE612" i="1"/>
  <c r="A613" i="1"/>
  <c r="C613" i="1"/>
  <c r="S613" i="1"/>
  <c r="T613" i="1"/>
  <c r="U613" i="1"/>
  <c r="BD613" i="1"/>
  <c r="CE613" i="1"/>
  <c r="A614" i="1"/>
  <c r="C614" i="1"/>
  <c r="S614" i="1"/>
  <c r="T614" i="1"/>
  <c r="U614" i="1"/>
  <c r="BD614" i="1"/>
  <c r="CE614" i="1"/>
  <c r="A615" i="1"/>
  <c r="C615" i="1"/>
  <c r="S615" i="1"/>
  <c r="T615" i="1"/>
  <c r="U615" i="1"/>
  <c r="BD615" i="1"/>
  <c r="CE615" i="1"/>
  <c r="A616" i="1"/>
  <c r="C616" i="1"/>
  <c r="S616" i="1"/>
  <c r="T616" i="1"/>
  <c r="U616" i="1"/>
  <c r="BD616" i="1"/>
  <c r="CE616" i="1"/>
  <c r="A617" i="1"/>
  <c r="C617" i="1"/>
  <c r="S617" i="1"/>
  <c r="T617" i="1"/>
  <c r="U617" i="1"/>
  <c r="BD617" i="1"/>
  <c r="CE617" i="1"/>
  <c r="A618" i="1"/>
  <c r="C618" i="1"/>
  <c r="S618" i="1"/>
  <c r="T618" i="1"/>
  <c r="U618" i="1"/>
  <c r="BD618" i="1"/>
  <c r="CE618" i="1"/>
  <c r="A619" i="1"/>
  <c r="C619" i="1"/>
  <c r="S619" i="1"/>
  <c r="T619" i="1"/>
  <c r="U619" i="1"/>
  <c r="BD619" i="1"/>
  <c r="CE619" i="1"/>
  <c r="A620" i="1"/>
  <c r="C620" i="1"/>
  <c r="S620" i="1"/>
  <c r="T620" i="1"/>
  <c r="U620" i="1"/>
  <c r="BD620" i="1"/>
  <c r="CE620" i="1"/>
  <c r="A621" i="1"/>
  <c r="C621" i="1"/>
  <c r="S621" i="1"/>
  <c r="T621" i="1"/>
  <c r="U621" i="1"/>
  <c r="BD621" i="1"/>
  <c r="CE621" i="1"/>
  <c r="A622" i="1"/>
  <c r="C622" i="1"/>
  <c r="S622" i="1"/>
  <c r="T622" i="1"/>
  <c r="U622" i="1"/>
  <c r="BD622" i="1"/>
  <c r="CE622" i="1"/>
  <c r="A623" i="1"/>
  <c r="C623" i="1"/>
  <c r="S623" i="1"/>
  <c r="T623" i="1"/>
  <c r="U623" i="1"/>
  <c r="BD623" i="1"/>
  <c r="CE623" i="1"/>
  <c r="A624" i="1"/>
  <c r="C624" i="1"/>
  <c r="S624" i="1"/>
  <c r="T624" i="1"/>
  <c r="U624" i="1"/>
  <c r="BD624" i="1"/>
  <c r="CE624" i="1"/>
  <c r="A625" i="1"/>
  <c r="C625" i="1"/>
  <c r="S625" i="1"/>
  <c r="T625" i="1"/>
  <c r="U625" i="1"/>
  <c r="BD625" i="1"/>
  <c r="CE625" i="1"/>
  <c r="A626" i="1"/>
  <c r="C626" i="1"/>
  <c r="S626" i="1"/>
  <c r="T626" i="1"/>
  <c r="U626" i="1"/>
  <c r="BD626" i="1"/>
  <c r="CE626" i="1"/>
  <c r="A627" i="1"/>
  <c r="C627" i="1"/>
  <c r="S627" i="1"/>
  <c r="T627" i="1"/>
  <c r="U627" i="1"/>
  <c r="BD627" i="1"/>
  <c r="CE627" i="1"/>
  <c r="A628" i="1"/>
  <c r="C628" i="1"/>
  <c r="S628" i="1"/>
  <c r="T628" i="1"/>
  <c r="U628" i="1"/>
  <c r="BD628" i="1"/>
  <c r="CE628" i="1"/>
  <c r="A629" i="1"/>
  <c r="C629" i="1"/>
  <c r="S629" i="1"/>
  <c r="T629" i="1"/>
  <c r="U629" i="1"/>
  <c r="BD629" i="1"/>
  <c r="CE629" i="1"/>
  <c r="A630" i="1"/>
  <c r="C630" i="1"/>
  <c r="S630" i="1"/>
  <c r="T630" i="1"/>
  <c r="U630" i="1"/>
  <c r="BD630" i="1"/>
  <c r="CE630" i="1"/>
  <c r="A631" i="1"/>
  <c r="C631" i="1"/>
  <c r="S631" i="1"/>
  <c r="T631" i="1"/>
  <c r="U631" i="1"/>
  <c r="BD631" i="1"/>
  <c r="CE631" i="1"/>
  <c r="A632" i="1"/>
  <c r="C632" i="1"/>
  <c r="S632" i="1"/>
  <c r="T632" i="1"/>
  <c r="U632" i="1"/>
  <c r="BD632" i="1"/>
  <c r="CE632" i="1"/>
  <c r="A633" i="1"/>
  <c r="C633" i="1"/>
  <c r="S633" i="1"/>
  <c r="T633" i="1"/>
  <c r="U633" i="1"/>
  <c r="BD633" i="1"/>
  <c r="CE633" i="1"/>
  <c r="A634" i="1"/>
  <c r="C634" i="1"/>
  <c r="S634" i="1"/>
  <c r="T634" i="1"/>
  <c r="U634" i="1"/>
  <c r="BD634" i="1"/>
  <c r="CE634" i="1"/>
  <c r="A635" i="1"/>
  <c r="C635" i="1"/>
  <c r="S635" i="1"/>
  <c r="T635" i="1"/>
  <c r="U635" i="1"/>
  <c r="BD635" i="1"/>
  <c r="CE635" i="1"/>
  <c r="A636" i="1"/>
  <c r="C636" i="1"/>
  <c r="S636" i="1"/>
  <c r="T636" i="1"/>
  <c r="U636" i="1"/>
  <c r="BD636" i="1"/>
  <c r="CE636" i="1"/>
  <c r="A637" i="1"/>
  <c r="C637" i="1"/>
  <c r="S637" i="1"/>
  <c r="T637" i="1"/>
  <c r="U637" i="1"/>
  <c r="BD637" i="1"/>
  <c r="CE637" i="1"/>
  <c r="A638" i="1"/>
  <c r="C638" i="1"/>
  <c r="S638" i="1"/>
  <c r="T638" i="1"/>
  <c r="U638" i="1"/>
  <c r="BD638" i="1"/>
  <c r="CE638" i="1"/>
  <c r="A639" i="1"/>
  <c r="C639" i="1"/>
  <c r="S639" i="1"/>
  <c r="T639" i="1"/>
  <c r="U639" i="1"/>
  <c r="BD639" i="1"/>
  <c r="CE639" i="1"/>
  <c r="A640" i="1"/>
  <c r="C640" i="1"/>
  <c r="S640" i="1"/>
  <c r="T640" i="1"/>
  <c r="U640" i="1"/>
  <c r="BD640" i="1"/>
  <c r="CE640" i="1"/>
  <c r="A641" i="1"/>
  <c r="C641" i="1"/>
  <c r="S641" i="1"/>
  <c r="T641" i="1"/>
  <c r="U641" i="1"/>
  <c r="BD641" i="1"/>
  <c r="CE641" i="1"/>
  <c r="A642" i="1"/>
  <c r="C642" i="1"/>
  <c r="S642" i="1"/>
  <c r="T642" i="1"/>
  <c r="U642" i="1"/>
  <c r="BD642" i="1"/>
  <c r="CE642" i="1"/>
  <c r="A643" i="1"/>
  <c r="C643" i="1"/>
  <c r="S643" i="1"/>
  <c r="T643" i="1"/>
  <c r="U643" i="1"/>
  <c r="BD643" i="1"/>
  <c r="CE643" i="1"/>
  <c r="A644" i="1"/>
  <c r="C644" i="1"/>
  <c r="S644" i="1"/>
  <c r="T644" i="1"/>
  <c r="U644" i="1"/>
  <c r="BD644" i="1"/>
  <c r="CE644" i="1"/>
  <c r="A645" i="1"/>
  <c r="C645" i="1"/>
  <c r="S645" i="1"/>
  <c r="T645" i="1"/>
  <c r="U645" i="1"/>
  <c r="BD645" i="1"/>
  <c r="CE645" i="1"/>
  <c r="A646" i="1"/>
  <c r="C646" i="1"/>
  <c r="S646" i="1"/>
  <c r="T646" i="1"/>
  <c r="U646" i="1"/>
  <c r="BD646" i="1"/>
  <c r="CE646" i="1"/>
  <c r="A647" i="1"/>
  <c r="C647" i="1"/>
  <c r="S647" i="1"/>
  <c r="T647" i="1"/>
  <c r="U647" i="1"/>
  <c r="BD647" i="1"/>
  <c r="CE647" i="1"/>
  <c r="A648" i="1"/>
  <c r="C648" i="1"/>
  <c r="S648" i="1"/>
  <c r="T648" i="1"/>
  <c r="U648" i="1"/>
  <c r="BD648" i="1"/>
  <c r="CE648" i="1"/>
  <c r="A649" i="1"/>
  <c r="C649" i="1"/>
  <c r="S649" i="1"/>
  <c r="T649" i="1"/>
  <c r="U649" i="1"/>
  <c r="BD649" i="1"/>
  <c r="CE649" i="1"/>
  <c r="A650" i="1"/>
  <c r="C650" i="1"/>
  <c r="S650" i="1"/>
  <c r="T650" i="1"/>
  <c r="U650" i="1"/>
  <c r="BD650" i="1"/>
  <c r="CE650" i="1"/>
  <c r="A651" i="1"/>
  <c r="C651" i="1"/>
  <c r="S651" i="1"/>
  <c r="T651" i="1"/>
  <c r="U651" i="1"/>
  <c r="BD651" i="1"/>
  <c r="CE651" i="1"/>
  <c r="A652" i="1"/>
  <c r="C652" i="1"/>
  <c r="S652" i="1"/>
  <c r="T652" i="1"/>
  <c r="U652" i="1"/>
  <c r="BD652" i="1"/>
  <c r="CE652" i="1"/>
  <c r="A653" i="1"/>
  <c r="C653" i="1"/>
  <c r="S653" i="1"/>
  <c r="T653" i="1"/>
  <c r="U653" i="1"/>
  <c r="BD653" i="1"/>
  <c r="CE653" i="1"/>
  <c r="A654" i="1"/>
  <c r="C654" i="1"/>
  <c r="S654" i="1"/>
  <c r="T654" i="1"/>
  <c r="U654" i="1"/>
  <c r="BD654" i="1"/>
  <c r="CE654" i="1"/>
  <c r="A655" i="1"/>
  <c r="C655" i="1"/>
  <c r="S655" i="1"/>
  <c r="T655" i="1"/>
  <c r="U655" i="1"/>
  <c r="BD655" i="1"/>
  <c r="CE655" i="1"/>
  <c r="A656" i="1"/>
  <c r="C656" i="1"/>
  <c r="S656" i="1"/>
  <c r="T656" i="1"/>
  <c r="U656" i="1"/>
  <c r="BD656" i="1"/>
  <c r="CE656" i="1"/>
  <c r="A657" i="1"/>
  <c r="C657" i="1"/>
  <c r="S657" i="1"/>
  <c r="T657" i="1"/>
  <c r="U657" i="1"/>
  <c r="BD657" i="1"/>
  <c r="CE657" i="1"/>
  <c r="A658" i="1"/>
  <c r="C658" i="1"/>
  <c r="S658" i="1"/>
  <c r="T658" i="1"/>
  <c r="U658" i="1"/>
  <c r="BD658" i="1"/>
  <c r="CE658" i="1"/>
  <c r="A659" i="1"/>
  <c r="C659" i="1"/>
  <c r="S659" i="1"/>
  <c r="T659" i="1"/>
  <c r="U659" i="1"/>
  <c r="BD659" i="1"/>
  <c r="CE659" i="1"/>
  <c r="A660" i="1"/>
  <c r="C660" i="1"/>
  <c r="S660" i="1"/>
  <c r="T660" i="1"/>
  <c r="U660" i="1"/>
  <c r="BD660" i="1"/>
  <c r="CE660" i="1"/>
  <c r="A661" i="1"/>
  <c r="C661" i="1"/>
  <c r="S661" i="1"/>
  <c r="T661" i="1"/>
  <c r="U661" i="1"/>
  <c r="BD661" i="1"/>
  <c r="CE661" i="1"/>
  <c r="A662" i="1"/>
  <c r="C662" i="1"/>
  <c r="S662" i="1"/>
  <c r="T662" i="1"/>
  <c r="U662" i="1"/>
  <c r="BD662" i="1"/>
  <c r="CE662" i="1"/>
  <c r="A663" i="1"/>
  <c r="C663" i="1"/>
  <c r="S663" i="1"/>
  <c r="T663" i="1"/>
  <c r="U663" i="1"/>
  <c r="BD663" i="1"/>
  <c r="CE663" i="1"/>
  <c r="A664" i="1"/>
  <c r="C664" i="1"/>
  <c r="S664" i="1"/>
  <c r="T664" i="1"/>
  <c r="U664" i="1"/>
  <c r="BD664" i="1"/>
  <c r="CE664" i="1"/>
  <c r="A665" i="1"/>
  <c r="C665" i="1"/>
  <c r="S665" i="1"/>
  <c r="T665" i="1"/>
  <c r="U665" i="1"/>
  <c r="BD665" i="1"/>
  <c r="CE665" i="1"/>
  <c r="A666" i="1"/>
  <c r="C666" i="1"/>
  <c r="S666" i="1"/>
  <c r="T666" i="1"/>
  <c r="U666" i="1"/>
  <c r="BD666" i="1"/>
  <c r="CE666" i="1"/>
  <c r="A667" i="1"/>
  <c r="C667" i="1"/>
  <c r="S667" i="1"/>
  <c r="T667" i="1"/>
  <c r="U667" i="1"/>
  <c r="BD667" i="1"/>
  <c r="CE667" i="1"/>
  <c r="A668" i="1"/>
  <c r="C668" i="1"/>
  <c r="S668" i="1"/>
  <c r="T668" i="1"/>
  <c r="U668" i="1"/>
  <c r="BD668" i="1"/>
  <c r="CE668" i="1"/>
  <c r="A669" i="1"/>
  <c r="C669" i="1"/>
  <c r="S669" i="1"/>
  <c r="T669" i="1"/>
  <c r="U669" i="1"/>
  <c r="BD669" i="1"/>
  <c r="CE669" i="1"/>
  <c r="A670" i="1"/>
  <c r="C670" i="1"/>
  <c r="S670" i="1"/>
  <c r="T670" i="1"/>
  <c r="U670" i="1"/>
  <c r="BD670" i="1"/>
  <c r="CE670" i="1"/>
  <c r="A671" i="1"/>
  <c r="C671" i="1"/>
  <c r="S671" i="1"/>
  <c r="T671" i="1"/>
  <c r="U671" i="1"/>
  <c r="BD671" i="1"/>
  <c r="CE671" i="1"/>
  <c r="A672" i="1"/>
  <c r="C672" i="1"/>
  <c r="S672" i="1"/>
  <c r="T672" i="1"/>
  <c r="U672" i="1"/>
  <c r="BD672" i="1"/>
  <c r="CE672" i="1"/>
  <c r="A673" i="1"/>
  <c r="C673" i="1"/>
  <c r="S673" i="1"/>
  <c r="T673" i="1"/>
  <c r="U673" i="1"/>
  <c r="BD673" i="1"/>
  <c r="CE673" i="1"/>
  <c r="A674" i="1"/>
  <c r="C674" i="1"/>
  <c r="S674" i="1"/>
  <c r="T674" i="1"/>
  <c r="U674" i="1"/>
  <c r="BD674" i="1"/>
  <c r="CE674" i="1"/>
  <c r="A675" i="1"/>
  <c r="C675" i="1"/>
  <c r="S675" i="1"/>
  <c r="T675" i="1"/>
  <c r="U675" i="1"/>
  <c r="BD675" i="1"/>
  <c r="CE675" i="1"/>
  <c r="A676" i="1"/>
  <c r="C676" i="1"/>
  <c r="S676" i="1"/>
  <c r="T676" i="1"/>
  <c r="U676" i="1"/>
  <c r="BD676" i="1"/>
  <c r="CE676" i="1"/>
  <c r="A677" i="1"/>
  <c r="C677" i="1"/>
  <c r="S677" i="1"/>
  <c r="T677" i="1"/>
  <c r="U677" i="1"/>
  <c r="BD677" i="1"/>
  <c r="CE677" i="1"/>
  <c r="A678" i="1"/>
  <c r="C678" i="1"/>
  <c r="S678" i="1"/>
  <c r="T678" i="1"/>
  <c r="U678" i="1"/>
  <c r="BD678" i="1"/>
  <c r="CE678" i="1"/>
  <c r="A679" i="1"/>
  <c r="C679" i="1"/>
  <c r="S679" i="1"/>
  <c r="T679" i="1"/>
  <c r="U679" i="1"/>
  <c r="BD679" i="1"/>
  <c r="CE679" i="1"/>
  <c r="A680" i="1"/>
  <c r="C680" i="1"/>
  <c r="S680" i="1"/>
  <c r="T680" i="1"/>
  <c r="U680" i="1"/>
  <c r="BD680" i="1"/>
  <c r="CE680" i="1"/>
  <c r="A681" i="1"/>
  <c r="C681" i="1"/>
  <c r="S681" i="1"/>
  <c r="T681" i="1"/>
  <c r="U681" i="1"/>
  <c r="BD681" i="1"/>
  <c r="CE681" i="1"/>
  <c r="A682" i="1"/>
  <c r="C682" i="1"/>
  <c r="S682" i="1"/>
  <c r="T682" i="1"/>
  <c r="U682" i="1"/>
  <c r="BD682" i="1"/>
  <c r="CE682" i="1"/>
  <c r="A683" i="1"/>
  <c r="C683" i="1"/>
  <c r="S683" i="1"/>
  <c r="T683" i="1"/>
  <c r="U683" i="1"/>
  <c r="BD683" i="1"/>
  <c r="CE683" i="1"/>
  <c r="A684" i="1"/>
  <c r="C684" i="1"/>
  <c r="S684" i="1"/>
  <c r="T684" i="1"/>
  <c r="U684" i="1"/>
  <c r="BD684" i="1"/>
  <c r="CE684" i="1"/>
  <c r="A685" i="1"/>
  <c r="C685" i="1"/>
  <c r="S685" i="1"/>
  <c r="T685" i="1"/>
  <c r="U685" i="1"/>
  <c r="BD685" i="1"/>
  <c r="CE685" i="1"/>
  <c r="A686" i="1"/>
  <c r="C686" i="1"/>
  <c r="S686" i="1"/>
  <c r="T686" i="1"/>
  <c r="U686" i="1"/>
  <c r="BD686" i="1"/>
  <c r="CE686" i="1"/>
  <c r="A687" i="1"/>
  <c r="C687" i="1"/>
  <c r="S687" i="1"/>
  <c r="T687" i="1"/>
  <c r="U687" i="1"/>
  <c r="BD687" i="1"/>
  <c r="CE687" i="1"/>
  <c r="A688" i="1"/>
  <c r="C688" i="1"/>
  <c r="S688" i="1"/>
  <c r="T688" i="1"/>
  <c r="U688" i="1"/>
  <c r="BD688" i="1"/>
  <c r="CE688" i="1"/>
  <c r="A689" i="1"/>
  <c r="C689" i="1"/>
  <c r="S689" i="1"/>
  <c r="T689" i="1"/>
  <c r="U689" i="1"/>
  <c r="BD689" i="1"/>
  <c r="CE689" i="1"/>
  <c r="A690" i="1"/>
  <c r="C690" i="1"/>
  <c r="S690" i="1"/>
  <c r="T690" i="1"/>
  <c r="U690" i="1"/>
  <c r="BD690" i="1"/>
  <c r="CE690" i="1"/>
  <c r="A691" i="1"/>
  <c r="C691" i="1"/>
  <c r="S691" i="1"/>
  <c r="T691" i="1"/>
  <c r="U691" i="1"/>
  <c r="BD691" i="1"/>
  <c r="CE691" i="1"/>
  <c r="A692" i="1"/>
  <c r="C692" i="1"/>
  <c r="S692" i="1"/>
  <c r="T692" i="1"/>
  <c r="U692" i="1"/>
  <c r="BD692" i="1"/>
  <c r="CE692" i="1"/>
  <c r="A693" i="1"/>
  <c r="C693" i="1"/>
  <c r="S693" i="1"/>
  <c r="T693" i="1"/>
  <c r="U693" i="1"/>
  <c r="BD693" i="1"/>
  <c r="CE693" i="1"/>
  <c r="A694" i="1"/>
  <c r="C694" i="1"/>
  <c r="S694" i="1"/>
  <c r="T694" i="1"/>
  <c r="U694" i="1"/>
  <c r="BD694" i="1"/>
  <c r="CE694" i="1"/>
  <c r="A695" i="1"/>
  <c r="C695" i="1"/>
  <c r="S695" i="1"/>
  <c r="T695" i="1"/>
  <c r="U695" i="1"/>
  <c r="BD695" i="1"/>
  <c r="CE695" i="1"/>
  <c r="A696" i="1"/>
  <c r="C696" i="1"/>
  <c r="S696" i="1"/>
  <c r="T696" i="1"/>
  <c r="U696" i="1"/>
  <c r="BD696" i="1"/>
  <c r="CE696" i="1"/>
  <c r="A697" i="1"/>
  <c r="C697" i="1"/>
  <c r="S697" i="1"/>
  <c r="T697" i="1"/>
  <c r="U697" i="1"/>
  <c r="BD697" i="1"/>
  <c r="CE697" i="1"/>
  <c r="A698" i="1"/>
  <c r="C698" i="1"/>
  <c r="S698" i="1"/>
  <c r="T698" i="1"/>
  <c r="U698" i="1"/>
  <c r="BD698" i="1"/>
  <c r="CE698" i="1"/>
  <c r="A699" i="1"/>
  <c r="C699" i="1"/>
  <c r="S699" i="1"/>
  <c r="T699" i="1"/>
  <c r="U699" i="1"/>
  <c r="BD699" i="1"/>
  <c r="CE699" i="1"/>
  <c r="A700" i="1"/>
  <c r="C700" i="1"/>
  <c r="S700" i="1"/>
  <c r="T700" i="1"/>
  <c r="U700" i="1"/>
  <c r="BD700" i="1"/>
  <c r="CE700" i="1"/>
  <c r="A701" i="1"/>
  <c r="C701" i="1"/>
  <c r="S701" i="1"/>
  <c r="T701" i="1"/>
  <c r="U701" i="1"/>
  <c r="BD701" i="1"/>
  <c r="CE701" i="1"/>
  <c r="A702" i="1"/>
  <c r="C702" i="1"/>
  <c r="S702" i="1"/>
  <c r="T702" i="1"/>
  <c r="U702" i="1"/>
  <c r="BD702" i="1"/>
  <c r="CE702" i="1"/>
  <c r="A703" i="1"/>
  <c r="C703" i="1"/>
  <c r="S703" i="1"/>
  <c r="T703" i="1"/>
  <c r="U703" i="1"/>
  <c r="BD703" i="1"/>
  <c r="CE703" i="1"/>
  <c r="A704" i="1"/>
  <c r="C704" i="1"/>
  <c r="S704" i="1"/>
  <c r="T704" i="1"/>
  <c r="U704" i="1"/>
  <c r="BD704" i="1"/>
  <c r="CE704" i="1"/>
  <c r="A705" i="1"/>
  <c r="C705" i="1"/>
  <c r="S705" i="1"/>
  <c r="T705" i="1"/>
  <c r="U705" i="1"/>
  <c r="BD705" i="1"/>
  <c r="CE705" i="1"/>
  <c r="A706" i="1"/>
  <c r="C706" i="1"/>
  <c r="S706" i="1"/>
  <c r="T706" i="1"/>
  <c r="U706" i="1"/>
  <c r="BD706" i="1"/>
  <c r="CE706" i="1"/>
  <c r="A707" i="1"/>
  <c r="C707" i="1"/>
  <c r="S707" i="1"/>
  <c r="T707" i="1"/>
  <c r="U707" i="1"/>
  <c r="BD707" i="1"/>
  <c r="CE707" i="1"/>
  <c r="A708" i="1"/>
  <c r="C708" i="1"/>
  <c r="S708" i="1"/>
  <c r="T708" i="1"/>
  <c r="U708" i="1"/>
  <c r="BD708" i="1"/>
  <c r="CE708" i="1"/>
  <c r="A709" i="1"/>
  <c r="C709" i="1"/>
  <c r="S709" i="1"/>
  <c r="T709" i="1"/>
  <c r="U709" i="1"/>
  <c r="BD709" i="1"/>
  <c r="CE709" i="1"/>
  <c r="A710" i="1"/>
  <c r="C710" i="1"/>
  <c r="S710" i="1"/>
  <c r="T710" i="1"/>
  <c r="U710" i="1"/>
  <c r="BD710" i="1"/>
  <c r="CE710" i="1"/>
  <c r="A711" i="1"/>
  <c r="C711" i="1"/>
  <c r="S711" i="1"/>
  <c r="T711" i="1"/>
  <c r="U711" i="1"/>
  <c r="BD711" i="1"/>
  <c r="CE711" i="1"/>
  <c r="A712" i="1"/>
  <c r="C712" i="1"/>
  <c r="S712" i="1"/>
  <c r="T712" i="1"/>
  <c r="U712" i="1"/>
  <c r="BD712" i="1"/>
  <c r="CE712" i="1"/>
  <c r="A713" i="1"/>
  <c r="C713" i="1"/>
  <c r="S713" i="1"/>
  <c r="T713" i="1"/>
  <c r="U713" i="1"/>
  <c r="BD713" i="1"/>
  <c r="CE713" i="1"/>
  <c r="A714" i="1"/>
  <c r="C714" i="1"/>
  <c r="S714" i="1"/>
  <c r="T714" i="1"/>
  <c r="U714" i="1"/>
  <c r="BD714" i="1"/>
  <c r="CE714" i="1"/>
  <c r="A715" i="1"/>
  <c r="C715" i="1"/>
  <c r="S715" i="1"/>
  <c r="T715" i="1"/>
  <c r="U715" i="1"/>
  <c r="BD715" i="1"/>
  <c r="CE715" i="1"/>
  <c r="A716" i="1"/>
  <c r="C716" i="1"/>
  <c r="S716" i="1"/>
  <c r="T716" i="1"/>
  <c r="U716" i="1"/>
  <c r="BD716" i="1"/>
  <c r="CE716" i="1"/>
  <c r="A717" i="1"/>
  <c r="C717" i="1"/>
  <c r="S717" i="1"/>
  <c r="T717" i="1"/>
  <c r="U717" i="1"/>
  <c r="BD717" i="1"/>
  <c r="CE717" i="1"/>
  <c r="A718" i="1"/>
  <c r="C718" i="1"/>
  <c r="S718" i="1"/>
  <c r="T718" i="1"/>
  <c r="U718" i="1"/>
  <c r="BD718" i="1"/>
  <c r="CE718" i="1"/>
  <c r="A719" i="1"/>
  <c r="C719" i="1"/>
  <c r="S719" i="1"/>
  <c r="T719" i="1"/>
  <c r="U719" i="1"/>
  <c r="BD719" i="1"/>
  <c r="CE719" i="1"/>
  <c r="A720" i="1"/>
  <c r="C720" i="1"/>
  <c r="S720" i="1"/>
  <c r="T720" i="1"/>
  <c r="U720" i="1"/>
  <c r="BD720" i="1"/>
  <c r="CE720" i="1"/>
  <c r="A721" i="1"/>
  <c r="C721" i="1"/>
  <c r="S721" i="1"/>
  <c r="T721" i="1"/>
  <c r="U721" i="1"/>
  <c r="BD721" i="1"/>
  <c r="CE721" i="1"/>
  <c r="A722" i="1"/>
  <c r="C722" i="1"/>
  <c r="S722" i="1"/>
  <c r="T722" i="1"/>
  <c r="U722" i="1"/>
  <c r="BD722" i="1"/>
  <c r="CE722" i="1"/>
  <c r="A723" i="1"/>
  <c r="C723" i="1"/>
  <c r="S723" i="1"/>
  <c r="T723" i="1"/>
  <c r="U723" i="1"/>
  <c r="BD723" i="1"/>
  <c r="CE723" i="1"/>
  <c r="A724" i="1"/>
  <c r="C724" i="1"/>
  <c r="S724" i="1"/>
  <c r="T724" i="1"/>
  <c r="U724" i="1"/>
  <c r="BD724" i="1"/>
  <c r="CE724" i="1"/>
  <c r="A725" i="1"/>
  <c r="C725" i="1"/>
  <c r="S725" i="1"/>
  <c r="T725" i="1"/>
  <c r="U725" i="1"/>
  <c r="BD725" i="1"/>
  <c r="CE725" i="1"/>
  <c r="A726" i="1"/>
  <c r="C726" i="1"/>
  <c r="S726" i="1"/>
  <c r="T726" i="1"/>
  <c r="U726" i="1"/>
  <c r="BD726" i="1"/>
  <c r="CE726" i="1"/>
  <c r="A727" i="1"/>
  <c r="C727" i="1"/>
  <c r="S727" i="1"/>
  <c r="T727" i="1"/>
  <c r="U727" i="1"/>
  <c r="BD727" i="1"/>
  <c r="CE727" i="1"/>
  <c r="A728" i="1"/>
  <c r="C728" i="1"/>
  <c r="S728" i="1"/>
  <c r="T728" i="1"/>
  <c r="U728" i="1"/>
  <c r="BD728" i="1"/>
  <c r="CE728" i="1"/>
  <c r="A729" i="1"/>
  <c r="C729" i="1"/>
  <c r="S729" i="1"/>
  <c r="T729" i="1"/>
  <c r="U729" i="1"/>
  <c r="BD729" i="1"/>
  <c r="CE729" i="1"/>
  <c r="A730" i="1"/>
  <c r="C730" i="1"/>
  <c r="S730" i="1"/>
  <c r="T730" i="1"/>
  <c r="U730" i="1"/>
  <c r="BD730" i="1"/>
  <c r="CE730" i="1"/>
  <c r="A731" i="1"/>
  <c r="C731" i="1"/>
  <c r="S731" i="1"/>
  <c r="T731" i="1"/>
  <c r="U731" i="1"/>
  <c r="BD731" i="1"/>
  <c r="CE731" i="1"/>
  <c r="A732" i="1"/>
  <c r="C732" i="1"/>
  <c r="S732" i="1"/>
  <c r="T732" i="1"/>
  <c r="U732" i="1"/>
  <c r="BD732" i="1"/>
  <c r="CE732" i="1"/>
  <c r="A733" i="1"/>
  <c r="C733" i="1"/>
  <c r="S733" i="1"/>
  <c r="T733" i="1"/>
  <c r="U733" i="1"/>
  <c r="BD733" i="1"/>
  <c r="CE733" i="1"/>
  <c r="A734" i="1"/>
  <c r="C734" i="1"/>
  <c r="S734" i="1"/>
  <c r="T734" i="1"/>
  <c r="U734" i="1"/>
  <c r="BD734" i="1"/>
  <c r="CE734" i="1"/>
  <c r="A735" i="1"/>
  <c r="C735" i="1"/>
  <c r="S735" i="1"/>
  <c r="T735" i="1"/>
  <c r="U735" i="1"/>
  <c r="BD735" i="1"/>
  <c r="CE735" i="1"/>
  <c r="A736" i="1"/>
  <c r="C736" i="1"/>
  <c r="S736" i="1"/>
  <c r="T736" i="1"/>
  <c r="U736" i="1"/>
  <c r="BD736" i="1"/>
  <c r="CE736" i="1"/>
  <c r="A737" i="1"/>
  <c r="C737" i="1"/>
  <c r="S737" i="1"/>
  <c r="T737" i="1"/>
  <c r="U737" i="1"/>
  <c r="BD737" i="1"/>
  <c r="CE737" i="1"/>
  <c r="A738" i="1"/>
  <c r="C738" i="1"/>
  <c r="S738" i="1"/>
  <c r="T738" i="1"/>
  <c r="U738" i="1"/>
  <c r="BD738" i="1"/>
  <c r="CE738" i="1"/>
  <c r="A739" i="1"/>
  <c r="C739" i="1"/>
  <c r="S739" i="1"/>
  <c r="T739" i="1"/>
  <c r="U739" i="1"/>
  <c r="BD739" i="1"/>
  <c r="CE739" i="1"/>
  <c r="A740" i="1"/>
  <c r="C740" i="1"/>
  <c r="S740" i="1"/>
  <c r="T740" i="1"/>
  <c r="U740" i="1"/>
  <c r="BD740" i="1"/>
  <c r="CE740" i="1"/>
  <c r="A741" i="1"/>
  <c r="C741" i="1"/>
  <c r="S741" i="1"/>
  <c r="T741" i="1"/>
  <c r="U741" i="1"/>
  <c r="BD741" i="1"/>
  <c r="CE741" i="1"/>
  <c r="A742" i="1"/>
  <c r="C742" i="1"/>
  <c r="S742" i="1"/>
  <c r="T742" i="1"/>
  <c r="U742" i="1"/>
  <c r="BD742" i="1"/>
  <c r="CE742" i="1"/>
  <c r="A743" i="1"/>
  <c r="C743" i="1"/>
  <c r="S743" i="1"/>
  <c r="T743" i="1"/>
  <c r="U743" i="1"/>
  <c r="BD743" i="1"/>
  <c r="CE743" i="1"/>
  <c r="A744" i="1"/>
  <c r="C744" i="1"/>
  <c r="S744" i="1"/>
  <c r="T744" i="1"/>
  <c r="U744" i="1"/>
  <c r="BD744" i="1"/>
  <c r="CE744" i="1"/>
  <c r="A745" i="1"/>
  <c r="C745" i="1"/>
  <c r="S745" i="1"/>
  <c r="T745" i="1"/>
  <c r="U745" i="1"/>
  <c r="BD745" i="1"/>
  <c r="CE745" i="1"/>
  <c r="A746" i="1"/>
  <c r="C746" i="1"/>
  <c r="S746" i="1"/>
  <c r="T746" i="1"/>
  <c r="U746" i="1"/>
  <c r="BD746" i="1"/>
  <c r="CE746" i="1"/>
  <c r="A747" i="1"/>
  <c r="C747" i="1"/>
  <c r="S747" i="1"/>
  <c r="T747" i="1"/>
  <c r="U747" i="1"/>
  <c r="BD747" i="1"/>
  <c r="CE747" i="1"/>
  <c r="A748" i="1"/>
  <c r="C748" i="1"/>
  <c r="S748" i="1"/>
  <c r="T748" i="1"/>
  <c r="U748" i="1"/>
  <c r="BD748" i="1"/>
  <c r="CE748" i="1"/>
  <c r="A749" i="1"/>
  <c r="C749" i="1"/>
  <c r="S749" i="1"/>
  <c r="T749" i="1"/>
  <c r="U749" i="1"/>
  <c r="BD749" i="1"/>
  <c r="CE749" i="1"/>
  <c r="A750" i="1"/>
  <c r="C750" i="1"/>
  <c r="S750" i="1"/>
  <c r="T750" i="1"/>
  <c r="U750" i="1"/>
  <c r="BD750" i="1"/>
  <c r="CE750" i="1"/>
  <c r="A751" i="1"/>
  <c r="C751" i="1"/>
  <c r="S751" i="1"/>
  <c r="T751" i="1"/>
  <c r="U751" i="1"/>
  <c r="BD751" i="1"/>
  <c r="CE751" i="1"/>
  <c r="A752" i="1"/>
  <c r="C752" i="1"/>
  <c r="S752" i="1"/>
  <c r="T752" i="1"/>
  <c r="U752" i="1"/>
  <c r="BD752" i="1"/>
  <c r="CE752" i="1"/>
  <c r="A753" i="1"/>
  <c r="C753" i="1"/>
  <c r="S753" i="1"/>
  <c r="T753" i="1"/>
  <c r="U753" i="1"/>
  <c r="BD753" i="1"/>
  <c r="CE753" i="1"/>
  <c r="A754" i="1"/>
  <c r="C754" i="1"/>
  <c r="S754" i="1"/>
  <c r="T754" i="1"/>
  <c r="U754" i="1"/>
  <c r="BD754" i="1"/>
  <c r="CE754" i="1"/>
  <c r="A755" i="1"/>
  <c r="C755" i="1"/>
  <c r="S755" i="1"/>
  <c r="T755" i="1"/>
  <c r="U755" i="1"/>
  <c r="BD755" i="1"/>
  <c r="CE755" i="1"/>
  <c r="A756" i="1"/>
  <c r="C756" i="1"/>
  <c r="S756" i="1"/>
  <c r="T756" i="1"/>
  <c r="U756" i="1"/>
  <c r="BD756" i="1"/>
  <c r="CE756" i="1"/>
  <c r="A757" i="1"/>
  <c r="C757" i="1"/>
  <c r="S757" i="1"/>
  <c r="T757" i="1"/>
  <c r="U757" i="1"/>
  <c r="BD757" i="1"/>
  <c r="CE757" i="1"/>
  <c r="A758" i="1"/>
  <c r="C758" i="1"/>
  <c r="S758" i="1"/>
  <c r="T758" i="1"/>
  <c r="U758" i="1"/>
  <c r="BD758" i="1"/>
  <c r="CE758" i="1"/>
  <c r="A759" i="1"/>
  <c r="C759" i="1"/>
  <c r="S759" i="1"/>
  <c r="T759" i="1"/>
  <c r="U759" i="1"/>
  <c r="BD759" i="1"/>
  <c r="CE759" i="1"/>
  <c r="A760" i="1"/>
  <c r="C760" i="1"/>
  <c r="S760" i="1"/>
  <c r="T760" i="1"/>
  <c r="U760" i="1"/>
  <c r="BD760" i="1"/>
  <c r="CE760" i="1"/>
  <c r="A761" i="1"/>
  <c r="C761" i="1"/>
  <c r="S761" i="1"/>
  <c r="T761" i="1"/>
  <c r="U761" i="1"/>
  <c r="BD761" i="1"/>
  <c r="CE761" i="1"/>
  <c r="A762" i="1"/>
  <c r="C762" i="1"/>
  <c r="S762" i="1"/>
  <c r="T762" i="1"/>
  <c r="U762" i="1"/>
  <c r="BD762" i="1"/>
  <c r="CE762" i="1"/>
  <c r="A763" i="1"/>
  <c r="C763" i="1"/>
  <c r="S763" i="1"/>
  <c r="T763" i="1"/>
  <c r="U763" i="1"/>
  <c r="BD763" i="1"/>
  <c r="CE763" i="1"/>
  <c r="A764" i="1"/>
  <c r="C764" i="1"/>
  <c r="S764" i="1"/>
  <c r="T764" i="1"/>
  <c r="U764" i="1"/>
  <c r="BD764" i="1"/>
  <c r="CE764" i="1"/>
  <c r="A765" i="1"/>
  <c r="C765" i="1"/>
  <c r="S765" i="1"/>
  <c r="T765" i="1"/>
  <c r="U765" i="1"/>
  <c r="BD765" i="1"/>
  <c r="CE765" i="1"/>
  <c r="A766" i="1"/>
  <c r="C766" i="1"/>
  <c r="S766" i="1"/>
  <c r="T766" i="1"/>
  <c r="U766" i="1"/>
  <c r="BD766" i="1"/>
  <c r="CE766" i="1"/>
  <c r="A767" i="1"/>
  <c r="C767" i="1"/>
  <c r="S767" i="1"/>
  <c r="T767" i="1"/>
  <c r="U767" i="1"/>
  <c r="BD767" i="1"/>
  <c r="CE767" i="1"/>
  <c r="A768" i="1"/>
  <c r="C768" i="1"/>
  <c r="S768" i="1"/>
  <c r="T768" i="1"/>
  <c r="U768" i="1"/>
  <c r="BD768" i="1"/>
  <c r="CE768" i="1"/>
  <c r="A769" i="1"/>
  <c r="C769" i="1"/>
  <c r="S769" i="1"/>
  <c r="T769" i="1"/>
  <c r="U769" i="1"/>
  <c r="BD769" i="1"/>
  <c r="CE769" i="1"/>
  <c r="A770" i="1"/>
  <c r="C770" i="1"/>
  <c r="S770" i="1"/>
  <c r="T770" i="1"/>
  <c r="U770" i="1"/>
  <c r="BD770" i="1"/>
  <c r="CE770" i="1"/>
  <c r="A771" i="1"/>
  <c r="C771" i="1"/>
  <c r="S771" i="1"/>
  <c r="T771" i="1"/>
  <c r="U771" i="1"/>
  <c r="BD771" i="1"/>
  <c r="CE771" i="1"/>
  <c r="A772" i="1"/>
  <c r="C772" i="1"/>
  <c r="S772" i="1"/>
  <c r="T772" i="1"/>
  <c r="U772" i="1"/>
  <c r="BD772" i="1"/>
  <c r="CE772" i="1"/>
  <c r="A773" i="1"/>
  <c r="C773" i="1"/>
  <c r="S773" i="1"/>
  <c r="T773" i="1"/>
  <c r="U773" i="1"/>
  <c r="BD773" i="1"/>
  <c r="CE773" i="1"/>
  <c r="A774" i="1"/>
  <c r="C774" i="1"/>
  <c r="S774" i="1"/>
  <c r="T774" i="1"/>
  <c r="U774" i="1"/>
  <c r="BD774" i="1"/>
  <c r="CE774" i="1"/>
  <c r="A775" i="1"/>
  <c r="C775" i="1"/>
  <c r="S775" i="1"/>
  <c r="T775" i="1"/>
  <c r="U775" i="1"/>
  <c r="BD775" i="1"/>
  <c r="CE775" i="1"/>
  <c r="A776" i="1"/>
  <c r="C776" i="1"/>
  <c r="S776" i="1"/>
  <c r="T776" i="1"/>
  <c r="U776" i="1"/>
  <c r="BD776" i="1"/>
  <c r="CE776" i="1"/>
  <c r="A777" i="1"/>
  <c r="C777" i="1"/>
  <c r="S777" i="1"/>
  <c r="T777" i="1"/>
  <c r="U777" i="1"/>
  <c r="BD777" i="1"/>
  <c r="CE777" i="1"/>
  <c r="A778" i="1"/>
  <c r="C778" i="1"/>
  <c r="S778" i="1"/>
  <c r="T778" i="1"/>
  <c r="U778" i="1"/>
  <c r="BD778" i="1"/>
  <c r="CE778" i="1"/>
  <c r="A779" i="1"/>
  <c r="C779" i="1"/>
  <c r="S779" i="1"/>
  <c r="T779" i="1"/>
  <c r="U779" i="1"/>
  <c r="BD779" i="1"/>
  <c r="CE779" i="1"/>
  <c r="A780" i="1"/>
  <c r="C780" i="1"/>
  <c r="S780" i="1"/>
  <c r="T780" i="1"/>
  <c r="U780" i="1"/>
  <c r="BD780" i="1"/>
  <c r="CE780" i="1"/>
  <c r="A781" i="1"/>
  <c r="C781" i="1"/>
  <c r="S781" i="1"/>
  <c r="T781" i="1"/>
  <c r="U781" i="1"/>
  <c r="BD781" i="1"/>
  <c r="CE781" i="1"/>
  <c r="A782" i="1"/>
  <c r="C782" i="1"/>
  <c r="S782" i="1"/>
  <c r="T782" i="1"/>
  <c r="U782" i="1"/>
  <c r="BD782" i="1"/>
  <c r="CE782" i="1"/>
  <c r="A783" i="1"/>
  <c r="C783" i="1"/>
  <c r="S783" i="1"/>
  <c r="T783" i="1"/>
  <c r="U783" i="1"/>
  <c r="BD783" i="1"/>
  <c r="CE783" i="1"/>
  <c r="A784" i="1"/>
  <c r="C784" i="1"/>
  <c r="S784" i="1"/>
  <c r="T784" i="1"/>
  <c r="U784" i="1"/>
  <c r="BD784" i="1"/>
  <c r="CE784" i="1"/>
  <c r="A785" i="1"/>
  <c r="C785" i="1"/>
  <c r="S785" i="1"/>
  <c r="T785" i="1"/>
  <c r="U785" i="1"/>
  <c r="BD785" i="1"/>
  <c r="CE785" i="1"/>
  <c r="A786" i="1"/>
  <c r="C786" i="1"/>
  <c r="S786" i="1"/>
  <c r="T786" i="1"/>
  <c r="U786" i="1"/>
  <c r="BD786" i="1"/>
  <c r="CE786" i="1"/>
  <c r="A787" i="1"/>
  <c r="C787" i="1"/>
  <c r="S787" i="1"/>
  <c r="T787" i="1"/>
  <c r="U787" i="1"/>
  <c r="BD787" i="1"/>
  <c r="CE787" i="1"/>
  <c r="A788" i="1"/>
  <c r="C788" i="1"/>
  <c r="S788" i="1"/>
  <c r="T788" i="1"/>
  <c r="U788" i="1"/>
  <c r="BD788" i="1"/>
  <c r="CE788" i="1"/>
  <c r="A789" i="1"/>
  <c r="C789" i="1"/>
  <c r="S789" i="1"/>
  <c r="T789" i="1"/>
  <c r="U789" i="1"/>
  <c r="BD789" i="1"/>
  <c r="CE789" i="1"/>
  <c r="A790" i="1"/>
  <c r="C790" i="1"/>
  <c r="S790" i="1"/>
  <c r="T790" i="1"/>
  <c r="U790" i="1"/>
  <c r="BD790" i="1"/>
  <c r="CE790" i="1"/>
  <c r="A791" i="1"/>
  <c r="C791" i="1"/>
  <c r="S791" i="1"/>
  <c r="T791" i="1"/>
  <c r="U791" i="1"/>
  <c r="BD791" i="1"/>
  <c r="CE791" i="1"/>
  <c r="A792" i="1"/>
  <c r="C792" i="1"/>
  <c r="S792" i="1"/>
  <c r="T792" i="1"/>
  <c r="U792" i="1"/>
  <c r="BD792" i="1"/>
  <c r="CE792" i="1"/>
  <c r="A793" i="1"/>
  <c r="C793" i="1"/>
  <c r="S793" i="1"/>
  <c r="T793" i="1"/>
  <c r="U793" i="1"/>
  <c r="BD793" i="1"/>
  <c r="CE793" i="1"/>
  <c r="A794" i="1"/>
  <c r="C794" i="1"/>
  <c r="S794" i="1"/>
  <c r="T794" i="1"/>
  <c r="U794" i="1"/>
  <c r="BD794" i="1"/>
  <c r="CE794" i="1"/>
  <c r="A795" i="1"/>
  <c r="C795" i="1"/>
  <c r="S795" i="1"/>
  <c r="T795" i="1"/>
  <c r="U795" i="1"/>
  <c r="BD795" i="1"/>
  <c r="CE795" i="1"/>
  <c r="A796" i="1"/>
  <c r="C796" i="1"/>
  <c r="S796" i="1"/>
  <c r="T796" i="1"/>
  <c r="U796" i="1"/>
  <c r="BD796" i="1"/>
  <c r="CE796" i="1"/>
  <c r="A797" i="1"/>
  <c r="C797" i="1"/>
  <c r="S797" i="1"/>
  <c r="T797" i="1"/>
  <c r="U797" i="1"/>
  <c r="BD797" i="1"/>
  <c r="CE797" i="1"/>
  <c r="A798" i="1"/>
  <c r="C798" i="1"/>
  <c r="S798" i="1"/>
  <c r="T798" i="1"/>
  <c r="U798" i="1"/>
  <c r="BD798" i="1"/>
  <c r="CE798" i="1"/>
  <c r="A799" i="1"/>
  <c r="C799" i="1"/>
  <c r="S799" i="1"/>
  <c r="T799" i="1"/>
  <c r="U799" i="1"/>
  <c r="BD799" i="1"/>
  <c r="CE799" i="1"/>
  <c r="A800" i="1"/>
  <c r="C800" i="1"/>
  <c r="S800" i="1"/>
  <c r="T800" i="1"/>
  <c r="U800" i="1"/>
  <c r="BD800" i="1"/>
  <c r="CE800" i="1"/>
  <c r="A801" i="1"/>
  <c r="C801" i="1"/>
  <c r="S801" i="1"/>
  <c r="T801" i="1"/>
  <c r="U801" i="1"/>
  <c r="BD801" i="1"/>
  <c r="CE801" i="1"/>
  <c r="A802" i="1"/>
  <c r="C802" i="1"/>
  <c r="S802" i="1"/>
  <c r="T802" i="1"/>
  <c r="U802" i="1"/>
  <c r="BD802" i="1"/>
  <c r="CE802" i="1"/>
  <c r="A803" i="1"/>
  <c r="C803" i="1"/>
  <c r="S803" i="1"/>
  <c r="T803" i="1"/>
  <c r="U803" i="1"/>
  <c r="BD803" i="1"/>
  <c r="CE803" i="1"/>
  <c r="A804" i="1"/>
  <c r="C804" i="1"/>
  <c r="S804" i="1"/>
  <c r="T804" i="1"/>
  <c r="U804" i="1"/>
  <c r="BD804" i="1"/>
  <c r="CE804" i="1"/>
  <c r="A805" i="1"/>
  <c r="C805" i="1"/>
  <c r="S805" i="1"/>
  <c r="T805" i="1"/>
  <c r="U805" i="1"/>
  <c r="BD805" i="1"/>
  <c r="CE805" i="1"/>
  <c r="A806" i="1"/>
  <c r="C806" i="1"/>
  <c r="S806" i="1"/>
  <c r="T806" i="1"/>
  <c r="U806" i="1"/>
  <c r="BD806" i="1"/>
  <c r="CE806" i="1"/>
  <c r="A807" i="1"/>
  <c r="C807" i="1"/>
  <c r="S807" i="1"/>
  <c r="T807" i="1"/>
  <c r="U807" i="1"/>
  <c r="BD807" i="1"/>
  <c r="CE807" i="1"/>
  <c r="A808" i="1"/>
  <c r="C808" i="1"/>
  <c r="S808" i="1"/>
  <c r="T808" i="1"/>
  <c r="U808" i="1"/>
  <c r="BD808" i="1"/>
  <c r="CE808" i="1"/>
  <c r="A809" i="1"/>
  <c r="C809" i="1"/>
  <c r="S809" i="1"/>
  <c r="T809" i="1"/>
  <c r="U809" i="1"/>
  <c r="BD809" i="1"/>
  <c r="CE809" i="1"/>
  <c r="A810" i="1"/>
  <c r="C810" i="1"/>
  <c r="S810" i="1"/>
  <c r="T810" i="1"/>
  <c r="U810" i="1"/>
  <c r="BD810" i="1"/>
  <c r="CE810" i="1"/>
  <c r="A811" i="1"/>
  <c r="C811" i="1"/>
  <c r="S811" i="1"/>
  <c r="T811" i="1"/>
  <c r="U811" i="1"/>
  <c r="BD811" i="1"/>
  <c r="CE811" i="1"/>
  <c r="A812" i="1"/>
  <c r="C812" i="1"/>
  <c r="S812" i="1"/>
  <c r="T812" i="1"/>
  <c r="U812" i="1"/>
  <c r="BD812" i="1"/>
  <c r="CE812" i="1"/>
  <c r="A813" i="1"/>
  <c r="C813" i="1"/>
  <c r="S813" i="1"/>
  <c r="T813" i="1"/>
  <c r="U813" i="1"/>
  <c r="BD813" i="1"/>
  <c r="CE813" i="1"/>
  <c r="A814" i="1"/>
  <c r="C814" i="1"/>
  <c r="S814" i="1"/>
  <c r="T814" i="1"/>
  <c r="U814" i="1"/>
  <c r="BD814" i="1"/>
  <c r="CE814" i="1"/>
  <c r="A815" i="1"/>
  <c r="C815" i="1"/>
  <c r="S815" i="1"/>
  <c r="T815" i="1"/>
  <c r="U815" i="1"/>
  <c r="BD815" i="1"/>
  <c r="CE815" i="1"/>
  <c r="A816" i="1"/>
  <c r="C816" i="1"/>
  <c r="S816" i="1"/>
  <c r="T816" i="1"/>
  <c r="U816" i="1"/>
  <c r="BD816" i="1"/>
  <c r="CE816" i="1"/>
  <c r="A817" i="1"/>
  <c r="C817" i="1"/>
  <c r="S817" i="1"/>
  <c r="T817" i="1"/>
  <c r="U817" i="1"/>
  <c r="BD817" i="1"/>
  <c r="CE817" i="1"/>
  <c r="A818" i="1"/>
  <c r="C818" i="1"/>
  <c r="S818" i="1"/>
  <c r="T818" i="1"/>
  <c r="U818" i="1"/>
  <c r="BD818" i="1"/>
  <c r="CE818" i="1"/>
  <c r="A819" i="1"/>
  <c r="C819" i="1"/>
  <c r="S819" i="1"/>
  <c r="T819" i="1"/>
  <c r="U819" i="1"/>
  <c r="BD819" i="1"/>
  <c r="CE819" i="1"/>
  <c r="A820" i="1"/>
  <c r="C820" i="1"/>
  <c r="S820" i="1"/>
  <c r="T820" i="1"/>
  <c r="U820" i="1"/>
  <c r="BD820" i="1"/>
  <c r="CE820" i="1"/>
  <c r="A821" i="1"/>
  <c r="C821" i="1"/>
  <c r="S821" i="1"/>
  <c r="T821" i="1"/>
  <c r="U821" i="1"/>
  <c r="BD821" i="1"/>
  <c r="CE821" i="1"/>
  <c r="A822" i="1"/>
  <c r="C822" i="1"/>
  <c r="S822" i="1"/>
  <c r="T822" i="1"/>
  <c r="U822" i="1"/>
  <c r="BD822" i="1"/>
  <c r="CE822" i="1"/>
  <c r="A823" i="1"/>
  <c r="C823" i="1"/>
  <c r="S823" i="1"/>
  <c r="T823" i="1"/>
  <c r="U823" i="1"/>
  <c r="BD823" i="1"/>
  <c r="CE823" i="1"/>
  <c r="A824" i="1"/>
  <c r="C824" i="1"/>
  <c r="S824" i="1"/>
  <c r="T824" i="1"/>
  <c r="U824" i="1"/>
  <c r="BD824" i="1"/>
  <c r="CE824" i="1"/>
  <c r="A825" i="1"/>
  <c r="C825" i="1"/>
  <c r="S825" i="1"/>
  <c r="T825" i="1"/>
  <c r="U825" i="1"/>
  <c r="BD825" i="1"/>
  <c r="CE825" i="1"/>
  <c r="A826" i="1"/>
  <c r="C826" i="1"/>
  <c r="S826" i="1"/>
  <c r="T826" i="1"/>
  <c r="U826" i="1"/>
  <c r="BD826" i="1"/>
  <c r="CE826" i="1"/>
  <c r="A827" i="1"/>
  <c r="C827" i="1"/>
  <c r="S827" i="1"/>
  <c r="T827" i="1"/>
  <c r="U827" i="1"/>
  <c r="BD827" i="1"/>
  <c r="CE827" i="1"/>
  <c r="A828" i="1"/>
  <c r="C828" i="1"/>
  <c r="S828" i="1"/>
  <c r="T828" i="1"/>
  <c r="U828" i="1"/>
  <c r="BD828" i="1"/>
  <c r="CE828" i="1"/>
  <c r="A829" i="1"/>
  <c r="C829" i="1"/>
  <c r="S829" i="1"/>
  <c r="T829" i="1"/>
  <c r="U829" i="1"/>
  <c r="BD829" i="1"/>
  <c r="CE829" i="1"/>
  <c r="A830" i="1"/>
  <c r="C830" i="1"/>
  <c r="S830" i="1"/>
  <c r="T830" i="1"/>
  <c r="U830" i="1"/>
  <c r="BD830" i="1"/>
  <c r="CE830" i="1"/>
  <c r="A831" i="1"/>
  <c r="C831" i="1"/>
  <c r="S831" i="1"/>
  <c r="T831" i="1"/>
  <c r="U831" i="1"/>
  <c r="BD831" i="1"/>
  <c r="CE831" i="1"/>
  <c r="A832" i="1"/>
  <c r="C832" i="1"/>
  <c r="S832" i="1"/>
  <c r="T832" i="1"/>
  <c r="U832" i="1"/>
  <c r="BD832" i="1"/>
  <c r="CE832" i="1"/>
  <c r="A833" i="1"/>
  <c r="C833" i="1"/>
  <c r="S833" i="1"/>
  <c r="T833" i="1"/>
  <c r="U833" i="1"/>
  <c r="BD833" i="1"/>
  <c r="CE833" i="1"/>
  <c r="A834" i="1"/>
  <c r="C834" i="1"/>
  <c r="S834" i="1"/>
  <c r="T834" i="1"/>
  <c r="U834" i="1"/>
  <c r="BD834" i="1"/>
  <c r="CE834" i="1"/>
  <c r="A835" i="1"/>
  <c r="C835" i="1"/>
  <c r="S835" i="1"/>
  <c r="T835" i="1"/>
  <c r="U835" i="1"/>
  <c r="BD835" i="1"/>
  <c r="CE835" i="1"/>
  <c r="A836" i="1"/>
  <c r="C836" i="1"/>
  <c r="S836" i="1"/>
  <c r="T836" i="1"/>
  <c r="U836" i="1"/>
  <c r="BD836" i="1"/>
  <c r="CE836" i="1"/>
  <c r="A837" i="1"/>
  <c r="C837" i="1"/>
  <c r="S837" i="1"/>
  <c r="T837" i="1"/>
  <c r="U837" i="1"/>
  <c r="BD837" i="1"/>
  <c r="CE837" i="1"/>
  <c r="A838" i="1"/>
  <c r="C838" i="1"/>
  <c r="S838" i="1"/>
  <c r="T838" i="1"/>
  <c r="U838" i="1"/>
  <c r="BD838" i="1"/>
  <c r="CE838" i="1"/>
  <c r="A839" i="1"/>
  <c r="C839" i="1"/>
  <c r="S839" i="1"/>
  <c r="T839" i="1"/>
  <c r="U839" i="1"/>
  <c r="BD839" i="1"/>
  <c r="CE839" i="1"/>
  <c r="A840" i="1"/>
  <c r="C840" i="1"/>
  <c r="S840" i="1"/>
  <c r="T840" i="1"/>
  <c r="U840" i="1"/>
  <c r="BD840" i="1"/>
  <c r="CE840" i="1"/>
  <c r="A841" i="1"/>
  <c r="C841" i="1"/>
  <c r="S841" i="1"/>
  <c r="T841" i="1"/>
  <c r="U841" i="1"/>
  <c r="BD841" i="1"/>
  <c r="CE841" i="1"/>
  <c r="A842" i="1"/>
  <c r="C842" i="1"/>
  <c r="S842" i="1"/>
  <c r="T842" i="1"/>
  <c r="U842" i="1"/>
  <c r="BD842" i="1"/>
  <c r="CE842" i="1"/>
  <c r="A843" i="1"/>
  <c r="C843" i="1"/>
  <c r="S843" i="1"/>
  <c r="T843" i="1"/>
  <c r="U843" i="1"/>
  <c r="BD843" i="1"/>
  <c r="CE843" i="1"/>
  <c r="A844" i="1"/>
  <c r="C844" i="1"/>
  <c r="S844" i="1"/>
  <c r="T844" i="1"/>
  <c r="U844" i="1"/>
  <c r="BD844" i="1"/>
  <c r="CE844" i="1"/>
  <c r="A845" i="1"/>
  <c r="C845" i="1"/>
  <c r="S845" i="1"/>
  <c r="T845" i="1"/>
  <c r="U845" i="1"/>
  <c r="BD845" i="1"/>
  <c r="CE845" i="1"/>
  <c r="A846" i="1"/>
  <c r="C846" i="1"/>
  <c r="S846" i="1"/>
  <c r="T846" i="1"/>
  <c r="U846" i="1"/>
  <c r="BD846" i="1"/>
  <c r="CE846" i="1"/>
  <c r="A847" i="1"/>
  <c r="C847" i="1"/>
  <c r="S847" i="1"/>
  <c r="T847" i="1"/>
  <c r="U847" i="1"/>
  <c r="BD847" i="1"/>
  <c r="CE847" i="1"/>
  <c r="A848" i="1"/>
  <c r="C848" i="1"/>
  <c r="S848" i="1"/>
  <c r="T848" i="1"/>
  <c r="U848" i="1"/>
  <c r="BD848" i="1"/>
  <c r="CE848" i="1"/>
  <c r="A849" i="1"/>
  <c r="C849" i="1"/>
  <c r="S849" i="1"/>
  <c r="T849" i="1"/>
  <c r="U849" i="1"/>
  <c r="BD849" i="1"/>
  <c r="CE849" i="1"/>
  <c r="A850" i="1"/>
  <c r="C850" i="1"/>
  <c r="S850" i="1"/>
  <c r="T850" i="1"/>
  <c r="U850" i="1"/>
  <c r="BD850" i="1"/>
  <c r="CE850" i="1"/>
  <c r="A851" i="1"/>
  <c r="C851" i="1"/>
  <c r="S851" i="1"/>
  <c r="T851" i="1"/>
  <c r="U851" i="1"/>
  <c r="BD851" i="1"/>
  <c r="CE851" i="1"/>
  <c r="A852" i="1"/>
  <c r="C852" i="1"/>
  <c r="S852" i="1"/>
  <c r="T852" i="1"/>
  <c r="U852" i="1"/>
  <c r="BD852" i="1"/>
  <c r="CE852" i="1"/>
  <c r="A853" i="1"/>
  <c r="C853" i="1"/>
  <c r="S853" i="1"/>
  <c r="T853" i="1"/>
  <c r="U853" i="1"/>
  <c r="BD853" i="1"/>
  <c r="CE853" i="1"/>
  <c r="A854" i="1"/>
  <c r="C854" i="1"/>
  <c r="S854" i="1"/>
  <c r="T854" i="1"/>
  <c r="U854" i="1"/>
  <c r="BD854" i="1"/>
  <c r="CE854" i="1"/>
  <c r="A855" i="1"/>
  <c r="C855" i="1"/>
  <c r="S855" i="1"/>
  <c r="T855" i="1"/>
  <c r="U855" i="1"/>
  <c r="BD855" i="1"/>
  <c r="CE855" i="1"/>
  <c r="A856" i="1"/>
  <c r="C856" i="1"/>
  <c r="S856" i="1"/>
  <c r="T856" i="1"/>
  <c r="U856" i="1"/>
  <c r="BD856" i="1"/>
  <c r="CE856" i="1"/>
  <c r="A857" i="1"/>
  <c r="C857" i="1"/>
  <c r="S857" i="1"/>
  <c r="T857" i="1"/>
  <c r="U857" i="1"/>
  <c r="BD857" i="1"/>
  <c r="CE857" i="1"/>
  <c r="A858" i="1"/>
  <c r="C858" i="1"/>
  <c r="S858" i="1"/>
  <c r="T858" i="1"/>
  <c r="U858" i="1"/>
  <c r="BD858" i="1"/>
  <c r="CE858" i="1"/>
  <c r="A859" i="1"/>
  <c r="C859" i="1"/>
  <c r="S859" i="1"/>
  <c r="T859" i="1"/>
  <c r="U859" i="1"/>
  <c r="BD859" i="1"/>
  <c r="CE859" i="1"/>
  <c r="A860" i="1"/>
  <c r="C860" i="1"/>
  <c r="S860" i="1"/>
  <c r="T860" i="1"/>
  <c r="U860" i="1"/>
  <c r="BD860" i="1"/>
  <c r="CE860" i="1"/>
  <c r="A861" i="1"/>
  <c r="C861" i="1"/>
  <c r="S861" i="1"/>
  <c r="T861" i="1"/>
  <c r="U861" i="1"/>
  <c r="BD861" i="1"/>
  <c r="CE861" i="1"/>
  <c r="A862" i="1"/>
  <c r="C862" i="1"/>
  <c r="S862" i="1"/>
  <c r="T862" i="1"/>
  <c r="U862" i="1"/>
  <c r="BD862" i="1"/>
  <c r="CE862" i="1"/>
  <c r="A863" i="1"/>
  <c r="C863" i="1"/>
  <c r="S863" i="1"/>
  <c r="T863" i="1"/>
  <c r="U863" i="1"/>
  <c r="BD863" i="1"/>
  <c r="CE863" i="1"/>
  <c r="A864" i="1"/>
  <c r="C864" i="1"/>
  <c r="S864" i="1"/>
  <c r="T864" i="1"/>
  <c r="U864" i="1"/>
  <c r="BD864" i="1"/>
  <c r="CE864" i="1"/>
  <c r="A865" i="1"/>
  <c r="C865" i="1"/>
  <c r="S865" i="1"/>
  <c r="T865" i="1"/>
  <c r="U865" i="1"/>
  <c r="BD865" i="1"/>
  <c r="CE865" i="1"/>
  <c r="A866" i="1"/>
  <c r="C866" i="1"/>
  <c r="S866" i="1"/>
  <c r="T866" i="1"/>
  <c r="U866" i="1"/>
  <c r="BD866" i="1"/>
  <c r="CE866" i="1"/>
  <c r="A867" i="1"/>
  <c r="C867" i="1"/>
  <c r="S867" i="1"/>
  <c r="T867" i="1"/>
  <c r="U867" i="1"/>
  <c r="BD867" i="1"/>
  <c r="CE867" i="1"/>
  <c r="A868" i="1"/>
  <c r="C868" i="1"/>
  <c r="S868" i="1"/>
  <c r="T868" i="1"/>
  <c r="U868" i="1"/>
  <c r="BD868" i="1"/>
  <c r="CE868" i="1"/>
  <c r="A869" i="1"/>
  <c r="C869" i="1"/>
  <c r="S869" i="1"/>
  <c r="T869" i="1"/>
  <c r="U869" i="1"/>
  <c r="BD869" i="1"/>
  <c r="CE869" i="1"/>
  <c r="A870" i="1"/>
  <c r="C870" i="1"/>
  <c r="S870" i="1"/>
  <c r="T870" i="1"/>
  <c r="U870" i="1"/>
  <c r="BD870" i="1"/>
  <c r="CE870" i="1"/>
  <c r="A871" i="1"/>
  <c r="C871" i="1"/>
  <c r="S871" i="1"/>
  <c r="T871" i="1"/>
  <c r="U871" i="1"/>
  <c r="BD871" i="1"/>
  <c r="CE871" i="1"/>
  <c r="A872" i="1"/>
  <c r="C872" i="1"/>
  <c r="S872" i="1"/>
  <c r="T872" i="1"/>
  <c r="U872" i="1"/>
  <c r="BD872" i="1"/>
  <c r="CE872" i="1"/>
  <c r="A873" i="1"/>
  <c r="C873" i="1"/>
  <c r="S873" i="1"/>
  <c r="T873" i="1"/>
  <c r="U873" i="1"/>
  <c r="BD873" i="1"/>
  <c r="CE873" i="1"/>
  <c r="A874" i="1"/>
  <c r="C874" i="1"/>
  <c r="S874" i="1"/>
  <c r="T874" i="1"/>
  <c r="U874" i="1"/>
  <c r="BD874" i="1"/>
  <c r="CE874" i="1"/>
  <c r="A875" i="1"/>
  <c r="C875" i="1"/>
  <c r="S875" i="1"/>
  <c r="T875" i="1"/>
  <c r="U875" i="1"/>
  <c r="BD875" i="1"/>
  <c r="CE875" i="1"/>
  <c r="A876" i="1"/>
  <c r="C876" i="1"/>
  <c r="S876" i="1"/>
  <c r="T876" i="1"/>
  <c r="U876" i="1"/>
  <c r="BD876" i="1"/>
  <c r="CE876" i="1"/>
  <c r="A877" i="1"/>
  <c r="C877" i="1"/>
  <c r="S877" i="1"/>
  <c r="T877" i="1"/>
  <c r="U877" i="1"/>
  <c r="BD877" i="1"/>
  <c r="CE877" i="1"/>
  <c r="A878" i="1"/>
  <c r="C878" i="1"/>
  <c r="S878" i="1"/>
  <c r="T878" i="1"/>
  <c r="U878" i="1"/>
  <c r="BD878" i="1"/>
  <c r="CE878" i="1"/>
  <c r="A879" i="1"/>
  <c r="C879" i="1"/>
  <c r="S879" i="1"/>
  <c r="T879" i="1"/>
  <c r="U879" i="1"/>
  <c r="BD879" i="1"/>
  <c r="CE879" i="1"/>
  <c r="A880" i="1"/>
  <c r="C880" i="1"/>
  <c r="S880" i="1"/>
  <c r="T880" i="1"/>
  <c r="U880" i="1"/>
  <c r="BD880" i="1"/>
  <c r="CE880" i="1"/>
  <c r="A881" i="1"/>
  <c r="C881" i="1"/>
  <c r="S881" i="1"/>
  <c r="T881" i="1"/>
  <c r="U881" i="1"/>
  <c r="BD881" i="1"/>
  <c r="CE881" i="1"/>
  <c r="A882" i="1"/>
  <c r="C882" i="1"/>
  <c r="S882" i="1"/>
  <c r="T882" i="1"/>
  <c r="U882" i="1"/>
  <c r="BD882" i="1"/>
  <c r="CE882" i="1"/>
  <c r="A883" i="1"/>
  <c r="C883" i="1"/>
  <c r="S883" i="1"/>
  <c r="T883" i="1"/>
  <c r="U883" i="1"/>
  <c r="BD883" i="1"/>
  <c r="CE883" i="1"/>
  <c r="A884" i="1"/>
  <c r="C884" i="1"/>
  <c r="S884" i="1"/>
  <c r="T884" i="1"/>
  <c r="U884" i="1"/>
  <c r="BD884" i="1"/>
  <c r="CE884" i="1"/>
  <c r="A885" i="1"/>
  <c r="C885" i="1"/>
  <c r="S885" i="1"/>
  <c r="T885" i="1"/>
  <c r="U885" i="1"/>
  <c r="BD885" i="1"/>
  <c r="CE885" i="1"/>
  <c r="A886" i="1"/>
  <c r="C886" i="1"/>
  <c r="S886" i="1"/>
  <c r="T886" i="1"/>
  <c r="U886" i="1"/>
  <c r="BD886" i="1"/>
  <c r="CE886" i="1"/>
  <c r="A887" i="1"/>
  <c r="C887" i="1"/>
  <c r="S887" i="1"/>
  <c r="T887" i="1"/>
  <c r="U887" i="1"/>
  <c r="BD887" i="1"/>
  <c r="CE887" i="1"/>
  <c r="A888" i="1"/>
  <c r="C888" i="1"/>
  <c r="S888" i="1"/>
  <c r="T888" i="1"/>
  <c r="U888" i="1"/>
  <c r="BD888" i="1"/>
  <c r="CE888" i="1"/>
  <c r="A889" i="1"/>
  <c r="C889" i="1"/>
  <c r="S889" i="1"/>
  <c r="T889" i="1"/>
  <c r="U889" i="1"/>
  <c r="BD889" i="1"/>
  <c r="CE889" i="1"/>
  <c r="A890" i="1"/>
  <c r="C890" i="1"/>
  <c r="S890" i="1"/>
  <c r="T890" i="1"/>
  <c r="U890" i="1"/>
  <c r="BD890" i="1"/>
  <c r="CE890" i="1"/>
  <c r="A891" i="1"/>
  <c r="C891" i="1"/>
  <c r="S891" i="1"/>
  <c r="T891" i="1"/>
  <c r="U891" i="1"/>
  <c r="BD891" i="1"/>
  <c r="CE891" i="1"/>
  <c r="A892" i="1"/>
  <c r="C892" i="1"/>
  <c r="S892" i="1"/>
  <c r="T892" i="1"/>
  <c r="U892" i="1"/>
  <c r="BD892" i="1"/>
  <c r="CE892" i="1"/>
  <c r="A893" i="1"/>
  <c r="C893" i="1"/>
  <c r="S893" i="1"/>
  <c r="T893" i="1"/>
  <c r="U893" i="1"/>
  <c r="BD893" i="1"/>
  <c r="CE893" i="1"/>
  <c r="A894" i="1"/>
  <c r="C894" i="1"/>
  <c r="S894" i="1"/>
  <c r="T894" i="1"/>
  <c r="U894" i="1"/>
  <c r="BD894" i="1"/>
  <c r="CE894" i="1"/>
  <c r="A895" i="1"/>
  <c r="C895" i="1"/>
  <c r="S895" i="1"/>
  <c r="T895" i="1"/>
  <c r="U895" i="1"/>
  <c r="BD895" i="1"/>
  <c r="CE895" i="1"/>
  <c r="A896" i="1"/>
  <c r="C896" i="1"/>
  <c r="S896" i="1"/>
  <c r="T896" i="1"/>
  <c r="U896" i="1"/>
  <c r="BD896" i="1"/>
  <c r="CE896" i="1"/>
  <c r="A897" i="1"/>
  <c r="C897" i="1"/>
  <c r="S897" i="1"/>
  <c r="T897" i="1"/>
  <c r="U897" i="1"/>
  <c r="BD897" i="1"/>
  <c r="CE897" i="1"/>
  <c r="A898" i="1"/>
  <c r="C898" i="1"/>
  <c r="S898" i="1"/>
  <c r="T898" i="1"/>
  <c r="U898" i="1"/>
  <c r="BD898" i="1"/>
  <c r="CE898" i="1"/>
  <c r="A899" i="1"/>
  <c r="C899" i="1"/>
  <c r="S899" i="1"/>
  <c r="T899" i="1"/>
  <c r="U899" i="1"/>
  <c r="BD899" i="1"/>
  <c r="CE899" i="1"/>
  <c r="A900" i="1"/>
  <c r="C900" i="1"/>
  <c r="S900" i="1"/>
  <c r="T900" i="1"/>
  <c r="U900" i="1"/>
  <c r="BD900" i="1"/>
  <c r="CE900" i="1"/>
  <c r="A901" i="1"/>
  <c r="C901" i="1"/>
  <c r="S901" i="1"/>
  <c r="T901" i="1"/>
  <c r="U901" i="1"/>
  <c r="BD901" i="1"/>
  <c r="CE901" i="1"/>
  <c r="A902" i="1"/>
  <c r="C902" i="1"/>
  <c r="S902" i="1"/>
  <c r="T902" i="1"/>
  <c r="U902" i="1"/>
  <c r="BD902" i="1"/>
  <c r="CE902" i="1"/>
  <c r="A903" i="1"/>
  <c r="C903" i="1"/>
  <c r="S903" i="1"/>
  <c r="T903" i="1"/>
  <c r="U903" i="1"/>
  <c r="BD903" i="1"/>
  <c r="CE903" i="1"/>
  <c r="A904" i="1"/>
  <c r="C904" i="1"/>
  <c r="S904" i="1"/>
  <c r="T904" i="1"/>
  <c r="U904" i="1"/>
  <c r="BD904" i="1"/>
  <c r="CE904" i="1"/>
  <c r="A905" i="1"/>
  <c r="C905" i="1"/>
  <c r="S905" i="1"/>
  <c r="T905" i="1"/>
  <c r="U905" i="1"/>
  <c r="BD905" i="1"/>
  <c r="CE905" i="1"/>
  <c r="A906" i="1"/>
  <c r="C906" i="1"/>
  <c r="S906" i="1"/>
  <c r="T906" i="1"/>
  <c r="U906" i="1"/>
  <c r="BD906" i="1"/>
  <c r="CE906" i="1"/>
  <c r="A907" i="1"/>
  <c r="C907" i="1"/>
  <c r="S907" i="1"/>
  <c r="T907" i="1"/>
  <c r="U907" i="1"/>
  <c r="BD907" i="1"/>
  <c r="CE907" i="1"/>
  <c r="A908" i="1"/>
  <c r="C908" i="1"/>
  <c r="S908" i="1"/>
  <c r="T908" i="1"/>
  <c r="U908" i="1"/>
  <c r="BD908" i="1"/>
  <c r="CE908" i="1"/>
  <c r="A909" i="1"/>
  <c r="C909" i="1"/>
  <c r="S909" i="1"/>
  <c r="T909" i="1"/>
  <c r="U909" i="1"/>
  <c r="BD909" i="1"/>
  <c r="CE909" i="1"/>
  <c r="A910" i="1"/>
  <c r="C910" i="1"/>
  <c r="S910" i="1"/>
  <c r="T910" i="1"/>
  <c r="U910" i="1"/>
  <c r="BD910" i="1"/>
  <c r="CE910" i="1"/>
  <c r="A911" i="1"/>
  <c r="C911" i="1"/>
  <c r="S911" i="1"/>
  <c r="T911" i="1"/>
  <c r="U911" i="1"/>
  <c r="BD911" i="1"/>
  <c r="CE911" i="1"/>
  <c r="A912" i="1"/>
  <c r="C912" i="1"/>
  <c r="S912" i="1"/>
  <c r="T912" i="1"/>
  <c r="U912" i="1"/>
  <c r="BD912" i="1"/>
  <c r="CE912" i="1"/>
  <c r="A913" i="1"/>
  <c r="C913" i="1"/>
  <c r="S913" i="1"/>
  <c r="T913" i="1"/>
  <c r="U913" i="1"/>
  <c r="BD913" i="1"/>
  <c r="CE913" i="1"/>
  <c r="A914" i="1"/>
  <c r="C914" i="1"/>
  <c r="S914" i="1"/>
  <c r="T914" i="1"/>
  <c r="U914" i="1"/>
  <c r="BD914" i="1"/>
  <c r="CE914" i="1"/>
  <c r="A915" i="1"/>
  <c r="C915" i="1"/>
  <c r="S915" i="1"/>
  <c r="T915" i="1"/>
  <c r="U915" i="1"/>
  <c r="BD915" i="1"/>
  <c r="CE915" i="1"/>
  <c r="A916" i="1"/>
  <c r="C916" i="1"/>
  <c r="S916" i="1"/>
  <c r="T916" i="1"/>
  <c r="U916" i="1"/>
  <c r="BD916" i="1"/>
  <c r="CE916" i="1"/>
  <c r="A917" i="1"/>
  <c r="C917" i="1"/>
  <c r="S917" i="1"/>
  <c r="T917" i="1"/>
  <c r="U917" i="1"/>
  <c r="BD917" i="1"/>
  <c r="CE917" i="1"/>
  <c r="A918" i="1"/>
  <c r="C918" i="1"/>
  <c r="S918" i="1"/>
  <c r="T918" i="1"/>
  <c r="U918" i="1"/>
  <c r="BD918" i="1"/>
  <c r="CE918" i="1"/>
  <c r="A919" i="1"/>
  <c r="C919" i="1"/>
  <c r="S919" i="1"/>
  <c r="T919" i="1"/>
  <c r="U919" i="1"/>
  <c r="BD919" i="1"/>
  <c r="CE919" i="1"/>
  <c r="A920" i="1"/>
  <c r="C920" i="1"/>
  <c r="S920" i="1"/>
  <c r="T920" i="1"/>
  <c r="U920" i="1"/>
  <c r="BD920" i="1"/>
  <c r="CE920" i="1"/>
  <c r="A921" i="1"/>
  <c r="C921" i="1"/>
  <c r="S921" i="1"/>
  <c r="T921" i="1"/>
  <c r="U921" i="1"/>
  <c r="BD921" i="1"/>
  <c r="CE921" i="1"/>
  <c r="A922" i="1"/>
  <c r="C922" i="1"/>
  <c r="S922" i="1"/>
  <c r="T922" i="1"/>
  <c r="U922" i="1"/>
  <c r="BD922" i="1"/>
  <c r="CE922" i="1"/>
  <c r="A923" i="1"/>
  <c r="C923" i="1"/>
  <c r="S923" i="1"/>
  <c r="T923" i="1"/>
  <c r="U923" i="1"/>
  <c r="BD923" i="1"/>
  <c r="CE923" i="1"/>
  <c r="A924" i="1"/>
  <c r="C924" i="1"/>
  <c r="S924" i="1"/>
  <c r="T924" i="1"/>
  <c r="U924" i="1"/>
  <c r="BD924" i="1"/>
  <c r="CE924" i="1"/>
  <c r="A925" i="1"/>
  <c r="C925" i="1"/>
  <c r="S925" i="1"/>
  <c r="T925" i="1"/>
  <c r="U925" i="1"/>
  <c r="BD925" i="1"/>
  <c r="CE925" i="1"/>
  <c r="A926" i="1"/>
  <c r="C926" i="1"/>
  <c r="S926" i="1"/>
  <c r="T926" i="1"/>
  <c r="U926" i="1"/>
  <c r="BD926" i="1"/>
  <c r="CE926" i="1"/>
  <c r="A927" i="1"/>
  <c r="C927" i="1"/>
  <c r="S927" i="1"/>
  <c r="T927" i="1"/>
  <c r="U927" i="1"/>
  <c r="BD927" i="1"/>
  <c r="CE927" i="1"/>
  <c r="A928" i="1"/>
  <c r="C928" i="1"/>
  <c r="S928" i="1"/>
  <c r="T928" i="1"/>
  <c r="U928" i="1"/>
  <c r="BD928" i="1"/>
  <c r="CE928" i="1"/>
  <c r="A929" i="1"/>
  <c r="C929" i="1"/>
  <c r="S929" i="1"/>
  <c r="T929" i="1"/>
  <c r="U929" i="1"/>
  <c r="BD929" i="1"/>
  <c r="CE929" i="1"/>
  <c r="A930" i="1"/>
  <c r="C930" i="1"/>
  <c r="S930" i="1"/>
  <c r="T930" i="1"/>
  <c r="U930" i="1"/>
  <c r="BD930" i="1"/>
  <c r="CE930" i="1"/>
  <c r="A931" i="1"/>
  <c r="C931" i="1"/>
  <c r="S931" i="1"/>
  <c r="T931" i="1"/>
  <c r="U931" i="1"/>
  <c r="BD931" i="1"/>
  <c r="CE931" i="1"/>
  <c r="A932" i="1"/>
  <c r="C932" i="1"/>
  <c r="S932" i="1"/>
  <c r="T932" i="1"/>
  <c r="U932" i="1"/>
  <c r="BD932" i="1"/>
  <c r="CE932" i="1"/>
  <c r="A933" i="1"/>
  <c r="C933" i="1"/>
  <c r="S933" i="1"/>
  <c r="T933" i="1"/>
  <c r="U933" i="1"/>
  <c r="BD933" i="1"/>
  <c r="CE933" i="1"/>
  <c r="A934" i="1"/>
  <c r="C934" i="1"/>
  <c r="S934" i="1"/>
  <c r="T934" i="1"/>
  <c r="U934" i="1"/>
  <c r="BD934" i="1"/>
  <c r="CE934" i="1"/>
  <c r="A935" i="1"/>
  <c r="C935" i="1"/>
  <c r="S935" i="1"/>
  <c r="T935" i="1"/>
  <c r="U935" i="1"/>
  <c r="BD935" i="1"/>
  <c r="CE935" i="1"/>
  <c r="A936" i="1"/>
  <c r="C936" i="1"/>
  <c r="S936" i="1"/>
  <c r="T936" i="1"/>
  <c r="U936" i="1"/>
  <c r="BD936" i="1"/>
  <c r="CE936" i="1"/>
  <c r="A937" i="1"/>
  <c r="C937" i="1"/>
  <c r="S937" i="1"/>
  <c r="T937" i="1"/>
  <c r="U937" i="1"/>
  <c r="BD937" i="1"/>
  <c r="CE937" i="1"/>
  <c r="A938" i="1"/>
  <c r="C938" i="1"/>
  <c r="S938" i="1"/>
  <c r="T938" i="1"/>
  <c r="U938" i="1"/>
  <c r="BD938" i="1"/>
  <c r="CE938" i="1"/>
  <c r="A939" i="1"/>
  <c r="C939" i="1"/>
  <c r="S939" i="1"/>
  <c r="T939" i="1"/>
  <c r="U939" i="1"/>
  <c r="BD939" i="1"/>
  <c r="CE939" i="1"/>
  <c r="A940" i="1"/>
  <c r="C940" i="1"/>
  <c r="S940" i="1"/>
  <c r="T940" i="1"/>
  <c r="U940" i="1"/>
  <c r="BD940" i="1"/>
  <c r="CE940" i="1"/>
  <c r="A941" i="1"/>
  <c r="C941" i="1"/>
  <c r="S941" i="1"/>
  <c r="T941" i="1"/>
  <c r="U941" i="1"/>
  <c r="BD941" i="1"/>
  <c r="CE941" i="1"/>
  <c r="A942" i="1"/>
  <c r="C942" i="1"/>
  <c r="S942" i="1"/>
  <c r="T942" i="1"/>
  <c r="U942" i="1"/>
  <c r="BD942" i="1"/>
  <c r="CE942" i="1"/>
  <c r="A943" i="1"/>
  <c r="C943" i="1"/>
  <c r="S943" i="1"/>
  <c r="T943" i="1"/>
  <c r="U943" i="1"/>
  <c r="BD943" i="1"/>
  <c r="CE943" i="1"/>
  <c r="A944" i="1"/>
  <c r="C944" i="1"/>
  <c r="S944" i="1"/>
  <c r="T944" i="1"/>
  <c r="U944" i="1"/>
  <c r="BD944" i="1"/>
  <c r="CE944" i="1"/>
  <c r="A945" i="1"/>
  <c r="C945" i="1"/>
  <c r="S945" i="1"/>
  <c r="T945" i="1"/>
  <c r="U945" i="1"/>
  <c r="BD945" i="1"/>
  <c r="CE945" i="1"/>
  <c r="A946" i="1"/>
  <c r="C946" i="1"/>
  <c r="S946" i="1"/>
  <c r="T946" i="1"/>
  <c r="U946" i="1"/>
  <c r="BD946" i="1"/>
  <c r="CE946" i="1"/>
  <c r="A947" i="1"/>
  <c r="C947" i="1"/>
  <c r="S947" i="1"/>
  <c r="T947" i="1"/>
  <c r="U947" i="1"/>
  <c r="BD947" i="1"/>
  <c r="CE947" i="1"/>
  <c r="A948" i="1"/>
  <c r="C948" i="1"/>
  <c r="S948" i="1"/>
  <c r="T948" i="1"/>
  <c r="U948" i="1"/>
  <c r="BD948" i="1"/>
  <c r="CE948" i="1"/>
  <c r="A949" i="1"/>
  <c r="C949" i="1"/>
  <c r="S949" i="1"/>
  <c r="T949" i="1"/>
  <c r="U949" i="1"/>
  <c r="BD949" i="1"/>
  <c r="CE949" i="1"/>
  <c r="A950" i="1"/>
  <c r="C950" i="1"/>
  <c r="S950" i="1"/>
  <c r="T950" i="1"/>
  <c r="U950" i="1"/>
  <c r="BD950" i="1"/>
  <c r="CE950" i="1"/>
  <c r="A951" i="1"/>
  <c r="C951" i="1"/>
  <c r="S951" i="1"/>
  <c r="T951" i="1"/>
  <c r="U951" i="1"/>
  <c r="BD951" i="1"/>
  <c r="CE951" i="1"/>
  <c r="A952" i="1"/>
  <c r="C952" i="1"/>
  <c r="S952" i="1"/>
  <c r="T952" i="1"/>
  <c r="U952" i="1"/>
  <c r="BD952" i="1"/>
  <c r="CE952" i="1"/>
  <c r="A953" i="1"/>
  <c r="C953" i="1"/>
  <c r="S953" i="1"/>
  <c r="T953" i="1"/>
  <c r="U953" i="1"/>
  <c r="BD953" i="1"/>
  <c r="CE953" i="1"/>
  <c r="A954" i="1"/>
  <c r="C954" i="1"/>
  <c r="S954" i="1"/>
  <c r="T954" i="1"/>
  <c r="U954" i="1"/>
  <c r="BD954" i="1"/>
  <c r="CE954" i="1"/>
  <c r="A955" i="1"/>
  <c r="C955" i="1"/>
  <c r="S955" i="1"/>
  <c r="T955" i="1"/>
  <c r="U955" i="1"/>
  <c r="BD955" i="1"/>
  <c r="CE955" i="1"/>
  <c r="A956" i="1"/>
  <c r="C956" i="1"/>
  <c r="S956" i="1"/>
  <c r="T956" i="1"/>
  <c r="U956" i="1"/>
  <c r="BD956" i="1"/>
  <c r="CE956" i="1"/>
  <c r="A957" i="1"/>
  <c r="C957" i="1"/>
  <c r="S957" i="1"/>
  <c r="T957" i="1"/>
  <c r="U957" i="1"/>
  <c r="BD957" i="1"/>
  <c r="CE957" i="1"/>
  <c r="A958" i="1"/>
  <c r="C958" i="1"/>
  <c r="S958" i="1"/>
  <c r="T958" i="1"/>
  <c r="U958" i="1"/>
  <c r="BD958" i="1"/>
  <c r="CE958" i="1"/>
  <c r="A959" i="1"/>
  <c r="C959" i="1"/>
  <c r="S959" i="1"/>
  <c r="T959" i="1"/>
  <c r="U959" i="1"/>
  <c r="BD959" i="1"/>
  <c r="CE959" i="1"/>
  <c r="A960" i="1"/>
  <c r="C960" i="1"/>
  <c r="S960" i="1"/>
  <c r="T960" i="1"/>
  <c r="U960" i="1"/>
  <c r="BD960" i="1"/>
  <c r="CE960" i="1"/>
  <c r="A961" i="1"/>
  <c r="C961" i="1"/>
  <c r="S961" i="1"/>
  <c r="T961" i="1"/>
  <c r="U961" i="1"/>
  <c r="BD961" i="1"/>
  <c r="CE961" i="1"/>
  <c r="A962" i="1"/>
  <c r="C962" i="1"/>
  <c r="S962" i="1"/>
  <c r="T962" i="1"/>
  <c r="U962" i="1"/>
  <c r="BD962" i="1"/>
  <c r="CE962" i="1"/>
  <c r="A963" i="1"/>
  <c r="C963" i="1"/>
  <c r="S963" i="1"/>
  <c r="T963" i="1"/>
  <c r="U963" i="1"/>
  <c r="BD963" i="1"/>
  <c r="CE963" i="1"/>
  <c r="A964" i="1"/>
  <c r="C964" i="1"/>
  <c r="S964" i="1"/>
  <c r="T964" i="1"/>
  <c r="U964" i="1"/>
  <c r="BD964" i="1"/>
  <c r="CE964" i="1"/>
  <c r="A965" i="1"/>
  <c r="C965" i="1"/>
  <c r="S965" i="1"/>
  <c r="T965" i="1"/>
  <c r="U965" i="1"/>
  <c r="BD965" i="1"/>
  <c r="CE965" i="1"/>
  <c r="A966" i="1"/>
  <c r="C966" i="1"/>
  <c r="S966" i="1"/>
  <c r="T966" i="1"/>
  <c r="U966" i="1"/>
  <c r="BD966" i="1"/>
  <c r="CE966" i="1"/>
  <c r="A967" i="1"/>
  <c r="C967" i="1"/>
  <c r="S967" i="1"/>
  <c r="T967" i="1"/>
  <c r="U967" i="1"/>
  <c r="BD967" i="1"/>
  <c r="CE967" i="1"/>
  <c r="A968" i="1"/>
  <c r="C968" i="1"/>
  <c r="S968" i="1"/>
  <c r="T968" i="1"/>
  <c r="U968" i="1"/>
  <c r="BD968" i="1"/>
  <c r="CE968" i="1"/>
  <c r="A969" i="1"/>
  <c r="C969" i="1"/>
  <c r="S969" i="1"/>
  <c r="T969" i="1"/>
  <c r="U969" i="1"/>
  <c r="BD969" i="1"/>
  <c r="CE969" i="1"/>
  <c r="A970" i="1"/>
  <c r="C970" i="1"/>
  <c r="S970" i="1"/>
  <c r="T970" i="1"/>
  <c r="U970" i="1"/>
  <c r="BD970" i="1"/>
  <c r="CE970" i="1"/>
  <c r="A971" i="1"/>
  <c r="C971" i="1"/>
  <c r="S971" i="1"/>
  <c r="T971" i="1"/>
  <c r="U971" i="1"/>
  <c r="BD971" i="1"/>
  <c r="CE971" i="1"/>
  <c r="A972" i="1"/>
  <c r="C972" i="1"/>
  <c r="S972" i="1"/>
  <c r="T972" i="1"/>
  <c r="U972" i="1"/>
  <c r="BD972" i="1"/>
  <c r="CE972" i="1"/>
  <c r="A973" i="1"/>
  <c r="C973" i="1"/>
  <c r="S973" i="1"/>
  <c r="T973" i="1"/>
  <c r="U973" i="1"/>
  <c r="BD973" i="1"/>
  <c r="CE973" i="1"/>
  <c r="A974" i="1"/>
  <c r="C974" i="1"/>
  <c r="S974" i="1"/>
  <c r="T974" i="1"/>
  <c r="U974" i="1"/>
  <c r="BD974" i="1"/>
  <c r="CE974" i="1"/>
  <c r="A975" i="1"/>
  <c r="C975" i="1"/>
  <c r="S975" i="1"/>
  <c r="T975" i="1"/>
  <c r="U975" i="1"/>
  <c r="BD975" i="1"/>
  <c r="CE975" i="1"/>
  <c r="A976" i="1"/>
  <c r="C976" i="1"/>
  <c r="S976" i="1"/>
  <c r="T976" i="1"/>
  <c r="U976" i="1"/>
  <c r="BD976" i="1"/>
  <c r="CE976" i="1"/>
  <c r="A977" i="1"/>
  <c r="C977" i="1"/>
  <c r="S977" i="1"/>
  <c r="T977" i="1"/>
  <c r="U977" i="1"/>
  <c r="BD977" i="1"/>
  <c r="CE977" i="1"/>
  <c r="A978" i="1"/>
  <c r="C978" i="1"/>
  <c r="S978" i="1"/>
  <c r="T978" i="1"/>
  <c r="U978" i="1"/>
  <c r="BD978" i="1"/>
  <c r="CE978" i="1"/>
  <c r="A979" i="1"/>
  <c r="C979" i="1"/>
  <c r="S979" i="1"/>
  <c r="T979" i="1"/>
  <c r="U979" i="1"/>
  <c r="BD979" i="1"/>
  <c r="CE979" i="1"/>
  <c r="A980" i="1"/>
  <c r="C980" i="1"/>
  <c r="S980" i="1"/>
  <c r="T980" i="1"/>
  <c r="U980" i="1"/>
  <c r="BD980" i="1"/>
  <c r="CE980" i="1"/>
  <c r="A981" i="1"/>
  <c r="C981" i="1"/>
  <c r="S981" i="1"/>
  <c r="T981" i="1"/>
  <c r="U981" i="1"/>
  <c r="BD981" i="1"/>
  <c r="CE981" i="1"/>
  <c r="A982" i="1"/>
  <c r="C982" i="1"/>
  <c r="S982" i="1"/>
  <c r="T982" i="1"/>
  <c r="U982" i="1"/>
  <c r="BD982" i="1"/>
  <c r="CE982" i="1"/>
  <c r="A983" i="1"/>
  <c r="C983" i="1"/>
  <c r="S983" i="1"/>
  <c r="T983" i="1"/>
  <c r="U983" i="1"/>
  <c r="BD983" i="1"/>
  <c r="CE983" i="1"/>
  <c r="A984" i="1"/>
  <c r="C984" i="1"/>
  <c r="S984" i="1"/>
  <c r="T984" i="1"/>
  <c r="U984" i="1"/>
  <c r="BD984" i="1"/>
  <c r="CE984" i="1"/>
  <c r="A985" i="1"/>
  <c r="C985" i="1"/>
  <c r="S985" i="1"/>
  <c r="T985" i="1"/>
  <c r="U985" i="1"/>
  <c r="BD985" i="1"/>
  <c r="CE985" i="1"/>
  <c r="A986" i="1"/>
  <c r="C986" i="1"/>
  <c r="S986" i="1"/>
  <c r="T986" i="1"/>
  <c r="U986" i="1"/>
  <c r="BD986" i="1"/>
  <c r="CE986" i="1"/>
  <c r="A987" i="1"/>
  <c r="C987" i="1"/>
  <c r="S987" i="1"/>
  <c r="T987" i="1"/>
  <c r="U987" i="1"/>
  <c r="BD987" i="1"/>
  <c r="CE987" i="1"/>
  <c r="A988" i="1"/>
  <c r="C988" i="1"/>
  <c r="S988" i="1"/>
  <c r="T988" i="1"/>
  <c r="U988" i="1"/>
  <c r="BD988" i="1"/>
  <c r="CE988" i="1"/>
  <c r="A989" i="1"/>
  <c r="C989" i="1"/>
  <c r="S989" i="1"/>
  <c r="T989" i="1"/>
  <c r="U989" i="1"/>
  <c r="BD989" i="1"/>
  <c r="CE989" i="1"/>
  <c r="A990" i="1"/>
  <c r="C990" i="1"/>
  <c r="S990" i="1"/>
  <c r="T990" i="1"/>
  <c r="U990" i="1"/>
  <c r="BD990" i="1"/>
  <c r="CE990" i="1"/>
  <c r="A991" i="1"/>
  <c r="C991" i="1"/>
  <c r="S991" i="1"/>
  <c r="T991" i="1"/>
  <c r="U991" i="1"/>
  <c r="BD991" i="1"/>
  <c r="CE991" i="1"/>
  <c r="A992" i="1"/>
  <c r="C992" i="1"/>
  <c r="S992" i="1"/>
  <c r="T992" i="1"/>
  <c r="U992" i="1"/>
  <c r="BD992" i="1"/>
  <c r="CE992" i="1"/>
  <c r="A993" i="1"/>
  <c r="C993" i="1"/>
  <c r="S993" i="1"/>
  <c r="T993" i="1"/>
  <c r="U993" i="1"/>
  <c r="BD993" i="1"/>
  <c r="CE993" i="1"/>
  <c r="A994" i="1"/>
  <c r="C994" i="1"/>
  <c r="S994" i="1"/>
  <c r="T994" i="1"/>
  <c r="U994" i="1"/>
  <c r="BD994" i="1"/>
  <c r="CE994" i="1"/>
  <c r="A995" i="1"/>
  <c r="C995" i="1"/>
  <c r="S995" i="1"/>
  <c r="T995" i="1"/>
  <c r="U995" i="1"/>
  <c r="BD995" i="1"/>
  <c r="CE995" i="1"/>
  <c r="A996" i="1"/>
  <c r="C996" i="1"/>
  <c r="S996" i="1"/>
  <c r="T996" i="1"/>
  <c r="U996" i="1"/>
  <c r="BD996" i="1"/>
  <c r="CE996" i="1"/>
  <c r="A997" i="1"/>
  <c r="C997" i="1"/>
  <c r="S997" i="1"/>
  <c r="T997" i="1"/>
  <c r="U997" i="1"/>
  <c r="BD997" i="1"/>
  <c r="CE997" i="1"/>
  <c r="A998" i="1"/>
  <c r="C998" i="1"/>
  <c r="S998" i="1"/>
  <c r="T998" i="1"/>
  <c r="U998" i="1"/>
  <c r="BD998" i="1"/>
  <c r="CE998" i="1"/>
  <c r="A999" i="1"/>
  <c r="C999" i="1"/>
  <c r="S999" i="1"/>
  <c r="T999" i="1"/>
  <c r="U999" i="1"/>
  <c r="BD999" i="1"/>
  <c r="CE999" i="1"/>
  <c r="A1000" i="1"/>
  <c r="C1000" i="1"/>
  <c r="S1000" i="1"/>
  <c r="T1000" i="1"/>
  <c r="U1000" i="1"/>
  <c r="BD1000" i="1"/>
  <c r="CE1000" i="1"/>
  <c r="A1001" i="1"/>
  <c r="C1001" i="1"/>
  <c r="S1001" i="1"/>
  <c r="T1001" i="1"/>
  <c r="U1001" i="1"/>
  <c r="BD1001" i="1"/>
  <c r="CE1001" i="1"/>
  <c r="A1002" i="1"/>
  <c r="C1002" i="1"/>
  <c r="S1002" i="1"/>
  <c r="T1002" i="1"/>
  <c r="U1002" i="1"/>
  <c r="BD1002" i="1"/>
  <c r="CE1002" i="1"/>
  <c r="A1003" i="1"/>
  <c r="C1003" i="1"/>
  <c r="S1003" i="1"/>
  <c r="T1003" i="1"/>
  <c r="U1003" i="1"/>
  <c r="BD1003" i="1"/>
  <c r="CE1003" i="1"/>
  <c r="A1004" i="1"/>
  <c r="C1004" i="1"/>
  <c r="S1004" i="1"/>
  <c r="T1004" i="1"/>
  <c r="U1004" i="1"/>
  <c r="BD1004" i="1"/>
  <c r="CE1004" i="1"/>
  <c r="A1005" i="1"/>
  <c r="C1005" i="1"/>
  <c r="S1005" i="1"/>
  <c r="T1005" i="1"/>
  <c r="U1005" i="1"/>
  <c r="BD1005" i="1"/>
  <c r="CE1005" i="1"/>
  <c r="A1006" i="1"/>
  <c r="C1006" i="1"/>
  <c r="S1006" i="1"/>
  <c r="T1006" i="1"/>
  <c r="U1006" i="1"/>
  <c r="BD1006" i="1"/>
  <c r="CE1006" i="1"/>
  <c r="A1007" i="1"/>
  <c r="C1007" i="1"/>
  <c r="S1007" i="1"/>
  <c r="T1007" i="1"/>
  <c r="U1007" i="1"/>
  <c r="BD1007" i="1"/>
  <c r="CE1007" i="1"/>
  <c r="A1008" i="1"/>
  <c r="C1008" i="1"/>
  <c r="S1008" i="1"/>
  <c r="T1008" i="1"/>
  <c r="U1008" i="1"/>
  <c r="BD1008" i="1"/>
  <c r="CE1008" i="1"/>
  <c r="A1009" i="1"/>
  <c r="C1009" i="1"/>
  <c r="S1009" i="1"/>
  <c r="T1009" i="1"/>
  <c r="U1009" i="1"/>
  <c r="BD1009" i="1"/>
  <c r="CE1009" i="1"/>
  <c r="A1010" i="1"/>
  <c r="C1010" i="1"/>
  <c r="S1010" i="1"/>
  <c r="T1010" i="1"/>
  <c r="U1010" i="1"/>
  <c r="BD1010" i="1"/>
  <c r="CE1010" i="1"/>
  <c r="A1011" i="1"/>
  <c r="C1011" i="1"/>
  <c r="S1011" i="1"/>
  <c r="T1011" i="1"/>
  <c r="U1011" i="1"/>
  <c r="BD1011" i="1"/>
  <c r="CE1011" i="1"/>
  <c r="A1012" i="1"/>
  <c r="C1012" i="1"/>
  <c r="S1012" i="1"/>
  <c r="T1012" i="1"/>
  <c r="U1012" i="1"/>
  <c r="BD1012" i="1"/>
  <c r="CE1012" i="1"/>
  <c r="A1013" i="1"/>
  <c r="C1013" i="1"/>
  <c r="S1013" i="1"/>
  <c r="T1013" i="1"/>
  <c r="U1013" i="1"/>
  <c r="BD1013" i="1"/>
  <c r="CE1013" i="1"/>
  <c r="A1014" i="1"/>
  <c r="C1014" i="1"/>
  <c r="S1014" i="1"/>
  <c r="T1014" i="1"/>
  <c r="U1014" i="1"/>
  <c r="BD1014" i="1"/>
  <c r="CE1014" i="1"/>
  <c r="A1015" i="1"/>
  <c r="C1015" i="1"/>
  <c r="S1015" i="1"/>
  <c r="T1015" i="1"/>
  <c r="U1015" i="1"/>
  <c r="BD1015" i="1"/>
  <c r="CE1015" i="1"/>
  <c r="A1016" i="1"/>
  <c r="C1016" i="1"/>
  <c r="S1016" i="1"/>
  <c r="T1016" i="1"/>
  <c r="U1016" i="1"/>
  <c r="BD1016" i="1"/>
  <c r="CE1016" i="1"/>
  <c r="A1017" i="1"/>
  <c r="C1017" i="1"/>
  <c r="S1017" i="1"/>
  <c r="T1017" i="1"/>
  <c r="U1017" i="1"/>
  <c r="BD1017" i="1"/>
  <c r="CE1017" i="1"/>
  <c r="A1018" i="1"/>
  <c r="C1018" i="1"/>
  <c r="S1018" i="1"/>
  <c r="T1018" i="1"/>
  <c r="U1018" i="1"/>
  <c r="BD1018" i="1"/>
  <c r="CE1018" i="1"/>
  <c r="A1019" i="1"/>
  <c r="C1019" i="1"/>
  <c r="S1019" i="1"/>
  <c r="T1019" i="1"/>
  <c r="U1019" i="1"/>
  <c r="BD1019" i="1"/>
  <c r="CE1019" i="1"/>
  <c r="A1020" i="1"/>
  <c r="C1020" i="1"/>
  <c r="S1020" i="1"/>
  <c r="T1020" i="1"/>
  <c r="U1020" i="1"/>
  <c r="BD1020" i="1"/>
  <c r="CE1020" i="1"/>
  <c r="A1021" i="1"/>
  <c r="C1021" i="1"/>
  <c r="S1021" i="1"/>
  <c r="T1021" i="1"/>
  <c r="U1021" i="1"/>
  <c r="BD1021" i="1"/>
  <c r="CE1021" i="1"/>
  <c r="A1022" i="1"/>
  <c r="C1022" i="1"/>
  <c r="S1022" i="1"/>
  <c r="T1022" i="1"/>
  <c r="U1022" i="1"/>
  <c r="BD1022" i="1"/>
  <c r="CE1022" i="1"/>
  <c r="A1023" i="1"/>
  <c r="C1023" i="1"/>
  <c r="S1023" i="1"/>
  <c r="T1023" i="1"/>
  <c r="U1023" i="1"/>
  <c r="BD1023" i="1"/>
  <c r="CE1023" i="1"/>
  <c r="A1024" i="1"/>
  <c r="C1024" i="1"/>
  <c r="S1024" i="1"/>
  <c r="T1024" i="1"/>
  <c r="U1024" i="1"/>
  <c r="BD1024" i="1"/>
  <c r="CE1024" i="1"/>
  <c r="A1025" i="1"/>
  <c r="C1025" i="1"/>
  <c r="S1025" i="1"/>
  <c r="T1025" i="1"/>
  <c r="U1025" i="1"/>
  <c r="BD1025" i="1"/>
  <c r="CE1025" i="1"/>
  <c r="A1026" i="1"/>
  <c r="C1026" i="1"/>
  <c r="S1026" i="1"/>
  <c r="T1026" i="1"/>
  <c r="U1026" i="1"/>
  <c r="BD1026" i="1"/>
  <c r="CE1026" i="1"/>
  <c r="A1027" i="1"/>
  <c r="C1027" i="1"/>
  <c r="S1027" i="1"/>
  <c r="T1027" i="1"/>
  <c r="U1027" i="1"/>
  <c r="BD1027" i="1"/>
  <c r="CE1027" i="1"/>
  <c r="A1028" i="1"/>
  <c r="C1028" i="1"/>
  <c r="S1028" i="1"/>
  <c r="T1028" i="1"/>
  <c r="U1028" i="1"/>
  <c r="BD1028" i="1"/>
  <c r="CE1028" i="1"/>
  <c r="A1029" i="1"/>
  <c r="C1029" i="1"/>
  <c r="S1029" i="1"/>
  <c r="T1029" i="1"/>
  <c r="U1029" i="1"/>
  <c r="BD1029" i="1"/>
  <c r="CE1029" i="1"/>
  <c r="A1030" i="1"/>
  <c r="C1030" i="1"/>
  <c r="S1030" i="1"/>
  <c r="T1030" i="1"/>
  <c r="U1030" i="1"/>
  <c r="BD1030" i="1"/>
  <c r="CE1030" i="1"/>
  <c r="A1031" i="1"/>
  <c r="C1031" i="1"/>
  <c r="S1031" i="1"/>
  <c r="T1031" i="1"/>
  <c r="U1031" i="1"/>
  <c r="BD1031" i="1"/>
  <c r="CE1031" i="1"/>
  <c r="A1032" i="1"/>
  <c r="C1032" i="1"/>
  <c r="S1032" i="1"/>
  <c r="T1032" i="1"/>
  <c r="U1032" i="1"/>
  <c r="BD1032" i="1"/>
  <c r="CE1032" i="1"/>
  <c r="A1033" i="1"/>
  <c r="C1033" i="1"/>
  <c r="S1033" i="1"/>
  <c r="T1033" i="1"/>
  <c r="U1033" i="1"/>
  <c r="BD1033" i="1"/>
  <c r="CE1033" i="1"/>
  <c r="A1034" i="1"/>
  <c r="C1034" i="1"/>
  <c r="S1034" i="1"/>
  <c r="T1034" i="1"/>
  <c r="U1034" i="1"/>
  <c r="BD1034" i="1"/>
  <c r="CE1034" i="1"/>
  <c r="A1035" i="1"/>
  <c r="C1035" i="1"/>
  <c r="S1035" i="1"/>
  <c r="T1035" i="1"/>
  <c r="U1035" i="1"/>
  <c r="BD1035" i="1"/>
  <c r="CE1035" i="1"/>
  <c r="A1036" i="1"/>
  <c r="C1036" i="1"/>
  <c r="S1036" i="1"/>
  <c r="T1036" i="1"/>
  <c r="U1036" i="1"/>
  <c r="BD1036" i="1"/>
  <c r="CE1036" i="1"/>
  <c r="A1037" i="1"/>
  <c r="C1037" i="1"/>
  <c r="S1037" i="1"/>
  <c r="T1037" i="1"/>
  <c r="U1037" i="1"/>
  <c r="BD1037" i="1"/>
  <c r="CE1037" i="1"/>
  <c r="A1038" i="1"/>
  <c r="C1038" i="1"/>
  <c r="S1038" i="1"/>
  <c r="T1038" i="1"/>
  <c r="U1038" i="1"/>
  <c r="BD1038" i="1"/>
  <c r="CE1038" i="1"/>
  <c r="A1039" i="1"/>
  <c r="C1039" i="1"/>
  <c r="S1039" i="1"/>
  <c r="T1039" i="1"/>
  <c r="U1039" i="1"/>
  <c r="BD1039" i="1"/>
  <c r="CE1039" i="1"/>
  <c r="A1040" i="1"/>
  <c r="C1040" i="1"/>
  <c r="S1040" i="1"/>
  <c r="T1040" i="1"/>
  <c r="U1040" i="1"/>
  <c r="BD1040" i="1"/>
  <c r="CE1040" i="1"/>
  <c r="A1041" i="1"/>
  <c r="C1041" i="1"/>
  <c r="S1041" i="1"/>
  <c r="T1041" i="1"/>
  <c r="U1041" i="1"/>
  <c r="BD1041" i="1"/>
  <c r="CE1041" i="1"/>
  <c r="A1042" i="1"/>
  <c r="C1042" i="1"/>
  <c r="S1042" i="1"/>
  <c r="T1042" i="1"/>
  <c r="U1042" i="1"/>
  <c r="BD1042" i="1"/>
  <c r="CE1042" i="1"/>
  <c r="A1043" i="1"/>
  <c r="C1043" i="1"/>
  <c r="S1043" i="1"/>
  <c r="T1043" i="1"/>
  <c r="U1043" i="1"/>
  <c r="BD1043" i="1"/>
  <c r="CE1043" i="1"/>
  <c r="A1044" i="1"/>
  <c r="C1044" i="1"/>
  <c r="S1044" i="1"/>
  <c r="T1044" i="1"/>
  <c r="U1044" i="1"/>
  <c r="BD1044" i="1"/>
  <c r="CE1044" i="1"/>
  <c r="A1045" i="1"/>
  <c r="C1045" i="1"/>
  <c r="S1045" i="1"/>
  <c r="T1045" i="1"/>
  <c r="U1045" i="1"/>
  <c r="BD1045" i="1"/>
  <c r="CE1045" i="1"/>
  <c r="A1046" i="1"/>
  <c r="C1046" i="1"/>
  <c r="S1046" i="1"/>
  <c r="T1046" i="1"/>
  <c r="U1046" i="1"/>
  <c r="BD1046" i="1"/>
  <c r="CE1046" i="1"/>
  <c r="A1047" i="1"/>
  <c r="C1047" i="1"/>
  <c r="S1047" i="1"/>
  <c r="T1047" i="1"/>
  <c r="U1047" i="1"/>
  <c r="BD1047" i="1"/>
  <c r="CE1047" i="1"/>
  <c r="A1048" i="1"/>
  <c r="C1048" i="1"/>
  <c r="S1048" i="1"/>
  <c r="T1048" i="1"/>
  <c r="U1048" i="1"/>
  <c r="BD1048" i="1"/>
  <c r="CE1048" i="1"/>
  <c r="A1049" i="1"/>
  <c r="C1049" i="1"/>
  <c r="S1049" i="1"/>
  <c r="T1049" i="1"/>
  <c r="U1049" i="1"/>
  <c r="BD1049" i="1"/>
  <c r="CE1049" i="1"/>
  <c r="A1050" i="1"/>
  <c r="C1050" i="1"/>
  <c r="S1050" i="1"/>
  <c r="T1050" i="1"/>
  <c r="U1050" i="1"/>
  <c r="BD1050" i="1"/>
  <c r="CE1050" i="1"/>
  <c r="A1051" i="1"/>
  <c r="C1051" i="1"/>
  <c r="S1051" i="1"/>
  <c r="T1051" i="1"/>
  <c r="U1051" i="1"/>
  <c r="BD1051" i="1"/>
  <c r="CE1051" i="1"/>
  <c r="A1052" i="1"/>
  <c r="C1052" i="1"/>
  <c r="S1052" i="1"/>
  <c r="T1052" i="1"/>
  <c r="U1052" i="1"/>
  <c r="BD1052" i="1"/>
  <c r="CE1052" i="1"/>
  <c r="A1053" i="1"/>
  <c r="C1053" i="1"/>
  <c r="S1053" i="1"/>
  <c r="T1053" i="1"/>
  <c r="U1053" i="1"/>
  <c r="BD1053" i="1"/>
  <c r="CE1053" i="1"/>
  <c r="A1054" i="1"/>
  <c r="C1054" i="1"/>
  <c r="S1054" i="1"/>
  <c r="T1054" i="1"/>
  <c r="U1054" i="1"/>
  <c r="BD1054" i="1"/>
  <c r="CE1054" i="1"/>
  <c r="A1055" i="1"/>
  <c r="C1055" i="1"/>
  <c r="S1055" i="1"/>
  <c r="T1055" i="1"/>
  <c r="U1055" i="1"/>
  <c r="BD1055" i="1"/>
  <c r="CE1055" i="1"/>
  <c r="A1056" i="1"/>
  <c r="C1056" i="1"/>
  <c r="S1056" i="1"/>
  <c r="T1056" i="1"/>
  <c r="U1056" i="1"/>
  <c r="BD1056" i="1"/>
  <c r="CE1056" i="1"/>
  <c r="A1057" i="1"/>
  <c r="C1057" i="1"/>
  <c r="S1057" i="1"/>
  <c r="T1057" i="1"/>
  <c r="U1057" i="1"/>
  <c r="BD1057" i="1"/>
  <c r="CE1057" i="1"/>
  <c r="A1058" i="1"/>
  <c r="C1058" i="1"/>
  <c r="S1058" i="1"/>
  <c r="T1058" i="1"/>
  <c r="U1058" i="1"/>
  <c r="BD1058" i="1"/>
  <c r="CE1058" i="1"/>
  <c r="A1059" i="1"/>
  <c r="C1059" i="1"/>
  <c r="S1059" i="1"/>
  <c r="T1059" i="1"/>
  <c r="U1059" i="1"/>
  <c r="BD1059" i="1"/>
  <c r="CE1059" i="1"/>
  <c r="A1060" i="1"/>
  <c r="C1060" i="1"/>
  <c r="S1060" i="1"/>
  <c r="T1060" i="1"/>
  <c r="U1060" i="1"/>
  <c r="BD1060" i="1"/>
  <c r="CE1060" i="1"/>
  <c r="A1061" i="1"/>
  <c r="C1061" i="1"/>
  <c r="S1061" i="1"/>
  <c r="T1061" i="1"/>
  <c r="U1061" i="1"/>
  <c r="BD1061" i="1"/>
  <c r="CE1061" i="1"/>
  <c r="A1062" i="1"/>
  <c r="C1062" i="1"/>
  <c r="S1062" i="1"/>
  <c r="T1062" i="1"/>
  <c r="U1062" i="1"/>
  <c r="BD1062" i="1"/>
  <c r="CE1062" i="1"/>
  <c r="A1063" i="1"/>
  <c r="C1063" i="1"/>
  <c r="S1063" i="1"/>
  <c r="T1063" i="1"/>
  <c r="U1063" i="1"/>
  <c r="BD1063" i="1"/>
  <c r="CE1063" i="1"/>
  <c r="A1064" i="1"/>
  <c r="C1064" i="1"/>
  <c r="S1064" i="1"/>
  <c r="T1064" i="1"/>
  <c r="U1064" i="1"/>
  <c r="BD1064" i="1"/>
  <c r="CE1064" i="1"/>
  <c r="A1065" i="1"/>
  <c r="C1065" i="1"/>
  <c r="S1065" i="1"/>
  <c r="T1065" i="1"/>
  <c r="U1065" i="1"/>
  <c r="BD1065" i="1"/>
  <c r="CE1065" i="1"/>
  <c r="A1066" i="1"/>
  <c r="C1066" i="1"/>
  <c r="S1066" i="1"/>
  <c r="T1066" i="1"/>
  <c r="U1066" i="1"/>
  <c r="BD1066" i="1"/>
  <c r="CE1066" i="1"/>
  <c r="A1067" i="1"/>
  <c r="C1067" i="1"/>
  <c r="S1067" i="1"/>
  <c r="T1067" i="1"/>
  <c r="U1067" i="1"/>
  <c r="BD1067" i="1"/>
  <c r="CE1067" i="1"/>
  <c r="A1068" i="1"/>
  <c r="C1068" i="1"/>
  <c r="S1068" i="1"/>
  <c r="T1068" i="1"/>
  <c r="U1068" i="1"/>
  <c r="BD1068" i="1"/>
  <c r="CE1068" i="1"/>
  <c r="A1069" i="1"/>
  <c r="C1069" i="1"/>
  <c r="S1069" i="1"/>
  <c r="T1069" i="1"/>
  <c r="U1069" i="1"/>
  <c r="BD1069" i="1"/>
  <c r="CE1069" i="1"/>
  <c r="A1070" i="1"/>
  <c r="C1070" i="1"/>
  <c r="S1070" i="1"/>
  <c r="T1070" i="1"/>
  <c r="U1070" i="1"/>
  <c r="BD1070" i="1"/>
  <c r="CE1070" i="1"/>
  <c r="A1071" i="1"/>
  <c r="C1071" i="1"/>
  <c r="S1071" i="1"/>
  <c r="T1071" i="1"/>
  <c r="U1071" i="1"/>
  <c r="BD1071" i="1"/>
  <c r="CE1071" i="1"/>
  <c r="A1072" i="1"/>
  <c r="C1072" i="1"/>
  <c r="S1072" i="1"/>
  <c r="T1072" i="1"/>
  <c r="U1072" i="1"/>
  <c r="BD1072" i="1"/>
  <c r="CE1072" i="1"/>
  <c r="A1073" i="1"/>
  <c r="C1073" i="1"/>
  <c r="S1073" i="1"/>
  <c r="T1073" i="1"/>
  <c r="U1073" i="1"/>
  <c r="BD1073" i="1"/>
  <c r="CE1073" i="1"/>
  <c r="A1074" i="1"/>
  <c r="C1074" i="1"/>
  <c r="S1074" i="1"/>
  <c r="T1074" i="1"/>
  <c r="U1074" i="1"/>
  <c r="BD1074" i="1"/>
  <c r="CE1074" i="1"/>
  <c r="A1075" i="1"/>
  <c r="C1075" i="1"/>
  <c r="S1075" i="1"/>
  <c r="T1075" i="1"/>
  <c r="U1075" i="1"/>
  <c r="BD1075" i="1"/>
  <c r="CE1075" i="1"/>
  <c r="A1076" i="1"/>
  <c r="C1076" i="1"/>
  <c r="S1076" i="1"/>
  <c r="T1076" i="1"/>
  <c r="U1076" i="1"/>
  <c r="BD1076" i="1"/>
  <c r="CE1076" i="1"/>
  <c r="A1077" i="1"/>
  <c r="C1077" i="1"/>
  <c r="S1077" i="1"/>
  <c r="T1077" i="1"/>
  <c r="U1077" i="1"/>
  <c r="BD1077" i="1"/>
  <c r="CE1077" i="1"/>
  <c r="A1078" i="1"/>
  <c r="C1078" i="1"/>
  <c r="S1078" i="1"/>
  <c r="T1078" i="1"/>
  <c r="U1078" i="1"/>
  <c r="BD1078" i="1"/>
  <c r="CE1078" i="1"/>
  <c r="A1079" i="1"/>
  <c r="C1079" i="1"/>
  <c r="S1079" i="1"/>
  <c r="T1079" i="1"/>
  <c r="U1079" i="1"/>
  <c r="BD1079" i="1"/>
  <c r="CE1079" i="1"/>
  <c r="A1080" i="1"/>
  <c r="C1080" i="1"/>
  <c r="S1080" i="1"/>
  <c r="T1080" i="1"/>
  <c r="U1080" i="1"/>
  <c r="BD1080" i="1"/>
  <c r="CE1080" i="1"/>
  <c r="A1081" i="1"/>
  <c r="C1081" i="1"/>
  <c r="S1081" i="1"/>
  <c r="T1081" i="1"/>
  <c r="U1081" i="1"/>
  <c r="BD1081" i="1"/>
  <c r="CE1081" i="1"/>
  <c r="A1082" i="1"/>
  <c r="C1082" i="1"/>
  <c r="S1082" i="1"/>
  <c r="T1082" i="1"/>
  <c r="U1082" i="1"/>
  <c r="BD1082" i="1"/>
  <c r="CE1082" i="1"/>
  <c r="A1083" i="1"/>
  <c r="C1083" i="1"/>
  <c r="S1083" i="1"/>
  <c r="T1083" i="1"/>
  <c r="U1083" i="1"/>
  <c r="BD1083" i="1"/>
  <c r="CE1083" i="1"/>
  <c r="A1084" i="1"/>
  <c r="C1084" i="1"/>
  <c r="S1084" i="1"/>
  <c r="T1084" i="1"/>
  <c r="U1084" i="1"/>
  <c r="BD1084" i="1"/>
  <c r="CE1084" i="1"/>
  <c r="A1085" i="1"/>
  <c r="C1085" i="1"/>
  <c r="S1085" i="1"/>
  <c r="T1085" i="1"/>
  <c r="U1085" i="1"/>
  <c r="BD1085" i="1"/>
  <c r="CE1085" i="1"/>
  <c r="A1086" i="1"/>
  <c r="C1086" i="1"/>
  <c r="S1086" i="1"/>
  <c r="T1086" i="1"/>
  <c r="U1086" i="1"/>
  <c r="BD1086" i="1"/>
  <c r="CE1086" i="1"/>
  <c r="A1087" i="1"/>
  <c r="C1087" i="1"/>
  <c r="S1087" i="1"/>
  <c r="T1087" i="1"/>
  <c r="U1087" i="1"/>
  <c r="BD1087" i="1"/>
  <c r="CE1087" i="1"/>
  <c r="A1088" i="1"/>
  <c r="C1088" i="1"/>
  <c r="S1088" i="1"/>
  <c r="T1088" i="1"/>
  <c r="U1088" i="1"/>
  <c r="BD1088" i="1"/>
  <c r="CE1088" i="1"/>
  <c r="A1089" i="1"/>
  <c r="C1089" i="1"/>
  <c r="S1089" i="1"/>
  <c r="T1089" i="1"/>
  <c r="U1089" i="1"/>
  <c r="BD1089" i="1"/>
  <c r="CE1089" i="1"/>
  <c r="A1090" i="1"/>
  <c r="C1090" i="1"/>
  <c r="S1090" i="1"/>
  <c r="T1090" i="1"/>
  <c r="U1090" i="1"/>
  <c r="BD1090" i="1"/>
  <c r="CE1090" i="1"/>
  <c r="A1091" i="1"/>
  <c r="C1091" i="1"/>
  <c r="S1091" i="1"/>
  <c r="T1091" i="1"/>
  <c r="U1091" i="1"/>
  <c r="BD1091" i="1"/>
  <c r="CE1091" i="1"/>
  <c r="A1092" i="1"/>
  <c r="C1092" i="1"/>
  <c r="S1092" i="1"/>
  <c r="T1092" i="1"/>
  <c r="U1092" i="1"/>
  <c r="BD1092" i="1"/>
  <c r="CE1092" i="1"/>
  <c r="A1093" i="1"/>
  <c r="C1093" i="1"/>
  <c r="S1093" i="1"/>
  <c r="T1093" i="1"/>
  <c r="U1093" i="1"/>
  <c r="BD1093" i="1"/>
  <c r="CE1093" i="1"/>
  <c r="A1094" i="1"/>
  <c r="C1094" i="1"/>
  <c r="S1094" i="1"/>
  <c r="T1094" i="1"/>
  <c r="U1094" i="1"/>
  <c r="BD1094" i="1"/>
  <c r="CE1094" i="1"/>
  <c r="A1095" i="1"/>
  <c r="C1095" i="1"/>
  <c r="S1095" i="1"/>
  <c r="T1095" i="1"/>
  <c r="U1095" i="1"/>
  <c r="BD1095" i="1"/>
  <c r="CE1095" i="1"/>
  <c r="A1096" i="1"/>
  <c r="C1096" i="1"/>
  <c r="S1096" i="1"/>
  <c r="T1096" i="1"/>
  <c r="U1096" i="1"/>
  <c r="BD1096" i="1"/>
  <c r="CE1096" i="1"/>
  <c r="A1097" i="1"/>
  <c r="C1097" i="1"/>
  <c r="S1097" i="1"/>
  <c r="T1097" i="1"/>
  <c r="U1097" i="1"/>
  <c r="BD1097" i="1"/>
  <c r="CE1097" i="1"/>
  <c r="A1098" i="1"/>
  <c r="C1098" i="1"/>
  <c r="S1098" i="1"/>
  <c r="T1098" i="1"/>
  <c r="U1098" i="1"/>
  <c r="BD1098" i="1"/>
  <c r="CE1098" i="1"/>
  <c r="A1099" i="1"/>
  <c r="C1099" i="1"/>
  <c r="S1099" i="1"/>
  <c r="T1099" i="1"/>
  <c r="U1099" i="1"/>
  <c r="BD1099" i="1"/>
  <c r="CE1099" i="1"/>
  <c r="A1100" i="1"/>
  <c r="C1100" i="1"/>
  <c r="S1100" i="1"/>
  <c r="T1100" i="1"/>
  <c r="U1100" i="1"/>
  <c r="BD1100" i="1"/>
  <c r="CE1100" i="1"/>
  <c r="A1101" i="1"/>
  <c r="C1101" i="1"/>
  <c r="S1101" i="1"/>
  <c r="T1101" i="1"/>
  <c r="U1101" i="1"/>
  <c r="BD1101" i="1"/>
  <c r="CE1101" i="1"/>
  <c r="A1102" i="1"/>
  <c r="C1102" i="1"/>
  <c r="S1102" i="1"/>
  <c r="T1102" i="1"/>
  <c r="U1102" i="1"/>
  <c r="BD1102" i="1"/>
  <c r="CE1102" i="1"/>
  <c r="A1103" i="1"/>
  <c r="C1103" i="1"/>
  <c r="S1103" i="1"/>
  <c r="T1103" i="1"/>
  <c r="U1103" i="1"/>
  <c r="BD1103" i="1"/>
  <c r="CE1103" i="1"/>
  <c r="A1104" i="1"/>
  <c r="C1104" i="1"/>
  <c r="S1104" i="1"/>
  <c r="T1104" i="1"/>
  <c r="U1104" i="1"/>
  <c r="BD1104" i="1"/>
  <c r="CE1104" i="1"/>
  <c r="A1105" i="1"/>
  <c r="C1105" i="1"/>
  <c r="S1105" i="1"/>
  <c r="T1105" i="1"/>
  <c r="U1105" i="1"/>
  <c r="BD1105" i="1"/>
  <c r="CE1105" i="1"/>
  <c r="A1106" i="1"/>
  <c r="C1106" i="1"/>
  <c r="S1106" i="1"/>
  <c r="T1106" i="1"/>
  <c r="U1106" i="1"/>
  <c r="BD1106" i="1"/>
  <c r="CE1106" i="1"/>
  <c r="A1107" i="1"/>
  <c r="C1107" i="1"/>
  <c r="S1107" i="1"/>
  <c r="T1107" i="1"/>
  <c r="U1107" i="1"/>
  <c r="BD1107" i="1"/>
  <c r="CE1107" i="1"/>
  <c r="A1108" i="1"/>
  <c r="C1108" i="1"/>
  <c r="S1108" i="1"/>
  <c r="T1108" i="1"/>
  <c r="U1108" i="1"/>
  <c r="BD1108" i="1"/>
  <c r="CE1108" i="1"/>
  <c r="A1109" i="1"/>
  <c r="C1109" i="1"/>
  <c r="S1109" i="1"/>
  <c r="T1109" i="1"/>
  <c r="U1109" i="1"/>
  <c r="BD1109" i="1"/>
  <c r="CE1109" i="1"/>
  <c r="A1110" i="1"/>
  <c r="C1110" i="1"/>
  <c r="S1110" i="1"/>
  <c r="T1110" i="1"/>
  <c r="U1110" i="1"/>
  <c r="BD1110" i="1"/>
  <c r="CE1110" i="1"/>
  <c r="A1111" i="1"/>
  <c r="C1111" i="1"/>
  <c r="S1111" i="1"/>
  <c r="T1111" i="1"/>
  <c r="U1111" i="1"/>
  <c r="BD1111" i="1"/>
  <c r="CE1111" i="1"/>
  <c r="A1112" i="1"/>
  <c r="C1112" i="1"/>
  <c r="S1112" i="1"/>
  <c r="T1112" i="1"/>
  <c r="U1112" i="1"/>
  <c r="BD1112" i="1"/>
  <c r="CE1112" i="1"/>
  <c r="A1113" i="1"/>
  <c r="C1113" i="1"/>
  <c r="S1113" i="1"/>
  <c r="T1113" i="1"/>
  <c r="U1113" i="1"/>
  <c r="BD1113" i="1"/>
  <c r="CE1113" i="1"/>
  <c r="A1114" i="1"/>
  <c r="C1114" i="1"/>
  <c r="S1114" i="1"/>
  <c r="T1114" i="1"/>
  <c r="U1114" i="1"/>
  <c r="BD1114" i="1"/>
  <c r="CE1114" i="1"/>
  <c r="A1115" i="1"/>
  <c r="C1115" i="1"/>
  <c r="S1115" i="1"/>
  <c r="T1115" i="1"/>
  <c r="U1115" i="1"/>
  <c r="BD1115" i="1"/>
  <c r="CE1115" i="1"/>
  <c r="A1116" i="1"/>
  <c r="C1116" i="1"/>
  <c r="S1116" i="1"/>
  <c r="T1116" i="1"/>
  <c r="U1116" i="1"/>
  <c r="BD1116" i="1"/>
  <c r="CE1116" i="1"/>
  <c r="A1117" i="1"/>
  <c r="C1117" i="1"/>
  <c r="S1117" i="1"/>
  <c r="T1117" i="1"/>
  <c r="U1117" i="1"/>
  <c r="BD1117" i="1"/>
  <c r="CE1117" i="1"/>
  <c r="A1118" i="1"/>
  <c r="C1118" i="1"/>
  <c r="S1118" i="1"/>
  <c r="T1118" i="1"/>
  <c r="U1118" i="1"/>
  <c r="BD1118" i="1"/>
  <c r="CE1118" i="1"/>
  <c r="A1119" i="1"/>
  <c r="C1119" i="1"/>
  <c r="S1119" i="1"/>
  <c r="T1119" i="1"/>
  <c r="U1119" i="1"/>
  <c r="BD1119" i="1"/>
  <c r="CE1119" i="1"/>
  <c r="A1120" i="1"/>
  <c r="C1120" i="1"/>
  <c r="S1120" i="1"/>
  <c r="T1120" i="1"/>
  <c r="U1120" i="1"/>
  <c r="BD1120" i="1"/>
  <c r="CE1120" i="1"/>
  <c r="A1121" i="1"/>
  <c r="C1121" i="1"/>
  <c r="S1121" i="1"/>
  <c r="T1121" i="1"/>
  <c r="U1121" i="1"/>
  <c r="BD1121" i="1"/>
  <c r="CE1121" i="1"/>
  <c r="A1122" i="1"/>
  <c r="C1122" i="1"/>
  <c r="S1122" i="1"/>
  <c r="T1122" i="1"/>
  <c r="U1122" i="1"/>
  <c r="BD1122" i="1"/>
  <c r="CE1122" i="1"/>
  <c r="A1123" i="1"/>
  <c r="C1123" i="1"/>
  <c r="S1123" i="1"/>
  <c r="T1123" i="1"/>
  <c r="U1123" i="1"/>
  <c r="BD1123" i="1"/>
  <c r="CE1123" i="1"/>
  <c r="A1124" i="1"/>
  <c r="C1124" i="1"/>
  <c r="S1124" i="1"/>
  <c r="T1124" i="1"/>
  <c r="U1124" i="1"/>
  <c r="BD1124" i="1"/>
  <c r="CE1124" i="1"/>
  <c r="A1125" i="1"/>
  <c r="C1125" i="1"/>
  <c r="S1125" i="1"/>
  <c r="T1125" i="1"/>
  <c r="U1125" i="1"/>
  <c r="BD1125" i="1"/>
  <c r="CE1125" i="1"/>
  <c r="A1126" i="1"/>
  <c r="C1126" i="1"/>
  <c r="S1126" i="1"/>
  <c r="T1126" i="1"/>
  <c r="U1126" i="1"/>
  <c r="BD1126" i="1"/>
  <c r="CE1126" i="1"/>
  <c r="A1127" i="1"/>
  <c r="C1127" i="1"/>
  <c r="S1127" i="1"/>
  <c r="T1127" i="1"/>
  <c r="U1127" i="1"/>
  <c r="BD1127" i="1"/>
  <c r="CE1127" i="1"/>
  <c r="A1128" i="1"/>
  <c r="C1128" i="1"/>
  <c r="S1128" i="1"/>
  <c r="T1128" i="1"/>
  <c r="U1128" i="1"/>
  <c r="BD1128" i="1"/>
  <c r="CE1128" i="1"/>
  <c r="A1129" i="1"/>
  <c r="C1129" i="1"/>
  <c r="S1129" i="1"/>
  <c r="T1129" i="1"/>
  <c r="U1129" i="1"/>
  <c r="BD1129" i="1"/>
  <c r="CE1129" i="1"/>
  <c r="A1130" i="1"/>
  <c r="C1130" i="1"/>
  <c r="S1130" i="1"/>
  <c r="T1130" i="1"/>
  <c r="U1130" i="1"/>
  <c r="BD1130" i="1"/>
  <c r="CE1130" i="1"/>
  <c r="A1131" i="1"/>
  <c r="C1131" i="1"/>
  <c r="S1131" i="1"/>
  <c r="T1131" i="1"/>
  <c r="U1131" i="1"/>
  <c r="BD1131" i="1"/>
  <c r="CE1131" i="1"/>
  <c r="A1132" i="1"/>
  <c r="C1132" i="1"/>
  <c r="S1132" i="1"/>
  <c r="T1132" i="1"/>
  <c r="U1132" i="1"/>
  <c r="BD1132" i="1"/>
  <c r="CE1132" i="1"/>
  <c r="A1133" i="1"/>
  <c r="C1133" i="1"/>
  <c r="S1133" i="1"/>
  <c r="T1133" i="1"/>
  <c r="U1133" i="1"/>
  <c r="BD1133" i="1"/>
  <c r="CE1133" i="1"/>
  <c r="A1134" i="1"/>
  <c r="C1134" i="1"/>
  <c r="S1134" i="1"/>
  <c r="T1134" i="1"/>
  <c r="U1134" i="1"/>
  <c r="BD1134" i="1"/>
  <c r="CE1134" i="1"/>
  <c r="A1135" i="1"/>
  <c r="C1135" i="1"/>
  <c r="S1135" i="1"/>
  <c r="T1135" i="1"/>
  <c r="U1135" i="1"/>
  <c r="BD1135" i="1"/>
  <c r="CE1135" i="1"/>
  <c r="A1136" i="1"/>
  <c r="C1136" i="1"/>
  <c r="S1136" i="1"/>
  <c r="T1136" i="1"/>
  <c r="U1136" i="1"/>
  <c r="BD1136" i="1"/>
  <c r="CE1136" i="1"/>
  <c r="A1137" i="1"/>
  <c r="C1137" i="1"/>
  <c r="S1137" i="1"/>
  <c r="T1137" i="1"/>
  <c r="U1137" i="1"/>
  <c r="BD1137" i="1"/>
  <c r="CE1137" i="1"/>
  <c r="A1138" i="1"/>
  <c r="C1138" i="1"/>
  <c r="S1138" i="1"/>
  <c r="T1138" i="1"/>
  <c r="U1138" i="1"/>
  <c r="BD1138" i="1"/>
  <c r="CE1138" i="1"/>
  <c r="A1139" i="1"/>
  <c r="C1139" i="1"/>
  <c r="S1139" i="1"/>
  <c r="T1139" i="1"/>
  <c r="U1139" i="1"/>
  <c r="BD1139" i="1"/>
  <c r="CE1139" i="1"/>
  <c r="A1140" i="1"/>
  <c r="C1140" i="1"/>
  <c r="S1140" i="1"/>
  <c r="T1140" i="1"/>
  <c r="U1140" i="1"/>
  <c r="BD1140" i="1"/>
  <c r="CE1140" i="1"/>
  <c r="A1141" i="1"/>
  <c r="C1141" i="1"/>
  <c r="S1141" i="1"/>
  <c r="T1141" i="1"/>
  <c r="U1141" i="1"/>
  <c r="BD1141" i="1"/>
  <c r="CE1141" i="1"/>
  <c r="A1142" i="1"/>
  <c r="C1142" i="1"/>
  <c r="S1142" i="1"/>
  <c r="T1142" i="1"/>
  <c r="U1142" i="1"/>
  <c r="BD1142" i="1"/>
  <c r="CE1142" i="1"/>
  <c r="A1143" i="1"/>
  <c r="C1143" i="1"/>
  <c r="S1143" i="1"/>
  <c r="T1143" i="1"/>
  <c r="U1143" i="1"/>
  <c r="BD1143" i="1"/>
  <c r="CE1143" i="1"/>
  <c r="A1144" i="1"/>
  <c r="C1144" i="1"/>
  <c r="S1144" i="1"/>
  <c r="T1144" i="1"/>
  <c r="U1144" i="1"/>
  <c r="BD1144" i="1"/>
  <c r="CE1144" i="1"/>
  <c r="A1145" i="1"/>
  <c r="C1145" i="1"/>
  <c r="S1145" i="1"/>
  <c r="T1145" i="1"/>
  <c r="U1145" i="1"/>
  <c r="BD1145" i="1"/>
  <c r="CE1145" i="1"/>
  <c r="A1146" i="1"/>
  <c r="C1146" i="1"/>
  <c r="S1146" i="1"/>
  <c r="T1146" i="1"/>
  <c r="U1146" i="1"/>
  <c r="BD1146" i="1"/>
  <c r="CE1146" i="1"/>
  <c r="A1147" i="1"/>
  <c r="C1147" i="1"/>
  <c r="S1147" i="1"/>
  <c r="T1147" i="1"/>
  <c r="U1147" i="1"/>
  <c r="BD1147" i="1"/>
  <c r="CE1147" i="1"/>
  <c r="A1148" i="1"/>
  <c r="C1148" i="1"/>
  <c r="S1148" i="1"/>
  <c r="T1148" i="1"/>
  <c r="U1148" i="1"/>
  <c r="BD1148" i="1"/>
  <c r="CE1148" i="1"/>
  <c r="A1149" i="1"/>
  <c r="C1149" i="1"/>
  <c r="S1149" i="1"/>
  <c r="T1149" i="1"/>
  <c r="U1149" i="1"/>
  <c r="BD1149" i="1"/>
  <c r="CE1149" i="1"/>
  <c r="A1150" i="1"/>
  <c r="C1150" i="1"/>
  <c r="S1150" i="1"/>
  <c r="T1150" i="1"/>
  <c r="U1150" i="1"/>
  <c r="BD1150" i="1"/>
  <c r="CE1150" i="1"/>
  <c r="A1151" i="1"/>
  <c r="C1151" i="1"/>
  <c r="S1151" i="1"/>
  <c r="T1151" i="1"/>
  <c r="U1151" i="1"/>
  <c r="BD1151" i="1"/>
  <c r="CE1151" i="1"/>
  <c r="A1152" i="1"/>
  <c r="C1152" i="1"/>
  <c r="S1152" i="1"/>
  <c r="T1152" i="1"/>
  <c r="U1152" i="1"/>
  <c r="BD1152" i="1"/>
  <c r="CE1152" i="1"/>
  <c r="A1153" i="1"/>
  <c r="C1153" i="1"/>
  <c r="S1153" i="1"/>
  <c r="T1153" i="1"/>
  <c r="U1153" i="1"/>
  <c r="BD1153" i="1"/>
  <c r="CE1153" i="1"/>
  <c r="A1154" i="1"/>
  <c r="C1154" i="1"/>
  <c r="S1154" i="1"/>
  <c r="T1154" i="1"/>
  <c r="U1154" i="1"/>
  <c r="BD1154" i="1"/>
  <c r="CE1154" i="1"/>
  <c r="A1155" i="1"/>
  <c r="C1155" i="1"/>
  <c r="S1155" i="1"/>
  <c r="T1155" i="1"/>
  <c r="U1155" i="1"/>
  <c r="BD1155" i="1"/>
  <c r="CE1155" i="1"/>
  <c r="A1156" i="1"/>
  <c r="C1156" i="1"/>
  <c r="S1156" i="1"/>
  <c r="T1156" i="1"/>
  <c r="U1156" i="1"/>
  <c r="BD1156" i="1"/>
  <c r="CE1156" i="1"/>
  <c r="A1157" i="1"/>
  <c r="C1157" i="1"/>
  <c r="S1157" i="1"/>
  <c r="T1157" i="1"/>
  <c r="U1157" i="1"/>
  <c r="BD1157" i="1"/>
  <c r="CE1157" i="1"/>
  <c r="A1158" i="1"/>
  <c r="C1158" i="1"/>
  <c r="S1158" i="1"/>
  <c r="T1158" i="1"/>
  <c r="U1158" i="1"/>
  <c r="BD1158" i="1"/>
  <c r="CE1158" i="1"/>
  <c r="A1159" i="1"/>
  <c r="C1159" i="1"/>
  <c r="S1159" i="1"/>
  <c r="T1159" i="1"/>
  <c r="U1159" i="1"/>
  <c r="BD1159" i="1"/>
  <c r="CE1159" i="1"/>
  <c r="A1160" i="1"/>
  <c r="C1160" i="1"/>
  <c r="S1160" i="1"/>
  <c r="T1160" i="1"/>
  <c r="U1160" i="1"/>
  <c r="BD1160" i="1"/>
  <c r="CE1160" i="1"/>
  <c r="A1161" i="1"/>
  <c r="C1161" i="1"/>
  <c r="S1161" i="1"/>
  <c r="T1161" i="1"/>
  <c r="U1161" i="1"/>
  <c r="BD1161" i="1"/>
  <c r="CE1161" i="1"/>
  <c r="A1162" i="1"/>
  <c r="C1162" i="1"/>
  <c r="S1162" i="1"/>
  <c r="T1162" i="1"/>
  <c r="U1162" i="1"/>
  <c r="BD1162" i="1"/>
  <c r="CE1162" i="1"/>
  <c r="A1163" i="1"/>
  <c r="C1163" i="1"/>
  <c r="S1163" i="1"/>
  <c r="T1163" i="1"/>
  <c r="U1163" i="1"/>
  <c r="BD1163" i="1"/>
  <c r="CE1163" i="1"/>
  <c r="A1164" i="1"/>
  <c r="C1164" i="1"/>
  <c r="S1164" i="1"/>
  <c r="T1164" i="1"/>
  <c r="U1164" i="1"/>
  <c r="BD1164" i="1"/>
  <c r="CE1164" i="1"/>
  <c r="A1165" i="1"/>
  <c r="C1165" i="1"/>
  <c r="S1165" i="1"/>
  <c r="T1165" i="1"/>
  <c r="U1165" i="1"/>
  <c r="BD1165" i="1"/>
  <c r="CE1165" i="1"/>
  <c r="A1166" i="1"/>
  <c r="C1166" i="1"/>
  <c r="S1166" i="1"/>
  <c r="T1166" i="1"/>
  <c r="U1166" i="1"/>
  <c r="BD1166" i="1"/>
  <c r="CE1166" i="1"/>
  <c r="A1167" i="1"/>
  <c r="C1167" i="1"/>
  <c r="S1167" i="1"/>
  <c r="T1167" i="1"/>
  <c r="U1167" i="1"/>
  <c r="BD1167" i="1"/>
  <c r="CE1167" i="1"/>
  <c r="A1168" i="1"/>
  <c r="C1168" i="1"/>
  <c r="S1168" i="1"/>
  <c r="T1168" i="1"/>
  <c r="U1168" i="1"/>
  <c r="BD1168" i="1"/>
  <c r="CE1168" i="1"/>
  <c r="A1169" i="1"/>
  <c r="C1169" i="1"/>
  <c r="S1169" i="1"/>
  <c r="T1169" i="1"/>
  <c r="U1169" i="1"/>
  <c r="BD1169" i="1"/>
  <c r="CE1169" i="1"/>
  <c r="A1170" i="1"/>
  <c r="C1170" i="1"/>
  <c r="S1170" i="1"/>
  <c r="T1170" i="1"/>
  <c r="U1170" i="1"/>
  <c r="BD1170" i="1"/>
  <c r="CE1170" i="1"/>
  <c r="A1171" i="1"/>
  <c r="C1171" i="1"/>
  <c r="S1171" i="1"/>
  <c r="T1171" i="1"/>
  <c r="U1171" i="1"/>
  <c r="BD1171" i="1"/>
  <c r="CE1171" i="1"/>
  <c r="A1172" i="1"/>
  <c r="C1172" i="1"/>
  <c r="S1172" i="1"/>
  <c r="T1172" i="1"/>
  <c r="U1172" i="1"/>
  <c r="BD1172" i="1"/>
  <c r="CE1172" i="1"/>
  <c r="A1173" i="1"/>
  <c r="C1173" i="1"/>
  <c r="S1173" i="1"/>
  <c r="T1173" i="1"/>
  <c r="U1173" i="1"/>
  <c r="BD1173" i="1"/>
  <c r="CE1173" i="1"/>
  <c r="A1174" i="1"/>
  <c r="C1174" i="1"/>
  <c r="S1174" i="1"/>
  <c r="T1174" i="1"/>
  <c r="U1174" i="1"/>
  <c r="BD1174" i="1"/>
  <c r="CE1174" i="1"/>
  <c r="A1175" i="1"/>
  <c r="C1175" i="1"/>
  <c r="S1175" i="1"/>
  <c r="T1175" i="1"/>
  <c r="U1175" i="1"/>
  <c r="BD1175" i="1"/>
  <c r="CE1175" i="1"/>
  <c r="A1176" i="1"/>
  <c r="C1176" i="1"/>
  <c r="S1176" i="1"/>
  <c r="T1176" i="1"/>
  <c r="U1176" i="1"/>
  <c r="BD1176" i="1"/>
  <c r="CE1176" i="1"/>
  <c r="A1177" i="1"/>
  <c r="C1177" i="1"/>
  <c r="S1177" i="1"/>
  <c r="T1177" i="1"/>
  <c r="U1177" i="1"/>
  <c r="BD1177" i="1"/>
  <c r="CE1177" i="1"/>
  <c r="A1178" i="1"/>
  <c r="C1178" i="1"/>
  <c r="S1178" i="1"/>
  <c r="T1178" i="1"/>
  <c r="U1178" i="1"/>
  <c r="BD1178" i="1"/>
  <c r="CE1178" i="1"/>
  <c r="A1179" i="1"/>
  <c r="C1179" i="1"/>
  <c r="S1179" i="1"/>
  <c r="T1179" i="1"/>
  <c r="U1179" i="1"/>
  <c r="BD1179" i="1"/>
  <c r="CE1179" i="1"/>
  <c r="A1180" i="1"/>
  <c r="C1180" i="1"/>
  <c r="S1180" i="1"/>
  <c r="T1180" i="1"/>
  <c r="U1180" i="1"/>
  <c r="BD1180" i="1"/>
  <c r="CE1180" i="1"/>
  <c r="A1181" i="1"/>
  <c r="C1181" i="1"/>
  <c r="S1181" i="1"/>
  <c r="T1181" i="1"/>
  <c r="U1181" i="1"/>
  <c r="BD1181" i="1"/>
  <c r="CE1181" i="1"/>
  <c r="A1182" i="1"/>
  <c r="C1182" i="1"/>
  <c r="S1182" i="1"/>
  <c r="T1182" i="1"/>
  <c r="U1182" i="1"/>
  <c r="BD1182" i="1"/>
  <c r="CE1182" i="1"/>
  <c r="A1183" i="1"/>
  <c r="C1183" i="1"/>
  <c r="S1183" i="1"/>
  <c r="T1183" i="1"/>
  <c r="U1183" i="1"/>
  <c r="BD1183" i="1"/>
  <c r="CE1183" i="1"/>
  <c r="A1184" i="1"/>
  <c r="C1184" i="1"/>
  <c r="S1184" i="1"/>
  <c r="T1184" i="1"/>
  <c r="U1184" i="1"/>
  <c r="BD1184" i="1"/>
  <c r="CE1184" i="1"/>
  <c r="A1185" i="1"/>
  <c r="C1185" i="1"/>
  <c r="S1185" i="1"/>
  <c r="T1185" i="1"/>
  <c r="U1185" i="1"/>
  <c r="BD1185" i="1"/>
  <c r="CE1185" i="1"/>
  <c r="A1186" i="1"/>
  <c r="C1186" i="1"/>
  <c r="S1186" i="1"/>
  <c r="T1186" i="1"/>
  <c r="U1186" i="1"/>
  <c r="BD1186" i="1"/>
  <c r="CE1186" i="1"/>
  <c r="A1187" i="1"/>
  <c r="C1187" i="1"/>
  <c r="S1187" i="1"/>
  <c r="T1187" i="1"/>
  <c r="U1187" i="1"/>
  <c r="BD1187" i="1"/>
  <c r="CE1187" i="1"/>
  <c r="A1188" i="1"/>
  <c r="C1188" i="1"/>
  <c r="S1188" i="1"/>
  <c r="T1188" i="1"/>
  <c r="U1188" i="1"/>
  <c r="BD1188" i="1"/>
  <c r="CE1188" i="1"/>
  <c r="A1189" i="1"/>
  <c r="C1189" i="1"/>
  <c r="S1189" i="1"/>
  <c r="T1189" i="1"/>
  <c r="U1189" i="1"/>
  <c r="BD1189" i="1"/>
  <c r="CE1189" i="1"/>
  <c r="A1190" i="1"/>
  <c r="C1190" i="1"/>
  <c r="S1190" i="1"/>
  <c r="T1190" i="1"/>
  <c r="U1190" i="1"/>
  <c r="BD1190" i="1"/>
  <c r="CE1190" i="1"/>
  <c r="A1191" i="1"/>
  <c r="C1191" i="1"/>
  <c r="S1191" i="1"/>
  <c r="T1191" i="1"/>
  <c r="U1191" i="1"/>
  <c r="BD1191" i="1"/>
  <c r="CE1191" i="1"/>
  <c r="A1192" i="1"/>
  <c r="C1192" i="1"/>
  <c r="S1192" i="1"/>
  <c r="T1192" i="1"/>
  <c r="U1192" i="1"/>
  <c r="BD1192" i="1"/>
  <c r="CE1192" i="1"/>
  <c r="A1193" i="1"/>
  <c r="C1193" i="1"/>
  <c r="S1193" i="1"/>
  <c r="T1193" i="1"/>
  <c r="U1193" i="1"/>
  <c r="BD1193" i="1"/>
  <c r="CE1193" i="1"/>
  <c r="A1194" i="1"/>
  <c r="C1194" i="1"/>
  <c r="S1194" i="1"/>
  <c r="T1194" i="1"/>
  <c r="U1194" i="1"/>
  <c r="BD1194" i="1"/>
  <c r="CE1194" i="1"/>
  <c r="A1195" i="1"/>
  <c r="C1195" i="1"/>
  <c r="S1195" i="1"/>
  <c r="T1195" i="1"/>
  <c r="U1195" i="1"/>
  <c r="BD1195" i="1"/>
  <c r="CE1195" i="1"/>
  <c r="A1196" i="1"/>
  <c r="C1196" i="1"/>
  <c r="S1196" i="1"/>
  <c r="T1196" i="1"/>
  <c r="U1196" i="1"/>
  <c r="BD1196" i="1"/>
  <c r="CE1196" i="1"/>
  <c r="A1197" i="1"/>
  <c r="C1197" i="1"/>
  <c r="S1197" i="1"/>
  <c r="T1197" i="1"/>
  <c r="U1197" i="1"/>
  <c r="BD1197" i="1"/>
  <c r="CE1197" i="1"/>
  <c r="A1198" i="1"/>
  <c r="C1198" i="1"/>
  <c r="S1198" i="1"/>
  <c r="T1198" i="1"/>
  <c r="U1198" i="1"/>
  <c r="BD1198" i="1"/>
  <c r="CE1198" i="1"/>
  <c r="A1199" i="1"/>
  <c r="C1199" i="1"/>
  <c r="S1199" i="1"/>
  <c r="T1199" i="1"/>
  <c r="U1199" i="1"/>
  <c r="BD1199" i="1"/>
  <c r="CE1199" i="1"/>
  <c r="A1200" i="1"/>
  <c r="C1200" i="1"/>
  <c r="S1200" i="1"/>
  <c r="T1200" i="1"/>
  <c r="U1200" i="1"/>
  <c r="BD1200" i="1"/>
  <c r="CE1200" i="1"/>
  <c r="A1201" i="1"/>
  <c r="C1201" i="1"/>
  <c r="S1201" i="1"/>
  <c r="T1201" i="1"/>
  <c r="U1201" i="1"/>
  <c r="BD1201" i="1"/>
  <c r="CE1201" i="1"/>
  <c r="A1202" i="1"/>
  <c r="C1202" i="1"/>
  <c r="S1202" i="1"/>
  <c r="T1202" i="1"/>
  <c r="U1202" i="1"/>
  <c r="BD1202" i="1"/>
  <c r="CE1202" i="1"/>
  <c r="A1203" i="1"/>
  <c r="C1203" i="1"/>
  <c r="S1203" i="1"/>
  <c r="T1203" i="1"/>
  <c r="U1203" i="1"/>
  <c r="BD1203" i="1"/>
  <c r="CE1203" i="1"/>
  <c r="A1204" i="1"/>
  <c r="C1204" i="1"/>
  <c r="S1204" i="1"/>
  <c r="T1204" i="1"/>
  <c r="U1204" i="1"/>
  <c r="BD1204" i="1"/>
  <c r="CE1204" i="1"/>
  <c r="A1205" i="1"/>
  <c r="C1205" i="1"/>
  <c r="S1205" i="1"/>
  <c r="T1205" i="1"/>
  <c r="U1205" i="1"/>
  <c r="BD1205" i="1"/>
  <c r="CE1205" i="1"/>
  <c r="A1206" i="1"/>
  <c r="C1206" i="1"/>
  <c r="S1206" i="1"/>
  <c r="T1206" i="1"/>
  <c r="U1206" i="1"/>
  <c r="BD1206" i="1"/>
  <c r="CE1206" i="1"/>
  <c r="A1207" i="1"/>
  <c r="C1207" i="1"/>
  <c r="S1207" i="1"/>
  <c r="T1207" i="1"/>
  <c r="U1207" i="1"/>
  <c r="BD1207" i="1"/>
  <c r="CE1207" i="1"/>
  <c r="A1208" i="1"/>
  <c r="C1208" i="1"/>
  <c r="S1208" i="1"/>
  <c r="T1208" i="1"/>
  <c r="U1208" i="1"/>
  <c r="BD1208" i="1"/>
  <c r="CE1208" i="1"/>
  <c r="A1209" i="1"/>
  <c r="C1209" i="1"/>
  <c r="S1209" i="1"/>
  <c r="T1209" i="1"/>
  <c r="U1209" i="1"/>
  <c r="BD1209" i="1"/>
  <c r="CE1209" i="1"/>
  <c r="A1210" i="1"/>
  <c r="C1210" i="1"/>
  <c r="S1210" i="1"/>
  <c r="T1210" i="1"/>
  <c r="U1210" i="1"/>
  <c r="BD1210" i="1"/>
  <c r="CE1210" i="1"/>
  <c r="A1211" i="1"/>
  <c r="C1211" i="1"/>
  <c r="S1211" i="1"/>
  <c r="T1211" i="1"/>
  <c r="U1211" i="1"/>
  <c r="BD1211" i="1"/>
  <c r="CE1211" i="1"/>
  <c r="A1212" i="1"/>
  <c r="C1212" i="1"/>
  <c r="S1212" i="1"/>
  <c r="T1212" i="1"/>
  <c r="U1212" i="1"/>
  <c r="BD1212" i="1"/>
  <c r="CE1212" i="1"/>
  <c r="A1213" i="1"/>
  <c r="C1213" i="1"/>
  <c r="S1213" i="1"/>
  <c r="T1213" i="1"/>
  <c r="U1213" i="1"/>
  <c r="BD1213" i="1"/>
  <c r="CE1213" i="1"/>
  <c r="A1214" i="1"/>
  <c r="C1214" i="1"/>
  <c r="S1214" i="1"/>
  <c r="T1214" i="1"/>
  <c r="U1214" i="1"/>
  <c r="BD1214" i="1"/>
  <c r="CE1214" i="1"/>
  <c r="A1215" i="1"/>
  <c r="C1215" i="1"/>
  <c r="S1215" i="1"/>
  <c r="T1215" i="1"/>
  <c r="U1215" i="1"/>
  <c r="BD1215" i="1"/>
  <c r="CE1215" i="1"/>
  <c r="A1216" i="1"/>
  <c r="C1216" i="1"/>
  <c r="S1216" i="1"/>
  <c r="T1216" i="1"/>
  <c r="U1216" i="1"/>
  <c r="BD1216" i="1"/>
  <c r="CE1216" i="1"/>
  <c r="A1217" i="1"/>
  <c r="C1217" i="1"/>
  <c r="S1217" i="1"/>
  <c r="T1217" i="1"/>
  <c r="U1217" i="1"/>
  <c r="BD1217" i="1"/>
  <c r="CE1217" i="1"/>
  <c r="A1218" i="1"/>
  <c r="C1218" i="1"/>
  <c r="S1218" i="1"/>
  <c r="T1218" i="1"/>
  <c r="U1218" i="1"/>
  <c r="BD1218" i="1"/>
  <c r="CE1218" i="1"/>
  <c r="A1219" i="1"/>
  <c r="C1219" i="1"/>
  <c r="S1219" i="1"/>
  <c r="T1219" i="1"/>
  <c r="U1219" i="1"/>
  <c r="BD1219" i="1"/>
  <c r="CE1219" i="1"/>
  <c r="A1220" i="1"/>
  <c r="C1220" i="1"/>
  <c r="S1220" i="1"/>
  <c r="T1220" i="1"/>
  <c r="U1220" i="1"/>
  <c r="BD1220" i="1"/>
  <c r="CE1220" i="1"/>
  <c r="A1221" i="1"/>
  <c r="C1221" i="1"/>
  <c r="S1221" i="1"/>
  <c r="T1221" i="1"/>
  <c r="U1221" i="1"/>
  <c r="BD1221" i="1"/>
  <c r="CE1221" i="1"/>
  <c r="A1222" i="1"/>
  <c r="C1222" i="1"/>
  <c r="S1222" i="1"/>
  <c r="T1222" i="1"/>
  <c r="U1222" i="1"/>
  <c r="BD1222" i="1"/>
  <c r="CE1222" i="1"/>
  <c r="A1223" i="1"/>
  <c r="C1223" i="1"/>
  <c r="S1223" i="1"/>
  <c r="T1223" i="1"/>
  <c r="U1223" i="1"/>
  <c r="BD1223" i="1"/>
  <c r="CE1223" i="1"/>
  <c r="A1224" i="1"/>
  <c r="C1224" i="1"/>
  <c r="S1224" i="1"/>
  <c r="T1224" i="1"/>
  <c r="U1224" i="1"/>
  <c r="BD1224" i="1"/>
  <c r="CE1224" i="1"/>
  <c r="A1225" i="1"/>
  <c r="C1225" i="1"/>
  <c r="S1225" i="1"/>
  <c r="T1225" i="1"/>
  <c r="U1225" i="1"/>
  <c r="BD1225" i="1"/>
  <c r="CE1225" i="1"/>
  <c r="A1226" i="1"/>
  <c r="C1226" i="1"/>
  <c r="S1226" i="1"/>
  <c r="T1226" i="1"/>
  <c r="U1226" i="1"/>
  <c r="BD1226" i="1"/>
  <c r="CE1226" i="1"/>
  <c r="A1227" i="1"/>
  <c r="C1227" i="1"/>
  <c r="S1227" i="1"/>
  <c r="T1227" i="1"/>
  <c r="U1227" i="1"/>
  <c r="BD1227" i="1"/>
  <c r="CE1227" i="1"/>
  <c r="A1228" i="1"/>
  <c r="C1228" i="1"/>
  <c r="S1228" i="1"/>
  <c r="T1228" i="1"/>
  <c r="U1228" i="1"/>
  <c r="BD1228" i="1"/>
  <c r="CE1228" i="1"/>
  <c r="A1229" i="1"/>
  <c r="C1229" i="1"/>
  <c r="S1229" i="1"/>
  <c r="T1229" i="1"/>
  <c r="U1229" i="1"/>
  <c r="BD1229" i="1"/>
  <c r="CE1229" i="1"/>
  <c r="A1230" i="1"/>
  <c r="C1230" i="1"/>
  <c r="S1230" i="1"/>
  <c r="T1230" i="1"/>
  <c r="U1230" i="1"/>
  <c r="BD1230" i="1"/>
  <c r="CE1230" i="1"/>
  <c r="A1231" i="1"/>
  <c r="C1231" i="1"/>
  <c r="S1231" i="1"/>
  <c r="T1231" i="1"/>
  <c r="U1231" i="1"/>
  <c r="BD1231" i="1"/>
  <c r="CE1231" i="1"/>
  <c r="A1232" i="1"/>
  <c r="C1232" i="1"/>
  <c r="S1232" i="1"/>
  <c r="T1232" i="1"/>
  <c r="U1232" i="1"/>
  <c r="BD1232" i="1"/>
  <c r="CE1232" i="1"/>
  <c r="A1233" i="1"/>
  <c r="C1233" i="1"/>
  <c r="S1233" i="1"/>
  <c r="T1233" i="1"/>
  <c r="U1233" i="1"/>
  <c r="BD1233" i="1"/>
  <c r="CE1233" i="1"/>
  <c r="A1234" i="1"/>
  <c r="C1234" i="1"/>
  <c r="S1234" i="1"/>
  <c r="T1234" i="1"/>
  <c r="U1234" i="1"/>
  <c r="BD1234" i="1"/>
  <c r="CE1234" i="1"/>
  <c r="A1235" i="1"/>
  <c r="C1235" i="1"/>
  <c r="S1235" i="1"/>
  <c r="T1235" i="1"/>
  <c r="U1235" i="1"/>
  <c r="BD1235" i="1"/>
  <c r="CE1235" i="1"/>
  <c r="A1236" i="1"/>
  <c r="C1236" i="1"/>
  <c r="S1236" i="1"/>
  <c r="T1236" i="1"/>
  <c r="U1236" i="1"/>
  <c r="BD1236" i="1"/>
  <c r="CE1236" i="1"/>
  <c r="A1237" i="1"/>
  <c r="C1237" i="1"/>
  <c r="S1237" i="1"/>
  <c r="T1237" i="1"/>
  <c r="U1237" i="1"/>
  <c r="BD1237" i="1"/>
  <c r="CE1237" i="1"/>
  <c r="A1238" i="1"/>
  <c r="C1238" i="1"/>
  <c r="S1238" i="1"/>
  <c r="T1238" i="1"/>
  <c r="U1238" i="1"/>
  <c r="BD1238" i="1"/>
  <c r="CE1238" i="1"/>
  <c r="A1239" i="1"/>
  <c r="C1239" i="1"/>
  <c r="S1239" i="1"/>
  <c r="T1239" i="1"/>
  <c r="U1239" i="1"/>
  <c r="BD1239" i="1"/>
  <c r="CE1239" i="1"/>
  <c r="A1240" i="1"/>
  <c r="C1240" i="1"/>
  <c r="S1240" i="1"/>
  <c r="T1240" i="1"/>
  <c r="U1240" i="1"/>
  <c r="BD1240" i="1"/>
  <c r="CE1240" i="1"/>
  <c r="A1241" i="1"/>
  <c r="C1241" i="1"/>
  <c r="S1241" i="1"/>
  <c r="T1241" i="1"/>
  <c r="U1241" i="1"/>
  <c r="BD1241" i="1"/>
  <c r="CE1241" i="1"/>
  <c r="A1242" i="1"/>
  <c r="C1242" i="1"/>
  <c r="S1242" i="1"/>
  <c r="T1242" i="1"/>
  <c r="U1242" i="1"/>
  <c r="BD1242" i="1"/>
  <c r="CE1242" i="1"/>
  <c r="A1243" i="1"/>
  <c r="C1243" i="1"/>
  <c r="S1243" i="1"/>
  <c r="T1243" i="1"/>
  <c r="U1243" i="1"/>
  <c r="BD1243" i="1"/>
  <c r="CE1243" i="1"/>
  <c r="A1244" i="1"/>
  <c r="C1244" i="1"/>
  <c r="S1244" i="1"/>
  <c r="T1244" i="1"/>
  <c r="U1244" i="1"/>
  <c r="BD1244" i="1"/>
  <c r="CE1244" i="1"/>
  <c r="A1245" i="1"/>
  <c r="C1245" i="1"/>
  <c r="S1245" i="1"/>
  <c r="T1245" i="1"/>
  <c r="U1245" i="1"/>
  <c r="BD1245" i="1"/>
  <c r="CE1245" i="1"/>
  <c r="A1246" i="1"/>
  <c r="C1246" i="1"/>
  <c r="S1246" i="1"/>
  <c r="T1246" i="1"/>
  <c r="U1246" i="1"/>
  <c r="BD1246" i="1"/>
  <c r="CE1246" i="1"/>
  <c r="A1247" i="1"/>
  <c r="C1247" i="1"/>
  <c r="S1247" i="1"/>
  <c r="T1247" i="1"/>
  <c r="U1247" i="1"/>
  <c r="BD1247" i="1"/>
  <c r="CE1247" i="1"/>
  <c r="A1248" i="1"/>
  <c r="C1248" i="1"/>
  <c r="S1248" i="1"/>
  <c r="T1248" i="1"/>
  <c r="U1248" i="1"/>
  <c r="BD1248" i="1"/>
  <c r="CE1248" i="1"/>
  <c r="A1249" i="1"/>
  <c r="C1249" i="1"/>
  <c r="S1249" i="1"/>
  <c r="T1249" i="1"/>
  <c r="U1249" i="1"/>
  <c r="BD1249" i="1"/>
  <c r="CE1249" i="1"/>
  <c r="A1250" i="1"/>
  <c r="C1250" i="1"/>
  <c r="S1250" i="1"/>
  <c r="T1250" i="1"/>
  <c r="U1250" i="1"/>
  <c r="BD1250" i="1"/>
  <c r="CE1250" i="1"/>
  <c r="A1251" i="1"/>
  <c r="C1251" i="1"/>
  <c r="S1251" i="1"/>
  <c r="T1251" i="1"/>
  <c r="U1251" i="1"/>
  <c r="BD1251" i="1"/>
  <c r="CE1251" i="1"/>
  <c r="A1252" i="1"/>
  <c r="C1252" i="1"/>
  <c r="S1252" i="1"/>
  <c r="T1252" i="1"/>
  <c r="U1252" i="1"/>
  <c r="BD1252" i="1"/>
  <c r="CE1252" i="1"/>
  <c r="A1253" i="1"/>
  <c r="C1253" i="1"/>
  <c r="S1253" i="1"/>
  <c r="T1253" i="1"/>
  <c r="U1253" i="1"/>
  <c r="BD1253" i="1"/>
  <c r="CE1253" i="1"/>
  <c r="A1254" i="1"/>
  <c r="C1254" i="1"/>
  <c r="S1254" i="1"/>
  <c r="T1254" i="1"/>
  <c r="U1254" i="1"/>
  <c r="BD1254" i="1"/>
  <c r="CE1254" i="1"/>
  <c r="A1255" i="1"/>
  <c r="C1255" i="1"/>
  <c r="S1255" i="1"/>
  <c r="T1255" i="1"/>
  <c r="U1255" i="1"/>
  <c r="BD1255" i="1"/>
  <c r="CE1255" i="1"/>
  <c r="A1256" i="1"/>
  <c r="C1256" i="1"/>
  <c r="S1256" i="1"/>
  <c r="T1256" i="1"/>
  <c r="U1256" i="1"/>
  <c r="BD1256" i="1"/>
  <c r="CE1256" i="1"/>
  <c r="A1257" i="1"/>
  <c r="C1257" i="1"/>
  <c r="S1257" i="1"/>
  <c r="T1257" i="1"/>
  <c r="U1257" i="1"/>
  <c r="BD1257" i="1"/>
  <c r="CE1257" i="1"/>
  <c r="A1258" i="1"/>
  <c r="C1258" i="1"/>
  <c r="S1258" i="1"/>
  <c r="T1258" i="1"/>
  <c r="U1258" i="1"/>
  <c r="BD1258" i="1"/>
  <c r="CE1258" i="1"/>
  <c r="A1259" i="1"/>
  <c r="C1259" i="1"/>
  <c r="S1259" i="1"/>
  <c r="T1259" i="1"/>
  <c r="U1259" i="1"/>
  <c r="BD1259" i="1"/>
  <c r="CE1259" i="1"/>
  <c r="A1260" i="1"/>
  <c r="C1260" i="1"/>
  <c r="S1260" i="1"/>
  <c r="T1260" i="1"/>
  <c r="U1260" i="1"/>
  <c r="BD1260" i="1"/>
  <c r="CE1260" i="1"/>
  <c r="A1261" i="1"/>
  <c r="C1261" i="1"/>
  <c r="S1261" i="1"/>
  <c r="T1261" i="1"/>
  <c r="U1261" i="1"/>
  <c r="BD1261" i="1"/>
  <c r="CE1261" i="1"/>
  <c r="A1262" i="1"/>
  <c r="C1262" i="1"/>
  <c r="S1262" i="1"/>
  <c r="T1262" i="1"/>
  <c r="U1262" i="1"/>
  <c r="BD1262" i="1"/>
  <c r="CE1262" i="1"/>
  <c r="A1263" i="1"/>
  <c r="C1263" i="1"/>
  <c r="S1263" i="1"/>
  <c r="T1263" i="1"/>
  <c r="U1263" i="1"/>
  <c r="BD1263" i="1"/>
  <c r="CE1263" i="1"/>
  <c r="A1264" i="1"/>
  <c r="C1264" i="1"/>
  <c r="S1264" i="1"/>
  <c r="T1264" i="1"/>
  <c r="U1264" i="1"/>
  <c r="BD1264" i="1"/>
  <c r="CE1264" i="1"/>
  <c r="A1265" i="1"/>
  <c r="C1265" i="1"/>
  <c r="S1265" i="1"/>
  <c r="T1265" i="1"/>
  <c r="U1265" i="1"/>
  <c r="BD1265" i="1"/>
  <c r="CE1265" i="1"/>
  <c r="A1266" i="1"/>
  <c r="C1266" i="1"/>
  <c r="S1266" i="1"/>
  <c r="T1266" i="1"/>
  <c r="U1266" i="1"/>
  <c r="BD1266" i="1"/>
  <c r="CE1266" i="1"/>
  <c r="A1267" i="1"/>
  <c r="C1267" i="1"/>
  <c r="S1267" i="1"/>
  <c r="T1267" i="1"/>
  <c r="U1267" i="1"/>
  <c r="BD1267" i="1"/>
  <c r="CE1267" i="1"/>
  <c r="A1268" i="1"/>
  <c r="C1268" i="1"/>
  <c r="S1268" i="1"/>
  <c r="T1268" i="1"/>
  <c r="U1268" i="1"/>
  <c r="BD1268" i="1"/>
  <c r="CE1268" i="1"/>
  <c r="A1269" i="1"/>
  <c r="C1269" i="1"/>
  <c r="S1269" i="1"/>
  <c r="T1269" i="1"/>
  <c r="U1269" i="1"/>
  <c r="BD1269" i="1"/>
  <c r="CE1269" i="1"/>
  <c r="A1270" i="1"/>
  <c r="C1270" i="1"/>
  <c r="S1270" i="1"/>
  <c r="T1270" i="1"/>
  <c r="U1270" i="1"/>
  <c r="BD1270" i="1"/>
  <c r="CE1270" i="1"/>
  <c r="A1271" i="1"/>
  <c r="C1271" i="1"/>
  <c r="S1271" i="1"/>
  <c r="T1271" i="1"/>
  <c r="U1271" i="1"/>
  <c r="BD1271" i="1"/>
  <c r="CE1271" i="1"/>
  <c r="A1272" i="1"/>
  <c r="C1272" i="1"/>
  <c r="S1272" i="1"/>
  <c r="T1272" i="1"/>
  <c r="U1272" i="1"/>
  <c r="BD1272" i="1"/>
  <c r="CE1272" i="1"/>
  <c r="A1273" i="1"/>
  <c r="C1273" i="1"/>
  <c r="S1273" i="1"/>
  <c r="T1273" i="1"/>
  <c r="U1273" i="1"/>
  <c r="BD1273" i="1"/>
  <c r="CE1273" i="1"/>
  <c r="A1274" i="1"/>
  <c r="C1274" i="1"/>
  <c r="S1274" i="1"/>
  <c r="T1274" i="1"/>
  <c r="U1274" i="1"/>
  <c r="BD1274" i="1"/>
  <c r="CE1274" i="1"/>
  <c r="A1275" i="1"/>
  <c r="C1275" i="1"/>
  <c r="S1275" i="1"/>
  <c r="T1275" i="1"/>
  <c r="U1275" i="1"/>
  <c r="BD1275" i="1"/>
  <c r="CE1275" i="1"/>
  <c r="A1276" i="1"/>
  <c r="C1276" i="1"/>
  <c r="S1276" i="1"/>
  <c r="T1276" i="1"/>
  <c r="U1276" i="1"/>
  <c r="BD1276" i="1"/>
  <c r="CE1276" i="1"/>
  <c r="A1277" i="1"/>
  <c r="C1277" i="1"/>
  <c r="S1277" i="1"/>
  <c r="T1277" i="1"/>
  <c r="U1277" i="1"/>
  <c r="BD1277" i="1"/>
  <c r="CE1277" i="1"/>
  <c r="A1278" i="1"/>
  <c r="C1278" i="1"/>
  <c r="S1278" i="1"/>
  <c r="T1278" i="1"/>
  <c r="U1278" i="1"/>
  <c r="BD1278" i="1"/>
  <c r="CE1278" i="1"/>
  <c r="A1279" i="1"/>
  <c r="C1279" i="1"/>
  <c r="S1279" i="1"/>
  <c r="T1279" i="1"/>
  <c r="U1279" i="1"/>
  <c r="BD1279" i="1"/>
  <c r="CE1279" i="1"/>
  <c r="A1280" i="1"/>
  <c r="C1280" i="1"/>
  <c r="S1280" i="1"/>
  <c r="T1280" i="1"/>
  <c r="U1280" i="1"/>
  <c r="BD1280" i="1"/>
  <c r="CE1280" i="1"/>
  <c r="A1281" i="1"/>
  <c r="C1281" i="1"/>
  <c r="S1281" i="1"/>
  <c r="T1281" i="1"/>
  <c r="U1281" i="1"/>
  <c r="BD1281" i="1"/>
  <c r="CE1281" i="1"/>
  <c r="A1282" i="1"/>
  <c r="C1282" i="1"/>
  <c r="S1282" i="1"/>
  <c r="T1282" i="1"/>
  <c r="U1282" i="1"/>
  <c r="BD1282" i="1"/>
  <c r="CE1282" i="1"/>
  <c r="A1283" i="1"/>
  <c r="C1283" i="1"/>
  <c r="S1283" i="1"/>
  <c r="T1283" i="1"/>
  <c r="U1283" i="1"/>
  <c r="BD1283" i="1"/>
  <c r="CE1283" i="1"/>
  <c r="A1284" i="1"/>
  <c r="C1284" i="1"/>
  <c r="S1284" i="1"/>
  <c r="T1284" i="1"/>
  <c r="U1284" i="1"/>
  <c r="BD1284" i="1"/>
  <c r="CE1284" i="1"/>
  <c r="A1285" i="1"/>
  <c r="C1285" i="1"/>
  <c r="S1285" i="1"/>
  <c r="T1285" i="1"/>
  <c r="U1285" i="1"/>
  <c r="BD1285" i="1"/>
  <c r="CE1285" i="1"/>
  <c r="A1286" i="1"/>
  <c r="C1286" i="1"/>
  <c r="S1286" i="1"/>
  <c r="T1286" i="1"/>
  <c r="U1286" i="1"/>
  <c r="BD1286" i="1"/>
  <c r="CE1286" i="1"/>
  <c r="A1287" i="1"/>
  <c r="C1287" i="1"/>
  <c r="S1287" i="1"/>
  <c r="T1287" i="1"/>
  <c r="U1287" i="1"/>
  <c r="BD1287" i="1"/>
  <c r="CE1287" i="1"/>
  <c r="A1288" i="1"/>
  <c r="C1288" i="1"/>
  <c r="S1288" i="1"/>
  <c r="T1288" i="1"/>
  <c r="U1288" i="1"/>
  <c r="BD1288" i="1"/>
  <c r="CE1288" i="1"/>
  <c r="A1289" i="1"/>
  <c r="C1289" i="1"/>
  <c r="S1289" i="1"/>
  <c r="T1289" i="1"/>
  <c r="U1289" i="1"/>
  <c r="BD1289" i="1"/>
  <c r="CE1289" i="1"/>
  <c r="A1290" i="1"/>
  <c r="C1290" i="1"/>
  <c r="S1290" i="1"/>
  <c r="T1290" i="1"/>
  <c r="U1290" i="1"/>
  <c r="BD1290" i="1"/>
  <c r="CE1290" i="1"/>
  <c r="A1291" i="1"/>
  <c r="C1291" i="1"/>
  <c r="S1291" i="1"/>
  <c r="T1291" i="1"/>
  <c r="U1291" i="1"/>
  <c r="BD1291" i="1"/>
  <c r="CE1291" i="1"/>
  <c r="A1292" i="1"/>
  <c r="C1292" i="1"/>
  <c r="S1292" i="1"/>
  <c r="T1292" i="1"/>
  <c r="U1292" i="1"/>
  <c r="BD1292" i="1"/>
  <c r="CE1292" i="1"/>
  <c r="A1293" i="1"/>
  <c r="C1293" i="1"/>
  <c r="S1293" i="1"/>
  <c r="T1293" i="1"/>
  <c r="U1293" i="1"/>
  <c r="BD1293" i="1"/>
  <c r="CE1293" i="1"/>
  <c r="A1294" i="1"/>
  <c r="C1294" i="1"/>
  <c r="S1294" i="1"/>
  <c r="T1294" i="1"/>
  <c r="U1294" i="1"/>
  <c r="BD1294" i="1"/>
  <c r="CE1294" i="1"/>
  <c r="A1295" i="1"/>
  <c r="C1295" i="1"/>
  <c r="S1295" i="1"/>
  <c r="T1295" i="1"/>
  <c r="U1295" i="1"/>
  <c r="BD1295" i="1"/>
  <c r="CE1295" i="1"/>
  <c r="A1296" i="1"/>
  <c r="C1296" i="1"/>
  <c r="S1296" i="1"/>
  <c r="T1296" i="1"/>
  <c r="U1296" i="1"/>
  <c r="BD1296" i="1"/>
  <c r="CE1296" i="1"/>
  <c r="A1297" i="1"/>
  <c r="C1297" i="1"/>
  <c r="S1297" i="1"/>
  <c r="T1297" i="1"/>
  <c r="U1297" i="1"/>
  <c r="BD1297" i="1"/>
  <c r="CE1297" i="1"/>
  <c r="A1298" i="1"/>
  <c r="C1298" i="1"/>
  <c r="S1298" i="1"/>
  <c r="T1298" i="1"/>
  <c r="U1298" i="1"/>
  <c r="BD1298" i="1"/>
  <c r="CE1298" i="1"/>
  <c r="A1299" i="1"/>
  <c r="C1299" i="1"/>
  <c r="S1299" i="1"/>
  <c r="T1299" i="1"/>
  <c r="U1299" i="1"/>
  <c r="BD1299" i="1"/>
  <c r="CE1299" i="1"/>
  <c r="A1300" i="1"/>
  <c r="C1300" i="1"/>
  <c r="S1300" i="1"/>
  <c r="T1300" i="1"/>
  <c r="U1300" i="1"/>
  <c r="BD1300" i="1"/>
  <c r="CE1300" i="1"/>
  <c r="A1301" i="1"/>
  <c r="C1301" i="1"/>
  <c r="S1301" i="1"/>
  <c r="T1301" i="1"/>
  <c r="U1301" i="1"/>
  <c r="BD1301" i="1"/>
  <c r="CE1301" i="1"/>
  <c r="A1302" i="1"/>
  <c r="C1302" i="1"/>
  <c r="S1302" i="1"/>
  <c r="T1302" i="1"/>
  <c r="U1302" i="1"/>
  <c r="BD1302" i="1"/>
  <c r="CE1302" i="1"/>
  <c r="A1303" i="1"/>
  <c r="C1303" i="1"/>
  <c r="S1303" i="1"/>
  <c r="T1303" i="1"/>
  <c r="U1303" i="1"/>
  <c r="BD1303" i="1"/>
  <c r="CE1303" i="1"/>
  <c r="A1304" i="1"/>
  <c r="C1304" i="1"/>
  <c r="S1304" i="1"/>
  <c r="T1304" i="1"/>
  <c r="U1304" i="1"/>
  <c r="BD1304" i="1"/>
  <c r="CE1304" i="1"/>
  <c r="A1305" i="1"/>
  <c r="C1305" i="1"/>
  <c r="S1305" i="1"/>
  <c r="T1305" i="1"/>
  <c r="U1305" i="1"/>
  <c r="BD1305" i="1"/>
  <c r="CE1305" i="1"/>
  <c r="A1306" i="1"/>
  <c r="C1306" i="1"/>
  <c r="S1306" i="1"/>
  <c r="T1306" i="1"/>
  <c r="U1306" i="1"/>
  <c r="BD1306" i="1"/>
  <c r="CE1306" i="1"/>
  <c r="A1307" i="1"/>
  <c r="C1307" i="1"/>
  <c r="S1307" i="1"/>
  <c r="T1307" i="1"/>
  <c r="U1307" i="1"/>
  <c r="BD1307" i="1"/>
  <c r="CE1307" i="1"/>
  <c r="A1308" i="1"/>
  <c r="C1308" i="1"/>
  <c r="S1308" i="1"/>
  <c r="T1308" i="1"/>
  <c r="U1308" i="1"/>
  <c r="BD1308" i="1"/>
  <c r="CE1308" i="1"/>
  <c r="A1309" i="1"/>
  <c r="C1309" i="1"/>
  <c r="S1309" i="1"/>
  <c r="T1309" i="1"/>
  <c r="U1309" i="1"/>
  <c r="BD1309" i="1"/>
  <c r="CE1309" i="1"/>
  <c r="A1310" i="1"/>
  <c r="C1310" i="1"/>
  <c r="S1310" i="1"/>
  <c r="T1310" i="1"/>
  <c r="U1310" i="1"/>
  <c r="BD1310" i="1"/>
  <c r="CE1310" i="1"/>
  <c r="A1311" i="1"/>
  <c r="C1311" i="1"/>
  <c r="S1311" i="1"/>
  <c r="T1311" i="1"/>
  <c r="U1311" i="1"/>
  <c r="BD1311" i="1"/>
  <c r="CE1311" i="1"/>
  <c r="A1312" i="1"/>
  <c r="C1312" i="1"/>
  <c r="S1312" i="1"/>
  <c r="T1312" i="1"/>
  <c r="U1312" i="1"/>
  <c r="BD1312" i="1"/>
  <c r="CE1312" i="1"/>
  <c r="A1313" i="1"/>
  <c r="C1313" i="1"/>
  <c r="S1313" i="1"/>
  <c r="T1313" i="1"/>
  <c r="U1313" i="1"/>
  <c r="BD1313" i="1"/>
  <c r="CE1313" i="1"/>
  <c r="A1314" i="1"/>
  <c r="C1314" i="1"/>
  <c r="S1314" i="1"/>
  <c r="T1314" i="1"/>
  <c r="U1314" i="1"/>
  <c r="BD1314" i="1"/>
  <c r="CE1314" i="1"/>
  <c r="A1315" i="1"/>
  <c r="C1315" i="1"/>
  <c r="S1315" i="1"/>
  <c r="T1315" i="1"/>
  <c r="U1315" i="1"/>
  <c r="BD1315" i="1"/>
  <c r="CE1315" i="1"/>
  <c r="A1316" i="1"/>
  <c r="C1316" i="1"/>
  <c r="S1316" i="1"/>
  <c r="T1316" i="1"/>
  <c r="U1316" i="1"/>
  <c r="BD1316" i="1"/>
  <c r="CE1316" i="1"/>
  <c r="A1317" i="1"/>
  <c r="C1317" i="1"/>
  <c r="S1317" i="1"/>
  <c r="T1317" i="1"/>
  <c r="U1317" i="1"/>
  <c r="BD1317" i="1"/>
  <c r="CE1317" i="1"/>
  <c r="A1318" i="1"/>
  <c r="C1318" i="1"/>
  <c r="S1318" i="1"/>
  <c r="T1318" i="1"/>
  <c r="U1318" i="1"/>
  <c r="BD1318" i="1"/>
  <c r="CE1318" i="1"/>
  <c r="A1319" i="1"/>
  <c r="C1319" i="1"/>
  <c r="S1319" i="1"/>
  <c r="T1319" i="1"/>
  <c r="U1319" i="1"/>
  <c r="BD1319" i="1"/>
  <c r="CE1319" i="1"/>
  <c r="A1320" i="1"/>
  <c r="C1320" i="1"/>
  <c r="S1320" i="1"/>
  <c r="T1320" i="1"/>
  <c r="U1320" i="1"/>
  <c r="BD1320" i="1"/>
  <c r="CE1320" i="1"/>
  <c r="A1321" i="1"/>
  <c r="C1321" i="1"/>
  <c r="S1321" i="1"/>
  <c r="T1321" i="1"/>
  <c r="U1321" i="1"/>
  <c r="BD1321" i="1"/>
  <c r="CE1321" i="1"/>
  <c r="A1322" i="1"/>
  <c r="C1322" i="1"/>
  <c r="S1322" i="1"/>
  <c r="T1322" i="1"/>
  <c r="U1322" i="1"/>
  <c r="BD1322" i="1"/>
  <c r="CE1322" i="1"/>
  <c r="A1323" i="1"/>
  <c r="C1323" i="1"/>
  <c r="S1323" i="1"/>
  <c r="T1323" i="1"/>
  <c r="U1323" i="1"/>
  <c r="BD1323" i="1"/>
  <c r="CE1323" i="1"/>
  <c r="A1324" i="1"/>
  <c r="C1324" i="1"/>
  <c r="S1324" i="1"/>
  <c r="T1324" i="1"/>
  <c r="U1324" i="1"/>
  <c r="BD1324" i="1"/>
  <c r="CE1324" i="1"/>
  <c r="A1325" i="1"/>
  <c r="C1325" i="1"/>
  <c r="S1325" i="1"/>
  <c r="T1325" i="1"/>
  <c r="U1325" i="1"/>
  <c r="BD1325" i="1"/>
  <c r="CE1325" i="1"/>
  <c r="A1326" i="1"/>
  <c r="C1326" i="1"/>
  <c r="S1326" i="1"/>
  <c r="T1326" i="1"/>
  <c r="U1326" i="1"/>
  <c r="BD1326" i="1"/>
  <c r="CE1326" i="1"/>
  <c r="A1327" i="1"/>
  <c r="C1327" i="1"/>
  <c r="S1327" i="1"/>
  <c r="T1327" i="1"/>
  <c r="U1327" i="1"/>
  <c r="BD1327" i="1"/>
  <c r="CE1327" i="1"/>
  <c r="A1328" i="1"/>
  <c r="C1328" i="1"/>
  <c r="S1328" i="1"/>
  <c r="T1328" i="1"/>
  <c r="U1328" i="1"/>
  <c r="BD1328" i="1"/>
  <c r="CE1328" i="1"/>
  <c r="A1329" i="1"/>
  <c r="C1329" i="1"/>
  <c r="S1329" i="1"/>
  <c r="T1329" i="1"/>
  <c r="U1329" i="1"/>
  <c r="BD1329" i="1"/>
  <c r="CE1329" i="1"/>
  <c r="A1330" i="1"/>
  <c r="C1330" i="1"/>
  <c r="S1330" i="1"/>
  <c r="T1330" i="1"/>
  <c r="U1330" i="1"/>
  <c r="BD1330" i="1"/>
  <c r="CE1330" i="1"/>
  <c r="A1331" i="1"/>
  <c r="C1331" i="1"/>
  <c r="S1331" i="1"/>
  <c r="T1331" i="1"/>
  <c r="U1331" i="1"/>
  <c r="BD1331" i="1"/>
  <c r="CE1331" i="1"/>
  <c r="A1332" i="1"/>
  <c r="C1332" i="1"/>
  <c r="S1332" i="1"/>
  <c r="T1332" i="1"/>
  <c r="U1332" i="1"/>
  <c r="BD1332" i="1"/>
  <c r="CE1332" i="1"/>
  <c r="A1333" i="1"/>
  <c r="C1333" i="1"/>
  <c r="S1333" i="1"/>
  <c r="T1333" i="1"/>
  <c r="U1333" i="1"/>
  <c r="BD1333" i="1"/>
  <c r="CE1333" i="1"/>
  <c r="A1334" i="1"/>
  <c r="C1334" i="1"/>
  <c r="S1334" i="1"/>
  <c r="T1334" i="1"/>
  <c r="U1334" i="1"/>
  <c r="BD1334" i="1"/>
  <c r="CE1334" i="1"/>
  <c r="A1335" i="1"/>
  <c r="C1335" i="1"/>
  <c r="S1335" i="1"/>
  <c r="T1335" i="1"/>
  <c r="U1335" i="1"/>
  <c r="BD1335" i="1"/>
  <c r="CE1335" i="1"/>
  <c r="A1336" i="1"/>
  <c r="C1336" i="1"/>
  <c r="S1336" i="1"/>
  <c r="T1336" i="1"/>
  <c r="U1336" i="1"/>
  <c r="BD1336" i="1"/>
  <c r="CE1336" i="1"/>
  <c r="A1337" i="1"/>
  <c r="C1337" i="1"/>
  <c r="S1337" i="1"/>
  <c r="T1337" i="1"/>
  <c r="U1337" i="1"/>
  <c r="BD1337" i="1"/>
  <c r="CE1337" i="1"/>
  <c r="A1338" i="1"/>
  <c r="C1338" i="1"/>
  <c r="S1338" i="1"/>
  <c r="T1338" i="1"/>
  <c r="U1338" i="1"/>
  <c r="BD1338" i="1"/>
  <c r="CE1338" i="1"/>
  <c r="A1339" i="1"/>
  <c r="C1339" i="1"/>
  <c r="S1339" i="1"/>
  <c r="T1339" i="1"/>
  <c r="U1339" i="1"/>
  <c r="BD1339" i="1"/>
  <c r="CE1339" i="1"/>
  <c r="A1340" i="1"/>
  <c r="C1340" i="1"/>
  <c r="S1340" i="1"/>
  <c r="T1340" i="1"/>
  <c r="U1340" i="1"/>
  <c r="BD1340" i="1"/>
  <c r="CE1340" i="1"/>
  <c r="A1341" i="1"/>
  <c r="C1341" i="1"/>
  <c r="S1341" i="1"/>
  <c r="T1341" i="1"/>
  <c r="U1341" i="1"/>
  <c r="BD1341" i="1"/>
  <c r="CE1341" i="1"/>
  <c r="A1342" i="1"/>
  <c r="C1342" i="1"/>
  <c r="S1342" i="1"/>
  <c r="T1342" i="1"/>
  <c r="U1342" i="1"/>
  <c r="BD1342" i="1"/>
  <c r="CE1342" i="1"/>
  <c r="A1343" i="1"/>
  <c r="C1343" i="1"/>
  <c r="S1343" i="1"/>
  <c r="T1343" i="1"/>
  <c r="U1343" i="1"/>
  <c r="BD1343" i="1"/>
  <c r="CE1343" i="1"/>
  <c r="A1344" i="1"/>
  <c r="C1344" i="1"/>
  <c r="S1344" i="1"/>
  <c r="T1344" i="1"/>
  <c r="U1344" i="1"/>
  <c r="BD1344" i="1"/>
  <c r="CE1344" i="1"/>
  <c r="A1345" i="1"/>
  <c r="C1345" i="1"/>
  <c r="S1345" i="1"/>
  <c r="T1345" i="1"/>
  <c r="U1345" i="1"/>
  <c r="BD1345" i="1"/>
  <c r="CE1345" i="1"/>
  <c r="A1346" i="1"/>
  <c r="C1346" i="1"/>
  <c r="S1346" i="1"/>
  <c r="T1346" i="1"/>
  <c r="U1346" i="1"/>
  <c r="BD1346" i="1"/>
  <c r="CE1346" i="1"/>
  <c r="A1347" i="1"/>
  <c r="C1347" i="1"/>
  <c r="S1347" i="1"/>
  <c r="T1347" i="1"/>
  <c r="U1347" i="1"/>
  <c r="BD1347" i="1"/>
  <c r="CE1347" i="1"/>
  <c r="A1348" i="1"/>
  <c r="C1348" i="1"/>
  <c r="S1348" i="1"/>
  <c r="T1348" i="1"/>
  <c r="U1348" i="1"/>
  <c r="BD1348" i="1"/>
  <c r="CE1348" i="1"/>
  <c r="A1349" i="1"/>
  <c r="C1349" i="1"/>
  <c r="S1349" i="1"/>
  <c r="T1349" i="1"/>
  <c r="U1349" i="1"/>
  <c r="BD1349" i="1"/>
  <c r="CE1349" i="1"/>
  <c r="A1350" i="1"/>
  <c r="C1350" i="1"/>
  <c r="S1350" i="1"/>
  <c r="T1350" i="1"/>
  <c r="U1350" i="1"/>
  <c r="BD1350" i="1"/>
  <c r="CE1350" i="1"/>
  <c r="A1351" i="1"/>
  <c r="C1351" i="1"/>
  <c r="S1351" i="1"/>
  <c r="T1351" i="1"/>
  <c r="U1351" i="1"/>
  <c r="BD1351" i="1"/>
  <c r="CE1351" i="1"/>
  <c r="A1352" i="1"/>
  <c r="C1352" i="1"/>
  <c r="S1352" i="1"/>
  <c r="T1352" i="1"/>
  <c r="U1352" i="1"/>
  <c r="BD1352" i="1"/>
  <c r="CE1352" i="1"/>
  <c r="A1353" i="1"/>
  <c r="C1353" i="1"/>
  <c r="S1353" i="1"/>
  <c r="T1353" i="1"/>
  <c r="U1353" i="1"/>
  <c r="BD1353" i="1"/>
  <c r="CE1353" i="1"/>
  <c r="A1354" i="1"/>
  <c r="C1354" i="1"/>
  <c r="S1354" i="1"/>
  <c r="T1354" i="1"/>
  <c r="U1354" i="1"/>
  <c r="BD1354" i="1"/>
  <c r="CE1354" i="1"/>
  <c r="A1355" i="1"/>
  <c r="C1355" i="1"/>
  <c r="S1355" i="1"/>
  <c r="T1355" i="1"/>
  <c r="U1355" i="1"/>
  <c r="BD1355" i="1"/>
  <c r="CE1355" i="1"/>
  <c r="A1356" i="1"/>
  <c r="C1356" i="1"/>
  <c r="S1356" i="1"/>
  <c r="T1356" i="1"/>
  <c r="U1356" i="1"/>
  <c r="BD1356" i="1"/>
  <c r="CE1356" i="1"/>
  <c r="A1357" i="1"/>
  <c r="C1357" i="1"/>
  <c r="S1357" i="1"/>
  <c r="T1357" i="1"/>
  <c r="U1357" i="1"/>
  <c r="BD1357" i="1"/>
  <c r="CE1357" i="1"/>
  <c r="A1358" i="1"/>
  <c r="C1358" i="1"/>
  <c r="S1358" i="1"/>
  <c r="T1358" i="1"/>
  <c r="U1358" i="1"/>
  <c r="BD1358" i="1"/>
  <c r="CE1358" i="1"/>
  <c r="A1359" i="1"/>
  <c r="C1359" i="1"/>
  <c r="S1359" i="1"/>
  <c r="T1359" i="1"/>
  <c r="U1359" i="1"/>
  <c r="BD1359" i="1"/>
  <c r="CE1359" i="1"/>
  <c r="A1360" i="1"/>
  <c r="C1360" i="1"/>
  <c r="S1360" i="1"/>
  <c r="T1360" i="1"/>
  <c r="U1360" i="1"/>
  <c r="BD1360" i="1"/>
  <c r="CE1360" i="1"/>
  <c r="A1361" i="1"/>
  <c r="C1361" i="1"/>
  <c r="S1361" i="1"/>
  <c r="T1361" i="1"/>
  <c r="U1361" i="1"/>
  <c r="BD1361" i="1"/>
  <c r="CE1361" i="1"/>
  <c r="A1362" i="1"/>
  <c r="C1362" i="1"/>
  <c r="S1362" i="1"/>
  <c r="T1362" i="1"/>
  <c r="U1362" i="1"/>
  <c r="BD1362" i="1"/>
  <c r="CE1362" i="1"/>
  <c r="A1363" i="1"/>
  <c r="C1363" i="1"/>
  <c r="S1363" i="1"/>
  <c r="T1363" i="1"/>
  <c r="U1363" i="1"/>
  <c r="BD1363" i="1"/>
  <c r="CE1363" i="1"/>
  <c r="A1364" i="1"/>
  <c r="C1364" i="1"/>
  <c r="S1364" i="1"/>
  <c r="T1364" i="1"/>
  <c r="U1364" i="1"/>
  <c r="BD1364" i="1"/>
  <c r="CE1364" i="1"/>
  <c r="A1365" i="1"/>
  <c r="C1365" i="1"/>
  <c r="S1365" i="1"/>
  <c r="T1365" i="1"/>
  <c r="U1365" i="1"/>
  <c r="BD1365" i="1"/>
  <c r="CE1365" i="1"/>
  <c r="A1366" i="1"/>
  <c r="C1366" i="1"/>
  <c r="S1366" i="1"/>
  <c r="T1366" i="1"/>
  <c r="U1366" i="1"/>
  <c r="BD1366" i="1"/>
  <c r="CE1366" i="1"/>
  <c r="A1367" i="1"/>
  <c r="C1367" i="1"/>
  <c r="S1367" i="1"/>
  <c r="T1367" i="1"/>
  <c r="U1367" i="1"/>
  <c r="BD1367" i="1"/>
  <c r="CE1367" i="1"/>
  <c r="A1368" i="1"/>
  <c r="C1368" i="1"/>
  <c r="S1368" i="1"/>
  <c r="T1368" i="1"/>
  <c r="U1368" i="1"/>
  <c r="BD1368" i="1"/>
  <c r="CE1368" i="1"/>
  <c r="A1369" i="1"/>
  <c r="C1369" i="1"/>
  <c r="S1369" i="1"/>
  <c r="T1369" i="1"/>
  <c r="U1369" i="1"/>
  <c r="BD1369" i="1"/>
  <c r="CE1369" i="1"/>
  <c r="A1370" i="1"/>
  <c r="C1370" i="1"/>
  <c r="S1370" i="1"/>
  <c r="T1370" i="1"/>
  <c r="U1370" i="1"/>
  <c r="BD1370" i="1"/>
  <c r="CE1370" i="1"/>
  <c r="A1371" i="1"/>
  <c r="C1371" i="1"/>
  <c r="S1371" i="1"/>
  <c r="T1371" i="1"/>
  <c r="U1371" i="1"/>
  <c r="BD1371" i="1"/>
  <c r="CE1371" i="1"/>
  <c r="A1372" i="1"/>
  <c r="C1372" i="1"/>
  <c r="S1372" i="1"/>
  <c r="T1372" i="1"/>
  <c r="U1372" i="1"/>
  <c r="BD1372" i="1"/>
  <c r="CE1372" i="1"/>
  <c r="A1373" i="1"/>
  <c r="C1373" i="1"/>
  <c r="S1373" i="1"/>
  <c r="T1373" i="1"/>
  <c r="U1373" i="1"/>
  <c r="BD1373" i="1"/>
  <c r="CE1373" i="1"/>
  <c r="A1374" i="1"/>
  <c r="C1374" i="1"/>
  <c r="S1374" i="1"/>
  <c r="T1374" i="1"/>
  <c r="U1374" i="1"/>
  <c r="BD1374" i="1"/>
  <c r="CE1374" i="1"/>
  <c r="A1375" i="1"/>
  <c r="C1375" i="1"/>
  <c r="S1375" i="1"/>
  <c r="T1375" i="1"/>
  <c r="U1375" i="1"/>
  <c r="BD1375" i="1"/>
  <c r="CE1375" i="1"/>
  <c r="A1376" i="1"/>
  <c r="C1376" i="1"/>
  <c r="S1376" i="1"/>
  <c r="T1376" i="1"/>
  <c r="U1376" i="1"/>
  <c r="BD1376" i="1"/>
  <c r="CE1376" i="1"/>
  <c r="A1377" i="1"/>
  <c r="C1377" i="1"/>
  <c r="S1377" i="1"/>
  <c r="T1377" i="1"/>
  <c r="U1377" i="1"/>
  <c r="BD1377" i="1"/>
  <c r="CE1377" i="1"/>
  <c r="A1378" i="1"/>
  <c r="C1378" i="1"/>
  <c r="S1378" i="1"/>
  <c r="T1378" i="1"/>
  <c r="U1378" i="1"/>
  <c r="BD1378" i="1"/>
  <c r="CE1378" i="1"/>
  <c r="A1379" i="1"/>
  <c r="C1379" i="1"/>
  <c r="S1379" i="1"/>
  <c r="T1379" i="1"/>
  <c r="U1379" i="1"/>
  <c r="BD1379" i="1"/>
  <c r="CE1379" i="1"/>
  <c r="A1380" i="1"/>
  <c r="C1380" i="1"/>
  <c r="S1380" i="1"/>
  <c r="T1380" i="1"/>
  <c r="U1380" i="1"/>
  <c r="BD1380" i="1"/>
  <c r="CE1380" i="1"/>
  <c r="A1381" i="1"/>
  <c r="C1381" i="1"/>
  <c r="S1381" i="1"/>
  <c r="T1381" i="1"/>
  <c r="U1381" i="1"/>
  <c r="BD1381" i="1"/>
  <c r="CE1381" i="1"/>
  <c r="A1382" i="1"/>
  <c r="C1382" i="1"/>
  <c r="S1382" i="1"/>
  <c r="T1382" i="1"/>
  <c r="U1382" i="1"/>
  <c r="BD1382" i="1"/>
  <c r="CE1382" i="1"/>
  <c r="A1383" i="1"/>
  <c r="C1383" i="1"/>
  <c r="S1383" i="1"/>
  <c r="T1383" i="1"/>
  <c r="U1383" i="1"/>
  <c r="BD1383" i="1"/>
  <c r="CE1383" i="1"/>
  <c r="A1384" i="1"/>
  <c r="C1384" i="1"/>
  <c r="S1384" i="1"/>
  <c r="T1384" i="1"/>
  <c r="U1384" i="1"/>
  <c r="BD1384" i="1"/>
  <c r="CE1384" i="1"/>
  <c r="A1385" i="1"/>
  <c r="C1385" i="1"/>
  <c r="S1385" i="1"/>
  <c r="T1385" i="1"/>
  <c r="U1385" i="1"/>
  <c r="BD1385" i="1"/>
  <c r="CE1385" i="1"/>
  <c r="A1386" i="1"/>
  <c r="C1386" i="1"/>
  <c r="S1386" i="1"/>
  <c r="T1386" i="1"/>
  <c r="U1386" i="1"/>
  <c r="BD1386" i="1"/>
  <c r="CE1386" i="1"/>
  <c r="A1387" i="1"/>
  <c r="C1387" i="1"/>
  <c r="S1387" i="1"/>
  <c r="T1387" i="1"/>
  <c r="U1387" i="1"/>
  <c r="BD1387" i="1"/>
  <c r="CE1387" i="1"/>
  <c r="A1388" i="1"/>
  <c r="C1388" i="1"/>
  <c r="S1388" i="1"/>
  <c r="T1388" i="1"/>
  <c r="U1388" i="1"/>
  <c r="BD1388" i="1"/>
  <c r="CE1388" i="1"/>
  <c r="A1389" i="1"/>
  <c r="C1389" i="1"/>
  <c r="S1389" i="1"/>
  <c r="T1389" i="1"/>
  <c r="U1389" i="1"/>
  <c r="BD1389" i="1"/>
  <c r="CE1389" i="1"/>
  <c r="A1390" i="1"/>
  <c r="C1390" i="1"/>
  <c r="S1390" i="1"/>
  <c r="T1390" i="1"/>
  <c r="U1390" i="1"/>
  <c r="BD1390" i="1"/>
  <c r="CE1390" i="1"/>
  <c r="A1391" i="1"/>
  <c r="C1391" i="1"/>
  <c r="S1391" i="1"/>
  <c r="T1391" i="1"/>
  <c r="U1391" i="1"/>
  <c r="BD1391" i="1"/>
  <c r="CE1391" i="1"/>
  <c r="A1392" i="1"/>
  <c r="C1392" i="1"/>
  <c r="S1392" i="1"/>
  <c r="T1392" i="1"/>
  <c r="U1392" i="1"/>
  <c r="BD1392" i="1"/>
  <c r="CE1392" i="1"/>
  <c r="A1393" i="1"/>
  <c r="C1393" i="1"/>
  <c r="S1393" i="1"/>
  <c r="T1393" i="1"/>
  <c r="U1393" i="1"/>
  <c r="BD1393" i="1"/>
  <c r="CE1393" i="1"/>
  <c r="A1394" i="1"/>
  <c r="C1394" i="1"/>
  <c r="S1394" i="1"/>
  <c r="T1394" i="1"/>
  <c r="U1394" i="1"/>
  <c r="BD1394" i="1"/>
  <c r="CE1394" i="1"/>
  <c r="A1395" i="1"/>
  <c r="C1395" i="1"/>
  <c r="S1395" i="1"/>
  <c r="T1395" i="1"/>
  <c r="U1395" i="1"/>
  <c r="BD1395" i="1"/>
  <c r="CE1395" i="1"/>
  <c r="A1396" i="1"/>
  <c r="C1396" i="1"/>
  <c r="S1396" i="1"/>
  <c r="T1396" i="1"/>
  <c r="U1396" i="1"/>
  <c r="BD1396" i="1"/>
  <c r="CE1396" i="1"/>
  <c r="A1397" i="1"/>
  <c r="C1397" i="1"/>
  <c r="S1397" i="1"/>
  <c r="T1397" i="1"/>
  <c r="U1397" i="1"/>
  <c r="BD1397" i="1"/>
  <c r="CE1397" i="1"/>
  <c r="A1398" i="1"/>
  <c r="C1398" i="1"/>
  <c r="S1398" i="1"/>
  <c r="T1398" i="1"/>
  <c r="U1398" i="1"/>
  <c r="BD1398" i="1"/>
  <c r="CE1398" i="1"/>
  <c r="A1399" i="1"/>
  <c r="C1399" i="1"/>
  <c r="S1399" i="1"/>
  <c r="T1399" i="1"/>
  <c r="U1399" i="1"/>
  <c r="BD1399" i="1"/>
  <c r="CE1399" i="1"/>
  <c r="A1400" i="1"/>
  <c r="C1400" i="1"/>
  <c r="S1400" i="1"/>
  <c r="T1400" i="1"/>
  <c r="U1400" i="1"/>
  <c r="BD1400" i="1"/>
  <c r="CE1400" i="1"/>
  <c r="A1401" i="1"/>
  <c r="C1401" i="1"/>
  <c r="S1401" i="1"/>
  <c r="T1401" i="1"/>
  <c r="U1401" i="1"/>
  <c r="BD1401" i="1"/>
  <c r="CE1401" i="1"/>
  <c r="A1402" i="1"/>
  <c r="C1402" i="1"/>
  <c r="S1402" i="1"/>
  <c r="T1402" i="1"/>
  <c r="U1402" i="1"/>
  <c r="BD1402" i="1"/>
  <c r="CE1402" i="1"/>
  <c r="A1403" i="1"/>
  <c r="C1403" i="1"/>
  <c r="S1403" i="1"/>
  <c r="T1403" i="1"/>
  <c r="U1403" i="1"/>
  <c r="BD1403" i="1"/>
  <c r="CE1403" i="1"/>
  <c r="A1404" i="1"/>
  <c r="C1404" i="1"/>
  <c r="S1404" i="1"/>
  <c r="T1404" i="1"/>
  <c r="U1404" i="1"/>
  <c r="BD1404" i="1"/>
  <c r="CE1404" i="1"/>
  <c r="A1405" i="1"/>
  <c r="C1405" i="1"/>
  <c r="S1405" i="1"/>
  <c r="T1405" i="1"/>
  <c r="U1405" i="1"/>
  <c r="BD1405" i="1"/>
  <c r="CE1405" i="1"/>
  <c r="A1406" i="1"/>
  <c r="C1406" i="1"/>
  <c r="S1406" i="1"/>
  <c r="T1406" i="1"/>
  <c r="U1406" i="1"/>
  <c r="BD1406" i="1"/>
  <c r="CE1406" i="1"/>
  <c r="A1407" i="1"/>
  <c r="C1407" i="1"/>
  <c r="S1407" i="1"/>
  <c r="T1407" i="1"/>
  <c r="U1407" i="1"/>
  <c r="BD1407" i="1"/>
  <c r="CE1407" i="1"/>
  <c r="A1408" i="1"/>
  <c r="C1408" i="1"/>
  <c r="S1408" i="1"/>
  <c r="T1408" i="1"/>
  <c r="U1408" i="1"/>
  <c r="BD1408" i="1"/>
  <c r="CE1408" i="1"/>
  <c r="A1409" i="1"/>
  <c r="C1409" i="1"/>
  <c r="S1409" i="1"/>
  <c r="T1409" i="1"/>
  <c r="U1409" i="1"/>
  <c r="BD1409" i="1"/>
  <c r="CE1409" i="1"/>
  <c r="A1410" i="1"/>
  <c r="C1410" i="1"/>
  <c r="S1410" i="1"/>
  <c r="T1410" i="1"/>
  <c r="U1410" i="1"/>
  <c r="BD1410" i="1"/>
  <c r="CE1410" i="1"/>
  <c r="A1411" i="1"/>
  <c r="C1411" i="1"/>
  <c r="S1411" i="1"/>
  <c r="T1411" i="1"/>
  <c r="U1411" i="1"/>
  <c r="BD1411" i="1"/>
  <c r="CE1411" i="1"/>
  <c r="A1412" i="1"/>
  <c r="C1412" i="1"/>
  <c r="S1412" i="1"/>
  <c r="T1412" i="1"/>
  <c r="U1412" i="1"/>
  <c r="BD1412" i="1"/>
  <c r="CE1412" i="1"/>
  <c r="A1413" i="1"/>
  <c r="C1413" i="1"/>
  <c r="S1413" i="1"/>
  <c r="T1413" i="1"/>
  <c r="U1413" i="1"/>
  <c r="BD1413" i="1"/>
  <c r="CE1413" i="1"/>
  <c r="A1414" i="1"/>
  <c r="C1414" i="1"/>
  <c r="S1414" i="1"/>
  <c r="T1414" i="1"/>
  <c r="U1414" i="1"/>
  <c r="BD1414" i="1"/>
  <c r="CE1414" i="1"/>
  <c r="A1415" i="1"/>
  <c r="C1415" i="1"/>
  <c r="S1415" i="1"/>
  <c r="T1415" i="1"/>
  <c r="U1415" i="1"/>
  <c r="BD1415" i="1"/>
  <c r="CE1415" i="1"/>
  <c r="A1416" i="1"/>
  <c r="C1416" i="1"/>
  <c r="S1416" i="1"/>
  <c r="T1416" i="1"/>
  <c r="U1416" i="1"/>
  <c r="BD1416" i="1"/>
  <c r="CE1416" i="1"/>
  <c r="A1417" i="1"/>
  <c r="C1417" i="1"/>
  <c r="S1417" i="1"/>
  <c r="T1417" i="1"/>
  <c r="U1417" i="1"/>
  <c r="BD1417" i="1"/>
  <c r="CE1417" i="1"/>
  <c r="A1418" i="1"/>
  <c r="C1418" i="1"/>
  <c r="S1418" i="1"/>
  <c r="T1418" i="1"/>
  <c r="U1418" i="1"/>
  <c r="BD1418" i="1"/>
  <c r="CE1418" i="1"/>
  <c r="A1419" i="1"/>
  <c r="C1419" i="1"/>
  <c r="S1419" i="1"/>
  <c r="T1419" i="1"/>
  <c r="U1419" i="1"/>
  <c r="BD1419" i="1"/>
  <c r="CE1419" i="1"/>
  <c r="A1420" i="1"/>
  <c r="C1420" i="1"/>
  <c r="S1420" i="1"/>
  <c r="T1420" i="1"/>
  <c r="U1420" i="1"/>
  <c r="BD1420" i="1"/>
  <c r="CE1420" i="1"/>
  <c r="A1421" i="1"/>
  <c r="C1421" i="1"/>
  <c r="S1421" i="1"/>
  <c r="T1421" i="1"/>
  <c r="U1421" i="1"/>
  <c r="BD1421" i="1"/>
  <c r="CE1421" i="1"/>
  <c r="A1422" i="1"/>
  <c r="C1422" i="1"/>
  <c r="S1422" i="1"/>
  <c r="T1422" i="1"/>
  <c r="U1422" i="1"/>
  <c r="BD1422" i="1"/>
  <c r="CE1422" i="1"/>
  <c r="A1423" i="1"/>
  <c r="C1423" i="1"/>
  <c r="S1423" i="1"/>
  <c r="T1423" i="1"/>
  <c r="U1423" i="1"/>
  <c r="BD1423" i="1"/>
  <c r="CE1423" i="1"/>
  <c r="A1424" i="1"/>
  <c r="C1424" i="1"/>
  <c r="S1424" i="1"/>
  <c r="T1424" i="1"/>
  <c r="U1424" i="1"/>
  <c r="BD1424" i="1"/>
  <c r="CE1424" i="1"/>
  <c r="A1425" i="1"/>
  <c r="C1425" i="1"/>
  <c r="S1425" i="1"/>
  <c r="T1425" i="1"/>
  <c r="U1425" i="1"/>
  <c r="BD1425" i="1"/>
  <c r="CE1425" i="1"/>
  <c r="A1426" i="1"/>
  <c r="C1426" i="1"/>
  <c r="S1426" i="1"/>
  <c r="T1426" i="1"/>
  <c r="U1426" i="1"/>
  <c r="BD1426" i="1"/>
  <c r="CE1426" i="1"/>
  <c r="A1427" i="1"/>
  <c r="C1427" i="1"/>
  <c r="S1427" i="1"/>
  <c r="T1427" i="1"/>
  <c r="U1427" i="1"/>
  <c r="BD1427" i="1"/>
  <c r="CE1427" i="1"/>
  <c r="A1428" i="1"/>
  <c r="C1428" i="1"/>
  <c r="S1428" i="1"/>
  <c r="T1428" i="1"/>
  <c r="U1428" i="1"/>
  <c r="BD1428" i="1"/>
  <c r="CE1428" i="1"/>
  <c r="A1429" i="1"/>
  <c r="C1429" i="1"/>
  <c r="S1429" i="1"/>
  <c r="T1429" i="1"/>
  <c r="U1429" i="1"/>
  <c r="BD1429" i="1"/>
  <c r="CE1429" i="1"/>
  <c r="A1430" i="1"/>
  <c r="C1430" i="1"/>
  <c r="S1430" i="1"/>
  <c r="T1430" i="1"/>
  <c r="U1430" i="1"/>
  <c r="BD1430" i="1"/>
  <c r="CE1430" i="1"/>
  <c r="A1431" i="1"/>
  <c r="C1431" i="1"/>
  <c r="S1431" i="1"/>
  <c r="T1431" i="1"/>
  <c r="U1431" i="1"/>
  <c r="BD1431" i="1"/>
  <c r="CE1431" i="1"/>
  <c r="A1432" i="1"/>
  <c r="C1432" i="1"/>
  <c r="S1432" i="1"/>
  <c r="T1432" i="1"/>
  <c r="U1432" i="1"/>
  <c r="BD1432" i="1"/>
  <c r="CE1432" i="1"/>
  <c r="A1433" i="1"/>
  <c r="C1433" i="1"/>
  <c r="S1433" i="1"/>
  <c r="T1433" i="1"/>
  <c r="U1433" i="1"/>
  <c r="BD1433" i="1"/>
  <c r="CE1433" i="1"/>
  <c r="A1434" i="1"/>
  <c r="C1434" i="1"/>
  <c r="S1434" i="1"/>
  <c r="T1434" i="1"/>
  <c r="U1434" i="1"/>
  <c r="BD1434" i="1"/>
  <c r="CE1434" i="1"/>
  <c r="A1435" i="1"/>
  <c r="C1435" i="1"/>
  <c r="S1435" i="1"/>
  <c r="T1435" i="1"/>
  <c r="U1435" i="1"/>
  <c r="BD1435" i="1"/>
  <c r="CE1435" i="1"/>
  <c r="A1436" i="1"/>
  <c r="C1436" i="1"/>
  <c r="S1436" i="1"/>
  <c r="T1436" i="1"/>
  <c r="U1436" i="1"/>
  <c r="BD1436" i="1"/>
  <c r="CE1436" i="1"/>
  <c r="A1437" i="1"/>
  <c r="C1437" i="1"/>
  <c r="S1437" i="1"/>
  <c r="T1437" i="1"/>
  <c r="U1437" i="1"/>
  <c r="BD1437" i="1"/>
  <c r="CE1437" i="1"/>
  <c r="A1438" i="1"/>
  <c r="C1438" i="1"/>
  <c r="S1438" i="1"/>
  <c r="T1438" i="1"/>
  <c r="U1438" i="1"/>
  <c r="BD1438" i="1"/>
  <c r="CE1438" i="1"/>
  <c r="A1439" i="1"/>
  <c r="C1439" i="1"/>
  <c r="S1439" i="1"/>
  <c r="T1439" i="1"/>
  <c r="U1439" i="1"/>
  <c r="BD1439" i="1"/>
  <c r="CE1439" i="1"/>
  <c r="A1440" i="1"/>
  <c r="C1440" i="1"/>
  <c r="S1440" i="1"/>
  <c r="T1440" i="1"/>
  <c r="U1440" i="1"/>
  <c r="BD1440" i="1"/>
  <c r="CE1440" i="1"/>
  <c r="A1441" i="1"/>
  <c r="C1441" i="1"/>
  <c r="S1441" i="1"/>
  <c r="T1441" i="1"/>
  <c r="U1441" i="1"/>
  <c r="BD1441" i="1"/>
  <c r="CE1441" i="1"/>
  <c r="A1442" i="1"/>
  <c r="C1442" i="1"/>
  <c r="S1442" i="1"/>
  <c r="T1442" i="1"/>
  <c r="U1442" i="1"/>
  <c r="BD1442" i="1"/>
  <c r="CE1442" i="1"/>
  <c r="A1443" i="1"/>
  <c r="C1443" i="1"/>
  <c r="S1443" i="1"/>
  <c r="T1443" i="1"/>
  <c r="U1443" i="1"/>
  <c r="BD1443" i="1"/>
  <c r="CE1443" i="1"/>
  <c r="A1444" i="1"/>
  <c r="C1444" i="1"/>
  <c r="S1444" i="1"/>
  <c r="T1444" i="1"/>
  <c r="U1444" i="1"/>
  <c r="BD1444" i="1"/>
  <c r="CE1444" i="1"/>
  <c r="A1445" i="1"/>
  <c r="C1445" i="1"/>
  <c r="S1445" i="1"/>
  <c r="T1445" i="1"/>
  <c r="U1445" i="1"/>
  <c r="BD1445" i="1"/>
  <c r="CE1445" i="1"/>
  <c r="A1446" i="1"/>
  <c r="C1446" i="1"/>
  <c r="S1446" i="1"/>
  <c r="T1446" i="1"/>
  <c r="U1446" i="1"/>
  <c r="BD1446" i="1"/>
  <c r="CE1446" i="1"/>
  <c r="A1447" i="1"/>
  <c r="C1447" i="1"/>
  <c r="S1447" i="1"/>
  <c r="T1447" i="1"/>
  <c r="U1447" i="1"/>
  <c r="BD1447" i="1"/>
  <c r="CE1447" i="1"/>
  <c r="A1448" i="1"/>
  <c r="C1448" i="1"/>
  <c r="S1448" i="1"/>
  <c r="T1448" i="1"/>
  <c r="U1448" i="1"/>
  <c r="BD1448" i="1"/>
  <c r="CE1448" i="1"/>
  <c r="A1449" i="1"/>
  <c r="C1449" i="1"/>
  <c r="S1449" i="1"/>
  <c r="T1449" i="1"/>
  <c r="U1449" i="1"/>
  <c r="BD1449" i="1"/>
  <c r="CE1449" i="1"/>
  <c r="A1450" i="1"/>
  <c r="C1450" i="1"/>
  <c r="S1450" i="1"/>
  <c r="T1450" i="1"/>
  <c r="U1450" i="1"/>
  <c r="BD1450" i="1"/>
  <c r="CE1450" i="1"/>
  <c r="A1451" i="1"/>
  <c r="C1451" i="1"/>
  <c r="S1451" i="1"/>
  <c r="T1451" i="1"/>
  <c r="U1451" i="1"/>
  <c r="BD1451" i="1"/>
  <c r="CE1451" i="1"/>
  <c r="A1452" i="1"/>
  <c r="C1452" i="1"/>
  <c r="S1452" i="1"/>
  <c r="T1452" i="1"/>
  <c r="U1452" i="1"/>
  <c r="BD1452" i="1"/>
  <c r="CE1452" i="1"/>
  <c r="A1453" i="1"/>
  <c r="C1453" i="1"/>
  <c r="S1453" i="1"/>
  <c r="T1453" i="1"/>
  <c r="U1453" i="1"/>
  <c r="BD1453" i="1"/>
  <c r="CE1453" i="1"/>
  <c r="A1454" i="1"/>
  <c r="C1454" i="1"/>
  <c r="S1454" i="1"/>
  <c r="T1454" i="1"/>
  <c r="U1454" i="1"/>
  <c r="BD1454" i="1"/>
  <c r="CE1454" i="1"/>
  <c r="A1455" i="1"/>
  <c r="C1455" i="1"/>
  <c r="S1455" i="1"/>
  <c r="T1455" i="1"/>
  <c r="U1455" i="1"/>
  <c r="BD1455" i="1"/>
  <c r="CE1455" i="1"/>
  <c r="A1456" i="1"/>
  <c r="C1456" i="1"/>
  <c r="S1456" i="1"/>
  <c r="T1456" i="1"/>
  <c r="U1456" i="1"/>
  <c r="BD1456" i="1"/>
  <c r="CE1456" i="1"/>
  <c r="A1457" i="1"/>
  <c r="C1457" i="1"/>
  <c r="S1457" i="1"/>
  <c r="T1457" i="1"/>
  <c r="U1457" i="1"/>
  <c r="BD1457" i="1"/>
  <c r="CE1457" i="1"/>
  <c r="A1458" i="1"/>
  <c r="C1458" i="1"/>
  <c r="S1458" i="1"/>
  <c r="T1458" i="1"/>
  <c r="U1458" i="1"/>
  <c r="BD1458" i="1"/>
  <c r="CE1458" i="1"/>
  <c r="A1459" i="1"/>
  <c r="C1459" i="1"/>
  <c r="S1459" i="1"/>
  <c r="T1459" i="1"/>
  <c r="U1459" i="1"/>
  <c r="BD1459" i="1"/>
  <c r="CE1459" i="1"/>
  <c r="A1460" i="1"/>
  <c r="C1460" i="1"/>
  <c r="S1460" i="1"/>
  <c r="T1460" i="1"/>
  <c r="U1460" i="1"/>
  <c r="BD1460" i="1"/>
  <c r="CE1460" i="1"/>
  <c r="A1461" i="1"/>
  <c r="C1461" i="1"/>
  <c r="S1461" i="1"/>
  <c r="T1461" i="1"/>
  <c r="U1461" i="1"/>
  <c r="BD1461" i="1"/>
  <c r="CE1461" i="1"/>
  <c r="A1462" i="1"/>
  <c r="C1462" i="1"/>
  <c r="S1462" i="1"/>
  <c r="T1462" i="1"/>
  <c r="U1462" i="1"/>
  <c r="BD1462" i="1"/>
  <c r="CE1462" i="1"/>
  <c r="A1463" i="1"/>
  <c r="C1463" i="1"/>
  <c r="S1463" i="1"/>
  <c r="T1463" i="1"/>
  <c r="U1463" i="1"/>
  <c r="BD1463" i="1"/>
  <c r="CE1463" i="1"/>
  <c r="A1464" i="1"/>
  <c r="C1464" i="1"/>
  <c r="S1464" i="1"/>
  <c r="T1464" i="1"/>
  <c r="U1464" i="1"/>
  <c r="BD1464" i="1"/>
  <c r="CE1464" i="1"/>
  <c r="A1465" i="1"/>
  <c r="C1465" i="1"/>
  <c r="S1465" i="1"/>
  <c r="T1465" i="1"/>
  <c r="U1465" i="1"/>
  <c r="BD1465" i="1"/>
  <c r="CE1465" i="1"/>
  <c r="A1466" i="1"/>
  <c r="C1466" i="1"/>
  <c r="S1466" i="1"/>
  <c r="T1466" i="1"/>
  <c r="U1466" i="1"/>
  <c r="BD1466" i="1"/>
  <c r="CE1466" i="1"/>
  <c r="A1467" i="1"/>
  <c r="C1467" i="1"/>
  <c r="S1467" i="1"/>
  <c r="T1467" i="1"/>
  <c r="U1467" i="1"/>
  <c r="BD1467" i="1"/>
  <c r="CE1467" i="1"/>
  <c r="A1468" i="1"/>
  <c r="C1468" i="1"/>
  <c r="S1468" i="1"/>
  <c r="T1468" i="1"/>
  <c r="U1468" i="1"/>
  <c r="BD1468" i="1"/>
  <c r="CE1468" i="1"/>
  <c r="A1469" i="1"/>
  <c r="C1469" i="1"/>
  <c r="S1469" i="1"/>
  <c r="T1469" i="1"/>
  <c r="U1469" i="1"/>
  <c r="BD1469" i="1"/>
  <c r="CE1469" i="1"/>
  <c r="A1470" i="1"/>
  <c r="C1470" i="1"/>
  <c r="S1470" i="1"/>
  <c r="T1470" i="1"/>
  <c r="U1470" i="1"/>
  <c r="BD1470" i="1"/>
  <c r="CE1470" i="1"/>
  <c r="A1471" i="1"/>
  <c r="C1471" i="1"/>
  <c r="S1471" i="1"/>
  <c r="T1471" i="1"/>
  <c r="U1471" i="1"/>
  <c r="BD1471" i="1"/>
  <c r="CE1471" i="1"/>
  <c r="A1472" i="1"/>
  <c r="C1472" i="1"/>
  <c r="S1472" i="1"/>
  <c r="T1472" i="1"/>
  <c r="U1472" i="1"/>
  <c r="BD1472" i="1"/>
  <c r="CE1472" i="1"/>
  <c r="A1473" i="1"/>
  <c r="C1473" i="1"/>
  <c r="S1473" i="1"/>
  <c r="T1473" i="1"/>
  <c r="U1473" i="1"/>
  <c r="BD1473" i="1"/>
  <c r="CE1473" i="1"/>
  <c r="A1474" i="1"/>
  <c r="C1474" i="1"/>
  <c r="S1474" i="1"/>
  <c r="T1474" i="1"/>
  <c r="U1474" i="1"/>
  <c r="BD1474" i="1"/>
  <c r="CE1474" i="1"/>
  <c r="A1475" i="1"/>
  <c r="C1475" i="1"/>
  <c r="S1475" i="1"/>
  <c r="T1475" i="1"/>
  <c r="U1475" i="1"/>
  <c r="BD1475" i="1"/>
  <c r="CE1475" i="1"/>
  <c r="A1476" i="1"/>
  <c r="C1476" i="1"/>
  <c r="S1476" i="1"/>
  <c r="T1476" i="1"/>
  <c r="U1476" i="1"/>
  <c r="BD1476" i="1"/>
  <c r="CE1476" i="1"/>
  <c r="A1477" i="1"/>
  <c r="C1477" i="1"/>
  <c r="S1477" i="1"/>
  <c r="T1477" i="1"/>
  <c r="U1477" i="1"/>
  <c r="BD1477" i="1"/>
  <c r="CE1477" i="1"/>
  <c r="A1478" i="1"/>
  <c r="C1478" i="1"/>
  <c r="S1478" i="1"/>
  <c r="T1478" i="1"/>
  <c r="U1478" i="1"/>
  <c r="BD1478" i="1"/>
  <c r="CE1478" i="1"/>
  <c r="A1479" i="1"/>
  <c r="C1479" i="1"/>
  <c r="S1479" i="1"/>
  <c r="T1479" i="1"/>
  <c r="U1479" i="1"/>
  <c r="BD1479" i="1"/>
  <c r="CE1479" i="1"/>
  <c r="A1480" i="1"/>
  <c r="C1480" i="1"/>
  <c r="S1480" i="1"/>
  <c r="T1480" i="1"/>
  <c r="U1480" i="1"/>
  <c r="BD1480" i="1"/>
  <c r="CE1480" i="1"/>
  <c r="A1481" i="1"/>
  <c r="C1481" i="1"/>
  <c r="S1481" i="1"/>
  <c r="T1481" i="1"/>
  <c r="U1481" i="1"/>
  <c r="BD1481" i="1"/>
  <c r="CE1481" i="1"/>
  <c r="A1482" i="1"/>
  <c r="C1482" i="1"/>
  <c r="S1482" i="1"/>
  <c r="T1482" i="1"/>
  <c r="U1482" i="1"/>
  <c r="BD1482" i="1"/>
  <c r="CE1482" i="1"/>
  <c r="A1483" i="1"/>
  <c r="C1483" i="1"/>
  <c r="S1483" i="1"/>
  <c r="T1483" i="1"/>
  <c r="U1483" i="1"/>
  <c r="BD1483" i="1"/>
  <c r="CE1483" i="1"/>
  <c r="A1484" i="1"/>
  <c r="C1484" i="1"/>
  <c r="S1484" i="1"/>
  <c r="T1484" i="1"/>
  <c r="U1484" i="1"/>
  <c r="BD1484" i="1"/>
  <c r="CE1484" i="1"/>
  <c r="A1485" i="1"/>
  <c r="C1485" i="1"/>
  <c r="S1485" i="1"/>
  <c r="T1485" i="1"/>
  <c r="U1485" i="1"/>
  <c r="BD1485" i="1"/>
  <c r="CE1485" i="1"/>
  <c r="A1486" i="1"/>
  <c r="C1486" i="1"/>
  <c r="S1486" i="1"/>
  <c r="T1486" i="1"/>
  <c r="U1486" i="1"/>
  <c r="BD1486" i="1"/>
  <c r="CE1486" i="1"/>
  <c r="A1487" i="1"/>
  <c r="C1487" i="1"/>
  <c r="S1487" i="1"/>
  <c r="T1487" i="1"/>
  <c r="U1487" i="1"/>
  <c r="BD1487" i="1"/>
  <c r="CE1487" i="1"/>
  <c r="A1488" i="1"/>
  <c r="C1488" i="1"/>
  <c r="S1488" i="1"/>
  <c r="T1488" i="1"/>
  <c r="U1488" i="1"/>
  <c r="BD1488" i="1"/>
  <c r="CE1488" i="1"/>
  <c r="A1489" i="1"/>
  <c r="C1489" i="1"/>
  <c r="S1489" i="1"/>
  <c r="T1489" i="1"/>
  <c r="U1489" i="1"/>
  <c r="BD1489" i="1"/>
  <c r="CE1489" i="1"/>
  <c r="A1490" i="1"/>
  <c r="C1490" i="1"/>
  <c r="S1490" i="1"/>
  <c r="T1490" i="1"/>
  <c r="U1490" i="1"/>
  <c r="BD1490" i="1"/>
  <c r="CE1490" i="1"/>
  <c r="A1491" i="1"/>
  <c r="C1491" i="1"/>
  <c r="S1491" i="1"/>
  <c r="T1491" i="1"/>
  <c r="U1491" i="1"/>
  <c r="BD1491" i="1"/>
  <c r="CE1491" i="1"/>
  <c r="A1492" i="1"/>
  <c r="C1492" i="1"/>
  <c r="S1492" i="1"/>
  <c r="T1492" i="1"/>
  <c r="U1492" i="1"/>
  <c r="BD1492" i="1"/>
  <c r="CE1492" i="1"/>
  <c r="A1493" i="1"/>
  <c r="C1493" i="1"/>
  <c r="S1493" i="1"/>
  <c r="T1493" i="1"/>
  <c r="U1493" i="1"/>
  <c r="BD1493" i="1"/>
  <c r="CE1493" i="1"/>
  <c r="A1494" i="1"/>
  <c r="C1494" i="1"/>
  <c r="S1494" i="1"/>
  <c r="T1494" i="1"/>
  <c r="U1494" i="1"/>
  <c r="BD1494" i="1"/>
  <c r="CE1494" i="1"/>
  <c r="A1495" i="1"/>
  <c r="C1495" i="1"/>
  <c r="S1495" i="1"/>
  <c r="T1495" i="1"/>
  <c r="U1495" i="1"/>
  <c r="BD1495" i="1"/>
  <c r="CE1495" i="1"/>
  <c r="A1496" i="1"/>
  <c r="C1496" i="1"/>
  <c r="S1496" i="1"/>
  <c r="T1496" i="1"/>
  <c r="U1496" i="1"/>
  <c r="BD1496" i="1"/>
  <c r="CE1496" i="1"/>
  <c r="A1497" i="1"/>
  <c r="C1497" i="1"/>
  <c r="S1497" i="1"/>
  <c r="T1497" i="1"/>
  <c r="U1497" i="1"/>
  <c r="BD1497" i="1"/>
  <c r="CE1497" i="1"/>
  <c r="A1498" i="1"/>
  <c r="C1498" i="1"/>
  <c r="S1498" i="1"/>
  <c r="T1498" i="1"/>
  <c r="U1498" i="1"/>
  <c r="BD1498" i="1"/>
  <c r="CE1498" i="1"/>
  <c r="A1499" i="1"/>
  <c r="C1499" i="1"/>
  <c r="S1499" i="1"/>
  <c r="T1499" i="1"/>
  <c r="U1499" i="1"/>
  <c r="BD1499" i="1"/>
  <c r="CE1499" i="1"/>
  <c r="A1500" i="1"/>
  <c r="C1500" i="1"/>
  <c r="S1500" i="1"/>
  <c r="T1500" i="1"/>
  <c r="U1500" i="1"/>
  <c r="BD1500" i="1"/>
  <c r="CE1500" i="1"/>
  <c r="A1501" i="1"/>
  <c r="C1501" i="1"/>
  <c r="S1501" i="1"/>
  <c r="T1501" i="1"/>
  <c r="U1501" i="1"/>
  <c r="BD1501" i="1"/>
  <c r="CE1501" i="1"/>
  <c r="A1502" i="1"/>
  <c r="C1502" i="1"/>
  <c r="S1502" i="1"/>
  <c r="T1502" i="1"/>
  <c r="U1502" i="1"/>
  <c r="BD1502" i="1"/>
  <c r="CE1502" i="1"/>
  <c r="A1503" i="1"/>
  <c r="C1503" i="1"/>
  <c r="S1503" i="1"/>
  <c r="T1503" i="1"/>
  <c r="U1503" i="1"/>
  <c r="BD1503" i="1"/>
  <c r="CE1503" i="1"/>
  <c r="A1504" i="1"/>
  <c r="C1504" i="1"/>
  <c r="S1504" i="1"/>
  <c r="T1504" i="1"/>
  <c r="U1504" i="1"/>
  <c r="BD1504" i="1"/>
  <c r="CE1504" i="1"/>
  <c r="A1505" i="1"/>
  <c r="C1505" i="1"/>
  <c r="S1505" i="1"/>
  <c r="T1505" i="1"/>
  <c r="U1505" i="1"/>
  <c r="BD1505" i="1"/>
  <c r="CE1505" i="1"/>
  <c r="A1506" i="1"/>
  <c r="C1506" i="1"/>
  <c r="S1506" i="1"/>
  <c r="T1506" i="1"/>
  <c r="U1506" i="1"/>
  <c r="BD1506" i="1"/>
  <c r="CE1506" i="1"/>
  <c r="A1507" i="1"/>
  <c r="C1507" i="1"/>
  <c r="S1507" i="1"/>
  <c r="T1507" i="1"/>
  <c r="U1507" i="1"/>
  <c r="BD1507" i="1"/>
  <c r="CE1507" i="1"/>
  <c r="A1508" i="1"/>
  <c r="C1508" i="1"/>
  <c r="S1508" i="1"/>
  <c r="T1508" i="1"/>
  <c r="U1508" i="1"/>
  <c r="BD1508" i="1"/>
  <c r="CE1508" i="1"/>
  <c r="A1509" i="1"/>
  <c r="C1509" i="1"/>
  <c r="S1509" i="1"/>
  <c r="T1509" i="1"/>
  <c r="U1509" i="1"/>
  <c r="BD1509" i="1"/>
  <c r="CE1509" i="1"/>
  <c r="A1510" i="1"/>
  <c r="C1510" i="1"/>
  <c r="S1510" i="1"/>
  <c r="T1510" i="1"/>
  <c r="U1510" i="1"/>
  <c r="BD1510" i="1"/>
  <c r="CE1510" i="1"/>
  <c r="A1511" i="1"/>
  <c r="C1511" i="1"/>
  <c r="S1511" i="1"/>
  <c r="T1511" i="1"/>
  <c r="U1511" i="1"/>
  <c r="BD1511" i="1"/>
  <c r="CE1511" i="1"/>
  <c r="A1512" i="1"/>
  <c r="C1512" i="1"/>
  <c r="S1512" i="1"/>
  <c r="T1512" i="1"/>
  <c r="U1512" i="1"/>
  <c r="BD1512" i="1"/>
  <c r="CE1512" i="1"/>
  <c r="A1513" i="1"/>
  <c r="C1513" i="1"/>
  <c r="S1513" i="1"/>
  <c r="T1513" i="1"/>
  <c r="U1513" i="1"/>
  <c r="BD1513" i="1"/>
  <c r="CE1513" i="1"/>
  <c r="A1514" i="1"/>
  <c r="C1514" i="1"/>
  <c r="S1514" i="1"/>
  <c r="T1514" i="1"/>
  <c r="U1514" i="1"/>
  <c r="BD1514" i="1"/>
  <c r="CE1514" i="1"/>
  <c r="A1515" i="1"/>
  <c r="C1515" i="1"/>
  <c r="S1515" i="1"/>
  <c r="T1515" i="1"/>
  <c r="U1515" i="1"/>
  <c r="BD1515" i="1"/>
  <c r="CE1515" i="1"/>
  <c r="A1516" i="1"/>
  <c r="C1516" i="1"/>
  <c r="S1516" i="1"/>
  <c r="T1516" i="1"/>
  <c r="U1516" i="1"/>
  <c r="BD1516" i="1"/>
  <c r="CE1516" i="1"/>
  <c r="A1517" i="1"/>
  <c r="C1517" i="1"/>
  <c r="S1517" i="1"/>
  <c r="T1517" i="1"/>
  <c r="U1517" i="1"/>
  <c r="BD1517" i="1"/>
  <c r="CE1517" i="1"/>
  <c r="A1518" i="1"/>
  <c r="C1518" i="1"/>
  <c r="S1518" i="1"/>
  <c r="T1518" i="1"/>
  <c r="U1518" i="1"/>
  <c r="BD1518" i="1"/>
  <c r="CE1518" i="1"/>
  <c r="A1519" i="1"/>
  <c r="C1519" i="1"/>
  <c r="S1519" i="1"/>
  <c r="T1519" i="1"/>
  <c r="U1519" i="1"/>
  <c r="BD1519" i="1"/>
  <c r="CE1519" i="1"/>
  <c r="A1520" i="1"/>
  <c r="C1520" i="1"/>
  <c r="S1520" i="1"/>
  <c r="T1520" i="1"/>
  <c r="U1520" i="1"/>
  <c r="BD1520" i="1"/>
  <c r="CE1520" i="1"/>
  <c r="A1521" i="1"/>
  <c r="C1521" i="1"/>
  <c r="S1521" i="1"/>
  <c r="T1521" i="1"/>
  <c r="U1521" i="1"/>
  <c r="BD1521" i="1"/>
  <c r="CE1521" i="1"/>
  <c r="A1522" i="1"/>
  <c r="C1522" i="1"/>
  <c r="S1522" i="1"/>
  <c r="T1522" i="1"/>
  <c r="U1522" i="1"/>
  <c r="BD1522" i="1"/>
  <c r="CE1522" i="1"/>
  <c r="A1523" i="1"/>
  <c r="C1523" i="1"/>
  <c r="S1523" i="1"/>
  <c r="T1523" i="1"/>
  <c r="U1523" i="1"/>
  <c r="BD1523" i="1"/>
  <c r="CE1523" i="1"/>
  <c r="A1524" i="1"/>
  <c r="C1524" i="1"/>
  <c r="S1524" i="1"/>
  <c r="T1524" i="1"/>
  <c r="U1524" i="1"/>
  <c r="BD1524" i="1"/>
  <c r="CE1524" i="1"/>
  <c r="A1525" i="1"/>
  <c r="C1525" i="1"/>
  <c r="S1525" i="1"/>
  <c r="T1525" i="1"/>
  <c r="U1525" i="1"/>
  <c r="BD1525" i="1"/>
  <c r="CE1525" i="1"/>
  <c r="A1526" i="1"/>
  <c r="C1526" i="1"/>
  <c r="S1526" i="1"/>
  <c r="T1526" i="1"/>
  <c r="U1526" i="1"/>
  <c r="BD1526" i="1"/>
  <c r="CE1526" i="1"/>
  <c r="A1527" i="1"/>
  <c r="C1527" i="1"/>
  <c r="S1527" i="1"/>
  <c r="T1527" i="1"/>
  <c r="U1527" i="1"/>
  <c r="BD1527" i="1"/>
  <c r="CE1527" i="1"/>
  <c r="A1528" i="1"/>
  <c r="C1528" i="1"/>
  <c r="S1528" i="1"/>
  <c r="T1528" i="1"/>
  <c r="U1528" i="1"/>
  <c r="BD1528" i="1"/>
  <c r="CE1528" i="1"/>
  <c r="A1529" i="1"/>
  <c r="C1529" i="1"/>
  <c r="S1529" i="1"/>
  <c r="T1529" i="1"/>
  <c r="U1529" i="1"/>
  <c r="BD1529" i="1"/>
  <c r="CE1529" i="1"/>
  <c r="A1530" i="1"/>
  <c r="C1530" i="1"/>
  <c r="S1530" i="1"/>
  <c r="T1530" i="1"/>
  <c r="U1530" i="1"/>
  <c r="BD1530" i="1"/>
  <c r="CE1530" i="1"/>
  <c r="A1531" i="1"/>
  <c r="C1531" i="1"/>
  <c r="S1531" i="1"/>
  <c r="T1531" i="1"/>
  <c r="U1531" i="1"/>
  <c r="BD1531" i="1"/>
  <c r="CE1531" i="1"/>
  <c r="A1532" i="1"/>
  <c r="C1532" i="1"/>
  <c r="S1532" i="1"/>
  <c r="T1532" i="1"/>
  <c r="U1532" i="1"/>
  <c r="BD1532" i="1"/>
  <c r="CE1532" i="1"/>
  <c r="A1533" i="1"/>
  <c r="C1533" i="1"/>
  <c r="S1533" i="1"/>
  <c r="T1533" i="1"/>
  <c r="U1533" i="1"/>
  <c r="BD1533" i="1"/>
  <c r="CE1533" i="1"/>
  <c r="A1534" i="1"/>
  <c r="C1534" i="1"/>
  <c r="S1534" i="1"/>
  <c r="T1534" i="1"/>
  <c r="U1534" i="1"/>
  <c r="BD1534" i="1"/>
  <c r="CE1534" i="1"/>
  <c r="A1535" i="1"/>
  <c r="C1535" i="1"/>
  <c r="S1535" i="1"/>
  <c r="T1535" i="1"/>
  <c r="U1535" i="1"/>
  <c r="BD1535" i="1"/>
  <c r="CE1535" i="1"/>
  <c r="A1536" i="1"/>
  <c r="C1536" i="1"/>
  <c r="S1536" i="1"/>
  <c r="T1536" i="1"/>
  <c r="U1536" i="1"/>
  <c r="BD1536" i="1"/>
  <c r="CE1536" i="1"/>
  <c r="A1537" i="1"/>
  <c r="C1537" i="1"/>
  <c r="S1537" i="1"/>
  <c r="T1537" i="1"/>
  <c r="U1537" i="1"/>
  <c r="BD1537" i="1"/>
  <c r="CE1537" i="1"/>
  <c r="A1538" i="1"/>
  <c r="C1538" i="1"/>
  <c r="S1538" i="1"/>
  <c r="T1538" i="1"/>
  <c r="U1538" i="1"/>
  <c r="BD1538" i="1"/>
  <c r="CE1538" i="1"/>
  <c r="A1539" i="1"/>
  <c r="C1539" i="1"/>
  <c r="S1539" i="1"/>
  <c r="T1539" i="1"/>
  <c r="U1539" i="1"/>
  <c r="BD1539" i="1"/>
  <c r="CE1539" i="1"/>
  <c r="A1540" i="1"/>
  <c r="C1540" i="1"/>
  <c r="S1540" i="1"/>
  <c r="T1540" i="1"/>
  <c r="U1540" i="1"/>
  <c r="BD1540" i="1"/>
  <c r="CE1540" i="1"/>
  <c r="A1541" i="1"/>
  <c r="C1541" i="1"/>
  <c r="S1541" i="1"/>
  <c r="T1541" i="1"/>
  <c r="U1541" i="1"/>
  <c r="BD1541" i="1"/>
  <c r="CE1541" i="1"/>
  <c r="A1542" i="1"/>
  <c r="C1542" i="1"/>
  <c r="S1542" i="1"/>
  <c r="T1542" i="1"/>
  <c r="U1542" i="1"/>
  <c r="BD1542" i="1"/>
  <c r="CE1542" i="1"/>
  <c r="A1543" i="1"/>
  <c r="C1543" i="1"/>
  <c r="S1543" i="1"/>
  <c r="T1543" i="1"/>
  <c r="U1543" i="1"/>
  <c r="BD1543" i="1"/>
  <c r="CE1543" i="1"/>
  <c r="A1544" i="1"/>
  <c r="C1544" i="1"/>
  <c r="S1544" i="1"/>
  <c r="T1544" i="1"/>
  <c r="U1544" i="1"/>
  <c r="BD1544" i="1"/>
  <c r="CE1544" i="1"/>
  <c r="A1545" i="1"/>
  <c r="C1545" i="1"/>
  <c r="S1545" i="1"/>
  <c r="T1545" i="1"/>
  <c r="U1545" i="1"/>
  <c r="BD1545" i="1"/>
  <c r="CE1545" i="1"/>
  <c r="A1546" i="1"/>
  <c r="C1546" i="1"/>
  <c r="S1546" i="1"/>
  <c r="T1546" i="1"/>
  <c r="U1546" i="1"/>
  <c r="BD1546" i="1"/>
  <c r="CE1546" i="1"/>
  <c r="A1547" i="1"/>
  <c r="C1547" i="1"/>
  <c r="S1547" i="1"/>
  <c r="T1547" i="1"/>
  <c r="U1547" i="1"/>
  <c r="BD1547" i="1"/>
  <c r="CE1547" i="1"/>
  <c r="A1548" i="1"/>
  <c r="C1548" i="1"/>
  <c r="S1548" i="1"/>
  <c r="T1548" i="1"/>
  <c r="U1548" i="1"/>
  <c r="BD1548" i="1"/>
  <c r="CE1548" i="1"/>
  <c r="A1549" i="1"/>
  <c r="C1549" i="1"/>
  <c r="S1549" i="1"/>
  <c r="T1549" i="1"/>
  <c r="U1549" i="1"/>
  <c r="BD1549" i="1"/>
  <c r="CE1549" i="1"/>
  <c r="A1550" i="1"/>
  <c r="C1550" i="1"/>
  <c r="S1550" i="1"/>
  <c r="T1550" i="1"/>
  <c r="U1550" i="1"/>
  <c r="BD1550" i="1"/>
  <c r="CE1550" i="1"/>
  <c r="A1551" i="1"/>
  <c r="C1551" i="1"/>
  <c r="S1551" i="1"/>
  <c r="T1551" i="1"/>
  <c r="U1551" i="1"/>
  <c r="BD1551" i="1"/>
  <c r="CE1551" i="1"/>
  <c r="A1552" i="1"/>
  <c r="C1552" i="1"/>
  <c r="S1552" i="1"/>
  <c r="T1552" i="1"/>
  <c r="U1552" i="1"/>
  <c r="BD1552" i="1"/>
  <c r="CE1552" i="1"/>
  <c r="A1553" i="1"/>
  <c r="C1553" i="1"/>
  <c r="S1553" i="1"/>
  <c r="T1553" i="1"/>
  <c r="U1553" i="1"/>
  <c r="BD1553" i="1"/>
  <c r="CE1553" i="1"/>
  <c r="A1554" i="1"/>
  <c r="C1554" i="1"/>
  <c r="S1554" i="1"/>
  <c r="T1554" i="1"/>
  <c r="U1554" i="1"/>
  <c r="BD1554" i="1"/>
  <c r="CE1554" i="1"/>
  <c r="A1555" i="1"/>
  <c r="C1555" i="1"/>
  <c r="S1555" i="1"/>
  <c r="T1555" i="1"/>
  <c r="U1555" i="1"/>
  <c r="BD1555" i="1"/>
  <c r="CE1555" i="1"/>
  <c r="A1556" i="1"/>
  <c r="C1556" i="1"/>
  <c r="S1556" i="1"/>
  <c r="T1556" i="1"/>
  <c r="U1556" i="1"/>
  <c r="BD1556" i="1"/>
  <c r="CE1556" i="1"/>
  <c r="A1557" i="1"/>
  <c r="C1557" i="1"/>
  <c r="S1557" i="1"/>
  <c r="T1557" i="1"/>
  <c r="U1557" i="1"/>
  <c r="BD1557" i="1"/>
  <c r="CE1557" i="1"/>
  <c r="A1558" i="1"/>
  <c r="C1558" i="1"/>
  <c r="S1558" i="1"/>
  <c r="T1558" i="1"/>
  <c r="U1558" i="1"/>
  <c r="BD1558" i="1"/>
  <c r="CE1558" i="1"/>
  <c r="A1559" i="1"/>
  <c r="C1559" i="1"/>
  <c r="S1559" i="1"/>
  <c r="T1559" i="1"/>
  <c r="U1559" i="1"/>
  <c r="BD1559" i="1"/>
  <c r="CE1559" i="1"/>
  <c r="A1560" i="1"/>
  <c r="C1560" i="1"/>
  <c r="S1560" i="1"/>
  <c r="T1560" i="1"/>
  <c r="U1560" i="1"/>
  <c r="BD1560" i="1"/>
  <c r="CE1560" i="1"/>
  <c r="A1561" i="1"/>
  <c r="C1561" i="1"/>
  <c r="S1561" i="1"/>
  <c r="T1561" i="1"/>
  <c r="U1561" i="1"/>
  <c r="BD1561" i="1"/>
  <c r="CE1561" i="1"/>
  <c r="A1562" i="1"/>
  <c r="C1562" i="1"/>
  <c r="S1562" i="1"/>
  <c r="T1562" i="1"/>
  <c r="U1562" i="1"/>
  <c r="BD1562" i="1"/>
  <c r="CE1562" i="1"/>
  <c r="A1563" i="1"/>
  <c r="C1563" i="1"/>
  <c r="S1563" i="1"/>
  <c r="T1563" i="1"/>
  <c r="U1563" i="1"/>
  <c r="BD1563" i="1"/>
  <c r="CE1563" i="1"/>
  <c r="A1564" i="1"/>
  <c r="C1564" i="1"/>
  <c r="S1564" i="1"/>
  <c r="T1564" i="1"/>
  <c r="U1564" i="1"/>
  <c r="BD1564" i="1"/>
  <c r="CE1564" i="1"/>
  <c r="A1565" i="1"/>
  <c r="C1565" i="1"/>
  <c r="S1565" i="1"/>
  <c r="T1565" i="1"/>
  <c r="U1565" i="1"/>
  <c r="BD1565" i="1"/>
  <c r="CE1565" i="1"/>
  <c r="A1566" i="1"/>
  <c r="C1566" i="1"/>
  <c r="S1566" i="1"/>
  <c r="T1566" i="1"/>
  <c r="U1566" i="1"/>
  <c r="BD1566" i="1"/>
  <c r="CE1566" i="1"/>
  <c r="A1567" i="1"/>
  <c r="C1567" i="1"/>
  <c r="S1567" i="1"/>
  <c r="T1567" i="1"/>
  <c r="U1567" i="1"/>
  <c r="BD1567" i="1"/>
  <c r="CE1567" i="1"/>
  <c r="A1568" i="1"/>
  <c r="C1568" i="1"/>
  <c r="S1568" i="1"/>
  <c r="T1568" i="1"/>
  <c r="U1568" i="1"/>
  <c r="BD1568" i="1"/>
  <c r="CE1568" i="1"/>
  <c r="A1569" i="1"/>
  <c r="C1569" i="1"/>
  <c r="S1569" i="1"/>
  <c r="T1569" i="1"/>
  <c r="U1569" i="1"/>
  <c r="BD1569" i="1"/>
  <c r="CE1569" i="1"/>
  <c r="A1570" i="1"/>
  <c r="C1570" i="1"/>
  <c r="S1570" i="1"/>
  <c r="T1570" i="1"/>
  <c r="U1570" i="1"/>
  <c r="BD1570" i="1"/>
  <c r="CE1570" i="1"/>
  <c r="A1571" i="1"/>
  <c r="C1571" i="1"/>
  <c r="S1571" i="1"/>
  <c r="T1571" i="1"/>
  <c r="U1571" i="1"/>
  <c r="BD1571" i="1"/>
  <c r="CE1571" i="1"/>
  <c r="A1572" i="1"/>
  <c r="C1572" i="1"/>
  <c r="S1572" i="1"/>
  <c r="T1572" i="1"/>
  <c r="U1572" i="1"/>
  <c r="BD1572" i="1"/>
  <c r="CE1572" i="1"/>
  <c r="A1573" i="1"/>
  <c r="C1573" i="1"/>
  <c r="S1573" i="1"/>
  <c r="T1573" i="1"/>
  <c r="U1573" i="1"/>
  <c r="BD1573" i="1"/>
  <c r="CE1573" i="1"/>
  <c r="A1574" i="1"/>
  <c r="C1574" i="1"/>
  <c r="S1574" i="1"/>
  <c r="T1574" i="1"/>
  <c r="U1574" i="1"/>
  <c r="BD1574" i="1"/>
  <c r="CE1574" i="1"/>
  <c r="A1575" i="1"/>
  <c r="C1575" i="1"/>
  <c r="S1575" i="1"/>
  <c r="T1575" i="1"/>
  <c r="U1575" i="1"/>
  <c r="BD1575" i="1"/>
  <c r="CE1575" i="1"/>
  <c r="A1576" i="1"/>
  <c r="C1576" i="1"/>
  <c r="S1576" i="1"/>
  <c r="T1576" i="1"/>
  <c r="U1576" i="1"/>
  <c r="BD1576" i="1"/>
  <c r="CE1576" i="1"/>
  <c r="A1577" i="1"/>
  <c r="C1577" i="1"/>
  <c r="S1577" i="1"/>
  <c r="T1577" i="1"/>
  <c r="U1577" i="1"/>
  <c r="BD1577" i="1"/>
  <c r="CE1577" i="1"/>
  <c r="A1578" i="1"/>
  <c r="C1578" i="1"/>
  <c r="S1578" i="1"/>
  <c r="T1578" i="1"/>
  <c r="U1578" i="1"/>
  <c r="BD1578" i="1"/>
  <c r="CE1578" i="1"/>
  <c r="A1579" i="1"/>
  <c r="C1579" i="1"/>
  <c r="S1579" i="1"/>
  <c r="T1579" i="1"/>
  <c r="U1579" i="1"/>
  <c r="BD1579" i="1"/>
  <c r="CE1579" i="1"/>
  <c r="A1580" i="1"/>
  <c r="C1580" i="1"/>
  <c r="S1580" i="1"/>
  <c r="T1580" i="1"/>
  <c r="U1580" i="1"/>
  <c r="BD1580" i="1"/>
  <c r="CE1580" i="1"/>
  <c r="A1581" i="1"/>
  <c r="C1581" i="1"/>
  <c r="S1581" i="1"/>
  <c r="T1581" i="1"/>
  <c r="U1581" i="1"/>
  <c r="BD1581" i="1"/>
  <c r="CE1581" i="1"/>
  <c r="A1582" i="1"/>
  <c r="C1582" i="1"/>
  <c r="S1582" i="1"/>
  <c r="T1582" i="1"/>
  <c r="U1582" i="1"/>
  <c r="BD1582" i="1"/>
  <c r="CE1582" i="1"/>
  <c r="A1583" i="1"/>
  <c r="C1583" i="1"/>
  <c r="S1583" i="1"/>
  <c r="T1583" i="1"/>
  <c r="U1583" i="1"/>
  <c r="BD1583" i="1"/>
  <c r="CE1583" i="1"/>
  <c r="A1584" i="1"/>
  <c r="C1584" i="1"/>
  <c r="S1584" i="1"/>
  <c r="T1584" i="1"/>
  <c r="U1584" i="1"/>
  <c r="BD1584" i="1"/>
  <c r="CE1584" i="1"/>
  <c r="A1585" i="1"/>
  <c r="C1585" i="1"/>
  <c r="S1585" i="1"/>
  <c r="T1585" i="1"/>
  <c r="U1585" i="1"/>
  <c r="BD1585" i="1"/>
  <c r="CE1585" i="1"/>
  <c r="A1586" i="1"/>
  <c r="C1586" i="1"/>
  <c r="S1586" i="1"/>
  <c r="T1586" i="1"/>
  <c r="U1586" i="1"/>
  <c r="BD1586" i="1"/>
  <c r="CE1586" i="1"/>
  <c r="A1587" i="1"/>
  <c r="C1587" i="1"/>
  <c r="S1587" i="1"/>
  <c r="T1587" i="1"/>
  <c r="U1587" i="1"/>
  <c r="BD1587" i="1"/>
  <c r="CE1587" i="1"/>
  <c r="A1588" i="1"/>
  <c r="C1588" i="1"/>
  <c r="S1588" i="1"/>
  <c r="T1588" i="1"/>
  <c r="U1588" i="1"/>
  <c r="BD1588" i="1"/>
  <c r="CE1588" i="1"/>
  <c r="A1589" i="1"/>
  <c r="C1589" i="1"/>
  <c r="S1589" i="1"/>
  <c r="T1589" i="1"/>
  <c r="U1589" i="1"/>
  <c r="BD1589" i="1"/>
  <c r="CE1589" i="1"/>
  <c r="A1590" i="1"/>
  <c r="C1590" i="1"/>
  <c r="S1590" i="1"/>
  <c r="T1590" i="1"/>
  <c r="U1590" i="1"/>
  <c r="BD1590" i="1"/>
  <c r="CE1590" i="1"/>
  <c r="A1591" i="1"/>
  <c r="C1591" i="1"/>
  <c r="S1591" i="1"/>
  <c r="T1591" i="1"/>
  <c r="U1591" i="1"/>
  <c r="BD1591" i="1"/>
  <c r="CE1591" i="1"/>
  <c r="A1592" i="1"/>
  <c r="C1592" i="1"/>
  <c r="S1592" i="1"/>
  <c r="T1592" i="1"/>
  <c r="U1592" i="1"/>
  <c r="BD1592" i="1"/>
  <c r="CE1592" i="1"/>
  <c r="A1593" i="1"/>
  <c r="C1593" i="1"/>
  <c r="S1593" i="1"/>
  <c r="T1593" i="1"/>
  <c r="U1593" i="1"/>
  <c r="BD1593" i="1"/>
  <c r="CE1593" i="1"/>
  <c r="A1594" i="1"/>
  <c r="C1594" i="1"/>
  <c r="S1594" i="1"/>
  <c r="T1594" i="1"/>
  <c r="U1594" i="1"/>
  <c r="BD1594" i="1"/>
  <c r="CE1594" i="1"/>
  <c r="A1595" i="1"/>
  <c r="C1595" i="1"/>
  <c r="S1595" i="1"/>
  <c r="T1595" i="1"/>
  <c r="U1595" i="1"/>
  <c r="BD1595" i="1"/>
  <c r="CE1595" i="1"/>
  <c r="A1596" i="1"/>
  <c r="C1596" i="1"/>
  <c r="S1596" i="1"/>
  <c r="T1596" i="1"/>
  <c r="U1596" i="1"/>
  <c r="BD1596" i="1"/>
  <c r="CE1596" i="1"/>
  <c r="A1597" i="1"/>
  <c r="C1597" i="1"/>
  <c r="S1597" i="1"/>
  <c r="T1597" i="1"/>
  <c r="U1597" i="1"/>
  <c r="BD1597" i="1"/>
  <c r="CE1597" i="1"/>
  <c r="A1598" i="1"/>
  <c r="C1598" i="1"/>
  <c r="S1598" i="1"/>
  <c r="T1598" i="1"/>
  <c r="U1598" i="1"/>
  <c r="BD1598" i="1"/>
  <c r="CE1598" i="1"/>
  <c r="A1599" i="1"/>
  <c r="C1599" i="1"/>
  <c r="S1599" i="1"/>
  <c r="T1599" i="1"/>
  <c r="U1599" i="1"/>
  <c r="BD1599" i="1"/>
  <c r="CE1599" i="1"/>
  <c r="A1600" i="1"/>
  <c r="C1600" i="1"/>
  <c r="S1600" i="1"/>
  <c r="T1600" i="1"/>
  <c r="U1600" i="1"/>
  <c r="BD1600" i="1"/>
  <c r="CE1600" i="1"/>
  <c r="A1601" i="1"/>
  <c r="C1601" i="1"/>
  <c r="S1601" i="1"/>
  <c r="T1601" i="1"/>
  <c r="U1601" i="1"/>
  <c r="BD1601" i="1"/>
  <c r="CE1601" i="1"/>
  <c r="A1602" i="1"/>
  <c r="C1602" i="1"/>
  <c r="S1602" i="1"/>
  <c r="T1602" i="1"/>
  <c r="U1602" i="1"/>
  <c r="BD1602" i="1"/>
  <c r="CE1602" i="1"/>
  <c r="A1603" i="1"/>
  <c r="C1603" i="1"/>
  <c r="S1603" i="1"/>
  <c r="T1603" i="1"/>
  <c r="U1603" i="1"/>
  <c r="BD1603" i="1"/>
  <c r="CE1603" i="1"/>
  <c r="A1604" i="1"/>
  <c r="C1604" i="1"/>
  <c r="S1604" i="1"/>
  <c r="T1604" i="1"/>
  <c r="U1604" i="1"/>
  <c r="BD1604" i="1"/>
  <c r="CE1604" i="1"/>
  <c r="A1605" i="1"/>
  <c r="C1605" i="1"/>
  <c r="S1605" i="1"/>
  <c r="T1605" i="1"/>
  <c r="U1605" i="1"/>
  <c r="BD1605" i="1"/>
  <c r="CE1605" i="1"/>
  <c r="A1606" i="1"/>
  <c r="C1606" i="1"/>
  <c r="S1606" i="1"/>
  <c r="T1606" i="1"/>
  <c r="U1606" i="1"/>
  <c r="BD1606" i="1"/>
  <c r="CE1606" i="1"/>
  <c r="A1607" i="1"/>
  <c r="C1607" i="1"/>
  <c r="S1607" i="1"/>
  <c r="T1607" i="1"/>
  <c r="U1607" i="1"/>
  <c r="BD1607" i="1"/>
  <c r="CE1607" i="1"/>
  <c r="A1608" i="1"/>
  <c r="C1608" i="1"/>
  <c r="S1608" i="1"/>
  <c r="T1608" i="1"/>
  <c r="U1608" i="1"/>
  <c r="BD1608" i="1"/>
  <c r="CE1608" i="1"/>
  <c r="A1609" i="1"/>
  <c r="C1609" i="1"/>
  <c r="S1609" i="1"/>
  <c r="T1609" i="1"/>
  <c r="U1609" i="1"/>
  <c r="BD1609" i="1"/>
  <c r="CE1609" i="1"/>
  <c r="A1610" i="1"/>
  <c r="C1610" i="1"/>
  <c r="S1610" i="1"/>
  <c r="T1610" i="1"/>
  <c r="U1610" i="1"/>
  <c r="BD1610" i="1"/>
  <c r="CE1610" i="1"/>
  <c r="A1611" i="1"/>
  <c r="C1611" i="1"/>
  <c r="S1611" i="1"/>
  <c r="T1611" i="1"/>
  <c r="U1611" i="1"/>
  <c r="BD1611" i="1"/>
  <c r="CE1611" i="1"/>
  <c r="A1612" i="1"/>
  <c r="C1612" i="1"/>
  <c r="S1612" i="1"/>
  <c r="T1612" i="1"/>
  <c r="U1612" i="1"/>
  <c r="BD1612" i="1"/>
  <c r="CE1612" i="1"/>
  <c r="A1613" i="1"/>
  <c r="C1613" i="1"/>
  <c r="S1613" i="1"/>
  <c r="T1613" i="1"/>
  <c r="U1613" i="1"/>
  <c r="BD1613" i="1"/>
  <c r="CE1613" i="1"/>
  <c r="A1614" i="1"/>
  <c r="C1614" i="1"/>
  <c r="S1614" i="1"/>
  <c r="T1614" i="1"/>
  <c r="U1614" i="1"/>
  <c r="BD1614" i="1"/>
  <c r="CE1614" i="1"/>
  <c r="A1615" i="1"/>
  <c r="C1615" i="1"/>
  <c r="S1615" i="1"/>
  <c r="T1615" i="1"/>
  <c r="U1615" i="1"/>
  <c r="BD1615" i="1"/>
  <c r="CE1615" i="1"/>
  <c r="A1616" i="1"/>
  <c r="C1616" i="1"/>
  <c r="S1616" i="1"/>
  <c r="T1616" i="1"/>
  <c r="U1616" i="1"/>
  <c r="BD1616" i="1"/>
  <c r="CE1616" i="1"/>
  <c r="A1617" i="1"/>
  <c r="C1617" i="1"/>
  <c r="S1617" i="1"/>
  <c r="T1617" i="1"/>
  <c r="U1617" i="1"/>
  <c r="BD1617" i="1"/>
  <c r="CE1617" i="1"/>
  <c r="A1618" i="1"/>
  <c r="C1618" i="1"/>
  <c r="S1618" i="1"/>
  <c r="T1618" i="1"/>
  <c r="U1618" i="1"/>
  <c r="BD1618" i="1"/>
  <c r="CE1618" i="1"/>
  <c r="A1619" i="1"/>
  <c r="C1619" i="1"/>
  <c r="S1619" i="1"/>
  <c r="T1619" i="1"/>
  <c r="U1619" i="1"/>
  <c r="BD1619" i="1"/>
  <c r="CE1619" i="1"/>
  <c r="A1620" i="1"/>
  <c r="C1620" i="1"/>
  <c r="S1620" i="1"/>
  <c r="T1620" i="1"/>
  <c r="U1620" i="1"/>
  <c r="BD1620" i="1"/>
  <c r="CE1620" i="1"/>
  <c r="A1621" i="1"/>
  <c r="C1621" i="1"/>
  <c r="S1621" i="1"/>
  <c r="T1621" i="1"/>
  <c r="U1621" i="1"/>
  <c r="BD1621" i="1"/>
  <c r="CE1621" i="1"/>
  <c r="A1622" i="1"/>
  <c r="C1622" i="1"/>
  <c r="S1622" i="1"/>
  <c r="T1622" i="1"/>
  <c r="U1622" i="1"/>
  <c r="BD1622" i="1"/>
  <c r="CE1622" i="1"/>
  <c r="A1623" i="1"/>
  <c r="C1623" i="1"/>
  <c r="S1623" i="1"/>
  <c r="T1623" i="1"/>
  <c r="U1623" i="1"/>
  <c r="BD1623" i="1"/>
  <c r="CE1623" i="1"/>
  <c r="A1624" i="1"/>
  <c r="C1624" i="1"/>
  <c r="S1624" i="1"/>
  <c r="T1624" i="1"/>
  <c r="U1624" i="1"/>
  <c r="BD1624" i="1"/>
  <c r="CE1624" i="1"/>
  <c r="A1625" i="1"/>
  <c r="C1625" i="1"/>
  <c r="S1625" i="1"/>
  <c r="T1625" i="1"/>
  <c r="U1625" i="1"/>
  <c r="BD1625" i="1"/>
  <c r="CE1625" i="1"/>
  <c r="A1626" i="1"/>
  <c r="C1626" i="1"/>
  <c r="S1626" i="1"/>
  <c r="T1626" i="1"/>
  <c r="U1626" i="1"/>
  <c r="BD1626" i="1"/>
  <c r="CE1626" i="1"/>
  <c r="A1627" i="1"/>
  <c r="C1627" i="1"/>
  <c r="S1627" i="1"/>
  <c r="T1627" i="1"/>
  <c r="U1627" i="1"/>
  <c r="BD1627" i="1"/>
  <c r="CE1627" i="1"/>
  <c r="A1628" i="1"/>
  <c r="C1628" i="1"/>
  <c r="S1628" i="1"/>
  <c r="T1628" i="1"/>
  <c r="U1628" i="1"/>
  <c r="BD1628" i="1"/>
  <c r="CE1628" i="1"/>
  <c r="A1629" i="1"/>
  <c r="C1629" i="1"/>
  <c r="S1629" i="1"/>
  <c r="T1629" i="1"/>
  <c r="U1629" i="1"/>
  <c r="BD1629" i="1"/>
  <c r="CE1629" i="1"/>
  <c r="A1630" i="1"/>
  <c r="C1630" i="1"/>
  <c r="S1630" i="1"/>
  <c r="T1630" i="1"/>
  <c r="U1630" i="1"/>
  <c r="BD1630" i="1"/>
  <c r="CE1630" i="1"/>
  <c r="A1631" i="1"/>
  <c r="C1631" i="1"/>
  <c r="S1631" i="1"/>
  <c r="T1631" i="1"/>
  <c r="U1631" i="1"/>
  <c r="BD1631" i="1"/>
  <c r="CE1631" i="1"/>
  <c r="A1632" i="1"/>
  <c r="C1632" i="1"/>
  <c r="S1632" i="1"/>
  <c r="T1632" i="1"/>
  <c r="U1632" i="1"/>
  <c r="BD1632" i="1"/>
  <c r="CE1632" i="1"/>
  <c r="A1633" i="1"/>
  <c r="C1633" i="1"/>
  <c r="S1633" i="1"/>
  <c r="T1633" i="1"/>
  <c r="U1633" i="1"/>
  <c r="BD1633" i="1"/>
  <c r="CE1633" i="1"/>
  <c r="A1634" i="1"/>
  <c r="C1634" i="1"/>
  <c r="S1634" i="1"/>
  <c r="T1634" i="1"/>
  <c r="U1634" i="1"/>
  <c r="BD1634" i="1"/>
  <c r="CE1634" i="1"/>
  <c r="A1635" i="1"/>
  <c r="C1635" i="1"/>
  <c r="S1635" i="1"/>
  <c r="T1635" i="1"/>
  <c r="U1635" i="1"/>
  <c r="BD1635" i="1"/>
  <c r="CE1635" i="1"/>
  <c r="A1636" i="1"/>
  <c r="C1636" i="1"/>
  <c r="S1636" i="1"/>
  <c r="T1636" i="1"/>
  <c r="U1636" i="1"/>
  <c r="BD1636" i="1"/>
  <c r="CE1636" i="1"/>
  <c r="A1637" i="1"/>
  <c r="C1637" i="1"/>
  <c r="S1637" i="1"/>
  <c r="T1637" i="1"/>
  <c r="U1637" i="1"/>
  <c r="BD1637" i="1"/>
  <c r="CE1637" i="1"/>
  <c r="A1638" i="1"/>
  <c r="C1638" i="1"/>
  <c r="S1638" i="1"/>
  <c r="T1638" i="1"/>
  <c r="U1638" i="1"/>
  <c r="BD1638" i="1"/>
  <c r="CE1638" i="1"/>
  <c r="A1639" i="1"/>
  <c r="C1639" i="1"/>
  <c r="S1639" i="1"/>
  <c r="T1639" i="1"/>
  <c r="U1639" i="1"/>
  <c r="BD1639" i="1"/>
  <c r="CE1639" i="1"/>
  <c r="A1640" i="1"/>
  <c r="C1640" i="1"/>
  <c r="S1640" i="1"/>
  <c r="T1640" i="1"/>
  <c r="U1640" i="1"/>
  <c r="BD1640" i="1"/>
  <c r="CE1640" i="1"/>
  <c r="A1641" i="1"/>
  <c r="C1641" i="1"/>
  <c r="S1641" i="1"/>
  <c r="T1641" i="1"/>
  <c r="U1641" i="1"/>
  <c r="BD1641" i="1"/>
  <c r="CE1641" i="1"/>
  <c r="A1642" i="1"/>
  <c r="C1642" i="1"/>
  <c r="S1642" i="1"/>
  <c r="T1642" i="1"/>
  <c r="U1642" i="1"/>
  <c r="BD1642" i="1"/>
  <c r="CE1642" i="1"/>
  <c r="A1643" i="1"/>
  <c r="C1643" i="1"/>
  <c r="S1643" i="1"/>
  <c r="T1643" i="1"/>
  <c r="U1643" i="1"/>
  <c r="BD1643" i="1"/>
  <c r="CE1643" i="1"/>
  <c r="A1644" i="1"/>
  <c r="C1644" i="1"/>
  <c r="S1644" i="1"/>
  <c r="T1644" i="1"/>
  <c r="U1644" i="1"/>
  <c r="BD1644" i="1"/>
  <c r="CE1644" i="1"/>
  <c r="A1645" i="1"/>
  <c r="C1645" i="1"/>
  <c r="S1645" i="1"/>
  <c r="T1645" i="1"/>
  <c r="U1645" i="1"/>
  <c r="BD1645" i="1"/>
  <c r="CE1645" i="1"/>
  <c r="A1646" i="1"/>
  <c r="C1646" i="1"/>
  <c r="S1646" i="1"/>
  <c r="T1646" i="1"/>
  <c r="U1646" i="1"/>
  <c r="BD1646" i="1"/>
  <c r="CE1646" i="1"/>
  <c r="A1647" i="1"/>
  <c r="C1647" i="1"/>
  <c r="S1647" i="1"/>
  <c r="T1647" i="1"/>
  <c r="U1647" i="1"/>
  <c r="BD1647" i="1"/>
  <c r="CE1647" i="1"/>
  <c r="A1648" i="1"/>
  <c r="C1648" i="1"/>
  <c r="S1648" i="1"/>
  <c r="T1648" i="1"/>
  <c r="U1648" i="1"/>
  <c r="BD1648" i="1"/>
  <c r="CE1648" i="1"/>
  <c r="A1649" i="1"/>
  <c r="C1649" i="1"/>
  <c r="S1649" i="1"/>
  <c r="T1649" i="1"/>
  <c r="U1649" i="1"/>
  <c r="BD1649" i="1"/>
  <c r="CE1649" i="1"/>
  <c r="A1650" i="1"/>
  <c r="C1650" i="1"/>
  <c r="S1650" i="1"/>
  <c r="T1650" i="1"/>
  <c r="U1650" i="1"/>
  <c r="BD1650" i="1"/>
  <c r="CE1650" i="1"/>
  <c r="A1651" i="1"/>
  <c r="C1651" i="1"/>
  <c r="S1651" i="1"/>
  <c r="T1651" i="1"/>
  <c r="U1651" i="1"/>
  <c r="BD1651" i="1"/>
  <c r="CE1651" i="1"/>
  <c r="A1652" i="1"/>
  <c r="C1652" i="1"/>
  <c r="S1652" i="1"/>
  <c r="T1652" i="1"/>
  <c r="U1652" i="1"/>
  <c r="BD1652" i="1"/>
  <c r="CE1652" i="1"/>
  <c r="A1653" i="1"/>
  <c r="C1653" i="1"/>
  <c r="S1653" i="1"/>
  <c r="T1653" i="1"/>
  <c r="U1653" i="1"/>
  <c r="BD1653" i="1"/>
  <c r="CE1653" i="1"/>
  <c r="A1654" i="1"/>
  <c r="C1654" i="1"/>
  <c r="S1654" i="1"/>
  <c r="T1654" i="1"/>
  <c r="U1654" i="1"/>
  <c r="BD1654" i="1"/>
  <c r="CE1654" i="1"/>
  <c r="A1655" i="1"/>
  <c r="C1655" i="1"/>
  <c r="S1655" i="1"/>
  <c r="T1655" i="1"/>
  <c r="U1655" i="1"/>
  <c r="BD1655" i="1"/>
  <c r="CE1655" i="1"/>
  <c r="A1656" i="1"/>
  <c r="C1656" i="1"/>
  <c r="S1656" i="1"/>
  <c r="T1656" i="1"/>
  <c r="U1656" i="1"/>
  <c r="BD1656" i="1"/>
  <c r="CE1656" i="1"/>
  <c r="A1657" i="1"/>
  <c r="C1657" i="1"/>
  <c r="S1657" i="1"/>
  <c r="T1657" i="1"/>
  <c r="U1657" i="1"/>
  <c r="BD1657" i="1"/>
  <c r="CE1657" i="1"/>
  <c r="A1658" i="1"/>
  <c r="C1658" i="1"/>
  <c r="S1658" i="1"/>
  <c r="T1658" i="1"/>
  <c r="U1658" i="1"/>
  <c r="BD1658" i="1"/>
  <c r="CE1658" i="1"/>
  <c r="A1659" i="1"/>
  <c r="C1659" i="1"/>
  <c r="S1659" i="1"/>
  <c r="T1659" i="1"/>
  <c r="U1659" i="1"/>
  <c r="BD1659" i="1"/>
  <c r="CE1659" i="1"/>
  <c r="A1660" i="1"/>
  <c r="C1660" i="1"/>
  <c r="S1660" i="1"/>
  <c r="T1660" i="1"/>
  <c r="U1660" i="1"/>
  <c r="BD1660" i="1"/>
  <c r="CE1660" i="1"/>
  <c r="A1661" i="1"/>
  <c r="C1661" i="1"/>
  <c r="S1661" i="1"/>
  <c r="T1661" i="1"/>
  <c r="U1661" i="1"/>
  <c r="BD1661" i="1"/>
  <c r="CE1661" i="1"/>
  <c r="A1662" i="1"/>
  <c r="C1662" i="1"/>
  <c r="S1662" i="1"/>
  <c r="T1662" i="1"/>
  <c r="U1662" i="1"/>
  <c r="BD1662" i="1"/>
  <c r="CE1662" i="1"/>
  <c r="A1663" i="1"/>
  <c r="C1663" i="1"/>
  <c r="S1663" i="1"/>
  <c r="T1663" i="1"/>
  <c r="U1663" i="1"/>
  <c r="BD1663" i="1"/>
  <c r="CE1663" i="1"/>
  <c r="A1664" i="1"/>
  <c r="C1664" i="1"/>
  <c r="S1664" i="1"/>
  <c r="T1664" i="1"/>
  <c r="U1664" i="1"/>
  <c r="BD1664" i="1"/>
  <c r="CE1664" i="1"/>
  <c r="A1665" i="1"/>
  <c r="C1665" i="1"/>
  <c r="S1665" i="1"/>
  <c r="T1665" i="1"/>
  <c r="U1665" i="1"/>
  <c r="BD1665" i="1"/>
  <c r="CE1665" i="1"/>
  <c r="A1666" i="1"/>
  <c r="C1666" i="1"/>
  <c r="S1666" i="1"/>
  <c r="T1666" i="1"/>
  <c r="U1666" i="1"/>
  <c r="BD1666" i="1"/>
  <c r="CE1666" i="1"/>
  <c r="A1667" i="1"/>
  <c r="C1667" i="1"/>
  <c r="S1667" i="1"/>
  <c r="T1667" i="1"/>
  <c r="U1667" i="1"/>
  <c r="BD1667" i="1"/>
  <c r="CE1667" i="1"/>
  <c r="A1668" i="1"/>
  <c r="C1668" i="1"/>
  <c r="S1668" i="1"/>
  <c r="T1668" i="1"/>
  <c r="U1668" i="1"/>
  <c r="BD1668" i="1"/>
  <c r="CE1668" i="1"/>
  <c r="A1669" i="1"/>
  <c r="C1669" i="1"/>
  <c r="S1669" i="1"/>
  <c r="T1669" i="1"/>
  <c r="U1669" i="1"/>
  <c r="BD1669" i="1"/>
  <c r="CE1669" i="1"/>
  <c r="A1670" i="1"/>
  <c r="C1670" i="1"/>
  <c r="S1670" i="1"/>
  <c r="T1670" i="1"/>
  <c r="U1670" i="1"/>
  <c r="BD1670" i="1"/>
  <c r="CE1670" i="1"/>
  <c r="A1671" i="1"/>
  <c r="C1671" i="1"/>
  <c r="S1671" i="1"/>
  <c r="T1671" i="1"/>
  <c r="U1671" i="1"/>
  <c r="BD1671" i="1"/>
  <c r="CE1671" i="1"/>
  <c r="A1672" i="1"/>
  <c r="C1672" i="1"/>
  <c r="S1672" i="1"/>
  <c r="T1672" i="1"/>
  <c r="U1672" i="1"/>
  <c r="BD1672" i="1"/>
  <c r="CE1672" i="1"/>
  <c r="A1673" i="1"/>
  <c r="C1673" i="1"/>
  <c r="S1673" i="1"/>
  <c r="T1673" i="1"/>
  <c r="U1673" i="1"/>
  <c r="BD1673" i="1"/>
  <c r="CE1673" i="1"/>
  <c r="A1674" i="1"/>
  <c r="C1674" i="1"/>
  <c r="S1674" i="1"/>
  <c r="T1674" i="1"/>
  <c r="U1674" i="1"/>
  <c r="BD1674" i="1"/>
  <c r="CE1674" i="1"/>
  <c r="A1675" i="1"/>
  <c r="C1675" i="1"/>
  <c r="S1675" i="1"/>
  <c r="T1675" i="1"/>
  <c r="U1675" i="1"/>
  <c r="BD1675" i="1"/>
  <c r="CE1675" i="1"/>
  <c r="A1676" i="1"/>
  <c r="C1676" i="1"/>
  <c r="S1676" i="1"/>
  <c r="T1676" i="1"/>
  <c r="U1676" i="1"/>
  <c r="BD1676" i="1"/>
  <c r="CE1676" i="1"/>
  <c r="A1677" i="1"/>
  <c r="C1677" i="1"/>
  <c r="S1677" i="1"/>
  <c r="T1677" i="1"/>
  <c r="U1677" i="1"/>
  <c r="BD1677" i="1"/>
  <c r="CE1677" i="1"/>
  <c r="A1678" i="1"/>
  <c r="C1678" i="1"/>
  <c r="S1678" i="1"/>
  <c r="T1678" i="1"/>
  <c r="U1678" i="1"/>
  <c r="BD1678" i="1"/>
  <c r="CE1678" i="1"/>
  <c r="A1679" i="1"/>
  <c r="C1679" i="1"/>
  <c r="S1679" i="1"/>
  <c r="T1679" i="1"/>
  <c r="U1679" i="1"/>
  <c r="BD1679" i="1"/>
  <c r="CE1679" i="1"/>
  <c r="A1680" i="1"/>
  <c r="C1680" i="1"/>
  <c r="S1680" i="1"/>
  <c r="T1680" i="1"/>
  <c r="U1680" i="1"/>
  <c r="BD1680" i="1"/>
  <c r="CE1680" i="1"/>
  <c r="A1681" i="1"/>
  <c r="C1681" i="1"/>
  <c r="S1681" i="1"/>
  <c r="T1681" i="1"/>
  <c r="U1681" i="1"/>
  <c r="BD1681" i="1"/>
  <c r="CE1681" i="1"/>
  <c r="A1682" i="1"/>
  <c r="C1682" i="1"/>
  <c r="S1682" i="1"/>
  <c r="T1682" i="1"/>
  <c r="U1682" i="1"/>
  <c r="BD1682" i="1"/>
  <c r="CE1682" i="1"/>
  <c r="A1683" i="1"/>
  <c r="C1683" i="1"/>
  <c r="S1683" i="1"/>
  <c r="T1683" i="1"/>
  <c r="U1683" i="1"/>
  <c r="BD1683" i="1"/>
  <c r="CE1683" i="1"/>
  <c r="A1684" i="1"/>
  <c r="C1684" i="1"/>
  <c r="S1684" i="1"/>
  <c r="T1684" i="1"/>
  <c r="U1684" i="1"/>
  <c r="BD1684" i="1"/>
  <c r="CE1684" i="1"/>
  <c r="A1685" i="1"/>
  <c r="C1685" i="1"/>
  <c r="S1685" i="1"/>
  <c r="T1685" i="1"/>
  <c r="U1685" i="1"/>
  <c r="BD1685" i="1"/>
  <c r="CE1685" i="1"/>
  <c r="A1686" i="1"/>
  <c r="C1686" i="1"/>
  <c r="S1686" i="1"/>
  <c r="T1686" i="1"/>
  <c r="U1686" i="1"/>
  <c r="BD1686" i="1"/>
  <c r="CE1686" i="1"/>
  <c r="A1687" i="1"/>
  <c r="C1687" i="1"/>
  <c r="S1687" i="1"/>
  <c r="T1687" i="1"/>
  <c r="U1687" i="1"/>
  <c r="BD1687" i="1"/>
  <c r="CE1687" i="1"/>
  <c r="A1688" i="1"/>
  <c r="C1688" i="1"/>
  <c r="S1688" i="1"/>
  <c r="T1688" i="1"/>
  <c r="U1688" i="1"/>
  <c r="BD1688" i="1"/>
  <c r="CE1688" i="1"/>
  <c r="A1689" i="1"/>
  <c r="C1689" i="1"/>
  <c r="S1689" i="1"/>
  <c r="T1689" i="1"/>
  <c r="U1689" i="1"/>
  <c r="BD1689" i="1"/>
  <c r="CE1689" i="1"/>
  <c r="A1690" i="1"/>
  <c r="C1690" i="1"/>
  <c r="S1690" i="1"/>
  <c r="T1690" i="1"/>
  <c r="U1690" i="1"/>
  <c r="BD1690" i="1"/>
  <c r="CE1690" i="1"/>
  <c r="A1691" i="1"/>
  <c r="C1691" i="1"/>
  <c r="S1691" i="1"/>
  <c r="T1691" i="1"/>
  <c r="U1691" i="1"/>
  <c r="BD1691" i="1"/>
  <c r="CE1691" i="1"/>
  <c r="A1692" i="1"/>
  <c r="C1692" i="1"/>
  <c r="S1692" i="1"/>
  <c r="T1692" i="1"/>
  <c r="U1692" i="1"/>
  <c r="BD1692" i="1"/>
  <c r="CE1692" i="1"/>
  <c r="A1693" i="1"/>
  <c r="C1693" i="1"/>
  <c r="S1693" i="1"/>
  <c r="T1693" i="1"/>
  <c r="U1693" i="1"/>
  <c r="BD1693" i="1"/>
  <c r="CE1693" i="1"/>
  <c r="A1694" i="1"/>
  <c r="C1694" i="1"/>
  <c r="S1694" i="1"/>
  <c r="T1694" i="1"/>
  <c r="U1694" i="1"/>
  <c r="BD1694" i="1"/>
  <c r="CE1694" i="1"/>
  <c r="A1695" i="1"/>
  <c r="C1695" i="1"/>
  <c r="S1695" i="1"/>
  <c r="T1695" i="1"/>
  <c r="U1695" i="1"/>
  <c r="BD1695" i="1"/>
  <c r="CE1695" i="1"/>
  <c r="A1696" i="1"/>
  <c r="C1696" i="1"/>
  <c r="S1696" i="1"/>
  <c r="T1696" i="1"/>
  <c r="U1696" i="1"/>
  <c r="BD1696" i="1"/>
  <c r="CE1696" i="1"/>
  <c r="A1697" i="1"/>
  <c r="C1697" i="1"/>
  <c r="S1697" i="1"/>
  <c r="T1697" i="1"/>
  <c r="U1697" i="1"/>
  <c r="BD1697" i="1"/>
  <c r="CE1697" i="1"/>
  <c r="A1698" i="1"/>
  <c r="C1698" i="1"/>
  <c r="S1698" i="1"/>
  <c r="T1698" i="1"/>
  <c r="U1698" i="1"/>
  <c r="BD1698" i="1"/>
  <c r="CE1698" i="1"/>
  <c r="A1699" i="1"/>
  <c r="C1699" i="1"/>
  <c r="S1699" i="1"/>
  <c r="T1699" i="1"/>
  <c r="U1699" i="1"/>
  <c r="BD1699" i="1"/>
  <c r="CE1699" i="1"/>
  <c r="A1700" i="1"/>
  <c r="C1700" i="1"/>
  <c r="S1700" i="1"/>
  <c r="T1700" i="1"/>
  <c r="U1700" i="1"/>
  <c r="BD1700" i="1"/>
  <c r="CE1700" i="1"/>
  <c r="A1701" i="1"/>
  <c r="C1701" i="1"/>
  <c r="S1701" i="1"/>
  <c r="T1701" i="1"/>
  <c r="U1701" i="1"/>
  <c r="BD1701" i="1"/>
  <c r="CE1701" i="1"/>
  <c r="A1702" i="1"/>
  <c r="C1702" i="1"/>
  <c r="S1702" i="1"/>
  <c r="T1702" i="1"/>
  <c r="U1702" i="1"/>
  <c r="BD1702" i="1"/>
  <c r="CE1702" i="1"/>
  <c r="A1703" i="1"/>
  <c r="C1703" i="1"/>
  <c r="S1703" i="1"/>
  <c r="T1703" i="1"/>
  <c r="U1703" i="1"/>
  <c r="BD1703" i="1"/>
  <c r="CE1703" i="1"/>
  <c r="A1704" i="1"/>
  <c r="C1704" i="1"/>
  <c r="S1704" i="1"/>
  <c r="T1704" i="1"/>
  <c r="U1704" i="1"/>
  <c r="BD1704" i="1"/>
  <c r="CE1704" i="1"/>
  <c r="A1705" i="1"/>
  <c r="C1705" i="1"/>
  <c r="S1705" i="1"/>
  <c r="T1705" i="1"/>
  <c r="U1705" i="1"/>
  <c r="BD1705" i="1"/>
  <c r="CE1705" i="1"/>
  <c r="A1706" i="1"/>
  <c r="C1706" i="1"/>
  <c r="S1706" i="1"/>
  <c r="T1706" i="1"/>
  <c r="U1706" i="1"/>
  <c r="BD1706" i="1"/>
  <c r="CE1706" i="1"/>
  <c r="A1707" i="1"/>
  <c r="C1707" i="1"/>
  <c r="S1707" i="1"/>
  <c r="T1707" i="1"/>
  <c r="U1707" i="1"/>
  <c r="BD1707" i="1"/>
  <c r="CE1707" i="1"/>
  <c r="A1708" i="1"/>
  <c r="C1708" i="1"/>
  <c r="S1708" i="1"/>
  <c r="T1708" i="1"/>
  <c r="U1708" i="1"/>
  <c r="BD1708" i="1"/>
  <c r="CE1708" i="1"/>
  <c r="A1709" i="1"/>
  <c r="C1709" i="1"/>
  <c r="S1709" i="1"/>
  <c r="T1709" i="1"/>
  <c r="U1709" i="1"/>
  <c r="BD1709" i="1"/>
  <c r="CE1709" i="1"/>
  <c r="A1710" i="1"/>
  <c r="C1710" i="1"/>
  <c r="S1710" i="1"/>
  <c r="T1710" i="1"/>
  <c r="U1710" i="1"/>
  <c r="BD1710" i="1"/>
  <c r="CE1710" i="1"/>
  <c r="A1711" i="1"/>
  <c r="C1711" i="1"/>
  <c r="S1711" i="1"/>
  <c r="T1711" i="1"/>
  <c r="U1711" i="1"/>
  <c r="BD1711" i="1"/>
  <c r="CE1711" i="1"/>
  <c r="A1712" i="1"/>
  <c r="C1712" i="1"/>
  <c r="S1712" i="1"/>
  <c r="T1712" i="1"/>
  <c r="U1712" i="1"/>
  <c r="BD1712" i="1"/>
  <c r="CE1712" i="1"/>
  <c r="A1713" i="1"/>
  <c r="C1713" i="1"/>
  <c r="S1713" i="1"/>
  <c r="T1713" i="1"/>
  <c r="U1713" i="1"/>
  <c r="BD1713" i="1"/>
  <c r="CE1713" i="1"/>
  <c r="A1714" i="1"/>
  <c r="C1714" i="1"/>
  <c r="S1714" i="1"/>
  <c r="T1714" i="1"/>
  <c r="U1714" i="1"/>
  <c r="BD1714" i="1"/>
  <c r="CE1714" i="1"/>
  <c r="A1715" i="1"/>
  <c r="C1715" i="1"/>
  <c r="S1715" i="1"/>
  <c r="T1715" i="1"/>
  <c r="U1715" i="1"/>
  <c r="BD1715" i="1"/>
  <c r="CE1715" i="1"/>
  <c r="A1716" i="1"/>
  <c r="C1716" i="1"/>
  <c r="S1716" i="1"/>
  <c r="T1716" i="1"/>
  <c r="U1716" i="1"/>
  <c r="BD1716" i="1"/>
  <c r="CE1716" i="1"/>
  <c r="A1717" i="1"/>
  <c r="C1717" i="1"/>
  <c r="S1717" i="1"/>
  <c r="T1717" i="1"/>
  <c r="U1717" i="1"/>
  <c r="BD1717" i="1"/>
  <c r="CE1717" i="1"/>
  <c r="A1718" i="1"/>
  <c r="C1718" i="1"/>
  <c r="S1718" i="1"/>
  <c r="T1718" i="1"/>
  <c r="U1718" i="1"/>
  <c r="BD1718" i="1"/>
  <c r="CE1718" i="1"/>
  <c r="A1719" i="1"/>
  <c r="C1719" i="1"/>
  <c r="S1719" i="1"/>
  <c r="T1719" i="1"/>
  <c r="U1719" i="1"/>
  <c r="BD1719" i="1"/>
  <c r="CE1719" i="1"/>
  <c r="A1720" i="1"/>
  <c r="C1720" i="1"/>
  <c r="S1720" i="1"/>
  <c r="T1720" i="1"/>
  <c r="U1720" i="1"/>
  <c r="BD1720" i="1"/>
  <c r="CE1720" i="1"/>
  <c r="A1721" i="1"/>
  <c r="C1721" i="1"/>
  <c r="S1721" i="1"/>
  <c r="T1721" i="1"/>
  <c r="U1721" i="1"/>
  <c r="BD1721" i="1"/>
  <c r="CE1721" i="1"/>
  <c r="A1722" i="1"/>
  <c r="C1722" i="1"/>
  <c r="S1722" i="1"/>
  <c r="T1722" i="1"/>
  <c r="U1722" i="1"/>
  <c r="BD1722" i="1"/>
  <c r="CE1722" i="1"/>
  <c r="A1723" i="1"/>
  <c r="C1723" i="1"/>
  <c r="S1723" i="1"/>
  <c r="T1723" i="1"/>
  <c r="U1723" i="1"/>
  <c r="BD1723" i="1"/>
  <c r="CE1723" i="1"/>
  <c r="A1724" i="1"/>
  <c r="C1724" i="1"/>
  <c r="S1724" i="1"/>
  <c r="T1724" i="1"/>
  <c r="U1724" i="1"/>
  <c r="BD1724" i="1"/>
  <c r="CE1724" i="1"/>
  <c r="A1725" i="1"/>
  <c r="C1725" i="1"/>
  <c r="S1725" i="1"/>
  <c r="T1725" i="1"/>
  <c r="U1725" i="1"/>
  <c r="BD1725" i="1"/>
  <c r="CE1725" i="1"/>
  <c r="A1726" i="1"/>
  <c r="C1726" i="1"/>
  <c r="S1726" i="1"/>
  <c r="T1726" i="1"/>
  <c r="U1726" i="1"/>
  <c r="BD1726" i="1"/>
  <c r="CE1726" i="1"/>
  <c r="A1727" i="1"/>
  <c r="C1727" i="1"/>
  <c r="S1727" i="1"/>
  <c r="T1727" i="1"/>
  <c r="U1727" i="1"/>
  <c r="BD1727" i="1"/>
  <c r="CE1727" i="1"/>
  <c r="A1728" i="1"/>
  <c r="C1728" i="1"/>
  <c r="S1728" i="1"/>
  <c r="T1728" i="1"/>
  <c r="U1728" i="1"/>
  <c r="BD1728" i="1"/>
  <c r="CE1728" i="1"/>
  <c r="A1729" i="1"/>
  <c r="C1729" i="1"/>
  <c r="S1729" i="1"/>
  <c r="T1729" i="1"/>
  <c r="U1729" i="1"/>
  <c r="BD1729" i="1"/>
  <c r="CE1729" i="1"/>
  <c r="A1730" i="1"/>
  <c r="C1730" i="1"/>
  <c r="S1730" i="1"/>
  <c r="T1730" i="1"/>
  <c r="U1730" i="1"/>
  <c r="BD1730" i="1"/>
  <c r="CE1730" i="1"/>
  <c r="A1731" i="1"/>
  <c r="C1731" i="1"/>
  <c r="S1731" i="1"/>
  <c r="T1731" i="1"/>
  <c r="U1731" i="1"/>
  <c r="BD1731" i="1"/>
  <c r="CE1731" i="1"/>
  <c r="A1732" i="1"/>
  <c r="C1732" i="1"/>
  <c r="S1732" i="1"/>
  <c r="T1732" i="1"/>
  <c r="U1732" i="1"/>
  <c r="BD1732" i="1"/>
  <c r="CE1732" i="1"/>
  <c r="A1733" i="1"/>
  <c r="C1733" i="1"/>
  <c r="S1733" i="1"/>
  <c r="T1733" i="1"/>
  <c r="U1733" i="1"/>
  <c r="BD1733" i="1"/>
  <c r="CE1733" i="1"/>
  <c r="A1734" i="1"/>
  <c r="C1734" i="1"/>
  <c r="S1734" i="1"/>
  <c r="T1734" i="1"/>
  <c r="U1734" i="1"/>
  <c r="BD1734" i="1"/>
  <c r="CE1734" i="1"/>
  <c r="A1735" i="1"/>
  <c r="C1735" i="1"/>
  <c r="S1735" i="1"/>
  <c r="T1735" i="1"/>
  <c r="U1735" i="1"/>
  <c r="BD1735" i="1"/>
  <c r="CE1735" i="1"/>
  <c r="A1736" i="1"/>
  <c r="C1736" i="1"/>
  <c r="S1736" i="1"/>
  <c r="T1736" i="1"/>
  <c r="U1736" i="1"/>
  <c r="BD1736" i="1"/>
  <c r="CE1736" i="1"/>
  <c r="A1737" i="1"/>
  <c r="C1737" i="1"/>
  <c r="S1737" i="1"/>
  <c r="T1737" i="1"/>
  <c r="U1737" i="1"/>
  <c r="BD1737" i="1"/>
  <c r="CE1737" i="1"/>
  <c r="A1738" i="1"/>
  <c r="C1738" i="1"/>
  <c r="S1738" i="1"/>
  <c r="T1738" i="1"/>
  <c r="U1738" i="1"/>
  <c r="BD1738" i="1"/>
  <c r="CE1738" i="1"/>
  <c r="A1739" i="1"/>
  <c r="C1739" i="1"/>
  <c r="S1739" i="1"/>
  <c r="T1739" i="1"/>
  <c r="U1739" i="1"/>
  <c r="BD1739" i="1"/>
  <c r="CE1739" i="1"/>
  <c r="A1740" i="1"/>
  <c r="C1740" i="1"/>
  <c r="S1740" i="1"/>
  <c r="T1740" i="1"/>
  <c r="U1740" i="1"/>
  <c r="BD1740" i="1"/>
  <c r="CE1740" i="1"/>
  <c r="A1741" i="1"/>
  <c r="C1741" i="1"/>
  <c r="S1741" i="1"/>
  <c r="T1741" i="1"/>
  <c r="U1741" i="1"/>
  <c r="BD1741" i="1"/>
  <c r="CE1741" i="1"/>
  <c r="A1742" i="1"/>
  <c r="C1742" i="1"/>
  <c r="S1742" i="1"/>
  <c r="T1742" i="1"/>
  <c r="U1742" i="1"/>
  <c r="BD1742" i="1"/>
  <c r="CE1742" i="1"/>
  <c r="A1743" i="1"/>
  <c r="C1743" i="1"/>
  <c r="S1743" i="1"/>
  <c r="T1743" i="1"/>
  <c r="U1743" i="1"/>
  <c r="BD1743" i="1"/>
  <c r="CE1743" i="1"/>
  <c r="A1744" i="1"/>
  <c r="C1744" i="1"/>
  <c r="S1744" i="1"/>
  <c r="T1744" i="1"/>
  <c r="U1744" i="1"/>
  <c r="BD1744" i="1"/>
  <c r="CE1744" i="1"/>
  <c r="A1745" i="1"/>
  <c r="C1745" i="1"/>
  <c r="S1745" i="1"/>
  <c r="T1745" i="1"/>
  <c r="U1745" i="1"/>
  <c r="BD1745" i="1"/>
  <c r="CE1745" i="1"/>
  <c r="A1746" i="1"/>
  <c r="C1746" i="1"/>
  <c r="S1746" i="1"/>
  <c r="T1746" i="1"/>
  <c r="U1746" i="1"/>
  <c r="BD1746" i="1"/>
  <c r="CE1746" i="1"/>
  <c r="A1747" i="1"/>
  <c r="C1747" i="1"/>
  <c r="S1747" i="1"/>
  <c r="T1747" i="1"/>
  <c r="U1747" i="1"/>
  <c r="BD1747" i="1"/>
  <c r="CE1747" i="1"/>
  <c r="A1748" i="1"/>
  <c r="C1748" i="1"/>
  <c r="S1748" i="1"/>
  <c r="T1748" i="1"/>
  <c r="U1748" i="1"/>
  <c r="BD1748" i="1"/>
  <c r="CE1748" i="1"/>
  <c r="A1749" i="1"/>
  <c r="C1749" i="1"/>
  <c r="S1749" i="1"/>
  <c r="T1749" i="1"/>
  <c r="U1749" i="1"/>
  <c r="BD1749" i="1"/>
  <c r="CE1749" i="1"/>
  <c r="A1750" i="1"/>
  <c r="C1750" i="1"/>
  <c r="S1750" i="1"/>
  <c r="T1750" i="1"/>
  <c r="U1750" i="1"/>
  <c r="BD1750" i="1"/>
  <c r="CE1750" i="1"/>
  <c r="A1751" i="1"/>
  <c r="C1751" i="1"/>
  <c r="S1751" i="1"/>
  <c r="T1751" i="1"/>
  <c r="U1751" i="1"/>
  <c r="BD1751" i="1"/>
  <c r="CE1751" i="1"/>
  <c r="A1752" i="1"/>
  <c r="C1752" i="1"/>
  <c r="S1752" i="1"/>
  <c r="T1752" i="1"/>
  <c r="U1752" i="1"/>
  <c r="BD1752" i="1"/>
  <c r="CE1752" i="1"/>
  <c r="A1753" i="1"/>
  <c r="C1753" i="1"/>
  <c r="S1753" i="1"/>
  <c r="T1753" i="1"/>
  <c r="U1753" i="1"/>
  <c r="BD1753" i="1"/>
  <c r="CE1753" i="1"/>
  <c r="A1754" i="1"/>
  <c r="C1754" i="1"/>
  <c r="S1754" i="1"/>
  <c r="T1754" i="1"/>
  <c r="U1754" i="1"/>
  <c r="BD1754" i="1"/>
  <c r="CE1754" i="1"/>
  <c r="A1755" i="1"/>
  <c r="C1755" i="1"/>
  <c r="S1755" i="1"/>
  <c r="T1755" i="1"/>
  <c r="U1755" i="1"/>
  <c r="BD1755" i="1"/>
  <c r="CE1755" i="1"/>
  <c r="A1756" i="1"/>
  <c r="C1756" i="1"/>
  <c r="S1756" i="1"/>
  <c r="T1756" i="1"/>
  <c r="U1756" i="1"/>
  <c r="BD1756" i="1"/>
  <c r="CE1756" i="1"/>
  <c r="A1757" i="1"/>
  <c r="C1757" i="1"/>
  <c r="S1757" i="1"/>
  <c r="T1757" i="1"/>
  <c r="U1757" i="1"/>
  <c r="BD1757" i="1"/>
  <c r="CE1757" i="1"/>
  <c r="A1758" i="1"/>
  <c r="C1758" i="1"/>
  <c r="S1758" i="1"/>
  <c r="T1758" i="1"/>
  <c r="U1758" i="1"/>
  <c r="BD1758" i="1"/>
  <c r="CE1758" i="1"/>
  <c r="A1759" i="1"/>
  <c r="C1759" i="1"/>
  <c r="S1759" i="1"/>
  <c r="T1759" i="1"/>
  <c r="U1759" i="1"/>
  <c r="BD1759" i="1"/>
  <c r="CE1759" i="1"/>
  <c r="A1760" i="1"/>
  <c r="C1760" i="1"/>
  <c r="S1760" i="1"/>
  <c r="T1760" i="1"/>
  <c r="U1760" i="1"/>
  <c r="BD1760" i="1"/>
  <c r="CE1760" i="1"/>
  <c r="A1761" i="1"/>
  <c r="C1761" i="1"/>
  <c r="S1761" i="1"/>
  <c r="T1761" i="1"/>
  <c r="U1761" i="1"/>
  <c r="BD1761" i="1"/>
  <c r="CE1761" i="1"/>
  <c r="A1762" i="1"/>
  <c r="C1762" i="1"/>
  <c r="S1762" i="1"/>
  <c r="T1762" i="1"/>
  <c r="U1762" i="1"/>
  <c r="BD1762" i="1"/>
  <c r="CE1762" i="1"/>
  <c r="A1763" i="1"/>
  <c r="C1763" i="1"/>
  <c r="S1763" i="1"/>
  <c r="T1763" i="1"/>
  <c r="U1763" i="1"/>
  <c r="BD1763" i="1"/>
  <c r="CE1763" i="1"/>
  <c r="A1764" i="1"/>
  <c r="C1764" i="1"/>
  <c r="S1764" i="1"/>
  <c r="T1764" i="1"/>
  <c r="U1764" i="1"/>
  <c r="BD1764" i="1"/>
  <c r="CE1764" i="1"/>
  <c r="A1765" i="1"/>
  <c r="C1765" i="1"/>
  <c r="S1765" i="1"/>
  <c r="T1765" i="1"/>
  <c r="U1765" i="1"/>
  <c r="BD1765" i="1"/>
  <c r="CE1765" i="1"/>
  <c r="A1766" i="1"/>
  <c r="C1766" i="1"/>
  <c r="S1766" i="1"/>
  <c r="T1766" i="1"/>
  <c r="U1766" i="1"/>
  <c r="BD1766" i="1"/>
  <c r="CE1766" i="1"/>
  <c r="A1767" i="1"/>
  <c r="C1767" i="1"/>
  <c r="S1767" i="1"/>
  <c r="T1767" i="1"/>
  <c r="U1767" i="1"/>
  <c r="BD1767" i="1"/>
  <c r="CE1767" i="1"/>
  <c r="A1768" i="1"/>
  <c r="C1768" i="1"/>
  <c r="S1768" i="1"/>
  <c r="T1768" i="1"/>
  <c r="U1768" i="1"/>
  <c r="BD1768" i="1"/>
  <c r="CE1768" i="1"/>
  <c r="A1769" i="1"/>
  <c r="C1769" i="1"/>
  <c r="S1769" i="1"/>
  <c r="T1769" i="1"/>
  <c r="U1769" i="1"/>
  <c r="BD1769" i="1"/>
  <c r="CE1769" i="1"/>
  <c r="A1770" i="1"/>
  <c r="C1770" i="1"/>
  <c r="S1770" i="1"/>
  <c r="T1770" i="1"/>
  <c r="U1770" i="1"/>
  <c r="BD1770" i="1"/>
  <c r="CE1770" i="1"/>
  <c r="A1771" i="1"/>
  <c r="C1771" i="1"/>
  <c r="S1771" i="1"/>
  <c r="T1771" i="1"/>
  <c r="U1771" i="1"/>
  <c r="BD1771" i="1"/>
  <c r="CE1771" i="1"/>
  <c r="A1772" i="1"/>
  <c r="C1772" i="1"/>
  <c r="S1772" i="1"/>
  <c r="T1772" i="1"/>
  <c r="U1772" i="1"/>
  <c r="BD1772" i="1"/>
  <c r="CE1772" i="1"/>
  <c r="A1773" i="1"/>
  <c r="C1773" i="1"/>
  <c r="S1773" i="1"/>
  <c r="T1773" i="1"/>
  <c r="U1773" i="1"/>
  <c r="BD1773" i="1"/>
  <c r="CE1773" i="1"/>
  <c r="A1774" i="1"/>
  <c r="C1774" i="1"/>
  <c r="S1774" i="1"/>
  <c r="T1774" i="1"/>
  <c r="U1774" i="1"/>
  <c r="BD1774" i="1"/>
  <c r="CE1774" i="1"/>
  <c r="A1775" i="1"/>
  <c r="C1775" i="1"/>
  <c r="S1775" i="1"/>
  <c r="T1775" i="1"/>
  <c r="U1775" i="1"/>
  <c r="BD1775" i="1"/>
  <c r="CE1775" i="1"/>
  <c r="A1776" i="1"/>
  <c r="C1776" i="1"/>
  <c r="S1776" i="1"/>
  <c r="T1776" i="1"/>
  <c r="U1776" i="1"/>
  <c r="BD1776" i="1"/>
  <c r="CE1776" i="1"/>
  <c r="A1777" i="1"/>
  <c r="C1777" i="1"/>
  <c r="S1777" i="1"/>
  <c r="T1777" i="1"/>
  <c r="U1777" i="1"/>
  <c r="BD1777" i="1"/>
  <c r="CE1777" i="1"/>
  <c r="A1778" i="1"/>
  <c r="C1778" i="1"/>
  <c r="S1778" i="1"/>
  <c r="T1778" i="1"/>
  <c r="U1778" i="1"/>
  <c r="BD1778" i="1"/>
  <c r="CE1778" i="1"/>
  <c r="A1779" i="1"/>
  <c r="C1779" i="1"/>
  <c r="S1779" i="1"/>
  <c r="T1779" i="1"/>
  <c r="U1779" i="1"/>
  <c r="BD1779" i="1"/>
  <c r="CE1779" i="1"/>
  <c r="A1780" i="1"/>
  <c r="C1780" i="1"/>
  <c r="S1780" i="1"/>
  <c r="T1780" i="1"/>
  <c r="U1780" i="1"/>
  <c r="BD1780" i="1"/>
  <c r="CE1780" i="1"/>
  <c r="A1781" i="1"/>
  <c r="C1781" i="1"/>
  <c r="S1781" i="1"/>
  <c r="T1781" i="1"/>
  <c r="U1781" i="1"/>
  <c r="BD1781" i="1"/>
  <c r="CE1781" i="1"/>
  <c r="A1782" i="1"/>
  <c r="C1782" i="1"/>
  <c r="S1782" i="1"/>
  <c r="T1782" i="1"/>
  <c r="U1782" i="1"/>
  <c r="BD1782" i="1"/>
  <c r="CE1782" i="1"/>
  <c r="A1783" i="1"/>
  <c r="C1783" i="1"/>
  <c r="S1783" i="1"/>
  <c r="T1783" i="1"/>
  <c r="U1783" i="1"/>
  <c r="BD1783" i="1"/>
  <c r="CE1783" i="1"/>
  <c r="A1784" i="1"/>
  <c r="C1784" i="1"/>
  <c r="S1784" i="1"/>
  <c r="T1784" i="1"/>
  <c r="U1784" i="1"/>
  <c r="BD1784" i="1"/>
  <c r="CE1784" i="1"/>
  <c r="A1785" i="1"/>
  <c r="C1785" i="1"/>
  <c r="S1785" i="1"/>
  <c r="T1785" i="1"/>
  <c r="U1785" i="1"/>
  <c r="BD1785" i="1"/>
  <c r="CE1785" i="1"/>
  <c r="A1786" i="1"/>
  <c r="C1786" i="1"/>
  <c r="S1786" i="1"/>
  <c r="T1786" i="1"/>
  <c r="U1786" i="1"/>
  <c r="BD1786" i="1"/>
  <c r="CE1786" i="1"/>
  <c r="A1787" i="1"/>
  <c r="C1787" i="1"/>
  <c r="S1787" i="1"/>
  <c r="T1787" i="1"/>
  <c r="U1787" i="1"/>
  <c r="BD1787" i="1"/>
  <c r="CE1787" i="1"/>
  <c r="A1788" i="1"/>
  <c r="C1788" i="1"/>
  <c r="S1788" i="1"/>
  <c r="T1788" i="1"/>
  <c r="U1788" i="1"/>
  <c r="BD1788" i="1"/>
  <c r="CE1788" i="1"/>
  <c r="A1789" i="1"/>
  <c r="C1789" i="1"/>
  <c r="S1789" i="1"/>
  <c r="T1789" i="1"/>
  <c r="U1789" i="1"/>
  <c r="BD1789" i="1"/>
  <c r="CE1789" i="1"/>
  <c r="A1790" i="1"/>
  <c r="C1790" i="1"/>
  <c r="S1790" i="1"/>
  <c r="T1790" i="1"/>
  <c r="U1790" i="1"/>
  <c r="BD1790" i="1"/>
  <c r="CE1790" i="1"/>
  <c r="A1791" i="1"/>
  <c r="C1791" i="1"/>
  <c r="S1791" i="1"/>
  <c r="T1791" i="1"/>
  <c r="U1791" i="1"/>
  <c r="BD1791" i="1"/>
  <c r="CE1791" i="1"/>
  <c r="A1792" i="1"/>
  <c r="C1792" i="1"/>
  <c r="S1792" i="1"/>
  <c r="T1792" i="1"/>
  <c r="U1792" i="1"/>
  <c r="BD1792" i="1"/>
  <c r="CE1792" i="1"/>
  <c r="A1793" i="1"/>
  <c r="C1793" i="1"/>
  <c r="S1793" i="1"/>
  <c r="T1793" i="1"/>
  <c r="U1793" i="1"/>
  <c r="BD1793" i="1"/>
  <c r="CE1793" i="1"/>
  <c r="A1794" i="1"/>
  <c r="C1794" i="1"/>
  <c r="S1794" i="1"/>
  <c r="T1794" i="1"/>
  <c r="U1794" i="1"/>
  <c r="BD1794" i="1"/>
  <c r="CE1794" i="1"/>
  <c r="A1795" i="1"/>
  <c r="C1795" i="1"/>
  <c r="S1795" i="1"/>
  <c r="T1795" i="1"/>
  <c r="U1795" i="1"/>
  <c r="BD1795" i="1"/>
  <c r="CE1795" i="1"/>
  <c r="A1796" i="1"/>
  <c r="C1796" i="1"/>
  <c r="S1796" i="1"/>
  <c r="T1796" i="1"/>
  <c r="U1796" i="1"/>
  <c r="BD1796" i="1"/>
  <c r="CE1796" i="1"/>
  <c r="A1797" i="1"/>
  <c r="C1797" i="1"/>
  <c r="S1797" i="1"/>
  <c r="T1797" i="1"/>
  <c r="U1797" i="1"/>
  <c r="BD1797" i="1"/>
  <c r="CE1797" i="1"/>
  <c r="A1798" i="1"/>
  <c r="C1798" i="1"/>
  <c r="S1798" i="1"/>
  <c r="T1798" i="1"/>
  <c r="U1798" i="1"/>
  <c r="BD1798" i="1"/>
  <c r="CE1798" i="1"/>
  <c r="A1799" i="1"/>
  <c r="C1799" i="1"/>
  <c r="S1799" i="1"/>
  <c r="T1799" i="1"/>
  <c r="U1799" i="1"/>
  <c r="BD1799" i="1"/>
  <c r="CE1799" i="1"/>
  <c r="A1800" i="1"/>
  <c r="C1800" i="1"/>
  <c r="S1800" i="1"/>
  <c r="T1800" i="1"/>
  <c r="U1800" i="1"/>
  <c r="BD1800" i="1"/>
  <c r="CE1800" i="1"/>
  <c r="A1801" i="1"/>
  <c r="C1801" i="1"/>
  <c r="S1801" i="1"/>
  <c r="T1801" i="1"/>
  <c r="U1801" i="1"/>
  <c r="BD1801" i="1"/>
  <c r="CE1801" i="1"/>
  <c r="A1802" i="1"/>
  <c r="C1802" i="1"/>
  <c r="S1802" i="1"/>
  <c r="T1802" i="1"/>
  <c r="U1802" i="1"/>
  <c r="BD1802" i="1"/>
  <c r="CE1802" i="1"/>
  <c r="A1803" i="1"/>
  <c r="C1803" i="1"/>
  <c r="S1803" i="1"/>
  <c r="T1803" i="1"/>
  <c r="U1803" i="1"/>
  <c r="BD1803" i="1"/>
  <c r="CE1803" i="1"/>
  <c r="A1804" i="1"/>
  <c r="C1804" i="1"/>
  <c r="S1804" i="1"/>
  <c r="T1804" i="1"/>
  <c r="U1804" i="1"/>
  <c r="BD1804" i="1"/>
  <c r="CE1804" i="1"/>
  <c r="A1805" i="1"/>
  <c r="C1805" i="1"/>
  <c r="S1805" i="1"/>
  <c r="T1805" i="1"/>
  <c r="U1805" i="1"/>
  <c r="BD1805" i="1"/>
  <c r="CE1805" i="1"/>
  <c r="A1806" i="1"/>
  <c r="C1806" i="1"/>
  <c r="S1806" i="1"/>
  <c r="T1806" i="1"/>
  <c r="U1806" i="1"/>
  <c r="BD1806" i="1"/>
  <c r="CE1806" i="1"/>
  <c r="A1807" i="1"/>
  <c r="C1807" i="1"/>
  <c r="S1807" i="1"/>
  <c r="T1807" i="1"/>
  <c r="U1807" i="1"/>
  <c r="BD1807" i="1"/>
  <c r="CE1807" i="1"/>
  <c r="A1808" i="1"/>
  <c r="C1808" i="1"/>
  <c r="S1808" i="1"/>
  <c r="T1808" i="1"/>
  <c r="U1808" i="1"/>
  <c r="BD1808" i="1"/>
  <c r="CE1808" i="1"/>
  <c r="A1809" i="1"/>
  <c r="C1809" i="1"/>
  <c r="S1809" i="1"/>
  <c r="T1809" i="1"/>
  <c r="U1809" i="1"/>
  <c r="BD1809" i="1"/>
  <c r="CE1809" i="1"/>
  <c r="A1810" i="1"/>
  <c r="C1810" i="1"/>
  <c r="S1810" i="1"/>
  <c r="T1810" i="1"/>
  <c r="U1810" i="1"/>
  <c r="BD1810" i="1"/>
  <c r="CE1810" i="1"/>
  <c r="A1811" i="1"/>
  <c r="C1811" i="1"/>
  <c r="S1811" i="1"/>
  <c r="T1811" i="1"/>
  <c r="U1811" i="1"/>
  <c r="BD1811" i="1"/>
  <c r="CE1811" i="1"/>
  <c r="A1812" i="1"/>
  <c r="C1812" i="1"/>
  <c r="S1812" i="1"/>
  <c r="T1812" i="1"/>
  <c r="U1812" i="1"/>
  <c r="BD1812" i="1"/>
  <c r="CE1812" i="1"/>
  <c r="A1813" i="1"/>
  <c r="C1813" i="1"/>
  <c r="S1813" i="1"/>
  <c r="T1813" i="1"/>
  <c r="U1813" i="1"/>
  <c r="BD1813" i="1"/>
  <c r="CE1813" i="1"/>
  <c r="A1814" i="1"/>
  <c r="C1814" i="1"/>
  <c r="S1814" i="1"/>
  <c r="T1814" i="1"/>
  <c r="U1814" i="1"/>
  <c r="BD1814" i="1"/>
  <c r="CE1814" i="1"/>
  <c r="A1815" i="1"/>
  <c r="C1815" i="1"/>
  <c r="S1815" i="1"/>
  <c r="T1815" i="1"/>
  <c r="U1815" i="1"/>
  <c r="BD1815" i="1"/>
  <c r="CE1815" i="1"/>
  <c r="A1816" i="1"/>
  <c r="C1816" i="1"/>
  <c r="S1816" i="1"/>
  <c r="T1816" i="1"/>
  <c r="U1816" i="1"/>
  <c r="BD1816" i="1"/>
  <c r="CE1816" i="1"/>
  <c r="A1817" i="1"/>
  <c r="C1817" i="1"/>
  <c r="S1817" i="1"/>
  <c r="T1817" i="1"/>
  <c r="U1817" i="1"/>
  <c r="BD1817" i="1"/>
  <c r="CE1817" i="1"/>
  <c r="A1818" i="1"/>
  <c r="C1818" i="1"/>
  <c r="S1818" i="1"/>
  <c r="T1818" i="1"/>
  <c r="U1818" i="1"/>
  <c r="BD1818" i="1"/>
  <c r="CE1818" i="1"/>
  <c r="A1819" i="1"/>
  <c r="C1819" i="1"/>
  <c r="S1819" i="1"/>
  <c r="T1819" i="1"/>
  <c r="U1819" i="1"/>
  <c r="BD1819" i="1"/>
  <c r="CE1819" i="1"/>
  <c r="A1820" i="1"/>
  <c r="C1820" i="1"/>
  <c r="S1820" i="1"/>
  <c r="T1820" i="1"/>
  <c r="U1820" i="1"/>
  <c r="BD1820" i="1"/>
  <c r="CE1820" i="1"/>
  <c r="A1821" i="1"/>
  <c r="C1821" i="1"/>
  <c r="S1821" i="1"/>
  <c r="T1821" i="1"/>
  <c r="U1821" i="1"/>
  <c r="BD1821" i="1"/>
  <c r="CE1821" i="1"/>
  <c r="A1822" i="1"/>
  <c r="C1822" i="1"/>
  <c r="S1822" i="1"/>
  <c r="T1822" i="1"/>
  <c r="U1822" i="1"/>
  <c r="BD1822" i="1"/>
  <c r="CE1822" i="1"/>
  <c r="A1823" i="1"/>
  <c r="C1823" i="1"/>
  <c r="S1823" i="1"/>
  <c r="T1823" i="1"/>
  <c r="U1823" i="1"/>
  <c r="BD1823" i="1"/>
  <c r="CE1823" i="1"/>
  <c r="A1824" i="1"/>
  <c r="C1824" i="1"/>
  <c r="S1824" i="1"/>
  <c r="T1824" i="1"/>
  <c r="U1824" i="1"/>
  <c r="BD1824" i="1"/>
  <c r="CE1824" i="1"/>
  <c r="A1825" i="1"/>
  <c r="C1825" i="1"/>
  <c r="S1825" i="1"/>
  <c r="T1825" i="1"/>
  <c r="U1825" i="1"/>
  <c r="BD1825" i="1"/>
  <c r="CE1825" i="1"/>
  <c r="A1826" i="1"/>
  <c r="C1826" i="1"/>
  <c r="S1826" i="1"/>
  <c r="T1826" i="1"/>
  <c r="U1826" i="1"/>
  <c r="BD1826" i="1"/>
  <c r="CE1826" i="1"/>
  <c r="A1827" i="1"/>
  <c r="C1827" i="1"/>
  <c r="S1827" i="1"/>
  <c r="T1827" i="1"/>
  <c r="U1827" i="1"/>
  <c r="BD1827" i="1"/>
  <c r="CE1827" i="1"/>
  <c r="A1828" i="1"/>
  <c r="C1828" i="1"/>
  <c r="S1828" i="1"/>
  <c r="T1828" i="1"/>
  <c r="U1828" i="1"/>
  <c r="BD1828" i="1"/>
  <c r="CE1828" i="1"/>
  <c r="A1829" i="1"/>
  <c r="C1829" i="1"/>
  <c r="S1829" i="1"/>
  <c r="T1829" i="1"/>
  <c r="U1829" i="1"/>
  <c r="BD1829" i="1"/>
  <c r="CE1829" i="1"/>
  <c r="A1830" i="1"/>
  <c r="C1830" i="1"/>
  <c r="S1830" i="1"/>
  <c r="T1830" i="1"/>
  <c r="U1830" i="1"/>
  <c r="BD1830" i="1"/>
  <c r="CE1830" i="1"/>
  <c r="A1831" i="1"/>
  <c r="C1831" i="1"/>
  <c r="S1831" i="1"/>
  <c r="T1831" i="1"/>
  <c r="U1831" i="1"/>
  <c r="BD1831" i="1"/>
  <c r="CE1831" i="1"/>
  <c r="A1832" i="1"/>
  <c r="C1832" i="1"/>
  <c r="S1832" i="1"/>
  <c r="T1832" i="1"/>
  <c r="U1832" i="1"/>
  <c r="BD1832" i="1"/>
  <c r="CE1832" i="1"/>
  <c r="A1833" i="1"/>
  <c r="C1833" i="1"/>
  <c r="S1833" i="1"/>
  <c r="T1833" i="1"/>
  <c r="U1833" i="1"/>
  <c r="BD1833" i="1"/>
  <c r="CE1833" i="1"/>
  <c r="A1834" i="1"/>
  <c r="C1834" i="1"/>
  <c r="S1834" i="1"/>
  <c r="T1834" i="1"/>
  <c r="U1834" i="1"/>
  <c r="BD1834" i="1"/>
  <c r="CE1834" i="1"/>
  <c r="A1835" i="1"/>
  <c r="C1835" i="1"/>
  <c r="S1835" i="1"/>
  <c r="T1835" i="1"/>
  <c r="U1835" i="1"/>
  <c r="BD1835" i="1"/>
  <c r="CE1835" i="1"/>
  <c r="A1836" i="1"/>
  <c r="C1836" i="1"/>
  <c r="S1836" i="1"/>
  <c r="T1836" i="1"/>
  <c r="U1836" i="1"/>
  <c r="BD1836" i="1"/>
  <c r="CE1836" i="1"/>
  <c r="A1837" i="1"/>
  <c r="C1837" i="1"/>
  <c r="S1837" i="1"/>
  <c r="T1837" i="1"/>
  <c r="U1837" i="1"/>
  <c r="BD1837" i="1"/>
  <c r="CE1837" i="1"/>
  <c r="A1838" i="1"/>
  <c r="C1838" i="1"/>
  <c r="S1838" i="1"/>
  <c r="T1838" i="1"/>
  <c r="U1838" i="1"/>
  <c r="BD1838" i="1"/>
  <c r="CE1838" i="1"/>
  <c r="A1839" i="1"/>
  <c r="C1839" i="1"/>
  <c r="S1839" i="1"/>
  <c r="T1839" i="1"/>
  <c r="U1839" i="1"/>
  <c r="BD1839" i="1"/>
  <c r="CE1839" i="1"/>
  <c r="A1840" i="1"/>
  <c r="C1840" i="1"/>
  <c r="S1840" i="1"/>
  <c r="T1840" i="1"/>
  <c r="U1840" i="1"/>
  <c r="BD1840" i="1"/>
  <c r="CE1840" i="1"/>
  <c r="A1841" i="1"/>
  <c r="C1841" i="1"/>
  <c r="S1841" i="1"/>
  <c r="T1841" i="1"/>
  <c r="U1841" i="1"/>
  <c r="BD1841" i="1"/>
  <c r="CE1841" i="1"/>
  <c r="A1842" i="1"/>
  <c r="C1842" i="1"/>
  <c r="S1842" i="1"/>
  <c r="T1842" i="1"/>
  <c r="U1842" i="1"/>
  <c r="BD1842" i="1"/>
  <c r="CE1842" i="1"/>
  <c r="A1843" i="1"/>
  <c r="C1843" i="1"/>
  <c r="S1843" i="1"/>
  <c r="T1843" i="1"/>
  <c r="U1843" i="1"/>
  <c r="BD1843" i="1"/>
  <c r="CE1843" i="1"/>
  <c r="A1844" i="1"/>
  <c r="C1844" i="1"/>
  <c r="S1844" i="1"/>
  <c r="T1844" i="1"/>
  <c r="U1844" i="1"/>
  <c r="BD1844" i="1"/>
  <c r="CE1844" i="1"/>
  <c r="A1845" i="1"/>
  <c r="C1845" i="1"/>
  <c r="S1845" i="1"/>
  <c r="T1845" i="1"/>
  <c r="U1845" i="1"/>
  <c r="BD1845" i="1"/>
  <c r="CE1845" i="1"/>
  <c r="A1846" i="1"/>
  <c r="C1846" i="1"/>
  <c r="S1846" i="1"/>
  <c r="T1846" i="1"/>
  <c r="U1846" i="1"/>
  <c r="BD1846" i="1"/>
  <c r="CE1846" i="1"/>
  <c r="A1847" i="1"/>
  <c r="C1847" i="1"/>
  <c r="S1847" i="1"/>
  <c r="T1847" i="1"/>
  <c r="U1847" i="1"/>
  <c r="BD1847" i="1"/>
  <c r="CE1847" i="1"/>
  <c r="A1848" i="1"/>
  <c r="C1848" i="1"/>
  <c r="S1848" i="1"/>
  <c r="T1848" i="1"/>
  <c r="U1848" i="1"/>
  <c r="BD1848" i="1"/>
  <c r="CE1848" i="1"/>
  <c r="A1849" i="1"/>
  <c r="C1849" i="1"/>
  <c r="S1849" i="1"/>
  <c r="T1849" i="1"/>
  <c r="U1849" i="1"/>
  <c r="BD1849" i="1"/>
  <c r="CE1849" i="1"/>
  <c r="A1850" i="1"/>
  <c r="C1850" i="1"/>
  <c r="S1850" i="1"/>
  <c r="T1850" i="1"/>
  <c r="U1850" i="1"/>
  <c r="BD1850" i="1"/>
  <c r="CE1850" i="1"/>
  <c r="A1851" i="1"/>
  <c r="C1851" i="1"/>
  <c r="S1851" i="1"/>
  <c r="T1851" i="1"/>
  <c r="U1851" i="1"/>
  <c r="BD1851" i="1"/>
  <c r="CE1851" i="1"/>
  <c r="A1852" i="1"/>
  <c r="C1852" i="1"/>
  <c r="S1852" i="1"/>
  <c r="T1852" i="1"/>
  <c r="U1852" i="1"/>
  <c r="BD1852" i="1"/>
  <c r="CE1852" i="1"/>
  <c r="A1853" i="1"/>
  <c r="C1853" i="1"/>
  <c r="S1853" i="1"/>
  <c r="T1853" i="1"/>
  <c r="U1853" i="1"/>
  <c r="BD1853" i="1"/>
  <c r="CE1853" i="1"/>
  <c r="A1854" i="1"/>
  <c r="C1854" i="1"/>
  <c r="S1854" i="1"/>
  <c r="T1854" i="1"/>
  <c r="U1854" i="1"/>
  <c r="BD1854" i="1"/>
  <c r="CE1854" i="1"/>
  <c r="A1855" i="1"/>
  <c r="C1855" i="1"/>
  <c r="S1855" i="1"/>
  <c r="T1855" i="1"/>
  <c r="U1855" i="1"/>
  <c r="BD1855" i="1"/>
  <c r="CE1855" i="1"/>
  <c r="A1856" i="1"/>
  <c r="C1856" i="1"/>
  <c r="S1856" i="1"/>
  <c r="T1856" i="1"/>
  <c r="U1856" i="1"/>
  <c r="BD1856" i="1"/>
  <c r="CE1856" i="1"/>
  <c r="A1857" i="1"/>
  <c r="C1857" i="1"/>
  <c r="S1857" i="1"/>
  <c r="T1857" i="1"/>
  <c r="U1857" i="1"/>
  <c r="BD1857" i="1"/>
  <c r="CE1857" i="1"/>
  <c r="A1858" i="1"/>
  <c r="C1858" i="1"/>
  <c r="S1858" i="1"/>
  <c r="T1858" i="1"/>
  <c r="U1858" i="1"/>
  <c r="BD1858" i="1"/>
  <c r="CE1858" i="1"/>
  <c r="A1859" i="1"/>
  <c r="C1859" i="1"/>
  <c r="S1859" i="1"/>
  <c r="T1859" i="1"/>
  <c r="U1859" i="1"/>
  <c r="BD1859" i="1"/>
  <c r="CE1859" i="1"/>
  <c r="A1860" i="1"/>
  <c r="C1860" i="1"/>
  <c r="S1860" i="1"/>
  <c r="T1860" i="1"/>
  <c r="U1860" i="1"/>
  <c r="BD1860" i="1"/>
  <c r="CE1860" i="1"/>
  <c r="A1861" i="1"/>
  <c r="C1861" i="1"/>
  <c r="S1861" i="1"/>
  <c r="T1861" i="1"/>
  <c r="U1861" i="1"/>
  <c r="BD1861" i="1"/>
  <c r="CE1861" i="1"/>
  <c r="A1862" i="1"/>
  <c r="C1862" i="1"/>
  <c r="S1862" i="1"/>
  <c r="T1862" i="1"/>
  <c r="U1862" i="1"/>
  <c r="BD1862" i="1"/>
  <c r="CE1862" i="1"/>
  <c r="A1863" i="1"/>
  <c r="C1863" i="1"/>
  <c r="S1863" i="1"/>
  <c r="T1863" i="1"/>
  <c r="U1863" i="1"/>
  <c r="BD1863" i="1"/>
  <c r="CE1863" i="1"/>
  <c r="A1864" i="1"/>
  <c r="C1864" i="1"/>
  <c r="S1864" i="1"/>
  <c r="T1864" i="1"/>
  <c r="U1864" i="1"/>
  <c r="BD1864" i="1"/>
  <c r="CE1864" i="1"/>
  <c r="A1865" i="1"/>
  <c r="C1865" i="1"/>
  <c r="S1865" i="1"/>
  <c r="T1865" i="1"/>
  <c r="U1865" i="1"/>
  <c r="BD1865" i="1"/>
  <c r="CE1865" i="1"/>
  <c r="A1866" i="1"/>
  <c r="C1866" i="1"/>
  <c r="S1866" i="1"/>
  <c r="T1866" i="1"/>
  <c r="U1866" i="1"/>
  <c r="BD1866" i="1"/>
  <c r="CE1866" i="1"/>
  <c r="A1867" i="1"/>
  <c r="C1867" i="1"/>
  <c r="S1867" i="1"/>
  <c r="T1867" i="1"/>
  <c r="U1867" i="1"/>
  <c r="BD1867" i="1"/>
  <c r="CE1867" i="1"/>
  <c r="A1868" i="1"/>
  <c r="C1868" i="1"/>
  <c r="S1868" i="1"/>
  <c r="T1868" i="1"/>
  <c r="U1868" i="1"/>
  <c r="BD1868" i="1"/>
  <c r="CE1868" i="1"/>
  <c r="A1869" i="1"/>
  <c r="C1869" i="1"/>
  <c r="S1869" i="1"/>
  <c r="T1869" i="1"/>
  <c r="U1869" i="1"/>
  <c r="BD1869" i="1"/>
  <c r="CE1869" i="1"/>
  <c r="A1870" i="1"/>
  <c r="C1870" i="1"/>
  <c r="S1870" i="1"/>
  <c r="T1870" i="1"/>
  <c r="U1870" i="1"/>
  <c r="BD1870" i="1"/>
  <c r="CE1870" i="1"/>
  <c r="A1871" i="1"/>
  <c r="C1871" i="1"/>
  <c r="S1871" i="1"/>
  <c r="T1871" i="1"/>
  <c r="U1871" i="1"/>
  <c r="BD1871" i="1"/>
  <c r="CE1871" i="1"/>
  <c r="A1872" i="1"/>
  <c r="C1872" i="1"/>
  <c r="S1872" i="1"/>
  <c r="T1872" i="1"/>
  <c r="U1872" i="1"/>
  <c r="BD1872" i="1"/>
  <c r="CE1872" i="1"/>
  <c r="A1873" i="1"/>
  <c r="C1873" i="1"/>
  <c r="S1873" i="1"/>
  <c r="T1873" i="1"/>
  <c r="U1873" i="1"/>
  <c r="BD1873" i="1"/>
  <c r="CE1873" i="1"/>
  <c r="A1874" i="1"/>
  <c r="C1874" i="1"/>
  <c r="S1874" i="1"/>
  <c r="T1874" i="1"/>
  <c r="U1874" i="1"/>
  <c r="BD1874" i="1"/>
  <c r="CE1874" i="1"/>
  <c r="A1875" i="1"/>
  <c r="C1875" i="1"/>
  <c r="S1875" i="1"/>
  <c r="T1875" i="1"/>
  <c r="U1875" i="1"/>
  <c r="BD1875" i="1"/>
  <c r="CE1875" i="1"/>
  <c r="A1876" i="1"/>
  <c r="C1876" i="1"/>
  <c r="S1876" i="1"/>
  <c r="T1876" i="1"/>
  <c r="U1876" i="1"/>
  <c r="BD1876" i="1"/>
  <c r="CE1876" i="1"/>
  <c r="A1877" i="1"/>
  <c r="C1877" i="1"/>
  <c r="S1877" i="1"/>
  <c r="T1877" i="1"/>
  <c r="U1877" i="1"/>
  <c r="BD1877" i="1"/>
  <c r="CE1877" i="1"/>
  <c r="A1878" i="1"/>
  <c r="C1878" i="1"/>
  <c r="S1878" i="1"/>
  <c r="T1878" i="1"/>
  <c r="U1878" i="1"/>
  <c r="BD1878" i="1"/>
  <c r="CE1878" i="1"/>
  <c r="A1879" i="1"/>
  <c r="C1879" i="1"/>
  <c r="S1879" i="1"/>
  <c r="T1879" i="1"/>
  <c r="U1879" i="1"/>
  <c r="BD1879" i="1"/>
  <c r="CE1879" i="1"/>
  <c r="A1880" i="1"/>
  <c r="C1880" i="1"/>
  <c r="S1880" i="1"/>
  <c r="T1880" i="1"/>
  <c r="U1880" i="1"/>
  <c r="BD1880" i="1"/>
  <c r="CE1880" i="1"/>
  <c r="A1881" i="1"/>
  <c r="C1881" i="1"/>
  <c r="S1881" i="1"/>
  <c r="T1881" i="1"/>
  <c r="U1881" i="1"/>
  <c r="BD1881" i="1"/>
  <c r="CE1881" i="1"/>
  <c r="A1882" i="1"/>
  <c r="C1882" i="1"/>
  <c r="S1882" i="1"/>
  <c r="T1882" i="1"/>
  <c r="U1882" i="1"/>
  <c r="BD1882" i="1"/>
  <c r="CE1882" i="1"/>
  <c r="A1883" i="1"/>
  <c r="C1883" i="1"/>
  <c r="S1883" i="1"/>
  <c r="T1883" i="1"/>
  <c r="U1883" i="1"/>
  <c r="BD1883" i="1"/>
  <c r="CE1883" i="1"/>
  <c r="A1884" i="1"/>
  <c r="C1884" i="1"/>
  <c r="S1884" i="1"/>
  <c r="T1884" i="1"/>
  <c r="U1884" i="1"/>
  <c r="BD1884" i="1"/>
  <c r="CE1884" i="1"/>
  <c r="A1885" i="1"/>
  <c r="C1885" i="1"/>
  <c r="S1885" i="1"/>
  <c r="T1885" i="1"/>
  <c r="U1885" i="1"/>
  <c r="BD1885" i="1"/>
  <c r="CE1885" i="1"/>
  <c r="A1886" i="1"/>
  <c r="C1886" i="1"/>
  <c r="S1886" i="1"/>
  <c r="T1886" i="1"/>
  <c r="U1886" i="1"/>
  <c r="BD1886" i="1"/>
  <c r="CE1886" i="1"/>
  <c r="A1887" i="1"/>
  <c r="C1887" i="1"/>
  <c r="S1887" i="1"/>
  <c r="T1887" i="1"/>
  <c r="U1887" i="1"/>
  <c r="BD1887" i="1"/>
  <c r="CE1887" i="1"/>
  <c r="A1888" i="1"/>
  <c r="C1888" i="1"/>
  <c r="S1888" i="1"/>
  <c r="T1888" i="1"/>
  <c r="U1888" i="1"/>
  <c r="BD1888" i="1"/>
  <c r="CE1888" i="1"/>
  <c r="A1889" i="1"/>
  <c r="C1889" i="1"/>
  <c r="S1889" i="1"/>
  <c r="T1889" i="1"/>
  <c r="U1889" i="1"/>
  <c r="BD1889" i="1"/>
  <c r="CE1889" i="1"/>
  <c r="A1890" i="1"/>
  <c r="C1890" i="1"/>
  <c r="S1890" i="1"/>
  <c r="T1890" i="1"/>
  <c r="U1890" i="1"/>
  <c r="BD1890" i="1"/>
  <c r="CE1890" i="1"/>
  <c r="A1891" i="1"/>
  <c r="C1891" i="1"/>
  <c r="S1891" i="1"/>
  <c r="T1891" i="1"/>
  <c r="U1891" i="1"/>
  <c r="BD1891" i="1"/>
  <c r="CE1891" i="1"/>
  <c r="A1892" i="1"/>
  <c r="C1892" i="1"/>
  <c r="S1892" i="1"/>
  <c r="T1892" i="1"/>
  <c r="U1892" i="1"/>
  <c r="BD1892" i="1"/>
  <c r="CE1892" i="1"/>
  <c r="A1893" i="1"/>
  <c r="C1893" i="1"/>
  <c r="S1893" i="1"/>
  <c r="T1893" i="1"/>
  <c r="U1893" i="1"/>
  <c r="BD1893" i="1"/>
  <c r="CE1893" i="1"/>
  <c r="A1894" i="1"/>
  <c r="C1894" i="1"/>
  <c r="S1894" i="1"/>
  <c r="T1894" i="1"/>
  <c r="U1894" i="1"/>
  <c r="BD1894" i="1"/>
  <c r="CE1894" i="1"/>
  <c r="A1895" i="1"/>
  <c r="C1895" i="1"/>
  <c r="S1895" i="1"/>
  <c r="T1895" i="1"/>
  <c r="U1895" i="1"/>
  <c r="BD1895" i="1"/>
  <c r="CE1895" i="1"/>
  <c r="A1896" i="1"/>
  <c r="C1896" i="1"/>
  <c r="S1896" i="1"/>
  <c r="T1896" i="1"/>
  <c r="U1896" i="1"/>
  <c r="BD1896" i="1"/>
  <c r="CE1896" i="1"/>
  <c r="A1897" i="1"/>
  <c r="C1897" i="1"/>
  <c r="S1897" i="1"/>
  <c r="T1897" i="1"/>
  <c r="U1897" i="1"/>
  <c r="BD1897" i="1"/>
  <c r="CE1897" i="1"/>
  <c r="A1898" i="1"/>
  <c r="C1898" i="1"/>
  <c r="S1898" i="1"/>
  <c r="T1898" i="1"/>
  <c r="U1898" i="1"/>
  <c r="BD1898" i="1"/>
  <c r="CE1898" i="1"/>
  <c r="A1899" i="1"/>
  <c r="C1899" i="1"/>
  <c r="S1899" i="1"/>
  <c r="T1899" i="1"/>
  <c r="U1899" i="1"/>
  <c r="BD1899" i="1"/>
  <c r="CE1899" i="1"/>
  <c r="A1900" i="1"/>
  <c r="C1900" i="1"/>
  <c r="S1900" i="1"/>
  <c r="T1900" i="1"/>
  <c r="U1900" i="1"/>
  <c r="BD1900" i="1"/>
  <c r="CE1900" i="1"/>
  <c r="A1901" i="1"/>
  <c r="C1901" i="1"/>
  <c r="S1901" i="1"/>
  <c r="T1901" i="1"/>
  <c r="U1901" i="1"/>
  <c r="BD1901" i="1"/>
  <c r="CE1901" i="1"/>
  <c r="A1902" i="1"/>
  <c r="C1902" i="1"/>
  <c r="S1902" i="1"/>
  <c r="T1902" i="1"/>
  <c r="U1902" i="1"/>
  <c r="BD1902" i="1"/>
  <c r="CE1902" i="1"/>
  <c r="A1903" i="1"/>
  <c r="C1903" i="1"/>
  <c r="S1903" i="1"/>
  <c r="T1903" i="1"/>
  <c r="U1903" i="1"/>
  <c r="BD1903" i="1"/>
  <c r="CE1903" i="1"/>
  <c r="A1904" i="1"/>
  <c r="C1904" i="1"/>
  <c r="S1904" i="1"/>
  <c r="T1904" i="1"/>
  <c r="U1904" i="1"/>
  <c r="BD1904" i="1"/>
  <c r="CE1904" i="1"/>
  <c r="A1905" i="1"/>
  <c r="C1905" i="1"/>
  <c r="S1905" i="1"/>
  <c r="T1905" i="1"/>
  <c r="U1905" i="1"/>
  <c r="BD1905" i="1"/>
  <c r="CE1905" i="1"/>
  <c r="A1906" i="1"/>
  <c r="C1906" i="1"/>
  <c r="S1906" i="1"/>
  <c r="T1906" i="1"/>
  <c r="U1906" i="1"/>
  <c r="BD1906" i="1"/>
  <c r="CE1906" i="1"/>
  <c r="A1907" i="1"/>
  <c r="C1907" i="1"/>
  <c r="S1907" i="1"/>
  <c r="T1907" i="1"/>
  <c r="U1907" i="1"/>
  <c r="BD1907" i="1"/>
  <c r="CE1907" i="1"/>
  <c r="A1908" i="1"/>
  <c r="C1908" i="1"/>
  <c r="S1908" i="1"/>
  <c r="T1908" i="1"/>
  <c r="U1908" i="1"/>
  <c r="BD1908" i="1"/>
  <c r="CE1908" i="1"/>
  <c r="A1909" i="1"/>
  <c r="C1909" i="1"/>
  <c r="S1909" i="1"/>
  <c r="T1909" i="1"/>
  <c r="U1909" i="1"/>
  <c r="BD1909" i="1"/>
  <c r="CE1909" i="1"/>
  <c r="A1910" i="1"/>
  <c r="C1910" i="1"/>
  <c r="S1910" i="1"/>
  <c r="T1910" i="1"/>
  <c r="U1910" i="1"/>
  <c r="BD1910" i="1"/>
  <c r="CE1910" i="1"/>
  <c r="A1911" i="1"/>
  <c r="C1911" i="1"/>
  <c r="S1911" i="1"/>
  <c r="T1911" i="1"/>
  <c r="U1911" i="1"/>
  <c r="BD1911" i="1"/>
  <c r="CE1911" i="1"/>
  <c r="A1912" i="1"/>
  <c r="C1912" i="1"/>
  <c r="S1912" i="1"/>
  <c r="T1912" i="1"/>
  <c r="U1912" i="1"/>
  <c r="BD1912" i="1"/>
  <c r="CE1912" i="1"/>
  <c r="A1913" i="1"/>
  <c r="C1913" i="1"/>
  <c r="S1913" i="1"/>
  <c r="T1913" i="1"/>
  <c r="U1913" i="1"/>
  <c r="BD1913" i="1"/>
  <c r="CE1913" i="1"/>
  <c r="A1914" i="1"/>
  <c r="C1914" i="1"/>
  <c r="S1914" i="1"/>
  <c r="T1914" i="1"/>
  <c r="U1914" i="1"/>
  <c r="BD1914" i="1"/>
  <c r="CE1914" i="1"/>
  <c r="A1915" i="1"/>
  <c r="C1915" i="1"/>
  <c r="S1915" i="1"/>
  <c r="T1915" i="1"/>
  <c r="U1915" i="1"/>
  <c r="BD1915" i="1"/>
  <c r="CE1915" i="1"/>
  <c r="A1916" i="1"/>
  <c r="C1916" i="1"/>
  <c r="S1916" i="1"/>
  <c r="T1916" i="1"/>
  <c r="U1916" i="1"/>
  <c r="BD1916" i="1"/>
  <c r="CE1916" i="1"/>
  <c r="A1917" i="1"/>
  <c r="C1917" i="1"/>
  <c r="S1917" i="1"/>
  <c r="T1917" i="1"/>
  <c r="U1917" i="1"/>
  <c r="BD1917" i="1"/>
  <c r="CE1917" i="1"/>
  <c r="A1918" i="1"/>
  <c r="C1918" i="1"/>
  <c r="S1918" i="1"/>
  <c r="T1918" i="1"/>
  <c r="U1918" i="1"/>
  <c r="BD1918" i="1"/>
  <c r="CE1918" i="1"/>
  <c r="A1919" i="1"/>
  <c r="C1919" i="1"/>
  <c r="S1919" i="1"/>
  <c r="T1919" i="1"/>
  <c r="U1919" i="1"/>
  <c r="BD1919" i="1"/>
  <c r="CE1919" i="1"/>
  <c r="A1920" i="1"/>
  <c r="C1920" i="1"/>
  <c r="S1920" i="1"/>
  <c r="T1920" i="1"/>
  <c r="U1920" i="1"/>
  <c r="BD1920" i="1"/>
  <c r="CE1920" i="1"/>
  <c r="A1921" i="1"/>
  <c r="C1921" i="1"/>
  <c r="S1921" i="1"/>
  <c r="T1921" i="1"/>
  <c r="U1921" i="1"/>
  <c r="BD1921" i="1"/>
  <c r="CE1921" i="1"/>
  <c r="A1922" i="1"/>
  <c r="C1922" i="1"/>
  <c r="S1922" i="1"/>
  <c r="T1922" i="1"/>
  <c r="U1922" i="1"/>
  <c r="BD1922" i="1"/>
  <c r="CE1922" i="1"/>
  <c r="A1923" i="1"/>
  <c r="C1923" i="1"/>
  <c r="S1923" i="1"/>
  <c r="T1923" i="1"/>
  <c r="U1923" i="1"/>
  <c r="BD1923" i="1"/>
  <c r="CE1923" i="1"/>
  <c r="A1924" i="1"/>
  <c r="C1924" i="1"/>
  <c r="S1924" i="1"/>
  <c r="T1924" i="1"/>
  <c r="U1924" i="1"/>
  <c r="BD1924" i="1"/>
  <c r="CE1924" i="1"/>
  <c r="A1925" i="1"/>
  <c r="C1925" i="1"/>
  <c r="S1925" i="1"/>
  <c r="T1925" i="1"/>
  <c r="U1925" i="1"/>
  <c r="BD1925" i="1"/>
  <c r="CE1925" i="1"/>
  <c r="A1926" i="1"/>
  <c r="C1926" i="1"/>
  <c r="S1926" i="1"/>
  <c r="T1926" i="1"/>
  <c r="U1926" i="1"/>
  <c r="BD1926" i="1"/>
  <c r="CE1926" i="1"/>
  <c r="A1927" i="1"/>
  <c r="C1927" i="1"/>
  <c r="S1927" i="1"/>
  <c r="T1927" i="1"/>
  <c r="U1927" i="1"/>
  <c r="BD1927" i="1"/>
  <c r="CE1927" i="1"/>
  <c r="A1928" i="1"/>
  <c r="C1928" i="1"/>
  <c r="S1928" i="1"/>
  <c r="T1928" i="1"/>
  <c r="U1928" i="1"/>
  <c r="BD1928" i="1"/>
  <c r="CE1928" i="1"/>
  <c r="A1929" i="1"/>
  <c r="C1929" i="1"/>
  <c r="S1929" i="1"/>
  <c r="T1929" i="1"/>
  <c r="U1929" i="1"/>
  <c r="BD1929" i="1"/>
  <c r="CE1929" i="1"/>
  <c r="A1930" i="1"/>
  <c r="C1930" i="1"/>
  <c r="S1930" i="1"/>
  <c r="T1930" i="1"/>
  <c r="U1930" i="1"/>
  <c r="BD1930" i="1"/>
  <c r="CE1930" i="1"/>
  <c r="A1931" i="1"/>
  <c r="C1931" i="1"/>
  <c r="S1931" i="1"/>
  <c r="T1931" i="1"/>
  <c r="U1931" i="1"/>
  <c r="BD1931" i="1"/>
  <c r="CE1931" i="1"/>
  <c r="A1932" i="1"/>
  <c r="C1932" i="1"/>
  <c r="S1932" i="1"/>
  <c r="T1932" i="1"/>
  <c r="U1932" i="1"/>
  <c r="BD1932" i="1"/>
  <c r="CE1932" i="1"/>
  <c r="A1933" i="1"/>
  <c r="C1933" i="1"/>
  <c r="S1933" i="1"/>
  <c r="T1933" i="1"/>
  <c r="U1933" i="1"/>
  <c r="BD1933" i="1"/>
  <c r="CE1933" i="1"/>
  <c r="A1934" i="1"/>
  <c r="C1934" i="1"/>
  <c r="S1934" i="1"/>
  <c r="T1934" i="1"/>
  <c r="U1934" i="1"/>
  <c r="BD1934" i="1"/>
  <c r="CE1934" i="1"/>
  <c r="A1935" i="1"/>
  <c r="C1935" i="1"/>
  <c r="S1935" i="1"/>
  <c r="T1935" i="1"/>
  <c r="U1935" i="1"/>
  <c r="BD1935" i="1"/>
  <c r="CE1935" i="1"/>
  <c r="A1936" i="1"/>
  <c r="C1936" i="1"/>
  <c r="S1936" i="1"/>
  <c r="T1936" i="1"/>
  <c r="U1936" i="1"/>
  <c r="BD1936" i="1"/>
  <c r="CE1936" i="1"/>
  <c r="A1937" i="1"/>
  <c r="C1937" i="1"/>
  <c r="S1937" i="1"/>
  <c r="T1937" i="1"/>
  <c r="U1937" i="1"/>
  <c r="BD1937" i="1"/>
  <c r="CE1937" i="1"/>
  <c r="A1938" i="1"/>
  <c r="C1938" i="1"/>
  <c r="S1938" i="1"/>
  <c r="T1938" i="1"/>
  <c r="U1938" i="1"/>
  <c r="BD1938" i="1"/>
  <c r="CE1938" i="1"/>
  <c r="A1939" i="1"/>
  <c r="C1939" i="1"/>
  <c r="S1939" i="1"/>
  <c r="T1939" i="1"/>
  <c r="U1939" i="1"/>
  <c r="BD1939" i="1"/>
  <c r="CE1939" i="1"/>
  <c r="A1940" i="1"/>
  <c r="C1940" i="1"/>
  <c r="S1940" i="1"/>
  <c r="T1940" i="1"/>
  <c r="U1940" i="1"/>
  <c r="BD1940" i="1"/>
  <c r="CE1940" i="1"/>
  <c r="A1941" i="1"/>
  <c r="C1941" i="1"/>
  <c r="S1941" i="1"/>
  <c r="T1941" i="1"/>
  <c r="U1941" i="1"/>
  <c r="BD1941" i="1"/>
  <c r="CE1941" i="1"/>
  <c r="A1942" i="1"/>
  <c r="C1942" i="1"/>
  <c r="S1942" i="1"/>
  <c r="T1942" i="1"/>
  <c r="U1942" i="1"/>
  <c r="BD1942" i="1"/>
  <c r="CE1942" i="1"/>
  <c r="A1943" i="1"/>
  <c r="C1943" i="1"/>
  <c r="S1943" i="1"/>
  <c r="T1943" i="1"/>
  <c r="U1943" i="1"/>
  <c r="BD1943" i="1"/>
  <c r="CE1943" i="1"/>
  <c r="A1944" i="1"/>
  <c r="C1944" i="1"/>
  <c r="S1944" i="1"/>
  <c r="T1944" i="1"/>
  <c r="U1944" i="1"/>
  <c r="BD1944" i="1"/>
  <c r="CE1944" i="1"/>
  <c r="A1945" i="1"/>
  <c r="C1945" i="1"/>
  <c r="S1945" i="1"/>
  <c r="T1945" i="1"/>
  <c r="U1945" i="1"/>
  <c r="BD1945" i="1"/>
  <c r="CE1945" i="1"/>
  <c r="A1946" i="1"/>
  <c r="C1946" i="1"/>
  <c r="S1946" i="1"/>
  <c r="T1946" i="1"/>
  <c r="U1946" i="1"/>
  <c r="BD1946" i="1"/>
  <c r="CE1946" i="1"/>
  <c r="A1947" i="1"/>
  <c r="C1947" i="1"/>
  <c r="S1947" i="1"/>
  <c r="T1947" i="1"/>
  <c r="U1947" i="1"/>
  <c r="BD1947" i="1"/>
  <c r="CE1947" i="1"/>
  <c r="A1948" i="1"/>
  <c r="C1948" i="1"/>
  <c r="S1948" i="1"/>
  <c r="T1948" i="1"/>
  <c r="U1948" i="1"/>
  <c r="BD1948" i="1"/>
  <c r="CE1948" i="1"/>
  <c r="A1949" i="1"/>
  <c r="C1949" i="1"/>
  <c r="S1949" i="1"/>
  <c r="T1949" i="1"/>
  <c r="U1949" i="1"/>
  <c r="BD1949" i="1"/>
  <c r="CE1949" i="1"/>
  <c r="A1950" i="1"/>
  <c r="C1950" i="1"/>
  <c r="S1950" i="1"/>
  <c r="T1950" i="1"/>
  <c r="U1950" i="1"/>
  <c r="BD1950" i="1"/>
  <c r="CE1950" i="1"/>
  <c r="A1951" i="1"/>
  <c r="C1951" i="1"/>
  <c r="S1951" i="1"/>
  <c r="T1951" i="1"/>
  <c r="U1951" i="1"/>
  <c r="BD1951" i="1"/>
  <c r="CE1951" i="1"/>
  <c r="A1952" i="1"/>
  <c r="C1952" i="1"/>
  <c r="S1952" i="1"/>
  <c r="T1952" i="1"/>
  <c r="U1952" i="1"/>
  <c r="BD1952" i="1"/>
  <c r="CE1952" i="1"/>
  <c r="A1953" i="1"/>
  <c r="C1953" i="1"/>
  <c r="S1953" i="1"/>
  <c r="T1953" i="1"/>
  <c r="U1953" i="1"/>
  <c r="BD1953" i="1"/>
  <c r="CE1953" i="1"/>
  <c r="A1954" i="1"/>
  <c r="C1954" i="1"/>
  <c r="S1954" i="1"/>
  <c r="T1954" i="1"/>
  <c r="U1954" i="1"/>
  <c r="BD1954" i="1"/>
  <c r="CE1954" i="1"/>
  <c r="A1955" i="1"/>
  <c r="C1955" i="1"/>
  <c r="S1955" i="1"/>
  <c r="T1955" i="1"/>
  <c r="U1955" i="1"/>
  <c r="BD1955" i="1"/>
  <c r="CE1955" i="1"/>
  <c r="A1956" i="1"/>
  <c r="C1956" i="1"/>
  <c r="S1956" i="1"/>
  <c r="T1956" i="1"/>
  <c r="U1956" i="1"/>
  <c r="BD1956" i="1"/>
  <c r="CE1956" i="1"/>
  <c r="A1957" i="1"/>
  <c r="C1957" i="1"/>
  <c r="S1957" i="1"/>
  <c r="T1957" i="1"/>
  <c r="U1957" i="1"/>
  <c r="BD1957" i="1"/>
  <c r="CE1957" i="1"/>
  <c r="A1958" i="1"/>
  <c r="C1958" i="1"/>
  <c r="S1958" i="1"/>
  <c r="T1958" i="1"/>
  <c r="U1958" i="1"/>
  <c r="BD1958" i="1"/>
  <c r="CE1958" i="1"/>
  <c r="A1959" i="1"/>
  <c r="C1959" i="1"/>
  <c r="S1959" i="1"/>
  <c r="T1959" i="1"/>
  <c r="U1959" i="1"/>
  <c r="BD1959" i="1"/>
  <c r="CE1959" i="1"/>
  <c r="A1960" i="1"/>
  <c r="C1960" i="1"/>
  <c r="S1960" i="1"/>
  <c r="T1960" i="1"/>
  <c r="U1960" i="1"/>
  <c r="BD1960" i="1"/>
  <c r="CE1960" i="1"/>
  <c r="A1961" i="1"/>
  <c r="C1961" i="1"/>
  <c r="S1961" i="1"/>
  <c r="T1961" i="1"/>
  <c r="U1961" i="1"/>
  <c r="BD1961" i="1"/>
  <c r="CE1961" i="1"/>
  <c r="A1962" i="1"/>
  <c r="C1962" i="1"/>
  <c r="S1962" i="1"/>
  <c r="T1962" i="1"/>
  <c r="U1962" i="1"/>
  <c r="BD1962" i="1"/>
  <c r="CE1962" i="1"/>
  <c r="A1963" i="1"/>
  <c r="C1963" i="1"/>
  <c r="S1963" i="1"/>
  <c r="T1963" i="1"/>
  <c r="U1963" i="1"/>
  <c r="BD1963" i="1"/>
  <c r="CE1963" i="1"/>
  <c r="A1964" i="1"/>
  <c r="C1964" i="1"/>
  <c r="S1964" i="1"/>
  <c r="T1964" i="1"/>
  <c r="U1964" i="1"/>
  <c r="BD1964" i="1"/>
  <c r="CE1964" i="1"/>
  <c r="A1965" i="1"/>
  <c r="C1965" i="1"/>
  <c r="S1965" i="1"/>
  <c r="T1965" i="1"/>
  <c r="U1965" i="1"/>
  <c r="BD1965" i="1"/>
  <c r="CE1965" i="1"/>
  <c r="A1966" i="1"/>
  <c r="C1966" i="1"/>
  <c r="S1966" i="1"/>
  <c r="T1966" i="1"/>
  <c r="U1966" i="1"/>
  <c r="BD1966" i="1"/>
  <c r="CE1966" i="1"/>
  <c r="A1967" i="1"/>
  <c r="C1967" i="1"/>
  <c r="S1967" i="1"/>
  <c r="T1967" i="1"/>
  <c r="U1967" i="1"/>
  <c r="BD1967" i="1"/>
  <c r="CE1967" i="1"/>
  <c r="A1968" i="1"/>
  <c r="C1968" i="1"/>
  <c r="S1968" i="1"/>
  <c r="T1968" i="1"/>
  <c r="U1968" i="1"/>
  <c r="BD1968" i="1"/>
  <c r="CE1968" i="1"/>
  <c r="A1969" i="1"/>
  <c r="C1969" i="1"/>
  <c r="S1969" i="1"/>
  <c r="T1969" i="1"/>
  <c r="U1969" i="1"/>
  <c r="BD1969" i="1"/>
  <c r="CE1969" i="1"/>
  <c r="A1970" i="1"/>
  <c r="C1970" i="1"/>
  <c r="S1970" i="1"/>
  <c r="T1970" i="1"/>
  <c r="U1970" i="1"/>
  <c r="BD1970" i="1"/>
  <c r="CE1970" i="1"/>
  <c r="A1971" i="1"/>
  <c r="C1971" i="1"/>
  <c r="S1971" i="1"/>
  <c r="T1971" i="1"/>
  <c r="U1971" i="1"/>
  <c r="BD1971" i="1"/>
  <c r="CE1971" i="1"/>
  <c r="A1972" i="1"/>
  <c r="C1972" i="1"/>
  <c r="S1972" i="1"/>
  <c r="T1972" i="1"/>
  <c r="U1972" i="1"/>
  <c r="BD1972" i="1"/>
  <c r="CE1972" i="1"/>
  <c r="A1973" i="1"/>
  <c r="C1973" i="1"/>
  <c r="S1973" i="1"/>
  <c r="T1973" i="1"/>
  <c r="U1973" i="1"/>
  <c r="BD1973" i="1"/>
  <c r="CE1973" i="1"/>
  <c r="A1974" i="1"/>
  <c r="C1974" i="1"/>
  <c r="S1974" i="1"/>
  <c r="T1974" i="1"/>
  <c r="U1974" i="1"/>
  <c r="BD1974" i="1"/>
  <c r="CE1974" i="1"/>
  <c r="A1975" i="1"/>
  <c r="C1975" i="1"/>
  <c r="S1975" i="1"/>
  <c r="T1975" i="1"/>
  <c r="U1975" i="1"/>
  <c r="BD1975" i="1"/>
  <c r="CE1975" i="1"/>
  <c r="A1976" i="1"/>
  <c r="C1976" i="1"/>
  <c r="S1976" i="1"/>
  <c r="T1976" i="1"/>
  <c r="U1976" i="1"/>
  <c r="BD1976" i="1"/>
  <c r="CE1976" i="1"/>
  <c r="A1977" i="1"/>
  <c r="C1977" i="1"/>
  <c r="S1977" i="1"/>
  <c r="T1977" i="1"/>
  <c r="U1977" i="1"/>
  <c r="BD1977" i="1"/>
  <c r="CE1977" i="1"/>
  <c r="A1978" i="1"/>
  <c r="C1978" i="1"/>
  <c r="S1978" i="1"/>
  <c r="T1978" i="1"/>
  <c r="U1978" i="1"/>
  <c r="BD1978" i="1"/>
  <c r="CE1978" i="1"/>
  <c r="A1979" i="1"/>
  <c r="C1979" i="1"/>
  <c r="S1979" i="1"/>
  <c r="T1979" i="1"/>
  <c r="U1979" i="1"/>
  <c r="BD1979" i="1"/>
  <c r="CE1979" i="1"/>
  <c r="A1980" i="1"/>
  <c r="C1980" i="1"/>
  <c r="S1980" i="1"/>
  <c r="T1980" i="1"/>
  <c r="U1980" i="1"/>
  <c r="BD1980" i="1"/>
  <c r="CE1980" i="1"/>
  <c r="A1981" i="1"/>
  <c r="C1981" i="1"/>
  <c r="S1981" i="1"/>
  <c r="T1981" i="1"/>
  <c r="U1981" i="1"/>
  <c r="BD1981" i="1"/>
  <c r="CE1981" i="1"/>
  <c r="A1982" i="1"/>
  <c r="C1982" i="1"/>
  <c r="S1982" i="1"/>
  <c r="T1982" i="1"/>
  <c r="U1982" i="1"/>
  <c r="BD1982" i="1"/>
  <c r="CE1982" i="1"/>
  <c r="A1983" i="1"/>
  <c r="C1983" i="1"/>
  <c r="S1983" i="1"/>
  <c r="T1983" i="1"/>
  <c r="U1983" i="1"/>
  <c r="BD1983" i="1"/>
  <c r="CE1983" i="1"/>
  <c r="A1984" i="1"/>
  <c r="C1984" i="1"/>
  <c r="S1984" i="1"/>
  <c r="T1984" i="1"/>
  <c r="U1984" i="1"/>
  <c r="BD1984" i="1"/>
  <c r="CE1984" i="1"/>
  <c r="A1985" i="1"/>
  <c r="C1985" i="1"/>
  <c r="S1985" i="1"/>
  <c r="T1985" i="1"/>
  <c r="U1985" i="1"/>
  <c r="BD1985" i="1"/>
  <c r="CE1985" i="1"/>
  <c r="A1986" i="1"/>
  <c r="C1986" i="1"/>
  <c r="S1986" i="1"/>
  <c r="T1986" i="1"/>
  <c r="U1986" i="1"/>
  <c r="BD1986" i="1"/>
  <c r="CE1986" i="1"/>
  <c r="A1987" i="1"/>
  <c r="C1987" i="1"/>
  <c r="S1987" i="1"/>
  <c r="T1987" i="1"/>
  <c r="U1987" i="1"/>
  <c r="BD1987" i="1"/>
  <c r="CE1987" i="1"/>
  <c r="A1988" i="1"/>
  <c r="C1988" i="1"/>
  <c r="S1988" i="1"/>
  <c r="T1988" i="1"/>
  <c r="U1988" i="1"/>
  <c r="BD1988" i="1"/>
  <c r="CE1988" i="1"/>
  <c r="A1989" i="1"/>
  <c r="C1989" i="1"/>
  <c r="S1989" i="1"/>
  <c r="T1989" i="1"/>
  <c r="U1989" i="1"/>
  <c r="BD1989" i="1"/>
  <c r="CE1989" i="1"/>
  <c r="A1990" i="1"/>
  <c r="C1990" i="1"/>
  <c r="S1990" i="1"/>
  <c r="T1990" i="1"/>
  <c r="U1990" i="1"/>
  <c r="BD1990" i="1"/>
  <c r="CE1990" i="1"/>
  <c r="A1991" i="1"/>
  <c r="C1991" i="1"/>
  <c r="S1991" i="1"/>
  <c r="T1991" i="1"/>
  <c r="U1991" i="1"/>
  <c r="BD1991" i="1"/>
  <c r="CE1991" i="1"/>
  <c r="A1992" i="1"/>
  <c r="C1992" i="1"/>
  <c r="S1992" i="1"/>
  <c r="T1992" i="1"/>
  <c r="U1992" i="1"/>
  <c r="BD1992" i="1"/>
  <c r="CE1992" i="1"/>
  <c r="A1993" i="1"/>
  <c r="C1993" i="1"/>
  <c r="S1993" i="1"/>
  <c r="T1993" i="1"/>
  <c r="U1993" i="1"/>
  <c r="BD1993" i="1"/>
  <c r="CE1993" i="1"/>
  <c r="A1994" i="1"/>
  <c r="C1994" i="1"/>
  <c r="S1994" i="1"/>
  <c r="T1994" i="1"/>
  <c r="U1994" i="1"/>
  <c r="BD1994" i="1"/>
  <c r="CE1994" i="1"/>
  <c r="A1995" i="1"/>
  <c r="C1995" i="1"/>
  <c r="S1995" i="1"/>
  <c r="T1995" i="1"/>
  <c r="U1995" i="1"/>
  <c r="BD1995" i="1"/>
  <c r="CE1995" i="1"/>
  <c r="A1996" i="1"/>
  <c r="C1996" i="1"/>
  <c r="S1996" i="1"/>
  <c r="T1996" i="1"/>
  <c r="U1996" i="1"/>
  <c r="BD1996" i="1"/>
  <c r="CE1996" i="1"/>
  <c r="A1997" i="1"/>
  <c r="C1997" i="1"/>
  <c r="S1997" i="1"/>
  <c r="T1997" i="1"/>
  <c r="U1997" i="1"/>
  <c r="BD1997" i="1"/>
  <c r="CE1997" i="1"/>
  <c r="A1998" i="1"/>
  <c r="C1998" i="1"/>
  <c r="S1998" i="1"/>
  <c r="T1998" i="1"/>
  <c r="U1998" i="1"/>
  <c r="BD1998" i="1"/>
  <c r="CE1998" i="1"/>
  <c r="A1999" i="1"/>
  <c r="C1999" i="1"/>
  <c r="S1999" i="1"/>
  <c r="T1999" i="1"/>
  <c r="U1999" i="1"/>
  <c r="BD1999" i="1"/>
  <c r="CE1999" i="1"/>
  <c r="A2000" i="1"/>
  <c r="C2000" i="1"/>
  <c r="S2000" i="1"/>
  <c r="T2000" i="1"/>
  <c r="U2000" i="1"/>
  <c r="BD2000" i="1"/>
  <c r="CE2000" i="1"/>
  <c r="A2001" i="1"/>
  <c r="C2001" i="1"/>
  <c r="S2001" i="1"/>
  <c r="T2001" i="1"/>
  <c r="U2001" i="1"/>
  <c r="BD2001" i="1"/>
  <c r="CE2001" i="1"/>
  <c r="A2002" i="1"/>
  <c r="C2002" i="1"/>
  <c r="S2002" i="1"/>
  <c r="T2002" i="1"/>
  <c r="U2002" i="1"/>
  <c r="BD2002" i="1"/>
  <c r="CE2002" i="1"/>
  <c r="A2003" i="1"/>
  <c r="C2003" i="1"/>
  <c r="S2003" i="1"/>
  <c r="T2003" i="1"/>
  <c r="U2003" i="1"/>
  <c r="BD2003" i="1"/>
  <c r="CE2003" i="1"/>
  <c r="A2004" i="1"/>
  <c r="C2004" i="1"/>
  <c r="S2004" i="1"/>
  <c r="T2004" i="1"/>
  <c r="U2004" i="1"/>
  <c r="BD2004" i="1"/>
  <c r="CE2004" i="1"/>
  <c r="A2005" i="1"/>
  <c r="C2005" i="1"/>
  <c r="S2005" i="1"/>
  <c r="T2005" i="1"/>
  <c r="U2005" i="1"/>
  <c r="BD2005" i="1"/>
  <c r="CE2005" i="1"/>
  <c r="A2006" i="1"/>
  <c r="C2006" i="1"/>
  <c r="S2006" i="1"/>
  <c r="T2006" i="1"/>
  <c r="U2006" i="1"/>
  <c r="BD2006" i="1"/>
  <c r="CE2006" i="1"/>
  <c r="A2007" i="1"/>
  <c r="C2007" i="1"/>
  <c r="S2007" i="1"/>
  <c r="T2007" i="1"/>
  <c r="U2007" i="1"/>
  <c r="BD2007" i="1"/>
  <c r="CE2007" i="1"/>
  <c r="A2008" i="1"/>
  <c r="C2008" i="1"/>
  <c r="S2008" i="1"/>
  <c r="T2008" i="1"/>
  <c r="U2008" i="1"/>
  <c r="BD2008" i="1"/>
  <c r="CE2008" i="1"/>
  <c r="A2009" i="1"/>
  <c r="C2009" i="1"/>
  <c r="S2009" i="1"/>
  <c r="T2009" i="1"/>
  <c r="U2009" i="1"/>
  <c r="BD2009" i="1"/>
  <c r="CE2009" i="1"/>
  <c r="A2010" i="1"/>
  <c r="C2010" i="1"/>
  <c r="S2010" i="1"/>
  <c r="T2010" i="1"/>
  <c r="U2010" i="1"/>
  <c r="BD2010" i="1"/>
  <c r="CE2010" i="1"/>
  <c r="A2011" i="1"/>
  <c r="C2011" i="1"/>
  <c r="S2011" i="1"/>
  <c r="T2011" i="1"/>
  <c r="U2011" i="1"/>
  <c r="BD2011" i="1"/>
  <c r="CE2011" i="1"/>
  <c r="A2012" i="1"/>
  <c r="C2012" i="1"/>
  <c r="S2012" i="1"/>
  <c r="T2012" i="1"/>
  <c r="U2012" i="1"/>
  <c r="BD2012" i="1"/>
  <c r="CE2012" i="1"/>
  <c r="A2013" i="1"/>
  <c r="C2013" i="1"/>
  <c r="S2013" i="1"/>
  <c r="T2013" i="1"/>
  <c r="U2013" i="1"/>
  <c r="BD2013" i="1"/>
  <c r="CE2013" i="1"/>
  <c r="A2014" i="1"/>
  <c r="C2014" i="1"/>
  <c r="S2014" i="1"/>
  <c r="T2014" i="1"/>
  <c r="U2014" i="1"/>
  <c r="BD2014" i="1"/>
  <c r="CE2014" i="1"/>
  <c r="A2015" i="1"/>
  <c r="C2015" i="1"/>
  <c r="S2015" i="1"/>
  <c r="T2015" i="1"/>
  <c r="U2015" i="1"/>
  <c r="BD2015" i="1"/>
  <c r="CE2015" i="1"/>
  <c r="A2016" i="1"/>
  <c r="C2016" i="1"/>
  <c r="S2016" i="1"/>
  <c r="T2016" i="1"/>
  <c r="U2016" i="1"/>
  <c r="BD2016" i="1"/>
  <c r="CE2016" i="1"/>
  <c r="A2017" i="1"/>
  <c r="C2017" i="1"/>
  <c r="S2017" i="1"/>
  <c r="T2017" i="1"/>
  <c r="U2017" i="1"/>
  <c r="BD2017" i="1"/>
  <c r="CE2017" i="1"/>
  <c r="A2018" i="1"/>
  <c r="C2018" i="1"/>
  <c r="S2018" i="1"/>
  <c r="T2018" i="1"/>
  <c r="U2018" i="1"/>
  <c r="BD2018" i="1"/>
  <c r="CE2018" i="1"/>
  <c r="A2019" i="1"/>
  <c r="C2019" i="1"/>
  <c r="S2019" i="1"/>
  <c r="T2019" i="1"/>
  <c r="U2019" i="1"/>
  <c r="BD2019" i="1"/>
  <c r="CE2019" i="1"/>
  <c r="A2020" i="1"/>
  <c r="C2020" i="1"/>
  <c r="S2020" i="1"/>
  <c r="T2020" i="1"/>
  <c r="U2020" i="1"/>
  <c r="BD2020" i="1"/>
  <c r="CE2020" i="1"/>
  <c r="A2021" i="1"/>
  <c r="C2021" i="1"/>
  <c r="S2021" i="1"/>
  <c r="T2021" i="1"/>
  <c r="U2021" i="1"/>
  <c r="BD2021" i="1"/>
  <c r="CE2021" i="1"/>
  <c r="A2022" i="1"/>
  <c r="C2022" i="1"/>
  <c r="S2022" i="1"/>
  <c r="T2022" i="1"/>
  <c r="U2022" i="1"/>
  <c r="BD2022" i="1"/>
  <c r="CE2022" i="1"/>
  <c r="A2023" i="1"/>
  <c r="C2023" i="1"/>
  <c r="S2023" i="1"/>
  <c r="T2023" i="1"/>
  <c r="U2023" i="1"/>
  <c r="BD2023" i="1"/>
  <c r="CE2023" i="1"/>
  <c r="A2024" i="1"/>
  <c r="C2024" i="1"/>
  <c r="S2024" i="1"/>
  <c r="T2024" i="1"/>
  <c r="U2024" i="1"/>
  <c r="BD2024" i="1"/>
  <c r="CE2024" i="1"/>
  <c r="A2025" i="1"/>
  <c r="C2025" i="1"/>
  <c r="S2025" i="1"/>
  <c r="T2025" i="1"/>
  <c r="U2025" i="1"/>
  <c r="BD2025" i="1"/>
  <c r="CE2025" i="1"/>
  <c r="A2026" i="1"/>
  <c r="C2026" i="1"/>
  <c r="S2026" i="1"/>
  <c r="T2026" i="1"/>
  <c r="U2026" i="1"/>
  <c r="BD2026" i="1"/>
  <c r="CE2026" i="1"/>
  <c r="A2027" i="1"/>
  <c r="C2027" i="1"/>
  <c r="S2027" i="1"/>
  <c r="T2027" i="1"/>
  <c r="U2027" i="1"/>
  <c r="BD2027" i="1"/>
  <c r="CE2027" i="1"/>
  <c r="A2028" i="1"/>
  <c r="C2028" i="1"/>
  <c r="S2028" i="1"/>
  <c r="T2028" i="1"/>
  <c r="U2028" i="1"/>
  <c r="BD2028" i="1"/>
  <c r="CE2028" i="1"/>
  <c r="A2029" i="1"/>
  <c r="C2029" i="1"/>
  <c r="S2029" i="1"/>
  <c r="T2029" i="1"/>
  <c r="U2029" i="1"/>
  <c r="BD2029" i="1"/>
  <c r="CE2029" i="1"/>
  <c r="A2030" i="1"/>
  <c r="C2030" i="1"/>
  <c r="S2030" i="1"/>
  <c r="T2030" i="1"/>
  <c r="U2030" i="1"/>
  <c r="BD2030" i="1"/>
  <c r="CE2030" i="1"/>
  <c r="A2031" i="1"/>
  <c r="C2031" i="1"/>
  <c r="S2031" i="1"/>
  <c r="T2031" i="1"/>
  <c r="U2031" i="1"/>
  <c r="BD2031" i="1"/>
  <c r="CE2031" i="1"/>
  <c r="A2032" i="1"/>
  <c r="C2032" i="1"/>
  <c r="S2032" i="1"/>
  <c r="T2032" i="1"/>
  <c r="U2032" i="1"/>
  <c r="BD2032" i="1"/>
  <c r="CE2032" i="1"/>
  <c r="A2033" i="1"/>
  <c r="C2033" i="1"/>
  <c r="S2033" i="1"/>
  <c r="T2033" i="1"/>
  <c r="U2033" i="1"/>
  <c r="BD2033" i="1"/>
  <c r="CE2033" i="1"/>
  <c r="A2034" i="1"/>
  <c r="C2034" i="1"/>
  <c r="S2034" i="1"/>
  <c r="T2034" i="1"/>
  <c r="U2034" i="1"/>
  <c r="BD2034" i="1"/>
  <c r="CE2034" i="1"/>
  <c r="A2035" i="1"/>
  <c r="C2035" i="1"/>
  <c r="S2035" i="1"/>
  <c r="T2035" i="1"/>
  <c r="U2035" i="1"/>
  <c r="BD2035" i="1"/>
  <c r="CE2035" i="1"/>
  <c r="A2036" i="1"/>
  <c r="C2036" i="1"/>
  <c r="S2036" i="1"/>
  <c r="T2036" i="1"/>
  <c r="U2036" i="1"/>
  <c r="BD2036" i="1"/>
  <c r="CE2036" i="1"/>
  <c r="A2037" i="1"/>
  <c r="C2037" i="1"/>
  <c r="S2037" i="1"/>
  <c r="T2037" i="1"/>
  <c r="U2037" i="1"/>
  <c r="BD2037" i="1"/>
  <c r="CE2037" i="1"/>
  <c r="A2038" i="1"/>
  <c r="C2038" i="1"/>
  <c r="S2038" i="1"/>
  <c r="T2038" i="1"/>
  <c r="U2038" i="1"/>
  <c r="BD2038" i="1"/>
  <c r="CE2038" i="1"/>
  <c r="A2039" i="1"/>
  <c r="C2039" i="1"/>
  <c r="S2039" i="1"/>
  <c r="T2039" i="1"/>
  <c r="U2039" i="1"/>
  <c r="BD2039" i="1"/>
  <c r="CE2039" i="1"/>
  <c r="A2040" i="1"/>
  <c r="C2040" i="1"/>
  <c r="S2040" i="1"/>
  <c r="T2040" i="1"/>
  <c r="U2040" i="1"/>
  <c r="BD2040" i="1"/>
  <c r="CE2040" i="1"/>
  <c r="A2041" i="1"/>
  <c r="C2041" i="1"/>
  <c r="S2041" i="1"/>
  <c r="T2041" i="1"/>
  <c r="U2041" i="1"/>
  <c r="BD2041" i="1"/>
  <c r="CE2041" i="1"/>
  <c r="A2042" i="1"/>
  <c r="C2042" i="1"/>
  <c r="S2042" i="1"/>
  <c r="T2042" i="1"/>
  <c r="U2042" i="1"/>
  <c r="BD2042" i="1"/>
  <c r="CE2042" i="1"/>
  <c r="A2043" i="1"/>
  <c r="C2043" i="1"/>
  <c r="S2043" i="1"/>
  <c r="T2043" i="1"/>
  <c r="U2043" i="1"/>
  <c r="BD2043" i="1"/>
  <c r="CE2043" i="1"/>
  <c r="A2044" i="1"/>
  <c r="C2044" i="1"/>
  <c r="S2044" i="1"/>
  <c r="T2044" i="1"/>
  <c r="U2044" i="1"/>
  <c r="BD2044" i="1"/>
  <c r="CE2044" i="1"/>
  <c r="A2045" i="1"/>
  <c r="C2045" i="1"/>
  <c r="S2045" i="1"/>
  <c r="T2045" i="1"/>
  <c r="U2045" i="1"/>
  <c r="BD2045" i="1"/>
  <c r="CE2045" i="1"/>
  <c r="A2046" i="1"/>
  <c r="C2046" i="1"/>
  <c r="S2046" i="1"/>
  <c r="T2046" i="1"/>
  <c r="U2046" i="1"/>
  <c r="BD2046" i="1"/>
  <c r="CE2046" i="1"/>
  <c r="A2047" i="1"/>
  <c r="C2047" i="1"/>
  <c r="S2047" i="1"/>
  <c r="T2047" i="1"/>
  <c r="U2047" i="1"/>
  <c r="BD2047" i="1"/>
  <c r="CE2047" i="1"/>
  <c r="A2048" i="1"/>
  <c r="C2048" i="1"/>
  <c r="S2048" i="1"/>
  <c r="T2048" i="1"/>
  <c r="U2048" i="1"/>
  <c r="BD2048" i="1"/>
  <c r="CE2048" i="1"/>
  <c r="A2049" i="1"/>
  <c r="C2049" i="1"/>
  <c r="S2049" i="1"/>
  <c r="T2049" i="1"/>
  <c r="U2049" i="1"/>
  <c r="BD2049" i="1"/>
  <c r="CE2049" i="1"/>
  <c r="A2050" i="1"/>
  <c r="C2050" i="1"/>
  <c r="S2050" i="1"/>
  <c r="T2050" i="1"/>
  <c r="U2050" i="1"/>
  <c r="BD2050" i="1"/>
  <c r="CE2050" i="1"/>
  <c r="A2051" i="1"/>
  <c r="C2051" i="1"/>
  <c r="S2051" i="1"/>
  <c r="T2051" i="1"/>
  <c r="U2051" i="1"/>
  <c r="BD2051" i="1"/>
  <c r="CE2051" i="1"/>
  <c r="A2052" i="1"/>
  <c r="C2052" i="1"/>
  <c r="S2052" i="1"/>
  <c r="T2052" i="1"/>
  <c r="U2052" i="1"/>
  <c r="BD2052" i="1"/>
  <c r="CE2052" i="1"/>
  <c r="A2053" i="1"/>
  <c r="C2053" i="1"/>
  <c r="S2053" i="1"/>
  <c r="T2053" i="1"/>
  <c r="U2053" i="1"/>
  <c r="BD2053" i="1"/>
  <c r="CE2053" i="1"/>
  <c r="A2054" i="1"/>
  <c r="C2054" i="1"/>
  <c r="S2054" i="1"/>
  <c r="T2054" i="1"/>
  <c r="U2054" i="1"/>
  <c r="BD2054" i="1"/>
  <c r="CE2054" i="1"/>
  <c r="A2055" i="1"/>
  <c r="C2055" i="1"/>
  <c r="S2055" i="1"/>
  <c r="T2055" i="1"/>
  <c r="U2055" i="1"/>
  <c r="BD2055" i="1"/>
  <c r="CE2055" i="1"/>
  <c r="A2056" i="1"/>
  <c r="C2056" i="1"/>
  <c r="S2056" i="1"/>
  <c r="T2056" i="1"/>
  <c r="U2056" i="1"/>
  <c r="BD2056" i="1"/>
  <c r="CE2056" i="1"/>
  <c r="A2057" i="1"/>
  <c r="C2057" i="1"/>
  <c r="S2057" i="1"/>
  <c r="T2057" i="1"/>
  <c r="U2057" i="1"/>
  <c r="BD2057" i="1"/>
  <c r="CE2057" i="1"/>
  <c r="A2058" i="1"/>
  <c r="C2058" i="1"/>
  <c r="S2058" i="1"/>
  <c r="T2058" i="1"/>
  <c r="U2058" i="1"/>
  <c r="BD2058" i="1"/>
  <c r="CE2058" i="1"/>
  <c r="A2059" i="1"/>
  <c r="C2059" i="1"/>
  <c r="S2059" i="1"/>
  <c r="T2059" i="1"/>
  <c r="U2059" i="1"/>
  <c r="BD2059" i="1"/>
  <c r="CE2059" i="1"/>
  <c r="A2060" i="1"/>
  <c r="C2060" i="1"/>
  <c r="S2060" i="1"/>
  <c r="T2060" i="1"/>
  <c r="U2060" i="1"/>
  <c r="BD2060" i="1"/>
  <c r="CE2060" i="1"/>
  <c r="A2061" i="1"/>
  <c r="C2061" i="1"/>
  <c r="S2061" i="1"/>
  <c r="T2061" i="1"/>
  <c r="U2061" i="1"/>
  <c r="BD2061" i="1"/>
  <c r="CE2061" i="1"/>
  <c r="A2062" i="1"/>
  <c r="C2062" i="1"/>
  <c r="S2062" i="1"/>
  <c r="T2062" i="1"/>
  <c r="U2062" i="1"/>
  <c r="BD2062" i="1"/>
  <c r="CE2062" i="1"/>
  <c r="A2063" i="1"/>
  <c r="C2063" i="1"/>
  <c r="S2063" i="1"/>
  <c r="T2063" i="1"/>
  <c r="U2063" i="1"/>
  <c r="BD2063" i="1"/>
  <c r="CE2063" i="1"/>
  <c r="A2064" i="1"/>
  <c r="C2064" i="1"/>
  <c r="S2064" i="1"/>
  <c r="T2064" i="1"/>
  <c r="U2064" i="1"/>
  <c r="BD2064" i="1"/>
  <c r="CE2064" i="1"/>
  <c r="A2065" i="1"/>
  <c r="C2065" i="1"/>
  <c r="S2065" i="1"/>
  <c r="T2065" i="1"/>
  <c r="U2065" i="1"/>
  <c r="BD2065" i="1"/>
  <c r="CE2065" i="1"/>
  <c r="A2066" i="1"/>
  <c r="C2066" i="1"/>
  <c r="S2066" i="1"/>
  <c r="T2066" i="1"/>
  <c r="U2066" i="1"/>
  <c r="BD2066" i="1"/>
  <c r="CE2066" i="1"/>
  <c r="A2067" i="1"/>
  <c r="C2067" i="1"/>
  <c r="S2067" i="1"/>
  <c r="T2067" i="1"/>
  <c r="U2067" i="1"/>
  <c r="BD2067" i="1"/>
  <c r="CE2067" i="1"/>
  <c r="A2068" i="1"/>
  <c r="C2068" i="1"/>
  <c r="S2068" i="1"/>
  <c r="T2068" i="1"/>
  <c r="U2068" i="1"/>
  <c r="BD2068" i="1"/>
  <c r="CE2068" i="1"/>
  <c r="A2069" i="1"/>
  <c r="C2069" i="1"/>
  <c r="S2069" i="1"/>
  <c r="T2069" i="1"/>
  <c r="U2069" i="1"/>
  <c r="BD2069" i="1"/>
  <c r="CE2069" i="1"/>
  <c r="A2070" i="1"/>
  <c r="C2070" i="1"/>
  <c r="S2070" i="1"/>
  <c r="T2070" i="1"/>
  <c r="U2070" i="1"/>
  <c r="BD2070" i="1"/>
  <c r="CE2070" i="1"/>
  <c r="A2071" i="1"/>
  <c r="C2071" i="1"/>
  <c r="S2071" i="1"/>
  <c r="T2071" i="1"/>
  <c r="U2071" i="1"/>
  <c r="BD2071" i="1"/>
  <c r="CE2071" i="1"/>
  <c r="A2072" i="1"/>
  <c r="C2072" i="1"/>
  <c r="S2072" i="1"/>
  <c r="T2072" i="1"/>
  <c r="U2072" i="1"/>
  <c r="BD2072" i="1"/>
  <c r="CE2072" i="1"/>
  <c r="A2073" i="1"/>
  <c r="C2073" i="1"/>
  <c r="S2073" i="1"/>
  <c r="T2073" i="1"/>
  <c r="U2073" i="1"/>
  <c r="BD2073" i="1"/>
  <c r="CE2073" i="1"/>
  <c r="A2074" i="1"/>
  <c r="C2074" i="1"/>
  <c r="S2074" i="1"/>
  <c r="T2074" i="1"/>
  <c r="U2074" i="1"/>
  <c r="BD2074" i="1"/>
  <c r="CE2074" i="1"/>
  <c r="A2075" i="1"/>
  <c r="C2075" i="1"/>
  <c r="S2075" i="1"/>
  <c r="T2075" i="1"/>
  <c r="U2075" i="1"/>
  <c r="BD2075" i="1"/>
  <c r="CE2075" i="1"/>
  <c r="A2076" i="1"/>
  <c r="C2076" i="1"/>
  <c r="S2076" i="1"/>
  <c r="T2076" i="1"/>
  <c r="U2076" i="1"/>
  <c r="BD2076" i="1"/>
  <c r="CE2076" i="1"/>
  <c r="A2077" i="1"/>
  <c r="C2077" i="1"/>
  <c r="S2077" i="1"/>
  <c r="T2077" i="1"/>
  <c r="U2077" i="1"/>
  <c r="BD2077" i="1"/>
  <c r="CE2077" i="1"/>
  <c r="A2078" i="1"/>
  <c r="C2078" i="1"/>
  <c r="S2078" i="1"/>
  <c r="T2078" i="1"/>
  <c r="U2078" i="1"/>
  <c r="BD2078" i="1"/>
  <c r="CE2078" i="1"/>
  <c r="A2079" i="1"/>
  <c r="C2079" i="1"/>
  <c r="S2079" i="1"/>
  <c r="T2079" i="1"/>
  <c r="U2079" i="1"/>
  <c r="BD2079" i="1"/>
  <c r="CE2079" i="1"/>
  <c r="A2080" i="1"/>
  <c r="C2080" i="1"/>
  <c r="S2080" i="1"/>
  <c r="T2080" i="1"/>
  <c r="U2080" i="1"/>
  <c r="BD2080" i="1"/>
  <c r="CE2080" i="1"/>
  <c r="A2081" i="1"/>
  <c r="C2081" i="1"/>
  <c r="S2081" i="1"/>
  <c r="T2081" i="1"/>
  <c r="U2081" i="1"/>
  <c r="BD2081" i="1"/>
  <c r="CE2081" i="1"/>
  <c r="A2082" i="1"/>
  <c r="C2082" i="1"/>
  <c r="S2082" i="1"/>
  <c r="T2082" i="1"/>
  <c r="U2082" i="1"/>
  <c r="BD2082" i="1"/>
  <c r="CE2082" i="1"/>
  <c r="A2083" i="1"/>
  <c r="C2083" i="1"/>
  <c r="S2083" i="1"/>
  <c r="T2083" i="1"/>
  <c r="U2083" i="1"/>
  <c r="BD2083" i="1"/>
  <c r="CE2083" i="1"/>
  <c r="A2084" i="1"/>
  <c r="C2084" i="1"/>
  <c r="S2084" i="1"/>
  <c r="T2084" i="1"/>
  <c r="U2084" i="1"/>
  <c r="BD2084" i="1"/>
  <c r="CE2084" i="1"/>
  <c r="A2085" i="1"/>
  <c r="C2085" i="1"/>
  <c r="S2085" i="1"/>
  <c r="T2085" i="1"/>
  <c r="U2085" i="1"/>
  <c r="BD2085" i="1"/>
  <c r="CE2085" i="1"/>
  <c r="A2086" i="1"/>
  <c r="C2086" i="1"/>
  <c r="S2086" i="1"/>
  <c r="T2086" i="1"/>
  <c r="U2086" i="1"/>
  <c r="BD2086" i="1"/>
  <c r="CE2086" i="1"/>
  <c r="A2087" i="1"/>
  <c r="C2087" i="1"/>
  <c r="S2087" i="1"/>
  <c r="T2087" i="1"/>
  <c r="U2087" i="1"/>
  <c r="BD2087" i="1"/>
  <c r="CE2087" i="1"/>
  <c r="A2088" i="1"/>
  <c r="C2088" i="1"/>
  <c r="S2088" i="1"/>
  <c r="T2088" i="1"/>
  <c r="U2088" i="1"/>
  <c r="BD2088" i="1"/>
  <c r="CE2088" i="1"/>
  <c r="A2089" i="1"/>
  <c r="C2089" i="1"/>
  <c r="S2089" i="1"/>
  <c r="T2089" i="1"/>
  <c r="U2089" i="1"/>
  <c r="BD2089" i="1"/>
  <c r="CE2089" i="1"/>
  <c r="A2090" i="1"/>
  <c r="C2090" i="1"/>
  <c r="S2090" i="1"/>
  <c r="T2090" i="1"/>
  <c r="U2090" i="1"/>
  <c r="BD2090" i="1"/>
  <c r="CE2090" i="1"/>
  <c r="A2091" i="1"/>
  <c r="C2091" i="1"/>
  <c r="S2091" i="1"/>
  <c r="T2091" i="1"/>
  <c r="U2091" i="1"/>
  <c r="BD2091" i="1"/>
  <c r="CE2091" i="1"/>
  <c r="A2092" i="1"/>
  <c r="C2092" i="1"/>
  <c r="S2092" i="1"/>
  <c r="T2092" i="1"/>
  <c r="U2092" i="1"/>
  <c r="BD2092" i="1"/>
  <c r="CE2092" i="1"/>
  <c r="A2093" i="1"/>
  <c r="C2093" i="1"/>
  <c r="S2093" i="1"/>
  <c r="T2093" i="1"/>
  <c r="U2093" i="1"/>
  <c r="BD2093" i="1"/>
  <c r="CE2093" i="1"/>
  <c r="A2094" i="1"/>
  <c r="C2094" i="1"/>
  <c r="S2094" i="1"/>
  <c r="T2094" i="1"/>
  <c r="U2094" i="1"/>
  <c r="BD2094" i="1"/>
  <c r="CE2094" i="1"/>
  <c r="A2095" i="1"/>
  <c r="C2095" i="1"/>
  <c r="S2095" i="1"/>
  <c r="T2095" i="1"/>
  <c r="U2095" i="1"/>
  <c r="BD2095" i="1"/>
  <c r="CE2095" i="1"/>
  <c r="A2096" i="1"/>
  <c r="C2096" i="1"/>
  <c r="S2096" i="1"/>
  <c r="T2096" i="1"/>
  <c r="U2096" i="1"/>
  <c r="BD2096" i="1"/>
  <c r="CE2096" i="1"/>
  <c r="A2097" i="1"/>
  <c r="C2097" i="1"/>
  <c r="S2097" i="1"/>
  <c r="T2097" i="1"/>
  <c r="U2097" i="1"/>
  <c r="BD2097" i="1"/>
  <c r="CE2097" i="1"/>
  <c r="A2098" i="1"/>
  <c r="C2098" i="1"/>
  <c r="S2098" i="1"/>
  <c r="T2098" i="1"/>
  <c r="U2098" i="1"/>
  <c r="BD2098" i="1"/>
  <c r="CE2098" i="1"/>
  <c r="A2099" i="1"/>
  <c r="C2099" i="1"/>
  <c r="S2099" i="1"/>
  <c r="T2099" i="1"/>
  <c r="U2099" i="1"/>
  <c r="BD2099" i="1"/>
  <c r="CE2099" i="1"/>
  <c r="A2100" i="1"/>
  <c r="C2100" i="1"/>
  <c r="S2100" i="1"/>
  <c r="T2100" i="1"/>
  <c r="U2100" i="1"/>
  <c r="BD2100" i="1"/>
  <c r="CE2100" i="1"/>
  <c r="A2101" i="1"/>
  <c r="C2101" i="1"/>
  <c r="S2101" i="1"/>
  <c r="T2101" i="1"/>
  <c r="U2101" i="1"/>
  <c r="BD2101" i="1"/>
  <c r="CE2101" i="1"/>
  <c r="A2102" i="1"/>
  <c r="C2102" i="1"/>
  <c r="S2102" i="1"/>
  <c r="T2102" i="1"/>
  <c r="U2102" i="1"/>
  <c r="BD2102" i="1"/>
  <c r="CE2102" i="1"/>
  <c r="A2103" i="1"/>
  <c r="C2103" i="1"/>
  <c r="S2103" i="1"/>
  <c r="T2103" i="1"/>
  <c r="U2103" i="1"/>
  <c r="BD2103" i="1"/>
  <c r="CE2103" i="1"/>
  <c r="A2104" i="1"/>
  <c r="C2104" i="1"/>
  <c r="S2104" i="1"/>
  <c r="T2104" i="1"/>
  <c r="U2104" i="1"/>
  <c r="BD2104" i="1"/>
  <c r="CE2104" i="1"/>
  <c r="A2105" i="1"/>
  <c r="C2105" i="1"/>
  <c r="S2105" i="1"/>
  <c r="T2105" i="1"/>
  <c r="U2105" i="1"/>
  <c r="BD2105" i="1"/>
  <c r="CE2105" i="1"/>
  <c r="A2106" i="1"/>
  <c r="C2106" i="1"/>
  <c r="S2106" i="1"/>
  <c r="T2106" i="1"/>
  <c r="U2106" i="1"/>
  <c r="BD2106" i="1"/>
  <c r="CE2106" i="1"/>
  <c r="A2107" i="1"/>
  <c r="C2107" i="1"/>
  <c r="S2107" i="1"/>
  <c r="T2107" i="1"/>
  <c r="U2107" i="1"/>
  <c r="BD2107" i="1"/>
  <c r="CE2107" i="1"/>
  <c r="A2108" i="1"/>
  <c r="C2108" i="1"/>
  <c r="S2108" i="1"/>
  <c r="T2108" i="1"/>
  <c r="U2108" i="1"/>
  <c r="BD2108" i="1"/>
  <c r="CE2108" i="1"/>
  <c r="A2109" i="1"/>
  <c r="C2109" i="1"/>
  <c r="S2109" i="1"/>
  <c r="T2109" i="1"/>
  <c r="U2109" i="1"/>
  <c r="BD2109" i="1"/>
  <c r="CE2109" i="1"/>
  <c r="A2110" i="1"/>
  <c r="C2110" i="1"/>
  <c r="S2110" i="1"/>
  <c r="T2110" i="1"/>
  <c r="U2110" i="1"/>
  <c r="BD2110" i="1"/>
  <c r="CE2110" i="1"/>
  <c r="A2111" i="1"/>
  <c r="C2111" i="1"/>
  <c r="S2111" i="1"/>
  <c r="T2111" i="1"/>
  <c r="U2111" i="1"/>
  <c r="BD2111" i="1"/>
  <c r="CE2111" i="1"/>
  <c r="A2112" i="1"/>
  <c r="C2112" i="1"/>
  <c r="S2112" i="1"/>
  <c r="T2112" i="1"/>
  <c r="U2112" i="1"/>
  <c r="BD2112" i="1"/>
  <c r="CE2112" i="1"/>
  <c r="A2113" i="1"/>
  <c r="C2113" i="1"/>
  <c r="S2113" i="1"/>
  <c r="T2113" i="1"/>
  <c r="U2113" i="1"/>
  <c r="BD2113" i="1"/>
  <c r="CE2113" i="1"/>
  <c r="A2114" i="1"/>
  <c r="C2114" i="1"/>
  <c r="S2114" i="1"/>
  <c r="T2114" i="1"/>
  <c r="U2114" i="1"/>
  <c r="BD2114" i="1"/>
  <c r="CE2114" i="1"/>
  <c r="A2115" i="1"/>
  <c r="C2115" i="1"/>
  <c r="S2115" i="1"/>
  <c r="T2115" i="1"/>
  <c r="U2115" i="1"/>
  <c r="BD2115" i="1"/>
  <c r="CE2115" i="1"/>
  <c r="A2116" i="1"/>
  <c r="C2116" i="1"/>
  <c r="S2116" i="1"/>
  <c r="T2116" i="1"/>
  <c r="U2116" i="1"/>
  <c r="BD2116" i="1"/>
  <c r="CE2116" i="1"/>
  <c r="A2117" i="1"/>
  <c r="C2117" i="1"/>
  <c r="S2117" i="1"/>
  <c r="T2117" i="1"/>
  <c r="U2117" i="1"/>
  <c r="BD2117" i="1"/>
  <c r="CE2117" i="1"/>
  <c r="A2118" i="1"/>
  <c r="C2118" i="1"/>
  <c r="S2118" i="1"/>
  <c r="T2118" i="1"/>
  <c r="U2118" i="1"/>
  <c r="BD2118" i="1"/>
  <c r="CE2118" i="1"/>
  <c r="A2119" i="1"/>
  <c r="C2119" i="1"/>
  <c r="S2119" i="1"/>
  <c r="T2119" i="1"/>
  <c r="U2119" i="1"/>
  <c r="BD2119" i="1"/>
  <c r="CE2119" i="1"/>
  <c r="A2120" i="1"/>
  <c r="C2120" i="1"/>
  <c r="S2120" i="1"/>
  <c r="T2120" i="1"/>
  <c r="U2120" i="1"/>
  <c r="BD2120" i="1"/>
  <c r="CE2120" i="1"/>
  <c r="A2121" i="1"/>
  <c r="C2121" i="1"/>
  <c r="S2121" i="1"/>
  <c r="T2121" i="1"/>
  <c r="U2121" i="1"/>
  <c r="BD2121" i="1"/>
  <c r="CE2121" i="1"/>
  <c r="A2122" i="1"/>
  <c r="C2122" i="1"/>
  <c r="S2122" i="1"/>
  <c r="T2122" i="1"/>
  <c r="U2122" i="1"/>
  <c r="BD2122" i="1"/>
  <c r="CE2122" i="1"/>
  <c r="A2123" i="1"/>
  <c r="C2123" i="1"/>
  <c r="S2123" i="1"/>
  <c r="T2123" i="1"/>
  <c r="U2123" i="1"/>
  <c r="BD2123" i="1"/>
  <c r="CE2123" i="1"/>
  <c r="A2124" i="1"/>
  <c r="C2124" i="1"/>
  <c r="S2124" i="1"/>
  <c r="T2124" i="1"/>
  <c r="U2124" i="1"/>
  <c r="BD2124" i="1"/>
  <c r="CE2124" i="1"/>
  <c r="A2125" i="1"/>
  <c r="C2125" i="1"/>
  <c r="S2125" i="1"/>
  <c r="T2125" i="1"/>
  <c r="U2125" i="1"/>
  <c r="BD2125" i="1"/>
  <c r="CE2125" i="1"/>
  <c r="A2126" i="1"/>
  <c r="C2126" i="1"/>
  <c r="S2126" i="1"/>
  <c r="T2126" i="1"/>
  <c r="U2126" i="1"/>
  <c r="BD2126" i="1"/>
  <c r="CE2126" i="1"/>
  <c r="A2127" i="1"/>
  <c r="C2127" i="1"/>
  <c r="S2127" i="1"/>
  <c r="T2127" i="1"/>
  <c r="U2127" i="1"/>
  <c r="BD2127" i="1"/>
  <c r="CE2127" i="1"/>
  <c r="A2128" i="1"/>
  <c r="C2128" i="1"/>
  <c r="S2128" i="1"/>
  <c r="T2128" i="1"/>
  <c r="U2128" i="1"/>
  <c r="BD2128" i="1"/>
  <c r="CE2128" i="1"/>
  <c r="A2129" i="1"/>
  <c r="C2129" i="1"/>
  <c r="S2129" i="1"/>
  <c r="T2129" i="1"/>
  <c r="U2129" i="1"/>
  <c r="BD2129" i="1"/>
  <c r="CE2129" i="1"/>
  <c r="A2130" i="1"/>
  <c r="C2130" i="1"/>
  <c r="S2130" i="1"/>
  <c r="T2130" i="1"/>
  <c r="U2130" i="1"/>
  <c r="BD2130" i="1"/>
  <c r="CE2130" i="1"/>
  <c r="A2131" i="1"/>
  <c r="C2131" i="1"/>
  <c r="S2131" i="1"/>
  <c r="T2131" i="1"/>
  <c r="U2131" i="1"/>
  <c r="BD2131" i="1"/>
  <c r="CE2131" i="1"/>
  <c r="A2132" i="1"/>
  <c r="C2132" i="1"/>
  <c r="S2132" i="1"/>
  <c r="T2132" i="1"/>
  <c r="U2132" i="1"/>
  <c r="BD2132" i="1"/>
  <c r="CE2132" i="1"/>
  <c r="A2133" i="1"/>
  <c r="C2133" i="1"/>
  <c r="S2133" i="1"/>
  <c r="T2133" i="1"/>
  <c r="U2133" i="1"/>
  <c r="BD2133" i="1"/>
  <c r="CE2133" i="1"/>
  <c r="A2134" i="1"/>
  <c r="C2134" i="1"/>
  <c r="S2134" i="1"/>
  <c r="T2134" i="1"/>
  <c r="U2134" i="1"/>
  <c r="BD2134" i="1"/>
  <c r="CE2134" i="1"/>
  <c r="A2135" i="1"/>
  <c r="C2135" i="1"/>
  <c r="S2135" i="1"/>
  <c r="T2135" i="1"/>
  <c r="U2135" i="1"/>
  <c r="BD2135" i="1"/>
  <c r="CE2135" i="1"/>
  <c r="A2136" i="1"/>
  <c r="C2136" i="1"/>
  <c r="S2136" i="1"/>
  <c r="T2136" i="1"/>
  <c r="U2136" i="1"/>
  <c r="BD2136" i="1"/>
  <c r="CE2136" i="1"/>
  <c r="A2137" i="1"/>
  <c r="C2137" i="1"/>
  <c r="S2137" i="1"/>
  <c r="T2137" i="1"/>
  <c r="U2137" i="1"/>
  <c r="BD2137" i="1"/>
  <c r="CE2137" i="1"/>
  <c r="A2138" i="1"/>
  <c r="C2138" i="1"/>
  <c r="S2138" i="1"/>
  <c r="T2138" i="1"/>
  <c r="U2138" i="1"/>
  <c r="BD2138" i="1"/>
  <c r="CE2138" i="1"/>
  <c r="A2139" i="1"/>
  <c r="C2139" i="1"/>
  <c r="S2139" i="1"/>
  <c r="T2139" i="1"/>
  <c r="U2139" i="1"/>
  <c r="BD2139" i="1"/>
  <c r="CE2139" i="1"/>
  <c r="A2140" i="1"/>
  <c r="C2140" i="1"/>
  <c r="S2140" i="1"/>
  <c r="T2140" i="1"/>
  <c r="U2140" i="1"/>
  <c r="BD2140" i="1"/>
  <c r="CE2140" i="1"/>
  <c r="A2141" i="1"/>
  <c r="C2141" i="1"/>
  <c r="S2141" i="1"/>
  <c r="T2141" i="1"/>
  <c r="U2141" i="1"/>
  <c r="BD2141" i="1"/>
  <c r="CE2141" i="1"/>
  <c r="A2142" i="1"/>
  <c r="C2142" i="1"/>
  <c r="S2142" i="1"/>
  <c r="T2142" i="1"/>
  <c r="U2142" i="1"/>
  <c r="BD2142" i="1"/>
  <c r="CE2142" i="1"/>
  <c r="A2143" i="1"/>
  <c r="C2143" i="1"/>
  <c r="S2143" i="1"/>
  <c r="T2143" i="1"/>
  <c r="U2143" i="1"/>
  <c r="BD2143" i="1"/>
  <c r="CE2143" i="1"/>
  <c r="A2144" i="1"/>
  <c r="C2144" i="1"/>
  <c r="S2144" i="1"/>
  <c r="T2144" i="1"/>
  <c r="U2144" i="1"/>
  <c r="BD2144" i="1"/>
  <c r="CE2144" i="1"/>
  <c r="A2145" i="1"/>
  <c r="C2145" i="1"/>
  <c r="S2145" i="1"/>
  <c r="T2145" i="1"/>
  <c r="U2145" i="1"/>
  <c r="BD2145" i="1"/>
  <c r="CE2145" i="1"/>
  <c r="A2146" i="1"/>
  <c r="C2146" i="1"/>
  <c r="S2146" i="1"/>
  <c r="T2146" i="1"/>
  <c r="U2146" i="1"/>
  <c r="BD2146" i="1"/>
  <c r="CE2146" i="1"/>
  <c r="A2147" i="1"/>
  <c r="C2147" i="1"/>
  <c r="S2147" i="1"/>
  <c r="T2147" i="1"/>
  <c r="U2147" i="1"/>
  <c r="BD2147" i="1"/>
  <c r="CE2147" i="1"/>
  <c r="A2148" i="1"/>
  <c r="C2148" i="1"/>
  <c r="S2148" i="1"/>
  <c r="T2148" i="1"/>
  <c r="U2148" i="1"/>
  <c r="BD2148" i="1"/>
  <c r="CE2148" i="1"/>
  <c r="A2149" i="1"/>
  <c r="C2149" i="1"/>
  <c r="S2149" i="1"/>
  <c r="T2149" i="1"/>
  <c r="U2149" i="1"/>
  <c r="BD2149" i="1"/>
  <c r="CE2149" i="1"/>
  <c r="A2150" i="1"/>
  <c r="C2150" i="1"/>
  <c r="S2150" i="1"/>
  <c r="T2150" i="1"/>
  <c r="U2150" i="1"/>
  <c r="BD2150" i="1"/>
  <c r="CE2150" i="1"/>
  <c r="A2151" i="1"/>
  <c r="C2151" i="1"/>
  <c r="S2151" i="1"/>
  <c r="T2151" i="1"/>
  <c r="U2151" i="1"/>
  <c r="BD2151" i="1"/>
  <c r="CE2151" i="1"/>
  <c r="A2152" i="1"/>
  <c r="C2152" i="1"/>
  <c r="S2152" i="1"/>
  <c r="T2152" i="1"/>
  <c r="U2152" i="1"/>
  <c r="BD2152" i="1"/>
  <c r="CE2152" i="1"/>
  <c r="A2153" i="1"/>
  <c r="C2153" i="1"/>
  <c r="S2153" i="1"/>
  <c r="T2153" i="1"/>
  <c r="U2153" i="1"/>
  <c r="BD2153" i="1"/>
  <c r="CE2153" i="1"/>
  <c r="A2154" i="1"/>
  <c r="C2154" i="1"/>
  <c r="S2154" i="1"/>
  <c r="T2154" i="1"/>
  <c r="U2154" i="1"/>
  <c r="BD2154" i="1"/>
  <c r="CE2154" i="1"/>
  <c r="A2155" i="1"/>
  <c r="C2155" i="1"/>
  <c r="S2155" i="1"/>
  <c r="T2155" i="1"/>
  <c r="U2155" i="1"/>
  <c r="BD2155" i="1"/>
  <c r="CE2155" i="1"/>
  <c r="A2156" i="1"/>
  <c r="C2156" i="1"/>
  <c r="S2156" i="1"/>
  <c r="T2156" i="1"/>
  <c r="U2156" i="1"/>
  <c r="BD2156" i="1"/>
  <c r="CE2156" i="1"/>
  <c r="A2157" i="1"/>
  <c r="C2157" i="1"/>
  <c r="S2157" i="1"/>
  <c r="T2157" i="1"/>
  <c r="U2157" i="1"/>
  <c r="BD2157" i="1"/>
  <c r="CE2157" i="1"/>
  <c r="A2158" i="1"/>
  <c r="C2158" i="1"/>
  <c r="S2158" i="1"/>
  <c r="T2158" i="1"/>
  <c r="U2158" i="1"/>
  <c r="BD2158" i="1"/>
  <c r="CE2158" i="1"/>
  <c r="A2159" i="1"/>
  <c r="C2159" i="1"/>
  <c r="S2159" i="1"/>
  <c r="T2159" i="1"/>
  <c r="U2159" i="1"/>
  <c r="BD2159" i="1"/>
  <c r="CE2159" i="1"/>
  <c r="A2160" i="1"/>
  <c r="C2160" i="1"/>
  <c r="S2160" i="1"/>
  <c r="T2160" i="1"/>
  <c r="U2160" i="1"/>
  <c r="BD2160" i="1"/>
  <c r="CE2160" i="1"/>
  <c r="A2161" i="1"/>
  <c r="C2161" i="1"/>
  <c r="S2161" i="1"/>
  <c r="T2161" i="1"/>
  <c r="U2161" i="1"/>
  <c r="BD2161" i="1"/>
  <c r="CE2161" i="1"/>
  <c r="A2162" i="1"/>
  <c r="C2162" i="1"/>
  <c r="S2162" i="1"/>
  <c r="T2162" i="1"/>
  <c r="U2162" i="1"/>
  <c r="BD2162" i="1"/>
  <c r="CE2162" i="1"/>
  <c r="A2163" i="1"/>
  <c r="C2163" i="1"/>
  <c r="S2163" i="1"/>
  <c r="T2163" i="1"/>
  <c r="U2163" i="1"/>
  <c r="BD2163" i="1"/>
  <c r="CE2163" i="1"/>
  <c r="A2164" i="1"/>
  <c r="C2164" i="1"/>
  <c r="S2164" i="1"/>
  <c r="T2164" i="1"/>
  <c r="U2164" i="1"/>
  <c r="BD2164" i="1"/>
  <c r="CE2164" i="1"/>
  <c r="A2165" i="1"/>
  <c r="C2165" i="1"/>
  <c r="S2165" i="1"/>
  <c r="T2165" i="1"/>
  <c r="U2165" i="1"/>
  <c r="BD2165" i="1"/>
  <c r="CE2165" i="1"/>
  <c r="A2166" i="1"/>
  <c r="C2166" i="1"/>
  <c r="S2166" i="1"/>
  <c r="T2166" i="1"/>
  <c r="U2166" i="1"/>
  <c r="BD2166" i="1"/>
  <c r="CE2166" i="1"/>
  <c r="A2167" i="1"/>
  <c r="C2167" i="1"/>
  <c r="S2167" i="1"/>
  <c r="T2167" i="1"/>
  <c r="U2167" i="1"/>
  <c r="BD2167" i="1"/>
  <c r="CE2167" i="1"/>
  <c r="A2168" i="1"/>
  <c r="C2168" i="1"/>
  <c r="S2168" i="1"/>
  <c r="T2168" i="1"/>
  <c r="U2168" i="1"/>
  <c r="BD2168" i="1"/>
  <c r="CE2168" i="1"/>
  <c r="A2169" i="1"/>
  <c r="C2169" i="1"/>
  <c r="S2169" i="1"/>
  <c r="T2169" i="1"/>
  <c r="U2169" i="1"/>
  <c r="BD2169" i="1"/>
  <c r="CE2169" i="1"/>
  <c r="A2170" i="1"/>
  <c r="C2170" i="1"/>
  <c r="S2170" i="1"/>
  <c r="T2170" i="1"/>
  <c r="U2170" i="1"/>
  <c r="BD2170" i="1"/>
  <c r="CE2170" i="1"/>
  <c r="A2171" i="1"/>
  <c r="C2171" i="1"/>
  <c r="S2171" i="1"/>
  <c r="T2171" i="1"/>
  <c r="U2171" i="1"/>
  <c r="BD2171" i="1"/>
  <c r="CE2171" i="1"/>
  <c r="A2172" i="1"/>
  <c r="C2172" i="1"/>
  <c r="S2172" i="1"/>
  <c r="T2172" i="1"/>
  <c r="U2172" i="1"/>
  <c r="BD2172" i="1"/>
  <c r="CE2172" i="1"/>
  <c r="A2173" i="1"/>
  <c r="C2173" i="1"/>
  <c r="S2173" i="1"/>
  <c r="T2173" i="1"/>
  <c r="U2173" i="1"/>
  <c r="BD2173" i="1"/>
  <c r="CE2173" i="1"/>
  <c r="A2174" i="1"/>
  <c r="C2174" i="1"/>
  <c r="S2174" i="1"/>
  <c r="T2174" i="1"/>
  <c r="U2174" i="1"/>
  <c r="BD2174" i="1"/>
  <c r="CE2174" i="1"/>
  <c r="A2175" i="1"/>
  <c r="C2175" i="1"/>
  <c r="S2175" i="1"/>
  <c r="T2175" i="1"/>
  <c r="U2175" i="1"/>
  <c r="BD2175" i="1"/>
  <c r="CE2175" i="1"/>
  <c r="A2176" i="1"/>
  <c r="C2176" i="1"/>
  <c r="S2176" i="1"/>
  <c r="T2176" i="1"/>
  <c r="U2176" i="1"/>
  <c r="BD2176" i="1"/>
  <c r="CE2176" i="1"/>
  <c r="A2177" i="1"/>
  <c r="C2177" i="1"/>
  <c r="S2177" i="1"/>
  <c r="T2177" i="1"/>
  <c r="U2177" i="1"/>
  <c r="BD2177" i="1"/>
  <c r="CE2177" i="1"/>
  <c r="A2178" i="1"/>
  <c r="C2178" i="1"/>
  <c r="S2178" i="1"/>
  <c r="T2178" i="1"/>
  <c r="U2178" i="1"/>
  <c r="BD2178" i="1"/>
  <c r="CE2178" i="1"/>
  <c r="A2179" i="1"/>
  <c r="C2179" i="1"/>
  <c r="S2179" i="1"/>
  <c r="T2179" i="1"/>
  <c r="U2179" i="1"/>
  <c r="BD2179" i="1"/>
  <c r="CE2179" i="1"/>
  <c r="A2180" i="1"/>
  <c r="C2180" i="1"/>
  <c r="S2180" i="1"/>
  <c r="T2180" i="1"/>
  <c r="U2180" i="1"/>
  <c r="BD2180" i="1"/>
  <c r="CE2180" i="1"/>
  <c r="A2181" i="1"/>
  <c r="C2181" i="1"/>
  <c r="S2181" i="1"/>
  <c r="T2181" i="1"/>
  <c r="U2181" i="1"/>
  <c r="BD2181" i="1"/>
  <c r="CE2181" i="1"/>
  <c r="A2182" i="1"/>
  <c r="C2182" i="1"/>
  <c r="S2182" i="1"/>
  <c r="T2182" i="1"/>
  <c r="U2182" i="1"/>
  <c r="BD2182" i="1"/>
  <c r="CE2182" i="1"/>
  <c r="A2183" i="1"/>
  <c r="C2183" i="1"/>
  <c r="S2183" i="1"/>
  <c r="T2183" i="1"/>
  <c r="U2183" i="1"/>
  <c r="BD2183" i="1"/>
  <c r="CE2183" i="1"/>
  <c r="A2184" i="1"/>
  <c r="C2184" i="1"/>
  <c r="S2184" i="1"/>
  <c r="T2184" i="1"/>
  <c r="U2184" i="1"/>
  <c r="BD2184" i="1"/>
  <c r="CE2184" i="1"/>
  <c r="A2185" i="1"/>
  <c r="C2185" i="1"/>
  <c r="S2185" i="1"/>
  <c r="T2185" i="1"/>
  <c r="U2185" i="1"/>
  <c r="BD2185" i="1"/>
  <c r="CE2185" i="1"/>
  <c r="A2186" i="1"/>
  <c r="C2186" i="1"/>
  <c r="S2186" i="1"/>
  <c r="T2186" i="1"/>
  <c r="U2186" i="1"/>
  <c r="BD2186" i="1"/>
  <c r="CE2186" i="1"/>
  <c r="A2187" i="1"/>
  <c r="C2187" i="1"/>
  <c r="S2187" i="1"/>
  <c r="T2187" i="1"/>
  <c r="U2187" i="1"/>
  <c r="BD2187" i="1"/>
  <c r="CE2187" i="1"/>
  <c r="A2188" i="1"/>
  <c r="C2188" i="1"/>
  <c r="S2188" i="1"/>
  <c r="T2188" i="1"/>
  <c r="U2188" i="1"/>
  <c r="BD2188" i="1"/>
  <c r="CE2188" i="1"/>
  <c r="A2189" i="1"/>
  <c r="C2189" i="1"/>
  <c r="S2189" i="1"/>
  <c r="T2189" i="1"/>
  <c r="U2189" i="1"/>
  <c r="BD2189" i="1"/>
  <c r="CE2189" i="1"/>
  <c r="A2190" i="1"/>
  <c r="C2190" i="1"/>
  <c r="S2190" i="1"/>
  <c r="T2190" i="1"/>
  <c r="U2190" i="1"/>
  <c r="BD2190" i="1"/>
  <c r="CE2190" i="1"/>
  <c r="A2191" i="1"/>
  <c r="C2191" i="1"/>
  <c r="S2191" i="1"/>
  <c r="T2191" i="1"/>
  <c r="U2191" i="1"/>
  <c r="BD2191" i="1"/>
  <c r="CE2191" i="1"/>
  <c r="A2192" i="1"/>
  <c r="C2192" i="1"/>
  <c r="S2192" i="1"/>
  <c r="T2192" i="1"/>
  <c r="U2192" i="1"/>
  <c r="BD2192" i="1"/>
  <c r="CE2192" i="1"/>
  <c r="A2193" i="1"/>
  <c r="C2193" i="1"/>
  <c r="S2193" i="1"/>
  <c r="T2193" i="1"/>
  <c r="U2193" i="1"/>
  <c r="BD2193" i="1"/>
  <c r="CE2193" i="1"/>
  <c r="A2194" i="1"/>
  <c r="C2194" i="1"/>
  <c r="S2194" i="1"/>
  <c r="T2194" i="1"/>
  <c r="U2194" i="1"/>
  <c r="BD2194" i="1"/>
  <c r="CE2194" i="1"/>
  <c r="A2195" i="1"/>
  <c r="C2195" i="1"/>
  <c r="S2195" i="1"/>
  <c r="T2195" i="1"/>
  <c r="U2195" i="1"/>
  <c r="BD2195" i="1"/>
  <c r="CE2195" i="1"/>
  <c r="A2196" i="1"/>
  <c r="C2196" i="1"/>
  <c r="S2196" i="1"/>
  <c r="T2196" i="1"/>
  <c r="U2196" i="1"/>
  <c r="BD2196" i="1"/>
  <c r="CE2196" i="1"/>
  <c r="A2197" i="1"/>
  <c r="C2197" i="1"/>
  <c r="S2197" i="1"/>
  <c r="T2197" i="1"/>
  <c r="U2197" i="1"/>
  <c r="BD2197" i="1"/>
  <c r="CE2197" i="1"/>
  <c r="A2198" i="1"/>
  <c r="C2198" i="1"/>
  <c r="S2198" i="1"/>
  <c r="T2198" i="1"/>
  <c r="U2198" i="1"/>
  <c r="BD2198" i="1"/>
  <c r="CE2198" i="1"/>
  <c r="A2199" i="1"/>
  <c r="C2199" i="1"/>
  <c r="S2199" i="1"/>
  <c r="T2199" i="1"/>
  <c r="U2199" i="1"/>
  <c r="BD2199" i="1"/>
  <c r="CE2199" i="1"/>
  <c r="A2200" i="1"/>
  <c r="C2200" i="1"/>
  <c r="S2200" i="1"/>
  <c r="T2200" i="1"/>
  <c r="U2200" i="1"/>
  <c r="BD2200" i="1"/>
  <c r="CE2200" i="1"/>
  <c r="A2201" i="1"/>
  <c r="C2201" i="1"/>
  <c r="S2201" i="1"/>
  <c r="T2201" i="1"/>
  <c r="U2201" i="1"/>
  <c r="BD2201" i="1"/>
  <c r="CE2201" i="1"/>
  <c r="A2202" i="1"/>
  <c r="C2202" i="1"/>
  <c r="S2202" i="1"/>
  <c r="T2202" i="1"/>
  <c r="U2202" i="1"/>
  <c r="BD2202" i="1"/>
  <c r="CE2202" i="1"/>
  <c r="A2203" i="1"/>
  <c r="C2203" i="1"/>
  <c r="S2203" i="1"/>
  <c r="T2203" i="1"/>
  <c r="U2203" i="1"/>
  <c r="BD2203" i="1"/>
  <c r="CE2203" i="1"/>
  <c r="A2204" i="1"/>
  <c r="C2204" i="1"/>
  <c r="S2204" i="1"/>
  <c r="T2204" i="1"/>
  <c r="U2204" i="1"/>
  <c r="BD2204" i="1"/>
  <c r="CE2204" i="1"/>
  <c r="A2205" i="1"/>
  <c r="C2205" i="1"/>
  <c r="S2205" i="1"/>
  <c r="T2205" i="1"/>
  <c r="U2205" i="1"/>
  <c r="BD2205" i="1"/>
  <c r="CE2205" i="1"/>
  <c r="A2206" i="1"/>
  <c r="C2206" i="1"/>
  <c r="S2206" i="1"/>
  <c r="T2206" i="1"/>
  <c r="U2206" i="1"/>
  <c r="BD2206" i="1"/>
  <c r="CE2206" i="1"/>
  <c r="A2207" i="1"/>
  <c r="C2207" i="1"/>
  <c r="S2207" i="1"/>
  <c r="T2207" i="1"/>
  <c r="U2207" i="1"/>
  <c r="BD2207" i="1"/>
  <c r="CE2207" i="1"/>
  <c r="A2208" i="1"/>
  <c r="C2208" i="1"/>
  <c r="S2208" i="1"/>
  <c r="T2208" i="1"/>
  <c r="U2208" i="1"/>
  <c r="BD2208" i="1"/>
  <c r="CE2208" i="1"/>
  <c r="A2209" i="1"/>
  <c r="C2209" i="1"/>
  <c r="S2209" i="1"/>
  <c r="T2209" i="1"/>
  <c r="U2209" i="1"/>
  <c r="BD2209" i="1"/>
  <c r="CE2209" i="1"/>
  <c r="A2210" i="1"/>
  <c r="C2210" i="1"/>
  <c r="S2210" i="1"/>
  <c r="T2210" i="1"/>
  <c r="U2210" i="1"/>
  <c r="BD2210" i="1"/>
  <c r="CE2210" i="1"/>
  <c r="A2211" i="1"/>
  <c r="C2211" i="1"/>
  <c r="S2211" i="1"/>
  <c r="T2211" i="1"/>
  <c r="U2211" i="1"/>
  <c r="BD2211" i="1"/>
  <c r="CE2211" i="1"/>
  <c r="A2212" i="1"/>
  <c r="C2212" i="1"/>
  <c r="S2212" i="1"/>
  <c r="T2212" i="1"/>
  <c r="U2212" i="1"/>
  <c r="BD2212" i="1"/>
  <c r="CE2212" i="1"/>
  <c r="A2213" i="1"/>
  <c r="C2213" i="1"/>
  <c r="S2213" i="1"/>
  <c r="T2213" i="1"/>
  <c r="U2213" i="1"/>
  <c r="BD2213" i="1"/>
  <c r="CE2213" i="1"/>
  <c r="A2214" i="1"/>
  <c r="C2214" i="1"/>
  <c r="S2214" i="1"/>
  <c r="T2214" i="1"/>
  <c r="U2214" i="1"/>
  <c r="BD2214" i="1"/>
  <c r="CE2214" i="1"/>
  <c r="A2215" i="1"/>
  <c r="C2215" i="1"/>
  <c r="S2215" i="1"/>
  <c r="T2215" i="1"/>
  <c r="U2215" i="1"/>
  <c r="BD2215" i="1"/>
  <c r="CE2215" i="1"/>
  <c r="A2216" i="1"/>
  <c r="C2216" i="1"/>
  <c r="S2216" i="1"/>
  <c r="T2216" i="1"/>
  <c r="U2216" i="1"/>
  <c r="BD2216" i="1"/>
  <c r="CE2216" i="1"/>
  <c r="A2217" i="1"/>
  <c r="C2217" i="1"/>
  <c r="S2217" i="1"/>
  <c r="T2217" i="1"/>
  <c r="U2217" i="1"/>
  <c r="BD2217" i="1"/>
  <c r="CE2217" i="1"/>
  <c r="A2218" i="1"/>
  <c r="C2218" i="1"/>
  <c r="S2218" i="1"/>
  <c r="T2218" i="1"/>
  <c r="U2218" i="1"/>
  <c r="BD2218" i="1"/>
  <c r="CE2218" i="1"/>
  <c r="A2219" i="1"/>
  <c r="C2219" i="1"/>
  <c r="S2219" i="1"/>
  <c r="T2219" i="1"/>
  <c r="U2219" i="1"/>
  <c r="BD2219" i="1"/>
  <c r="CE2219" i="1"/>
  <c r="A2220" i="1"/>
  <c r="C2220" i="1"/>
  <c r="S2220" i="1"/>
  <c r="T2220" i="1"/>
  <c r="U2220" i="1"/>
  <c r="BD2220" i="1"/>
  <c r="CE2220" i="1"/>
  <c r="A2221" i="1"/>
  <c r="C2221" i="1"/>
  <c r="S2221" i="1"/>
  <c r="T2221" i="1"/>
  <c r="U2221" i="1"/>
  <c r="BD2221" i="1"/>
  <c r="CE2221" i="1"/>
  <c r="A2222" i="1"/>
  <c r="C2222" i="1"/>
  <c r="S2222" i="1"/>
  <c r="T2222" i="1"/>
  <c r="U2222" i="1"/>
  <c r="BD2222" i="1"/>
  <c r="CE2222" i="1"/>
  <c r="A2223" i="1"/>
  <c r="C2223" i="1"/>
  <c r="S2223" i="1"/>
  <c r="T2223" i="1"/>
  <c r="U2223" i="1"/>
  <c r="BD2223" i="1"/>
  <c r="CE2223" i="1"/>
  <c r="A2224" i="1"/>
  <c r="C2224" i="1"/>
  <c r="S2224" i="1"/>
  <c r="T2224" i="1"/>
  <c r="U2224" i="1"/>
  <c r="BD2224" i="1"/>
  <c r="CE2224" i="1"/>
  <c r="A2225" i="1"/>
  <c r="C2225" i="1"/>
  <c r="S2225" i="1"/>
  <c r="T2225" i="1"/>
  <c r="U2225" i="1"/>
  <c r="BD2225" i="1"/>
  <c r="CE2225" i="1"/>
  <c r="A2226" i="1"/>
  <c r="C2226" i="1"/>
  <c r="S2226" i="1"/>
  <c r="T2226" i="1"/>
  <c r="U2226" i="1"/>
  <c r="BD2226" i="1"/>
  <c r="CE2226" i="1"/>
  <c r="A2227" i="1"/>
  <c r="C2227" i="1"/>
  <c r="S2227" i="1"/>
  <c r="T2227" i="1"/>
  <c r="U2227" i="1"/>
  <c r="BD2227" i="1"/>
  <c r="CE2227" i="1"/>
  <c r="A2228" i="1"/>
  <c r="C2228" i="1"/>
  <c r="S2228" i="1"/>
  <c r="T2228" i="1"/>
  <c r="U2228" i="1"/>
  <c r="BD2228" i="1"/>
  <c r="CE2228" i="1"/>
  <c r="A2229" i="1"/>
  <c r="C2229" i="1"/>
  <c r="S2229" i="1"/>
  <c r="T2229" i="1"/>
  <c r="U2229" i="1"/>
  <c r="BD2229" i="1"/>
  <c r="CE2229" i="1"/>
  <c r="A2230" i="1"/>
  <c r="C2230" i="1"/>
  <c r="S2230" i="1"/>
  <c r="T2230" i="1"/>
  <c r="U2230" i="1"/>
  <c r="BD2230" i="1"/>
  <c r="CE2230" i="1"/>
  <c r="A2231" i="1"/>
  <c r="C2231" i="1"/>
  <c r="S2231" i="1"/>
  <c r="T2231" i="1"/>
  <c r="U2231" i="1"/>
  <c r="BD2231" i="1"/>
  <c r="CE2231" i="1"/>
  <c r="A2232" i="1"/>
  <c r="C2232" i="1"/>
  <c r="S2232" i="1"/>
  <c r="T2232" i="1"/>
  <c r="U2232" i="1"/>
  <c r="BD2232" i="1"/>
  <c r="CE2232" i="1"/>
  <c r="A2233" i="1"/>
  <c r="C2233" i="1"/>
  <c r="S2233" i="1"/>
  <c r="T2233" i="1"/>
  <c r="U2233" i="1"/>
  <c r="BD2233" i="1"/>
  <c r="CE2233" i="1"/>
  <c r="A2234" i="1"/>
  <c r="C2234" i="1"/>
  <c r="S2234" i="1"/>
  <c r="T2234" i="1"/>
  <c r="U2234" i="1"/>
  <c r="BD2234" i="1"/>
  <c r="CE2234" i="1"/>
  <c r="A2235" i="1"/>
  <c r="C2235" i="1"/>
  <c r="S2235" i="1"/>
  <c r="T2235" i="1"/>
  <c r="U2235" i="1"/>
  <c r="BD2235" i="1"/>
  <c r="CE2235" i="1"/>
  <c r="A2236" i="1"/>
  <c r="C2236" i="1"/>
  <c r="S2236" i="1"/>
  <c r="T2236" i="1"/>
  <c r="U2236" i="1"/>
  <c r="BD2236" i="1"/>
  <c r="CE2236" i="1"/>
  <c r="A2237" i="1"/>
  <c r="C2237" i="1"/>
  <c r="S2237" i="1"/>
  <c r="T2237" i="1"/>
  <c r="U2237" i="1"/>
  <c r="BD2237" i="1"/>
  <c r="CE2237" i="1"/>
  <c r="A2238" i="1"/>
  <c r="C2238" i="1"/>
  <c r="S2238" i="1"/>
  <c r="T2238" i="1"/>
  <c r="U2238" i="1"/>
  <c r="BD2238" i="1"/>
  <c r="CE2238" i="1"/>
  <c r="A2239" i="1"/>
  <c r="C2239" i="1"/>
  <c r="S2239" i="1"/>
  <c r="T2239" i="1"/>
  <c r="U2239" i="1"/>
  <c r="BD2239" i="1"/>
  <c r="CE2239" i="1"/>
  <c r="A2240" i="1"/>
  <c r="C2240" i="1"/>
  <c r="S2240" i="1"/>
  <c r="T2240" i="1"/>
  <c r="U2240" i="1"/>
  <c r="BD2240" i="1"/>
  <c r="CE2240" i="1"/>
  <c r="A2241" i="1"/>
  <c r="C2241" i="1"/>
  <c r="S2241" i="1"/>
  <c r="T2241" i="1"/>
  <c r="U2241" i="1"/>
  <c r="BD2241" i="1"/>
  <c r="CE2241" i="1"/>
  <c r="A2242" i="1"/>
  <c r="C2242" i="1"/>
  <c r="S2242" i="1"/>
  <c r="T2242" i="1"/>
  <c r="U2242" i="1"/>
  <c r="BD2242" i="1"/>
  <c r="CE2242" i="1"/>
  <c r="A2243" i="1"/>
  <c r="C2243" i="1"/>
  <c r="S2243" i="1"/>
  <c r="T2243" i="1"/>
  <c r="U2243" i="1"/>
  <c r="BD2243" i="1"/>
  <c r="CE2243" i="1"/>
  <c r="A2244" i="1"/>
  <c r="C2244" i="1"/>
  <c r="S2244" i="1"/>
  <c r="T2244" i="1"/>
  <c r="U2244" i="1"/>
  <c r="BD2244" i="1"/>
  <c r="CE2244" i="1"/>
  <c r="A2245" i="1"/>
  <c r="C2245" i="1"/>
  <c r="S2245" i="1"/>
  <c r="T2245" i="1"/>
  <c r="U2245" i="1"/>
  <c r="BD2245" i="1"/>
  <c r="CE2245" i="1"/>
  <c r="A2246" i="1"/>
  <c r="C2246" i="1"/>
  <c r="S2246" i="1"/>
  <c r="T2246" i="1"/>
  <c r="U2246" i="1"/>
  <c r="BD2246" i="1"/>
  <c r="CE2246" i="1"/>
  <c r="A2247" i="1"/>
  <c r="C2247" i="1"/>
  <c r="S2247" i="1"/>
  <c r="T2247" i="1"/>
  <c r="U2247" i="1"/>
  <c r="BD2247" i="1"/>
  <c r="CE2247" i="1"/>
  <c r="A2248" i="1"/>
  <c r="C2248" i="1"/>
  <c r="S2248" i="1"/>
  <c r="T2248" i="1"/>
  <c r="U2248" i="1"/>
  <c r="BD2248" i="1"/>
  <c r="CE2248" i="1"/>
  <c r="A2249" i="1"/>
  <c r="C2249" i="1"/>
  <c r="S2249" i="1"/>
  <c r="T2249" i="1"/>
  <c r="U2249" i="1"/>
  <c r="BD2249" i="1"/>
  <c r="CE2249" i="1"/>
  <c r="A2250" i="1"/>
  <c r="C2250" i="1"/>
  <c r="S2250" i="1"/>
  <c r="T2250" i="1"/>
  <c r="U2250" i="1"/>
  <c r="BD2250" i="1"/>
  <c r="CE2250" i="1"/>
  <c r="A2251" i="1"/>
  <c r="C2251" i="1"/>
  <c r="S2251" i="1"/>
  <c r="T2251" i="1"/>
  <c r="U2251" i="1"/>
  <c r="BD2251" i="1"/>
  <c r="CE2251" i="1"/>
  <c r="A2252" i="1"/>
  <c r="C2252" i="1"/>
  <c r="S2252" i="1"/>
  <c r="T2252" i="1"/>
  <c r="U2252" i="1"/>
  <c r="BD2252" i="1"/>
  <c r="CE2252" i="1"/>
  <c r="A2253" i="1"/>
  <c r="C2253" i="1"/>
  <c r="S2253" i="1"/>
  <c r="T2253" i="1"/>
  <c r="U2253" i="1"/>
  <c r="BD2253" i="1"/>
  <c r="CE2253" i="1"/>
  <c r="A2254" i="1"/>
  <c r="C2254" i="1"/>
  <c r="S2254" i="1"/>
  <c r="T2254" i="1"/>
  <c r="U2254" i="1"/>
  <c r="BD2254" i="1"/>
  <c r="CE2254" i="1"/>
  <c r="A2255" i="1"/>
  <c r="C2255" i="1"/>
  <c r="S2255" i="1"/>
  <c r="T2255" i="1"/>
  <c r="U2255" i="1"/>
  <c r="BD2255" i="1"/>
  <c r="CE2255" i="1"/>
  <c r="A2256" i="1"/>
  <c r="C2256" i="1"/>
  <c r="S2256" i="1"/>
  <c r="T2256" i="1"/>
  <c r="U2256" i="1"/>
  <c r="BD2256" i="1"/>
  <c r="CE2256" i="1"/>
  <c r="A2257" i="1"/>
  <c r="C2257" i="1"/>
  <c r="S2257" i="1"/>
  <c r="T2257" i="1"/>
  <c r="U2257" i="1"/>
  <c r="BD2257" i="1"/>
  <c r="CE2257" i="1"/>
  <c r="A2258" i="1"/>
  <c r="C2258" i="1"/>
  <c r="S2258" i="1"/>
  <c r="T2258" i="1"/>
  <c r="U2258" i="1"/>
  <c r="BD2258" i="1"/>
  <c r="CE2258" i="1"/>
  <c r="A2259" i="1"/>
  <c r="C2259" i="1"/>
  <c r="S2259" i="1"/>
  <c r="T2259" i="1"/>
  <c r="U2259" i="1"/>
  <c r="BD2259" i="1"/>
  <c r="CE2259" i="1"/>
  <c r="A2260" i="1"/>
  <c r="C2260" i="1"/>
  <c r="S2260" i="1"/>
  <c r="T2260" i="1"/>
  <c r="U2260" i="1"/>
  <c r="BD2260" i="1"/>
  <c r="CE2260" i="1"/>
  <c r="A2261" i="1"/>
  <c r="C2261" i="1"/>
  <c r="S2261" i="1"/>
  <c r="T2261" i="1"/>
  <c r="U2261" i="1"/>
  <c r="BD2261" i="1"/>
  <c r="CE2261" i="1"/>
  <c r="A2262" i="1"/>
  <c r="C2262" i="1"/>
  <c r="S2262" i="1"/>
  <c r="T2262" i="1"/>
  <c r="U2262" i="1"/>
  <c r="BD2262" i="1"/>
  <c r="CE2262" i="1"/>
  <c r="A2263" i="1"/>
  <c r="C2263" i="1"/>
  <c r="S2263" i="1"/>
  <c r="T2263" i="1"/>
  <c r="U2263" i="1"/>
  <c r="BD2263" i="1"/>
  <c r="CE2263" i="1"/>
  <c r="A2264" i="1"/>
  <c r="C2264" i="1"/>
  <c r="S2264" i="1"/>
  <c r="T2264" i="1"/>
  <c r="U2264" i="1"/>
  <c r="BD2264" i="1"/>
  <c r="CE2264" i="1"/>
  <c r="A2265" i="1"/>
  <c r="C2265" i="1"/>
  <c r="S2265" i="1"/>
  <c r="T2265" i="1"/>
  <c r="U2265" i="1"/>
  <c r="BD2265" i="1"/>
  <c r="CE2265" i="1"/>
  <c r="A2266" i="1"/>
  <c r="C2266" i="1"/>
  <c r="S2266" i="1"/>
  <c r="T2266" i="1"/>
  <c r="U2266" i="1"/>
  <c r="BD2266" i="1"/>
  <c r="CE2266" i="1"/>
  <c r="A2267" i="1"/>
  <c r="C2267" i="1"/>
  <c r="S2267" i="1"/>
  <c r="T2267" i="1"/>
  <c r="U2267" i="1"/>
  <c r="BD2267" i="1"/>
  <c r="CE2267" i="1"/>
  <c r="A2268" i="1"/>
  <c r="C2268" i="1"/>
  <c r="S2268" i="1"/>
  <c r="T2268" i="1"/>
  <c r="U2268" i="1"/>
  <c r="BD2268" i="1"/>
  <c r="CE2268" i="1"/>
  <c r="A2269" i="1"/>
  <c r="C2269" i="1"/>
  <c r="S2269" i="1"/>
  <c r="T2269" i="1"/>
  <c r="U2269" i="1"/>
  <c r="BD2269" i="1"/>
  <c r="CE2269" i="1"/>
  <c r="A2270" i="1"/>
  <c r="C2270" i="1"/>
  <c r="S2270" i="1"/>
  <c r="T2270" i="1"/>
  <c r="U2270" i="1"/>
  <c r="BD2270" i="1"/>
  <c r="CE2270" i="1"/>
  <c r="A2271" i="1"/>
  <c r="C2271" i="1"/>
  <c r="S2271" i="1"/>
  <c r="T2271" i="1"/>
  <c r="U2271" i="1"/>
  <c r="BD2271" i="1"/>
  <c r="CE2271" i="1"/>
  <c r="A2272" i="1"/>
  <c r="C2272" i="1"/>
  <c r="S2272" i="1"/>
  <c r="T2272" i="1"/>
  <c r="U2272" i="1"/>
  <c r="BD2272" i="1"/>
  <c r="CE2272" i="1"/>
  <c r="A2273" i="1"/>
  <c r="C2273" i="1"/>
  <c r="S2273" i="1"/>
  <c r="T2273" i="1"/>
  <c r="U2273" i="1"/>
  <c r="BD2273" i="1"/>
  <c r="CE2273" i="1"/>
  <c r="A2274" i="1"/>
  <c r="C2274" i="1"/>
  <c r="S2274" i="1"/>
  <c r="T2274" i="1"/>
  <c r="U2274" i="1"/>
  <c r="BD2274" i="1"/>
  <c r="CE2274" i="1"/>
  <c r="A2275" i="1"/>
  <c r="C2275" i="1"/>
  <c r="S2275" i="1"/>
  <c r="T2275" i="1"/>
  <c r="U2275" i="1"/>
  <c r="BD2275" i="1"/>
  <c r="CE2275" i="1"/>
  <c r="A2276" i="1"/>
  <c r="C2276" i="1"/>
  <c r="S2276" i="1"/>
  <c r="T2276" i="1"/>
  <c r="U2276" i="1"/>
  <c r="BD2276" i="1"/>
  <c r="CE2276" i="1"/>
  <c r="A2277" i="1"/>
  <c r="C2277" i="1"/>
  <c r="S2277" i="1"/>
  <c r="T2277" i="1"/>
  <c r="U2277" i="1"/>
  <c r="BD2277" i="1"/>
  <c r="CE2277" i="1"/>
  <c r="A2278" i="1"/>
  <c r="C2278" i="1"/>
  <c r="S2278" i="1"/>
  <c r="T2278" i="1"/>
  <c r="U2278" i="1"/>
  <c r="BD2278" i="1"/>
  <c r="CE2278" i="1"/>
  <c r="A2279" i="1"/>
  <c r="C2279" i="1"/>
  <c r="S2279" i="1"/>
  <c r="T2279" i="1"/>
  <c r="U2279" i="1"/>
  <c r="BD2279" i="1"/>
  <c r="CE2279" i="1"/>
  <c r="A2280" i="1"/>
  <c r="C2280" i="1"/>
  <c r="S2280" i="1"/>
  <c r="T2280" i="1"/>
  <c r="U2280" i="1"/>
  <c r="BD2280" i="1"/>
  <c r="CE2280" i="1"/>
  <c r="A2281" i="1"/>
  <c r="C2281" i="1"/>
  <c r="S2281" i="1"/>
  <c r="T2281" i="1"/>
  <c r="U2281" i="1"/>
  <c r="BD2281" i="1"/>
  <c r="CE2281" i="1"/>
  <c r="A2282" i="1"/>
  <c r="C2282" i="1"/>
  <c r="S2282" i="1"/>
  <c r="T2282" i="1"/>
  <c r="U2282" i="1"/>
  <c r="BD2282" i="1"/>
  <c r="CE2282" i="1"/>
  <c r="A2283" i="1"/>
  <c r="C2283" i="1"/>
  <c r="S2283" i="1"/>
  <c r="T2283" i="1"/>
  <c r="U2283" i="1"/>
  <c r="BD2283" i="1"/>
  <c r="CE2283" i="1"/>
  <c r="A2284" i="1"/>
  <c r="C2284" i="1"/>
  <c r="S2284" i="1"/>
  <c r="T2284" i="1"/>
  <c r="U2284" i="1"/>
  <c r="BD2284" i="1"/>
  <c r="CE2284" i="1"/>
  <c r="A2285" i="1"/>
  <c r="C2285" i="1"/>
  <c r="S2285" i="1"/>
  <c r="T2285" i="1"/>
  <c r="U2285" i="1"/>
  <c r="BD2285" i="1"/>
  <c r="CE2285" i="1"/>
  <c r="A2286" i="1"/>
  <c r="C2286" i="1"/>
  <c r="S2286" i="1"/>
  <c r="T2286" i="1"/>
  <c r="U2286" i="1"/>
  <c r="BD2286" i="1"/>
  <c r="CE2286" i="1"/>
  <c r="A2287" i="1"/>
  <c r="C2287" i="1"/>
  <c r="S2287" i="1"/>
  <c r="T2287" i="1"/>
  <c r="U2287" i="1"/>
  <c r="BD2287" i="1"/>
  <c r="CE2287" i="1"/>
  <c r="A2288" i="1"/>
  <c r="C2288" i="1"/>
  <c r="S2288" i="1"/>
  <c r="T2288" i="1"/>
  <c r="U2288" i="1"/>
  <c r="BD2288" i="1"/>
  <c r="CE2288" i="1"/>
  <c r="A2289" i="1"/>
  <c r="C2289" i="1"/>
  <c r="S2289" i="1"/>
  <c r="T2289" i="1"/>
  <c r="U2289" i="1"/>
  <c r="BD2289" i="1"/>
  <c r="CE2289" i="1"/>
  <c r="A2290" i="1"/>
  <c r="C2290" i="1"/>
  <c r="S2290" i="1"/>
  <c r="T2290" i="1"/>
  <c r="U2290" i="1"/>
  <c r="BD2290" i="1"/>
  <c r="CE2290" i="1"/>
  <c r="A2291" i="1"/>
  <c r="C2291" i="1"/>
  <c r="S2291" i="1"/>
  <c r="T2291" i="1"/>
  <c r="U2291" i="1"/>
  <c r="BD2291" i="1"/>
  <c r="CE2291" i="1"/>
  <c r="A2292" i="1"/>
  <c r="C2292" i="1"/>
  <c r="S2292" i="1"/>
  <c r="T2292" i="1"/>
  <c r="U2292" i="1"/>
  <c r="BD2292" i="1"/>
  <c r="CE2292" i="1"/>
  <c r="A2293" i="1"/>
  <c r="C2293" i="1"/>
  <c r="S2293" i="1"/>
  <c r="T2293" i="1"/>
  <c r="U2293" i="1"/>
  <c r="BD2293" i="1"/>
  <c r="CE2293" i="1"/>
  <c r="A2294" i="1"/>
  <c r="C2294" i="1"/>
  <c r="S2294" i="1"/>
  <c r="T2294" i="1"/>
  <c r="U2294" i="1"/>
  <c r="BD2294" i="1"/>
  <c r="CE2294" i="1"/>
  <c r="A2295" i="1"/>
  <c r="C2295" i="1"/>
  <c r="S2295" i="1"/>
  <c r="T2295" i="1"/>
  <c r="U2295" i="1"/>
  <c r="BD2295" i="1"/>
  <c r="CE2295" i="1"/>
  <c r="A2296" i="1"/>
  <c r="C2296" i="1"/>
  <c r="S2296" i="1"/>
  <c r="T2296" i="1"/>
  <c r="U2296" i="1"/>
  <c r="BD2296" i="1"/>
  <c r="CE2296" i="1"/>
  <c r="A2297" i="1"/>
  <c r="C2297" i="1"/>
  <c r="S2297" i="1"/>
  <c r="T2297" i="1"/>
  <c r="U2297" i="1"/>
  <c r="BD2297" i="1"/>
  <c r="CE2297" i="1"/>
  <c r="A2298" i="1"/>
  <c r="C2298" i="1"/>
  <c r="S2298" i="1"/>
  <c r="T2298" i="1"/>
  <c r="U2298" i="1"/>
  <c r="BD2298" i="1"/>
  <c r="CE2298" i="1"/>
  <c r="A2299" i="1"/>
  <c r="C2299" i="1"/>
  <c r="S2299" i="1"/>
  <c r="T2299" i="1"/>
  <c r="U2299" i="1"/>
  <c r="BD2299" i="1"/>
  <c r="CE2299" i="1"/>
  <c r="A2300" i="1"/>
  <c r="C2300" i="1"/>
  <c r="S2300" i="1"/>
  <c r="T2300" i="1"/>
  <c r="U2300" i="1"/>
  <c r="BD2300" i="1"/>
  <c r="CE2300" i="1"/>
  <c r="A2301" i="1"/>
  <c r="C2301" i="1"/>
  <c r="S2301" i="1"/>
  <c r="T2301" i="1"/>
  <c r="U2301" i="1"/>
  <c r="BD2301" i="1"/>
  <c r="CE2301" i="1"/>
  <c r="A2302" i="1"/>
  <c r="C2302" i="1"/>
  <c r="S2302" i="1"/>
  <c r="T2302" i="1"/>
  <c r="U2302" i="1"/>
  <c r="BD2302" i="1"/>
  <c r="CE2302" i="1"/>
  <c r="A2303" i="1"/>
  <c r="C2303" i="1"/>
  <c r="S2303" i="1"/>
  <c r="T2303" i="1"/>
  <c r="U2303" i="1"/>
  <c r="BD2303" i="1"/>
  <c r="CE2303" i="1"/>
  <c r="A2304" i="1"/>
  <c r="C2304" i="1"/>
  <c r="S2304" i="1"/>
  <c r="T2304" i="1"/>
  <c r="U2304" i="1"/>
  <c r="BD2304" i="1"/>
  <c r="CE2304" i="1"/>
  <c r="A2305" i="1"/>
  <c r="C2305" i="1"/>
  <c r="S2305" i="1"/>
  <c r="T2305" i="1"/>
  <c r="U2305" i="1"/>
  <c r="BD2305" i="1"/>
  <c r="CE2305" i="1"/>
  <c r="A2306" i="1"/>
  <c r="C2306" i="1"/>
  <c r="S2306" i="1"/>
  <c r="T2306" i="1"/>
  <c r="U2306" i="1"/>
  <c r="BD2306" i="1"/>
  <c r="CE2306" i="1"/>
  <c r="A2307" i="1"/>
  <c r="C2307" i="1"/>
  <c r="S2307" i="1"/>
  <c r="T2307" i="1"/>
  <c r="U2307" i="1"/>
  <c r="BD2307" i="1"/>
  <c r="CE2307" i="1"/>
  <c r="A2308" i="1"/>
  <c r="C2308" i="1"/>
  <c r="S2308" i="1"/>
  <c r="T2308" i="1"/>
  <c r="U2308" i="1"/>
  <c r="BD2308" i="1"/>
  <c r="CE2308" i="1"/>
  <c r="A2309" i="1"/>
  <c r="C2309" i="1"/>
  <c r="S2309" i="1"/>
  <c r="T2309" i="1"/>
  <c r="U2309" i="1"/>
  <c r="BD2309" i="1"/>
  <c r="CE2309" i="1"/>
  <c r="A2310" i="1"/>
  <c r="C2310" i="1"/>
  <c r="S2310" i="1"/>
  <c r="T2310" i="1"/>
  <c r="U2310" i="1"/>
  <c r="BD2310" i="1"/>
  <c r="CE2310" i="1"/>
  <c r="A2311" i="1"/>
  <c r="C2311" i="1"/>
  <c r="S2311" i="1"/>
  <c r="T2311" i="1"/>
  <c r="U2311" i="1"/>
  <c r="BD2311" i="1"/>
  <c r="CE2311" i="1"/>
  <c r="A2312" i="1"/>
  <c r="C2312" i="1"/>
  <c r="S2312" i="1"/>
  <c r="T2312" i="1"/>
  <c r="U2312" i="1"/>
  <c r="BD2312" i="1"/>
  <c r="CE2312" i="1"/>
  <c r="A2313" i="1"/>
  <c r="C2313" i="1"/>
  <c r="S2313" i="1"/>
  <c r="T2313" i="1"/>
  <c r="U2313" i="1"/>
  <c r="BD2313" i="1"/>
  <c r="CE2313" i="1"/>
  <c r="A2314" i="1"/>
  <c r="C2314" i="1"/>
  <c r="S2314" i="1"/>
  <c r="T2314" i="1"/>
  <c r="U2314" i="1"/>
  <c r="BD2314" i="1"/>
  <c r="CE2314" i="1"/>
  <c r="A2315" i="1"/>
  <c r="C2315" i="1"/>
  <c r="S2315" i="1"/>
  <c r="T2315" i="1"/>
  <c r="U2315" i="1"/>
  <c r="BD2315" i="1"/>
  <c r="CE2315" i="1"/>
  <c r="A2316" i="1"/>
  <c r="C2316" i="1"/>
  <c r="S2316" i="1"/>
  <c r="T2316" i="1"/>
  <c r="U2316" i="1"/>
  <c r="BD2316" i="1"/>
  <c r="CE2316" i="1"/>
  <c r="A2317" i="1"/>
  <c r="C2317" i="1"/>
  <c r="S2317" i="1"/>
  <c r="T2317" i="1"/>
  <c r="U2317" i="1"/>
  <c r="BD2317" i="1"/>
  <c r="CE2317" i="1"/>
  <c r="A2318" i="1"/>
  <c r="C2318" i="1"/>
  <c r="S2318" i="1"/>
  <c r="T2318" i="1"/>
  <c r="U2318" i="1"/>
  <c r="BD2318" i="1"/>
  <c r="CE2318" i="1"/>
  <c r="A2319" i="1"/>
  <c r="C2319" i="1"/>
  <c r="S2319" i="1"/>
  <c r="T2319" i="1"/>
  <c r="U2319" i="1"/>
  <c r="BD2319" i="1"/>
  <c r="CE2319" i="1"/>
  <c r="A2320" i="1"/>
  <c r="C2320" i="1"/>
  <c r="S2320" i="1"/>
  <c r="T2320" i="1"/>
  <c r="U2320" i="1"/>
  <c r="BD2320" i="1"/>
  <c r="CE2320" i="1"/>
  <c r="A2321" i="1"/>
  <c r="C2321" i="1"/>
  <c r="S2321" i="1"/>
  <c r="T2321" i="1"/>
  <c r="U2321" i="1"/>
  <c r="BD2321" i="1"/>
  <c r="CE2321" i="1"/>
  <c r="A2322" i="1"/>
  <c r="C2322" i="1"/>
  <c r="S2322" i="1"/>
  <c r="T2322" i="1"/>
  <c r="U2322" i="1"/>
  <c r="BD2322" i="1"/>
  <c r="CE2322" i="1"/>
  <c r="A2323" i="1"/>
  <c r="C2323" i="1"/>
  <c r="S2323" i="1"/>
  <c r="T2323" i="1"/>
  <c r="U2323" i="1"/>
  <c r="BD2323" i="1"/>
  <c r="CE2323" i="1"/>
  <c r="A2324" i="1"/>
  <c r="C2324" i="1"/>
  <c r="S2324" i="1"/>
  <c r="T2324" i="1"/>
  <c r="U2324" i="1"/>
  <c r="BD2324" i="1"/>
  <c r="CE2324" i="1"/>
  <c r="A2325" i="1"/>
  <c r="C2325" i="1"/>
  <c r="S2325" i="1"/>
  <c r="T2325" i="1"/>
  <c r="U2325" i="1"/>
  <c r="BD2325" i="1"/>
  <c r="CE2325" i="1"/>
  <c r="A2326" i="1"/>
  <c r="C2326" i="1"/>
  <c r="S2326" i="1"/>
  <c r="T2326" i="1"/>
  <c r="U2326" i="1"/>
  <c r="BD2326" i="1"/>
  <c r="CE2326" i="1"/>
  <c r="A2327" i="1"/>
  <c r="C2327" i="1"/>
  <c r="S2327" i="1"/>
  <c r="T2327" i="1"/>
  <c r="U2327" i="1"/>
  <c r="BD2327" i="1"/>
  <c r="CE2327" i="1"/>
  <c r="A2328" i="1"/>
  <c r="C2328" i="1"/>
  <c r="S2328" i="1"/>
  <c r="T2328" i="1"/>
  <c r="U2328" i="1"/>
  <c r="BD2328" i="1"/>
  <c r="CE2328" i="1"/>
  <c r="A2329" i="1"/>
  <c r="C2329" i="1"/>
  <c r="S2329" i="1"/>
  <c r="T2329" i="1"/>
  <c r="U2329" i="1"/>
  <c r="BD2329" i="1"/>
  <c r="CE2329" i="1"/>
  <c r="A2330" i="1"/>
  <c r="C2330" i="1"/>
  <c r="S2330" i="1"/>
  <c r="T2330" i="1"/>
  <c r="U2330" i="1"/>
  <c r="BD2330" i="1"/>
  <c r="CE2330" i="1"/>
  <c r="A2331" i="1"/>
  <c r="C2331" i="1"/>
  <c r="S2331" i="1"/>
  <c r="T2331" i="1"/>
  <c r="U2331" i="1"/>
  <c r="BD2331" i="1"/>
  <c r="CE2331" i="1"/>
  <c r="A2332" i="1"/>
  <c r="C2332" i="1"/>
  <c r="S2332" i="1"/>
  <c r="T2332" i="1"/>
  <c r="U2332" i="1"/>
  <c r="BD2332" i="1"/>
  <c r="CE2332" i="1"/>
  <c r="A2333" i="1"/>
  <c r="C2333" i="1"/>
  <c r="S2333" i="1"/>
  <c r="T2333" i="1"/>
  <c r="U2333" i="1"/>
  <c r="BD2333" i="1"/>
  <c r="CE2333" i="1"/>
  <c r="A2334" i="1"/>
  <c r="C2334" i="1"/>
  <c r="S2334" i="1"/>
  <c r="T2334" i="1"/>
  <c r="U2334" i="1"/>
  <c r="BD2334" i="1"/>
  <c r="CE2334" i="1"/>
  <c r="A2335" i="1"/>
  <c r="C2335" i="1"/>
  <c r="S2335" i="1"/>
  <c r="T2335" i="1"/>
  <c r="U2335" i="1"/>
  <c r="BD2335" i="1"/>
  <c r="CE2335" i="1"/>
  <c r="A2336" i="1"/>
  <c r="C2336" i="1"/>
  <c r="S2336" i="1"/>
  <c r="T2336" i="1"/>
  <c r="U2336" i="1"/>
  <c r="BD2336" i="1"/>
  <c r="CE2336" i="1"/>
  <c r="A2337" i="1"/>
  <c r="C2337" i="1"/>
  <c r="S2337" i="1"/>
  <c r="T2337" i="1"/>
  <c r="U2337" i="1"/>
  <c r="BD2337" i="1"/>
  <c r="CE2337" i="1"/>
  <c r="A2338" i="1"/>
  <c r="C2338" i="1"/>
  <c r="S2338" i="1"/>
  <c r="T2338" i="1"/>
  <c r="U2338" i="1"/>
  <c r="BD2338" i="1"/>
  <c r="CE2338" i="1"/>
  <c r="A2339" i="1"/>
  <c r="C2339" i="1"/>
  <c r="S2339" i="1"/>
  <c r="T2339" i="1"/>
  <c r="U2339" i="1"/>
  <c r="BD2339" i="1"/>
  <c r="CE2339" i="1"/>
  <c r="A2340" i="1"/>
  <c r="C2340" i="1"/>
  <c r="S2340" i="1"/>
  <c r="T2340" i="1"/>
  <c r="U2340" i="1"/>
  <c r="BD2340" i="1"/>
  <c r="CE2340" i="1"/>
  <c r="A2341" i="1"/>
  <c r="C2341" i="1"/>
  <c r="S2341" i="1"/>
  <c r="T2341" i="1"/>
  <c r="U2341" i="1"/>
  <c r="BD2341" i="1"/>
  <c r="CE2341" i="1"/>
  <c r="A2342" i="1"/>
  <c r="C2342" i="1"/>
  <c r="S2342" i="1"/>
  <c r="T2342" i="1"/>
  <c r="U2342" i="1"/>
  <c r="BD2342" i="1"/>
  <c r="CE2342" i="1"/>
  <c r="A2343" i="1"/>
  <c r="C2343" i="1"/>
  <c r="S2343" i="1"/>
  <c r="T2343" i="1"/>
  <c r="U2343" i="1"/>
  <c r="BD2343" i="1"/>
  <c r="CE2343" i="1"/>
  <c r="A2344" i="1"/>
  <c r="C2344" i="1"/>
  <c r="S2344" i="1"/>
  <c r="T2344" i="1"/>
  <c r="U2344" i="1"/>
  <c r="BD2344" i="1"/>
  <c r="CE2344" i="1"/>
  <c r="A2345" i="1"/>
  <c r="C2345" i="1"/>
  <c r="S2345" i="1"/>
  <c r="T2345" i="1"/>
  <c r="U2345" i="1"/>
  <c r="BD2345" i="1"/>
  <c r="CE2345" i="1"/>
  <c r="A2346" i="1"/>
  <c r="C2346" i="1"/>
  <c r="S2346" i="1"/>
  <c r="T2346" i="1"/>
  <c r="U2346" i="1"/>
  <c r="BD2346" i="1"/>
  <c r="CE2346" i="1"/>
  <c r="A2347" i="1"/>
  <c r="C2347" i="1"/>
  <c r="S2347" i="1"/>
  <c r="T2347" i="1"/>
  <c r="U2347" i="1"/>
  <c r="BD2347" i="1"/>
  <c r="CE2347" i="1"/>
  <c r="A2348" i="1"/>
  <c r="C2348" i="1"/>
  <c r="S2348" i="1"/>
  <c r="T2348" i="1"/>
  <c r="U2348" i="1"/>
  <c r="BD2348" i="1"/>
  <c r="CE2348" i="1"/>
  <c r="A2349" i="1"/>
  <c r="C2349" i="1"/>
  <c r="S2349" i="1"/>
  <c r="T2349" i="1"/>
  <c r="U2349" i="1"/>
  <c r="BD2349" i="1"/>
  <c r="CE2349" i="1"/>
  <c r="A2350" i="1"/>
  <c r="C2350" i="1"/>
  <c r="S2350" i="1"/>
  <c r="T2350" i="1"/>
  <c r="U2350" i="1"/>
  <c r="BD2350" i="1"/>
  <c r="CE2350" i="1"/>
  <c r="A2351" i="1"/>
  <c r="C2351" i="1"/>
  <c r="S2351" i="1"/>
  <c r="T2351" i="1"/>
  <c r="U2351" i="1"/>
  <c r="BD2351" i="1"/>
  <c r="CE2351" i="1"/>
  <c r="A2352" i="1"/>
  <c r="C2352" i="1"/>
  <c r="S2352" i="1"/>
  <c r="T2352" i="1"/>
  <c r="U2352" i="1"/>
  <c r="BD2352" i="1"/>
  <c r="CE2352" i="1"/>
  <c r="A2353" i="1"/>
  <c r="C2353" i="1"/>
  <c r="S2353" i="1"/>
  <c r="T2353" i="1"/>
  <c r="U2353" i="1"/>
  <c r="BD2353" i="1"/>
  <c r="CE2353" i="1"/>
  <c r="A2354" i="1"/>
  <c r="C2354" i="1"/>
  <c r="S2354" i="1"/>
  <c r="T2354" i="1"/>
  <c r="U2354" i="1"/>
  <c r="BD2354" i="1"/>
  <c r="CE2354" i="1"/>
  <c r="A2355" i="1"/>
  <c r="C2355" i="1"/>
  <c r="S2355" i="1"/>
  <c r="T2355" i="1"/>
  <c r="U2355" i="1"/>
  <c r="BD2355" i="1"/>
  <c r="CE2355" i="1"/>
  <c r="A2356" i="1"/>
  <c r="C2356" i="1"/>
  <c r="S2356" i="1"/>
  <c r="T2356" i="1"/>
  <c r="U2356" i="1"/>
  <c r="BD2356" i="1"/>
  <c r="CE2356" i="1"/>
  <c r="A2357" i="1"/>
  <c r="C2357" i="1"/>
  <c r="S2357" i="1"/>
  <c r="T2357" i="1"/>
  <c r="U2357" i="1"/>
  <c r="BD2357" i="1"/>
  <c r="CE2357" i="1"/>
  <c r="A2358" i="1"/>
  <c r="C2358" i="1"/>
  <c r="S2358" i="1"/>
  <c r="T2358" i="1"/>
  <c r="U2358" i="1"/>
  <c r="BD2358" i="1"/>
  <c r="CE2358" i="1"/>
  <c r="A2359" i="1"/>
  <c r="C2359" i="1"/>
  <c r="S2359" i="1"/>
  <c r="T2359" i="1"/>
  <c r="U2359" i="1"/>
  <c r="BD2359" i="1"/>
  <c r="CE2359" i="1"/>
  <c r="A2360" i="1"/>
  <c r="C2360" i="1"/>
  <c r="S2360" i="1"/>
  <c r="T2360" i="1"/>
  <c r="U2360" i="1"/>
  <c r="BD2360" i="1"/>
  <c r="CE2360" i="1"/>
  <c r="A2361" i="1"/>
  <c r="C2361" i="1"/>
  <c r="S2361" i="1"/>
  <c r="T2361" i="1"/>
  <c r="U2361" i="1"/>
  <c r="BD2361" i="1"/>
  <c r="CE2361" i="1"/>
  <c r="A2362" i="1"/>
  <c r="C2362" i="1"/>
  <c r="S2362" i="1"/>
  <c r="T2362" i="1"/>
  <c r="U2362" i="1"/>
  <c r="BD2362" i="1"/>
  <c r="CE2362" i="1"/>
  <c r="A2363" i="1"/>
  <c r="C2363" i="1"/>
  <c r="S2363" i="1"/>
  <c r="T2363" i="1"/>
  <c r="U2363" i="1"/>
  <c r="BD2363" i="1"/>
  <c r="CE2363" i="1"/>
  <c r="A2364" i="1"/>
  <c r="C2364" i="1"/>
  <c r="S2364" i="1"/>
  <c r="T2364" i="1"/>
  <c r="U2364" i="1"/>
  <c r="BD2364" i="1"/>
  <c r="CE2364" i="1"/>
  <c r="A2365" i="1"/>
  <c r="C2365" i="1"/>
  <c r="S2365" i="1"/>
  <c r="T2365" i="1"/>
  <c r="U2365" i="1"/>
  <c r="BD2365" i="1"/>
  <c r="CE2365" i="1"/>
  <c r="A2366" i="1"/>
  <c r="C2366" i="1"/>
  <c r="S2366" i="1"/>
  <c r="T2366" i="1"/>
  <c r="U2366" i="1"/>
  <c r="BD2366" i="1"/>
  <c r="CE2366" i="1"/>
  <c r="A2367" i="1"/>
  <c r="C2367" i="1"/>
  <c r="S2367" i="1"/>
  <c r="T2367" i="1"/>
  <c r="U2367" i="1"/>
  <c r="BD2367" i="1"/>
  <c r="CE2367" i="1"/>
  <c r="A2368" i="1"/>
  <c r="C2368" i="1"/>
  <c r="S2368" i="1"/>
  <c r="T2368" i="1"/>
  <c r="U2368" i="1"/>
  <c r="BD2368" i="1"/>
  <c r="CE2368" i="1"/>
  <c r="A2369" i="1"/>
  <c r="C2369" i="1"/>
  <c r="S2369" i="1"/>
  <c r="T2369" i="1"/>
  <c r="U2369" i="1"/>
  <c r="BD2369" i="1"/>
  <c r="CE2369" i="1"/>
  <c r="A2370" i="1"/>
  <c r="C2370" i="1"/>
  <c r="S2370" i="1"/>
  <c r="T2370" i="1"/>
  <c r="U2370" i="1"/>
  <c r="BD2370" i="1"/>
  <c r="CE2370" i="1"/>
  <c r="A2371" i="1"/>
  <c r="C2371" i="1"/>
  <c r="S2371" i="1"/>
  <c r="T2371" i="1"/>
  <c r="U2371" i="1"/>
  <c r="BD2371" i="1"/>
  <c r="CE2371" i="1"/>
  <c r="A2372" i="1"/>
  <c r="C2372" i="1"/>
  <c r="S2372" i="1"/>
  <c r="T2372" i="1"/>
  <c r="U2372" i="1"/>
  <c r="BD2372" i="1"/>
  <c r="CE2372" i="1"/>
  <c r="A2373" i="1"/>
  <c r="C2373" i="1"/>
  <c r="S2373" i="1"/>
  <c r="T2373" i="1"/>
  <c r="U2373" i="1"/>
  <c r="BD2373" i="1"/>
  <c r="CE2373" i="1"/>
  <c r="A2374" i="1"/>
  <c r="C2374" i="1"/>
  <c r="S2374" i="1"/>
  <c r="T2374" i="1"/>
  <c r="U2374" i="1"/>
  <c r="BD2374" i="1"/>
  <c r="CE2374" i="1"/>
  <c r="A2375" i="1"/>
  <c r="C2375" i="1"/>
  <c r="S2375" i="1"/>
  <c r="T2375" i="1"/>
  <c r="U2375" i="1"/>
  <c r="BD2375" i="1"/>
  <c r="CE2375" i="1"/>
  <c r="A2376" i="1"/>
  <c r="C2376" i="1"/>
  <c r="S2376" i="1"/>
  <c r="T2376" i="1"/>
  <c r="U2376" i="1"/>
  <c r="BD2376" i="1"/>
  <c r="CE2376" i="1"/>
  <c r="A2377" i="1"/>
  <c r="C2377" i="1"/>
  <c r="S2377" i="1"/>
  <c r="T2377" i="1"/>
  <c r="U2377" i="1"/>
  <c r="BD2377" i="1"/>
  <c r="CE2377" i="1"/>
  <c r="A2378" i="1"/>
  <c r="C2378" i="1"/>
  <c r="S2378" i="1"/>
  <c r="T2378" i="1"/>
  <c r="U2378" i="1"/>
  <c r="BD2378" i="1"/>
  <c r="CE2378" i="1"/>
  <c r="A2379" i="1"/>
  <c r="C2379" i="1"/>
  <c r="S2379" i="1"/>
  <c r="T2379" i="1"/>
  <c r="U2379" i="1"/>
  <c r="BD2379" i="1"/>
  <c r="CE2379" i="1"/>
  <c r="A2380" i="1"/>
  <c r="C2380" i="1"/>
  <c r="S2380" i="1"/>
  <c r="T2380" i="1"/>
  <c r="U2380" i="1"/>
  <c r="BD2380" i="1"/>
  <c r="CE2380" i="1"/>
  <c r="A2381" i="1"/>
  <c r="C2381" i="1"/>
  <c r="S2381" i="1"/>
  <c r="T2381" i="1"/>
  <c r="U2381" i="1"/>
  <c r="BD2381" i="1"/>
  <c r="CE2381" i="1"/>
  <c r="A2382" i="1"/>
  <c r="C2382" i="1"/>
  <c r="S2382" i="1"/>
  <c r="T2382" i="1"/>
  <c r="U2382" i="1"/>
  <c r="BD2382" i="1"/>
  <c r="CE2382" i="1"/>
  <c r="A2383" i="1"/>
  <c r="C2383" i="1"/>
  <c r="S2383" i="1"/>
  <c r="T2383" i="1"/>
  <c r="U2383" i="1"/>
  <c r="BD2383" i="1"/>
  <c r="CE2383" i="1"/>
  <c r="A2384" i="1"/>
  <c r="C2384" i="1"/>
  <c r="S2384" i="1"/>
  <c r="T2384" i="1"/>
  <c r="U2384" i="1"/>
  <c r="BD2384" i="1"/>
  <c r="CE2384" i="1"/>
  <c r="A2385" i="1"/>
  <c r="C2385" i="1"/>
  <c r="S2385" i="1"/>
  <c r="T2385" i="1"/>
  <c r="U2385" i="1"/>
  <c r="BD2385" i="1"/>
  <c r="CE2385" i="1"/>
  <c r="A2386" i="1"/>
  <c r="C2386" i="1"/>
  <c r="S2386" i="1"/>
  <c r="T2386" i="1"/>
  <c r="U2386" i="1"/>
  <c r="BD2386" i="1"/>
  <c r="CE2386" i="1"/>
  <c r="A2387" i="1"/>
  <c r="C2387" i="1"/>
  <c r="S2387" i="1"/>
  <c r="T2387" i="1"/>
  <c r="U2387" i="1"/>
  <c r="BD2387" i="1"/>
  <c r="CE2387" i="1"/>
  <c r="A2388" i="1"/>
  <c r="C2388" i="1"/>
  <c r="S2388" i="1"/>
  <c r="T2388" i="1"/>
  <c r="U2388" i="1"/>
  <c r="BD2388" i="1"/>
  <c r="CE2388" i="1"/>
  <c r="A2389" i="1"/>
  <c r="C2389" i="1"/>
  <c r="S2389" i="1"/>
  <c r="T2389" i="1"/>
  <c r="U2389" i="1"/>
  <c r="BD2389" i="1"/>
  <c r="CE2389" i="1"/>
  <c r="A2390" i="1"/>
  <c r="C2390" i="1"/>
  <c r="S2390" i="1"/>
  <c r="T2390" i="1"/>
  <c r="U2390" i="1"/>
  <c r="BD2390" i="1"/>
  <c r="CE2390" i="1"/>
  <c r="A2391" i="1"/>
  <c r="C2391" i="1"/>
  <c r="S2391" i="1"/>
  <c r="T2391" i="1"/>
  <c r="U2391" i="1"/>
  <c r="BD2391" i="1"/>
  <c r="CE2391" i="1"/>
  <c r="A2392" i="1"/>
  <c r="C2392" i="1"/>
  <c r="S2392" i="1"/>
  <c r="T2392" i="1"/>
  <c r="U2392" i="1"/>
  <c r="BD2392" i="1"/>
  <c r="CE2392" i="1"/>
  <c r="A2393" i="1"/>
  <c r="C2393" i="1"/>
  <c r="S2393" i="1"/>
  <c r="T2393" i="1"/>
  <c r="U2393" i="1"/>
  <c r="BD2393" i="1"/>
  <c r="CE2393" i="1"/>
  <c r="A2394" i="1"/>
  <c r="C2394" i="1"/>
  <c r="S2394" i="1"/>
  <c r="T2394" i="1"/>
  <c r="U2394" i="1"/>
  <c r="BD2394" i="1"/>
  <c r="CE2394" i="1"/>
  <c r="A2395" i="1"/>
  <c r="C2395" i="1"/>
  <c r="S2395" i="1"/>
  <c r="T2395" i="1"/>
  <c r="U2395" i="1"/>
  <c r="BD2395" i="1"/>
  <c r="CE2395" i="1"/>
  <c r="A2396" i="1"/>
  <c r="C2396" i="1"/>
  <c r="S2396" i="1"/>
  <c r="T2396" i="1"/>
  <c r="U2396" i="1"/>
  <c r="BD2396" i="1"/>
  <c r="CE2396" i="1"/>
  <c r="A2397" i="1"/>
  <c r="C2397" i="1"/>
  <c r="S2397" i="1"/>
  <c r="T2397" i="1"/>
  <c r="U2397" i="1"/>
  <c r="BD2397" i="1"/>
  <c r="CE2397" i="1"/>
  <c r="A2398" i="1"/>
  <c r="C2398" i="1"/>
  <c r="S2398" i="1"/>
  <c r="T2398" i="1"/>
  <c r="U2398" i="1"/>
  <c r="BD2398" i="1"/>
  <c r="CE2398" i="1"/>
  <c r="A2399" i="1"/>
  <c r="C2399" i="1"/>
  <c r="S2399" i="1"/>
  <c r="T2399" i="1"/>
  <c r="U2399" i="1"/>
  <c r="BD2399" i="1"/>
  <c r="CE2399" i="1"/>
  <c r="A2400" i="1"/>
  <c r="C2400" i="1"/>
  <c r="S2400" i="1"/>
  <c r="T2400" i="1"/>
  <c r="U2400" i="1"/>
  <c r="BD2400" i="1"/>
  <c r="CE2400" i="1"/>
  <c r="A2401" i="1"/>
  <c r="C2401" i="1"/>
  <c r="S2401" i="1"/>
  <c r="T2401" i="1"/>
  <c r="U2401" i="1"/>
  <c r="BD2401" i="1"/>
  <c r="CE2401" i="1"/>
  <c r="A2402" i="1"/>
  <c r="C2402" i="1"/>
  <c r="S2402" i="1"/>
  <c r="T2402" i="1"/>
  <c r="U2402" i="1"/>
  <c r="BD2402" i="1"/>
  <c r="CE2402" i="1"/>
  <c r="A2403" i="1"/>
  <c r="C2403" i="1"/>
  <c r="S2403" i="1"/>
  <c r="T2403" i="1"/>
  <c r="U2403" i="1"/>
  <c r="BD2403" i="1"/>
  <c r="CE2403" i="1"/>
  <c r="A2404" i="1"/>
  <c r="C2404" i="1"/>
  <c r="S2404" i="1"/>
  <c r="T2404" i="1"/>
  <c r="U2404" i="1"/>
  <c r="BD2404" i="1"/>
  <c r="CE2404" i="1"/>
  <c r="A2405" i="1"/>
  <c r="C2405" i="1"/>
  <c r="S2405" i="1"/>
  <c r="T2405" i="1"/>
  <c r="U2405" i="1"/>
  <c r="BD2405" i="1"/>
  <c r="CE2405" i="1"/>
  <c r="A2406" i="1"/>
  <c r="C2406" i="1"/>
  <c r="S2406" i="1"/>
  <c r="T2406" i="1"/>
  <c r="U2406" i="1"/>
  <c r="BD2406" i="1"/>
  <c r="CE2406" i="1"/>
  <c r="A2407" i="1"/>
  <c r="C2407" i="1"/>
  <c r="S2407" i="1"/>
  <c r="T2407" i="1"/>
  <c r="U2407" i="1"/>
  <c r="BD2407" i="1"/>
  <c r="CE2407" i="1"/>
  <c r="A2408" i="1"/>
  <c r="C2408" i="1"/>
  <c r="S2408" i="1"/>
  <c r="T2408" i="1"/>
  <c r="U2408" i="1"/>
  <c r="BD2408" i="1"/>
  <c r="CE2408" i="1"/>
  <c r="A2409" i="1"/>
  <c r="C2409" i="1"/>
  <c r="S2409" i="1"/>
  <c r="T2409" i="1"/>
  <c r="U2409" i="1"/>
  <c r="BD2409" i="1"/>
  <c r="CE2409" i="1"/>
  <c r="A2410" i="1"/>
  <c r="C2410" i="1"/>
  <c r="S2410" i="1"/>
  <c r="T2410" i="1"/>
  <c r="U2410" i="1"/>
  <c r="BD2410" i="1"/>
  <c r="CE2410" i="1"/>
  <c r="A2411" i="1"/>
  <c r="C2411" i="1"/>
  <c r="S2411" i="1"/>
  <c r="T2411" i="1"/>
  <c r="U2411" i="1"/>
  <c r="BD2411" i="1"/>
  <c r="CE2411" i="1"/>
  <c r="A2412" i="1"/>
  <c r="C2412" i="1"/>
  <c r="S2412" i="1"/>
  <c r="T2412" i="1"/>
  <c r="U2412" i="1"/>
  <c r="BD2412" i="1"/>
  <c r="CE2412" i="1"/>
  <c r="A2413" i="1"/>
  <c r="C2413" i="1"/>
  <c r="S2413" i="1"/>
  <c r="T2413" i="1"/>
  <c r="U2413" i="1"/>
  <c r="BD2413" i="1"/>
  <c r="CE2413" i="1"/>
  <c r="A2414" i="1"/>
  <c r="C2414" i="1"/>
  <c r="S2414" i="1"/>
  <c r="T2414" i="1"/>
  <c r="U2414" i="1"/>
  <c r="BD2414" i="1"/>
  <c r="CE2414" i="1"/>
  <c r="A2415" i="1"/>
  <c r="C2415" i="1"/>
  <c r="S2415" i="1"/>
  <c r="T2415" i="1"/>
  <c r="U2415" i="1"/>
  <c r="BD2415" i="1"/>
  <c r="CE2415" i="1"/>
  <c r="A2416" i="1"/>
  <c r="C2416" i="1"/>
  <c r="S2416" i="1"/>
  <c r="T2416" i="1"/>
  <c r="U2416" i="1"/>
  <c r="BD2416" i="1"/>
  <c r="CE2416" i="1"/>
  <c r="A2417" i="1"/>
  <c r="C2417" i="1"/>
  <c r="S2417" i="1"/>
  <c r="T2417" i="1"/>
  <c r="U2417" i="1"/>
  <c r="BD2417" i="1"/>
  <c r="CE2417" i="1"/>
  <c r="A2418" i="1"/>
  <c r="C2418" i="1"/>
  <c r="S2418" i="1"/>
  <c r="T2418" i="1"/>
  <c r="U2418" i="1"/>
  <c r="BD2418" i="1"/>
  <c r="CE2418" i="1"/>
  <c r="A2419" i="1"/>
  <c r="C2419" i="1"/>
  <c r="S2419" i="1"/>
  <c r="T2419" i="1"/>
  <c r="U2419" i="1"/>
  <c r="BD2419" i="1"/>
  <c r="CE2419" i="1"/>
  <c r="A2420" i="1"/>
  <c r="C2420" i="1"/>
  <c r="S2420" i="1"/>
  <c r="T2420" i="1"/>
  <c r="U2420" i="1"/>
  <c r="BD2420" i="1"/>
  <c r="CE2420" i="1"/>
  <c r="A2421" i="1"/>
  <c r="C2421" i="1"/>
  <c r="S2421" i="1"/>
  <c r="T2421" i="1"/>
  <c r="U2421" i="1"/>
  <c r="BD2421" i="1"/>
  <c r="CE2421" i="1"/>
  <c r="A2422" i="1"/>
  <c r="C2422" i="1"/>
  <c r="S2422" i="1"/>
  <c r="T2422" i="1"/>
  <c r="U2422" i="1"/>
  <c r="BD2422" i="1"/>
  <c r="CE2422" i="1"/>
  <c r="A2423" i="1"/>
  <c r="C2423" i="1"/>
  <c r="S2423" i="1"/>
  <c r="T2423" i="1"/>
  <c r="U2423" i="1"/>
  <c r="BD2423" i="1"/>
  <c r="CE2423" i="1"/>
  <c r="A2424" i="1"/>
  <c r="C2424" i="1"/>
  <c r="S2424" i="1"/>
  <c r="T2424" i="1"/>
  <c r="U2424" i="1"/>
  <c r="BD2424" i="1"/>
  <c r="CE2424" i="1"/>
  <c r="A2425" i="1"/>
  <c r="C2425" i="1"/>
  <c r="S2425" i="1"/>
  <c r="T2425" i="1"/>
  <c r="U2425" i="1"/>
  <c r="BD2425" i="1"/>
  <c r="CE2425" i="1"/>
  <c r="A2426" i="1"/>
  <c r="C2426" i="1"/>
  <c r="S2426" i="1"/>
  <c r="T2426" i="1"/>
  <c r="U2426" i="1"/>
  <c r="BD2426" i="1"/>
  <c r="CE2426" i="1"/>
  <c r="A2427" i="1"/>
  <c r="C2427" i="1"/>
  <c r="S2427" i="1"/>
  <c r="T2427" i="1"/>
  <c r="U2427" i="1"/>
  <c r="BD2427" i="1"/>
  <c r="CE2427" i="1"/>
  <c r="A2428" i="1"/>
  <c r="C2428" i="1"/>
  <c r="S2428" i="1"/>
  <c r="T2428" i="1"/>
  <c r="U2428" i="1"/>
  <c r="BD2428" i="1"/>
  <c r="CE2428" i="1"/>
  <c r="A2429" i="1"/>
  <c r="C2429" i="1"/>
  <c r="S2429" i="1"/>
  <c r="T2429" i="1"/>
  <c r="U2429" i="1"/>
  <c r="BD2429" i="1"/>
  <c r="CE2429" i="1"/>
  <c r="A2430" i="1"/>
  <c r="C2430" i="1"/>
  <c r="S2430" i="1"/>
  <c r="T2430" i="1"/>
  <c r="U2430" i="1"/>
  <c r="BD2430" i="1"/>
  <c r="CE2430" i="1"/>
  <c r="A2431" i="1"/>
  <c r="C2431" i="1"/>
  <c r="S2431" i="1"/>
  <c r="T2431" i="1"/>
  <c r="U2431" i="1"/>
  <c r="BD2431" i="1"/>
  <c r="CE2431" i="1"/>
  <c r="A2432" i="1"/>
  <c r="C2432" i="1"/>
  <c r="S2432" i="1"/>
  <c r="T2432" i="1"/>
  <c r="U2432" i="1"/>
  <c r="BD2432" i="1"/>
  <c r="CE2432" i="1"/>
  <c r="A2433" i="1"/>
  <c r="C2433" i="1"/>
  <c r="S2433" i="1"/>
  <c r="T2433" i="1"/>
  <c r="U2433" i="1"/>
  <c r="BD2433" i="1"/>
  <c r="CE2433" i="1"/>
  <c r="A2434" i="1"/>
  <c r="C2434" i="1"/>
  <c r="S2434" i="1"/>
  <c r="T2434" i="1"/>
  <c r="U2434" i="1"/>
  <c r="BD2434" i="1"/>
  <c r="CE2434" i="1"/>
  <c r="A2435" i="1"/>
  <c r="C2435" i="1"/>
  <c r="S2435" i="1"/>
  <c r="T2435" i="1"/>
  <c r="U2435" i="1"/>
  <c r="BD2435" i="1"/>
  <c r="CE2435" i="1"/>
  <c r="A2436" i="1"/>
  <c r="C2436" i="1"/>
  <c r="S2436" i="1"/>
  <c r="T2436" i="1"/>
  <c r="U2436" i="1"/>
  <c r="BD2436" i="1"/>
  <c r="CE2436" i="1"/>
  <c r="A2437" i="1"/>
  <c r="C2437" i="1"/>
  <c r="S2437" i="1"/>
  <c r="T2437" i="1"/>
  <c r="U2437" i="1"/>
  <c r="BD2437" i="1"/>
  <c r="CE2437" i="1"/>
  <c r="A2438" i="1"/>
  <c r="C2438" i="1"/>
  <c r="S2438" i="1"/>
  <c r="T2438" i="1"/>
  <c r="U2438" i="1"/>
  <c r="BD2438" i="1"/>
  <c r="CE2438" i="1"/>
  <c r="A2439" i="1"/>
  <c r="C2439" i="1"/>
  <c r="S2439" i="1"/>
  <c r="T2439" i="1"/>
  <c r="U2439" i="1"/>
  <c r="BD2439" i="1"/>
  <c r="CE2439" i="1"/>
  <c r="A2440" i="1"/>
  <c r="C2440" i="1"/>
  <c r="S2440" i="1"/>
  <c r="T2440" i="1"/>
  <c r="U2440" i="1"/>
  <c r="BD2440" i="1"/>
  <c r="CE2440" i="1"/>
  <c r="A2441" i="1"/>
  <c r="C2441" i="1"/>
  <c r="S2441" i="1"/>
  <c r="T2441" i="1"/>
  <c r="U2441" i="1"/>
  <c r="BD2441" i="1"/>
  <c r="CE2441" i="1"/>
  <c r="A2442" i="1"/>
  <c r="C2442" i="1"/>
  <c r="S2442" i="1"/>
  <c r="T2442" i="1"/>
  <c r="U2442" i="1"/>
  <c r="BD2442" i="1"/>
  <c r="CE2442" i="1"/>
  <c r="A2443" i="1"/>
  <c r="C2443" i="1"/>
  <c r="S2443" i="1"/>
  <c r="T2443" i="1"/>
  <c r="U2443" i="1"/>
  <c r="BD2443" i="1"/>
  <c r="CE2443" i="1"/>
  <c r="A2444" i="1"/>
  <c r="C2444" i="1"/>
  <c r="S2444" i="1"/>
  <c r="T2444" i="1"/>
  <c r="U2444" i="1"/>
  <c r="BD2444" i="1"/>
  <c r="CE2444" i="1"/>
  <c r="A2445" i="1"/>
  <c r="C2445" i="1"/>
  <c r="S2445" i="1"/>
  <c r="T2445" i="1"/>
  <c r="U2445" i="1"/>
  <c r="BD2445" i="1"/>
  <c r="CE2445" i="1"/>
  <c r="A2446" i="1"/>
  <c r="C2446" i="1"/>
  <c r="S2446" i="1"/>
  <c r="T2446" i="1"/>
  <c r="U2446" i="1"/>
  <c r="BD2446" i="1"/>
  <c r="CE2446" i="1"/>
  <c r="A2447" i="1"/>
  <c r="C2447" i="1"/>
  <c r="S2447" i="1"/>
  <c r="T2447" i="1"/>
  <c r="U2447" i="1"/>
  <c r="BD2447" i="1"/>
  <c r="CE2447" i="1"/>
  <c r="A2448" i="1"/>
  <c r="C2448" i="1"/>
  <c r="S2448" i="1"/>
  <c r="T2448" i="1"/>
  <c r="U2448" i="1"/>
  <c r="BD2448" i="1"/>
  <c r="CE2448" i="1"/>
  <c r="A2449" i="1"/>
  <c r="C2449" i="1"/>
  <c r="S2449" i="1"/>
  <c r="T2449" i="1"/>
  <c r="U2449" i="1"/>
  <c r="BD2449" i="1"/>
  <c r="CE2449" i="1"/>
  <c r="A2450" i="1"/>
  <c r="C2450" i="1"/>
  <c r="S2450" i="1"/>
  <c r="T2450" i="1"/>
  <c r="U2450" i="1"/>
  <c r="BD2450" i="1"/>
  <c r="CE2450" i="1"/>
  <c r="A2451" i="1"/>
  <c r="C2451" i="1"/>
  <c r="S2451" i="1"/>
  <c r="T2451" i="1"/>
  <c r="U2451" i="1"/>
  <c r="BD2451" i="1"/>
  <c r="CE2451" i="1"/>
  <c r="A2452" i="1"/>
  <c r="C2452" i="1"/>
  <c r="S2452" i="1"/>
  <c r="T2452" i="1"/>
  <c r="U2452" i="1"/>
  <c r="BD2452" i="1"/>
  <c r="CE2452" i="1"/>
  <c r="A2453" i="1"/>
  <c r="C2453" i="1"/>
  <c r="S2453" i="1"/>
  <c r="T2453" i="1"/>
  <c r="U2453" i="1"/>
  <c r="BD2453" i="1"/>
  <c r="CE2453" i="1"/>
  <c r="A2454" i="1"/>
  <c r="C2454" i="1"/>
  <c r="S2454" i="1"/>
  <c r="T2454" i="1"/>
  <c r="U2454" i="1"/>
  <c r="BD2454" i="1"/>
  <c r="CE2454" i="1"/>
  <c r="A2455" i="1"/>
  <c r="C2455" i="1"/>
  <c r="S2455" i="1"/>
  <c r="T2455" i="1"/>
  <c r="U2455" i="1"/>
  <c r="BD2455" i="1"/>
  <c r="CE2455" i="1"/>
  <c r="A2456" i="1"/>
  <c r="C2456" i="1"/>
  <c r="S2456" i="1"/>
  <c r="T2456" i="1"/>
  <c r="U2456" i="1"/>
  <c r="BD2456" i="1"/>
  <c r="CE2456" i="1"/>
  <c r="A2457" i="1"/>
  <c r="C2457" i="1"/>
  <c r="S2457" i="1"/>
  <c r="T2457" i="1"/>
  <c r="U2457" i="1"/>
  <c r="BD2457" i="1"/>
  <c r="CE2457" i="1"/>
  <c r="A2458" i="1"/>
  <c r="C2458" i="1"/>
  <c r="S2458" i="1"/>
  <c r="T2458" i="1"/>
  <c r="U2458" i="1"/>
  <c r="BD2458" i="1"/>
  <c r="CE2458" i="1"/>
  <c r="A2459" i="1"/>
  <c r="C2459" i="1"/>
  <c r="S2459" i="1"/>
  <c r="T2459" i="1"/>
  <c r="U2459" i="1"/>
  <c r="BD2459" i="1"/>
  <c r="CE2459" i="1"/>
  <c r="A2460" i="1"/>
  <c r="C2460" i="1"/>
  <c r="S2460" i="1"/>
  <c r="T2460" i="1"/>
  <c r="U2460" i="1"/>
  <c r="BD2460" i="1"/>
  <c r="CE2460" i="1"/>
  <c r="A2461" i="1"/>
  <c r="C2461" i="1"/>
  <c r="S2461" i="1"/>
  <c r="T2461" i="1"/>
  <c r="U2461" i="1"/>
  <c r="BD2461" i="1"/>
  <c r="CE2461" i="1"/>
  <c r="A2462" i="1"/>
  <c r="C2462" i="1"/>
  <c r="S2462" i="1"/>
  <c r="T2462" i="1"/>
  <c r="U2462" i="1"/>
  <c r="BD2462" i="1"/>
  <c r="CE2462" i="1"/>
  <c r="A2463" i="1"/>
  <c r="C2463" i="1"/>
  <c r="S2463" i="1"/>
  <c r="T2463" i="1"/>
  <c r="U2463" i="1"/>
  <c r="BD2463" i="1"/>
  <c r="CE2463" i="1"/>
  <c r="A2464" i="1"/>
  <c r="C2464" i="1"/>
  <c r="S2464" i="1"/>
  <c r="T2464" i="1"/>
  <c r="U2464" i="1"/>
  <c r="BD2464" i="1"/>
  <c r="CE2464" i="1"/>
  <c r="A2465" i="1"/>
  <c r="C2465" i="1"/>
  <c r="S2465" i="1"/>
  <c r="T2465" i="1"/>
  <c r="U2465" i="1"/>
  <c r="BD2465" i="1"/>
  <c r="CE2465" i="1"/>
  <c r="A2466" i="1"/>
  <c r="C2466" i="1"/>
  <c r="S2466" i="1"/>
  <c r="T2466" i="1"/>
  <c r="U2466" i="1"/>
  <c r="BD2466" i="1"/>
  <c r="CE2466" i="1"/>
  <c r="A2467" i="1"/>
  <c r="C2467" i="1"/>
  <c r="S2467" i="1"/>
  <c r="T2467" i="1"/>
  <c r="U2467" i="1"/>
  <c r="BD2467" i="1"/>
  <c r="CE2467" i="1"/>
  <c r="A2468" i="1"/>
  <c r="C2468" i="1"/>
  <c r="S2468" i="1"/>
  <c r="T2468" i="1"/>
  <c r="U2468" i="1"/>
  <c r="BD2468" i="1"/>
  <c r="CE2468" i="1"/>
  <c r="A2469" i="1"/>
  <c r="C2469" i="1"/>
  <c r="S2469" i="1"/>
  <c r="T2469" i="1"/>
  <c r="U2469" i="1"/>
  <c r="BD2469" i="1"/>
  <c r="CE2469" i="1"/>
  <c r="A2470" i="1"/>
  <c r="C2470" i="1"/>
  <c r="S2470" i="1"/>
  <c r="T2470" i="1"/>
  <c r="U2470" i="1"/>
  <c r="BD2470" i="1"/>
  <c r="CE2470" i="1"/>
  <c r="A2471" i="1"/>
  <c r="C2471" i="1"/>
  <c r="S2471" i="1"/>
  <c r="T2471" i="1"/>
  <c r="U2471" i="1"/>
  <c r="BD2471" i="1"/>
  <c r="CE2471" i="1"/>
  <c r="A2472" i="1"/>
  <c r="C2472" i="1"/>
  <c r="S2472" i="1"/>
  <c r="T2472" i="1"/>
  <c r="U2472" i="1"/>
  <c r="BD2472" i="1"/>
  <c r="CE2472" i="1"/>
  <c r="A2473" i="1"/>
  <c r="C2473" i="1"/>
  <c r="S2473" i="1"/>
  <c r="T2473" i="1"/>
  <c r="U2473" i="1"/>
  <c r="BD2473" i="1"/>
  <c r="CE2473" i="1"/>
  <c r="A2474" i="1"/>
  <c r="C2474" i="1"/>
  <c r="S2474" i="1"/>
  <c r="T2474" i="1"/>
  <c r="U2474" i="1"/>
  <c r="BD2474" i="1"/>
  <c r="CE2474" i="1"/>
  <c r="A2475" i="1"/>
  <c r="C2475" i="1"/>
  <c r="S2475" i="1"/>
  <c r="T2475" i="1"/>
  <c r="U2475" i="1"/>
  <c r="BD2475" i="1"/>
  <c r="CE2475" i="1"/>
  <c r="A2476" i="1"/>
  <c r="C2476" i="1"/>
  <c r="S2476" i="1"/>
  <c r="T2476" i="1"/>
  <c r="U2476" i="1"/>
  <c r="BD2476" i="1"/>
  <c r="CE2476" i="1"/>
  <c r="A2477" i="1"/>
  <c r="C2477" i="1"/>
  <c r="S2477" i="1"/>
  <c r="T2477" i="1"/>
  <c r="U2477" i="1"/>
  <c r="BD2477" i="1"/>
  <c r="CE2477" i="1"/>
  <c r="A2478" i="1"/>
  <c r="C2478" i="1"/>
  <c r="S2478" i="1"/>
  <c r="T2478" i="1"/>
  <c r="U2478" i="1"/>
  <c r="BD2478" i="1"/>
  <c r="CE2478" i="1"/>
  <c r="A2479" i="1"/>
  <c r="C2479" i="1"/>
  <c r="S2479" i="1"/>
  <c r="T2479" i="1"/>
  <c r="U2479" i="1"/>
  <c r="BD2479" i="1"/>
  <c r="CE2479" i="1"/>
  <c r="A2480" i="1"/>
  <c r="C2480" i="1"/>
  <c r="S2480" i="1"/>
  <c r="T2480" i="1"/>
  <c r="U2480" i="1"/>
  <c r="BD2480" i="1"/>
  <c r="CE2480" i="1"/>
  <c r="A2481" i="1"/>
  <c r="C2481" i="1"/>
  <c r="S2481" i="1"/>
  <c r="T2481" i="1"/>
  <c r="U2481" i="1"/>
  <c r="BD2481" i="1"/>
  <c r="CE2481" i="1"/>
  <c r="A2482" i="1"/>
  <c r="C2482" i="1"/>
  <c r="S2482" i="1"/>
  <c r="T2482" i="1"/>
  <c r="U2482" i="1"/>
  <c r="BD2482" i="1"/>
  <c r="CE2482" i="1"/>
  <c r="A2483" i="1"/>
  <c r="C2483" i="1"/>
  <c r="S2483" i="1"/>
  <c r="T2483" i="1"/>
  <c r="U2483" i="1"/>
  <c r="BD2483" i="1"/>
  <c r="CE2483" i="1"/>
  <c r="A2484" i="1"/>
  <c r="C2484" i="1"/>
  <c r="S2484" i="1"/>
  <c r="T2484" i="1"/>
  <c r="U2484" i="1"/>
  <c r="BD2484" i="1"/>
  <c r="CE2484" i="1"/>
  <c r="A2485" i="1"/>
  <c r="C2485" i="1"/>
  <c r="S2485" i="1"/>
  <c r="T2485" i="1"/>
  <c r="U2485" i="1"/>
  <c r="BD2485" i="1"/>
  <c r="CE2485" i="1"/>
  <c r="A2486" i="1"/>
  <c r="C2486" i="1"/>
  <c r="S2486" i="1"/>
  <c r="T2486" i="1"/>
  <c r="U2486" i="1"/>
  <c r="BD2486" i="1"/>
  <c r="CE2486" i="1"/>
  <c r="A2487" i="1"/>
  <c r="C2487" i="1"/>
  <c r="S2487" i="1"/>
  <c r="T2487" i="1"/>
  <c r="U2487" i="1"/>
  <c r="BD2487" i="1"/>
  <c r="CE2487" i="1"/>
  <c r="A2488" i="1"/>
  <c r="C2488" i="1"/>
  <c r="S2488" i="1"/>
  <c r="T2488" i="1"/>
  <c r="U2488" i="1"/>
  <c r="BD2488" i="1"/>
  <c r="CE2488" i="1"/>
  <c r="A2489" i="1"/>
  <c r="C2489" i="1"/>
  <c r="S2489" i="1"/>
  <c r="T2489" i="1"/>
  <c r="U2489" i="1"/>
  <c r="BD2489" i="1"/>
  <c r="CE2489" i="1"/>
  <c r="A2490" i="1"/>
  <c r="C2490" i="1"/>
  <c r="S2490" i="1"/>
  <c r="T2490" i="1"/>
  <c r="U2490" i="1"/>
  <c r="BD2490" i="1"/>
  <c r="CE2490" i="1"/>
  <c r="A2491" i="1"/>
  <c r="C2491" i="1"/>
  <c r="S2491" i="1"/>
  <c r="T2491" i="1"/>
  <c r="U2491" i="1"/>
  <c r="BD2491" i="1"/>
  <c r="CE2491" i="1"/>
  <c r="A2492" i="1"/>
  <c r="C2492" i="1"/>
  <c r="S2492" i="1"/>
  <c r="T2492" i="1"/>
  <c r="U2492" i="1"/>
  <c r="BD2492" i="1"/>
  <c r="CE2492" i="1"/>
  <c r="A2493" i="1"/>
  <c r="C2493" i="1"/>
  <c r="S2493" i="1"/>
  <c r="T2493" i="1"/>
  <c r="U2493" i="1"/>
  <c r="BD2493" i="1"/>
  <c r="CE2493" i="1"/>
  <c r="A2494" i="1"/>
  <c r="C2494" i="1"/>
  <c r="S2494" i="1"/>
  <c r="T2494" i="1"/>
  <c r="U2494" i="1"/>
  <c r="BD2494" i="1"/>
  <c r="CE2494" i="1"/>
  <c r="A2495" i="1"/>
  <c r="C2495" i="1"/>
  <c r="S2495" i="1"/>
  <c r="T2495" i="1"/>
  <c r="U2495" i="1"/>
  <c r="BD2495" i="1"/>
  <c r="CE2495" i="1"/>
  <c r="A2496" i="1"/>
  <c r="C2496" i="1"/>
  <c r="S2496" i="1"/>
  <c r="T2496" i="1"/>
  <c r="U2496" i="1"/>
  <c r="BD2496" i="1"/>
  <c r="CE2496" i="1"/>
  <c r="A2497" i="1"/>
  <c r="C2497" i="1"/>
  <c r="S2497" i="1"/>
  <c r="T2497" i="1"/>
  <c r="U2497" i="1"/>
  <c r="BD2497" i="1"/>
  <c r="CE2497" i="1"/>
  <c r="A2498" i="1"/>
  <c r="C2498" i="1"/>
  <c r="S2498" i="1"/>
  <c r="T2498" i="1"/>
  <c r="U2498" i="1"/>
  <c r="BD2498" i="1"/>
  <c r="CE2498" i="1"/>
  <c r="A2499" i="1"/>
  <c r="C2499" i="1"/>
  <c r="S2499" i="1"/>
  <c r="T2499" i="1"/>
  <c r="U2499" i="1"/>
  <c r="BD2499" i="1"/>
  <c r="CE2499" i="1"/>
  <c r="A2500" i="1"/>
  <c r="C2500" i="1"/>
  <c r="S2500" i="1"/>
  <c r="T2500" i="1"/>
  <c r="U2500" i="1"/>
  <c r="BD2500" i="1"/>
  <c r="CE2500" i="1"/>
  <c r="A2501" i="1"/>
  <c r="C2501" i="1"/>
  <c r="S2501" i="1"/>
  <c r="T2501" i="1"/>
  <c r="U2501" i="1"/>
  <c r="BD2501" i="1"/>
  <c r="CE2501" i="1"/>
  <c r="A2502" i="1"/>
  <c r="C2502" i="1"/>
  <c r="S2502" i="1"/>
  <c r="T2502" i="1"/>
  <c r="U2502" i="1"/>
  <c r="BD2502" i="1"/>
  <c r="CE2502" i="1"/>
  <c r="A2503" i="1"/>
  <c r="C2503" i="1"/>
  <c r="S2503" i="1"/>
  <c r="T2503" i="1"/>
  <c r="U2503" i="1"/>
  <c r="BD2503" i="1"/>
  <c r="CE2503" i="1"/>
  <c r="A2504" i="1"/>
  <c r="C2504" i="1"/>
  <c r="S2504" i="1"/>
  <c r="T2504" i="1"/>
  <c r="U2504" i="1"/>
  <c r="BD2504" i="1"/>
  <c r="CE2504" i="1"/>
  <c r="A2505" i="1"/>
  <c r="C2505" i="1"/>
  <c r="S2505" i="1"/>
  <c r="T2505" i="1"/>
  <c r="U2505" i="1"/>
  <c r="BD2505" i="1"/>
  <c r="CE2505" i="1"/>
  <c r="A2506" i="1"/>
  <c r="C2506" i="1"/>
  <c r="S2506" i="1"/>
  <c r="T2506" i="1"/>
  <c r="U2506" i="1"/>
  <c r="BD2506" i="1"/>
  <c r="CE2506" i="1"/>
  <c r="A2507" i="1"/>
  <c r="C2507" i="1"/>
  <c r="S2507" i="1"/>
  <c r="T2507" i="1"/>
  <c r="U2507" i="1"/>
  <c r="BD2507" i="1"/>
  <c r="CE2507" i="1"/>
  <c r="A2508" i="1"/>
  <c r="C2508" i="1"/>
  <c r="S2508" i="1"/>
  <c r="T2508" i="1"/>
  <c r="U2508" i="1"/>
  <c r="BD2508" i="1"/>
  <c r="CE2508" i="1"/>
  <c r="A2509" i="1"/>
  <c r="C2509" i="1"/>
  <c r="S2509" i="1"/>
  <c r="T2509" i="1"/>
  <c r="U2509" i="1"/>
  <c r="BD2509" i="1"/>
  <c r="CE2509" i="1"/>
  <c r="A2510" i="1"/>
  <c r="C2510" i="1"/>
  <c r="S2510" i="1"/>
  <c r="T2510" i="1"/>
  <c r="U2510" i="1"/>
  <c r="BD2510" i="1"/>
  <c r="CE2510" i="1"/>
  <c r="A2511" i="1"/>
  <c r="C2511" i="1"/>
  <c r="S2511" i="1"/>
  <c r="T2511" i="1"/>
  <c r="U2511" i="1"/>
  <c r="BD2511" i="1"/>
  <c r="CE2511" i="1"/>
  <c r="A2512" i="1"/>
  <c r="C2512" i="1"/>
  <c r="S2512" i="1"/>
  <c r="T2512" i="1"/>
  <c r="U2512" i="1"/>
  <c r="BD2512" i="1"/>
  <c r="CE2512" i="1"/>
  <c r="A2513" i="1"/>
  <c r="C2513" i="1"/>
  <c r="S2513" i="1"/>
  <c r="T2513" i="1"/>
  <c r="U2513" i="1"/>
  <c r="BD2513" i="1"/>
  <c r="CE2513" i="1"/>
  <c r="A2514" i="1"/>
  <c r="C2514" i="1"/>
  <c r="S2514" i="1"/>
  <c r="T2514" i="1"/>
  <c r="U2514" i="1"/>
  <c r="BD2514" i="1"/>
  <c r="CE2514" i="1"/>
  <c r="A2515" i="1"/>
  <c r="C2515" i="1"/>
  <c r="S2515" i="1"/>
  <c r="T2515" i="1"/>
  <c r="U2515" i="1"/>
  <c r="BD2515" i="1"/>
  <c r="CE2515" i="1"/>
  <c r="A2516" i="1"/>
  <c r="C2516" i="1"/>
  <c r="S2516" i="1"/>
  <c r="T2516" i="1"/>
  <c r="U2516" i="1"/>
  <c r="BD2516" i="1"/>
  <c r="CE2516" i="1"/>
  <c r="A2517" i="1"/>
  <c r="C2517" i="1"/>
  <c r="S2517" i="1"/>
  <c r="T2517" i="1"/>
  <c r="U2517" i="1"/>
  <c r="BD2517" i="1"/>
  <c r="CE2517" i="1"/>
  <c r="A2518" i="1"/>
  <c r="C2518" i="1"/>
  <c r="S2518" i="1"/>
  <c r="T2518" i="1"/>
  <c r="U2518" i="1"/>
  <c r="BD2518" i="1"/>
  <c r="CE2518" i="1"/>
  <c r="A2519" i="1"/>
  <c r="C2519" i="1"/>
  <c r="S2519" i="1"/>
  <c r="T2519" i="1"/>
  <c r="U2519" i="1"/>
  <c r="BD2519" i="1"/>
  <c r="CE2519" i="1"/>
  <c r="A2520" i="1"/>
  <c r="C2520" i="1"/>
  <c r="S2520" i="1"/>
  <c r="T2520" i="1"/>
  <c r="U2520" i="1"/>
  <c r="BD2520" i="1"/>
  <c r="CE2520" i="1"/>
  <c r="A2521" i="1"/>
  <c r="C2521" i="1"/>
  <c r="S2521" i="1"/>
  <c r="T2521" i="1"/>
  <c r="U2521" i="1"/>
  <c r="BD2521" i="1"/>
  <c r="CE2521" i="1"/>
  <c r="A2522" i="1"/>
  <c r="C2522" i="1"/>
  <c r="S2522" i="1"/>
  <c r="T2522" i="1"/>
  <c r="U2522" i="1"/>
  <c r="BD2522" i="1"/>
  <c r="CE2522" i="1"/>
  <c r="A2523" i="1"/>
  <c r="C2523" i="1"/>
  <c r="S2523" i="1"/>
  <c r="T2523" i="1"/>
  <c r="U2523" i="1"/>
  <c r="BD2523" i="1"/>
  <c r="CE2523" i="1"/>
  <c r="A2524" i="1"/>
  <c r="C2524" i="1"/>
  <c r="S2524" i="1"/>
  <c r="T2524" i="1"/>
  <c r="U2524" i="1"/>
  <c r="BD2524" i="1"/>
  <c r="CE2524" i="1"/>
  <c r="A2525" i="1"/>
  <c r="C2525" i="1"/>
  <c r="S2525" i="1"/>
  <c r="T2525" i="1"/>
  <c r="U2525" i="1"/>
  <c r="BD2525" i="1"/>
  <c r="CE2525" i="1"/>
  <c r="A2526" i="1"/>
  <c r="C2526" i="1"/>
  <c r="S2526" i="1"/>
  <c r="T2526" i="1"/>
  <c r="U2526" i="1"/>
  <c r="BD2526" i="1"/>
  <c r="CE2526" i="1"/>
  <c r="A2527" i="1"/>
  <c r="C2527" i="1"/>
  <c r="S2527" i="1"/>
  <c r="T2527" i="1"/>
  <c r="U2527" i="1"/>
  <c r="BD2527" i="1"/>
  <c r="CE2527" i="1"/>
  <c r="A2528" i="1"/>
  <c r="C2528" i="1"/>
  <c r="S2528" i="1"/>
  <c r="T2528" i="1"/>
  <c r="U2528" i="1"/>
  <c r="BD2528" i="1"/>
  <c r="CE2528" i="1"/>
  <c r="A2529" i="1"/>
  <c r="C2529" i="1"/>
  <c r="S2529" i="1"/>
  <c r="T2529" i="1"/>
  <c r="U2529" i="1"/>
  <c r="BD2529" i="1"/>
  <c r="CE2529" i="1"/>
  <c r="A2530" i="1"/>
  <c r="C2530" i="1"/>
  <c r="S2530" i="1"/>
  <c r="T2530" i="1"/>
  <c r="U2530" i="1"/>
  <c r="BD2530" i="1"/>
  <c r="CE2530" i="1"/>
  <c r="A2531" i="1"/>
  <c r="C2531" i="1"/>
  <c r="S2531" i="1"/>
  <c r="T2531" i="1"/>
  <c r="U2531" i="1"/>
  <c r="BD2531" i="1"/>
  <c r="CE2531" i="1"/>
  <c r="A2532" i="1"/>
  <c r="C2532" i="1"/>
  <c r="S2532" i="1"/>
  <c r="T2532" i="1"/>
  <c r="U2532" i="1"/>
  <c r="BD2532" i="1"/>
  <c r="CE2532" i="1"/>
  <c r="A2533" i="1"/>
  <c r="C2533" i="1"/>
  <c r="S2533" i="1"/>
  <c r="T2533" i="1"/>
  <c r="U2533" i="1"/>
  <c r="BD2533" i="1"/>
  <c r="CE2533" i="1"/>
  <c r="A2534" i="1"/>
  <c r="C2534" i="1"/>
  <c r="S2534" i="1"/>
  <c r="T2534" i="1"/>
  <c r="U2534" i="1"/>
  <c r="BD2534" i="1"/>
  <c r="CE2534" i="1"/>
  <c r="A2535" i="1"/>
  <c r="C2535" i="1"/>
  <c r="S2535" i="1"/>
  <c r="T2535" i="1"/>
  <c r="U2535" i="1"/>
  <c r="BD2535" i="1"/>
  <c r="CE2535" i="1"/>
  <c r="A2536" i="1"/>
  <c r="C2536" i="1"/>
  <c r="S2536" i="1"/>
  <c r="T2536" i="1"/>
  <c r="U2536" i="1"/>
  <c r="BD2536" i="1"/>
  <c r="CE2536" i="1"/>
  <c r="A2537" i="1"/>
  <c r="C2537" i="1"/>
  <c r="S2537" i="1"/>
  <c r="T2537" i="1"/>
  <c r="U2537" i="1"/>
  <c r="BD2537" i="1"/>
  <c r="CE2537" i="1"/>
  <c r="A2538" i="1"/>
  <c r="C2538" i="1"/>
  <c r="S2538" i="1"/>
  <c r="T2538" i="1"/>
  <c r="U2538" i="1"/>
  <c r="BD2538" i="1"/>
  <c r="CE2538" i="1"/>
  <c r="A2539" i="1"/>
  <c r="C2539" i="1"/>
  <c r="S2539" i="1"/>
  <c r="T2539" i="1"/>
  <c r="U2539" i="1"/>
  <c r="BD2539" i="1"/>
  <c r="CE2539" i="1"/>
  <c r="A2540" i="1"/>
  <c r="C2540" i="1"/>
  <c r="S2540" i="1"/>
  <c r="T2540" i="1"/>
  <c r="U2540" i="1"/>
  <c r="BD2540" i="1"/>
  <c r="CE2540" i="1"/>
  <c r="A2541" i="1"/>
  <c r="C2541" i="1"/>
  <c r="S2541" i="1"/>
  <c r="T2541" i="1"/>
  <c r="U2541" i="1"/>
  <c r="BD2541" i="1"/>
  <c r="CE2541" i="1"/>
  <c r="A2542" i="1"/>
  <c r="C2542" i="1"/>
  <c r="S2542" i="1"/>
  <c r="T2542" i="1"/>
  <c r="U2542" i="1"/>
  <c r="BD2542" i="1"/>
  <c r="CE2542" i="1"/>
  <c r="A2543" i="1"/>
  <c r="C2543" i="1"/>
  <c r="S2543" i="1"/>
  <c r="T2543" i="1"/>
  <c r="U2543" i="1"/>
  <c r="BD2543" i="1"/>
  <c r="CE2543" i="1"/>
  <c r="A2544" i="1"/>
  <c r="C2544" i="1"/>
  <c r="S2544" i="1"/>
  <c r="T2544" i="1"/>
  <c r="U2544" i="1"/>
  <c r="BD2544" i="1"/>
  <c r="CE2544" i="1"/>
  <c r="A2545" i="1"/>
  <c r="C2545" i="1"/>
  <c r="S2545" i="1"/>
  <c r="T2545" i="1"/>
  <c r="U2545" i="1"/>
  <c r="BD2545" i="1"/>
  <c r="CE2545" i="1"/>
  <c r="A2546" i="1"/>
  <c r="C2546" i="1"/>
  <c r="S2546" i="1"/>
  <c r="T2546" i="1"/>
  <c r="U2546" i="1"/>
  <c r="BD2546" i="1"/>
  <c r="CE2546" i="1"/>
  <c r="A2547" i="1"/>
  <c r="C2547" i="1"/>
  <c r="S2547" i="1"/>
  <c r="T2547" i="1"/>
  <c r="U2547" i="1"/>
  <c r="BD2547" i="1"/>
  <c r="CE2547" i="1"/>
  <c r="A2548" i="1"/>
  <c r="C2548" i="1"/>
  <c r="S2548" i="1"/>
  <c r="T2548" i="1"/>
  <c r="U2548" i="1"/>
  <c r="BD2548" i="1"/>
  <c r="CE2548" i="1"/>
  <c r="A2549" i="1"/>
  <c r="C2549" i="1"/>
  <c r="S2549" i="1"/>
  <c r="T2549" i="1"/>
  <c r="U2549" i="1"/>
  <c r="BD2549" i="1"/>
  <c r="CE2549" i="1"/>
  <c r="A2550" i="1"/>
  <c r="C2550" i="1"/>
  <c r="S2550" i="1"/>
  <c r="T2550" i="1"/>
  <c r="U2550" i="1"/>
  <c r="BD2550" i="1"/>
  <c r="CE2550" i="1"/>
  <c r="A2551" i="1"/>
  <c r="C2551" i="1"/>
  <c r="S2551" i="1"/>
  <c r="T2551" i="1"/>
  <c r="U2551" i="1"/>
  <c r="BD2551" i="1"/>
  <c r="CE2551" i="1"/>
  <c r="A2552" i="1"/>
  <c r="C2552" i="1"/>
  <c r="S2552" i="1"/>
  <c r="T2552" i="1"/>
  <c r="U2552" i="1"/>
  <c r="BD2552" i="1"/>
  <c r="CE2552" i="1"/>
  <c r="A2553" i="1"/>
  <c r="C2553" i="1"/>
  <c r="S2553" i="1"/>
  <c r="T2553" i="1"/>
  <c r="U2553" i="1"/>
  <c r="BD2553" i="1"/>
  <c r="CE2553" i="1"/>
  <c r="A2554" i="1"/>
  <c r="C2554" i="1"/>
  <c r="S2554" i="1"/>
  <c r="T2554" i="1"/>
  <c r="U2554" i="1"/>
  <c r="BD2554" i="1"/>
  <c r="CE2554" i="1"/>
  <c r="A2555" i="1"/>
  <c r="C2555" i="1"/>
  <c r="S2555" i="1"/>
  <c r="T2555" i="1"/>
  <c r="U2555" i="1"/>
  <c r="BD2555" i="1"/>
  <c r="CE2555" i="1"/>
  <c r="A2556" i="1"/>
  <c r="C2556" i="1"/>
  <c r="S2556" i="1"/>
  <c r="T2556" i="1"/>
  <c r="U2556" i="1"/>
  <c r="BD2556" i="1"/>
  <c r="CE2556" i="1"/>
  <c r="A2557" i="1"/>
  <c r="C2557" i="1"/>
  <c r="S2557" i="1"/>
  <c r="T2557" i="1"/>
  <c r="U2557" i="1"/>
  <c r="BD2557" i="1"/>
  <c r="CE2557" i="1"/>
  <c r="A2558" i="1"/>
  <c r="C2558" i="1"/>
  <c r="S2558" i="1"/>
  <c r="T2558" i="1"/>
  <c r="U2558" i="1"/>
  <c r="BD2558" i="1"/>
  <c r="CE2558" i="1"/>
  <c r="A2559" i="1"/>
  <c r="C2559" i="1"/>
  <c r="S2559" i="1"/>
  <c r="T2559" i="1"/>
  <c r="U2559" i="1"/>
  <c r="BD2559" i="1"/>
  <c r="CE2559" i="1"/>
  <c r="A2560" i="1"/>
  <c r="C2560" i="1"/>
  <c r="S2560" i="1"/>
  <c r="T2560" i="1"/>
  <c r="U2560" i="1"/>
  <c r="BD2560" i="1"/>
  <c r="CE2560" i="1"/>
  <c r="A2561" i="1"/>
  <c r="C2561" i="1"/>
  <c r="S2561" i="1"/>
  <c r="T2561" i="1"/>
  <c r="U2561" i="1"/>
  <c r="BD2561" i="1"/>
  <c r="CE2561" i="1"/>
  <c r="A2562" i="1"/>
  <c r="C2562" i="1"/>
  <c r="S2562" i="1"/>
  <c r="T2562" i="1"/>
  <c r="U2562" i="1"/>
  <c r="BD2562" i="1"/>
  <c r="CE2562" i="1"/>
  <c r="A2563" i="1"/>
  <c r="C2563" i="1"/>
  <c r="S2563" i="1"/>
  <c r="T2563" i="1"/>
  <c r="U2563" i="1"/>
  <c r="BD2563" i="1"/>
  <c r="CE2563" i="1"/>
  <c r="A2564" i="1"/>
  <c r="C2564" i="1"/>
  <c r="S2564" i="1"/>
  <c r="T2564" i="1"/>
  <c r="U2564" i="1"/>
  <c r="BD2564" i="1"/>
  <c r="CE2564" i="1"/>
  <c r="A2565" i="1"/>
  <c r="C2565" i="1"/>
  <c r="S2565" i="1"/>
  <c r="T2565" i="1"/>
  <c r="U2565" i="1"/>
  <c r="BD2565" i="1"/>
  <c r="CE2565" i="1"/>
  <c r="A2566" i="1"/>
  <c r="C2566" i="1"/>
  <c r="S2566" i="1"/>
  <c r="T2566" i="1"/>
  <c r="U2566" i="1"/>
  <c r="BD2566" i="1"/>
  <c r="CE2566" i="1"/>
  <c r="A2567" i="1"/>
  <c r="C2567" i="1"/>
  <c r="S2567" i="1"/>
  <c r="T2567" i="1"/>
  <c r="U2567" i="1"/>
  <c r="BD2567" i="1"/>
  <c r="CE2567" i="1"/>
  <c r="A2568" i="1"/>
  <c r="C2568" i="1"/>
  <c r="S2568" i="1"/>
  <c r="T2568" i="1"/>
  <c r="U2568" i="1"/>
  <c r="BD2568" i="1"/>
  <c r="CE2568" i="1"/>
  <c r="A2569" i="1"/>
  <c r="C2569" i="1"/>
  <c r="S2569" i="1"/>
  <c r="T2569" i="1"/>
  <c r="U2569" i="1"/>
  <c r="BD2569" i="1"/>
  <c r="CE2569" i="1"/>
  <c r="A2570" i="1"/>
  <c r="C2570" i="1"/>
  <c r="S2570" i="1"/>
  <c r="T2570" i="1"/>
  <c r="U2570" i="1"/>
  <c r="BD2570" i="1"/>
  <c r="CE2570" i="1"/>
  <c r="A2571" i="1"/>
  <c r="C2571" i="1"/>
  <c r="S2571" i="1"/>
  <c r="T2571" i="1"/>
  <c r="U2571" i="1"/>
  <c r="BD2571" i="1"/>
  <c r="CE2571" i="1"/>
  <c r="A2572" i="1"/>
  <c r="C2572" i="1"/>
  <c r="S2572" i="1"/>
  <c r="T2572" i="1"/>
  <c r="U2572" i="1"/>
  <c r="BD2572" i="1"/>
  <c r="CE2572" i="1"/>
  <c r="A2573" i="1"/>
  <c r="C2573" i="1"/>
  <c r="S2573" i="1"/>
  <c r="T2573" i="1"/>
  <c r="U2573" i="1"/>
  <c r="BD2573" i="1"/>
  <c r="CE2573" i="1"/>
  <c r="A2574" i="1"/>
  <c r="C2574" i="1"/>
  <c r="S2574" i="1"/>
  <c r="T2574" i="1"/>
  <c r="U2574" i="1"/>
  <c r="BD2574" i="1"/>
  <c r="CE2574" i="1"/>
  <c r="A2575" i="1"/>
  <c r="C2575" i="1"/>
  <c r="S2575" i="1"/>
  <c r="T2575" i="1"/>
  <c r="U2575" i="1"/>
  <c r="BD2575" i="1"/>
  <c r="CE2575" i="1"/>
  <c r="A2576" i="1"/>
  <c r="C2576" i="1"/>
  <c r="S2576" i="1"/>
  <c r="T2576" i="1"/>
  <c r="U2576" i="1"/>
  <c r="BD2576" i="1"/>
  <c r="CE2576" i="1"/>
  <c r="A2577" i="1"/>
  <c r="C2577" i="1"/>
  <c r="S2577" i="1"/>
  <c r="T2577" i="1"/>
  <c r="U2577" i="1"/>
  <c r="BD2577" i="1"/>
  <c r="CE2577" i="1"/>
  <c r="A2578" i="1"/>
  <c r="C2578" i="1"/>
  <c r="S2578" i="1"/>
  <c r="T2578" i="1"/>
  <c r="U2578" i="1"/>
  <c r="BD2578" i="1"/>
  <c r="CE2578" i="1"/>
  <c r="A2579" i="1"/>
  <c r="C2579" i="1"/>
  <c r="S2579" i="1"/>
  <c r="T2579" i="1"/>
  <c r="U2579" i="1"/>
  <c r="BD2579" i="1"/>
  <c r="CE2579" i="1"/>
  <c r="A2580" i="1"/>
  <c r="C2580" i="1"/>
  <c r="S2580" i="1"/>
  <c r="T2580" i="1"/>
  <c r="U2580" i="1"/>
  <c r="BD2580" i="1"/>
  <c r="CE2580" i="1"/>
  <c r="A2581" i="1"/>
  <c r="C2581" i="1"/>
  <c r="S2581" i="1"/>
  <c r="T2581" i="1"/>
  <c r="U2581" i="1"/>
  <c r="BD2581" i="1"/>
  <c r="CE2581" i="1"/>
  <c r="A2582" i="1"/>
  <c r="C2582" i="1"/>
  <c r="S2582" i="1"/>
  <c r="T2582" i="1"/>
  <c r="U2582" i="1"/>
  <c r="BD2582" i="1"/>
  <c r="CE2582" i="1"/>
  <c r="A2583" i="1"/>
  <c r="C2583" i="1"/>
  <c r="S2583" i="1"/>
  <c r="T2583" i="1"/>
  <c r="U2583" i="1"/>
  <c r="BD2583" i="1"/>
  <c r="CE2583" i="1"/>
  <c r="A2584" i="1"/>
  <c r="C2584" i="1"/>
  <c r="S2584" i="1"/>
  <c r="T2584" i="1"/>
  <c r="U2584" i="1"/>
  <c r="BD2584" i="1"/>
  <c r="CE2584" i="1"/>
  <c r="A2585" i="1"/>
  <c r="C2585" i="1"/>
  <c r="S2585" i="1"/>
  <c r="T2585" i="1"/>
  <c r="U2585" i="1"/>
  <c r="BD2585" i="1"/>
  <c r="CE2585" i="1"/>
  <c r="A2586" i="1"/>
  <c r="C2586" i="1"/>
  <c r="S2586" i="1"/>
  <c r="T2586" i="1"/>
  <c r="U2586" i="1"/>
  <c r="BD2586" i="1"/>
  <c r="CE2586" i="1"/>
  <c r="A2587" i="1"/>
  <c r="C2587" i="1"/>
  <c r="S2587" i="1"/>
  <c r="T2587" i="1"/>
  <c r="U2587" i="1"/>
  <c r="BD2587" i="1"/>
  <c r="CE2587" i="1"/>
  <c r="A2588" i="1"/>
  <c r="C2588" i="1"/>
  <c r="S2588" i="1"/>
  <c r="T2588" i="1"/>
  <c r="U2588" i="1"/>
  <c r="BD2588" i="1"/>
  <c r="CE2588" i="1"/>
  <c r="A2589" i="1"/>
  <c r="C2589" i="1"/>
  <c r="S2589" i="1"/>
  <c r="T2589" i="1"/>
  <c r="U2589" i="1"/>
  <c r="BD2589" i="1"/>
  <c r="CE2589" i="1"/>
  <c r="A2590" i="1"/>
  <c r="C2590" i="1"/>
  <c r="S2590" i="1"/>
  <c r="T2590" i="1"/>
  <c r="U2590" i="1"/>
  <c r="BD2590" i="1"/>
  <c r="CE2590" i="1"/>
  <c r="A2591" i="1"/>
  <c r="C2591" i="1"/>
  <c r="S2591" i="1"/>
  <c r="T2591" i="1"/>
  <c r="U2591" i="1"/>
  <c r="BD2591" i="1"/>
  <c r="CE2591" i="1"/>
  <c r="A2592" i="1"/>
  <c r="C2592" i="1"/>
  <c r="S2592" i="1"/>
  <c r="T2592" i="1"/>
  <c r="U2592" i="1"/>
  <c r="BD2592" i="1"/>
  <c r="CE2592" i="1"/>
  <c r="A2593" i="1"/>
  <c r="C2593" i="1"/>
  <c r="S2593" i="1"/>
  <c r="T2593" i="1"/>
  <c r="U2593" i="1"/>
  <c r="BD2593" i="1"/>
  <c r="CE2593" i="1"/>
  <c r="A2594" i="1"/>
  <c r="C2594" i="1"/>
  <c r="S2594" i="1"/>
  <c r="T2594" i="1"/>
  <c r="U2594" i="1"/>
  <c r="BD2594" i="1"/>
  <c r="CE2594" i="1"/>
  <c r="A2595" i="1"/>
  <c r="C2595" i="1"/>
  <c r="S2595" i="1"/>
  <c r="T2595" i="1"/>
  <c r="U2595" i="1"/>
  <c r="BD2595" i="1"/>
  <c r="CE2595" i="1"/>
  <c r="A2596" i="1"/>
  <c r="C2596" i="1"/>
  <c r="S2596" i="1"/>
  <c r="T2596" i="1"/>
  <c r="U2596" i="1"/>
  <c r="BD2596" i="1"/>
  <c r="CE2596" i="1"/>
  <c r="A2597" i="1"/>
  <c r="C2597" i="1"/>
  <c r="S2597" i="1"/>
  <c r="T2597" i="1"/>
  <c r="U2597" i="1"/>
  <c r="BD2597" i="1"/>
  <c r="CE2597" i="1"/>
  <c r="A2598" i="1"/>
  <c r="C2598" i="1"/>
  <c r="S2598" i="1"/>
  <c r="T2598" i="1"/>
  <c r="U2598" i="1"/>
  <c r="BD2598" i="1"/>
  <c r="CE2598" i="1"/>
  <c r="A2599" i="1"/>
  <c r="C2599" i="1"/>
  <c r="S2599" i="1"/>
  <c r="T2599" i="1"/>
  <c r="U2599" i="1"/>
  <c r="BD2599" i="1"/>
  <c r="CE2599" i="1"/>
  <c r="A2600" i="1"/>
  <c r="C2600" i="1"/>
  <c r="S2600" i="1"/>
  <c r="T2600" i="1"/>
  <c r="U2600" i="1"/>
  <c r="BD2600" i="1"/>
  <c r="CE2600" i="1"/>
  <c r="A2601" i="1"/>
  <c r="C2601" i="1"/>
  <c r="S2601" i="1"/>
  <c r="T2601" i="1"/>
  <c r="U2601" i="1"/>
  <c r="BD2601" i="1"/>
  <c r="CE2601" i="1"/>
  <c r="A2602" i="1"/>
  <c r="C2602" i="1"/>
  <c r="S2602" i="1"/>
  <c r="T2602" i="1"/>
  <c r="U2602" i="1"/>
  <c r="BD2602" i="1"/>
  <c r="CE2602" i="1"/>
  <c r="A2603" i="1"/>
  <c r="C2603" i="1"/>
  <c r="S2603" i="1"/>
  <c r="T2603" i="1"/>
  <c r="U2603" i="1"/>
  <c r="BD2603" i="1"/>
  <c r="CE2603" i="1"/>
  <c r="A2604" i="1"/>
  <c r="C2604" i="1"/>
  <c r="S2604" i="1"/>
  <c r="T2604" i="1"/>
  <c r="U2604" i="1"/>
  <c r="BD2604" i="1"/>
  <c r="CE2604" i="1"/>
  <c r="A2605" i="1"/>
  <c r="C2605" i="1"/>
  <c r="S2605" i="1"/>
  <c r="T2605" i="1"/>
  <c r="U2605" i="1"/>
  <c r="BD2605" i="1"/>
  <c r="CE2605" i="1"/>
  <c r="A2606" i="1"/>
  <c r="C2606" i="1"/>
  <c r="S2606" i="1"/>
  <c r="T2606" i="1"/>
  <c r="U2606" i="1"/>
  <c r="BD2606" i="1"/>
  <c r="CE2606" i="1"/>
  <c r="A2607" i="1"/>
  <c r="C2607" i="1"/>
  <c r="S2607" i="1"/>
  <c r="T2607" i="1"/>
  <c r="U2607" i="1"/>
  <c r="BD2607" i="1"/>
  <c r="CE2607" i="1"/>
  <c r="A2608" i="1"/>
  <c r="C2608" i="1"/>
  <c r="S2608" i="1"/>
  <c r="T2608" i="1"/>
  <c r="U2608" i="1"/>
  <c r="BD2608" i="1"/>
  <c r="CE2608" i="1"/>
  <c r="A2609" i="1"/>
  <c r="C2609" i="1"/>
  <c r="S2609" i="1"/>
  <c r="T2609" i="1"/>
  <c r="U2609" i="1"/>
  <c r="BD2609" i="1"/>
  <c r="CE2609" i="1"/>
  <c r="A2610" i="1"/>
  <c r="C2610" i="1"/>
  <c r="S2610" i="1"/>
  <c r="T2610" i="1"/>
  <c r="U2610" i="1"/>
  <c r="BD2610" i="1"/>
  <c r="CE2610" i="1"/>
  <c r="A2611" i="1"/>
  <c r="C2611" i="1"/>
  <c r="S2611" i="1"/>
  <c r="T2611" i="1"/>
  <c r="U2611" i="1"/>
  <c r="BD2611" i="1"/>
  <c r="CE2611" i="1"/>
  <c r="A2612" i="1"/>
  <c r="C2612" i="1"/>
  <c r="S2612" i="1"/>
  <c r="T2612" i="1"/>
  <c r="U2612" i="1"/>
  <c r="BD2612" i="1"/>
  <c r="CE2612" i="1"/>
  <c r="A2613" i="1"/>
  <c r="C2613" i="1"/>
  <c r="S2613" i="1"/>
  <c r="T2613" i="1"/>
  <c r="U2613" i="1"/>
  <c r="BD2613" i="1"/>
  <c r="CE2613" i="1"/>
  <c r="A2614" i="1"/>
  <c r="C2614" i="1"/>
  <c r="S2614" i="1"/>
  <c r="T2614" i="1"/>
  <c r="U2614" i="1"/>
  <c r="BD2614" i="1"/>
  <c r="CE2614" i="1"/>
  <c r="A2615" i="1"/>
  <c r="C2615" i="1"/>
  <c r="S2615" i="1"/>
  <c r="T2615" i="1"/>
  <c r="U2615" i="1"/>
  <c r="BD2615" i="1"/>
  <c r="CE2615" i="1"/>
  <c r="A2616" i="1"/>
  <c r="C2616" i="1"/>
  <c r="S2616" i="1"/>
  <c r="T2616" i="1"/>
  <c r="U2616" i="1"/>
  <c r="BD2616" i="1"/>
  <c r="CE2616" i="1"/>
  <c r="A2617" i="1"/>
  <c r="C2617" i="1"/>
  <c r="S2617" i="1"/>
  <c r="T2617" i="1"/>
  <c r="U2617" i="1"/>
  <c r="BD2617" i="1"/>
  <c r="CE2617" i="1"/>
  <c r="A2618" i="1"/>
  <c r="C2618" i="1"/>
  <c r="S2618" i="1"/>
  <c r="T2618" i="1"/>
  <c r="U2618" i="1"/>
  <c r="BD2618" i="1"/>
  <c r="CE2618" i="1"/>
  <c r="A2619" i="1"/>
  <c r="C2619" i="1"/>
  <c r="S2619" i="1"/>
  <c r="T2619" i="1"/>
  <c r="U2619" i="1"/>
  <c r="BD2619" i="1"/>
  <c r="CE2619" i="1"/>
  <c r="A2620" i="1"/>
  <c r="C2620" i="1"/>
  <c r="S2620" i="1"/>
  <c r="T2620" i="1"/>
  <c r="U2620" i="1"/>
  <c r="BD2620" i="1"/>
  <c r="CE2620" i="1"/>
  <c r="A2621" i="1"/>
  <c r="C2621" i="1"/>
  <c r="S2621" i="1"/>
  <c r="T2621" i="1"/>
  <c r="U2621" i="1"/>
  <c r="BD2621" i="1"/>
  <c r="CE2621" i="1"/>
  <c r="A2622" i="1"/>
  <c r="C2622" i="1"/>
  <c r="S2622" i="1"/>
  <c r="T2622" i="1"/>
  <c r="U2622" i="1"/>
  <c r="BD2622" i="1"/>
  <c r="CE2622" i="1"/>
  <c r="A2623" i="1"/>
  <c r="C2623" i="1"/>
  <c r="S2623" i="1"/>
  <c r="T2623" i="1"/>
  <c r="U2623" i="1"/>
  <c r="BD2623" i="1"/>
  <c r="CE2623" i="1"/>
  <c r="A2624" i="1"/>
  <c r="C2624" i="1"/>
  <c r="S2624" i="1"/>
  <c r="T2624" i="1"/>
  <c r="U2624" i="1"/>
  <c r="BD2624" i="1"/>
  <c r="CE2624" i="1"/>
  <c r="A2625" i="1"/>
  <c r="C2625" i="1"/>
  <c r="S2625" i="1"/>
  <c r="T2625" i="1"/>
  <c r="U2625" i="1"/>
  <c r="BD2625" i="1"/>
  <c r="CE2625" i="1"/>
  <c r="A2626" i="1"/>
  <c r="C2626" i="1"/>
  <c r="S2626" i="1"/>
  <c r="T2626" i="1"/>
  <c r="U2626" i="1"/>
  <c r="BD2626" i="1"/>
  <c r="CE2626" i="1"/>
  <c r="A2627" i="1"/>
  <c r="C2627" i="1"/>
  <c r="S2627" i="1"/>
  <c r="T2627" i="1"/>
  <c r="U2627" i="1"/>
  <c r="BD2627" i="1"/>
  <c r="CE2627" i="1"/>
  <c r="A2628" i="1"/>
  <c r="C2628" i="1"/>
  <c r="S2628" i="1"/>
  <c r="T2628" i="1"/>
  <c r="U2628" i="1"/>
  <c r="BD2628" i="1"/>
  <c r="CE2628" i="1"/>
  <c r="A2629" i="1"/>
  <c r="C2629" i="1"/>
  <c r="S2629" i="1"/>
  <c r="T2629" i="1"/>
  <c r="U2629" i="1"/>
  <c r="BD2629" i="1"/>
  <c r="CE2629" i="1"/>
  <c r="A2630" i="1"/>
  <c r="C2630" i="1"/>
  <c r="S2630" i="1"/>
  <c r="T2630" i="1"/>
  <c r="U2630" i="1"/>
  <c r="BD2630" i="1"/>
  <c r="CE2630" i="1"/>
  <c r="A2631" i="1"/>
  <c r="C2631" i="1"/>
  <c r="S2631" i="1"/>
  <c r="T2631" i="1"/>
  <c r="U2631" i="1"/>
  <c r="BD2631" i="1"/>
  <c r="CE2631" i="1"/>
  <c r="A2632" i="1"/>
  <c r="C2632" i="1"/>
  <c r="S2632" i="1"/>
  <c r="T2632" i="1"/>
  <c r="U2632" i="1"/>
  <c r="BD2632" i="1"/>
  <c r="CE2632" i="1"/>
  <c r="A2633" i="1"/>
  <c r="C2633" i="1"/>
  <c r="S2633" i="1"/>
  <c r="T2633" i="1"/>
  <c r="U2633" i="1"/>
  <c r="BD2633" i="1"/>
  <c r="CE2633" i="1"/>
  <c r="A2634" i="1"/>
  <c r="C2634" i="1"/>
  <c r="S2634" i="1"/>
  <c r="T2634" i="1"/>
  <c r="U2634" i="1"/>
  <c r="BD2634" i="1"/>
  <c r="CE2634" i="1"/>
  <c r="A2635" i="1"/>
  <c r="C2635" i="1"/>
  <c r="S2635" i="1"/>
  <c r="T2635" i="1"/>
  <c r="U2635" i="1"/>
  <c r="BD2635" i="1"/>
  <c r="CE2635" i="1"/>
  <c r="A2636" i="1"/>
  <c r="C2636" i="1"/>
  <c r="S2636" i="1"/>
  <c r="T2636" i="1"/>
  <c r="U2636" i="1"/>
  <c r="BD2636" i="1"/>
  <c r="CE2636" i="1"/>
  <c r="A2637" i="1"/>
  <c r="C2637" i="1"/>
  <c r="S2637" i="1"/>
  <c r="T2637" i="1"/>
  <c r="U2637" i="1"/>
  <c r="BD2637" i="1"/>
  <c r="CE2637" i="1"/>
  <c r="A2638" i="1"/>
  <c r="C2638" i="1"/>
  <c r="S2638" i="1"/>
  <c r="T2638" i="1"/>
  <c r="U2638" i="1"/>
  <c r="BD2638" i="1"/>
  <c r="CE2638" i="1"/>
  <c r="A2639" i="1"/>
  <c r="C2639" i="1"/>
  <c r="S2639" i="1"/>
  <c r="T2639" i="1"/>
  <c r="U2639" i="1"/>
  <c r="BD2639" i="1"/>
  <c r="CE2639" i="1"/>
  <c r="A2640" i="1"/>
  <c r="C2640" i="1"/>
  <c r="S2640" i="1"/>
  <c r="T2640" i="1"/>
  <c r="U2640" i="1"/>
  <c r="BD2640" i="1"/>
  <c r="CE2640" i="1"/>
  <c r="A2641" i="1"/>
  <c r="C2641" i="1"/>
  <c r="S2641" i="1"/>
  <c r="T2641" i="1"/>
  <c r="U2641" i="1"/>
  <c r="BD2641" i="1"/>
  <c r="CE2641" i="1"/>
  <c r="A2642" i="1"/>
  <c r="C2642" i="1"/>
  <c r="S2642" i="1"/>
  <c r="T2642" i="1"/>
  <c r="U2642" i="1"/>
  <c r="BD2642" i="1"/>
  <c r="CE2642" i="1"/>
  <c r="A2643" i="1"/>
  <c r="C2643" i="1"/>
  <c r="S2643" i="1"/>
  <c r="T2643" i="1"/>
  <c r="U2643" i="1"/>
  <c r="BD2643" i="1"/>
  <c r="CE2643" i="1"/>
  <c r="A2644" i="1"/>
  <c r="C2644" i="1"/>
  <c r="S2644" i="1"/>
  <c r="T2644" i="1"/>
  <c r="U2644" i="1"/>
  <c r="BD2644" i="1"/>
  <c r="CE2644" i="1"/>
  <c r="A2645" i="1"/>
  <c r="C2645" i="1"/>
  <c r="S2645" i="1"/>
  <c r="T2645" i="1"/>
  <c r="U2645" i="1"/>
  <c r="BD2645" i="1"/>
  <c r="CE2645" i="1"/>
  <c r="A2646" i="1"/>
  <c r="C2646" i="1"/>
  <c r="S2646" i="1"/>
  <c r="T2646" i="1"/>
  <c r="U2646" i="1"/>
  <c r="BD2646" i="1"/>
  <c r="CE2646" i="1"/>
  <c r="A2647" i="1"/>
  <c r="C2647" i="1"/>
  <c r="S2647" i="1"/>
  <c r="T2647" i="1"/>
  <c r="U2647" i="1"/>
  <c r="BD2647" i="1"/>
  <c r="CE2647" i="1"/>
  <c r="A2648" i="1"/>
  <c r="C2648" i="1"/>
  <c r="S2648" i="1"/>
  <c r="T2648" i="1"/>
  <c r="U2648" i="1"/>
  <c r="BD2648" i="1"/>
  <c r="CE2648" i="1"/>
  <c r="A2649" i="1"/>
  <c r="C2649" i="1"/>
  <c r="S2649" i="1"/>
  <c r="T2649" i="1"/>
  <c r="U2649" i="1"/>
  <c r="BD2649" i="1"/>
  <c r="CE2649" i="1"/>
  <c r="A2650" i="1"/>
  <c r="C2650" i="1"/>
  <c r="S2650" i="1"/>
  <c r="T2650" i="1"/>
  <c r="U2650" i="1"/>
  <c r="BD2650" i="1"/>
  <c r="CE2650" i="1"/>
  <c r="A2651" i="1"/>
  <c r="C2651" i="1"/>
  <c r="S2651" i="1"/>
  <c r="T2651" i="1"/>
  <c r="U2651" i="1"/>
  <c r="BD2651" i="1"/>
  <c r="CE2651" i="1"/>
  <c r="A2652" i="1"/>
  <c r="C2652" i="1"/>
  <c r="S2652" i="1"/>
  <c r="T2652" i="1"/>
  <c r="U2652" i="1"/>
  <c r="BD2652" i="1"/>
  <c r="CE2652" i="1"/>
  <c r="A2653" i="1"/>
  <c r="C2653" i="1"/>
  <c r="S2653" i="1"/>
  <c r="T2653" i="1"/>
  <c r="U2653" i="1"/>
  <c r="BD2653" i="1"/>
  <c r="CE2653" i="1"/>
  <c r="A2654" i="1"/>
  <c r="C2654" i="1"/>
  <c r="S2654" i="1"/>
  <c r="T2654" i="1"/>
  <c r="U2654" i="1"/>
  <c r="BD2654" i="1"/>
  <c r="CE2654" i="1"/>
  <c r="A2655" i="1"/>
  <c r="C2655" i="1"/>
  <c r="S2655" i="1"/>
  <c r="T2655" i="1"/>
  <c r="U2655" i="1"/>
  <c r="BD2655" i="1"/>
  <c r="CE2655" i="1"/>
  <c r="A2656" i="1"/>
  <c r="C2656" i="1"/>
  <c r="S2656" i="1"/>
  <c r="T2656" i="1"/>
  <c r="U2656" i="1"/>
  <c r="BD2656" i="1"/>
  <c r="CE2656" i="1"/>
  <c r="A2657" i="1"/>
  <c r="C2657" i="1"/>
  <c r="S2657" i="1"/>
  <c r="T2657" i="1"/>
  <c r="U2657" i="1"/>
  <c r="BD2657" i="1"/>
  <c r="CE2657" i="1"/>
  <c r="A2658" i="1"/>
  <c r="C2658" i="1"/>
  <c r="S2658" i="1"/>
  <c r="T2658" i="1"/>
  <c r="U2658" i="1"/>
  <c r="BD2658" i="1"/>
  <c r="CE2658" i="1"/>
  <c r="A2659" i="1"/>
  <c r="C2659" i="1"/>
  <c r="S2659" i="1"/>
  <c r="T2659" i="1"/>
  <c r="U2659" i="1"/>
  <c r="BD2659" i="1"/>
  <c r="CE2659" i="1"/>
  <c r="A2660" i="1"/>
  <c r="C2660" i="1"/>
  <c r="S2660" i="1"/>
  <c r="T2660" i="1"/>
  <c r="U2660" i="1"/>
  <c r="BD2660" i="1"/>
  <c r="CE2660" i="1"/>
  <c r="A2661" i="1"/>
  <c r="C2661" i="1"/>
  <c r="S2661" i="1"/>
  <c r="T2661" i="1"/>
  <c r="U2661" i="1"/>
  <c r="BD2661" i="1"/>
  <c r="CE2661" i="1"/>
  <c r="A2662" i="1"/>
  <c r="C2662" i="1"/>
  <c r="S2662" i="1"/>
  <c r="T2662" i="1"/>
  <c r="U2662" i="1"/>
  <c r="BD2662" i="1"/>
  <c r="CE2662" i="1"/>
  <c r="A2663" i="1"/>
  <c r="C2663" i="1"/>
  <c r="S2663" i="1"/>
  <c r="T2663" i="1"/>
  <c r="U2663" i="1"/>
  <c r="BD2663" i="1"/>
  <c r="CE2663" i="1"/>
  <c r="A2664" i="1"/>
  <c r="C2664" i="1"/>
  <c r="S2664" i="1"/>
  <c r="T2664" i="1"/>
  <c r="U2664" i="1"/>
  <c r="BD2664" i="1"/>
  <c r="CE2664" i="1"/>
  <c r="A2665" i="1"/>
  <c r="C2665" i="1"/>
  <c r="S2665" i="1"/>
  <c r="T2665" i="1"/>
  <c r="U2665" i="1"/>
  <c r="BD2665" i="1"/>
  <c r="CE2665" i="1"/>
  <c r="A2666" i="1"/>
  <c r="C2666" i="1"/>
  <c r="S2666" i="1"/>
  <c r="T2666" i="1"/>
  <c r="U2666" i="1"/>
  <c r="BD2666" i="1"/>
  <c r="CE2666" i="1"/>
  <c r="A2667" i="1"/>
  <c r="C2667" i="1"/>
  <c r="S2667" i="1"/>
  <c r="T2667" i="1"/>
  <c r="U2667" i="1"/>
  <c r="BD2667" i="1"/>
  <c r="CE2667" i="1"/>
  <c r="A2668" i="1"/>
  <c r="C2668" i="1"/>
  <c r="S2668" i="1"/>
  <c r="T2668" i="1"/>
  <c r="U2668" i="1"/>
  <c r="BD2668" i="1"/>
  <c r="CE2668" i="1"/>
  <c r="A2669" i="1"/>
  <c r="C2669" i="1"/>
  <c r="S2669" i="1"/>
  <c r="T2669" i="1"/>
  <c r="U2669" i="1"/>
  <c r="BD2669" i="1"/>
  <c r="CE2669" i="1"/>
  <c r="A2670" i="1"/>
  <c r="C2670" i="1"/>
  <c r="S2670" i="1"/>
  <c r="T2670" i="1"/>
  <c r="U2670" i="1"/>
  <c r="BD2670" i="1"/>
  <c r="CE2670" i="1"/>
  <c r="A2671" i="1"/>
  <c r="C2671" i="1"/>
  <c r="S2671" i="1"/>
  <c r="T2671" i="1"/>
  <c r="U2671" i="1"/>
  <c r="BD2671" i="1"/>
  <c r="CE2671" i="1"/>
  <c r="A2672" i="1"/>
  <c r="C2672" i="1"/>
  <c r="S2672" i="1"/>
  <c r="T2672" i="1"/>
  <c r="U2672" i="1"/>
  <c r="BD2672" i="1"/>
  <c r="CE2672" i="1"/>
  <c r="A2673" i="1"/>
  <c r="C2673" i="1"/>
  <c r="S2673" i="1"/>
  <c r="T2673" i="1"/>
  <c r="U2673" i="1"/>
  <c r="BD2673" i="1"/>
  <c r="CE2673" i="1"/>
  <c r="A2674" i="1"/>
  <c r="C2674" i="1"/>
  <c r="S2674" i="1"/>
  <c r="T2674" i="1"/>
  <c r="U2674" i="1"/>
  <c r="BD2674" i="1"/>
  <c r="CE2674" i="1"/>
  <c r="A2675" i="1"/>
  <c r="C2675" i="1"/>
  <c r="S2675" i="1"/>
  <c r="T2675" i="1"/>
  <c r="U2675" i="1"/>
  <c r="BD2675" i="1"/>
  <c r="CE2675" i="1"/>
  <c r="A2676" i="1"/>
  <c r="C2676" i="1"/>
  <c r="S2676" i="1"/>
  <c r="T2676" i="1"/>
  <c r="U2676" i="1"/>
  <c r="BD2676" i="1"/>
  <c r="CE2676" i="1"/>
  <c r="A2677" i="1"/>
  <c r="C2677" i="1"/>
  <c r="S2677" i="1"/>
  <c r="T2677" i="1"/>
  <c r="U2677" i="1"/>
  <c r="BD2677" i="1"/>
  <c r="CE2677" i="1"/>
  <c r="A2678" i="1"/>
  <c r="C2678" i="1"/>
  <c r="S2678" i="1"/>
  <c r="T2678" i="1"/>
  <c r="U2678" i="1"/>
  <c r="BD2678" i="1"/>
  <c r="CE2678" i="1"/>
  <c r="A2679" i="1"/>
  <c r="C2679" i="1"/>
  <c r="S2679" i="1"/>
  <c r="T2679" i="1"/>
  <c r="U2679" i="1"/>
  <c r="BD2679" i="1"/>
  <c r="CE2679" i="1"/>
  <c r="A2680" i="1"/>
  <c r="C2680" i="1"/>
  <c r="S2680" i="1"/>
  <c r="T2680" i="1"/>
  <c r="U2680" i="1"/>
  <c r="BD2680" i="1"/>
  <c r="CE2680" i="1"/>
  <c r="A2681" i="1"/>
  <c r="C2681" i="1"/>
  <c r="S2681" i="1"/>
  <c r="T2681" i="1"/>
  <c r="U2681" i="1"/>
  <c r="BD2681" i="1"/>
  <c r="CE2681" i="1"/>
  <c r="A2682" i="1"/>
  <c r="C2682" i="1"/>
  <c r="S2682" i="1"/>
  <c r="T2682" i="1"/>
  <c r="U2682" i="1"/>
  <c r="BD2682" i="1"/>
  <c r="CE2682" i="1"/>
  <c r="A2683" i="1"/>
  <c r="C2683" i="1"/>
  <c r="S2683" i="1"/>
  <c r="T2683" i="1"/>
  <c r="U2683" i="1"/>
  <c r="BD2683" i="1"/>
  <c r="CE2683" i="1"/>
  <c r="A2684" i="1"/>
  <c r="C2684" i="1"/>
  <c r="S2684" i="1"/>
  <c r="T2684" i="1"/>
  <c r="U2684" i="1"/>
  <c r="BD2684" i="1"/>
  <c r="CE2684" i="1"/>
  <c r="A2685" i="1"/>
  <c r="C2685" i="1"/>
  <c r="S2685" i="1"/>
  <c r="T2685" i="1"/>
  <c r="U2685" i="1"/>
  <c r="BD2685" i="1"/>
  <c r="CE2685" i="1"/>
  <c r="A2686" i="1"/>
  <c r="C2686" i="1"/>
  <c r="S2686" i="1"/>
  <c r="T2686" i="1"/>
  <c r="U2686" i="1"/>
  <c r="BD2686" i="1"/>
  <c r="CE2686" i="1"/>
  <c r="A2687" i="1"/>
  <c r="C2687" i="1"/>
  <c r="S2687" i="1"/>
  <c r="T2687" i="1"/>
  <c r="U2687" i="1"/>
  <c r="BD2687" i="1"/>
  <c r="CE2687" i="1"/>
  <c r="A2688" i="1"/>
  <c r="C2688" i="1"/>
  <c r="S2688" i="1"/>
  <c r="T2688" i="1"/>
  <c r="U2688" i="1"/>
  <c r="BD2688" i="1"/>
  <c r="CE2688" i="1"/>
  <c r="A2689" i="1"/>
  <c r="C2689" i="1"/>
  <c r="S2689" i="1"/>
  <c r="T2689" i="1"/>
  <c r="U2689" i="1"/>
  <c r="BD2689" i="1"/>
  <c r="CE2689" i="1"/>
  <c r="A2690" i="1"/>
  <c r="C2690" i="1"/>
  <c r="S2690" i="1"/>
  <c r="T2690" i="1"/>
  <c r="U2690" i="1"/>
  <c r="BD2690" i="1"/>
  <c r="CE2690" i="1"/>
  <c r="A2691" i="1"/>
  <c r="C2691" i="1"/>
  <c r="S2691" i="1"/>
  <c r="T2691" i="1"/>
  <c r="U2691" i="1"/>
  <c r="BD2691" i="1"/>
  <c r="CE2691" i="1"/>
  <c r="A2692" i="1"/>
  <c r="C2692" i="1"/>
  <c r="S2692" i="1"/>
  <c r="T2692" i="1"/>
  <c r="U2692" i="1"/>
  <c r="BD2692" i="1"/>
  <c r="CE2692" i="1"/>
  <c r="A2693" i="1"/>
  <c r="C2693" i="1"/>
  <c r="S2693" i="1"/>
  <c r="T2693" i="1"/>
  <c r="U2693" i="1"/>
  <c r="BD2693" i="1"/>
  <c r="CE2693" i="1"/>
  <c r="A2694" i="1"/>
  <c r="C2694" i="1"/>
  <c r="S2694" i="1"/>
  <c r="T2694" i="1"/>
  <c r="U2694" i="1"/>
  <c r="BD2694" i="1"/>
  <c r="CE2694" i="1"/>
  <c r="A2695" i="1"/>
  <c r="C2695" i="1"/>
  <c r="S2695" i="1"/>
  <c r="T2695" i="1"/>
  <c r="U2695" i="1"/>
  <c r="BD2695" i="1"/>
  <c r="CE2695" i="1"/>
  <c r="A2696" i="1"/>
  <c r="C2696" i="1"/>
  <c r="S2696" i="1"/>
  <c r="T2696" i="1"/>
  <c r="U2696" i="1"/>
  <c r="BD2696" i="1"/>
  <c r="CE2696" i="1"/>
  <c r="A2697" i="1"/>
  <c r="C2697" i="1"/>
  <c r="S2697" i="1"/>
  <c r="T2697" i="1"/>
  <c r="U2697" i="1"/>
  <c r="BD2697" i="1"/>
  <c r="CE2697" i="1"/>
  <c r="A2698" i="1"/>
  <c r="C2698" i="1"/>
  <c r="S2698" i="1"/>
  <c r="T2698" i="1"/>
  <c r="U2698" i="1"/>
  <c r="BD2698" i="1"/>
  <c r="CE2698" i="1"/>
  <c r="A2699" i="1"/>
  <c r="C2699" i="1"/>
  <c r="S2699" i="1"/>
  <c r="T2699" i="1"/>
  <c r="U2699" i="1"/>
  <c r="BD2699" i="1"/>
  <c r="CE2699" i="1"/>
  <c r="A2700" i="1"/>
  <c r="C2700" i="1"/>
  <c r="S2700" i="1"/>
  <c r="T2700" i="1"/>
  <c r="U2700" i="1"/>
  <c r="BD2700" i="1"/>
  <c r="CE2700" i="1"/>
  <c r="A2701" i="1"/>
  <c r="C2701" i="1"/>
  <c r="S2701" i="1"/>
  <c r="T2701" i="1"/>
  <c r="U2701" i="1"/>
  <c r="BD2701" i="1"/>
  <c r="CE2701" i="1"/>
  <c r="A2702" i="1"/>
  <c r="C2702" i="1"/>
  <c r="S2702" i="1"/>
  <c r="T2702" i="1"/>
  <c r="U2702" i="1"/>
  <c r="BD2702" i="1"/>
  <c r="CE2702" i="1"/>
  <c r="A2703" i="1"/>
  <c r="C2703" i="1"/>
  <c r="S2703" i="1"/>
  <c r="T2703" i="1"/>
  <c r="U2703" i="1"/>
  <c r="BD2703" i="1"/>
  <c r="CE2703" i="1"/>
  <c r="A2704" i="1"/>
  <c r="C2704" i="1"/>
  <c r="S2704" i="1"/>
  <c r="T2704" i="1"/>
  <c r="U2704" i="1"/>
  <c r="BD2704" i="1"/>
  <c r="CE2704" i="1"/>
  <c r="A2705" i="1"/>
  <c r="C2705" i="1"/>
  <c r="S2705" i="1"/>
  <c r="T2705" i="1"/>
  <c r="U2705" i="1"/>
  <c r="BD2705" i="1"/>
  <c r="CE2705" i="1"/>
  <c r="A2706" i="1"/>
  <c r="C2706" i="1"/>
  <c r="S2706" i="1"/>
  <c r="T2706" i="1"/>
  <c r="U2706" i="1"/>
  <c r="BD2706" i="1"/>
  <c r="CE2706" i="1"/>
  <c r="A2707" i="1"/>
  <c r="C2707" i="1"/>
  <c r="S2707" i="1"/>
  <c r="T2707" i="1"/>
  <c r="U2707" i="1"/>
  <c r="BD2707" i="1"/>
  <c r="CE2707" i="1"/>
  <c r="A2708" i="1"/>
  <c r="C2708" i="1"/>
  <c r="S2708" i="1"/>
  <c r="T2708" i="1"/>
  <c r="U2708" i="1"/>
  <c r="BD2708" i="1"/>
  <c r="CE2708" i="1"/>
  <c r="A2709" i="1"/>
  <c r="C2709" i="1"/>
  <c r="S2709" i="1"/>
  <c r="T2709" i="1"/>
  <c r="U2709" i="1"/>
  <c r="BD2709" i="1"/>
  <c r="CE2709" i="1"/>
  <c r="A2710" i="1"/>
  <c r="C2710" i="1"/>
  <c r="S2710" i="1"/>
  <c r="T2710" i="1"/>
  <c r="U2710" i="1"/>
  <c r="BD2710" i="1"/>
  <c r="CE2710" i="1"/>
  <c r="A2711" i="1"/>
  <c r="C2711" i="1"/>
  <c r="S2711" i="1"/>
  <c r="T2711" i="1"/>
  <c r="U2711" i="1"/>
  <c r="BD2711" i="1"/>
  <c r="CE2711" i="1"/>
  <c r="A2712" i="1"/>
  <c r="C2712" i="1"/>
  <c r="S2712" i="1"/>
  <c r="T2712" i="1"/>
  <c r="U2712" i="1"/>
  <c r="BD2712" i="1"/>
  <c r="CE2712" i="1"/>
  <c r="A2713" i="1"/>
  <c r="C2713" i="1"/>
  <c r="S2713" i="1"/>
  <c r="T2713" i="1"/>
  <c r="U2713" i="1"/>
  <c r="BD2713" i="1"/>
  <c r="CE2713" i="1"/>
  <c r="A2714" i="1"/>
  <c r="C2714" i="1"/>
  <c r="S2714" i="1"/>
  <c r="T2714" i="1"/>
  <c r="U2714" i="1"/>
  <c r="BD2714" i="1"/>
  <c r="CE2714" i="1"/>
  <c r="A2715" i="1"/>
  <c r="C2715" i="1"/>
  <c r="S2715" i="1"/>
  <c r="T2715" i="1"/>
  <c r="U2715" i="1"/>
  <c r="BD2715" i="1"/>
  <c r="CE2715" i="1"/>
  <c r="A2716" i="1"/>
  <c r="C2716" i="1"/>
  <c r="S2716" i="1"/>
  <c r="T2716" i="1"/>
  <c r="U2716" i="1"/>
  <c r="BD2716" i="1"/>
  <c r="CE2716" i="1"/>
  <c r="A2717" i="1"/>
  <c r="C2717" i="1"/>
  <c r="S2717" i="1"/>
  <c r="T2717" i="1"/>
  <c r="U2717" i="1"/>
  <c r="BD2717" i="1"/>
  <c r="CE2717" i="1"/>
  <c r="A2718" i="1"/>
  <c r="C2718" i="1"/>
  <c r="S2718" i="1"/>
  <c r="T2718" i="1"/>
  <c r="U2718" i="1"/>
  <c r="BD2718" i="1"/>
  <c r="CE2718" i="1"/>
  <c r="A2719" i="1"/>
  <c r="C2719" i="1"/>
  <c r="S2719" i="1"/>
  <c r="T2719" i="1"/>
  <c r="U2719" i="1"/>
  <c r="BD2719" i="1"/>
  <c r="CE2719" i="1"/>
  <c r="A2720" i="1"/>
  <c r="C2720" i="1"/>
  <c r="S2720" i="1"/>
  <c r="T2720" i="1"/>
  <c r="U2720" i="1"/>
  <c r="BD2720" i="1"/>
  <c r="CE2720" i="1"/>
  <c r="A2721" i="1"/>
  <c r="C2721" i="1"/>
  <c r="S2721" i="1"/>
  <c r="T2721" i="1"/>
  <c r="U2721" i="1"/>
  <c r="BD2721" i="1"/>
  <c r="CE2721" i="1"/>
  <c r="A2722" i="1"/>
  <c r="C2722" i="1"/>
  <c r="S2722" i="1"/>
  <c r="T2722" i="1"/>
  <c r="U2722" i="1"/>
  <c r="BD2722" i="1"/>
  <c r="CE2722" i="1"/>
  <c r="A2723" i="1"/>
  <c r="C2723" i="1"/>
  <c r="S2723" i="1"/>
  <c r="T2723" i="1"/>
  <c r="U2723" i="1"/>
  <c r="BD2723" i="1"/>
  <c r="CE2723" i="1"/>
  <c r="A2724" i="1"/>
  <c r="C2724" i="1"/>
  <c r="S2724" i="1"/>
  <c r="T2724" i="1"/>
  <c r="U2724" i="1"/>
  <c r="BD2724" i="1"/>
  <c r="CE2724" i="1"/>
  <c r="A2725" i="1"/>
  <c r="C2725" i="1"/>
  <c r="S2725" i="1"/>
  <c r="T2725" i="1"/>
  <c r="U2725" i="1"/>
  <c r="BD2725" i="1"/>
  <c r="CE2725" i="1"/>
  <c r="A2726" i="1"/>
  <c r="C2726" i="1"/>
  <c r="S2726" i="1"/>
  <c r="T2726" i="1"/>
  <c r="U2726" i="1"/>
  <c r="BD2726" i="1"/>
  <c r="CE2726" i="1"/>
  <c r="A2727" i="1"/>
  <c r="C2727" i="1"/>
  <c r="S2727" i="1"/>
  <c r="T2727" i="1"/>
  <c r="U2727" i="1"/>
  <c r="BD2727" i="1"/>
  <c r="CE2727" i="1"/>
  <c r="A2728" i="1"/>
  <c r="C2728" i="1"/>
  <c r="S2728" i="1"/>
  <c r="T2728" i="1"/>
  <c r="U2728" i="1"/>
  <c r="BD2728" i="1"/>
  <c r="CE2728" i="1"/>
  <c r="A2729" i="1"/>
  <c r="C2729" i="1"/>
  <c r="S2729" i="1"/>
  <c r="T2729" i="1"/>
  <c r="U2729" i="1"/>
  <c r="BD2729" i="1"/>
  <c r="CE2729" i="1"/>
  <c r="A2730" i="1"/>
  <c r="C2730" i="1"/>
  <c r="S2730" i="1"/>
  <c r="T2730" i="1"/>
  <c r="U2730" i="1"/>
  <c r="BD2730" i="1"/>
  <c r="CE2730" i="1"/>
  <c r="A2731" i="1"/>
  <c r="C2731" i="1"/>
  <c r="S2731" i="1"/>
  <c r="T2731" i="1"/>
  <c r="U2731" i="1"/>
  <c r="BD2731" i="1"/>
  <c r="CE2731" i="1"/>
  <c r="A2732" i="1"/>
  <c r="C2732" i="1"/>
  <c r="S2732" i="1"/>
  <c r="T2732" i="1"/>
  <c r="U2732" i="1"/>
  <c r="BD2732" i="1"/>
  <c r="CE2732" i="1"/>
  <c r="A2733" i="1"/>
  <c r="C2733" i="1"/>
  <c r="S2733" i="1"/>
  <c r="T2733" i="1"/>
  <c r="U2733" i="1"/>
  <c r="BD2733" i="1"/>
  <c r="CE2733" i="1"/>
  <c r="A2734" i="1"/>
  <c r="C2734" i="1"/>
  <c r="S2734" i="1"/>
  <c r="T2734" i="1"/>
  <c r="U2734" i="1"/>
  <c r="BD2734" i="1"/>
  <c r="CE2734" i="1"/>
  <c r="A2735" i="1"/>
  <c r="C2735" i="1"/>
  <c r="S2735" i="1"/>
  <c r="T2735" i="1"/>
  <c r="U2735" i="1"/>
  <c r="BD2735" i="1"/>
  <c r="CE2735" i="1"/>
  <c r="A2736" i="1"/>
  <c r="C2736" i="1"/>
  <c r="S2736" i="1"/>
  <c r="T2736" i="1"/>
  <c r="U2736" i="1"/>
  <c r="BD2736" i="1"/>
  <c r="CE2736" i="1"/>
  <c r="A2737" i="1"/>
  <c r="C2737" i="1"/>
  <c r="S2737" i="1"/>
  <c r="T2737" i="1"/>
  <c r="U2737" i="1"/>
  <c r="BD2737" i="1"/>
  <c r="CE2737" i="1"/>
  <c r="A2738" i="1"/>
  <c r="C2738" i="1"/>
  <c r="S2738" i="1"/>
  <c r="T2738" i="1"/>
  <c r="U2738" i="1"/>
  <c r="BD2738" i="1"/>
  <c r="CE2738" i="1"/>
  <c r="A2739" i="1"/>
  <c r="C2739" i="1"/>
  <c r="S2739" i="1"/>
  <c r="T2739" i="1"/>
  <c r="U2739" i="1"/>
  <c r="BD2739" i="1"/>
  <c r="CE2739" i="1"/>
  <c r="A2740" i="1"/>
  <c r="C2740" i="1"/>
  <c r="S2740" i="1"/>
  <c r="T2740" i="1"/>
  <c r="U2740" i="1"/>
  <c r="BD2740" i="1"/>
  <c r="CE2740" i="1"/>
  <c r="A2741" i="1"/>
  <c r="C2741" i="1"/>
  <c r="S2741" i="1"/>
  <c r="T2741" i="1"/>
  <c r="U2741" i="1"/>
  <c r="BD2741" i="1"/>
  <c r="CE2741" i="1"/>
  <c r="A2742" i="1"/>
  <c r="C2742" i="1"/>
  <c r="S2742" i="1"/>
  <c r="T2742" i="1"/>
  <c r="U2742" i="1"/>
  <c r="BD2742" i="1"/>
  <c r="CE2742" i="1"/>
  <c r="A2743" i="1"/>
  <c r="C2743" i="1"/>
  <c r="S2743" i="1"/>
  <c r="T2743" i="1"/>
  <c r="U2743" i="1"/>
  <c r="BD2743" i="1"/>
  <c r="CE2743" i="1"/>
  <c r="A2744" i="1"/>
  <c r="C2744" i="1"/>
  <c r="S2744" i="1"/>
  <c r="T2744" i="1"/>
  <c r="U2744" i="1"/>
  <c r="BD2744" i="1"/>
  <c r="CE2744" i="1"/>
  <c r="A2745" i="1"/>
  <c r="C2745" i="1"/>
  <c r="S2745" i="1"/>
  <c r="T2745" i="1"/>
  <c r="U2745" i="1"/>
  <c r="BD2745" i="1"/>
  <c r="CE2745" i="1"/>
  <c r="A2746" i="1"/>
  <c r="C2746" i="1"/>
  <c r="S2746" i="1"/>
  <c r="T2746" i="1"/>
  <c r="U2746" i="1"/>
  <c r="BD2746" i="1"/>
  <c r="CE2746" i="1"/>
  <c r="A2747" i="1"/>
  <c r="C2747" i="1"/>
  <c r="S2747" i="1"/>
  <c r="T2747" i="1"/>
  <c r="U2747" i="1"/>
  <c r="BD2747" i="1"/>
  <c r="CE2747" i="1"/>
  <c r="A2748" i="1"/>
  <c r="C2748" i="1"/>
  <c r="S2748" i="1"/>
  <c r="T2748" i="1"/>
  <c r="U2748" i="1"/>
  <c r="BD2748" i="1"/>
  <c r="CE2748" i="1"/>
  <c r="A2749" i="1"/>
  <c r="C2749" i="1"/>
  <c r="S2749" i="1"/>
  <c r="T2749" i="1"/>
  <c r="U2749" i="1"/>
  <c r="BD2749" i="1"/>
  <c r="CE2749" i="1"/>
  <c r="A2750" i="1"/>
  <c r="C2750" i="1"/>
  <c r="S2750" i="1"/>
  <c r="T2750" i="1"/>
  <c r="U2750" i="1"/>
  <c r="BD2750" i="1"/>
  <c r="CE2750" i="1"/>
  <c r="A2751" i="1"/>
  <c r="C2751" i="1"/>
  <c r="S2751" i="1"/>
  <c r="T2751" i="1"/>
  <c r="U2751" i="1"/>
  <c r="BD2751" i="1"/>
  <c r="CE2751" i="1"/>
  <c r="A2752" i="1"/>
  <c r="C2752" i="1"/>
  <c r="S2752" i="1"/>
  <c r="T2752" i="1"/>
  <c r="U2752" i="1"/>
  <c r="BD2752" i="1"/>
  <c r="CE2752" i="1"/>
  <c r="A2753" i="1"/>
  <c r="C2753" i="1"/>
  <c r="S2753" i="1"/>
  <c r="T2753" i="1"/>
  <c r="U2753" i="1"/>
  <c r="BD2753" i="1"/>
  <c r="CE2753" i="1"/>
  <c r="A2754" i="1"/>
  <c r="C2754" i="1"/>
  <c r="S2754" i="1"/>
  <c r="T2754" i="1"/>
  <c r="U2754" i="1"/>
  <c r="BD2754" i="1"/>
  <c r="CE2754" i="1"/>
  <c r="A2755" i="1"/>
  <c r="C2755" i="1"/>
  <c r="S2755" i="1"/>
  <c r="T2755" i="1"/>
  <c r="U2755" i="1"/>
  <c r="BD2755" i="1"/>
  <c r="CE2755" i="1"/>
  <c r="A2756" i="1"/>
  <c r="C2756" i="1"/>
  <c r="S2756" i="1"/>
  <c r="T2756" i="1"/>
  <c r="U2756" i="1"/>
  <c r="BD2756" i="1"/>
  <c r="CE2756" i="1"/>
  <c r="A2757" i="1"/>
  <c r="C2757" i="1"/>
  <c r="S2757" i="1"/>
  <c r="T2757" i="1"/>
  <c r="U2757" i="1"/>
  <c r="BD2757" i="1"/>
  <c r="CE2757" i="1"/>
  <c r="A2758" i="1"/>
  <c r="C2758" i="1"/>
  <c r="S2758" i="1"/>
  <c r="T2758" i="1"/>
  <c r="U2758" i="1"/>
  <c r="BD2758" i="1"/>
  <c r="CE2758" i="1"/>
  <c r="A2759" i="1"/>
  <c r="C2759" i="1"/>
  <c r="S2759" i="1"/>
  <c r="T2759" i="1"/>
  <c r="U2759" i="1"/>
  <c r="BD2759" i="1"/>
  <c r="CE2759" i="1"/>
  <c r="A2760" i="1"/>
  <c r="C2760" i="1"/>
  <c r="S2760" i="1"/>
  <c r="T2760" i="1"/>
  <c r="U2760" i="1"/>
  <c r="BD2760" i="1"/>
  <c r="CE2760" i="1"/>
  <c r="A2761" i="1"/>
  <c r="C2761" i="1"/>
  <c r="S2761" i="1"/>
  <c r="T2761" i="1"/>
  <c r="U2761" i="1"/>
  <c r="BD2761" i="1"/>
  <c r="CE2761" i="1"/>
  <c r="A2762" i="1"/>
  <c r="C2762" i="1"/>
  <c r="S2762" i="1"/>
  <c r="T2762" i="1"/>
  <c r="U2762" i="1"/>
  <c r="BD2762" i="1"/>
  <c r="CE2762" i="1"/>
  <c r="A2763" i="1"/>
  <c r="C2763" i="1"/>
  <c r="S2763" i="1"/>
  <c r="T2763" i="1"/>
  <c r="U2763" i="1"/>
  <c r="BD2763" i="1"/>
  <c r="CE2763" i="1"/>
  <c r="A2764" i="1"/>
  <c r="C2764" i="1"/>
  <c r="S2764" i="1"/>
  <c r="T2764" i="1"/>
  <c r="U2764" i="1"/>
  <c r="BD2764" i="1"/>
  <c r="CE2764" i="1"/>
  <c r="A2765" i="1"/>
  <c r="C2765" i="1"/>
  <c r="S2765" i="1"/>
  <c r="T2765" i="1"/>
  <c r="U2765" i="1"/>
  <c r="BD2765" i="1"/>
  <c r="CE2765" i="1"/>
  <c r="A2766" i="1"/>
  <c r="C2766" i="1"/>
  <c r="S2766" i="1"/>
  <c r="T2766" i="1"/>
  <c r="U2766" i="1"/>
  <c r="BD2766" i="1"/>
  <c r="CE2766" i="1"/>
  <c r="A2767" i="1"/>
  <c r="C2767" i="1"/>
  <c r="S2767" i="1"/>
  <c r="T2767" i="1"/>
  <c r="U2767" i="1"/>
  <c r="BD2767" i="1"/>
  <c r="CE2767" i="1"/>
  <c r="A2768" i="1"/>
  <c r="C2768" i="1"/>
  <c r="S2768" i="1"/>
  <c r="T2768" i="1"/>
  <c r="U2768" i="1"/>
  <c r="BD2768" i="1"/>
  <c r="CE2768" i="1"/>
  <c r="A2769" i="1"/>
  <c r="C2769" i="1"/>
  <c r="S2769" i="1"/>
  <c r="T2769" i="1"/>
  <c r="U2769" i="1"/>
  <c r="BD2769" i="1"/>
  <c r="CE2769" i="1"/>
  <c r="A2770" i="1"/>
  <c r="C2770" i="1"/>
  <c r="S2770" i="1"/>
  <c r="T2770" i="1"/>
  <c r="U2770" i="1"/>
  <c r="BD2770" i="1"/>
  <c r="CE2770" i="1"/>
  <c r="A2771" i="1"/>
  <c r="C2771" i="1"/>
  <c r="S2771" i="1"/>
  <c r="T2771" i="1"/>
  <c r="U2771" i="1"/>
  <c r="BD2771" i="1"/>
  <c r="CE2771" i="1"/>
  <c r="A2772" i="1"/>
  <c r="C2772" i="1"/>
  <c r="S2772" i="1"/>
  <c r="T2772" i="1"/>
  <c r="U2772" i="1"/>
  <c r="BD2772" i="1"/>
  <c r="CE2772" i="1"/>
  <c r="A2773" i="1"/>
  <c r="C2773" i="1"/>
  <c r="S2773" i="1"/>
  <c r="T2773" i="1"/>
  <c r="U2773" i="1"/>
  <c r="BD2773" i="1"/>
  <c r="CE2773" i="1"/>
  <c r="A2774" i="1"/>
  <c r="C2774" i="1"/>
  <c r="S2774" i="1"/>
  <c r="T2774" i="1"/>
  <c r="U2774" i="1"/>
  <c r="BD2774" i="1"/>
  <c r="CE2774" i="1"/>
  <c r="A2775" i="1"/>
  <c r="C2775" i="1"/>
  <c r="S2775" i="1"/>
  <c r="T2775" i="1"/>
  <c r="U2775" i="1"/>
  <c r="BD2775" i="1"/>
  <c r="CE2775" i="1"/>
  <c r="A2776" i="1"/>
  <c r="C2776" i="1"/>
  <c r="S2776" i="1"/>
  <c r="T2776" i="1"/>
  <c r="U2776" i="1"/>
  <c r="BD2776" i="1"/>
  <c r="CE2776" i="1"/>
  <c r="A2777" i="1"/>
  <c r="C2777" i="1"/>
  <c r="S2777" i="1"/>
  <c r="T2777" i="1"/>
  <c r="U2777" i="1"/>
  <c r="BD2777" i="1"/>
  <c r="CE2777" i="1"/>
  <c r="A2778" i="1"/>
  <c r="C2778" i="1"/>
  <c r="S2778" i="1"/>
  <c r="T2778" i="1"/>
  <c r="U2778" i="1"/>
  <c r="BD2778" i="1"/>
  <c r="CE2778" i="1"/>
  <c r="A2779" i="1"/>
  <c r="C2779" i="1"/>
  <c r="S2779" i="1"/>
  <c r="T2779" i="1"/>
  <c r="U2779" i="1"/>
  <c r="BD2779" i="1"/>
  <c r="CE2779" i="1"/>
  <c r="A2780" i="1"/>
  <c r="C2780" i="1"/>
  <c r="S2780" i="1"/>
  <c r="T2780" i="1"/>
  <c r="U2780" i="1"/>
  <c r="BD2780" i="1"/>
  <c r="CE2780" i="1"/>
  <c r="A2781" i="1"/>
  <c r="C2781" i="1"/>
  <c r="S2781" i="1"/>
  <c r="T2781" i="1"/>
  <c r="U2781" i="1"/>
  <c r="BD2781" i="1"/>
  <c r="CE2781" i="1"/>
  <c r="A2782" i="1"/>
  <c r="C2782" i="1"/>
  <c r="S2782" i="1"/>
  <c r="T2782" i="1"/>
  <c r="U2782" i="1"/>
  <c r="BD2782" i="1"/>
  <c r="CE2782" i="1"/>
  <c r="A2783" i="1"/>
  <c r="C2783" i="1"/>
  <c r="S2783" i="1"/>
  <c r="T2783" i="1"/>
  <c r="U2783" i="1"/>
  <c r="BD2783" i="1"/>
  <c r="CE2783" i="1"/>
  <c r="A2784" i="1"/>
  <c r="C2784" i="1"/>
  <c r="S2784" i="1"/>
  <c r="T2784" i="1"/>
  <c r="U2784" i="1"/>
  <c r="BD2784" i="1"/>
  <c r="CE2784" i="1"/>
  <c r="A2785" i="1"/>
  <c r="C2785" i="1"/>
  <c r="S2785" i="1"/>
  <c r="T2785" i="1"/>
  <c r="U2785" i="1"/>
  <c r="BD2785" i="1"/>
  <c r="CE2785" i="1"/>
  <c r="A2786" i="1"/>
  <c r="C2786" i="1"/>
  <c r="S2786" i="1"/>
  <c r="T2786" i="1"/>
  <c r="U2786" i="1"/>
  <c r="BD2786" i="1"/>
  <c r="CE2786" i="1"/>
  <c r="A2787" i="1"/>
  <c r="C2787" i="1"/>
  <c r="S2787" i="1"/>
  <c r="T2787" i="1"/>
  <c r="U2787" i="1"/>
  <c r="BD2787" i="1"/>
  <c r="CE2787" i="1"/>
  <c r="A2788" i="1"/>
  <c r="C2788" i="1"/>
  <c r="S2788" i="1"/>
  <c r="T2788" i="1"/>
  <c r="U2788" i="1"/>
  <c r="BD2788" i="1"/>
  <c r="CE2788" i="1"/>
  <c r="A2789" i="1"/>
  <c r="C2789" i="1"/>
  <c r="S2789" i="1"/>
  <c r="T2789" i="1"/>
  <c r="U2789" i="1"/>
  <c r="BD2789" i="1"/>
  <c r="CE2789" i="1"/>
  <c r="A2790" i="1"/>
  <c r="C2790" i="1"/>
  <c r="S2790" i="1"/>
  <c r="T2790" i="1"/>
  <c r="U2790" i="1"/>
  <c r="BD2790" i="1"/>
  <c r="CE2790" i="1"/>
  <c r="A2791" i="1"/>
  <c r="C2791" i="1"/>
  <c r="S2791" i="1"/>
  <c r="T2791" i="1"/>
  <c r="U2791" i="1"/>
  <c r="BD2791" i="1"/>
  <c r="CE2791" i="1"/>
  <c r="A2792" i="1"/>
  <c r="C2792" i="1"/>
  <c r="S2792" i="1"/>
  <c r="T2792" i="1"/>
  <c r="U2792" i="1"/>
  <c r="BD2792" i="1"/>
  <c r="CE2792" i="1"/>
  <c r="A2793" i="1"/>
  <c r="C2793" i="1"/>
  <c r="S2793" i="1"/>
  <c r="T2793" i="1"/>
  <c r="U2793" i="1"/>
  <c r="BD2793" i="1"/>
  <c r="CE2793" i="1"/>
  <c r="A2794" i="1"/>
  <c r="C2794" i="1"/>
  <c r="S2794" i="1"/>
  <c r="T2794" i="1"/>
  <c r="U2794" i="1"/>
  <c r="BD2794" i="1"/>
  <c r="CE2794" i="1"/>
  <c r="A2795" i="1"/>
  <c r="C2795" i="1"/>
  <c r="S2795" i="1"/>
  <c r="T2795" i="1"/>
  <c r="U2795" i="1"/>
  <c r="BD2795" i="1"/>
  <c r="CE2795" i="1"/>
  <c r="A2796" i="1"/>
  <c r="C2796" i="1"/>
  <c r="S2796" i="1"/>
  <c r="T2796" i="1"/>
  <c r="U2796" i="1"/>
  <c r="BD2796" i="1"/>
  <c r="CE2796" i="1"/>
  <c r="A2797" i="1"/>
  <c r="C2797" i="1"/>
  <c r="S2797" i="1"/>
  <c r="T2797" i="1"/>
  <c r="U2797" i="1"/>
  <c r="BD2797" i="1"/>
  <c r="CE2797" i="1"/>
  <c r="A2798" i="1"/>
  <c r="C2798" i="1"/>
  <c r="S2798" i="1"/>
  <c r="T2798" i="1"/>
  <c r="U2798" i="1"/>
  <c r="BD2798" i="1"/>
  <c r="CE2798" i="1"/>
  <c r="A2799" i="1"/>
  <c r="C2799" i="1"/>
  <c r="S2799" i="1"/>
  <c r="T2799" i="1"/>
  <c r="U2799" i="1"/>
  <c r="BD2799" i="1"/>
  <c r="CE2799" i="1"/>
  <c r="A2800" i="1"/>
  <c r="C2800" i="1"/>
  <c r="S2800" i="1"/>
  <c r="T2800" i="1"/>
  <c r="U2800" i="1"/>
  <c r="BD2800" i="1"/>
  <c r="CE2800" i="1"/>
  <c r="A2801" i="1"/>
  <c r="C2801" i="1"/>
  <c r="S2801" i="1"/>
  <c r="T2801" i="1"/>
  <c r="U2801" i="1"/>
  <c r="BD2801" i="1"/>
  <c r="CE2801" i="1"/>
  <c r="A2802" i="1"/>
  <c r="C2802" i="1"/>
  <c r="S2802" i="1"/>
  <c r="T2802" i="1"/>
  <c r="U2802" i="1"/>
  <c r="BD2802" i="1"/>
  <c r="CE2802" i="1"/>
  <c r="A2803" i="1"/>
  <c r="C2803" i="1"/>
  <c r="S2803" i="1"/>
  <c r="T2803" i="1"/>
  <c r="U2803" i="1"/>
  <c r="BD2803" i="1"/>
  <c r="CE2803" i="1"/>
  <c r="A2804" i="1"/>
  <c r="C2804" i="1"/>
  <c r="S2804" i="1"/>
  <c r="T2804" i="1"/>
  <c r="U2804" i="1"/>
  <c r="BD2804" i="1"/>
  <c r="CE2804" i="1"/>
  <c r="A2805" i="1"/>
  <c r="C2805" i="1"/>
  <c r="S2805" i="1"/>
  <c r="T2805" i="1"/>
  <c r="U2805" i="1"/>
  <c r="BD2805" i="1"/>
  <c r="CE2805" i="1"/>
  <c r="A2806" i="1"/>
  <c r="C2806" i="1"/>
  <c r="S2806" i="1"/>
  <c r="T2806" i="1"/>
  <c r="U2806" i="1"/>
  <c r="BD2806" i="1"/>
  <c r="CE2806" i="1"/>
  <c r="A2807" i="1"/>
  <c r="C2807" i="1"/>
  <c r="S2807" i="1"/>
  <c r="T2807" i="1"/>
  <c r="U2807" i="1"/>
  <c r="BD2807" i="1"/>
  <c r="CE2807" i="1"/>
  <c r="A2808" i="1"/>
  <c r="C2808" i="1"/>
  <c r="S2808" i="1"/>
  <c r="T2808" i="1"/>
  <c r="U2808" i="1"/>
  <c r="BD2808" i="1"/>
  <c r="CE2808" i="1"/>
  <c r="A2809" i="1"/>
  <c r="C2809" i="1"/>
  <c r="S2809" i="1"/>
  <c r="T2809" i="1"/>
  <c r="U2809" i="1"/>
  <c r="BD2809" i="1"/>
  <c r="CE2809" i="1"/>
  <c r="A2810" i="1"/>
  <c r="C2810" i="1"/>
  <c r="S2810" i="1"/>
  <c r="T2810" i="1"/>
  <c r="U2810" i="1"/>
  <c r="BD2810" i="1"/>
  <c r="CE2810" i="1"/>
  <c r="A2811" i="1"/>
  <c r="C2811" i="1"/>
  <c r="S2811" i="1"/>
  <c r="T2811" i="1"/>
  <c r="U2811" i="1"/>
  <c r="BD2811" i="1"/>
  <c r="CE2811" i="1"/>
  <c r="A2812" i="1"/>
  <c r="C2812" i="1"/>
  <c r="S2812" i="1"/>
  <c r="T2812" i="1"/>
  <c r="U2812" i="1"/>
  <c r="BD2812" i="1"/>
  <c r="CE2812" i="1"/>
  <c r="A2813" i="1"/>
  <c r="C2813" i="1"/>
  <c r="S2813" i="1"/>
  <c r="T2813" i="1"/>
  <c r="U2813" i="1"/>
  <c r="BD2813" i="1"/>
  <c r="CE2813" i="1"/>
  <c r="A2814" i="1"/>
  <c r="C2814" i="1"/>
  <c r="S2814" i="1"/>
  <c r="T2814" i="1"/>
  <c r="U2814" i="1"/>
  <c r="BD2814" i="1"/>
  <c r="CE2814" i="1"/>
  <c r="A2815" i="1"/>
  <c r="C2815" i="1"/>
  <c r="S2815" i="1"/>
  <c r="T2815" i="1"/>
  <c r="U2815" i="1"/>
  <c r="BD2815" i="1"/>
  <c r="CE2815" i="1"/>
  <c r="A2816" i="1"/>
  <c r="C2816" i="1"/>
  <c r="S2816" i="1"/>
  <c r="T2816" i="1"/>
  <c r="U2816" i="1"/>
  <c r="BD2816" i="1"/>
  <c r="CE2816" i="1"/>
  <c r="A2817" i="1"/>
  <c r="C2817" i="1"/>
  <c r="S2817" i="1"/>
  <c r="T2817" i="1"/>
  <c r="U2817" i="1"/>
  <c r="BD2817" i="1"/>
  <c r="CE2817" i="1"/>
  <c r="A2818" i="1"/>
  <c r="C2818" i="1"/>
  <c r="S2818" i="1"/>
  <c r="T2818" i="1"/>
  <c r="U2818" i="1"/>
  <c r="BD2818" i="1"/>
  <c r="CE2818" i="1"/>
  <c r="A2819" i="1"/>
  <c r="C2819" i="1"/>
  <c r="S2819" i="1"/>
  <c r="T2819" i="1"/>
  <c r="U2819" i="1"/>
  <c r="BD2819" i="1"/>
  <c r="CE2819" i="1"/>
  <c r="A2820" i="1"/>
  <c r="C2820" i="1"/>
  <c r="S2820" i="1"/>
  <c r="T2820" i="1"/>
  <c r="U2820" i="1"/>
  <c r="BD2820" i="1"/>
  <c r="CE2820" i="1"/>
  <c r="A2821" i="1"/>
  <c r="C2821" i="1"/>
  <c r="S2821" i="1"/>
  <c r="T2821" i="1"/>
  <c r="U2821" i="1"/>
  <c r="BD2821" i="1"/>
  <c r="CE2821" i="1"/>
  <c r="A2822" i="1"/>
  <c r="C2822" i="1"/>
  <c r="S2822" i="1"/>
  <c r="T2822" i="1"/>
  <c r="U2822" i="1"/>
  <c r="BD2822" i="1"/>
  <c r="CE2822" i="1"/>
  <c r="A2823" i="1"/>
  <c r="C2823" i="1"/>
  <c r="S2823" i="1"/>
  <c r="T2823" i="1"/>
  <c r="U2823" i="1"/>
  <c r="BD2823" i="1"/>
  <c r="CE2823" i="1"/>
  <c r="A2824" i="1"/>
  <c r="C2824" i="1"/>
  <c r="S2824" i="1"/>
  <c r="T2824" i="1"/>
  <c r="U2824" i="1"/>
  <c r="BD2824" i="1"/>
  <c r="CE2824" i="1"/>
  <c r="A2825" i="1"/>
  <c r="C2825" i="1"/>
  <c r="S2825" i="1"/>
  <c r="T2825" i="1"/>
  <c r="U2825" i="1"/>
  <c r="BD2825" i="1"/>
  <c r="CE2825" i="1"/>
  <c r="A2826" i="1"/>
  <c r="C2826" i="1"/>
  <c r="S2826" i="1"/>
  <c r="T2826" i="1"/>
  <c r="U2826" i="1"/>
  <c r="BD2826" i="1"/>
  <c r="CE2826" i="1"/>
  <c r="A2827" i="1"/>
  <c r="C2827" i="1"/>
  <c r="S2827" i="1"/>
  <c r="T2827" i="1"/>
  <c r="U2827" i="1"/>
  <c r="BD2827" i="1"/>
  <c r="CE2827" i="1"/>
  <c r="A2828" i="1"/>
  <c r="C2828" i="1"/>
  <c r="S2828" i="1"/>
  <c r="T2828" i="1"/>
  <c r="U2828" i="1"/>
  <c r="BD2828" i="1"/>
  <c r="CE2828" i="1"/>
  <c r="A2829" i="1"/>
  <c r="C2829" i="1"/>
  <c r="S2829" i="1"/>
  <c r="T2829" i="1"/>
  <c r="U2829" i="1"/>
  <c r="BD2829" i="1"/>
  <c r="CE2829" i="1"/>
  <c r="A2830" i="1"/>
  <c r="C2830" i="1"/>
  <c r="S2830" i="1"/>
  <c r="T2830" i="1"/>
  <c r="U2830" i="1"/>
  <c r="BD2830" i="1"/>
  <c r="CE2830" i="1"/>
  <c r="A2831" i="1"/>
  <c r="C2831" i="1"/>
  <c r="S2831" i="1"/>
  <c r="T2831" i="1"/>
  <c r="U2831" i="1"/>
  <c r="BD2831" i="1"/>
  <c r="CE2831" i="1"/>
  <c r="A2832" i="1"/>
  <c r="C2832" i="1"/>
  <c r="S2832" i="1"/>
  <c r="T2832" i="1"/>
  <c r="U2832" i="1"/>
  <c r="BD2832" i="1"/>
  <c r="CE2832" i="1"/>
  <c r="A2833" i="1"/>
  <c r="C2833" i="1"/>
  <c r="S2833" i="1"/>
  <c r="T2833" i="1"/>
  <c r="U2833" i="1"/>
  <c r="BD2833" i="1"/>
  <c r="CE2833" i="1"/>
  <c r="A2834" i="1"/>
  <c r="C2834" i="1"/>
  <c r="S2834" i="1"/>
  <c r="T2834" i="1"/>
  <c r="U2834" i="1"/>
  <c r="BD2834" i="1"/>
  <c r="CE2834" i="1"/>
  <c r="A2835" i="1"/>
  <c r="C2835" i="1"/>
  <c r="S2835" i="1"/>
  <c r="T2835" i="1"/>
  <c r="U2835" i="1"/>
  <c r="BD2835" i="1"/>
  <c r="CE2835" i="1"/>
  <c r="A2836" i="1"/>
  <c r="C2836" i="1"/>
  <c r="S2836" i="1"/>
  <c r="T2836" i="1"/>
  <c r="U2836" i="1"/>
  <c r="BD2836" i="1"/>
  <c r="CE2836" i="1"/>
  <c r="A2837" i="1"/>
  <c r="C2837" i="1"/>
  <c r="S2837" i="1"/>
  <c r="T2837" i="1"/>
  <c r="U2837" i="1"/>
  <c r="BD2837" i="1"/>
  <c r="CE2837" i="1"/>
  <c r="A2838" i="1"/>
  <c r="C2838" i="1"/>
  <c r="S2838" i="1"/>
  <c r="T2838" i="1"/>
  <c r="U2838" i="1"/>
  <c r="BD2838" i="1"/>
  <c r="CE2838" i="1"/>
  <c r="A2839" i="1"/>
  <c r="C2839" i="1"/>
  <c r="S2839" i="1"/>
  <c r="T2839" i="1"/>
  <c r="U2839" i="1"/>
  <c r="BD2839" i="1"/>
  <c r="CE2839" i="1"/>
  <c r="A2840" i="1"/>
  <c r="C2840" i="1"/>
  <c r="S2840" i="1"/>
  <c r="T2840" i="1"/>
  <c r="U2840" i="1"/>
  <c r="BD2840" i="1"/>
  <c r="CE2840" i="1"/>
  <c r="A2841" i="1"/>
  <c r="C2841" i="1"/>
  <c r="S2841" i="1"/>
  <c r="T2841" i="1"/>
  <c r="U2841" i="1"/>
  <c r="BD2841" i="1"/>
  <c r="CE2841" i="1"/>
  <c r="A2842" i="1"/>
  <c r="C2842" i="1"/>
  <c r="S2842" i="1"/>
  <c r="T2842" i="1"/>
  <c r="U2842" i="1"/>
  <c r="BD2842" i="1"/>
  <c r="CE2842" i="1"/>
  <c r="A2843" i="1"/>
  <c r="C2843" i="1"/>
  <c r="S2843" i="1"/>
  <c r="T2843" i="1"/>
  <c r="U2843" i="1"/>
  <c r="BD2843" i="1"/>
  <c r="CE2843" i="1"/>
  <c r="A2844" i="1"/>
  <c r="C2844" i="1"/>
  <c r="S2844" i="1"/>
  <c r="T2844" i="1"/>
  <c r="U2844" i="1"/>
  <c r="BD2844" i="1"/>
  <c r="CE2844" i="1"/>
  <c r="A2845" i="1"/>
  <c r="C2845" i="1"/>
  <c r="S2845" i="1"/>
  <c r="T2845" i="1"/>
  <c r="U2845" i="1"/>
  <c r="BD2845" i="1"/>
  <c r="CE2845" i="1"/>
  <c r="A2846" i="1"/>
  <c r="C2846" i="1"/>
  <c r="S2846" i="1"/>
  <c r="T2846" i="1"/>
  <c r="U2846" i="1"/>
  <c r="BD2846" i="1"/>
  <c r="CE2846" i="1"/>
  <c r="A2847" i="1"/>
  <c r="C2847" i="1"/>
  <c r="S2847" i="1"/>
  <c r="T2847" i="1"/>
  <c r="U2847" i="1"/>
  <c r="BD2847" i="1"/>
  <c r="CE2847" i="1"/>
  <c r="A2848" i="1"/>
  <c r="C2848" i="1"/>
  <c r="S2848" i="1"/>
  <c r="T2848" i="1"/>
  <c r="U2848" i="1"/>
  <c r="BD2848" i="1"/>
  <c r="CE2848" i="1"/>
  <c r="A2849" i="1"/>
  <c r="C2849" i="1"/>
  <c r="S2849" i="1"/>
  <c r="T2849" i="1"/>
  <c r="U2849" i="1"/>
  <c r="BD2849" i="1"/>
  <c r="CE2849" i="1"/>
  <c r="A2850" i="1"/>
  <c r="C2850" i="1"/>
  <c r="S2850" i="1"/>
  <c r="T2850" i="1"/>
  <c r="U2850" i="1"/>
  <c r="BD2850" i="1"/>
  <c r="CE2850" i="1"/>
  <c r="A2851" i="1"/>
  <c r="C2851" i="1"/>
  <c r="S2851" i="1"/>
  <c r="T2851" i="1"/>
  <c r="U2851" i="1"/>
  <c r="BD2851" i="1"/>
  <c r="CE2851" i="1"/>
  <c r="A2852" i="1"/>
  <c r="C2852" i="1"/>
  <c r="S2852" i="1"/>
  <c r="T2852" i="1"/>
  <c r="U2852" i="1"/>
  <c r="BD2852" i="1"/>
  <c r="CE2852" i="1"/>
  <c r="A2853" i="1"/>
  <c r="C2853" i="1"/>
  <c r="S2853" i="1"/>
  <c r="T2853" i="1"/>
  <c r="U2853" i="1"/>
  <c r="BD2853" i="1"/>
  <c r="CE2853" i="1"/>
  <c r="A2854" i="1"/>
  <c r="C2854" i="1"/>
  <c r="S2854" i="1"/>
  <c r="T2854" i="1"/>
  <c r="U2854" i="1"/>
  <c r="BD2854" i="1"/>
  <c r="CE2854" i="1"/>
  <c r="A2855" i="1"/>
  <c r="C2855" i="1"/>
  <c r="S2855" i="1"/>
  <c r="T2855" i="1"/>
  <c r="U2855" i="1"/>
  <c r="BD2855" i="1"/>
  <c r="CE2855" i="1"/>
  <c r="A2856" i="1"/>
  <c r="C2856" i="1"/>
  <c r="S2856" i="1"/>
  <c r="T2856" i="1"/>
  <c r="U2856" i="1"/>
  <c r="BD2856" i="1"/>
  <c r="CE2856" i="1"/>
  <c r="A2857" i="1"/>
  <c r="C2857" i="1"/>
  <c r="S2857" i="1"/>
  <c r="T2857" i="1"/>
  <c r="U2857" i="1"/>
  <c r="BD2857" i="1"/>
  <c r="CE2857" i="1"/>
  <c r="A2858" i="1"/>
  <c r="C2858" i="1"/>
  <c r="S2858" i="1"/>
  <c r="T2858" i="1"/>
  <c r="U2858" i="1"/>
  <c r="BD2858" i="1"/>
  <c r="CE2858" i="1"/>
  <c r="A2859" i="1"/>
  <c r="C2859" i="1"/>
  <c r="S2859" i="1"/>
  <c r="T2859" i="1"/>
  <c r="U2859" i="1"/>
  <c r="BD2859" i="1"/>
  <c r="CE2859" i="1"/>
  <c r="A2860" i="1"/>
  <c r="C2860" i="1"/>
  <c r="S2860" i="1"/>
  <c r="T2860" i="1"/>
  <c r="U2860" i="1"/>
  <c r="BD2860" i="1"/>
  <c r="CE2860" i="1"/>
  <c r="A2861" i="1"/>
  <c r="C2861" i="1"/>
  <c r="S2861" i="1"/>
  <c r="T2861" i="1"/>
  <c r="U2861" i="1"/>
  <c r="BD2861" i="1"/>
  <c r="CE2861" i="1"/>
  <c r="A2862" i="1"/>
  <c r="C2862" i="1"/>
  <c r="S2862" i="1"/>
  <c r="T2862" i="1"/>
  <c r="U2862" i="1"/>
  <c r="BD2862" i="1"/>
  <c r="CE2862" i="1"/>
  <c r="A2863" i="1"/>
  <c r="C2863" i="1"/>
  <c r="S2863" i="1"/>
  <c r="T2863" i="1"/>
  <c r="U2863" i="1"/>
  <c r="BD2863" i="1"/>
  <c r="CE2863" i="1"/>
  <c r="A2864" i="1"/>
  <c r="C2864" i="1"/>
  <c r="S2864" i="1"/>
  <c r="T2864" i="1"/>
  <c r="U2864" i="1"/>
  <c r="BD2864" i="1"/>
  <c r="CE2864" i="1"/>
  <c r="A2865" i="1"/>
  <c r="C2865" i="1"/>
  <c r="S2865" i="1"/>
  <c r="T2865" i="1"/>
  <c r="U2865" i="1"/>
  <c r="BD2865" i="1"/>
  <c r="CE2865" i="1"/>
  <c r="A2866" i="1"/>
  <c r="C2866" i="1"/>
  <c r="S2866" i="1"/>
  <c r="T2866" i="1"/>
  <c r="U2866" i="1"/>
  <c r="BD2866" i="1"/>
  <c r="CE2866" i="1"/>
  <c r="A2867" i="1"/>
  <c r="C2867" i="1"/>
  <c r="S2867" i="1"/>
  <c r="T2867" i="1"/>
  <c r="U2867" i="1"/>
  <c r="BD2867" i="1"/>
  <c r="CE2867" i="1"/>
  <c r="A2868" i="1"/>
  <c r="C2868" i="1"/>
  <c r="S2868" i="1"/>
  <c r="T2868" i="1"/>
  <c r="U2868" i="1"/>
  <c r="BD2868" i="1"/>
  <c r="CE2868" i="1"/>
  <c r="A2869" i="1"/>
  <c r="C2869" i="1"/>
  <c r="S2869" i="1"/>
  <c r="T2869" i="1"/>
  <c r="U2869" i="1"/>
  <c r="BD2869" i="1"/>
  <c r="CE2869" i="1"/>
  <c r="A2870" i="1"/>
  <c r="C2870" i="1"/>
  <c r="S2870" i="1"/>
  <c r="T2870" i="1"/>
  <c r="U2870" i="1"/>
  <c r="BD2870" i="1"/>
  <c r="CE2870" i="1"/>
  <c r="A2871" i="1"/>
  <c r="C2871" i="1"/>
  <c r="S2871" i="1"/>
  <c r="T2871" i="1"/>
  <c r="U2871" i="1"/>
  <c r="BD2871" i="1"/>
  <c r="CE2871" i="1"/>
  <c r="A2872" i="1"/>
  <c r="C2872" i="1"/>
  <c r="S2872" i="1"/>
  <c r="T2872" i="1"/>
  <c r="U2872" i="1"/>
  <c r="BD2872" i="1"/>
  <c r="CE2872" i="1"/>
  <c r="A2873" i="1"/>
  <c r="C2873" i="1"/>
  <c r="S2873" i="1"/>
  <c r="T2873" i="1"/>
  <c r="U2873" i="1"/>
  <c r="BD2873" i="1"/>
  <c r="CE2873" i="1"/>
  <c r="A2874" i="1"/>
  <c r="C2874" i="1"/>
  <c r="S2874" i="1"/>
  <c r="T2874" i="1"/>
  <c r="U2874" i="1"/>
  <c r="BD2874" i="1"/>
  <c r="CE2874" i="1"/>
  <c r="A2875" i="1"/>
  <c r="C2875" i="1"/>
  <c r="S2875" i="1"/>
  <c r="T2875" i="1"/>
  <c r="U2875" i="1"/>
  <c r="BD2875" i="1"/>
  <c r="CE2875" i="1"/>
  <c r="A2876" i="1"/>
  <c r="C2876" i="1"/>
  <c r="S2876" i="1"/>
  <c r="T2876" i="1"/>
  <c r="U2876" i="1"/>
  <c r="BD2876" i="1"/>
  <c r="CE2876" i="1"/>
  <c r="A2877" i="1"/>
  <c r="C2877" i="1"/>
  <c r="S2877" i="1"/>
  <c r="T2877" i="1"/>
  <c r="U2877" i="1"/>
  <c r="BD2877" i="1"/>
  <c r="CE2877" i="1"/>
  <c r="A2878" i="1"/>
  <c r="C2878" i="1"/>
  <c r="S2878" i="1"/>
  <c r="T2878" i="1"/>
  <c r="U2878" i="1"/>
  <c r="BD2878" i="1"/>
  <c r="CE2878" i="1"/>
  <c r="A2879" i="1"/>
  <c r="C2879" i="1"/>
  <c r="S2879" i="1"/>
  <c r="T2879" i="1"/>
  <c r="U2879" i="1"/>
  <c r="BD2879" i="1"/>
  <c r="CE2879" i="1"/>
  <c r="A2880" i="1"/>
  <c r="C2880" i="1"/>
  <c r="S2880" i="1"/>
  <c r="T2880" i="1"/>
  <c r="U2880" i="1"/>
  <c r="BD2880" i="1"/>
  <c r="CE2880" i="1"/>
  <c r="A2881" i="1"/>
  <c r="C2881" i="1"/>
  <c r="S2881" i="1"/>
  <c r="T2881" i="1"/>
  <c r="U2881" i="1"/>
  <c r="BD2881" i="1"/>
  <c r="CE2881" i="1"/>
  <c r="A2882" i="1"/>
  <c r="C2882" i="1"/>
  <c r="S2882" i="1"/>
  <c r="T2882" i="1"/>
  <c r="U2882" i="1"/>
  <c r="BD2882" i="1"/>
  <c r="CE2882" i="1"/>
  <c r="A2883" i="1"/>
  <c r="C2883" i="1"/>
  <c r="S2883" i="1"/>
  <c r="T2883" i="1"/>
  <c r="U2883" i="1"/>
  <c r="BD2883" i="1"/>
  <c r="CE2883" i="1"/>
  <c r="A2884" i="1"/>
  <c r="C2884" i="1"/>
  <c r="S2884" i="1"/>
  <c r="T2884" i="1"/>
  <c r="U2884" i="1"/>
  <c r="BD2884" i="1"/>
  <c r="CE2884" i="1"/>
  <c r="A2885" i="1"/>
  <c r="C2885" i="1"/>
  <c r="S2885" i="1"/>
  <c r="T2885" i="1"/>
  <c r="U2885" i="1"/>
  <c r="BD2885" i="1"/>
  <c r="CE2885" i="1"/>
  <c r="A2886" i="1"/>
  <c r="C2886" i="1"/>
  <c r="S2886" i="1"/>
  <c r="T2886" i="1"/>
  <c r="U2886" i="1"/>
  <c r="BD2886" i="1"/>
  <c r="CE2886" i="1"/>
  <c r="A2887" i="1"/>
  <c r="C2887" i="1"/>
  <c r="S2887" i="1"/>
  <c r="T2887" i="1"/>
  <c r="U2887" i="1"/>
  <c r="BD2887" i="1"/>
  <c r="CE2887" i="1"/>
  <c r="A2888" i="1"/>
  <c r="C2888" i="1"/>
  <c r="S2888" i="1"/>
  <c r="T2888" i="1"/>
  <c r="U2888" i="1"/>
  <c r="BD2888" i="1"/>
  <c r="CE2888" i="1"/>
  <c r="A2889" i="1"/>
  <c r="C2889" i="1"/>
  <c r="S2889" i="1"/>
  <c r="T2889" i="1"/>
  <c r="U2889" i="1"/>
  <c r="BD2889" i="1"/>
  <c r="CE2889" i="1"/>
  <c r="A2890" i="1"/>
  <c r="C2890" i="1"/>
  <c r="S2890" i="1"/>
  <c r="T2890" i="1"/>
  <c r="U2890" i="1"/>
  <c r="BD2890" i="1"/>
  <c r="CE2890" i="1"/>
  <c r="A2891" i="1"/>
  <c r="C2891" i="1"/>
  <c r="S2891" i="1"/>
  <c r="T2891" i="1"/>
  <c r="U2891" i="1"/>
  <c r="BD2891" i="1"/>
  <c r="CE2891" i="1"/>
  <c r="A2892" i="1"/>
  <c r="C2892" i="1"/>
  <c r="S2892" i="1"/>
  <c r="T2892" i="1"/>
  <c r="U2892" i="1"/>
  <c r="BD2892" i="1"/>
  <c r="CE2892" i="1"/>
  <c r="A2893" i="1"/>
  <c r="C2893" i="1"/>
  <c r="S2893" i="1"/>
  <c r="T2893" i="1"/>
  <c r="U2893" i="1"/>
  <c r="BD2893" i="1"/>
  <c r="CE2893" i="1"/>
  <c r="A2894" i="1"/>
  <c r="C2894" i="1"/>
  <c r="S2894" i="1"/>
  <c r="T2894" i="1"/>
  <c r="U2894" i="1"/>
  <c r="BD2894" i="1"/>
  <c r="CE2894" i="1"/>
  <c r="A2895" i="1"/>
  <c r="C2895" i="1"/>
  <c r="S2895" i="1"/>
  <c r="T2895" i="1"/>
  <c r="U2895" i="1"/>
  <c r="BD2895" i="1"/>
  <c r="CE2895" i="1"/>
  <c r="A2896" i="1"/>
  <c r="C2896" i="1"/>
  <c r="S2896" i="1"/>
  <c r="T2896" i="1"/>
  <c r="U2896" i="1"/>
  <c r="BD2896" i="1"/>
  <c r="CE2896" i="1"/>
  <c r="A2897" i="1"/>
  <c r="C2897" i="1"/>
  <c r="S2897" i="1"/>
  <c r="T2897" i="1"/>
  <c r="U2897" i="1"/>
  <c r="BD2897" i="1"/>
  <c r="CE2897" i="1"/>
  <c r="A2898" i="1"/>
  <c r="C2898" i="1"/>
  <c r="S2898" i="1"/>
  <c r="T2898" i="1"/>
  <c r="U2898" i="1"/>
  <c r="BD2898" i="1"/>
  <c r="CE2898" i="1"/>
  <c r="A2899" i="1"/>
  <c r="C2899" i="1"/>
  <c r="S2899" i="1"/>
  <c r="T2899" i="1"/>
  <c r="U2899" i="1"/>
  <c r="BD2899" i="1"/>
  <c r="CE2899" i="1"/>
  <c r="A2900" i="1"/>
  <c r="C2900" i="1"/>
  <c r="S2900" i="1"/>
  <c r="T2900" i="1"/>
  <c r="U2900" i="1"/>
  <c r="BD2900" i="1"/>
  <c r="CE2900" i="1"/>
  <c r="A2901" i="1"/>
  <c r="C2901" i="1"/>
  <c r="S2901" i="1"/>
  <c r="T2901" i="1"/>
  <c r="U2901" i="1"/>
  <c r="BD2901" i="1"/>
  <c r="CE2901" i="1"/>
  <c r="A2902" i="1"/>
  <c r="C2902" i="1"/>
  <c r="S2902" i="1"/>
  <c r="T2902" i="1"/>
  <c r="U2902" i="1"/>
  <c r="BD2902" i="1"/>
  <c r="CE2902" i="1"/>
  <c r="A2903" i="1"/>
  <c r="C2903" i="1"/>
  <c r="S2903" i="1"/>
  <c r="T2903" i="1"/>
  <c r="U2903" i="1"/>
  <c r="BD2903" i="1"/>
  <c r="CE2903" i="1"/>
  <c r="A2904" i="1"/>
  <c r="C2904" i="1"/>
  <c r="S2904" i="1"/>
  <c r="T2904" i="1"/>
  <c r="U2904" i="1"/>
  <c r="BD2904" i="1"/>
  <c r="CE2904" i="1"/>
  <c r="A2905" i="1"/>
  <c r="C2905" i="1"/>
  <c r="S2905" i="1"/>
  <c r="T2905" i="1"/>
  <c r="U2905" i="1"/>
  <c r="BD2905" i="1"/>
  <c r="CE2905" i="1"/>
  <c r="A2906" i="1"/>
  <c r="C2906" i="1"/>
  <c r="S2906" i="1"/>
  <c r="T2906" i="1"/>
  <c r="U2906" i="1"/>
  <c r="BD2906" i="1"/>
  <c r="CE2906" i="1"/>
  <c r="A2907" i="1"/>
  <c r="C2907" i="1"/>
  <c r="S2907" i="1"/>
  <c r="T2907" i="1"/>
  <c r="U2907" i="1"/>
  <c r="BD2907" i="1"/>
  <c r="CE2907" i="1"/>
  <c r="A2908" i="1"/>
  <c r="C2908" i="1"/>
  <c r="S2908" i="1"/>
  <c r="T2908" i="1"/>
  <c r="U2908" i="1"/>
  <c r="BD2908" i="1"/>
  <c r="CE2908" i="1"/>
  <c r="A2909" i="1"/>
  <c r="C2909" i="1"/>
  <c r="S2909" i="1"/>
  <c r="T2909" i="1"/>
  <c r="U2909" i="1"/>
  <c r="BD2909" i="1"/>
  <c r="CE2909" i="1"/>
  <c r="A2910" i="1"/>
  <c r="C2910" i="1"/>
  <c r="S2910" i="1"/>
  <c r="T2910" i="1"/>
  <c r="U2910" i="1"/>
  <c r="BD2910" i="1"/>
  <c r="CE2910" i="1"/>
  <c r="A2911" i="1"/>
  <c r="C2911" i="1"/>
  <c r="S2911" i="1"/>
  <c r="T2911" i="1"/>
  <c r="U2911" i="1"/>
  <c r="BD2911" i="1"/>
  <c r="CE2911" i="1"/>
  <c r="A2912" i="1"/>
  <c r="C2912" i="1"/>
  <c r="S2912" i="1"/>
  <c r="T2912" i="1"/>
  <c r="U2912" i="1"/>
  <c r="BD2912" i="1"/>
  <c r="CE2912" i="1"/>
  <c r="A2913" i="1"/>
  <c r="C2913" i="1"/>
  <c r="S2913" i="1"/>
  <c r="T2913" i="1"/>
  <c r="U2913" i="1"/>
  <c r="BD2913" i="1"/>
  <c r="CE2913" i="1"/>
  <c r="A2914" i="1"/>
  <c r="C2914" i="1"/>
  <c r="S2914" i="1"/>
  <c r="T2914" i="1"/>
  <c r="U2914" i="1"/>
  <c r="BD2914" i="1"/>
  <c r="CE2914" i="1"/>
  <c r="A2915" i="1"/>
  <c r="C2915" i="1"/>
  <c r="S2915" i="1"/>
  <c r="T2915" i="1"/>
  <c r="U2915" i="1"/>
  <c r="BD2915" i="1"/>
  <c r="CE2915" i="1"/>
  <c r="A2916" i="1"/>
  <c r="C2916" i="1"/>
  <c r="S2916" i="1"/>
  <c r="T2916" i="1"/>
  <c r="U2916" i="1"/>
  <c r="BD2916" i="1"/>
  <c r="CE2916" i="1"/>
  <c r="A2917" i="1"/>
  <c r="C2917" i="1"/>
  <c r="S2917" i="1"/>
  <c r="T2917" i="1"/>
  <c r="U2917" i="1"/>
  <c r="BD2917" i="1"/>
  <c r="CE2917" i="1"/>
  <c r="A2918" i="1"/>
  <c r="C2918" i="1"/>
  <c r="S2918" i="1"/>
  <c r="T2918" i="1"/>
  <c r="U2918" i="1"/>
  <c r="BD2918" i="1"/>
  <c r="CE2918" i="1"/>
  <c r="A2919" i="1"/>
  <c r="C2919" i="1"/>
  <c r="S2919" i="1"/>
  <c r="T2919" i="1"/>
  <c r="U2919" i="1"/>
  <c r="BD2919" i="1"/>
  <c r="CE2919" i="1"/>
  <c r="A2920" i="1"/>
  <c r="C2920" i="1"/>
  <c r="S2920" i="1"/>
  <c r="T2920" i="1"/>
  <c r="U2920" i="1"/>
  <c r="BD2920" i="1"/>
  <c r="CE2920" i="1"/>
  <c r="A2921" i="1"/>
  <c r="C2921" i="1"/>
  <c r="S2921" i="1"/>
  <c r="T2921" i="1"/>
  <c r="U2921" i="1"/>
  <c r="BD2921" i="1"/>
  <c r="CE2921" i="1"/>
  <c r="A2922" i="1"/>
  <c r="C2922" i="1"/>
  <c r="S2922" i="1"/>
  <c r="T2922" i="1"/>
  <c r="U2922" i="1"/>
  <c r="BD2922" i="1"/>
  <c r="CE2922" i="1"/>
  <c r="A2923" i="1"/>
  <c r="C2923" i="1"/>
  <c r="S2923" i="1"/>
  <c r="T2923" i="1"/>
  <c r="U2923" i="1"/>
  <c r="BD2923" i="1"/>
  <c r="CE2923" i="1"/>
  <c r="A2924" i="1"/>
  <c r="C2924" i="1"/>
  <c r="S2924" i="1"/>
  <c r="T2924" i="1"/>
  <c r="U2924" i="1"/>
  <c r="BD2924" i="1"/>
  <c r="CE2924" i="1"/>
  <c r="A2925" i="1"/>
  <c r="C2925" i="1"/>
  <c r="S2925" i="1"/>
  <c r="T2925" i="1"/>
  <c r="U2925" i="1"/>
  <c r="BD2925" i="1"/>
  <c r="CE2925" i="1"/>
  <c r="A2926" i="1"/>
  <c r="C2926" i="1"/>
  <c r="S2926" i="1"/>
  <c r="T2926" i="1"/>
  <c r="U2926" i="1"/>
  <c r="BD2926" i="1"/>
  <c r="CE2926" i="1"/>
  <c r="A2927" i="1"/>
  <c r="C2927" i="1"/>
  <c r="S2927" i="1"/>
  <c r="T2927" i="1"/>
  <c r="U2927" i="1"/>
  <c r="BD2927" i="1"/>
  <c r="CE2927" i="1"/>
  <c r="A2928" i="1"/>
  <c r="C2928" i="1"/>
  <c r="S2928" i="1"/>
  <c r="T2928" i="1"/>
  <c r="U2928" i="1"/>
  <c r="BD2928" i="1"/>
  <c r="CE2928" i="1"/>
  <c r="A2929" i="1"/>
  <c r="C2929" i="1"/>
  <c r="S2929" i="1"/>
  <c r="T2929" i="1"/>
  <c r="U2929" i="1"/>
  <c r="BD2929" i="1"/>
  <c r="CE2929" i="1"/>
  <c r="A2930" i="1"/>
  <c r="C2930" i="1"/>
  <c r="S2930" i="1"/>
  <c r="T2930" i="1"/>
  <c r="U2930" i="1"/>
  <c r="BD2930" i="1"/>
  <c r="CE2930" i="1"/>
  <c r="A2931" i="1"/>
  <c r="C2931" i="1"/>
  <c r="S2931" i="1"/>
  <c r="T2931" i="1"/>
  <c r="U2931" i="1"/>
  <c r="BD2931" i="1"/>
  <c r="CE2931" i="1"/>
  <c r="A2932" i="1"/>
  <c r="C2932" i="1"/>
  <c r="S2932" i="1"/>
  <c r="T2932" i="1"/>
  <c r="U2932" i="1"/>
  <c r="BD2932" i="1"/>
  <c r="CE2932" i="1"/>
  <c r="A2933" i="1"/>
  <c r="C2933" i="1"/>
  <c r="S2933" i="1"/>
  <c r="T2933" i="1"/>
  <c r="U2933" i="1"/>
  <c r="BD2933" i="1"/>
  <c r="CE2933" i="1"/>
  <c r="A2934" i="1"/>
  <c r="C2934" i="1"/>
  <c r="S2934" i="1"/>
  <c r="T2934" i="1"/>
  <c r="U2934" i="1"/>
  <c r="BD2934" i="1"/>
  <c r="CE2934" i="1"/>
  <c r="A2935" i="1"/>
  <c r="C2935" i="1"/>
  <c r="S2935" i="1"/>
  <c r="T2935" i="1"/>
  <c r="U2935" i="1"/>
  <c r="BD2935" i="1"/>
  <c r="CE2935" i="1"/>
  <c r="A2936" i="1"/>
  <c r="C2936" i="1"/>
  <c r="S2936" i="1"/>
  <c r="T2936" i="1"/>
  <c r="U2936" i="1"/>
  <c r="BD2936" i="1"/>
  <c r="CE2936" i="1"/>
  <c r="A2937" i="1"/>
  <c r="C2937" i="1"/>
  <c r="S2937" i="1"/>
  <c r="T2937" i="1"/>
  <c r="U2937" i="1"/>
  <c r="BD2937" i="1"/>
  <c r="CE2937" i="1"/>
  <c r="A2938" i="1"/>
  <c r="C2938" i="1"/>
  <c r="S2938" i="1"/>
  <c r="T2938" i="1"/>
  <c r="U2938" i="1"/>
  <c r="BD2938" i="1"/>
  <c r="CE2938" i="1"/>
  <c r="A2939" i="1"/>
  <c r="C2939" i="1"/>
  <c r="S2939" i="1"/>
  <c r="T2939" i="1"/>
  <c r="U2939" i="1"/>
  <c r="BD2939" i="1"/>
  <c r="CE2939" i="1"/>
  <c r="A2940" i="1"/>
  <c r="C2940" i="1"/>
  <c r="S2940" i="1"/>
  <c r="T2940" i="1"/>
  <c r="U2940" i="1"/>
  <c r="BD2940" i="1"/>
  <c r="CE2940" i="1"/>
  <c r="A2941" i="1"/>
  <c r="C2941" i="1"/>
  <c r="S2941" i="1"/>
  <c r="T2941" i="1"/>
  <c r="U2941" i="1"/>
  <c r="BD2941" i="1"/>
  <c r="CE2941" i="1"/>
  <c r="A2942" i="1"/>
  <c r="C2942" i="1"/>
  <c r="S2942" i="1"/>
  <c r="T2942" i="1"/>
  <c r="U2942" i="1"/>
  <c r="BD2942" i="1"/>
  <c r="CE2942" i="1"/>
  <c r="A2943" i="1"/>
  <c r="C2943" i="1"/>
  <c r="S2943" i="1"/>
  <c r="T2943" i="1"/>
  <c r="U2943" i="1"/>
  <c r="BD2943" i="1"/>
  <c r="CE2943" i="1"/>
  <c r="A2944" i="1"/>
  <c r="C2944" i="1"/>
  <c r="S2944" i="1"/>
  <c r="T2944" i="1"/>
  <c r="U2944" i="1"/>
  <c r="BD2944" i="1"/>
  <c r="CE2944" i="1"/>
  <c r="A2945" i="1"/>
  <c r="C2945" i="1"/>
  <c r="S2945" i="1"/>
  <c r="T2945" i="1"/>
  <c r="U2945" i="1"/>
  <c r="BD2945" i="1"/>
  <c r="CE2945" i="1"/>
  <c r="A2946" i="1"/>
  <c r="C2946" i="1"/>
  <c r="S2946" i="1"/>
  <c r="T2946" i="1"/>
  <c r="U2946" i="1"/>
  <c r="BD2946" i="1"/>
  <c r="CE2946" i="1"/>
  <c r="A2947" i="1"/>
  <c r="C2947" i="1"/>
  <c r="S2947" i="1"/>
  <c r="T2947" i="1"/>
  <c r="U2947" i="1"/>
  <c r="BD2947" i="1"/>
  <c r="CE2947" i="1"/>
  <c r="A2948" i="1"/>
  <c r="C2948" i="1"/>
  <c r="S2948" i="1"/>
  <c r="T2948" i="1"/>
  <c r="U2948" i="1"/>
  <c r="BD2948" i="1"/>
  <c r="CE2948" i="1"/>
  <c r="A2949" i="1"/>
  <c r="C2949" i="1"/>
  <c r="S2949" i="1"/>
  <c r="T2949" i="1"/>
  <c r="U2949" i="1"/>
  <c r="BD2949" i="1"/>
  <c r="CE2949" i="1"/>
  <c r="A2950" i="1"/>
  <c r="C2950" i="1"/>
  <c r="S2950" i="1"/>
  <c r="T2950" i="1"/>
  <c r="U2950" i="1"/>
  <c r="BD2950" i="1"/>
  <c r="CE2950" i="1"/>
  <c r="A2951" i="1"/>
  <c r="C2951" i="1"/>
  <c r="S2951" i="1"/>
  <c r="T2951" i="1"/>
  <c r="U2951" i="1"/>
  <c r="BD2951" i="1"/>
  <c r="CE2951" i="1"/>
  <c r="A2952" i="1"/>
  <c r="C2952" i="1"/>
  <c r="S2952" i="1"/>
  <c r="T2952" i="1"/>
  <c r="U2952" i="1"/>
  <c r="BD2952" i="1"/>
  <c r="CE2952" i="1"/>
  <c r="A2953" i="1"/>
  <c r="C2953" i="1"/>
  <c r="S2953" i="1"/>
  <c r="T2953" i="1"/>
  <c r="U2953" i="1"/>
  <c r="BD2953" i="1"/>
  <c r="CE2953" i="1"/>
  <c r="A2954" i="1"/>
  <c r="C2954" i="1"/>
  <c r="S2954" i="1"/>
  <c r="T2954" i="1"/>
  <c r="U2954" i="1"/>
  <c r="BD2954" i="1"/>
  <c r="CE2954" i="1"/>
  <c r="A2955" i="1"/>
  <c r="C2955" i="1"/>
  <c r="S2955" i="1"/>
  <c r="T2955" i="1"/>
  <c r="U2955" i="1"/>
  <c r="BD2955" i="1"/>
  <c r="CE2955" i="1"/>
  <c r="A2956" i="1"/>
  <c r="C2956" i="1"/>
  <c r="S2956" i="1"/>
  <c r="T2956" i="1"/>
  <c r="U2956" i="1"/>
  <c r="BD2956" i="1"/>
  <c r="CE2956" i="1"/>
  <c r="A2957" i="1"/>
  <c r="C2957" i="1"/>
  <c r="S2957" i="1"/>
  <c r="T2957" i="1"/>
  <c r="U2957" i="1"/>
  <c r="BD2957" i="1"/>
  <c r="CE2957" i="1"/>
  <c r="A2958" i="1"/>
  <c r="C2958" i="1"/>
  <c r="S2958" i="1"/>
  <c r="T2958" i="1"/>
  <c r="U2958" i="1"/>
  <c r="BD2958" i="1"/>
  <c r="CE2958" i="1"/>
  <c r="A2959" i="1"/>
  <c r="C2959" i="1"/>
  <c r="S2959" i="1"/>
  <c r="T2959" i="1"/>
  <c r="U2959" i="1"/>
  <c r="BD2959" i="1"/>
  <c r="CE2959" i="1"/>
  <c r="A2960" i="1"/>
  <c r="C2960" i="1"/>
  <c r="S2960" i="1"/>
  <c r="T2960" i="1"/>
  <c r="U2960" i="1"/>
  <c r="BD2960" i="1"/>
  <c r="CE2960" i="1"/>
  <c r="A2961" i="1"/>
  <c r="C2961" i="1"/>
  <c r="S2961" i="1"/>
  <c r="T2961" i="1"/>
  <c r="U2961" i="1"/>
  <c r="BD2961" i="1"/>
  <c r="CE2961" i="1"/>
  <c r="A2962" i="1"/>
  <c r="C2962" i="1"/>
  <c r="S2962" i="1"/>
  <c r="T2962" i="1"/>
  <c r="U2962" i="1"/>
  <c r="BD2962" i="1"/>
  <c r="CE2962" i="1"/>
  <c r="A2963" i="1"/>
  <c r="C2963" i="1"/>
  <c r="S2963" i="1"/>
  <c r="T2963" i="1"/>
  <c r="U2963" i="1"/>
  <c r="BD2963" i="1"/>
  <c r="CE2963" i="1"/>
  <c r="A2964" i="1"/>
  <c r="C2964" i="1"/>
  <c r="S2964" i="1"/>
  <c r="T2964" i="1"/>
  <c r="U2964" i="1"/>
  <c r="BD2964" i="1"/>
  <c r="CE2964" i="1"/>
  <c r="A2965" i="1"/>
  <c r="C2965" i="1"/>
  <c r="S2965" i="1"/>
  <c r="T2965" i="1"/>
  <c r="U2965" i="1"/>
  <c r="BD2965" i="1"/>
  <c r="CE2965" i="1"/>
  <c r="A2966" i="1"/>
  <c r="C2966" i="1"/>
  <c r="S2966" i="1"/>
  <c r="T2966" i="1"/>
  <c r="U2966" i="1"/>
  <c r="BD2966" i="1"/>
  <c r="CE2966" i="1"/>
  <c r="A2967" i="1"/>
  <c r="C2967" i="1"/>
  <c r="S2967" i="1"/>
  <c r="T2967" i="1"/>
  <c r="U2967" i="1"/>
  <c r="BD2967" i="1"/>
  <c r="CE2967" i="1"/>
  <c r="A2968" i="1"/>
  <c r="C2968" i="1"/>
  <c r="S2968" i="1"/>
  <c r="T2968" i="1"/>
  <c r="U2968" i="1"/>
  <c r="BD2968" i="1"/>
  <c r="CE2968" i="1"/>
  <c r="A2969" i="1"/>
  <c r="C2969" i="1"/>
  <c r="S2969" i="1"/>
  <c r="T2969" i="1"/>
  <c r="U2969" i="1"/>
  <c r="BD2969" i="1"/>
  <c r="CE2969" i="1"/>
  <c r="A2970" i="1"/>
  <c r="C2970" i="1"/>
  <c r="S2970" i="1"/>
  <c r="T2970" i="1"/>
  <c r="U2970" i="1"/>
  <c r="BD2970" i="1"/>
  <c r="CE2970" i="1"/>
  <c r="A2971" i="1"/>
  <c r="C2971" i="1"/>
  <c r="S2971" i="1"/>
  <c r="T2971" i="1"/>
  <c r="U2971" i="1"/>
  <c r="BD2971" i="1"/>
  <c r="CE2971" i="1"/>
  <c r="A2972" i="1"/>
  <c r="C2972" i="1"/>
  <c r="S2972" i="1"/>
  <c r="T2972" i="1"/>
  <c r="U2972" i="1"/>
  <c r="BD2972" i="1"/>
  <c r="CE2972" i="1"/>
  <c r="A2973" i="1"/>
  <c r="C2973" i="1"/>
  <c r="S2973" i="1"/>
  <c r="T2973" i="1"/>
  <c r="U2973" i="1"/>
  <c r="BD2973" i="1"/>
  <c r="CE2973" i="1"/>
  <c r="A2974" i="1"/>
  <c r="C2974" i="1"/>
  <c r="S2974" i="1"/>
  <c r="T2974" i="1"/>
  <c r="U2974" i="1"/>
  <c r="BD2974" i="1"/>
  <c r="CE2974" i="1"/>
  <c r="A2975" i="1"/>
  <c r="C2975" i="1"/>
  <c r="S2975" i="1"/>
  <c r="T2975" i="1"/>
  <c r="U2975" i="1"/>
  <c r="BD2975" i="1"/>
  <c r="CE2975" i="1"/>
  <c r="A2976" i="1"/>
  <c r="C2976" i="1"/>
  <c r="S2976" i="1"/>
  <c r="T2976" i="1"/>
  <c r="U2976" i="1"/>
  <c r="BD2976" i="1"/>
  <c r="CE2976" i="1"/>
  <c r="A2977" i="1"/>
  <c r="C2977" i="1"/>
  <c r="S2977" i="1"/>
  <c r="T2977" i="1"/>
  <c r="U2977" i="1"/>
  <c r="BD2977" i="1"/>
  <c r="CE2977" i="1"/>
  <c r="A2978" i="1"/>
  <c r="C2978" i="1"/>
  <c r="S2978" i="1"/>
  <c r="T2978" i="1"/>
  <c r="U2978" i="1"/>
  <c r="BD2978" i="1"/>
  <c r="CE2978" i="1"/>
  <c r="A2979" i="1"/>
  <c r="C2979" i="1"/>
  <c r="S2979" i="1"/>
  <c r="T2979" i="1"/>
  <c r="U2979" i="1"/>
  <c r="BD2979" i="1"/>
  <c r="CE2979" i="1"/>
  <c r="A2980" i="1"/>
  <c r="C2980" i="1"/>
  <c r="S2980" i="1"/>
  <c r="T2980" i="1"/>
  <c r="U2980" i="1"/>
  <c r="BD2980" i="1"/>
  <c r="CE2980" i="1"/>
  <c r="A2981" i="1"/>
  <c r="C2981" i="1"/>
  <c r="S2981" i="1"/>
  <c r="T2981" i="1"/>
  <c r="U2981" i="1"/>
  <c r="BD2981" i="1"/>
  <c r="CE2981" i="1"/>
  <c r="A2982" i="1"/>
  <c r="C2982" i="1"/>
  <c r="S2982" i="1"/>
  <c r="T2982" i="1"/>
  <c r="U2982" i="1"/>
  <c r="BD2982" i="1"/>
  <c r="CE2982" i="1"/>
  <c r="A2983" i="1"/>
  <c r="C2983" i="1"/>
  <c r="S2983" i="1"/>
  <c r="T2983" i="1"/>
  <c r="U2983" i="1"/>
  <c r="BD2983" i="1"/>
  <c r="CE2983" i="1"/>
  <c r="A2984" i="1"/>
  <c r="C2984" i="1"/>
  <c r="S2984" i="1"/>
  <c r="T2984" i="1"/>
  <c r="U2984" i="1"/>
  <c r="BD2984" i="1"/>
  <c r="CE2984" i="1"/>
  <c r="A2985" i="1"/>
  <c r="C2985" i="1"/>
  <c r="S2985" i="1"/>
  <c r="T2985" i="1"/>
  <c r="U2985" i="1"/>
  <c r="BD2985" i="1"/>
  <c r="CE2985" i="1"/>
  <c r="A2986" i="1"/>
  <c r="C2986" i="1"/>
  <c r="S2986" i="1"/>
  <c r="T2986" i="1"/>
  <c r="U2986" i="1"/>
  <c r="BD2986" i="1"/>
  <c r="CE2986" i="1"/>
  <c r="A2987" i="1"/>
  <c r="C2987" i="1"/>
  <c r="S2987" i="1"/>
  <c r="T2987" i="1"/>
  <c r="U2987" i="1"/>
  <c r="BD2987" i="1"/>
  <c r="CE2987" i="1"/>
  <c r="A2988" i="1"/>
  <c r="C2988" i="1"/>
  <c r="S2988" i="1"/>
  <c r="T2988" i="1"/>
  <c r="U2988" i="1"/>
  <c r="BD2988" i="1"/>
  <c r="CE2988" i="1"/>
  <c r="A2989" i="1"/>
  <c r="C2989" i="1"/>
  <c r="S2989" i="1"/>
  <c r="T2989" i="1"/>
  <c r="U2989" i="1"/>
  <c r="BD2989" i="1"/>
  <c r="CE2989" i="1"/>
  <c r="A2990" i="1"/>
  <c r="C2990" i="1"/>
  <c r="S2990" i="1"/>
  <c r="T2990" i="1"/>
  <c r="U2990" i="1"/>
  <c r="BD2990" i="1"/>
  <c r="CE2990" i="1"/>
  <c r="A2991" i="1"/>
  <c r="C2991" i="1"/>
  <c r="S2991" i="1"/>
  <c r="T2991" i="1"/>
  <c r="U2991" i="1"/>
  <c r="BD2991" i="1"/>
  <c r="CE2991" i="1"/>
  <c r="A2992" i="1"/>
  <c r="C2992" i="1"/>
  <c r="S2992" i="1"/>
  <c r="T2992" i="1"/>
  <c r="U2992" i="1"/>
  <c r="BD2992" i="1"/>
  <c r="CE2992" i="1"/>
  <c r="A2993" i="1"/>
  <c r="C2993" i="1"/>
  <c r="S2993" i="1"/>
  <c r="T2993" i="1"/>
  <c r="U2993" i="1"/>
  <c r="BD2993" i="1"/>
  <c r="CE2993" i="1"/>
  <c r="A2994" i="1"/>
  <c r="C2994" i="1"/>
  <c r="S2994" i="1"/>
  <c r="T2994" i="1"/>
  <c r="U2994" i="1"/>
  <c r="BD2994" i="1"/>
  <c r="CE2994" i="1"/>
  <c r="A2995" i="1"/>
  <c r="C2995" i="1"/>
  <c r="S2995" i="1"/>
  <c r="T2995" i="1"/>
  <c r="U2995" i="1"/>
  <c r="BD2995" i="1"/>
  <c r="CE2995" i="1"/>
  <c r="A2996" i="1"/>
  <c r="C2996" i="1"/>
  <c r="S2996" i="1"/>
  <c r="T2996" i="1"/>
  <c r="U2996" i="1"/>
  <c r="BD2996" i="1"/>
  <c r="CE2996" i="1"/>
  <c r="A2997" i="1"/>
  <c r="C2997" i="1"/>
  <c r="S2997" i="1"/>
  <c r="T2997" i="1"/>
  <c r="U2997" i="1"/>
  <c r="BD2997" i="1"/>
  <c r="CE2997" i="1"/>
  <c r="A2998" i="1"/>
  <c r="C2998" i="1"/>
  <c r="S2998" i="1"/>
  <c r="T2998" i="1"/>
  <c r="U2998" i="1"/>
  <c r="BD2998" i="1"/>
  <c r="CE2998" i="1"/>
  <c r="A2999" i="1"/>
  <c r="C2999" i="1"/>
  <c r="S2999" i="1"/>
  <c r="T2999" i="1"/>
  <c r="U2999" i="1"/>
  <c r="BD2999" i="1"/>
  <c r="CE2999" i="1"/>
  <c r="A3000" i="1"/>
  <c r="C3000" i="1"/>
  <c r="S3000" i="1"/>
  <c r="T3000" i="1"/>
  <c r="U3000" i="1"/>
  <c r="BD3000" i="1"/>
  <c r="CE3000" i="1"/>
  <c r="A3001" i="1"/>
  <c r="C3001" i="1"/>
  <c r="S3001" i="1"/>
  <c r="T3001" i="1"/>
  <c r="U3001" i="1"/>
  <c r="BD3001" i="1"/>
  <c r="CE3001" i="1"/>
  <c r="A3002" i="1"/>
  <c r="C3002" i="1"/>
  <c r="S3002" i="1"/>
  <c r="T3002" i="1"/>
  <c r="U3002" i="1"/>
  <c r="BD3002" i="1"/>
  <c r="CE3002" i="1"/>
  <c r="A3003" i="1"/>
  <c r="C3003" i="1"/>
  <c r="S3003" i="1"/>
  <c r="T3003" i="1"/>
  <c r="U3003" i="1"/>
  <c r="BD3003" i="1"/>
  <c r="CE3003" i="1"/>
  <c r="A3004" i="1"/>
  <c r="C3004" i="1"/>
  <c r="S3004" i="1"/>
  <c r="T3004" i="1"/>
  <c r="U3004" i="1"/>
  <c r="BD3004" i="1"/>
  <c r="CE3004" i="1"/>
  <c r="A3005" i="1"/>
  <c r="C3005" i="1"/>
  <c r="S3005" i="1"/>
  <c r="T3005" i="1"/>
  <c r="U3005" i="1"/>
  <c r="BD3005" i="1"/>
  <c r="CE3005" i="1"/>
  <c r="A3006" i="1"/>
  <c r="C3006" i="1"/>
  <c r="S3006" i="1"/>
  <c r="T3006" i="1"/>
  <c r="U3006" i="1"/>
  <c r="BD3006" i="1"/>
  <c r="CE3006" i="1"/>
  <c r="A3007" i="1"/>
  <c r="C3007" i="1"/>
  <c r="S3007" i="1"/>
  <c r="T3007" i="1"/>
  <c r="U3007" i="1"/>
  <c r="BD3007" i="1"/>
  <c r="CE3007" i="1"/>
  <c r="A3008" i="1"/>
  <c r="C3008" i="1"/>
  <c r="S3008" i="1"/>
  <c r="T3008" i="1"/>
  <c r="U3008" i="1"/>
  <c r="BD3008" i="1"/>
  <c r="CE3008" i="1"/>
  <c r="A3009" i="1"/>
  <c r="C3009" i="1"/>
  <c r="S3009" i="1"/>
  <c r="T3009" i="1"/>
  <c r="U3009" i="1"/>
  <c r="BD3009" i="1"/>
  <c r="CE3009" i="1"/>
  <c r="A3010" i="1"/>
  <c r="C3010" i="1"/>
  <c r="S3010" i="1"/>
  <c r="T3010" i="1"/>
  <c r="U3010" i="1"/>
  <c r="BD3010" i="1"/>
  <c r="CE3010" i="1"/>
  <c r="A3011" i="1"/>
  <c r="C3011" i="1"/>
  <c r="S3011" i="1"/>
  <c r="T3011" i="1"/>
  <c r="U3011" i="1"/>
  <c r="BD3011" i="1"/>
  <c r="CE3011" i="1"/>
  <c r="A3012" i="1"/>
  <c r="C3012" i="1"/>
  <c r="S3012" i="1"/>
  <c r="T3012" i="1"/>
  <c r="U3012" i="1"/>
  <c r="BD3012" i="1"/>
  <c r="CE3012" i="1"/>
  <c r="A3013" i="1"/>
  <c r="C3013" i="1"/>
  <c r="S3013" i="1"/>
  <c r="T3013" i="1"/>
  <c r="U3013" i="1"/>
  <c r="BD3013" i="1"/>
  <c r="CE3013" i="1"/>
  <c r="A3014" i="1"/>
  <c r="C3014" i="1"/>
  <c r="S3014" i="1"/>
  <c r="T3014" i="1"/>
  <c r="U3014" i="1"/>
  <c r="BD3014" i="1"/>
  <c r="CE3014" i="1"/>
  <c r="A3015" i="1"/>
  <c r="C3015" i="1"/>
  <c r="S3015" i="1"/>
  <c r="T3015" i="1"/>
  <c r="U3015" i="1"/>
  <c r="BD3015" i="1"/>
  <c r="CE3015" i="1"/>
  <c r="A3016" i="1"/>
  <c r="C3016" i="1"/>
  <c r="S3016" i="1"/>
  <c r="T3016" i="1"/>
  <c r="U3016" i="1"/>
  <c r="BD3016" i="1"/>
  <c r="CE3016" i="1"/>
  <c r="A3017" i="1"/>
  <c r="C3017" i="1"/>
  <c r="S3017" i="1"/>
  <c r="T3017" i="1"/>
  <c r="U3017" i="1"/>
  <c r="BD3017" i="1"/>
  <c r="CE3017" i="1"/>
  <c r="A3018" i="1"/>
  <c r="C3018" i="1"/>
  <c r="S3018" i="1"/>
  <c r="T3018" i="1"/>
  <c r="U3018" i="1"/>
  <c r="BD3018" i="1"/>
  <c r="CE3018" i="1"/>
  <c r="A3019" i="1"/>
  <c r="C3019" i="1"/>
  <c r="S3019" i="1"/>
  <c r="T3019" i="1"/>
  <c r="U3019" i="1"/>
  <c r="BD3019" i="1"/>
  <c r="CE3019" i="1"/>
  <c r="A3020" i="1"/>
  <c r="C3020" i="1"/>
  <c r="S3020" i="1"/>
  <c r="T3020" i="1"/>
  <c r="U3020" i="1"/>
  <c r="BD3020" i="1"/>
  <c r="CE3020" i="1"/>
  <c r="A3021" i="1"/>
  <c r="C3021" i="1"/>
  <c r="S3021" i="1"/>
  <c r="T3021" i="1"/>
  <c r="U3021" i="1"/>
  <c r="BD3021" i="1"/>
  <c r="CE3021" i="1"/>
  <c r="A3022" i="1"/>
  <c r="C3022" i="1"/>
  <c r="S3022" i="1"/>
  <c r="T3022" i="1"/>
  <c r="U3022" i="1"/>
  <c r="BD3022" i="1"/>
  <c r="CE3022" i="1"/>
  <c r="A3023" i="1"/>
  <c r="C3023" i="1"/>
  <c r="S3023" i="1"/>
  <c r="T3023" i="1"/>
  <c r="U3023" i="1"/>
  <c r="BD3023" i="1"/>
  <c r="CE3023" i="1"/>
  <c r="A3024" i="1"/>
  <c r="C3024" i="1"/>
  <c r="S3024" i="1"/>
  <c r="T3024" i="1"/>
  <c r="U3024" i="1"/>
  <c r="BD3024" i="1"/>
  <c r="CE3024" i="1"/>
  <c r="A3025" i="1"/>
  <c r="C3025" i="1"/>
  <c r="S3025" i="1"/>
  <c r="T3025" i="1"/>
  <c r="U3025" i="1"/>
  <c r="BD3025" i="1"/>
  <c r="CE3025" i="1"/>
  <c r="A3026" i="1"/>
  <c r="C3026" i="1"/>
  <c r="S3026" i="1"/>
  <c r="T3026" i="1"/>
  <c r="U3026" i="1"/>
  <c r="BD3026" i="1"/>
  <c r="CE3026" i="1"/>
  <c r="A3027" i="1"/>
  <c r="C3027" i="1"/>
  <c r="S3027" i="1"/>
  <c r="T3027" i="1"/>
  <c r="U3027" i="1"/>
  <c r="BD3027" i="1"/>
  <c r="CE3027" i="1"/>
  <c r="A3028" i="1"/>
  <c r="C3028" i="1"/>
  <c r="S3028" i="1"/>
  <c r="T3028" i="1"/>
  <c r="U3028" i="1"/>
  <c r="BD3028" i="1"/>
  <c r="CE3028" i="1"/>
  <c r="A3029" i="1"/>
  <c r="C3029" i="1"/>
  <c r="S3029" i="1"/>
  <c r="T3029" i="1"/>
  <c r="U3029" i="1"/>
  <c r="BD3029" i="1"/>
  <c r="CE3029" i="1"/>
  <c r="A3030" i="1"/>
  <c r="C3030" i="1"/>
  <c r="S3030" i="1"/>
  <c r="T3030" i="1"/>
  <c r="U3030" i="1"/>
  <c r="BD3030" i="1"/>
  <c r="CE3030" i="1"/>
  <c r="A3031" i="1"/>
  <c r="C3031" i="1"/>
  <c r="S3031" i="1"/>
  <c r="T3031" i="1"/>
  <c r="U3031" i="1"/>
  <c r="BD3031" i="1"/>
  <c r="CE3031" i="1"/>
  <c r="A3032" i="1"/>
  <c r="C3032" i="1"/>
  <c r="S3032" i="1"/>
  <c r="T3032" i="1"/>
  <c r="U3032" i="1"/>
  <c r="BD3032" i="1"/>
  <c r="CE3032" i="1"/>
  <c r="A3033" i="1"/>
  <c r="C3033" i="1"/>
  <c r="S3033" i="1"/>
  <c r="T3033" i="1"/>
  <c r="U3033" i="1"/>
  <c r="BD3033" i="1"/>
  <c r="CE3033" i="1"/>
  <c r="A3034" i="1"/>
  <c r="C3034" i="1"/>
  <c r="S3034" i="1"/>
  <c r="T3034" i="1"/>
  <c r="U3034" i="1"/>
  <c r="BD3034" i="1"/>
  <c r="CE3034" i="1"/>
  <c r="A3035" i="1"/>
  <c r="C3035" i="1"/>
  <c r="S3035" i="1"/>
  <c r="T3035" i="1"/>
  <c r="U3035" i="1"/>
  <c r="BD3035" i="1"/>
  <c r="CE3035" i="1"/>
  <c r="A3036" i="1"/>
  <c r="C3036" i="1"/>
  <c r="S3036" i="1"/>
  <c r="T3036" i="1"/>
  <c r="U3036" i="1"/>
  <c r="BD3036" i="1"/>
  <c r="CE3036" i="1"/>
  <c r="A3037" i="1"/>
  <c r="C3037" i="1"/>
  <c r="S3037" i="1"/>
  <c r="T3037" i="1"/>
  <c r="U3037" i="1"/>
  <c r="BD3037" i="1"/>
  <c r="CE3037" i="1"/>
  <c r="A3038" i="1"/>
  <c r="C3038" i="1"/>
  <c r="S3038" i="1"/>
  <c r="T3038" i="1"/>
  <c r="U3038" i="1"/>
  <c r="BD3038" i="1"/>
  <c r="CE3038" i="1"/>
  <c r="A3039" i="1"/>
  <c r="C3039" i="1"/>
  <c r="S3039" i="1"/>
  <c r="T3039" i="1"/>
  <c r="U3039" i="1"/>
  <c r="BD3039" i="1"/>
  <c r="CE3039" i="1"/>
  <c r="A3040" i="1"/>
  <c r="C3040" i="1"/>
  <c r="S3040" i="1"/>
  <c r="T3040" i="1"/>
  <c r="U3040" i="1"/>
  <c r="BD3040" i="1"/>
  <c r="CE3040" i="1"/>
  <c r="A3041" i="1"/>
  <c r="C3041" i="1"/>
  <c r="S3041" i="1"/>
  <c r="T3041" i="1"/>
  <c r="U3041" i="1"/>
  <c r="BD3041" i="1"/>
  <c r="CE3041" i="1"/>
  <c r="A3042" i="1"/>
  <c r="C3042" i="1"/>
  <c r="S3042" i="1"/>
  <c r="T3042" i="1"/>
  <c r="U3042" i="1"/>
  <c r="BD3042" i="1"/>
  <c r="CE3042" i="1"/>
  <c r="A3043" i="1"/>
  <c r="C3043" i="1"/>
  <c r="S3043" i="1"/>
  <c r="T3043" i="1"/>
  <c r="U3043" i="1"/>
  <c r="BD3043" i="1"/>
  <c r="CE3043" i="1"/>
  <c r="A3044" i="1"/>
  <c r="C3044" i="1"/>
  <c r="S3044" i="1"/>
  <c r="T3044" i="1"/>
  <c r="U3044" i="1"/>
  <c r="BD3044" i="1"/>
  <c r="CE3044" i="1"/>
  <c r="A3045" i="1"/>
  <c r="C3045" i="1"/>
  <c r="S3045" i="1"/>
  <c r="T3045" i="1"/>
  <c r="U3045" i="1"/>
  <c r="BD3045" i="1"/>
  <c r="CE3045" i="1"/>
  <c r="A3046" i="1"/>
  <c r="C3046" i="1"/>
  <c r="S3046" i="1"/>
  <c r="T3046" i="1"/>
  <c r="U3046" i="1"/>
  <c r="BD3046" i="1"/>
  <c r="CE3046" i="1"/>
  <c r="A3047" i="1"/>
  <c r="C3047" i="1"/>
  <c r="S3047" i="1"/>
  <c r="T3047" i="1"/>
  <c r="U3047" i="1"/>
  <c r="BD3047" i="1"/>
  <c r="CE3047" i="1"/>
  <c r="A3048" i="1"/>
  <c r="C3048" i="1"/>
  <c r="S3048" i="1"/>
  <c r="T3048" i="1"/>
  <c r="U3048" i="1"/>
  <c r="BD3048" i="1"/>
  <c r="CE3048" i="1"/>
  <c r="A3049" i="1"/>
  <c r="C3049" i="1"/>
  <c r="S3049" i="1"/>
  <c r="T3049" i="1"/>
  <c r="U3049" i="1"/>
  <c r="BD3049" i="1"/>
  <c r="CE3049" i="1"/>
  <c r="A3050" i="1"/>
  <c r="C3050" i="1"/>
  <c r="S3050" i="1"/>
  <c r="T3050" i="1"/>
  <c r="U3050" i="1"/>
  <c r="BD3050" i="1"/>
  <c r="CE3050" i="1"/>
  <c r="A3051" i="1"/>
  <c r="C3051" i="1"/>
  <c r="S3051" i="1"/>
  <c r="T3051" i="1"/>
  <c r="U3051" i="1"/>
  <c r="BD3051" i="1"/>
  <c r="CE3051" i="1"/>
  <c r="A3052" i="1"/>
  <c r="C3052" i="1"/>
  <c r="S3052" i="1"/>
  <c r="T3052" i="1"/>
  <c r="U3052" i="1"/>
  <c r="BD3052" i="1"/>
  <c r="CE3052" i="1"/>
  <c r="A3053" i="1"/>
  <c r="C3053" i="1"/>
  <c r="S3053" i="1"/>
  <c r="T3053" i="1"/>
  <c r="U3053" i="1"/>
  <c r="BD3053" i="1"/>
  <c r="CE3053" i="1"/>
  <c r="A3054" i="1"/>
  <c r="C3054" i="1"/>
  <c r="S3054" i="1"/>
  <c r="T3054" i="1"/>
  <c r="U3054" i="1"/>
  <c r="BD3054" i="1"/>
  <c r="CE3054" i="1"/>
  <c r="A3055" i="1"/>
  <c r="C3055" i="1"/>
  <c r="S3055" i="1"/>
  <c r="T3055" i="1"/>
  <c r="U3055" i="1"/>
  <c r="BD3055" i="1"/>
  <c r="CE3055" i="1"/>
  <c r="A3056" i="1"/>
  <c r="C3056" i="1"/>
  <c r="S3056" i="1"/>
  <c r="T3056" i="1"/>
  <c r="U3056" i="1"/>
  <c r="BD3056" i="1"/>
  <c r="CE3056" i="1"/>
  <c r="A3057" i="1"/>
  <c r="C3057" i="1"/>
  <c r="S3057" i="1"/>
  <c r="T3057" i="1"/>
  <c r="U3057" i="1"/>
  <c r="BD3057" i="1"/>
  <c r="CE3057" i="1"/>
  <c r="A3058" i="1"/>
  <c r="C3058" i="1"/>
  <c r="S3058" i="1"/>
  <c r="T3058" i="1"/>
  <c r="U3058" i="1"/>
  <c r="BD3058" i="1"/>
  <c r="CE3058" i="1"/>
  <c r="A3059" i="1"/>
  <c r="C3059" i="1"/>
  <c r="S3059" i="1"/>
  <c r="T3059" i="1"/>
  <c r="U3059" i="1"/>
  <c r="BD3059" i="1"/>
  <c r="CE3059" i="1"/>
  <c r="A3060" i="1"/>
  <c r="C3060" i="1"/>
  <c r="S3060" i="1"/>
  <c r="T3060" i="1"/>
  <c r="U3060" i="1"/>
  <c r="BD3060" i="1"/>
  <c r="CE3060" i="1"/>
  <c r="A3061" i="1"/>
  <c r="C3061" i="1"/>
  <c r="S3061" i="1"/>
  <c r="T3061" i="1"/>
  <c r="U3061" i="1"/>
  <c r="BD3061" i="1"/>
  <c r="CE3061" i="1"/>
  <c r="A3062" i="1"/>
  <c r="C3062" i="1"/>
  <c r="S3062" i="1"/>
  <c r="T3062" i="1"/>
  <c r="U3062" i="1"/>
  <c r="BD3062" i="1"/>
  <c r="CE3062" i="1"/>
  <c r="A3063" i="1"/>
  <c r="C3063" i="1"/>
  <c r="S3063" i="1"/>
  <c r="T3063" i="1"/>
  <c r="U3063" i="1"/>
  <c r="BD3063" i="1"/>
  <c r="CE3063" i="1"/>
  <c r="A3064" i="1"/>
  <c r="C3064" i="1"/>
  <c r="S3064" i="1"/>
  <c r="T3064" i="1"/>
  <c r="U3064" i="1"/>
  <c r="BD3064" i="1"/>
  <c r="CE3064" i="1"/>
  <c r="A3065" i="1"/>
  <c r="C3065" i="1"/>
  <c r="S3065" i="1"/>
  <c r="T3065" i="1"/>
  <c r="U3065" i="1"/>
  <c r="BD3065" i="1"/>
  <c r="CE3065" i="1"/>
  <c r="A3066" i="1"/>
  <c r="C3066" i="1"/>
  <c r="S3066" i="1"/>
  <c r="T3066" i="1"/>
  <c r="U3066" i="1"/>
  <c r="BD3066" i="1"/>
  <c r="CE3066" i="1"/>
  <c r="A3067" i="1"/>
  <c r="C3067" i="1"/>
  <c r="S3067" i="1"/>
  <c r="T3067" i="1"/>
  <c r="U3067" i="1"/>
  <c r="BD3067" i="1"/>
  <c r="CE3067" i="1"/>
  <c r="A3068" i="1"/>
  <c r="C3068" i="1"/>
  <c r="S3068" i="1"/>
  <c r="T3068" i="1"/>
  <c r="U3068" i="1"/>
  <c r="BD3068" i="1"/>
  <c r="CE3068" i="1"/>
  <c r="A3069" i="1"/>
  <c r="C3069" i="1"/>
  <c r="S3069" i="1"/>
  <c r="T3069" i="1"/>
  <c r="U3069" i="1"/>
  <c r="BD3069" i="1"/>
  <c r="CE3069" i="1"/>
  <c r="A3070" i="1"/>
  <c r="C3070" i="1"/>
  <c r="S3070" i="1"/>
  <c r="T3070" i="1"/>
  <c r="U3070" i="1"/>
  <c r="BD3070" i="1"/>
  <c r="CE3070" i="1"/>
  <c r="A3071" i="1"/>
  <c r="C3071" i="1"/>
  <c r="S3071" i="1"/>
  <c r="T3071" i="1"/>
  <c r="U3071" i="1"/>
  <c r="BD3071" i="1"/>
  <c r="CE3071" i="1"/>
  <c r="A3072" i="1"/>
  <c r="C3072" i="1"/>
  <c r="S3072" i="1"/>
  <c r="T3072" i="1"/>
  <c r="U3072" i="1"/>
  <c r="BD3072" i="1"/>
  <c r="CE3072" i="1"/>
  <c r="A3073" i="1"/>
  <c r="C3073" i="1"/>
  <c r="S3073" i="1"/>
  <c r="T3073" i="1"/>
  <c r="U3073" i="1"/>
  <c r="BD3073" i="1"/>
  <c r="CE3073" i="1"/>
  <c r="A3074" i="1"/>
  <c r="C3074" i="1"/>
  <c r="S3074" i="1"/>
  <c r="T3074" i="1"/>
  <c r="U3074" i="1"/>
  <c r="BD3074" i="1"/>
  <c r="CE3074" i="1"/>
  <c r="A3075" i="1"/>
  <c r="C3075" i="1"/>
  <c r="S3075" i="1"/>
  <c r="T3075" i="1"/>
  <c r="U3075" i="1"/>
  <c r="BD3075" i="1"/>
  <c r="CE3075" i="1"/>
  <c r="A3076" i="1"/>
  <c r="C3076" i="1"/>
  <c r="S3076" i="1"/>
  <c r="T3076" i="1"/>
  <c r="U3076" i="1"/>
  <c r="BD3076" i="1"/>
  <c r="CE3076" i="1"/>
  <c r="A3077" i="1"/>
  <c r="C3077" i="1"/>
  <c r="S3077" i="1"/>
  <c r="T3077" i="1"/>
  <c r="U3077" i="1"/>
  <c r="BD3077" i="1"/>
  <c r="CE3077" i="1"/>
  <c r="A3078" i="1"/>
  <c r="C3078" i="1"/>
  <c r="S3078" i="1"/>
  <c r="T3078" i="1"/>
  <c r="U3078" i="1"/>
  <c r="BD3078" i="1"/>
  <c r="CE3078" i="1"/>
  <c r="A3079" i="1"/>
  <c r="C3079" i="1"/>
  <c r="S3079" i="1"/>
  <c r="T3079" i="1"/>
  <c r="U3079" i="1"/>
  <c r="BD3079" i="1"/>
  <c r="CE3079" i="1"/>
  <c r="A3080" i="1"/>
  <c r="C3080" i="1"/>
  <c r="S3080" i="1"/>
  <c r="T3080" i="1"/>
  <c r="U3080" i="1"/>
  <c r="BD3080" i="1"/>
  <c r="CE3080" i="1"/>
  <c r="A3081" i="1"/>
  <c r="C3081" i="1"/>
  <c r="S3081" i="1"/>
  <c r="T3081" i="1"/>
  <c r="U3081" i="1"/>
  <c r="BD3081" i="1"/>
  <c r="CE3081" i="1"/>
  <c r="A3082" i="1"/>
  <c r="C3082" i="1"/>
  <c r="S3082" i="1"/>
  <c r="T3082" i="1"/>
  <c r="U3082" i="1"/>
  <c r="BD3082" i="1"/>
  <c r="CE3082" i="1"/>
  <c r="A3083" i="1"/>
  <c r="C3083" i="1"/>
  <c r="S3083" i="1"/>
  <c r="T3083" i="1"/>
  <c r="U3083" i="1"/>
  <c r="BD3083" i="1"/>
  <c r="CE3083" i="1"/>
  <c r="A3084" i="1"/>
  <c r="C3084" i="1"/>
  <c r="S3084" i="1"/>
  <c r="T3084" i="1"/>
  <c r="U3084" i="1"/>
  <c r="BD3084" i="1"/>
  <c r="CE3084" i="1"/>
  <c r="A3085" i="1"/>
  <c r="C3085" i="1"/>
  <c r="S3085" i="1"/>
  <c r="T3085" i="1"/>
  <c r="U3085" i="1"/>
  <c r="BD3085" i="1"/>
  <c r="CE3085" i="1"/>
  <c r="A3086" i="1"/>
  <c r="C3086" i="1"/>
  <c r="S3086" i="1"/>
  <c r="T3086" i="1"/>
  <c r="U3086" i="1"/>
  <c r="BD3086" i="1"/>
  <c r="CE3086" i="1"/>
  <c r="A3087" i="1"/>
  <c r="C3087" i="1"/>
  <c r="S3087" i="1"/>
  <c r="T3087" i="1"/>
  <c r="U3087" i="1"/>
  <c r="BD3087" i="1"/>
  <c r="CE3087" i="1"/>
  <c r="A3088" i="1"/>
  <c r="C3088" i="1"/>
  <c r="S3088" i="1"/>
  <c r="T3088" i="1"/>
  <c r="U3088" i="1"/>
  <c r="BD3088" i="1"/>
  <c r="CE3088" i="1"/>
  <c r="A3089" i="1"/>
  <c r="C3089" i="1"/>
  <c r="S3089" i="1"/>
  <c r="T3089" i="1"/>
  <c r="U3089" i="1"/>
  <c r="BD3089" i="1"/>
  <c r="CE3089" i="1"/>
  <c r="A3090" i="1"/>
  <c r="C3090" i="1"/>
  <c r="S3090" i="1"/>
  <c r="T3090" i="1"/>
  <c r="U3090" i="1"/>
  <c r="BD3090" i="1"/>
  <c r="CE3090" i="1"/>
  <c r="A3091" i="1"/>
  <c r="C3091" i="1"/>
  <c r="S3091" i="1"/>
  <c r="T3091" i="1"/>
  <c r="U3091" i="1"/>
  <c r="BD3091" i="1"/>
  <c r="CE3091" i="1"/>
  <c r="A3092" i="1"/>
  <c r="C3092" i="1"/>
  <c r="S3092" i="1"/>
  <c r="T3092" i="1"/>
  <c r="U3092" i="1"/>
  <c r="BD3092" i="1"/>
  <c r="CE3092" i="1"/>
  <c r="A3093" i="1"/>
  <c r="C3093" i="1"/>
  <c r="S3093" i="1"/>
  <c r="T3093" i="1"/>
  <c r="U3093" i="1"/>
  <c r="BD3093" i="1"/>
  <c r="CE3093" i="1"/>
  <c r="A3094" i="1"/>
  <c r="C3094" i="1"/>
  <c r="S3094" i="1"/>
  <c r="T3094" i="1"/>
  <c r="U3094" i="1"/>
  <c r="BD3094" i="1"/>
  <c r="CE3094" i="1"/>
  <c r="A3095" i="1"/>
  <c r="C3095" i="1"/>
  <c r="S3095" i="1"/>
  <c r="T3095" i="1"/>
  <c r="U3095" i="1"/>
  <c r="BD3095" i="1"/>
  <c r="CE3095" i="1"/>
  <c r="A3096" i="1"/>
  <c r="C3096" i="1"/>
  <c r="S3096" i="1"/>
  <c r="T3096" i="1"/>
  <c r="U3096" i="1"/>
  <c r="BD3096" i="1"/>
  <c r="CE3096" i="1"/>
  <c r="A3097" i="1"/>
  <c r="C3097" i="1"/>
  <c r="S3097" i="1"/>
  <c r="T3097" i="1"/>
  <c r="U3097" i="1"/>
  <c r="BD3097" i="1"/>
  <c r="CE3097" i="1"/>
  <c r="A3098" i="1"/>
  <c r="C3098" i="1"/>
  <c r="S3098" i="1"/>
  <c r="T3098" i="1"/>
  <c r="U3098" i="1"/>
  <c r="BD3098" i="1"/>
  <c r="CE3098" i="1"/>
  <c r="A3099" i="1"/>
  <c r="C3099" i="1"/>
  <c r="S3099" i="1"/>
  <c r="T3099" i="1"/>
  <c r="U3099" i="1"/>
  <c r="BD3099" i="1"/>
  <c r="CE3099" i="1"/>
  <c r="A3100" i="1"/>
  <c r="C3100" i="1"/>
  <c r="S3100" i="1"/>
  <c r="T3100" i="1"/>
  <c r="U3100" i="1"/>
  <c r="BD3100" i="1"/>
  <c r="CE3100" i="1"/>
  <c r="A3101" i="1"/>
  <c r="C3101" i="1"/>
  <c r="S3101" i="1"/>
  <c r="T3101" i="1"/>
  <c r="U3101" i="1"/>
  <c r="BD3101" i="1"/>
  <c r="CE3101" i="1"/>
  <c r="A3102" i="1"/>
  <c r="C3102" i="1"/>
  <c r="S3102" i="1"/>
  <c r="T3102" i="1"/>
  <c r="U3102" i="1"/>
  <c r="BD3102" i="1"/>
  <c r="CE3102" i="1"/>
  <c r="A3103" i="1"/>
  <c r="C3103" i="1"/>
  <c r="S3103" i="1"/>
  <c r="T3103" i="1"/>
  <c r="U3103" i="1"/>
  <c r="BD3103" i="1"/>
  <c r="CE3103" i="1"/>
  <c r="A3104" i="1"/>
  <c r="C3104" i="1"/>
  <c r="S3104" i="1"/>
  <c r="T3104" i="1"/>
  <c r="U3104" i="1"/>
  <c r="BD3104" i="1"/>
  <c r="CE3104" i="1"/>
  <c r="A3105" i="1"/>
  <c r="C3105" i="1"/>
  <c r="S3105" i="1"/>
  <c r="T3105" i="1"/>
  <c r="U3105" i="1"/>
  <c r="BD3105" i="1"/>
  <c r="CE3105" i="1"/>
  <c r="A3106" i="1"/>
  <c r="C3106" i="1"/>
  <c r="S3106" i="1"/>
  <c r="T3106" i="1"/>
  <c r="U3106" i="1"/>
  <c r="BD3106" i="1"/>
  <c r="CE3106" i="1"/>
  <c r="A3107" i="1"/>
  <c r="C3107" i="1"/>
  <c r="S3107" i="1"/>
  <c r="T3107" i="1"/>
  <c r="U3107" i="1"/>
  <c r="BD3107" i="1"/>
  <c r="CE3107" i="1"/>
  <c r="A3108" i="1"/>
  <c r="C3108" i="1"/>
  <c r="S3108" i="1"/>
  <c r="T3108" i="1"/>
  <c r="U3108" i="1"/>
  <c r="BD3108" i="1"/>
  <c r="CE3108" i="1"/>
  <c r="A3109" i="1"/>
  <c r="C3109" i="1"/>
  <c r="S3109" i="1"/>
  <c r="T3109" i="1"/>
  <c r="U3109" i="1"/>
  <c r="BD3109" i="1"/>
  <c r="CE3109" i="1"/>
  <c r="A3110" i="1"/>
  <c r="C3110" i="1"/>
  <c r="S3110" i="1"/>
  <c r="T3110" i="1"/>
  <c r="U3110" i="1"/>
  <c r="BD3110" i="1"/>
  <c r="CE3110" i="1"/>
  <c r="A3111" i="1"/>
  <c r="C3111" i="1"/>
  <c r="S3111" i="1"/>
  <c r="T3111" i="1"/>
  <c r="U3111" i="1"/>
  <c r="BD3111" i="1"/>
  <c r="CE3111" i="1"/>
  <c r="A3112" i="1"/>
  <c r="C3112" i="1"/>
  <c r="S3112" i="1"/>
  <c r="T3112" i="1"/>
  <c r="U3112" i="1"/>
  <c r="BD3112" i="1"/>
  <c r="CE3112" i="1"/>
  <c r="A3113" i="1"/>
  <c r="C3113" i="1"/>
  <c r="S3113" i="1"/>
  <c r="T3113" i="1"/>
  <c r="U3113" i="1"/>
  <c r="BD3113" i="1"/>
  <c r="CE3113" i="1"/>
  <c r="A3114" i="1"/>
  <c r="C3114" i="1"/>
  <c r="S3114" i="1"/>
  <c r="T3114" i="1"/>
  <c r="U3114" i="1"/>
  <c r="BD3114" i="1"/>
  <c r="CE3114" i="1"/>
  <c r="A3115" i="1"/>
  <c r="C3115" i="1"/>
  <c r="S3115" i="1"/>
  <c r="T3115" i="1"/>
  <c r="U3115" i="1"/>
  <c r="BD3115" i="1"/>
  <c r="CE3115" i="1"/>
  <c r="A3116" i="1"/>
  <c r="C3116" i="1"/>
  <c r="S3116" i="1"/>
  <c r="T3116" i="1"/>
  <c r="U3116" i="1"/>
  <c r="BD3116" i="1"/>
  <c r="CE3116" i="1"/>
  <c r="A3117" i="1"/>
  <c r="C3117" i="1"/>
  <c r="S3117" i="1"/>
  <c r="T3117" i="1"/>
  <c r="U3117" i="1"/>
  <c r="BD3117" i="1"/>
  <c r="CE3117" i="1"/>
  <c r="A3118" i="1"/>
  <c r="C3118" i="1"/>
  <c r="S3118" i="1"/>
  <c r="T3118" i="1"/>
  <c r="U3118" i="1"/>
  <c r="BD3118" i="1"/>
  <c r="CE3118" i="1"/>
  <c r="A3119" i="1"/>
  <c r="C3119" i="1"/>
  <c r="S3119" i="1"/>
  <c r="T3119" i="1"/>
  <c r="U3119" i="1"/>
  <c r="BD3119" i="1"/>
  <c r="CE3119" i="1"/>
  <c r="A3120" i="1"/>
  <c r="C3120" i="1"/>
  <c r="S3120" i="1"/>
  <c r="T3120" i="1"/>
  <c r="U3120" i="1"/>
  <c r="BD3120" i="1"/>
  <c r="CE3120" i="1"/>
  <c r="A3121" i="1"/>
  <c r="C3121" i="1"/>
  <c r="S3121" i="1"/>
  <c r="T3121" i="1"/>
  <c r="U3121" i="1"/>
  <c r="BD3121" i="1"/>
  <c r="CE3121" i="1"/>
  <c r="A3122" i="1"/>
  <c r="C3122" i="1"/>
  <c r="S3122" i="1"/>
  <c r="T3122" i="1"/>
  <c r="U3122" i="1"/>
  <c r="BD3122" i="1"/>
  <c r="CE3122" i="1"/>
  <c r="A3123" i="1"/>
  <c r="C3123" i="1"/>
  <c r="S3123" i="1"/>
  <c r="T3123" i="1"/>
  <c r="U3123" i="1"/>
  <c r="BD3123" i="1"/>
  <c r="CE3123" i="1"/>
  <c r="A3124" i="1"/>
  <c r="C3124" i="1"/>
  <c r="S3124" i="1"/>
  <c r="T3124" i="1"/>
  <c r="U3124" i="1"/>
  <c r="BD3124" i="1"/>
  <c r="CE3124" i="1"/>
  <c r="A3125" i="1"/>
  <c r="C3125" i="1"/>
  <c r="S3125" i="1"/>
  <c r="T3125" i="1"/>
  <c r="U3125" i="1"/>
  <c r="BD3125" i="1"/>
  <c r="CE3125" i="1"/>
  <c r="A3126" i="1"/>
  <c r="C3126" i="1"/>
  <c r="S3126" i="1"/>
  <c r="T3126" i="1"/>
  <c r="U3126" i="1"/>
  <c r="BD3126" i="1"/>
  <c r="CE3126" i="1"/>
  <c r="A3127" i="1"/>
  <c r="C3127" i="1"/>
  <c r="S3127" i="1"/>
  <c r="T3127" i="1"/>
  <c r="U3127" i="1"/>
  <c r="BD3127" i="1"/>
  <c r="CE3127" i="1"/>
  <c r="A3128" i="1"/>
  <c r="C3128" i="1"/>
  <c r="S3128" i="1"/>
  <c r="T3128" i="1"/>
  <c r="U3128" i="1"/>
  <c r="BD3128" i="1"/>
  <c r="CE3128" i="1"/>
  <c r="A3129" i="1"/>
  <c r="C3129" i="1"/>
  <c r="S3129" i="1"/>
  <c r="T3129" i="1"/>
  <c r="U3129" i="1"/>
  <c r="BD3129" i="1"/>
  <c r="CE3129" i="1"/>
  <c r="A3130" i="1"/>
  <c r="C3130" i="1"/>
  <c r="S3130" i="1"/>
  <c r="T3130" i="1"/>
  <c r="U3130" i="1"/>
  <c r="BD3130" i="1"/>
  <c r="CE3130" i="1"/>
  <c r="A3131" i="1"/>
  <c r="C3131" i="1"/>
  <c r="S3131" i="1"/>
  <c r="T3131" i="1"/>
  <c r="U3131" i="1"/>
  <c r="BD3131" i="1"/>
  <c r="CE3131" i="1"/>
  <c r="A3132" i="1"/>
  <c r="C3132" i="1"/>
  <c r="S3132" i="1"/>
  <c r="T3132" i="1"/>
  <c r="U3132" i="1"/>
  <c r="BD3132" i="1"/>
  <c r="CE3132" i="1"/>
  <c r="A3133" i="1"/>
  <c r="C3133" i="1"/>
  <c r="S3133" i="1"/>
  <c r="T3133" i="1"/>
  <c r="U3133" i="1"/>
  <c r="BD3133" i="1"/>
  <c r="CE3133" i="1"/>
  <c r="A3134" i="1"/>
  <c r="C3134" i="1"/>
  <c r="S3134" i="1"/>
  <c r="T3134" i="1"/>
  <c r="U3134" i="1"/>
  <c r="BD3134" i="1"/>
  <c r="CE3134" i="1"/>
  <c r="A3135" i="1"/>
  <c r="C3135" i="1"/>
  <c r="S3135" i="1"/>
  <c r="T3135" i="1"/>
  <c r="U3135" i="1"/>
  <c r="BD3135" i="1"/>
  <c r="CE3135" i="1"/>
  <c r="A3136" i="1"/>
  <c r="C3136" i="1"/>
  <c r="S3136" i="1"/>
  <c r="T3136" i="1"/>
  <c r="U3136" i="1"/>
  <c r="BD3136" i="1"/>
  <c r="CE3136" i="1"/>
  <c r="A3137" i="1"/>
  <c r="C3137" i="1"/>
  <c r="S3137" i="1"/>
  <c r="T3137" i="1"/>
  <c r="U3137" i="1"/>
  <c r="BD3137" i="1"/>
  <c r="CE3137" i="1"/>
  <c r="A3138" i="1"/>
  <c r="C3138" i="1"/>
  <c r="S3138" i="1"/>
  <c r="T3138" i="1"/>
  <c r="U3138" i="1"/>
  <c r="BD3138" i="1"/>
  <c r="CE3138" i="1"/>
  <c r="A3139" i="1"/>
  <c r="C3139" i="1"/>
  <c r="S3139" i="1"/>
  <c r="T3139" i="1"/>
  <c r="U3139" i="1"/>
  <c r="BD3139" i="1"/>
  <c r="CE3139" i="1"/>
  <c r="A3140" i="1"/>
  <c r="C3140" i="1"/>
  <c r="S3140" i="1"/>
  <c r="T3140" i="1"/>
  <c r="U3140" i="1"/>
  <c r="BD3140" i="1"/>
  <c r="CE3140" i="1"/>
  <c r="A3141" i="1"/>
  <c r="C3141" i="1"/>
  <c r="S3141" i="1"/>
  <c r="T3141" i="1"/>
  <c r="U3141" i="1"/>
  <c r="BD3141" i="1"/>
  <c r="CE3141" i="1"/>
  <c r="A3142" i="1"/>
  <c r="C3142" i="1"/>
  <c r="S3142" i="1"/>
  <c r="T3142" i="1"/>
  <c r="U3142" i="1"/>
  <c r="BD3142" i="1"/>
  <c r="CE3142" i="1"/>
  <c r="A3143" i="1"/>
  <c r="C3143" i="1"/>
  <c r="S3143" i="1"/>
  <c r="T3143" i="1"/>
  <c r="U3143" i="1"/>
  <c r="BD3143" i="1"/>
  <c r="CE3143" i="1"/>
  <c r="A3144" i="1"/>
  <c r="C3144" i="1"/>
  <c r="S3144" i="1"/>
  <c r="T3144" i="1"/>
  <c r="U3144" i="1"/>
  <c r="BD3144" i="1"/>
  <c r="CE3144" i="1"/>
  <c r="A3145" i="1"/>
  <c r="C3145" i="1"/>
  <c r="S3145" i="1"/>
  <c r="T3145" i="1"/>
  <c r="U3145" i="1"/>
  <c r="BD3145" i="1"/>
  <c r="CE3145" i="1"/>
  <c r="A3146" i="1"/>
  <c r="C3146" i="1"/>
  <c r="S3146" i="1"/>
  <c r="T3146" i="1"/>
  <c r="U3146" i="1"/>
  <c r="BD3146" i="1"/>
  <c r="CE3146" i="1"/>
  <c r="A3147" i="1"/>
  <c r="C3147" i="1"/>
  <c r="S3147" i="1"/>
  <c r="T3147" i="1"/>
  <c r="U3147" i="1"/>
  <c r="BD3147" i="1"/>
  <c r="CE3147" i="1"/>
  <c r="A3148" i="1"/>
  <c r="C3148" i="1"/>
  <c r="S3148" i="1"/>
  <c r="T3148" i="1"/>
  <c r="U3148" i="1"/>
  <c r="BD3148" i="1"/>
  <c r="CE3148" i="1"/>
  <c r="A3149" i="1"/>
  <c r="C3149" i="1"/>
  <c r="S3149" i="1"/>
  <c r="T3149" i="1"/>
  <c r="U3149" i="1"/>
  <c r="BD3149" i="1"/>
  <c r="CE3149" i="1"/>
  <c r="A3150" i="1"/>
  <c r="C3150" i="1"/>
  <c r="S3150" i="1"/>
  <c r="T3150" i="1"/>
  <c r="U3150" i="1"/>
  <c r="BD3150" i="1"/>
  <c r="CE3150" i="1"/>
  <c r="A3151" i="1"/>
  <c r="C3151" i="1"/>
  <c r="S3151" i="1"/>
  <c r="T3151" i="1"/>
  <c r="U3151" i="1"/>
  <c r="BD3151" i="1"/>
  <c r="CE3151" i="1"/>
  <c r="A3152" i="1"/>
  <c r="C3152" i="1"/>
  <c r="S3152" i="1"/>
  <c r="T3152" i="1"/>
  <c r="U3152" i="1"/>
  <c r="BD3152" i="1"/>
  <c r="CE3152" i="1"/>
  <c r="A3153" i="1"/>
  <c r="C3153" i="1"/>
  <c r="S3153" i="1"/>
  <c r="T3153" i="1"/>
  <c r="U3153" i="1"/>
  <c r="BD3153" i="1"/>
  <c r="CE3153" i="1"/>
  <c r="A3154" i="1"/>
  <c r="C3154" i="1"/>
  <c r="S3154" i="1"/>
  <c r="T3154" i="1"/>
  <c r="U3154" i="1"/>
  <c r="BD3154" i="1"/>
  <c r="CE3154" i="1"/>
  <c r="A3155" i="1"/>
  <c r="C3155" i="1"/>
  <c r="S3155" i="1"/>
  <c r="T3155" i="1"/>
  <c r="U3155" i="1"/>
  <c r="BD3155" i="1"/>
  <c r="CE3155" i="1"/>
  <c r="A3156" i="1"/>
  <c r="C3156" i="1"/>
  <c r="S3156" i="1"/>
  <c r="T3156" i="1"/>
  <c r="U3156" i="1"/>
  <c r="BD3156" i="1"/>
  <c r="CE3156" i="1"/>
  <c r="A3157" i="1"/>
  <c r="C3157" i="1"/>
  <c r="S3157" i="1"/>
  <c r="T3157" i="1"/>
  <c r="U3157" i="1"/>
  <c r="BD3157" i="1"/>
  <c r="CE3157" i="1"/>
  <c r="A3158" i="1"/>
  <c r="C3158" i="1"/>
  <c r="S3158" i="1"/>
  <c r="T3158" i="1"/>
  <c r="U3158" i="1"/>
  <c r="BD3158" i="1"/>
  <c r="CE3158" i="1"/>
  <c r="A3159" i="1"/>
  <c r="C3159" i="1"/>
  <c r="S3159" i="1"/>
  <c r="T3159" i="1"/>
  <c r="U3159" i="1"/>
  <c r="BD3159" i="1"/>
  <c r="CE3159" i="1"/>
  <c r="A3160" i="1"/>
  <c r="C3160" i="1"/>
  <c r="S3160" i="1"/>
  <c r="T3160" i="1"/>
  <c r="U3160" i="1"/>
  <c r="BD3160" i="1"/>
  <c r="CE3160" i="1"/>
  <c r="A3161" i="1"/>
  <c r="C3161" i="1"/>
  <c r="S3161" i="1"/>
  <c r="T3161" i="1"/>
  <c r="U3161" i="1"/>
  <c r="BD3161" i="1"/>
  <c r="CE3161" i="1"/>
  <c r="A3162" i="1"/>
  <c r="C3162" i="1"/>
  <c r="S3162" i="1"/>
  <c r="T3162" i="1"/>
  <c r="U3162" i="1"/>
  <c r="BD3162" i="1"/>
  <c r="CE3162" i="1"/>
  <c r="A3163" i="1"/>
  <c r="C3163" i="1"/>
  <c r="S3163" i="1"/>
  <c r="T3163" i="1"/>
  <c r="U3163" i="1"/>
  <c r="BD3163" i="1"/>
  <c r="CE3163" i="1"/>
  <c r="A3164" i="1"/>
  <c r="C3164" i="1"/>
  <c r="S3164" i="1"/>
  <c r="T3164" i="1"/>
  <c r="U3164" i="1"/>
  <c r="BD3164" i="1"/>
  <c r="CE3164" i="1"/>
  <c r="A3165" i="1"/>
  <c r="C3165" i="1"/>
  <c r="S3165" i="1"/>
  <c r="T3165" i="1"/>
  <c r="U3165" i="1"/>
  <c r="BD3165" i="1"/>
  <c r="CE3165" i="1"/>
  <c r="A3166" i="1"/>
  <c r="C3166" i="1"/>
  <c r="S3166" i="1"/>
  <c r="T3166" i="1"/>
  <c r="U3166" i="1"/>
  <c r="BD3166" i="1"/>
  <c r="CE3166" i="1"/>
  <c r="A3167" i="1"/>
  <c r="C3167" i="1"/>
  <c r="S3167" i="1"/>
  <c r="T3167" i="1"/>
  <c r="U3167" i="1"/>
  <c r="BD3167" i="1"/>
  <c r="CE3167" i="1"/>
  <c r="A3168" i="1"/>
  <c r="C3168" i="1"/>
  <c r="S3168" i="1"/>
  <c r="T3168" i="1"/>
  <c r="U3168" i="1"/>
  <c r="BD3168" i="1"/>
  <c r="CE3168" i="1"/>
  <c r="A3169" i="1"/>
  <c r="C3169" i="1"/>
  <c r="S3169" i="1"/>
  <c r="T3169" i="1"/>
  <c r="U3169" i="1"/>
  <c r="BD3169" i="1"/>
  <c r="CE3169" i="1"/>
  <c r="A3170" i="1"/>
  <c r="C3170" i="1"/>
  <c r="S3170" i="1"/>
  <c r="T3170" i="1"/>
  <c r="U3170" i="1"/>
  <c r="BD3170" i="1"/>
  <c r="CE3170" i="1"/>
  <c r="A3171" i="1"/>
  <c r="C3171" i="1"/>
  <c r="S3171" i="1"/>
  <c r="T3171" i="1"/>
  <c r="U3171" i="1"/>
  <c r="BD3171" i="1"/>
  <c r="CE3171" i="1"/>
  <c r="A3172" i="1"/>
  <c r="C3172" i="1"/>
  <c r="S3172" i="1"/>
  <c r="T3172" i="1"/>
  <c r="U3172" i="1"/>
  <c r="BD3172" i="1"/>
  <c r="CE3172" i="1"/>
  <c r="A3173" i="1"/>
  <c r="C3173" i="1"/>
  <c r="S3173" i="1"/>
  <c r="T3173" i="1"/>
  <c r="U3173" i="1"/>
  <c r="BD3173" i="1"/>
  <c r="CE3173" i="1"/>
  <c r="A3174" i="1"/>
  <c r="C3174" i="1"/>
  <c r="S3174" i="1"/>
  <c r="T3174" i="1"/>
  <c r="U3174" i="1"/>
  <c r="BD3174" i="1"/>
  <c r="CE3174" i="1"/>
  <c r="A3175" i="1"/>
  <c r="C3175" i="1"/>
  <c r="S3175" i="1"/>
  <c r="T3175" i="1"/>
  <c r="U3175" i="1"/>
  <c r="BD3175" i="1"/>
  <c r="CE3175" i="1"/>
  <c r="A3176" i="1"/>
  <c r="C3176" i="1"/>
  <c r="S3176" i="1"/>
  <c r="T3176" i="1"/>
  <c r="U3176" i="1"/>
  <c r="BD3176" i="1"/>
  <c r="CE3176" i="1"/>
  <c r="A3177" i="1"/>
  <c r="C3177" i="1"/>
  <c r="S3177" i="1"/>
  <c r="T3177" i="1"/>
  <c r="U3177" i="1"/>
  <c r="BD3177" i="1"/>
  <c r="CE3177" i="1"/>
  <c r="A3178" i="1"/>
  <c r="C3178" i="1"/>
  <c r="S3178" i="1"/>
  <c r="T3178" i="1"/>
  <c r="U3178" i="1"/>
  <c r="BD3178" i="1"/>
  <c r="CE3178" i="1"/>
  <c r="A3179" i="1"/>
  <c r="C3179" i="1"/>
  <c r="S3179" i="1"/>
  <c r="T3179" i="1"/>
  <c r="U3179" i="1"/>
  <c r="BD3179" i="1"/>
  <c r="CE3179" i="1"/>
  <c r="A3180" i="1"/>
  <c r="C3180" i="1"/>
  <c r="S3180" i="1"/>
  <c r="T3180" i="1"/>
  <c r="U3180" i="1"/>
  <c r="BD3180" i="1"/>
  <c r="CE3180" i="1"/>
  <c r="A3181" i="1"/>
  <c r="C3181" i="1"/>
  <c r="S3181" i="1"/>
  <c r="T3181" i="1"/>
  <c r="U3181" i="1"/>
  <c r="BD3181" i="1"/>
  <c r="CE3181" i="1"/>
  <c r="A3182" i="1"/>
  <c r="C3182" i="1"/>
  <c r="S3182" i="1"/>
  <c r="T3182" i="1"/>
  <c r="U3182" i="1"/>
  <c r="BD3182" i="1"/>
  <c r="CE3182" i="1"/>
  <c r="A3183" i="1"/>
  <c r="C3183" i="1"/>
  <c r="S3183" i="1"/>
  <c r="T3183" i="1"/>
  <c r="U3183" i="1"/>
  <c r="BD3183" i="1"/>
  <c r="CE3183" i="1"/>
  <c r="A3184" i="1"/>
  <c r="C3184" i="1"/>
  <c r="S3184" i="1"/>
  <c r="T3184" i="1"/>
  <c r="U3184" i="1"/>
  <c r="BD3184" i="1"/>
  <c r="CE3184" i="1"/>
  <c r="A3185" i="1"/>
  <c r="C3185" i="1"/>
  <c r="S3185" i="1"/>
  <c r="T3185" i="1"/>
  <c r="U3185" i="1"/>
  <c r="BD3185" i="1"/>
  <c r="CE3185" i="1"/>
  <c r="A3186" i="1"/>
  <c r="C3186" i="1"/>
  <c r="S3186" i="1"/>
  <c r="T3186" i="1"/>
  <c r="U3186" i="1"/>
  <c r="BD3186" i="1"/>
  <c r="CE3186" i="1"/>
  <c r="A3187" i="1"/>
  <c r="C3187" i="1"/>
  <c r="S3187" i="1"/>
  <c r="T3187" i="1"/>
  <c r="U3187" i="1"/>
  <c r="BD3187" i="1"/>
  <c r="CE3187" i="1"/>
  <c r="A3188" i="1"/>
  <c r="C3188" i="1"/>
  <c r="S3188" i="1"/>
  <c r="T3188" i="1"/>
  <c r="U3188" i="1"/>
  <c r="BD3188" i="1"/>
  <c r="CE3188" i="1"/>
  <c r="A3189" i="1"/>
  <c r="C3189" i="1"/>
  <c r="S3189" i="1"/>
  <c r="T3189" i="1"/>
  <c r="U3189" i="1"/>
  <c r="BD3189" i="1"/>
  <c r="CE3189" i="1"/>
  <c r="A3190" i="1"/>
  <c r="C3190" i="1"/>
  <c r="S3190" i="1"/>
  <c r="T3190" i="1"/>
  <c r="U3190" i="1"/>
  <c r="BD3190" i="1"/>
  <c r="CE3190" i="1"/>
  <c r="A3191" i="1"/>
  <c r="C3191" i="1"/>
  <c r="S3191" i="1"/>
  <c r="T3191" i="1"/>
  <c r="U3191" i="1"/>
  <c r="BD3191" i="1"/>
  <c r="CE3191" i="1"/>
  <c r="A3192" i="1"/>
  <c r="C3192" i="1"/>
  <c r="S3192" i="1"/>
  <c r="T3192" i="1"/>
  <c r="U3192" i="1"/>
  <c r="BD3192" i="1"/>
  <c r="CE3192" i="1"/>
  <c r="A3193" i="1"/>
  <c r="C3193" i="1"/>
  <c r="S3193" i="1"/>
  <c r="T3193" i="1"/>
  <c r="U3193" i="1"/>
  <c r="BD3193" i="1"/>
  <c r="CE3193" i="1"/>
  <c r="A3194" i="1"/>
  <c r="C3194" i="1"/>
  <c r="S3194" i="1"/>
  <c r="T3194" i="1"/>
  <c r="U3194" i="1"/>
  <c r="BD3194" i="1"/>
  <c r="CE3194" i="1"/>
  <c r="A3195" i="1"/>
  <c r="C3195" i="1"/>
  <c r="S3195" i="1"/>
  <c r="T3195" i="1"/>
  <c r="U3195" i="1"/>
  <c r="BD3195" i="1"/>
  <c r="CE3195" i="1"/>
  <c r="A3196" i="1"/>
  <c r="C3196" i="1"/>
  <c r="S3196" i="1"/>
  <c r="T3196" i="1"/>
  <c r="U3196" i="1"/>
  <c r="BD3196" i="1"/>
  <c r="CE3196" i="1"/>
  <c r="A3197" i="1"/>
  <c r="C3197" i="1"/>
  <c r="S3197" i="1"/>
  <c r="T3197" i="1"/>
  <c r="U3197" i="1"/>
  <c r="BD3197" i="1"/>
  <c r="CE3197" i="1"/>
  <c r="A3198" i="1"/>
  <c r="C3198" i="1"/>
  <c r="S3198" i="1"/>
  <c r="T3198" i="1"/>
  <c r="U3198" i="1"/>
  <c r="BD3198" i="1"/>
  <c r="CE3198" i="1"/>
  <c r="A3199" i="1"/>
  <c r="C3199" i="1"/>
  <c r="S3199" i="1"/>
  <c r="T3199" i="1"/>
  <c r="U3199" i="1"/>
  <c r="BD3199" i="1"/>
  <c r="CE3199" i="1"/>
  <c r="A3200" i="1"/>
  <c r="C3200" i="1"/>
  <c r="S3200" i="1"/>
  <c r="T3200" i="1"/>
  <c r="U3200" i="1"/>
  <c r="BD3200" i="1"/>
  <c r="CE3200" i="1"/>
  <c r="A3201" i="1"/>
  <c r="C3201" i="1"/>
  <c r="S3201" i="1"/>
  <c r="T3201" i="1"/>
  <c r="U3201" i="1"/>
  <c r="BD3201" i="1"/>
  <c r="CE3201" i="1"/>
  <c r="A3202" i="1"/>
  <c r="C3202" i="1"/>
  <c r="S3202" i="1"/>
  <c r="T3202" i="1"/>
  <c r="U3202" i="1"/>
  <c r="BD3202" i="1"/>
  <c r="CE3202" i="1"/>
  <c r="A3203" i="1"/>
  <c r="C3203" i="1"/>
  <c r="S3203" i="1"/>
  <c r="T3203" i="1"/>
  <c r="U3203" i="1"/>
  <c r="BD3203" i="1"/>
  <c r="CE3203" i="1"/>
  <c r="A3204" i="1"/>
  <c r="C3204" i="1"/>
  <c r="S3204" i="1"/>
  <c r="T3204" i="1"/>
  <c r="U3204" i="1"/>
  <c r="BD3204" i="1"/>
  <c r="CE3204" i="1"/>
  <c r="A3205" i="1"/>
  <c r="C3205" i="1"/>
  <c r="S3205" i="1"/>
  <c r="T3205" i="1"/>
  <c r="U3205" i="1"/>
  <c r="BD3205" i="1"/>
  <c r="CE3205" i="1"/>
  <c r="A3206" i="1"/>
  <c r="C3206" i="1"/>
  <c r="S3206" i="1"/>
  <c r="T3206" i="1"/>
  <c r="U3206" i="1"/>
  <c r="BD3206" i="1"/>
  <c r="CE3206" i="1"/>
  <c r="A3207" i="1"/>
  <c r="C3207" i="1"/>
  <c r="S3207" i="1"/>
  <c r="T3207" i="1"/>
  <c r="U3207" i="1"/>
  <c r="BD3207" i="1"/>
  <c r="CE3207" i="1"/>
  <c r="A3208" i="1"/>
  <c r="C3208" i="1"/>
  <c r="S3208" i="1"/>
  <c r="T3208" i="1"/>
  <c r="U3208" i="1"/>
  <c r="BD3208" i="1"/>
  <c r="CE3208" i="1"/>
  <c r="A3209" i="1"/>
  <c r="C3209" i="1"/>
  <c r="S3209" i="1"/>
  <c r="T3209" i="1"/>
  <c r="U3209" i="1"/>
  <c r="BD3209" i="1"/>
  <c r="CE3209" i="1"/>
  <c r="A3210" i="1"/>
  <c r="C3210" i="1"/>
  <c r="S3210" i="1"/>
  <c r="T3210" i="1"/>
  <c r="U3210" i="1"/>
  <c r="BD3210" i="1"/>
  <c r="CE3210" i="1"/>
  <c r="A3211" i="1"/>
  <c r="C3211" i="1"/>
  <c r="S3211" i="1"/>
  <c r="T3211" i="1"/>
  <c r="U3211" i="1"/>
  <c r="BD3211" i="1"/>
  <c r="CE3211" i="1"/>
  <c r="A3212" i="1"/>
  <c r="C3212" i="1"/>
  <c r="S3212" i="1"/>
  <c r="T3212" i="1"/>
  <c r="U3212" i="1"/>
  <c r="BD3212" i="1"/>
  <c r="CE3212" i="1"/>
  <c r="A3213" i="1"/>
  <c r="C3213" i="1"/>
  <c r="S3213" i="1"/>
  <c r="T3213" i="1"/>
  <c r="U3213" i="1"/>
  <c r="BD3213" i="1"/>
  <c r="CE3213" i="1"/>
  <c r="A3214" i="1"/>
  <c r="C3214" i="1"/>
  <c r="S3214" i="1"/>
  <c r="T3214" i="1"/>
  <c r="U3214" i="1"/>
  <c r="BD3214" i="1"/>
  <c r="CE3214" i="1"/>
  <c r="A3215" i="1"/>
  <c r="C3215" i="1"/>
  <c r="S3215" i="1"/>
  <c r="T3215" i="1"/>
  <c r="U3215" i="1"/>
  <c r="BD3215" i="1"/>
  <c r="CE3215" i="1"/>
  <c r="A3216" i="1"/>
  <c r="C3216" i="1"/>
  <c r="S3216" i="1"/>
  <c r="T3216" i="1"/>
  <c r="U3216" i="1"/>
  <c r="BD3216" i="1"/>
  <c r="CE3216" i="1"/>
  <c r="A3217" i="1"/>
  <c r="C3217" i="1"/>
  <c r="S3217" i="1"/>
  <c r="T3217" i="1"/>
  <c r="U3217" i="1"/>
  <c r="BD3217" i="1"/>
  <c r="CE3217" i="1"/>
  <c r="A3218" i="1"/>
  <c r="C3218" i="1"/>
  <c r="S3218" i="1"/>
  <c r="T3218" i="1"/>
  <c r="U3218" i="1"/>
  <c r="BD3218" i="1"/>
  <c r="CE3218" i="1"/>
  <c r="A3219" i="1"/>
  <c r="C3219" i="1"/>
  <c r="S3219" i="1"/>
  <c r="T3219" i="1"/>
  <c r="U3219" i="1"/>
  <c r="BD3219" i="1"/>
  <c r="CE3219" i="1"/>
  <c r="A3220" i="1"/>
  <c r="C3220" i="1"/>
  <c r="S3220" i="1"/>
  <c r="T3220" i="1"/>
  <c r="U3220" i="1"/>
  <c r="BD3220" i="1"/>
  <c r="CE3220" i="1"/>
  <c r="A3221" i="1"/>
  <c r="C3221" i="1"/>
  <c r="S3221" i="1"/>
  <c r="T3221" i="1"/>
  <c r="U3221" i="1"/>
  <c r="BD3221" i="1"/>
  <c r="CE3221" i="1"/>
  <c r="A3222" i="1"/>
  <c r="C3222" i="1"/>
  <c r="S3222" i="1"/>
  <c r="T3222" i="1"/>
  <c r="U3222" i="1"/>
  <c r="BD3222" i="1"/>
  <c r="CE3222" i="1"/>
  <c r="A3223" i="1"/>
  <c r="C3223" i="1"/>
  <c r="S3223" i="1"/>
  <c r="T3223" i="1"/>
  <c r="U3223" i="1"/>
  <c r="BD3223" i="1"/>
  <c r="CE3223" i="1"/>
  <c r="A3224" i="1"/>
  <c r="C3224" i="1"/>
  <c r="S3224" i="1"/>
  <c r="T3224" i="1"/>
  <c r="U3224" i="1"/>
  <c r="BD3224" i="1"/>
  <c r="CE3224" i="1"/>
  <c r="A3225" i="1"/>
  <c r="C3225" i="1"/>
  <c r="S3225" i="1"/>
  <c r="T3225" i="1"/>
  <c r="U3225" i="1"/>
  <c r="BD3225" i="1"/>
  <c r="CE3225" i="1"/>
  <c r="A3226" i="1"/>
  <c r="C3226" i="1"/>
  <c r="S3226" i="1"/>
  <c r="T3226" i="1"/>
  <c r="U3226" i="1"/>
  <c r="BD3226" i="1"/>
  <c r="CE3226" i="1"/>
  <c r="A3227" i="1"/>
  <c r="C3227" i="1"/>
  <c r="S3227" i="1"/>
  <c r="T3227" i="1"/>
  <c r="U3227" i="1"/>
  <c r="BD3227" i="1"/>
  <c r="CE3227" i="1"/>
  <c r="A3228" i="1"/>
  <c r="C3228" i="1"/>
  <c r="S3228" i="1"/>
  <c r="T3228" i="1"/>
  <c r="U3228" i="1"/>
  <c r="BD3228" i="1"/>
  <c r="CE3228" i="1"/>
  <c r="A3229" i="1"/>
  <c r="C3229" i="1"/>
  <c r="S3229" i="1"/>
  <c r="T3229" i="1"/>
  <c r="U3229" i="1"/>
  <c r="BD3229" i="1"/>
  <c r="CE3229" i="1"/>
  <c r="A3230" i="1"/>
  <c r="C3230" i="1"/>
  <c r="S3230" i="1"/>
  <c r="T3230" i="1"/>
  <c r="U3230" i="1"/>
  <c r="BD3230" i="1"/>
  <c r="CE3230" i="1"/>
  <c r="A3231" i="1"/>
  <c r="C3231" i="1"/>
  <c r="S3231" i="1"/>
  <c r="T3231" i="1"/>
  <c r="U3231" i="1"/>
  <c r="BD3231" i="1"/>
  <c r="CE3231" i="1"/>
  <c r="A3232" i="1"/>
  <c r="C3232" i="1"/>
  <c r="S3232" i="1"/>
  <c r="T3232" i="1"/>
  <c r="U3232" i="1"/>
  <c r="BD3232" i="1"/>
  <c r="CE3232" i="1"/>
  <c r="A3233" i="1"/>
  <c r="C3233" i="1"/>
  <c r="S3233" i="1"/>
  <c r="T3233" i="1"/>
  <c r="U3233" i="1"/>
  <c r="BD3233" i="1"/>
  <c r="CE3233" i="1"/>
  <c r="A3234" i="1"/>
  <c r="C3234" i="1"/>
  <c r="S3234" i="1"/>
  <c r="T3234" i="1"/>
  <c r="U3234" i="1"/>
  <c r="BD3234" i="1"/>
  <c r="CE3234" i="1"/>
  <c r="A3235" i="1"/>
  <c r="C3235" i="1"/>
  <c r="S3235" i="1"/>
  <c r="T3235" i="1"/>
  <c r="U3235" i="1"/>
  <c r="BD3235" i="1"/>
  <c r="CE3235" i="1"/>
  <c r="A3236" i="1"/>
  <c r="C3236" i="1"/>
  <c r="S3236" i="1"/>
  <c r="T3236" i="1"/>
  <c r="U3236" i="1"/>
  <c r="BD3236" i="1"/>
  <c r="CE3236" i="1"/>
  <c r="A3237" i="1"/>
  <c r="C3237" i="1"/>
  <c r="S3237" i="1"/>
  <c r="T3237" i="1"/>
  <c r="U3237" i="1"/>
  <c r="BD3237" i="1"/>
  <c r="CE3237" i="1"/>
  <c r="A3238" i="1"/>
  <c r="C3238" i="1"/>
  <c r="S3238" i="1"/>
  <c r="T3238" i="1"/>
  <c r="U3238" i="1"/>
  <c r="BD3238" i="1"/>
  <c r="CE3238" i="1"/>
  <c r="A3239" i="1"/>
  <c r="C3239" i="1"/>
  <c r="S3239" i="1"/>
  <c r="T3239" i="1"/>
  <c r="U3239" i="1"/>
  <c r="BD3239" i="1"/>
  <c r="CE3239" i="1"/>
  <c r="A3240" i="1"/>
  <c r="C3240" i="1"/>
  <c r="S3240" i="1"/>
  <c r="T3240" i="1"/>
  <c r="U3240" i="1"/>
  <c r="BD3240" i="1"/>
  <c r="CE3240" i="1"/>
  <c r="A3241" i="1"/>
  <c r="C3241" i="1"/>
  <c r="S3241" i="1"/>
  <c r="T3241" i="1"/>
  <c r="U3241" i="1"/>
  <c r="BD3241" i="1"/>
  <c r="CE3241" i="1"/>
  <c r="A3242" i="1"/>
  <c r="C3242" i="1"/>
  <c r="S3242" i="1"/>
  <c r="T3242" i="1"/>
  <c r="U3242" i="1"/>
  <c r="BD3242" i="1"/>
  <c r="CE3242" i="1"/>
  <c r="A3243" i="1"/>
  <c r="C3243" i="1"/>
  <c r="S3243" i="1"/>
  <c r="T3243" i="1"/>
  <c r="U3243" i="1"/>
  <c r="BD3243" i="1"/>
  <c r="CE3243" i="1"/>
  <c r="A3244" i="1"/>
  <c r="C3244" i="1"/>
  <c r="S3244" i="1"/>
  <c r="T3244" i="1"/>
  <c r="U3244" i="1"/>
  <c r="BD3244" i="1"/>
  <c r="CE3244" i="1"/>
  <c r="A3245" i="1"/>
  <c r="C3245" i="1"/>
  <c r="S3245" i="1"/>
  <c r="T3245" i="1"/>
  <c r="U3245" i="1"/>
  <c r="BD3245" i="1"/>
  <c r="CE3245" i="1"/>
  <c r="A3246" i="1"/>
  <c r="C3246" i="1"/>
  <c r="S3246" i="1"/>
  <c r="T3246" i="1"/>
  <c r="U3246" i="1"/>
  <c r="BD3246" i="1"/>
  <c r="CE3246" i="1"/>
  <c r="A3247" i="1"/>
  <c r="C3247" i="1"/>
  <c r="S3247" i="1"/>
  <c r="T3247" i="1"/>
  <c r="U3247" i="1"/>
  <c r="BD3247" i="1"/>
  <c r="CE3247" i="1"/>
  <c r="A3248" i="1"/>
  <c r="C3248" i="1"/>
  <c r="S3248" i="1"/>
  <c r="T3248" i="1"/>
  <c r="U3248" i="1"/>
  <c r="BD3248" i="1"/>
  <c r="CE3248" i="1"/>
  <c r="A3249" i="1"/>
  <c r="C3249" i="1"/>
  <c r="S3249" i="1"/>
  <c r="T3249" i="1"/>
  <c r="U3249" i="1"/>
  <c r="BD3249" i="1"/>
  <c r="CE3249" i="1"/>
  <c r="A3250" i="1"/>
  <c r="C3250" i="1"/>
  <c r="S3250" i="1"/>
  <c r="T3250" i="1"/>
  <c r="U3250" i="1"/>
  <c r="BD3250" i="1"/>
  <c r="CE3250" i="1"/>
  <c r="A3251" i="1"/>
  <c r="C3251" i="1"/>
  <c r="S3251" i="1"/>
  <c r="T3251" i="1"/>
  <c r="U3251" i="1"/>
  <c r="BD3251" i="1"/>
  <c r="CE3251" i="1"/>
  <c r="A3252" i="1"/>
  <c r="C3252" i="1"/>
  <c r="S3252" i="1"/>
  <c r="T3252" i="1"/>
  <c r="U3252" i="1"/>
  <c r="BD3252" i="1"/>
  <c r="CE3252" i="1"/>
  <c r="A3253" i="1"/>
  <c r="C3253" i="1"/>
  <c r="S3253" i="1"/>
  <c r="T3253" i="1"/>
  <c r="U3253" i="1"/>
  <c r="BD3253" i="1"/>
  <c r="CE3253" i="1"/>
  <c r="A3254" i="1"/>
  <c r="C3254" i="1"/>
  <c r="S3254" i="1"/>
  <c r="T3254" i="1"/>
  <c r="U3254" i="1"/>
  <c r="BD3254" i="1"/>
  <c r="CE3254" i="1"/>
  <c r="A3255" i="1"/>
  <c r="C3255" i="1"/>
  <c r="S3255" i="1"/>
  <c r="T3255" i="1"/>
  <c r="U3255" i="1"/>
  <c r="BD3255" i="1"/>
  <c r="CE3255" i="1"/>
  <c r="A3256" i="1"/>
  <c r="C3256" i="1"/>
  <c r="S3256" i="1"/>
  <c r="T3256" i="1"/>
  <c r="U3256" i="1"/>
  <c r="BD3256" i="1"/>
  <c r="CE3256" i="1"/>
  <c r="A3257" i="1"/>
  <c r="C3257" i="1"/>
  <c r="S3257" i="1"/>
  <c r="T3257" i="1"/>
  <c r="U3257" i="1"/>
  <c r="BD3257" i="1"/>
  <c r="CE3257" i="1"/>
  <c r="A3258" i="1"/>
  <c r="C3258" i="1"/>
  <c r="S3258" i="1"/>
  <c r="T3258" i="1"/>
  <c r="U3258" i="1"/>
  <c r="BD3258" i="1"/>
  <c r="CE3258" i="1"/>
  <c r="A3259" i="1"/>
  <c r="C3259" i="1"/>
  <c r="S3259" i="1"/>
  <c r="T3259" i="1"/>
  <c r="U3259" i="1"/>
  <c r="BD3259" i="1"/>
  <c r="CE3259" i="1"/>
  <c r="A3260" i="1"/>
  <c r="C3260" i="1"/>
  <c r="S3260" i="1"/>
  <c r="T3260" i="1"/>
  <c r="U3260" i="1"/>
  <c r="BD3260" i="1"/>
  <c r="CE3260" i="1"/>
  <c r="A3261" i="1"/>
  <c r="C3261" i="1"/>
  <c r="S3261" i="1"/>
  <c r="T3261" i="1"/>
  <c r="U3261" i="1"/>
  <c r="BD3261" i="1"/>
  <c r="CE3261" i="1"/>
  <c r="A3262" i="1"/>
  <c r="C3262" i="1"/>
  <c r="S3262" i="1"/>
  <c r="T3262" i="1"/>
  <c r="U3262" i="1"/>
  <c r="BD3262" i="1"/>
  <c r="CE3262" i="1"/>
  <c r="A3263" i="1"/>
  <c r="C3263" i="1"/>
  <c r="S3263" i="1"/>
  <c r="T3263" i="1"/>
  <c r="U3263" i="1"/>
  <c r="BD3263" i="1"/>
  <c r="CE3263" i="1"/>
  <c r="A3264" i="1"/>
  <c r="C3264" i="1"/>
  <c r="S3264" i="1"/>
  <c r="T3264" i="1"/>
  <c r="U3264" i="1"/>
  <c r="BD3264" i="1"/>
  <c r="CE3264" i="1"/>
  <c r="A3265" i="1"/>
  <c r="C3265" i="1"/>
  <c r="S3265" i="1"/>
  <c r="T3265" i="1"/>
  <c r="U3265" i="1"/>
  <c r="BD3265" i="1"/>
  <c r="CE3265" i="1"/>
  <c r="A3266" i="1"/>
  <c r="C3266" i="1"/>
  <c r="S3266" i="1"/>
  <c r="T3266" i="1"/>
  <c r="U3266" i="1"/>
  <c r="BD3266" i="1"/>
  <c r="CE3266" i="1"/>
  <c r="A3267" i="1"/>
  <c r="C3267" i="1"/>
  <c r="S3267" i="1"/>
  <c r="T3267" i="1"/>
  <c r="U3267" i="1"/>
  <c r="BD3267" i="1"/>
  <c r="CE3267" i="1"/>
  <c r="A3268" i="1"/>
  <c r="C3268" i="1"/>
  <c r="S3268" i="1"/>
  <c r="T3268" i="1"/>
  <c r="U3268" i="1"/>
  <c r="BD3268" i="1"/>
  <c r="CE3268" i="1"/>
  <c r="A3269" i="1"/>
  <c r="C3269" i="1"/>
  <c r="S3269" i="1"/>
  <c r="T3269" i="1"/>
  <c r="U3269" i="1"/>
  <c r="BD3269" i="1"/>
  <c r="CE3269" i="1"/>
  <c r="A3270" i="1"/>
  <c r="C3270" i="1"/>
  <c r="S3270" i="1"/>
  <c r="T3270" i="1"/>
  <c r="U3270" i="1"/>
  <c r="BD3270" i="1"/>
  <c r="CE3270" i="1"/>
  <c r="A3271" i="1"/>
  <c r="C3271" i="1"/>
  <c r="S3271" i="1"/>
  <c r="T3271" i="1"/>
  <c r="U3271" i="1"/>
  <c r="BD3271" i="1"/>
  <c r="CE3271" i="1"/>
  <c r="A3272" i="1"/>
  <c r="C3272" i="1"/>
  <c r="S3272" i="1"/>
  <c r="T3272" i="1"/>
  <c r="U3272" i="1"/>
  <c r="BD3272" i="1"/>
  <c r="CE3272" i="1"/>
  <c r="A3273" i="1"/>
  <c r="C3273" i="1"/>
  <c r="S3273" i="1"/>
  <c r="T3273" i="1"/>
  <c r="U3273" i="1"/>
  <c r="BD3273" i="1"/>
  <c r="CE3273" i="1"/>
  <c r="A3274" i="1"/>
  <c r="C3274" i="1"/>
  <c r="S3274" i="1"/>
  <c r="T3274" i="1"/>
  <c r="U3274" i="1"/>
  <c r="BD3274" i="1"/>
  <c r="CE3274" i="1"/>
  <c r="A3275" i="1"/>
  <c r="C3275" i="1"/>
  <c r="S3275" i="1"/>
  <c r="T3275" i="1"/>
  <c r="U3275" i="1"/>
  <c r="BD3275" i="1"/>
  <c r="CE3275" i="1"/>
  <c r="A3276" i="1"/>
  <c r="C3276" i="1"/>
  <c r="S3276" i="1"/>
  <c r="T3276" i="1"/>
  <c r="U3276" i="1"/>
  <c r="BD3276" i="1"/>
  <c r="CE3276" i="1"/>
  <c r="A3277" i="1"/>
  <c r="C3277" i="1"/>
  <c r="S3277" i="1"/>
  <c r="T3277" i="1"/>
  <c r="U3277" i="1"/>
  <c r="BD3277" i="1"/>
  <c r="CE3277" i="1"/>
  <c r="A3278" i="1"/>
  <c r="C3278" i="1"/>
  <c r="S3278" i="1"/>
  <c r="T3278" i="1"/>
  <c r="U3278" i="1"/>
  <c r="BD3278" i="1"/>
  <c r="CE3278" i="1"/>
  <c r="A3279" i="1"/>
  <c r="C3279" i="1"/>
  <c r="S3279" i="1"/>
  <c r="T3279" i="1"/>
  <c r="U3279" i="1"/>
  <c r="BD3279" i="1"/>
  <c r="CE3279" i="1"/>
  <c r="A3280" i="1"/>
  <c r="C3280" i="1"/>
  <c r="S3280" i="1"/>
  <c r="T3280" i="1"/>
  <c r="U3280" i="1"/>
  <c r="BD3280" i="1"/>
  <c r="CE3280" i="1"/>
  <c r="A3281" i="1"/>
  <c r="C3281" i="1"/>
  <c r="S3281" i="1"/>
  <c r="T3281" i="1"/>
  <c r="U3281" i="1"/>
  <c r="BD3281" i="1"/>
  <c r="CE3281" i="1"/>
  <c r="A3282" i="1"/>
  <c r="C3282" i="1"/>
  <c r="S3282" i="1"/>
  <c r="T3282" i="1"/>
  <c r="U3282" i="1"/>
  <c r="BD3282" i="1"/>
  <c r="CE3282" i="1"/>
  <c r="A3283" i="1"/>
  <c r="C3283" i="1"/>
  <c r="S3283" i="1"/>
  <c r="T3283" i="1"/>
  <c r="U3283" i="1"/>
  <c r="BD3283" i="1"/>
  <c r="CE3283" i="1"/>
  <c r="A3284" i="1"/>
  <c r="C3284" i="1"/>
  <c r="S3284" i="1"/>
  <c r="T3284" i="1"/>
  <c r="U3284" i="1"/>
  <c r="BD3284" i="1"/>
  <c r="CE3284" i="1"/>
  <c r="A3285" i="1"/>
  <c r="C3285" i="1"/>
  <c r="S3285" i="1"/>
  <c r="T3285" i="1"/>
  <c r="U3285" i="1"/>
  <c r="BD3285" i="1"/>
  <c r="CE3285" i="1"/>
  <c r="A3286" i="1"/>
  <c r="C3286" i="1"/>
  <c r="S3286" i="1"/>
  <c r="T3286" i="1"/>
  <c r="U3286" i="1"/>
  <c r="BD3286" i="1"/>
  <c r="CE3286" i="1"/>
  <c r="A3287" i="1"/>
  <c r="C3287" i="1"/>
  <c r="S3287" i="1"/>
  <c r="T3287" i="1"/>
  <c r="U3287" i="1"/>
  <c r="BD3287" i="1"/>
  <c r="CE3287" i="1"/>
  <c r="A3288" i="1"/>
  <c r="C3288" i="1"/>
  <c r="S3288" i="1"/>
  <c r="T3288" i="1"/>
  <c r="U3288" i="1"/>
  <c r="BD3288" i="1"/>
  <c r="CE3288" i="1"/>
  <c r="A3289" i="1"/>
  <c r="C3289" i="1"/>
  <c r="S3289" i="1"/>
  <c r="T3289" i="1"/>
  <c r="U3289" i="1"/>
  <c r="BD3289" i="1"/>
  <c r="CE3289" i="1"/>
  <c r="A3290" i="1"/>
  <c r="C3290" i="1"/>
  <c r="S3290" i="1"/>
  <c r="T3290" i="1"/>
  <c r="U3290" i="1"/>
  <c r="BD3290" i="1"/>
  <c r="CE3290" i="1"/>
  <c r="A3291" i="1"/>
  <c r="C3291" i="1"/>
  <c r="S3291" i="1"/>
  <c r="T3291" i="1"/>
  <c r="U3291" i="1"/>
  <c r="BD3291" i="1"/>
  <c r="CE3291" i="1"/>
  <c r="A3292" i="1"/>
  <c r="C3292" i="1"/>
  <c r="S3292" i="1"/>
  <c r="T3292" i="1"/>
  <c r="U3292" i="1"/>
  <c r="BD3292" i="1"/>
  <c r="CE3292" i="1"/>
  <c r="A3293" i="1"/>
  <c r="C3293" i="1"/>
  <c r="S3293" i="1"/>
  <c r="T3293" i="1"/>
  <c r="U3293" i="1"/>
  <c r="BD3293" i="1"/>
  <c r="CE3293" i="1"/>
  <c r="A3294" i="1"/>
  <c r="C3294" i="1"/>
  <c r="S3294" i="1"/>
  <c r="T3294" i="1"/>
  <c r="U3294" i="1"/>
  <c r="BD3294" i="1"/>
  <c r="CE3294" i="1"/>
  <c r="A3295" i="1"/>
  <c r="C3295" i="1"/>
  <c r="S3295" i="1"/>
  <c r="T3295" i="1"/>
  <c r="U3295" i="1"/>
  <c r="BD3295" i="1"/>
  <c r="CE3295" i="1"/>
  <c r="A3296" i="1"/>
  <c r="C3296" i="1"/>
  <c r="S3296" i="1"/>
  <c r="T3296" i="1"/>
  <c r="U3296" i="1"/>
  <c r="BD3296" i="1"/>
  <c r="CE3296" i="1"/>
  <c r="A3297" i="1"/>
  <c r="C3297" i="1"/>
  <c r="S3297" i="1"/>
  <c r="T3297" i="1"/>
  <c r="U3297" i="1"/>
  <c r="BD3297" i="1"/>
  <c r="CE3297" i="1"/>
  <c r="A3298" i="1"/>
  <c r="C3298" i="1"/>
  <c r="S3298" i="1"/>
  <c r="T3298" i="1"/>
  <c r="U3298" i="1"/>
  <c r="BD3298" i="1"/>
  <c r="CE3298" i="1"/>
  <c r="A3299" i="1"/>
  <c r="C3299" i="1"/>
  <c r="S3299" i="1"/>
  <c r="T3299" i="1"/>
  <c r="U3299" i="1"/>
  <c r="BD3299" i="1"/>
  <c r="CE3299" i="1"/>
  <c r="A3300" i="1"/>
  <c r="C3300" i="1"/>
  <c r="S3300" i="1"/>
  <c r="T3300" i="1"/>
  <c r="U3300" i="1"/>
  <c r="BD3300" i="1"/>
  <c r="CE3300" i="1"/>
  <c r="A3301" i="1"/>
  <c r="C3301" i="1"/>
  <c r="S3301" i="1"/>
  <c r="T3301" i="1"/>
  <c r="U3301" i="1"/>
  <c r="BD3301" i="1"/>
  <c r="CE3301" i="1"/>
  <c r="A3302" i="1"/>
  <c r="C3302" i="1"/>
  <c r="S3302" i="1"/>
  <c r="T3302" i="1"/>
  <c r="U3302" i="1"/>
  <c r="BD3302" i="1"/>
  <c r="CE3302" i="1"/>
  <c r="A3303" i="1"/>
  <c r="C3303" i="1"/>
  <c r="S3303" i="1"/>
  <c r="T3303" i="1"/>
  <c r="U3303" i="1"/>
  <c r="BD3303" i="1"/>
  <c r="CE3303" i="1"/>
  <c r="A3304" i="1"/>
  <c r="C3304" i="1"/>
  <c r="S3304" i="1"/>
  <c r="T3304" i="1"/>
  <c r="U3304" i="1"/>
  <c r="BD3304" i="1"/>
  <c r="CE3304" i="1"/>
  <c r="A3305" i="1"/>
  <c r="C3305" i="1"/>
  <c r="S3305" i="1"/>
  <c r="T3305" i="1"/>
  <c r="U3305" i="1"/>
  <c r="BD3305" i="1"/>
  <c r="CE3305" i="1"/>
  <c r="A3306" i="1"/>
  <c r="C3306" i="1"/>
  <c r="S3306" i="1"/>
  <c r="T3306" i="1"/>
  <c r="U3306" i="1"/>
  <c r="BD3306" i="1"/>
  <c r="CE3306" i="1"/>
  <c r="A3307" i="1"/>
  <c r="C3307" i="1"/>
  <c r="S3307" i="1"/>
  <c r="T3307" i="1"/>
  <c r="U3307" i="1"/>
  <c r="BD3307" i="1"/>
  <c r="CE3307" i="1"/>
  <c r="A3308" i="1"/>
  <c r="C3308" i="1"/>
  <c r="S3308" i="1"/>
  <c r="T3308" i="1"/>
  <c r="U3308" i="1"/>
  <c r="BD3308" i="1"/>
  <c r="CE3308" i="1"/>
  <c r="A3309" i="1"/>
  <c r="C3309" i="1"/>
  <c r="S3309" i="1"/>
  <c r="T3309" i="1"/>
  <c r="U3309" i="1"/>
  <c r="BD3309" i="1"/>
  <c r="CE3309" i="1"/>
  <c r="A3310" i="1"/>
  <c r="C3310" i="1"/>
  <c r="S3310" i="1"/>
  <c r="T3310" i="1"/>
  <c r="U3310" i="1"/>
  <c r="BD3310" i="1"/>
  <c r="CE3310" i="1"/>
  <c r="A3311" i="1"/>
  <c r="C3311" i="1"/>
  <c r="S3311" i="1"/>
  <c r="T3311" i="1"/>
  <c r="U3311" i="1"/>
  <c r="BD3311" i="1"/>
  <c r="CE3311" i="1"/>
  <c r="A3312" i="1"/>
  <c r="C3312" i="1"/>
  <c r="S3312" i="1"/>
  <c r="T3312" i="1"/>
  <c r="U3312" i="1"/>
  <c r="BD3312" i="1"/>
  <c r="CE3312" i="1"/>
  <c r="A3313" i="1"/>
  <c r="C3313" i="1"/>
  <c r="S3313" i="1"/>
  <c r="T3313" i="1"/>
  <c r="U3313" i="1"/>
  <c r="BD3313" i="1"/>
  <c r="CE3313" i="1"/>
  <c r="A3314" i="1"/>
  <c r="C3314" i="1"/>
  <c r="S3314" i="1"/>
  <c r="T3314" i="1"/>
  <c r="U3314" i="1"/>
  <c r="BD3314" i="1"/>
  <c r="CE3314" i="1"/>
  <c r="A3315" i="1"/>
  <c r="C3315" i="1"/>
  <c r="S3315" i="1"/>
  <c r="T3315" i="1"/>
  <c r="U3315" i="1"/>
  <c r="BD3315" i="1"/>
  <c r="CE3315" i="1"/>
  <c r="A3316" i="1"/>
  <c r="C3316" i="1"/>
  <c r="S3316" i="1"/>
  <c r="T3316" i="1"/>
  <c r="U3316" i="1"/>
  <c r="BD3316" i="1"/>
  <c r="CE3316" i="1"/>
  <c r="A3317" i="1"/>
  <c r="C3317" i="1"/>
  <c r="S3317" i="1"/>
  <c r="T3317" i="1"/>
  <c r="U3317" i="1"/>
  <c r="BD3317" i="1"/>
  <c r="CE3317" i="1"/>
  <c r="A3318" i="1"/>
  <c r="C3318" i="1"/>
  <c r="S3318" i="1"/>
  <c r="T3318" i="1"/>
  <c r="U3318" i="1"/>
  <c r="BD3318" i="1"/>
  <c r="CE3318" i="1"/>
  <c r="A3319" i="1"/>
  <c r="C3319" i="1"/>
  <c r="S3319" i="1"/>
  <c r="T3319" i="1"/>
  <c r="U3319" i="1"/>
  <c r="BD3319" i="1"/>
  <c r="CE3319" i="1"/>
  <c r="A3320" i="1"/>
  <c r="C3320" i="1"/>
  <c r="S3320" i="1"/>
  <c r="T3320" i="1"/>
  <c r="U3320" i="1"/>
  <c r="BD3320" i="1"/>
  <c r="CE3320" i="1"/>
  <c r="A3321" i="1"/>
  <c r="C3321" i="1"/>
  <c r="S3321" i="1"/>
  <c r="T3321" i="1"/>
  <c r="U3321" i="1"/>
  <c r="BD3321" i="1"/>
  <c r="CE3321" i="1"/>
  <c r="A3322" i="1"/>
  <c r="C3322" i="1"/>
  <c r="S3322" i="1"/>
  <c r="T3322" i="1"/>
  <c r="U3322" i="1"/>
  <c r="BD3322" i="1"/>
  <c r="CE3322" i="1"/>
  <c r="A3323" i="1"/>
  <c r="C3323" i="1"/>
  <c r="S3323" i="1"/>
  <c r="T3323" i="1"/>
  <c r="U3323" i="1"/>
  <c r="BD3323" i="1"/>
  <c r="CE3323" i="1"/>
  <c r="A3324" i="1"/>
  <c r="C3324" i="1"/>
  <c r="S3324" i="1"/>
  <c r="T3324" i="1"/>
  <c r="U3324" i="1"/>
  <c r="BD3324" i="1"/>
  <c r="CE3324" i="1"/>
  <c r="A3325" i="1"/>
  <c r="C3325" i="1"/>
  <c r="S3325" i="1"/>
  <c r="T3325" i="1"/>
  <c r="U3325" i="1"/>
  <c r="BD3325" i="1"/>
  <c r="CE3325" i="1"/>
  <c r="A3326" i="1"/>
  <c r="C3326" i="1"/>
  <c r="S3326" i="1"/>
  <c r="T3326" i="1"/>
  <c r="U3326" i="1"/>
  <c r="BD3326" i="1"/>
  <c r="CE3326" i="1"/>
  <c r="A3327" i="1"/>
  <c r="C3327" i="1"/>
  <c r="S3327" i="1"/>
  <c r="T3327" i="1"/>
  <c r="U3327" i="1"/>
  <c r="BD3327" i="1"/>
  <c r="CE3327" i="1"/>
  <c r="A3328" i="1"/>
  <c r="C3328" i="1"/>
  <c r="S3328" i="1"/>
  <c r="T3328" i="1"/>
  <c r="U3328" i="1"/>
  <c r="BD3328" i="1"/>
  <c r="CE3328" i="1"/>
  <c r="A3329" i="1"/>
  <c r="C3329" i="1"/>
  <c r="S3329" i="1"/>
  <c r="T3329" i="1"/>
  <c r="U3329" i="1"/>
  <c r="BD3329" i="1"/>
  <c r="CE3329" i="1"/>
  <c r="A3330" i="1"/>
  <c r="C3330" i="1"/>
  <c r="S3330" i="1"/>
  <c r="T3330" i="1"/>
  <c r="U3330" i="1"/>
  <c r="BD3330" i="1"/>
  <c r="CE3330" i="1"/>
  <c r="A3331" i="1"/>
  <c r="C3331" i="1"/>
  <c r="S3331" i="1"/>
  <c r="T3331" i="1"/>
  <c r="U3331" i="1"/>
  <c r="BD3331" i="1"/>
  <c r="CE3331" i="1"/>
  <c r="A3332" i="1"/>
  <c r="C3332" i="1"/>
  <c r="S3332" i="1"/>
  <c r="T3332" i="1"/>
  <c r="U3332" i="1"/>
  <c r="BD3332" i="1"/>
  <c r="CE3332" i="1"/>
  <c r="A3333" i="1"/>
  <c r="C3333" i="1"/>
  <c r="S3333" i="1"/>
  <c r="T3333" i="1"/>
  <c r="U3333" i="1"/>
  <c r="BD3333" i="1"/>
  <c r="CE3333" i="1"/>
  <c r="A3334" i="1"/>
  <c r="C3334" i="1"/>
  <c r="S3334" i="1"/>
  <c r="T3334" i="1"/>
  <c r="U3334" i="1"/>
  <c r="BD3334" i="1"/>
  <c r="CE3334" i="1"/>
  <c r="A3335" i="1"/>
  <c r="C3335" i="1"/>
  <c r="S3335" i="1"/>
  <c r="T3335" i="1"/>
  <c r="U3335" i="1"/>
  <c r="BD3335" i="1"/>
  <c r="CE3335" i="1"/>
  <c r="A3336" i="1"/>
  <c r="C3336" i="1"/>
  <c r="S3336" i="1"/>
  <c r="T3336" i="1"/>
  <c r="U3336" i="1"/>
  <c r="BD3336" i="1"/>
  <c r="CE3336" i="1"/>
  <c r="A3337" i="1"/>
  <c r="C3337" i="1"/>
  <c r="S3337" i="1"/>
  <c r="T3337" i="1"/>
  <c r="U3337" i="1"/>
  <c r="BD3337" i="1"/>
  <c r="CE3337" i="1"/>
  <c r="A3338" i="1"/>
  <c r="C3338" i="1"/>
  <c r="S3338" i="1"/>
  <c r="T3338" i="1"/>
  <c r="U3338" i="1"/>
  <c r="BD3338" i="1"/>
  <c r="CE3338" i="1"/>
  <c r="A3339" i="1"/>
  <c r="C3339" i="1"/>
  <c r="S3339" i="1"/>
  <c r="T3339" i="1"/>
  <c r="U3339" i="1"/>
  <c r="BD3339" i="1"/>
  <c r="CE3339" i="1"/>
  <c r="A3340" i="1"/>
  <c r="C3340" i="1"/>
  <c r="S3340" i="1"/>
  <c r="T3340" i="1"/>
  <c r="U3340" i="1"/>
  <c r="BD3340" i="1"/>
  <c r="CE3340" i="1"/>
  <c r="A3341" i="1"/>
  <c r="C3341" i="1"/>
  <c r="S3341" i="1"/>
  <c r="T3341" i="1"/>
  <c r="U3341" i="1"/>
  <c r="BD3341" i="1"/>
  <c r="CE3341" i="1"/>
  <c r="A3342" i="1"/>
  <c r="C3342" i="1"/>
  <c r="S3342" i="1"/>
  <c r="T3342" i="1"/>
  <c r="U3342" i="1"/>
  <c r="BD3342" i="1"/>
  <c r="CE3342" i="1"/>
  <c r="A3343" i="1"/>
  <c r="C3343" i="1"/>
  <c r="S3343" i="1"/>
  <c r="T3343" i="1"/>
  <c r="U3343" i="1"/>
  <c r="BD3343" i="1"/>
  <c r="CE3343" i="1"/>
  <c r="A3344" i="1"/>
  <c r="C3344" i="1"/>
  <c r="S3344" i="1"/>
  <c r="T3344" i="1"/>
  <c r="U3344" i="1"/>
  <c r="BD3344" i="1"/>
  <c r="CE3344" i="1"/>
  <c r="A3345" i="1"/>
  <c r="C3345" i="1"/>
  <c r="S3345" i="1"/>
  <c r="T3345" i="1"/>
  <c r="U3345" i="1"/>
  <c r="BD3345" i="1"/>
  <c r="CE3345" i="1"/>
  <c r="A3346" i="1"/>
  <c r="C3346" i="1"/>
  <c r="S3346" i="1"/>
  <c r="T3346" i="1"/>
  <c r="U3346" i="1"/>
  <c r="BD3346" i="1"/>
  <c r="CE3346" i="1"/>
  <c r="A3347" i="1"/>
  <c r="C3347" i="1"/>
  <c r="S3347" i="1"/>
  <c r="T3347" i="1"/>
  <c r="U3347" i="1"/>
  <c r="BD3347" i="1"/>
  <c r="CE3347" i="1"/>
  <c r="A3348" i="1"/>
  <c r="C3348" i="1"/>
  <c r="S3348" i="1"/>
  <c r="T3348" i="1"/>
  <c r="U3348" i="1"/>
  <c r="BD3348" i="1"/>
  <c r="CE3348" i="1"/>
  <c r="A3349" i="1"/>
  <c r="C3349" i="1"/>
  <c r="S3349" i="1"/>
  <c r="T3349" i="1"/>
  <c r="U3349" i="1"/>
  <c r="BD3349" i="1"/>
  <c r="CE3349" i="1"/>
  <c r="A3350" i="1"/>
  <c r="C3350" i="1"/>
  <c r="S3350" i="1"/>
  <c r="T3350" i="1"/>
  <c r="U3350" i="1"/>
  <c r="BD3350" i="1"/>
  <c r="CE3350" i="1"/>
  <c r="A3351" i="1"/>
  <c r="C3351" i="1"/>
  <c r="S3351" i="1"/>
  <c r="T3351" i="1"/>
  <c r="U3351" i="1"/>
  <c r="BD3351" i="1"/>
  <c r="CE3351" i="1"/>
  <c r="A3352" i="1"/>
  <c r="C3352" i="1"/>
  <c r="S3352" i="1"/>
  <c r="T3352" i="1"/>
  <c r="U3352" i="1"/>
  <c r="BD3352" i="1"/>
  <c r="CE3352" i="1"/>
  <c r="A3353" i="1"/>
  <c r="C3353" i="1"/>
  <c r="S3353" i="1"/>
  <c r="T3353" i="1"/>
  <c r="U3353" i="1"/>
  <c r="BD3353" i="1"/>
  <c r="CE3353" i="1"/>
  <c r="A3354" i="1"/>
  <c r="C3354" i="1"/>
  <c r="S3354" i="1"/>
  <c r="T3354" i="1"/>
  <c r="U3354" i="1"/>
  <c r="BD3354" i="1"/>
  <c r="CE3354" i="1"/>
  <c r="A3355" i="1"/>
  <c r="C3355" i="1"/>
  <c r="S3355" i="1"/>
  <c r="T3355" i="1"/>
  <c r="U3355" i="1"/>
  <c r="BD3355" i="1"/>
  <c r="CE3355" i="1"/>
  <c r="A3356" i="1"/>
  <c r="C3356" i="1"/>
  <c r="S3356" i="1"/>
  <c r="T3356" i="1"/>
  <c r="U3356" i="1"/>
  <c r="BD3356" i="1"/>
  <c r="CE3356" i="1"/>
  <c r="A3357" i="1"/>
  <c r="C3357" i="1"/>
  <c r="S3357" i="1"/>
  <c r="T3357" i="1"/>
  <c r="U3357" i="1"/>
  <c r="BD3357" i="1"/>
  <c r="CE3357" i="1"/>
  <c r="A3358" i="1"/>
  <c r="C3358" i="1"/>
  <c r="S3358" i="1"/>
  <c r="T3358" i="1"/>
  <c r="U3358" i="1"/>
  <c r="BD3358" i="1"/>
  <c r="CE3358" i="1"/>
  <c r="A3359" i="1"/>
  <c r="C3359" i="1"/>
  <c r="S3359" i="1"/>
  <c r="T3359" i="1"/>
  <c r="U3359" i="1"/>
  <c r="BD3359" i="1"/>
  <c r="CE3359" i="1"/>
  <c r="A3360" i="1"/>
  <c r="C3360" i="1"/>
  <c r="S3360" i="1"/>
  <c r="T3360" i="1"/>
  <c r="U3360" i="1"/>
  <c r="BD3360" i="1"/>
  <c r="CE3360" i="1"/>
  <c r="A3361" i="1"/>
  <c r="C3361" i="1"/>
  <c r="S3361" i="1"/>
  <c r="T3361" i="1"/>
  <c r="U3361" i="1"/>
  <c r="BD3361" i="1"/>
  <c r="CE3361" i="1"/>
  <c r="A3362" i="1"/>
  <c r="C3362" i="1"/>
  <c r="S3362" i="1"/>
  <c r="T3362" i="1"/>
  <c r="U3362" i="1"/>
  <c r="BD3362" i="1"/>
  <c r="CE3362" i="1"/>
  <c r="A3363" i="1"/>
  <c r="C3363" i="1"/>
  <c r="S3363" i="1"/>
  <c r="T3363" i="1"/>
  <c r="U3363" i="1"/>
  <c r="BD3363" i="1"/>
  <c r="CE3363" i="1"/>
  <c r="A3364" i="1"/>
  <c r="C3364" i="1"/>
  <c r="S3364" i="1"/>
  <c r="T3364" i="1"/>
  <c r="U3364" i="1"/>
  <c r="BD3364" i="1"/>
  <c r="CE3364" i="1"/>
  <c r="A3365" i="1"/>
  <c r="C3365" i="1"/>
  <c r="S3365" i="1"/>
  <c r="T3365" i="1"/>
  <c r="U3365" i="1"/>
  <c r="BD3365" i="1"/>
  <c r="CE3365" i="1"/>
  <c r="A3366" i="1"/>
  <c r="C3366" i="1"/>
  <c r="S3366" i="1"/>
  <c r="T3366" i="1"/>
  <c r="U3366" i="1"/>
  <c r="BD3366" i="1"/>
  <c r="CE3366" i="1"/>
  <c r="A3367" i="1"/>
  <c r="C3367" i="1"/>
  <c r="S3367" i="1"/>
  <c r="T3367" i="1"/>
  <c r="U3367" i="1"/>
  <c r="BD3367" i="1"/>
  <c r="CE3367" i="1"/>
  <c r="A3368" i="1"/>
  <c r="C3368" i="1"/>
  <c r="S3368" i="1"/>
  <c r="T3368" i="1"/>
  <c r="U3368" i="1"/>
  <c r="BD3368" i="1"/>
  <c r="CE3368" i="1"/>
  <c r="A3369" i="1"/>
  <c r="C3369" i="1"/>
  <c r="S3369" i="1"/>
  <c r="T3369" i="1"/>
  <c r="U3369" i="1"/>
  <c r="BD3369" i="1"/>
  <c r="CE3369" i="1"/>
  <c r="A3370" i="1"/>
  <c r="C3370" i="1"/>
  <c r="S3370" i="1"/>
  <c r="T3370" i="1"/>
  <c r="U3370" i="1"/>
  <c r="BD3370" i="1"/>
  <c r="CE3370" i="1"/>
  <c r="A3371" i="1"/>
  <c r="C3371" i="1"/>
  <c r="S3371" i="1"/>
  <c r="T3371" i="1"/>
  <c r="U3371" i="1"/>
  <c r="BD3371" i="1"/>
  <c r="CE3371" i="1"/>
  <c r="A3372" i="1"/>
  <c r="C3372" i="1"/>
  <c r="S3372" i="1"/>
  <c r="T3372" i="1"/>
  <c r="U3372" i="1"/>
  <c r="BD3372" i="1"/>
  <c r="CE3372" i="1"/>
  <c r="A3373" i="1"/>
  <c r="C3373" i="1"/>
  <c r="S3373" i="1"/>
  <c r="T3373" i="1"/>
  <c r="U3373" i="1"/>
  <c r="BD3373" i="1"/>
  <c r="CE3373" i="1"/>
  <c r="A3374" i="1"/>
  <c r="C3374" i="1"/>
  <c r="S3374" i="1"/>
  <c r="T3374" i="1"/>
  <c r="U3374" i="1"/>
  <c r="BD3374" i="1"/>
  <c r="CE3374" i="1"/>
  <c r="A3375" i="1"/>
  <c r="C3375" i="1"/>
  <c r="S3375" i="1"/>
  <c r="T3375" i="1"/>
  <c r="U3375" i="1"/>
  <c r="BD3375" i="1"/>
  <c r="CE3375" i="1"/>
  <c r="A3376" i="1"/>
  <c r="C3376" i="1"/>
  <c r="S3376" i="1"/>
  <c r="T3376" i="1"/>
  <c r="U3376" i="1"/>
  <c r="BD3376" i="1"/>
  <c r="CE3376" i="1"/>
  <c r="A3377" i="1"/>
  <c r="C3377" i="1"/>
  <c r="S3377" i="1"/>
  <c r="T3377" i="1"/>
  <c r="U3377" i="1"/>
  <c r="BD3377" i="1"/>
  <c r="CE3377" i="1"/>
  <c r="A3378" i="1"/>
  <c r="C3378" i="1"/>
  <c r="S3378" i="1"/>
  <c r="T3378" i="1"/>
  <c r="U3378" i="1"/>
  <c r="BD3378" i="1"/>
  <c r="CE3378" i="1"/>
  <c r="A3379" i="1"/>
  <c r="C3379" i="1"/>
  <c r="S3379" i="1"/>
  <c r="T3379" i="1"/>
  <c r="U3379" i="1"/>
  <c r="BD3379" i="1"/>
  <c r="CE3379" i="1"/>
  <c r="A3380" i="1"/>
  <c r="C3380" i="1"/>
  <c r="S3380" i="1"/>
  <c r="T3380" i="1"/>
  <c r="U3380" i="1"/>
  <c r="BD3380" i="1"/>
  <c r="CE3380" i="1"/>
  <c r="A3381" i="1"/>
  <c r="C3381" i="1"/>
  <c r="S3381" i="1"/>
  <c r="T3381" i="1"/>
  <c r="U3381" i="1"/>
  <c r="BD3381" i="1"/>
  <c r="CE3381" i="1"/>
  <c r="A3382" i="1"/>
  <c r="C3382" i="1"/>
  <c r="S3382" i="1"/>
  <c r="T3382" i="1"/>
  <c r="U3382" i="1"/>
  <c r="BD3382" i="1"/>
  <c r="CE3382" i="1"/>
  <c r="A3383" i="1"/>
  <c r="C3383" i="1"/>
  <c r="S3383" i="1"/>
  <c r="T3383" i="1"/>
  <c r="U3383" i="1"/>
  <c r="BD3383" i="1"/>
  <c r="CE3383" i="1"/>
  <c r="A3384" i="1"/>
  <c r="C3384" i="1"/>
  <c r="S3384" i="1"/>
  <c r="T3384" i="1"/>
  <c r="U3384" i="1"/>
  <c r="BD3384" i="1"/>
  <c r="CE3384" i="1"/>
  <c r="A3385" i="1"/>
  <c r="C3385" i="1"/>
  <c r="S3385" i="1"/>
  <c r="T3385" i="1"/>
  <c r="U3385" i="1"/>
  <c r="BD3385" i="1"/>
  <c r="CE3385" i="1"/>
  <c r="A3386" i="1"/>
  <c r="C3386" i="1"/>
  <c r="S3386" i="1"/>
  <c r="T3386" i="1"/>
  <c r="U3386" i="1"/>
  <c r="BD3386" i="1"/>
  <c r="CE3386" i="1"/>
  <c r="A3387" i="1"/>
  <c r="C3387" i="1"/>
  <c r="S3387" i="1"/>
  <c r="T3387" i="1"/>
  <c r="U3387" i="1"/>
  <c r="BD3387" i="1"/>
  <c r="CE3387" i="1"/>
  <c r="A3388" i="1"/>
  <c r="C3388" i="1"/>
  <c r="S3388" i="1"/>
  <c r="T3388" i="1"/>
  <c r="U3388" i="1"/>
  <c r="BD3388" i="1"/>
  <c r="CE3388" i="1"/>
  <c r="A3389" i="1"/>
  <c r="C3389" i="1"/>
  <c r="S3389" i="1"/>
  <c r="T3389" i="1"/>
  <c r="U3389" i="1"/>
  <c r="BD3389" i="1"/>
  <c r="CE3389" i="1"/>
  <c r="A3390" i="1"/>
  <c r="C3390" i="1"/>
  <c r="S3390" i="1"/>
  <c r="T3390" i="1"/>
  <c r="U3390" i="1"/>
  <c r="BD3390" i="1"/>
  <c r="CE3390" i="1"/>
  <c r="A3391" i="1"/>
  <c r="C3391" i="1"/>
  <c r="S3391" i="1"/>
  <c r="T3391" i="1"/>
  <c r="U3391" i="1"/>
  <c r="BD3391" i="1"/>
  <c r="CE3391" i="1"/>
  <c r="A3392" i="1"/>
  <c r="C3392" i="1"/>
  <c r="S3392" i="1"/>
  <c r="T3392" i="1"/>
  <c r="U3392" i="1"/>
  <c r="BD3392" i="1"/>
  <c r="CE3392" i="1"/>
  <c r="A3393" i="1"/>
  <c r="C3393" i="1"/>
  <c r="S3393" i="1"/>
  <c r="T3393" i="1"/>
  <c r="U3393" i="1"/>
  <c r="BD3393" i="1"/>
  <c r="CE3393" i="1"/>
  <c r="A3394" i="1"/>
  <c r="C3394" i="1"/>
  <c r="S3394" i="1"/>
  <c r="T3394" i="1"/>
  <c r="U3394" i="1"/>
  <c r="BD3394" i="1"/>
  <c r="CE3394" i="1"/>
  <c r="A3395" i="1"/>
  <c r="C3395" i="1"/>
  <c r="S3395" i="1"/>
  <c r="T3395" i="1"/>
  <c r="U3395" i="1"/>
  <c r="BD3395" i="1"/>
  <c r="CE3395" i="1"/>
  <c r="A3396" i="1"/>
  <c r="C3396" i="1"/>
  <c r="S3396" i="1"/>
  <c r="T3396" i="1"/>
  <c r="U3396" i="1"/>
  <c r="BD3396" i="1"/>
  <c r="CE3396" i="1"/>
  <c r="A3397" i="1"/>
  <c r="C3397" i="1"/>
  <c r="S3397" i="1"/>
  <c r="T3397" i="1"/>
  <c r="U3397" i="1"/>
  <c r="BD3397" i="1"/>
  <c r="CE3397" i="1"/>
  <c r="A3398" i="1"/>
  <c r="C3398" i="1"/>
  <c r="S3398" i="1"/>
  <c r="T3398" i="1"/>
  <c r="U3398" i="1"/>
  <c r="BD3398" i="1"/>
  <c r="CE3398" i="1"/>
  <c r="A3399" i="1"/>
  <c r="C3399" i="1"/>
  <c r="S3399" i="1"/>
  <c r="T3399" i="1"/>
  <c r="U3399" i="1"/>
  <c r="BD3399" i="1"/>
  <c r="CE3399" i="1"/>
  <c r="A3400" i="1"/>
  <c r="C3400" i="1"/>
  <c r="S3400" i="1"/>
  <c r="T3400" i="1"/>
  <c r="U3400" i="1"/>
  <c r="BD3400" i="1"/>
  <c r="CE3400" i="1"/>
  <c r="A3401" i="1"/>
  <c r="C3401" i="1"/>
  <c r="S3401" i="1"/>
  <c r="T3401" i="1"/>
  <c r="U3401" i="1"/>
  <c r="BD3401" i="1"/>
  <c r="CE3401" i="1"/>
  <c r="A3402" i="1"/>
  <c r="C3402" i="1"/>
  <c r="S3402" i="1"/>
  <c r="T3402" i="1"/>
  <c r="U3402" i="1"/>
  <c r="BD3402" i="1"/>
  <c r="CE3402" i="1"/>
  <c r="A3403" i="1"/>
  <c r="C3403" i="1"/>
  <c r="S3403" i="1"/>
  <c r="T3403" i="1"/>
  <c r="U3403" i="1"/>
  <c r="BD3403" i="1"/>
  <c r="CE3403" i="1"/>
  <c r="A3404" i="1"/>
  <c r="C3404" i="1"/>
  <c r="S3404" i="1"/>
  <c r="T3404" i="1"/>
  <c r="U3404" i="1"/>
  <c r="BD3404" i="1"/>
  <c r="CE3404" i="1"/>
  <c r="A3405" i="1"/>
  <c r="C3405" i="1"/>
  <c r="S3405" i="1"/>
  <c r="T3405" i="1"/>
  <c r="U3405" i="1"/>
  <c r="BD3405" i="1"/>
  <c r="CE3405" i="1"/>
  <c r="A3406" i="1"/>
  <c r="C3406" i="1"/>
  <c r="S3406" i="1"/>
  <c r="T3406" i="1"/>
  <c r="U3406" i="1"/>
  <c r="BD3406" i="1"/>
  <c r="CE3406" i="1"/>
  <c r="A3407" i="1"/>
  <c r="C3407" i="1"/>
  <c r="S3407" i="1"/>
  <c r="T3407" i="1"/>
  <c r="U3407" i="1"/>
  <c r="BD3407" i="1"/>
  <c r="CE3407" i="1"/>
  <c r="A3408" i="1"/>
  <c r="C3408" i="1"/>
  <c r="S3408" i="1"/>
  <c r="T3408" i="1"/>
  <c r="U3408" i="1"/>
  <c r="BD3408" i="1"/>
  <c r="CE3408" i="1"/>
  <c r="A3409" i="1"/>
  <c r="C3409" i="1"/>
  <c r="S3409" i="1"/>
  <c r="T3409" i="1"/>
  <c r="U3409" i="1"/>
  <c r="BD3409" i="1"/>
  <c r="CE3409" i="1"/>
  <c r="A3410" i="1"/>
  <c r="C3410" i="1"/>
  <c r="S3410" i="1"/>
  <c r="T3410" i="1"/>
  <c r="U3410" i="1"/>
  <c r="BD3410" i="1"/>
  <c r="CE3410" i="1"/>
  <c r="A3411" i="1"/>
  <c r="C3411" i="1"/>
  <c r="S3411" i="1"/>
  <c r="T3411" i="1"/>
  <c r="U3411" i="1"/>
  <c r="BD3411" i="1"/>
  <c r="CE3411" i="1"/>
  <c r="A3412" i="1"/>
  <c r="C3412" i="1"/>
  <c r="S3412" i="1"/>
  <c r="T3412" i="1"/>
  <c r="U3412" i="1"/>
  <c r="BD3412" i="1"/>
  <c r="CE3412" i="1"/>
  <c r="A3413" i="1"/>
  <c r="C3413" i="1"/>
  <c r="S3413" i="1"/>
  <c r="T3413" i="1"/>
  <c r="U3413" i="1"/>
  <c r="BD3413" i="1"/>
  <c r="CE3413" i="1"/>
  <c r="A3414" i="1"/>
  <c r="C3414" i="1"/>
  <c r="S3414" i="1"/>
  <c r="T3414" i="1"/>
  <c r="U3414" i="1"/>
  <c r="BD3414" i="1"/>
  <c r="CE3414" i="1"/>
  <c r="A3415" i="1"/>
  <c r="C3415" i="1"/>
  <c r="S3415" i="1"/>
  <c r="T3415" i="1"/>
  <c r="U3415" i="1"/>
  <c r="BD3415" i="1"/>
  <c r="CE3415" i="1"/>
  <c r="A3416" i="1"/>
  <c r="C3416" i="1"/>
  <c r="S3416" i="1"/>
  <c r="T3416" i="1"/>
  <c r="U3416" i="1"/>
  <c r="BD3416" i="1"/>
  <c r="CE3416" i="1"/>
  <c r="A3417" i="1"/>
  <c r="C3417" i="1"/>
  <c r="S3417" i="1"/>
  <c r="T3417" i="1"/>
  <c r="U3417" i="1"/>
  <c r="BD3417" i="1"/>
  <c r="CE3417" i="1"/>
  <c r="A3418" i="1"/>
  <c r="C3418" i="1"/>
  <c r="S3418" i="1"/>
  <c r="T3418" i="1"/>
  <c r="U3418" i="1"/>
  <c r="BD3418" i="1"/>
  <c r="CE3418" i="1"/>
  <c r="A3419" i="1"/>
  <c r="C3419" i="1"/>
  <c r="S3419" i="1"/>
  <c r="T3419" i="1"/>
  <c r="U3419" i="1"/>
  <c r="BD3419" i="1"/>
  <c r="CE3419" i="1"/>
  <c r="A3420" i="1"/>
  <c r="C3420" i="1"/>
  <c r="S3420" i="1"/>
  <c r="T3420" i="1"/>
  <c r="U3420" i="1"/>
  <c r="BD3420" i="1"/>
  <c r="CE3420" i="1"/>
  <c r="A3421" i="1"/>
  <c r="C3421" i="1"/>
  <c r="S3421" i="1"/>
  <c r="T3421" i="1"/>
  <c r="U3421" i="1"/>
  <c r="BD3421" i="1"/>
  <c r="CE3421" i="1"/>
  <c r="A3422" i="1"/>
  <c r="C3422" i="1"/>
  <c r="S3422" i="1"/>
  <c r="T3422" i="1"/>
  <c r="U3422" i="1"/>
  <c r="BD3422" i="1"/>
  <c r="CE3422" i="1"/>
  <c r="A3423" i="1"/>
  <c r="C3423" i="1"/>
  <c r="S3423" i="1"/>
  <c r="T3423" i="1"/>
  <c r="U3423" i="1"/>
  <c r="BD3423" i="1"/>
  <c r="CE3423" i="1"/>
  <c r="A3424" i="1"/>
  <c r="C3424" i="1"/>
  <c r="S3424" i="1"/>
  <c r="T3424" i="1"/>
  <c r="U3424" i="1"/>
  <c r="BD3424" i="1"/>
  <c r="CE3424" i="1"/>
  <c r="A3425" i="1"/>
  <c r="C3425" i="1"/>
  <c r="S3425" i="1"/>
  <c r="T3425" i="1"/>
  <c r="U3425" i="1"/>
  <c r="BD3425" i="1"/>
  <c r="CE3425" i="1"/>
  <c r="A3426" i="1"/>
  <c r="C3426" i="1"/>
  <c r="S3426" i="1"/>
  <c r="T3426" i="1"/>
  <c r="U3426" i="1"/>
  <c r="BD3426" i="1"/>
  <c r="CE3426" i="1"/>
  <c r="A3427" i="1"/>
  <c r="C3427" i="1"/>
  <c r="S3427" i="1"/>
  <c r="T3427" i="1"/>
  <c r="U3427" i="1"/>
  <c r="BD3427" i="1"/>
  <c r="CE3427" i="1"/>
  <c r="A3428" i="1"/>
  <c r="C3428" i="1"/>
  <c r="S3428" i="1"/>
  <c r="T3428" i="1"/>
  <c r="U3428" i="1"/>
  <c r="BD3428" i="1"/>
  <c r="CE3428" i="1"/>
  <c r="A3429" i="1"/>
  <c r="C3429" i="1"/>
  <c r="S3429" i="1"/>
  <c r="T3429" i="1"/>
  <c r="U3429" i="1"/>
  <c r="BD3429" i="1"/>
  <c r="CE3429" i="1"/>
  <c r="A3430" i="1"/>
  <c r="C3430" i="1"/>
  <c r="S3430" i="1"/>
  <c r="T3430" i="1"/>
  <c r="U3430" i="1"/>
  <c r="BD3430" i="1"/>
  <c r="CE3430" i="1"/>
  <c r="A3431" i="1"/>
  <c r="C3431" i="1"/>
  <c r="S3431" i="1"/>
  <c r="T3431" i="1"/>
  <c r="U3431" i="1"/>
  <c r="BD3431" i="1"/>
  <c r="CE3431" i="1"/>
  <c r="A3432" i="1"/>
  <c r="C3432" i="1"/>
  <c r="S3432" i="1"/>
  <c r="T3432" i="1"/>
  <c r="U3432" i="1"/>
  <c r="BD3432" i="1"/>
  <c r="CE3432" i="1"/>
  <c r="A3433" i="1"/>
  <c r="C3433" i="1"/>
  <c r="S3433" i="1"/>
  <c r="T3433" i="1"/>
  <c r="U3433" i="1"/>
  <c r="BD3433" i="1"/>
  <c r="CE3433" i="1"/>
  <c r="A3434" i="1"/>
  <c r="C3434" i="1"/>
  <c r="S3434" i="1"/>
  <c r="T3434" i="1"/>
  <c r="U3434" i="1"/>
  <c r="BD3434" i="1"/>
  <c r="CE3434" i="1"/>
  <c r="A3435" i="1"/>
  <c r="C3435" i="1"/>
  <c r="S3435" i="1"/>
  <c r="T3435" i="1"/>
  <c r="U3435" i="1"/>
  <c r="BD3435" i="1"/>
  <c r="CE3435" i="1"/>
  <c r="A3436" i="1"/>
  <c r="C3436" i="1"/>
  <c r="S3436" i="1"/>
  <c r="T3436" i="1"/>
  <c r="U3436" i="1"/>
  <c r="BD3436" i="1"/>
  <c r="CE3436" i="1"/>
  <c r="A3437" i="1"/>
  <c r="C3437" i="1"/>
  <c r="S3437" i="1"/>
  <c r="T3437" i="1"/>
  <c r="U3437" i="1"/>
  <c r="BD3437" i="1"/>
  <c r="CE3437" i="1"/>
  <c r="A3438" i="1"/>
  <c r="C3438" i="1"/>
  <c r="S3438" i="1"/>
  <c r="T3438" i="1"/>
  <c r="U3438" i="1"/>
  <c r="BD3438" i="1"/>
  <c r="CE3438" i="1"/>
  <c r="A3439" i="1"/>
  <c r="C3439" i="1"/>
  <c r="S3439" i="1"/>
  <c r="T3439" i="1"/>
  <c r="U3439" i="1"/>
  <c r="BD3439" i="1"/>
  <c r="CE3439" i="1"/>
  <c r="A3440" i="1"/>
  <c r="C3440" i="1"/>
  <c r="S3440" i="1"/>
  <c r="T3440" i="1"/>
  <c r="U3440" i="1"/>
  <c r="BD3440" i="1"/>
  <c r="CE3440" i="1"/>
  <c r="A3441" i="1"/>
  <c r="C3441" i="1"/>
  <c r="S3441" i="1"/>
  <c r="T3441" i="1"/>
  <c r="U3441" i="1"/>
  <c r="BD3441" i="1"/>
  <c r="CE3441" i="1"/>
  <c r="A3442" i="1"/>
  <c r="C3442" i="1"/>
  <c r="S3442" i="1"/>
  <c r="T3442" i="1"/>
  <c r="U3442" i="1"/>
  <c r="BD3442" i="1"/>
  <c r="CE3442" i="1"/>
  <c r="A3443" i="1"/>
  <c r="C3443" i="1"/>
  <c r="S3443" i="1"/>
  <c r="T3443" i="1"/>
  <c r="U3443" i="1"/>
  <c r="BD3443" i="1"/>
  <c r="CE3443" i="1"/>
  <c r="A3444" i="1"/>
  <c r="C3444" i="1"/>
  <c r="S3444" i="1"/>
  <c r="T3444" i="1"/>
  <c r="U3444" i="1"/>
  <c r="BD3444" i="1"/>
  <c r="CE3444" i="1"/>
  <c r="A3445" i="1"/>
  <c r="C3445" i="1"/>
  <c r="S3445" i="1"/>
  <c r="T3445" i="1"/>
  <c r="U3445" i="1"/>
  <c r="BD3445" i="1"/>
  <c r="CE3445" i="1"/>
  <c r="A3446" i="1"/>
  <c r="C3446" i="1"/>
  <c r="S3446" i="1"/>
  <c r="T3446" i="1"/>
  <c r="U3446" i="1"/>
  <c r="BD3446" i="1"/>
  <c r="CE3446" i="1"/>
  <c r="A3447" i="1"/>
  <c r="C3447" i="1"/>
  <c r="S3447" i="1"/>
  <c r="T3447" i="1"/>
  <c r="U3447" i="1"/>
  <c r="BD3447" i="1"/>
  <c r="CE3447" i="1"/>
  <c r="A3448" i="1"/>
  <c r="C3448" i="1"/>
  <c r="S3448" i="1"/>
  <c r="T3448" i="1"/>
  <c r="U3448" i="1"/>
  <c r="BD3448" i="1"/>
  <c r="CE3448" i="1"/>
  <c r="A3449" i="1"/>
  <c r="C3449" i="1"/>
  <c r="S3449" i="1"/>
  <c r="T3449" i="1"/>
  <c r="U3449" i="1"/>
  <c r="BD3449" i="1"/>
  <c r="CE3449" i="1"/>
  <c r="A3450" i="1"/>
  <c r="C3450" i="1"/>
  <c r="S3450" i="1"/>
  <c r="T3450" i="1"/>
  <c r="U3450" i="1"/>
  <c r="BD3450" i="1"/>
  <c r="CE3450" i="1"/>
  <c r="A3451" i="1"/>
  <c r="C3451" i="1"/>
  <c r="S3451" i="1"/>
  <c r="T3451" i="1"/>
  <c r="U3451" i="1"/>
  <c r="BD3451" i="1"/>
  <c r="CE3451" i="1"/>
  <c r="A3452" i="1"/>
  <c r="C3452" i="1"/>
  <c r="S3452" i="1"/>
  <c r="T3452" i="1"/>
  <c r="U3452" i="1"/>
  <c r="BD3452" i="1"/>
  <c r="CE3452" i="1"/>
  <c r="A3453" i="1"/>
  <c r="C3453" i="1"/>
  <c r="S3453" i="1"/>
  <c r="T3453" i="1"/>
  <c r="U3453" i="1"/>
  <c r="BD3453" i="1"/>
  <c r="CE3453" i="1"/>
  <c r="A3454" i="1"/>
  <c r="C3454" i="1"/>
  <c r="S3454" i="1"/>
  <c r="T3454" i="1"/>
  <c r="U3454" i="1"/>
  <c r="BD3454" i="1"/>
  <c r="CE3454" i="1"/>
  <c r="A3455" i="1"/>
  <c r="C3455" i="1"/>
  <c r="S3455" i="1"/>
  <c r="T3455" i="1"/>
  <c r="U3455" i="1"/>
  <c r="BD3455" i="1"/>
  <c r="CE3455" i="1"/>
  <c r="A3456" i="1"/>
  <c r="C3456" i="1"/>
  <c r="S3456" i="1"/>
  <c r="T3456" i="1"/>
  <c r="U3456" i="1"/>
  <c r="BD3456" i="1"/>
  <c r="CE3456" i="1"/>
  <c r="A3457" i="1"/>
  <c r="C3457" i="1"/>
  <c r="S3457" i="1"/>
  <c r="T3457" i="1"/>
  <c r="U3457" i="1"/>
  <c r="BD3457" i="1"/>
  <c r="CE3457" i="1"/>
  <c r="A3458" i="1"/>
  <c r="C3458" i="1"/>
  <c r="S3458" i="1"/>
  <c r="T3458" i="1"/>
  <c r="U3458" i="1"/>
  <c r="BD3458" i="1"/>
  <c r="CE3458" i="1"/>
  <c r="A3459" i="1"/>
  <c r="C3459" i="1"/>
  <c r="S3459" i="1"/>
  <c r="T3459" i="1"/>
  <c r="U3459" i="1"/>
  <c r="BD3459" i="1"/>
  <c r="CE3459" i="1"/>
  <c r="A3460" i="1"/>
  <c r="C3460" i="1"/>
  <c r="S3460" i="1"/>
  <c r="T3460" i="1"/>
  <c r="U3460" i="1"/>
  <c r="BD3460" i="1"/>
  <c r="CE3460" i="1"/>
  <c r="A3461" i="1"/>
  <c r="C3461" i="1"/>
  <c r="S3461" i="1"/>
  <c r="T3461" i="1"/>
  <c r="U3461" i="1"/>
  <c r="BD3461" i="1"/>
  <c r="CE3461" i="1"/>
  <c r="A3462" i="1"/>
  <c r="C3462" i="1"/>
  <c r="S3462" i="1"/>
  <c r="T3462" i="1"/>
  <c r="U3462" i="1"/>
  <c r="BD3462" i="1"/>
  <c r="CE3462" i="1"/>
  <c r="A3463" i="1"/>
  <c r="C3463" i="1"/>
  <c r="S3463" i="1"/>
  <c r="T3463" i="1"/>
  <c r="U3463" i="1"/>
  <c r="BD3463" i="1"/>
  <c r="CE3463" i="1"/>
  <c r="A3464" i="1"/>
  <c r="C3464" i="1"/>
  <c r="S3464" i="1"/>
  <c r="T3464" i="1"/>
  <c r="U3464" i="1"/>
  <c r="BD3464" i="1"/>
  <c r="CE3464" i="1"/>
  <c r="A3465" i="1"/>
  <c r="C3465" i="1"/>
  <c r="S3465" i="1"/>
  <c r="T3465" i="1"/>
  <c r="U3465" i="1"/>
  <c r="BD3465" i="1"/>
  <c r="CE3465" i="1"/>
  <c r="A3466" i="1"/>
  <c r="C3466" i="1"/>
  <c r="S3466" i="1"/>
  <c r="T3466" i="1"/>
  <c r="U3466" i="1"/>
  <c r="BD3466" i="1"/>
  <c r="CE3466" i="1"/>
  <c r="A3467" i="1"/>
  <c r="C3467" i="1"/>
  <c r="S3467" i="1"/>
  <c r="T3467" i="1"/>
  <c r="U3467" i="1"/>
  <c r="BD3467" i="1"/>
  <c r="CE3467" i="1"/>
  <c r="A3468" i="1"/>
  <c r="C3468" i="1"/>
  <c r="S3468" i="1"/>
  <c r="T3468" i="1"/>
  <c r="U3468" i="1"/>
  <c r="BD3468" i="1"/>
  <c r="CE3468" i="1"/>
  <c r="A3469" i="1"/>
  <c r="C3469" i="1"/>
  <c r="S3469" i="1"/>
  <c r="T3469" i="1"/>
  <c r="U3469" i="1"/>
  <c r="BD3469" i="1"/>
  <c r="CE3469" i="1"/>
  <c r="A3470" i="1"/>
  <c r="C3470" i="1"/>
  <c r="S3470" i="1"/>
  <c r="T3470" i="1"/>
  <c r="U3470" i="1"/>
  <c r="BD3470" i="1"/>
  <c r="CE3470" i="1"/>
  <c r="A3471" i="1"/>
  <c r="C3471" i="1"/>
  <c r="S3471" i="1"/>
  <c r="T3471" i="1"/>
  <c r="U3471" i="1"/>
  <c r="BD3471" i="1"/>
  <c r="CE3471" i="1"/>
  <c r="A3472" i="1"/>
  <c r="C3472" i="1"/>
  <c r="S3472" i="1"/>
  <c r="T3472" i="1"/>
  <c r="U3472" i="1"/>
  <c r="BD3472" i="1"/>
  <c r="CE3472" i="1"/>
  <c r="A3473" i="1"/>
  <c r="C3473" i="1"/>
  <c r="S3473" i="1"/>
  <c r="T3473" i="1"/>
  <c r="U3473" i="1"/>
  <c r="BD3473" i="1"/>
  <c r="CE3473" i="1"/>
  <c r="A3474" i="1"/>
  <c r="C3474" i="1"/>
  <c r="S3474" i="1"/>
  <c r="T3474" i="1"/>
  <c r="U3474" i="1"/>
  <c r="BD3474" i="1"/>
  <c r="CE3474" i="1"/>
  <c r="A3475" i="1"/>
  <c r="C3475" i="1"/>
  <c r="S3475" i="1"/>
  <c r="T3475" i="1"/>
  <c r="U3475" i="1"/>
  <c r="BD3475" i="1"/>
  <c r="CE3475" i="1"/>
  <c r="A3476" i="1"/>
  <c r="C3476" i="1"/>
  <c r="S3476" i="1"/>
  <c r="T3476" i="1"/>
  <c r="U3476" i="1"/>
  <c r="BD3476" i="1"/>
  <c r="CE3476" i="1"/>
  <c r="A3477" i="1"/>
  <c r="C3477" i="1"/>
  <c r="S3477" i="1"/>
  <c r="T3477" i="1"/>
  <c r="U3477" i="1"/>
  <c r="BD3477" i="1"/>
  <c r="CE3477" i="1"/>
  <c r="A3478" i="1"/>
  <c r="C3478" i="1"/>
  <c r="S3478" i="1"/>
  <c r="T3478" i="1"/>
  <c r="U3478" i="1"/>
  <c r="BD3478" i="1"/>
  <c r="CE3478" i="1"/>
  <c r="A3479" i="1"/>
  <c r="C3479" i="1"/>
  <c r="S3479" i="1"/>
  <c r="T3479" i="1"/>
  <c r="U3479" i="1"/>
  <c r="BD3479" i="1"/>
  <c r="CE3479" i="1"/>
  <c r="A3480" i="1"/>
  <c r="C3480" i="1"/>
  <c r="S3480" i="1"/>
  <c r="T3480" i="1"/>
  <c r="U3480" i="1"/>
  <c r="BD3480" i="1"/>
  <c r="CE3480" i="1"/>
  <c r="A3481" i="1"/>
  <c r="C3481" i="1"/>
  <c r="S3481" i="1"/>
  <c r="T3481" i="1"/>
  <c r="U3481" i="1"/>
  <c r="BD3481" i="1"/>
  <c r="CE3481" i="1"/>
  <c r="A3482" i="1"/>
  <c r="C3482" i="1"/>
  <c r="S3482" i="1"/>
  <c r="T3482" i="1"/>
  <c r="U3482" i="1"/>
  <c r="BD3482" i="1"/>
  <c r="CE3482" i="1"/>
  <c r="A3483" i="1"/>
  <c r="C3483" i="1"/>
  <c r="S3483" i="1"/>
  <c r="T3483" i="1"/>
  <c r="U3483" i="1"/>
  <c r="BD3483" i="1"/>
  <c r="CE3483" i="1"/>
  <c r="A3484" i="1"/>
  <c r="C3484" i="1"/>
  <c r="S3484" i="1"/>
  <c r="T3484" i="1"/>
  <c r="U3484" i="1"/>
  <c r="BD3484" i="1"/>
  <c r="CE3484" i="1"/>
  <c r="A3485" i="1"/>
  <c r="C3485" i="1"/>
  <c r="S3485" i="1"/>
  <c r="T3485" i="1"/>
  <c r="U3485" i="1"/>
  <c r="BD3485" i="1"/>
  <c r="CE3485" i="1"/>
  <c r="A3486" i="1"/>
  <c r="C3486" i="1"/>
  <c r="S3486" i="1"/>
  <c r="T3486" i="1"/>
  <c r="U3486" i="1"/>
  <c r="BD3486" i="1"/>
  <c r="CE3486" i="1"/>
  <c r="A3487" i="1"/>
  <c r="C3487" i="1"/>
  <c r="S3487" i="1"/>
  <c r="T3487" i="1"/>
  <c r="U3487" i="1"/>
  <c r="BD3487" i="1"/>
  <c r="CE3487" i="1"/>
  <c r="A3488" i="1"/>
  <c r="C3488" i="1"/>
  <c r="S3488" i="1"/>
  <c r="T3488" i="1"/>
  <c r="U3488" i="1"/>
  <c r="BD3488" i="1"/>
  <c r="CE3488" i="1"/>
  <c r="A3489" i="1"/>
  <c r="C3489" i="1"/>
  <c r="S3489" i="1"/>
  <c r="T3489" i="1"/>
  <c r="U3489" i="1"/>
  <c r="BD3489" i="1"/>
  <c r="CE3489" i="1"/>
  <c r="A3490" i="1"/>
  <c r="C3490" i="1"/>
  <c r="S3490" i="1"/>
  <c r="T3490" i="1"/>
  <c r="U3490" i="1"/>
  <c r="BD3490" i="1"/>
  <c r="CE3490" i="1"/>
  <c r="A3491" i="1"/>
  <c r="C3491" i="1"/>
  <c r="S3491" i="1"/>
  <c r="T3491" i="1"/>
  <c r="U3491" i="1"/>
  <c r="BD3491" i="1"/>
  <c r="CE3491" i="1"/>
  <c r="A3492" i="1"/>
  <c r="C3492" i="1"/>
  <c r="S3492" i="1"/>
  <c r="T3492" i="1"/>
  <c r="U3492" i="1"/>
  <c r="BD3492" i="1"/>
  <c r="CE3492" i="1"/>
  <c r="A3493" i="1"/>
  <c r="C3493" i="1"/>
  <c r="S3493" i="1"/>
  <c r="T3493" i="1"/>
  <c r="U3493" i="1"/>
  <c r="BD3493" i="1"/>
  <c r="CE3493" i="1"/>
  <c r="A3494" i="1"/>
  <c r="C3494" i="1"/>
  <c r="S3494" i="1"/>
  <c r="T3494" i="1"/>
  <c r="U3494" i="1"/>
  <c r="BD3494" i="1"/>
  <c r="CE3494" i="1"/>
  <c r="A3495" i="1"/>
  <c r="C3495" i="1"/>
  <c r="S3495" i="1"/>
  <c r="T3495" i="1"/>
  <c r="U3495" i="1"/>
  <c r="BD3495" i="1"/>
  <c r="CE3495" i="1"/>
  <c r="A3496" i="1"/>
  <c r="C3496" i="1"/>
  <c r="S3496" i="1"/>
  <c r="T3496" i="1"/>
  <c r="U3496" i="1"/>
  <c r="BD3496" i="1"/>
  <c r="CE3496" i="1"/>
  <c r="A3497" i="1"/>
  <c r="C3497" i="1"/>
  <c r="S3497" i="1"/>
  <c r="T3497" i="1"/>
  <c r="U3497" i="1"/>
  <c r="BD3497" i="1"/>
  <c r="CE3497" i="1"/>
  <c r="A3498" i="1"/>
  <c r="C3498" i="1"/>
  <c r="S3498" i="1"/>
  <c r="T3498" i="1"/>
  <c r="U3498" i="1"/>
  <c r="BD3498" i="1"/>
  <c r="CE3498" i="1"/>
  <c r="A3499" i="1"/>
  <c r="C3499" i="1"/>
  <c r="S3499" i="1"/>
  <c r="T3499" i="1"/>
  <c r="U3499" i="1"/>
  <c r="BD3499" i="1"/>
  <c r="CE3499" i="1"/>
  <c r="A3500" i="1"/>
  <c r="C3500" i="1"/>
  <c r="S3500" i="1"/>
  <c r="T3500" i="1"/>
  <c r="U3500" i="1"/>
  <c r="BD3500" i="1"/>
  <c r="CE3500" i="1"/>
  <c r="A3501" i="1"/>
  <c r="C3501" i="1"/>
  <c r="S3501" i="1"/>
  <c r="T3501" i="1"/>
  <c r="U3501" i="1"/>
  <c r="BD3501" i="1"/>
  <c r="CE3501" i="1"/>
  <c r="A3502" i="1"/>
  <c r="C3502" i="1"/>
  <c r="S3502" i="1"/>
  <c r="T3502" i="1"/>
  <c r="U3502" i="1"/>
  <c r="BD3502" i="1"/>
  <c r="CE3502" i="1"/>
  <c r="A3503" i="1"/>
  <c r="C3503" i="1"/>
  <c r="S3503" i="1"/>
  <c r="T3503" i="1"/>
  <c r="U3503" i="1"/>
  <c r="BD3503" i="1"/>
  <c r="CE3503" i="1"/>
  <c r="A3504" i="1"/>
  <c r="C3504" i="1"/>
  <c r="S3504" i="1"/>
  <c r="T3504" i="1"/>
  <c r="U3504" i="1"/>
  <c r="BD3504" i="1"/>
  <c r="CE3504" i="1"/>
  <c r="A3505" i="1"/>
  <c r="C3505" i="1"/>
  <c r="S3505" i="1"/>
  <c r="T3505" i="1"/>
  <c r="U3505" i="1"/>
  <c r="BD3505" i="1"/>
  <c r="CE3505" i="1"/>
  <c r="A3506" i="1"/>
  <c r="C3506" i="1"/>
  <c r="S3506" i="1"/>
  <c r="T3506" i="1"/>
  <c r="U3506" i="1"/>
  <c r="BD3506" i="1"/>
  <c r="CE3506" i="1"/>
  <c r="A3507" i="1"/>
  <c r="C3507" i="1"/>
  <c r="S3507" i="1"/>
  <c r="T3507" i="1"/>
  <c r="U3507" i="1"/>
  <c r="BD3507" i="1"/>
  <c r="CE3507" i="1"/>
  <c r="A3508" i="1"/>
  <c r="C3508" i="1"/>
  <c r="S3508" i="1"/>
  <c r="T3508" i="1"/>
  <c r="U3508" i="1"/>
  <c r="BD3508" i="1"/>
  <c r="CE3508" i="1"/>
  <c r="A3509" i="1"/>
  <c r="C3509" i="1"/>
  <c r="S3509" i="1"/>
  <c r="T3509" i="1"/>
  <c r="U3509" i="1"/>
  <c r="BD3509" i="1"/>
  <c r="CE3509" i="1"/>
  <c r="A3510" i="1"/>
  <c r="C3510" i="1"/>
  <c r="S3510" i="1"/>
  <c r="T3510" i="1"/>
  <c r="U3510" i="1"/>
  <c r="BD3510" i="1"/>
  <c r="CE3510" i="1"/>
  <c r="A3511" i="1"/>
  <c r="C3511" i="1"/>
  <c r="S3511" i="1"/>
  <c r="T3511" i="1"/>
  <c r="U3511" i="1"/>
  <c r="BD3511" i="1"/>
  <c r="CE3511" i="1"/>
  <c r="A3512" i="1"/>
  <c r="C3512" i="1"/>
  <c r="S3512" i="1"/>
  <c r="T3512" i="1"/>
  <c r="U3512" i="1"/>
  <c r="BD3512" i="1"/>
  <c r="CE3512" i="1"/>
  <c r="A3513" i="1"/>
  <c r="C3513" i="1"/>
  <c r="S3513" i="1"/>
  <c r="T3513" i="1"/>
  <c r="U3513" i="1"/>
  <c r="BD3513" i="1"/>
  <c r="CE3513" i="1"/>
  <c r="A3514" i="1"/>
  <c r="C3514" i="1"/>
  <c r="S3514" i="1"/>
  <c r="T3514" i="1"/>
  <c r="U3514" i="1"/>
  <c r="BD3514" i="1"/>
  <c r="CE3514" i="1"/>
  <c r="A3515" i="1"/>
  <c r="C3515" i="1"/>
  <c r="S3515" i="1"/>
  <c r="T3515" i="1"/>
  <c r="U3515" i="1"/>
  <c r="BD3515" i="1"/>
  <c r="CE3515" i="1"/>
  <c r="A3516" i="1"/>
  <c r="C3516" i="1"/>
  <c r="S3516" i="1"/>
  <c r="T3516" i="1"/>
  <c r="U3516" i="1"/>
  <c r="BD3516" i="1"/>
  <c r="CE3516" i="1"/>
  <c r="A3517" i="1"/>
  <c r="C3517" i="1"/>
  <c r="S3517" i="1"/>
  <c r="T3517" i="1"/>
  <c r="U3517" i="1"/>
  <c r="BD3517" i="1"/>
  <c r="CE3517" i="1"/>
  <c r="A3518" i="1"/>
  <c r="C3518" i="1"/>
  <c r="S3518" i="1"/>
  <c r="T3518" i="1"/>
  <c r="U3518" i="1"/>
  <c r="BD3518" i="1"/>
  <c r="CE3518" i="1"/>
  <c r="A3519" i="1"/>
  <c r="C3519" i="1"/>
  <c r="S3519" i="1"/>
  <c r="T3519" i="1"/>
  <c r="U3519" i="1"/>
  <c r="BD3519" i="1"/>
  <c r="CE3519" i="1"/>
  <c r="A3520" i="1"/>
  <c r="C3520" i="1"/>
  <c r="S3520" i="1"/>
  <c r="T3520" i="1"/>
  <c r="U3520" i="1"/>
  <c r="BD3520" i="1"/>
  <c r="CE3520" i="1"/>
  <c r="A3521" i="1"/>
  <c r="C3521" i="1"/>
  <c r="S3521" i="1"/>
  <c r="T3521" i="1"/>
  <c r="U3521" i="1"/>
  <c r="BD3521" i="1"/>
  <c r="CE3521" i="1"/>
  <c r="A3522" i="1"/>
  <c r="C3522" i="1"/>
  <c r="S3522" i="1"/>
  <c r="T3522" i="1"/>
  <c r="U3522" i="1"/>
  <c r="BD3522" i="1"/>
  <c r="CE3522" i="1"/>
  <c r="A3523" i="1"/>
  <c r="C3523" i="1"/>
  <c r="S3523" i="1"/>
  <c r="T3523" i="1"/>
  <c r="U3523" i="1"/>
  <c r="BD3523" i="1"/>
  <c r="CE3523" i="1"/>
  <c r="A3524" i="1"/>
  <c r="C3524" i="1"/>
  <c r="S3524" i="1"/>
  <c r="T3524" i="1"/>
  <c r="U3524" i="1"/>
  <c r="BD3524" i="1"/>
  <c r="CE3524" i="1"/>
  <c r="A3525" i="1"/>
  <c r="C3525" i="1"/>
  <c r="S3525" i="1"/>
  <c r="T3525" i="1"/>
  <c r="U3525" i="1"/>
  <c r="BD3525" i="1"/>
  <c r="CE3525" i="1"/>
  <c r="A3526" i="1"/>
  <c r="C3526" i="1"/>
  <c r="S3526" i="1"/>
  <c r="T3526" i="1"/>
  <c r="U3526" i="1"/>
  <c r="BD3526" i="1"/>
  <c r="CE3526" i="1"/>
  <c r="A3527" i="1"/>
  <c r="C3527" i="1"/>
  <c r="S3527" i="1"/>
  <c r="T3527" i="1"/>
  <c r="U3527" i="1"/>
  <c r="BD3527" i="1"/>
  <c r="CE3527" i="1"/>
  <c r="A3528" i="1"/>
  <c r="C3528" i="1"/>
  <c r="S3528" i="1"/>
  <c r="T3528" i="1"/>
  <c r="U3528" i="1"/>
  <c r="BD3528" i="1"/>
  <c r="CE3528" i="1"/>
  <c r="A3529" i="1"/>
  <c r="C3529" i="1"/>
  <c r="S3529" i="1"/>
  <c r="T3529" i="1"/>
  <c r="U3529" i="1"/>
  <c r="BD3529" i="1"/>
  <c r="CE3529" i="1"/>
  <c r="A3530" i="1"/>
  <c r="C3530" i="1"/>
  <c r="S3530" i="1"/>
  <c r="T3530" i="1"/>
  <c r="U3530" i="1"/>
  <c r="BD3530" i="1"/>
  <c r="CE3530" i="1"/>
  <c r="A3531" i="1"/>
  <c r="C3531" i="1"/>
  <c r="S3531" i="1"/>
  <c r="T3531" i="1"/>
  <c r="U3531" i="1"/>
  <c r="BD3531" i="1"/>
  <c r="CE3531" i="1"/>
  <c r="A3532" i="1"/>
  <c r="C3532" i="1"/>
  <c r="S3532" i="1"/>
  <c r="T3532" i="1"/>
  <c r="U3532" i="1"/>
  <c r="BD3532" i="1"/>
  <c r="CE3532" i="1"/>
  <c r="A3533" i="1"/>
  <c r="C3533" i="1"/>
  <c r="S3533" i="1"/>
  <c r="T3533" i="1"/>
  <c r="U3533" i="1"/>
  <c r="BD3533" i="1"/>
  <c r="CE3533" i="1"/>
  <c r="A3534" i="1"/>
  <c r="C3534" i="1"/>
  <c r="S3534" i="1"/>
  <c r="T3534" i="1"/>
  <c r="U3534" i="1"/>
  <c r="BD3534" i="1"/>
  <c r="CE3534" i="1"/>
  <c r="A3535" i="1"/>
  <c r="C3535" i="1"/>
  <c r="S3535" i="1"/>
  <c r="T3535" i="1"/>
  <c r="U3535" i="1"/>
  <c r="BD3535" i="1"/>
  <c r="CE3535" i="1"/>
  <c r="A3536" i="1"/>
  <c r="C3536" i="1"/>
  <c r="S3536" i="1"/>
  <c r="T3536" i="1"/>
  <c r="U3536" i="1"/>
  <c r="BD3536" i="1"/>
  <c r="CE3536" i="1"/>
  <c r="A3537" i="1"/>
  <c r="C3537" i="1"/>
  <c r="S3537" i="1"/>
  <c r="T3537" i="1"/>
  <c r="U3537" i="1"/>
  <c r="BD3537" i="1"/>
  <c r="CE3537" i="1"/>
  <c r="A3538" i="1"/>
  <c r="C3538" i="1"/>
  <c r="S3538" i="1"/>
  <c r="T3538" i="1"/>
  <c r="U3538" i="1"/>
  <c r="BD3538" i="1"/>
  <c r="CE3538" i="1"/>
  <c r="A3539" i="1"/>
  <c r="C3539" i="1"/>
  <c r="S3539" i="1"/>
  <c r="T3539" i="1"/>
  <c r="U3539" i="1"/>
  <c r="BD3539" i="1"/>
  <c r="CE3539" i="1"/>
  <c r="A3540" i="1"/>
  <c r="C3540" i="1"/>
  <c r="S3540" i="1"/>
  <c r="T3540" i="1"/>
  <c r="U3540" i="1"/>
  <c r="BD3540" i="1"/>
  <c r="CE3540" i="1"/>
  <c r="A3541" i="1"/>
  <c r="C3541" i="1"/>
  <c r="S3541" i="1"/>
  <c r="T3541" i="1"/>
  <c r="U3541" i="1"/>
  <c r="BD3541" i="1"/>
  <c r="CE3541" i="1"/>
  <c r="A3542" i="1"/>
  <c r="C3542" i="1"/>
  <c r="S3542" i="1"/>
  <c r="T3542" i="1"/>
  <c r="U3542" i="1"/>
  <c r="BD3542" i="1"/>
  <c r="CE3542" i="1"/>
  <c r="A3543" i="1"/>
  <c r="C3543" i="1"/>
  <c r="S3543" i="1"/>
  <c r="T3543" i="1"/>
  <c r="U3543" i="1"/>
  <c r="BD3543" i="1"/>
  <c r="CE3543" i="1"/>
  <c r="A3544" i="1"/>
  <c r="C3544" i="1"/>
  <c r="S3544" i="1"/>
  <c r="T3544" i="1"/>
  <c r="U3544" i="1"/>
  <c r="BD3544" i="1"/>
  <c r="CE3544" i="1"/>
  <c r="A3545" i="1"/>
  <c r="C3545" i="1"/>
  <c r="S3545" i="1"/>
  <c r="T3545" i="1"/>
  <c r="U3545" i="1"/>
  <c r="BD3545" i="1"/>
  <c r="CE3545" i="1"/>
  <c r="A3546" i="1"/>
  <c r="C3546" i="1"/>
  <c r="S3546" i="1"/>
  <c r="T3546" i="1"/>
  <c r="U3546" i="1"/>
  <c r="BD3546" i="1"/>
  <c r="CE3546" i="1"/>
  <c r="A3547" i="1"/>
  <c r="C3547" i="1"/>
  <c r="S3547" i="1"/>
  <c r="T3547" i="1"/>
  <c r="U3547" i="1"/>
  <c r="BD3547" i="1"/>
  <c r="CE3547" i="1"/>
  <c r="A3548" i="1"/>
  <c r="C3548" i="1"/>
  <c r="S3548" i="1"/>
  <c r="T3548" i="1"/>
  <c r="U3548" i="1"/>
  <c r="BD3548" i="1"/>
  <c r="CE3548" i="1"/>
  <c r="A3549" i="1"/>
  <c r="C3549" i="1"/>
  <c r="S3549" i="1"/>
  <c r="T3549" i="1"/>
  <c r="U3549" i="1"/>
  <c r="BD3549" i="1"/>
  <c r="CE3549" i="1"/>
  <c r="A3550" i="1"/>
  <c r="C3550" i="1"/>
  <c r="S3550" i="1"/>
  <c r="T3550" i="1"/>
  <c r="U3550" i="1"/>
  <c r="BD3550" i="1"/>
  <c r="CE3550" i="1"/>
  <c r="A3551" i="1"/>
  <c r="C3551" i="1"/>
  <c r="S3551" i="1"/>
  <c r="T3551" i="1"/>
  <c r="U3551" i="1"/>
  <c r="BD3551" i="1"/>
  <c r="CE3551" i="1"/>
  <c r="A3552" i="1"/>
  <c r="C3552" i="1"/>
  <c r="S3552" i="1"/>
  <c r="T3552" i="1"/>
  <c r="U3552" i="1"/>
  <c r="BD3552" i="1"/>
  <c r="CE3552" i="1"/>
  <c r="A3553" i="1"/>
  <c r="C3553" i="1"/>
  <c r="S3553" i="1"/>
  <c r="T3553" i="1"/>
  <c r="U3553" i="1"/>
  <c r="BD3553" i="1"/>
  <c r="CE3553" i="1"/>
  <c r="A3554" i="1"/>
  <c r="C3554" i="1"/>
  <c r="S3554" i="1"/>
  <c r="T3554" i="1"/>
  <c r="U3554" i="1"/>
  <c r="BD3554" i="1"/>
  <c r="CE3554" i="1"/>
  <c r="A3555" i="1"/>
  <c r="C3555" i="1"/>
  <c r="S3555" i="1"/>
  <c r="T3555" i="1"/>
  <c r="U3555" i="1"/>
  <c r="BD3555" i="1"/>
  <c r="CE3555" i="1"/>
  <c r="A3556" i="1"/>
  <c r="C3556" i="1"/>
  <c r="S3556" i="1"/>
  <c r="T3556" i="1"/>
  <c r="U3556" i="1"/>
  <c r="BD3556" i="1"/>
  <c r="CE3556" i="1"/>
  <c r="A3557" i="1"/>
  <c r="C3557" i="1"/>
  <c r="S3557" i="1"/>
  <c r="T3557" i="1"/>
  <c r="U3557" i="1"/>
  <c r="BD3557" i="1"/>
  <c r="CE3557" i="1"/>
  <c r="A3558" i="1"/>
  <c r="C3558" i="1"/>
  <c r="S3558" i="1"/>
  <c r="T3558" i="1"/>
  <c r="U3558" i="1"/>
  <c r="BD3558" i="1"/>
  <c r="CE3558" i="1"/>
  <c r="A3559" i="1"/>
  <c r="C3559" i="1"/>
  <c r="S3559" i="1"/>
  <c r="T3559" i="1"/>
  <c r="U3559" i="1"/>
  <c r="BD3559" i="1"/>
  <c r="CE3559" i="1"/>
  <c r="A3560" i="1"/>
  <c r="C3560" i="1"/>
  <c r="S3560" i="1"/>
  <c r="T3560" i="1"/>
  <c r="U3560" i="1"/>
  <c r="BD3560" i="1"/>
  <c r="CE3560" i="1"/>
  <c r="A3561" i="1"/>
  <c r="C3561" i="1"/>
  <c r="S3561" i="1"/>
  <c r="T3561" i="1"/>
  <c r="U3561" i="1"/>
  <c r="BD3561" i="1"/>
  <c r="CE3561" i="1"/>
  <c r="A3562" i="1"/>
  <c r="C3562" i="1"/>
  <c r="S3562" i="1"/>
  <c r="T3562" i="1"/>
  <c r="U3562" i="1"/>
  <c r="BD3562" i="1"/>
  <c r="CE3562" i="1"/>
  <c r="A3563" i="1"/>
  <c r="C3563" i="1"/>
  <c r="S3563" i="1"/>
  <c r="T3563" i="1"/>
  <c r="U3563" i="1"/>
  <c r="BD3563" i="1"/>
  <c r="CE3563" i="1"/>
  <c r="A3564" i="1"/>
  <c r="C3564" i="1"/>
  <c r="S3564" i="1"/>
  <c r="T3564" i="1"/>
  <c r="U3564" i="1"/>
  <c r="BD3564" i="1"/>
  <c r="CE3564" i="1"/>
  <c r="A3565" i="1"/>
  <c r="C3565" i="1"/>
  <c r="S3565" i="1"/>
  <c r="T3565" i="1"/>
  <c r="U3565" i="1"/>
  <c r="BD3565" i="1"/>
  <c r="CE3565" i="1"/>
  <c r="A3566" i="1"/>
  <c r="C3566" i="1"/>
  <c r="S3566" i="1"/>
  <c r="T3566" i="1"/>
  <c r="U3566" i="1"/>
  <c r="BD3566" i="1"/>
  <c r="CE3566" i="1"/>
  <c r="A3567" i="1"/>
  <c r="C3567" i="1"/>
  <c r="S3567" i="1"/>
  <c r="T3567" i="1"/>
  <c r="U3567" i="1"/>
  <c r="BD3567" i="1"/>
  <c r="CE3567" i="1"/>
  <c r="A3568" i="1"/>
  <c r="C3568" i="1"/>
  <c r="S3568" i="1"/>
  <c r="T3568" i="1"/>
  <c r="U3568" i="1"/>
  <c r="BD3568" i="1"/>
  <c r="CE3568" i="1"/>
  <c r="A3569" i="1"/>
  <c r="C3569" i="1"/>
  <c r="S3569" i="1"/>
  <c r="T3569" i="1"/>
  <c r="U3569" i="1"/>
  <c r="BD3569" i="1"/>
  <c r="CE3569" i="1"/>
  <c r="A3570" i="1"/>
  <c r="C3570" i="1"/>
  <c r="S3570" i="1"/>
  <c r="T3570" i="1"/>
  <c r="U3570" i="1"/>
  <c r="BD3570" i="1"/>
  <c r="CE3570" i="1"/>
  <c r="A3571" i="1"/>
  <c r="C3571" i="1"/>
  <c r="S3571" i="1"/>
  <c r="T3571" i="1"/>
  <c r="U3571" i="1"/>
  <c r="BD3571" i="1"/>
  <c r="CE3571" i="1"/>
  <c r="A3572" i="1"/>
  <c r="C3572" i="1"/>
  <c r="S3572" i="1"/>
  <c r="T3572" i="1"/>
  <c r="U3572" i="1"/>
  <c r="BD3572" i="1"/>
  <c r="CE3572" i="1"/>
  <c r="A3573" i="1"/>
  <c r="C3573" i="1"/>
  <c r="S3573" i="1"/>
  <c r="T3573" i="1"/>
  <c r="U3573" i="1"/>
  <c r="BD3573" i="1"/>
  <c r="CE3573" i="1"/>
  <c r="A3574" i="1"/>
  <c r="C3574" i="1"/>
  <c r="S3574" i="1"/>
  <c r="T3574" i="1"/>
  <c r="U3574" i="1"/>
  <c r="BD3574" i="1"/>
  <c r="CE3574" i="1"/>
  <c r="A3575" i="1"/>
  <c r="C3575" i="1"/>
  <c r="S3575" i="1"/>
  <c r="T3575" i="1"/>
  <c r="U3575" i="1"/>
  <c r="BD3575" i="1"/>
  <c r="CE3575" i="1"/>
  <c r="A3576" i="1"/>
  <c r="C3576" i="1"/>
  <c r="S3576" i="1"/>
  <c r="T3576" i="1"/>
  <c r="U3576" i="1"/>
  <c r="BD3576" i="1"/>
  <c r="CE3576" i="1"/>
  <c r="A3577" i="1"/>
  <c r="C3577" i="1"/>
  <c r="S3577" i="1"/>
  <c r="T3577" i="1"/>
  <c r="U3577" i="1"/>
  <c r="BD3577" i="1"/>
  <c r="CE3577" i="1"/>
  <c r="A3578" i="1"/>
  <c r="C3578" i="1"/>
  <c r="S3578" i="1"/>
  <c r="T3578" i="1"/>
  <c r="U3578" i="1"/>
  <c r="BD3578" i="1"/>
  <c r="CE3578" i="1"/>
  <c r="A3579" i="1"/>
  <c r="C3579" i="1"/>
  <c r="S3579" i="1"/>
  <c r="T3579" i="1"/>
  <c r="U3579" i="1"/>
  <c r="BD3579" i="1"/>
  <c r="CE3579" i="1"/>
  <c r="A3580" i="1"/>
  <c r="C3580" i="1"/>
  <c r="S3580" i="1"/>
  <c r="T3580" i="1"/>
  <c r="U3580" i="1"/>
  <c r="BD3580" i="1"/>
  <c r="CE3580" i="1"/>
  <c r="A3581" i="1"/>
  <c r="C3581" i="1"/>
  <c r="S3581" i="1"/>
  <c r="T3581" i="1"/>
  <c r="U3581" i="1"/>
  <c r="BD3581" i="1"/>
  <c r="CE3581" i="1"/>
  <c r="A3582" i="1"/>
  <c r="C3582" i="1"/>
  <c r="S3582" i="1"/>
  <c r="T3582" i="1"/>
  <c r="U3582" i="1"/>
  <c r="BD3582" i="1"/>
  <c r="CE3582" i="1"/>
  <c r="A3583" i="1"/>
  <c r="C3583" i="1"/>
  <c r="S3583" i="1"/>
  <c r="T3583" i="1"/>
  <c r="U3583" i="1"/>
  <c r="BD3583" i="1"/>
  <c r="CE3583" i="1"/>
  <c r="A3584" i="1"/>
  <c r="C3584" i="1"/>
  <c r="S3584" i="1"/>
  <c r="T3584" i="1"/>
  <c r="U3584" i="1"/>
  <c r="BD3584" i="1"/>
  <c r="CE3584" i="1"/>
  <c r="A3585" i="1"/>
  <c r="C3585" i="1"/>
  <c r="S3585" i="1"/>
  <c r="T3585" i="1"/>
  <c r="U3585" i="1"/>
  <c r="BD3585" i="1"/>
  <c r="CE3585" i="1"/>
  <c r="A3586" i="1"/>
  <c r="C3586" i="1"/>
  <c r="S3586" i="1"/>
  <c r="T3586" i="1"/>
  <c r="U3586" i="1"/>
  <c r="BD3586" i="1"/>
  <c r="CE3586" i="1"/>
  <c r="A3587" i="1"/>
  <c r="C3587" i="1"/>
  <c r="S3587" i="1"/>
  <c r="T3587" i="1"/>
  <c r="U3587" i="1"/>
  <c r="BD3587" i="1"/>
  <c r="CE3587" i="1"/>
  <c r="A3588" i="1"/>
  <c r="C3588" i="1"/>
  <c r="S3588" i="1"/>
  <c r="T3588" i="1"/>
  <c r="U3588" i="1"/>
  <c r="BD3588" i="1"/>
  <c r="CE3588" i="1"/>
  <c r="A3589" i="1"/>
  <c r="C3589" i="1"/>
  <c r="S3589" i="1"/>
  <c r="T3589" i="1"/>
  <c r="U3589" i="1"/>
  <c r="BD3589" i="1"/>
  <c r="CE3589" i="1"/>
  <c r="A3590" i="1"/>
  <c r="C3590" i="1"/>
  <c r="S3590" i="1"/>
  <c r="T3590" i="1"/>
  <c r="U3590" i="1"/>
  <c r="BD3590" i="1"/>
  <c r="CE3590" i="1"/>
  <c r="A3591" i="1"/>
  <c r="C3591" i="1"/>
  <c r="S3591" i="1"/>
  <c r="T3591" i="1"/>
  <c r="U3591" i="1"/>
  <c r="BD3591" i="1"/>
  <c r="CE3591" i="1"/>
  <c r="A3592" i="1"/>
  <c r="C3592" i="1"/>
  <c r="S3592" i="1"/>
  <c r="T3592" i="1"/>
  <c r="U3592" i="1"/>
  <c r="BD3592" i="1"/>
  <c r="CE3592" i="1"/>
  <c r="A3593" i="1"/>
  <c r="C3593" i="1"/>
  <c r="S3593" i="1"/>
  <c r="T3593" i="1"/>
  <c r="U3593" i="1"/>
  <c r="BD3593" i="1"/>
  <c r="CE3593" i="1"/>
  <c r="A3594" i="1"/>
  <c r="C3594" i="1"/>
  <c r="S3594" i="1"/>
  <c r="T3594" i="1"/>
  <c r="U3594" i="1"/>
  <c r="BD3594" i="1"/>
  <c r="CE3594" i="1"/>
  <c r="A3595" i="1"/>
  <c r="C3595" i="1"/>
  <c r="S3595" i="1"/>
  <c r="T3595" i="1"/>
  <c r="U3595" i="1"/>
  <c r="BD3595" i="1"/>
  <c r="CE3595" i="1"/>
  <c r="A3596" i="1"/>
  <c r="C3596" i="1"/>
  <c r="S3596" i="1"/>
  <c r="T3596" i="1"/>
  <c r="U3596" i="1"/>
  <c r="BD3596" i="1"/>
  <c r="CE3596" i="1"/>
  <c r="A3597" i="1"/>
  <c r="C3597" i="1"/>
  <c r="S3597" i="1"/>
  <c r="T3597" i="1"/>
  <c r="U3597" i="1"/>
  <c r="BD3597" i="1"/>
  <c r="CE3597" i="1"/>
  <c r="A3598" i="1"/>
  <c r="C3598" i="1"/>
  <c r="S3598" i="1"/>
  <c r="T3598" i="1"/>
  <c r="U3598" i="1"/>
  <c r="BD3598" i="1"/>
  <c r="CE3598" i="1"/>
  <c r="A3599" i="1"/>
  <c r="C3599" i="1"/>
  <c r="S3599" i="1"/>
  <c r="T3599" i="1"/>
  <c r="U3599" i="1"/>
  <c r="BD3599" i="1"/>
  <c r="CE3599" i="1"/>
  <c r="A3600" i="1"/>
  <c r="C3600" i="1"/>
  <c r="S3600" i="1"/>
  <c r="T3600" i="1"/>
  <c r="U3600" i="1"/>
  <c r="BD3600" i="1"/>
  <c r="CE3600" i="1"/>
  <c r="A3601" i="1"/>
  <c r="C3601" i="1"/>
  <c r="S3601" i="1"/>
  <c r="T3601" i="1"/>
  <c r="U3601" i="1"/>
  <c r="BD3601" i="1"/>
  <c r="CE3601" i="1"/>
  <c r="A3602" i="1"/>
  <c r="C3602" i="1"/>
  <c r="S3602" i="1"/>
  <c r="T3602" i="1"/>
  <c r="U3602" i="1"/>
  <c r="BD3602" i="1"/>
  <c r="CE3602" i="1"/>
  <c r="A3603" i="1"/>
  <c r="C3603" i="1"/>
  <c r="S3603" i="1"/>
  <c r="T3603" i="1"/>
  <c r="U3603" i="1"/>
  <c r="BD3603" i="1"/>
  <c r="CE3603" i="1"/>
  <c r="A3604" i="1"/>
  <c r="C3604" i="1"/>
  <c r="S3604" i="1"/>
  <c r="T3604" i="1"/>
  <c r="U3604" i="1"/>
  <c r="BD3604" i="1"/>
  <c r="CE3604" i="1"/>
  <c r="A3605" i="1"/>
  <c r="C3605" i="1"/>
  <c r="S3605" i="1"/>
  <c r="T3605" i="1"/>
  <c r="U3605" i="1"/>
  <c r="BD3605" i="1"/>
  <c r="CE3605" i="1"/>
  <c r="A3606" i="1"/>
  <c r="C3606" i="1"/>
  <c r="S3606" i="1"/>
  <c r="T3606" i="1"/>
  <c r="U3606" i="1"/>
  <c r="BD3606" i="1"/>
  <c r="CE3606" i="1"/>
  <c r="A3607" i="1"/>
  <c r="C3607" i="1"/>
  <c r="S3607" i="1"/>
  <c r="T3607" i="1"/>
  <c r="U3607" i="1"/>
  <c r="BD3607" i="1"/>
  <c r="CE3607" i="1"/>
  <c r="A3608" i="1"/>
  <c r="C3608" i="1"/>
  <c r="S3608" i="1"/>
  <c r="T3608" i="1"/>
  <c r="U3608" i="1"/>
  <c r="BD3608" i="1"/>
  <c r="CE3608" i="1"/>
  <c r="A3609" i="1"/>
  <c r="C3609" i="1"/>
  <c r="S3609" i="1"/>
  <c r="T3609" i="1"/>
  <c r="U3609" i="1"/>
  <c r="BD3609" i="1"/>
  <c r="CE3609" i="1"/>
  <c r="A3610" i="1"/>
  <c r="C3610" i="1"/>
  <c r="S3610" i="1"/>
  <c r="T3610" i="1"/>
  <c r="U3610" i="1"/>
  <c r="BD3610" i="1"/>
  <c r="CE3610" i="1"/>
  <c r="A3611" i="1"/>
  <c r="C3611" i="1"/>
  <c r="S3611" i="1"/>
  <c r="T3611" i="1"/>
  <c r="U3611" i="1"/>
  <c r="BD3611" i="1"/>
  <c r="CE3611" i="1"/>
  <c r="A3612" i="1"/>
  <c r="C3612" i="1"/>
  <c r="S3612" i="1"/>
  <c r="T3612" i="1"/>
  <c r="U3612" i="1"/>
  <c r="BD3612" i="1"/>
  <c r="CE3612" i="1"/>
  <c r="A3613" i="1"/>
  <c r="C3613" i="1"/>
  <c r="S3613" i="1"/>
  <c r="T3613" i="1"/>
  <c r="U3613" i="1"/>
  <c r="BD3613" i="1"/>
  <c r="CE3613" i="1"/>
  <c r="A3614" i="1"/>
  <c r="C3614" i="1"/>
  <c r="S3614" i="1"/>
  <c r="T3614" i="1"/>
  <c r="U3614" i="1"/>
  <c r="BD3614" i="1"/>
  <c r="CE3614" i="1"/>
  <c r="A3615" i="1"/>
  <c r="C3615" i="1"/>
  <c r="S3615" i="1"/>
  <c r="T3615" i="1"/>
  <c r="U3615" i="1"/>
  <c r="BD3615" i="1"/>
  <c r="CE3615" i="1"/>
  <c r="A3616" i="1"/>
  <c r="C3616" i="1"/>
  <c r="S3616" i="1"/>
  <c r="T3616" i="1"/>
  <c r="U3616" i="1"/>
  <c r="BD3616" i="1"/>
  <c r="CE3616" i="1"/>
  <c r="A3617" i="1"/>
  <c r="C3617" i="1"/>
  <c r="S3617" i="1"/>
  <c r="T3617" i="1"/>
  <c r="U3617" i="1"/>
  <c r="BD3617" i="1"/>
  <c r="CE3617" i="1"/>
  <c r="A3618" i="1"/>
  <c r="C3618" i="1"/>
  <c r="S3618" i="1"/>
  <c r="T3618" i="1"/>
  <c r="U3618" i="1"/>
  <c r="BD3618" i="1"/>
  <c r="CE3618" i="1"/>
  <c r="A3619" i="1"/>
  <c r="C3619" i="1"/>
  <c r="S3619" i="1"/>
  <c r="T3619" i="1"/>
  <c r="U3619" i="1"/>
  <c r="BD3619" i="1"/>
  <c r="CE3619" i="1"/>
  <c r="A3620" i="1"/>
  <c r="C3620" i="1"/>
  <c r="S3620" i="1"/>
  <c r="T3620" i="1"/>
  <c r="U3620" i="1"/>
  <c r="BD3620" i="1"/>
  <c r="CE3620" i="1"/>
  <c r="A3621" i="1"/>
  <c r="C3621" i="1"/>
  <c r="S3621" i="1"/>
  <c r="T3621" i="1"/>
  <c r="U3621" i="1"/>
  <c r="BD3621" i="1"/>
  <c r="CE3621" i="1"/>
  <c r="A3622" i="1"/>
  <c r="C3622" i="1"/>
  <c r="S3622" i="1"/>
  <c r="T3622" i="1"/>
  <c r="U3622" i="1"/>
  <c r="BD3622" i="1"/>
  <c r="CE3622" i="1"/>
  <c r="A3623" i="1"/>
  <c r="C3623" i="1"/>
  <c r="S3623" i="1"/>
  <c r="T3623" i="1"/>
  <c r="U3623" i="1"/>
  <c r="BD3623" i="1"/>
  <c r="CE3623" i="1"/>
  <c r="A3624" i="1"/>
  <c r="C3624" i="1"/>
  <c r="S3624" i="1"/>
  <c r="T3624" i="1"/>
  <c r="U3624" i="1"/>
  <c r="BD3624" i="1"/>
  <c r="CE3624" i="1"/>
  <c r="A3625" i="1"/>
  <c r="C3625" i="1"/>
  <c r="S3625" i="1"/>
  <c r="T3625" i="1"/>
  <c r="U3625" i="1"/>
  <c r="BD3625" i="1"/>
  <c r="CE3625" i="1"/>
  <c r="A3626" i="1"/>
  <c r="C3626" i="1"/>
  <c r="S3626" i="1"/>
  <c r="T3626" i="1"/>
  <c r="U3626" i="1"/>
  <c r="BD3626" i="1"/>
  <c r="CE3626" i="1"/>
  <c r="A3627" i="1"/>
  <c r="C3627" i="1"/>
  <c r="S3627" i="1"/>
  <c r="T3627" i="1"/>
  <c r="U3627" i="1"/>
  <c r="BD3627" i="1"/>
  <c r="CE3627" i="1"/>
  <c r="A3628" i="1"/>
  <c r="C3628" i="1"/>
  <c r="S3628" i="1"/>
  <c r="T3628" i="1"/>
  <c r="U3628" i="1"/>
  <c r="BD3628" i="1"/>
  <c r="CE3628" i="1"/>
  <c r="A3629" i="1"/>
  <c r="C3629" i="1"/>
  <c r="S3629" i="1"/>
  <c r="T3629" i="1"/>
  <c r="U3629" i="1"/>
  <c r="BD3629" i="1"/>
  <c r="CE3629" i="1"/>
  <c r="A3630" i="1"/>
  <c r="C3630" i="1"/>
  <c r="S3630" i="1"/>
  <c r="T3630" i="1"/>
  <c r="U3630" i="1"/>
  <c r="BD3630" i="1"/>
  <c r="CE3630" i="1"/>
  <c r="A3631" i="1"/>
  <c r="C3631" i="1"/>
  <c r="S3631" i="1"/>
  <c r="T3631" i="1"/>
  <c r="U3631" i="1"/>
  <c r="BD3631" i="1"/>
  <c r="CE3631" i="1"/>
  <c r="A3632" i="1"/>
  <c r="C3632" i="1"/>
  <c r="S3632" i="1"/>
  <c r="T3632" i="1"/>
  <c r="U3632" i="1"/>
  <c r="BD3632" i="1"/>
  <c r="CE3632" i="1"/>
  <c r="A3633" i="1"/>
  <c r="C3633" i="1"/>
  <c r="S3633" i="1"/>
  <c r="T3633" i="1"/>
  <c r="U3633" i="1"/>
  <c r="BD3633" i="1"/>
  <c r="CE3633" i="1"/>
  <c r="A3634" i="1"/>
  <c r="C3634" i="1"/>
  <c r="S3634" i="1"/>
  <c r="T3634" i="1"/>
  <c r="U3634" i="1"/>
  <c r="BD3634" i="1"/>
  <c r="CE3634" i="1"/>
  <c r="A3635" i="1"/>
  <c r="C3635" i="1"/>
  <c r="S3635" i="1"/>
  <c r="T3635" i="1"/>
  <c r="U3635" i="1"/>
  <c r="BD3635" i="1"/>
  <c r="CE3635" i="1"/>
  <c r="A3636" i="1"/>
  <c r="C3636" i="1"/>
  <c r="S3636" i="1"/>
  <c r="T3636" i="1"/>
  <c r="U3636" i="1"/>
  <c r="BD3636" i="1"/>
  <c r="CE3636" i="1"/>
  <c r="A3637" i="1"/>
  <c r="C3637" i="1"/>
  <c r="S3637" i="1"/>
  <c r="T3637" i="1"/>
  <c r="U3637" i="1"/>
  <c r="BD3637" i="1"/>
  <c r="CE3637" i="1"/>
  <c r="A3638" i="1"/>
  <c r="C3638" i="1"/>
  <c r="S3638" i="1"/>
  <c r="T3638" i="1"/>
  <c r="U3638" i="1"/>
  <c r="BD3638" i="1"/>
  <c r="CE3638" i="1"/>
  <c r="A3639" i="1"/>
  <c r="C3639" i="1"/>
  <c r="S3639" i="1"/>
  <c r="T3639" i="1"/>
  <c r="U3639" i="1"/>
  <c r="BD3639" i="1"/>
  <c r="CE3639" i="1"/>
  <c r="A3640" i="1"/>
  <c r="C3640" i="1"/>
  <c r="S3640" i="1"/>
  <c r="T3640" i="1"/>
  <c r="U3640" i="1"/>
  <c r="BD3640" i="1"/>
  <c r="CE3640" i="1"/>
  <c r="A3641" i="1"/>
  <c r="C3641" i="1"/>
  <c r="S3641" i="1"/>
  <c r="T3641" i="1"/>
  <c r="U3641" i="1"/>
  <c r="BD3641" i="1"/>
  <c r="CE3641" i="1"/>
  <c r="A3642" i="1"/>
  <c r="C3642" i="1"/>
  <c r="S3642" i="1"/>
  <c r="T3642" i="1"/>
  <c r="U3642" i="1"/>
  <c r="BD3642" i="1"/>
  <c r="CE3642" i="1"/>
  <c r="A3643" i="1"/>
  <c r="C3643" i="1"/>
  <c r="S3643" i="1"/>
  <c r="T3643" i="1"/>
  <c r="U3643" i="1"/>
  <c r="BD3643" i="1"/>
  <c r="CE3643" i="1"/>
  <c r="A3644" i="1"/>
  <c r="C3644" i="1"/>
  <c r="S3644" i="1"/>
  <c r="T3644" i="1"/>
  <c r="U3644" i="1"/>
  <c r="BD3644" i="1"/>
  <c r="CE3644" i="1"/>
  <c r="A3645" i="1"/>
  <c r="C3645" i="1"/>
  <c r="S3645" i="1"/>
  <c r="T3645" i="1"/>
  <c r="U3645" i="1"/>
  <c r="BD3645" i="1"/>
  <c r="CE3645" i="1"/>
  <c r="A3646" i="1"/>
  <c r="C3646" i="1"/>
  <c r="S3646" i="1"/>
  <c r="T3646" i="1"/>
  <c r="U3646" i="1"/>
  <c r="BD3646" i="1"/>
  <c r="CE3646" i="1"/>
  <c r="A3647" i="1"/>
  <c r="C3647" i="1"/>
  <c r="S3647" i="1"/>
  <c r="T3647" i="1"/>
  <c r="U3647" i="1"/>
  <c r="BD3647" i="1"/>
  <c r="CE3647" i="1"/>
  <c r="A3648" i="1"/>
  <c r="C3648" i="1"/>
  <c r="S3648" i="1"/>
  <c r="T3648" i="1"/>
  <c r="U3648" i="1"/>
  <c r="BD3648" i="1"/>
  <c r="CE3648" i="1"/>
  <c r="A3649" i="1"/>
  <c r="C3649" i="1"/>
  <c r="S3649" i="1"/>
  <c r="T3649" i="1"/>
  <c r="U3649" i="1"/>
  <c r="BD3649" i="1"/>
  <c r="CE3649" i="1"/>
  <c r="A3650" i="1"/>
  <c r="C3650" i="1"/>
  <c r="S3650" i="1"/>
  <c r="T3650" i="1"/>
  <c r="U3650" i="1"/>
  <c r="BD3650" i="1"/>
  <c r="CE3650" i="1"/>
  <c r="A3651" i="1"/>
  <c r="C3651" i="1"/>
  <c r="S3651" i="1"/>
  <c r="T3651" i="1"/>
  <c r="U3651" i="1"/>
  <c r="BD3651" i="1"/>
  <c r="CE3651" i="1"/>
  <c r="A3652" i="1"/>
  <c r="C3652" i="1"/>
  <c r="S3652" i="1"/>
  <c r="T3652" i="1"/>
  <c r="U3652" i="1"/>
  <c r="BD3652" i="1"/>
  <c r="CE3652" i="1"/>
  <c r="A3653" i="1"/>
  <c r="C3653" i="1"/>
  <c r="S3653" i="1"/>
  <c r="T3653" i="1"/>
  <c r="U3653" i="1"/>
  <c r="BD3653" i="1"/>
  <c r="CE3653" i="1"/>
  <c r="A3654" i="1"/>
  <c r="C3654" i="1"/>
  <c r="S3654" i="1"/>
  <c r="T3654" i="1"/>
  <c r="U3654" i="1"/>
  <c r="BD3654" i="1"/>
  <c r="CE3654" i="1"/>
  <c r="A3655" i="1"/>
  <c r="C3655" i="1"/>
  <c r="S3655" i="1"/>
  <c r="T3655" i="1"/>
  <c r="U3655" i="1"/>
  <c r="BD3655" i="1"/>
  <c r="CE3655" i="1"/>
  <c r="A3656" i="1"/>
  <c r="C3656" i="1"/>
  <c r="S3656" i="1"/>
  <c r="T3656" i="1"/>
  <c r="U3656" i="1"/>
  <c r="BD3656" i="1"/>
  <c r="CE3656" i="1"/>
  <c r="A3657" i="1"/>
  <c r="C3657" i="1"/>
  <c r="S3657" i="1"/>
  <c r="T3657" i="1"/>
  <c r="U3657" i="1"/>
  <c r="BD3657" i="1"/>
  <c r="CE3657" i="1"/>
  <c r="A3658" i="1"/>
  <c r="C3658" i="1"/>
  <c r="S3658" i="1"/>
  <c r="T3658" i="1"/>
  <c r="U3658" i="1"/>
  <c r="BD3658" i="1"/>
  <c r="CE3658" i="1"/>
  <c r="A3659" i="1"/>
  <c r="C3659" i="1"/>
  <c r="S3659" i="1"/>
  <c r="T3659" i="1"/>
  <c r="U3659" i="1"/>
  <c r="BD3659" i="1"/>
  <c r="CE3659" i="1"/>
  <c r="A3660" i="1"/>
  <c r="C3660" i="1"/>
  <c r="S3660" i="1"/>
  <c r="T3660" i="1"/>
  <c r="U3660" i="1"/>
  <c r="BD3660" i="1"/>
  <c r="CE3660" i="1"/>
  <c r="A3661" i="1"/>
  <c r="C3661" i="1"/>
  <c r="S3661" i="1"/>
  <c r="T3661" i="1"/>
  <c r="U3661" i="1"/>
  <c r="BD3661" i="1"/>
  <c r="CE3661" i="1"/>
  <c r="A3662" i="1"/>
  <c r="C3662" i="1"/>
  <c r="S3662" i="1"/>
  <c r="T3662" i="1"/>
  <c r="U3662" i="1"/>
  <c r="BD3662" i="1"/>
  <c r="CE3662" i="1"/>
  <c r="A3663" i="1"/>
  <c r="C3663" i="1"/>
  <c r="S3663" i="1"/>
  <c r="T3663" i="1"/>
  <c r="U3663" i="1"/>
  <c r="BD3663" i="1"/>
  <c r="CE3663" i="1"/>
  <c r="A3664" i="1"/>
  <c r="C3664" i="1"/>
  <c r="S3664" i="1"/>
  <c r="T3664" i="1"/>
  <c r="U3664" i="1"/>
  <c r="BD3664" i="1"/>
  <c r="CE3664" i="1"/>
  <c r="A3665" i="1"/>
  <c r="C3665" i="1"/>
  <c r="S3665" i="1"/>
  <c r="T3665" i="1"/>
  <c r="U3665" i="1"/>
  <c r="BD3665" i="1"/>
  <c r="CE3665" i="1"/>
  <c r="A3666" i="1"/>
  <c r="C3666" i="1"/>
  <c r="S3666" i="1"/>
  <c r="T3666" i="1"/>
  <c r="U3666" i="1"/>
  <c r="BD3666" i="1"/>
  <c r="CE3666" i="1"/>
  <c r="A3667" i="1"/>
  <c r="C3667" i="1"/>
  <c r="S3667" i="1"/>
  <c r="T3667" i="1"/>
  <c r="U3667" i="1"/>
  <c r="BD3667" i="1"/>
  <c r="CE3667" i="1"/>
  <c r="A3668" i="1"/>
  <c r="C3668" i="1"/>
  <c r="S3668" i="1"/>
  <c r="T3668" i="1"/>
  <c r="U3668" i="1"/>
  <c r="BD3668" i="1"/>
  <c r="CE3668" i="1"/>
  <c r="A3669" i="1"/>
  <c r="C3669" i="1"/>
  <c r="S3669" i="1"/>
  <c r="T3669" i="1"/>
  <c r="U3669" i="1"/>
  <c r="BD3669" i="1"/>
  <c r="CE3669" i="1"/>
  <c r="A3670" i="1"/>
  <c r="C3670" i="1"/>
  <c r="S3670" i="1"/>
  <c r="T3670" i="1"/>
  <c r="U3670" i="1"/>
  <c r="BD3670" i="1"/>
  <c r="CE3670" i="1"/>
  <c r="A3671" i="1"/>
  <c r="C3671" i="1"/>
  <c r="S3671" i="1"/>
  <c r="T3671" i="1"/>
  <c r="U3671" i="1"/>
  <c r="BD3671" i="1"/>
  <c r="CE3671" i="1"/>
  <c r="A3672" i="1"/>
  <c r="C3672" i="1"/>
  <c r="S3672" i="1"/>
  <c r="T3672" i="1"/>
  <c r="U3672" i="1"/>
  <c r="BD3672" i="1"/>
  <c r="CE3672" i="1"/>
  <c r="A3673" i="1"/>
  <c r="C3673" i="1"/>
  <c r="S3673" i="1"/>
  <c r="T3673" i="1"/>
  <c r="U3673" i="1"/>
  <c r="BD3673" i="1"/>
  <c r="CE3673" i="1"/>
  <c r="A3674" i="1"/>
  <c r="C3674" i="1"/>
  <c r="S3674" i="1"/>
  <c r="T3674" i="1"/>
  <c r="U3674" i="1"/>
  <c r="BD3674" i="1"/>
  <c r="CE3674" i="1"/>
  <c r="A3675" i="1"/>
  <c r="C3675" i="1"/>
  <c r="S3675" i="1"/>
  <c r="T3675" i="1"/>
  <c r="U3675" i="1"/>
  <c r="BD3675" i="1"/>
  <c r="CE3675" i="1"/>
  <c r="A3676" i="1"/>
  <c r="C3676" i="1"/>
  <c r="S3676" i="1"/>
  <c r="T3676" i="1"/>
  <c r="U3676" i="1"/>
  <c r="BD3676" i="1"/>
  <c r="CE3676" i="1"/>
  <c r="A3677" i="1"/>
  <c r="C3677" i="1"/>
  <c r="S3677" i="1"/>
  <c r="T3677" i="1"/>
  <c r="U3677" i="1"/>
  <c r="BD3677" i="1"/>
  <c r="CE3677" i="1"/>
  <c r="A3678" i="1"/>
  <c r="C3678" i="1"/>
  <c r="S3678" i="1"/>
  <c r="T3678" i="1"/>
  <c r="U3678" i="1"/>
  <c r="BD3678" i="1"/>
  <c r="CE3678" i="1"/>
  <c r="A3679" i="1"/>
  <c r="C3679" i="1"/>
  <c r="S3679" i="1"/>
  <c r="T3679" i="1"/>
  <c r="U3679" i="1"/>
  <c r="BD3679" i="1"/>
  <c r="CE3679" i="1"/>
  <c r="A3680" i="1"/>
  <c r="C3680" i="1"/>
  <c r="S3680" i="1"/>
  <c r="T3680" i="1"/>
  <c r="U3680" i="1"/>
  <c r="BD3680" i="1"/>
  <c r="CE3680" i="1"/>
  <c r="A3681" i="1"/>
  <c r="C3681" i="1"/>
  <c r="S3681" i="1"/>
  <c r="T3681" i="1"/>
  <c r="U3681" i="1"/>
  <c r="BD3681" i="1"/>
  <c r="CE3681" i="1"/>
  <c r="A3682" i="1"/>
  <c r="C3682" i="1"/>
  <c r="S3682" i="1"/>
  <c r="T3682" i="1"/>
  <c r="U3682" i="1"/>
  <c r="BD3682" i="1"/>
  <c r="CE3682" i="1"/>
  <c r="A3683" i="1"/>
  <c r="C3683" i="1"/>
  <c r="S3683" i="1"/>
  <c r="T3683" i="1"/>
  <c r="U3683" i="1"/>
  <c r="BD3683" i="1"/>
  <c r="CE3683" i="1"/>
  <c r="A3684" i="1"/>
  <c r="C3684" i="1"/>
  <c r="S3684" i="1"/>
  <c r="T3684" i="1"/>
  <c r="U3684" i="1"/>
  <c r="BD3684" i="1"/>
  <c r="CE3684" i="1"/>
  <c r="A3685" i="1"/>
  <c r="C3685" i="1"/>
  <c r="S3685" i="1"/>
  <c r="T3685" i="1"/>
  <c r="U3685" i="1"/>
  <c r="BD3685" i="1"/>
  <c r="CE3685" i="1"/>
  <c r="A3686" i="1"/>
  <c r="C3686" i="1"/>
  <c r="S3686" i="1"/>
  <c r="T3686" i="1"/>
  <c r="U3686" i="1"/>
  <c r="BD3686" i="1"/>
  <c r="CE3686" i="1"/>
  <c r="A3687" i="1"/>
  <c r="C3687" i="1"/>
  <c r="S3687" i="1"/>
  <c r="T3687" i="1"/>
  <c r="U3687" i="1"/>
  <c r="BD3687" i="1"/>
  <c r="CE3687" i="1"/>
  <c r="A3688" i="1"/>
  <c r="C3688" i="1"/>
  <c r="S3688" i="1"/>
  <c r="T3688" i="1"/>
  <c r="U3688" i="1"/>
  <c r="BD3688" i="1"/>
  <c r="CE3688" i="1"/>
  <c r="A3689" i="1"/>
  <c r="C3689" i="1"/>
  <c r="S3689" i="1"/>
  <c r="T3689" i="1"/>
  <c r="U3689" i="1"/>
  <c r="BD3689" i="1"/>
  <c r="CE3689" i="1"/>
  <c r="A3690" i="1"/>
  <c r="C3690" i="1"/>
  <c r="S3690" i="1"/>
  <c r="T3690" i="1"/>
  <c r="U3690" i="1"/>
  <c r="BD3690" i="1"/>
  <c r="CE3690" i="1"/>
  <c r="A3691" i="1"/>
  <c r="C3691" i="1"/>
  <c r="S3691" i="1"/>
  <c r="T3691" i="1"/>
  <c r="U3691" i="1"/>
  <c r="BD3691" i="1"/>
  <c r="CE3691" i="1"/>
  <c r="A3692" i="1"/>
  <c r="C3692" i="1"/>
  <c r="S3692" i="1"/>
  <c r="T3692" i="1"/>
  <c r="U3692" i="1"/>
  <c r="BD3692" i="1"/>
  <c r="CE3692" i="1"/>
  <c r="A3693" i="1"/>
  <c r="C3693" i="1"/>
  <c r="S3693" i="1"/>
  <c r="T3693" i="1"/>
  <c r="U3693" i="1"/>
  <c r="BD3693" i="1"/>
  <c r="CE3693" i="1"/>
  <c r="A3694" i="1"/>
  <c r="C3694" i="1"/>
  <c r="S3694" i="1"/>
  <c r="T3694" i="1"/>
  <c r="U3694" i="1"/>
  <c r="BD3694" i="1"/>
  <c r="CE3694" i="1"/>
  <c r="A3695" i="1"/>
  <c r="C3695" i="1"/>
  <c r="S3695" i="1"/>
  <c r="T3695" i="1"/>
  <c r="U3695" i="1"/>
  <c r="BD3695" i="1"/>
  <c r="CE3695" i="1"/>
  <c r="A3696" i="1"/>
  <c r="C3696" i="1"/>
  <c r="S3696" i="1"/>
  <c r="T3696" i="1"/>
  <c r="U3696" i="1"/>
  <c r="BD3696" i="1"/>
  <c r="CE3696" i="1"/>
  <c r="A3697" i="1"/>
  <c r="C3697" i="1"/>
  <c r="S3697" i="1"/>
  <c r="T3697" i="1"/>
  <c r="U3697" i="1"/>
  <c r="BD3697" i="1"/>
  <c r="CE3697" i="1"/>
  <c r="A3698" i="1"/>
  <c r="C3698" i="1"/>
  <c r="S3698" i="1"/>
  <c r="T3698" i="1"/>
  <c r="U3698" i="1"/>
  <c r="BD3698" i="1"/>
  <c r="CE3698" i="1"/>
  <c r="A3699" i="1"/>
  <c r="C3699" i="1"/>
  <c r="S3699" i="1"/>
  <c r="T3699" i="1"/>
  <c r="U3699" i="1"/>
  <c r="BD3699" i="1"/>
  <c r="CE3699" i="1"/>
  <c r="A3700" i="1"/>
  <c r="C3700" i="1"/>
  <c r="S3700" i="1"/>
  <c r="T3700" i="1"/>
  <c r="U3700" i="1"/>
  <c r="BD3700" i="1"/>
  <c r="CE3700" i="1"/>
  <c r="A3701" i="1"/>
  <c r="C3701" i="1"/>
  <c r="S3701" i="1"/>
  <c r="T3701" i="1"/>
  <c r="U3701" i="1"/>
  <c r="BD3701" i="1"/>
  <c r="CE3701" i="1"/>
  <c r="A3702" i="1"/>
  <c r="C3702" i="1"/>
  <c r="S3702" i="1"/>
  <c r="T3702" i="1"/>
  <c r="U3702" i="1"/>
  <c r="BD3702" i="1"/>
  <c r="CE3702" i="1"/>
  <c r="A3703" i="1"/>
  <c r="C3703" i="1"/>
  <c r="S3703" i="1"/>
  <c r="T3703" i="1"/>
  <c r="U3703" i="1"/>
  <c r="BD3703" i="1"/>
  <c r="CE3703" i="1"/>
  <c r="A3704" i="1"/>
  <c r="C3704" i="1"/>
  <c r="S3704" i="1"/>
  <c r="T3704" i="1"/>
  <c r="U3704" i="1"/>
  <c r="BD3704" i="1"/>
  <c r="CE3704" i="1"/>
  <c r="A3705" i="1"/>
  <c r="C3705" i="1"/>
  <c r="S3705" i="1"/>
  <c r="T3705" i="1"/>
  <c r="U3705" i="1"/>
  <c r="BD3705" i="1"/>
  <c r="CE3705" i="1"/>
  <c r="A3706" i="1"/>
  <c r="C3706" i="1"/>
  <c r="S3706" i="1"/>
  <c r="T3706" i="1"/>
  <c r="U3706" i="1"/>
  <c r="BD3706" i="1"/>
  <c r="CE3706" i="1"/>
  <c r="A3707" i="1"/>
  <c r="C3707" i="1"/>
  <c r="S3707" i="1"/>
  <c r="T3707" i="1"/>
  <c r="U3707" i="1"/>
  <c r="BD3707" i="1"/>
  <c r="CE3707" i="1"/>
  <c r="A3708" i="1"/>
  <c r="C3708" i="1"/>
  <c r="S3708" i="1"/>
  <c r="T3708" i="1"/>
  <c r="U3708" i="1"/>
  <c r="BD3708" i="1"/>
  <c r="CE3708" i="1"/>
  <c r="A3709" i="1"/>
  <c r="C3709" i="1"/>
  <c r="S3709" i="1"/>
  <c r="T3709" i="1"/>
  <c r="U3709" i="1"/>
  <c r="BD3709" i="1"/>
  <c r="CE3709" i="1"/>
  <c r="A3710" i="1"/>
  <c r="C3710" i="1"/>
  <c r="S3710" i="1"/>
  <c r="T3710" i="1"/>
  <c r="U3710" i="1"/>
  <c r="BD3710" i="1"/>
  <c r="CE3710" i="1"/>
  <c r="A3711" i="1"/>
  <c r="C3711" i="1"/>
  <c r="S3711" i="1"/>
  <c r="T3711" i="1"/>
  <c r="U3711" i="1"/>
  <c r="BD3711" i="1"/>
  <c r="CE3711" i="1"/>
  <c r="A3712" i="1"/>
  <c r="C3712" i="1"/>
  <c r="S3712" i="1"/>
  <c r="T3712" i="1"/>
  <c r="U3712" i="1"/>
  <c r="BD3712" i="1"/>
  <c r="CE3712" i="1"/>
  <c r="A3713" i="1"/>
  <c r="C3713" i="1"/>
  <c r="S3713" i="1"/>
  <c r="T3713" i="1"/>
  <c r="U3713" i="1"/>
  <c r="BD3713" i="1"/>
  <c r="CE3713" i="1"/>
  <c r="A3714" i="1"/>
  <c r="C3714" i="1"/>
  <c r="S3714" i="1"/>
  <c r="T3714" i="1"/>
  <c r="U3714" i="1"/>
  <c r="BD3714" i="1"/>
  <c r="CE3714" i="1"/>
  <c r="A3715" i="1"/>
  <c r="C3715" i="1"/>
  <c r="S3715" i="1"/>
  <c r="T3715" i="1"/>
  <c r="U3715" i="1"/>
  <c r="BD3715" i="1"/>
  <c r="CE3715" i="1"/>
  <c r="A3716" i="1"/>
  <c r="C3716" i="1"/>
  <c r="S3716" i="1"/>
  <c r="T3716" i="1"/>
  <c r="U3716" i="1"/>
  <c r="BD3716" i="1"/>
  <c r="CE3716" i="1"/>
  <c r="A3717" i="1"/>
  <c r="C3717" i="1"/>
  <c r="S3717" i="1"/>
  <c r="T3717" i="1"/>
  <c r="U3717" i="1"/>
  <c r="BD3717" i="1"/>
  <c r="CE3717" i="1"/>
  <c r="A3718" i="1"/>
  <c r="C3718" i="1"/>
  <c r="S3718" i="1"/>
  <c r="T3718" i="1"/>
  <c r="U3718" i="1"/>
  <c r="BD3718" i="1"/>
  <c r="CE3718" i="1"/>
  <c r="A3719" i="1"/>
  <c r="C3719" i="1"/>
  <c r="S3719" i="1"/>
  <c r="T3719" i="1"/>
  <c r="U3719" i="1"/>
  <c r="BD3719" i="1"/>
  <c r="CE3719" i="1"/>
  <c r="A3720" i="1"/>
  <c r="C3720" i="1"/>
  <c r="S3720" i="1"/>
  <c r="T3720" i="1"/>
  <c r="U3720" i="1"/>
  <c r="BD3720" i="1"/>
  <c r="CE3720" i="1"/>
  <c r="A3721" i="1"/>
  <c r="C3721" i="1"/>
  <c r="S3721" i="1"/>
  <c r="T3721" i="1"/>
  <c r="U3721" i="1"/>
  <c r="BD3721" i="1"/>
  <c r="CE3721" i="1"/>
  <c r="A3722" i="1"/>
  <c r="C3722" i="1"/>
  <c r="S3722" i="1"/>
  <c r="T3722" i="1"/>
  <c r="U3722" i="1"/>
  <c r="BD3722" i="1"/>
  <c r="CE3722" i="1"/>
  <c r="A3723" i="1"/>
  <c r="C3723" i="1"/>
  <c r="S3723" i="1"/>
  <c r="T3723" i="1"/>
  <c r="U3723" i="1"/>
  <c r="BD3723" i="1"/>
  <c r="CE3723" i="1"/>
  <c r="A3724" i="1"/>
  <c r="C3724" i="1"/>
  <c r="S3724" i="1"/>
  <c r="T3724" i="1"/>
  <c r="U3724" i="1"/>
  <c r="BD3724" i="1"/>
  <c r="CE3724" i="1"/>
  <c r="A3725" i="1"/>
  <c r="C3725" i="1"/>
  <c r="S3725" i="1"/>
  <c r="T3725" i="1"/>
  <c r="U3725" i="1"/>
  <c r="BD3725" i="1"/>
  <c r="CE3725" i="1"/>
  <c r="A3726" i="1"/>
  <c r="C3726" i="1"/>
  <c r="S3726" i="1"/>
  <c r="T3726" i="1"/>
  <c r="U3726" i="1"/>
  <c r="BD3726" i="1"/>
  <c r="CE3726" i="1"/>
  <c r="A3727" i="1"/>
  <c r="C3727" i="1"/>
  <c r="S3727" i="1"/>
  <c r="T3727" i="1"/>
  <c r="U3727" i="1"/>
  <c r="BD3727" i="1"/>
  <c r="CE3727" i="1"/>
  <c r="A3728" i="1"/>
  <c r="C3728" i="1"/>
  <c r="S3728" i="1"/>
  <c r="T3728" i="1"/>
  <c r="U3728" i="1"/>
  <c r="BD3728" i="1"/>
  <c r="CE3728" i="1"/>
  <c r="A3729" i="1"/>
  <c r="C3729" i="1"/>
  <c r="S3729" i="1"/>
  <c r="T3729" i="1"/>
  <c r="U3729" i="1"/>
  <c r="BD3729" i="1"/>
  <c r="CE3729" i="1"/>
  <c r="A3730" i="1"/>
  <c r="C3730" i="1"/>
  <c r="S3730" i="1"/>
  <c r="T3730" i="1"/>
  <c r="U3730" i="1"/>
  <c r="BD3730" i="1"/>
  <c r="CE3730" i="1"/>
  <c r="A3731" i="1"/>
  <c r="C3731" i="1"/>
  <c r="S3731" i="1"/>
  <c r="T3731" i="1"/>
  <c r="U3731" i="1"/>
  <c r="BD3731" i="1"/>
  <c r="CE3731" i="1"/>
  <c r="A3732" i="1"/>
  <c r="C3732" i="1"/>
  <c r="S3732" i="1"/>
  <c r="T3732" i="1"/>
  <c r="U3732" i="1"/>
  <c r="BD3732" i="1"/>
  <c r="CE3732" i="1"/>
  <c r="A3733" i="1"/>
  <c r="C3733" i="1"/>
  <c r="S3733" i="1"/>
  <c r="T3733" i="1"/>
  <c r="U3733" i="1"/>
  <c r="BD3733" i="1"/>
  <c r="CE3733" i="1"/>
  <c r="A3734" i="1"/>
  <c r="C3734" i="1"/>
  <c r="S3734" i="1"/>
  <c r="T3734" i="1"/>
  <c r="U3734" i="1"/>
  <c r="BD3734" i="1"/>
  <c r="CE3734" i="1"/>
  <c r="A3735" i="1"/>
  <c r="C3735" i="1"/>
  <c r="S3735" i="1"/>
  <c r="T3735" i="1"/>
  <c r="U3735" i="1"/>
  <c r="BD3735" i="1"/>
  <c r="CE3735" i="1"/>
  <c r="A3736" i="1"/>
  <c r="C3736" i="1"/>
  <c r="S3736" i="1"/>
  <c r="T3736" i="1"/>
  <c r="U3736" i="1"/>
  <c r="BD3736" i="1"/>
  <c r="CE3736" i="1"/>
  <c r="A3737" i="1"/>
  <c r="C3737" i="1"/>
  <c r="S3737" i="1"/>
  <c r="T3737" i="1"/>
  <c r="U3737" i="1"/>
  <c r="BD3737" i="1"/>
  <c r="CE3737" i="1"/>
  <c r="A3738" i="1"/>
  <c r="C3738" i="1"/>
  <c r="S3738" i="1"/>
  <c r="T3738" i="1"/>
  <c r="U3738" i="1"/>
  <c r="BD3738" i="1"/>
  <c r="CE3738" i="1"/>
  <c r="A3739" i="1"/>
  <c r="C3739" i="1"/>
  <c r="S3739" i="1"/>
  <c r="T3739" i="1"/>
  <c r="U3739" i="1"/>
  <c r="BD3739" i="1"/>
  <c r="CE3739" i="1"/>
  <c r="A3740" i="1"/>
  <c r="C3740" i="1"/>
  <c r="S3740" i="1"/>
  <c r="T3740" i="1"/>
  <c r="U3740" i="1"/>
  <c r="BD3740" i="1"/>
  <c r="CE3740" i="1"/>
  <c r="A3741" i="1"/>
  <c r="C3741" i="1"/>
  <c r="S3741" i="1"/>
  <c r="T3741" i="1"/>
  <c r="U3741" i="1"/>
  <c r="BD3741" i="1"/>
  <c r="CE3741" i="1"/>
  <c r="A3742" i="1"/>
  <c r="C3742" i="1"/>
  <c r="S3742" i="1"/>
  <c r="T3742" i="1"/>
  <c r="U3742" i="1"/>
  <c r="BD3742" i="1"/>
  <c r="CE3742" i="1"/>
  <c r="A3743" i="1"/>
  <c r="C3743" i="1"/>
  <c r="S3743" i="1"/>
  <c r="T3743" i="1"/>
  <c r="U3743" i="1"/>
  <c r="BD3743" i="1"/>
  <c r="CE3743" i="1"/>
  <c r="A3744" i="1"/>
  <c r="C3744" i="1"/>
  <c r="S3744" i="1"/>
  <c r="T3744" i="1"/>
  <c r="U3744" i="1"/>
  <c r="BD3744" i="1"/>
  <c r="CE3744" i="1"/>
  <c r="A3745" i="1"/>
  <c r="C3745" i="1"/>
  <c r="S3745" i="1"/>
  <c r="T3745" i="1"/>
  <c r="U3745" i="1"/>
  <c r="BD3745" i="1"/>
  <c r="CE3745" i="1"/>
  <c r="A3746" i="1"/>
  <c r="C3746" i="1"/>
  <c r="S3746" i="1"/>
  <c r="T3746" i="1"/>
  <c r="U3746" i="1"/>
  <c r="BD3746" i="1"/>
  <c r="CE3746" i="1"/>
  <c r="A3747" i="1"/>
  <c r="C3747" i="1"/>
  <c r="S3747" i="1"/>
  <c r="T3747" i="1"/>
  <c r="U3747" i="1"/>
  <c r="BD3747" i="1"/>
  <c r="CE3747" i="1"/>
  <c r="A3748" i="1"/>
  <c r="C3748" i="1"/>
  <c r="S3748" i="1"/>
  <c r="T3748" i="1"/>
  <c r="U3748" i="1"/>
  <c r="BD3748" i="1"/>
  <c r="CE3748" i="1"/>
  <c r="A3749" i="1"/>
  <c r="C3749" i="1"/>
  <c r="S3749" i="1"/>
  <c r="T3749" i="1"/>
  <c r="U3749" i="1"/>
  <c r="BD3749" i="1"/>
  <c r="CE3749" i="1"/>
  <c r="A3750" i="1"/>
  <c r="C3750" i="1"/>
  <c r="S3750" i="1"/>
  <c r="T3750" i="1"/>
  <c r="U3750" i="1"/>
  <c r="BD3750" i="1"/>
  <c r="CE3750" i="1"/>
  <c r="A3751" i="1"/>
  <c r="C3751" i="1"/>
  <c r="S3751" i="1"/>
  <c r="T3751" i="1"/>
  <c r="U3751" i="1"/>
  <c r="BD3751" i="1"/>
  <c r="CE3751" i="1"/>
  <c r="A3752" i="1"/>
  <c r="C3752" i="1"/>
  <c r="S3752" i="1"/>
  <c r="T3752" i="1"/>
  <c r="U3752" i="1"/>
  <c r="BD3752" i="1"/>
  <c r="CE3752" i="1"/>
  <c r="A3753" i="1"/>
  <c r="C3753" i="1"/>
  <c r="S3753" i="1"/>
  <c r="T3753" i="1"/>
  <c r="U3753" i="1"/>
  <c r="BD3753" i="1"/>
  <c r="CE3753" i="1"/>
  <c r="A3754" i="1"/>
  <c r="C3754" i="1"/>
  <c r="S3754" i="1"/>
  <c r="T3754" i="1"/>
  <c r="U3754" i="1"/>
  <c r="BD3754" i="1"/>
  <c r="CE3754" i="1"/>
  <c r="A3755" i="1"/>
  <c r="C3755" i="1"/>
  <c r="S3755" i="1"/>
  <c r="T3755" i="1"/>
  <c r="U3755" i="1"/>
  <c r="BD3755" i="1"/>
  <c r="CE3755" i="1"/>
  <c r="A3756" i="1"/>
  <c r="C3756" i="1"/>
  <c r="S3756" i="1"/>
  <c r="T3756" i="1"/>
  <c r="U3756" i="1"/>
  <c r="BD3756" i="1"/>
  <c r="CE3756" i="1"/>
  <c r="A3757" i="1"/>
  <c r="C3757" i="1"/>
  <c r="S3757" i="1"/>
  <c r="T3757" i="1"/>
  <c r="U3757" i="1"/>
  <c r="BD3757" i="1"/>
  <c r="CE3757" i="1"/>
  <c r="A3758" i="1"/>
  <c r="C3758" i="1"/>
  <c r="S3758" i="1"/>
  <c r="T3758" i="1"/>
  <c r="U3758" i="1"/>
  <c r="BD3758" i="1"/>
  <c r="CE3758" i="1"/>
  <c r="A3759" i="1"/>
  <c r="C3759" i="1"/>
  <c r="S3759" i="1"/>
  <c r="T3759" i="1"/>
  <c r="U3759" i="1"/>
  <c r="BD3759" i="1"/>
  <c r="CE3759" i="1"/>
  <c r="A3760" i="1"/>
  <c r="C3760" i="1"/>
  <c r="S3760" i="1"/>
  <c r="T3760" i="1"/>
  <c r="U3760" i="1"/>
  <c r="BD3760" i="1"/>
  <c r="CE3760" i="1"/>
  <c r="A3761" i="1"/>
  <c r="C3761" i="1"/>
  <c r="S3761" i="1"/>
  <c r="T3761" i="1"/>
  <c r="U3761" i="1"/>
  <c r="BD3761" i="1"/>
  <c r="CE3761" i="1"/>
  <c r="A3762" i="1"/>
  <c r="C3762" i="1"/>
  <c r="S3762" i="1"/>
  <c r="T3762" i="1"/>
  <c r="U3762" i="1"/>
  <c r="BD3762" i="1"/>
  <c r="CE3762" i="1"/>
  <c r="A3763" i="1"/>
  <c r="C3763" i="1"/>
  <c r="S3763" i="1"/>
  <c r="T3763" i="1"/>
  <c r="U3763" i="1"/>
  <c r="BD3763" i="1"/>
  <c r="CE3763" i="1"/>
  <c r="A3764" i="1"/>
  <c r="C3764" i="1"/>
  <c r="S3764" i="1"/>
  <c r="T3764" i="1"/>
  <c r="U3764" i="1"/>
  <c r="BD3764" i="1"/>
  <c r="CE3764" i="1"/>
  <c r="A3765" i="1"/>
  <c r="C3765" i="1"/>
  <c r="S3765" i="1"/>
  <c r="T3765" i="1"/>
  <c r="U3765" i="1"/>
  <c r="BD3765" i="1"/>
  <c r="CE3765" i="1"/>
  <c r="A3766" i="1"/>
  <c r="C3766" i="1"/>
  <c r="S3766" i="1"/>
  <c r="T3766" i="1"/>
  <c r="U3766" i="1"/>
  <c r="BD3766" i="1"/>
  <c r="CE3766" i="1"/>
  <c r="A3767" i="1"/>
  <c r="C3767" i="1"/>
  <c r="S3767" i="1"/>
  <c r="T3767" i="1"/>
  <c r="U3767" i="1"/>
  <c r="BD3767" i="1"/>
  <c r="CE3767" i="1"/>
  <c r="A3768" i="1"/>
  <c r="C3768" i="1"/>
  <c r="S3768" i="1"/>
  <c r="T3768" i="1"/>
  <c r="U3768" i="1"/>
  <c r="BD3768" i="1"/>
  <c r="CE3768" i="1"/>
  <c r="A3769" i="1"/>
  <c r="C3769" i="1"/>
  <c r="S3769" i="1"/>
  <c r="T3769" i="1"/>
  <c r="U3769" i="1"/>
  <c r="BD3769" i="1"/>
  <c r="CE3769" i="1"/>
  <c r="A3770" i="1"/>
  <c r="C3770" i="1"/>
  <c r="S3770" i="1"/>
  <c r="T3770" i="1"/>
  <c r="U3770" i="1"/>
  <c r="BD3770" i="1"/>
  <c r="CE3770" i="1"/>
  <c r="A3771" i="1"/>
  <c r="C3771" i="1"/>
  <c r="S3771" i="1"/>
  <c r="T3771" i="1"/>
  <c r="U3771" i="1"/>
  <c r="BD3771" i="1"/>
  <c r="CE3771" i="1"/>
  <c r="A3772" i="1"/>
  <c r="C3772" i="1"/>
  <c r="S3772" i="1"/>
  <c r="T3772" i="1"/>
  <c r="U3772" i="1"/>
  <c r="BD3772" i="1"/>
  <c r="CE3772" i="1"/>
  <c r="A3773" i="1"/>
  <c r="C3773" i="1"/>
  <c r="S3773" i="1"/>
  <c r="T3773" i="1"/>
  <c r="U3773" i="1"/>
  <c r="BD3773" i="1"/>
  <c r="CE3773" i="1"/>
  <c r="A3774" i="1"/>
  <c r="C3774" i="1"/>
  <c r="S3774" i="1"/>
  <c r="T3774" i="1"/>
  <c r="U3774" i="1"/>
  <c r="BD3774" i="1"/>
  <c r="CE3774" i="1"/>
  <c r="A3775" i="1"/>
  <c r="C3775" i="1"/>
  <c r="S3775" i="1"/>
  <c r="T3775" i="1"/>
  <c r="U3775" i="1"/>
  <c r="BD3775" i="1"/>
  <c r="CE3775" i="1"/>
  <c r="A3776" i="1"/>
  <c r="C3776" i="1"/>
  <c r="S3776" i="1"/>
  <c r="T3776" i="1"/>
  <c r="U3776" i="1"/>
  <c r="BD3776" i="1"/>
  <c r="CE3776" i="1"/>
  <c r="A3777" i="1"/>
  <c r="C3777" i="1"/>
  <c r="S3777" i="1"/>
  <c r="T3777" i="1"/>
  <c r="U3777" i="1"/>
  <c r="BD3777" i="1"/>
  <c r="CE3777" i="1"/>
  <c r="A3778" i="1"/>
  <c r="C3778" i="1"/>
  <c r="S3778" i="1"/>
  <c r="T3778" i="1"/>
  <c r="U3778" i="1"/>
  <c r="BD3778" i="1"/>
  <c r="CE3778" i="1"/>
  <c r="A3779" i="1"/>
  <c r="C3779" i="1"/>
  <c r="S3779" i="1"/>
  <c r="T3779" i="1"/>
  <c r="U3779" i="1"/>
  <c r="BD3779" i="1"/>
  <c r="CE3779" i="1"/>
  <c r="A3780" i="1"/>
  <c r="C3780" i="1"/>
  <c r="S3780" i="1"/>
  <c r="T3780" i="1"/>
  <c r="U3780" i="1"/>
  <c r="BD3780" i="1"/>
  <c r="CE3780" i="1"/>
  <c r="A3781" i="1"/>
  <c r="C3781" i="1"/>
  <c r="S3781" i="1"/>
  <c r="T3781" i="1"/>
  <c r="U3781" i="1"/>
  <c r="BD3781" i="1"/>
  <c r="CE3781" i="1"/>
  <c r="A3782" i="1"/>
  <c r="C3782" i="1"/>
  <c r="S3782" i="1"/>
  <c r="T3782" i="1"/>
  <c r="U3782" i="1"/>
  <c r="BD3782" i="1"/>
  <c r="CE3782" i="1"/>
  <c r="A3783" i="1"/>
  <c r="C3783" i="1"/>
  <c r="S3783" i="1"/>
  <c r="T3783" i="1"/>
  <c r="U3783" i="1"/>
  <c r="BD3783" i="1"/>
  <c r="CE3783" i="1"/>
  <c r="A3784" i="1"/>
  <c r="C3784" i="1"/>
  <c r="S3784" i="1"/>
  <c r="T3784" i="1"/>
  <c r="U3784" i="1"/>
  <c r="BD3784" i="1"/>
  <c r="CE3784" i="1"/>
  <c r="A3785" i="1"/>
  <c r="C3785" i="1"/>
  <c r="S3785" i="1"/>
  <c r="T3785" i="1"/>
  <c r="U3785" i="1"/>
  <c r="BD3785" i="1"/>
  <c r="CE3785" i="1"/>
  <c r="A3786" i="1"/>
  <c r="C3786" i="1"/>
  <c r="S3786" i="1"/>
  <c r="T3786" i="1"/>
  <c r="U3786" i="1"/>
  <c r="BD3786" i="1"/>
  <c r="CE3786" i="1"/>
  <c r="A3787" i="1"/>
  <c r="C3787" i="1"/>
  <c r="S3787" i="1"/>
  <c r="T3787" i="1"/>
  <c r="U3787" i="1"/>
  <c r="BD3787" i="1"/>
  <c r="CE3787" i="1"/>
  <c r="A3788" i="1"/>
  <c r="C3788" i="1"/>
  <c r="S3788" i="1"/>
  <c r="T3788" i="1"/>
  <c r="U3788" i="1"/>
  <c r="BD3788" i="1"/>
  <c r="CE3788" i="1"/>
  <c r="A3789" i="1"/>
  <c r="C3789" i="1"/>
  <c r="S3789" i="1"/>
  <c r="T3789" i="1"/>
  <c r="U3789" i="1"/>
  <c r="BD3789" i="1"/>
  <c r="CE3789" i="1"/>
  <c r="A3790" i="1"/>
  <c r="C3790" i="1"/>
  <c r="S3790" i="1"/>
  <c r="T3790" i="1"/>
  <c r="U3790" i="1"/>
  <c r="BD3790" i="1"/>
  <c r="CE3790" i="1"/>
  <c r="A3791" i="1"/>
  <c r="C3791" i="1"/>
  <c r="S3791" i="1"/>
  <c r="T3791" i="1"/>
  <c r="U3791" i="1"/>
  <c r="BD3791" i="1"/>
  <c r="CE3791" i="1"/>
  <c r="A3792" i="1"/>
  <c r="C3792" i="1"/>
  <c r="S3792" i="1"/>
  <c r="T3792" i="1"/>
  <c r="U3792" i="1"/>
  <c r="BD3792" i="1"/>
  <c r="CE3792" i="1"/>
  <c r="A3793" i="1"/>
  <c r="C3793" i="1"/>
  <c r="S3793" i="1"/>
  <c r="T3793" i="1"/>
  <c r="U3793" i="1"/>
  <c r="BD3793" i="1"/>
  <c r="CE3793" i="1"/>
  <c r="A3794" i="1"/>
  <c r="C3794" i="1"/>
  <c r="S3794" i="1"/>
  <c r="T3794" i="1"/>
  <c r="U3794" i="1"/>
  <c r="BD3794" i="1"/>
  <c r="CE3794" i="1"/>
  <c r="A3795" i="1"/>
  <c r="C3795" i="1"/>
  <c r="S3795" i="1"/>
  <c r="T3795" i="1"/>
  <c r="U3795" i="1"/>
  <c r="BD3795" i="1"/>
  <c r="CE3795" i="1"/>
  <c r="A3796" i="1"/>
  <c r="C3796" i="1"/>
  <c r="S3796" i="1"/>
  <c r="T3796" i="1"/>
  <c r="U3796" i="1"/>
  <c r="BD3796" i="1"/>
  <c r="CE3796" i="1"/>
  <c r="A3797" i="1"/>
  <c r="C3797" i="1"/>
  <c r="S3797" i="1"/>
  <c r="T3797" i="1"/>
  <c r="U3797" i="1"/>
  <c r="BD3797" i="1"/>
  <c r="CE3797" i="1"/>
  <c r="A3798" i="1"/>
  <c r="C3798" i="1"/>
  <c r="S3798" i="1"/>
  <c r="T3798" i="1"/>
  <c r="U3798" i="1"/>
  <c r="BD3798" i="1"/>
  <c r="CE3798" i="1"/>
  <c r="A3799" i="1"/>
  <c r="C3799" i="1"/>
  <c r="S3799" i="1"/>
  <c r="T3799" i="1"/>
  <c r="U3799" i="1"/>
  <c r="BD3799" i="1"/>
  <c r="CE3799" i="1"/>
  <c r="A3800" i="1"/>
  <c r="C3800" i="1"/>
  <c r="S3800" i="1"/>
  <c r="T3800" i="1"/>
  <c r="U3800" i="1"/>
  <c r="BD3800" i="1"/>
  <c r="CE3800" i="1"/>
  <c r="A3801" i="1"/>
  <c r="C3801" i="1"/>
  <c r="S3801" i="1"/>
  <c r="T3801" i="1"/>
  <c r="U3801" i="1"/>
  <c r="BD3801" i="1"/>
  <c r="CE3801" i="1"/>
  <c r="A3802" i="1"/>
  <c r="C3802" i="1"/>
  <c r="S3802" i="1"/>
  <c r="T3802" i="1"/>
  <c r="U3802" i="1"/>
  <c r="BD3802" i="1"/>
  <c r="CE3802" i="1"/>
  <c r="A3803" i="1"/>
  <c r="C3803" i="1"/>
  <c r="S3803" i="1"/>
  <c r="T3803" i="1"/>
  <c r="U3803" i="1"/>
  <c r="BD3803" i="1"/>
  <c r="CE3803" i="1"/>
  <c r="A3804" i="1"/>
  <c r="C3804" i="1"/>
  <c r="S3804" i="1"/>
  <c r="T3804" i="1"/>
  <c r="U3804" i="1"/>
  <c r="BD3804" i="1"/>
  <c r="CE3804" i="1"/>
  <c r="A3805" i="1"/>
  <c r="C3805" i="1"/>
  <c r="S3805" i="1"/>
  <c r="T3805" i="1"/>
  <c r="U3805" i="1"/>
  <c r="BD3805" i="1"/>
  <c r="CE3805" i="1"/>
  <c r="A3806" i="1"/>
  <c r="C3806" i="1"/>
  <c r="S3806" i="1"/>
  <c r="T3806" i="1"/>
  <c r="U3806" i="1"/>
  <c r="BD3806" i="1"/>
  <c r="CE3806" i="1"/>
  <c r="A3807" i="1"/>
  <c r="C3807" i="1"/>
  <c r="S3807" i="1"/>
  <c r="T3807" i="1"/>
  <c r="U3807" i="1"/>
  <c r="BD3807" i="1"/>
  <c r="CE3807" i="1"/>
  <c r="A3808" i="1"/>
  <c r="C3808" i="1"/>
  <c r="S3808" i="1"/>
  <c r="T3808" i="1"/>
  <c r="U3808" i="1"/>
  <c r="BD3808" i="1"/>
  <c r="CE3808" i="1"/>
  <c r="A3809" i="1"/>
  <c r="C3809" i="1"/>
  <c r="S3809" i="1"/>
  <c r="T3809" i="1"/>
  <c r="U3809" i="1"/>
  <c r="BD3809" i="1"/>
  <c r="CE3809" i="1"/>
  <c r="A3810" i="1"/>
  <c r="C3810" i="1"/>
  <c r="S3810" i="1"/>
  <c r="T3810" i="1"/>
  <c r="U3810" i="1"/>
  <c r="BD3810" i="1"/>
  <c r="CE3810" i="1"/>
  <c r="A3811" i="1"/>
  <c r="C3811" i="1"/>
  <c r="S3811" i="1"/>
  <c r="T3811" i="1"/>
  <c r="U3811" i="1"/>
  <c r="BD3811" i="1"/>
  <c r="CE3811" i="1"/>
  <c r="A3812" i="1"/>
  <c r="C3812" i="1"/>
  <c r="S3812" i="1"/>
  <c r="T3812" i="1"/>
  <c r="U3812" i="1"/>
  <c r="BD3812" i="1"/>
  <c r="CE3812" i="1"/>
  <c r="A3813" i="1"/>
  <c r="C3813" i="1"/>
  <c r="S3813" i="1"/>
  <c r="T3813" i="1"/>
  <c r="U3813" i="1"/>
  <c r="BD3813" i="1"/>
  <c r="CE3813" i="1"/>
  <c r="A3814" i="1"/>
  <c r="C3814" i="1"/>
  <c r="S3814" i="1"/>
  <c r="T3814" i="1"/>
  <c r="U3814" i="1"/>
  <c r="BD3814" i="1"/>
  <c r="CE3814" i="1"/>
  <c r="A3815" i="1"/>
  <c r="C3815" i="1"/>
  <c r="S3815" i="1"/>
  <c r="T3815" i="1"/>
  <c r="U3815" i="1"/>
  <c r="BD3815" i="1"/>
  <c r="CE3815" i="1"/>
  <c r="A3816" i="1"/>
  <c r="C3816" i="1"/>
  <c r="S3816" i="1"/>
  <c r="T3816" i="1"/>
  <c r="U3816" i="1"/>
  <c r="BD3816" i="1"/>
  <c r="CE3816" i="1"/>
  <c r="A3817" i="1"/>
  <c r="C3817" i="1"/>
  <c r="S3817" i="1"/>
  <c r="T3817" i="1"/>
  <c r="U3817" i="1"/>
  <c r="BD3817" i="1"/>
  <c r="CE3817" i="1"/>
  <c r="A3818" i="1"/>
  <c r="C3818" i="1"/>
  <c r="S3818" i="1"/>
  <c r="T3818" i="1"/>
  <c r="U3818" i="1"/>
  <c r="BD3818" i="1"/>
  <c r="CE3818" i="1"/>
  <c r="A3819" i="1"/>
  <c r="C3819" i="1"/>
  <c r="S3819" i="1"/>
  <c r="T3819" i="1"/>
  <c r="U3819" i="1"/>
  <c r="BD3819" i="1"/>
  <c r="CE3819" i="1"/>
  <c r="A3820" i="1"/>
  <c r="C3820" i="1"/>
  <c r="S3820" i="1"/>
  <c r="T3820" i="1"/>
  <c r="U3820" i="1"/>
  <c r="BD3820" i="1"/>
  <c r="CE3820" i="1"/>
  <c r="A3821" i="1"/>
  <c r="C3821" i="1"/>
  <c r="S3821" i="1"/>
  <c r="T3821" i="1"/>
  <c r="U3821" i="1"/>
  <c r="BD3821" i="1"/>
  <c r="CE3821" i="1"/>
  <c r="A3822" i="1"/>
  <c r="C3822" i="1"/>
  <c r="S3822" i="1"/>
  <c r="T3822" i="1"/>
  <c r="U3822" i="1"/>
  <c r="BD3822" i="1"/>
  <c r="CE3822" i="1"/>
  <c r="A3823" i="1"/>
  <c r="C3823" i="1"/>
  <c r="S3823" i="1"/>
  <c r="T3823" i="1"/>
  <c r="U3823" i="1"/>
  <c r="BD3823" i="1"/>
  <c r="CE3823" i="1"/>
  <c r="A3824" i="1"/>
  <c r="C3824" i="1"/>
  <c r="S3824" i="1"/>
  <c r="T3824" i="1"/>
  <c r="U3824" i="1"/>
  <c r="BD3824" i="1"/>
  <c r="CE3824" i="1"/>
  <c r="A3825" i="1"/>
  <c r="C3825" i="1"/>
  <c r="S3825" i="1"/>
  <c r="T3825" i="1"/>
  <c r="U3825" i="1"/>
  <c r="BD3825" i="1"/>
  <c r="CE3825" i="1"/>
  <c r="A3826" i="1"/>
  <c r="C3826" i="1"/>
  <c r="S3826" i="1"/>
  <c r="T3826" i="1"/>
  <c r="U3826" i="1"/>
  <c r="BD3826" i="1"/>
  <c r="CE3826" i="1"/>
  <c r="A3827" i="1"/>
  <c r="C3827" i="1"/>
  <c r="S3827" i="1"/>
  <c r="T3827" i="1"/>
  <c r="U3827" i="1"/>
  <c r="BD3827" i="1"/>
  <c r="CE3827" i="1"/>
  <c r="A3828" i="1"/>
  <c r="C3828" i="1"/>
  <c r="S3828" i="1"/>
  <c r="T3828" i="1"/>
  <c r="U3828" i="1"/>
  <c r="BD3828" i="1"/>
  <c r="CE3828" i="1"/>
  <c r="A3829" i="1"/>
  <c r="C3829" i="1"/>
  <c r="S3829" i="1"/>
  <c r="T3829" i="1"/>
  <c r="U3829" i="1"/>
  <c r="BD3829" i="1"/>
  <c r="CE3829" i="1"/>
  <c r="A3830" i="1"/>
  <c r="C3830" i="1"/>
  <c r="S3830" i="1"/>
  <c r="T3830" i="1"/>
  <c r="U3830" i="1"/>
  <c r="BD3830" i="1"/>
  <c r="CE3830" i="1"/>
  <c r="A3831" i="1"/>
  <c r="C3831" i="1"/>
  <c r="S3831" i="1"/>
  <c r="T3831" i="1"/>
  <c r="U3831" i="1"/>
  <c r="BD3831" i="1"/>
  <c r="CE3831" i="1"/>
  <c r="A3832" i="1"/>
  <c r="C3832" i="1"/>
  <c r="S3832" i="1"/>
  <c r="T3832" i="1"/>
  <c r="U3832" i="1"/>
  <c r="BD3832" i="1"/>
  <c r="CE3832" i="1"/>
  <c r="A3833" i="1"/>
  <c r="C3833" i="1"/>
  <c r="S3833" i="1"/>
  <c r="T3833" i="1"/>
  <c r="U3833" i="1"/>
  <c r="BD3833" i="1"/>
  <c r="CE3833" i="1"/>
  <c r="A3834" i="1"/>
  <c r="C3834" i="1"/>
  <c r="S3834" i="1"/>
  <c r="T3834" i="1"/>
  <c r="U3834" i="1"/>
  <c r="BD3834" i="1"/>
  <c r="CE3834" i="1"/>
  <c r="A3835" i="1"/>
  <c r="C3835" i="1"/>
  <c r="S3835" i="1"/>
  <c r="T3835" i="1"/>
  <c r="U3835" i="1"/>
  <c r="BD3835" i="1"/>
  <c r="CE3835" i="1"/>
  <c r="A3836" i="1"/>
  <c r="C3836" i="1"/>
  <c r="S3836" i="1"/>
  <c r="T3836" i="1"/>
  <c r="U3836" i="1"/>
  <c r="BD3836" i="1"/>
  <c r="CE3836" i="1"/>
  <c r="A3837" i="1"/>
  <c r="C3837" i="1"/>
  <c r="S3837" i="1"/>
  <c r="T3837" i="1"/>
  <c r="U3837" i="1"/>
  <c r="BD3837" i="1"/>
  <c r="CE3837" i="1"/>
  <c r="A3838" i="1"/>
  <c r="C3838" i="1"/>
  <c r="S3838" i="1"/>
  <c r="T3838" i="1"/>
  <c r="U3838" i="1"/>
  <c r="BD3838" i="1"/>
  <c r="CE3838" i="1"/>
  <c r="A3839" i="1"/>
  <c r="C3839" i="1"/>
  <c r="S3839" i="1"/>
  <c r="T3839" i="1"/>
  <c r="U3839" i="1"/>
  <c r="BD3839" i="1"/>
  <c r="CE3839" i="1"/>
  <c r="A3840" i="1"/>
  <c r="C3840" i="1"/>
  <c r="S3840" i="1"/>
  <c r="T3840" i="1"/>
  <c r="U3840" i="1"/>
  <c r="BD3840" i="1"/>
  <c r="CE3840" i="1"/>
  <c r="A3841" i="1"/>
  <c r="C3841" i="1"/>
  <c r="S3841" i="1"/>
  <c r="T3841" i="1"/>
  <c r="U3841" i="1"/>
  <c r="BD3841" i="1"/>
  <c r="CE3841" i="1"/>
  <c r="A3842" i="1"/>
  <c r="C3842" i="1"/>
  <c r="S3842" i="1"/>
  <c r="T3842" i="1"/>
  <c r="U3842" i="1"/>
  <c r="BD3842" i="1"/>
  <c r="CE3842" i="1"/>
  <c r="A3843" i="1"/>
  <c r="C3843" i="1"/>
  <c r="S3843" i="1"/>
  <c r="T3843" i="1"/>
  <c r="U3843" i="1"/>
  <c r="BD3843" i="1"/>
  <c r="CE3843" i="1"/>
  <c r="A3844" i="1"/>
  <c r="C3844" i="1"/>
  <c r="S3844" i="1"/>
  <c r="T3844" i="1"/>
  <c r="U3844" i="1"/>
  <c r="BD3844" i="1"/>
  <c r="CE3844" i="1"/>
  <c r="A3845" i="1"/>
  <c r="C3845" i="1"/>
  <c r="S3845" i="1"/>
  <c r="T3845" i="1"/>
  <c r="U3845" i="1"/>
  <c r="BD3845" i="1"/>
  <c r="CE3845" i="1"/>
  <c r="A3846" i="1"/>
  <c r="C3846" i="1"/>
  <c r="S3846" i="1"/>
  <c r="T3846" i="1"/>
  <c r="U3846" i="1"/>
  <c r="BD3846" i="1"/>
  <c r="CE3846" i="1"/>
  <c r="A3847" i="1"/>
  <c r="C3847" i="1"/>
  <c r="S3847" i="1"/>
  <c r="T3847" i="1"/>
  <c r="U3847" i="1"/>
  <c r="BD3847" i="1"/>
  <c r="CE3847" i="1"/>
  <c r="A3848" i="1"/>
  <c r="C3848" i="1"/>
  <c r="S3848" i="1"/>
  <c r="T3848" i="1"/>
  <c r="U3848" i="1"/>
  <c r="BD3848" i="1"/>
  <c r="CE3848" i="1"/>
  <c r="A3849" i="1"/>
  <c r="C3849" i="1"/>
  <c r="S3849" i="1"/>
  <c r="T3849" i="1"/>
  <c r="U3849" i="1"/>
  <c r="BD3849" i="1"/>
  <c r="CE3849" i="1"/>
  <c r="A3850" i="1"/>
  <c r="C3850" i="1"/>
  <c r="S3850" i="1"/>
  <c r="T3850" i="1"/>
  <c r="U3850" i="1"/>
  <c r="BD3850" i="1"/>
  <c r="CE3850" i="1"/>
  <c r="A3851" i="1"/>
  <c r="C3851" i="1"/>
  <c r="S3851" i="1"/>
  <c r="T3851" i="1"/>
  <c r="U3851" i="1"/>
  <c r="BD3851" i="1"/>
  <c r="CE3851" i="1"/>
  <c r="A3852" i="1"/>
  <c r="C3852" i="1"/>
  <c r="S3852" i="1"/>
  <c r="T3852" i="1"/>
  <c r="U3852" i="1"/>
  <c r="BD3852" i="1"/>
  <c r="CE3852" i="1"/>
  <c r="A3853" i="1"/>
  <c r="C3853" i="1"/>
  <c r="S3853" i="1"/>
  <c r="T3853" i="1"/>
  <c r="U3853" i="1"/>
  <c r="BD3853" i="1"/>
  <c r="CE3853" i="1"/>
  <c r="A3854" i="1"/>
  <c r="C3854" i="1"/>
  <c r="S3854" i="1"/>
  <c r="T3854" i="1"/>
  <c r="U3854" i="1"/>
  <c r="BD3854" i="1"/>
  <c r="CE3854" i="1"/>
  <c r="A3855" i="1"/>
  <c r="C3855" i="1"/>
  <c r="S3855" i="1"/>
  <c r="T3855" i="1"/>
  <c r="U3855" i="1"/>
  <c r="BD3855" i="1"/>
  <c r="CE3855" i="1"/>
  <c r="A3856" i="1"/>
  <c r="C3856" i="1"/>
  <c r="S3856" i="1"/>
  <c r="T3856" i="1"/>
  <c r="U3856" i="1"/>
  <c r="BD3856" i="1"/>
  <c r="CE3856" i="1"/>
  <c r="A3857" i="1"/>
  <c r="C3857" i="1"/>
  <c r="S3857" i="1"/>
  <c r="T3857" i="1"/>
  <c r="U3857" i="1"/>
  <c r="BD3857" i="1"/>
  <c r="CE3857" i="1"/>
  <c r="A3858" i="1"/>
  <c r="C3858" i="1"/>
  <c r="S3858" i="1"/>
  <c r="T3858" i="1"/>
  <c r="U3858" i="1"/>
  <c r="BD3858" i="1"/>
  <c r="CE3858" i="1"/>
  <c r="A3859" i="1"/>
  <c r="C3859" i="1"/>
  <c r="S3859" i="1"/>
  <c r="T3859" i="1"/>
  <c r="U3859" i="1"/>
  <c r="BD3859" i="1"/>
  <c r="CE3859" i="1"/>
  <c r="A3860" i="1"/>
  <c r="C3860" i="1"/>
  <c r="S3860" i="1"/>
  <c r="T3860" i="1"/>
  <c r="U3860" i="1"/>
  <c r="BD3860" i="1"/>
  <c r="CE3860" i="1"/>
  <c r="A3861" i="1"/>
  <c r="C3861" i="1"/>
  <c r="S3861" i="1"/>
  <c r="T3861" i="1"/>
  <c r="U3861" i="1"/>
  <c r="BD3861" i="1"/>
  <c r="CE3861" i="1"/>
  <c r="A3862" i="1"/>
  <c r="C3862" i="1"/>
  <c r="S3862" i="1"/>
  <c r="T3862" i="1"/>
  <c r="U3862" i="1"/>
  <c r="BD3862" i="1"/>
  <c r="CE3862" i="1"/>
  <c r="A3863" i="1"/>
  <c r="C3863" i="1"/>
  <c r="S3863" i="1"/>
  <c r="T3863" i="1"/>
  <c r="U3863" i="1"/>
  <c r="BD3863" i="1"/>
  <c r="CE3863" i="1"/>
  <c r="A3864" i="1"/>
  <c r="C3864" i="1"/>
  <c r="S3864" i="1"/>
  <c r="T3864" i="1"/>
  <c r="U3864" i="1"/>
  <c r="BD3864" i="1"/>
  <c r="CE3864" i="1"/>
  <c r="A3865" i="1"/>
  <c r="C3865" i="1"/>
  <c r="S3865" i="1"/>
  <c r="T3865" i="1"/>
  <c r="U3865" i="1"/>
  <c r="BD3865" i="1"/>
  <c r="CE3865" i="1"/>
  <c r="A3866" i="1"/>
  <c r="C3866" i="1"/>
  <c r="S3866" i="1"/>
  <c r="T3866" i="1"/>
  <c r="U3866" i="1"/>
  <c r="BD3866" i="1"/>
  <c r="CE3866" i="1"/>
  <c r="A3867" i="1"/>
  <c r="C3867" i="1"/>
  <c r="S3867" i="1"/>
  <c r="T3867" i="1"/>
  <c r="U3867" i="1"/>
  <c r="BD3867" i="1"/>
  <c r="CE3867" i="1"/>
  <c r="A3868" i="1"/>
  <c r="C3868" i="1"/>
  <c r="S3868" i="1"/>
  <c r="T3868" i="1"/>
  <c r="U3868" i="1"/>
  <c r="BD3868" i="1"/>
  <c r="CE3868" i="1"/>
  <c r="A3869" i="1"/>
  <c r="C3869" i="1"/>
  <c r="S3869" i="1"/>
  <c r="T3869" i="1"/>
  <c r="U3869" i="1"/>
  <c r="BD3869" i="1"/>
  <c r="CE3869" i="1"/>
  <c r="A3870" i="1"/>
  <c r="C3870" i="1"/>
  <c r="S3870" i="1"/>
  <c r="T3870" i="1"/>
  <c r="U3870" i="1"/>
  <c r="BD3870" i="1"/>
  <c r="CE3870" i="1"/>
  <c r="A3871" i="1"/>
  <c r="C3871" i="1"/>
  <c r="S3871" i="1"/>
  <c r="T3871" i="1"/>
  <c r="U3871" i="1"/>
  <c r="BD3871" i="1"/>
  <c r="CE3871" i="1"/>
  <c r="A3872" i="1"/>
  <c r="C3872" i="1"/>
  <c r="S3872" i="1"/>
  <c r="T3872" i="1"/>
  <c r="U3872" i="1"/>
  <c r="BD3872" i="1"/>
  <c r="CE3872" i="1"/>
  <c r="A3873" i="1"/>
  <c r="C3873" i="1"/>
  <c r="S3873" i="1"/>
  <c r="T3873" i="1"/>
  <c r="U3873" i="1"/>
  <c r="BD3873" i="1"/>
  <c r="CE3873" i="1"/>
  <c r="A3874" i="1"/>
  <c r="C3874" i="1"/>
  <c r="S3874" i="1"/>
  <c r="T3874" i="1"/>
  <c r="U3874" i="1"/>
  <c r="BD3874" i="1"/>
  <c r="CE3874" i="1"/>
  <c r="A3875" i="1"/>
  <c r="C3875" i="1"/>
  <c r="S3875" i="1"/>
  <c r="T3875" i="1"/>
  <c r="U3875" i="1"/>
  <c r="BD3875" i="1"/>
  <c r="CE3875" i="1"/>
  <c r="A3876" i="1"/>
  <c r="C3876" i="1"/>
  <c r="S3876" i="1"/>
  <c r="T3876" i="1"/>
  <c r="U3876" i="1"/>
  <c r="BD3876" i="1"/>
  <c r="CE3876" i="1"/>
  <c r="A3877" i="1"/>
  <c r="C3877" i="1"/>
  <c r="S3877" i="1"/>
  <c r="T3877" i="1"/>
  <c r="U3877" i="1"/>
  <c r="BD3877" i="1"/>
  <c r="CE3877" i="1"/>
  <c r="A3878" i="1"/>
  <c r="C3878" i="1"/>
  <c r="S3878" i="1"/>
  <c r="T3878" i="1"/>
  <c r="U3878" i="1"/>
  <c r="BD3878" i="1"/>
  <c r="CE3878" i="1"/>
  <c r="A3879" i="1"/>
  <c r="C3879" i="1"/>
  <c r="S3879" i="1"/>
  <c r="T3879" i="1"/>
  <c r="U3879" i="1"/>
  <c r="BD3879" i="1"/>
  <c r="CE3879" i="1"/>
  <c r="A3880" i="1"/>
  <c r="C3880" i="1"/>
  <c r="S3880" i="1"/>
  <c r="T3880" i="1"/>
  <c r="U3880" i="1"/>
  <c r="BD3880" i="1"/>
  <c r="CE3880" i="1"/>
  <c r="A3881" i="1"/>
  <c r="C3881" i="1"/>
  <c r="S3881" i="1"/>
  <c r="T3881" i="1"/>
  <c r="U3881" i="1"/>
  <c r="BD3881" i="1"/>
  <c r="CE3881" i="1"/>
  <c r="A3882" i="1"/>
  <c r="C3882" i="1"/>
  <c r="S3882" i="1"/>
  <c r="T3882" i="1"/>
  <c r="U3882" i="1"/>
  <c r="BD3882" i="1"/>
  <c r="CE3882" i="1"/>
  <c r="A3883" i="1"/>
  <c r="C3883" i="1"/>
  <c r="S3883" i="1"/>
  <c r="T3883" i="1"/>
  <c r="U3883" i="1"/>
  <c r="BD3883" i="1"/>
  <c r="CE3883" i="1"/>
  <c r="A3884" i="1"/>
  <c r="C3884" i="1"/>
  <c r="S3884" i="1"/>
  <c r="T3884" i="1"/>
  <c r="U3884" i="1"/>
  <c r="BD3884" i="1"/>
  <c r="CE3884" i="1"/>
  <c r="A3885" i="1"/>
  <c r="C3885" i="1"/>
  <c r="S3885" i="1"/>
  <c r="T3885" i="1"/>
  <c r="U3885" i="1"/>
  <c r="BD3885" i="1"/>
  <c r="CE3885" i="1"/>
  <c r="A3886" i="1"/>
  <c r="C3886" i="1"/>
  <c r="S3886" i="1"/>
  <c r="T3886" i="1"/>
  <c r="U3886" i="1"/>
  <c r="BD3886" i="1"/>
  <c r="CE3886" i="1"/>
  <c r="A3887" i="1"/>
  <c r="C3887" i="1"/>
  <c r="S3887" i="1"/>
  <c r="T3887" i="1"/>
  <c r="U3887" i="1"/>
  <c r="BD3887" i="1"/>
  <c r="CE3887" i="1"/>
  <c r="A3888" i="1"/>
  <c r="C3888" i="1"/>
  <c r="S3888" i="1"/>
  <c r="T3888" i="1"/>
  <c r="U3888" i="1"/>
  <c r="BD3888" i="1"/>
  <c r="CE3888" i="1"/>
  <c r="A3889" i="1"/>
  <c r="C3889" i="1"/>
  <c r="S3889" i="1"/>
  <c r="T3889" i="1"/>
  <c r="U3889" i="1"/>
  <c r="BD3889" i="1"/>
  <c r="CE3889" i="1"/>
  <c r="A3890" i="1"/>
  <c r="C3890" i="1"/>
  <c r="S3890" i="1"/>
  <c r="T3890" i="1"/>
  <c r="U3890" i="1"/>
  <c r="BD3890" i="1"/>
  <c r="CE3890" i="1"/>
  <c r="A3891" i="1"/>
  <c r="C3891" i="1"/>
  <c r="S3891" i="1"/>
  <c r="T3891" i="1"/>
  <c r="U3891" i="1"/>
  <c r="BD3891" i="1"/>
  <c r="CE3891" i="1"/>
  <c r="A3892" i="1"/>
  <c r="C3892" i="1"/>
  <c r="S3892" i="1"/>
  <c r="T3892" i="1"/>
  <c r="U3892" i="1"/>
  <c r="BD3892" i="1"/>
  <c r="CE3892" i="1"/>
  <c r="A3893" i="1"/>
  <c r="C3893" i="1"/>
  <c r="S3893" i="1"/>
  <c r="T3893" i="1"/>
  <c r="U3893" i="1"/>
  <c r="BD3893" i="1"/>
  <c r="CE3893" i="1"/>
  <c r="A3894" i="1"/>
  <c r="C3894" i="1"/>
  <c r="S3894" i="1"/>
  <c r="T3894" i="1"/>
  <c r="U3894" i="1"/>
  <c r="BD3894" i="1"/>
  <c r="CE3894" i="1"/>
  <c r="A3895" i="1"/>
  <c r="C3895" i="1"/>
  <c r="S3895" i="1"/>
  <c r="T3895" i="1"/>
  <c r="U3895" i="1"/>
  <c r="BD3895" i="1"/>
  <c r="CE3895" i="1"/>
  <c r="A3896" i="1"/>
  <c r="C3896" i="1"/>
  <c r="S3896" i="1"/>
  <c r="T3896" i="1"/>
  <c r="U3896" i="1"/>
  <c r="BD3896" i="1"/>
  <c r="CE3896" i="1"/>
  <c r="A3897" i="1"/>
  <c r="C3897" i="1"/>
  <c r="S3897" i="1"/>
  <c r="T3897" i="1"/>
  <c r="U3897" i="1"/>
  <c r="BD3897" i="1"/>
  <c r="CE3897" i="1"/>
  <c r="A3898" i="1"/>
  <c r="C3898" i="1"/>
  <c r="S3898" i="1"/>
  <c r="T3898" i="1"/>
  <c r="U3898" i="1"/>
  <c r="BD3898" i="1"/>
  <c r="CE3898" i="1"/>
  <c r="A3899" i="1"/>
  <c r="C3899" i="1"/>
  <c r="S3899" i="1"/>
  <c r="T3899" i="1"/>
  <c r="U3899" i="1"/>
  <c r="BD3899" i="1"/>
  <c r="CE3899" i="1"/>
  <c r="A3900" i="1"/>
  <c r="C3900" i="1"/>
  <c r="S3900" i="1"/>
  <c r="T3900" i="1"/>
  <c r="U3900" i="1"/>
  <c r="BD3900" i="1"/>
  <c r="CE3900" i="1"/>
  <c r="A3901" i="1"/>
  <c r="C3901" i="1"/>
  <c r="S3901" i="1"/>
  <c r="T3901" i="1"/>
  <c r="U3901" i="1"/>
  <c r="BD3901" i="1"/>
  <c r="CE3901" i="1"/>
  <c r="A3902" i="1"/>
  <c r="C3902" i="1"/>
  <c r="S3902" i="1"/>
  <c r="T3902" i="1"/>
  <c r="U3902" i="1"/>
  <c r="BD3902" i="1"/>
  <c r="CE3902" i="1"/>
  <c r="A3903" i="1"/>
  <c r="C3903" i="1"/>
  <c r="S3903" i="1"/>
  <c r="T3903" i="1"/>
  <c r="U3903" i="1"/>
  <c r="BD3903" i="1"/>
  <c r="CE3903" i="1"/>
  <c r="A3904" i="1"/>
  <c r="C3904" i="1"/>
  <c r="S3904" i="1"/>
  <c r="T3904" i="1"/>
  <c r="U3904" i="1"/>
  <c r="BD3904" i="1"/>
  <c r="CE3904" i="1"/>
  <c r="A3905" i="1"/>
  <c r="C3905" i="1"/>
  <c r="S3905" i="1"/>
  <c r="T3905" i="1"/>
  <c r="U3905" i="1"/>
  <c r="BD3905" i="1"/>
  <c r="CE3905" i="1"/>
  <c r="A3906" i="1"/>
  <c r="C3906" i="1"/>
  <c r="S3906" i="1"/>
  <c r="T3906" i="1"/>
  <c r="U3906" i="1"/>
  <c r="BD3906" i="1"/>
  <c r="CE3906" i="1"/>
  <c r="A3907" i="1"/>
  <c r="C3907" i="1"/>
  <c r="S3907" i="1"/>
  <c r="T3907" i="1"/>
  <c r="U3907" i="1"/>
  <c r="BD3907" i="1"/>
  <c r="CE3907" i="1"/>
  <c r="A3908" i="1"/>
  <c r="C3908" i="1"/>
  <c r="S3908" i="1"/>
  <c r="T3908" i="1"/>
  <c r="U3908" i="1"/>
  <c r="BD3908" i="1"/>
  <c r="CE3908" i="1"/>
  <c r="A3909" i="1"/>
  <c r="C3909" i="1"/>
  <c r="S3909" i="1"/>
  <c r="T3909" i="1"/>
  <c r="U3909" i="1"/>
  <c r="BD3909" i="1"/>
  <c r="CE3909" i="1"/>
  <c r="A3910" i="1"/>
  <c r="C3910" i="1"/>
  <c r="S3910" i="1"/>
  <c r="T3910" i="1"/>
  <c r="U3910" i="1"/>
  <c r="BD3910" i="1"/>
  <c r="CE3910" i="1"/>
  <c r="A3911" i="1"/>
  <c r="C3911" i="1"/>
  <c r="S3911" i="1"/>
  <c r="T3911" i="1"/>
  <c r="U3911" i="1"/>
  <c r="BD3911" i="1"/>
  <c r="CE3911" i="1"/>
  <c r="A3912" i="1"/>
  <c r="C3912" i="1"/>
  <c r="S3912" i="1"/>
  <c r="T3912" i="1"/>
  <c r="U3912" i="1"/>
  <c r="BD3912" i="1"/>
  <c r="CE3912" i="1"/>
  <c r="A3913" i="1"/>
  <c r="C3913" i="1"/>
  <c r="S3913" i="1"/>
  <c r="T3913" i="1"/>
  <c r="U3913" i="1"/>
  <c r="BD3913" i="1"/>
  <c r="CE3913" i="1"/>
  <c r="A3914" i="1"/>
  <c r="C3914" i="1"/>
  <c r="S3914" i="1"/>
  <c r="T3914" i="1"/>
  <c r="U3914" i="1"/>
  <c r="BD3914" i="1"/>
  <c r="CE3914" i="1"/>
  <c r="A3915" i="1"/>
  <c r="C3915" i="1"/>
  <c r="S3915" i="1"/>
  <c r="T3915" i="1"/>
  <c r="U3915" i="1"/>
  <c r="BD3915" i="1"/>
  <c r="CE3915" i="1"/>
  <c r="A3916" i="1"/>
  <c r="C3916" i="1"/>
  <c r="S3916" i="1"/>
  <c r="T3916" i="1"/>
  <c r="U3916" i="1"/>
  <c r="BD3916" i="1"/>
  <c r="CE3916" i="1"/>
  <c r="A3917" i="1"/>
  <c r="C3917" i="1"/>
  <c r="S3917" i="1"/>
  <c r="T3917" i="1"/>
  <c r="U3917" i="1"/>
  <c r="BD3917" i="1"/>
  <c r="CE3917" i="1"/>
  <c r="A3918" i="1"/>
  <c r="C3918" i="1"/>
  <c r="S3918" i="1"/>
  <c r="T3918" i="1"/>
  <c r="U3918" i="1"/>
  <c r="BD3918" i="1"/>
  <c r="CE3918" i="1"/>
  <c r="A3919" i="1"/>
  <c r="C3919" i="1"/>
  <c r="S3919" i="1"/>
  <c r="T3919" i="1"/>
  <c r="U3919" i="1"/>
  <c r="BD3919" i="1"/>
  <c r="CE3919" i="1"/>
  <c r="A3920" i="1"/>
  <c r="C3920" i="1"/>
  <c r="S3920" i="1"/>
  <c r="T3920" i="1"/>
  <c r="U3920" i="1"/>
  <c r="BD3920" i="1"/>
  <c r="CE3920" i="1"/>
  <c r="A3921" i="1"/>
  <c r="C3921" i="1"/>
  <c r="S3921" i="1"/>
  <c r="T3921" i="1"/>
  <c r="U3921" i="1"/>
  <c r="BD3921" i="1"/>
  <c r="CE3921" i="1"/>
  <c r="A3922" i="1"/>
  <c r="C3922" i="1"/>
  <c r="S3922" i="1"/>
  <c r="T3922" i="1"/>
  <c r="U3922" i="1"/>
  <c r="BD3922" i="1"/>
  <c r="CE3922" i="1"/>
  <c r="A3923" i="1"/>
  <c r="C3923" i="1"/>
  <c r="S3923" i="1"/>
  <c r="T3923" i="1"/>
  <c r="U3923" i="1"/>
  <c r="BD3923" i="1"/>
  <c r="CE3923" i="1"/>
  <c r="A3924" i="1"/>
  <c r="C3924" i="1"/>
  <c r="S3924" i="1"/>
  <c r="T3924" i="1"/>
  <c r="U3924" i="1"/>
  <c r="BD3924" i="1"/>
  <c r="CE3924" i="1"/>
  <c r="A3925" i="1"/>
  <c r="C3925" i="1"/>
  <c r="S3925" i="1"/>
  <c r="T3925" i="1"/>
  <c r="U3925" i="1"/>
  <c r="BD3925" i="1"/>
  <c r="CE3925" i="1"/>
  <c r="A3926" i="1"/>
  <c r="C3926" i="1"/>
  <c r="S3926" i="1"/>
  <c r="T3926" i="1"/>
  <c r="U3926" i="1"/>
  <c r="BD3926" i="1"/>
  <c r="CE3926" i="1"/>
  <c r="A3927" i="1"/>
  <c r="C3927" i="1"/>
  <c r="S3927" i="1"/>
  <c r="T3927" i="1"/>
  <c r="U3927" i="1"/>
  <c r="BD3927" i="1"/>
  <c r="CE3927" i="1"/>
  <c r="A3928" i="1"/>
  <c r="C3928" i="1"/>
  <c r="S3928" i="1"/>
  <c r="T3928" i="1"/>
  <c r="U3928" i="1"/>
  <c r="BD3928" i="1"/>
  <c r="CE3928" i="1"/>
  <c r="A3929" i="1"/>
  <c r="C3929" i="1"/>
  <c r="S3929" i="1"/>
  <c r="T3929" i="1"/>
  <c r="U3929" i="1"/>
  <c r="BD3929" i="1"/>
  <c r="CE3929" i="1"/>
  <c r="A3930" i="1"/>
  <c r="C3930" i="1"/>
  <c r="S3930" i="1"/>
  <c r="T3930" i="1"/>
  <c r="U3930" i="1"/>
  <c r="BD3930" i="1"/>
  <c r="CE3930" i="1"/>
  <c r="A3931" i="1"/>
  <c r="C3931" i="1"/>
  <c r="S3931" i="1"/>
  <c r="T3931" i="1"/>
  <c r="U3931" i="1"/>
  <c r="BD3931" i="1"/>
  <c r="CE3931" i="1"/>
  <c r="A3932" i="1"/>
  <c r="C3932" i="1"/>
  <c r="S3932" i="1"/>
  <c r="T3932" i="1"/>
  <c r="U3932" i="1"/>
  <c r="BD3932" i="1"/>
  <c r="CE3932" i="1"/>
  <c r="A3933" i="1"/>
  <c r="C3933" i="1"/>
  <c r="S3933" i="1"/>
  <c r="T3933" i="1"/>
  <c r="U3933" i="1"/>
  <c r="BD3933" i="1"/>
  <c r="CE3933" i="1"/>
  <c r="A3934" i="1"/>
  <c r="C3934" i="1"/>
  <c r="S3934" i="1"/>
  <c r="T3934" i="1"/>
  <c r="U3934" i="1"/>
  <c r="BD3934" i="1"/>
  <c r="CE3934" i="1"/>
  <c r="A3935" i="1"/>
  <c r="C3935" i="1"/>
  <c r="S3935" i="1"/>
  <c r="T3935" i="1"/>
  <c r="U3935" i="1"/>
  <c r="BD3935" i="1"/>
  <c r="CE3935" i="1"/>
  <c r="A3936" i="1"/>
  <c r="C3936" i="1"/>
  <c r="S3936" i="1"/>
  <c r="T3936" i="1"/>
  <c r="U3936" i="1"/>
  <c r="BD3936" i="1"/>
  <c r="CE3936" i="1"/>
  <c r="A3937" i="1"/>
  <c r="C3937" i="1"/>
  <c r="S3937" i="1"/>
  <c r="T3937" i="1"/>
  <c r="U3937" i="1"/>
  <c r="BD3937" i="1"/>
  <c r="CE3937" i="1"/>
  <c r="A3938" i="1"/>
  <c r="C3938" i="1"/>
  <c r="S3938" i="1"/>
  <c r="T3938" i="1"/>
  <c r="U3938" i="1"/>
  <c r="BD3938" i="1"/>
  <c r="CE3938" i="1"/>
  <c r="A3939" i="1"/>
  <c r="C3939" i="1"/>
  <c r="S3939" i="1"/>
  <c r="T3939" i="1"/>
  <c r="U3939" i="1"/>
  <c r="BD3939" i="1"/>
  <c r="CE3939" i="1"/>
  <c r="A3940" i="1"/>
  <c r="C3940" i="1"/>
  <c r="S3940" i="1"/>
  <c r="T3940" i="1"/>
  <c r="U3940" i="1"/>
  <c r="BD3940" i="1"/>
  <c r="CE3940" i="1"/>
  <c r="A3941" i="1"/>
  <c r="C3941" i="1"/>
  <c r="S3941" i="1"/>
  <c r="T3941" i="1"/>
  <c r="U3941" i="1"/>
  <c r="BD3941" i="1"/>
  <c r="CE3941" i="1"/>
  <c r="A3942" i="1"/>
  <c r="C3942" i="1"/>
  <c r="S3942" i="1"/>
  <c r="T3942" i="1"/>
  <c r="U3942" i="1"/>
  <c r="BD3942" i="1"/>
  <c r="CE3942" i="1"/>
  <c r="A3943" i="1"/>
  <c r="C3943" i="1"/>
  <c r="S3943" i="1"/>
  <c r="T3943" i="1"/>
  <c r="U3943" i="1"/>
  <c r="BD3943" i="1"/>
  <c r="CE3943" i="1"/>
  <c r="A3944" i="1"/>
  <c r="C3944" i="1"/>
  <c r="S3944" i="1"/>
  <c r="T3944" i="1"/>
  <c r="U3944" i="1"/>
  <c r="BD3944" i="1"/>
  <c r="CE3944" i="1"/>
  <c r="A3945" i="1"/>
  <c r="C3945" i="1"/>
  <c r="S3945" i="1"/>
  <c r="T3945" i="1"/>
  <c r="U3945" i="1"/>
  <c r="BD3945" i="1"/>
  <c r="CE3945" i="1"/>
  <c r="A3946" i="1"/>
  <c r="C3946" i="1"/>
  <c r="S3946" i="1"/>
  <c r="T3946" i="1"/>
  <c r="U3946" i="1"/>
  <c r="BD3946" i="1"/>
  <c r="CE3946" i="1"/>
  <c r="A3947" i="1"/>
  <c r="C3947" i="1"/>
  <c r="S3947" i="1"/>
  <c r="T3947" i="1"/>
  <c r="U3947" i="1"/>
  <c r="BD3947" i="1"/>
  <c r="CE3947" i="1"/>
  <c r="A3948" i="1"/>
  <c r="C3948" i="1"/>
  <c r="S3948" i="1"/>
  <c r="T3948" i="1"/>
  <c r="U3948" i="1"/>
  <c r="BD3948" i="1"/>
  <c r="CE3948" i="1"/>
  <c r="A3949" i="1"/>
  <c r="C3949" i="1"/>
  <c r="S3949" i="1"/>
  <c r="T3949" i="1"/>
  <c r="U3949" i="1"/>
  <c r="BD3949" i="1"/>
  <c r="CE3949" i="1"/>
  <c r="A3950" i="1"/>
  <c r="C3950" i="1"/>
  <c r="S3950" i="1"/>
  <c r="T3950" i="1"/>
  <c r="U3950" i="1"/>
  <c r="BD3950" i="1"/>
  <c r="CE3950" i="1"/>
  <c r="A3951" i="1"/>
  <c r="C3951" i="1"/>
  <c r="S3951" i="1"/>
  <c r="T3951" i="1"/>
  <c r="U3951" i="1"/>
  <c r="BD3951" i="1"/>
  <c r="CE3951" i="1"/>
  <c r="A3952" i="1"/>
  <c r="C3952" i="1"/>
  <c r="S3952" i="1"/>
  <c r="T3952" i="1"/>
  <c r="U3952" i="1"/>
  <c r="BD3952" i="1"/>
  <c r="CE3952" i="1"/>
  <c r="A3953" i="1"/>
  <c r="C3953" i="1"/>
  <c r="S3953" i="1"/>
  <c r="T3953" i="1"/>
  <c r="U3953" i="1"/>
  <c r="BD3953" i="1"/>
  <c r="CE3953" i="1"/>
  <c r="A3954" i="1"/>
  <c r="C3954" i="1"/>
  <c r="S3954" i="1"/>
  <c r="T3954" i="1"/>
  <c r="U3954" i="1"/>
  <c r="BD3954" i="1"/>
  <c r="CE3954" i="1"/>
  <c r="A3955" i="1"/>
  <c r="C3955" i="1"/>
  <c r="S3955" i="1"/>
  <c r="T3955" i="1"/>
  <c r="U3955" i="1"/>
  <c r="BD3955" i="1"/>
  <c r="CE3955" i="1"/>
  <c r="A3956" i="1"/>
  <c r="C3956" i="1"/>
  <c r="S3956" i="1"/>
  <c r="T3956" i="1"/>
  <c r="U3956" i="1"/>
  <c r="BD3956" i="1"/>
  <c r="CE3956" i="1"/>
  <c r="A3957" i="1"/>
  <c r="C3957" i="1"/>
  <c r="S3957" i="1"/>
  <c r="T3957" i="1"/>
  <c r="U3957" i="1"/>
  <c r="BD3957" i="1"/>
  <c r="CE3957" i="1"/>
  <c r="A3958" i="1"/>
  <c r="C3958" i="1"/>
  <c r="S3958" i="1"/>
  <c r="T3958" i="1"/>
  <c r="U3958" i="1"/>
  <c r="BD3958" i="1"/>
  <c r="CE3958" i="1"/>
  <c r="A3959" i="1"/>
  <c r="C3959" i="1"/>
  <c r="S3959" i="1"/>
  <c r="T3959" i="1"/>
  <c r="U3959" i="1"/>
  <c r="BD3959" i="1"/>
  <c r="CE3959" i="1"/>
  <c r="A3960" i="1"/>
  <c r="C3960" i="1"/>
  <c r="S3960" i="1"/>
  <c r="T3960" i="1"/>
  <c r="U3960" i="1"/>
  <c r="BD3960" i="1"/>
  <c r="CE3960" i="1"/>
  <c r="A3961" i="1"/>
  <c r="C3961" i="1"/>
  <c r="S3961" i="1"/>
  <c r="T3961" i="1"/>
  <c r="U3961" i="1"/>
  <c r="BD3961" i="1"/>
  <c r="CE3961" i="1"/>
  <c r="A3962" i="1"/>
  <c r="C3962" i="1"/>
  <c r="S3962" i="1"/>
  <c r="T3962" i="1"/>
  <c r="U3962" i="1"/>
  <c r="BD3962" i="1"/>
  <c r="CE3962" i="1"/>
  <c r="A3963" i="1"/>
  <c r="C3963" i="1"/>
  <c r="S3963" i="1"/>
  <c r="T3963" i="1"/>
  <c r="U3963" i="1"/>
  <c r="BD3963" i="1"/>
  <c r="CE3963" i="1"/>
  <c r="A3964" i="1"/>
  <c r="C3964" i="1"/>
  <c r="S3964" i="1"/>
  <c r="T3964" i="1"/>
  <c r="U3964" i="1"/>
  <c r="BD3964" i="1"/>
  <c r="CE3964" i="1"/>
  <c r="A3965" i="1"/>
  <c r="C3965" i="1"/>
  <c r="S3965" i="1"/>
  <c r="T3965" i="1"/>
  <c r="U3965" i="1"/>
  <c r="BD3965" i="1"/>
  <c r="CE3965" i="1"/>
  <c r="A3966" i="1"/>
  <c r="C3966" i="1"/>
  <c r="S3966" i="1"/>
  <c r="T3966" i="1"/>
  <c r="U3966" i="1"/>
  <c r="BD3966" i="1"/>
  <c r="CE3966" i="1"/>
  <c r="A3967" i="1"/>
  <c r="C3967" i="1"/>
  <c r="S3967" i="1"/>
  <c r="T3967" i="1"/>
  <c r="U3967" i="1"/>
  <c r="BD3967" i="1"/>
  <c r="CE3967" i="1"/>
  <c r="A3968" i="1"/>
  <c r="C3968" i="1"/>
  <c r="S3968" i="1"/>
  <c r="T3968" i="1"/>
  <c r="U3968" i="1"/>
  <c r="BD3968" i="1"/>
  <c r="CE3968" i="1"/>
  <c r="A3969" i="1"/>
  <c r="C3969" i="1"/>
  <c r="S3969" i="1"/>
  <c r="T3969" i="1"/>
  <c r="U3969" i="1"/>
  <c r="BD3969" i="1"/>
  <c r="CE3969" i="1"/>
  <c r="A3970" i="1"/>
  <c r="C3970" i="1"/>
  <c r="S3970" i="1"/>
  <c r="T3970" i="1"/>
  <c r="U3970" i="1"/>
  <c r="BD3970" i="1"/>
  <c r="CE3970" i="1"/>
  <c r="A3971" i="1"/>
  <c r="C3971" i="1"/>
  <c r="S3971" i="1"/>
  <c r="T3971" i="1"/>
  <c r="U3971" i="1"/>
  <c r="BD3971" i="1"/>
  <c r="CE3971" i="1"/>
  <c r="A3972" i="1"/>
  <c r="C3972" i="1"/>
  <c r="S3972" i="1"/>
  <c r="T3972" i="1"/>
  <c r="U3972" i="1"/>
  <c r="BD3972" i="1"/>
  <c r="CE3972" i="1"/>
  <c r="A3973" i="1"/>
  <c r="C3973" i="1"/>
  <c r="S3973" i="1"/>
  <c r="T3973" i="1"/>
  <c r="U3973" i="1"/>
  <c r="BD3973" i="1"/>
  <c r="CE3973" i="1"/>
  <c r="A3974" i="1"/>
  <c r="C3974" i="1"/>
  <c r="S3974" i="1"/>
  <c r="T3974" i="1"/>
  <c r="U3974" i="1"/>
  <c r="BD3974" i="1"/>
  <c r="CE3974" i="1"/>
  <c r="A3975" i="1"/>
  <c r="C3975" i="1"/>
  <c r="S3975" i="1"/>
  <c r="T3975" i="1"/>
  <c r="U3975" i="1"/>
  <c r="BD3975" i="1"/>
  <c r="CE3975" i="1"/>
  <c r="A3976" i="1"/>
  <c r="C3976" i="1"/>
  <c r="S3976" i="1"/>
  <c r="T3976" i="1"/>
  <c r="U3976" i="1"/>
  <c r="BD3976" i="1"/>
  <c r="CE3976" i="1"/>
  <c r="A3977" i="1"/>
  <c r="C3977" i="1"/>
  <c r="S3977" i="1"/>
  <c r="T3977" i="1"/>
  <c r="U3977" i="1"/>
  <c r="BD3977" i="1"/>
  <c r="CE3977" i="1"/>
  <c r="A3978" i="1"/>
  <c r="C3978" i="1"/>
  <c r="S3978" i="1"/>
  <c r="T3978" i="1"/>
  <c r="U3978" i="1"/>
  <c r="BD3978" i="1"/>
  <c r="CE3978" i="1"/>
  <c r="A3979" i="1"/>
  <c r="C3979" i="1"/>
  <c r="S3979" i="1"/>
  <c r="T3979" i="1"/>
  <c r="U3979" i="1"/>
  <c r="BD3979" i="1"/>
  <c r="CE3979" i="1"/>
  <c r="A3980" i="1"/>
  <c r="C3980" i="1"/>
  <c r="S3980" i="1"/>
  <c r="T3980" i="1"/>
  <c r="U3980" i="1"/>
  <c r="BD3980" i="1"/>
  <c r="CE3980" i="1"/>
  <c r="A3981" i="1"/>
  <c r="C3981" i="1"/>
  <c r="S3981" i="1"/>
  <c r="T3981" i="1"/>
  <c r="U3981" i="1"/>
  <c r="BD3981" i="1"/>
  <c r="CE3981" i="1"/>
  <c r="A3982" i="1"/>
  <c r="C3982" i="1"/>
  <c r="S3982" i="1"/>
  <c r="T3982" i="1"/>
  <c r="U3982" i="1"/>
  <c r="BD3982" i="1"/>
  <c r="CE3982" i="1"/>
  <c r="A3983" i="1"/>
  <c r="C3983" i="1"/>
  <c r="S3983" i="1"/>
  <c r="T3983" i="1"/>
  <c r="U3983" i="1"/>
  <c r="BD3983" i="1"/>
  <c r="CE3983" i="1"/>
  <c r="A3984" i="1"/>
  <c r="C3984" i="1"/>
  <c r="S3984" i="1"/>
  <c r="T3984" i="1"/>
  <c r="U3984" i="1"/>
  <c r="BD3984" i="1"/>
  <c r="CE3984" i="1"/>
  <c r="A3985" i="1"/>
  <c r="C3985" i="1"/>
  <c r="S3985" i="1"/>
  <c r="T3985" i="1"/>
  <c r="U3985" i="1"/>
  <c r="BD3985" i="1"/>
  <c r="CE3985" i="1"/>
  <c r="A3986" i="1"/>
  <c r="C3986" i="1"/>
  <c r="S3986" i="1"/>
  <c r="T3986" i="1"/>
  <c r="U3986" i="1"/>
  <c r="BD3986" i="1"/>
  <c r="CE3986" i="1"/>
  <c r="A3987" i="1"/>
  <c r="C3987" i="1"/>
  <c r="S3987" i="1"/>
  <c r="T3987" i="1"/>
  <c r="U3987" i="1"/>
  <c r="BD3987" i="1"/>
  <c r="CE3987" i="1"/>
  <c r="A3988" i="1"/>
  <c r="C3988" i="1"/>
  <c r="S3988" i="1"/>
  <c r="T3988" i="1"/>
  <c r="U3988" i="1"/>
  <c r="BD3988" i="1"/>
  <c r="CE3988" i="1"/>
  <c r="A3989" i="1"/>
  <c r="C3989" i="1"/>
  <c r="S3989" i="1"/>
  <c r="T3989" i="1"/>
  <c r="U3989" i="1"/>
  <c r="BD3989" i="1"/>
  <c r="CE3989" i="1"/>
  <c r="A3990" i="1"/>
  <c r="C3990" i="1"/>
  <c r="S3990" i="1"/>
  <c r="T3990" i="1"/>
  <c r="U3990" i="1"/>
  <c r="BD3990" i="1"/>
  <c r="CE3990" i="1"/>
  <c r="A3991" i="1"/>
  <c r="C3991" i="1"/>
  <c r="S3991" i="1"/>
  <c r="T3991" i="1"/>
  <c r="U3991" i="1"/>
  <c r="BD3991" i="1"/>
  <c r="CE3991" i="1"/>
  <c r="A3992" i="1"/>
  <c r="C3992" i="1"/>
  <c r="S3992" i="1"/>
  <c r="T3992" i="1"/>
  <c r="U3992" i="1"/>
  <c r="BD3992" i="1"/>
  <c r="CE3992" i="1"/>
  <c r="A3993" i="1"/>
  <c r="C3993" i="1"/>
  <c r="S3993" i="1"/>
  <c r="T3993" i="1"/>
  <c r="U3993" i="1"/>
  <c r="BD3993" i="1"/>
  <c r="CE3993" i="1"/>
  <c r="A3994" i="1"/>
  <c r="C3994" i="1"/>
  <c r="S3994" i="1"/>
  <c r="T3994" i="1"/>
  <c r="U3994" i="1"/>
  <c r="BD3994" i="1"/>
  <c r="CE3994" i="1"/>
  <c r="A3995" i="1"/>
  <c r="C3995" i="1"/>
  <c r="S3995" i="1"/>
  <c r="T3995" i="1"/>
  <c r="U3995" i="1"/>
  <c r="BD3995" i="1"/>
  <c r="CE3995" i="1"/>
  <c r="A3996" i="1"/>
  <c r="C3996" i="1"/>
  <c r="S3996" i="1"/>
  <c r="T3996" i="1"/>
  <c r="U3996" i="1"/>
  <c r="BD3996" i="1"/>
  <c r="CE3996" i="1"/>
  <c r="A3997" i="1"/>
  <c r="C3997" i="1"/>
  <c r="S3997" i="1"/>
  <c r="T3997" i="1"/>
  <c r="U3997" i="1"/>
  <c r="BD3997" i="1"/>
  <c r="CE3997" i="1"/>
  <c r="A3998" i="1"/>
  <c r="C3998" i="1"/>
  <c r="S3998" i="1"/>
  <c r="T3998" i="1"/>
  <c r="U3998" i="1"/>
  <c r="BD3998" i="1"/>
  <c r="CE3998" i="1"/>
  <c r="A3999" i="1"/>
  <c r="C3999" i="1"/>
  <c r="S3999" i="1"/>
  <c r="T3999" i="1"/>
  <c r="U3999" i="1"/>
  <c r="BD3999" i="1"/>
  <c r="CE3999" i="1"/>
  <c r="A4000" i="1"/>
  <c r="C4000" i="1"/>
  <c r="S4000" i="1"/>
  <c r="T4000" i="1"/>
  <c r="U4000" i="1"/>
  <c r="BD4000" i="1"/>
  <c r="CE4000" i="1"/>
  <c r="A4001" i="1"/>
  <c r="C4001" i="1"/>
  <c r="S4001" i="1"/>
  <c r="T4001" i="1"/>
  <c r="U4001" i="1"/>
  <c r="BD4001" i="1"/>
  <c r="CE4001" i="1"/>
  <c r="A4002" i="1"/>
  <c r="C4002" i="1"/>
  <c r="S4002" i="1"/>
  <c r="T4002" i="1"/>
  <c r="U4002" i="1"/>
  <c r="BD4002" i="1"/>
  <c r="CE4002" i="1"/>
  <c r="A4003" i="1"/>
  <c r="C4003" i="1"/>
  <c r="S4003" i="1"/>
  <c r="T4003" i="1"/>
  <c r="U4003" i="1"/>
  <c r="BD4003" i="1"/>
  <c r="CE4003" i="1"/>
  <c r="A4004" i="1"/>
  <c r="C4004" i="1"/>
  <c r="S4004" i="1"/>
  <c r="T4004" i="1"/>
  <c r="U4004" i="1"/>
  <c r="BD4004" i="1"/>
  <c r="CE4004" i="1"/>
  <c r="A4005" i="1"/>
  <c r="C4005" i="1"/>
  <c r="S4005" i="1"/>
  <c r="T4005" i="1"/>
  <c r="U4005" i="1"/>
  <c r="BD4005" i="1"/>
  <c r="CE4005" i="1"/>
  <c r="A4006" i="1"/>
  <c r="C4006" i="1"/>
  <c r="S4006" i="1"/>
  <c r="T4006" i="1"/>
  <c r="U4006" i="1"/>
  <c r="BD4006" i="1"/>
  <c r="CE4006" i="1"/>
  <c r="A4007" i="1"/>
  <c r="C4007" i="1"/>
  <c r="S4007" i="1"/>
  <c r="T4007" i="1"/>
  <c r="U4007" i="1"/>
  <c r="BD4007" i="1"/>
  <c r="CE4007" i="1"/>
  <c r="A4008" i="1"/>
  <c r="C4008" i="1"/>
  <c r="S4008" i="1"/>
  <c r="T4008" i="1"/>
  <c r="U4008" i="1"/>
  <c r="BD4008" i="1"/>
  <c r="CE4008" i="1"/>
  <c r="A4009" i="1"/>
  <c r="C4009" i="1"/>
  <c r="S4009" i="1"/>
  <c r="T4009" i="1"/>
  <c r="U4009" i="1"/>
  <c r="BD4009" i="1"/>
  <c r="CE4009" i="1"/>
  <c r="A4010" i="1"/>
  <c r="C4010" i="1"/>
  <c r="S4010" i="1"/>
  <c r="T4010" i="1"/>
  <c r="U4010" i="1"/>
  <c r="BD4010" i="1"/>
  <c r="CE4010" i="1"/>
  <c r="A4011" i="1"/>
  <c r="C4011" i="1"/>
  <c r="S4011" i="1"/>
  <c r="T4011" i="1"/>
  <c r="U4011" i="1"/>
  <c r="BD4011" i="1"/>
  <c r="CE4011" i="1"/>
  <c r="A4012" i="1"/>
  <c r="C4012" i="1"/>
  <c r="S4012" i="1"/>
  <c r="T4012" i="1"/>
  <c r="U4012" i="1"/>
  <c r="BD4012" i="1"/>
  <c r="CE4012" i="1"/>
  <c r="A4013" i="1"/>
  <c r="C4013" i="1"/>
  <c r="S4013" i="1"/>
  <c r="T4013" i="1"/>
  <c r="U4013" i="1"/>
  <c r="BD4013" i="1"/>
  <c r="CE4013" i="1"/>
  <c r="A4014" i="1"/>
  <c r="C4014" i="1"/>
  <c r="S4014" i="1"/>
  <c r="T4014" i="1"/>
  <c r="U4014" i="1"/>
  <c r="BD4014" i="1"/>
  <c r="CE4014" i="1"/>
  <c r="A4015" i="1"/>
  <c r="C4015" i="1"/>
  <c r="S4015" i="1"/>
  <c r="T4015" i="1"/>
  <c r="U4015" i="1"/>
  <c r="BD4015" i="1"/>
  <c r="CE4015" i="1"/>
  <c r="A4016" i="1"/>
  <c r="C4016" i="1"/>
  <c r="S4016" i="1"/>
  <c r="T4016" i="1"/>
  <c r="U4016" i="1"/>
  <c r="BD4016" i="1"/>
  <c r="CE4016" i="1"/>
  <c r="A4017" i="1"/>
  <c r="C4017" i="1"/>
  <c r="S4017" i="1"/>
  <c r="T4017" i="1"/>
  <c r="U4017" i="1"/>
  <c r="BD4017" i="1"/>
  <c r="CE4017" i="1"/>
  <c r="A4018" i="1"/>
  <c r="C4018" i="1"/>
  <c r="S4018" i="1"/>
  <c r="T4018" i="1"/>
  <c r="U4018" i="1"/>
  <c r="BD4018" i="1"/>
  <c r="CE4018" i="1"/>
  <c r="A4019" i="1"/>
  <c r="C4019" i="1"/>
  <c r="S4019" i="1"/>
  <c r="T4019" i="1"/>
  <c r="U4019" i="1"/>
  <c r="BD4019" i="1"/>
  <c r="CE4019" i="1"/>
  <c r="A4020" i="1"/>
  <c r="C4020" i="1"/>
  <c r="S4020" i="1"/>
  <c r="T4020" i="1"/>
  <c r="U4020" i="1"/>
  <c r="BD4020" i="1"/>
  <c r="CE4020" i="1"/>
  <c r="A4021" i="1"/>
  <c r="C4021" i="1"/>
  <c r="S4021" i="1"/>
  <c r="T4021" i="1"/>
  <c r="U4021" i="1"/>
  <c r="BD4021" i="1"/>
  <c r="CE4021" i="1"/>
  <c r="A4022" i="1"/>
  <c r="C4022" i="1"/>
  <c r="S4022" i="1"/>
  <c r="T4022" i="1"/>
  <c r="U4022" i="1"/>
  <c r="BD4022" i="1"/>
  <c r="CE4022" i="1"/>
  <c r="A4023" i="1"/>
  <c r="C4023" i="1"/>
  <c r="S4023" i="1"/>
  <c r="T4023" i="1"/>
  <c r="U4023" i="1"/>
  <c r="BD4023" i="1"/>
  <c r="CE4023" i="1"/>
  <c r="A4024" i="1"/>
  <c r="C4024" i="1"/>
  <c r="S4024" i="1"/>
  <c r="T4024" i="1"/>
  <c r="U4024" i="1"/>
  <c r="BD4024" i="1"/>
  <c r="CE4024" i="1"/>
  <c r="A4025" i="1"/>
  <c r="C4025" i="1"/>
  <c r="S4025" i="1"/>
  <c r="T4025" i="1"/>
  <c r="U4025" i="1"/>
  <c r="BD4025" i="1"/>
  <c r="CE4025" i="1"/>
  <c r="A4026" i="1"/>
  <c r="C4026" i="1"/>
  <c r="S4026" i="1"/>
  <c r="T4026" i="1"/>
  <c r="U4026" i="1"/>
  <c r="BD4026" i="1"/>
  <c r="CE4026" i="1"/>
  <c r="A4027" i="1"/>
  <c r="C4027" i="1"/>
  <c r="S4027" i="1"/>
  <c r="T4027" i="1"/>
  <c r="U4027" i="1"/>
  <c r="BD4027" i="1"/>
  <c r="CE4027" i="1"/>
  <c r="A4028" i="1"/>
  <c r="C4028" i="1"/>
  <c r="S4028" i="1"/>
  <c r="T4028" i="1"/>
  <c r="U4028" i="1"/>
  <c r="BD4028" i="1"/>
  <c r="CE4028" i="1"/>
  <c r="A4029" i="1"/>
  <c r="C4029" i="1"/>
  <c r="S4029" i="1"/>
  <c r="T4029" i="1"/>
  <c r="U4029" i="1"/>
  <c r="BD4029" i="1"/>
  <c r="CE4029" i="1"/>
  <c r="A4030" i="1"/>
  <c r="C4030" i="1"/>
  <c r="S4030" i="1"/>
  <c r="T4030" i="1"/>
  <c r="U4030" i="1"/>
  <c r="BD4030" i="1"/>
  <c r="CE4030" i="1"/>
  <c r="A4031" i="1"/>
  <c r="C4031" i="1"/>
  <c r="S4031" i="1"/>
  <c r="T4031" i="1"/>
  <c r="U4031" i="1"/>
  <c r="BD4031" i="1"/>
  <c r="CE4031" i="1"/>
  <c r="A4032" i="1"/>
  <c r="C4032" i="1"/>
  <c r="S4032" i="1"/>
  <c r="T4032" i="1"/>
  <c r="U4032" i="1"/>
  <c r="BD4032" i="1"/>
  <c r="CE4032" i="1"/>
  <c r="A4033" i="1"/>
  <c r="C4033" i="1"/>
  <c r="S4033" i="1"/>
  <c r="T4033" i="1"/>
  <c r="U4033" i="1"/>
  <c r="BD4033" i="1"/>
  <c r="CE4033" i="1"/>
  <c r="A4034" i="1"/>
  <c r="C4034" i="1"/>
  <c r="S4034" i="1"/>
  <c r="T4034" i="1"/>
  <c r="U4034" i="1"/>
  <c r="BD4034" i="1"/>
  <c r="CE4034" i="1"/>
  <c r="A4035" i="1"/>
  <c r="C4035" i="1"/>
  <c r="S4035" i="1"/>
  <c r="T4035" i="1"/>
  <c r="U4035" i="1"/>
  <c r="BD4035" i="1"/>
  <c r="CE4035" i="1"/>
  <c r="A4036" i="1"/>
  <c r="C4036" i="1"/>
  <c r="S4036" i="1"/>
  <c r="T4036" i="1"/>
  <c r="U4036" i="1"/>
  <c r="BD4036" i="1"/>
  <c r="CE4036" i="1"/>
  <c r="A4037" i="1"/>
  <c r="C4037" i="1"/>
  <c r="S4037" i="1"/>
  <c r="T4037" i="1"/>
  <c r="U4037" i="1"/>
  <c r="BD4037" i="1"/>
  <c r="CE4037" i="1"/>
  <c r="A4038" i="1"/>
  <c r="C4038" i="1"/>
  <c r="S4038" i="1"/>
  <c r="T4038" i="1"/>
  <c r="U4038" i="1"/>
  <c r="BD4038" i="1"/>
  <c r="CE4038" i="1"/>
  <c r="A4039" i="1"/>
  <c r="C4039" i="1"/>
  <c r="S4039" i="1"/>
  <c r="T4039" i="1"/>
  <c r="U4039" i="1"/>
  <c r="BD4039" i="1"/>
  <c r="CE4039" i="1"/>
  <c r="A4040" i="1"/>
  <c r="C4040" i="1"/>
  <c r="S4040" i="1"/>
  <c r="T4040" i="1"/>
  <c r="U4040" i="1"/>
  <c r="BD4040" i="1"/>
  <c r="CE4040" i="1"/>
  <c r="A4041" i="1"/>
  <c r="C4041" i="1"/>
  <c r="S4041" i="1"/>
  <c r="T4041" i="1"/>
  <c r="U4041" i="1"/>
  <c r="BD4041" i="1"/>
  <c r="CE4041" i="1"/>
  <c r="A4042" i="1"/>
  <c r="C4042" i="1"/>
  <c r="S4042" i="1"/>
  <c r="T4042" i="1"/>
  <c r="U4042" i="1"/>
  <c r="BD4042" i="1"/>
  <c r="CE4042" i="1"/>
  <c r="A4043" i="1"/>
  <c r="C4043" i="1"/>
  <c r="S4043" i="1"/>
  <c r="T4043" i="1"/>
  <c r="U4043" i="1"/>
  <c r="BD4043" i="1"/>
  <c r="CE4043" i="1"/>
  <c r="A4044" i="1"/>
  <c r="C4044" i="1"/>
  <c r="S4044" i="1"/>
  <c r="T4044" i="1"/>
  <c r="U4044" i="1"/>
  <c r="BD4044" i="1"/>
  <c r="CE4044" i="1"/>
  <c r="A4045" i="1"/>
  <c r="C4045" i="1"/>
  <c r="S4045" i="1"/>
  <c r="T4045" i="1"/>
  <c r="U4045" i="1"/>
  <c r="BD4045" i="1"/>
  <c r="CE4045" i="1"/>
  <c r="A4046" i="1"/>
  <c r="C4046" i="1"/>
  <c r="S4046" i="1"/>
  <c r="T4046" i="1"/>
  <c r="U4046" i="1"/>
  <c r="BD4046" i="1"/>
  <c r="CE4046" i="1"/>
  <c r="A4047" i="1"/>
  <c r="C4047" i="1"/>
  <c r="S4047" i="1"/>
  <c r="T4047" i="1"/>
  <c r="U4047" i="1"/>
  <c r="BD4047" i="1"/>
  <c r="CE4047" i="1"/>
  <c r="A4048" i="1"/>
  <c r="C4048" i="1"/>
  <c r="S4048" i="1"/>
  <c r="T4048" i="1"/>
  <c r="U4048" i="1"/>
  <c r="BD4048" i="1"/>
  <c r="CE4048" i="1"/>
  <c r="A4049" i="1"/>
  <c r="C4049" i="1"/>
  <c r="S4049" i="1"/>
  <c r="T4049" i="1"/>
  <c r="U4049" i="1"/>
  <c r="BD4049" i="1"/>
  <c r="CE4049" i="1"/>
  <c r="A4050" i="1"/>
  <c r="C4050" i="1"/>
  <c r="S4050" i="1"/>
  <c r="T4050" i="1"/>
  <c r="U4050" i="1"/>
  <c r="BD4050" i="1"/>
  <c r="CE4050" i="1"/>
  <c r="A4051" i="1"/>
  <c r="C4051" i="1"/>
  <c r="S4051" i="1"/>
  <c r="T4051" i="1"/>
  <c r="U4051" i="1"/>
  <c r="BD4051" i="1"/>
  <c r="CE4051" i="1"/>
  <c r="A4052" i="1"/>
  <c r="C4052" i="1"/>
  <c r="S4052" i="1"/>
  <c r="T4052" i="1"/>
  <c r="U4052" i="1"/>
  <c r="BD4052" i="1"/>
  <c r="CE4052" i="1"/>
  <c r="A4053" i="1"/>
  <c r="C4053" i="1"/>
  <c r="S4053" i="1"/>
  <c r="T4053" i="1"/>
  <c r="U4053" i="1"/>
  <c r="BD4053" i="1"/>
  <c r="CE4053" i="1"/>
  <c r="A4054" i="1"/>
  <c r="C4054" i="1"/>
  <c r="S4054" i="1"/>
  <c r="T4054" i="1"/>
  <c r="U4054" i="1"/>
  <c r="BD4054" i="1"/>
  <c r="CE4054" i="1"/>
  <c r="A4055" i="1"/>
  <c r="C4055" i="1"/>
  <c r="S4055" i="1"/>
  <c r="T4055" i="1"/>
  <c r="U4055" i="1"/>
  <c r="BD4055" i="1"/>
  <c r="CE4055" i="1"/>
  <c r="A4056" i="1"/>
  <c r="C4056" i="1"/>
  <c r="S4056" i="1"/>
  <c r="T4056" i="1"/>
  <c r="U4056" i="1"/>
  <c r="BD4056" i="1"/>
  <c r="CE4056" i="1"/>
  <c r="A4057" i="1"/>
  <c r="C4057" i="1"/>
  <c r="S4057" i="1"/>
  <c r="T4057" i="1"/>
  <c r="U4057" i="1"/>
  <c r="BD4057" i="1"/>
  <c r="CE4057" i="1"/>
  <c r="A4058" i="1"/>
  <c r="C4058" i="1"/>
  <c r="S4058" i="1"/>
  <c r="T4058" i="1"/>
  <c r="U4058" i="1"/>
  <c r="BD4058" i="1"/>
  <c r="CE4058" i="1"/>
  <c r="A4059" i="1"/>
  <c r="C4059" i="1"/>
  <c r="S4059" i="1"/>
  <c r="T4059" i="1"/>
  <c r="U4059" i="1"/>
  <c r="BD4059" i="1"/>
  <c r="CE4059" i="1"/>
  <c r="A4060" i="1"/>
  <c r="C4060" i="1"/>
  <c r="S4060" i="1"/>
  <c r="T4060" i="1"/>
  <c r="U4060" i="1"/>
  <c r="BD4060" i="1"/>
  <c r="CE4060" i="1"/>
  <c r="A4061" i="1"/>
  <c r="C4061" i="1"/>
  <c r="S4061" i="1"/>
  <c r="T4061" i="1"/>
  <c r="U4061" i="1"/>
  <c r="BD4061" i="1"/>
  <c r="CE4061" i="1"/>
  <c r="A4062" i="1"/>
  <c r="C4062" i="1"/>
  <c r="S4062" i="1"/>
  <c r="T4062" i="1"/>
  <c r="U4062" i="1"/>
  <c r="BD4062" i="1"/>
  <c r="CE4062" i="1"/>
  <c r="A4063" i="1"/>
  <c r="C4063" i="1"/>
  <c r="S4063" i="1"/>
  <c r="T4063" i="1"/>
  <c r="U4063" i="1"/>
  <c r="BD4063" i="1"/>
  <c r="CE4063" i="1"/>
  <c r="A4064" i="1"/>
  <c r="C4064" i="1"/>
  <c r="S4064" i="1"/>
  <c r="T4064" i="1"/>
  <c r="U4064" i="1"/>
  <c r="BD4064" i="1"/>
  <c r="CE4064" i="1"/>
  <c r="A4065" i="1"/>
  <c r="C4065" i="1"/>
  <c r="S4065" i="1"/>
  <c r="T4065" i="1"/>
  <c r="U4065" i="1"/>
  <c r="BD4065" i="1"/>
  <c r="CE4065" i="1"/>
  <c r="A4066" i="1"/>
  <c r="C4066" i="1"/>
  <c r="S4066" i="1"/>
  <c r="T4066" i="1"/>
  <c r="U4066" i="1"/>
  <c r="BD4066" i="1"/>
  <c r="CE4066" i="1"/>
  <c r="A4067" i="1"/>
  <c r="C4067" i="1"/>
  <c r="S4067" i="1"/>
  <c r="T4067" i="1"/>
  <c r="U4067" i="1"/>
  <c r="BD4067" i="1"/>
  <c r="CE4067" i="1"/>
  <c r="A4068" i="1"/>
  <c r="C4068" i="1"/>
  <c r="S4068" i="1"/>
  <c r="T4068" i="1"/>
  <c r="U4068" i="1"/>
  <c r="BD4068" i="1"/>
  <c r="CE4068" i="1"/>
  <c r="A4069" i="1"/>
  <c r="C4069" i="1"/>
  <c r="S4069" i="1"/>
  <c r="T4069" i="1"/>
  <c r="U4069" i="1"/>
  <c r="BD4069" i="1"/>
  <c r="CE4069" i="1"/>
  <c r="A4070" i="1"/>
  <c r="C4070" i="1"/>
  <c r="S4070" i="1"/>
  <c r="T4070" i="1"/>
  <c r="U4070" i="1"/>
  <c r="BD4070" i="1"/>
  <c r="CE4070" i="1"/>
  <c r="A4071" i="1"/>
  <c r="C4071" i="1"/>
  <c r="S4071" i="1"/>
  <c r="T4071" i="1"/>
  <c r="U4071" i="1"/>
  <c r="BD4071" i="1"/>
  <c r="CE4071" i="1"/>
  <c r="A4072" i="1"/>
  <c r="C4072" i="1"/>
  <c r="S4072" i="1"/>
  <c r="T4072" i="1"/>
  <c r="U4072" i="1"/>
  <c r="BD4072" i="1"/>
  <c r="CE4072" i="1"/>
  <c r="A4073" i="1"/>
  <c r="C4073" i="1"/>
  <c r="S4073" i="1"/>
  <c r="T4073" i="1"/>
  <c r="U4073" i="1"/>
  <c r="BD4073" i="1"/>
  <c r="CE4073" i="1"/>
  <c r="A4074" i="1"/>
  <c r="C4074" i="1"/>
  <c r="S4074" i="1"/>
  <c r="T4074" i="1"/>
  <c r="U4074" i="1"/>
  <c r="BD4074" i="1"/>
  <c r="CE4074" i="1"/>
  <c r="A4075" i="1"/>
  <c r="C4075" i="1"/>
  <c r="S4075" i="1"/>
  <c r="T4075" i="1"/>
  <c r="U4075" i="1"/>
  <c r="BD4075" i="1"/>
  <c r="CE4075" i="1"/>
  <c r="A4076" i="1"/>
  <c r="C4076" i="1"/>
  <c r="S4076" i="1"/>
  <c r="T4076" i="1"/>
  <c r="U4076" i="1"/>
  <c r="BD4076" i="1"/>
  <c r="CE4076" i="1"/>
  <c r="A4077" i="1"/>
  <c r="C4077" i="1"/>
  <c r="S4077" i="1"/>
  <c r="T4077" i="1"/>
  <c r="U4077" i="1"/>
  <c r="BD4077" i="1"/>
  <c r="CE4077" i="1"/>
  <c r="A4078" i="1"/>
  <c r="C4078" i="1"/>
  <c r="S4078" i="1"/>
  <c r="T4078" i="1"/>
  <c r="U4078" i="1"/>
  <c r="BD4078" i="1"/>
  <c r="CE4078" i="1"/>
  <c r="A4079" i="1"/>
  <c r="C4079" i="1"/>
  <c r="S4079" i="1"/>
  <c r="T4079" i="1"/>
  <c r="U4079" i="1"/>
  <c r="BD4079" i="1"/>
  <c r="CE4079" i="1"/>
  <c r="A4080" i="1"/>
  <c r="C4080" i="1"/>
  <c r="S4080" i="1"/>
  <c r="T4080" i="1"/>
  <c r="U4080" i="1"/>
  <c r="BD4080" i="1"/>
  <c r="CE4080" i="1"/>
  <c r="A4081" i="1"/>
  <c r="C4081" i="1"/>
  <c r="S4081" i="1"/>
  <c r="T4081" i="1"/>
  <c r="U4081" i="1"/>
  <c r="BD4081" i="1"/>
  <c r="CE4081" i="1"/>
  <c r="A4082" i="1"/>
  <c r="C4082" i="1"/>
  <c r="S4082" i="1"/>
  <c r="T4082" i="1"/>
  <c r="U4082" i="1"/>
  <c r="BD4082" i="1"/>
  <c r="CE4082" i="1"/>
  <c r="A4083" i="1"/>
  <c r="C4083" i="1"/>
  <c r="S4083" i="1"/>
  <c r="T4083" i="1"/>
  <c r="U4083" i="1"/>
  <c r="BD4083" i="1"/>
  <c r="CE4083" i="1"/>
  <c r="A4084" i="1"/>
  <c r="C4084" i="1"/>
  <c r="S4084" i="1"/>
  <c r="T4084" i="1"/>
  <c r="U4084" i="1"/>
  <c r="BD4084" i="1"/>
  <c r="CE4084" i="1"/>
  <c r="A4085" i="1"/>
  <c r="C4085" i="1"/>
  <c r="S4085" i="1"/>
  <c r="T4085" i="1"/>
  <c r="U4085" i="1"/>
  <c r="BD4085" i="1"/>
  <c r="CE4085" i="1"/>
  <c r="A4086" i="1"/>
  <c r="C4086" i="1"/>
  <c r="S4086" i="1"/>
  <c r="T4086" i="1"/>
  <c r="U4086" i="1"/>
  <c r="BD4086" i="1"/>
  <c r="CE4086" i="1"/>
  <c r="A4087" i="1"/>
  <c r="C4087" i="1"/>
  <c r="S4087" i="1"/>
  <c r="T4087" i="1"/>
  <c r="U4087" i="1"/>
  <c r="BD4087" i="1"/>
  <c r="CE4087" i="1"/>
  <c r="A4088" i="1"/>
  <c r="C4088" i="1"/>
  <c r="S4088" i="1"/>
  <c r="T4088" i="1"/>
  <c r="U4088" i="1"/>
  <c r="BD4088" i="1"/>
  <c r="CE4088" i="1"/>
  <c r="A4089" i="1"/>
  <c r="C4089" i="1"/>
  <c r="S4089" i="1"/>
  <c r="T4089" i="1"/>
  <c r="U4089" i="1"/>
  <c r="BD4089" i="1"/>
  <c r="CE4089" i="1"/>
  <c r="A4090" i="1"/>
  <c r="C4090" i="1"/>
  <c r="S4090" i="1"/>
  <c r="T4090" i="1"/>
  <c r="U4090" i="1"/>
  <c r="BD4090" i="1"/>
  <c r="CE4090" i="1"/>
  <c r="A4091" i="1"/>
  <c r="C4091" i="1"/>
  <c r="S4091" i="1"/>
  <c r="T4091" i="1"/>
  <c r="U4091" i="1"/>
  <c r="BD4091" i="1"/>
  <c r="CE4091" i="1"/>
  <c r="A4092" i="1"/>
  <c r="C4092" i="1"/>
  <c r="S4092" i="1"/>
  <c r="T4092" i="1"/>
  <c r="U4092" i="1"/>
  <c r="BD4092" i="1"/>
  <c r="CE4092" i="1"/>
  <c r="A4093" i="1"/>
  <c r="C4093" i="1"/>
  <c r="S4093" i="1"/>
  <c r="T4093" i="1"/>
  <c r="U4093" i="1"/>
  <c r="BD4093" i="1"/>
  <c r="CE4093" i="1"/>
  <c r="A4094" i="1"/>
  <c r="C4094" i="1"/>
  <c r="S4094" i="1"/>
  <c r="T4094" i="1"/>
  <c r="U4094" i="1"/>
  <c r="BD4094" i="1"/>
  <c r="CE4094" i="1"/>
  <c r="A4095" i="1"/>
  <c r="C4095" i="1"/>
  <c r="S4095" i="1"/>
  <c r="T4095" i="1"/>
  <c r="U4095" i="1"/>
  <c r="BD4095" i="1"/>
  <c r="CE4095" i="1"/>
  <c r="A4096" i="1"/>
  <c r="C4096" i="1"/>
  <c r="S4096" i="1"/>
  <c r="T4096" i="1"/>
  <c r="U4096" i="1"/>
  <c r="BD4096" i="1"/>
  <c r="CE4096" i="1"/>
  <c r="A4097" i="1"/>
  <c r="C4097" i="1"/>
  <c r="S4097" i="1"/>
  <c r="T4097" i="1"/>
  <c r="U4097" i="1"/>
  <c r="BD4097" i="1"/>
  <c r="CE4097" i="1"/>
  <c r="A4098" i="1"/>
  <c r="C4098" i="1"/>
  <c r="S4098" i="1"/>
  <c r="T4098" i="1"/>
  <c r="U4098" i="1"/>
  <c r="BD4098" i="1"/>
  <c r="CE4098" i="1"/>
  <c r="A4099" i="1"/>
  <c r="C4099" i="1"/>
  <c r="S4099" i="1"/>
  <c r="T4099" i="1"/>
  <c r="U4099" i="1"/>
  <c r="BD4099" i="1"/>
  <c r="CE4099" i="1"/>
  <c r="A4100" i="1"/>
  <c r="C4100" i="1"/>
  <c r="S4100" i="1"/>
  <c r="T4100" i="1"/>
  <c r="U4100" i="1"/>
  <c r="BD4100" i="1"/>
  <c r="CE4100" i="1"/>
  <c r="A4101" i="1"/>
  <c r="C4101" i="1"/>
  <c r="S4101" i="1"/>
  <c r="T4101" i="1"/>
  <c r="U4101" i="1"/>
  <c r="BD4101" i="1"/>
  <c r="CE4101" i="1"/>
  <c r="A4102" i="1"/>
  <c r="C4102" i="1"/>
  <c r="S4102" i="1"/>
  <c r="T4102" i="1"/>
  <c r="U4102" i="1"/>
  <c r="BD4102" i="1"/>
  <c r="CE4102" i="1"/>
  <c r="A4103" i="1"/>
  <c r="C4103" i="1"/>
  <c r="S4103" i="1"/>
  <c r="T4103" i="1"/>
  <c r="U4103" i="1"/>
  <c r="BD4103" i="1"/>
  <c r="CE4103" i="1"/>
  <c r="A4104" i="1"/>
  <c r="C4104" i="1"/>
  <c r="S4104" i="1"/>
  <c r="T4104" i="1"/>
  <c r="U4104" i="1"/>
  <c r="BD4104" i="1"/>
  <c r="CE4104" i="1"/>
  <c r="A4105" i="1"/>
  <c r="C4105" i="1"/>
  <c r="S4105" i="1"/>
  <c r="T4105" i="1"/>
  <c r="U4105" i="1"/>
  <c r="BD4105" i="1"/>
  <c r="CE4105" i="1"/>
  <c r="A4106" i="1"/>
  <c r="C4106" i="1"/>
  <c r="S4106" i="1"/>
  <c r="T4106" i="1"/>
  <c r="U4106" i="1"/>
  <c r="BD4106" i="1"/>
  <c r="CE4106" i="1"/>
  <c r="A4107" i="1"/>
  <c r="C4107" i="1"/>
  <c r="S4107" i="1"/>
  <c r="T4107" i="1"/>
  <c r="U4107" i="1"/>
  <c r="BD4107" i="1"/>
  <c r="CE4107" i="1"/>
  <c r="A4108" i="1"/>
  <c r="C4108" i="1"/>
  <c r="S4108" i="1"/>
  <c r="T4108" i="1"/>
  <c r="U4108" i="1"/>
  <c r="BD4108" i="1"/>
  <c r="CE4108" i="1"/>
  <c r="A4109" i="1"/>
  <c r="C4109" i="1"/>
  <c r="S4109" i="1"/>
  <c r="T4109" i="1"/>
  <c r="U4109" i="1"/>
  <c r="BD4109" i="1"/>
  <c r="CE4109" i="1"/>
  <c r="A4110" i="1"/>
  <c r="C4110" i="1"/>
  <c r="S4110" i="1"/>
  <c r="T4110" i="1"/>
  <c r="U4110" i="1"/>
  <c r="BD4110" i="1"/>
  <c r="CE4110" i="1"/>
  <c r="A4111" i="1"/>
  <c r="C4111" i="1"/>
  <c r="S4111" i="1"/>
  <c r="T4111" i="1"/>
  <c r="U4111" i="1"/>
  <c r="BD4111" i="1"/>
  <c r="CE4111" i="1"/>
  <c r="A4112" i="1"/>
  <c r="C4112" i="1"/>
  <c r="S4112" i="1"/>
  <c r="T4112" i="1"/>
  <c r="U4112" i="1"/>
  <c r="BD4112" i="1"/>
  <c r="CE4112" i="1"/>
  <c r="A4113" i="1"/>
  <c r="C4113" i="1"/>
  <c r="S4113" i="1"/>
  <c r="T4113" i="1"/>
  <c r="U4113" i="1"/>
  <c r="BD4113" i="1"/>
  <c r="CE4113" i="1"/>
  <c r="A4114" i="1"/>
  <c r="C4114" i="1"/>
  <c r="S4114" i="1"/>
  <c r="T4114" i="1"/>
  <c r="U4114" i="1"/>
  <c r="BD4114" i="1"/>
  <c r="CE4114" i="1"/>
  <c r="A4115" i="1"/>
  <c r="C4115" i="1"/>
  <c r="S4115" i="1"/>
  <c r="T4115" i="1"/>
  <c r="U4115" i="1"/>
  <c r="BD4115" i="1"/>
  <c r="CE4115" i="1"/>
  <c r="A4116" i="1"/>
  <c r="C4116" i="1"/>
  <c r="S4116" i="1"/>
  <c r="T4116" i="1"/>
  <c r="U4116" i="1"/>
  <c r="BD4116" i="1"/>
  <c r="CE4116" i="1"/>
  <c r="A4117" i="1"/>
  <c r="C4117" i="1"/>
  <c r="S4117" i="1"/>
  <c r="T4117" i="1"/>
  <c r="U4117" i="1"/>
  <c r="BD4117" i="1"/>
  <c r="CE4117" i="1"/>
  <c r="A4118" i="1"/>
  <c r="C4118" i="1"/>
  <c r="S4118" i="1"/>
  <c r="T4118" i="1"/>
  <c r="U4118" i="1"/>
  <c r="BD4118" i="1"/>
  <c r="CE4118" i="1"/>
  <c r="A4119" i="1"/>
  <c r="C4119" i="1"/>
  <c r="S4119" i="1"/>
  <c r="T4119" i="1"/>
  <c r="U4119" i="1"/>
  <c r="BD4119" i="1"/>
  <c r="CE4119" i="1"/>
  <c r="A4120" i="1"/>
  <c r="C4120" i="1"/>
  <c r="S4120" i="1"/>
  <c r="T4120" i="1"/>
  <c r="U4120" i="1"/>
  <c r="BD4120" i="1"/>
  <c r="CE4120" i="1"/>
  <c r="A4121" i="1"/>
  <c r="C4121" i="1"/>
  <c r="S4121" i="1"/>
  <c r="T4121" i="1"/>
  <c r="U4121" i="1"/>
  <c r="BD4121" i="1"/>
  <c r="CE4121" i="1"/>
  <c r="A4122" i="1"/>
  <c r="C4122" i="1"/>
  <c r="S4122" i="1"/>
  <c r="T4122" i="1"/>
  <c r="U4122" i="1"/>
  <c r="BD4122" i="1"/>
  <c r="CE4122" i="1"/>
  <c r="A4123" i="1"/>
  <c r="C4123" i="1"/>
  <c r="S4123" i="1"/>
  <c r="T4123" i="1"/>
  <c r="U4123" i="1"/>
  <c r="BD4123" i="1"/>
  <c r="CE4123" i="1"/>
  <c r="A4124" i="1"/>
  <c r="C4124" i="1"/>
  <c r="S4124" i="1"/>
  <c r="T4124" i="1"/>
  <c r="U4124" i="1"/>
  <c r="BD4124" i="1"/>
  <c r="CE4124" i="1"/>
  <c r="A4125" i="1"/>
  <c r="C4125" i="1"/>
  <c r="S4125" i="1"/>
  <c r="T4125" i="1"/>
  <c r="U4125" i="1"/>
  <c r="BD4125" i="1"/>
  <c r="CE4125" i="1"/>
  <c r="A4126" i="1"/>
  <c r="C4126" i="1"/>
  <c r="S4126" i="1"/>
  <c r="T4126" i="1"/>
  <c r="U4126" i="1"/>
  <c r="BD4126" i="1"/>
  <c r="CE4126" i="1"/>
  <c r="A4127" i="1"/>
  <c r="C4127" i="1"/>
  <c r="S4127" i="1"/>
  <c r="T4127" i="1"/>
  <c r="U4127" i="1"/>
  <c r="BD4127" i="1"/>
  <c r="CE4127" i="1"/>
  <c r="A4128" i="1"/>
  <c r="C4128" i="1"/>
  <c r="S4128" i="1"/>
  <c r="T4128" i="1"/>
  <c r="U4128" i="1"/>
  <c r="BD4128" i="1"/>
  <c r="CE4128" i="1"/>
  <c r="A4129" i="1"/>
  <c r="C4129" i="1"/>
  <c r="S4129" i="1"/>
  <c r="T4129" i="1"/>
  <c r="U4129" i="1"/>
  <c r="BD4129" i="1"/>
  <c r="CE4129" i="1"/>
  <c r="A4130" i="1"/>
  <c r="C4130" i="1"/>
  <c r="S4130" i="1"/>
  <c r="T4130" i="1"/>
  <c r="U4130" i="1"/>
  <c r="BD4130" i="1"/>
  <c r="CE4130" i="1"/>
  <c r="A4131" i="1"/>
  <c r="C4131" i="1"/>
  <c r="S4131" i="1"/>
  <c r="T4131" i="1"/>
  <c r="U4131" i="1"/>
  <c r="BD4131" i="1"/>
  <c r="CE4131" i="1"/>
  <c r="A4132" i="1"/>
  <c r="C4132" i="1"/>
  <c r="S4132" i="1"/>
  <c r="T4132" i="1"/>
  <c r="U4132" i="1"/>
  <c r="BD4132" i="1"/>
  <c r="CE4132" i="1"/>
  <c r="A4133" i="1"/>
  <c r="C4133" i="1"/>
  <c r="S4133" i="1"/>
  <c r="T4133" i="1"/>
  <c r="U4133" i="1"/>
  <c r="BD4133" i="1"/>
  <c r="CE4133" i="1"/>
  <c r="A4134" i="1"/>
  <c r="C4134" i="1"/>
  <c r="S4134" i="1"/>
  <c r="T4134" i="1"/>
  <c r="U4134" i="1"/>
  <c r="BD4134" i="1"/>
  <c r="CE4134" i="1"/>
  <c r="A4135" i="1"/>
  <c r="C4135" i="1"/>
  <c r="S4135" i="1"/>
  <c r="T4135" i="1"/>
  <c r="U4135" i="1"/>
  <c r="BD4135" i="1"/>
  <c r="CE4135" i="1"/>
  <c r="A4136" i="1"/>
  <c r="C4136" i="1"/>
  <c r="S4136" i="1"/>
  <c r="T4136" i="1"/>
  <c r="U4136" i="1"/>
  <c r="BD4136" i="1"/>
  <c r="CE4136" i="1"/>
  <c r="A4137" i="1"/>
  <c r="C4137" i="1"/>
  <c r="S4137" i="1"/>
  <c r="T4137" i="1"/>
  <c r="U4137" i="1"/>
  <c r="BD4137" i="1"/>
  <c r="CE4137" i="1"/>
  <c r="A4138" i="1"/>
  <c r="C4138" i="1"/>
  <c r="S4138" i="1"/>
  <c r="T4138" i="1"/>
  <c r="U4138" i="1"/>
  <c r="BD4138" i="1"/>
  <c r="CE4138" i="1"/>
  <c r="A4139" i="1"/>
  <c r="C4139" i="1"/>
  <c r="S4139" i="1"/>
  <c r="T4139" i="1"/>
  <c r="U4139" i="1"/>
  <c r="BD4139" i="1"/>
  <c r="CE4139" i="1"/>
  <c r="A4140" i="1"/>
  <c r="C4140" i="1"/>
  <c r="S4140" i="1"/>
  <c r="T4140" i="1"/>
  <c r="U4140" i="1"/>
  <c r="BD4140" i="1"/>
  <c r="CE4140" i="1"/>
  <c r="A4141" i="1"/>
  <c r="C4141" i="1"/>
  <c r="S4141" i="1"/>
  <c r="T4141" i="1"/>
  <c r="U4141" i="1"/>
  <c r="BD4141" i="1"/>
  <c r="CE4141" i="1"/>
  <c r="A4142" i="1"/>
  <c r="C4142" i="1"/>
  <c r="S4142" i="1"/>
  <c r="T4142" i="1"/>
  <c r="U4142" i="1"/>
  <c r="BD4142" i="1"/>
  <c r="CE4142" i="1"/>
  <c r="A4143" i="1"/>
  <c r="C4143" i="1"/>
  <c r="S4143" i="1"/>
  <c r="T4143" i="1"/>
  <c r="U4143" i="1"/>
  <c r="BD4143" i="1"/>
  <c r="CE4143" i="1"/>
  <c r="A4144" i="1"/>
  <c r="C4144" i="1"/>
  <c r="S4144" i="1"/>
  <c r="T4144" i="1"/>
  <c r="U4144" i="1"/>
  <c r="BD4144" i="1"/>
  <c r="CE4144" i="1"/>
  <c r="A4145" i="1"/>
  <c r="C4145" i="1"/>
  <c r="S4145" i="1"/>
  <c r="T4145" i="1"/>
  <c r="U4145" i="1"/>
  <c r="BD4145" i="1"/>
  <c r="CE4145" i="1"/>
  <c r="A4146" i="1"/>
  <c r="C4146" i="1"/>
  <c r="S4146" i="1"/>
  <c r="T4146" i="1"/>
  <c r="U4146" i="1"/>
  <c r="BD4146" i="1"/>
  <c r="CE4146" i="1"/>
  <c r="A4147" i="1"/>
  <c r="C4147" i="1"/>
  <c r="S4147" i="1"/>
  <c r="T4147" i="1"/>
  <c r="U4147" i="1"/>
  <c r="BD4147" i="1"/>
  <c r="CE4147" i="1"/>
  <c r="A4148" i="1"/>
  <c r="C4148" i="1"/>
  <c r="S4148" i="1"/>
  <c r="T4148" i="1"/>
  <c r="U4148" i="1"/>
  <c r="BD4148" i="1"/>
  <c r="CE4148" i="1"/>
  <c r="A4149" i="1"/>
  <c r="C4149" i="1"/>
  <c r="S4149" i="1"/>
  <c r="T4149" i="1"/>
  <c r="U4149" i="1"/>
  <c r="BD4149" i="1"/>
  <c r="CE4149" i="1"/>
  <c r="A4150" i="1"/>
  <c r="C4150" i="1"/>
  <c r="S4150" i="1"/>
  <c r="T4150" i="1"/>
  <c r="U4150" i="1"/>
  <c r="BD4150" i="1"/>
  <c r="CE4150" i="1"/>
  <c r="A4151" i="1"/>
  <c r="C4151" i="1"/>
  <c r="S4151" i="1"/>
  <c r="T4151" i="1"/>
  <c r="U4151" i="1"/>
  <c r="BD4151" i="1"/>
  <c r="CE4151" i="1"/>
  <c r="A4152" i="1"/>
  <c r="C4152" i="1"/>
  <c r="S4152" i="1"/>
  <c r="T4152" i="1"/>
  <c r="U4152" i="1"/>
  <c r="BD4152" i="1"/>
  <c r="CE4152" i="1"/>
  <c r="A4153" i="1"/>
  <c r="C4153" i="1"/>
  <c r="S4153" i="1"/>
  <c r="T4153" i="1"/>
  <c r="U4153" i="1"/>
  <c r="BD4153" i="1"/>
  <c r="CE4153" i="1"/>
  <c r="A4154" i="1"/>
  <c r="C4154" i="1"/>
  <c r="S4154" i="1"/>
  <c r="T4154" i="1"/>
  <c r="U4154" i="1"/>
  <c r="BD4154" i="1"/>
  <c r="CE4154" i="1"/>
  <c r="A4155" i="1"/>
  <c r="C4155" i="1"/>
  <c r="S4155" i="1"/>
  <c r="T4155" i="1"/>
  <c r="U4155" i="1"/>
  <c r="BD4155" i="1"/>
  <c r="CE4155" i="1"/>
  <c r="A4156" i="1"/>
  <c r="C4156" i="1"/>
  <c r="S4156" i="1"/>
  <c r="T4156" i="1"/>
  <c r="U4156" i="1"/>
  <c r="BD4156" i="1"/>
  <c r="CE4156" i="1"/>
  <c r="A4157" i="1"/>
  <c r="C4157" i="1"/>
  <c r="S4157" i="1"/>
  <c r="T4157" i="1"/>
  <c r="U4157" i="1"/>
  <c r="BD4157" i="1"/>
  <c r="CE4157" i="1"/>
  <c r="A4158" i="1"/>
  <c r="C4158" i="1"/>
  <c r="S4158" i="1"/>
  <c r="T4158" i="1"/>
  <c r="U4158" i="1"/>
  <c r="BD4158" i="1"/>
  <c r="CE4158" i="1"/>
  <c r="A4159" i="1"/>
  <c r="C4159" i="1"/>
  <c r="S4159" i="1"/>
  <c r="T4159" i="1"/>
  <c r="U4159" i="1"/>
  <c r="BD4159" i="1"/>
  <c r="CE4159" i="1"/>
  <c r="A4160" i="1"/>
  <c r="C4160" i="1"/>
  <c r="S4160" i="1"/>
  <c r="T4160" i="1"/>
  <c r="U4160" i="1"/>
  <c r="BD4160" i="1"/>
  <c r="CE4160" i="1"/>
  <c r="A4161" i="1"/>
  <c r="C4161" i="1"/>
  <c r="S4161" i="1"/>
  <c r="T4161" i="1"/>
  <c r="U4161" i="1"/>
  <c r="BD4161" i="1"/>
  <c r="CE4161" i="1"/>
  <c r="A4162" i="1"/>
  <c r="C4162" i="1"/>
  <c r="S4162" i="1"/>
  <c r="T4162" i="1"/>
  <c r="U4162" i="1"/>
  <c r="BD4162" i="1"/>
  <c r="CE4162" i="1"/>
  <c r="A4163" i="1"/>
  <c r="C4163" i="1"/>
  <c r="S4163" i="1"/>
  <c r="T4163" i="1"/>
  <c r="U4163" i="1"/>
  <c r="BD4163" i="1"/>
  <c r="CE4163" i="1"/>
  <c r="A4164" i="1"/>
  <c r="C4164" i="1"/>
  <c r="S4164" i="1"/>
  <c r="T4164" i="1"/>
  <c r="U4164" i="1"/>
  <c r="BD4164" i="1"/>
  <c r="CE4164" i="1"/>
  <c r="A4165" i="1"/>
  <c r="C4165" i="1"/>
  <c r="S4165" i="1"/>
  <c r="T4165" i="1"/>
  <c r="U4165" i="1"/>
  <c r="BD4165" i="1"/>
  <c r="CE4165" i="1"/>
  <c r="A4166" i="1"/>
  <c r="C4166" i="1"/>
  <c r="S4166" i="1"/>
  <c r="T4166" i="1"/>
  <c r="U4166" i="1"/>
  <c r="BD4166" i="1"/>
  <c r="CE4166" i="1"/>
  <c r="A4167" i="1"/>
  <c r="C4167" i="1"/>
  <c r="S4167" i="1"/>
  <c r="T4167" i="1"/>
  <c r="U4167" i="1"/>
  <c r="BD4167" i="1"/>
  <c r="CE4167" i="1"/>
  <c r="A4168" i="1"/>
  <c r="C4168" i="1"/>
  <c r="S4168" i="1"/>
  <c r="T4168" i="1"/>
  <c r="U4168" i="1"/>
  <c r="BD4168" i="1"/>
  <c r="CE4168" i="1"/>
  <c r="A4169" i="1"/>
  <c r="C4169" i="1"/>
  <c r="S4169" i="1"/>
  <c r="T4169" i="1"/>
  <c r="U4169" i="1"/>
  <c r="BD4169" i="1"/>
  <c r="CE4169" i="1"/>
  <c r="A4170" i="1"/>
  <c r="C4170" i="1"/>
  <c r="S4170" i="1"/>
  <c r="T4170" i="1"/>
  <c r="U4170" i="1"/>
  <c r="BD4170" i="1"/>
  <c r="CE4170" i="1"/>
  <c r="A4171" i="1"/>
  <c r="C4171" i="1"/>
  <c r="S4171" i="1"/>
  <c r="T4171" i="1"/>
  <c r="U4171" i="1"/>
  <c r="BD4171" i="1"/>
  <c r="CE4171" i="1"/>
  <c r="A4172" i="1"/>
  <c r="C4172" i="1"/>
  <c r="S4172" i="1"/>
  <c r="T4172" i="1"/>
  <c r="U4172" i="1"/>
  <c r="BD4172" i="1"/>
  <c r="CE4172" i="1"/>
  <c r="A4173" i="1"/>
  <c r="C4173" i="1"/>
  <c r="S4173" i="1"/>
  <c r="T4173" i="1"/>
  <c r="U4173" i="1"/>
  <c r="BD4173" i="1"/>
  <c r="CE4173" i="1"/>
  <c r="A4174" i="1"/>
  <c r="C4174" i="1"/>
  <c r="S4174" i="1"/>
  <c r="T4174" i="1"/>
  <c r="U4174" i="1"/>
  <c r="BD4174" i="1"/>
  <c r="CE4174" i="1"/>
  <c r="A4175" i="1"/>
  <c r="C4175" i="1"/>
  <c r="S4175" i="1"/>
  <c r="T4175" i="1"/>
  <c r="U4175" i="1"/>
  <c r="BD4175" i="1"/>
  <c r="CE4175" i="1"/>
  <c r="A4176" i="1"/>
  <c r="C4176" i="1"/>
  <c r="S4176" i="1"/>
  <c r="T4176" i="1"/>
  <c r="U4176" i="1"/>
  <c r="BD4176" i="1"/>
  <c r="CE4176" i="1"/>
  <c r="A4177" i="1"/>
  <c r="C4177" i="1"/>
  <c r="S4177" i="1"/>
  <c r="T4177" i="1"/>
  <c r="U4177" i="1"/>
  <c r="BD4177" i="1"/>
  <c r="CE4177" i="1"/>
  <c r="A4178" i="1"/>
  <c r="C4178" i="1"/>
  <c r="S4178" i="1"/>
  <c r="T4178" i="1"/>
  <c r="U4178" i="1"/>
  <c r="BD4178" i="1"/>
  <c r="CE4178" i="1"/>
  <c r="A4179" i="1"/>
  <c r="C4179" i="1"/>
  <c r="S4179" i="1"/>
  <c r="T4179" i="1"/>
  <c r="U4179" i="1"/>
  <c r="BD4179" i="1"/>
  <c r="CE4179" i="1"/>
  <c r="A4180" i="1"/>
  <c r="C4180" i="1"/>
  <c r="S4180" i="1"/>
  <c r="T4180" i="1"/>
  <c r="U4180" i="1"/>
  <c r="BD4180" i="1"/>
  <c r="CE4180" i="1"/>
  <c r="A4181" i="1"/>
  <c r="C4181" i="1"/>
  <c r="S4181" i="1"/>
  <c r="T4181" i="1"/>
  <c r="U4181" i="1"/>
  <c r="BD4181" i="1"/>
  <c r="CE4181" i="1"/>
  <c r="A4182" i="1"/>
  <c r="C4182" i="1"/>
  <c r="S4182" i="1"/>
  <c r="T4182" i="1"/>
  <c r="U4182" i="1"/>
  <c r="BD4182" i="1"/>
  <c r="CE4182" i="1"/>
  <c r="A4183" i="1"/>
  <c r="C4183" i="1"/>
  <c r="S4183" i="1"/>
  <c r="T4183" i="1"/>
  <c r="U4183" i="1"/>
  <c r="BD4183" i="1"/>
  <c r="CE4183" i="1"/>
  <c r="A4184" i="1"/>
  <c r="C4184" i="1"/>
  <c r="S4184" i="1"/>
  <c r="T4184" i="1"/>
  <c r="U4184" i="1"/>
  <c r="BD4184" i="1"/>
  <c r="CE4184" i="1"/>
  <c r="A4185" i="1"/>
  <c r="C4185" i="1"/>
  <c r="S4185" i="1"/>
  <c r="T4185" i="1"/>
  <c r="U4185" i="1"/>
  <c r="BD4185" i="1"/>
  <c r="CE4185" i="1"/>
  <c r="A4186" i="1"/>
  <c r="C4186" i="1"/>
  <c r="S4186" i="1"/>
  <c r="T4186" i="1"/>
  <c r="U4186" i="1"/>
  <c r="BD4186" i="1"/>
  <c r="CE4186" i="1"/>
  <c r="A4187" i="1"/>
  <c r="C4187" i="1"/>
  <c r="S4187" i="1"/>
  <c r="T4187" i="1"/>
  <c r="U4187" i="1"/>
  <c r="BD4187" i="1"/>
  <c r="CE4187" i="1"/>
  <c r="A4188" i="1"/>
  <c r="C4188" i="1"/>
  <c r="S4188" i="1"/>
  <c r="T4188" i="1"/>
  <c r="U4188" i="1"/>
  <c r="BD4188" i="1"/>
  <c r="CE4188" i="1"/>
  <c r="A4189" i="1"/>
  <c r="C4189" i="1"/>
  <c r="S4189" i="1"/>
  <c r="T4189" i="1"/>
  <c r="U4189" i="1"/>
  <c r="BD4189" i="1"/>
  <c r="CE4189" i="1"/>
  <c r="A4190" i="1"/>
  <c r="C4190" i="1"/>
  <c r="S4190" i="1"/>
  <c r="T4190" i="1"/>
  <c r="U4190" i="1"/>
  <c r="BD4190" i="1"/>
  <c r="CE4190" i="1"/>
  <c r="A4191" i="1"/>
  <c r="C4191" i="1"/>
  <c r="S4191" i="1"/>
  <c r="T4191" i="1"/>
  <c r="U4191" i="1"/>
  <c r="BD4191" i="1"/>
  <c r="CE4191" i="1"/>
  <c r="A4192" i="1"/>
  <c r="C4192" i="1"/>
  <c r="S4192" i="1"/>
  <c r="T4192" i="1"/>
  <c r="U4192" i="1"/>
  <c r="BD4192" i="1"/>
  <c r="CE4192" i="1"/>
  <c r="A4193" i="1"/>
  <c r="C4193" i="1"/>
  <c r="S4193" i="1"/>
  <c r="T4193" i="1"/>
  <c r="U4193" i="1"/>
  <c r="BD4193" i="1"/>
  <c r="CE4193" i="1"/>
  <c r="A4194" i="1"/>
  <c r="C4194" i="1"/>
  <c r="S4194" i="1"/>
  <c r="T4194" i="1"/>
  <c r="U4194" i="1"/>
  <c r="BD4194" i="1"/>
  <c r="CE4194" i="1"/>
  <c r="A4195" i="1"/>
  <c r="C4195" i="1"/>
  <c r="S4195" i="1"/>
  <c r="T4195" i="1"/>
  <c r="U4195" i="1"/>
  <c r="BD4195" i="1"/>
  <c r="CE4195" i="1"/>
  <c r="A4196" i="1"/>
  <c r="C4196" i="1"/>
  <c r="S4196" i="1"/>
  <c r="T4196" i="1"/>
  <c r="U4196" i="1"/>
  <c r="BD4196" i="1"/>
  <c r="CE4196" i="1"/>
  <c r="A4197" i="1"/>
  <c r="C4197" i="1"/>
  <c r="S4197" i="1"/>
  <c r="T4197" i="1"/>
  <c r="U4197" i="1"/>
  <c r="BD4197" i="1"/>
  <c r="CE4197" i="1"/>
  <c r="A4198" i="1"/>
  <c r="C4198" i="1"/>
  <c r="S4198" i="1"/>
  <c r="T4198" i="1"/>
  <c r="U4198" i="1"/>
  <c r="BD4198" i="1"/>
  <c r="CE4198" i="1"/>
  <c r="A4199" i="1"/>
  <c r="C4199" i="1"/>
  <c r="S4199" i="1"/>
  <c r="T4199" i="1"/>
  <c r="U4199" i="1"/>
  <c r="BD4199" i="1"/>
  <c r="CE4199" i="1"/>
  <c r="A4200" i="1"/>
  <c r="C4200" i="1"/>
  <c r="S4200" i="1"/>
  <c r="T4200" i="1"/>
  <c r="U4200" i="1"/>
  <c r="BD4200" i="1"/>
  <c r="CE4200" i="1"/>
  <c r="A4201" i="1"/>
  <c r="C4201" i="1"/>
  <c r="S4201" i="1"/>
  <c r="T4201" i="1"/>
  <c r="U4201" i="1"/>
  <c r="BD4201" i="1"/>
  <c r="CE4201" i="1"/>
  <c r="A4202" i="1"/>
  <c r="C4202" i="1"/>
  <c r="S4202" i="1"/>
  <c r="T4202" i="1"/>
  <c r="U4202" i="1"/>
  <c r="BD4202" i="1"/>
  <c r="CE4202" i="1"/>
  <c r="A4203" i="1"/>
  <c r="C4203" i="1"/>
  <c r="S4203" i="1"/>
  <c r="T4203" i="1"/>
  <c r="U4203" i="1"/>
  <c r="BD4203" i="1"/>
  <c r="CE4203" i="1"/>
  <c r="A4204" i="1"/>
  <c r="C4204" i="1"/>
  <c r="S4204" i="1"/>
  <c r="T4204" i="1"/>
  <c r="U4204" i="1"/>
  <c r="BD4204" i="1"/>
  <c r="CE4204" i="1"/>
  <c r="A4205" i="1"/>
  <c r="C4205" i="1"/>
  <c r="S4205" i="1"/>
  <c r="T4205" i="1"/>
  <c r="U4205" i="1"/>
  <c r="BD4205" i="1"/>
  <c r="CE4205" i="1"/>
  <c r="A4206" i="1"/>
  <c r="C4206" i="1"/>
  <c r="S4206" i="1"/>
  <c r="T4206" i="1"/>
  <c r="U4206" i="1"/>
  <c r="BD4206" i="1"/>
  <c r="CE4206" i="1"/>
  <c r="A4207" i="1"/>
  <c r="C4207" i="1"/>
  <c r="S4207" i="1"/>
  <c r="T4207" i="1"/>
  <c r="U4207" i="1"/>
  <c r="BD4207" i="1"/>
  <c r="CE4207" i="1"/>
  <c r="A4208" i="1"/>
  <c r="C4208" i="1"/>
  <c r="S4208" i="1"/>
  <c r="T4208" i="1"/>
  <c r="U4208" i="1"/>
  <c r="BD4208" i="1"/>
  <c r="CE4208" i="1"/>
  <c r="A4209" i="1"/>
  <c r="C4209" i="1"/>
  <c r="S4209" i="1"/>
  <c r="T4209" i="1"/>
  <c r="U4209" i="1"/>
  <c r="BD4209" i="1"/>
  <c r="CE4209" i="1"/>
  <c r="A4210" i="1"/>
  <c r="C4210" i="1"/>
  <c r="S4210" i="1"/>
  <c r="T4210" i="1"/>
  <c r="U4210" i="1"/>
  <c r="BD4210" i="1"/>
  <c r="CE4210" i="1"/>
  <c r="A4211" i="1"/>
  <c r="C4211" i="1"/>
  <c r="S4211" i="1"/>
  <c r="T4211" i="1"/>
  <c r="U4211" i="1"/>
  <c r="BD4211" i="1"/>
  <c r="CE4211" i="1"/>
  <c r="A4212" i="1"/>
  <c r="C4212" i="1"/>
  <c r="S4212" i="1"/>
  <c r="T4212" i="1"/>
  <c r="U4212" i="1"/>
  <c r="BD4212" i="1"/>
  <c r="CE4212" i="1"/>
  <c r="A4213" i="1"/>
  <c r="C4213" i="1"/>
  <c r="S4213" i="1"/>
  <c r="T4213" i="1"/>
  <c r="U4213" i="1"/>
  <c r="BD4213" i="1"/>
  <c r="CE4213" i="1"/>
  <c r="A4214" i="1"/>
  <c r="C4214" i="1"/>
  <c r="S4214" i="1"/>
  <c r="T4214" i="1"/>
  <c r="U4214" i="1"/>
  <c r="BD4214" i="1"/>
  <c r="CE4214" i="1"/>
  <c r="A4215" i="1"/>
  <c r="C4215" i="1"/>
  <c r="S4215" i="1"/>
  <c r="T4215" i="1"/>
  <c r="U4215" i="1"/>
  <c r="BD4215" i="1"/>
  <c r="CE4215" i="1"/>
  <c r="A4216" i="1"/>
  <c r="C4216" i="1"/>
  <c r="S4216" i="1"/>
  <c r="T4216" i="1"/>
  <c r="U4216" i="1"/>
  <c r="BD4216" i="1"/>
  <c r="CE4216" i="1"/>
  <c r="A4217" i="1"/>
  <c r="C4217" i="1"/>
  <c r="S4217" i="1"/>
  <c r="T4217" i="1"/>
  <c r="U4217" i="1"/>
  <c r="BD4217" i="1"/>
  <c r="CE4217" i="1"/>
  <c r="A4218" i="1"/>
  <c r="C4218" i="1"/>
  <c r="S4218" i="1"/>
  <c r="T4218" i="1"/>
  <c r="U4218" i="1"/>
  <c r="BD4218" i="1"/>
  <c r="CE4218" i="1"/>
  <c r="A4219" i="1"/>
  <c r="C4219" i="1"/>
  <c r="S4219" i="1"/>
  <c r="T4219" i="1"/>
  <c r="U4219" i="1"/>
  <c r="BD4219" i="1"/>
  <c r="CE4219" i="1"/>
  <c r="A4220" i="1"/>
  <c r="C4220" i="1"/>
  <c r="S4220" i="1"/>
  <c r="T4220" i="1"/>
  <c r="U4220" i="1"/>
  <c r="BD4220" i="1"/>
  <c r="CE4220" i="1"/>
  <c r="A4221" i="1"/>
  <c r="C4221" i="1"/>
  <c r="S4221" i="1"/>
  <c r="T4221" i="1"/>
  <c r="U4221" i="1"/>
  <c r="BD4221" i="1"/>
  <c r="CE4221" i="1"/>
  <c r="A4222" i="1"/>
  <c r="C4222" i="1"/>
  <c r="S4222" i="1"/>
  <c r="T4222" i="1"/>
  <c r="U4222" i="1"/>
  <c r="BD4222" i="1"/>
  <c r="CE4222" i="1"/>
  <c r="A4223" i="1"/>
  <c r="C4223" i="1"/>
  <c r="S4223" i="1"/>
  <c r="T4223" i="1"/>
  <c r="U4223" i="1"/>
  <c r="BD4223" i="1"/>
  <c r="CE4223" i="1"/>
  <c r="A4224" i="1"/>
  <c r="C4224" i="1"/>
  <c r="S4224" i="1"/>
  <c r="T4224" i="1"/>
  <c r="U4224" i="1"/>
  <c r="BD4224" i="1"/>
  <c r="CE4224" i="1"/>
  <c r="A4225" i="1"/>
  <c r="C4225" i="1"/>
  <c r="S4225" i="1"/>
  <c r="T4225" i="1"/>
  <c r="U4225" i="1"/>
  <c r="BD4225" i="1"/>
  <c r="CE4225" i="1"/>
  <c r="A4226" i="1"/>
  <c r="C4226" i="1"/>
  <c r="S4226" i="1"/>
  <c r="T4226" i="1"/>
  <c r="U4226" i="1"/>
  <c r="BD4226" i="1"/>
  <c r="CE4226" i="1"/>
  <c r="A4227" i="1"/>
  <c r="C4227" i="1"/>
  <c r="S4227" i="1"/>
  <c r="T4227" i="1"/>
  <c r="U4227" i="1"/>
  <c r="BD4227" i="1"/>
  <c r="CE4227" i="1"/>
  <c r="A4228" i="1"/>
  <c r="C4228" i="1"/>
  <c r="S4228" i="1"/>
  <c r="T4228" i="1"/>
  <c r="U4228" i="1"/>
  <c r="BD4228" i="1"/>
  <c r="CE4228" i="1"/>
  <c r="A4229" i="1"/>
  <c r="C4229" i="1"/>
  <c r="S4229" i="1"/>
  <c r="T4229" i="1"/>
  <c r="U4229" i="1"/>
  <c r="BD4229" i="1"/>
  <c r="CE4229" i="1"/>
  <c r="A4230" i="1"/>
  <c r="C4230" i="1"/>
  <c r="S4230" i="1"/>
  <c r="T4230" i="1"/>
  <c r="U4230" i="1"/>
  <c r="BD4230" i="1"/>
  <c r="CE4230" i="1"/>
  <c r="A4231" i="1"/>
  <c r="C4231" i="1"/>
  <c r="S4231" i="1"/>
  <c r="T4231" i="1"/>
  <c r="U4231" i="1"/>
  <c r="BD4231" i="1"/>
  <c r="CE4231" i="1"/>
  <c r="A4232" i="1"/>
  <c r="C4232" i="1"/>
  <c r="S4232" i="1"/>
  <c r="T4232" i="1"/>
  <c r="U4232" i="1"/>
  <c r="BD4232" i="1"/>
  <c r="CE4232" i="1"/>
  <c r="A4233" i="1"/>
  <c r="C4233" i="1"/>
  <c r="S4233" i="1"/>
  <c r="T4233" i="1"/>
  <c r="U4233" i="1"/>
  <c r="BD4233" i="1"/>
  <c r="CE4233" i="1"/>
  <c r="A4234" i="1"/>
  <c r="C4234" i="1"/>
  <c r="S4234" i="1"/>
  <c r="T4234" i="1"/>
  <c r="U4234" i="1"/>
  <c r="BD4234" i="1"/>
  <c r="CE4234" i="1"/>
  <c r="A4235" i="1"/>
  <c r="C4235" i="1"/>
  <c r="S4235" i="1"/>
  <c r="T4235" i="1"/>
  <c r="U4235" i="1"/>
  <c r="BD4235" i="1"/>
  <c r="CE4235" i="1"/>
  <c r="A4236" i="1"/>
  <c r="C4236" i="1"/>
  <c r="S4236" i="1"/>
  <c r="T4236" i="1"/>
  <c r="U4236" i="1"/>
  <c r="BD4236" i="1"/>
  <c r="CE4236" i="1"/>
  <c r="A4237" i="1"/>
  <c r="C4237" i="1"/>
  <c r="S4237" i="1"/>
  <c r="T4237" i="1"/>
  <c r="U4237" i="1"/>
  <c r="BD4237" i="1"/>
  <c r="CE4237" i="1"/>
  <c r="A4238" i="1"/>
  <c r="C4238" i="1"/>
  <c r="S4238" i="1"/>
  <c r="T4238" i="1"/>
  <c r="U4238" i="1"/>
  <c r="BD4238" i="1"/>
  <c r="CE4238" i="1"/>
  <c r="A4239" i="1"/>
  <c r="C4239" i="1"/>
  <c r="S4239" i="1"/>
  <c r="T4239" i="1"/>
  <c r="U4239" i="1"/>
  <c r="BD4239" i="1"/>
  <c r="CE4239" i="1"/>
  <c r="A4240" i="1"/>
  <c r="C4240" i="1"/>
  <c r="S4240" i="1"/>
  <c r="T4240" i="1"/>
  <c r="U4240" i="1"/>
  <c r="BD4240" i="1"/>
  <c r="CE4240" i="1"/>
  <c r="A4241" i="1"/>
  <c r="C4241" i="1"/>
  <c r="S4241" i="1"/>
  <c r="T4241" i="1"/>
  <c r="U4241" i="1"/>
  <c r="BD4241" i="1"/>
  <c r="CE4241" i="1"/>
  <c r="A4242" i="1"/>
  <c r="C4242" i="1"/>
  <c r="S4242" i="1"/>
  <c r="T4242" i="1"/>
  <c r="U4242" i="1"/>
  <c r="BD4242" i="1"/>
  <c r="CE4242" i="1"/>
  <c r="A4243" i="1"/>
  <c r="C4243" i="1"/>
  <c r="S4243" i="1"/>
  <c r="T4243" i="1"/>
  <c r="U4243" i="1"/>
  <c r="BD4243" i="1"/>
  <c r="CE4243" i="1"/>
  <c r="A4244" i="1"/>
  <c r="C4244" i="1"/>
  <c r="S4244" i="1"/>
  <c r="T4244" i="1"/>
  <c r="U4244" i="1"/>
  <c r="BD4244" i="1"/>
  <c r="CE4244" i="1"/>
  <c r="A4245" i="1"/>
  <c r="C4245" i="1"/>
  <c r="S4245" i="1"/>
  <c r="T4245" i="1"/>
  <c r="U4245" i="1"/>
  <c r="BD4245" i="1"/>
  <c r="CE4245" i="1"/>
  <c r="A4246" i="1"/>
  <c r="C4246" i="1"/>
  <c r="S4246" i="1"/>
  <c r="T4246" i="1"/>
  <c r="U4246" i="1"/>
  <c r="BD4246" i="1"/>
  <c r="CE4246" i="1"/>
  <c r="A4247" i="1"/>
  <c r="C4247" i="1"/>
  <c r="S4247" i="1"/>
  <c r="T4247" i="1"/>
  <c r="U4247" i="1"/>
  <c r="BD4247" i="1"/>
  <c r="CE4247" i="1"/>
  <c r="A4248" i="1"/>
  <c r="C4248" i="1"/>
  <c r="S4248" i="1"/>
  <c r="T4248" i="1"/>
  <c r="U4248" i="1"/>
  <c r="BD4248" i="1"/>
  <c r="CE4248" i="1"/>
  <c r="A4249" i="1"/>
  <c r="C4249" i="1"/>
  <c r="S4249" i="1"/>
  <c r="T4249" i="1"/>
  <c r="U4249" i="1"/>
  <c r="BD4249" i="1"/>
  <c r="CE4249" i="1"/>
  <c r="A4250" i="1"/>
  <c r="C4250" i="1"/>
  <c r="S4250" i="1"/>
  <c r="T4250" i="1"/>
  <c r="U4250" i="1"/>
  <c r="BD4250" i="1"/>
  <c r="CE4250" i="1"/>
  <c r="A4251" i="1"/>
  <c r="C4251" i="1"/>
  <c r="S4251" i="1"/>
  <c r="T4251" i="1"/>
  <c r="U4251" i="1"/>
  <c r="BD4251" i="1"/>
  <c r="CE4251" i="1"/>
  <c r="A4252" i="1"/>
  <c r="C4252" i="1"/>
  <c r="S4252" i="1"/>
  <c r="T4252" i="1"/>
  <c r="U4252" i="1"/>
  <c r="BD4252" i="1"/>
  <c r="CE4252" i="1"/>
  <c r="A4253" i="1"/>
  <c r="C4253" i="1"/>
  <c r="S4253" i="1"/>
  <c r="T4253" i="1"/>
  <c r="U4253" i="1"/>
  <c r="BD4253" i="1"/>
  <c r="CE4253" i="1"/>
  <c r="A4254" i="1"/>
  <c r="C4254" i="1"/>
  <c r="S4254" i="1"/>
  <c r="T4254" i="1"/>
  <c r="U4254" i="1"/>
  <c r="BD4254" i="1"/>
  <c r="CE4254" i="1"/>
  <c r="A4255" i="1"/>
  <c r="C4255" i="1"/>
  <c r="S4255" i="1"/>
  <c r="T4255" i="1"/>
  <c r="U4255" i="1"/>
  <c r="BD4255" i="1"/>
  <c r="CE4255" i="1"/>
  <c r="A4256" i="1"/>
  <c r="C4256" i="1"/>
  <c r="S4256" i="1"/>
  <c r="T4256" i="1"/>
  <c r="U4256" i="1"/>
  <c r="BD4256" i="1"/>
  <c r="CE4256" i="1"/>
  <c r="A4257" i="1"/>
  <c r="C4257" i="1"/>
  <c r="S4257" i="1"/>
  <c r="T4257" i="1"/>
  <c r="U4257" i="1"/>
  <c r="BD4257" i="1"/>
  <c r="CE4257" i="1"/>
  <c r="A4258" i="1"/>
  <c r="C4258" i="1"/>
  <c r="S4258" i="1"/>
  <c r="T4258" i="1"/>
  <c r="U4258" i="1"/>
  <c r="BD4258" i="1"/>
  <c r="CE4258" i="1"/>
  <c r="A4259" i="1"/>
  <c r="C4259" i="1"/>
  <c r="S4259" i="1"/>
  <c r="T4259" i="1"/>
  <c r="U4259" i="1"/>
  <c r="BD4259" i="1"/>
  <c r="CE4259" i="1"/>
  <c r="A4260" i="1"/>
  <c r="C4260" i="1"/>
  <c r="S4260" i="1"/>
  <c r="T4260" i="1"/>
  <c r="U4260" i="1"/>
  <c r="BD4260" i="1"/>
  <c r="CE4260" i="1"/>
  <c r="A4261" i="1"/>
  <c r="C4261" i="1"/>
  <c r="S4261" i="1"/>
  <c r="T4261" i="1"/>
  <c r="U4261" i="1"/>
  <c r="BD4261" i="1"/>
  <c r="CE4261" i="1"/>
  <c r="A4262" i="1"/>
  <c r="C4262" i="1"/>
  <c r="S4262" i="1"/>
  <c r="T4262" i="1"/>
  <c r="U4262" i="1"/>
  <c r="BD4262" i="1"/>
  <c r="CE4262" i="1"/>
  <c r="A4263" i="1"/>
  <c r="C4263" i="1"/>
  <c r="S4263" i="1"/>
  <c r="T4263" i="1"/>
  <c r="U4263" i="1"/>
  <c r="BD4263" i="1"/>
  <c r="CE4263" i="1"/>
  <c r="A4264" i="1"/>
  <c r="C4264" i="1"/>
  <c r="S4264" i="1"/>
  <c r="T4264" i="1"/>
  <c r="U4264" i="1"/>
  <c r="BD4264" i="1"/>
  <c r="CE4264" i="1"/>
  <c r="A4265" i="1"/>
  <c r="C4265" i="1"/>
  <c r="S4265" i="1"/>
  <c r="T4265" i="1"/>
  <c r="U4265" i="1"/>
  <c r="BD4265" i="1"/>
  <c r="CE4265" i="1"/>
  <c r="A4266" i="1"/>
  <c r="C4266" i="1"/>
  <c r="S4266" i="1"/>
  <c r="T4266" i="1"/>
  <c r="U4266" i="1"/>
  <c r="BD4266" i="1"/>
  <c r="CE4266" i="1"/>
  <c r="A4267" i="1"/>
  <c r="C4267" i="1"/>
  <c r="S4267" i="1"/>
  <c r="T4267" i="1"/>
  <c r="U4267" i="1"/>
  <c r="BD4267" i="1"/>
  <c r="CE4267" i="1"/>
  <c r="A4268" i="1"/>
  <c r="C4268" i="1"/>
  <c r="S4268" i="1"/>
  <c r="T4268" i="1"/>
  <c r="U4268" i="1"/>
  <c r="BD4268" i="1"/>
  <c r="CE4268" i="1"/>
  <c r="A4269" i="1"/>
  <c r="C4269" i="1"/>
  <c r="S4269" i="1"/>
  <c r="T4269" i="1"/>
  <c r="U4269" i="1"/>
  <c r="BD4269" i="1"/>
  <c r="CE4269" i="1"/>
  <c r="A4270" i="1"/>
  <c r="C4270" i="1"/>
  <c r="S4270" i="1"/>
  <c r="T4270" i="1"/>
  <c r="U4270" i="1"/>
  <c r="BD4270" i="1"/>
  <c r="CE4270" i="1"/>
  <c r="A4271" i="1"/>
  <c r="C4271" i="1"/>
  <c r="S4271" i="1"/>
  <c r="T4271" i="1"/>
  <c r="U4271" i="1"/>
  <c r="BD4271" i="1"/>
  <c r="CE4271" i="1"/>
  <c r="A4272" i="1"/>
  <c r="C4272" i="1"/>
  <c r="S4272" i="1"/>
  <c r="T4272" i="1"/>
  <c r="U4272" i="1"/>
  <c r="BD4272" i="1"/>
  <c r="CE4272" i="1"/>
  <c r="A4273" i="1"/>
  <c r="C4273" i="1"/>
  <c r="S4273" i="1"/>
  <c r="T4273" i="1"/>
  <c r="U4273" i="1"/>
  <c r="BD4273" i="1"/>
  <c r="CE4273" i="1"/>
  <c r="A4274" i="1"/>
  <c r="C4274" i="1"/>
  <c r="S4274" i="1"/>
  <c r="T4274" i="1"/>
  <c r="U4274" i="1"/>
  <c r="BD4274" i="1"/>
  <c r="CE4274" i="1"/>
  <c r="A4275" i="1"/>
  <c r="C4275" i="1"/>
  <c r="S4275" i="1"/>
  <c r="T4275" i="1"/>
  <c r="U4275" i="1"/>
  <c r="BD4275" i="1"/>
  <c r="CE4275" i="1"/>
  <c r="A4276" i="1"/>
  <c r="C4276" i="1"/>
  <c r="S4276" i="1"/>
  <c r="T4276" i="1"/>
  <c r="U4276" i="1"/>
  <c r="BD4276" i="1"/>
  <c r="CE4276" i="1"/>
  <c r="A4277" i="1"/>
  <c r="C4277" i="1"/>
  <c r="S4277" i="1"/>
  <c r="T4277" i="1"/>
  <c r="U4277" i="1"/>
  <c r="BD4277" i="1"/>
  <c r="CE4277" i="1"/>
  <c r="A4278" i="1"/>
  <c r="C4278" i="1"/>
  <c r="S4278" i="1"/>
  <c r="T4278" i="1"/>
  <c r="U4278" i="1"/>
  <c r="BD4278" i="1"/>
  <c r="CE4278" i="1"/>
  <c r="A4279" i="1"/>
  <c r="C4279" i="1"/>
  <c r="S4279" i="1"/>
  <c r="T4279" i="1"/>
  <c r="U4279" i="1"/>
  <c r="BD4279" i="1"/>
  <c r="CE4279" i="1"/>
  <c r="A4280" i="1"/>
  <c r="C4280" i="1"/>
  <c r="S4280" i="1"/>
  <c r="T4280" i="1"/>
  <c r="U4280" i="1"/>
  <c r="BD4280" i="1"/>
  <c r="CE4280" i="1"/>
  <c r="A4281" i="1"/>
  <c r="C4281" i="1"/>
  <c r="S4281" i="1"/>
  <c r="T4281" i="1"/>
  <c r="U4281" i="1"/>
  <c r="BD4281" i="1"/>
  <c r="CE4281" i="1"/>
  <c r="A4282" i="1"/>
  <c r="C4282" i="1"/>
  <c r="S4282" i="1"/>
  <c r="T4282" i="1"/>
  <c r="U4282" i="1"/>
  <c r="BD4282" i="1"/>
  <c r="CE4282" i="1"/>
  <c r="A4283" i="1"/>
  <c r="C4283" i="1"/>
  <c r="S4283" i="1"/>
  <c r="T4283" i="1"/>
  <c r="U4283" i="1"/>
  <c r="BD4283" i="1"/>
  <c r="CE4283" i="1"/>
  <c r="A4284" i="1"/>
  <c r="C4284" i="1"/>
  <c r="S4284" i="1"/>
  <c r="T4284" i="1"/>
  <c r="U4284" i="1"/>
  <c r="BD4284" i="1"/>
  <c r="CE4284" i="1"/>
  <c r="A4285" i="1"/>
  <c r="C4285" i="1"/>
  <c r="S4285" i="1"/>
  <c r="T4285" i="1"/>
  <c r="U4285" i="1"/>
  <c r="BD4285" i="1"/>
  <c r="CE4285" i="1"/>
  <c r="A4286" i="1"/>
  <c r="C4286" i="1"/>
  <c r="S4286" i="1"/>
  <c r="T4286" i="1"/>
  <c r="U4286" i="1"/>
  <c r="BD4286" i="1"/>
  <c r="CE4286" i="1"/>
  <c r="A4287" i="1"/>
  <c r="C4287" i="1"/>
  <c r="S4287" i="1"/>
  <c r="T4287" i="1"/>
  <c r="U4287" i="1"/>
  <c r="BD4287" i="1"/>
  <c r="CE4287" i="1"/>
  <c r="A4288" i="1"/>
  <c r="C4288" i="1"/>
  <c r="S4288" i="1"/>
  <c r="T4288" i="1"/>
  <c r="U4288" i="1"/>
  <c r="BD4288" i="1"/>
  <c r="CE4288" i="1"/>
  <c r="A4289" i="1"/>
  <c r="C4289" i="1"/>
  <c r="S4289" i="1"/>
  <c r="T4289" i="1"/>
  <c r="U4289" i="1"/>
  <c r="BD4289" i="1"/>
  <c r="CE4289" i="1"/>
  <c r="A4290" i="1"/>
  <c r="C4290" i="1"/>
  <c r="S4290" i="1"/>
  <c r="T4290" i="1"/>
  <c r="U4290" i="1"/>
  <c r="BD4290" i="1"/>
  <c r="CE4290" i="1"/>
  <c r="A4291" i="1"/>
  <c r="C4291" i="1"/>
  <c r="S4291" i="1"/>
  <c r="T4291" i="1"/>
  <c r="U4291" i="1"/>
  <c r="BD4291" i="1"/>
  <c r="CE4291" i="1"/>
  <c r="A4292" i="1"/>
  <c r="C4292" i="1"/>
  <c r="S4292" i="1"/>
  <c r="T4292" i="1"/>
  <c r="U4292" i="1"/>
  <c r="BD4292" i="1"/>
  <c r="CE4292" i="1"/>
  <c r="A4293" i="1"/>
  <c r="C4293" i="1"/>
  <c r="S4293" i="1"/>
  <c r="T4293" i="1"/>
  <c r="U4293" i="1"/>
  <c r="BD4293" i="1"/>
  <c r="CE4293" i="1"/>
  <c r="A4294" i="1"/>
  <c r="C4294" i="1"/>
  <c r="S4294" i="1"/>
  <c r="T4294" i="1"/>
  <c r="U4294" i="1"/>
  <c r="BD4294" i="1"/>
  <c r="CE4294" i="1"/>
  <c r="A4295" i="1"/>
  <c r="C4295" i="1"/>
  <c r="S4295" i="1"/>
  <c r="T4295" i="1"/>
  <c r="U4295" i="1"/>
  <c r="BD4295" i="1"/>
  <c r="CE4295" i="1"/>
  <c r="A4296" i="1"/>
  <c r="C4296" i="1"/>
  <c r="S4296" i="1"/>
  <c r="T4296" i="1"/>
  <c r="U4296" i="1"/>
  <c r="BD4296" i="1"/>
  <c r="CE4296" i="1"/>
  <c r="A4297" i="1"/>
  <c r="C4297" i="1"/>
  <c r="S4297" i="1"/>
  <c r="T4297" i="1"/>
  <c r="U4297" i="1"/>
  <c r="BD4297" i="1"/>
  <c r="CE4297" i="1"/>
  <c r="A4298" i="1"/>
  <c r="C4298" i="1"/>
  <c r="S4298" i="1"/>
  <c r="T4298" i="1"/>
  <c r="U4298" i="1"/>
  <c r="BD4298" i="1"/>
  <c r="CE4298" i="1"/>
  <c r="A4299" i="1"/>
  <c r="C4299" i="1"/>
  <c r="S4299" i="1"/>
  <c r="T4299" i="1"/>
  <c r="U4299" i="1"/>
  <c r="BD4299" i="1"/>
  <c r="CE4299" i="1"/>
  <c r="A4300" i="1"/>
  <c r="C4300" i="1"/>
  <c r="S4300" i="1"/>
  <c r="T4300" i="1"/>
  <c r="U4300" i="1"/>
  <c r="BD4300" i="1"/>
  <c r="CE4300" i="1"/>
  <c r="A4301" i="1"/>
  <c r="C4301" i="1"/>
  <c r="S4301" i="1"/>
  <c r="T4301" i="1"/>
  <c r="U4301" i="1"/>
  <c r="BD4301" i="1"/>
  <c r="CE4301" i="1"/>
  <c r="A4302" i="1"/>
  <c r="C4302" i="1"/>
  <c r="S4302" i="1"/>
  <c r="T4302" i="1"/>
  <c r="U4302" i="1"/>
  <c r="BD4302" i="1"/>
  <c r="CE4302" i="1"/>
  <c r="A4303" i="1"/>
  <c r="C4303" i="1"/>
  <c r="S4303" i="1"/>
  <c r="T4303" i="1"/>
  <c r="U4303" i="1"/>
  <c r="BD4303" i="1"/>
  <c r="CE4303" i="1"/>
  <c r="A4304" i="1"/>
  <c r="C4304" i="1"/>
  <c r="S4304" i="1"/>
  <c r="T4304" i="1"/>
  <c r="U4304" i="1"/>
  <c r="BD4304" i="1"/>
  <c r="CE4304" i="1"/>
  <c r="A4305" i="1"/>
  <c r="C4305" i="1"/>
  <c r="S4305" i="1"/>
  <c r="T4305" i="1"/>
  <c r="U4305" i="1"/>
  <c r="BD4305" i="1"/>
  <c r="CE4305" i="1"/>
  <c r="A4306" i="1"/>
  <c r="C4306" i="1"/>
  <c r="S4306" i="1"/>
  <c r="T4306" i="1"/>
  <c r="U4306" i="1"/>
  <c r="BD4306" i="1"/>
  <c r="CE4306" i="1"/>
  <c r="A4307" i="1"/>
  <c r="C4307" i="1"/>
  <c r="S4307" i="1"/>
  <c r="T4307" i="1"/>
  <c r="U4307" i="1"/>
  <c r="BD4307" i="1"/>
  <c r="CE4307" i="1"/>
  <c r="A4308" i="1"/>
  <c r="C4308" i="1"/>
  <c r="S4308" i="1"/>
  <c r="T4308" i="1"/>
  <c r="U4308" i="1"/>
  <c r="BD4308" i="1"/>
  <c r="CE4308" i="1"/>
  <c r="A4309" i="1"/>
  <c r="C4309" i="1"/>
  <c r="S4309" i="1"/>
  <c r="T4309" i="1"/>
  <c r="U4309" i="1"/>
  <c r="BD4309" i="1"/>
  <c r="CE4309" i="1"/>
  <c r="A4310" i="1"/>
  <c r="C4310" i="1"/>
  <c r="S4310" i="1"/>
  <c r="T4310" i="1"/>
  <c r="U4310" i="1"/>
  <c r="BD4310" i="1"/>
  <c r="CE4310" i="1"/>
  <c r="A4311" i="1"/>
  <c r="C4311" i="1"/>
  <c r="S4311" i="1"/>
  <c r="T4311" i="1"/>
  <c r="U4311" i="1"/>
  <c r="BD4311" i="1"/>
  <c r="CE4311" i="1"/>
  <c r="A4312" i="1"/>
  <c r="C4312" i="1"/>
  <c r="S4312" i="1"/>
  <c r="T4312" i="1"/>
  <c r="U4312" i="1"/>
  <c r="BD4312" i="1"/>
  <c r="CE4312" i="1"/>
  <c r="A4313" i="1"/>
  <c r="C4313" i="1"/>
  <c r="S4313" i="1"/>
  <c r="T4313" i="1"/>
  <c r="U4313" i="1"/>
  <c r="BD4313" i="1"/>
  <c r="CE4313" i="1"/>
  <c r="A4314" i="1"/>
  <c r="C4314" i="1"/>
  <c r="S4314" i="1"/>
  <c r="T4314" i="1"/>
  <c r="U4314" i="1"/>
  <c r="BD4314" i="1"/>
  <c r="CE4314" i="1"/>
  <c r="A4315" i="1"/>
  <c r="C4315" i="1"/>
  <c r="S4315" i="1"/>
  <c r="T4315" i="1"/>
  <c r="U4315" i="1"/>
  <c r="BD4315" i="1"/>
  <c r="CE4315" i="1"/>
  <c r="A4316" i="1"/>
  <c r="C4316" i="1"/>
  <c r="S4316" i="1"/>
  <c r="T4316" i="1"/>
  <c r="U4316" i="1"/>
  <c r="BD4316" i="1"/>
  <c r="CE4316" i="1"/>
  <c r="A4317" i="1"/>
  <c r="C4317" i="1"/>
  <c r="S4317" i="1"/>
  <c r="T4317" i="1"/>
  <c r="U4317" i="1"/>
  <c r="BD4317" i="1"/>
  <c r="CE4317" i="1"/>
  <c r="A4318" i="1"/>
  <c r="C4318" i="1"/>
  <c r="S4318" i="1"/>
  <c r="T4318" i="1"/>
  <c r="U4318" i="1"/>
  <c r="BD4318" i="1"/>
  <c r="CE4318" i="1"/>
  <c r="A4319" i="1"/>
  <c r="C4319" i="1"/>
  <c r="S4319" i="1"/>
  <c r="T4319" i="1"/>
  <c r="U4319" i="1"/>
  <c r="BD4319" i="1"/>
  <c r="CE4319" i="1"/>
  <c r="A4320" i="1"/>
  <c r="C4320" i="1"/>
  <c r="S4320" i="1"/>
  <c r="T4320" i="1"/>
  <c r="U4320" i="1"/>
  <c r="BD4320" i="1"/>
  <c r="CE4320" i="1"/>
  <c r="A4321" i="1"/>
  <c r="C4321" i="1"/>
  <c r="S4321" i="1"/>
  <c r="T4321" i="1"/>
  <c r="U4321" i="1"/>
  <c r="BD4321" i="1"/>
  <c r="CE4321" i="1"/>
  <c r="A4322" i="1"/>
  <c r="C4322" i="1"/>
  <c r="S4322" i="1"/>
  <c r="T4322" i="1"/>
  <c r="U4322" i="1"/>
  <c r="BD4322" i="1"/>
  <c r="CE4322" i="1"/>
  <c r="A4323" i="1"/>
  <c r="C4323" i="1"/>
  <c r="S4323" i="1"/>
  <c r="T4323" i="1"/>
  <c r="U4323" i="1"/>
  <c r="BD4323" i="1"/>
  <c r="CE4323" i="1"/>
  <c r="A4324" i="1"/>
  <c r="C4324" i="1"/>
  <c r="S4324" i="1"/>
  <c r="T4324" i="1"/>
  <c r="U4324" i="1"/>
  <c r="BD4324" i="1"/>
  <c r="CE4324" i="1"/>
  <c r="A4325" i="1"/>
  <c r="C4325" i="1"/>
  <c r="S4325" i="1"/>
  <c r="T4325" i="1"/>
  <c r="U4325" i="1"/>
  <c r="BD4325" i="1"/>
  <c r="CE4325" i="1"/>
  <c r="A4326" i="1"/>
  <c r="C4326" i="1"/>
  <c r="S4326" i="1"/>
  <c r="T4326" i="1"/>
  <c r="U4326" i="1"/>
  <c r="BD4326" i="1"/>
  <c r="CE4326" i="1"/>
  <c r="A4327" i="1"/>
  <c r="C4327" i="1"/>
  <c r="S4327" i="1"/>
  <c r="T4327" i="1"/>
  <c r="U4327" i="1"/>
  <c r="BD4327" i="1"/>
  <c r="CE4327" i="1"/>
  <c r="A4328" i="1"/>
  <c r="C4328" i="1"/>
  <c r="S4328" i="1"/>
  <c r="T4328" i="1"/>
  <c r="U4328" i="1"/>
  <c r="BD4328" i="1"/>
  <c r="CE4328" i="1"/>
  <c r="A4329" i="1"/>
  <c r="C4329" i="1"/>
  <c r="S4329" i="1"/>
  <c r="T4329" i="1"/>
  <c r="U4329" i="1"/>
  <c r="BD4329" i="1"/>
  <c r="CE4329" i="1"/>
  <c r="A4330" i="1"/>
  <c r="C4330" i="1"/>
  <c r="S4330" i="1"/>
  <c r="T4330" i="1"/>
  <c r="U4330" i="1"/>
  <c r="BD4330" i="1"/>
  <c r="CE4330" i="1"/>
  <c r="A4331" i="1"/>
  <c r="C4331" i="1"/>
  <c r="S4331" i="1"/>
  <c r="T4331" i="1"/>
  <c r="U4331" i="1"/>
  <c r="BD4331" i="1"/>
  <c r="CE4331" i="1"/>
  <c r="A4332" i="1"/>
  <c r="C4332" i="1"/>
  <c r="S4332" i="1"/>
  <c r="T4332" i="1"/>
  <c r="U4332" i="1"/>
  <c r="BD4332" i="1"/>
  <c r="CE4332" i="1"/>
  <c r="A4333" i="1"/>
  <c r="C4333" i="1"/>
  <c r="S4333" i="1"/>
  <c r="T4333" i="1"/>
  <c r="U4333" i="1"/>
  <c r="BD4333" i="1"/>
  <c r="CE4333" i="1"/>
  <c r="A4334" i="1"/>
  <c r="C4334" i="1"/>
  <c r="S4334" i="1"/>
  <c r="T4334" i="1"/>
  <c r="U4334" i="1"/>
  <c r="BD4334" i="1"/>
  <c r="CE4334" i="1"/>
  <c r="A4335" i="1"/>
  <c r="C4335" i="1"/>
  <c r="S4335" i="1"/>
  <c r="T4335" i="1"/>
  <c r="U4335" i="1"/>
  <c r="BD4335" i="1"/>
  <c r="CE4335" i="1"/>
  <c r="A4336" i="1"/>
  <c r="C4336" i="1"/>
  <c r="S4336" i="1"/>
  <c r="T4336" i="1"/>
  <c r="U4336" i="1"/>
  <c r="BD4336" i="1"/>
  <c r="CE4336" i="1"/>
  <c r="A4337" i="1"/>
  <c r="C4337" i="1"/>
  <c r="S4337" i="1"/>
  <c r="T4337" i="1"/>
  <c r="U4337" i="1"/>
  <c r="BD4337" i="1"/>
  <c r="CE4337" i="1"/>
  <c r="A4338" i="1"/>
  <c r="C4338" i="1"/>
  <c r="S4338" i="1"/>
  <c r="T4338" i="1"/>
  <c r="U4338" i="1"/>
  <c r="BD4338" i="1"/>
  <c r="CE4338" i="1"/>
  <c r="A4339" i="1"/>
  <c r="C4339" i="1"/>
  <c r="S4339" i="1"/>
  <c r="T4339" i="1"/>
  <c r="U4339" i="1"/>
  <c r="BD4339" i="1"/>
  <c r="CE4339" i="1"/>
  <c r="A4340" i="1"/>
  <c r="C4340" i="1"/>
  <c r="S4340" i="1"/>
  <c r="T4340" i="1"/>
  <c r="U4340" i="1"/>
  <c r="BD4340" i="1"/>
  <c r="CE4340" i="1"/>
  <c r="A4341" i="1"/>
  <c r="C4341" i="1"/>
  <c r="S4341" i="1"/>
  <c r="T4341" i="1"/>
  <c r="U4341" i="1"/>
  <c r="BD4341" i="1"/>
  <c r="CE4341" i="1"/>
  <c r="A4342" i="1"/>
  <c r="C4342" i="1"/>
  <c r="S4342" i="1"/>
  <c r="T4342" i="1"/>
  <c r="U4342" i="1"/>
  <c r="BD4342" i="1"/>
  <c r="CE4342" i="1"/>
  <c r="A4343" i="1"/>
  <c r="C4343" i="1"/>
  <c r="S4343" i="1"/>
  <c r="T4343" i="1"/>
  <c r="U4343" i="1"/>
  <c r="BD4343" i="1"/>
  <c r="CE4343" i="1"/>
  <c r="A4344" i="1"/>
  <c r="C4344" i="1"/>
  <c r="S4344" i="1"/>
  <c r="T4344" i="1"/>
  <c r="U4344" i="1"/>
  <c r="BD4344" i="1"/>
  <c r="CE4344" i="1"/>
  <c r="A4345" i="1"/>
  <c r="C4345" i="1"/>
  <c r="S4345" i="1"/>
  <c r="T4345" i="1"/>
  <c r="U4345" i="1"/>
  <c r="BD4345" i="1"/>
  <c r="CE4345" i="1"/>
  <c r="A4346" i="1"/>
  <c r="C4346" i="1"/>
  <c r="S4346" i="1"/>
  <c r="T4346" i="1"/>
  <c r="U4346" i="1"/>
  <c r="BD4346" i="1"/>
  <c r="CE4346" i="1"/>
  <c r="A4347" i="1"/>
  <c r="C4347" i="1"/>
  <c r="S4347" i="1"/>
  <c r="T4347" i="1"/>
  <c r="U4347" i="1"/>
  <c r="BD4347" i="1"/>
  <c r="CE4347" i="1"/>
  <c r="A4348" i="1"/>
  <c r="C4348" i="1"/>
  <c r="S4348" i="1"/>
  <c r="T4348" i="1"/>
  <c r="U4348" i="1"/>
  <c r="BD4348" i="1"/>
  <c r="CE4348" i="1"/>
  <c r="A4349" i="1"/>
  <c r="C4349" i="1"/>
  <c r="S4349" i="1"/>
  <c r="T4349" i="1"/>
  <c r="U4349" i="1"/>
  <c r="BD4349" i="1"/>
  <c r="CE4349" i="1"/>
  <c r="A4350" i="1"/>
  <c r="C4350" i="1"/>
  <c r="S4350" i="1"/>
  <c r="T4350" i="1"/>
  <c r="U4350" i="1"/>
  <c r="BD4350" i="1"/>
  <c r="CE4350" i="1"/>
  <c r="A4351" i="1"/>
  <c r="C4351" i="1"/>
  <c r="S4351" i="1"/>
  <c r="T4351" i="1"/>
  <c r="U4351" i="1"/>
  <c r="BD4351" i="1"/>
  <c r="CE4351" i="1"/>
  <c r="A4352" i="1"/>
  <c r="C4352" i="1"/>
  <c r="S4352" i="1"/>
  <c r="T4352" i="1"/>
  <c r="U4352" i="1"/>
  <c r="BD4352" i="1"/>
  <c r="CE4352" i="1"/>
  <c r="A4353" i="1"/>
  <c r="C4353" i="1"/>
  <c r="S4353" i="1"/>
  <c r="T4353" i="1"/>
  <c r="U4353" i="1"/>
  <c r="BD4353" i="1"/>
  <c r="CE4353" i="1"/>
  <c r="A4354" i="1"/>
  <c r="C4354" i="1"/>
  <c r="S4354" i="1"/>
  <c r="T4354" i="1"/>
  <c r="U4354" i="1"/>
  <c r="BD4354" i="1"/>
  <c r="CE4354" i="1"/>
  <c r="A4355" i="1"/>
  <c r="C4355" i="1"/>
  <c r="S4355" i="1"/>
  <c r="T4355" i="1"/>
  <c r="U4355" i="1"/>
  <c r="BD4355" i="1"/>
  <c r="CE4355" i="1"/>
  <c r="A4356" i="1"/>
  <c r="C4356" i="1"/>
  <c r="S4356" i="1"/>
  <c r="T4356" i="1"/>
  <c r="U4356" i="1"/>
  <c r="BD4356" i="1"/>
  <c r="CE4356" i="1"/>
  <c r="A4357" i="1"/>
  <c r="C4357" i="1"/>
  <c r="S4357" i="1"/>
  <c r="T4357" i="1"/>
  <c r="U4357" i="1"/>
  <c r="BD4357" i="1"/>
  <c r="CE4357" i="1"/>
  <c r="A4358" i="1"/>
  <c r="C4358" i="1"/>
  <c r="S4358" i="1"/>
  <c r="T4358" i="1"/>
  <c r="U4358" i="1"/>
  <c r="BD4358" i="1"/>
  <c r="CE4358" i="1"/>
  <c r="A4359" i="1"/>
  <c r="C4359" i="1"/>
  <c r="S4359" i="1"/>
  <c r="T4359" i="1"/>
  <c r="U4359" i="1"/>
  <c r="BD4359" i="1"/>
  <c r="CE4359" i="1"/>
  <c r="A4360" i="1"/>
  <c r="C4360" i="1"/>
  <c r="S4360" i="1"/>
  <c r="T4360" i="1"/>
  <c r="U4360" i="1"/>
  <c r="BD4360" i="1"/>
  <c r="CE4360" i="1"/>
  <c r="A4361" i="1"/>
  <c r="C4361" i="1"/>
  <c r="S4361" i="1"/>
  <c r="T4361" i="1"/>
  <c r="U4361" i="1"/>
  <c r="BD4361" i="1"/>
  <c r="CE4361" i="1"/>
  <c r="A4362" i="1"/>
  <c r="C4362" i="1"/>
  <c r="S4362" i="1"/>
  <c r="T4362" i="1"/>
  <c r="U4362" i="1"/>
  <c r="BD4362" i="1"/>
  <c r="CE4362" i="1"/>
  <c r="A4363" i="1"/>
  <c r="C4363" i="1"/>
  <c r="S4363" i="1"/>
  <c r="T4363" i="1"/>
  <c r="U4363" i="1"/>
  <c r="BD4363" i="1"/>
  <c r="CE4363" i="1"/>
  <c r="A4364" i="1"/>
  <c r="C4364" i="1"/>
  <c r="S4364" i="1"/>
  <c r="T4364" i="1"/>
  <c r="U4364" i="1"/>
  <c r="BD4364" i="1"/>
  <c r="CE4364" i="1"/>
  <c r="A4365" i="1"/>
  <c r="C4365" i="1"/>
  <c r="S4365" i="1"/>
  <c r="T4365" i="1"/>
  <c r="U4365" i="1"/>
  <c r="BD4365" i="1"/>
  <c r="CE4365" i="1"/>
  <c r="A4366" i="1"/>
  <c r="C4366" i="1"/>
  <c r="S4366" i="1"/>
  <c r="T4366" i="1"/>
  <c r="U4366" i="1"/>
  <c r="BD4366" i="1"/>
  <c r="CE4366" i="1"/>
  <c r="A4367" i="1"/>
  <c r="C4367" i="1"/>
  <c r="S4367" i="1"/>
  <c r="T4367" i="1"/>
  <c r="U4367" i="1"/>
  <c r="BD4367" i="1"/>
  <c r="CE4367" i="1"/>
  <c r="A4368" i="1"/>
  <c r="C4368" i="1"/>
  <c r="S4368" i="1"/>
  <c r="T4368" i="1"/>
  <c r="U4368" i="1"/>
  <c r="BD4368" i="1"/>
  <c r="CE4368" i="1"/>
  <c r="A4369" i="1"/>
  <c r="C4369" i="1"/>
  <c r="S4369" i="1"/>
  <c r="T4369" i="1"/>
  <c r="U4369" i="1"/>
  <c r="BD4369" i="1"/>
  <c r="CE4369" i="1"/>
  <c r="A4370" i="1"/>
  <c r="C4370" i="1"/>
  <c r="S4370" i="1"/>
  <c r="T4370" i="1"/>
  <c r="U4370" i="1"/>
  <c r="BD4370" i="1"/>
  <c r="CE4370" i="1"/>
  <c r="A4371" i="1"/>
  <c r="C4371" i="1"/>
  <c r="S4371" i="1"/>
  <c r="T4371" i="1"/>
  <c r="U4371" i="1"/>
  <c r="BD4371" i="1"/>
  <c r="CE4371" i="1"/>
  <c r="A4372" i="1"/>
  <c r="C4372" i="1"/>
  <c r="S4372" i="1"/>
  <c r="T4372" i="1"/>
  <c r="U4372" i="1"/>
  <c r="BD4372" i="1"/>
  <c r="CE4372" i="1"/>
  <c r="A4373" i="1"/>
  <c r="C4373" i="1"/>
  <c r="S4373" i="1"/>
  <c r="T4373" i="1"/>
  <c r="U4373" i="1"/>
  <c r="BD4373" i="1"/>
  <c r="CE4373" i="1"/>
  <c r="A4374" i="1"/>
  <c r="C4374" i="1"/>
  <c r="S4374" i="1"/>
  <c r="T4374" i="1"/>
  <c r="U4374" i="1"/>
  <c r="BD4374" i="1"/>
  <c r="CE4374" i="1"/>
  <c r="A4375" i="1"/>
  <c r="C4375" i="1"/>
  <c r="S4375" i="1"/>
  <c r="T4375" i="1"/>
  <c r="U4375" i="1"/>
  <c r="BD4375" i="1"/>
  <c r="CE4375" i="1"/>
  <c r="A4376" i="1"/>
  <c r="C4376" i="1"/>
  <c r="S4376" i="1"/>
  <c r="T4376" i="1"/>
  <c r="U4376" i="1"/>
  <c r="BD4376" i="1"/>
  <c r="CE4376" i="1"/>
  <c r="A4377" i="1"/>
  <c r="C4377" i="1"/>
  <c r="S4377" i="1"/>
  <c r="T4377" i="1"/>
  <c r="U4377" i="1"/>
  <c r="BD4377" i="1"/>
  <c r="CE4377" i="1"/>
  <c r="A4378" i="1"/>
  <c r="C4378" i="1"/>
  <c r="S4378" i="1"/>
  <c r="T4378" i="1"/>
  <c r="U4378" i="1"/>
  <c r="BD4378" i="1"/>
  <c r="CE4378" i="1"/>
  <c r="A4379" i="1"/>
  <c r="C4379" i="1"/>
  <c r="S4379" i="1"/>
  <c r="T4379" i="1"/>
  <c r="U4379" i="1"/>
  <c r="BD4379" i="1"/>
  <c r="CE4379" i="1"/>
  <c r="A4380" i="1"/>
  <c r="C4380" i="1"/>
  <c r="S4380" i="1"/>
  <c r="T4380" i="1"/>
  <c r="U4380" i="1"/>
  <c r="BD4380" i="1"/>
  <c r="CE4380" i="1"/>
  <c r="A4381" i="1"/>
  <c r="C4381" i="1"/>
  <c r="S4381" i="1"/>
  <c r="T4381" i="1"/>
  <c r="U4381" i="1"/>
  <c r="BD4381" i="1"/>
  <c r="CE4381" i="1"/>
  <c r="A4382" i="1"/>
  <c r="C4382" i="1"/>
  <c r="S4382" i="1"/>
  <c r="T4382" i="1"/>
  <c r="U4382" i="1"/>
  <c r="BD4382" i="1"/>
  <c r="CE4382" i="1"/>
  <c r="A4383" i="1"/>
  <c r="C4383" i="1"/>
  <c r="S4383" i="1"/>
  <c r="T4383" i="1"/>
  <c r="U4383" i="1"/>
  <c r="BD4383" i="1"/>
  <c r="CE4383" i="1"/>
  <c r="A4384" i="1"/>
  <c r="C4384" i="1"/>
  <c r="S4384" i="1"/>
  <c r="T4384" i="1"/>
  <c r="U4384" i="1"/>
  <c r="BD4384" i="1"/>
  <c r="CE4384" i="1"/>
  <c r="A4385" i="1"/>
  <c r="C4385" i="1"/>
  <c r="S4385" i="1"/>
  <c r="T4385" i="1"/>
  <c r="U4385" i="1"/>
  <c r="BD4385" i="1"/>
  <c r="CE4385" i="1"/>
  <c r="A4386" i="1"/>
  <c r="C4386" i="1"/>
  <c r="S4386" i="1"/>
  <c r="T4386" i="1"/>
  <c r="U4386" i="1"/>
  <c r="BD4386" i="1"/>
  <c r="CE4386" i="1"/>
  <c r="A4387" i="1"/>
  <c r="C4387" i="1"/>
  <c r="S4387" i="1"/>
  <c r="T4387" i="1"/>
  <c r="U4387" i="1"/>
  <c r="BD4387" i="1"/>
  <c r="CE4387" i="1"/>
  <c r="A4388" i="1"/>
  <c r="C4388" i="1"/>
  <c r="S4388" i="1"/>
  <c r="T4388" i="1"/>
  <c r="U4388" i="1"/>
  <c r="BD4388" i="1"/>
  <c r="CE4388" i="1"/>
  <c r="A4389" i="1"/>
  <c r="C4389" i="1"/>
  <c r="S4389" i="1"/>
  <c r="T4389" i="1"/>
  <c r="U4389" i="1"/>
  <c r="BD4389" i="1"/>
  <c r="CE4389" i="1"/>
  <c r="A4390" i="1"/>
  <c r="C4390" i="1"/>
  <c r="S4390" i="1"/>
  <c r="T4390" i="1"/>
  <c r="U4390" i="1"/>
  <c r="BD4390" i="1"/>
  <c r="CE4390" i="1"/>
  <c r="A4391" i="1"/>
  <c r="C4391" i="1"/>
  <c r="S4391" i="1"/>
  <c r="T4391" i="1"/>
  <c r="U4391" i="1"/>
  <c r="BD4391" i="1"/>
  <c r="CE4391" i="1"/>
  <c r="A4392" i="1"/>
  <c r="C4392" i="1"/>
  <c r="S4392" i="1"/>
  <c r="T4392" i="1"/>
  <c r="U4392" i="1"/>
  <c r="BD4392" i="1"/>
  <c r="CE4392" i="1"/>
  <c r="A4393" i="1"/>
  <c r="C4393" i="1"/>
  <c r="S4393" i="1"/>
  <c r="T4393" i="1"/>
  <c r="U4393" i="1"/>
  <c r="BD4393" i="1"/>
  <c r="CE4393" i="1"/>
  <c r="A4394" i="1"/>
  <c r="C4394" i="1"/>
  <c r="S4394" i="1"/>
  <c r="T4394" i="1"/>
  <c r="U4394" i="1"/>
  <c r="BD4394" i="1"/>
  <c r="CE4394" i="1"/>
  <c r="A4395" i="1"/>
  <c r="C4395" i="1"/>
  <c r="S4395" i="1"/>
  <c r="T4395" i="1"/>
  <c r="U4395" i="1"/>
  <c r="BD4395" i="1"/>
  <c r="CE4395" i="1"/>
  <c r="A4396" i="1"/>
  <c r="C4396" i="1"/>
  <c r="S4396" i="1"/>
  <c r="T4396" i="1"/>
  <c r="U4396" i="1"/>
  <c r="BD4396" i="1"/>
  <c r="CE4396" i="1"/>
  <c r="A4397" i="1"/>
  <c r="C4397" i="1"/>
  <c r="S4397" i="1"/>
  <c r="T4397" i="1"/>
  <c r="U4397" i="1"/>
  <c r="BD4397" i="1"/>
  <c r="CE4397" i="1"/>
  <c r="A4398" i="1"/>
  <c r="C4398" i="1"/>
  <c r="S4398" i="1"/>
  <c r="T4398" i="1"/>
  <c r="U4398" i="1"/>
  <c r="BD4398" i="1"/>
  <c r="CE4398" i="1"/>
  <c r="A4399" i="1"/>
  <c r="C4399" i="1"/>
  <c r="S4399" i="1"/>
  <c r="T4399" i="1"/>
  <c r="U4399" i="1"/>
  <c r="BD4399" i="1"/>
  <c r="CE4399" i="1"/>
  <c r="A4400" i="1"/>
  <c r="C4400" i="1"/>
  <c r="S4400" i="1"/>
  <c r="T4400" i="1"/>
  <c r="U4400" i="1"/>
  <c r="BD4400" i="1"/>
  <c r="CE4400" i="1"/>
  <c r="A4401" i="1"/>
  <c r="C4401" i="1"/>
  <c r="S4401" i="1"/>
  <c r="T4401" i="1"/>
  <c r="U4401" i="1"/>
  <c r="BD4401" i="1"/>
  <c r="CE4401" i="1"/>
  <c r="A4402" i="1"/>
  <c r="C4402" i="1"/>
  <c r="S4402" i="1"/>
  <c r="T4402" i="1"/>
  <c r="U4402" i="1"/>
  <c r="BD4402" i="1"/>
  <c r="CE4402" i="1"/>
  <c r="A4403" i="1"/>
  <c r="C4403" i="1"/>
  <c r="S4403" i="1"/>
  <c r="T4403" i="1"/>
  <c r="U4403" i="1"/>
  <c r="BD4403" i="1"/>
  <c r="CE4403" i="1"/>
  <c r="A4404" i="1"/>
  <c r="C4404" i="1"/>
  <c r="S4404" i="1"/>
  <c r="T4404" i="1"/>
  <c r="U4404" i="1"/>
  <c r="BD4404" i="1"/>
  <c r="CE4404" i="1"/>
  <c r="A4405" i="1"/>
  <c r="C4405" i="1"/>
  <c r="S4405" i="1"/>
  <c r="T4405" i="1"/>
  <c r="U4405" i="1"/>
  <c r="BD4405" i="1"/>
  <c r="CE4405" i="1"/>
  <c r="A4406" i="1"/>
  <c r="C4406" i="1"/>
  <c r="S4406" i="1"/>
  <c r="T4406" i="1"/>
  <c r="U4406" i="1"/>
  <c r="BD4406" i="1"/>
  <c r="CE4406" i="1"/>
  <c r="A4407" i="1"/>
  <c r="C4407" i="1"/>
  <c r="S4407" i="1"/>
  <c r="T4407" i="1"/>
  <c r="U4407" i="1"/>
  <c r="BD4407" i="1"/>
  <c r="CE4407" i="1"/>
  <c r="A4408" i="1"/>
  <c r="C4408" i="1"/>
  <c r="S4408" i="1"/>
  <c r="T4408" i="1"/>
  <c r="U4408" i="1"/>
  <c r="BD4408" i="1"/>
  <c r="CE4408" i="1"/>
  <c r="A4409" i="1"/>
  <c r="C4409" i="1"/>
  <c r="S4409" i="1"/>
  <c r="T4409" i="1"/>
  <c r="U4409" i="1"/>
  <c r="BD4409" i="1"/>
  <c r="CE4409" i="1"/>
  <c r="A4410" i="1"/>
  <c r="C4410" i="1"/>
  <c r="S4410" i="1"/>
  <c r="T4410" i="1"/>
  <c r="U4410" i="1"/>
  <c r="BD4410" i="1"/>
  <c r="CE4410" i="1"/>
  <c r="A4411" i="1"/>
  <c r="C4411" i="1"/>
  <c r="S4411" i="1"/>
  <c r="T4411" i="1"/>
  <c r="U4411" i="1"/>
  <c r="BD4411" i="1"/>
  <c r="CE4411" i="1"/>
  <c r="A4412" i="1"/>
  <c r="C4412" i="1"/>
  <c r="S4412" i="1"/>
  <c r="T4412" i="1"/>
  <c r="U4412" i="1"/>
  <c r="BD4412" i="1"/>
  <c r="CE4412" i="1"/>
  <c r="A4413" i="1"/>
  <c r="C4413" i="1"/>
  <c r="S4413" i="1"/>
  <c r="T4413" i="1"/>
  <c r="U4413" i="1"/>
  <c r="BD4413" i="1"/>
  <c r="CE4413" i="1"/>
  <c r="A4414" i="1"/>
  <c r="C4414" i="1"/>
  <c r="S4414" i="1"/>
  <c r="T4414" i="1"/>
  <c r="U4414" i="1"/>
  <c r="BD4414" i="1"/>
  <c r="CE4414" i="1"/>
  <c r="A4415" i="1"/>
  <c r="C4415" i="1"/>
  <c r="S4415" i="1"/>
  <c r="T4415" i="1"/>
  <c r="U4415" i="1"/>
  <c r="BD4415" i="1"/>
  <c r="CE4415" i="1"/>
  <c r="A4416" i="1"/>
  <c r="C4416" i="1"/>
  <c r="S4416" i="1"/>
  <c r="T4416" i="1"/>
  <c r="U4416" i="1"/>
  <c r="BD4416" i="1"/>
  <c r="CE4416" i="1"/>
  <c r="A4417" i="1"/>
  <c r="C4417" i="1"/>
  <c r="S4417" i="1"/>
  <c r="T4417" i="1"/>
  <c r="U4417" i="1"/>
  <c r="BD4417" i="1"/>
  <c r="CE4417" i="1"/>
  <c r="A4418" i="1"/>
  <c r="C4418" i="1"/>
  <c r="S4418" i="1"/>
  <c r="T4418" i="1"/>
  <c r="U4418" i="1"/>
  <c r="BD4418" i="1"/>
  <c r="CE4418" i="1"/>
  <c r="A4419" i="1"/>
  <c r="C4419" i="1"/>
  <c r="S4419" i="1"/>
  <c r="T4419" i="1"/>
  <c r="U4419" i="1"/>
  <c r="BD4419" i="1"/>
  <c r="CE4419" i="1"/>
  <c r="A4420" i="1"/>
  <c r="C4420" i="1"/>
  <c r="S4420" i="1"/>
  <c r="T4420" i="1"/>
  <c r="U4420" i="1"/>
  <c r="BD4420" i="1"/>
  <c r="CE4420" i="1"/>
  <c r="A4421" i="1"/>
  <c r="C4421" i="1"/>
  <c r="S4421" i="1"/>
  <c r="T4421" i="1"/>
  <c r="U4421" i="1"/>
  <c r="BD4421" i="1"/>
  <c r="CE4421" i="1"/>
  <c r="A4422" i="1"/>
  <c r="C4422" i="1"/>
  <c r="S4422" i="1"/>
  <c r="T4422" i="1"/>
  <c r="U4422" i="1"/>
  <c r="BD4422" i="1"/>
  <c r="CE4422" i="1"/>
  <c r="A4423" i="1"/>
  <c r="C4423" i="1"/>
  <c r="S4423" i="1"/>
  <c r="T4423" i="1"/>
  <c r="U4423" i="1"/>
  <c r="BD4423" i="1"/>
  <c r="CE4423" i="1"/>
  <c r="A4424" i="1"/>
  <c r="C4424" i="1"/>
  <c r="S4424" i="1"/>
  <c r="T4424" i="1"/>
  <c r="U4424" i="1"/>
  <c r="BD4424" i="1"/>
  <c r="CE4424" i="1"/>
  <c r="A4425" i="1"/>
  <c r="C4425" i="1"/>
  <c r="S4425" i="1"/>
  <c r="T4425" i="1"/>
  <c r="U4425" i="1"/>
  <c r="BD4425" i="1"/>
  <c r="CE4425" i="1"/>
  <c r="A4426" i="1"/>
  <c r="C4426" i="1"/>
  <c r="S4426" i="1"/>
  <c r="T4426" i="1"/>
  <c r="U4426" i="1"/>
  <c r="BD4426" i="1"/>
  <c r="CE4426" i="1"/>
  <c r="A4427" i="1"/>
  <c r="C4427" i="1"/>
  <c r="S4427" i="1"/>
  <c r="T4427" i="1"/>
  <c r="U4427" i="1"/>
  <c r="BD4427" i="1"/>
  <c r="CE4427" i="1"/>
  <c r="A4428" i="1"/>
  <c r="C4428" i="1"/>
  <c r="S4428" i="1"/>
  <c r="T4428" i="1"/>
  <c r="U4428" i="1"/>
  <c r="BD4428" i="1"/>
  <c r="CE4428" i="1"/>
  <c r="A4429" i="1"/>
  <c r="C4429" i="1"/>
  <c r="S4429" i="1"/>
  <c r="T4429" i="1"/>
  <c r="U4429" i="1"/>
  <c r="BD4429" i="1"/>
  <c r="CE4429" i="1"/>
  <c r="A4430" i="1"/>
  <c r="C4430" i="1"/>
  <c r="S4430" i="1"/>
  <c r="T4430" i="1"/>
  <c r="U4430" i="1"/>
  <c r="BD4430" i="1"/>
  <c r="CE4430" i="1"/>
  <c r="A4431" i="1"/>
  <c r="C4431" i="1"/>
  <c r="S4431" i="1"/>
  <c r="T4431" i="1"/>
  <c r="U4431" i="1"/>
  <c r="BD4431" i="1"/>
  <c r="CE4431" i="1"/>
  <c r="A4432" i="1"/>
  <c r="C4432" i="1"/>
  <c r="S4432" i="1"/>
  <c r="T4432" i="1"/>
  <c r="U4432" i="1"/>
  <c r="BD4432" i="1"/>
  <c r="CE4432" i="1"/>
  <c r="A4433" i="1"/>
  <c r="C4433" i="1"/>
  <c r="S4433" i="1"/>
  <c r="T4433" i="1"/>
  <c r="U4433" i="1"/>
  <c r="BD4433" i="1"/>
  <c r="CE4433" i="1"/>
  <c r="A4434" i="1"/>
  <c r="C4434" i="1"/>
  <c r="S4434" i="1"/>
  <c r="T4434" i="1"/>
  <c r="U4434" i="1"/>
  <c r="BD4434" i="1"/>
  <c r="CE4434" i="1"/>
  <c r="A4435" i="1"/>
  <c r="C4435" i="1"/>
  <c r="S4435" i="1"/>
  <c r="T4435" i="1"/>
  <c r="U4435" i="1"/>
  <c r="BD4435" i="1"/>
  <c r="CE4435" i="1"/>
  <c r="A4436" i="1"/>
  <c r="C4436" i="1"/>
  <c r="S4436" i="1"/>
  <c r="T4436" i="1"/>
  <c r="U4436" i="1"/>
  <c r="BD4436" i="1"/>
  <c r="CE4436" i="1"/>
  <c r="A4437" i="1"/>
  <c r="C4437" i="1"/>
  <c r="S4437" i="1"/>
  <c r="T4437" i="1"/>
  <c r="U4437" i="1"/>
  <c r="BD4437" i="1"/>
  <c r="CE4437" i="1"/>
  <c r="A4438" i="1"/>
  <c r="C4438" i="1"/>
  <c r="S4438" i="1"/>
  <c r="T4438" i="1"/>
  <c r="U4438" i="1"/>
  <c r="BD4438" i="1"/>
  <c r="CE4438" i="1"/>
  <c r="A4439" i="1"/>
  <c r="C4439" i="1"/>
  <c r="S4439" i="1"/>
  <c r="T4439" i="1"/>
  <c r="U4439" i="1"/>
  <c r="BD4439" i="1"/>
  <c r="CE4439" i="1"/>
  <c r="A4440" i="1"/>
  <c r="C4440" i="1"/>
  <c r="S4440" i="1"/>
  <c r="T4440" i="1"/>
  <c r="U4440" i="1"/>
  <c r="BD4440" i="1"/>
  <c r="CE4440" i="1"/>
  <c r="A4441" i="1"/>
  <c r="C4441" i="1"/>
  <c r="S4441" i="1"/>
  <c r="T4441" i="1"/>
  <c r="U4441" i="1"/>
  <c r="BD4441" i="1"/>
  <c r="CE4441" i="1"/>
  <c r="A4442" i="1"/>
  <c r="C4442" i="1"/>
  <c r="S4442" i="1"/>
  <c r="T4442" i="1"/>
  <c r="U4442" i="1"/>
  <c r="BD4442" i="1"/>
  <c r="CE4442" i="1"/>
  <c r="A4443" i="1"/>
  <c r="C4443" i="1"/>
  <c r="S4443" i="1"/>
  <c r="T4443" i="1"/>
  <c r="U4443" i="1"/>
  <c r="BD4443" i="1"/>
  <c r="CE4443" i="1"/>
  <c r="A4444" i="1"/>
  <c r="C4444" i="1"/>
  <c r="S4444" i="1"/>
  <c r="T4444" i="1"/>
  <c r="U4444" i="1"/>
  <c r="BD4444" i="1"/>
  <c r="CE4444" i="1"/>
  <c r="A4445" i="1"/>
  <c r="C4445" i="1"/>
  <c r="S4445" i="1"/>
  <c r="T4445" i="1"/>
  <c r="U4445" i="1"/>
  <c r="BD4445" i="1"/>
  <c r="CE4445" i="1"/>
  <c r="A4446" i="1"/>
  <c r="C4446" i="1"/>
  <c r="S4446" i="1"/>
  <c r="T4446" i="1"/>
  <c r="U4446" i="1"/>
  <c r="BD4446" i="1"/>
  <c r="CE4446" i="1"/>
  <c r="A4447" i="1"/>
  <c r="C4447" i="1"/>
  <c r="S4447" i="1"/>
  <c r="T4447" i="1"/>
  <c r="U4447" i="1"/>
  <c r="BD4447" i="1"/>
  <c r="CE4447" i="1"/>
  <c r="A4448" i="1"/>
  <c r="C4448" i="1"/>
  <c r="S4448" i="1"/>
  <c r="T4448" i="1"/>
  <c r="U4448" i="1"/>
  <c r="BD4448" i="1"/>
  <c r="CE4448" i="1"/>
  <c r="A4449" i="1"/>
  <c r="C4449" i="1"/>
  <c r="S4449" i="1"/>
  <c r="T4449" i="1"/>
  <c r="U4449" i="1"/>
  <c r="BD4449" i="1"/>
  <c r="CE4449" i="1"/>
  <c r="A4450" i="1"/>
  <c r="C4450" i="1"/>
  <c r="S4450" i="1"/>
  <c r="T4450" i="1"/>
  <c r="U4450" i="1"/>
  <c r="BD4450" i="1"/>
  <c r="CE4450" i="1"/>
  <c r="A4451" i="1"/>
  <c r="C4451" i="1"/>
  <c r="S4451" i="1"/>
  <c r="T4451" i="1"/>
  <c r="U4451" i="1"/>
  <c r="BD4451" i="1"/>
  <c r="CE4451" i="1"/>
  <c r="A4452" i="1"/>
  <c r="C4452" i="1"/>
  <c r="S4452" i="1"/>
  <c r="T4452" i="1"/>
  <c r="U4452" i="1"/>
  <c r="BD4452" i="1"/>
  <c r="CE4452" i="1"/>
  <c r="A4453" i="1"/>
  <c r="C4453" i="1"/>
  <c r="S4453" i="1"/>
  <c r="T4453" i="1"/>
  <c r="U4453" i="1"/>
  <c r="BD4453" i="1"/>
  <c r="CE4453" i="1"/>
  <c r="A4454" i="1"/>
  <c r="C4454" i="1"/>
  <c r="S4454" i="1"/>
  <c r="T4454" i="1"/>
  <c r="U4454" i="1"/>
  <c r="BD4454" i="1"/>
  <c r="CE4454" i="1"/>
  <c r="A4455" i="1"/>
  <c r="C4455" i="1"/>
  <c r="S4455" i="1"/>
  <c r="T4455" i="1"/>
  <c r="U4455" i="1"/>
  <c r="BD4455" i="1"/>
  <c r="CE4455" i="1"/>
  <c r="A4456" i="1"/>
  <c r="C4456" i="1"/>
  <c r="S4456" i="1"/>
  <c r="T4456" i="1"/>
  <c r="U4456" i="1"/>
  <c r="BD4456" i="1"/>
  <c r="CE4456" i="1"/>
  <c r="A4457" i="1"/>
  <c r="C4457" i="1"/>
  <c r="S4457" i="1"/>
  <c r="T4457" i="1"/>
  <c r="U4457" i="1"/>
  <c r="BD4457" i="1"/>
  <c r="CE4457" i="1"/>
  <c r="A4458" i="1"/>
  <c r="C4458" i="1"/>
  <c r="S4458" i="1"/>
  <c r="T4458" i="1"/>
  <c r="U4458" i="1"/>
  <c r="BD4458" i="1"/>
  <c r="CE4458" i="1"/>
  <c r="A4459" i="1"/>
  <c r="C4459" i="1"/>
  <c r="S4459" i="1"/>
  <c r="T4459" i="1"/>
  <c r="U4459" i="1"/>
  <c r="BD4459" i="1"/>
  <c r="CE4459" i="1"/>
  <c r="A4460" i="1"/>
  <c r="C4460" i="1"/>
  <c r="S4460" i="1"/>
  <c r="T4460" i="1"/>
  <c r="U4460" i="1"/>
  <c r="BD4460" i="1"/>
  <c r="CE4460" i="1"/>
  <c r="A4461" i="1"/>
  <c r="C4461" i="1"/>
  <c r="S4461" i="1"/>
  <c r="T4461" i="1"/>
  <c r="U4461" i="1"/>
  <c r="BD4461" i="1"/>
  <c r="CE4461" i="1"/>
  <c r="A4462" i="1"/>
  <c r="C4462" i="1"/>
  <c r="S4462" i="1"/>
  <c r="T4462" i="1"/>
  <c r="U4462" i="1"/>
  <c r="BD4462" i="1"/>
  <c r="CE4462" i="1"/>
  <c r="A4463" i="1"/>
  <c r="C4463" i="1"/>
  <c r="S4463" i="1"/>
  <c r="T4463" i="1"/>
  <c r="U4463" i="1"/>
  <c r="BD4463" i="1"/>
  <c r="CE4463" i="1"/>
  <c r="A4464" i="1"/>
  <c r="C4464" i="1"/>
  <c r="S4464" i="1"/>
  <c r="T4464" i="1"/>
  <c r="U4464" i="1"/>
  <c r="BD4464" i="1"/>
  <c r="CE4464" i="1"/>
  <c r="A4465" i="1"/>
  <c r="C4465" i="1"/>
  <c r="S4465" i="1"/>
  <c r="T4465" i="1"/>
  <c r="U4465" i="1"/>
  <c r="BD4465" i="1"/>
  <c r="CE4465" i="1"/>
  <c r="A4466" i="1"/>
  <c r="C4466" i="1"/>
  <c r="S4466" i="1"/>
  <c r="T4466" i="1"/>
  <c r="U4466" i="1"/>
  <c r="BD4466" i="1"/>
  <c r="CE4466" i="1"/>
  <c r="A4467" i="1"/>
  <c r="C4467" i="1"/>
  <c r="S4467" i="1"/>
  <c r="T4467" i="1"/>
  <c r="U4467" i="1"/>
  <c r="BD4467" i="1"/>
  <c r="CE4467" i="1"/>
  <c r="A4468" i="1"/>
  <c r="C4468" i="1"/>
  <c r="S4468" i="1"/>
  <c r="T4468" i="1"/>
  <c r="U4468" i="1"/>
  <c r="BD4468" i="1"/>
  <c r="CE4468" i="1"/>
  <c r="A4469" i="1"/>
  <c r="C4469" i="1"/>
  <c r="S4469" i="1"/>
  <c r="T4469" i="1"/>
  <c r="U4469" i="1"/>
  <c r="BD4469" i="1"/>
  <c r="CE4469" i="1"/>
  <c r="A4470" i="1"/>
  <c r="C4470" i="1"/>
  <c r="S4470" i="1"/>
  <c r="T4470" i="1"/>
  <c r="U4470" i="1"/>
  <c r="BD4470" i="1"/>
  <c r="CE4470" i="1"/>
  <c r="A4471" i="1"/>
  <c r="C4471" i="1"/>
  <c r="S4471" i="1"/>
  <c r="T4471" i="1"/>
  <c r="U4471" i="1"/>
  <c r="BD4471" i="1"/>
  <c r="CE4471" i="1"/>
  <c r="A4472" i="1"/>
  <c r="C4472" i="1"/>
  <c r="S4472" i="1"/>
  <c r="T4472" i="1"/>
  <c r="U4472" i="1"/>
  <c r="BD4472" i="1"/>
  <c r="CE4472" i="1"/>
  <c r="A4473" i="1"/>
  <c r="C4473" i="1"/>
  <c r="S4473" i="1"/>
  <c r="T4473" i="1"/>
  <c r="U4473" i="1"/>
  <c r="BD4473" i="1"/>
  <c r="CE4473" i="1"/>
  <c r="A4474" i="1"/>
  <c r="C4474" i="1"/>
  <c r="S4474" i="1"/>
  <c r="T4474" i="1"/>
  <c r="U4474" i="1"/>
  <c r="BD4474" i="1"/>
  <c r="CE4474" i="1"/>
  <c r="A4475" i="1"/>
  <c r="C4475" i="1"/>
  <c r="S4475" i="1"/>
  <c r="T4475" i="1"/>
  <c r="U4475" i="1"/>
  <c r="BD4475" i="1"/>
  <c r="CE4475" i="1"/>
  <c r="A4476" i="1"/>
  <c r="C4476" i="1"/>
  <c r="S4476" i="1"/>
  <c r="T4476" i="1"/>
  <c r="U4476" i="1"/>
  <c r="BD4476" i="1"/>
  <c r="CE4476" i="1"/>
  <c r="A4477" i="1"/>
  <c r="C4477" i="1"/>
  <c r="S4477" i="1"/>
  <c r="T4477" i="1"/>
  <c r="U4477" i="1"/>
  <c r="BD4477" i="1"/>
  <c r="CE4477" i="1"/>
  <c r="A4478" i="1"/>
  <c r="C4478" i="1"/>
  <c r="S4478" i="1"/>
  <c r="T4478" i="1"/>
  <c r="U4478" i="1"/>
  <c r="BD4478" i="1"/>
  <c r="CE4478" i="1"/>
  <c r="A4479" i="1"/>
  <c r="C4479" i="1"/>
  <c r="S4479" i="1"/>
  <c r="T4479" i="1"/>
  <c r="U4479" i="1"/>
  <c r="BD4479" i="1"/>
  <c r="CE4479" i="1"/>
  <c r="A4480" i="1"/>
  <c r="C4480" i="1"/>
  <c r="S4480" i="1"/>
  <c r="T4480" i="1"/>
  <c r="U4480" i="1"/>
  <c r="BD4480" i="1"/>
  <c r="CE4480" i="1"/>
  <c r="A4481" i="1"/>
  <c r="C4481" i="1"/>
  <c r="S4481" i="1"/>
  <c r="T4481" i="1"/>
  <c r="U4481" i="1"/>
  <c r="BD4481" i="1"/>
  <c r="CE4481" i="1"/>
  <c r="A4482" i="1"/>
  <c r="C4482" i="1"/>
  <c r="S4482" i="1"/>
  <c r="T4482" i="1"/>
  <c r="U4482" i="1"/>
  <c r="BD4482" i="1"/>
  <c r="CE4482" i="1"/>
  <c r="A4483" i="1"/>
  <c r="C4483" i="1"/>
  <c r="S4483" i="1"/>
  <c r="T4483" i="1"/>
  <c r="U4483" i="1"/>
  <c r="BD4483" i="1"/>
  <c r="CE4483" i="1"/>
  <c r="A4484" i="1"/>
  <c r="C4484" i="1"/>
  <c r="S4484" i="1"/>
  <c r="T4484" i="1"/>
  <c r="U4484" i="1"/>
  <c r="BD4484" i="1"/>
  <c r="CE4484" i="1"/>
  <c r="A4485" i="1"/>
  <c r="C4485" i="1"/>
  <c r="S4485" i="1"/>
  <c r="T4485" i="1"/>
  <c r="U4485" i="1"/>
  <c r="BD4485" i="1"/>
  <c r="CE4485" i="1"/>
  <c r="A4486" i="1"/>
  <c r="C4486" i="1"/>
  <c r="S4486" i="1"/>
  <c r="T4486" i="1"/>
  <c r="U4486" i="1"/>
  <c r="BD4486" i="1"/>
  <c r="CE4486" i="1"/>
  <c r="A4487" i="1"/>
  <c r="C4487" i="1"/>
  <c r="S4487" i="1"/>
  <c r="T4487" i="1"/>
  <c r="U4487" i="1"/>
  <c r="BD4487" i="1"/>
  <c r="CE4487" i="1"/>
  <c r="A4488" i="1"/>
  <c r="C4488" i="1"/>
  <c r="S4488" i="1"/>
  <c r="T4488" i="1"/>
  <c r="U4488" i="1"/>
  <c r="BD4488" i="1"/>
  <c r="CE4488" i="1"/>
  <c r="A4489" i="1"/>
  <c r="C4489" i="1"/>
  <c r="S4489" i="1"/>
  <c r="T4489" i="1"/>
  <c r="U4489" i="1"/>
  <c r="BD4489" i="1"/>
  <c r="CE4489" i="1"/>
  <c r="A4490" i="1"/>
  <c r="C4490" i="1"/>
  <c r="S4490" i="1"/>
  <c r="T4490" i="1"/>
  <c r="U4490" i="1"/>
  <c r="BD4490" i="1"/>
  <c r="CE4490" i="1"/>
  <c r="A4491" i="1"/>
  <c r="C4491" i="1"/>
  <c r="S4491" i="1"/>
  <c r="T4491" i="1"/>
  <c r="U4491" i="1"/>
  <c r="BD4491" i="1"/>
  <c r="CE4491" i="1"/>
  <c r="A4492" i="1"/>
  <c r="C4492" i="1"/>
  <c r="S4492" i="1"/>
  <c r="T4492" i="1"/>
  <c r="U4492" i="1"/>
  <c r="BD4492" i="1"/>
  <c r="CE4492" i="1"/>
  <c r="A4493" i="1"/>
  <c r="C4493" i="1"/>
  <c r="S4493" i="1"/>
  <c r="T4493" i="1"/>
  <c r="U4493" i="1"/>
  <c r="BD4493" i="1"/>
  <c r="CE4493" i="1"/>
  <c r="A4494" i="1"/>
  <c r="C4494" i="1"/>
  <c r="S4494" i="1"/>
  <c r="T4494" i="1"/>
  <c r="U4494" i="1"/>
  <c r="BD4494" i="1"/>
  <c r="CE4494" i="1"/>
  <c r="A4495" i="1"/>
  <c r="C4495" i="1"/>
  <c r="S4495" i="1"/>
  <c r="T4495" i="1"/>
  <c r="U4495" i="1"/>
  <c r="BD4495" i="1"/>
  <c r="CE4495" i="1"/>
  <c r="A4496" i="1"/>
  <c r="C4496" i="1"/>
  <c r="S4496" i="1"/>
  <c r="T4496" i="1"/>
  <c r="U4496" i="1"/>
  <c r="BD4496" i="1"/>
  <c r="CE4496" i="1"/>
  <c r="A4497" i="1"/>
  <c r="C4497" i="1"/>
  <c r="S4497" i="1"/>
  <c r="T4497" i="1"/>
  <c r="U4497" i="1"/>
  <c r="BD4497" i="1"/>
  <c r="CE4497" i="1"/>
  <c r="A4498" i="1"/>
  <c r="C4498" i="1"/>
  <c r="S4498" i="1"/>
  <c r="T4498" i="1"/>
  <c r="U4498" i="1"/>
  <c r="BD4498" i="1"/>
  <c r="CE4498" i="1"/>
  <c r="A4499" i="1"/>
  <c r="C4499" i="1"/>
  <c r="S4499" i="1"/>
  <c r="T4499" i="1"/>
  <c r="U4499" i="1"/>
  <c r="BD4499" i="1"/>
  <c r="CE4499" i="1"/>
  <c r="A4500" i="1"/>
  <c r="C4500" i="1"/>
  <c r="S4500" i="1"/>
  <c r="T4500" i="1"/>
  <c r="U4500" i="1"/>
  <c r="BD4500" i="1"/>
  <c r="CE4500" i="1"/>
  <c r="A4501" i="1"/>
  <c r="C4501" i="1"/>
  <c r="S4501" i="1"/>
  <c r="T4501" i="1"/>
  <c r="U4501" i="1"/>
  <c r="BD4501" i="1"/>
  <c r="CE4501" i="1"/>
  <c r="A4502" i="1"/>
  <c r="C4502" i="1"/>
  <c r="S4502" i="1"/>
  <c r="T4502" i="1"/>
  <c r="U4502" i="1"/>
  <c r="BD4502" i="1"/>
  <c r="CE4502" i="1"/>
  <c r="A4503" i="1"/>
  <c r="C4503" i="1"/>
  <c r="S4503" i="1"/>
  <c r="T4503" i="1"/>
  <c r="U4503" i="1"/>
  <c r="BD4503" i="1"/>
  <c r="CE4503" i="1"/>
  <c r="A4504" i="1"/>
  <c r="C4504" i="1"/>
  <c r="S4504" i="1"/>
  <c r="T4504" i="1"/>
  <c r="U4504" i="1"/>
  <c r="BD4504" i="1"/>
  <c r="CE4504" i="1"/>
  <c r="A4505" i="1"/>
  <c r="C4505" i="1"/>
  <c r="S4505" i="1"/>
  <c r="T4505" i="1"/>
  <c r="U4505" i="1"/>
  <c r="BD4505" i="1"/>
  <c r="CE4505" i="1"/>
  <c r="A4506" i="1"/>
  <c r="C4506" i="1"/>
  <c r="S4506" i="1"/>
  <c r="T4506" i="1"/>
  <c r="U4506" i="1"/>
  <c r="BD4506" i="1"/>
  <c r="CE4506" i="1"/>
  <c r="A4507" i="1"/>
  <c r="C4507" i="1"/>
  <c r="S4507" i="1"/>
  <c r="T4507" i="1"/>
  <c r="U4507" i="1"/>
  <c r="BD4507" i="1"/>
  <c r="CE4507" i="1"/>
  <c r="A4508" i="1"/>
  <c r="C4508" i="1"/>
  <c r="S4508" i="1"/>
  <c r="T4508" i="1"/>
  <c r="U4508" i="1"/>
  <c r="BD4508" i="1"/>
  <c r="CE4508" i="1"/>
  <c r="A4509" i="1"/>
  <c r="C4509" i="1"/>
  <c r="S4509" i="1"/>
  <c r="T4509" i="1"/>
  <c r="U4509" i="1"/>
  <c r="BD4509" i="1"/>
  <c r="CE4509" i="1"/>
  <c r="A4510" i="1"/>
  <c r="C4510" i="1"/>
  <c r="S4510" i="1"/>
  <c r="T4510" i="1"/>
  <c r="U4510" i="1"/>
  <c r="BD4510" i="1"/>
  <c r="CE4510" i="1"/>
  <c r="A4511" i="1"/>
  <c r="C4511" i="1"/>
  <c r="S4511" i="1"/>
  <c r="T4511" i="1"/>
  <c r="U4511" i="1"/>
  <c r="BD4511" i="1"/>
  <c r="CE4511" i="1"/>
  <c r="A4512" i="1"/>
  <c r="C4512" i="1"/>
  <c r="S4512" i="1"/>
  <c r="T4512" i="1"/>
  <c r="U4512" i="1"/>
  <c r="BD4512" i="1"/>
  <c r="CE4512" i="1"/>
  <c r="A4513" i="1"/>
  <c r="C4513" i="1"/>
  <c r="S4513" i="1"/>
  <c r="T4513" i="1"/>
  <c r="U4513" i="1"/>
  <c r="BD4513" i="1"/>
  <c r="CE4513" i="1"/>
  <c r="A4514" i="1"/>
  <c r="C4514" i="1"/>
  <c r="S4514" i="1"/>
  <c r="T4514" i="1"/>
  <c r="U4514" i="1"/>
  <c r="BD4514" i="1"/>
  <c r="CE4514" i="1"/>
  <c r="A4515" i="1"/>
  <c r="C4515" i="1"/>
  <c r="S4515" i="1"/>
  <c r="T4515" i="1"/>
  <c r="U4515" i="1"/>
  <c r="BD4515" i="1"/>
  <c r="CE4515" i="1"/>
  <c r="A4516" i="1"/>
  <c r="C4516" i="1"/>
  <c r="S4516" i="1"/>
  <c r="T4516" i="1"/>
  <c r="U4516" i="1"/>
  <c r="BD4516" i="1"/>
  <c r="CE4516" i="1"/>
  <c r="A4517" i="1"/>
  <c r="C4517" i="1"/>
  <c r="S4517" i="1"/>
  <c r="T4517" i="1"/>
  <c r="U4517" i="1"/>
  <c r="BD4517" i="1"/>
  <c r="CE4517" i="1"/>
  <c r="A4518" i="1"/>
  <c r="C4518" i="1"/>
  <c r="S4518" i="1"/>
  <c r="T4518" i="1"/>
  <c r="U4518" i="1"/>
  <c r="BD4518" i="1"/>
  <c r="CE4518" i="1"/>
  <c r="A4519" i="1"/>
  <c r="C4519" i="1"/>
  <c r="S4519" i="1"/>
  <c r="T4519" i="1"/>
  <c r="U4519" i="1"/>
  <c r="BD4519" i="1"/>
  <c r="CE4519" i="1"/>
  <c r="A4520" i="1"/>
  <c r="C4520" i="1"/>
  <c r="S4520" i="1"/>
  <c r="T4520" i="1"/>
  <c r="U4520" i="1"/>
  <c r="BD4520" i="1"/>
  <c r="CE4520" i="1"/>
  <c r="A4521" i="1"/>
  <c r="C4521" i="1"/>
  <c r="S4521" i="1"/>
  <c r="T4521" i="1"/>
  <c r="U4521" i="1"/>
  <c r="BD4521" i="1"/>
  <c r="CE4521" i="1"/>
  <c r="A4522" i="1"/>
  <c r="C4522" i="1"/>
  <c r="S4522" i="1"/>
  <c r="T4522" i="1"/>
  <c r="U4522" i="1"/>
  <c r="BD4522" i="1"/>
  <c r="CE4522" i="1"/>
  <c r="A4523" i="1"/>
  <c r="C4523" i="1"/>
  <c r="S4523" i="1"/>
  <c r="T4523" i="1"/>
  <c r="U4523" i="1"/>
  <c r="BD4523" i="1"/>
  <c r="CE4523" i="1"/>
  <c r="A4524" i="1"/>
  <c r="C4524" i="1"/>
  <c r="S4524" i="1"/>
  <c r="T4524" i="1"/>
  <c r="U4524" i="1"/>
  <c r="BD4524" i="1"/>
  <c r="CE4524" i="1"/>
  <c r="A4525" i="1"/>
  <c r="C4525" i="1"/>
  <c r="S4525" i="1"/>
  <c r="T4525" i="1"/>
  <c r="U4525" i="1"/>
  <c r="BD4525" i="1"/>
  <c r="CE4525" i="1"/>
  <c r="A4526" i="1"/>
  <c r="C4526" i="1"/>
  <c r="S4526" i="1"/>
  <c r="T4526" i="1"/>
  <c r="U4526" i="1"/>
  <c r="BD4526" i="1"/>
  <c r="CE4526" i="1"/>
  <c r="A4527" i="1"/>
  <c r="C4527" i="1"/>
  <c r="S4527" i="1"/>
  <c r="T4527" i="1"/>
  <c r="U4527" i="1"/>
  <c r="BD4527" i="1"/>
  <c r="CE4527" i="1"/>
  <c r="A4528" i="1"/>
  <c r="C4528" i="1"/>
  <c r="S4528" i="1"/>
  <c r="T4528" i="1"/>
  <c r="U4528" i="1"/>
  <c r="BD4528" i="1"/>
  <c r="CE4528" i="1"/>
  <c r="A4529" i="1"/>
  <c r="C4529" i="1"/>
  <c r="S4529" i="1"/>
  <c r="T4529" i="1"/>
  <c r="U4529" i="1"/>
  <c r="BD4529" i="1"/>
  <c r="CE4529" i="1"/>
  <c r="A4530" i="1"/>
  <c r="C4530" i="1"/>
  <c r="S4530" i="1"/>
  <c r="T4530" i="1"/>
  <c r="U4530" i="1"/>
  <c r="BD4530" i="1"/>
  <c r="CE4530" i="1"/>
  <c r="A4531" i="1"/>
  <c r="C4531" i="1"/>
  <c r="S4531" i="1"/>
  <c r="T4531" i="1"/>
  <c r="U4531" i="1"/>
  <c r="BD4531" i="1"/>
  <c r="CE4531" i="1"/>
  <c r="A4532" i="1"/>
  <c r="C4532" i="1"/>
  <c r="S4532" i="1"/>
  <c r="T4532" i="1"/>
  <c r="U4532" i="1"/>
  <c r="BD4532" i="1"/>
  <c r="CE4532" i="1"/>
  <c r="A4533" i="1"/>
  <c r="C4533" i="1"/>
  <c r="S4533" i="1"/>
  <c r="T4533" i="1"/>
  <c r="U4533" i="1"/>
  <c r="BD4533" i="1"/>
  <c r="CE4533" i="1"/>
  <c r="A4534" i="1"/>
  <c r="C4534" i="1"/>
  <c r="S4534" i="1"/>
  <c r="T4534" i="1"/>
  <c r="U4534" i="1"/>
  <c r="BD4534" i="1"/>
  <c r="CE4534" i="1"/>
  <c r="A4535" i="1"/>
  <c r="C4535" i="1"/>
  <c r="S4535" i="1"/>
  <c r="T4535" i="1"/>
  <c r="U4535" i="1"/>
  <c r="BD4535" i="1"/>
  <c r="CE4535" i="1"/>
  <c r="A4536" i="1"/>
  <c r="C4536" i="1"/>
  <c r="S4536" i="1"/>
  <c r="T4536" i="1"/>
  <c r="U4536" i="1"/>
  <c r="BD4536" i="1"/>
  <c r="CE4536" i="1"/>
  <c r="A4537" i="1"/>
  <c r="C4537" i="1"/>
  <c r="S4537" i="1"/>
  <c r="T4537" i="1"/>
  <c r="U4537" i="1"/>
  <c r="BD4537" i="1"/>
  <c r="CE4537" i="1"/>
  <c r="A4538" i="1"/>
  <c r="C4538" i="1"/>
  <c r="S4538" i="1"/>
  <c r="T4538" i="1"/>
  <c r="U4538" i="1"/>
  <c r="BD4538" i="1"/>
  <c r="CE4538" i="1"/>
  <c r="A4539" i="1"/>
  <c r="C4539" i="1"/>
  <c r="S4539" i="1"/>
  <c r="T4539" i="1"/>
  <c r="U4539" i="1"/>
  <c r="BD4539" i="1"/>
  <c r="CE4539" i="1"/>
  <c r="A4540" i="1"/>
  <c r="C4540" i="1"/>
  <c r="S4540" i="1"/>
  <c r="T4540" i="1"/>
  <c r="U4540" i="1"/>
  <c r="BD4540" i="1"/>
  <c r="CE4540" i="1"/>
  <c r="A4541" i="1"/>
  <c r="C4541" i="1"/>
  <c r="S4541" i="1"/>
  <c r="T4541" i="1"/>
  <c r="U4541" i="1"/>
  <c r="BD4541" i="1"/>
  <c r="CE4541" i="1"/>
  <c r="A4542" i="1"/>
  <c r="C4542" i="1"/>
  <c r="S4542" i="1"/>
  <c r="T4542" i="1"/>
  <c r="U4542" i="1"/>
  <c r="BD4542" i="1"/>
  <c r="CE4542" i="1"/>
  <c r="A4543" i="1"/>
  <c r="C4543" i="1"/>
  <c r="S4543" i="1"/>
  <c r="T4543" i="1"/>
  <c r="U4543" i="1"/>
  <c r="BD4543" i="1"/>
  <c r="CE4543" i="1"/>
  <c r="A4544" i="1"/>
  <c r="C4544" i="1"/>
  <c r="S4544" i="1"/>
  <c r="T4544" i="1"/>
  <c r="U4544" i="1"/>
  <c r="BD4544" i="1"/>
  <c r="CE4544" i="1"/>
  <c r="A4545" i="1"/>
  <c r="C4545" i="1"/>
  <c r="S4545" i="1"/>
  <c r="T4545" i="1"/>
  <c r="U4545" i="1"/>
  <c r="BD4545" i="1"/>
  <c r="CE4545" i="1"/>
  <c r="A4546" i="1"/>
  <c r="C4546" i="1"/>
  <c r="S4546" i="1"/>
  <c r="T4546" i="1"/>
  <c r="U4546" i="1"/>
  <c r="BD4546" i="1"/>
  <c r="CE4546" i="1"/>
  <c r="A4547" i="1"/>
  <c r="C4547" i="1"/>
  <c r="S4547" i="1"/>
  <c r="T4547" i="1"/>
  <c r="U4547" i="1"/>
  <c r="BD4547" i="1"/>
  <c r="CE4547" i="1"/>
  <c r="A4548" i="1"/>
  <c r="C4548" i="1"/>
  <c r="S4548" i="1"/>
  <c r="T4548" i="1"/>
  <c r="U4548" i="1"/>
  <c r="BD4548" i="1"/>
  <c r="CE4548" i="1"/>
  <c r="A4549" i="1"/>
  <c r="C4549" i="1"/>
  <c r="S4549" i="1"/>
  <c r="T4549" i="1"/>
  <c r="U4549" i="1"/>
  <c r="BD4549" i="1"/>
  <c r="CE4549" i="1"/>
  <c r="A4550" i="1"/>
  <c r="C4550" i="1"/>
  <c r="S4550" i="1"/>
  <c r="T4550" i="1"/>
  <c r="U4550" i="1"/>
  <c r="BD4550" i="1"/>
  <c r="CE4550" i="1"/>
  <c r="A4551" i="1"/>
  <c r="C4551" i="1"/>
  <c r="S4551" i="1"/>
  <c r="T4551" i="1"/>
  <c r="U4551" i="1"/>
  <c r="BD4551" i="1"/>
  <c r="CE4551" i="1"/>
  <c r="A4552" i="1"/>
  <c r="C4552" i="1"/>
  <c r="S4552" i="1"/>
  <c r="T4552" i="1"/>
  <c r="U4552" i="1"/>
  <c r="BD4552" i="1"/>
  <c r="CE4552" i="1"/>
  <c r="A4553" i="1"/>
  <c r="C4553" i="1"/>
  <c r="S4553" i="1"/>
  <c r="T4553" i="1"/>
  <c r="U4553" i="1"/>
  <c r="BD4553" i="1"/>
  <c r="CE4553" i="1"/>
  <c r="A4554" i="1"/>
  <c r="C4554" i="1"/>
  <c r="S4554" i="1"/>
  <c r="T4554" i="1"/>
  <c r="U4554" i="1"/>
  <c r="BD4554" i="1"/>
  <c r="CE4554" i="1"/>
  <c r="A4555" i="1"/>
  <c r="C4555" i="1"/>
  <c r="S4555" i="1"/>
  <c r="T4555" i="1"/>
  <c r="U4555" i="1"/>
  <c r="BD4555" i="1"/>
  <c r="CE4555" i="1"/>
  <c r="A4556" i="1"/>
  <c r="C4556" i="1"/>
  <c r="S4556" i="1"/>
  <c r="T4556" i="1"/>
  <c r="U4556" i="1"/>
  <c r="BD4556" i="1"/>
  <c r="CE4556" i="1"/>
  <c r="A4557" i="1"/>
  <c r="C4557" i="1"/>
  <c r="S4557" i="1"/>
  <c r="T4557" i="1"/>
  <c r="U4557" i="1"/>
  <c r="BD4557" i="1"/>
  <c r="CE4557" i="1"/>
  <c r="A4558" i="1"/>
  <c r="C4558" i="1"/>
  <c r="S4558" i="1"/>
  <c r="T4558" i="1"/>
  <c r="U4558" i="1"/>
  <c r="BD4558" i="1"/>
  <c r="CE4558" i="1"/>
  <c r="A4559" i="1"/>
  <c r="C4559" i="1"/>
  <c r="S4559" i="1"/>
  <c r="T4559" i="1"/>
  <c r="U4559" i="1"/>
  <c r="BD4559" i="1"/>
  <c r="CE4559" i="1"/>
  <c r="A4560" i="1"/>
  <c r="C4560" i="1"/>
  <c r="S4560" i="1"/>
  <c r="T4560" i="1"/>
  <c r="U4560" i="1"/>
  <c r="BD4560" i="1"/>
  <c r="CE4560" i="1"/>
  <c r="A4561" i="1"/>
  <c r="C4561" i="1"/>
  <c r="S4561" i="1"/>
  <c r="T4561" i="1"/>
  <c r="U4561" i="1"/>
  <c r="BD4561" i="1"/>
  <c r="CE4561" i="1"/>
  <c r="A4562" i="1"/>
  <c r="C4562" i="1"/>
  <c r="S4562" i="1"/>
  <c r="T4562" i="1"/>
  <c r="U4562" i="1"/>
  <c r="BD4562" i="1"/>
  <c r="CE4562" i="1"/>
  <c r="A4563" i="1"/>
  <c r="C4563" i="1"/>
  <c r="S4563" i="1"/>
  <c r="T4563" i="1"/>
  <c r="U4563" i="1"/>
  <c r="BD4563" i="1"/>
  <c r="CE4563" i="1"/>
  <c r="A4564" i="1"/>
  <c r="C4564" i="1"/>
  <c r="S4564" i="1"/>
  <c r="T4564" i="1"/>
  <c r="U4564" i="1"/>
  <c r="BD4564" i="1"/>
  <c r="CE4564" i="1"/>
  <c r="A4565" i="1"/>
  <c r="C4565" i="1"/>
  <c r="S4565" i="1"/>
  <c r="T4565" i="1"/>
  <c r="U4565" i="1"/>
  <c r="BD4565" i="1"/>
  <c r="CE4565" i="1"/>
  <c r="A4566" i="1"/>
  <c r="C4566" i="1"/>
  <c r="S4566" i="1"/>
  <c r="T4566" i="1"/>
  <c r="U4566" i="1"/>
  <c r="BD4566" i="1"/>
  <c r="CE4566" i="1"/>
  <c r="A4567" i="1"/>
  <c r="C4567" i="1"/>
  <c r="S4567" i="1"/>
  <c r="T4567" i="1"/>
  <c r="U4567" i="1"/>
  <c r="BD4567" i="1"/>
  <c r="CE4567" i="1"/>
  <c r="A4568" i="1"/>
  <c r="C4568" i="1"/>
  <c r="S4568" i="1"/>
  <c r="T4568" i="1"/>
  <c r="U4568" i="1"/>
  <c r="BD4568" i="1"/>
  <c r="CE4568" i="1"/>
  <c r="A4569" i="1"/>
  <c r="C4569" i="1"/>
  <c r="S4569" i="1"/>
  <c r="T4569" i="1"/>
  <c r="U4569" i="1"/>
  <c r="BD4569" i="1"/>
  <c r="CE4569" i="1"/>
  <c r="A4570" i="1"/>
  <c r="C4570" i="1"/>
  <c r="S4570" i="1"/>
  <c r="T4570" i="1"/>
  <c r="U4570" i="1"/>
  <c r="BD4570" i="1"/>
  <c r="CE4570" i="1"/>
  <c r="A4571" i="1"/>
  <c r="C4571" i="1"/>
  <c r="S4571" i="1"/>
  <c r="T4571" i="1"/>
  <c r="U4571" i="1"/>
  <c r="BD4571" i="1"/>
  <c r="CE4571" i="1"/>
  <c r="A4572" i="1"/>
  <c r="C4572" i="1"/>
  <c r="S4572" i="1"/>
  <c r="T4572" i="1"/>
  <c r="U4572" i="1"/>
  <c r="BD4572" i="1"/>
  <c r="CE4572" i="1"/>
  <c r="A4573" i="1"/>
  <c r="C4573" i="1"/>
  <c r="S4573" i="1"/>
  <c r="T4573" i="1"/>
  <c r="U4573" i="1"/>
  <c r="BD4573" i="1"/>
  <c r="CE4573" i="1"/>
  <c r="A4574" i="1"/>
  <c r="C4574" i="1"/>
  <c r="S4574" i="1"/>
  <c r="T4574" i="1"/>
  <c r="U4574" i="1"/>
  <c r="BD4574" i="1"/>
  <c r="CE4574" i="1"/>
  <c r="A4575" i="1"/>
  <c r="C4575" i="1"/>
  <c r="S4575" i="1"/>
  <c r="T4575" i="1"/>
  <c r="U4575" i="1"/>
  <c r="BD4575" i="1"/>
  <c r="CE4575" i="1"/>
  <c r="A4576" i="1"/>
  <c r="C4576" i="1"/>
  <c r="S4576" i="1"/>
  <c r="T4576" i="1"/>
  <c r="U4576" i="1"/>
  <c r="BD4576" i="1"/>
  <c r="CE4576" i="1"/>
  <c r="A4577" i="1"/>
  <c r="C4577" i="1"/>
  <c r="S4577" i="1"/>
  <c r="T4577" i="1"/>
  <c r="U4577" i="1"/>
  <c r="BD4577" i="1"/>
  <c r="CE4577" i="1"/>
  <c r="A4578" i="1"/>
  <c r="C4578" i="1"/>
  <c r="S4578" i="1"/>
  <c r="T4578" i="1"/>
  <c r="U4578" i="1"/>
  <c r="BD4578" i="1"/>
  <c r="CE4578" i="1"/>
  <c r="A4579" i="1"/>
  <c r="C4579" i="1"/>
  <c r="S4579" i="1"/>
  <c r="T4579" i="1"/>
  <c r="U4579" i="1"/>
  <c r="BD4579" i="1"/>
  <c r="CE4579" i="1"/>
  <c r="A4580" i="1"/>
  <c r="C4580" i="1"/>
  <c r="S4580" i="1"/>
  <c r="T4580" i="1"/>
  <c r="U4580" i="1"/>
  <c r="BD4580" i="1"/>
  <c r="CE4580" i="1"/>
  <c r="A4581" i="1"/>
  <c r="C4581" i="1"/>
  <c r="S4581" i="1"/>
  <c r="T4581" i="1"/>
  <c r="U4581" i="1"/>
  <c r="BD4581" i="1"/>
  <c r="CE4581" i="1"/>
  <c r="A4582" i="1"/>
  <c r="C4582" i="1"/>
  <c r="S4582" i="1"/>
  <c r="T4582" i="1"/>
  <c r="U4582" i="1"/>
  <c r="BD4582" i="1"/>
  <c r="CE4582" i="1"/>
  <c r="A4583" i="1"/>
  <c r="C4583" i="1"/>
  <c r="S4583" i="1"/>
  <c r="T4583" i="1"/>
  <c r="U4583" i="1"/>
  <c r="BD4583" i="1"/>
  <c r="CE4583" i="1"/>
  <c r="A4584" i="1"/>
  <c r="C4584" i="1"/>
  <c r="S4584" i="1"/>
  <c r="T4584" i="1"/>
  <c r="U4584" i="1"/>
  <c r="BD4584" i="1"/>
  <c r="CE4584" i="1"/>
  <c r="A4585" i="1"/>
  <c r="C4585" i="1"/>
  <c r="S4585" i="1"/>
  <c r="T4585" i="1"/>
  <c r="U4585" i="1"/>
  <c r="BD4585" i="1"/>
  <c r="CE4585" i="1"/>
  <c r="A4586" i="1"/>
  <c r="C4586" i="1"/>
  <c r="S4586" i="1"/>
  <c r="T4586" i="1"/>
  <c r="U4586" i="1"/>
  <c r="BD4586" i="1"/>
  <c r="CE4586" i="1"/>
  <c r="A4587" i="1"/>
  <c r="C4587" i="1"/>
  <c r="S4587" i="1"/>
  <c r="T4587" i="1"/>
  <c r="U4587" i="1"/>
  <c r="BD4587" i="1"/>
  <c r="CE4587" i="1"/>
  <c r="A4588" i="1"/>
  <c r="C4588" i="1"/>
  <c r="S4588" i="1"/>
  <c r="T4588" i="1"/>
  <c r="U4588" i="1"/>
  <c r="BD4588" i="1"/>
  <c r="CE4588" i="1"/>
  <c r="A4589" i="1"/>
  <c r="C4589" i="1"/>
  <c r="S4589" i="1"/>
  <c r="T4589" i="1"/>
  <c r="U4589" i="1"/>
  <c r="BD4589" i="1"/>
  <c r="CE4589" i="1"/>
  <c r="A4590" i="1"/>
  <c r="C4590" i="1"/>
  <c r="S4590" i="1"/>
  <c r="T4590" i="1"/>
  <c r="U4590" i="1"/>
  <c r="BD4590" i="1"/>
  <c r="CE4590" i="1"/>
  <c r="A4591" i="1"/>
  <c r="C4591" i="1"/>
  <c r="S4591" i="1"/>
  <c r="T4591" i="1"/>
  <c r="U4591" i="1"/>
  <c r="BD4591" i="1"/>
  <c r="CE4591" i="1"/>
  <c r="A4592" i="1"/>
  <c r="C4592" i="1"/>
  <c r="S4592" i="1"/>
  <c r="T4592" i="1"/>
  <c r="U4592" i="1"/>
  <c r="BD4592" i="1"/>
  <c r="CE4592" i="1"/>
  <c r="A4593" i="1"/>
  <c r="C4593" i="1"/>
  <c r="S4593" i="1"/>
  <c r="T4593" i="1"/>
  <c r="U4593" i="1"/>
  <c r="BD4593" i="1"/>
  <c r="CE4593" i="1"/>
  <c r="A4594" i="1"/>
  <c r="C4594" i="1"/>
  <c r="S4594" i="1"/>
  <c r="T4594" i="1"/>
  <c r="U4594" i="1"/>
  <c r="BD4594" i="1"/>
  <c r="CE4594" i="1"/>
  <c r="A4595" i="1"/>
  <c r="C4595" i="1"/>
  <c r="S4595" i="1"/>
  <c r="T4595" i="1"/>
  <c r="U4595" i="1"/>
  <c r="BD4595" i="1"/>
  <c r="CE4595" i="1"/>
  <c r="A4596" i="1"/>
  <c r="C4596" i="1"/>
  <c r="S4596" i="1"/>
  <c r="T4596" i="1"/>
  <c r="U4596" i="1"/>
  <c r="BD4596" i="1"/>
  <c r="CE4596" i="1"/>
  <c r="A4597" i="1"/>
  <c r="C4597" i="1"/>
  <c r="S4597" i="1"/>
  <c r="T4597" i="1"/>
  <c r="U4597" i="1"/>
  <c r="BD4597" i="1"/>
  <c r="CE4597" i="1"/>
  <c r="A4598" i="1"/>
  <c r="C4598" i="1"/>
  <c r="S4598" i="1"/>
  <c r="T4598" i="1"/>
  <c r="U4598" i="1"/>
  <c r="BD4598" i="1"/>
  <c r="CE4598" i="1"/>
  <c r="A4599" i="1"/>
  <c r="C4599" i="1"/>
  <c r="S4599" i="1"/>
  <c r="T4599" i="1"/>
  <c r="U4599" i="1"/>
  <c r="BD4599" i="1"/>
  <c r="CE4599" i="1"/>
  <c r="A4600" i="1"/>
  <c r="C4600" i="1"/>
  <c r="S4600" i="1"/>
  <c r="T4600" i="1"/>
  <c r="U4600" i="1"/>
  <c r="BD4600" i="1"/>
  <c r="CE4600" i="1"/>
  <c r="A4601" i="1"/>
  <c r="C4601" i="1"/>
  <c r="S4601" i="1"/>
  <c r="T4601" i="1"/>
  <c r="U4601" i="1"/>
  <c r="BD4601" i="1"/>
  <c r="CE4601" i="1"/>
  <c r="A4602" i="1"/>
  <c r="C4602" i="1"/>
  <c r="S4602" i="1"/>
  <c r="T4602" i="1"/>
  <c r="U4602" i="1"/>
  <c r="BD4602" i="1"/>
  <c r="CE4602" i="1"/>
  <c r="A4603" i="1"/>
  <c r="C4603" i="1"/>
  <c r="S4603" i="1"/>
  <c r="T4603" i="1"/>
  <c r="U4603" i="1"/>
  <c r="BD4603" i="1"/>
  <c r="CE4603" i="1"/>
  <c r="A4604" i="1"/>
  <c r="C4604" i="1"/>
  <c r="S4604" i="1"/>
  <c r="T4604" i="1"/>
  <c r="U4604" i="1"/>
  <c r="BD4604" i="1"/>
  <c r="CE4604" i="1"/>
  <c r="A4605" i="1"/>
  <c r="C4605" i="1"/>
  <c r="S4605" i="1"/>
  <c r="T4605" i="1"/>
  <c r="U4605" i="1"/>
  <c r="BD4605" i="1"/>
  <c r="CE4605" i="1"/>
  <c r="A4606" i="1"/>
  <c r="C4606" i="1"/>
  <c r="S4606" i="1"/>
  <c r="T4606" i="1"/>
  <c r="U4606" i="1"/>
  <c r="BD4606" i="1"/>
  <c r="CE4606" i="1"/>
  <c r="A4607" i="1"/>
  <c r="C4607" i="1"/>
  <c r="S4607" i="1"/>
  <c r="T4607" i="1"/>
  <c r="U4607" i="1"/>
  <c r="BD4607" i="1"/>
  <c r="CE4607" i="1"/>
  <c r="A4608" i="1"/>
  <c r="C4608" i="1"/>
  <c r="S4608" i="1"/>
  <c r="T4608" i="1"/>
  <c r="U4608" i="1"/>
  <c r="BD4608" i="1"/>
  <c r="CE4608" i="1"/>
  <c r="A4609" i="1"/>
  <c r="C4609" i="1"/>
  <c r="S4609" i="1"/>
  <c r="T4609" i="1"/>
  <c r="U4609" i="1"/>
  <c r="BD4609" i="1"/>
  <c r="CE4609" i="1"/>
  <c r="A4610" i="1"/>
  <c r="C4610" i="1"/>
  <c r="S4610" i="1"/>
  <c r="T4610" i="1"/>
  <c r="U4610" i="1"/>
  <c r="BD4610" i="1"/>
  <c r="CE4610" i="1"/>
  <c r="A4611" i="1"/>
  <c r="C4611" i="1"/>
  <c r="S4611" i="1"/>
  <c r="T4611" i="1"/>
  <c r="U4611" i="1"/>
  <c r="BD4611" i="1"/>
  <c r="CE4611" i="1"/>
  <c r="A4612" i="1"/>
  <c r="C4612" i="1"/>
  <c r="S4612" i="1"/>
  <c r="T4612" i="1"/>
  <c r="U4612" i="1"/>
  <c r="BD4612" i="1"/>
  <c r="CE4612" i="1"/>
  <c r="A4613" i="1"/>
  <c r="C4613" i="1"/>
  <c r="S4613" i="1"/>
  <c r="T4613" i="1"/>
  <c r="U4613" i="1"/>
  <c r="BD4613" i="1"/>
  <c r="CE4613" i="1"/>
  <c r="A4614" i="1"/>
  <c r="C4614" i="1"/>
  <c r="S4614" i="1"/>
  <c r="T4614" i="1"/>
  <c r="U4614" i="1"/>
  <c r="BD4614" i="1"/>
  <c r="CE4614" i="1"/>
  <c r="A4615" i="1"/>
  <c r="C4615" i="1"/>
  <c r="S4615" i="1"/>
  <c r="T4615" i="1"/>
  <c r="U4615" i="1"/>
  <c r="BD4615" i="1"/>
  <c r="CE4615" i="1"/>
  <c r="A4616" i="1"/>
  <c r="C4616" i="1"/>
  <c r="S4616" i="1"/>
  <c r="T4616" i="1"/>
  <c r="U4616" i="1"/>
  <c r="BD4616" i="1"/>
  <c r="CE4616" i="1"/>
  <c r="A4617" i="1"/>
  <c r="C4617" i="1"/>
  <c r="S4617" i="1"/>
  <c r="T4617" i="1"/>
  <c r="U4617" i="1"/>
  <c r="BD4617" i="1"/>
  <c r="CE4617" i="1"/>
  <c r="A4618" i="1"/>
  <c r="C4618" i="1"/>
  <c r="S4618" i="1"/>
  <c r="T4618" i="1"/>
  <c r="U4618" i="1"/>
  <c r="BD4618" i="1"/>
  <c r="CE4618" i="1"/>
  <c r="A4619" i="1"/>
  <c r="C4619" i="1"/>
  <c r="S4619" i="1"/>
  <c r="T4619" i="1"/>
  <c r="U4619" i="1"/>
  <c r="BD4619" i="1"/>
  <c r="CE4619" i="1"/>
  <c r="A4620" i="1"/>
  <c r="C4620" i="1"/>
  <c r="S4620" i="1"/>
  <c r="T4620" i="1"/>
  <c r="U4620" i="1"/>
  <c r="BD4620" i="1"/>
  <c r="CE4620" i="1"/>
  <c r="A4621" i="1"/>
  <c r="C4621" i="1"/>
  <c r="S4621" i="1"/>
  <c r="T4621" i="1"/>
  <c r="U4621" i="1"/>
  <c r="BD4621" i="1"/>
  <c r="CE4621" i="1"/>
  <c r="A4622" i="1"/>
  <c r="C4622" i="1"/>
  <c r="S4622" i="1"/>
  <c r="T4622" i="1"/>
  <c r="U4622" i="1"/>
  <c r="BD4622" i="1"/>
  <c r="CE4622" i="1"/>
  <c r="A4623" i="1"/>
  <c r="C4623" i="1"/>
  <c r="S4623" i="1"/>
  <c r="T4623" i="1"/>
  <c r="U4623" i="1"/>
  <c r="BD4623" i="1"/>
  <c r="CE4623" i="1"/>
  <c r="A4624" i="1"/>
  <c r="C4624" i="1"/>
  <c r="S4624" i="1"/>
  <c r="T4624" i="1"/>
  <c r="U4624" i="1"/>
  <c r="BD4624" i="1"/>
  <c r="CE4624" i="1"/>
  <c r="A4625" i="1"/>
  <c r="C4625" i="1"/>
  <c r="S4625" i="1"/>
  <c r="T4625" i="1"/>
  <c r="U4625" i="1"/>
  <c r="BD4625" i="1"/>
  <c r="CE4625" i="1"/>
  <c r="A4626" i="1"/>
  <c r="C4626" i="1"/>
  <c r="S4626" i="1"/>
  <c r="T4626" i="1"/>
  <c r="U4626" i="1"/>
  <c r="BD4626" i="1"/>
  <c r="CE4626" i="1"/>
  <c r="A4627" i="1"/>
  <c r="C4627" i="1"/>
  <c r="S4627" i="1"/>
  <c r="T4627" i="1"/>
  <c r="U4627" i="1"/>
  <c r="BD4627" i="1"/>
  <c r="CE4627" i="1"/>
  <c r="A4628" i="1"/>
  <c r="C4628" i="1"/>
  <c r="S4628" i="1"/>
  <c r="T4628" i="1"/>
  <c r="U4628" i="1"/>
  <c r="BD4628" i="1"/>
  <c r="CE4628" i="1"/>
  <c r="A4629" i="1"/>
  <c r="C4629" i="1"/>
  <c r="S4629" i="1"/>
  <c r="T4629" i="1"/>
  <c r="U4629" i="1"/>
  <c r="BD4629" i="1"/>
  <c r="CE4629" i="1"/>
  <c r="A4630" i="1"/>
  <c r="C4630" i="1"/>
  <c r="S4630" i="1"/>
  <c r="T4630" i="1"/>
  <c r="U4630" i="1"/>
  <c r="BD4630" i="1"/>
  <c r="CE4630" i="1"/>
  <c r="A4631" i="1"/>
  <c r="C4631" i="1"/>
  <c r="S4631" i="1"/>
  <c r="T4631" i="1"/>
  <c r="U4631" i="1"/>
  <c r="BD4631" i="1"/>
  <c r="CE4631" i="1"/>
  <c r="A4632" i="1"/>
  <c r="C4632" i="1"/>
  <c r="S4632" i="1"/>
  <c r="T4632" i="1"/>
  <c r="U4632" i="1"/>
  <c r="BD4632" i="1"/>
  <c r="CE4632" i="1"/>
  <c r="A4633" i="1"/>
  <c r="C4633" i="1"/>
  <c r="S4633" i="1"/>
  <c r="T4633" i="1"/>
  <c r="U4633" i="1"/>
  <c r="BD4633" i="1"/>
  <c r="CE4633" i="1"/>
  <c r="A4634" i="1"/>
  <c r="C4634" i="1"/>
  <c r="S4634" i="1"/>
  <c r="T4634" i="1"/>
  <c r="U4634" i="1"/>
  <c r="BD4634" i="1"/>
  <c r="CE4634" i="1"/>
  <c r="A4635" i="1"/>
  <c r="C4635" i="1"/>
  <c r="S4635" i="1"/>
  <c r="T4635" i="1"/>
  <c r="U4635" i="1"/>
  <c r="BD4635" i="1"/>
  <c r="CE4635" i="1"/>
  <c r="A4636" i="1"/>
  <c r="C4636" i="1"/>
  <c r="S4636" i="1"/>
  <c r="T4636" i="1"/>
  <c r="U4636" i="1"/>
  <c r="BD4636" i="1"/>
  <c r="CE4636" i="1"/>
  <c r="A4637" i="1"/>
  <c r="C4637" i="1"/>
  <c r="S4637" i="1"/>
  <c r="T4637" i="1"/>
  <c r="U4637" i="1"/>
  <c r="BD4637" i="1"/>
  <c r="CE4637" i="1"/>
  <c r="A4638" i="1"/>
  <c r="C4638" i="1"/>
  <c r="S4638" i="1"/>
  <c r="T4638" i="1"/>
  <c r="U4638" i="1"/>
  <c r="BD4638" i="1"/>
  <c r="CE4638" i="1"/>
  <c r="A4639" i="1"/>
  <c r="C4639" i="1"/>
  <c r="S4639" i="1"/>
  <c r="T4639" i="1"/>
  <c r="U4639" i="1"/>
  <c r="BD4639" i="1"/>
  <c r="CE4639" i="1"/>
  <c r="A4640" i="1"/>
  <c r="C4640" i="1"/>
  <c r="S4640" i="1"/>
  <c r="T4640" i="1"/>
  <c r="U4640" i="1"/>
  <c r="BD4640" i="1"/>
  <c r="CE4640" i="1"/>
  <c r="A4641" i="1"/>
  <c r="C4641" i="1"/>
  <c r="S4641" i="1"/>
  <c r="T4641" i="1"/>
  <c r="U4641" i="1"/>
  <c r="BD4641" i="1"/>
  <c r="CE4641" i="1"/>
  <c r="A4642" i="1"/>
  <c r="C4642" i="1"/>
  <c r="S4642" i="1"/>
  <c r="T4642" i="1"/>
  <c r="U4642" i="1"/>
  <c r="BD4642" i="1"/>
  <c r="CE4642" i="1"/>
  <c r="A4643" i="1"/>
  <c r="C4643" i="1"/>
  <c r="S4643" i="1"/>
  <c r="T4643" i="1"/>
  <c r="U4643" i="1"/>
  <c r="BD4643" i="1"/>
  <c r="CE4643" i="1"/>
  <c r="A4644" i="1"/>
  <c r="C4644" i="1"/>
  <c r="S4644" i="1"/>
  <c r="T4644" i="1"/>
  <c r="U4644" i="1"/>
  <c r="BD4644" i="1"/>
  <c r="CE4644" i="1"/>
  <c r="A4645" i="1"/>
  <c r="C4645" i="1"/>
  <c r="S4645" i="1"/>
  <c r="T4645" i="1"/>
  <c r="U4645" i="1"/>
  <c r="BD4645" i="1"/>
  <c r="CE4645" i="1"/>
  <c r="A4646" i="1"/>
  <c r="C4646" i="1"/>
  <c r="S4646" i="1"/>
  <c r="T4646" i="1"/>
  <c r="U4646" i="1"/>
  <c r="BD4646" i="1"/>
  <c r="CE4646" i="1"/>
  <c r="A4647" i="1"/>
  <c r="C4647" i="1"/>
  <c r="S4647" i="1"/>
  <c r="T4647" i="1"/>
  <c r="U4647" i="1"/>
  <c r="BD4647" i="1"/>
  <c r="CE4647" i="1"/>
  <c r="A4648" i="1"/>
  <c r="C4648" i="1"/>
  <c r="S4648" i="1"/>
  <c r="T4648" i="1"/>
  <c r="U4648" i="1"/>
  <c r="BD4648" i="1"/>
  <c r="CE4648" i="1"/>
  <c r="A4649" i="1"/>
  <c r="C4649" i="1"/>
  <c r="S4649" i="1"/>
  <c r="T4649" i="1"/>
  <c r="U4649" i="1"/>
  <c r="BD4649" i="1"/>
  <c r="CE4649" i="1"/>
  <c r="A4650" i="1"/>
  <c r="C4650" i="1"/>
  <c r="S4650" i="1"/>
  <c r="T4650" i="1"/>
  <c r="U4650" i="1"/>
  <c r="BD4650" i="1"/>
  <c r="CE4650" i="1"/>
  <c r="A4651" i="1"/>
  <c r="C4651" i="1"/>
  <c r="S4651" i="1"/>
  <c r="T4651" i="1"/>
  <c r="U4651" i="1"/>
  <c r="BD4651" i="1"/>
  <c r="CE4651" i="1"/>
  <c r="A4652" i="1"/>
  <c r="C4652" i="1"/>
  <c r="S4652" i="1"/>
  <c r="T4652" i="1"/>
  <c r="U4652" i="1"/>
  <c r="BD4652" i="1"/>
  <c r="CE4652" i="1"/>
  <c r="A4653" i="1"/>
  <c r="C4653" i="1"/>
  <c r="S4653" i="1"/>
  <c r="T4653" i="1"/>
  <c r="U4653" i="1"/>
  <c r="BD4653" i="1"/>
  <c r="CE4653" i="1"/>
  <c r="A4654" i="1"/>
  <c r="C4654" i="1"/>
  <c r="S4654" i="1"/>
  <c r="T4654" i="1"/>
  <c r="U4654" i="1"/>
  <c r="BD4654" i="1"/>
  <c r="CE4654" i="1"/>
  <c r="A4655" i="1"/>
  <c r="C4655" i="1"/>
  <c r="S4655" i="1"/>
  <c r="T4655" i="1"/>
  <c r="U4655" i="1"/>
  <c r="BD4655" i="1"/>
  <c r="CE4655" i="1"/>
  <c r="A4656" i="1"/>
  <c r="C4656" i="1"/>
  <c r="S4656" i="1"/>
  <c r="T4656" i="1"/>
  <c r="U4656" i="1"/>
  <c r="BD4656" i="1"/>
  <c r="CE4656" i="1"/>
  <c r="A4657" i="1"/>
  <c r="C4657" i="1"/>
  <c r="S4657" i="1"/>
  <c r="T4657" i="1"/>
  <c r="U4657" i="1"/>
  <c r="BD4657" i="1"/>
  <c r="CE4657" i="1"/>
  <c r="A4658" i="1"/>
  <c r="C4658" i="1"/>
  <c r="S4658" i="1"/>
  <c r="T4658" i="1"/>
  <c r="U4658" i="1"/>
  <c r="BD4658" i="1"/>
  <c r="CE4658" i="1"/>
  <c r="A4659" i="1"/>
  <c r="C4659" i="1"/>
  <c r="S4659" i="1"/>
  <c r="T4659" i="1"/>
  <c r="U4659" i="1"/>
  <c r="BD4659" i="1"/>
  <c r="CE4659" i="1"/>
  <c r="A4660" i="1"/>
  <c r="C4660" i="1"/>
  <c r="S4660" i="1"/>
  <c r="T4660" i="1"/>
  <c r="U4660" i="1"/>
  <c r="BD4660" i="1"/>
  <c r="CE4660" i="1"/>
  <c r="A4661" i="1"/>
  <c r="C4661" i="1"/>
  <c r="S4661" i="1"/>
  <c r="T4661" i="1"/>
  <c r="U4661" i="1"/>
  <c r="BD4661" i="1"/>
  <c r="CE4661" i="1"/>
  <c r="A4662" i="1"/>
  <c r="C4662" i="1"/>
  <c r="S4662" i="1"/>
  <c r="T4662" i="1"/>
  <c r="U4662" i="1"/>
  <c r="BD4662" i="1"/>
  <c r="CE4662" i="1"/>
  <c r="A4663" i="1"/>
  <c r="C4663" i="1"/>
  <c r="S4663" i="1"/>
  <c r="T4663" i="1"/>
  <c r="U4663" i="1"/>
  <c r="BD4663" i="1"/>
  <c r="CE4663" i="1"/>
  <c r="A4664" i="1"/>
  <c r="C4664" i="1"/>
  <c r="S4664" i="1"/>
  <c r="T4664" i="1"/>
  <c r="U4664" i="1"/>
  <c r="BD4664" i="1"/>
  <c r="CE4664" i="1"/>
  <c r="A4665" i="1"/>
  <c r="C4665" i="1"/>
  <c r="S4665" i="1"/>
  <c r="T4665" i="1"/>
  <c r="U4665" i="1"/>
  <c r="BD4665" i="1"/>
  <c r="CE4665" i="1"/>
  <c r="A4666" i="1"/>
  <c r="C4666" i="1"/>
  <c r="S4666" i="1"/>
  <c r="T4666" i="1"/>
  <c r="U4666" i="1"/>
  <c r="BD4666" i="1"/>
  <c r="CE4666" i="1"/>
  <c r="A4667" i="1"/>
  <c r="C4667" i="1"/>
  <c r="S4667" i="1"/>
  <c r="T4667" i="1"/>
  <c r="U4667" i="1"/>
  <c r="BD4667" i="1"/>
  <c r="CE4667" i="1"/>
  <c r="A4668" i="1"/>
  <c r="C4668" i="1"/>
  <c r="S4668" i="1"/>
  <c r="T4668" i="1"/>
  <c r="U4668" i="1"/>
  <c r="BD4668" i="1"/>
  <c r="CE4668" i="1"/>
  <c r="A4669" i="1"/>
  <c r="C4669" i="1"/>
  <c r="S4669" i="1"/>
  <c r="T4669" i="1"/>
  <c r="U4669" i="1"/>
  <c r="BD4669" i="1"/>
  <c r="CE4669" i="1"/>
  <c r="A4670" i="1"/>
  <c r="C4670" i="1"/>
  <c r="S4670" i="1"/>
  <c r="T4670" i="1"/>
  <c r="U4670" i="1"/>
  <c r="BD4670" i="1"/>
  <c r="CE4670" i="1"/>
  <c r="A4671" i="1"/>
  <c r="C4671" i="1"/>
  <c r="S4671" i="1"/>
  <c r="T4671" i="1"/>
  <c r="U4671" i="1"/>
  <c r="BD4671" i="1"/>
  <c r="CE4671" i="1"/>
  <c r="A4672" i="1"/>
  <c r="C4672" i="1"/>
  <c r="S4672" i="1"/>
  <c r="T4672" i="1"/>
  <c r="U4672" i="1"/>
  <c r="BD4672" i="1"/>
  <c r="CE4672" i="1"/>
  <c r="A4673" i="1"/>
  <c r="C4673" i="1"/>
  <c r="S4673" i="1"/>
  <c r="T4673" i="1"/>
  <c r="U4673" i="1"/>
  <c r="BD4673" i="1"/>
  <c r="CE4673" i="1"/>
  <c r="A4674" i="1"/>
  <c r="C4674" i="1"/>
  <c r="S4674" i="1"/>
  <c r="T4674" i="1"/>
  <c r="U4674" i="1"/>
  <c r="BD4674" i="1"/>
  <c r="CE4674" i="1"/>
  <c r="A4675" i="1"/>
  <c r="C4675" i="1"/>
  <c r="S4675" i="1"/>
  <c r="T4675" i="1"/>
  <c r="U4675" i="1"/>
  <c r="BD4675" i="1"/>
  <c r="CE4675" i="1"/>
  <c r="A4676" i="1"/>
  <c r="C4676" i="1"/>
  <c r="S4676" i="1"/>
  <c r="T4676" i="1"/>
  <c r="U4676" i="1"/>
  <c r="BD4676" i="1"/>
  <c r="CE4676" i="1"/>
  <c r="A4677" i="1"/>
  <c r="C4677" i="1"/>
  <c r="S4677" i="1"/>
  <c r="T4677" i="1"/>
  <c r="U4677" i="1"/>
  <c r="BD4677" i="1"/>
  <c r="CE4677" i="1"/>
  <c r="A4678" i="1"/>
  <c r="C4678" i="1"/>
  <c r="S4678" i="1"/>
  <c r="T4678" i="1"/>
  <c r="U4678" i="1"/>
  <c r="BD4678" i="1"/>
  <c r="CE4678" i="1"/>
  <c r="A4679" i="1"/>
  <c r="C4679" i="1"/>
  <c r="S4679" i="1"/>
  <c r="T4679" i="1"/>
  <c r="U4679" i="1"/>
  <c r="BD4679" i="1"/>
  <c r="CE4679" i="1"/>
  <c r="A4680" i="1"/>
  <c r="C4680" i="1"/>
  <c r="S4680" i="1"/>
  <c r="T4680" i="1"/>
  <c r="U4680" i="1"/>
  <c r="BD4680" i="1"/>
  <c r="CE4680" i="1"/>
  <c r="A4681" i="1"/>
  <c r="C4681" i="1"/>
  <c r="S4681" i="1"/>
  <c r="T4681" i="1"/>
  <c r="U4681" i="1"/>
  <c r="BD4681" i="1"/>
  <c r="CE4681" i="1"/>
  <c r="A4682" i="1"/>
  <c r="C4682" i="1"/>
  <c r="S4682" i="1"/>
  <c r="T4682" i="1"/>
  <c r="U4682" i="1"/>
  <c r="BD4682" i="1"/>
  <c r="CE4682" i="1"/>
  <c r="A4683" i="1"/>
  <c r="C4683" i="1"/>
  <c r="S4683" i="1"/>
  <c r="T4683" i="1"/>
  <c r="U4683" i="1"/>
  <c r="BD4683" i="1"/>
  <c r="CE4683" i="1"/>
  <c r="A4684" i="1"/>
  <c r="C4684" i="1"/>
  <c r="S4684" i="1"/>
  <c r="T4684" i="1"/>
  <c r="U4684" i="1"/>
  <c r="BD4684" i="1"/>
  <c r="CE4684" i="1"/>
  <c r="A4685" i="1"/>
  <c r="C4685" i="1"/>
  <c r="S4685" i="1"/>
  <c r="T4685" i="1"/>
  <c r="U4685" i="1"/>
  <c r="BD4685" i="1"/>
  <c r="CE4685" i="1"/>
  <c r="A4686" i="1"/>
  <c r="C4686" i="1"/>
  <c r="S4686" i="1"/>
  <c r="T4686" i="1"/>
  <c r="U4686" i="1"/>
  <c r="BD4686" i="1"/>
  <c r="CE4686" i="1"/>
  <c r="A4687" i="1"/>
  <c r="C4687" i="1"/>
  <c r="S4687" i="1"/>
  <c r="T4687" i="1"/>
  <c r="U4687" i="1"/>
  <c r="BD4687" i="1"/>
  <c r="CE4687" i="1"/>
  <c r="A4688" i="1"/>
  <c r="C4688" i="1"/>
  <c r="S4688" i="1"/>
  <c r="T4688" i="1"/>
  <c r="U4688" i="1"/>
  <c r="BD4688" i="1"/>
  <c r="CE4688" i="1"/>
  <c r="A4689" i="1"/>
  <c r="C4689" i="1"/>
  <c r="S4689" i="1"/>
  <c r="T4689" i="1"/>
  <c r="U4689" i="1"/>
  <c r="BD4689" i="1"/>
  <c r="CE4689" i="1"/>
  <c r="A4690" i="1"/>
  <c r="C4690" i="1"/>
  <c r="S4690" i="1"/>
  <c r="T4690" i="1"/>
  <c r="U4690" i="1"/>
  <c r="BD4690" i="1"/>
  <c r="CE4690" i="1"/>
  <c r="A4691" i="1"/>
  <c r="C4691" i="1"/>
  <c r="S4691" i="1"/>
  <c r="T4691" i="1"/>
  <c r="U4691" i="1"/>
  <c r="BD4691" i="1"/>
  <c r="CE4691" i="1"/>
  <c r="A4692" i="1"/>
  <c r="C4692" i="1"/>
  <c r="S4692" i="1"/>
  <c r="T4692" i="1"/>
  <c r="U4692" i="1"/>
  <c r="BD4692" i="1"/>
  <c r="CE4692" i="1"/>
  <c r="A4693" i="1"/>
  <c r="C4693" i="1"/>
  <c r="S4693" i="1"/>
  <c r="T4693" i="1"/>
  <c r="U4693" i="1"/>
  <c r="BD4693" i="1"/>
  <c r="CE4693" i="1"/>
  <c r="A4694" i="1"/>
  <c r="C4694" i="1"/>
  <c r="S4694" i="1"/>
  <c r="T4694" i="1"/>
  <c r="U4694" i="1"/>
  <c r="BD4694" i="1"/>
  <c r="CE4694" i="1"/>
  <c r="A4695" i="1"/>
  <c r="C4695" i="1"/>
  <c r="S4695" i="1"/>
  <c r="T4695" i="1"/>
  <c r="U4695" i="1"/>
  <c r="BD4695" i="1"/>
  <c r="CE4695" i="1"/>
  <c r="A4696" i="1"/>
  <c r="C4696" i="1"/>
  <c r="S4696" i="1"/>
  <c r="T4696" i="1"/>
  <c r="U4696" i="1"/>
  <c r="BD4696" i="1"/>
  <c r="CE4696" i="1"/>
  <c r="A4697" i="1"/>
  <c r="C4697" i="1"/>
  <c r="S4697" i="1"/>
  <c r="T4697" i="1"/>
  <c r="U4697" i="1"/>
  <c r="BD4697" i="1"/>
  <c r="CE4697" i="1"/>
  <c r="A4698" i="1"/>
  <c r="C4698" i="1"/>
  <c r="S4698" i="1"/>
  <c r="T4698" i="1"/>
  <c r="U4698" i="1"/>
  <c r="BD4698" i="1"/>
  <c r="CE4698" i="1"/>
  <c r="A4699" i="1"/>
  <c r="C4699" i="1"/>
  <c r="S4699" i="1"/>
  <c r="T4699" i="1"/>
  <c r="U4699" i="1"/>
  <c r="BD4699" i="1"/>
  <c r="CE4699" i="1"/>
  <c r="A4700" i="1"/>
  <c r="C4700" i="1"/>
  <c r="S4700" i="1"/>
  <c r="T4700" i="1"/>
  <c r="U4700" i="1"/>
  <c r="BD4700" i="1"/>
  <c r="CE4700" i="1"/>
  <c r="A4701" i="1"/>
  <c r="C4701" i="1"/>
  <c r="S4701" i="1"/>
  <c r="T4701" i="1"/>
  <c r="U4701" i="1"/>
  <c r="BD4701" i="1"/>
  <c r="CE4701" i="1"/>
  <c r="A4702" i="1"/>
  <c r="C4702" i="1"/>
  <c r="S4702" i="1"/>
  <c r="T4702" i="1"/>
  <c r="U4702" i="1"/>
  <c r="BD4702" i="1"/>
  <c r="CE4702" i="1"/>
  <c r="A4703" i="1"/>
  <c r="C4703" i="1"/>
  <c r="S4703" i="1"/>
  <c r="T4703" i="1"/>
  <c r="U4703" i="1"/>
  <c r="BD4703" i="1"/>
  <c r="CE4703" i="1"/>
  <c r="A4704" i="1"/>
  <c r="C4704" i="1"/>
  <c r="S4704" i="1"/>
  <c r="T4704" i="1"/>
  <c r="U4704" i="1"/>
  <c r="BD4704" i="1"/>
  <c r="CE4704" i="1"/>
  <c r="A4705" i="1"/>
  <c r="C4705" i="1"/>
  <c r="S4705" i="1"/>
  <c r="T4705" i="1"/>
  <c r="U4705" i="1"/>
  <c r="BD4705" i="1"/>
  <c r="CE4705" i="1"/>
  <c r="A4706" i="1"/>
  <c r="C4706" i="1"/>
  <c r="S4706" i="1"/>
  <c r="T4706" i="1"/>
  <c r="U4706" i="1"/>
  <c r="BD4706" i="1"/>
  <c r="CE4706" i="1"/>
  <c r="A4707" i="1"/>
  <c r="C4707" i="1"/>
  <c r="S4707" i="1"/>
  <c r="T4707" i="1"/>
  <c r="U4707" i="1"/>
  <c r="BD4707" i="1"/>
  <c r="CE4707" i="1"/>
  <c r="A4708" i="1"/>
  <c r="C4708" i="1"/>
  <c r="S4708" i="1"/>
  <c r="T4708" i="1"/>
  <c r="U4708" i="1"/>
  <c r="BD4708" i="1"/>
  <c r="CE4708" i="1"/>
  <c r="A4709" i="1"/>
  <c r="C4709" i="1"/>
  <c r="S4709" i="1"/>
  <c r="T4709" i="1"/>
  <c r="U4709" i="1"/>
  <c r="BD4709" i="1"/>
  <c r="CE4709" i="1"/>
  <c r="A4710" i="1"/>
  <c r="C4710" i="1"/>
  <c r="S4710" i="1"/>
  <c r="T4710" i="1"/>
  <c r="U4710" i="1"/>
  <c r="BD4710" i="1"/>
  <c r="CE4710" i="1"/>
  <c r="A4711" i="1"/>
  <c r="C4711" i="1"/>
  <c r="S4711" i="1"/>
  <c r="T4711" i="1"/>
  <c r="U4711" i="1"/>
  <c r="BD4711" i="1"/>
  <c r="CE4711" i="1"/>
  <c r="A4712" i="1"/>
  <c r="C4712" i="1"/>
  <c r="S4712" i="1"/>
  <c r="T4712" i="1"/>
  <c r="U4712" i="1"/>
  <c r="BD4712" i="1"/>
  <c r="CE4712" i="1"/>
  <c r="A4713" i="1"/>
  <c r="C4713" i="1"/>
  <c r="S4713" i="1"/>
  <c r="T4713" i="1"/>
  <c r="U4713" i="1"/>
  <c r="BD4713" i="1"/>
  <c r="CE4713" i="1"/>
  <c r="A4714" i="1"/>
  <c r="C4714" i="1"/>
  <c r="S4714" i="1"/>
  <c r="T4714" i="1"/>
  <c r="U4714" i="1"/>
  <c r="BD4714" i="1"/>
  <c r="CE4714" i="1"/>
  <c r="A4715" i="1"/>
  <c r="C4715" i="1"/>
  <c r="S4715" i="1"/>
  <c r="T4715" i="1"/>
  <c r="U4715" i="1"/>
  <c r="BD4715" i="1"/>
  <c r="CE4715" i="1"/>
  <c r="A4716" i="1"/>
  <c r="C4716" i="1"/>
  <c r="S4716" i="1"/>
  <c r="T4716" i="1"/>
  <c r="U4716" i="1"/>
  <c r="BD4716" i="1"/>
  <c r="CE4716" i="1"/>
  <c r="A4717" i="1"/>
  <c r="C4717" i="1"/>
  <c r="S4717" i="1"/>
  <c r="T4717" i="1"/>
  <c r="U4717" i="1"/>
  <c r="BD4717" i="1"/>
  <c r="CE4717" i="1"/>
  <c r="A4718" i="1"/>
  <c r="C4718" i="1"/>
  <c r="S4718" i="1"/>
  <c r="T4718" i="1"/>
  <c r="U4718" i="1"/>
  <c r="BD4718" i="1"/>
  <c r="CE4718" i="1"/>
  <c r="A4719" i="1"/>
  <c r="C4719" i="1"/>
  <c r="S4719" i="1"/>
  <c r="T4719" i="1"/>
  <c r="U4719" i="1"/>
  <c r="BD4719" i="1"/>
  <c r="CE4719" i="1"/>
  <c r="A4720" i="1"/>
  <c r="C4720" i="1"/>
  <c r="S4720" i="1"/>
  <c r="T4720" i="1"/>
  <c r="U4720" i="1"/>
  <c r="BD4720" i="1"/>
  <c r="CE4720" i="1"/>
  <c r="A4721" i="1"/>
  <c r="C4721" i="1"/>
  <c r="S4721" i="1"/>
  <c r="T4721" i="1"/>
  <c r="U4721" i="1"/>
  <c r="BD4721" i="1"/>
  <c r="CE4721" i="1"/>
  <c r="A4722" i="1"/>
  <c r="C4722" i="1"/>
  <c r="S4722" i="1"/>
  <c r="T4722" i="1"/>
  <c r="U4722" i="1"/>
  <c r="BD4722" i="1"/>
  <c r="CE4722" i="1"/>
  <c r="A4723" i="1"/>
  <c r="C4723" i="1"/>
  <c r="S4723" i="1"/>
  <c r="T4723" i="1"/>
  <c r="U4723" i="1"/>
  <c r="BD4723" i="1"/>
  <c r="CE4723" i="1"/>
  <c r="A4724" i="1"/>
  <c r="C4724" i="1"/>
  <c r="S4724" i="1"/>
  <c r="T4724" i="1"/>
  <c r="U4724" i="1"/>
  <c r="BD4724" i="1"/>
  <c r="CE4724" i="1"/>
  <c r="A4725" i="1"/>
  <c r="C4725" i="1"/>
  <c r="S4725" i="1"/>
  <c r="T4725" i="1"/>
  <c r="U4725" i="1"/>
  <c r="BD4725" i="1"/>
  <c r="CE4725" i="1"/>
  <c r="A4726" i="1"/>
  <c r="C4726" i="1"/>
  <c r="S4726" i="1"/>
  <c r="T4726" i="1"/>
  <c r="U4726" i="1"/>
  <c r="BD4726" i="1"/>
  <c r="CE4726" i="1"/>
  <c r="A4727" i="1"/>
  <c r="C4727" i="1"/>
  <c r="S4727" i="1"/>
  <c r="T4727" i="1"/>
  <c r="U4727" i="1"/>
  <c r="BD4727" i="1"/>
  <c r="CE4727" i="1"/>
  <c r="A4728" i="1"/>
  <c r="C4728" i="1"/>
  <c r="S4728" i="1"/>
  <c r="T4728" i="1"/>
  <c r="U4728" i="1"/>
  <c r="BD4728" i="1"/>
  <c r="CE4728" i="1"/>
  <c r="A4729" i="1"/>
  <c r="C4729" i="1"/>
  <c r="S4729" i="1"/>
  <c r="T4729" i="1"/>
  <c r="U4729" i="1"/>
  <c r="BD4729" i="1"/>
  <c r="CE4729" i="1"/>
  <c r="A4730" i="1"/>
  <c r="C4730" i="1"/>
  <c r="S4730" i="1"/>
  <c r="T4730" i="1"/>
  <c r="U4730" i="1"/>
  <c r="BD4730" i="1"/>
  <c r="CE4730" i="1"/>
  <c r="A4731" i="1"/>
  <c r="C4731" i="1"/>
  <c r="S4731" i="1"/>
  <c r="T4731" i="1"/>
  <c r="U4731" i="1"/>
  <c r="BD4731" i="1"/>
  <c r="CE4731" i="1"/>
  <c r="A4732" i="1"/>
  <c r="C4732" i="1"/>
  <c r="S4732" i="1"/>
  <c r="T4732" i="1"/>
  <c r="U4732" i="1"/>
  <c r="BD4732" i="1"/>
  <c r="CE4732" i="1"/>
  <c r="A4733" i="1"/>
  <c r="C4733" i="1"/>
  <c r="S4733" i="1"/>
  <c r="T4733" i="1"/>
  <c r="U4733" i="1"/>
  <c r="BD4733" i="1"/>
  <c r="CE4733" i="1"/>
  <c r="A4734" i="1"/>
  <c r="C4734" i="1"/>
  <c r="S4734" i="1"/>
  <c r="T4734" i="1"/>
  <c r="U4734" i="1"/>
  <c r="BD4734" i="1"/>
  <c r="CE4734" i="1"/>
  <c r="A4735" i="1"/>
  <c r="C4735" i="1"/>
  <c r="S4735" i="1"/>
  <c r="T4735" i="1"/>
  <c r="U4735" i="1"/>
  <c r="BD4735" i="1"/>
  <c r="CE4735" i="1"/>
  <c r="A4736" i="1"/>
  <c r="C4736" i="1"/>
  <c r="S4736" i="1"/>
  <c r="T4736" i="1"/>
  <c r="U4736" i="1"/>
  <c r="BD4736" i="1"/>
  <c r="CE4736" i="1"/>
  <c r="A4737" i="1"/>
  <c r="C4737" i="1"/>
  <c r="S4737" i="1"/>
  <c r="T4737" i="1"/>
  <c r="U4737" i="1"/>
  <c r="BD4737" i="1"/>
  <c r="CE4737" i="1"/>
  <c r="A4738" i="1"/>
  <c r="C4738" i="1"/>
  <c r="S4738" i="1"/>
  <c r="T4738" i="1"/>
  <c r="U4738" i="1"/>
  <c r="BD4738" i="1"/>
  <c r="CE4738" i="1"/>
  <c r="A4739" i="1"/>
  <c r="C4739" i="1"/>
  <c r="S4739" i="1"/>
  <c r="T4739" i="1"/>
  <c r="U4739" i="1"/>
  <c r="BD4739" i="1"/>
  <c r="CE4739" i="1"/>
  <c r="A4740" i="1"/>
  <c r="C4740" i="1"/>
  <c r="S4740" i="1"/>
  <c r="T4740" i="1"/>
  <c r="U4740" i="1"/>
  <c r="BD4740" i="1"/>
  <c r="CE4740" i="1"/>
  <c r="A4741" i="1"/>
  <c r="C4741" i="1"/>
  <c r="S4741" i="1"/>
  <c r="T4741" i="1"/>
  <c r="U4741" i="1"/>
  <c r="BD4741" i="1"/>
  <c r="CE4741" i="1"/>
  <c r="A4742" i="1"/>
  <c r="C4742" i="1"/>
  <c r="S4742" i="1"/>
  <c r="T4742" i="1"/>
  <c r="U4742" i="1"/>
  <c r="BD4742" i="1"/>
  <c r="CE4742" i="1"/>
  <c r="A4743" i="1"/>
  <c r="C4743" i="1"/>
  <c r="S4743" i="1"/>
  <c r="T4743" i="1"/>
  <c r="U4743" i="1"/>
  <c r="BD4743" i="1"/>
  <c r="CE4743" i="1"/>
  <c r="A4744" i="1"/>
  <c r="C4744" i="1"/>
  <c r="S4744" i="1"/>
  <c r="T4744" i="1"/>
  <c r="U4744" i="1"/>
  <c r="BD4744" i="1"/>
  <c r="CE4744" i="1"/>
  <c r="A4745" i="1"/>
  <c r="C4745" i="1"/>
  <c r="S4745" i="1"/>
  <c r="T4745" i="1"/>
  <c r="U4745" i="1"/>
  <c r="BD4745" i="1"/>
  <c r="CE4745" i="1"/>
  <c r="A4746" i="1"/>
  <c r="C4746" i="1"/>
  <c r="S4746" i="1"/>
  <c r="T4746" i="1"/>
  <c r="U4746" i="1"/>
  <c r="BD4746" i="1"/>
  <c r="CE4746" i="1"/>
  <c r="A4747" i="1"/>
  <c r="C4747" i="1"/>
  <c r="S4747" i="1"/>
  <c r="T4747" i="1"/>
  <c r="U4747" i="1"/>
  <c r="BD4747" i="1"/>
  <c r="CE4747" i="1"/>
  <c r="A4748" i="1"/>
  <c r="C4748" i="1"/>
  <c r="S4748" i="1"/>
  <c r="T4748" i="1"/>
  <c r="U4748" i="1"/>
  <c r="BD4748" i="1"/>
  <c r="CE4748" i="1"/>
  <c r="A4749" i="1"/>
  <c r="C4749" i="1"/>
  <c r="S4749" i="1"/>
  <c r="T4749" i="1"/>
  <c r="U4749" i="1"/>
  <c r="BD4749" i="1"/>
  <c r="CE4749" i="1"/>
  <c r="A4750" i="1"/>
  <c r="C4750" i="1"/>
  <c r="S4750" i="1"/>
  <c r="T4750" i="1"/>
  <c r="U4750" i="1"/>
  <c r="BD4750" i="1"/>
  <c r="CE4750" i="1"/>
  <c r="A4751" i="1"/>
  <c r="C4751" i="1"/>
  <c r="S4751" i="1"/>
  <c r="T4751" i="1"/>
  <c r="U4751" i="1"/>
  <c r="BD4751" i="1"/>
  <c r="CE4751" i="1"/>
  <c r="A4752" i="1"/>
  <c r="C4752" i="1"/>
  <c r="S4752" i="1"/>
  <c r="T4752" i="1"/>
  <c r="U4752" i="1"/>
  <c r="BD4752" i="1"/>
  <c r="CE4752" i="1"/>
  <c r="A4753" i="1"/>
  <c r="C4753" i="1"/>
  <c r="S4753" i="1"/>
  <c r="T4753" i="1"/>
  <c r="U4753" i="1"/>
  <c r="BD4753" i="1"/>
  <c r="CE4753" i="1"/>
  <c r="A4754" i="1"/>
  <c r="C4754" i="1"/>
  <c r="S4754" i="1"/>
  <c r="T4754" i="1"/>
  <c r="U4754" i="1"/>
  <c r="BD4754" i="1"/>
  <c r="CE4754" i="1"/>
  <c r="A4755" i="1"/>
  <c r="C4755" i="1"/>
  <c r="S4755" i="1"/>
  <c r="T4755" i="1"/>
  <c r="U4755" i="1"/>
  <c r="BD4755" i="1"/>
  <c r="CE4755" i="1"/>
  <c r="A4756" i="1"/>
  <c r="C4756" i="1"/>
  <c r="S4756" i="1"/>
  <c r="T4756" i="1"/>
  <c r="U4756" i="1"/>
  <c r="BD4756" i="1"/>
  <c r="CE4756" i="1"/>
  <c r="A4757" i="1"/>
  <c r="C4757" i="1"/>
  <c r="S4757" i="1"/>
  <c r="T4757" i="1"/>
  <c r="U4757" i="1"/>
  <c r="BD4757" i="1"/>
  <c r="CE4757" i="1"/>
  <c r="A4758" i="1"/>
  <c r="C4758" i="1"/>
  <c r="S4758" i="1"/>
  <c r="T4758" i="1"/>
  <c r="U4758" i="1"/>
  <c r="BD4758" i="1"/>
  <c r="CE4758" i="1"/>
  <c r="A4759" i="1"/>
  <c r="C4759" i="1"/>
  <c r="S4759" i="1"/>
  <c r="T4759" i="1"/>
  <c r="U4759" i="1"/>
  <c r="BD4759" i="1"/>
  <c r="CE4759" i="1"/>
  <c r="A4760" i="1"/>
  <c r="C4760" i="1"/>
  <c r="S4760" i="1"/>
  <c r="T4760" i="1"/>
  <c r="U4760" i="1"/>
  <c r="BD4760" i="1"/>
  <c r="CE4760" i="1"/>
  <c r="A4761" i="1"/>
  <c r="C4761" i="1"/>
  <c r="S4761" i="1"/>
  <c r="T4761" i="1"/>
  <c r="U4761" i="1"/>
  <c r="BD4761" i="1"/>
  <c r="CE4761" i="1"/>
  <c r="A4762" i="1"/>
  <c r="C4762" i="1"/>
  <c r="S4762" i="1"/>
  <c r="T4762" i="1"/>
  <c r="U4762" i="1"/>
  <c r="BD4762" i="1"/>
  <c r="CE4762" i="1"/>
  <c r="A4763" i="1"/>
  <c r="C4763" i="1"/>
  <c r="S4763" i="1"/>
  <c r="T4763" i="1"/>
  <c r="U4763" i="1"/>
  <c r="BD4763" i="1"/>
  <c r="CE4763" i="1"/>
  <c r="A4764" i="1"/>
  <c r="C4764" i="1"/>
  <c r="S4764" i="1"/>
  <c r="T4764" i="1"/>
  <c r="U4764" i="1"/>
  <c r="BD4764" i="1"/>
  <c r="CE4764" i="1"/>
  <c r="A4765" i="1"/>
  <c r="C4765" i="1"/>
  <c r="S4765" i="1"/>
  <c r="T4765" i="1"/>
  <c r="U4765" i="1"/>
  <c r="BD4765" i="1"/>
  <c r="CE4765" i="1"/>
  <c r="A4766" i="1"/>
  <c r="C4766" i="1"/>
  <c r="S4766" i="1"/>
  <c r="T4766" i="1"/>
  <c r="U4766" i="1"/>
  <c r="BD4766" i="1"/>
  <c r="CE4766" i="1"/>
  <c r="A4767" i="1"/>
  <c r="C4767" i="1"/>
  <c r="S4767" i="1"/>
  <c r="T4767" i="1"/>
  <c r="U4767" i="1"/>
  <c r="BD4767" i="1"/>
  <c r="CE4767" i="1"/>
  <c r="A4768" i="1"/>
  <c r="C4768" i="1"/>
  <c r="S4768" i="1"/>
  <c r="T4768" i="1"/>
  <c r="U4768" i="1"/>
  <c r="BD4768" i="1"/>
  <c r="CE4768" i="1"/>
  <c r="A4769" i="1"/>
  <c r="C4769" i="1"/>
  <c r="S4769" i="1"/>
  <c r="T4769" i="1"/>
  <c r="U4769" i="1"/>
  <c r="BD4769" i="1"/>
  <c r="CE4769" i="1"/>
  <c r="A4770" i="1"/>
  <c r="C4770" i="1"/>
  <c r="S4770" i="1"/>
  <c r="T4770" i="1"/>
  <c r="U4770" i="1"/>
  <c r="BD4770" i="1"/>
  <c r="CE4770" i="1"/>
  <c r="A4771" i="1"/>
  <c r="C4771" i="1"/>
  <c r="S4771" i="1"/>
  <c r="T4771" i="1"/>
  <c r="U4771" i="1"/>
  <c r="BD4771" i="1"/>
  <c r="CE4771" i="1"/>
  <c r="A4772" i="1"/>
  <c r="C4772" i="1"/>
  <c r="S4772" i="1"/>
  <c r="T4772" i="1"/>
  <c r="U4772" i="1"/>
  <c r="BD4772" i="1"/>
  <c r="CE4772" i="1"/>
  <c r="A4773" i="1"/>
  <c r="C4773" i="1"/>
  <c r="S4773" i="1"/>
  <c r="T4773" i="1"/>
  <c r="U4773" i="1"/>
  <c r="BD4773" i="1"/>
  <c r="CE4773" i="1"/>
  <c r="A4774" i="1"/>
  <c r="C4774" i="1"/>
  <c r="S4774" i="1"/>
  <c r="T4774" i="1"/>
  <c r="U4774" i="1"/>
  <c r="BD4774" i="1"/>
  <c r="CE4774" i="1"/>
  <c r="A4775" i="1"/>
  <c r="C4775" i="1"/>
  <c r="S4775" i="1"/>
  <c r="T4775" i="1"/>
  <c r="U4775" i="1"/>
  <c r="BD4775" i="1"/>
  <c r="CE4775" i="1"/>
  <c r="A4776" i="1"/>
  <c r="C4776" i="1"/>
  <c r="S4776" i="1"/>
  <c r="T4776" i="1"/>
  <c r="U4776" i="1"/>
  <c r="BD4776" i="1"/>
  <c r="CE4776" i="1"/>
  <c r="A4777" i="1"/>
  <c r="C4777" i="1"/>
  <c r="S4777" i="1"/>
  <c r="T4777" i="1"/>
  <c r="U4777" i="1"/>
  <c r="BD4777" i="1"/>
  <c r="CE4777" i="1"/>
  <c r="A4778" i="1"/>
  <c r="C4778" i="1"/>
  <c r="S4778" i="1"/>
  <c r="T4778" i="1"/>
  <c r="U4778" i="1"/>
  <c r="BD4778" i="1"/>
  <c r="CE4778" i="1"/>
  <c r="A4779" i="1"/>
  <c r="C4779" i="1"/>
  <c r="S4779" i="1"/>
  <c r="T4779" i="1"/>
  <c r="U4779" i="1"/>
  <c r="BD4779" i="1"/>
  <c r="CE4779" i="1"/>
  <c r="A4780" i="1"/>
  <c r="C4780" i="1"/>
  <c r="S4780" i="1"/>
  <c r="T4780" i="1"/>
  <c r="U4780" i="1"/>
  <c r="BD4780" i="1"/>
  <c r="CE4780" i="1"/>
  <c r="A4781" i="1"/>
  <c r="C4781" i="1"/>
  <c r="S4781" i="1"/>
  <c r="T4781" i="1"/>
  <c r="U4781" i="1"/>
  <c r="BD4781" i="1"/>
  <c r="CE4781" i="1"/>
  <c r="A4782" i="1"/>
  <c r="C4782" i="1"/>
  <c r="S4782" i="1"/>
  <c r="T4782" i="1"/>
  <c r="U4782" i="1"/>
  <c r="BD4782" i="1"/>
  <c r="CE4782" i="1"/>
  <c r="A4783" i="1"/>
  <c r="C4783" i="1"/>
  <c r="S4783" i="1"/>
  <c r="T4783" i="1"/>
  <c r="U4783" i="1"/>
  <c r="BD4783" i="1"/>
  <c r="CE4783" i="1"/>
  <c r="A4784" i="1"/>
  <c r="C4784" i="1"/>
  <c r="S4784" i="1"/>
  <c r="T4784" i="1"/>
  <c r="U4784" i="1"/>
  <c r="BD4784" i="1"/>
  <c r="CE4784" i="1"/>
  <c r="A4785" i="1"/>
  <c r="C4785" i="1"/>
  <c r="S4785" i="1"/>
  <c r="T4785" i="1"/>
  <c r="U4785" i="1"/>
  <c r="BD4785" i="1"/>
  <c r="CE4785" i="1"/>
  <c r="A4786" i="1"/>
  <c r="C4786" i="1"/>
  <c r="S4786" i="1"/>
  <c r="T4786" i="1"/>
  <c r="U4786" i="1"/>
  <c r="BD4786" i="1"/>
  <c r="CE4786" i="1"/>
  <c r="A4787" i="1"/>
  <c r="C4787" i="1"/>
  <c r="S4787" i="1"/>
  <c r="T4787" i="1"/>
  <c r="U4787" i="1"/>
  <c r="BD4787" i="1"/>
  <c r="CE4787" i="1"/>
  <c r="A4788" i="1"/>
  <c r="C4788" i="1"/>
  <c r="S4788" i="1"/>
  <c r="T4788" i="1"/>
  <c r="U4788" i="1"/>
  <c r="BD4788" i="1"/>
  <c r="CE4788" i="1"/>
  <c r="A4789" i="1"/>
  <c r="C4789" i="1"/>
  <c r="S4789" i="1"/>
  <c r="T4789" i="1"/>
  <c r="U4789" i="1"/>
  <c r="BD4789" i="1"/>
  <c r="CE4789" i="1"/>
  <c r="A4790" i="1"/>
  <c r="C4790" i="1"/>
  <c r="S4790" i="1"/>
  <c r="T4790" i="1"/>
  <c r="U4790" i="1"/>
  <c r="BD4790" i="1"/>
  <c r="CE4790" i="1"/>
  <c r="A4791" i="1"/>
  <c r="C4791" i="1"/>
  <c r="S4791" i="1"/>
  <c r="T4791" i="1"/>
  <c r="U4791" i="1"/>
  <c r="BD4791" i="1"/>
  <c r="CE4791" i="1"/>
  <c r="A4792" i="1"/>
  <c r="C4792" i="1"/>
  <c r="S4792" i="1"/>
  <c r="T4792" i="1"/>
  <c r="U4792" i="1"/>
  <c r="BD4792" i="1"/>
  <c r="CE4792" i="1"/>
  <c r="A4793" i="1"/>
  <c r="C4793" i="1"/>
  <c r="S4793" i="1"/>
  <c r="T4793" i="1"/>
  <c r="U4793" i="1"/>
  <c r="BD4793" i="1"/>
  <c r="CE4793" i="1"/>
  <c r="A4794" i="1"/>
  <c r="C4794" i="1"/>
  <c r="S4794" i="1"/>
  <c r="T4794" i="1"/>
  <c r="U4794" i="1"/>
  <c r="BD4794" i="1"/>
  <c r="CE4794" i="1"/>
  <c r="A4795" i="1"/>
  <c r="C4795" i="1"/>
  <c r="S4795" i="1"/>
  <c r="T4795" i="1"/>
  <c r="U4795" i="1"/>
  <c r="BD4795" i="1"/>
  <c r="CE4795" i="1"/>
  <c r="A4796" i="1"/>
  <c r="C4796" i="1"/>
  <c r="S4796" i="1"/>
  <c r="T4796" i="1"/>
  <c r="U4796" i="1"/>
  <c r="BD4796" i="1"/>
  <c r="CE4796" i="1"/>
  <c r="A4797" i="1"/>
  <c r="C4797" i="1"/>
  <c r="S4797" i="1"/>
  <c r="T4797" i="1"/>
  <c r="U4797" i="1"/>
  <c r="BD4797" i="1"/>
  <c r="CE4797" i="1"/>
  <c r="A4798" i="1"/>
  <c r="C4798" i="1"/>
  <c r="S4798" i="1"/>
  <c r="T4798" i="1"/>
  <c r="U4798" i="1"/>
  <c r="BD4798" i="1"/>
  <c r="CE4798" i="1"/>
  <c r="A4799" i="1"/>
  <c r="C4799" i="1"/>
  <c r="S4799" i="1"/>
  <c r="T4799" i="1"/>
  <c r="U4799" i="1"/>
  <c r="BD4799" i="1"/>
  <c r="CE4799" i="1"/>
  <c r="A4800" i="1"/>
  <c r="C4800" i="1"/>
  <c r="S4800" i="1"/>
  <c r="T4800" i="1"/>
  <c r="U4800" i="1"/>
  <c r="BD4800" i="1"/>
  <c r="CE4800" i="1"/>
  <c r="A4801" i="1"/>
  <c r="C4801" i="1"/>
  <c r="S4801" i="1"/>
  <c r="T4801" i="1"/>
  <c r="U4801" i="1"/>
  <c r="BD4801" i="1"/>
  <c r="CE4801" i="1"/>
  <c r="A4802" i="1"/>
  <c r="C4802" i="1"/>
  <c r="S4802" i="1"/>
  <c r="T4802" i="1"/>
  <c r="U4802" i="1"/>
  <c r="BD4802" i="1"/>
  <c r="CE4802" i="1"/>
  <c r="A4803" i="1"/>
  <c r="C4803" i="1"/>
  <c r="S4803" i="1"/>
  <c r="T4803" i="1"/>
  <c r="U4803" i="1"/>
  <c r="BD4803" i="1"/>
  <c r="CE4803" i="1"/>
  <c r="A4804" i="1"/>
  <c r="C4804" i="1"/>
  <c r="S4804" i="1"/>
  <c r="T4804" i="1"/>
  <c r="U4804" i="1"/>
  <c r="BD4804" i="1"/>
  <c r="CE4804" i="1"/>
  <c r="A4805" i="1"/>
  <c r="C4805" i="1"/>
  <c r="S4805" i="1"/>
  <c r="T4805" i="1"/>
  <c r="U4805" i="1"/>
  <c r="BD4805" i="1"/>
  <c r="CE4805" i="1"/>
  <c r="A4806" i="1"/>
  <c r="C4806" i="1"/>
  <c r="S4806" i="1"/>
  <c r="T4806" i="1"/>
  <c r="U4806" i="1"/>
  <c r="BD4806" i="1"/>
  <c r="CE4806" i="1"/>
  <c r="A4807" i="1"/>
  <c r="C4807" i="1"/>
  <c r="S4807" i="1"/>
  <c r="T4807" i="1"/>
  <c r="U4807" i="1"/>
  <c r="BD4807" i="1"/>
  <c r="CE4807" i="1"/>
  <c r="A4808" i="1"/>
  <c r="C4808" i="1"/>
  <c r="S4808" i="1"/>
  <c r="T4808" i="1"/>
  <c r="U4808" i="1"/>
  <c r="BD4808" i="1"/>
  <c r="CE4808" i="1"/>
  <c r="A4809" i="1"/>
  <c r="C4809" i="1"/>
  <c r="S4809" i="1"/>
  <c r="T4809" i="1"/>
  <c r="U4809" i="1"/>
  <c r="BD4809" i="1"/>
  <c r="CE4809" i="1"/>
  <c r="A4810" i="1"/>
  <c r="C4810" i="1"/>
  <c r="S4810" i="1"/>
  <c r="T4810" i="1"/>
  <c r="U4810" i="1"/>
  <c r="BD4810" i="1"/>
  <c r="CE4810" i="1"/>
  <c r="A4811" i="1"/>
  <c r="C4811" i="1"/>
  <c r="S4811" i="1"/>
  <c r="T4811" i="1"/>
  <c r="U4811" i="1"/>
  <c r="BD4811" i="1"/>
  <c r="CE4811" i="1"/>
  <c r="A4812" i="1"/>
  <c r="C4812" i="1"/>
  <c r="S4812" i="1"/>
  <c r="T4812" i="1"/>
  <c r="U4812" i="1"/>
  <c r="BD4812" i="1"/>
  <c r="CE4812" i="1"/>
  <c r="A4813" i="1"/>
  <c r="C4813" i="1"/>
  <c r="S4813" i="1"/>
  <c r="T4813" i="1"/>
  <c r="U4813" i="1"/>
  <c r="BD4813" i="1"/>
  <c r="CE4813" i="1"/>
  <c r="A4814" i="1"/>
  <c r="C4814" i="1"/>
  <c r="S4814" i="1"/>
  <c r="T4814" i="1"/>
  <c r="U4814" i="1"/>
  <c r="BD4814" i="1"/>
  <c r="CE4814" i="1"/>
  <c r="A4815" i="1"/>
  <c r="C4815" i="1"/>
  <c r="S4815" i="1"/>
  <c r="T4815" i="1"/>
  <c r="U4815" i="1"/>
  <c r="BD4815" i="1"/>
  <c r="CE4815" i="1"/>
  <c r="A4816" i="1"/>
  <c r="C4816" i="1"/>
  <c r="S4816" i="1"/>
  <c r="T4816" i="1"/>
  <c r="U4816" i="1"/>
  <c r="BD4816" i="1"/>
  <c r="CE4816" i="1"/>
  <c r="A4817" i="1"/>
  <c r="C4817" i="1"/>
  <c r="S4817" i="1"/>
  <c r="T4817" i="1"/>
  <c r="U4817" i="1"/>
  <c r="BD4817" i="1"/>
  <c r="CE4817" i="1"/>
  <c r="A4818" i="1"/>
  <c r="C4818" i="1"/>
  <c r="S4818" i="1"/>
  <c r="T4818" i="1"/>
  <c r="U4818" i="1"/>
  <c r="BD4818" i="1"/>
  <c r="CE4818" i="1"/>
  <c r="A4819" i="1"/>
  <c r="C4819" i="1"/>
  <c r="S4819" i="1"/>
  <c r="T4819" i="1"/>
  <c r="U4819" i="1"/>
  <c r="BD4819" i="1"/>
  <c r="CE4819" i="1"/>
  <c r="A4820" i="1"/>
  <c r="C4820" i="1"/>
  <c r="S4820" i="1"/>
  <c r="T4820" i="1"/>
  <c r="U4820" i="1"/>
  <c r="BD4820" i="1"/>
  <c r="CE4820" i="1"/>
  <c r="A4821" i="1"/>
  <c r="C4821" i="1"/>
  <c r="S4821" i="1"/>
  <c r="T4821" i="1"/>
  <c r="U4821" i="1"/>
  <c r="BD4821" i="1"/>
  <c r="CE4821" i="1"/>
  <c r="A4822" i="1"/>
  <c r="C4822" i="1"/>
  <c r="S4822" i="1"/>
  <c r="T4822" i="1"/>
  <c r="U4822" i="1"/>
  <c r="BD4822" i="1"/>
  <c r="CE4822" i="1"/>
  <c r="A4823" i="1"/>
  <c r="C4823" i="1"/>
  <c r="S4823" i="1"/>
  <c r="T4823" i="1"/>
  <c r="U4823" i="1"/>
  <c r="BD4823" i="1"/>
  <c r="CE4823" i="1"/>
  <c r="A4824" i="1"/>
  <c r="C4824" i="1"/>
  <c r="S4824" i="1"/>
  <c r="T4824" i="1"/>
  <c r="U4824" i="1"/>
  <c r="BD4824" i="1"/>
  <c r="CE4824" i="1"/>
  <c r="A4825" i="1"/>
  <c r="C4825" i="1"/>
  <c r="S4825" i="1"/>
  <c r="T4825" i="1"/>
  <c r="U4825" i="1"/>
  <c r="BD4825" i="1"/>
  <c r="CE4825" i="1"/>
  <c r="A4826" i="1"/>
  <c r="C4826" i="1"/>
  <c r="S4826" i="1"/>
  <c r="T4826" i="1"/>
  <c r="U4826" i="1"/>
  <c r="BD4826" i="1"/>
  <c r="CE4826" i="1"/>
  <c r="A4827" i="1"/>
  <c r="C4827" i="1"/>
  <c r="S4827" i="1"/>
  <c r="T4827" i="1"/>
  <c r="U4827" i="1"/>
  <c r="BD4827" i="1"/>
  <c r="CE4827" i="1"/>
  <c r="A4828" i="1"/>
  <c r="C4828" i="1"/>
  <c r="S4828" i="1"/>
  <c r="T4828" i="1"/>
  <c r="U4828" i="1"/>
  <c r="BD4828" i="1"/>
  <c r="CE4828" i="1"/>
  <c r="A4829" i="1"/>
  <c r="C4829" i="1"/>
  <c r="S4829" i="1"/>
  <c r="T4829" i="1"/>
  <c r="U4829" i="1"/>
  <c r="BD4829" i="1"/>
  <c r="CE4829" i="1"/>
  <c r="A4830" i="1"/>
  <c r="C4830" i="1"/>
  <c r="S4830" i="1"/>
  <c r="T4830" i="1"/>
  <c r="U4830" i="1"/>
  <c r="BD4830" i="1"/>
  <c r="CE4830" i="1"/>
  <c r="A4831" i="1"/>
  <c r="C4831" i="1"/>
  <c r="S4831" i="1"/>
  <c r="T4831" i="1"/>
  <c r="U4831" i="1"/>
  <c r="BD4831" i="1"/>
  <c r="CE4831" i="1"/>
  <c r="A4832" i="1"/>
  <c r="C4832" i="1"/>
  <c r="S4832" i="1"/>
  <c r="T4832" i="1"/>
  <c r="U4832" i="1"/>
  <c r="BD4832" i="1"/>
  <c r="CE4832" i="1"/>
  <c r="A4833" i="1"/>
  <c r="C4833" i="1"/>
  <c r="S4833" i="1"/>
  <c r="T4833" i="1"/>
  <c r="U4833" i="1"/>
  <c r="BD4833" i="1"/>
  <c r="CE4833" i="1"/>
  <c r="A4834" i="1"/>
  <c r="C4834" i="1"/>
  <c r="S4834" i="1"/>
  <c r="T4834" i="1"/>
  <c r="U4834" i="1"/>
  <c r="BD4834" i="1"/>
  <c r="CE4834" i="1"/>
  <c r="A4835" i="1"/>
  <c r="C4835" i="1"/>
  <c r="S4835" i="1"/>
  <c r="T4835" i="1"/>
  <c r="U4835" i="1"/>
  <c r="BD4835" i="1"/>
  <c r="CE4835" i="1"/>
  <c r="A4836" i="1"/>
  <c r="C4836" i="1"/>
  <c r="S4836" i="1"/>
  <c r="T4836" i="1"/>
  <c r="U4836" i="1"/>
  <c r="BD4836" i="1"/>
  <c r="CE4836" i="1"/>
  <c r="A4837" i="1"/>
  <c r="C4837" i="1"/>
  <c r="S4837" i="1"/>
  <c r="T4837" i="1"/>
  <c r="U4837" i="1"/>
  <c r="BD4837" i="1"/>
  <c r="CE4837" i="1"/>
  <c r="A4838" i="1"/>
  <c r="C4838" i="1"/>
  <c r="S4838" i="1"/>
  <c r="T4838" i="1"/>
  <c r="U4838" i="1"/>
  <c r="BD4838" i="1"/>
  <c r="CE4838" i="1"/>
  <c r="A4839" i="1"/>
  <c r="C4839" i="1"/>
  <c r="S4839" i="1"/>
  <c r="T4839" i="1"/>
  <c r="U4839" i="1"/>
  <c r="BD4839" i="1"/>
  <c r="CE4839" i="1"/>
  <c r="A4840" i="1"/>
  <c r="C4840" i="1"/>
  <c r="S4840" i="1"/>
  <c r="T4840" i="1"/>
  <c r="U4840" i="1"/>
  <c r="BD4840" i="1"/>
  <c r="CE4840" i="1"/>
  <c r="A4841" i="1"/>
  <c r="C4841" i="1"/>
  <c r="S4841" i="1"/>
  <c r="T4841" i="1"/>
  <c r="U4841" i="1"/>
  <c r="BD4841" i="1"/>
  <c r="CE4841" i="1"/>
  <c r="A4842" i="1"/>
  <c r="C4842" i="1"/>
  <c r="S4842" i="1"/>
  <c r="T4842" i="1"/>
  <c r="U4842" i="1"/>
  <c r="BD4842" i="1"/>
  <c r="CE4842" i="1"/>
  <c r="A4843" i="1"/>
  <c r="C4843" i="1"/>
  <c r="S4843" i="1"/>
  <c r="T4843" i="1"/>
  <c r="U4843" i="1"/>
  <c r="BD4843" i="1"/>
  <c r="CE4843" i="1"/>
  <c r="A4844" i="1"/>
  <c r="C4844" i="1"/>
  <c r="S4844" i="1"/>
  <c r="T4844" i="1"/>
  <c r="U4844" i="1"/>
  <c r="BD4844" i="1"/>
  <c r="CE4844" i="1"/>
  <c r="A4845" i="1"/>
  <c r="C4845" i="1"/>
  <c r="S4845" i="1"/>
  <c r="T4845" i="1"/>
  <c r="U4845" i="1"/>
  <c r="BD4845" i="1"/>
  <c r="CE4845" i="1"/>
  <c r="A4846" i="1"/>
  <c r="C4846" i="1"/>
  <c r="S4846" i="1"/>
  <c r="T4846" i="1"/>
  <c r="U4846" i="1"/>
  <c r="BD4846" i="1"/>
  <c r="CE4846" i="1"/>
  <c r="A4847" i="1"/>
  <c r="C4847" i="1"/>
  <c r="S4847" i="1"/>
  <c r="T4847" i="1"/>
  <c r="U4847" i="1"/>
  <c r="BD4847" i="1"/>
  <c r="CE4847" i="1"/>
  <c r="A4848" i="1"/>
  <c r="C4848" i="1"/>
  <c r="S4848" i="1"/>
  <c r="T4848" i="1"/>
  <c r="U4848" i="1"/>
  <c r="BD4848" i="1"/>
  <c r="CE4848" i="1"/>
  <c r="A4849" i="1"/>
  <c r="C4849" i="1"/>
  <c r="S4849" i="1"/>
  <c r="T4849" i="1"/>
  <c r="U4849" i="1"/>
  <c r="BD4849" i="1"/>
  <c r="CE4849" i="1"/>
  <c r="A4850" i="1"/>
  <c r="C4850" i="1"/>
  <c r="S4850" i="1"/>
  <c r="T4850" i="1"/>
  <c r="U4850" i="1"/>
  <c r="BD4850" i="1"/>
  <c r="CE4850" i="1"/>
  <c r="A4851" i="1"/>
  <c r="C4851" i="1"/>
  <c r="S4851" i="1"/>
  <c r="T4851" i="1"/>
  <c r="U4851" i="1"/>
  <c r="BD4851" i="1"/>
  <c r="CE4851" i="1"/>
  <c r="A4852" i="1"/>
  <c r="C4852" i="1"/>
  <c r="S4852" i="1"/>
  <c r="T4852" i="1"/>
  <c r="U4852" i="1"/>
  <c r="BD4852" i="1"/>
  <c r="CE4852" i="1"/>
  <c r="A4853" i="1"/>
  <c r="C4853" i="1"/>
  <c r="S4853" i="1"/>
  <c r="T4853" i="1"/>
  <c r="U4853" i="1"/>
  <c r="BD4853" i="1"/>
  <c r="CE4853" i="1"/>
  <c r="A4854" i="1"/>
  <c r="C4854" i="1"/>
  <c r="S4854" i="1"/>
  <c r="T4854" i="1"/>
  <c r="U4854" i="1"/>
  <c r="BD4854" i="1"/>
  <c r="CE4854" i="1"/>
  <c r="A4855" i="1"/>
  <c r="C4855" i="1"/>
  <c r="S4855" i="1"/>
  <c r="T4855" i="1"/>
  <c r="U4855" i="1"/>
  <c r="BD4855" i="1"/>
  <c r="CE4855" i="1"/>
  <c r="A4856" i="1"/>
  <c r="C4856" i="1"/>
  <c r="S4856" i="1"/>
  <c r="T4856" i="1"/>
  <c r="U4856" i="1"/>
  <c r="BD4856" i="1"/>
  <c r="CE4856" i="1"/>
  <c r="A4857" i="1"/>
  <c r="C4857" i="1"/>
  <c r="S4857" i="1"/>
  <c r="T4857" i="1"/>
  <c r="U4857" i="1"/>
  <c r="BD4857" i="1"/>
  <c r="CE4857" i="1"/>
  <c r="A4858" i="1"/>
  <c r="C4858" i="1"/>
  <c r="S4858" i="1"/>
  <c r="T4858" i="1"/>
  <c r="U4858" i="1"/>
  <c r="BD4858" i="1"/>
  <c r="CE4858" i="1"/>
  <c r="A4859" i="1"/>
  <c r="C4859" i="1"/>
  <c r="S4859" i="1"/>
  <c r="T4859" i="1"/>
  <c r="U4859" i="1"/>
  <c r="BD4859" i="1"/>
  <c r="CE4859" i="1"/>
  <c r="A4860" i="1"/>
  <c r="C4860" i="1"/>
  <c r="S4860" i="1"/>
  <c r="T4860" i="1"/>
  <c r="U4860" i="1"/>
  <c r="BD4860" i="1"/>
  <c r="CE4860" i="1"/>
  <c r="A4861" i="1"/>
  <c r="C4861" i="1"/>
  <c r="S4861" i="1"/>
  <c r="T4861" i="1"/>
  <c r="U4861" i="1"/>
  <c r="BD4861" i="1"/>
  <c r="CE4861" i="1"/>
</calcChain>
</file>

<file path=xl/sharedStrings.xml><?xml version="1.0" encoding="utf-8"?>
<sst xmlns="http://schemas.openxmlformats.org/spreadsheetml/2006/main" count="52881" uniqueCount="1519">
  <si>
    <t>Time</t>
  </si>
  <si>
    <t>DeType</t>
  </si>
  <si>
    <t>FRNs</t>
  </si>
  <si>
    <t>SAC</t>
  </si>
  <si>
    <t>SIC</t>
  </si>
  <si>
    <t>CTVID</t>
  </si>
  <si>
    <t>CTVName</t>
  </si>
  <si>
    <t>SVID</t>
  </si>
  <si>
    <t>SVName</t>
  </si>
  <si>
    <t>SVType</t>
  </si>
  <si>
    <t>VersStat</t>
  </si>
  <si>
    <t>AstxVers</t>
  </si>
  <si>
    <t>UnkVers</t>
  </si>
  <si>
    <t>LinkVers</t>
  </si>
  <si>
    <t>1090ES</t>
  </si>
  <si>
    <t>UAT</t>
  </si>
  <si>
    <t>Non ADS-B</t>
  </si>
  <si>
    <t>TIS-B</t>
  </si>
  <si>
    <t>PosToa</t>
  </si>
  <si>
    <t>VelToa</t>
  </si>
  <si>
    <t>ModeSId</t>
  </si>
  <si>
    <t>Qual</t>
  </si>
  <si>
    <t>Dupl</t>
  </si>
  <si>
    <t>TgtSVType</t>
  </si>
  <si>
    <t>TestMsgExtMode</t>
  </si>
  <si>
    <t>TrackNum</t>
  </si>
  <si>
    <t>UTC</t>
  </si>
  <si>
    <t>NIC</t>
  </si>
  <si>
    <t>SIL</t>
  </si>
  <si>
    <t>SIL-S</t>
  </si>
  <si>
    <t>NAC-P</t>
  </si>
  <si>
    <t>SepEligInd</t>
  </si>
  <si>
    <t>SvcInTestMode</t>
  </si>
  <si>
    <t>Valid</t>
  </si>
  <si>
    <t>NAC-V</t>
  </si>
  <si>
    <t>NIC-B</t>
  </si>
  <si>
    <t>Lat</t>
  </si>
  <si>
    <t>LatDeg</t>
  </si>
  <si>
    <t>Lon</t>
  </si>
  <si>
    <t>LonDeg</t>
  </si>
  <si>
    <t>Res</t>
  </si>
  <si>
    <t>PressAlt</t>
  </si>
  <si>
    <t>VVSrc</t>
  </si>
  <si>
    <t>Vx</t>
  </si>
  <si>
    <t>Vy</t>
  </si>
  <si>
    <t>Vz</t>
  </si>
  <si>
    <t>TrkOrHdgVal</t>
  </si>
  <si>
    <t>TrkOrHdgInd</t>
  </si>
  <si>
    <t>HRD</t>
  </si>
  <si>
    <t>Angle</t>
  </si>
  <si>
    <t>GrndSpd</t>
  </si>
  <si>
    <t>LWC</t>
  </si>
  <si>
    <t>POA</t>
  </si>
  <si>
    <t>Aid</t>
  </si>
  <si>
    <t>AidVal</t>
  </si>
  <si>
    <t>FlightId</t>
  </si>
  <si>
    <t>EmitCat</t>
  </si>
  <si>
    <t>RxAtc(FRN14)</t>
  </si>
  <si>
    <t>Ident(FRN14)</t>
  </si>
  <si>
    <t>SurvStat</t>
  </si>
  <si>
    <t>EmerPriStat</t>
  </si>
  <si>
    <t>GeomAlt</t>
  </si>
  <si>
    <t>DeltaAlt</t>
  </si>
  <si>
    <t>ValidType</t>
  </si>
  <si>
    <t>SAF</t>
  </si>
  <si>
    <t>UATInCap</t>
  </si>
  <si>
    <t>1090InCap</t>
  </si>
  <si>
    <t>TCAS</t>
  </si>
  <si>
    <t>CDTI</t>
  </si>
  <si>
    <t>RxAtc(FRN16)</t>
  </si>
  <si>
    <t>ValidDist</t>
  </si>
  <si>
    <t>Ident(FRN16)</t>
  </si>
  <si>
    <t>TcasRa</t>
  </si>
  <si>
    <t>ARA</t>
  </si>
  <si>
    <t>RAC</t>
  </si>
  <si>
    <t>RAT</t>
  </si>
  <si>
    <t>MTE</t>
  </si>
  <si>
    <t>TTI</t>
  </si>
  <si>
    <t>TID-MdsId</t>
  </si>
  <si>
    <t>TID-Alt</t>
  </si>
  <si>
    <t>TID-Rng</t>
  </si>
  <si>
    <t>TID-Bear</t>
  </si>
  <si>
    <t>TOMR</t>
  </si>
  <si>
    <t>TOMR(NSec)</t>
  </si>
  <si>
    <t>GPSLatOff</t>
  </si>
  <si>
    <t>GPSLonOff</t>
  </si>
  <si>
    <t>SelAltType</t>
  </si>
  <si>
    <t>SelAlt</t>
  </si>
  <si>
    <t>Baro</t>
  </si>
  <si>
    <t>SelHdg</t>
  </si>
  <si>
    <t>McpFcuSt</t>
  </si>
  <si>
    <t>AutoPilot</t>
  </si>
  <si>
    <t>VNav</t>
  </si>
  <si>
    <t>AltHold</t>
  </si>
  <si>
    <t>Approach</t>
  </si>
  <si>
    <t>LNav</t>
  </si>
  <si>
    <t>EnhVal</t>
  </si>
  <si>
    <t>GVA</t>
  </si>
  <si>
    <t>NIC6Supp</t>
  </si>
  <si>
    <t>SDA</t>
  </si>
  <si>
    <t>UATUpFdBk</t>
  </si>
  <si>
    <t>SQL</t>
  </si>
  <si>
    <t>System</t>
  </si>
  <si>
    <t>EqType</t>
  </si>
  <si>
    <t>LocId</t>
  </si>
  <si>
    <t>Inst</t>
  </si>
  <si>
    <t>RSID</t>
  </si>
  <si>
    <t>DSName</t>
  </si>
  <si>
    <t>RadarName</t>
  </si>
  <si>
    <t>AsdeXName</t>
  </si>
  <si>
    <t>ReportId</t>
  </si>
  <si>
    <t>TimeOrig</t>
  </si>
  <si>
    <t>TIS-B Client</t>
  </si>
  <si>
    <t>AirOnGnd</t>
  </si>
  <si>
    <t>DupMsg</t>
  </si>
  <si>
    <t>SquitMap</t>
  </si>
  <si>
    <t>RwyTaxi</t>
  </si>
  <si>
    <t>InRule</t>
  </si>
  <si>
    <t>X_Rule</t>
  </si>
  <si>
    <t>X_ME</t>
  </si>
  <si>
    <t>X_IA</t>
  </si>
  <si>
    <t>X_KM</t>
  </si>
  <si>
    <t>X_OC</t>
  </si>
  <si>
    <t>C2</t>
  </si>
  <si>
    <t>Southern California TRACON CTV</t>
  </si>
  <si>
    <t>TerminalCTV</t>
  </si>
  <si>
    <t>None</t>
  </si>
  <si>
    <t>032:49:35.42 N</t>
  </si>
  <si>
    <t>116:58:18.33 W</t>
  </si>
  <si>
    <t>GNSS</t>
  </si>
  <si>
    <t>NoneAvailable</t>
  </si>
  <si>
    <t>RS - UAT Radio Channel</t>
  </si>
  <si>
    <t>166-02</t>
  </si>
  <si>
    <t>SDM</t>
  </si>
  <si>
    <t>C3</t>
  </si>
  <si>
    <t>UserDefinedCTV</t>
  </si>
  <si>
    <t>BD</t>
  </si>
  <si>
    <t>Oceanside-Camp Pendleton</t>
  </si>
  <si>
    <t>Terminal</t>
  </si>
  <si>
    <t>032:49:35.73 N</t>
  </si>
  <si>
    <t>116:58:19.72 W</t>
  </si>
  <si>
    <t>BB</t>
  </si>
  <si>
    <t>San Diego</t>
  </si>
  <si>
    <t>C1</t>
  </si>
  <si>
    <t>Los Angeles</t>
  </si>
  <si>
    <t>EnrouteCTV</t>
  </si>
  <si>
    <t>MCAS Miramar</t>
  </si>
  <si>
    <t>BA</t>
  </si>
  <si>
    <t>Enroute</t>
  </si>
  <si>
    <t>032:49:36.27 N</t>
  </si>
  <si>
    <t>116:58:22.73 W</t>
  </si>
  <si>
    <t>032:49:36.50 N</t>
  </si>
  <si>
    <t>116:58:24.04 W</t>
  </si>
  <si>
    <t>032:49:36.73 N</t>
  </si>
  <si>
    <t>116:58:25.67 W</t>
  </si>
  <si>
    <t>032:49:37.12 N</t>
  </si>
  <si>
    <t>116:58:27.75 W</t>
  </si>
  <si>
    <t>032:49:37.43 N</t>
  </si>
  <si>
    <t>116:58:29.53 W</t>
  </si>
  <si>
    <t>032:49:37.73 N</t>
  </si>
  <si>
    <t>116:58:31.30 W</t>
  </si>
  <si>
    <t>032:49:38.04 N</t>
  </si>
  <si>
    <t>116:58:33.24 W</t>
  </si>
  <si>
    <t>TimeDifferenceOfArrival</t>
  </si>
  <si>
    <t>032:49:38.43 N</t>
  </si>
  <si>
    <t>116:58:35.09 W</t>
  </si>
  <si>
    <t>032:49:38.74 N</t>
  </si>
  <si>
    <t>116:58:37.02 W</t>
  </si>
  <si>
    <t>032:49:39.36 N</t>
  </si>
  <si>
    <t>116:58:40.65 W</t>
  </si>
  <si>
    <t>032:49:39.74 N</t>
  </si>
  <si>
    <t>116:58:43.12 W</t>
  </si>
  <si>
    <t>032:49:40.13 N</t>
  </si>
  <si>
    <t>116:58:45.13 W</t>
  </si>
  <si>
    <t>032:49:40.52 N</t>
  </si>
  <si>
    <t>116:58:47.22 W</t>
  </si>
  <si>
    <t>166-16</t>
  </si>
  <si>
    <t>RNM</t>
  </si>
  <si>
    <t>032:49:40.90 N</t>
  </si>
  <si>
    <t>116:58:49.30 W</t>
  </si>
  <si>
    <t>032:49:41.29 N</t>
  </si>
  <si>
    <t>116:58:51.31 W</t>
  </si>
  <si>
    <t>032:49:41.60 N</t>
  </si>
  <si>
    <t>116:58:53.40 W</t>
  </si>
  <si>
    <t>032:49:41.98 N</t>
  </si>
  <si>
    <t>116:58:55.41 W</t>
  </si>
  <si>
    <t>032:49:42.29 N</t>
  </si>
  <si>
    <t>116:58:56.95 W</t>
  </si>
  <si>
    <t>032:49:42.60 N</t>
  </si>
  <si>
    <t>116:58:58.96 W</t>
  </si>
  <si>
    <t>032:49:42.99 N</t>
  </si>
  <si>
    <t>116:59:01.28 W</t>
  </si>
  <si>
    <t>032:49:43.37 N</t>
  </si>
  <si>
    <t>116:59:03.13 W</t>
  </si>
  <si>
    <t>032:49:43.68 N</t>
  </si>
  <si>
    <t>116:59:04.98 W</t>
  </si>
  <si>
    <t>032:49:43.91 N</t>
  </si>
  <si>
    <t>116:59:06.92 W</t>
  </si>
  <si>
    <t>032:49:44.22 N</t>
  </si>
  <si>
    <t>116:59:08.77 W</t>
  </si>
  <si>
    <t>032:49:44.53 N</t>
  </si>
  <si>
    <t>116:59:12.25 W</t>
  </si>
  <si>
    <t>032:49:44.69 N</t>
  </si>
  <si>
    <t>116:59:14.18 W</t>
  </si>
  <si>
    <t>032:49:44.76 N</t>
  </si>
  <si>
    <t>116:59:16.49 W</t>
  </si>
  <si>
    <t>116:59:20.43 W</t>
  </si>
  <si>
    <t>032:49:44.61 N</t>
  </si>
  <si>
    <t>116:59:22.52 W</t>
  </si>
  <si>
    <t>032:49:44.30 N</t>
  </si>
  <si>
    <t>116:59:26.54 W</t>
  </si>
  <si>
    <t>032:49:44.07 N</t>
  </si>
  <si>
    <t>116:59:28.62 W</t>
  </si>
  <si>
    <t>032:49:43.84 N</t>
  </si>
  <si>
    <t>116:59:30.24 W</t>
  </si>
  <si>
    <t>032:49:43.53 N</t>
  </si>
  <si>
    <t>116:59:32.41 W</t>
  </si>
  <si>
    <t>032:49:43.06 N</t>
  </si>
  <si>
    <t>116:59:34.96 W</t>
  </si>
  <si>
    <t>116:59:37.12 W</t>
  </si>
  <si>
    <t>032:49:42.06 N</t>
  </si>
  <si>
    <t>116:59:39.28 W</t>
  </si>
  <si>
    <t>032:49:41.37 N</t>
  </si>
  <si>
    <t>116:59:41.29 W</t>
  </si>
  <si>
    <t>032:49:40.59 N</t>
  </si>
  <si>
    <t>116:59:43.30 W</t>
  </si>
  <si>
    <t>032:49:39.59 N</t>
  </si>
  <si>
    <t>116:59:45.23 W</t>
  </si>
  <si>
    <t>032:49:37.50 N</t>
  </si>
  <si>
    <t>116:59:48.17 W</t>
  </si>
  <si>
    <t>032:49:35.80 N</t>
  </si>
  <si>
    <t>116:59:49.94 W</t>
  </si>
  <si>
    <t>032:49:34.26 N</t>
  </si>
  <si>
    <t>116:59:51.18 W</t>
  </si>
  <si>
    <t>032:49:32.64 N</t>
  </si>
  <si>
    <t>116:59:52.18 W</t>
  </si>
  <si>
    <t>032:49:31.01 N</t>
  </si>
  <si>
    <t>116:59:53.11 W</t>
  </si>
  <si>
    <t>032:49:29.24 N</t>
  </si>
  <si>
    <t>116:59:53.80 W</t>
  </si>
  <si>
    <t>032:49:27.46 N</t>
  </si>
  <si>
    <t>116:59:54.27 W</t>
  </si>
  <si>
    <t>032:49:25.99 N</t>
  </si>
  <si>
    <t>116:59:54.42 W</t>
  </si>
  <si>
    <t>032:49:24.22 N</t>
  </si>
  <si>
    <t>116:59:54.58 W</t>
  </si>
  <si>
    <t>032:49:22.36 N</t>
  </si>
  <si>
    <t>116:59:54.50 W</t>
  </si>
  <si>
    <t>032:49:20.20 N</t>
  </si>
  <si>
    <t>116:59:54.11 W</t>
  </si>
  <si>
    <t>032:49:18.42 N</t>
  </si>
  <si>
    <t>116:59:53.57 W</t>
  </si>
  <si>
    <t>032:49:16.65 N</t>
  </si>
  <si>
    <t>116:59:52.80 W</t>
  </si>
  <si>
    <t>166-08</t>
  </si>
  <si>
    <t>SMO</t>
  </si>
  <si>
    <t>032:49:14.95 N</t>
  </si>
  <si>
    <t>116:59:51.87 W</t>
  </si>
  <si>
    <t>166-13</t>
  </si>
  <si>
    <t>SNA/SNA1</t>
  </si>
  <si>
    <t>032:49:13.32 N</t>
  </si>
  <si>
    <t>116:59:50.64 W</t>
  </si>
  <si>
    <t>032:49:11.70 N</t>
  </si>
  <si>
    <t>116:59:49.25 W</t>
  </si>
  <si>
    <t>032:49:10.54 N</t>
  </si>
  <si>
    <t>116:59:47.93 W</t>
  </si>
  <si>
    <t>032:49:09.15 N</t>
  </si>
  <si>
    <t>116:59:46.23 W</t>
  </si>
  <si>
    <t>032:49:07.69 N</t>
  </si>
  <si>
    <t>116:59:43.92 W</t>
  </si>
  <si>
    <t>032:49:06.60 N</t>
  </si>
  <si>
    <t>116:59:41.68 W</t>
  </si>
  <si>
    <t>032:49:05.75 N</t>
  </si>
  <si>
    <t>116:59:39.36 W</t>
  </si>
  <si>
    <t>032:49:05.14 N</t>
  </si>
  <si>
    <t>116:59:36.96 W</t>
  </si>
  <si>
    <t>032:49:04.60 N</t>
  </si>
  <si>
    <t>116:59:34.42 W</t>
  </si>
  <si>
    <t>032:49:04.29 N</t>
  </si>
  <si>
    <t>116:59:31.79 W</t>
  </si>
  <si>
    <t>032:49:04.05 N</t>
  </si>
  <si>
    <t>116:59:26.92 W</t>
  </si>
  <si>
    <t>032:49:03.98 N</t>
  </si>
  <si>
    <t>116:59:23.52 W</t>
  </si>
  <si>
    <t>116:59:20.74 W</t>
  </si>
  <si>
    <t>116:59:17.88 W</t>
  </si>
  <si>
    <t>032:49:04.13 N</t>
  </si>
  <si>
    <t>116:59:14.95 W</t>
  </si>
  <si>
    <t>032:49:04.21 N</t>
  </si>
  <si>
    <t>116:59:09.16 W</t>
  </si>
  <si>
    <t>116:59:06.22 W</t>
  </si>
  <si>
    <t>116:59:03.90 W</t>
  </si>
  <si>
    <t>116:59:01.04 W</t>
  </si>
  <si>
    <t>116:58:57.49 W</t>
  </si>
  <si>
    <t>116:58:54.63 W</t>
  </si>
  <si>
    <t>116:58:51.85 W</t>
  </si>
  <si>
    <t>116:58:48.99 W</t>
  </si>
  <si>
    <t>116:58:46.21 W</t>
  </si>
  <si>
    <t>116:58:43.43 W</t>
  </si>
  <si>
    <t>116:58:41.19 W</t>
  </si>
  <si>
    <t>116:58:38.49 W</t>
  </si>
  <si>
    <t>116:58:35.17 W</t>
  </si>
  <si>
    <t>116:58:32.46 W</t>
  </si>
  <si>
    <t>116:58:29.84 W</t>
  </si>
  <si>
    <t>116:58:27.13 W</t>
  </si>
  <si>
    <t>116:58:24.58 W</t>
  </si>
  <si>
    <t>032:49:03.82 N</t>
  </si>
  <si>
    <t>116:58:21.96 W</t>
  </si>
  <si>
    <t>032:49:03.59 N</t>
  </si>
  <si>
    <t>116:58:19.95 W</t>
  </si>
  <si>
    <t>032:49:03.36 N</t>
  </si>
  <si>
    <t>116:58:17.48 W</t>
  </si>
  <si>
    <t>032:49:03.13 N</t>
  </si>
  <si>
    <t>116:58:15.01 W</t>
  </si>
  <si>
    <t>032:49:02.90 N</t>
  </si>
  <si>
    <t>116:58:11.99 W</t>
  </si>
  <si>
    <t>032:49:02.51 N</t>
  </si>
  <si>
    <t>116:58:07.13 W</t>
  </si>
  <si>
    <t>032:49:02.43 N</t>
  </si>
  <si>
    <t>116:58:04.73 W</t>
  </si>
  <si>
    <t>032:49:02.35 N</t>
  </si>
  <si>
    <t>116:58:02.18 W</t>
  </si>
  <si>
    <t>032:49:02.28 N</t>
  </si>
  <si>
    <t>116:57:59.71 W</t>
  </si>
  <si>
    <t>116:57:57.78 W</t>
  </si>
  <si>
    <t>116:57:55.23 W</t>
  </si>
  <si>
    <t>116:57:49.75 W</t>
  </si>
  <si>
    <t>116:57:47.27 W</t>
  </si>
  <si>
    <t>116:57:44.72 W</t>
  </si>
  <si>
    <t>116:57:42.17 W</t>
  </si>
  <si>
    <t>116:57:39.70 W</t>
  </si>
  <si>
    <t>032:49:02.20 N</t>
  </si>
  <si>
    <t>116:57:37.62 W</t>
  </si>
  <si>
    <t>032:49:02.12 N</t>
  </si>
  <si>
    <t>116:57:35.15 W</t>
  </si>
  <si>
    <t>032:49:01.89 N</t>
  </si>
  <si>
    <t>116:57:32.52 W</t>
  </si>
  <si>
    <t>032:49:01.58 N</t>
  </si>
  <si>
    <t>116:57:29.51 W</t>
  </si>
  <si>
    <t>032:49:01.27 N</t>
  </si>
  <si>
    <t>116:57:27.03 W</t>
  </si>
  <si>
    <t>032:49:00.96 N</t>
  </si>
  <si>
    <t>116:57:24.49 W</t>
  </si>
  <si>
    <t>032:49:00.58 N</t>
  </si>
  <si>
    <t>116:57:22.01 W</t>
  </si>
  <si>
    <t>032:49:00.11 N</t>
  </si>
  <si>
    <t>116:57:19.46 W</t>
  </si>
  <si>
    <t>032:48:59.65 N</t>
  </si>
  <si>
    <t>116:57:16.99 W</t>
  </si>
  <si>
    <t>032:48:59.27 N</t>
  </si>
  <si>
    <t>116:57:15.06 W</t>
  </si>
  <si>
    <t>032:48:58.80 N</t>
  </si>
  <si>
    <t>116:57:12.67 W</t>
  </si>
  <si>
    <t>032:48:58.11 N</t>
  </si>
  <si>
    <t>116:57:09.65 W</t>
  </si>
  <si>
    <t>032:48:57.57 N</t>
  </si>
  <si>
    <t>116:57:07.26 W</t>
  </si>
  <si>
    <t>032:48:56.95 N</t>
  </si>
  <si>
    <t>116:57:04.86 W</t>
  </si>
  <si>
    <t>032:48:56.25 N</t>
  </si>
  <si>
    <t>116:57:02.47 W</t>
  </si>
  <si>
    <t>032:48:55.48 N</t>
  </si>
  <si>
    <t>116:57:00.15 W</t>
  </si>
  <si>
    <t>032:48:54.63 N</t>
  </si>
  <si>
    <t>116:56:57.91 W</t>
  </si>
  <si>
    <t>032:48:53.93 N</t>
  </si>
  <si>
    <t>116:56:56.21 W</t>
  </si>
  <si>
    <t>032:48:52.93 N</t>
  </si>
  <si>
    <t>116:56:54.05 W</t>
  </si>
  <si>
    <t>032:48:51.69 N</t>
  </si>
  <si>
    <t>116:56:51.50 W</t>
  </si>
  <si>
    <t>032:48:50.61 N</t>
  </si>
  <si>
    <t>116:56:49.41 W</t>
  </si>
  <si>
    <t>032:48:49.53 N</t>
  </si>
  <si>
    <t>116:56:47.41 W</t>
  </si>
  <si>
    <t>032:48:48.37 N</t>
  </si>
  <si>
    <t>116:56:45.32 W</t>
  </si>
  <si>
    <t>032:48:47.21 N</t>
  </si>
  <si>
    <t>116:56:43.31 W</t>
  </si>
  <si>
    <t>032:48:45.28 N</t>
  </si>
  <si>
    <t>116:56:39.60 W</t>
  </si>
  <si>
    <t>032:48:46.13 N</t>
  </si>
  <si>
    <t>116:56:41.23 W</t>
  </si>
  <si>
    <t>032:48:44.20 N</t>
  </si>
  <si>
    <t>116:56:37.60 W</t>
  </si>
  <si>
    <t>032:48:43.20 N</t>
  </si>
  <si>
    <t>116:56:35.51 W</t>
  </si>
  <si>
    <t>032:48:41.96 N</t>
  </si>
  <si>
    <t>116:56:33.04 W</t>
  </si>
  <si>
    <t>032:48:41.03 N</t>
  </si>
  <si>
    <t>116:56:30.95 W</t>
  </si>
  <si>
    <t>032:48:40.11 N</t>
  </si>
  <si>
    <t>116:56:28.94 W</t>
  </si>
  <si>
    <t>032:48:39.18 N</t>
  </si>
  <si>
    <t>116:56:26.86 W</t>
  </si>
  <si>
    <t>032:48:38.33 N</t>
  </si>
  <si>
    <t>116:56:24.77 W</t>
  </si>
  <si>
    <t>032:48:37.40 N</t>
  </si>
  <si>
    <t>116:56:22.69 W</t>
  </si>
  <si>
    <t>032:48:36.71 N</t>
  </si>
  <si>
    <t>116:56:20.99 W</t>
  </si>
  <si>
    <t>032:48:35.78 N</t>
  </si>
  <si>
    <t>116:56:18.90 W</t>
  </si>
  <si>
    <t>032:48:34.70 N</t>
  </si>
  <si>
    <t>116:56:16.28 W</t>
  </si>
  <si>
    <t>032:48:33.85 N</t>
  </si>
  <si>
    <t>116:56:14.11 W</t>
  </si>
  <si>
    <t>032:48:32.92 N</t>
  </si>
  <si>
    <t>116:56:11.87 W</t>
  </si>
  <si>
    <t>032:48:32.07 N</t>
  </si>
  <si>
    <t>116:56:09.63 W</t>
  </si>
  <si>
    <t>032:48:31.30 N</t>
  </si>
  <si>
    <t>116:56:07.39 W</t>
  </si>
  <si>
    <t>032:48:30.61 N</t>
  </si>
  <si>
    <t>116:56:05.00 W</t>
  </si>
  <si>
    <t>032:48:30.14 N</t>
  </si>
  <si>
    <t>116:56:03.14 W</t>
  </si>
  <si>
    <t>032:48:29.60 N</t>
  </si>
  <si>
    <t>116:56:00.67 W</t>
  </si>
  <si>
    <t>032:48:29.14 N</t>
  </si>
  <si>
    <t>116:55:58.20 W</t>
  </si>
  <si>
    <t>032:48:28.75 N</t>
  </si>
  <si>
    <t>116:55:55.19 W</t>
  </si>
  <si>
    <t>032:48:28.52 N</t>
  </si>
  <si>
    <t>116:55:52.64 W</t>
  </si>
  <si>
    <t>032:48:28.37 N</t>
  </si>
  <si>
    <t>116:55:50.09 W</t>
  </si>
  <si>
    <t>032:48:28.13 N</t>
  </si>
  <si>
    <t>116:55:47.54 W</t>
  </si>
  <si>
    <t>032:48:27.98 N</t>
  </si>
  <si>
    <t>116:55:44.91 W</t>
  </si>
  <si>
    <t>032:48:27.83 N</t>
  </si>
  <si>
    <t>116:55:42.29 W</t>
  </si>
  <si>
    <t>032:48:27.67 N</t>
  </si>
  <si>
    <t>116:55:40.28 W</t>
  </si>
  <si>
    <t>032:48:27.52 N</t>
  </si>
  <si>
    <t>116:55:37.73 W</t>
  </si>
  <si>
    <t>032:48:27.21 N</t>
  </si>
  <si>
    <t>116:55:34.56 W</t>
  </si>
  <si>
    <t>032:48:27.05 N</t>
  </si>
  <si>
    <t>116:55:32.01 W</t>
  </si>
  <si>
    <t>032:48:26.82 N</t>
  </si>
  <si>
    <t>116:55:29.39 W</t>
  </si>
  <si>
    <t>032:48:26.28 N</t>
  </si>
  <si>
    <t>116:55:24.29 W</t>
  </si>
  <si>
    <t>032:48:26.05 N</t>
  </si>
  <si>
    <t>116:55:21.74 W</t>
  </si>
  <si>
    <t>032:48:25.59 N</t>
  </si>
  <si>
    <t>116:55:17.18 W</t>
  </si>
  <si>
    <t>032:48:25.28 N</t>
  </si>
  <si>
    <t>116:55:14.09 W</t>
  </si>
  <si>
    <t>032:48:24.97 N</t>
  </si>
  <si>
    <t>116:55:11.54 W</t>
  </si>
  <si>
    <t>032:48:24.74 N</t>
  </si>
  <si>
    <t>116:55:09.07 W</t>
  </si>
  <si>
    <t>032:48:24.43 N</t>
  </si>
  <si>
    <t>116:55:06.52 W</t>
  </si>
  <si>
    <t>032:48:24.27 N</t>
  </si>
  <si>
    <t>116:55:03.97 W</t>
  </si>
  <si>
    <t>032:48:24.04 N</t>
  </si>
  <si>
    <t>116:55:01.42 W</t>
  </si>
  <si>
    <t>032:48:23.89 N</t>
  </si>
  <si>
    <t>116:54:59.49 W</t>
  </si>
  <si>
    <t>032:48:23.73 N</t>
  </si>
  <si>
    <t>116:54:56.86 W</t>
  </si>
  <si>
    <t>032:48:23.50 N</t>
  </si>
  <si>
    <t>116:54:53.85 W</t>
  </si>
  <si>
    <t>032:48:23.34 N</t>
  </si>
  <si>
    <t>116:54:51.38 W</t>
  </si>
  <si>
    <t>032:48:23.19 N</t>
  </si>
  <si>
    <t>116:54:48.83 W</t>
  </si>
  <si>
    <t>032:48:23.04 N</t>
  </si>
  <si>
    <t>116:54:46.36 W</t>
  </si>
  <si>
    <t>032:48:22.88 N</t>
  </si>
  <si>
    <t>116:54:43.89 W</t>
  </si>
  <si>
    <t>032:48:22.65 N</t>
  </si>
  <si>
    <t>116:54:39.48 W</t>
  </si>
  <si>
    <t>032:48:22.50 N</t>
  </si>
  <si>
    <t>116:54:37.01 W</t>
  </si>
  <si>
    <t>032:48:22.34 N</t>
  </si>
  <si>
    <t>116:54:34.62 W</t>
  </si>
  <si>
    <t>032:48:22.19 N</t>
  </si>
  <si>
    <t>116:54:31.76 W</t>
  </si>
  <si>
    <t>032:48:22.11 N</t>
  </si>
  <si>
    <t>116:54:29.44 W</t>
  </si>
  <si>
    <t>032:48:22.03 N</t>
  </si>
  <si>
    <t>116:54:27.05 W</t>
  </si>
  <si>
    <t>032:48:21.95 N</t>
  </si>
  <si>
    <t>116:54:24.73 W</t>
  </si>
  <si>
    <t>116:54:22.41 W</t>
  </si>
  <si>
    <t>032:48:21.88 N</t>
  </si>
  <si>
    <t>116:54:20.10 W</t>
  </si>
  <si>
    <t>032:48:21.80 N</t>
  </si>
  <si>
    <t>116:54:15.92 W</t>
  </si>
  <si>
    <t>116:54:13.22 W</t>
  </si>
  <si>
    <t>116:54:10.90 W</t>
  </si>
  <si>
    <t>032:48:21.72 N</t>
  </si>
  <si>
    <t>116:54:08.59 W</t>
  </si>
  <si>
    <t>032:48:21.65 N</t>
  </si>
  <si>
    <t>116:54:06.27 W</t>
  </si>
  <si>
    <t>032:48:21.57 N</t>
  </si>
  <si>
    <t>116:54:03.95 W</t>
  </si>
  <si>
    <t>032:48:21.34 N</t>
  </si>
  <si>
    <t>116:54:01.63 W</t>
  </si>
  <si>
    <t>032:48:21.10 N</t>
  </si>
  <si>
    <t>116:53:59.70 W</t>
  </si>
  <si>
    <t>032:48:20.72 N</t>
  </si>
  <si>
    <t>116:53:57.46 W</t>
  </si>
  <si>
    <t>032:48:20.18 N</t>
  </si>
  <si>
    <t>116:53:54.68 W</t>
  </si>
  <si>
    <t>032:48:19.56 N</t>
  </si>
  <si>
    <t>116:53:52.44 W</t>
  </si>
  <si>
    <t>032:48:19.02 N</t>
  </si>
  <si>
    <t>116:53:50.28 W</t>
  </si>
  <si>
    <t>032:48:18.40 N</t>
  </si>
  <si>
    <t>116:53:48.04 W</t>
  </si>
  <si>
    <t>032:48:17.71 N</t>
  </si>
  <si>
    <t>116:53:45.87 W</t>
  </si>
  <si>
    <t>032:48:17.01 N</t>
  </si>
  <si>
    <t>116:53:43.71 W</t>
  </si>
  <si>
    <t>032:48:16.39 N</t>
  </si>
  <si>
    <t>116:53:42.01 W</t>
  </si>
  <si>
    <t>032:48:15.62 N</t>
  </si>
  <si>
    <t>116:53:39.93 W</t>
  </si>
  <si>
    <t>032:48:14.85 N</t>
  </si>
  <si>
    <t>116:53:37.84 W</t>
  </si>
  <si>
    <t>032:48:13.84 N</t>
  </si>
  <si>
    <t>116:53:35.29 W</t>
  </si>
  <si>
    <t>032:48:12.92 N</t>
  </si>
  <si>
    <t>116:53:33.21 W</t>
  </si>
  <si>
    <t>032:48:12.07 N</t>
  </si>
  <si>
    <t>116:53:31.20 W</t>
  </si>
  <si>
    <t>032:48:11.14 N</t>
  </si>
  <si>
    <t>116:53:29.19 W</t>
  </si>
  <si>
    <t>032:48:10.14 N</t>
  </si>
  <si>
    <t>116:53:27.18 W</t>
  </si>
  <si>
    <t>032:48:09.13 N</t>
  </si>
  <si>
    <t>116:53:25.25 W</t>
  </si>
  <si>
    <t>032:48:08.28 N</t>
  </si>
  <si>
    <t>116:53:23.63 W</t>
  </si>
  <si>
    <t>032:48:07.20 N</t>
  </si>
  <si>
    <t>116:53:21.70 W</t>
  </si>
  <si>
    <t>032:48:05.81 N</t>
  </si>
  <si>
    <t>116:53:19.30 W</t>
  </si>
  <si>
    <t>032:48:04.73 N</t>
  </si>
  <si>
    <t>116:53:17.45 W</t>
  </si>
  <si>
    <t>032:48:03.57 N</t>
  </si>
  <si>
    <t>116:53:15.52 W</t>
  </si>
  <si>
    <t>032:48:02.41 N</t>
  </si>
  <si>
    <t>116:53:13.58 W</t>
  </si>
  <si>
    <t>032:48:01.17 N</t>
  </si>
  <si>
    <t>116:53:11.65 W</t>
  </si>
  <si>
    <t>032:48:00.02 N</t>
  </si>
  <si>
    <t>116:53:09.72 W</t>
  </si>
  <si>
    <t>032:47:59.09 N</t>
  </si>
  <si>
    <t>116:53:08.18 W</t>
  </si>
  <si>
    <t>032:47:57.85 N</t>
  </si>
  <si>
    <t>116:53:06.32 W</t>
  </si>
  <si>
    <t>032:47:56.46 N</t>
  </si>
  <si>
    <t>116:53:04.01 W</t>
  </si>
  <si>
    <t>032:47:55.23 N</t>
  </si>
  <si>
    <t>116:53:02.07 W</t>
  </si>
  <si>
    <t>032:47:54.07 N</t>
  </si>
  <si>
    <t>116:53:00.14 W</t>
  </si>
  <si>
    <t>032:47:52.91 N</t>
  </si>
  <si>
    <t>116:52:58.21 W</t>
  </si>
  <si>
    <t>032:47:51.75 N</t>
  </si>
  <si>
    <t>116:52:56.20 W</t>
  </si>
  <si>
    <t>032:47:50.59 N</t>
  </si>
  <si>
    <t>116:52:54.20 W</t>
  </si>
  <si>
    <t>032:47:49.66 N</t>
  </si>
  <si>
    <t>116:52:52.57 W</t>
  </si>
  <si>
    <t>032:47:48.51 N</t>
  </si>
  <si>
    <t>116:52:50.64 W</t>
  </si>
  <si>
    <t>032:47:47.12 N</t>
  </si>
  <si>
    <t>116:52:48.17 W</t>
  </si>
  <si>
    <t>032:47:45.96 N</t>
  </si>
  <si>
    <t>116:52:46.08 W</t>
  </si>
  <si>
    <t>032:47:44.88 N</t>
  </si>
  <si>
    <t>116:52:44.00 W</t>
  </si>
  <si>
    <t>032:47:43.72 N</t>
  </si>
  <si>
    <t>116:52:41.99 W</t>
  </si>
  <si>
    <t>032:47:42.64 N</t>
  </si>
  <si>
    <t>116:52:39.90 W</t>
  </si>
  <si>
    <t>032:47:41.40 N</t>
  </si>
  <si>
    <t>116:52:37.82 W</t>
  </si>
  <si>
    <t>032:47:40.24 N</t>
  </si>
  <si>
    <t>116:52:35.81 W</t>
  </si>
  <si>
    <t>032:47:39.24 N</t>
  </si>
  <si>
    <t>116:52:34.19 W</t>
  </si>
  <si>
    <t>032:47:37.92 N</t>
  </si>
  <si>
    <t>116:52:32.26 W</t>
  </si>
  <si>
    <t>032:47:36.38 N</t>
  </si>
  <si>
    <t>116:52:29.86 W</t>
  </si>
  <si>
    <t>032:47:35.14 N</t>
  </si>
  <si>
    <t>116:52:27.93 W</t>
  </si>
  <si>
    <t>032:47:33.75 N</t>
  </si>
  <si>
    <t>116:52:26.08 W</t>
  </si>
  <si>
    <t>032:47:32.44 N</t>
  </si>
  <si>
    <t>116:52:24.15 W</t>
  </si>
  <si>
    <t>032:47:31.13 N</t>
  </si>
  <si>
    <t>116:52:22.29 W</t>
  </si>
  <si>
    <t>032:47:29.74 N</t>
  </si>
  <si>
    <t>116:52:20.44 W</t>
  </si>
  <si>
    <t>032:47:28.65 N</t>
  </si>
  <si>
    <t>116:52:18.97 W</t>
  </si>
  <si>
    <t>032:47:27.34 N</t>
  </si>
  <si>
    <t>116:52:17.19 W</t>
  </si>
  <si>
    <t>032:47:25.64 N</t>
  </si>
  <si>
    <t>116:52:15.11 W</t>
  </si>
  <si>
    <t>032:47:24.33 N</t>
  </si>
  <si>
    <t>116:52:13.33 W</t>
  </si>
  <si>
    <t>032:47:22.94 N</t>
  </si>
  <si>
    <t>116:52:11.55 W</t>
  </si>
  <si>
    <t>032:47:21.62 N</t>
  </si>
  <si>
    <t>116:52:09.86 W</t>
  </si>
  <si>
    <t>032:47:20.31 N</t>
  </si>
  <si>
    <t>116:52:08.08 W</t>
  </si>
  <si>
    <t>032:47:19.00 N</t>
  </si>
  <si>
    <t>116:52:06.38 W</t>
  </si>
  <si>
    <t>032:47:16.60 N</t>
  </si>
  <si>
    <t>116:52:03.37 W</t>
  </si>
  <si>
    <t>032:47:14.98 N</t>
  </si>
  <si>
    <t>116:52:01.36 W</t>
  </si>
  <si>
    <t>032:47:13.67 N</t>
  </si>
  <si>
    <t>116:51:59.66 W</t>
  </si>
  <si>
    <t>032:47:12.35 N</t>
  </si>
  <si>
    <t>116:51:57.96 W</t>
  </si>
  <si>
    <t>032:47:11.04 N</t>
  </si>
  <si>
    <t>116:51:56.26 W</t>
  </si>
  <si>
    <t>032:47:09.73 N</t>
  </si>
  <si>
    <t>116:51:54.72 W</t>
  </si>
  <si>
    <t>032:47:08.34 N</t>
  </si>
  <si>
    <t>116:51:52.94 W</t>
  </si>
  <si>
    <t>032:47:07.26 N</t>
  </si>
  <si>
    <t>116:51:51.70 W</t>
  </si>
  <si>
    <t>032:47:05.94 N</t>
  </si>
  <si>
    <t>116:51:50.00 W</t>
  </si>
  <si>
    <t>032:47:04.32 N</t>
  </si>
  <si>
    <t>116:51:47.99 W</t>
  </si>
  <si>
    <t>032:47:02.93 N</t>
  </si>
  <si>
    <t>116:51:46.37 W</t>
  </si>
  <si>
    <t>032:47:01.62 N</t>
  </si>
  <si>
    <t>116:51:44.67 W</t>
  </si>
  <si>
    <t>032:47:00.23 N</t>
  </si>
  <si>
    <t>116:51:42.97 W</t>
  </si>
  <si>
    <t>032:46:58.91 N</t>
  </si>
  <si>
    <t>116:51:41.27 W</t>
  </si>
  <si>
    <t>032:46:57.52 N</t>
  </si>
  <si>
    <t>116:51:39.50 W</t>
  </si>
  <si>
    <t>032:46:56.52 N</t>
  </si>
  <si>
    <t>116:51:38.03 W</t>
  </si>
  <si>
    <t>032:46:55.28 N</t>
  </si>
  <si>
    <t>116:51:36.18 W</t>
  </si>
  <si>
    <t>032:46:52.73 N</t>
  </si>
  <si>
    <t>116:51:31.70 W</t>
  </si>
  <si>
    <t>032:46:51.57 N</t>
  </si>
  <si>
    <t>116:51:29.61 W</t>
  </si>
  <si>
    <t>032:46:50.57 N</t>
  </si>
  <si>
    <t>116:51:27.37 W</t>
  </si>
  <si>
    <t>032:46:49.57 N</t>
  </si>
  <si>
    <t>116:51:25.21 W</t>
  </si>
  <si>
    <t>032:46:48.64 N</t>
  </si>
  <si>
    <t>116:51:22.81 W</t>
  </si>
  <si>
    <t>032:46:47.64 N</t>
  </si>
  <si>
    <t>116:51:20.49 W</t>
  </si>
  <si>
    <t>032:46:46.94 N</t>
  </si>
  <si>
    <t>116:51:18.64 W</t>
  </si>
  <si>
    <t>032:46:46.09 N</t>
  </si>
  <si>
    <t>116:51:16.25 W</t>
  </si>
  <si>
    <t>032:46:45.01 N</t>
  </si>
  <si>
    <t>116:51:13.39 W</t>
  </si>
  <si>
    <t>032:46:44.16 N</t>
  </si>
  <si>
    <t>116:51:10.99 W</t>
  </si>
  <si>
    <t>032:46:43.31 N</t>
  </si>
  <si>
    <t>116:51:08.60 W</t>
  </si>
  <si>
    <t>032:46:42.46 N</t>
  </si>
  <si>
    <t>116:51:06.20 W</t>
  </si>
  <si>
    <t>032:46:41.61 N</t>
  </si>
  <si>
    <t>116:51:03.81 W</t>
  </si>
  <si>
    <t>032:46:40.84 N</t>
  </si>
  <si>
    <t>116:51:01.49 W</t>
  </si>
  <si>
    <t>032:46:40.22 N</t>
  </si>
  <si>
    <t>116:50:59.48 W</t>
  </si>
  <si>
    <t>032:46:39.45 N</t>
  </si>
  <si>
    <t>116:50:57.17 W</t>
  </si>
  <si>
    <t>032:46:38.60 N</t>
  </si>
  <si>
    <t>116:50:54.23 W</t>
  </si>
  <si>
    <t>032:46:37.90 N</t>
  </si>
  <si>
    <t>116:50:51.84 W</t>
  </si>
  <si>
    <t>032:46:37.28 N</t>
  </si>
  <si>
    <t>116:50:49.44 W</t>
  </si>
  <si>
    <t>032:46:36.59 N</t>
  </si>
  <si>
    <t>116:50:47.05 W</t>
  </si>
  <si>
    <t>032:46:35.97 N</t>
  </si>
  <si>
    <t>116:50:44.65 W</t>
  </si>
  <si>
    <t>032:46:35.28 N</t>
  </si>
  <si>
    <t>116:50:42.26 W</t>
  </si>
  <si>
    <t>032:46:34.81 N</t>
  </si>
  <si>
    <t>116:50:40.33 W</t>
  </si>
  <si>
    <t>032:46:34.19 N</t>
  </si>
  <si>
    <t>116:50:37.93 W</t>
  </si>
  <si>
    <t>032:46:33.58 N</t>
  </si>
  <si>
    <t>116:50:35.54 W</t>
  </si>
  <si>
    <t>032:46:32.88 N</t>
  </si>
  <si>
    <t>116:50:32.60 W</t>
  </si>
  <si>
    <t>032:46:32.26 N</t>
  </si>
  <si>
    <t>116:50:30.13 W</t>
  </si>
  <si>
    <t>032:46:31.72 N</t>
  </si>
  <si>
    <t>116:50:27.73 W</t>
  </si>
  <si>
    <t>032:46:31.18 N</t>
  </si>
  <si>
    <t>116:50:25.26 W</t>
  </si>
  <si>
    <t>032:46:30.64 N</t>
  </si>
  <si>
    <t>116:50:22.79 W</t>
  </si>
  <si>
    <t>032:46:30.10 N</t>
  </si>
  <si>
    <t>116:50:20.32 W</t>
  </si>
  <si>
    <t>032:46:29.71 N</t>
  </si>
  <si>
    <t>116:50:18.31 W</t>
  </si>
  <si>
    <t>032:46:29.25 N</t>
  </si>
  <si>
    <t>116:50:15.76 W</t>
  </si>
  <si>
    <t>032:46:28.71 N</t>
  </si>
  <si>
    <t>116:50:12.67 W</t>
  </si>
  <si>
    <t>032:46:28.25 N</t>
  </si>
  <si>
    <t>116:50:10.12 W</t>
  </si>
  <si>
    <t>032:46:27.78 N</t>
  </si>
  <si>
    <t>116:50:07.57 W</t>
  </si>
  <si>
    <t>032:46:26.93 N</t>
  </si>
  <si>
    <t>116:50:02.47 W</t>
  </si>
  <si>
    <t>032:46:26.47 N</t>
  </si>
  <si>
    <t>116:49:59.93 W</t>
  </si>
  <si>
    <t>032:46:26.01 N</t>
  </si>
  <si>
    <t>116:49:57.38 W</t>
  </si>
  <si>
    <t>032:46:25.62 N</t>
  </si>
  <si>
    <t>116:49:55.37 W</t>
  </si>
  <si>
    <t>032:46:25.16 N</t>
  </si>
  <si>
    <t>116:49:52.82 W</t>
  </si>
  <si>
    <t>032:46:24.62 N</t>
  </si>
  <si>
    <t>116:49:49.73 W</t>
  </si>
  <si>
    <t>032:46:23.69 N</t>
  </si>
  <si>
    <t>116:49:44.71 W</t>
  </si>
  <si>
    <t>032:46:23.22 N</t>
  </si>
  <si>
    <t>116:49:42.24 W</t>
  </si>
  <si>
    <t>032:46:22.68 N</t>
  </si>
  <si>
    <t>116:49:39.69 W</t>
  </si>
  <si>
    <t>032:46:22.22 N</t>
  </si>
  <si>
    <t>116:49:37.14 W</t>
  </si>
  <si>
    <t>032:46:21.83 N</t>
  </si>
  <si>
    <t>116:49:35.13 W</t>
  </si>
  <si>
    <t>032:46:21.29 N</t>
  </si>
  <si>
    <t>116:49:32.66 W</t>
  </si>
  <si>
    <t>032:46:20.60 N</t>
  </si>
  <si>
    <t>116:49:29.64 W</t>
  </si>
  <si>
    <t>032:46:17.51 N</t>
  </si>
  <si>
    <t>116:49:17.28 W</t>
  </si>
  <si>
    <t>032:46:16.97 N</t>
  </si>
  <si>
    <t>116:49:15.35 W</t>
  </si>
  <si>
    <t>032:46:16.27 N</t>
  </si>
  <si>
    <t>116:49:12.88 W</t>
  </si>
  <si>
    <t>032:46:15.58 N</t>
  </si>
  <si>
    <t>116:49:10.49 W</t>
  </si>
  <si>
    <t>032:46:14.73 N</t>
  </si>
  <si>
    <t>116:49:07.55 W</t>
  </si>
  <si>
    <t>032:46:13.88 N</t>
  </si>
  <si>
    <t>116:49:05.08 W</t>
  </si>
  <si>
    <t>032:46:13.11 N</t>
  </si>
  <si>
    <t>116:49:02.68 W</t>
  </si>
  <si>
    <t>032:46:12.33 N</t>
  </si>
  <si>
    <t>116:49:00.29 W</t>
  </si>
  <si>
    <t>032:46:11.48 N</t>
  </si>
  <si>
    <t>116:48:57.90 W</t>
  </si>
  <si>
    <t>032:46:10.63 N</t>
  </si>
  <si>
    <t>116:48:55.50 W</t>
  </si>
  <si>
    <t>032:46:09.86 N</t>
  </si>
  <si>
    <t>116:48:53.65 W</t>
  </si>
  <si>
    <t>032:46:09.01 N</t>
  </si>
  <si>
    <t>116:48:51.25 W</t>
  </si>
  <si>
    <t>032:46:07.93 N</t>
  </si>
  <si>
    <t>116:48:48.39 W</t>
  </si>
  <si>
    <t>032:46:07.00 N</t>
  </si>
  <si>
    <t>116:48:46.00 W</t>
  </si>
  <si>
    <t>032:46:06.08 N</t>
  </si>
  <si>
    <t>116:48:43.68 W</t>
  </si>
  <si>
    <t>032:46:05.15 N</t>
  </si>
  <si>
    <t>116:48:41.36 W</t>
  </si>
  <si>
    <t>032:46:03.14 N</t>
  </si>
  <si>
    <t>116:48:36.73 W</t>
  </si>
  <si>
    <t>032:46:02.29 N</t>
  </si>
  <si>
    <t>116:48:34.88 W</t>
  </si>
  <si>
    <t>032:46:00.21 N</t>
  </si>
  <si>
    <t>116:48:30.32 W</t>
  </si>
  <si>
    <t>032:45:58.81 N</t>
  </si>
  <si>
    <t>116:48:27.61 W</t>
  </si>
  <si>
    <t>032:45:57.66 N</t>
  </si>
  <si>
    <t>116:48:25.37 W</t>
  </si>
  <si>
    <t>032:45:56.50 N</t>
  </si>
  <si>
    <t>116:48:23.13 W</t>
  </si>
  <si>
    <t>032:45:55.26 N</t>
  </si>
  <si>
    <t>116:48:20.97 W</t>
  </si>
  <si>
    <t>032:45:54.10 N</t>
  </si>
  <si>
    <t>116:48:18.81 W</t>
  </si>
  <si>
    <t>032:45:52.87 N</t>
  </si>
  <si>
    <t>116:48:16.57 W</t>
  </si>
  <si>
    <t>032:45:51.94 N</t>
  </si>
  <si>
    <t>116:48:14.79 W</t>
  </si>
  <si>
    <t>032:45:50.78 N</t>
  </si>
  <si>
    <t>116:48:12.55 W</t>
  </si>
  <si>
    <t>032:45:49.54 N</t>
  </si>
  <si>
    <t>116:48:09.77 W</t>
  </si>
  <si>
    <t>032:45:48.46 N</t>
  </si>
  <si>
    <t>116:48:07.45 W</t>
  </si>
  <si>
    <t>032:45:47.46 N</t>
  </si>
  <si>
    <t>116:48:05.14 W</t>
  </si>
  <si>
    <t>032:45:46.46 N</t>
  </si>
  <si>
    <t>116:48:02.74 W</t>
  </si>
  <si>
    <t>032:45:45.45 N</t>
  </si>
  <si>
    <t>116:48:00.35 W</t>
  </si>
  <si>
    <t>166-12</t>
  </si>
  <si>
    <t>NUC</t>
  </si>
  <si>
    <t>032:45:44.52 N</t>
  </si>
  <si>
    <t>116:47:58.03 W</t>
  </si>
  <si>
    <t>032:45:42.75 N</t>
  </si>
  <si>
    <t>116:47:53.70 W</t>
  </si>
  <si>
    <t>032:45:41.59 N</t>
  </si>
  <si>
    <t>116:47:50.84 W</t>
  </si>
  <si>
    <t>032:45:37.42 N</t>
  </si>
  <si>
    <t>116:47:41.73 W</t>
  </si>
  <si>
    <t>032:45:36.34 N</t>
  </si>
  <si>
    <t>116:47:39.49 W</t>
  </si>
  <si>
    <t>032:45:35.33 N</t>
  </si>
  <si>
    <t>116:47:37.25 W</t>
  </si>
  <si>
    <t>032:45:34.40 N</t>
  </si>
  <si>
    <t>116:47:35.47 W</t>
  </si>
  <si>
    <t>032:45:33.32 N</t>
  </si>
  <si>
    <t>116:47:33.23 W</t>
  </si>
  <si>
    <t>032:45:32.01 N</t>
  </si>
  <si>
    <t>116:47:30.61 W</t>
  </si>
  <si>
    <t>032:45:30.93 N</t>
  </si>
  <si>
    <t>116:47:28.44 W</t>
  </si>
  <si>
    <t>032:45:29.77 N</t>
  </si>
  <si>
    <t>116:47:26.28 W</t>
  </si>
  <si>
    <t>032:45:27.53 N</t>
  </si>
  <si>
    <t>116:47:22.11 W</t>
  </si>
  <si>
    <t>032:45:26.45 N</t>
  </si>
  <si>
    <t>116:47:20.02 W</t>
  </si>
  <si>
    <t>032:45:25.52 N</t>
  </si>
  <si>
    <t>116:47:18.32 W</t>
  </si>
  <si>
    <t>032:45:23.05 N</t>
  </si>
  <si>
    <t>116:47:13.69 W</t>
  </si>
  <si>
    <t>032:45:21.89 N</t>
  </si>
  <si>
    <t>116:47:11.53 W</t>
  </si>
  <si>
    <t>032:45:20.73 N</t>
  </si>
  <si>
    <t>116:47:09.36 W</t>
  </si>
  <si>
    <t>032:45:19.65 N</t>
  </si>
  <si>
    <t>116:47:07.20 W</t>
  </si>
  <si>
    <t>032:45:18.49 N</t>
  </si>
  <si>
    <t>116:47:04.96 W</t>
  </si>
  <si>
    <t>032:45:17.33 N</t>
  </si>
  <si>
    <t>116:47:02.72 W</t>
  </si>
  <si>
    <t>032:45:16.41 N</t>
  </si>
  <si>
    <t>116:47:00.94 W</t>
  </si>
  <si>
    <t>032:45:15.25 N</t>
  </si>
  <si>
    <t>116:46:58.62 W</t>
  </si>
  <si>
    <t>032:45:14.01 N</t>
  </si>
  <si>
    <t>116:46:56.38 W</t>
  </si>
  <si>
    <t>032:45:12.54 N</t>
  </si>
  <si>
    <t>116:46:53.60 W</t>
  </si>
  <si>
    <t>032:45:11.31 N</t>
  </si>
  <si>
    <t>116:46:51.29 W</t>
  </si>
  <si>
    <t>032:45:09.99 N</t>
  </si>
  <si>
    <t>116:46:48.97 W</t>
  </si>
  <si>
    <t>032:45:08.76 N</t>
  </si>
  <si>
    <t>116:46:46.57 W</t>
  </si>
  <si>
    <t>032:45:07.44 N</t>
  </si>
  <si>
    <t>116:46:44.26 W</t>
  </si>
  <si>
    <t>032:45:05.05 N</t>
  </si>
  <si>
    <t>116:46:40.01 W</t>
  </si>
  <si>
    <t>032:45:03.74 N</t>
  </si>
  <si>
    <t>116:46:37.77 W</t>
  </si>
  <si>
    <t>032:45:02.19 N</t>
  </si>
  <si>
    <t>116:46:34.99 W</t>
  </si>
  <si>
    <t>032:45:00.80 N</t>
  </si>
  <si>
    <t>116:46:32.82 W</t>
  </si>
  <si>
    <t>032:44:59.41 N</t>
  </si>
  <si>
    <t>116:46:30.66 W</t>
  </si>
  <si>
    <t>032:44:58.02 N</t>
  </si>
  <si>
    <t>116:46:28.50 W</t>
  </si>
  <si>
    <t>032:44:56.63 N</t>
  </si>
  <si>
    <t>116:46:26.34 W</t>
  </si>
  <si>
    <t>032:44:55.24 N</t>
  </si>
  <si>
    <t>116:46:24.25 W</t>
  </si>
  <si>
    <t>032:44:54.08 N</t>
  </si>
  <si>
    <t>116:46:22.70 W</t>
  </si>
  <si>
    <t>032:44:52.61 N</t>
  </si>
  <si>
    <t>116:46:20.62 W</t>
  </si>
  <si>
    <t>032:44:50.91 N</t>
  </si>
  <si>
    <t>116:46:18.30 W</t>
  </si>
  <si>
    <t>032:44:49.37 N</t>
  </si>
  <si>
    <t>116:46:16.37 W</t>
  </si>
  <si>
    <t>032:44:47.90 N</t>
  </si>
  <si>
    <t>116:46:14.52 W</t>
  </si>
  <si>
    <t>032:44:46.36 N</t>
  </si>
  <si>
    <t>116:46:12.66 W</t>
  </si>
  <si>
    <t>032:44:44.81 N</t>
  </si>
  <si>
    <t>116:46:10.81 W</t>
  </si>
  <si>
    <t>032:44:43.27 N</t>
  </si>
  <si>
    <t>116:46:09.11 W</t>
  </si>
  <si>
    <t>032:44:42.03 N</t>
  </si>
  <si>
    <t>116:46:07.64 W</t>
  </si>
  <si>
    <t>032:44:40.49 N</t>
  </si>
  <si>
    <t>116:46:05.86 W</t>
  </si>
  <si>
    <t>032:44:38.94 N</t>
  </si>
  <si>
    <t>116:46:04.09 W</t>
  </si>
  <si>
    <t>032:44:37.09 N</t>
  </si>
  <si>
    <t>116:46:02.00 W</t>
  </si>
  <si>
    <t>032:44:35.54 N</t>
  </si>
  <si>
    <t>116:46:00.30 W</t>
  </si>
  <si>
    <t>032:44:34.00 N</t>
  </si>
  <si>
    <t>116:45:58.53 W</t>
  </si>
  <si>
    <t>032:44:32.45 N</t>
  </si>
  <si>
    <t>116:45:56.75 W</t>
  </si>
  <si>
    <t>032:44:30.91 N</t>
  </si>
  <si>
    <t>116:45:54.97 W</t>
  </si>
  <si>
    <t>032:44:29.59 N</t>
  </si>
  <si>
    <t>116:45:53.58 W</t>
  </si>
  <si>
    <t>032:44:28.05 N</t>
  </si>
  <si>
    <t>116:45:51.81 W</t>
  </si>
  <si>
    <t>032:44:26.19 N</t>
  </si>
  <si>
    <t>116:45:49.64 W</t>
  </si>
  <si>
    <t>032:44:23.10 N</t>
  </si>
  <si>
    <t>116:45:46.01 W</t>
  </si>
  <si>
    <t>032:44:21.56 N</t>
  </si>
  <si>
    <t>116:45:44.16 W</t>
  </si>
  <si>
    <t>032:44:20.09 N</t>
  </si>
  <si>
    <t>116:45:42.23 W</t>
  </si>
  <si>
    <t>032:44:18.55 N</t>
  </si>
  <si>
    <t>116:45:40.37 W</t>
  </si>
  <si>
    <t>032:44:15.84 N</t>
  </si>
  <si>
    <t>116:45:36.82 W</t>
  </si>
  <si>
    <t>032:44:13.99 N</t>
  </si>
  <si>
    <t>116:45:34.50 W</t>
  </si>
  <si>
    <t>032:44:12.44 N</t>
  </si>
  <si>
    <t>116:45:32.57 W</t>
  </si>
  <si>
    <t>032:44:10.98 N</t>
  </si>
  <si>
    <t>116:45:30.56 W</t>
  </si>
  <si>
    <t>032:44:07.89 N</t>
  </si>
  <si>
    <t>116:45:26.70 W</t>
  </si>
  <si>
    <t>032:44:06.26 N</t>
  </si>
  <si>
    <t>116:45:24.77 W</t>
  </si>
  <si>
    <t>032:44:04.72 N</t>
  </si>
  <si>
    <t>116:45:22.84 W</t>
  </si>
  <si>
    <t>032:44:03.41 N</t>
  </si>
  <si>
    <t>116:45:21.37 W</t>
  </si>
  <si>
    <t>032:44:01.78 N</t>
  </si>
  <si>
    <t>116:45:19.52 W</t>
  </si>
  <si>
    <t>032:43:59.78 N</t>
  </si>
  <si>
    <t>116:45:17.28 W</t>
  </si>
  <si>
    <t>032:43:58.08 N</t>
  </si>
  <si>
    <t>116:45:15.50 W</t>
  </si>
  <si>
    <t>032:43:56.38 N</t>
  </si>
  <si>
    <t>116:45:13.72 W</t>
  </si>
  <si>
    <t>032:43:54.68 N</t>
  </si>
  <si>
    <t>116:45:11.95 W</t>
  </si>
  <si>
    <t>032:43:52.90 N</t>
  </si>
  <si>
    <t>116:45:10.25 W</t>
  </si>
  <si>
    <t>032:43:51.05 N</t>
  </si>
  <si>
    <t>116:45:08.55 W</t>
  </si>
  <si>
    <t>032:43:49.58 N</t>
  </si>
  <si>
    <t>116:45:07.39 W</t>
  </si>
  <si>
    <t>032:43:47.57 N</t>
  </si>
  <si>
    <t>116:45:05.92 W</t>
  </si>
  <si>
    <t>032:43:45.18 N</t>
  </si>
  <si>
    <t>116:45:04.53 W</t>
  </si>
  <si>
    <t>032:43:43.09 N</t>
  </si>
  <si>
    <t>116:45:03.53 W</t>
  </si>
  <si>
    <t>032:43:40.93 N</t>
  </si>
  <si>
    <t>116:45:02.75 W</t>
  </si>
  <si>
    <t>032:43:38.69 N</t>
  </si>
  <si>
    <t>116:45:02.14 W</t>
  </si>
  <si>
    <t>032:43:36.45 N</t>
  </si>
  <si>
    <t>116:45:01.90 W</t>
  </si>
  <si>
    <t>032:43:34.21 N</t>
  </si>
  <si>
    <t>116:45:01.83 W</t>
  </si>
  <si>
    <t>032:43:32.43 N</t>
  </si>
  <si>
    <t>116:45:02.06 W</t>
  </si>
  <si>
    <t>032:43:30.19 N</t>
  </si>
  <si>
    <t>116:45:02.44 W</t>
  </si>
  <si>
    <t>032:43:28.03 N</t>
  </si>
  <si>
    <t>116:45:03.22 W</t>
  </si>
  <si>
    <t>032:43:25.48 N</t>
  </si>
  <si>
    <t>116:45:04.45 W</t>
  </si>
  <si>
    <t>032:43:23.39 N</t>
  </si>
  <si>
    <t>116:45:05.69 W</t>
  </si>
  <si>
    <t>032:43:21.46 N</t>
  </si>
  <si>
    <t>116:45:07.16 W</t>
  </si>
  <si>
    <t>032:43:19.61 N</t>
  </si>
  <si>
    <t>116:45:08.93 W</t>
  </si>
  <si>
    <t>032:43:17.83 N</t>
  </si>
  <si>
    <t>116:45:10.94 W</t>
  </si>
  <si>
    <t>032:43:16.21 N</t>
  </si>
  <si>
    <t>116:45:13.03 W</t>
  </si>
  <si>
    <t>032:43:14.90 N</t>
  </si>
  <si>
    <t>116:45:14.80 W</t>
  </si>
  <si>
    <t>032:43:11.65 N</t>
  </si>
  <si>
    <t>116:45:19.83 W</t>
  </si>
  <si>
    <t>032:43:10.11 N</t>
  </si>
  <si>
    <t>116:45:22.14 W</t>
  </si>
  <si>
    <t>032:43:08.64 N</t>
  </si>
  <si>
    <t>116:45:24.31 W</t>
  </si>
  <si>
    <t>032:43:07.17 N</t>
  </si>
  <si>
    <t>116:45:26.47 W</t>
  </si>
  <si>
    <t>032:43:05.70 N</t>
  </si>
  <si>
    <t>116:45:28.63 W</t>
  </si>
  <si>
    <t>032:43:04.24 N</t>
  </si>
  <si>
    <t>116:45:30.64 W</t>
  </si>
  <si>
    <t>032:43:03.00 N</t>
  </si>
  <si>
    <t>116:45:32.26 W</t>
  </si>
  <si>
    <t>032:43:01.38 N</t>
  </si>
  <si>
    <t>116:45:34.19 W</t>
  </si>
  <si>
    <t>032:42:59.45 N</t>
  </si>
  <si>
    <t>116:45:36.36 W</t>
  </si>
  <si>
    <t>032:42:57.75 N</t>
  </si>
  <si>
    <t>116:45:38.13 W</t>
  </si>
  <si>
    <t>032:42:56.05 N</t>
  </si>
  <si>
    <t>116:45:39.68 W</t>
  </si>
  <si>
    <t>032:42:52.26 N</t>
  </si>
  <si>
    <t>032:42:50.25 N</t>
  </si>
  <si>
    <t>116:45:43.08 W</t>
  </si>
  <si>
    <t>032:42:48.63 N</t>
  </si>
  <si>
    <t>116:45:43.54 W</t>
  </si>
  <si>
    <t>032:42:46.47 N</t>
  </si>
  <si>
    <t>116:45:43.85 W</t>
  </si>
  <si>
    <t>032:42:43.92 N</t>
  </si>
  <si>
    <t>116:45:43.77 W</t>
  </si>
  <si>
    <t>032:42:41.76 N</t>
  </si>
  <si>
    <t>116:45:43.31 W</t>
  </si>
  <si>
    <t>032:42:39.75 N</t>
  </si>
  <si>
    <t>116:45:42.46 W</t>
  </si>
  <si>
    <t>032:42:37.82 N</t>
  </si>
  <si>
    <t>116:45:41.22 W</t>
  </si>
  <si>
    <t>032:42:36.04 N</t>
  </si>
  <si>
    <t>032:42:34.42 N</t>
  </si>
  <si>
    <t>116:45:37.82 W</t>
  </si>
  <si>
    <t>032:42:33.10 N</t>
  </si>
  <si>
    <t>116:45:35.58 W</t>
  </si>
  <si>
    <t>032:42:32.18 N</t>
  </si>
  <si>
    <t>116:45:33.65 W</t>
  </si>
  <si>
    <t>032:42:31.33 N</t>
  </si>
  <si>
    <t>116:45:31.03 W</t>
  </si>
  <si>
    <t>032:42:30.79 N</t>
  </si>
  <si>
    <t>116:45:27.78 W</t>
  </si>
  <si>
    <t>032:42:30.63 N</t>
  </si>
  <si>
    <t>116:45:24.92 W</t>
  </si>
  <si>
    <t>116:45:22.07 W</t>
  </si>
  <si>
    <t>032:42:31.40 N</t>
  </si>
  <si>
    <t>116:45:19.21 W</t>
  </si>
  <si>
    <t>032:42:32.25 N</t>
  </si>
  <si>
    <t>116:45:16.43 W</t>
  </si>
  <si>
    <t>032:42:33.49 N</t>
  </si>
  <si>
    <t>116:45:13.88 W</t>
  </si>
  <si>
    <t>032:42:34.73 N</t>
  </si>
  <si>
    <t>032:42:36.58 N</t>
  </si>
  <si>
    <t>116:45:09.94 W</t>
  </si>
  <si>
    <t>032:42:39.05 N</t>
  </si>
  <si>
    <t>116:45:08.01 W</t>
  </si>
  <si>
    <t>032:42:41.45 N</t>
  </si>
  <si>
    <t>116:45:06.85 W</t>
  </si>
  <si>
    <t>032:42:43.84 N</t>
  </si>
  <si>
    <t>116:45:06.23 W</t>
  </si>
  <si>
    <t>032:42:46.31 N</t>
  </si>
  <si>
    <t>116:45:06.08 W</t>
  </si>
  <si>
    <t>032:42:48.86 N</t>
  </si>
  <si>
    <t>116:45:06.31 W</t>
  </si>
  <si>
    <t>032:42:51.41 N</t>
  </si>
  <si>
    <t>032:42:55.74 N</t>
  </si>
  <si>
    <t>116:45:08.24 W</t>
  </si>
  <si>
    <t>032:42:58.06 N</t>
  </si>
  <si>
    <t>116:45:09.17 W</t>
  </si>
  <si>
    <t>032:43:00.76 N</t>
  </si>
  <si>
    <t>116:45:10.32 W</t>
  </si>
  <si>
    <t>032:43:03.08 N</t>
  </si>
  <si>
    <t>116:45:11.17 W</t>
  </si>
  <si>
    <t>032:43:05.32 N</t>
  </si>
  <si>
    <t>116:45:12.10 W</t>
  </si>
  <si>
    <t>032:43:07.56 N</t>
  </si>
  <si>
    <t>116:45:12.80 W</t>
  </si>
  <si>
    <t>032:43:09.80 N</t>
  </si>
  <si>
    <t>116:45:13.49 W</t>
  </si>
  <si>
    <t>116:45:13.80 W</t>
  </si>
  <si>
    <t>032:43:13.89 N</t>
  </si>
  <si>
    <t>116:45:14.19 W</t>
  </si>
  <si>
    <t>032:43:18.83 N</t>
  </si>
  <si>
    <t>116:45:13.95 W</t>
  </si>
  <si>
    <t>032:43:21.07 N</t>
  </si>
  <si>
    <t>032:43:23.16 N</t>
  </si>
  <si>
    <t>032:43:25.25 N</t>
  </si>
  <si>
    <t>032:43:27.25 N</t>
  </si>
  <si>
    <t>032:43:29.19 N</t>
  </si>
  <si>
    <t>116:45:09.86 W</t>
  </si>
  <si>
    <t>032:43:30.65 N</t>
  </si>
  <si>
    <t>116:45:08.86 W</t>
  </si>
  <si>
    <t>116:45:07.54 W</t>
  </si>
  <si>
    <t>032:43:34.52 N</t>
  </si>
  <si>
    <t>116:45:05.77 W</t>
  </si>
  <si>
    <t>032:43:36.14 N</t>
  </si>
  <si>
    <t>116:45:04.22 W</t>
  </si>
  <si>
    <t>032:43:37.68 N</t>
  </si>
  <si>
    <t>116:45:02.52 W</t>
  </si>
  <si>
    <t>032:43:39.07 N</t>
  </si>
  <si>
    <t>116:45:00.82 W</t>
  </si>
  <si>
    <t>032:43:40.39 N</t>
  </si>
  <si>
    <t>116:44:58.97 W</t>
  </si>
  <si>
    <t>032:43:41.62 N</t>
  </si>
  <si>
    <t>116:44:57.04 W</t>
  </si>
  <si>
    <t>032:43:42.55 N</t>
  </si>
  <si>
    <t>116:44:55.49 W</t>
  </si>
  <si>
    <t>032:43:43.63 N</t>
  </si>
  <si>
    <t>116:44:53.48 W</t>
  </si>
  <si>
    <t>032:43:44.79 N</t>
  </si>
  <si>
    <t>116:44:51.09 W</t>
  </si>
  <si>
    <t>032:43:45.72 N</t>
  </si>
  <si>
    <t>116:44:49.00 W</t>
  </si>
  <si>
    <t>032:43:47.18 N</t>
  </si>
  <si>
    <t>116:44:44.75 W</t>
  </si>
  <si>
    <t>032:43:48.50 N</t>
  </si>
  <si>
    <t>116:44:40.58 W</t>
  </si>
  <si>
    <t>032:43:48.96 N</t>
  </si>
  <si>
    <t>116:44:38.88 W</t>
  </si>
  <si>
    <t>116:44:36.72 W</t>
  </si>
  <si>
    <t>032:43:50.27 N</t>
  </si>
  <si>
    <t>116:44:34.25 W</t>
  </si>
  <si>
    <t>032:43:50.89 N</t>
  </si>
  <si>
    <t>116:44:32.16 W</t>
  </si>
  <si>
    <t>032:43:51.51 N</t>
  </si>
  <si>
    <t>116:44:30.00 W</t>
  </si>
  <si>
    <t>032:43:52.13 N</t>
  </si>
  <si>
    <t>116:44:27.91 W</t>
  </si>
  <si>
    <t>032:43:52.82 N</t>
  </si>
  <si>
    <t>116:44:25.75 W</t>
  </si>
  <si>
    <t>032:43:53.98 N</t>
  </si>
  <si>
    <t>116:44:21.89 W</t>
  </si>
  <si>
    <t>032:43:55.60 N</t>
  </si>
  <si>
    <t>116:44:17.25 W</t>
  </si>
  <si>
    <t>116:44:15.09 W</t>
  </si>
  <si>
    <t>032:43:57.15 N</t>
  </si>
  <si>
    <t>116:44:13.01 W</t>
  </si>
  <si>
    <t>032:43:58.00 N</t>
  </si>
  <si>
    <t>116:44:10.92 W</t>
  </si>
  <si>
    <t>032:43:58.85 N</t>
  </si>
  <si>
    <t>116:44:08.83 W</t>
  </si>
  <si>
    <t>032:43:59.62 N</t>
  </si>
  <si>
    <t>116:44:06.67 W</t>
  </si>
  <si>
    <t>032:44:00.47 N</t>
  </si>
  <si>
    <t>116:44:04.59 W</t>
  </si>
  <si>
    <t>032:44:01.09 N</t>
  </si>
  <si>
    <t>116:44:02.89 W</t>
  </si>
  <si>
    <t>032:44:01.94 N</t>
  </si>
  <si>
    <t>116:44:00.72 W</t>
  </si>
  <si>
    <t>032:44:02.79 N</t>
  </si>
  <si>
    <t>116:43:58.10 W</t>
  </si>
  <si>
    <t>032:44:03.56 N</t>
  </si>
  <si>
    <t>116:43:55.86 W</t>
  </si>
  <si>
    <t>032:44:04.26 N</t>
  </si>
  <si>
    <t>116:43:53.62 W</t>
  </si>
  <si>
    <t>032:44:04.95 N</t>
  </si>
  <si>
    <t>116:43:51.38 W</t>
  </si>
  <si>
    <t>032:44:05.57 N</t>
  </si>
  <si>
    <t>116:43:49.14 W</t>
  </si>
  <si>
    <t>032:44:06.11 N</t>
  </si>
  <si>
    <t>116:43:46.82 W</t>
  </si>
  <si>
    <t>032:44:06.57 N</t>
  </si>
  <si>
    <t>116:43:45.04 W</t>
  </si>
  <si>
    <t>032:44:07.04 N</t>
  </si>
  <si>
    <t>116:43:42.72 W</t>
  </si>
  <si>
    <t>032:44:08.04 N</t>
  </si>
  <si>
    <t>116:43:37.63 W</t>
  </si>
  <si>
    <t>032:44:08.43 N</t>
  </si>
  <si>
    <t>116:43:35.23 W</t>
  </si>
  <si>
    <t>032:44:08.81 N</t>
  </si>
  <si>
    <t>116:43:32.99 W</t>
  </si>
  <si>
    <t>032:44:09.20 N</t>
  </si>
  <si>
    <t>116:43:30.60 W</t>
  </si>
  <si>
    <t>032:44:09.51 N</t>
  </si>
  <si>
    <t>116:43:28.28 W</t>
  </si>
  <si>
    <t>032:44:09.82 N</t>
  </si>
  <si>
    <t>116:43:26.35 W</t>
  </si>
  <si>
    <t>032:44:10.13 N</t>
  </si>
  <si>
    <t>116:43:24.03 W</t>
  </si>
  <si>
    <t>032:44:10.51 N</t>
  </si>
  <si>
    <t>116:43:21.64 W</t>
  </si>
  <si>
    <t>032:44:10.90 N</t>
  </si>
  <si>
    <t>116:43:18.78 W</t>
  </si>
  <si>
    <t>032:44:11.21 N</t>
  </si>
  <si>
    <t>116:43:16.46 W</t>
  </si>
  <si>
    <t>032:44:11.52 N</t>
  </si>
  <si>
    <t>116:43:14.07 W</t>
  </si>
  <si>
    <t>032:44:11.83 N</t>
  </si>
  <si>
    <t>116:43:11.67 W</t>
  </si>
  <si>
    <t>032:44:12.14 N</t>
  </si>
  <si>
    <t>116:43:09.28 W</t>
  </si>
  <si>
    <t>210-02</t>
  </si>
  <si>
    <t>SANA</t>
  </si>
  <si>
    <t>032:44:12.37 N</t>
  </si>
  <si>
    <t>116:43:07.35 W</t>
  </si>
  <si>
    <t>032:44:12.68 N</t>
  </si>
  <si>
    <t>116:43:04.87 W</t>
  </si>
  <si>
    <t>032:44:12.99 N</t>
  </si>
  <si>
    <t>116:43:02.48 W</t>
  </si>
  <si>
    <t>032:44:13.53 N</t>
  </si>
  <si>
    <t>116:42:57.07 W</t>
  </si>
  <si>
    <t>032:44:13.84 N</t>
  </si>
  <si>
    <t>116:42:54.60 W</t>
  </si>
  <si>
    <t>032:44:14.07 N</t>
  </si>
  <si>
    <t>116:42:52.20 W</t>
  </si>
  <si>
    <t>032:44:14.30 N</t>
  </si>
  <si>
    <t>116:42:49.66 W</t>
  </si>
  <si>
    <t>032:44:14.68 N</t>
  </si>
  <si>
    <t>116:42:45.18 W</t>
  </si>
  <si>
    <t>032:44:14.92 N</t>
  </si>
  <si>
    <t>116:42:42.70 W</t>
  </si>
  <si>
    <t>032:44:15.23 N</t>
  </si>
  <si>
    <t>116:42:39.69 W</t>
  </si>
  <si>
    <t>032:44:15.38 N</t>
  </si>
  <si>
    <t>116:42:37.14 W</t>
  </si>
  <si>
    <t>032:44:15.53 N</t>
  </si>
  <si>
    <t>116:42:34.67 W</t>
  </si>
  <si>
    <t>116:42:29.65 W</t>
  </si>
  <si>
    <t>032:44:15.92 N</t>
  </si>
  <si>
    <t>116:42:27.18 W</t>
  </si>
  <si>
    <t>032:44:16.00 N</t>
  </si>
  <si>
    <t>116:42:25.09 W</t>
  </si>
  <si>
    <t>032:44:16.08 N</t>
  </si>
  <si>
    <t>116:42:22.16 W</t>
  </si>
  <si>
    <t>116:42:19.61 W</t>
  </si>
  <si>
    <t>116:42:17.13 W</t>
  </si>
  <si>
    <t>116:42:14.59 W</t>
  </si>
  <si>
    <t>116:42:12.19 W</t>
  </si>
  <si>
    <t>116:42:09.72 W</t>
  </si>
  <si>
    <t>032:44:15.61 N</t>
  </si>
  <si>
    <t>116:42:07.32 W</t>
  </si>
  <si>
    <t>116:42:05.32 W</t>
  </si>
  <si>
    <t>032:44:15.30 N</t>
  </si>
  <si>
    <t>116:42:02.92 W</t>
  </si>
  <si>
    <t>032:44:14.99 N</t>
  </si>
  <si>
    <t>116:41:59.99 W</t>
  </si>
  <si>
    <t>032:44:14.76 N</t>
  </si>
  <si>
    <t>116:41:57.59 W</t>
  </si>
  <si>
    <t>032:44:14.53 N</t>
  </si>
  <si>
    <t>116:41:55.27 W</t>
  </si>
  <si>
    <t>032:44:14.22 N</t>
  </si>
  <si>
    <t>116:41:52.88 W</t>
  </si>
  <si>
    <t>116:41:50.56 W</t>
  </si>
  <si>
    <t>032:44:13.76 N</t>
  </si>
  <si>
    <t>116:41:48.63 W</t>
  </si>
  <si>
    <t>032:44:13.45 N</t>
  </si>
  <si>
    <t>116:41:46.31 W</t>
  </si>
  <si>
    <t>032:44:13.06 N</t>
  </si>
  <si>
    <t>116:41:43.45 W</t>
  </si>
  <si>
    <t>032:44:12.75 N</t>
  </si>
  <si>
    <t>116:41:41.14 W</t>
  </si>
  <si>
    <t>116:41:38.74 W</t>
  </si>
  <si>
    <t>032:44:12.06 N</t>
  </si>
  <si>
    <t>116:41:36.35 W</t>
  </si>
  <si>
    <t>032:44:11.67 N</t>
  </si>
  <si>
    <t>116:41:34.03 W</t>
  </si>
  <si>
    <t>116:41:31.71 W</t>
  </si>
  <si>
    <t>032:44:10.82 N</t>
  </si>
  <si>
    <t>116:41:29.70 W</t>
  </si>
  <si>
    <t>032:44:10.28 N</t>
  </si>
  <si>
    <t>116:41:27.46 W</t>
  </si>
  <si>
    <t>032:44:09.66 N</t>
  </si>
  <si>
    <t>116:41:25.15 W</t>
  </si>
  <si>
    <t>166-14</t>
  </si>
  <si>
    <t>BUR</t>
  </si>
  <si>
    <t>032:44:08.89 N</t>
  </si>
  <si>
    <t>116:41:22.37 W</t>
  </si>
  <si>
    <t>032:44:08.12 N</t>
  </si>
  <si>
    <t>116:41:20.13 W</t>
  </si>
  <si>
    <t>032:44:07.35 N</t>
  </si>
  <si>
    <t>116:41:17.96 W</t>
  </si>
  <si>
    <t>032:44:06.50 N</t>
  </si>
  <si>
    <t>116:41:15.80 W</t>
  </si>
  <si>
    <t>116:41:13.71 W</t>
  </si>
  <si>
    <t>032:44:04.80 N</t>
  </si>
  <si>
    <t>116:41:12.17 W</t>
  </si>
  <si>
    <t>032:44:03.79 N</t>
  </si>
  <si>
    <t>116:41:10.08 W</t>
  </si>
  <si>
    <t>032:44:02.63 N</t>
  </si>
  <si>
    <t>116:41:07.69 W</t>
  </si>
  <si>
    <t>032:44:00.63 N</t>
  </si>
  <si>
    <t>116:41:03.59 W</t>
  </si>
  <si>
    <t>032:43:59.54 N</t>
  </si>
  <si>
    <t>116:41:01.43 W</t>
  </si>
  <si>
    <t>032:43:58.62 N</t>
  </si>
  <si>
    <t>116:40:59.35 W</t>
  </si>
  <si>
    <t>032:43:57.84 N</t>
  </si>
  <si>
    <t>116:40:57.11 W</t>
  </si>
  <si>
    <t>032:43:57.30 N</t>
  </si>
  <si>
    <t>116:40:55.25 W</t>
  </si>
  <si>
    <t>032:43:56.76 N</t>
  </si>
  <si>
    <t>116:40:52.93 W</t>
  </si>
  <si>
    <t>032:43:56.53 N</t>
  </si>
  <si>
    <t>116:40:50.46 W</t>
  </si>
  <si>
    <t>116:40:47.45 W</t>
  </si>
  <si>
    <t>032:43:56.92 N</t>
  </si>
  <si>
    <t>116:40:44.98 W</t>
  </si>
  <si>
    <t>032:43:57.54 N</t>
  </si>
  <si>
    <t>116:40:42.58 W</t>
  </si>
  <si>
    <t>032:43:58.46 N</t>
  </si>
  <si>
    <t>116:40:40.27 W</t>
  </si>
  <si>
    <t>116:40:38.10 W</t>
  </si>
  <si>
    <t>116:40:36.09 W</t>
  </si>
  <si>
    <t>032:44:04.18 N</t>
  </si>
  <si>
    <t>116:40:33.00 W</t>
  </si>
  <si>
    <t>116:40:31.38 W</t>
  </si>
  <si>
    <t>032:44:08.74 N</t>
  </si>
  <si>
    <t>116:40:30.38 W</t>
  </si>
  <si>
    <t>116:40:29.61 W</t>
  </si>
  <si>
    <t>032:44:13.29 N</t>
  </si>
  <si>
    <t>116:40:29.14 W</t>
  </si>
  <si>
    <t>032:44:15.69 N</t>
  </si>
  <si>
    <t>116:40:28.99 W</t>
  </si>
  <si>
    <t>032:44:18.08 N</t>
  </si>
  <si>
    <t>116:40:29.22 W</t>
  </si>
  <si>
    <t>032:44:25.19 N</t>
  </si>
  <si>
    <t>116:40:30.53 W</t>
  </si>
  <si>
    <t>032:44:27.51 N</t>
  </si>
  <si>
    <t>032:44:29.75 N</t>
  </si>
  <si>
    <t>116:40:32.54 W</t>
  </si>
  <si>
    <t>032:44:31.83 N</t>
  </si>
  <si>
    <t>116:40:33.78 W</t>
  </si>
  <si>
    <t>032:44:33.84 N</t>
  </si>
  <si>
    <t>116:40:35.24 W</t>
  </si>
  <si>
    <t>032:44:35.77 N</t>
  </si>
  <si>
    <t>116:40:36.87 W</t>
  </si>
  <si>
    <t>032:44:37.24 N</t>
  </si>
  <si>
    <t>116:40:38.33 W</t>
  </si>
  <si>
    <t>032:44:40.87 N</t>
  </si>
  <si>
    <t>116:40:42.82 W</t>
  </si>
  <si>
    <t>032:44:42.34 N</t>
  </si>
  <si>
    <t>116:40:45.13 W</t>
  </si>
  <si>
    <t>032:44:43.65 N</t>
  </si>
  <si>
    <t>116:40:50.00 W</t>
  </si>
  <si>
    <t>032:44:45.82 N</t>
  </si>
  <si>
    <t>116:40:52.55 W</t>
  </si>
  <si>
    <t>032:44:47.21 N</t>
  </si>
  <si>
    <t>116:40:57.34 W</t>
  </si>
  <si>
    <t>032:44:47.67 N</t>
  </si>
  <si>
    <t>116:41:00.04 W</t>
  </si>
  <si>
    <t>032:44:47.98 N</t>
  </si>
  <si>
    <t>116:41:02.82 W</t>
  </si>
  <si>
    <t>116:41:06.14 W</t>
  </si>
  <si>
    <t>116:41:08.92 W</t>
  </si>
  <si>
    <t>116:41:11.71 W</t>
  </si>
  <si>
    <t>032:44:46.43 N</t>
  </si>
  <si>
    <t>116:41:14.33 W</t>
  </si>
  <si>
    <t>032:44:45.58 N</t>
  </si>
  <si>
    <t>116:41:16.96 W</t>
  </si>
  <si>
    <t>032:44:44.50 N</t>
  </si>
  <si>
    <t>116:41:19.43 W</t>
  </si>
  <si>
    <t>032:44:43.50 N</t>
  </si>
  <si>
    <t>116:41:21.44 W</t>
  </si>
  <si>
    <t>032:44:42.18 N</t>
  </si>
  <si>
    <t>116:41:23.83 W</t>
  </si>
  <si>
    <t>032:44:40.41 N</t>
  </si>
  <si>
    <t>116:41:26.61 W</t>
  </si>
  <si>
    <t>032:44:38.86 N</t>
  </si>
  <si>
    <t>116:41:29.01 W</t>
  </si>
  <si>
    <t>116:41:31.33 W</t>
  </si>
  <si>
    <t>032:44:35.62 N</t>
  </si>
  <si>
    <t>116:41:33.64 W</t>
  </si>
  <si>
    <t>116:41:36.04 W</t>
  </si>
  <si>
    <t>032:44:31.14 N</t>
  </si>
  <si>
    <t>116:41:40.36 W</t>
  </si>
  <si>
    <t>116:41:42.84 W</t>
  </si>
  <si>
    <t>032:44:27.74 N</t>
  </si>
  <si>
    <t>116:41:45.85 W</t>
  </si>
  <si>
    <t>032:44:26.27 N</t>
  </si>
  <si>
    <t>116:41:48.48 W</t>
  </si>
  <si>
    <t>032:44:24.80 N</t>
  </si>
  <si>
    <t>116:41:51.02 W</t>
  </si>
  <si>
    <t>032:44:23.34 N</t>
  </si>
  <si>
    <t>116:41:53.73 W</t>
  </si>
  <si>
    <t>032:44:21.95 N</t>
  </si>
  <si>
    <t>116:41:56.35 W</t>
  </si>
  <si>
    <t>032:44:20.56 N</t>
  </si>
  <si>
    <t>116:41:59.06 W</t>
  </si>
  <si>
    <t>032:44:19.24 N</t>
  </si>
  <si>
    <t>116:42:01.76 W</t>
  </si>
  <si>
    <t>032:44:18.16 N</t>
  </si>
  <si>
    <t>116:42:03.93 W</t>
  </si>
  <si>
    <t>032:44:16.62 N</t>
  </si>
  <si>
    <t>116:42:07.25 W</t>
  </si>
  <si>
    <t>116:42:10.03 W</t>
  </si>
  <si>
    <t>116:42:12.73 W</t>
  </si>
  <si>
    <t>116:42:15.51 W</t>
  </si>
  <si>
    <t>032:44:11.36 N</t>
  </si>
  <si>
    <t>116:42:18.29 W</t>
  </si>
  <si>
    <t>032:44:09.97 N</t>
  </si>
  <si>
    <t>116:42:21.15 W</t>
  </si>
  <si>
    <t>032:44:08.66 N</t>
  </si>
  <si>
    <t>116:42:23.93 W</t>
  </si>
  <si>
    <t>032:44:07.58 N</t>
  </si>
  <si>
    <t>116:42:26.17 W</t>
  </si>
  <si>
    <t>116:42:29.11 W</t>
  </si>
  <si>
    <t>116:42:32.58 W</t>
  </si>
  <si>
    <t>116:42:35.52 W</t>
  </si>
  <si>
    <t>032:44:02.09 N</t>
  </si>
  <si>
    <t>116:42:38.45 W</t>
  </si>
  <si>
    <t>032:43:59.47 N</t>
  </si>
  <si>
    <t>116:42:44.33 W</t>
  </si>
  <si>
    <t>032:43:58.15 N</t>
  </si>
  <si>
    <t>116:42:47.34 W</t>
  </si>
  <si>
    <t>032:43:57.07 N</t>
  </si>
  <si>
    <t>116:42:49.73 W</t>
  </si>
  <si>
    <t>032:43:55.68 N</t>
  </si>
  <si>
    <t>116:42:52.67 W</t>
  </si>
  <si>
    <t>032:43:54.06 N</t>
  </si>
  <si>
    <t>116:42:56.30 W</t>
  </si>
  <si>
    <t>032:43:52.67 N</t>
  </si>
  <si>
    <t>116:42:59.31 W</t>
  </si>
  <si>
    <t>032:43:51.20 N</t>
  </si>
  <si>
    <t>116:43:02.32 W</t>
  </si>
  <si>
    <t>032:43:49.73 N</t>
  </si>
  <si>
    <t>116:43:05.34 W</t>
  </si>
  <si>
    <t>032:43:48.27 N</t>
  </si>
  <si>
    <t>116:43:08.27 W</t>
  </si>
  <si>
    <t>032:43:46.72 N</t>
  </si>
  <si>
    <t>116:43:11.29 W</t>
  </si>
  <si>
    <t>032:43:45.49 N</t>
  </si>
  <si>
    <t>116:43:13.68 W</t>
  </si>
  <si>
    <t>032:43:43.86 N</t>
  </si>
  <si>
    <t>116:43:16.62 W</t>
  </si>
  <si>
    <t>032:43:41.93 N</t>
  </si>
  <si>
    <t>116:43:20.17 W</t>
  </si>
  <si>
    <t>032:43:40.31 N</t>
  </si>
  <si>
    <t>116:43:23.18 W</t>
  </si>
  <si>
    <t>032:43:38.76 N</t>
  </si>
  <si>
    <t>116:43:26.19 W</t>
  </si>
  <si>
    <t>032:43:37.14 N</t>
  </si>
  <si>
    <t>116:43:29.28 W</t>
  </si>
  <si>
    <t>032:43:35.52 N</t>
  </si>
  <si>
    <t>116:43:32.37 W</t>
  </si>
  <si>
    <t>032:43:33.90 N</t>
  </si>
  <si>
    <t>116:43:35.46 W</t>
  </si>
  <si>
    <t>032:43:32.58 N</t>
  </si>
  <si>
    <t>116:43:38.01 W</t>
  </si>
  <si>
    <t>032:43:31.04 N</t>
  </si>
  <si>
    <t>116:43:41.18 W</t>
  </si>
  <si>
    <t>032:43:29.42 N</t>
  </si>
  <si>
    <t>116:43:44.42 W</t>
  </si>
  <si>
    <t>032:43:27.41 N</t>
  </si>
  <si>
    <t>116:43:48.13 W</t>
  </si>
  <si>
    <t>032:43:25.79 N</t>
  </si>
  <si>
    <t>032:43:24.16 N</t>
  </si>
  <si>
    <t>116:43:54.62 W</t>
  </si>
  <si>
    <t>032:43:22.54 N</t>
  </si>
  <si>
    <t>116:43:57.87 W</t>
  </si>
  <si>
    <t>032:43:20.92 N</t>
  </si>
  <si>
    <t>116:44:01.03 W</t>
  </si>
  <si>
    <t>032:43:19.30 N</t>
  </si>
  <si>
    <t>116:44:04.28 W</t>
  </si>
  <si>
    <t>032:43:18.06 N</t>
  </si>
  <si>
    <t>116:44:06.90 W</t>
  </si>
  <si>
    <t>032:43:16.44 N</t>
  </si>
  <si>
    <t>116:44:10.07 W</t>
  </si>
  <si>
    <t>032:43:14.51 N</t>
  </si>
  <si>
    <t>116:44:13.93 W</t>
  </si>
  <si>
    <t>032:43:12.96 N</t>
  </si>
  <si>
    <t>116:44:17.10 W</t>
  </si>
  <si>
    <t>032:43:11.34 N</t>
  </si>
  <si>
    <t>116:44:20.34 W</t>
  </si>
  <si>
    <t>116:44:23.43 W</t>
  </si>
  <si>
    <t>032:43:08.25 N</t>
  </si>
  <si>
    <t>116:44:26.68 W</t>
  </si>
  <si>
    <t>032:43:06.63 N</t>
  </si>
  <si>
    <t>116:44:29.85 W</t>
  </si>
  <si>
    <t>032:43:05.39 N</t>
  </si>
  <si>
    <t>116:44:32.40 W</t>
  </si>
  <si>
    <t>032:43:03.85 N</t>
  </si>
  <si>
    <t>116:44:35.56 W</t>
  </si>
  <si>
    <t>032:43:01.99 N</t>
  </si>
  <si>
    <t>116:44:39.42 W</t>
  </si>
  <si>
    <t>032:43:00.45 N</t>
  </si>
  <si>
    <t>116:44:42.59 W</t>
  </si>
  <si>
    <t>032:42:58.90 N</t>
  </si>
  <si>
    <t>116:44:45.68 W</t>
  </si>
  <si>
    <t>032:42:57.36 N</t>
  </si>
  <si>
    <t>116:44:48.93 W</t>
  </si>
  <si>
    <t>116:44:52.02 W</t>
  </si>
  <si>
    <t>032:42:54.12 N</t>
  </si>
  <si>
    <t>116:44:55.18 W</t>
  </si>
  <si>
    <t>032:42:52.80 N</t>
  </si>
  <si>
    <t>116:44:57.58 W</t>
  </si>
  <si>
    <t>032:42:51.18 N</t>
  </si>
  <si>
    <t>116:45:00.75 W</t>
  </si>
  <si>
    <t>032:42:49.17 N</t>
  </si>
  <si>
    <t>032:42:47.47 N</t>
  </si>
  <si>
    <t>032:42:45.85 N</t>
  </si>
  <si>
    <t>116:45:10.56 W</t>
  </si>
  <si>
    <t>032:42:44.07 N</t>
  </si>
  <si>
    <t>116:45:13.65 W</t>
  </si>
  <si>
    <t>032:42:42.37 N</t>
  </si>
  <si>
    <t>116:45:16.66 W</t>
  </si>
  <si>
    <t>032:42:40.67 N</t>
  </si>
  <si>
    <t>116:45:19.75 W</t>
  </si>
  <si>
    <t>032:42:38.90 N</t>
  </si>
  <si>
    <t>116:45:22.68 W</t>
  </si>
  <si>
    <t>032:42:37.51 N</t>
  </si>
  <si>
    <t>116:45:25.16 W</t>
  </si>
  <si>
    <t>032:42:35.73 N</t>
  </si>
  <si>
    <t>116:45:28.17 W</t>
  </si>
  <si>
    <t>032:42:31.79 N</t>
  </si>
  <si>
    <t>116:45:34.73 W</t>
  </si>
  <si>
    <t>032:42:28.16 N</t>
  </si>
  <si>
    <t>116:45:40.68 W</t>
  </si>
  <si>
    <t>032:42:26.38 N</t>
  </si>
  <si>
    <t>116:45:43.62 W</t>
  </si>
  <si>
    <t>032:42:24.61 N</t>
  </si>
  <si>
    <t>116:45:46.63 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</si>
</sst>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">
    <xf numFmtId="0" fontId="0" fillId="0" borderId="0" xfId="0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S4861"/>
  <sheetViews>
    <sheetView tabSelected="1" workbookViewId="0">
      <pane ySplit="1" topLeftCell="A915" activePane="bottomLeft" state="frozen"/>
      <selection activeCell="Z1" sqref="Z1"/>
      <selection pane="bottomLeft" activeCell="DW6" sqref="DW6"/>
    </sheetView>
  </sheetViews>
  <sheetFormatPr defaultRowHeight="14.4" x14ac:dyDescent="0.3"/>
  <cols>
    <col min="1" max="1" width="22" bestFit="1" customWidth="1"/>
    <col min="2" max="36" width="0" hidden="1" customWidth="1"/>
    <col min="37" max="37" width="13.5546875" hidden="1" customWidth="1"/>
    <col min="38" max="38" width="10" bestFit="1" customWidth="1"/>
    <col min="39" max="39" width="14" hidden="1" customWidth="1"/>
    <col min="41" max="41" width="0" hidden="1" customWidth="1"/>
    <col min="43" max="43" width="0" hidden="1" customWidth="1"/>
    <col min="47" max="54" width="0" hidden="1" customWidth="1"/>
    <col min="55" max="55" width="6.109375" hidden="1" customWidth="1"/>
    <col min="57" max="61" width="0" hidden="1" customWidth="1"/>
    <col min="64" max="82" width="0" hidden="1" customWidth="1"/>
    <col min="83" max="83" width="11.6640625" bestFit="1" customWidth="1"/>
    <col min="84" max="84" width="11.33203125" hidden="1" customWidth="1"/>
    <col min="85" max="123" width="0" hidden="1" customWidth="1"/>
  </cols>
  <sheetData>
    <row r="1" spans="1:123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  <c r="CB1" t="s">
        <v>79</v>
      </c>
      <c r="CC1" t="s">
        <v>80</v>
      </c>
      <c r="CD1" t="s">
        <v>81</v>
      </c>
      <c r="CE1" t="s">
        <v>82</v>
      </c>
      <c r="CF1" t="s">
        <v>83</v>
      </c>
      <c r="CG1" t="s">
        <v>84</v>
      </c>
      <c r="CH1" t="s">
        <v>85</v>
      </c>
      <c r="CI1" t="s">
        <v>86</v>
      </c>
      <c r="CJ1" t="s">
        <v>87</v>
      </c>
      <c r="CK1" t="s">
        <v>88</v>
      </c>
      <c r="CL1" t="s">
        <v>89</v>
      </c>
      <c r="CM1" t="s">
        <v>90</v>
      </c>
      <c r="CN1" t="s">
        <v>91</v>
      </c>
      <c r="CO1" t="s">
        <v>92</v>
      </c>
      <c r="CP1" t="s">
        <v>93</v>
      </c>
      <c r="CQ1" t="s">
        <v>94</v>
      </c>
      <c r="CR1" t="s">
        <v>95</v>
      </c>
      <c r="CS1" t="s">
        <v>96</v>
      </c>
      <c r="CT1" t="s">
        <v>97</v>
      </c>
      <c r="CU1" t="s">
        <v>98</v>
      </c>
      <c r="CV1" t="s">
        <v>99</v>
      </c>
      <c r="CW1" t="s">
        <v>100</v>
      </c>
      <c r="CX1" t="s">
        <v>101</v>
      </c>
      <c r="CY1" t="s">
        <v>102</v>
      </c>
      <c r="CZ1" t="s">
        <v>103</v>
      </c>
      <c r="DA1" t="s">
        <v>104</v>
      </c>
      <c r="DB1" t="s">
        <v>105</v>
      </c>
      <c r="DC1" t="s">
        <v>106</v>
      </c>
      <c r="DD1" t="s">
        <v>107</v>
      </c>
      <c r="DE1" t="s">
        <v>108</v>
      </c>
      <c r="DF1" t="s">
        <v>109</v>
      </c>
      <c r="DG1" t="s">
        <v>110</v>
      </c>
      <c r="DH1" t="s">
        <v>111</v>
      </c>
      <c r="DI1" t="s">
        <v>112</v>
      </c>
      <c r="DJ1" t="s">
        <v>113</v>
      </c>
      <c r="DK1" t="s">
        <v>114</v>
      </c>
      <c r="DL1" t="s">
        <v>115</v>
      </c>
      <c r="DM1" t="s">
        <v>116</v>
      </c>
      <c r="DN1" t="s">
        <v>117</v>
      </c>
      <c r="DO1" t="s">
        <v>118</v>
      </c>
      <c r="DP1" t="s">
        <v>119</v>
      </c>
      <c r="DQ1" t="s">
        <v>120</v>
      </c>
      <c r="DR1" t="s">
        <v>121</v>
      </c>
      <c r="DS1" t="s">
        <v>122</v>
      </c>
    </row>
    <row r="2" spans="1:123" x14ac:dyDescent="0.3">
      <c r="A2" t="str">
        <f>"10/04/2022 19:25:38.524"</f>
        <v>10/04/2022 19:25:38.524</v>
      </c>
      <c r="C2" t="str">
        <f t="shared" ref="C2:C65" si="0">"FFDFD3C0"</f>
        <v>FFDFD3C0</v>
      </c>
      <c r="D2" t="s">
        <v>123</v>
      </c>
      <c r="E2">
        <v>7</v>
      </c>
      <c r="F2">
        <v>2007</v>
      </c>
      <c r="G2" t="s">
        <v>124</v>
      </c>
      <c r="J2" t="s">
        <v>125</v>
      </c>
      <c r="K2">
        <v>0</v>
      </c>
      <c r="L2">
        <v>3</v>
      </c>
      <c r="M2">
        <v>0</v>
      </c>
      <c r="N2">
        <v>2</v>
      </c>
      <c r="O2">
        <v>0</v>
      </c>
      <c r="P2">
        <v>1</v>
      </c>
      <c r="Q2">
        <v>0</v>
      </c>
      <c r="S2" t="str">
        <f>"19:25:36.906"</f>
        <v>19:25:36.906</v>
      </c>
      <c r="T2" t="str">
        <f>"19:25:36.906"</f>
        <v>19:25:36.906</v>
      </c>
      <c r="U2" t="str">
        <f t="shared" ref="U2:U65" si="1">"AC3944"</f>
        <v>AC3944</v>
      </c>
      <c r="V2">
        <v>0</v>
      </c>
      <c r="W2">
        <v>0</v>
      </c>
      <c r="X2">
        <v>2</v>
      </c>
      <c r="Y2">
        <v>0</v>
      </c>
      <c r="AA2">
        <v>0</v>
      </c>
      <c r="AB2">
        <v>8</v>
      </c>
      <c r="AC2">
        <v>3</v>
      </c>
      <c r="AD2">
        <v>0</v>
      </c>
      <c r="AE2">
        <v>9</v>
      </c>
      <c r="AF2" t="s">
        <v>126</v>
      </c>
      <c r="AG2">
        <v>0</v>
      </c>
      <c r="AH2">
        <v>0</v>
      </c>
      <c r="AI2">
        <v>1</v>
      </c>
      <c r="AJ2">
        <v>0</v>
      </c>
      <c r="AK2" t="s">
        <v>127</v>
      </c>
      <c r="AL2">
        <v>32.826504999999997</v>
      </c>
      <c r="AM2" t="s">
        <v>128</v>
      </c>
      <c r="AN2">
        <v>-116.971757</v>
      </c>
      <c r="AO2">
        <v>25</v>
      </c>
      <c r="AP2">
        <v>500</v>
      </c>
      <c r="AQ2" t="s">
        <v>129</v>
      </c>
      <c r="AR2">
        <v>-69</v>
      </c>
      <c r="AS2">
        <v>17</v>
      </c>
      <c r="AT2">
        <v>0</v>
      </c>
      <c r="BB2">
        <v>1200</v>
      </c>
      <c r="BC2">
        <v>1</v>
      </c>
      <c r="BD2" t="str">
        <f t="shared" ref="BD2:BD65" si="2">"N887QR  "</f>
        <v xml:space="preserve">N887QR  </v>
      </c>
      <c r="BE2">
        <v>1</v>
      </c>
      <c r="BG2">
        <v>0</v>
      </c>
      <c r="BH2">
        <v>0</v>
      </c>
      <c r="BI2">
        <v>0</v>
      </c>
      <c r="BJ2">
        <v>250</v>
      </c>
      <c r="BK2">
        <v>-250</v>
      </c>
      <c r="BL2" t="s">
        <v>130</v>
      </c>
      <c r="BM2">
        <v>1</v>
      </c>
      <c r="BN2">
        <v>1</v>
      </c>
      <c r="BO2">
        <v>1</v>
      </c>
      <c r="BP2">
        <v>0</v>
      </c>
      <c r="BT2">
        <v>0</v>
      </c>
      <c r="BU2">
        <v>0</v>
      </c>
      <c r="CE2" t="str">
        <f>"19:25:37.910"</f>
        <v>19:25:37.910</v>
      </c>
      <c r="CF2">
        <v>1909730905</v>
      </c>
      <c r="CS2">
        <v>0</v>
      </c>
      <c r="CT2">
        <v>2</v>
      </c>
      <c r="CU2">
        <v>0</v>
      </c>
      <c r="CV2">
        <v>2</v>
      </c>
      <c r="CW2">
        <v>0</v>
      </c>
      <c r="CX2">
        <v>4</v>
      </c>
      <c r="CY2">
        <v>7</v>
      </c>
      <c r="CZ2" t="s">
        <v>131</v>
      </c>
      <c r="DA2">
        <v>286</v>
      </c>
      <c r="DB2">
        <v>0</v>
      </c>
      <c r="DC2" t="s">
        <v>132</v>
      </c>
      <c r="DD2" t="s">
        <v>133</v>
      </c>
      <c r="DG2">
        <v>779102</v>
      </c>
      <c r="DI2">
        <v>0</v>
      </c>
      <c r="DJ2">
        <v>0</v>
      </c>
      <c r="DK2">
        <v>0</v>
      </c>
      <c r="DL2">
        <v>0</v>
      </c>
      <c r="DM2">
        <v>0</v>
      </c>
      <c r="DN2">
        <v>1</v>
      </c>
      <c r="DO2">
        <v>0</v>
      </c>
      <c r="DP2">
        <v>0</v>
      </c>
      <c r="DQ2">
        <v>0</v>
      </c>
      <c r="DR2">
        <v>0</v>
      </c>
      <c r="DS2">
        <v>0</v>
      </c>
    </row>
    <row r="3" spans="1:123" x14ac:dyDescent="0.3">
      <c r="A3" t="str">
        <f>"10/04/2022 19:25:38.524"</f>
        <v>10/04/2022 19:25:38.524</v>
      </c>
      <c r="C3" t="str">
        <f t="shared" si="0"/>
        <v>FFDFD3C0</v>
      </c>
      <c r="D3" t="s">
        <v>134</v>
      </c>
      <c r="E3">
        <v>15</v>
      </c>
      <c r="J3" t="s">
        <v>135</v>
      </c>
      <c r="K3">
        <v>0</v>
      </c>
      <c r="L3">
        <v>3</v>
      </c>
      <c r="M3">
        <v>0</v>
      </c>
      <c r="N3">
        <v>2</v>
      </c>
      <c r="O3">
        <v>0</v>
      </c>
      <c r="P3">
        <v>1</v>
      </c>
      <c r="Q3">
        <v>0</v>
      </c>
      <c r="S3" t="str">
        <f>"19:25:36.906"</f>
        <v>19:25:36.906</v>
      </c>
      <c r="T3" t="str">
        <f>"19:25:36.906"</f>
        <v>19:25:36.906</v>
      </c>
      <c r="U3" t="str">
        <f t="shared" si="1"/>
        <v>AC3944</v>
      </c>
      <c r="V3">
        <v>0</v>
      </c>
      <c r="W3">
        <v>0</v>
      </c>
      <c r="X3">
        <v>2</v>
      </c>
      <c r="Y3">
        <v>0</v>
      </c>
      <c r="AA3">
        <v>0</v>
      </c>
      <c r="AB3">
        <v>8</v>
      </c>
      <c r="AC3">
        <v>3</v>
      </c>
      <c r="AD3">
        <v>0</v>
      </c>
      <c r="AE3">
        <v>9</v>
      </c>
      <c r="AF3" t="s">
        <v>126</v>
      </c>
      <c r="AG3">
        <v>0</v>
      </c>
      <c r="AH3">
        <v>0</v>
      </c>
      <c r="AI3">
        <v>1</v>
      </c>
      <c r="AJ3">
        <v>0</v>
      </c>
      <c r="AK3" t="s">
        <v>127</v>
      </c>
      <c r="AL3">
        <v>32.826504999999997</v>
      </c>
      <c r="AM3" t="s">
        <v>128</v>
      </c>
      <c r="AN3">
        <v>-116.971757</v>
      </c>
      <c r="AO3">
        <v>25</v>
      </c>
      <c r="AP3">
        <v>500</v>
      </c>
      <c r="AQ3" t="s">
        <v>129</v>
      </c>
      <c r="AR3">
        <v>-69</v>
      </c>
      <c r="AS3">
        <v>17</v>
      </c>
      <c r="AT3">
        <v>0</v>
      </c>
      <c r="BB3">
        <v>1200</v>
      </c>
      <c r="BC3">
        <v>1</v>
      </c>
      <c r="BD3" t="str">
        <f t="shared" si="2"/>
        <v xml:space="preserve">N887QR  </v>
      </c>
      <c r="BE3">
        <v>1</v>
      </c>
      <c r="BG3">
        <v>0</v>
      </c>
      <c r="BH3">
        <v>0</v>
      </c>
      <c r="BI3">
        <v>0</v>
      </c>
      <c r="BJ3">
        <v>250</v>
      </c>
      <c r="BK3">
        <v>-250</v>
      </c>
      <c r="BL3" t="s">
        <v>130</v>
      </c>
      <c r="BM3">
        <v>1</v>
      </c>
      <c r="BN3">
        <v>1</v>
      </c>
      <c r="BO3">
        <v>1</v>
      </c>
      <c r="BP3">
        <v>0</v>
      </c>
      <c r="BT3">
        <v>0</v>
      </c>
      <c r="BU3">
        <v>0</v>
      </c>
      <c r="CE3" t="str">
        <f>"19:25:37.910"</f>
        <v>19:25:37.910</v>
      </c>
      <c r="CF3">
        <v>1909730905</v>
      </c>
      <c r="CS3">
        <v>0</v>
      </c>
      <c r="CT3">
        <v>2</v>
      </c>
      <c r="CU3">
        <v>0</v>
      </c>
      <c r="CV3">
        <v>2</v>
      </c>
      <c r="CW3">
        <v>0</v>
      </c>
      <c r="CX3">
        <v>4</v>
      </c>
      <c r="CY3">
        <v>7</v>
      </c>
      <c r="CZ3" t="s">
        <v>131</v>
      </c>
      <c r="DA3">
        <v>286</v>
      </c>
      <c r="DB3">
        <v>0</v>
      </c>
      <c r="DC3" t="s">
        <v>132</v>
      </c>
      <c r="DD3" t="s">
        <v>133</v>
      </c>
      <c r="DG3">
        <v>779102</v>
      </c>
      <c r="DI3">
        <v>0</v>
      </c>
      <c r="DJ3">
        <v>0</v>
      </c>
      <c r="DK3">
        <v>1</v>
      </c>
      <c r="DL3">
        <v>0</v>
      </c>
      <c r="DM3">
        <v>0</v>
      </c>
      <c r="DN3">
        <v>1</v>
      </c>
      <c r="DO3">
        <v>0</v>
      </c>
      <c r="DP3">
        <v>0</v>
      </c>
      <c r="DQ3">
        <v>0</v>
      </c>
      <c r="DR3">
        <v>0</v>
      </c>
      <c r="DS3">
        <v>0</v>
      </c>
    </row>
    <row r="4" spans="1:123" x14ac:dyDescent="0.3">
      <c r="A4" t="str">
        <f t="shared" ref="A4:A9" si="3">"10/04/2022 19:25:39.884"</f>
        <v>10/04/2022 19:25:39.884</v>
      </c>
      <c r="C4" t="str">
        <f t="shared" si="0"/>
        <v>FFDFD3C0</v>
      </c>
      <c r="D4" t="s">
        <v>136</v>
      </c>
      <c r="E4">
        <v>8</v>
      </c>
      <c r="H4">
        <v>225</v>
      </c>
      <c r="I4" t="s">
        <v>137</v>
      </c>
      <c r="J4" t="s">
        <v>138</v>
      </c>
      <c r="K4">
        <v>0</v>
      </c>
      <c r="L4">
        <v>3</v>
      </c>
      <c r="M4">
        <v>0</v>
      </c>
      <c r="N4">
        <v>2</v>
      </c>
      <c r="O4">
        <v>0</v>
      </c>
      <c r="P4">
        <v>1</v>
      </c>
      <c r="Q4">
        <v>0</v>
      </c>
      <c r="S4" t="str">
        <f t="shared" ref="S4:T10" si="4">"19:25:38.414"</f>
        <v>19:25:38.414</v>
      </c>
      <c r="T4" t="str">
        <f t="shared" si="4"/>
        <v>19:25:38.414</v>
      </c>
      <c r="U4" t="str">
        <f t="shared" si="1"/>
        <v>AC3944</v>
      </c>
      <c r="V4">
        <v>0</v>
      </c>
      <c r="W4">
        <v>0</v>
      </c>
      <c r="X4">
        <v>2</v>
      </c>
      <c r="Y4">
        <v>0</v>
      </c>
      <c r="AA4">
        <v>0</v>
      </c>
      <c r="AB4">
        <v>8</v>
      </c>
      <c r="AC4">
        <v>3</v>
      </c>
      <c r="AD4">
        <v>0</v>
      </c>
      <c r="AE4">
        <v>9</v>
      </c>
      <c r="AF4" t="s">
        <v>126</v>
      </c>
      <c r="AG4">
        <v>0</v>
      </c>
      <c r="AH4">
        <v>0</v>
      </c>
      <c r="AI4">
        <v>1</v>
      </c>
      <c r="AJ4">
        <v>0</v>
      </c>
      <c r="AK4" t="s">
        <v>139</v>
      </c>
      <c r="AL4">
        <v>32.826591000000001</v>
      </c>
      <c r="AM4" t="s">
        <v>140</v>
      </c>
      <c r="AN4">
        <v>-116.972144</v>
      </c>
      <c r="AO4">
        <v>25</v>
      </c>
      <c r="AP4">
        <v>500</v>
      </c>
      <c r="AQ4" t="s">
        <v>129</v>
      </c>
      <c r="AR4">
        <v>-74</v>
      </c>
      <c r="AS4">
        <v>18</v>
      </c>
      <c r="AT4">
        <v>64</v>
      </c>
      <c r="BB4">
        <v>1200</v>
      </c>
      <c r="BC4">
        <v>1</v>
      </c>
      <c r="BD4" t="str">
        <f t="shared" si="2"/>
        <v xml:space="preserve">N887QR  </v>
      </c>
      <c r="BE4">
        <v>1</v>
      </c>
      <c r="BG4">
        <v>0</v>
      </c>
      <c r="BH4">
        <v>0</v>
      </c>
      <c r="BI4">
        <v>0</v>
      </c>
      <c r="BJ4">
        <v>275</v>
      </c>
      <c r="BK4">
        <v>-225</v>
      </c>
      <c r="BL4" t="s">
        <v>130</v>
      </c>
      <c r="BM4">
        <v>1</v>
      </c>
      <c r="BN4">
        <v>1</v>
      </c>
      <c r="BO4">
        <v>1</v>
      </c>
      <c r="BP4">
        <v>0</v>
      </c>
      <c r="BT4">
        <v>0</v>
      </c>
      <c r="BU4">
        <v>0</v>
      </c>
      <c r="CE4" t="str">
        <f t="shared" ref="CE4:CE10" si="5">"19:25:39.415"</f>
        <v>19:25:39.415</v>
      </c>
      <c r="CF4">
        <v>1415235382</v>
      </c>
      <c r="CS4">
        <v>2</v>
      </c>
      <c r="CT4">
        <v>2</v>
      </c>
      <c r="CU4">
        <v>0</v>
      </c>
      <c r="CV4">
        <v>2</v>
      </c>
      <c r="CW4">
        <v>0</v>
      </c>
      <c r="CX4">
        <v>2</v>
      </c>
      <c r="CY4">
        <v>7</v>
      </c>
      <c r="CZ4" t="s">
        <v>131</v>
      </c>
      <c r="DA4">
        <v>286</v>
      </c>
      <c r="DB4">
        <v>0</v>
      </c>
      <c r="DC4" t="s">
        <v>132</v>
      </c>
      <c r="DD4" t="s">
        <v>133</v>
      </c>
      <c r="DG4">
        <v>779442</v>
      </c>
      <c r="DI4">
        <v>0</v>
      </c>
      <c r="DJ4">
        <v>0</v>
      </c>
      <c r="DK4">
        <v>0</v>
      </c>
      <c r="DL4">
        <v>0</v>
      </c>
      <c r="DM4">
        <v>0</v>
      </c>
      <c r="DN4">
        <v>1</v>
      </c>
      <c r="DO4">
        <v>0</v>
      </c>
      <c r="DP4">
        <v>0</v>
      </c>
      <c r="DQ4">
        <v>0</v>
      </c>
      <c r="DR4">
        <v>0</v>
      </c>
      <c r="DS4">
        <v>0</v>
      </c>
    </row>
    <row r="5" spans="1:123" x14ac:dyDescent="0.3">
      <c r="A5" t="str">
        <f t="shared" si="3"/>
        <v>10/04/2022 19:25:39.884</v>
      </c>
      <c r="C5" t="str">
        <f t="shared" si="0"/>
        <v>FFDFD3C0</v>
      </c>
      <c r="D5" t="s">
        <v>141</v>
      </c>
      <c r="E5">
        <v>4</v>
      </c>
      <c r="H5">
        <v>4</v>
      </c>
      <c r="I5" t="s">
        <v>142</v>
      </c>
      <c r="J5" t="s">
        <v>138</v>
      </c>
      <c r="K5">
        <v>0</v>
      </c>
      <c r="L5">
        <v>3</v>
      </c>
      <c r="M5">
        <v>0</v>
      </c>
      <c r="N5">
        <v>2</v>
      </c>
      <c r="O5">
        <v>0</v>
      </c>
      <c r="P5">
        <v>1</v>
      </c>
      <c r="Q5">
        <v>0</v>
      </c>
      <c r="S5" t="str">
        <f t="shared" si="4"/>
        <v>19:25:38.414</v>
      </c>
      <c r="T5" t="str">
        <f t="shared" si="4"/>
        <v>19:25:38.414</v>
      </c>
      <c r="U5" t="str">
        <f t="shared" si="1"/>
        <v>AC3944</v>
      </c>
      <c r="V5">
        <v>0</v>
      </c>
      <c r="W5">
        <v>0</v>
      </c>
      <c r="X5">
        <v>2</v>
      </c>
      <c r="Y5">
        <v>0</v>
      </c>
      <c r="AA5">
        <v>0</v>
      </c>
      <c r="AB5">
        <v>8</v>
      </c>
      <c r="AC5">
        <v>3</v>
      </c>
      <c r="AD5">
        <v>0</v>
      </c>
      <c r="AE5">
        <v>9</v>
      </c>
      <c r="AF5" t="s">
        <v>126</v>
      </c>
      <c r="AG5">
        <v>0</v>
      </c>
      <c r="AH5">
        <v>0</v>
      </c>
      <c r="AI5">
        <v>1</v>
      </c>
      <c r="AJ5">
        <v>0</v>
      </c>
      <c r="AK5" t="s">
        <v>139</v>
      </c>
      <c r="AL5">
        <v>32.826591000000001</v>
      </c>
      <c r="AM5" t="s">
        <v>140</v>
      </c>
      <c r="AN5">
        <v>-116.972144</v>
      </c>
      <c r="AO5">
        <v>25</v>
      </c>
      <c r="AP5">
        <v>500</v>
      </c>
      <c r="AQ5" t="s">
        <v>129</v>
      </c>
      <c r="AR5">
        <v>-74</v>
      </c>
      <c r="AS5">
        <v>18</v>
      </c>
      <c r="AT5">
        <v>64</v>
      </c>
      <c r="BB5">
        <v>1200</v>
      </c>
      <c r="BC5">
        <v>1</v>
      </c>
      <c r="BD5" t="str">
        <f t="shared" si="2"/>
        <v xml:space="preserve">N887QR  </v>
      </c>
      <c r="BE5">
        <v>1</v>
      </c>
      <c r="BG5">
        <v>0</v>
      </c>
      <c r="BH5">
        <v>0</v>
      </c>
      <c r="BI5">
        <v>0</v>
      </c>
      <c r="BJ5">
        <v>275</v>
      </c>
      <c r="BK5">
        <v>-225</v>
      </c>
      <c r="BL5" t="s">
        <v>130</v>
      </c>
      <c r="BM5">
        <v>1</v>
      </c>
      <c r="BN5">
        <v>1</v>
      </c>
      <c r="BO5">
        <v>1</v>
      </c>
      <c r="BP5">
        <v>0</v>
      </c>
      <c r="BT5">
        <v>0</v>
      </c>
      <c r="BU5">
        <v>0</v>
      </c>
      <c r="CE5" t="str">
        <f t="shared" si="5"/>
        <v>19:25:39.415</v>
      </c>
      <c r="CF5">
        <v>1415235382</v>
      </c>
      <c r="CS5">
        <v>2</v>
      </c>
      <c r="CT5">
        <v>2</v>
      </c>
      <c r="CU5">
        <v>0</v>
      </c>
      <c r="CV5">
        <v>2</v>
      </c>
      <c r="CW5">
        <v>0</v>
      </c>
      <c r="CX5">
        <v>2</v>
      </c>
      <c r="CY5">
        <v>7</v>
      </c>
      <c r="CZ5" t="s">
        <v>131</v>
      </c>
      <c r="DA5">
        <v>286</v>
      </c>
      <c r="DB5">
        <v>0</v>
      </c>
      <c r="DC5" t="s">
        <v>132</v>
      </c>
      <c r="DD5" t="s">
        <v>133</v>
      </c>
      <c r="DG5">
        <v>779442</v>
      </c>
      <c r="DI5">
        <v>0</v>
      </c>
      <c r="DJ5">
        <v>0</v>
      </c>
      <c r="DK5">
        <v>1</v>
      </c>
      <c r="DL5">
        <v>0</v>
      </c>
      <c r="DM5">
        <v>0</v>
      </c>
      <c r="DN5">
        <v>1</v>
      </c>
      <c r="DO5">
        <v>0</v>
      </c>
      <c r="DP5">
        <v>0</v>
      </c>
      <c r="DQ5">
        <v>0</v>
      </c>
      <c r="DR5">
        <v>0</v>
      </c>
      <c r="DS5">
        <v>0</v>
      </c>
    </row>
    <row r="6" spans="1:123" x14ac:dyDescent="0.3">
      <c r="A6" t="str">
        <f t="shared" si="3"/>
        <v>10/04/2022 19:25:39.884</v>
      </c>
      <c r="C6" t="str">
        <f t="shared" si="0"/>
        <v>FFDFD3C0</v>
      </c>
      <c r="D6" t="s">
        <v>143</v>
      </c>
      <c r="E6">
        <v>20</v>
      </c>
      <c r="F6">
        <v>1020</v>
      </c>
      <c r="G6" t="s">
        <v>144</v>
      </c>
      <c r="J6" t="s">
        <v>145</v>
      </c>
      <c r="K6">
        <v>0</v>
      </c>
      <c r="L6">
        <v>3</v>
      </c>
      <c r="M6">
        <v>0</v>
      </c>
      <c r="N6">
        <v>2</v>
      </c>
      <c r="O6">
        <v>0</v>
      </c>
      <c r="P6">
        <v>1</v>
      </c>
      <c r="Q6">
        <v>0</v>
      </c>
      <c r="S6" t="str">
        <f t="shared" si="4"/>
        <v>19:25:38.414</v>
      </c>
      <c r="T6" t="str">
        <f t="shared" si="4"/>
        <v>19:25:38.414</v>
      </c>
      <c r="U6" t="str">
        <f t="shared" si="1"/>
        <v>AC3944</v>
      </c>
      <c r="V6">
        <v>0</v>
      </c>
      <c r="W6">
        <v>0</v>
      </c>
      <c r="X6">
        <v>2</v>
      </c>
      <c r="Y6">
        <v>0</v>
      </c>
      <c r="AA6">
        <v>0</v>
      </c>
      <c r="AB6">
        <v>8</v>
      </c>
      <c r="AC6">
        <v>3</v>
      </c>
      <c r="AD6">
        <v>0</v>
      </c>
      <c r="AE6">
        <v>9</v>
      </c>
      <c r="AF6" t="s">
        <v>126</v>
      </c>
      <c r="AG6">
        <v>0</v>
      </c>
      <c r="AH6">
        <v>0</v>
      </c>
      <c r="AI6">
        <v>1</v>
      </c>
      <c r="AJ6">
        <v>0</v>
      </c>
      <c r="AK6" t="s">
        <v>139</v>
      </c>
      <c r="AL6">
        <v>32.826591000000001</v>
      </c>
      <c r="AM6" t="s">
        <v>140</v>
      </c>
      <c r="AN6">
        <v>-116.972144</v>
      </c>
      <c r="AO6">
        <v>25</v>
      </c>
      <c r="AP6">
        <v>500</v>
      </c>
      <c r="AQ6" t="s">
        <v>129</v>
      </c>
      <c r="AR6">
        <v>-74</v>
      </c>
      <c r="AS6">
        <v>18</v>
      </c>
      <c r="AT6">
        <v>64</v>
      </c>
      <c r="BB6">
        <v>1200</v>
      </c>
      <c r="BC6">
        <v>1</v>
      </c>
      <c r="BD6" t="str">
        <f t="shared" si="2"/>
        <v xml:space="preserve">N887QR  </v>
      </c>
      <c r="BE6">
        <v>1</v>
      </c>
      <c r="BG6">
        <v>0</v>
      </c>
      <c r="BH6">
        <v>0</v>
      </c>
      <c r="BI6">
        <v>0</v>
      </c>
      <c r="BJ6">
        <v>275</v>
      </c>
      <c r="BK6">
        <v>-225</v>
      </c>
      <c r="BL6" t="s">
        <v>130</v>
      </c>
      <c r="BM6">
        <v>1</v>
      </c>
      <c r="BN6">
        <v>1</v>
      </c>
      <c r="BO6">
        <v>1</v>
      </c>
      <c r="BP6">
        <v>0</v>
      </c>
      <c r="BT6">
        <v>0</v>
      </c>
      <c r="BU6">
        <v>0</v>
      </c>
      <c r="CE6" t="str">
        <f t="shared" si="5"/>
        <v>19:25:39.415</v>
      </c>
      <c r="CF6">
        <v>1415235382</v>
      </c>
      <c r="CS6">
        <v>2</v>
      </c>
      <c r="CT6">
        <v>2</v>
      </c>
      <c r="CU6">
        <v>0</v>
      </c>
      <c r="CV6">
        <v>2</v>
      </c>
      <c r="CW6">
        <v>0</v>
      </c>
      <c r="CX6">
        <v>2</v>
      </c>
      <c r="CY6">
        <v>7</v>
      </c>
      <c r="CZ6" t="s">
        <v>131</v>
      </c>
      <c r="DA6">
        <v>286</v>
      </c>
      <c r="DB6">
        <v>0</v>
      </c>
      <c r="DC6" t="s">
        <v>132</v>
      </c>
      <c r="DD6" t="s">
        <v>133</v>
      </c>
      <c r="DG6">
        <v>779442</v>
      </c>
      <c r="DI6">
        <v>0</v>
      </c>
      <c r="DJ6">
        <v>0</v>
      </c>
      <c r="DK6">
        <v>1</v>
      </c>
      <c r="DL6">
        <v>0</v>
      </c>
      <c r="DM6">
        <v>0</v>
      </c>
      <c r="DN6">
        <v>1</v>
      </c>
      <c r="DO6">
        <v>0</v>
      </c>
      <c r="DP6">
        <v>0</v>
      </c>
      <c r="DQ6">
        <v>0</v>
      </c>
      <c r="DR6">
        <v>0</v>
      </c>
      <c r="DS6">
        <v>0</v>
      </c>
    </row>
    <row r="7" spans="1:123" x14ac:dyDescent="0.3">
      <c r="A7" t="str">
        <f t="shared" si="3"/>
        <v>10/04/2022 19:25:39.884</v>
      </c>
      <c r="C7" t="str">
        <f t="shared" si="0"/>
        <v>FFDFD3C0</v>
      </c>
      <c r="D7" t="s">
        <v>141</v>
      </c>
      <c r="E7">
        <v>3</v>
      </c>
      <c r="H7">
        <v>3</v>
      </c>
      <c r="I7" t="s">
        <v>146</v>
      </c>
      <c r="J7" t="s">
        <v>138</v>
      </c>
      <c r="K7">
        <v>0</v>
      </c>
      <c r="L7">
        <v>3</v>
      </c>
      <c r="M7">
        <v>0</v>
      </c>
      <c r="N7">
        <v>2</v>
      </c>
      <c r="O7">
        <v>0</v>
      </c>
      <c r="P7">
        <v>1</v>
      </c>
      <c r="Q7">
        <v>0</v>
      </c>
      <c r="S7" t="str">
        <f t="shared" si="4"/>
        <v>19:25:38.414</v>
      </c>
      <c r="T7" t="str">
        <f t="shared" si="4"/>
        <v>19:25:38.414</v>
      </c>
      <c r="U7" t="str">
        <f t="shared" si="1"/>
        <v>AC3944</v>
      </c>
      <c r="V7">
        <v>0</v>
      </c>
      <c r="W7">
        <v>0</v>
      </c>
      <c r="X7">
        <v>2</v>
      </c>
      <c r="Y7">
        <v>0</v>
      </c>
      <c r="AA7">
        <v>0</v>
      </c>
      <c r="AB7">
        <v>8</v>
      </c>
      <c r="AC7">
        <v>3</v>
      </c>
      <c r="AD7">
        <v>0</v>
      </c>
      <c r="AE7">
        <v>9</v>
      </c>
      <c r="AF7" t="s">
        <v>126</v>
      </c>
      <c r="AG7">
        <v>0</v>
      </c>
      <c r="AH7">
        <v>0</v>
      </c>
      <c r="AI7">
        <v>1</v>
      </c>
      <c r="AJ7">
        <v>0</v>
      </c>
      <c r="AK7" t="s">
        <v>139</v>
      </c>
      <c r="AL7">
        <v>32.826591000000001</v>
      </c>
      <c r="AM7" t="s">
        <v>140</v>
      </c>
      <c r="AN7">
        <v>-116.972144</v>
      </c>
      <c r="AO7">
        <v>25</v>
      </c>
      <c r="AP7">
        <v>500</v>
      </c>
      <c r="AQ7" t="s">
        <v>129</v>
      </c>
      <c r="AR7">
        <v>-74</v>
      </c>
      <c r="AS7">
        <v>18</v>
      </c>
      <c r="AT7">
        <v>64</v>
      </c>
      <c r="BB7">
        <v>1200</v>
      </c>
      <c r="BC7">
        <v>1</v>
      </c>
      <c r="BD7" t="str">
        <f t="shared" si="2"/>
        <v xml:space="preserve">N887QR  </v>
      </c>
      <c r="BE7">
        <v>1</v>
      </c>
      <c r="BG7">
        <v>0</v>
      </c>
      <c r="BH7">
        <v>0</v>
      </c>
      <c r="BI7">
        <v>0</v>
      </c>
      <c r="BJ7">
        <v>275</v>
      </c>
      <c r="BK7">
        <v>-225</v>
      </c>
      <c r="BL7" t="s">
        <v>130</v>
      </c>
      <c r="BM7">
        <v>1</v>
      </c>
      <c r="BN7">
        <v>1</v>
      </c>
      <c r="BO7">
        <v>1</v>
      </c>
      <c r="BP7">
        <v>0</v>
      </c>
      <c r="BT7">
        <v>0</v>
      </c>
      <c r="BU7">
        <v>0</v>
      </c>
      <c r="CE7" t="str">
        <f t="shared" si="5"/>
        <v>19:25:39.415</v>
      </c>
      <c r="CF7">
        <v>1415235382</v>
      </c>
      <c r="CS7">
        <v>2</v>
      </c>
      <c r="CT7">
        <v>2</v>
      </c>
      <c r="CU7">
        <v>0</v>
      </c>
      <c r="CV7">
        <v>2</v>
      </c>
      <c r="CW7">
        <v>0</v>
      </c>
      <c r="CX7">
        <v>2</v>
      </c>
      <c r="CY7">
        <v>7</v>
      </c>
      <c r="CZ7" t="s">
        <v>131</v>
      </c>
      <c r="DA7">
        <v>286</v>
      </c>
      <c r="DB7">
        <v>0</v>
      </c>
      <c r="DC7" t="s">
        <v>132</v>
      </c>
      <c r="DD7" t="s">
        <v>133</v>
      </c>
      <c r="DG7">
        <v>779442</v>
      </c>
      <c r="DI7">
        <v>0</v>
      </c>
      <c r="DJ7">
        <v>0</v>
      </c>
      <c r="DK7">
        <v>1</v>
      </c>
      <c r="DL7">
        <v>0</v>
      </c>
      <c r="DM7">
        <v>0</v>
      </c>
      <c r="DN7">
        <v>1</v>
      </c>
      <c r="DO7">
        <v>0</v>
      </c>
      <c r="DP7">
        <v>0</v>
      </c>
      <c r="DQ7">
        <v>0</v>
      </c>
      <c r="DR7">
        <v>0</v>
      </c>
      <c r="DS7">
        <v>0</v>
      </c>
    </row>
    <row r="8" spans="1:123" x14ac:dyDescent="0.3">
      <c r="A8" t="str">
        <f t="shared" si="3"/>
        <v>10/04/2022 19:25:39.884</v>
      </c>
      <c r="C8" t="str">
        <f t="shared" si="0"/>
        <v>FFDFD3C0</v>
      </c>
      <c r="D8" t="s">
        <v>147</v>
      </c>
      <c r="E8">
        <v>3</v>
      </c>
      <c r="H8">
        <v>166</v>
      </c>
      <c r="I8" t="s">
        <v>144</v>
      </c>
      <c r="J8" t="s">
        <v>148</v>
      </c>
      <c r="K8">
        <v>0</v>
      </c>
      <c r="L8">
        <v>3</v>
      </c>
      <c r="M8">
        <v>0</v>
      </c>
      <c r="N8">
        <v>2</v>
      </c>
      <c r="O8">
        <v>0</v>
      </c>
      <c r="P8">
        <v>1</v>
      </c>
      <c r="Q8">
        <v>0</v>
      </c>
      <c r="S8" t="str">
        <f t="shared" si="4"/>
        <v>19:25:38.414</v>
      </c>
      <c r="T8" t="str">
        <f t="shared" si="4"/>
        <v>19:25:38.414</v>
      </c>
      <c r="U8" t="str">
        <f t="shared" si="1"/>
        <v>AC3944</v>
      </c>
      <c r="V8">
        <v>0</v>
      </c>
      <c r="W8">
        <v>0</v>
      </c>
      <c r="X8">
        <v>2</v>
      </c>
      <c r="Y8">
        <v>0</v>
      </c>
      <c r="AA8">
        <v>0</v>
      </c>
      <c r="AB8">
        <v>8</v>
      </c>
      <c r="AC8">
        <v>3</v>
      </c>
      <c r="AD8">
        <v>0</v>
      </c>
      <c r="AE8">
        <v>9</v>
      </c>
      <c r="AF8" t="s">
        <v>126</v>
      </c>
      <c r="AG8">
        <v>0</v>
      </c>
      <c r="AH8">
        <v>0</v>
      </c>
      <c r="AI8">
        <v>1</v>
      </c>
      <c r="AJ8">
        <v>0</v>
      </c>
      <c r="AK8" t="s">
        <v>139</v>
      </c>
      <c r="AL8">
        <v>32.826591000000001</v>
      </c>
      <c r="AM8" t="s">
        <v>140</v>
      </c>
      <c r="AN8">
        <v>-116.972144</v>
      </c>
      <c r="AO8">
        <v>25</v>
      </c>
      <c r="AP8">
        <v>500</v>
      </c>
      <c r="AQ8" t="s">
        <v>129</v>
      </c>
      <c r="AR8">
        <v>-74</v>
      </c>
      <c r="AS8">
        <v>18</v>
      </c>
      <c r="AT8">
        <v>64</v>
      </c>
      <c r="BB8">
        <v>1200</v>
      </c>
      <c r="BC8">
        <v>1</v>
      </c>
      <c r="BD8" t="str">
        <f t="shared" si="2"/>
        <v xml:space="preserve">N887QR  </v>
      </c>
      <c r="BE8">
        <v>1</v>
      </c>
      <c r="BG8">
        <v>0</v>
      </c>
      <c r="BH8">
        <v>0</v>
      </c>
      <c r="BI8">
        <v>0</v>
      </c>
      <c r="BJ8">
        <v>275</v>
      </c>
      <c r="BK8">
        <v>-225</v>
      </c>
      <c r="BL8" t="s">
        <v>130</v>
      </c>
      <c r="BM8">
        <v>1</v>
      </c>
      <c r="BN8">
        <v>1</v>
      </c>
      <c r="BO8">
        <v>1</v>
      </c>
      <c r="BP8">
        <v>0</v>
      </c>
      <c r="BT8">
        <v>0</v>
      </c>
      <c r="BU8">
        <v>0</v>
      </c>
      <c r="CE8" t="str">
        <f t="shared" si="5"/>
        <v>19:25:39.415</v>
      </c>
      <c r="CF8">
        <v>1415235382</v>
      </c>
      <c r="CS8">
        <v>2</v>
      </c>
      <c r="CT8">
        <v>2</v>
      </c>
      <c r="CU8">
        <v>0</v>
      </c>
      <c r="CV8">
        <v>2</v>
      </c>
      <c r="CW8">
        <v>0</v>
      </c>
      <c r="CX8">
        <v>2</v>
      </c>
      <c r="CY8">
        <v>7</v>
      </c>
      <c r="CZ8" t="s">
        <v>131</v>
      </c>
      <c r="DA8">
        <v>286</v>
      </c>
      <c r="DB8">
        <v>0</v>
      </c>
      <c r="DC8" t="s">
        <v>132</v>
      </c>
      <c r="DD8" t="s">
        <v>133</v>
      </c>
      <c r="DG8">
        <v>779442</v>
      </c>
      <c r="DI8">
        <v>0</v>
      </c>
      <c r="DJ8">
        <v>0</v>
      </c>
      <c r="DK8">
        <v>1</v>
      </c>
      <c r="DL8">
        <v>0</v>
      </c>
      <c r="DM8">
        <v>0</v>
      </c>
      <c r="DN8">
        <v>1</v>
      </c>
      <c r="DO8">
        <v>0</v>
      </c>
      <c r="DP8">
        <v>0</v>
      </c>
      <c r="DQ8">
        <v>0</v>
      </c>
      <c r="DR8">
        <v>0</v>
      </c>
      <c r="DS8">
        <v>0</v>
      </c>
    </row>
    <row r="9" spans="1:123" x14ac:dyDescent="0.3">
      <c r="A9" t="str">
        <f t="shared" si="3"/>
        <v>10/04/2022 19:25:39.884</v>
      </c>
      <c r="C9" t="str">
        <f t="shared" si="0"/>
        <v>FFDFD3C0</v>
      </c>
      <c r="D9" t="s">
        <v>123</v>
      </c>
      <c r="E9">
        <v>7</v>
      </c>
      <c r="F9">
        <v>2007</v>
      </c>
      <c r="G9" t="s">
        <v>124</v>
      </c>
      <c r="J9" t="s">
        <v>125</v>
      </c>
      <c r="K9">
        <v>0</v>
      </c>
      <c r="L9">
        <v>3</v>
      </c>
      <c r="M9">
        <v>0</v>
      </c>
      <c r="N9">
        <v>2</v>
      </c>
      <c r="O9">
        <v>0</v>
      </c>
      <c r="P9">
        <v>1</v>
      </c>
      <c r="Q9">
        <v>0</v>
      </c>
      <c r="S9" t="str">
        <f t="shared" si="4"/>
        <v>19:25:38.414</v>
      </c>
      <c r="T9" t="str">
        <f t="shared" si="4"/>
        <v>19:25:38.414</v>
      </c>
      <c r="U9" t="str">
        <f t="shared" si="1"/>
        <v>AC3944</v>
      </c>
      <c r="V9">
        <v>0</v>
      </c>
      <c r="W9">
        <v>0</v>
      </c>
      <c r="X9">
        <v>2</v>
      </c>
      <c r="Y9">
        <v>0</v>
      </c>
      <c r="AA9">
        <v>0</v>
      </c>
      <c r="AB9">
        <v>8</v>
      </c>
      <c r="AC9">
        <v>3</v>
      </c>
      <c r="AD9">
        <v>0</v>
      </c>
      <c r="AE9">
        <v>9</v>
      </c>
      <c r="AF9" t="s">
        <v>126</v>
      </c>
      <c r="AG9">
        <v>0</v>
      </c>
      <c r="AH9">
        <v>0</v>
      </c>
      <c r="AI9">
        <v>1</v>
      </c>
      <c r="AJ9">
        <v>0</v>
      </c>
      <c r="AK9" t="s">
        <v>139</v>
      </c>
      <c r="AL9">
        <v>32.826591000000001</v>
      </c>
      <c r="AM9" t="s">
        <v>140</v>
      </c>
      <c r="AN9">
        <v>-116.972144</v>
      </c>
      <c r="AO9">
        <v>25</v>
      </c>
      <c r="AP9">
        <v>500</v>
      </c>
      <c r="AQ9" t="s">
        <v>129</v>
      </c>
      <c r="AR9">
        <v>-74</v>
      </c>
      <c r="AS9">
        <v>18</v>
      </c>
      <c r="AT9">
        <v>64</v>
      </c>
      <c r="BB9">
        <v>1200</v>
      </c>
      <c r="BC9">
        <v>1</v>
      </c>
      <c r="BD9" t="str">
        <f t="shared" si="2"/>
        <v xml:space="preserve">N887QR  </v>
      </c>
      <c r="BE9">
        <v>1</v>
      </c>
      <c r="BG9">
        <v>0</v>
      </c>
      <c r="BH9">
        <v>0</v>
      </c>
      <c r="BI9">
        <v>0</v>
      </c>
      <c r="BJ9">
        <v>275</v>
      </c>
      <c r="BK9">
        <v>-225</v>
      </c>
      <c r="BL9" t="s">
        <v>130</v>
      </c>
      <c r="BM9">
        <v>1</v>
      </c>
      <c r="BN9">
        <v>1</v>
      </c>
      <c r="BO9">
        <v>1</v>
      </c>
      <c r="BP9">
        <v>0</v>
      </c>
      <c r="BT9">
        <v>0</v>
      </c>
      <c r="BU9">
        <v>0</v>
      </c>
      <c r="CE9" t="str">
        <f t="shared" si="5"/>
        <v>19:25:39.415</v>
      </c>
      <c r="CF9">
        <v>1415235382</v>
      </c>
      <c r="CS9">
        <v>2</v>
      </c>
      <c r="CT9">
        <v>2</v>
      </c>
      <c r="CU9">
        <v>0</v>
      </c>
      <c r="CV9">
        <v>2</v>
      </c>
      <c r="CW9">
        <v>0</v>
      </c>
      <c r="CX9">
        <v>2</v>
      </c>
      <c r="CY9">
        <v>7</v>
      </c>
      <c r="CZ9" t="s">
        <v>131</v>
      </c>
      <c r="DA9">
        <v>286</v>
      </c>
      <c r="DB9">
        <v>0</v>
      </c>
      <c r="DC9" t="s">
        <v>132</v>
      </c>
      <c r="DD9" t="s">
        <v>133</v>
      </c>
      <c r="DG9">
        <v>779442</v>
      </c>
      <c r="DI9">
        <v>0</v>
      </c>
      <c r="DJ9">
        <v>0</v>
      </c>
      <c r="DK9">
        <v>1</v>
      </c>
      <c r="DL9">
        <v>0</v>
      </c>
      <c r="DM9">
        <v>0</v>
      </c>
      <c r="DN9">
        <v>1</v>
      </c>
      <c r="DO9">
        <v>0</v>
      </c>
      <c r="DP9">
        <v>0</v>
      </c>
      <c r="DQ9">
        <v>0</v>
      </c>
      <c r="DR9">
        <v>0</v>
      </c>
      <c r="DS9">
        <v>0</v>
      </c>
    </row>
    <row r="10" spans="1:123" x14ac:dyDescent="0.3">
      <c r="A10" t="str">
        <f>"10/04/2022 19:25:39.853"</f>
        <v>10/04/2022 19:25:39.853</v>
      </c>
      <c r="C10" t="str">
        <f t="shared" si="0"/>
        <v>FFDFD3C0</v>
      </c>
      <c r="D10" t="s">
        <v>134</v>
      </c>
      <c r="E10">
        <v>15</v>
      </c>
      <c r="J10" t="s">
        <v>135</v>
      </c>
      <c r="K10">
        <v>0</v>
      </c>
      <c r="L10">
        <v>3</v>
      </c>
      <c r="M10">
        <v>0</v>
      </c>
      <c r="N10">
        <v>2</v>
      </c>
      <c r="O10">
        <v>0</v>
      </c>
      <c r="P10">
        <v>1</v>
      </c>
      <c r="Q10">
        <v>0</v>
      </c>
      <c r="S10" t="str">
        <f t="shared" si="4"/>
        <v>19:25:38.414</v>
      </c>
      <c r="T10" t="str">
        <f t="shared" si="4"/>
        <v>19:25:38.414</v>
      </c>
      <c r="U10" t="str">
        <f t="shared" si="1"/>
        <v>AC3944</v>
      </c>
      <c r="V10">
        <v>0</v>
      </c>
      <c r="W10">
        <v>0</v>
      </c>
      <c r="X10">
        <v>2</v>
      </c>
      <c r="Y10">
        <v>0</v>
      </c>
      <c r="AA10">
        <v>0</v>
      </c>
      <c r="AB10">
        <v>8</v>
      </c>
      <c r="AC10">
        <v>3</v>
      </c>
      <c r="AD10">
        <v>0</v>
      </c>
      <c r="AE10">
        <v>9</v>
      </c>
      <c r="AF10" t="s">
        <v>126</v>
      </c>
      <c r="AG10">
        <v>0</v>
      </c>
      <c r="AH10">
        <v>0</v>
      </c>
      <c r="AI10">
        <v>1</v>
      </c>
      <c r="AJ10">
        <v>0</v>
      </c>
      <c r="AK10" t="s">
        <v>139</v>
      </c>
      <c r="AL10">
        <v>32.826591000000001</v>
      </c>
      <c r="AM10" t="s">
        <v>140</v>
      </c>
      <c r="AN10">
        <v>-116.972144</v>
      </c>
      <c r="AO10">
        <v>25</v>
      </c>
      <c r="AP10">
        <v>500</v>
      </c>
      <c r="AQ10" t="s">
        <v>129</v>
      </c>
      <c r="AR10">
        <v>-74</v>
      </c>
      <c r="AS10">
        <v>18</v>
      </c>
      <c r="AT10">
        <v>64</v>
      </c>
      <c r="BB10">
        <v>1200</v>
      </c>
      <c r="BC10">
        <v>1</v>
      </c>
      <c r="BD10" t="str">
        <f t="shared" si="2"/>
        <v xml:space="preserve">N887QR  </v>
      </c>
      <c r="BE10">
        <v>1</v>
      </c>
      <c r="BG10">
        <v>0</v>
      </c>
      <c r="BH10">
        <v>0</v>
      </c>
      <c r="BI10">
        <v>0</v>
      </c>
      <c r="BJ10">
        <v>275</v>
      </c>
      <c r="BK10">
        <v>-225</v>
      </c>
      <c r="BL10" t="s">
        <v>130</v>
      </c>
      <c r="BM10">
        <v>1</v>
      </c>
      <c r="BN10">
        <v>1</v>
      </c>
      <c r="BO10">
        <v>1</v>
      </c>
      <c r="BP10">
        <v>0</v>
      </c>
      <c r="BT10">
        <v>0</v>
      </c>
      <c r="BU10">
        <v>0</v>
      </c>
      <c r="CE10" t="str">
        <f t="shared" si="5"/>
        <v>19:25:39.415</v>
      </c>
      <c r="CF10">
        <v>1415235382</v>
      </c>
      <c r="CS10">
        <v>2</v>
      </c>
      <c r="CT10">
        <v>2</v>
      </c>
      <c r="CU10">
        <v>0</v>
      </c>
      <c r="CV10">
        <v>2</v>
      </c>
      <c r="CW10">
        <v>0</v>
      </c>
      <c r="CX10">
        <v>2</v>
      </c>
      <c r="CY10">
        <v>7</v>
      </c>
      <c r="CZ10" t="s">
        <v>131</v>
      </c>
      <c r="DA10">
        <v>286</v>
      </c>
      <c r="DB10">
        <v>0</v>
      </c>
      <c r="DC10" t="s">
        <v>132</v>
      </c>
      <c r="DD10" t="s">
        <v>133</v>
      </c>
      <c r="DG10">
        <v>779442</v>
      </c>
      <c r="DI10">
        <v>0</v>
      </c>
      <c r="DJ10">
        <v>0</v>
      </c>
      <c r="DK10">
        <v>1</v>
      </c>
      <c r="DL10">
        <v>0</v>
      </c>
      <c r="DM10">
        <v>0</v>
      </c>
      <c r="DN10">
        <v>1</v>
      </c>
      <c r="DO10">
        <v>0</v>
      </c>
      <c r="DP10">
        <v>0</v>
      </c>
      <c r="DQ10">
        <v>0</v>
      </c>
      <c r="DR10">
        <v>0</v>
      </c>
      <c r="DS10">
        <v>0</v>
      </c>
    </row>
    <row r="11" spans="1:123" x14ac:dyDescent="0.3">
      <c r="A11" t="str">
        <f t="shared" ref="A11:A17" si="6">"10/04/2022 19:25:41.571"</f>
        <v>10/04/2022 19:25:41.571</v>
      </c>
      <c r="C11" t="str">
        <f t="shared" si="0"/>
        <v>FFDFD3C0</v>
      </c>
      <c r="D11" t="s">
        <v>141</v>
      </c>
      <c r="E11">
        <v>3</v>
      </c>
      <c r="H11">
        <v>3</v>
      </c>
      <c r="I11" t="s">
        <v>146</v>
      </c>
      <c r="J11" t="s">
        <v>138</v>
      </c>
      <c r="K11">
        <v>0</v>
      </c>
      <c r="L11">
        <v>3</v>
      </c>
      <c r="M11">
        <v>0</v>
      </c>
      <c r="N11">
        <v>2</v>
      </c>
      <c r="O11">
        <v>0</v>
      </c>
      <c r="P11">
        <v>1</v>
      </c>
      <c r="Q11">
        <v>0</v>
      </c>
      <c r="S11" t="str">
        <f t="shared" ref="S11:T17" si="7">"19:25:40.234"</f>
        <v>19:25:40.234</v>
      </c>
      <c r="T11" t="str">
        <f t="shared" si="7"/>
        <v>19:25:40.234</v>
      </c>
      <c r="U11" t="str">
        <f t="shared" si="1"/>
        <v>AC3944</v>
      </c>
      <c r="V11">
        <v>0</v>
      </c>
      <c r="W11">
        <v>0</v>
      </c>
      <c r="X11">
        <v>2</v>
      </c>
      <c r="Y11">
        <v>0</v>
      </c>
      <c r="AA11">
        <v>0</v>
      </c>
      <c r="AB11">
        <v>8</v>
      </c>
      <c r="AC11">
        <v>3</v>
      </c>
      <c r="AD11">
        <v>0</v>
      </c>
      <c r="AE11">
        <v>9</v>
      </c>
      <c r="AF11" t="s">
        <v>126</v>
      </c>
      <c r="AG11">
        <v>0</v>
      </c>
      <c r="AH11">
        <v>0</v>
      </c>
      <c r="AI11">
        <v>1</v>
      </c>
      <c r="AJ11">
        <v>0</v>
      </c>
      <c r="AK11" t="s">
        <v>149</v>
      </c>
      <c r="AL11">
        <v>32.826740999999998</v>
      </c>
      <c r="AM11" t="s">
        <v>150</v>
      </c>
      <c r="AN11">
        <v>-116.97298000000001</v>
      </c>
      <c r="AO11">
        <v>25</v>
      </c>
      <c r="AP11">
        <v>600</v>
      </c>
      <c r="AQ11" t="s">
        <v>129</v>
      </c>
      <c r="AR11">
        <v>-80</v>
      </c>
      <c r="AS11">
        <v>15</v>
      </c>
      <c r="AT11">
        <v>256</v>
      </c>
      <c r="BB11">
        <v>1200</v>
      </c>
      <c r="BC11">
        <v>1</v>
      </c>
      <c r="BD11" t="str">
        <f t="shared" si="2"/>
        <v xml:space="preserve">N887QR  </v>
      </c>
      <c r="BE11">
        <v>1</v>
      </c>
      <c r="BG11">
        <v>0</v>
      </c>
      <c r="BH11">
        <v>0</v>
      </c>
      <c r="BI11">
        <v>0</v>
      </c>
      <c r="BJ11">
        <v>275</v>
      </c>
      <c r="BK11">
        <v>-325</v>
      </c>
      <c r="BL11" t="s">
        <v>130</v>
      </c>
      <c r="BM11">
        <v>1</v>
      </c>
      <c r="BN11">
        <v>1</v>
      </c>
      <c r="BO11">
        <v>1</v>
      </c>
      <c r="BP11">
        <v>0</v>
      </c>
      <c r="BT11">
        <v>0</v>
      </c>
      <c r="BU11">
        <v>0</v>
      </c>
      <c r="CE11" t="str">
        <f t="shared" ref="CE11:CE17" si="8">"19:25:41.237"</f>
        <v>19:25:41.237</v>
      </c>
      <c r="CF11">
        <v>1237491337</v>
      </c>
      <c r="CS11">
        <v>2</v>
      </c>
      <c r="CT11">
        <v>2</v>
      </c>
      <c r="CU11">
        <v>0</v>
      </c>
      <c r="CV11">
        <v>2</v>
      </c>
      <c r="CW11">
        <v>0</v>
      </c>
      <c r="CX11">
        <v>3</v>
      </c>
      <c r="CY11">
        <v>7</v>
      </c>
      <c r="CZ11" t="s">
        <v>131</v>
      </c>
      <c r="DA11">
        <v>286</v>
      </c>
      <c r="DB11">
        <v>0</v>
      </c>
      <c r="DC11" t="s">
        <v>132</v>
      </c>
      <c r="DD11" t="s">
        <v>133</v>
      </c>
      <c r="DG11">
        <v>779856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1</v>
      </c>
      <c r="DO11">
        <v>0</v>
      </c>
      <c r="DP11">
        <v>0</v>
      </c>
      <c r="DQ11">
        <v>0</v>
      </c>
      <c r="DR11">
        <v>0</v>
      </c>
      <c r="DS11">
        <v>0</v>
      </c>
    </row>
    <row r="12" spans="1:123" x14ac:dyDescent="0.3">
      <c r="A12" t="str">
        <f t="shared" si="6"/>
        <v>10/04/2022 19:25:41.571</v>
      </c>
      <c r="C12" t="str">
        <f t="shared" si="0"/>
        <v>FFDFD3C0</v>
      </c>
      <c r="D12" t="s">
        <v>147</v>
      </c>
      <c r="E12">
        <v>3</v>
      </c>
      <c r="H12">
        <v>166</v>
      </c>
      <c r="I12" t="s">
        <v>144</v>
      </c>
      <c r="J12" t="s">
        <v>148</v>
      </c>
      <c r="K12">
        <v>0</v>
      </c>
      <c r="L12">
        <v>3</v>
      </c>
      <c r="M12">
        <v>0</v>
      </c>
      <c r="N12">
        <v>2</v>
      </c>
      <c r="O12">
        <v>0</v>
      </c>
      <c r="P12">
        <v>1</v>
      </c>
      <c r="Q12">
        <v>0</v>
      </c>
      <c r="S12" t="str">
        <f t="shared" si="7"/>
        <v>19:25:40.234</v>
      </c>
      <c r="T12" t="str">
        <f t="shared" si="7"/>
        <v>19:25:40.234</v>
      </c>
      <c r="U12" t="str">
        <f t="shared" si="1"/>
        <v>AC3944</v>
      </c>
      <c r="V12">
        <v>0</v>
      </c>
      <c r="W12">
        <v>0</v>
      </c>
      <c r="X12">
        <v>2</v>
      </c>
      <c r="Y12">
        <v>0</v>
      </c>
      <c r="AA12">
        <v>0</v>
      </c>
      <c r="AB12">
        <v>8</v>
      </c>
      <c r="AC12">
        <v>3</v>
      </c>
      <c r="AD12">
        <v>0</v>
      </c>
      <c r="AE12">
        <v>9</v>
      </c>
      <c r="AF12" t="s">
        <v>126</v>
      </c>
      <c r="AG12">
        <v>0</v>
      </c>
      <c r="AH12">
        <v>0</v>
      </c>
      <c r="AI12">
        <v>1</v>
      </c>
      <c r="AJ12">
        <v>0</v>
      </c>
      <c r="AK12" t="s">
        <v>149</v>
      </c>
      <c r="AL12">
        <v>32.826740999999998</v>
      </c>
      <c r="AM12" t="s">
        <v>150</v>
      </c>
      <c r="AN12">
        <v>-116.97298000000001</v>
      </c>
      <c r="AO12">
        <v>25</v>
      </c>
      <c r="AP12">
        <v>600</v>
      </c>
      <c r="AQ12" t="s">
        <v>129</v>
      </c>
      <c r="AR12">
        <v>-80</v>
      </c>
      <c r="AS12">
        <v>15</v>
      </c>
      <c r="AT12">
        <v>256</v>
      </c>
      <c r="BB12">
        <v>1200</v>
      </c>
      <c r="BC12">
        <v>1</v>
      </c>
      <c r="BD12" t="str">
        <f t="shared" si="2"/>
        <v xml:space="preserve">N887QR  </v>
      </c>
      <c r="BE12">
        <v>1</v>
      </c>
      <c r="BG12">
        <v>0</v>
      </c>
      <c r="BH12">
        <v>0</v>
      </c>
      <c r="BI12">
        <v>0</v>
      </c>
      <c r="BJ12">
        <v>275</v>
      </c>
      <c r="BK12">
        <v>-325</v>
      </c>
      <c r="BL12" t="s">
        <v>130</v>
      </c>
      <c r="BM12">
        <v>1</v>
      </c>
      <c r="BN12">
        <v>1</v>
      </c>
      <c r="BO12">
        <v>1</v>
      </c>
      <c r="BP12">
        <v>0</v>
      </c>
      <c r="BT12">
        <v>0</v>
      </c>
      <c r="BU12">
        <v>0</v>
      </c>
      <c r="CE12" t="str">
        <f t="shared" si="8"/>
        <v>19:25:41.237</v>
      </c>
      <c r="CF12">
        <v>1237491337</v>
      </c>
      <c r="CS12">
        <v>2</v>
      </c>
      <c r="CT12">
        <v>2</v>
      </c>
      <c r="CU12">
        <v>0</v>
      </c>
      <c r="CV12">
        <v>2</v>
      </c>
      <c r="CW12">
        <v>0</v>
      </c>
      <c r="CX12">
        <v>3</v>
      </c>
      <c r="CY12">
        <v>7</v>
      </c>
      <c r="CZ12" t="s">
        <v>131</v>
      </c>
      <c r="DA12">
        <v>286</v>
      </c>
      <c r="DB12">
        <v>0</v>
      </c>
      <c r="DC12" t="s">
        <v>132</v>
      </c>
      <c r="DD12" t="s">
        <v>133</v>
      </c>
      <c r="DG12">
        <v>779856</v>
      </c>
      <c r="DI12">
        <v>0</v>
      </c>
      <c r="DJ12">
        <v>0</v>
      </c>
      <c r="DK12">
        <v>1</v>
      </c>
      <c r="DL12">
        <v>0</v>
      </c>
      <c r="DM12">
        <v>0</v>
      </c>
      <c r="DN12">
        <v>1</v>
      </c>
      <c r="DO12">
        <v>0</v>
      </c>
      <c r="DP12">
        <v>0</v>
      </c>
      <c r="DQ12">
        <v>0</v>
      </c>
      <c r="DR12">
        <v>0</v>
      </c>
      <c r="DS12">
        <v>0</v>
      </c>
    </row>
    <row r="13" spans="1:123" x14ac:dyDescent="0.3">
      <c r="A13" t="str">
        <f t="shared" si="6"/>
        <v>10/04/2022 19:25:41.571</v>
      </c>
      <c r="C13" t="str">
        <f t="shared" si="0"/>
        <v>FFDFD3C0</v>
      </c>
      <c r="D13" t="s">
        <v>123</v>
      </c>
      <c r="E13">
        <v>7</v>
      </c>
      <c r="F13">
        <v>2007</v>
      </c>
      <c r="G13" t="s">
        <v>124</v>
      </c>
      <c r="J13" t="s">
        <v>125</v>
      </c>
      <c r="K13">
        <v>0</v>
      </c>
      <c r="L13">
        <v>3</v>
      </c>
      <c r="M13">
        <v>0</v>
      </c>
      <c r="N13">
        <v>2</v>
      </c>
      <c r="O13">
        <v>0</v>
      </c>
      <c r="P13">
        <v>1</v>
      </c>
      <c r="Q13">
        <v>0</v>
      </c>
      <c r="S13" t="str">
        <f t="shared" si="7"/>
        <v>19:25:40.234</v>
      </c>
      <c r="T13" t="str">
        <f t="shared" si="7"/>
        <v>19:25:40.234</v>
      </c>
      <c r="U13" t="str">
        <f t="shared" si="1"/>
        <v>AC3944</v>
      </c>
      <c r="V13">
        <v>0</v>
      </c>
      <c r="W13">
        <v>0</v>
      </c>
      <c r="X13">
        <v>2</v>
      </c>
      <c r="Y13">
        <v>0</v>
      </c>
      <c r="AA13">
        <v>0</v>
      </c>
      <c r="AB13">
        <v>8</v>
      </c>
      <c r="AC13">
        <v>3</v>
      </c>
      <c r="AD13">
        <v>0</v>
      </c>
      <c r="AE13">
        <v>9</v>
      </c>
      <c r="AF13" t="s">
        <v>126</v>
      </c>
      <c r="AG13">
        <v>0</v>
      </c>
      <c r="AH13">
        <v>0</v>
      </c>
      <c r="AI13">
        <v>1</v>
      </c>
      <c r="AJ13">
        <v>0</v>
      </c>
      <c r="AK13" t="s">
        <v>149</v>
      </c>
      <c r="AL13">
        <v>32.826740999999998</v>
      </c>
      <c r="AM13" t="s">
        <v>150</v>
      </c>
      <c r="AN13">
        <v>-116.97298000000001</v>
      </c>
      <c r="AO13">
        <v>25</v>
      </c>
      <c r="AP13">
        <v>600</v>
      </c>
      <c r="AQ13" t="s">
        <v>129</v>
      </c>
      <c r="AR13">
        <v>-80</v>
      </c>
      <c r="AS13">
        <v>15</v>
      </c>
      <c r="AT13">
        <v>256</v>
      </c>
      <c r="BB13">
        <v>1200</v>
      </c>
      <c r="BC13">
        <v>1</v>
      </c>
      <c r="BD13" t="str">
        <f t="shared" si="2"/>
        <v xml:space="preserve">N887QR  </v>
      </c>
      <c r="BE13">
        <v>1</v>
      </c>
      <c r="BG13">
        <v>0</v>
      </c>
      <c r="BH13">
        <v>0</v>
      </c>
      <c r="BI13">
        <v>0</v>
      </c>
      <c r="BJ13">
        <v>275</v>
      </c>
      <c r="BK13">
        <v>-325</v>
      </c>
      <c r="BL13" t="s">
        <v>130</v>
      </c>
      <c r="BM13">
        <v>1</v>
      </c>
      <c r="BN13">
        <v>1</v>
      </c>
      <c r="BO13">
        <v>1</v>
      </c>
      <c r="BP13">
        <v>0</v>
      </c>
      <c r="BT13">
        <v>0</v>
      </c>
      <c r="BU13">
        <v>0</v>
      </c>
      <c r="CE13" t="str">
        <f t="shared" si="8"/>
        <v>19:25:41.237</v>
      </c>
      <c r="CF13">
        <v>1237491337</v>
      </c>
      <c r="CS13">
        <v>2</v>
      </c>
      <c r="CT13">
        <v>2</v>
      </c>
      <c r="CU13">
        <v>0</v>
      </c>
      <c r="CV13">
        <v>2</v>
      </c>
      <c r="CW13">
        <v>0</v>
      </c>
      <c r="CX13">
        <v>3</v>
      </c>
      <c r="CY13">
        <v>7</v>
      </c>
      <c r="CZ13" t="s">
        <v>131</v>
      </c>
      <c r="DA13">
        <v>286</v>
      </c>
      <c r="DB13">
        <v>0</v>
      </c>
      <c r="DC13" t="s">
        <v>132</v>
      </c>
      <c r="DD13" t="s">
        <v>133</v>
      </c>
      <c r="DG13">
        <v>779856</v>
      </c>
      <c r="DI13">
        <v>0</v>
      </c>
      <c r="DJ13">
        <v>0</v>
      </c>
      <c r="DK13">
        <v>1</v>
      </c>
      <c r="DL13">
        <v>0</v>
      </c>
      <c r="DM13">
        <v>0</v>
      </c>
      <c r="DN13">
        <v>1</v>
      </c>
      <c r="DO13">
        <v>0</v>
      </c>
      <c r="DP13">
        <v>0</v>
      </c>
      <c r="DQ13">
        <v>0</v>
      </c>
      <c r="DR13">
        <v>0</v>
      </c>
      <c r="DS13">
        <v>0</v>
      </c>
    </row>
    <row r="14" spans="1:123" x14ac:dyDescent="0.3">
      <c r="A14" t="str">
        <f t="shared" si="6"/>
        <v>10/04/2022 19:25:41.571</v>
      </c>
      <c r="C14" t="str">
        <f t="shared" si="0"/>
        <v>FFDFD3C0</v>
      </c>
      <c r="D14" t="s">
        <v>141</v>
      </c>
      <c r="E14">
        <v>4</v>
      </c>
      <c r="H14">
        <v>4</v>
      </c>
      <c r="I14" t="s">
        <v>142</v>
      </c>
      <c r="J14" t="s">
        <v>138</v>
      </c>
      <c r="K14">
        <v>0</v>
      </c>
      <c r="L14">
        <v>3</v>
      </c>
      <c r="M14">
        <v>0</v>
      </c>
      <c r="N14">
        <v>2</v>
      </c>
      <c r="O14">
        <v>0</v>
      </c>
      <c r="P14">
        <v>1</v>
      </c>
      <c r="Q14">
        <v>0</v>
      </c>
      <c r="S14" t="str">
        <f t="shared" si="7"/>
        <v>19:25:40.234</v>
      </c>
      <c r="T14" t="str">
        <f t="shared" si="7"/>
        <v>19:25:40.234</v>
      </c>
      <c r="U14" t="str">
        <f t="shared" si="1"/>
        <v>AC3944</v>
      </c>
      <c r="V14">
        <v>0</v>
      </c>
      <c r="W14">
        <v>0</v>
      </c>
      <c r="X14">
        <v>2</v>
      </c>
      <c r="Y14">
        <v>0</v>
      </c>
      <c r="AA14">
        <v>0</v>
      </c>
      <c r="AB14">
        <v>8</v>
      </c>
      <c r="AC14">
        <v>3</v>
      </c>
      <c r="AD14">
        <v>0</v>
      </c>
      <c r="AE14">
        <v>9</v>
      </c>
      <c r="AF14" t="s">
        <v>126</v>
      </c>
      <c r="AG14">
        <v>0</v>
      </c>
      <c r="AH14">
        <v>0</v>
      </c>
      <c r="AI14">
        <v>1</v>
      </c>
      <c r="AJ14">
        <v>0</v>
      </c>
      <c r="AK14" t="s">
        <v>149</v>
      </c>
      <c r="AL14">
        <v>32.826740999999998</v>
      </c>
      <c r="AM14" t="s">
        <v>150</v>
      </c>
      <c r="AN14">
        <v>-116.97298000000001</v>
      </c>
      <c r="AO14">
        <v>25</v>
      </c>
      <c r="AP14">
        <v>600</v>
      </c>
      <c r="AQ14" t="s">
        <v>129</v>
      </c>
      <c r="AR14">
        <v>-80</v>
      </c>
      <c r="AS14">
        <v>15</v>
      </c>
      <c r="AT14">
        <v>256</v>
      </c>
      <c r="BB14">
        <v>1200</v>
      </c>
      <c r="BC14">
        <v>1</v>
      </c>
      <c r="BD14" t="str">
        <f t="shared" si="2"/>
        <v xml:space="preserve">N887QR  </v>
      </c>
      <c r="BE14">
        <v>1</v>
      </c>
      <c r="BG14">
        <v>0</v>
      </c>
      <c r="BH14">
        <v>0</v>
      </c>
      <c r="BI14">
        <v>0</v>
      </c>
      <c r="BJ14">
        <v>275</v>
      </c>
      <c r="BK14">
        <v>-325</v>
      </c>
      <c r="BL14" t="s">
        <v>130</v>
      </c>
      <c r="BM14">
        <v>1</v>
      </c>
      <c r="BN14">
        <v>1</v>
      </c>
      <c r="BO14">
        <v>1</v>
      </c>
      <c r="BP14">
        <v>0</v>
      </c>
      <c r="BT14">
        <v>0</v>
      </c>
      <c r="BU14">
        <v>0</v>
      </c>
      <c r="CE14" t="str">
        <f t="shared" si="8"/>
        <v>19:25:41.237</v>
      </c>
      <c r="CF14">
        <v>1237491337</v>
      </c>
      <c r="CS14">
        <v>2</v>
      </c>
      <c r="CT14">
        <v>2</v>
      </c>
      <c r="CU14">
        <v>0</v>
      </c>
      <c r="CV14">
        <v>2</v>
      </c>
      <c r="CW14">
        <v>0</v>
      </c>
      <c r="CX14">
        <v>3</v>
      </c>
      <c r="CY14">
        <v>7</v>
      </c>
      <c r="CZ14" t="s">
        <v>131</v>
      </c>
      <c r="DA14">
        <v>286</v>
      </c>
      <c r="DB14">
        <v>0</v>
      </c>
      <c r="DC14" t="s">
        <v>132</v>
      </c>
      <c r="DD14" t="s">
        <v>133</v>
      </c>
      <c r="DG14">
        <v>779856</v>
      </c>
      <c r="DI14">
        <v>0</v>
      </c>
      <c r="DJ14">
        <v>0</v>
      </c>
      <c r="DK14">
        <v>1</v>
      </c>
      <c r="DL14">
        <v>0</v>
      </c>
      <c r="DM14">
        <v>0</v>
      </c>
      <c r="DN14">
        <v>1</v>
      </c>
      <c r="DO14">
        <v>0</v>
      </c>
      <c r="DP14">
        <v>0</v>
      </c>
      <c r="DQ14">
        <v>0</v>
      </c>
      <c r="DR14">
        <v>0</v>
      </c>
      <c r="DS14">
        <v>0</v>
      </c>
    </row>
    <row r="15" spans="1:123" x14ac:dyDescent="0.3">
      <c r="A15" t="str">
        <f t="shared" si="6"/>
        <v>10/04/2022 19:25:41.571</v>
      </c>
      <c r="C15" t="str">
        <f t="shared" si="0"/>
        <v>FFDFD3C0</v>
      </c>
      <c r="D15" t="s">
        <v>136</v>
      </c>
      <c r="E15">
        <v>8</v>
      </c>
      <c r="H15">
        <v>225</v>
      </c>
      <c r="I15" t="s">
        <v>137</v>
      </c>
      <c r="J15" t="s">
        <v>138</v>
      </c>
      <c r="K15">
        <v>0</v>
      </c>
      <c r="L15">
        <v>3</v>
      </c>
      <c r="M15">
        <v>0</v>
      </c>
      <c r="N15">
        <v>2</v>
      </c>
      <c r="O15">
        <v>0</v>
      </c>
      <c r="P15">
        <v>1</v>
      </c>
      <c r="Q15">
        <v>0</v>
      </c>
      <c r="S15" t="str">
        <f t="shared" si="7"/>
        <v>19:25:40.234</v>
      </c>
      <c r="T15" t="str">
        <f t="shared" si="7"/>
        <v>19:25:40.234</v>
      </c>
      <c r="U15" t="str">
        <f t="shared" si="1"/>
        <v>AC3944</v>
      </c>
      <c r="V15">
        <v>0</v>
      </c>
      <c r="W15">
        <v>0</v>
      </c>
      <c r="X15">
        <v>2</v>
      </c>
      <c r="Y15">
        <v>0</v>
      </c>
      <c r="AA15">
        <v>0</v>
      </c>
      <c r="AB15">
        <v>8</v>
      </c>
      <c r="AC15">
        <v>3</v>
      </c>
      <c r="AD15">
        <v>0</v>
      </c>
      <c r="AE15">
        <v>9</v>
      </c>
      <c r="AF15" t="s">
        <v>126</v>
      </c>
      <c r="AG15">
        <v>0</v>
      </c>
      <c r="AH15">
        <v>0</v>
      </c>
      <c r="AI15">
        <v>1</v>
      </c>
      <c r="AJ15">
        <v>0</v>
      </c>
      <c r="AK15" t="s">
        <v>149</v>
      </c>
      <c r="AL15">
        <v>32.826740999999998</v>
      </c>
      <c r="AM15" t="s">
        <v>150</v>
      </c>
      <c r="AN15">
        <v>-116.97298000000001</v>
      </c>
      <c r="AO15">
        <v>25</v>
      </c>
      <c r="AP15">
        <v>600</v>
      </c>
      <c r="AQ15" t="s">
        <v>129</v>
      </c>
      <c r="AR15">
        <v>-80</v>
      </c>
      <c r="AS15">
        <v>15</v>
      </c>
      <c r="AT15">
        <v>256</v>
      </c>
      <c r="BB15">
        <v>1200</v>
      </c>
      <c r="BC15">
        <v>1</v>
      </c>
      <c r="BD15" t="str">
        <f t="shared" si="2"/>
        <v xml:space="preserve">N887QR  </v>
      </c>
      <c r="BE15">
        <v>1</v>
      </c>
      <c r="BG15">
        <v>0</v>
      </c>
      <c r="BH15">
        <v>0</v>
      </c>
      <c r="BI15">
        <v>0</v>
      </c>
      <c r="BJ15">
        <v>275</v>
      </c>
      <c r="BK15">
        <v>-325</v>
      </c>
      <c r="BL15" t="s">
        <v>130</v>
      </c>
      <c r="BM15">
        <v>1</v>
      </c>
      <c r="BN15">
        <v>1</v>
      </c>
      <c r="BO15">
        <v>1</v>
      </c>
      <c r="BP15">
        <v>0</v>
      </c>
      <c r="BT15">
        <v>0</v>
      </c>
      <c r="BU15">
        <v>0</v>
      </c>
      <c r="CE15" t="str">
        <f t="shared" si="8"/>
        <v>19:25:41.237</v>
      </c>
      <c r="CF15">
        <v>1237491337</v>
      </c>
      <c r="CS15">
        <v>2</v>
      </c>
      <c r="CT15">
        <v>2</v>
      </c>
      <c r="CU15">
        <v>0</v>
      </c>
      <c r="CV15">
        <v>2</v>
      </c>
      <c r="CW15">
        <v>0</v>
      </c>
      <c r="CX15">
        <v>3</v>
      </c>
      <c r="CY15">
        <v>7</v>
      </c>
      <c r="CZ15" t="s">
        <v>131</v>
      </c>
      <c r="DA15">
        <v>286</v>
      </c>
      <c r="DB15">
        <v>0</v>
      </c>
      <c r="DC15" t="s">
        <v>132</v>
      </c>
      <c r="DD15" t="s">
        <v>133</v>
      </c>
      <c r="DG15">
        <v>779856</v>
      </c>
      <c r="DI15">
        <v>0</v>
      </c>
      <c r="DJ15">
        <v>0</v>
      </c>
      <c r="DK15">
        <v>1</v>
      </c>
      <c r="DL15">
        <v>0</v>
      </c>
      <c r="DM15">
        <v>0</v>
      </c>
      <c r="DN15">
        <v>1</v>
      </c>
      <c r="DO15">
        <v>0</v>
      </c>
      <c r="DP15">
        <v>0</v>
      </c>
      <c r="DQ15">
        <v>0</v>
      </c>
      <c r="DR15">
        <v>0</v>
      </c>
      <c r="DS15">
        <v>0</v>
      </c>
    </row>
    <row r="16" spans="1:123" x14ac:dyDescent="0.3">
      <c r="A16" t="str">
        <f t="shared" si="6"/>
        <v>10/04/2022 19:25:41.571</v>
      </c>
      <c r="C16" t="str">
        <f t="shared" si="0"/>
        <v>FFDFD3C0</v>
      </c>
      <c r="D16" t="s">
        <v>143</v>
      </c>
      <c r="E16">
        <v>20</v>
      </c>
      <c r="F16">
        <v>1020</v>
      </c>
      <c r="G16" t="s">
        <v>144</v>
      </c>
      <c r="J16" t="s">
        <v>145</v>
      </c>
      <c r="K16">
        <v>0</v>
      </c>
      <c r="L16">
        <v>3</v>
      </c>
      <c r="M16">
        <v>0</v>
      </c>
      <c r="N16">
        <v>2</v>
      </c>
      <c r="O16">
        <v>0</v>
      </c>
      <c r="P16">
        <v>1</v>
      </c>
      <c r="Q16">
        <v>0</v>
      </c>
      <c r="S16" t="str">
        <f t="shared" si="7"/>
        <v>19:25:40.234</v>
      </c>
      <c r="T16" t="str">
        <f t="shared" si="7"/>
        <v>19:25:40.234</v>
      </c>
      <c r="U16" t="str">
        <f t="shared" si="1"/>
        <v>AC3944</v>
      </c>
      <c r="V16">
        <v>0</v>
      </c>
      <c r="W16">
        <v>0</v>
      </c>
      <c r="X16">
        <v>2</v>
      </c>
      <c r="Y16">
        <v>0</v>
      </c>
      <c r="AA16">
        <v>0</v>
      </c>
      <c r="AB16">
        <v>8</v>
      </c>
      <c r="AC16">
        <v>3</v>
      </c>
      <c r="AD16">
        <v>0</v>
      </c>
      <c r="AE16">
        <v>9</v>
      </c>
      <c r="AF16" t="s">
        <v>126</v>
      </c>
      <c r="AG16">
        <v>0</v>
      </c>
      <c r="AH16">
        <v>0</v>
      </c>
      <c r="AI16">
        <v>1</v>
      </c>
      <c r="AJ16">
        <v>0</v>
      </c>
      <c r="AK16" t="s">
        <v>149</v>
      </c>
      <c r="AL16">
        <v>32.826740999999998</v>
      </c>
      <c r="AM16" t="s">
        <v>150</v>
      </c>
      <c r="AN16">
        <v>-116.97298000000001</v>
      </c>
      <c r="AO16">
        <v>25</v>
      </c>
      <c r="AP16">
        <v>600</v>
      </c>
      <c r="AQ16" t="s">
        <v>129</v>
      </c>
      <c r="AR16">
        <v>-80</v>
      </c>
      <c r="AS16">
        <v>15</v>
      </c>
      <c r="AT16">
        <v>256</v>
      </c>
      <c r="BB16">
        <v>1200</v>
      </c>
      <c r="BC16">
        <v>1</v>
      </c>
      <c r="BD16" t="str">
        <f t="shared" si="2"/>
        <v xml:space="preserve">N887QR  </v>
      </c>
      <c r="BE16">
        <v>1</v>
      </c>
      <c r="BG16">
        <v>0</v>
      </c>
      <c r="BH16">
        <v>0</v>
      </c>
      <c r="BI16">
        <v>0</v>
      </c>
      <c r="BJ16">
        <v>275</v>
      </c>
      <c r="BK16">
        <v>-325</v>
      </c>
      <c r="BL16" t="s">
        <v>130</v>
      </c>
      <c r="BM16">
        <v>1</v>
      </c>
      <c r="BN16">
        <v>1</v>
      </c>
      <c r="BO16">
        <v>1</v>
      </c>
      <c r="BP16">
        <v>0</v>
      </c>
      <c r="BT16">
        <v>0</v>
      </c>
      <c r="BU16">
        <v>0</v>
      </c>
      <c r="CE16" t="str">
        <f t="shared" si="8"/>
        <v>19:25:41.237</v>
      </c>
      <c r="CF16">
        <v>1237491337</v>
      </c>
      <c r="CS16">
        <v>2</v>
      </c>
      <c r="CT16">
        <v>2</v>
      </c>
      <c r="CU16">
        <v>0</v>
      </c>
      <c r="CV16">
        <v>2</v>
      </c>
      <c r="CW16">
        <v>0</v>
      </c>
      <c r="CX16">
        <v>3</v>
      </c>
      <c r="CY16">
        <v>7</v>
      </c>
      <c r="CZ16" t="s">
        <v>131</v>
      </c>
      <c r="DA16">
        <v>286</v>
      </c>
      <c r="DB16">
        <v>0</v>
      </c>
      <c r="DC16" t="s">
        <v>132</v>
      </c>
      <c r="DD16" t="s">
        <v>133</v>
      </c>
      <c r="DG16">
        <v>779856</v>
      </c>
      <c r="DI16">
        <v>0</v>
      </c>
      <c r="DJ16">
        <v>0</v>
      </c>
      <c r="DK16">
        <v>1</v>
      </c>
      <c r="DL16">
        <v>0</v>
      </c>
      <c r="DM16">
        <v>0</v>
      </c>
      <c r="DN16">
        <v>1</v>
      </c>
      <c r="DO16">
        <v>0</v>
      </c>
      <c r="DP16">
        <v>0</v>
      </c>
      <c r="DQ16">
        <v>0</v>
      </c>
      <c r="DR16">
        <v>0</v>
      </c>
      <c r="DS16">
        <v>0</v>
      </c>
    </row>
    <row r="17" spans="1:123" x14ac:dyDescent="0.3">
      <c r="A17" t="str">
        <f t="shared" si="6"/>
        <v>10/04/2022 19:25:41.571</v>
      </c>
      <c r="C17" t="str">
        <f t="shared" si="0"/>
        <v>FFDFD3C0</v>
      </c>
      <c r="D17" t="s">
        <v>134</v>
      </c>
      <c r="E17">
        <v>15</v>
      </c>
      <c r="J17" t="s">
        <v>135</v>
      </c>
      <c r="K17">
        <v>0</v>
      </c>
      <c r="L17">
        <v>3</v>
      </c>
      <c r="M17">
        <v>0</v>
      </c>
      <c r="N17">
        <v>2</v>
      </c>
      <c r="O17">
        <v>0</v>
      </c>
      <c r="P17">
        <v>1</v>
      </c>
      <c r="Q17">
        <v>0</v>
      </c>
      <c r="S17" t="str">
        <f t="shared" si="7"/>
        <v>19:25:40.234</v>
      </c>
      <c r="T17" t="str">
        <f t="shared" si="7"/>
        <v>19:25:40.234</v>
      </c>
      <c r="U17" t="str">
        <f t="shared" si="1"/>
        <v>AC3944</v>
      </c>
      <c r="V17">
        <v>0</v>
      </c>
      <c r="W17">
        <v>0</v>
      </c>
      <c r="X17">
        <v>2</v>
      </c>
      <c r="Y17">
        <v>0</v>
      </c>
      <c r="AA17">
        <v>0</v>
      </c>
      <c r="AB17">
        <v>8</v>
      </c>
      <c r="AC17">
        <v>3</v>
      </c>
      <c r="AD17">
        <v>0</v>
      </c>
      <c r="AE17">
        <v>9</v>
      </c>
      <c r="AF17" t="s">
        <v>126</v>
      </c>
      <c r="AG17">
        <v>0</v>
      </c>
      <c r="AH17">
        <v>0</v>
      </c>
      <c r="AI17">
        <v>1</v>
      </c>
      <c r="AJ17">
        <v>0</v>
      </c>
      <c r="AK17" t="s">
        <v>149</v>
      </c>
      <c r="AL17">
        <v>32.826740999999998</v>
      </c>
      <c r="AM17" t="s">
        <v>150</v>
      </c>
      <c r="AN17">
        <v>-116.97298000000001</v>
      </c>
      <c r="AO17">
        <v>25</v>
      </c>
      <c r="AP17">
        <v>600</v>
      </c>
      <c r="AQ17" t="s">
        <v>129</v>
      </c>
      <c r="AR17">
        <v>-80</v>
      </c>
      <c r="AS17">
        <v>15</v>
      </c>
      <c r="AT17">
        <v>256</v>
      </c>
      <c r="BB17">
        <v>1200</v>
      </c>
      <c r="BC17">
        <v>1</v>
      </c>
      <c r="BD17" t="str">
        <f t="shared" si="2"/>
        <v xml:space="preserve">N887QR  </v>
      </c>
      <c r="BE17">
        <v>1</v>
      </c>
      <c r="BG17">
        <v>0</v>
      </c>
      <c r="BH17">
        <v>0</v>
      </c>
      <c r="BI17">
        <v>0</v>
      </c>
      <c r="BJ17">
        <v>275</v>
      </c>
      <c r="BK17">
        <v>-325</v>
      </c>
      <c r="BL17" t="s">
        <v>130</v>
      </c>
      <c r="BM17">
        <v>1</v>
      </c>
      <c r="BN17">
        <v>1</v>
      </c>
      <c r="BO17">
        <v>1</v>
      </c>
      <c r="BP17">
        <v>0</v>
      </c>
      <c r="BT17">
        <v>0</v>
      </c>
      <c r="BU17">
        <v>0</v>
      </c>
      <c r="CE17" t="str">
        <f t="shared" si="8"/>
        <v>19:25:41.237</v>
      </c>
      <c r="CF17">
        <v>1237491337</v>
      </c>
      <c r="CS17">
        <v>2</v>
      </c>
      <c r="CT17">
        <v>2</v>
      </c>
      <c r="CU17">
        <v>0</v>
      </c>
      <c r="CV17">
        <v>2</v>
      </c>
      <c r="CW17">
        <v>0</v>
      </c>
      <c r="CX17">
        <v>3</v>
      </c>
      <c r="CY17">
        <v>7</v>
      </c>
      <c r="CZ17" t="s">
        <v>131</v>
      </c>
      <c r="DA17">
        <v>286</v>
      </c>
      <c r="DB17">
        <v>0</v>
      </c>
      <c r="DC17" t="s">
        <v>132</v>
      </c>
      <c r="DD17" t="s">
        <v>133</v>
      </c>
      <c r="DG17">
        <v>779856</v>
      </c>
      <c r="DI17">
        <v>0</v>
      </c>
      <c r="DJ17">
        <v>0</v>
      </c>
      <c r="DK17">
        <v>1</v>
      </c>
      <c r="DL17">
        <v>0</v>
      </c>
      <c r="DM17">
        <v>0</v>
      </c>
      <c r="DN17">
        <v>1</v>
      </c>
      <c r="DO17">
        <v>0</v>
      </c>
      <c r="DP17">
        <v>0</v>
      </c>
      <c r="DQ17">
        <v>0</v>
      </c>
      <c r="DR17">
        <v>0</v>
      </c>
      <c r="DS17">
        <v>0</v>
      </c>
    </row>
    <row r="18" spans="1:123" x14ac:dyDescent="0.3">
      <c r="A18" t="str">
        <f>"10/04/2022 19:25:42.399"</f>
        <v>10/04/2022 19:25:42.399</v>
      </c>
      <c r="C18" t="str">
        <f t="shared" si="0"/>
        <v>FFDFD3C0</v>
      </c>
      <c r="D18" t="s">
        <v>134</v>
      </c>
      <c r="E18">
        <v>15</v>
      </c>
      <c r="J18" t="s">
        <v>135</v>
      </c>
      <c r="K18">
        <v>0</v>
      </c>
      <c r="L18">
        <v>3</v>
      </c>
      <c r="M18">
        <v>0</v>
      </c>
      <c r="N18">
        <v>2</v>
      </c>
      <c r="O18">
        <v>0</v>
      </c>
      <c r="P18">
        <v>1</v>
      </c>
      <c r="Q18">
        <v>0</v>
      </c>
      <c r="S18" t="str">
        <f t="shared" ref="S18:T21" si="9">"19:25:41.141"</f>
        <v>19:25:41.141</v>
      </c>
      <c r="T18" t="str">
        <f t="shared" si="9"/>
        <v>19:25:41.141</v>
      </c>
      <c r="U18" t="str">
        <f t="shared" si="1"/>
        <v>AC3944</v>
      </c>
      <c r="V18">
        <v>0</v>
      </c>
      <c r="W18">
        <v>0</v>
      </c>
      <c r="X18">
        <v>2</v>
      </c>
      <c r="Y18">
        <v>0</v>
      </c>
      <c r="AA18">
        <v>0</v>
      </c>
      <c r="AB18">
        <v>8</v>
      </c>
      <c r="AC18">
        <v>3</v>
      </c>
      <c r="AD18">
        <v>0</v>
      </c>
      <c r="AE18">
        <v>9</v>
      </c>
      <c r="AF18" t="s">
        <v>126</v>
      </c>
      <c r="AG18">
        <v>0</v>
      </c>
      <c r="AH18">
        <v>0</v>
      </c>
      <c r="AI18">
        <v>1</v>
      </c>
      <c r="AJ18">
        <v>0</v>
      </c>
      <c r="AK18" t="s">
        <v>151</v>
      </c>
      <c r="AL18">
        <v>32.826805</v>
      </c>
      <c r="AM18" t="s">
        <v>152</v>
      </c>
      <c r="AN18">
        <v>-116.97334499999999</v>
      </c>
      <c r="AO18">
        <v>25</v>
      </c>
      <c r="AP18">
        <v>600</v>
      </c>
      <c r="AQ18" t="s">
        <v>129</v>
      </c>
      <c r="AR18">
        <v>-83</v>
      </c>
      <c r="AS18">
        <v>14</v>
      </c>
      <c r="AT18">
        <v>256</v>
      </c>
      <c r="BB18">
        <v>1200</v>
      </c>
      <c r="BC18">
        <v>1</v>
      </c>
      <c r="BD18" t="str">
        <f t="shared" si="2"/>
        <v xml:space="preserve">N887QR  </v>
      </c>
      <c r="BE18">
        <v>1</v>
      </c>
      <c r="BG18">
        <v>0</v>
      </c>
      <c r="BH18">
        <v>0</v>
      </c>
      <c r="BI18">
        <v>0</v>
      </c>
      <c r="BJ18">
        <v>275</v>
      </c>
      <c r="BK18">
        <v>-325</v>
      </c>
      <c r="BL18" t="s">
        <v>130</v>
      </c>
      <c r="BM18">
        <v>1</v>
      </c>
      <c r="BN18">
        <v>1</v>
      </c>
      <c r="BO18">
        <v>1</v>
      </c>
      <c r="BP18">
        <v>0</v>
      </c>
      <c r="BT18">
        <v>0</v>
      </c>
      <c r="BU18">
        <v>0</v>
      </c>
      <c r="CE18" t="str">
        <f>"19:25:42.143"</f>
        <v>19:25:42.143</v>
      </c>
      <c r="CF18">
        <v>1143244334</v>
      </c>
      <c r="CS18">
        <v>2</v>
      </c>
      <c r="CT18">
        <v>2</v>
      </c>
      <c r="CU18">
        <v>0</v>
      </c>
      <c r="CV18">
        <v>2</v>
      </c>
      <c r="CW18">
        <v>0</v>
      </c>
      <c r="CX18">
        <v>5</v>
      </c>
      <c r="CY18">
        <v>7</v>
      </c>
      <c r="CZ18" t="s">
        <v>131</v>
      </c>
      <c r="DA18">
        <v>286</v>
      </c>
      <c r="DB18">
        <v>0</v>
      </c>
      <c r="DC18" t="s">
        <v>132</v>
      </c>
      <c r="DD18" t="s">
        <v>133</v>
      </c>
      <c r="DG18">
        <v>780043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1</v>
      </c>
      <c r="DO18">
        <v>0</v>
      </c>
      <c r="DP18">
        <v>0</v>
      </c>
      <c r="DQ18">
        <v>0</v>
      </c>
      <c r="DR18">
        <v>0</v>
      </c>
      <c r="DS18">
        <v>0</v>
      </c>
    </row>
    <row r="19" spans="1:123" x14ac:dyDescent="0.3">
      <c r="A19" t="str">
        <f>"10/04/2022 19:25:42.399"</f>
        <v>10/04/2022 19:25:42.399</v>
      </c>
      <c r="C19" t="str">
        <f t="shared" si="0"/>
        <v>FFDFD3C0</v>
      </c>
      <c r="D19" t="s">
        <v>123</v>
      </c>
      <c r="E19">
        <v>7</v>
      </c>
      <c r="F19">
        <v>2007</v>
      </c>
      <c r="G19" t="s">
        <v>124</v>
      </c>
      <c r="J19" t="s">
        <v>125</v>
      </c>
      <c r="K19">
        <v>0</v>
      </c>
      <c r="L19">
        <v>3</v>
      </c>
      <c r="M19">
        <v>0</v>
      </c>
      <c r="N19">
        <v>2</v>
      </c>
      <c r="O19">
        <v>0</v>
      </c>
      <c r="P19">
        <v>1</v>
      </c>
      <c r="Q19">
        <v>0</v>
      </c>
      <c r="S19" t="str">
        <f t="shared" si="9"/>
        <v>19:25:41.141</v>
      </c>
      <c r="T19" t="str">
        <f t="shared" si="9"/>
        <v>19:25:41.141</v>
      </c>
      <c r="U19" t="str">
        <f t="shared" si="1"/>
        <v>AC3944</v>
      </c>
      <c r="V19">
        <v>0</v>
      </c>
      <c r="W19">
        <v>0</v>
      </c>
      <c r="X19">
        <v>2</v>
      </c>
      <c r="Y19">
        <v>0</v>
      </c>
      <c r="AA19">
        <v>0</v>
      </c>
      <c r="AB19">
        <v>8</v>
      </c>
      <c r="AC19">
        <v>3</v>
      </c>
      <c r="AD19">
        <v>0</v>
      </c>
      <c r="AE19">
        <v>9</v>
      </c>
      <c r="AF19" t="s">
        <v>126</v>
      </c>
      <c r="AG19">
        <v>0</v>
      </c>
      <c r="AH19">
        <v>0</v>
      </c>
      <c r="AI19">
        <v>1</v>
      </c>
      <c r="AJ19">
        <v>0</v>
      </c>
      <c r="AK19" t="s">
        <v>151</v>
      </c>
      <c r="AL19">
        <v>32.826805</v>
      </c>
      <c r="AM19" t="s">
        <v>152</v>
      </c>
      <c r="AN19">
        <v>-116.97334499999999</v>
      </c>
      <c r="AO19">
        <v>25</v>
      </c>
      <c r="AP19">
        <v>600</v>
      </c>
      <c r="AQ19" t="s">
        <v>129</v>
      </c>
      <c r="AR19">
        <v>-83</v>
      </c>
      <c r="AS19">
        <v>14</v>
      </c>
      <c r="AT19">
        <v>256</v>
      </c>
      <c r="BB19">
        <v>1200</v>
      </c>
      <c r="BC19">
        <v>1</v>
      </c>
      <c r="BD19" t="str">
        <f t="shared" si="2"/>
        <v xml:space="preserve">N887QR  </v>
      </c>
      <c r="BE19">
        <v>1</v>
      </c>
      <c r="BG19">
        <v>0</v>
      </c>
      <c r="BH19">
        <v>0</v>
      </c>
      <c r="BI19">
        <v>0</v>
      </c>
      <c r="BJ19">
        <v>275</v>
      </c>
      <c r="BK19">
        <v>-325</v>
      </c>
      <c r="BL19" t="s">
        <v>130</v>
      </c>
      <c r="BM19">
        <v>1</v>
      </c>
      <c r="BN19">
        <v>1</v>
      </c>
      <c r="BO19">
        <v>1</v>
      </c>
      <c r="BP19">
        <v>0</v>
      </c>
      <c r="BT19">
        <v>0</v>
      </c>
      <c r="BU19">
        <v>0</v>
      </c>
      <c r="CE19" t="str">
        <f>"19:25:42.143"</f>
        <v>19:25:42.143</v>
      </c>
      <c r="CF19">
        <v>1143244334</v>
      </c>
      <c r="CS19">
        <v>2</v>
      </c>
      <c r="CT19">
        <v>2</v>
      </c>
      <c r="CU19">
        <v>0</v>
      </c>
      <c r="CV19">
        <v>2</v>
      </c>
      <c r="CW19">
        <v>0</v>
      </c>
      <c r="CX19">
        <v>5</v>
      </c>
      <c r="CY19">
        <v>7</v>
      </c>
      <c r="CZ19" t="s">
        <v>131</v>
      </c>
      <c r="DA19">
        <v>286</v>
      </c>
      <c r="DB19">
        <v>0</v>
      </c>
      <c r="DC19" t="s">
        <v>132</v>
      </c>
      <c r="DD19" t="s">
        <v>133</v>
      </c>
      <c r="DG19">
        <v>780043</v>
      </c>
      <c r="DI19">
        <v>0</v>
      </c>
      <c r="DJ19">
        <v>0</v>
      </c>
      <c r="DK19">
        <v>1</v>
      </c>
      <c r="DL19">
        <v>0</v>
      </c>
      <c r="DM19">
        <v>0</v>
      </c>
      <c r="DN19">
        <v>1</v>
      </c>
      <c r="DO19">
        <v>0</v>
      </c>
      <c r="DP19">
        <v>0</v>
      </c>
      <c r="DQ19">
        <v>0</v>
      </c>
      <c r="DR19">
        <v>0</v>
      </c>
      <c r="DS19">
        <v>0</v>
      </c>
    </row>
    <row r="20" spans="1:123" x14ac:dyDescent="0.3">
      <c r="A20" t="str">
        <f>"10/04/2022 19:25:42.446"</f>
        <v>10/04/2022 19:25:42.446</v>
      </c>
      <c r="C20" t="str">
        <f t="shared" si="0"/>
        <v>FFDFD3C0</v>
      </c>
      <c r="D20" t="s">
        <v>141</v>
      </c>
      <c r="E20">
        <v>3</v>
      </c>
      <c r="H20">
        <v>3</v>
      </c>
      <c r="I20" t="s">
        <v>146</v>
      </c>
      <c r="J20" t="s">
        <v>138</v>
      </c>
      <c r="K20">
        <v>0</v>
      </c>
      <c r="L20">
        <v>3</v>
      </c>
      <c r="M20">
        <v>0</v>
      </c>
      <c r="N20">
        <v>2</v>
      </c>
      <c r="O20">
        <v>0</v>
      </c>
      <c r="P20">
        <v>1</v>
      </c>
      <c r="Q20">
        <v>0</v>
      </c>
      <c r="S20" t="str">
        <f t="shared" si="9"/>
        <v>19:25:41.141</v>
      </c>
      <c r="T20" t="str">
        <f t="shared" si="9"/>
        <v>19:25:41.141</v>
      </c>
      <c r="U20" t="str">
        <f t="shared" si="1"/>
        <v>AC3944</v>
      </c>
      <c r="V20">
        <v>0</v>
      </c>
      <c r="W20">
        <v>0</v>
      </c>
      <c r="X20">
        <v>2</v>
      </c>
      <c r="Y20">
        <v>0</v>
      </c>
      <c r="AA20">
        <v>0</v>
      </c>
      <c r="AB20">
        <v>8</v>
      </c>
      <c r="AC20">
        <v>3</v>
      </c>
      <c r="AD20">
        <v>0</v>
      </c>
      <c r="AE20">
        <v>9</v>
      </c>
      <c r="AF20" t="s">
        <v>126</v>
      </c>
      <c r="AG20">
        <v>0</v>
      </c>
      <c r="AH20">
        <v>0</v>
      </c>
      <c r="AI20">
        <v>1</v>
      </c>
      <c r="AJ20">
        <v>0</v>
      </c>
      <c r="AK20" t="s">
        <v>151</v>
      </c>
      <c r="AL20">
        <v>32.826805</v>
      </c>
      <c r="AM20" t="s">
        <v>152</v>
      </c>
      <c r="AN20">
        <v>-116.97334499999999</v>
      </c>
      <c r="AO20">
        <v>25</v>
      </c>
      <c r="AP20">
        <v>600</v>
      </c>
      <c r="AQ20" t="s">
        <v>129</v>
      </c>
      <c r="AR20">
        <v>-83</v>
      </c>
      <c r="AS20">
        <v>14</v>
      </c>
      <c r="AT20">
        <v>256</v>
      </c>
      <c r="BB20">
        <v>1200</v>
      </c>
      <c r="BC20">
        <v>1</v>
      </c>
      <c r="BD20" t="str">
        <f t="shared" si="2"/>
        <v xml:space="preserve">N887QR  </v>
      </c>
      <c r="BE20">
        <v>1</v>
      </c>
      <c r="BG20">
        <v>0</v>
      </c>
      <c r="BH20">
        <v>0</v>
      </c>
      <c r="BI20">
        <v>0</v>
      </c>
      <c r="BJ20">
        <v>275</v>
      </c>
      <c r="BK20">
        <v>-325</v>
      </c>
      <c r="BL20" t="s">
        <v>130</v>
      </c>
      <c r="BM20">
        <v>1</v>
      </c>
      <c r="BN20">
        <v>1</v>
      </c>
      <c r="BO20">
        <v>1</v>
      </c>
      <c r="BP20">
        <v>0</v>
      </c>
      <c r="BT20">
        <v>0</v>
      </c>
      <c r="BU20">
        <v>0</v>
      </c>
      <c r="CE20" t="str">
        <f>"19:25:42.143"</f>
        <v>19:25:42.143</v>
      </c>
      <c r="CF20">
        <v>1143244334</v>
      </c>
      <c r="CS20">
        <v>2</v>
      </c>
      <c r="CT20">
        <v>2</v>
      </c>
      <c r="CU20">
        <v>0</v>
      </c>
      <c r="CV20">
        <v>2</v>
      </c>
      <c r="CW20">
        <v>0</v>
      </c>
      <c r="CX20">
        <v>5</v>
      </c>
      <c r="CY20">
        <v>7</v>
      </c>
      <c r="CZ20" t="s">
        <v>131</v>
      </c>
      <c r="DA20">
        <v>286</v>
      </c>
      <c r="DB20">
        <v>0</v>
      </c>
      <c r="DC20" t="s">
        <v>132</v>
      </c>
      <c r="DD20" t="s">
        <v>133</v>
      </c>
      <c r="DG20">
        <v>780043</v>
      </c>
      <c r="DI20">
        <v>0</v>
      </c>
      <c r="DJ20">
        <v>0</v>
      </c>
      <c r="DK20">
        <v>1</v>
      </c>
      <c r="DL20">
        <v>0</v>
      </c>
      <c r="DM20">
        <v>0</v>
      </c>
      <c r="DN20">
        <v>1</v>
      </c>
      <c r="DO20">
        <v>0</v>
      </c>
      <c r="DP20">
        <v>0</v>
      </c>
      <c r="DQ20">
        <v>0</v>
      </c>
      <c r="DR20">
        <v>0</v>
      </c>
      <c r="DS20">
        <v>0</v>
      </c>
    </row>
    <row r="21" spans="1:123" x14ac:dyDescent="0.3">
      <c r="A21" t="str">
        <f>"10/04/2022 19:25:42.446"</f>
        <v>10/04/2022 19:25:42.446</v>
      </c>
      <c r="C21" t="str">
        <f t="shared" si="0"/>
        <v>FFDFD3C0</v>
      </c>
      <c r="D21" t="s">
        <v>147</v>
      </c>
      <c r="E21">
        <v>3</v>
      </c>
      <c r="H21">
        <v>166</v>
      </c>
      <c r="I21" t="s">
        <v>144</v>
      </c>
      <c r="J21" t="s">
        <v>148</v>
      </c>
      <c r="K21">
        <v>0</v>
      </c>
      <c r="L21">
        <v>3</v>
      </c>
      <c r="M21">
        <v>0</v>
      </c>
      <c r="N21">
        <v>2</v>
      </c>
      <c r="O21">
        <v>0</v>
      </c>
      <c r="P21">
        <v>1</v>
      </c>
      <c r="Q21">
        <v>0</v>
      </c>
      <c r="S21" t="str">
        <f t="shared" si="9"/>
        <v>19:25:41.141</v>
      </c>
      <c r="T21" t="str">
        <f t="shared" si="9"/>
        <v>19:25:41.141</v>
      </c>
      <c r="U21" t="str">
        <f t="shared" si="1"/>
        <v>AC3944</v>
      </c>
      <c r="V21">
        <v>0</v>
      </c>
      <c r="W21">
        <v>0</v>
      </c>
      <c r="X21">
        <v>2</v>
      </c>
      <c r="Y21">
        <v>0</v>
      </c>
      <c r="AA21">
        <v>0</v>
      </c>
      <c r="AB21">
        <v>8</v>
      </c>
      <c r="AC21">
        <v>3</v>
      </c>
      <c r="AD21">
        <v>0</v>
      </c>
      <c r="AE21">
        <v>9</v>
      </c>
      <c r="AF21" t="s">
        <v>126</v>
      </c>
      <c r="AG21">
        <v>0</v>
      </c>
      <c r="AH21">
        <v>0</v>
      </c>
      <c r="AI21">
        <v>1</v>
      </c>
      <c r="AJ21">
        <v>0</v>
      </c>
      <c r="AK21" t="s">
        <v>151</v>
      </c>
      <c r="AL21">
        <v>32.826805</v>
      </c>
      <c r="AM21" t="s">
        <v>152</v>
      </c>
      <c r="AN21">
        <v>-116.97334499999999</v>
      </c>
      <c r="AO21">
        <v>25</v>
      </c>
      <c r="AP21">
        <v>600</v>
      </c>
      <c r="AQ21" t="s">
        <v>129</v>
      </c>
      <c r="AR21">
        <v>-83</v>
      </c>
      <c r="AS21">
        <v>14</v>
      </c>
      <c r="AT21">
        <v>256</v>
      </c>
      <c r="BB21">
        <v>1200</v>
      </c>
      <c r="BC21">
        <v>1</v>
      </c>
      <c r="BD21" t="str">
        <f t="shared" si="2"/>
        <v xml:space="preserve">N887QR  </v>
      </c>
      <c r="BE21">
        <v>1</v>
      </c>
      <c r="BG21">
        <v>0</v>
      </c>
      <c r="BH21">
        <v>0</v>
      </c>
      <c r="BI21">
        <v>0</v>
      </c>
      <c r="BJ21">
        <v>275</v>
      </c>
      <c r="BK21">
        <v>-325</v>
      </c>
      <c r="BL21" t="s">
        <v>130</v>
      </c>
      <c r="BM21">
        <v>1</v>
      </c>
      <c r="BN21">
        <v>1</v>
      </c>
      <c r="BO21">
        <v>1</v>
      </c>
      <c r="BP21">
        <v>0</v>
      </c>
      <c r="BT21">
        <v>0</v>
      </c>
      <c r="BU21">
        <v>0</v>
      </c>
      <c r="CE21" t="str">
        <f>"19:25:42.143"</f>
        <v>19:25:42.143</v>
      </c>
      <c r="CF21">
        <v>1143244334</v>
      </c>
      <c r="CS21">
        <v>2</v>
      </c>
      <c r="CT21">
        <v>2</v>
      </c>
      <c r="CU21">
        <v>0</v>
      </c>
      <c r="CV21">
        <v>2</v>
      </c>
      <c r="CW21">
        <v>0</v>
      </c>
      <c r="CX21">
        <v>5</v>
      </c>
      <c r="CY21">
        <v>7</v>
      </c>
      <c r="CZ21" t="s">
        <v>131</v>
      </c>
      <c r="DA21">
        <v>286</v>
      </c>
      <c r="DB21">
        <v>0</v>
      </c>
      <c r="DC21" t="s">
        <v>132</v>
      </c>
      <c r="DD21" t="s">
        <v>133</v>
      </c>
      <c r="DG21">
        <v>780043</v>
      </c>
      <c r="DI21">
        <v>0</v>
      </c>
      <c r="DJ21">
        <v>0</v>
      </c>
      <c r="DK21">
        <v>1</v>
      </c>
      <c r="DL21">
        <v>0</v>
      </c>
      <c r="DM21">
        <v>0</v>
      </c>
      <c r="DN21">
        <v>1</v>
      </c>
      <c r="DO21">
        <v>0</v>
      </c>
      <c r="DP21">
        <v>0</v>
      </c>
      <c r="DQ21">
        <v>0</v>
      </c>
      <c r="DR21">
        <v>0</v>
      </c>
      <c r="DS21">
        <v>0</v>
      </c>
    </row>
    <row r="22" spans="1:123" x14ac:dyDescent="0.3">
      <c r="A22" t="str">
        <f>"10/04/2022 19:25:43.837"</f>
        <v>10/04/2022 19:25:43.837</v>
      </c>
      <c r="C22" t="str">
        <f t="shared" si="0"/>
        <v>FFDFD3C0</v>
      </c>
      <c r="D22" t="s">
        <v>147</v>
      </c>
      <c r="E22">
        <v>3</v>
      </c>
      <c r="H22">
        <v>166</v>
      </c>
      <c r="I22" t="s">
        <v>144</v>
      </c>
      <c r="J22" t="s">
        <v>148</v>
      </c>
      <c r="K22">
        <v>0</v>
      </c>
      <c r="L22">
        <v>3</v>
      </c>
      <c r="M22">
        <v>0</v>
      </c>
      <c r="N22">
        <v>2</v>
      </c>
      <c r="O22">
        <v>0</v>
      </c>
      <c r="P22">
        <v>1</v>
      </c>
      <c r="Q22">
        <v>0</v>
      </c>
      <c r="S22" t="str">
        <f t="shared" ref="S22:T24" si="10">"19:25:42.250"</f>
        <v>19:25:42.250</v>
      </c>
      <c r="T22" t="str">
        <f t="shared" si="10"/>
        <v>19:25:42.250</v>
      </c>
      <c r="U22" t="str">
        <f t="shared" si="1"/>
        <v>AC3944</v>
      </c>
      <c r="V22">
        <v>0</v>
      </c>
      <c r="W22">
        <v>0</v>
      </c>
      <c r="X22">
        <v>2</v>
      </c>
      <c r="Y22">
        <v>0</v>
      </c>
      <c r="AA22">
        <v>0</v>
      </c>
      <c r="AB22">
        <v>8</v>
      </c>
      <c r="AC22">
        <v>3</v>
      </c>
      <c r="AD22">
        <v>0</v>
      </c>
      <c r="AE22">
        <v>9</v>
      </c>
      <c r="AF22" t="s">
        <v>126</v>
      </c>
      <c r="AG22">
        <v>0</v>
      </c>
      <c r="AH22">
        <v>0</v>
      </c>
      <c r="AI22">
        <v>1</v>
      </c>
      <c r="AJ22">
        <v>0</v>
      </c>
      <c r="AK22" t="s">
        <v>153</v>
      </c>
      <c r="AL22">
        <v>32.826869000000002</v>
      </c>
      <c r="AM22" t="s">
        <v>154</v>
      </c>
      <c r="AN22">
        <v>-116.97379599999999</v>
      </c>
      <c r="AO22">
        <v>25</v>
      </c>
      <c r="AP22">
        <v>600</v>
      </c>
      <c r="AQ22" t="s">
        <v>129</v>
      </c>
      <c r="AR22">
        <v>-87</v>
      </c>
      <c r="AS22">
        <v>16</v>
      </c>
      <c r="AT22">
        <v>320</v>
      </c>
      <c r="BB22">
        <v>1200</v>
      </c>
      <c r="BC22">
        <v>1</v>
      </c>
      <c r="BD22" t="str">
        <f t="shared" si="2"/>
        <v xml:space="preserve">N887QR  </v>
      </c>
      <c r="BE22">
        <v>1</v>
      </c>
      <c r="BG22">
        <v>0</v>
      </c>
      <c r="BH22">
        <v>0</v>
      </c>
      <c r="BI22">
        <v>0</v>
      </c>
      <c r="BJ22">
        <v>275</v>
      </c>
      <c r="BK22">
        <v>-325</v>
      </c>
      <c r="BL22" t="s">
        <v>130</v>
      </c>
      <c r="BM22">
        <v>1</v>
      </c>
      <c r="BN22">
        <v>1</v>
      </c>
      <c r="BO22">
        <v>1</v>
      </c>
      <c r="BP22">
        <v>0</v>
      </c>
      <c r="BT22">
        <v>0</v>
      </c>
      <c r="BU22">
        <v>0</v>
      </c>
      <c r="CE22" t="str">
        <f>"19:25:43.252"</f>
        <v>19:25:43.252</v>
      </c>
      <c r="CF22">
        <v>1251997919</v>
      </c>
      <c r="CS22">
        <v>2</v>
      </c>
      <c r="CT22">
        <v>2</v>
      </c>
      <c r="CU22">
        <v>0</v>
      </c>
      <c r="CV22">
        <v>2</v>
      </c>
      <c r="CW22">
        <v>0</v>
      </c>
      <c r="CX22">
        <v>2</v>
      </c>
      <c r="CY22">
        <v>7</v>
      </c>
      <c r="CZ22" t="s">
        <v>131</v>
      </c>
      <c r="DA22">
        <v>286</v>
      </c>
      <c r="DB22">
        <v>0</v>
      </c>
      <c r="DC22" t="s">
        <v>132</v>
      </c>
      <c r="DD22" t="s">
        <v>133</v>
      </c>
      <c r="DG22">
        <v>780302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1</v>
      </c>
      <c r="DO22">
        <v>0</v>
      </c>
      <c r="DP22">
        <v>0</v>
      </c>
      <c r="DQ22">
        <v>0</v>
      </c>
      <c r="DR22">
        <v>0</v>
      </c>
      <c r="DS22">
        <v>0</v>
      </c>
    </row>
    <row r="23" spans="1:123" x14ac:dyDescent="0.3">
      <c r="A23" t="str">
        <f>"10/04/2022 19:25:43.837"</f>
        <v>10/04/2022 19:25:43.837</v>
      </c>
      <c r="C23" t="str">
        <f t="shared" si="0"/>
        <v>FFDFD3C0</v>
      </c>
      <c r="D23" t="s">
        <v>141</v>
      </c>
      <c r="E23">
        <v>3</v>
      </c>
      <c r="H23">
        <v>3</v>
      </c>
      <c r="I23" t="s">
        <v>146</v>
      </c>
      <c r="J23" t="s">
        <v>138</v>
      </c>
      <c r="K23">
        <v>0</v>
      </c>
      <c r="L23">
        <v>3</v>
      </c>
      <c r="M23">
        <v>0</v>
      </c>
      <c r="N23">
        <v>2</v>
      </c>
      <c r="O23">
        <v>0</v>
      </c>
      <c r="P23">
        <v>1</v>
      </c>
      <c r="Q23">
        <v>0</v>
      </c>
      <c r="S23" t="str">
        <f t="shared" si="10"/>
        <v>19:25:42.250</v>
      </c>
      <c r="T23" t="str">
        <f t="shared" si="10"/>
        <v>19:25:42.250</v>
      </c>
      <c r="U23" t="str">
        <f t="shared" si="1"/>
        <v>AC3944</v>
      </c>
      <c r="V23">
        <v>0</v>
      </c>
      <c r="W23">
        <v>0</v>
      </c>
      <c r="X23">
        <v>2</v>
      </c>
      <c r="Y23">
        <v>0</v>
      </c>
      <c r="AA23">
        <v>0</v>
      </c>
      <c r="AB23">
        <v>8</v>
      </c>
      <c r="AC23">
        <v>3</v>
      </c>
      <c r="AD23">
        <v>0</v>
      </c>
      <c r="AE23">
        <v>9</v>
      </c>
      <c r="AF23" t="s">
        <v>126</v>
      </c>
      <c r="AG23">
        <v>0</v>
      </c>
      <c r="AH23">
        <v>0</v>
      </c>
      <c r="AI23">
        <v>1</v>
      </c>
      <c r="AJ23">
        <v>0</v>
      </c>
      <c r="AK23" t="s">
        <v>153</v>
      </c>
      <c r="AL23">
        <v>32.826869000000002</v>
      </c>
      <c r="AM23" t="s">
        <v>154</v>
      </c>
      <c r="AN23">
        <v>-116.97379599999999</v>
      </c>
      <c r="AO23">
        <v>25</v>
      </c>
      <c r="AP23">
        <v>600</v>
      </c>
      <c r="AQ23" t="s">
        <v>129</v>
      </c>
      <c r="AR23">
        <v>-87</v>
      </c>
      <c r="AS23">
        <v>16</v>
      </c>
      <c r="AT23">
        <v>320</v>
      </c>
      <c r="BB23">
        <v>1200</v>
      </c>
      <c r="BC23">
        <v>1</v>
      </c>
      <c r="BD23" t="str">
        <f t="shared" si="2"/>
        <v xml:space="preserve">N887QR  </v>
      </c>
      <c r="BE23">
        <v>1</v>
      </c>
      <c r="BG23">
        <v>0</v>
      </c>
      <c r="BH23">
        <v>0</v>
      </c>
      <c r="BI23">
        <v>0</v>
      </c>
      <c r="BJ23">
        <v>275</v>
      </c>
      <c r="BK23">
        <v>-325</v>
      </c>
      <c r="BL23" t="s">
        <v>130</v>
      </c>
      <c r="BM23">
        <v>1</v>
      </c>
      <c r="BN23">
        <v>1</v>
      </c>
      <c r="BO23">
        <v>1</v>
      </c>
      <c r="BP23">
        <v>0</v>
      </c>
      <c r="BT23">
        <v>0</v>
      </c>
      <c r="BU23">
        <v>0</v>
      </c>
      <c r="CE23" t="str">
        <f>"19:25:43.252"</f>
        <v>19:25:43.252</v>
      </c>
      <c r="CF23">
        <v>1251997919</v>
      </c>
      <c r="CS23">
        <v>2</v>
      </c>
      <c r="CT23">
        <v>2</v>
      </c>
      <c r="CU23">
        <v>0</v>
      </c>
      <c r="CV23">
        <v>2</v>
      </c>
      <c r="CW23">
        <v>0</v>
      </c>
      <c r="CX23">
        <v>2</v>
      </c>
      <c r="CY23">
        <v>7</v>
      </c>
      <c r="CZ23" t="s">
        <v>131</v>
      </c>
      <c r="DA23">
        <v>286</v>
      </c>
      <c r="DB23">
        <v>0</v>
      </c>
      <c r="DC23" t="s">
        <v>132</v>
      </c>
      <c r="DD23" t="s">
        <v>133</v>
      </c>
      <c r="DG23">
        <v>780302</v>
      </c>
      <c r="DI23">
        <v>0</v>
      </c>
      <c r="DJ23">
        <v>0</v>
      </c>
      <c r="DK23">
        <v>1</v>
      </c>
      <c r="DL23">
        <v>0</v>
      </c>
      <c r="DM23">
        <v>0</v>
      </c>
      <c r="DN23">
        <v>1</v>
      </c>
      <c r="DO23">
        <v>0</v>
      </c>
      <c r="DP23">
        <v>0</v>
      </c>
      <c r="DQ23">
        <v>0</v>
      </c>
      <c r="DR23">
        <v>0</v>
      </c>
      <c r="DS23">
        <v>0</v>
      </c>
    </row>
    <row r="24" spans="1:123" x14ac:dyDescent="0.3">
      <c r="A24" t="str">
        <f>"10/04/2022 19:25:43.837"</f>
        <v>10/04/2022 19:25:43.837</v>
      </c>
      <c r="C24" t="str">
        <f t="shared" si="0"/>
        <v>FFDFD3C0</v>
      </c>
      <c r="D24" t="s">
        <v>141</v>
      </c>
      <c r="E24">
        <v>4</v>
      </c>
      <c r="H24">
        <v>4</v>
      </c>
      <c r="I24" t="s">
        <v>142</v>
      </c>
      <c r="J24" t="s">
        <v>138</v>
      </c>
      <c r="K24">
        <v>0</v>
      </c>
      <c r="L24">
        <v>3</v>
      </c>
      <c r="M24">
        <v>0</v>
      </c>
      <c r="N24">
        <v>2</v>
      </c>
      <c r="O24">
        <v>0</v>
      </c>
      <c r="P24">
        <v>1</v>
      </c>
      <c r="Q24">
        <v>0</v>
      </c>
      <c r="S24" t="str">
        <f t="shared" si="10"/>
        <v>19:25:42.250</v>
      </c>
      <c r="T24" t="str">
        <f t="shared" si="10"/>
        <v>19:25:42.250</v>
      </c>
      <c r="U24" t="str">
        <f t="shared" si="1"/>
        <v>AC3944</v>
      </c>
      <c r="V24">
        <v>0</v>
      </c>
      <c r="W24">
        <v>0</v>
      </c>
      <c r="X24">
        <v>2</v>
      </c>
      <c r="Y24">
        <v>0</v>
      </c>
      <c r="AA24">
        <v>0</v>
      </c>
      <c r="AB24">
        <v>8</v>
      </c>
      <c r="AC24">
        <v>3</v>
      </c>
      <c r="AD24">
        <v>0</v>
      </c>
      <c r="AE24">
        <v>9</v>
      </c>
      <c r="AF24" t="s">
        <v>126</v>
      </c>
      <c r="AG24">
        <v>0</v>
      </c>
      <c r="AH24">
        <v>0</v>
      </c>
      <c r="AI24">
        <v>1</v>
      </c>
      <c r="AJ24">
        <v>0</v>
      </c>
      <c r="AK24" t="s">
        <v>153</v>
      </c>
      <c r="AL24">
        <v>32.826869000000002</v>
      </c>
      <c r="AM24" t="s">
        <v>154</v>
      </c>
      <c r="AN24">
        <v>-116.97379599999999</v>
      </c>
      <c r="AO24">
        <v>25</v>
      </c>
      <c r="AP24">
        <v>600</v>
      </c>
      <c r="AQ24" t="s">
        <v>129</v>
      </c>
      <c r="AR24">
        <v>-87</v>
      </c>
      <c r="AS24">
        <v>16</v>
      </c>
      <c r="AT24">
        <v>320</v>
      </c>
      <c r="BB24">
        <v>1200</v>
      </c>
      <c r="BC24">
        <v>1</v>
      </c>
      <c r="BD24" t="str">
        <f t="shared" si="2"/>
        <v xml:space="preserve">N887QR  </v>
      </c>
      <c r="BE24">
        <v>1</v>
      </c>
      <c r="BG24">
        <v>0</v>
      </c>
      <c r="BH24">
        <v>0</v>
      </c>
      <c r="BI24">
        <v>0</v>
      </c>
      <c r="BJ24">
        <v>275</v>
      </c>
      <c r="BK24">
        <v>-325</v>
      </c>
      <c r="BL24" t="s">
        <v>130</v>
      </c>
      <c r="BM24">
        <v>1</v>
      </c>
      <c r="BN24">
        <v>1</v>
      </c>
      <c r="BO24">
        <v>1</v>
      </c>
      <c r="BP24">
        <v>0</v>
      </c>
      <c r="BT24">
        <v>0</v>
      </c>
      <c r="BU24">
        <v>0</v>
      </c>
      <c r="CE24" t="str">
        <f>"19:25:43.252"</f>
        <v>19:25:43.252</v>
      </c>
      <c r="CF24">
        <v>1251997919</v>
      </c>
      <c r="CS24">
        <v>2</v>
      </c>
      <c r="CT24">
        <v>2</v>
      </c>
      <c r="CU24">
        <v>0</v>
      </c>
      <c r="CV24">
        <v>2</v>
      </c>
      <c r="CW24">
        <v>0</v>
      </c>
      <c r="CX24">
        <v>2</v>
      </c>
      <c r="CY24">
        <v>7</v>
      </c>
      <c r="CZ24" t="s">
        <v>131</v>
      </c>
      <c r="DA24">
        <v>286</v>
      </c>
      <c r="DB24">
        <v>0</v>
      </c>
      <c r="DC24" t="s">
        <v>132</v>
      </c>
      <c r="DD24" t="s">
        <v>133</v>
      </c>
      <c r="DG24">
        <v>780302</v>
      </c>
      <c r="DI24">
        <v>0</v>
      </c>
      <c r="DJ24">
        <v>0</v>
      </c>
      <c r="DK24">
        <v>1</v>
      </c>
      <c r="DL24">
        <v>0</v>
      </c>
      <c r="DM24">
        <v>0</v>
      </c>
      <c r="DN24">
        <v>1</v>
      </c>
      <c r="DO24">
        <v>0</v>
      </c>
      <c r="DP24">
        <v>0</v>
      </c>
      <c r="DQ24">
        <v>0</v>
      </c>
      <c r="DR24">
        <v>0</v>
      </c>
      <c r="DS24">
        <v>0</v>
      </c>
    </row>
    <row r="25" spans="1:123" x14ac:dyDescent="0.3">
      <c r="A25" t="str">
        <f>"10/04/2022 19:25:44.009"</f>
        <v>10/04/2022 19:25:44.009</v>
      </c>
      <c r="C25" t="str">
        <f t="shared" si="0"/>
        <v>FFDFD3C0</v>
      </c>
      <c r="D25" t="s">
        <v>147</v>
      </c>
      <c r="E25">
        <v>3</v>
      </c>
      <c r="H25">
        <v>166</v>
      </c>
      <c r="I25" t="s">
        <v>144</v>
      </c>
      <c r="J25" t="s">
        <v>148</v>
      </c>
      <c r="K25">
        <v>0</v>
      </c>
      <c r="L25">
        <v>3</v>
      </c>
      <c r="M25">
        <v>0</v>
      </c>
      <c r="N25">
        <v>2</v>
      </c>
      <c r="O25">
        <v>0</v>
      </c>
      <c r="P25">
        <v>1</v>
      </c>
      <c r="Q25">
        <v>0</v>
      </c>
      <c r="S25" t="str">
        <f t="shared" ref="S25:T31" si="11">"19:25:42.742"</f>
        <v>19:25:42.742</v>
      </c>
      <c r="T25" t="str">
        <f t="shared" si="11"/>
        <v>19:25:42.742</v>
      </c>
      <c r="U25" t="str">
        <f t="shared" si="1"/>
        <v>AC3944</v>
      </c>
      <c r="V25">
        <v>0</v>
      </c>
      <c r="W25">
        <v>0</v>
      </c>
      <c r="X25">
        <v>2</v>
      </c>
      <c r="Y25">
        <v>0</v>
      </c>
      <c r="AA25">
        <v>0</v>
      </c>
      <c r="AB25">
        <v>8</v>
      </c>
      <c r="AC25">
        <v>3</v>
      </c>
      <c r="AD25">
        <v>0</v>
      </c>
      <c r="AE25">
        <v>9</v>
      </c>
      <c r="AF25" t="s">
        <v>126</v>
      </c>
      <c r="AG25">
        <v>0</v>
      </c>
      <c r="AH25">
        <v>0</v>
      </c>
      <c r="AI25">
        <v>1</v>
      </c>
      <c r="AJ25">
        <v>0</v>
      </c>
      <c r="AK25" t="s">
        <v>155</v>
      </c>
      <c r="AL25">
        <v>32.826976999999999</v>
      </c>
      <c r="AM25" t="s">
        <v>156</v>
      </c>
      <c r="AN25">
        <v>-116.97437499999999</v>
      </c>
      <c r="AO25">
        <v>25</v>
      </c>
      <c r="AP25">
        <v>600</v>
      </c>
      <c r="AQ25" t="s">
        <v>129</v>
      </c>
      <c r="AR25">
        <v>-88</v>
      </c>
      <c r="AS25">
        <v>18</v>
      </c>
      <c r="AT25">
        <v>320</v>
      </c>
      <c r="BB25">
        <v>1200</v>
      </c>
      <c r="BC25">
        <v>1</v>
      </c>
      <c r="BD25" t="str">
        <f t="shared" si="2"/>
        <v xml:space="preserve">N887QR  </v>
      </c>
      <c r="BE25">
        <v>1</v>
      </c>
      <c r="BG25">
        <v>0</v>
      </c>
      <c r="BH25">
        <v>0</v>
      </c>
      <c r="BI25">
        <v>0</v>
      </c>
      <c r="BJ25">
        <v>275</v>
      </c>
      <c r="BK25">
        <v>-325</v>
      </c>
      <c r="BL25" t="s">
        <v>130</v>
      </c>
      <c r="BM25">
        <v>1</v>
      </c>
      <c r="BN25">
        <v>1</v>
      </c>
      <c r="BO25">
        <v>1</v>
      </c>
      <c r="BP25">
        <v>0</v>
      </c>
      <c r="BT25">
        <v>0</v>
      </c>
      <c r="BU25">
        <v>0</v>
      </c>
      <c r="CE25" t="str">
        <f t="shared" ref="CE25:CE31" si="12">"19:25:43.746"</f>
        <v>19:25:43.746</v>
      </c>
      <c r="CF25">
        <v>1745749475</v>
      </c>
      <c r="CS25">
        <v>2</v>
      </c>
      <c r="CT25">
        <v>2</v>
      </c>
      <c r="CU25">
        <v>0</v>
      </c>
      <c r="CV25">
        <v>2</v>
      </c>
      <c r="CW25">
        <v>0</v>
      </c>
      <c r="CX25">
        <v>3</v>
      </c>
      <c r="CY25">
        <v>7</v>
      </c>
      <c r="CZ25" t="s">
        <v>131</v>
      </c>
      <c r="DA25">
        <v>286</v>
      </c>
      <c r="DB25">
        <v>0</v>
      </c>
      <c r="DC25" t="s">
        <v>132</v>
      </c>
      <c r="DD25" t="s">
        <v>133</v>
      </c>
      <c r="DG25">
        <v>780422</v>
      </c>
      <c r="DI25">
        <v>0</v>
      </c>
      <c r="DJ25">
        <v>0</v>
      </c>
      <c r="DK25">
        <v>0</v>
      </c>
      <c r="DL25">
        <v>0</v>
      </c>
      <c r="DM25">
        <v>0</v>
      </c>
      <c r="DN25">
        <v>1</v>
      </c>
      <c r="DO25">
        <v>0</v>
      </c>
      <c r="DP25">
        <v>0</v>
      </c>
      <c r="DQ25">
        <v>0</v>
      </c>
      <c r="DR25">
        <v>0</v>
      </c>
      <c r="DS25">
        <v>0</v>
      </c>
    </row>
    <row r="26" spans="1:123" x14ac:dyDescent="0.3">
      <c r="A26" t="str">
        <f>"10/04/2022 19:25:44.009"</f>
        <v>10/04/2022 19:25:44.009</v>
      </c>
      <c r="C26" t="str">
        <f t="shared" si="0"/>
        <v>FFDFD3C0</v>
      </c>
      <c r="D26" t="s">
        <v>141</v>
      </c>
      <c r="E26">
        <v>3</v>
      </c>
      <c r="H26">
        <v>3</v>
      </c>
      <c r="I26" t="s">
        <v>146</v>
      </c>
      <c r="J26" t="s">
        <v>138</v>
      </c>
      <c r="K26">
        <v>0</v>
      </c>
      <c r="L26">
        <v>3</v>
      </c>
      <c r="M26">
        <v>0</v>
      </c>
      <c r="N26">
        <v>2</v>
      </c>
      <c r="O26">
        <v>0</v>
      </c>
      <c r="P26">
        <v>1</v>
      </c>
      <c r="Q26">
        <v>0</v>
      </c>
      <c r="S26" t="str">
        <f t="shared" si="11"/>
        <v>19:25:42.742</v>
      </c>
      <c r="T26" t="str">
        <f t="shared" si="11"/>
        <v>19:25:42.742</v>
      </c>
      <c r="U26" t="str">
        <f t="shared" si="1"/>
        <v>AC3944</v>
      </c>
      <c r="V26">
        <v>0</v>
      </c>
      <c r="W26">
        <v>0</v>
      </c>
      <c r="X26">
        <v>2</v>
      </c>
      <c r="Y26">
        <v>0</v>
      </c>
      <c r="AA26">
        <v>0</v>
      </c>
      <c r="AB26">
        <v>8</v>
      </c>
      <c r="AC26">
        <v>3</v>
      </c>
      <c r="AD26">
        <v>0</v>
      </c>
      <c r="AE26">
        <v>9</v>
      </c>
      <c r="AF26" t="s">
        <v>126</v>
      </c>
      <c r="AG26">
        <v>0</v>
      </c>
      <c r="AH26">
        <v>0</v>
      </c>
      <c r="AI26">
        <v>1</v>
      </c>
      <c r="AJ26">
        <v>0</v>
      </c>
      <c r="AK26" t="s">
        <v>155</v>
      </c>
      <c r="AL26">
        <v>32.826976999999999</v>
      </c>
      <c r="AM26" t="s">
        <v>156</v>
      </c>
      <c r="AN26">
        <v>-116.97437499999999</v>
      </c>
      <c r="AO26">
        <v>25</v>
      </c>
      <c r="AP26">
        <v>600</v>
      </c>
      <c r="AQ26" t="s">
        <v>129</v>
      </c>
      <c r="AR26">
        <v>-88</v>
      </c>
      <c r="AS26">
        <v>18</v>
      </c>
      <c r="AT26">
        <v>320</v>
      </c>
      <c r="BB26">
        <v>1200</v>
      </c>
      <c r="BC26">
        <v>1</v>
      </c>
      <c r="BD26" t="str">
        <f t="shared" si="2"/>
        <v xml:space="preserve">N887QR  </v>
      </c>
      <c r="BE26">
        <v>1</v>
      </c>
      <c r="BG26">
        <v>0</v>
      </c>
      <c r="BH26">
        <v>0</v>
      </c>
      <c r="BI26">
        <v>0</v>
      </c>
      <c r="BJ26">
        <v>275</v>
      </c>
      <c r="BK26">
        <v>-325</v>
      </c>
      <c r="BL26" t="s">
        <v>130</v>
      </c>
      <c r="BM26">
        <v>1</v>
      </c>
      <c r="BN26">
        <v>1</v>
      </c>
      <c r="BO26">
        <v>1</v>
      </c>
      <c r="BP26">
        <v>0</v>
      </c>
      <c r="BT26">
        <v>0</v>
      </c>
      <c r="BU26">
        <v>0</v>
      </c>
      <c r="CE26" t="str">
        <f t="shared" si="12"/>
        <v>19:25:43.746</v>
      </c>
      <c r="CF26">
        <v>1745749475</v>
      </c>
      <c r="CS26">
        <v>2</v>
      </c>
      <c r="CT26">
        <v>2</v>
      </c>
      <c r="CU26">
        <v>0</v>
      </c>
      <c r="CV26">
        <v>2</v>
      </c>
      <c r="CW26">
        <v>0</v>
      </c>
      <c r="CX26">
        <v>3</v>
      </c>
      <c r="CY26">
        <v>7</v>
      </c>
      <c r="CZ26" t="s">
        <v>131</v>
      </c>
      <c r="DA26">
        <v>286</v>
      </c>
      <c r="DB26">
        <v>0</v>
      </c>
      <c r="DC26" t="s">
        <v>132</v>
      </c>
      <c r="DD26" t="s">
        <v>133</v>
      </c>
      <c r="DG26">
        <v>780422</v>
      </c>
      <c r="DI26">
        <v>0</v>
      </c>
      <c r="DJ26">
        <v>0</v>
      </c>
      <c r="DK26">
        <v>1</v>
      </c>
      <c r="DL26">
        <v>0</v>
      </c>
      <c r="DM26">
        <v>0</v>
      </c>
      <c r="DN26">
        <v>1</v>
      </c>
      <c r="DO26">
        <v>0</v>
      </c>
      <c r="DP26">
        <v>0</v>
      </c>
      <c r="DQ26">
        <v>0</v>
      </c>
      <c r="DR26">
        <v>0</v>
      </c>
      <c r="DS26">
        <v>0</v>
      </c>
    </row>
    <row r="27" spans="1:123" x14ac:dyDescent="0.3">
      <c r="A27" t="str">
        <f>"10/04/2022 19:25:44.040"</f>
        <v>10/04/2022 19:25:44.040</v>
      </c>
      <c r="C27" t="str">
        <f t="shared" si="0"/>
        <v>FFDFD3C0</v>
      </c>
      <c r="D27" t="s">
        <v>141</v>
      </c>
      <c r="E27">
        <v>4</v>
      </c>
      <c r="H27">
        <v>4</v>
      </c>
      <c r="I27" t="s">
        <v>142</v>
      </c>
      <c r="J27" t="s">
        <v>138</v>
      </c>
      <c r="K27">
        <v>0</v>
      </c>
      <c r="L27">
        <v>3</v>
      </c>
      <c r="M27">
        <v>0</v>
      </c>
      <c r="N27">
        <v>2</v>
      </c>
      <c r="O27">
        <v>0</v>
      </c>
      <c r="P27">
        <v>1</v>
      </c>
      <c r="Q27">
        <v>0</v>
      </c>
      <c r="S27" t="str">
        <f t="shared" si="11"/>
        <v>19:25:42.742</v>
      </c>
      <c r="T27" t="str">
        <f t="shared" si="11"/>
        <v>19:25:42.742</v>
      </c>
      <c r="U27" t="str">
        <f t="shared" si="1"/>
        <v>AC3944</v>
      </c>
      <c r="V27">
        <v>0</v>
      </c>
      <c r="W27">
        <v>0</v>
      </c>
      <c r="X27">
        <v>2</v>
      </c>
      <c r="Y27">
        <v>0</v>
      </c>
      <c r="AA27">
        <v>0</v>
      </c>
      <c r="AB27">
        <v>8</v>
      </c>
      <c r="AC27">
        <v>3</v>
      </c>
      <c r="AD27">
        <v>0</v>
      </c>
      <c r="AE27">
        <v>9</v>
      </c>
      <c r="AF27" t="s">
        <v>126</v>
      </c>
      <c r="AG27">
        <v>0</v>
      </c>
      <c r="AH27">
        <v>0</v>
      </c>
      <c r="AI27">
        <v>1</v>
      </c>
      <c r="AJ27">
        <v>0</v>
      </c>
      <c r="AK27" t="s">
        <v>155</v>
      </c>
      <c r="AL27">
        <v>32.826976999999999</v>
      </c>
      <c r="AM27" t="s">
        <v>156</v>
      </c>
      <c r="AN27">
        <v>-116.97437499999999</v>
      </c>
      <c r="AO27">
        <v>25</v>
      </c>
      <c r="AP27">
        <v>600</v>
      </c>
      <c r="AQ27" t="s">
        <v>129</v>
      </c>
      <c r="AR27">
        <v>-88</v>
      </c>
      <c r="AS27">
        <v>18</v>
      </c>
      <c r="AT27">
        <v>320</v>
      </c>
      <c r="BB27">
        <v>1200</v>
      </c>
      <c r="BC27">
        <v>1</v>
      </c>
      <c r="BD27" t="str">
        <f t="shared" si="2"/>
        <v xml:space="preserve">N887QR  </v>
      </c>
      <c r="BE27">
        <v>1</v>
      </c>
      <c r="BG27">
        <v>0</v>
      </c>
      <c r="BH27">
        <v>0</v>
      </c>
      <c r="BI27">
        <v>0</v>
      </c>
      <c r="BJ27">
        <v>275</v>
      </c>
      <c r="BK27">
        <v>-325</v>
      </c>
      <c r="BL27" t="s">
        <v>130</v>
      </c>
      <c r="BM27">
        <v>1</v>
      </c>
      <c r="BN27">
        <v>1</v>
      </c>
      <c r="BO27">
        <v>1</v>
      </c>
      <c r="BP27">
        <v>0</v>
      </c>
      <c r="BT27">
        <v>0</v>
      </c>
      <c r="BU27">
        <v>0</v>
      </c>
      <c r="CE27" t="str">
        <f t="shared" si="12"/>
        <v>19:25:43.746</v>
      </c>
      <c r="CF27">
        <v>1745749475</v>
      </c>
      <c r="CS27">
        <v>2</v>
      </c>
      <c r="CT27">
        <v>2</v>
      </c>
      <c r="CU27">
        <v>0</v>
      </c>
      <c r="CV27">
        <v>2</v>
      </c>
      <c r="CW27">
        <v>0</v>
      </c>
      <c r="CX27">
        <v>3</v>
      </c>
      <c r="CY27">
        <v>7</v>
      </c>
      <c r="CZ27" t="s">
        <v>131</v>
      </c>
      <c r="DA27">
        <v>286</v>
      </c>
      <c r="DB27">
        <v>0</v>
      </c>
      <c r="DC27" t="s">
        <v>132</v>
      </c>
      <c r="DD27" t="s">
        <v>133</v>
      </c>
      <c r="DG27">
        <v>780422</v>
      </c>
      <c r="DI27">
        <v>0</v>
      </c>
      <c r="DJ27">
        <v>0</v>
      </c>
      <c r="DK27">
        <v>0</v>
      </c>
      <c r="DL27">
        <v>0</v>
      </c>
      <c r="DM27">
        <v>0</v>
      </c>
      <c r="DN27">
        <v>1</v>
      </c>
      <c r="DO27">
        <v>0</v>
      </c>
      <c r="DP27">
        <v>0</v>
      </c>
      <c r="DQ27">
        <v>0</v>
      </c>
      <c r="DR27">
        <v>0</v>
      </c>
      <c r="DS27">
        <v>0</v>
      </c>
    </row>
    <row r="28" spans="1:123" x14ac:dyDescent="0.3">
      <c r="A28" t="str">
        <f>"10/04/2022 19:25:44.040"</f>
        <v>10/04/2022 19:25:44.040</v>
      </c>
      <c r="C28" t="str">
        <f t="shared" si="0"/>
        <v>FFDFD3C0</v>
      </c>
      <c r="D28" t="s">
        <v>143</v>
      </c>
      <c r="E28">
        <v>20</v>
      </c>
      <c r="F28">
        <v>1020</v>
      </c>
      <c r="G28" t="s">
        <v>144</v>
      </c>
      <c r="J28" t="s">
        <v>145</v>
      </c>
      <c r="K28">
        <v>0</v>
      </c>
      <c r="L28">
        <v>3</v>
      </c>
      <c r="M28">
        <v>0</v>
      </c>
      <c r="N28">
        <v>2</v>
      </c>
      <c r="O28">
        <v>0</v>
      </c>
      <c r="P28">
        <v>1</v>
      </c>
      <c r="Q28">
        <v>0</v>
      </c>
      <c r="S28" t="str">
        <f t="shared" si="11"/>
        <v>19:25:42.742</v>
      </c>
      <c r="T28" t="str">
        <f t="shared" si="11"/>
        <v>19:25:42.742</v>
      </c>
      <c r="U28" t="str">
        <f t="shared" si="1"/>
        <v>AC3944</v>
      </c>
      <c r="V28">
        <v>0</v>
      </c>
      <c r="W28">
        <v>0</v>
      </c>
      <c r="X28">
        <v>2</v>
      </c>
      <c r="Y28">
        <v>0</v>
      </c>
      <c r="AA28">
        <v>0</v>
      </c>
      <c r="AB28">
        <v>8</v>
      </c>
      <c r="AC28">
        <v>3</v>
      </c>
      <c r="AD28">
        <v>0</v>
      </c>
      <c r="AE28">
        <v>9</v>
      </c>
      <c r="AF28" t="s">
        <v>138</v>
      </c>
      <c r="AG28">
        <v>0</v>
      </c>
      <c r="AH28">
        <v>3</v>
      </c>
      <c r="AI28">
        <v>1</v>
      </c>
      <c r="AJ28">
        <v>0</v>
      </c>
      <c r="AK28" t="s">
        <v>155</v>
      </c>
      <c r="AL28">
        <v>32.826976999999999</v>
      </c>
      <c r="AM28" t="s">
        <v>156</v>
      </c>
      <c r="AN28">
        <v>-116.97437499999999</v>
      </c>
      <c r="AO28">
        <v>25</v>
      </c>
      <c r="AP28">
        <v>600</v>
      </c>
      <c r="AQ28" t="s">
        <v>129</v>
      </c>
      <c r="AR28">
        <v>-88</v>
      </c>
      <c r="AS28">
        <v>18</v>
      </c>
      <c r="AT28">
        <v>320</v>
      </c>
      <c r="BB28">
        <v>1200</v>
      </c>
      <c r="BC28">
        <v>1</v>
      </c>
      <c r="BD28" t="str">
        <f t="shared" si="2"/>
        <v xml:space="preserve">N887QR  </v>
      </c>
      <c r="BE28">
        <v>1</v>
      </c>
      <c r="BG28">
        <v>0</v>
      </c>
      <c r="BH28">
        <v>0</v>
      </c>
      <c r="BI28">
        <v>0</v>
      </c>
      <c r="BJ28">
        <v>275</v>
      </c>
      <c r="BK28">
        <v>-325</v>
      </c>
      <c r="BL28" t="s">
        <v>130</v>
      </c>
      <c r="BM28">
        <v>1</v>
      </c>
      <c r="BN28">
        <v>1</v>
      </c>
      <c r="BO28">
        <v>1</v>
      </c>
      <c r="BP28">
        <v>0</v>
      </c>
      <c r="BT28">
        <v>0</v>
      </c>
      <c r="BU28">
        <v>0</v>
      </c>
      <c r="CE28" t="str">
        <f t="shared" si="12"/>
        <v>19:25:43.746</v>
      </c>
      <c r="CF28">
        <v>1745749475</v>
      </c>
      <c r="CS28">
        <v>3</v>
      </c>
      <c r="CT28">
        <v>2</v>
      </c>
      <c r="CU28">
        <v>0</v>
      </c>
      <c r="CV28">
        <v>2</v>
      </c>
      <c r="CW28">
        <v>0</v>
      </c>
      <c r="CX28">
        <v>3</v>
      </c>
      <c r="CY28">
        <v>7</v>
      </c>
      <c r="CZ28" t="s">
        <v>131</v>
      </c>
      <c r="DA28">
        <v>286</v>
      </c>
      <c r="DB28">
        <v>0</v>
      </c>
      <c r="DC28" t="s">
        <v>132</v>
      </c>
      <c r="DD28" t="s">
        <v>133</v>
      </c>
      <c r="DG28">
        <v>780422</v>
      </c>
      <c r="DI28">
        <v>0</v>
      </c>
      <c r="DJ28">
        <v>0</v>
      </c>
      <c r="DK28">
        <v>1</v>
      </c>
      <c r="DL28">
        <v>0</v>
      </c>
      <c r="DM28">
        <v>0</v>
      </c>
      <c r="DN28">
        <v>1</v>
      </c>
      <c r="DO28">
        <v>0</v>
      </c>
      <c r="DP28">
        <v>0</v>
      </c>
      <c r="DQ28">
        <v>0</v>
      </c>
      <c r="DR28">
        <v>0</v>
      </c>
      <c r="DS28">
        <v>0</v>
      </c>
    </row>
    <row r="29" spans="1:123" x14ac:dyDescent="0.3">
      <c r="A29" t="str">
        <f>"10/04/2022 19:25:44.040"</f>
        <v>10/04/2022 19:25:44.040</v>
      </c>
      <c r="C29" t="str">
        <f t="shared" si="0"/>
        <v>FFDFD3C0</v>
      </c>
      <c r="D29" t="s">
        <v>136</v>
      </c>
      <c r="E29">
        <v>8</v>
      </c>
      <c r="H29">
        <v>225</v>
      </c>
      <c r="I29" t="s">
        <v>137</v>
      </c>
      <c r="J29" t="s">
        <v>138</v>
      </c>
      <c r="K29">
        <v>0</v>
      </c>
      <c r="L29">
        <v>3</v>
      </c>
      <c r="M29">
        <v>0</v>
      </c>
      <c r="N29">
        <v>2</v>
      </c>
      <c r="O29">
        <v>0</v>
      </c>
      <c r="P29">
        <v>1</v>
      </c>
      <c r="Q29">
        <v>0</v>
      </c>
      <c r="S29" t="str">
        <f t="shared" si="11"/>
        <v>19:25:42.742</v>
      </c>
      <c r="T29" t="str">
        <f t="shared" si="11"/>
        <v>19:25:42.742</v>
      </c>
      <c r="U29" t="str">
        <f t="shared" si="1"/>
        <v>AC3944</v>
      </c>
      <c r="V29">
        <v>0</v>
      </c>
      <c r="W29">
        <v>0</v>
      </c>
      <c r="X29">
        <v>2</v>
      </c>
      <c r="Y29">
        <v>0</v>
      </c>
      <c r="AA29">
        <v>0</v>
      </c>
      <c r="AB29">
        <v>8</v>
      </c>
      <c r="AC29">
        <v>3</v>
      </c>
      <c r="AD29">
        <v>0</v>
      </c>
      <c r="AE29">
        <v>9</v>
      </c>
      <c r="AF29" t="s">
        <v>126</v>
      </c>
      <c r="AG29">
        <v>0</v>
      </c>
      <c r="AH29">
        <v>0</v>
      </c>
      <c r="AI29">
        <v>1</v>
      </c>
      <c r="AJ29">
        <v>0</v>
      </c>
      <c r="AK29" t="s">
        <v>155</v>
      </c>
      <c r="AL29">
        <v>32.826976999999999</v>
      </c>
      <c r="AM29" t="s">
        <v>156</v>
      </c>
      <c r="AN29">
        <v>-116.97437499999999</v>
      </c>
      <c r="AO29">
        <v>25</v>
      </c>
      <c r="AP29">
        <v>600</v>
      </c>
      <c r="AQ29" t="s">
        <v>129</v>
      </c>
      <c r="AR29">
        <v>-88</v>
      </c>
      <c r="AS29">
        <v>18</v>
      </c>
      <c r="AT29">
        <v>320</v>
      </c>
      <c r="BB29">
        <v>1200</v>
      </c>
      <c r="BC29">
        <v>1</v>
      </c>
      <c r="BD29" t="str">
        <f t="shared" si="2"/>
        <v xml:space="preserve">N887QR  </v>
      </c>
      <c r="BE29">
        <v>1</v>
      </c>
      <c r="BG29">
        <v>0</v>
      </c>
      <c r="BH29">
        <v>0</v>
      </c>
      <c r="BI29">
        <v>0</v>
      </c>
      <c r="BJ29">
        <v>275</v>
      </c>
      <c r="BK29">
        <v>-325</v>
      </c>
      <c r="BL29" t="s">
        <v>130</v>
      </c>
      <c r="BM29">
        <v>1</v>
      </c>
      <c r="BN29">
        <v>1</v>
      </c>
      <c r="BO29">
        <v>1</v>
      </c>
      <c r="BP29">
        <v>0</v>
      </c>
      <c r="BT29">
        <v>0</v>
      </c>
      <c r="BU29">
        <v>0</v>
      </c>
      <c r="CE29" t="str">
        <f t="shared" si="12"/>
        <v>19:25:43.746</v>
      </c>
      <c r="CF29">
        <v>1745749475</v>
      </c>
      <c r="CS29">
        <v>2</v>
      </c>
      <c r="CT29">
        <v>2</v>
      </c>
      <c r="CU29">
        <v>0</v>
      </c>
      <c r="CV29">
        <v>2</v>
      </c>
      <c r="CW29">
        <v>0</v>
      </c>
      <c r="CX29">
        <v>3</v>
      </c>
      <c r="CY29">
        <v>7</v>
      </c>
      <c r="CZ29" t="s">
        <v>131</v>
      </c>
      <c r="DA29">
        <v>286</v>
      </c>
      <c r="DB29">
        <v>0</v>
      </c>
      <c r="DC29" t="s">
        <v>132</v>
      </c>
      <c r="DD29" t="s">
        <v>133</v>
      </c>
      <c r="DG29">
        <v>780422</v>
      </c>
      <c r="DI29">
        <v>0</v>
      </c>
      <c r="DJ29">
        <v>0</v>
      </c>
      <c r="DK29">
        <v>1</v>
      </c>
      <c r="DL29">
        <v>0</v>
      </c>
      <c r="DM29">
        <v>0</v>
      </c>
      <c r="DN29">
        <v>1</v>
      </c>
      <c r="DO29">
        <v>0</v>
      </c>
      <c r="DP29">
        <v>0</v>
      </c>
      <c r="DQ29">
        <v>0</v>
      </c>
      <c r="DR29">
        <v>0</v>
      </c>
      <c r="DS29">
        <v>0</v>
      </c>
    </row>
    <row r="30" spans="1:123" x14ac:dyDescent="0.3">
      <c r="A30" t="str">
        <f>"10/04/2022 19:25:44.040"</f>
        <v>10/04/2022 19:25:44.040</v>
      </c>
      <c r="C30" t="str">
        <f t="shared" si="0"/>
        <v>FFDFD3C0</v>
      </c>
      <c r="D30" t="s">
        <v>123</v>
      </c>
      <c r="E30">
        <v>7</v>
      </c>
      <c r="F30">
        <v>2007</v>
      </c>
      <c r="G30" t="s">
        <v>124</v>
      </c>
      <c r="J30" t="s">
        <v>125</v>
      </c>
      <c r="K30">
        <v>0</v>
      </c>
      <c r="L30">
        <v>3</v>
      </c>
      <c r="M30">
        <v>0</v>
      </c>
      <c r="N30">
        <v>2</v>
      </c>
      <c r="O30">
        <v>0</v>
      </c>
      <c r="P30">
        <v>1</v>
      </c>
      <c r="Q30">
        <v>0</v>
      </c>
      <c r="S30" t="str">
        <f t="shared" si="11"/>
        <v>19:25:42.742</v>
      </c>
      <c r="T30" t="str">
        <f t="shared" si="11"/>
        <v>19:25:42.742</v>
      </c>
      <c r="U30" t="str">
        <f t="shared" si="1"/>
        <v>AC3944</v>
      </c>
      <c r="V30">
        <v>0</v>
      </c>
      <c r="W30">
        <v>0</v>
      </c>
      <c r="X30">
        <v>2</v>
      </c>
      <c r="Y30">
        <v>0</v>
      </c>
      <c r="AA30">
        <v>0</v>
      </c>
      <c r="AB30">
        <v>8</v>
      </c>
      <c r="AC30">
        <v>3</v>
      </c>
      <c r="AD30">
        <v>0</v>
      </c>
      <c r="AE30">
        <v>9</v>
      </c>
      <c r="AF30" t="s">
        <v>138</v>
      </c>
      <c r="AG30">
        <v>0</v>
      </c>
      <c r="AH30">
        <v>3</v>
      </c>
      <c r="AI30">
        <v>1</v>
      </c>
      <c r="AJ30">
        <v>0</v>
      </c>
      <c r="AK30" t="s">
        <v>155</v>
      </c>
      <c r="AL30">
        <v>32.826976999999999</v>
      </c>
      <c r="AM30" t="s">
        <v>156</v>
      </c>
      <c r="AN30">
        <v>-116.97437499999999</v>
      </c>
      <c r="AO30">
        <v>25</v>
      </c>
      <c r="AP30">
        <v>600</v>
      </c>
      <c r="AQ30" t="s">
        <v>129</v>
      </c>
      <c r="AR30">
        <v>-88</v>
      </c>
      <c r="AS30">
        <v>18</v>
      </c>
      <c r="AT30">
        <v>320</v>
      </c>
      <c r="BB30">
        <v>1200</v>
      </c>
      <c r="BC30">
        <v>1</v>
      </c>
      <c r="BD30" t="str">
        <f t="shared" si="2"/>
        <v xml:space="preserve">N887QR  </v>
      </c>
      <c r="BE30">
        <v>1</v>
      </c>
      <c r="BG30">
        <v>0</v>
      </c>
      <c r="BH30">
        <v>0</v>
      </c>
      <c r="BI30">
        <v>0</v>
      </c>
      <c r="BJ30">
        <v>275</v>
      </c>
      <c r="BK30">
        <v>-325</v>
      </c>
      <c r="BL30" t="s">
        <v>130</v>
      </c>
      <c r="BM30">
        <v>1</v>
      </c>
      <c r="BN30">
        <v>1</v>
      </c>
      <c r="BO30">
        <v>1</v>
      </c>
      <c r="BP30">
        <v>0</v>
      </c>
      <c r="BT30">
        <v>0</v>
      </c>
      <c r="BU30">
        <v>0</v>
      </c>
      <c r="CE30" t="str">
        <f t="shared" si="12"/>
        <v>19:25:43.746</v>
      </c>
      <c r="CF30">
        <v>1745749475</v>
      </c>
      <c r="CS30">
        <v>3</v>
      </c>
      <c r="CT30">
        <v>2</v>
      </c>
      <c r="CU30">
        <v>0</v>
      </c>
      <c r="CV30">
        <v>2</v>
      </c>
      <c r="CW30">
        <v>0</v>
      </c>
      <c r="CX30">
        <v>3</v>
      </c>
      <c r="CY30">
        <v>7</v>
      </c>
      <c r="CZ30" t="s">
        <v>131</v>
      </c>
      <c r="DA30">
        <v>286</v>
      </c>
      <c r="DB30">
        <v>0</v>
      </c>
      <c r="DC30" t="s">
        <v>132</v>
      </c>
      <c r="DD30" t="s">
        <v>133</v>
      </c>
      <c r="DG30">
        <v>780422</v>
      </c>
      <c r="DI30">
        <v>0</v>
      </c>
      <c r="DJ30">
        <v>0</v>
      </c>
      <c r="DK30">
        <v>1</v>
      </c>
      <c r="DL30">
        <v>0</v>
      </c>
      <c r="DM30">
        <v>0</v>
      </c>
      <c r="DN30">
        <v>1</v>
      </c>
      <c r="DO30">
        <v>0</v>
      </c>
      <c r="DP30">
        <v>0</v>
      </c>
      <c r="DQ30">
        <v>0</v>
      </c>
      <c r="DR30">
        <v>0</v>
      </c>
      <c r="DS30">
        <v>0</v>
      </c>
    </row>
    <row r="31" spans="1:123" x14ac:dyDescent="0.3">
      <c r="A31" t="str">
        <f>"10/04/2022 19:25:44.055"</f>
        <v>10/04/2022 19:25:44.055</v>
      </c>
      <c r="C31" t="str">
        <f t="shared" si="0"/>
        <v>FFDFD3C0</v>
      </c>
      <c r="D31" t="s">
        <v>134</v>
      </c>
      <c r="E31">
        <v>15</v>
      </c>
      <c r="J31" t="s">
        <v>135</v>
      </c>
      <c r="K31">
        <v>0</v>
      </c>
      <c r="L31">
        <v>3</v>
      </c>
      <c r="M31">
        <v>0</v>
      </c>
      <c r="N31">
        <v>2</v>
      </c>
      <c r="O31">
        <v>0</v>
      </c>
      <c r="P31">
        <v>1</v>
      </c>
      <c r="Q31">
        <v>0</v>
      </c>
      <c r="S31" t="str">
        <f t="shared" si="11"/>
        <v>19:25:42.742</v>
      </c>
      <c r="T31" t="str">
        <f t="shared" si="11"/>
        <v>19:25:42.742</v>
      </c>
      <c r="U31" t="str">
        <f t="shared" si="1"/>
        <v>AC3944</v>
      </c>
      <c r="V31">
        <v>0</v>
      </c>
      <c r="W31">
        <v>0</v>
      </c>
      <c r="X31">
        <v>2</v>
      </c>
      <c r="Y31">
        <v>0</v>
      </c>
      <c r="AA31">
        <v>0</v>
      </c>
      <c r="AB31">
        <v>8</v>
      </c>
      <c r="AC31">
        <v>3</v>
      </c>
      <c r="AD31">
        <v>0</v>
      </c>
      <c r="AE31">
        <v>9</v>
      </c>
      <c r="AF31" t="s">
        <v>138</v>
      </c>
      <c r="AG31">
        <v>0</v>
      </c>
      <c r="AH31">
        <v>3</v>
      </c>
      <c r="AI31">
        <v>1</v>
      </c>
      <c r="AJ31">
        <v>0</v>
      </c>
      <c r="AK31" t="s">
        <v>155</v>
      </c>
      <c r="AL31">
        <v>32.826976999999999</v>
      </c>
      <c r="AM31" t="s">
        <v>156</v>
      </c>
      <c r="AN31">
        <v>-116.97437499999999</v>
      </c>
      <c r="AO31">
        <v>25</v>
      </c>
      <c r="AP31">
        <v>600</v>
      </c>
      <c r="AQ31" t="s">
        <v>129</v>
      </c>
      <c r="AR31">
        <v>-88</v>
      </c>
      <c r="AS31">
        <v>18</v>
      </c>
      <c r="AT31">
        <v>320</v>
      </c>
      <c r="BB31">
        <v>1200</v>
      </c>
      <c r="BC31">
        <v>1</v>
      </c>
      <c r="BD31" t="str">
        <f t="shared" si="2"/>
        <v xml:space="preserve">N887QR  </v>
      </c>
      <c r="BE31">
        <v>1</v>
      </c>
      <c r="BG31">
        <v>0</v>
      </c>
      <c r="BH31">
        <v>0</v>
      </c>
      <c r="BI31">
        <v>0</v>
      </c>
      <c r="BJ31">
        <v>275</v>
      </c>
      <c r="BK31">
        <v>-325</v>
      </c>
      <c r="BL31" t="s">
        <v>130</v>
      </c>
      <c r="BM31">
        <v>1</v>
      </c>
      <c r="BN31">
        <v>1</v>
      </c>
      <c r="BO31">
        <v>1</v>
      </c>
      <c r="BP31">
        <v>0</v>
      </c>
      <c r="BT31">
        <v>0</v>
      </c>
      <c r="BU31">
        <v>0</v>
      </c>
      <c r="CE31" t="str">
        <f t="shared" si="12"/>
        <v>19:25:43.746</v>
      </c>
      <c r="CF31">
        <v>1745749475</v>
      </c>
      <c r="CS31">
        <v>3</v>
      </c>
      <c r="CT31">
        <v>2</v>
      </c>
      <c r="CU31">
        <v>0</v>
      </c>
      <c r="CV31">
        <v>2</v>
      </c>
      <c r="CW31">
        <v>0</v>
      </c>
      <c r="CX31">
        <v>3</v>
      </c>
      <c r="CY31">
        <v>7</v>
      </c>
      <c r="CZ31" t="s">
        <v>131</v>
      </c>
      <c r="DA31">
        <v>286</v>
      </c>
      <c r="DB31">
        <v>0</v>
      </c>
      <c r="DC31" t="s">
        <v>132</v>
      </c>
      <c r="DD31" t="s">
        <v>133</v>
      </c>
      <c r="DG31">
        <v>780422</v>
      </c>
      <c r="DI31">
        <v>0</v>
      </c>
      <c r="DJ31">
        <v>0</v>
      </c>
      <c r="DK31">
        <v>1</v>
      </c>
      <c r="DL31">
        <v>0</v>
      </c>
      <c r="DM31">
        <v>0</v>
      </c>
      <c r="DN31">
        <v>1</v>
      </c>
      <c r="DO31">
        <v>0</v>
      </c>
      <c r="DP31">
        <v>0</v>
      </c>
      <c r="DQ31">
        <v>0</v>
      </c>
      <c r="DR31">
        <v>0</v>
      </c>
      <c r="DS31">
        <v>0</v>
      </c>
    </row>
    <row r="32" spans="1:123" x14ac:dyDescent="0.3">
      <c r="A32" t="str">
        <f>"10/04/2022 19:25:45.666"</f>
        <v>10/04/2022 19:25:45.666</v>
      </c>
      <c r="C32" t="str">
        <f t="shared" si="0"/>
        <v>FFDFD3C0</v>
      </c>
      <c r="D32" t="s">
        <v>136</v>
      </c>
      <c r="E32">
        <v>8</v>
      </c>
      <c r="H32">
        <v>225</v>
      </c>
      <c r="I32" t="s">
        <v>137</v>
      </c>
      <c r="J32" t="s">
        <v>138</v>
      </c>
      <c r="K32">
        <v>0</v>
      </c>
      <c r="L32">
        <v>3</v>
      </c>
      <c r="M32">
        <v>0</v>
      </c>
      <c r="N32">
        <v>2</v>
      </c>
      <c r="O32">
        <v>0</v>
      </c>
      <c r="P32">
        <v>1</v>
      </c>
      <c r="Q32">
        <v>0</v>
      </c>
      <c r="S32" t="str">
        <f t="shared" ref="S32:T38" si="13">"19:25:44.250"</f>
        <v>19:25:44.250</v>
      </c>
      <c r="T32" t="str">
        <f t="shared" si="13"/>
        <v>19:25:44.250</v>
      </c>
      <c r="U32" t="str">
        <f t="shared" si="1"/>
        <v>AC3944</v>
      </c>
      <c r="V32">
        <v>0</v>
      </c>
      <c r="W32">
        <v>0</v>
      </c>
      <c r="X32">
        <v>2</v>
      </c>
      <c r="Y32">
        <v>0</v>
      </c>
      <c r="AA32">
        <v>0</v>
      </c>
      <c r="AB32">
        <v>8</v>
      </c>
      <c r="AC32">
        <v>3</v>
      </c>
      <c r="AD32">
        <v>0</v>
      </c>
      <c r="AE32">
        <v>9</v>
      </c>
      <c r="AF32" t="s">
        <v>126</v>
      </c>
      <c r="AG32">
        <v>0</v>
      </c>
      <c r="AH32">
        <v>0</v>
      </c>
      <c r="AI32">
        <v>1</v>
      </c>
      <c r="AJ32">
        <v>0</v>
      </c>
      <c r="AK32" t="s">
        <v>157</v>
      </c>
      <c r="AL32">
        <v>32.827063000000003</v>
      </c>
      <c r="AM32" t="s">
        <v>158</v>
      </c>
      <c r="AN32">
        <v>-116.974869</v>
      </c>
      <c r="AO32">
        <v>25</v>
      </c>
      <c r="AP32">
        <v>600</v>
      </c>
      <c r="AQ32" t="s">
        <v>129</v>
      </c>
      <c r="AR32">
        <v>-92</v>
      </c>
      <c r="AS32">
        <v>20</v>
      </c>
      <c r="AT32">
        <v>192</v>
      </c>
      <c r="BB32">
        <v>1200</v>
      </c>
      <c r="BC32">
        <v>1</v>
      </c>
      <c r="BD32" t="str">
        <f t="shared" si="2"/>
        <v xml:space="preserve">N887QR  </v>
      </c>
      <c r="BE32">
        <v>1</v>
      </c>
      <c r="BG32">
        <v>0</v>
      </c>
      <c r="BH32">
        <v>0</v>
      </c>
      <c r="BI32">
        <v>0</v>
      </c>
      <c r="BJ32">
        <v>275</v>
      </c>
      <c r="BK32">
        <v>-325</v>
      </c>
      <c r="BL32" t="s">
        <v>130</v>
      </c>
      <c r="BM32">
        <v>1</v>
      </c>
      <c r="BN32">
        <v>1</v>
      </c>
      <c r="BO32">
        <v>1</v>
      </c>
      <c r="BP32">
        <v>0</v>
      </c>
      <c r="BT32">
        <v>0</v>
      </c>
      <c r="BU32">
        <v>0</v>
      </c>
      <c r="CE32" t="str">
        <f t="shared" ref="CE32:CE38" si="14">"19:25:45.257"</f>
        <v>19:25:45.257</v>
      </c>
      <c r="CF32">
        <v>1256754348</v>
      </c>
      <c r="CS32">
        <v>2</v>
      </c>
      <c r="CT32">
        <v>2</v>
      </c>
      <c r="CU32">
        <v>0</v>
      </c>
      <c r="CV32">
        <v>2</v>
      </c>
      <c r="CW32">
        <v>0</v>
      </c>
      <c r="CX32">
        <v>4</v>
      </c>
      <c r="CY32">
        <v>7</v>
      </c>
      <c r="CZ32" t="s">
        <v>131</v>
      </c>
      <c r="DA32">
        <v>286</v>
      </c>
      <c r="DB32">
        <v>0</v>
      </c>
      <c r="DC32" t="s">
        <v>132</v>
      </c>
      <c r="DD32" t="s">
        <v>133</v>
      </c>
      <c r="DG32">
        <v>780737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1</v>
      </c>
      <c r="DO32">
        <v>0</v>
      </c>
      <c r="DP32">
        <v>0</v>
      </c>
      <c r="DQ32">
        <v>0</v>
      </c>
      <c r="DR32">
        <v>0</v>
      </c>
      <c r="DS32">
        <v>0</v>
      </c>
    </row>
    <row r="33" spans="1:123" x14ac:dyDescent="0.3">
      <c r="A33" t="str">
        <f>"10/04/2022 19:25:45.666"</f>
        <v>10/04/2022 19:25:45.666</v>
      </c>
      <c r="C33" t="str">
        <f t="shared" si="0"/>
        <v>FFDFD3C0</v>
      </c>
      <c r="D33" t="s">
        <v>123</v>
      </c>
      <c r="E33">
        <v>7</v>
      </c>
      <c r="F33">
        <v>2007</v>
      </c>
      <c r="G33" t="s">
        <v>124</v>
      </c>
      <c r="J33" t="s">
        <v>125</v>
      </c>
      <c r="K33">
        <v>0</v>
      </c>
      <c r="L33">
        <v>3</v>
      </c>
      <c r="M33">
        <v>0</v>
      </c>
      <c r="N33">
        <v>2</v>
      </c>
      <c r="O33">
        <v>0</v>
      </c>
      <c r="P33">
        <v>1</v>
      </c>
      <c r="Q33">
        <v>0</v>
      </c>
      <c r="S33" t="str">
        <f t="shared" si="13"/>
        <v>19:25:44.250</v>
      </c>
      <c r="T33" t="str">
        <f t="shared" si="13"/>
        <v>19:25:44.250</v>
      </c>
      <c r="U33" t="str">
        <f t="shared" si="1"/>
        <v>AC3944</v>
      </c>
      <c r="V33">
        <v>0</v>
      </c>
      <c r="W33">
        <v>0</v>
      </c>
      <c r="X33">
        <v>2</v>
      </c>
      <c r="Y33">
        <v>0</v>
      </c>
      <c r="AA33">
        <v>0</v>
      </c>
      <c r="AB33">
        <v>8</v>
      </c>
      <c r="AC33">
        <v>3</v>
      </c>
      <c r="AD33">
        <v>0</v>
      </c>
      <c r="AE33">
        <v>9</v>
      </c>
      <c r="AF33" t="s">
        <v>138</v>
      </c>
      <c r="AG33">
        <v>0</v>
      </c>
      <c r="AH33">
        <v>3</v>
      </c>
      <c r="AI33">
        <v>1</v>
      </c>
      <c r="AJ33">
        <v>0</v>
      </c>
      <c r="AK33" t="s">
        <v>157</v>
      </c>
      <c r="AL33">
        <v>32.827063000000003</v>
      </c>
      <c r="AM33" t="s">
        <v>158</v>
      </c>
      <c r="AN33">
        <v>-116.974869</v>
      </c>
      <c r="AO33">
        <v>25</v>
      </c>
      <c r="AP33">
        <v>600</v>
      </c>
      <c r="AQ33" t="s">
        <v>129</v>
      </c>
      <c r="AR33">
        <v>-92</v>
      </c>
      <c r="AS33">
        <v>20</v>
      </c>
      <c r="AT33">
        <v>192</v>
      </c>
      <c r="BB33">
        <v>1200</v>
      </c>
      <c r="BC33">
        <v>1</v>
      </c>
      <c r="BD33" t="str">
        <f t="shared" si="2"/>
        <v xml:space="preserve">N887QR  </v>
      </c>
      <c r="BE33">
        <v>1</v>
      </c>
      <c r="BG33">
        <v>0</v>
      </c>
      <c r="BH33">
        <v>0</v>
      </c>
      <c r="BI33">
        <v>0</v>
      </c>
      <c r="BJ33">
        <v>275</v>
      </c>
      <c r="BK33">
        <v>-325</v>
      </c>
      <c r="BL33" t="s">
        <v>130</v>
      </c>
      <c r="BM33">
        <v>1</v>
      </c>
      <c r="BN33">
        <v>1</v>
      </c>
      <c r="BO33">
        <v>1</v>
      </c>
      <c r="BP33">
        <v>0</v>
      </c>
      <c r="BT33">
        <v>0</v>
      </c>
      <c r="BU33">
        <v>0</v>
      </c>
      <c r="CE33" t="str">
        <f t="shared" si="14"/>
        <v>19:25:45.257</v>
      </c>
      <c r="CF33">
        <v>1256754348</v>
      </c>
      <c r="CS33">
        <v>3</v>
      </c>
      <c r="CT33">
        <v>2</v>
      </c>
      <c r="CU33">
        <v>0</v>
      </c>
      <c r="CV33">
        <v>2</v>
      </c>
      <c r="CW33">
        <v>0</v>
      </c>
      <c r="CX33">
        <v>4</v>
      </c>
      <c r="CY33">
        <v>7</v>
      </c>
      <c r="CZ33" t="s">
        <v>131</v>
      </c>
      <c r="DA33">
        <v>286</v>
      </c>
      <c r="DB33">
        <v>0</v>
      </c>
      <c r="DC33" t="s">
        <v>132</v>
      </c>
      <c r="DD33" t="s">
        <v>133</v>
      </c>
      <c r="DG33">
        <v>780737</v>
      </c>
      <c r="DI33">
        <v>0</v>
      </c>
      <c r="DJ33">
        <v>0</v>
      </c>
      <c r="DK33">
        <v>1</v>
      </c>
      <c r="DL33">
        <v>0</v>
      </c>
      <c r="DM33">
        <v>0</v>
      </c>
      <c r="DN33">
        <v>1</v>
      </c>
      <c r="DO33">
        <v>0</v>
      </c>
      <c r="DP33">
        <v>0</v>
      </c>
      <c r="DQ33">
        <v>0</v>
      </c>
      <c r="DR33">
        <v>0</v>
      </c>
      <c r="DS33">
        <v>0</v>
      </c>
    </row>
    <row r="34" spans="1:123" x14ac:dyDescent="0.3">
      <c r="A34" t="str">
        <f>"10/04/2022 19:25:45.666"</f>
        <v>10/04/2022 19:25:45.666</v>
      </c>
      <c r="C34" t="str">
        <f t="shared" si="0"/>
        <v>FFDFD3C0</v>
      </c>
      <c r="D34" t="s">
        <v>134</v>
      </c>
      <c r="E34">
        <v>15</v>
      </c>
      <c r="J34" t="s">
        <v>135</v>
      </c>
      <c r="K34">
        <v>0</v>
      </c>
      <c r="L34">
        <v>3</v>
      </c>
      <c r="M34">
        <v>0</v>
      </c>
      <c r="N34">
        <v>2</v>
      </c>
      <c r="O34">
        <v>0</v>
      </c>
      <c r="P34">
        <v>1</v>
      </c>
      <c r="Q34">
        <v>0</v>
      </c>
      <c r="S34" t="str">
        <f t="shared" si="13"/>
        <v>19:25:44.250</v>
      </c>
      <c r="T34" t="str">
        <f t="shared" si="13"/>
        <v>19:25:44.250</v>
      </c>
      <c r="U34" t="str">
        <f t="shared" si="1"/>
        <v>AC3944</v>
      </c>
      <c r="V34">
        <v>0</v>
      </c>
      <c r="W34">
        <v>0</v>
      </c>
      <c r="X34">
        <v>2</v>
      </c>
      <c r="Y34">
        <v>0</v>
      </c>
      <c r="AA34">
        <v>0</v>
      </c>
      <c r="AB34">
        <v>8</v>
      </c>
      <c r="AC34">
        <v>3</v>
      </c>
      <c r="AD34">
        <v>0</v>
      </c>
      <c r="AE34">
        <v>9</v>
      </c>
      <c r="AF34" t="s">
        <v>138</v>
      </c>
      <c r="AG34">
        <v>0</v>
      </c>
      <c r="AH34">
        <v>3</v>
      </c>
      <c r="AI34">
        <v>1</v>
      </c>
      <c r="AJ34">
        <v>0</v>
      </c>
      <c r="AK34" t="s">
        <v>157</v>
      </c>
      <c r="AL34">
        <v>32.827063000000003</v>
      </c>
      <c r="AM34" t="s">
        <v>158</v>
      </c>
      <c r="AN34">
        <v>-116.974869</v>
      </c>
      <c r="AO34">
        <v>25</v>
      </c>
      <c r="AP34">
        <v>600</v>
      </c>
      <c r="AQ34" t="s">
        <v>129</v>
      </c>
      <c r="AR34">
        <v>-92</v>
      </c>
      <c r="AS34">
        <v>20</v>
      </c>
      <c r="AT34">
        <v>192</v>
      </c>
      <c r="BB34">
        <v>1200</v>
      </c>
      <c r="BC34">
        <v>1</v>
      </c>
      <c r="BD34" t="str">
        <f t="shared" si="2"/>
        <v xml:space="preserve">N887QR  </v>
      </c>
      <c r="BE34">
        <v>1</v>
      </c>
      <c r="BG34">
        <v>0</v>
      </c>
      <c r="BH34">
        <v>0</v>
      </c>
      <c r="BI34">
        <v>0</v>
      </c>
      <c r="BJ34">
        <v>275</v>
      </c>
      <c r="BK34">
        <v>-325</v>
      </c>
      <c r="BL34" t="s">
        <v>130</v>
      </c>
      <c r="BM34">
        <v>1</v>
      </c>
      <c r="BN34">
        <v>1</v>
      </c>
      <c r="BO34">
        <v>1</v>
      </c>
      <c r="BP34">
        <v>0</v>
      </c>
      <c r="BT34">
        <v>0</v>
      </c>
      <c r="BU34">
        <v>0</v>
      </c>
      <c r="CE34" t="str">
        <f t="shared" si="14"/>
        <v>19:25:45.257</v>
      </c>
      <c r="CF34">
        <v>1256754348</v>
      </c>
      <c r="CS34">
        <v>3</v>
      </c>
      <c r="CT34">
        <v>2</v>
      </c>
      <c r="CU34">
        <v>0</v>
      </c>
      <c r="CV34">
        <v>2</v>
      </c>
      <c r="CW34">
        <v>0</v>
      </c>
      <c r="CX34">
        <v>4</v>
      </c>
      <c r="CY34">
        <v>7</v>
      </c>
      <c r="CZ34" t="s">
        <v>131</v>
      </c>
      <c r="DA34">
        <v>286</v>
      </c>
      <c r="DB34">
        <v>0</v>
      </c>
      <c r="DC34" t="s">
        <v>132</v>
      </c>
      <c r="DD34" t="s">
        <v>133</v>
      </c>
      <c r="DG34">
        <v>780737</v>
      </c>
      <c r="DI34">
        <v>0</v>
      </c>
      <c r="DJ34">
        <v>0</v>
      </c>
      <c r="DK34">
        <v>1</v>
      </c>
      <c r="DL34">
        <v>0</v>
      </c>
      <c r="DM34">
        <v>0</v>
      </c>
      <c r="DN34">
        <v>1</v>
      </c>
      <c r="DO34">
        <v>0</v>
      </c>
      <c r="DP34">
        <v>0</v>
      </c>
      <c r="DQ34">
        <v>0</v>
      </c>
      <c r="DR34">
        <v>0</v>
      </c>
      <c r="DS34">
        <v>0</v>
      </c>
    </row>
    <row r="35" spans="1:123" x14ac:dyDescent="0.3">
      <c r="A35" t="str">
        <f>"10/04/2022 19:25:45.666"</f>
        <v>10/04/2022 19:25:45.666</v>
      </c>
      <c r="C35" t="str">
        <f t="shared" si="0"/>
        <v>FFDFD3C0</v>
      </c>
      <c r="D35" t="s">
        <v>147</v>
      </c>
      <c r="E35">
        <v>3</v>
      </c>
      <c r="H35">
        <v>166</v>
      </c>
      <c r="I35" t="s">
        <v>144</v>
      </c>
      <c r="J35" t="s">
        <v>148</v>
      </c>
      <c r="K35">
        <v>0</v>
      </c>
      <c r="L35">
        <v>3</v>
      </c>
      <c r="M35">
        <v>0</v>
      </c>
      <c r="N35">
        <v>2</v>
      </c>
      <c r="O35">
        <v>0</v>
      </c>
      <c r="P35">
        <v>1</v>
      </c>
      <c r="Q35">
        <v>0</v>
      </c>
      <c r="S35" t="str">
        <f t="shared" si="13"/>
        <v>19:25:44.250</v>
      </c>
      <c r="T35" t="str">
        <f t="shared" si="13"/>
        <v>19:25:44.250</v>
      </c>
      <c r="U35" t="str">
        <f t="shared" si="1"/>
        <v>AC3944</v>
      </c>
      <c r="V35">
        <v>0</v>
      </c>
      <c r="W35">
        <v>0</v>
      </c>
      <c r="X35">
        <v>2</v>
      </c>
      <c r="Y35">
        <v>0</v>
      </c>
      <c r="AA35">
        <v>0</v>
      </c>
      <c r="AB35">
        <v>8</v>
      </c>
      <c r="AC35">
        <v>3</v>
      </c>
      <c r="AD35">
        <v>0</v>
      </c>
      <c r="AE35">
        <v>9</v>
      </c>
      <c r="AF35" t="s">
        <v>126</v>
      </c>
      <c r="AG35">
        <v>0</v>
      </c>
      <c r="AH35">
        <v>0</v>
      </c>
      <c r="AI35">
        <v>1</v>
      </c>
      <c r="AJ35">
        <v>0</v>
      </c>
      <c r="AK35" t="s">
        <v>157</v>
      </c>
      <c r="AL35">
        <v>32.827063000000003</v>
      </c>
      <c r="AM35" t="s">
        <v>158</v>
      </c>
      <c r="AN35">
        <v>-116.974869</v>
      </c>
      <c r="AO35">
        <v>25</v>
      </c>
      <c r="AP35">
        <v>600</v>
      </c>
      <c r="AQ35" t="s">
        <v>129</v>
      </c>
      <c r="AR35">
        <v>-92</v>
      </c>
      <c r="AS35">
        <v>20</v>
      </c>
      <c r="AT35">
        <v>192</v>
      </c>
      <c r="BB35">
        <v>1200</v>
      </c>
      <c r="BC35">
        <v>1</v>
      </c>
      <c r="BD35" t="str">
        <f t="shared" si="2"/>
        <v xml:space="preserve">N887QR  </v>
      </c>
      <c r="BE35">
        <v>1</v>
      </c>
      <c r="BG35">
        <v>0</v>
      </c>
      <c r="BH35">
        <v>0</v>
      </c>
      <c r="BI35">
        <v>0</v>
      </c>
      <c r="BJ35">
        <v>275</v>
      </c>
      <c r="BK35">
        <v>-325</v>
      </c>
      <c r="BL35" t="s">
        <v>130</v>
      </c>
      <c r="BM35">
        <v>1</v>
      </c>
      <c r="BN35">
        <v>1</v>
      </c>
      <c r="BO35">
        <v>1</v>
      </c>
      <c r="BP35">
        <v>0</v>
      </c>
      <c r="BT35">
        <v>0</v>
      </c>
      <c r="BU35">
        <v>0</v>
      </c>
      <c r="CE35" t="str">
        <f t="shared" si="14"/>
        <v>19:25:45.257</v>
      </c>
      <c r="CF35">
        <v>1256754348</v>
      </c>
      <c r="CS35">
        <v>2</v>
      </c>
      <c r="CT35">
        <v>2</v>
      </c>
      <c r="CU35">
        <v>0</v>
      </c>
      <c r="CV35">
        <v>2</v>
      </c>
      <c r="CW35">
        <v>0</v>
      </c>
      <c r="CX35">
        <v>4</v>
      </c>
      <c r="CY35">
        <v>7</v>
      </c>
      <c r="CZ35" t="s">
        <v>131</v>
      </c>
      <c r="DA35">
        <v>286</v>
      </c>
      <c r="DB35">
        <v>0</v>
      </c>
      <c r="DC35" t="s">
        <v>132</v>
      </c>
      <c r="DD35" t="s">
        <v>133</v>
      </c>
      <c r="DG35">
        <v>780737</v>
      </c>
      <c r="DI35">
        <v>0</v>
      </c>
      <c r="DJ35">
        <v>0</v>
      </c>
      <c r="DK35">
        <v>1</v>
      </c>
      <c r="DL35">
        <v>0</v>
      </c>
      <c r="DM35">
        <v>0</v>
      </c>
      <c r="DN35">
        <v>1</v>
      </c>
      <c r="DO35">
        <v>0</v>
      </c>
      <c r="DP35">
        <v>0</v>
      </c>
      <c r="DQ35">
        <v>0</v>
      </c>
      <c r="DR35">
        <v>0</v>
      </c>
      <c r="DS35">
        <v>0</v>
      </c>
    </row>
    <row r="36" spans="1:123" x14ac:dyDescent="0.3">
      <c r="A36" t="str">
        <f>"10/04/2022 19:25:45.666"</f>
        <v>10/04/2022 19:25:45.666</v>
      </c>
      <c r="C36" t="str">
        <f t="shared" si="0"/>
        <v>FFDFD3C0</v>
      </c>
      <c r="D36" t="s">
        <v>141</v>
      </c>
      <c r="E36">
        <v>3</v>
      </c>
      <c r="H36">
        <v>3</v>
      </c>
      <c r="I36" t="s">
        <v>146</v>
      </c>
      <c r="J36" t="s">
        <v>138</v>
      </c>
      <c r="K36">
        <v>0</v>
      </c>
      <c r="L36">
        <v>3</v>
      </c>
      <c r="M36">
        <v>0</v>
      </c>
      <c r="N36">
        <v>2</v>
      </c>
      <c r="O36">
        <v>0</v>
      </c>
      <c r="P36">
        <v>1</v>
      </c>
      <c r="Q36">
        <v>0</v>
      </c>
      <c r="S36" t="str">
        <f t="shared" si="13"/>
        <v>19:25:44.250</v>
      </c>
      <c r="T36" t="str">
        <f t="shared" si="13"/>
        <v>19:25:44.250</v>
      </c>
      <c r="U36" t="str">
        <f t="shared" si="1"/>
        <v>AC3944</v>
      </c>
      <c r="V36">
        <v>0</v>
      </c>
      <c r="W36">
        <v>0</v>
      </c>
      <c r="X36">
        <v>2</v>
      </c>
      <c r="Y36">
        <v>0</v>
      </c>
      <c r="AA36">
        <v>0</v>
      </c>
      <c r="AB36">
        <v>8</v>
      </c>
      <c r="AC36">
        <v>3</v>
      </c>
      <c r="AD36">
        <v>0</v>
      </c>
      <c r="AE36">
        <v>9</v>
      </c>
      <c r="AF36" t="s">
        <v>126</v>
      </c>
      <c r="AG36">
        <v>0</v>
      </c>
      <c r="AH36">
        <v>0</v>
      </c>
      <c r="AI36">
        <v>1</v>
      </c>
      <c r="AJ36">
        <v>0</v>
      </c>
      <c r="AK36" t="s">
        <v>157</v>
      </c>
      <c r="AL36">
        <v>32.827063000000003</v>
      </c>
      <c r="AM36" t="s">
        <v>158</v>
      </c>
      <c r="AN36">
        <v>-116.974869</v>
      </c>
      <c r="AO36">
        <v>25</v>
      </c>
      <c r="AP36">
        <v>600</v>
      </c>
      <c r="AQ36" t="s">
        <v>129</v>
      </c>
      <c r="AR36">
        <v>-92</v>
      </c>
      <c r="AS36">
        <v>20</v>
      </c>
      <c r="AT36">
        <v>192</v>
      </c>
      <c r="BB36">
        <v>1200</v>
      </c>
      <c r="BC36">
        <v>1</v>
      </c>
      <c r="BD36" t="str">
        <f t="shared" si="2"/>
        <v xml:space="preserve">N887QR  </v>
      </c>
      <c r="BE36">
        <v>1</v>
      </c>
      <c r="BG36">
        <v>0</v>
      </c>
      <c r="BH36">
        <v>0</v>
      </c>
      <c r="BI36">
        <v>0</v>
      </c>
      <c r="BJ36">
        <v>275</v>
      </c>
      <c r="BK36">
        <v>-325</v>
      </c>
      <c r="BL36" t="s">
        <v>130</v>
      </c>
      <c r="BM36">
        <v>1</v>
      </c>
      <c r="BN36">
        <v>1</v>
      </c>
      <c r="BO36">
        <v>1</v>
      </c>
      <c r="BP36">
        <v>0</v>
      </c>
      <c r="BT36">
        <v>0</v>
      </c>
      <c r="BU36">
        <v>0</v>
      </c>
      <c r="CE36" t="str">
        <f t="shared" si="14"/>
        <v>19:25:45.257</v>
      </c>
      <c r="CF36">
        <v>1256754348</v>
      </c>
      <c r="CS36">
        <v>2</v>
      </c>
      <c r="CT36">
        <v>2</v>
      </c>
      <c r="CU36">
        <v>0</v>
      </c>
      <c r="CV36">
        <v>2</v>
      </c>
      <c r="CW36">
        <v>0</v>
      </c>
      <c r="CX36">
        <v>4</v>
      </c>
      <c r="CY36">
        <v>7</v>
      </c>
      <c r="CZ36" t="s">
        <v>131</v>
      </c>
      <c r="DA36">
        <v>286</v>
      </c>
      <c r="DB36">
        <v>0</v>
      </c>
      <c r="DC36" t="s">
        <v>132</v>
      </c>
      <c r="DD36" t="s">
        <v>133</v>
      </c>
      <c r="DG36">
        <v>780737</v>
      </c>
      <c r="DI36">
        <v>0</v>
      </c>
      <c r="DJ36">
        <v>0</v>
      </c>
      <c r="DK36">
        <v>1</v>
      </c>
      <c r="DL36">
        <v>0</v>
      </c>
      <c r="DM36">
        <v>0</v>
      </c>
      <c r="DN36">
        <v>1</v>
      </c>
      <c r="DO36">
        <v>0</v>
      </c>
      <c r="DP36">
        <v>0</v>
      </c>
      <c r="DQ36">
        <v>0</v>
      </c>
      <c r="DR36">
        <v>0</v>
      </c>
      <c r="DS36">
        <v>0</v>
      </c>
    </row>
    <row r="37" spans="1:123" x14ac:dyDescent="0.3">
      <c r="A37" t="str">
        <f>"10/04/2022 19:25:45.744"</f>
        <v>10/04/2022 19:25:45.744</v>
      </c>
      <c r="C37" t="str">
        <f t="shared" si="0"/>
        <v>FFDFD3C0</v>
      </c>
      <c r="D37" t="s">
        <v>141</v>
      </c>
      <c r="E37">
        <v>4</v>
      </c>
      <c r="H37">
        <v>4</v>
      </c>
      <c r="I37" t="s">
        <v>142</v>
      </c>
      <c r="J37" t="s">
        <v>138</v>
      </c>
      <c r="K37">
        <v>0</v>
      </c>
      <c r="L37">
        <v>3</v>
      </c>
      <c r="M37">
        <v>0</v>
      </c>
      <c r="N37">
        <v>2</v>
      </c>
      <c r="O37">
        <v>0</v>
      </c>
      <c r="P37">
        <v>1</v>
      </c>
      <c r="Q37">
        <v>0</v>
      </c>
      <c r="S37" t="str">
        <f t="shared" si="13"/>
        <v>19:25:44.250</v>
      </c>
      <c r="T37" t="str">
        <f t="shared" si="13"/>
        <v>19:25:44.250</v>
      </c>
      <c r="U37" t="str">
        <f t="shared" si="1"/>
        <v>AC3944</v>
      </c>
      <c r="V37">
        <v>0</v>
      </c>
      <c r="W37">
        <v>0</v>
      </c>
      <c r="X37">
        <v>2</v>
      </c>
      <c r="Y37">
        <v>0</v>
      </c>
      <c r="AA37">
        <v>0</v>
      </c>
      <c r="AB37">
        <v>8</v>
      </c>
      <c r="AC37">
        <v>3</v>
      </c>
      <c r="AD37">
        <v>0</v>
      </c>
      <c r="AE37">
        <v>9</v>
      </c>
      <c r="AF37" t="s">
        <v>126</v>
      </c>
      <c r="AG37">
        <v>0</v>
      </c>
      <c r="AH37">
        <v>0</v>
      </c>
      <c r="AI37">
        <v>1</v>
      </c>
      <c r="AJ37">
        <v>0</v>
      </c>
      <c r="AK37" t="s">
        <v>157</v>
      </c>
      <c r="AL37">
        <v>32.827063000000003</v>
      </c>
      <c r="AM37" t="s">
        <v>158</v>
      </c>
      <c r="AN37">
        <v>-116.974869</v>
      </c>
      <c r="AO37">
        <v>25</v>
      </c>
      <c r="AP37">
        <v>600</v>
      </c>
      <c r="AQ37" t="s">
        <v>129</v>
      </c>
      <c r="AR37">
        <v>-92</v>
      </c>
      <c r="AS37">
        <v>20</v>
      </c>
      <c r="AT37">
        <v>192</v>
      </c>
      <c r="BB37">
        <v>1200</v>
      </c>
      <c r="BC37">
        <v>1</v>
      </c>
      <c r="BD37" t="str">
        <f t="shared" si="2"/>
        <v xml:space="preserve">N887QR  </v>
      </c>
      <c r="BE37">
        <v>1</v>
      </c>
      <c r="BG37">
        <v>0</v>
      </c>
      <c r="BH37">
        <v>0</v>
      </c>
      <c r="BI37">
        <v>0</v>
      </c>
      <c r="BJ37">
        <v>275</v>
      </c>
      <c r="BK37">
        <v>-325</v>
      </c>
      <c r="BL37" t="s">
        <v>130</v>
      </c>
      <c r="BM37">
        <v>1</v>
      </c>
      <c r="BN37">
        <v>1</v>
      </c>
      <c r="BO37">
        <v>1</v>
      </c>
      <c r="BP37">
        <v>0</v>
      </c>
      <c r="BT37">
        <v>0</v>
      </c>
      <c r="BU37">
        <v>0</v>
      </c>
      <c r="CE37" t="str">
        <f t="shared" si="14"/>
        <v>19:25:45.257</v>
      </c>
      <c r="CF37">
        <v>1256754348</v>
      </c>
      <c r="CS37">
        <v>2</v>
      </c>
      <c r="CT37">
        <v>2</v>
      </c>
      <c r="CU37">
        <v>0</v>
      </c>
      <c r="CV37">
        <v>2</v>
      </c>
      <c r="CW37">
        <v>0</v>
      </c>
      <c r="CX37">
        <v>4</v>
      </c>
      <c r="CY37">
        <v>7</v>
      </c>
      <c r="CZ37" t="s">
        <v>131</v>
      </c>
      <c r="DA37">
        <v>286</v>
      </c>
      <c r="DB37">
        <v>0</v>
      </c>
      <c r="DC37" t="s">
        <v>132</v>
      </c>
      <c r="DD37" t="s">
        <v>133</v>
      </c>
      <c r="DG37">
        <v>780737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1</v>
      </c>
      <c r="DO37">
        <v>0</v>
      </c>
      <c r="DP37">
        <v>0</v>
      </c>
      <c r="DQ37">
        <v>0</v>
      </c>
      <c r="DR37">
        <v>0</v>
      </c>
      <c r="DS37">
        <v>0</v>
      </c>
    </row>
    <row r="38" spans="1:123" x14ac:dyDescent="0.3">
      <c r="A38" t="str">
        <f>"10/04/2022 19:25:45.744"</f>
        <v>10/04/2022 19:25:45.744</v>
      </c>
      <c r="C38" t="str">
        <f t="shared" si="0"/>
        <v>FFDFD3C0</v>
      </c>
      <c r="D38" t="s">
        <v>143</v>
      </c>
      <c r="E38">
        <v>20</v>
      </c>
      <c r="F38">
        <v>1020</v>
      </c>
      <c r="G38" t="s">
        <v>144</v>
      </c>
      <c r="J38" t="s">
        <v>145</v>
      </c>
      <c r="K38">
        <v>0</v>
      </c>
      <c r="L38">
        <v>3</v>
      </c>
      <c r="M38">
        <v>0</v>
      </c>
      <c r="N38">
        <v>2</v>
      </c>
      <c r="O38">
        <v>0</v>
      </c>
      <c r="P38">
        <v>1</v>
      </c>
      <c r="Q38">
        <v>0</v>
      </c>
      <c r="S38" t="str">
        <f t="shared" si="13"/>
        <v>19:25:44.250</v>
      </c>
      <c r="T38" t="str">
        <f t="shared" si="13"/>
        <v>19:25:44.250</v>
      </c>
      <c r="U38" t="str">
        <f t="shared" si="1"/>
        <v>AC3944</v>
      </c>
      <c r="V38">
        <v>0</v>
      </c>
      <c r="W38">
        <v>0</v>
      </c>
      <c r="X38">
        <v>2</v>
      </c>
      <c r="Y38">
        <v>0</v>
      </c>
      <c r="AA38">
        <v>0</v>
      </c>
      <c r="AB38">
        <v>8</v>
      </c>
      <c r="AC38">
        <v>3</v>
      </c>
      <c r="AD38">
        <v>0</v>
      </c>
      <c r="AE38">
        <v>9</v>
      </c>
      <c r="AF38" t="s">
        <v>138</v>
      </c>
      <c r="AG38">
        <v>0</v>
      </c>
      <c r="AH38">
        <v>3</v>
      </c>
      <c r="AI38">
        <v>1</v>
      </c>
      <c r="AJ38">
        <v>0</v>
      </c>
      <c r="AK38" t="s">
        <v>157</v>
      </c>
      <c r="AL38">
        <v>32.827063000000003</v>
      </c>
      <c r="AM38" t="s">
        <v>158</v>
      </c>
      <c r="AN38">
        <v>-116.974869</v>
      </c>
      <c r="AO38">
        <v>25</v>
      </c>
      <c r="AP38">
        <v>600</v>
      </c>
      <c r="AQ38" t="s">
        <v>129</v>
      </c>
      <c r="AR38">
        <v>-92</v>
      </c>
      <c r="AS38">
        <v>20</v>
      </c>
      <c r="AT38">
        <v>192</v>
      </c>
      <c r="BB38">
        <v>1200</v>
      </c>
      <c r="BC38">
        <v>1</v>
      </c>
      <c r="BD38" t="str">
        <f t="shared" si="2"/>
        <v xml:space="preserve">N887QR  </v>
      </c>
      <c r="BE38">
        <v>1</v>
      </c>
      <c r="BG38">
        <v>0</v>
      </c>
      <c r="BH38">
        <v>0</v>
      </c>
      <c r="BI38">
        <v>0</v>
      </c>
      <c r="BJ38">
        <v>275</v>
      </c>
      <c r="BK38">
        <v>-325</v>
      </c>
      <c r="BL38" t="s">
        <v>130</v>
      </c>
      <c r="BM38">
        <v>1</v>
      </c>
      <c r="BN38">
        <v>1</v>
      </c>
      <c r="BO38">
        <v>1</v>
      </c>
      <c r="BP38">
        <v>0</v>
      </c>
      <c r="BT38">
        <v>0</v>
      </c>
      <c r="BU38">
        <v>0</v>
      </c>
      <c r="CE38" t="str">
        <f t="shared" si="14"/>
        <v>19:25:45.257</v>
      </c>
      <c r="CF38">
        <v>1256754348</v>
      </c>
      <c r="CS38">
        <v>3</v>
      </c>
      <c r="CT38">
        <v>2</v>
      </c>
      <c r="CU38">
        <v>0</v>
      </c>
      <c r="CV38">
        <v>2</v>
      </c>
      <c r="CW38">
        <v>0</v>
      </c>
      <c r="CX38">
        <v>4</v>
      </c>
      <c r="CY38">
        <v>7</v>
      </c>
      <c r="CZ38" t="s">
        <v>131</v>
      </c>
      <c r="DA38">
        <v>286</v>
      </c>
      <c r="DB38">
        <v>0</v>
      </c>
      <c r="DC38" t="s">
        <v>132</v>
      </c>
      <c r="DD38" t="s">
        <v>133</v>
      </c>
      <c r="DG38">
        <v>780737</v>
      </c>
      <c r="DI38">
        <v>0</v>
      </c>
      <c r="DJ38">
        <v>0</v>
      </c>
      <c r="DK38">
        <v>1</v>
      </c>
      <c r="DL38">
        <v>0</v>
      </c>
      <c r="DM38">
        <v>0</v>
      </c>
      <c r="DN38">
        <v>1</v>
      </c>
      <c r="DO38">
        <v>0</v>
      </c>
      <c r="DP38">
        <v>0</v>
      </c>
      <c r="DQ38">
        <v>0</v>
      </c>
      <c r="DR38">
        <v>0</v>
      </c>
      <c r="DS38">
        <v>0</v>
      </c>
    </row>
    <row r="39" spans="1:123" x14ac:dyDescent="0.3">
      <c r="A39" t="str">
        <f>"10/04/2022 19:25:46.789"</f>
        <v>10/04/2022 19:25:46.789</v>
      </c>
      <c r="C39" t="str">
        <f t="shared" si="0"/>
        <v>FFDFD3C0</v>
      </c>
      <c r="D39" t="s">
        <v>123</v>
      </c>
      <c r="E39">
        <v>7</v>
      </c>
      <c r="F39">
        <v>2007</v>
      </c>
      <c r="G39" t="s">
        <v>124</v>
      </c>
      <c r="J39" t="s">
        <v>125</v>
      </c>
      <c r="K39">
        <v>0</v>
      </c>
      <c r="L39">
        <v>3</v>
      </c>
      <c r="M39">
        <v>0</v>
      </c>
      <c r="N39">
        <v>2</v>
      </c>
      <c r="O39">
        <v>0</v>
      </c>
      <c r="P39">
        <v>1</v>
      </c>
      <c r="Q39">
        <v>0</v>
      </c>
      <c r="S39" t="str">
        <f t="shared" ref="S39:T45" si="15">"19:25:45.336"</f>
        <v>19:25:45.336</v>
      </c>
      <c r="T39" t="str">
        <f t="shared" si="15"/>
        <v>19:25:45.336</v>
      </c>
      <c r="U39" t="str">
        <f t="shared" si="1"/>
        <v>AC3944</v>
      </c>
      <c r="V39">
        <v>0</v>
      </c>
      <c r="W39">
        <v>0</v>
      </c>
      <c r="X39">
        <v>2</v>
      </c>
      <c r="Y39">
        <v>0</v>
      </c>
      <c r="AA39">
        <v>0</v>
      </c>
      <c r="AB39">
        <v>8</v>
      </c>
      <c r="AC39">
        <v>3</v>
      </c>
      <c r="AD39">
        <v>0</v>
      </c>
      <c r="AE39">
        <v>9</v>
      </c>
      <c r="AF39" t="s">
        <v>138</v>
      </c>
      <c r="AG39">
        <v>0</v>
      </c>
      <c r="AH39">
        <v>3</v>
      </c>
      <c r="AI39">
        <v>1</v>
      </c>
      <c r="AJ39">
        <v>0</v>
      </c>
      <c r="AK39" t="s">
        <v>159</v>
      </c>
      <c r="AL39">
        <v>32.827148000000001</v>
      </c>
      <c r="AM39" t="s">
        <v>160</v>
      </c>
      <c r="AN39">
        <v>-116.975362</v>
      </c>
      <c r="AO39">
        <v>25</v>
      </c>
      <c r="AP39">
        <v>600</v>
      </c>
      <c r="AQ39" t="s">
        <v>129</v>
      </c>
      <c r="AR39">
        <v>-95</v>
      </c>
      <c r="AS39">
        <v>19</v>
      </c>
      <c r="AT39">
        <v>64</v>
      </c>
      <c r="BB39">
        <v>1200</v>
      </c>
      <c r="BC39">
        <v>1</v>
      </c>
      <c r="BD39" t="str">
        <f t="shared" si="2"/>
        <v xml:space="preserve">N887QR  </v>
      </c>
      <c r="BE39">
        <v>1</v>
      </c>
      <c r="BG39">
        <v>0</v>
      </c>
      <c r="BH39">
        <v>0</v>
      </c>
      <c r="BI39">
        <v>0</v>
      </c>
      <c r="BJ39">
        <v>275</v>
      </c>
      <c r="BK39">
        <v>-325</v>
      </c>
      <c r="BL39" t="s">
        <v>130</v>
      </c>
      <c r="BM39">
        <v>1</v>
      </c>
      <c r="BN39">
        <v>1</v>
      </c>
      <c r="BO39">
        <v>1</v>
      </c>
      <c r="BP39">
        <v>0</v>
      </c>
      <c r="BT39">
        <v>0</v>
      </c>
      <c r="BU39">
        <v>0</v>
      </c>
      <c r="CE39" t="str">
        <f t="shared" ref="CE39:CE45" si="16">"19:25:46.339"</f>
        <v>19:25:46.339</v>
      </c>
      <c r="CF39">
        <v>1339007854</v>
      </c>
      <c r="CS39">
        <v>3</v>
      </c>
      <c r="CT39">
        <v>2</v>
      </c>
      <c r="CU39">
        <v>0</v>
      </c>
      <c r="CV39">
        <v>2</v>
      </c>
      <c r="CW39">
        <v>0</v>
      </c>
      <c r="CX39">
        <v>2</v>
      </c>
      <c r="CY39">
        <v>7</v>
      </c>
      <c r="CZ39" t="s">
        <v>131</v>
      </c>
      <c r="DA39">
        <v>286</v>
      </c>
      <c r="DB39">
        <v>0</v>
      </c>
      <c r="DC39" t="s">
        <v>132</v>
      </c>
      <c r="DD39" t="s">
        <v>133</v>
      </c>
      <c r="DG39">
        <v>780961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1</v>
      </c>
      <c r="DO39">
        <v>0</v>
      </c>
      <c r="DP39">
        <v>0</v>
      </c>
      <c r="DQ39">
        <v>0</v>
      </c>
      <c r="DR39">
        <v>0</v>
      </c>
      <c r="DS39">
        <v>0</v>
      </c>
    </row>
    <row r="40" spans="1:123" x14ac:dyDescent="0.3">
      <c r="A40" t="str">
        <f>"10/04/2022 19:25:46.805"</f>
        <v>10/04/2022 19:25:46.805</v>
      </c>
      <c r="C40" t="str">
        <f t="shared" si="0"/>
        <v>FFDFD3C0</v>
      </c>
      <c r="D40" t="s">
        <v>136</v>
      </c>
      <c r="E40">
        <v>8</v>
      </c>
      <c r="H40">
        <v>225</v>
      </c>
      <c r="I40" t="s">
        <v>137</v>
      </c>
      <c r="J40" t="s">
        <v>138</v>
      </c>
      <c r="K40">
        <v>0</v>
      </c>
      <c r="L40">
        <v>3</v>
      </c>
      <c r="M40">
        <v>0</v>
      </c>
      <c r="N40">
        <v>2</v>
      </c>
      <c r="O40">
        <v>0</v>
      </c>
      <c r="P40">
        <v>1</v>
      </c>
      <c r="Q40">
        <v>0</v>
      </c>
      <c r="S40" t="str">
        <f t="shared" si="15"/>
        <v>19:25:45.336</v>
      </c>
      <c r="T40" t="str">
        <f t="shared" si="15"/>
        <v>19:25:45.336</v>
      </c>
      <c r="U40" t="str">
        <f t="shared" si="1"/>
        <v>AC3944</v>
      </c>
      <c r="V40">
        <v>0</v>
      </c>
      <c r="W40">
        <v>0</v>
      </c>
      <c r="X40">
        <v>2</v>
      </c>
      <c r="Y40">
        <v>0</v>
      </c>
      <c r="AA40">
        <v>0</v>
      </c>
      <c r="AB40">
        <v>8</v>
      </c>
      <c r="AC40">
        <v>3</v>
      </c>
      <c r="AD40">
        <v>0</v>
      </c>
      <c r="AE40">
        <v>9</v>
      </c>
      <c r="AF40" t="s">
        <v>126</v>
      </c>
      <c r="AG40">
        <v>0</v>
      </c>
      <c r="AH40">
        <v>0</v>
      </c>
      <c r="AI40">
        <v>1</v>
      </c>
      <c r="AJ40">
        <v>0</v>
      </c>
      <c r="AK40" t="s">
        <v>159</v>
      </c>
      <c r="AL40">
        <v>32.827148000000001</v>
      </c>
      <c r="AM40" t="s">
        <v>160</v>
      </c>
      <c r="AN40">
        <v>-116.975362</v>
      </c>
      <c r="AO40">
        <v>25</v>
      </c>
      <c r="AP40">
        <v>600</v>
      </c>
      <c r="AQ40" t="s">
        <v>129</v>
      </c>
      <c r="AR40">
        <v>-95</v>
      </c>
      <c r="AS40">
        <v>19</v>
      </c>
      <c r="AT40">
        <v>64</v>
      </c>
      <c r="BB40">
        <v>1200</v>
      </c>
      <c r="BC40">
        <v>1</v>
      </c>
      <c r="BD40" t="str">
        <f t="shared" si="2"/>
        <v xml:space="preserve">N887QR  </v>
      </c>
      <c r="BE40">
        <v>1</v>
      </c>
      <c r="BG40">
        <v>0</v>
      </c>
      <c r="BH40">
        <v>0</v>
      </c>
      <c r="BI40">
        <v>0</v>
      </c>
      <c r="BJ40">
        <v>275</v>
      </c>
      <c r="BK40">
        <v>-325</v>
      </c>
      <c r="BL40" t="s">
        <v>130</v>
      </c>
      <c r="BM40">
        <v>1</v>
      </c>
      <c r="BN40">
        <v>1</v>
      </c>
      <c r="BO40">
        <v>1</v>
      </c>
      <c r="BP40">
        <v>0</v>
      </c>
      <c r="BT40">
        <v>0</v>
      </c>
      <c r="BU40">
        <v>0</v>
      </c>
      <c r="CE40" t="str">
        <f t="shared" si="16"/>
        <v>19:25:46.339</v>
      </c>
      <c r="CF40">
        <v>1339007854</v>
      </c>
      <c r="CS40">
        <v>2</v>
      </c>
      <c r="CT40">
        <v>2</v>
      </c>
      <c r="CU40">
        <v>0</v>
      </c>
      <c r="CV40">
        <v>2</v>
      </c>
      <c r="CW40">
        <v>0</v>
      </c>
      <c r="CX40">
        <v>2</v>
      </c>
      <c r="CY40">
        <v>7</v>
      </c>
      <c r="CZ40" t="s">
        <v>131</v>
      </c>
      <c r="DA40">
        <v>286</v>
      </c>
      <c r="DB40">
        <v>0</v>
      </c>
      <c r="DC40" t="s">
        <v>132</v>
      </c>
      <c r="DD40" t="s">
        <v>133</v>
      </c>
      <c r="DG40">
        <v>780961</v>
      </c>
      <c r="DI40">
        <v>0</v>
      </c>
      <c r="DJ40">
        <v>0</v>
      </c>
      <c r="DK40">
        <v>1</v>
      </c>
      <c r="DL40">
        <v>0</v>
      </c>
      <c r="DM40">
        <v>0</v>
      </c>
      <c r="DN40">
        <v>1</v>
      </c>
      <c r="DO40">
        <v>0</v>
      </c>
      <c r="DP40">
        <v>0</v>
      </c>
      <c r="DQ40">
        <v>0</v>
      </c>
      <c r="DR40">
        <v>0</v>
      </c>
      <c r="DS40">
        <v>0</v>
      </c>
    </row>
    <row r="41" spans="1:123" x14ac:dyDescent="0.3">
      <c r="A41" t="str">
        <f>"10/04/2022 19:25:46.836"</f>
        <v>10/04/2022 19:25:46.836</v>
      </c>
      <c r="C41" t="str">
        <f t="shared" si="0"/>
        <v>FFDFD3C0</v>
      </c>
      <c r="D41" t="s">
        <v>134</v>
      </c>
      <c r="E41">
        <v>15</v>
      </c>
      <c r="J41" t="s">
        <v>135</v>
      </c>
      <c r="K41">
        <v>0</v>
      </c>
      <c r="L41">
        <v>3</v>
      </c>
      <c r="M41">
        <v>0</v>
      </c>
      <c r="N41">
        <v>2</v>
      </c>
      <c r="O41">
        <v>0</v>
      </c>
      <c r="P41">
        <v>1</v>
      </c>
      <c r="Q41">
        <v>0</v>
      </c>
      <c r="S41" t="str">
        <f t="shared" si="15"/>
        <v>19:25:45.336</v>
      </c>
      <c r="T41" t="str">
        <f t="shared" si="15"/>
        <v>19:25:45.336</v>
      </c>
      <c r="U41" t="str">
        <f t="shared" si="1"/>
        <v>AC3944</v>
      </c>
      <c r="V41">
        <v>0</v>
      </c>
      <c r="W41">
        <v>0</v>
      </c>
      <c r="X41">
        <v>2</v>
      </c>
      <c r="Y41">
        <v>0</v>
      </c>
      <c r="AA41">
        <v>0</v>
      </c>
      <c r="AB41">
        <v>8</v>
      </c>
      <c r="AC41">
        <v>3</v>
      </c>
      <c r="AD41">
        <v>0</v>
      </c>
      <c r="AE41">
        <v>9</v>
      </c>
      <c r="AF41" t="s">
        <v>138</v>
      </c>
      <c r="AG41">
        <v>0</v>
      </c>
      <c r="AH41">
        <v>3</v>
      </c>
      <c r="AI41">
        <v>1</v>
      </c>
      <c r="AJ41">
        <v>0</v>
      </c>
      <c r="AK41" t="s">
        <v>159</v>
      </c>
      <c r="AL41">
        <v>32.827148000000001</v>
      </c>
      <c r="AM41" t="s">
        <v>160</v>
      </c>
      <c r="AN41">
        <v>-116.975362</v>
      </c>
      <c r="AO41">
        <v>25</v>
      </c>
      <c r="AP41">
        <v>600</v>
      </c>
      <c r="AQ41" t="s">
        <v>129</v>
      </c>
      <c r="AR41">
        <v>-95</v>
      </c>
      <c r="AS41">
        <v>19</v>
      </c>
      <c r="AT41">
        <v>64</v>
      </c>
      <c r="BB41">
        <v>1200</v>
      </c>
      <c r="BC41">
        <v>1</v>
      </c>
      <c r="BD41" t="str">
        <f t="shared" si="2"/>
        <v xml:space="preserve">N887QR  </v>
      </c>
      <c r="BE41">
        <v>1</v>
      </c>
      <c r="BG41">
        <v>0</v>
      </c>
      <c r="BH41">
        <v>0</v>
      </c>
      <c r="BI41">
        <v>0</v>
      </c>
      <c r="BJ41">
        <v>275</v>
      </c>
      <c r="BK41">
        <v>-325</v>
      </c>
      <c r="BL41" t="s">
        <v>130</v>
      </c>
      <c r="BM41">
        <v>1</v>
      </c>
      <c r="BN41">
        <v>1</v>
      </c>
      <c r="BO41">
        <v>1</v>
      </c>
      <c r="BP41">
        <v>0</v>
      </c>
      <c r="BT41">
        <v>0</v>
      </c>
      <c r="BU41">
        <v>0</v>
      </c>
      <c r="CE41" t="str">
        <f t="shared" si="16"/>
        <v>19:25:46.339</v>
      </c>
      <c r="CF41">
        <v>1339007854</v>
      </c>
      <c r="CS41">
        <v>3</v>
      </c>
      <c r="CT41">
        <v>2</v>
      </c>
      <c r="CU41">
        <v>0</v>
      </c>
      <c r="CV41">
        <v>2</v>
      </c>
      <c r="CW41">
        <v>0</v>
      </c>
      <c r="CX41">
        <v>2</v>
      </c>
      <c r="CY41">
        <v>7</v>
      </c>
      <c r="CZ41" t="s">
        <v>131</v>
      </c>
      <c r="DA41">
        <v>286</v>
      </c>
      <c r="DB41">
        <v>0</v>
      </c>
      <c r="DC41" t="s">
        <v>132</v>
      </c>
      <c r="DD41" t="s">
        <v>133</v>
      </c>
      <c r="DG41">
        <v>780961</v>
      </c>
      <c r="DI41">
        <v>0</v>
      </c>
      <c r="DJ41">
        <v>0</v>
      </c>
      <c r="DK41">
        <v>1</v>
      </c>
      <c r="DL41">
        <v>0</v>
      </c>
      <c r="DM41">
        <v>0</v>
      </c>
      <c r="DN41">
        <v>1</v>
      </c>
      <c r="DO41">
        <v>0</v>
      </c>
      <c r="DP41">
        <v>0</v>
      </c>
      <c r="DQ41">
        <v>0</v>
      </c>
      <c r="DR41">
        <v>0</v>
      </c>
      <c r="DS41">
        <v>0</v>
      </c>
    </row>
    <row r="42" spans="1:123" x14ac:dyDescent="0.3">
      <c r="A42" t="str">
        <f>"10/04/2022 19:25:46.836"</f>
        <v>10/04/2022 19:25:46.836</v>
      </c>
      <c r="C42" t="str">
        <f t="shared" si="0"/>
        <v>FFDFD3C0</v>
      </c>
      <c r="D42" t="s">
        <v>147</v>
      </c>
      <c r="E42">
        <v>3</v>
      </c>
      <c r="H42">
        <v>166</v>
      </c>
      <c r="I42" t="s">
        <v>144</v>
      </c>
      <c r="J42" t="s">
        <v>148</v>
      </c>
      <c r="K42">
        <v>0</v>
      </c>
      <c r="L42">
        <v>3</v>
      </c>
      <c r="M42">
        <v>0</v>
      </c>
      <c r="N42">
        <v>2</v>
      </c>
      <c r="O42">
        <v>0</v>
      </c>
      <c r="P42">
        <v>1</v>
      </c>
      <c r="Q42">
        <v>0</v>
      </c>
      <c r="S42" t="str">
        <f t="shared" si="15"/>
        <v>19:25:45.336</v>
      </c>
      <c r="T42" t="str">
        <f t="shared" si="15"/>
        <v>19:25:45.336</v>
      </c>
      <c r="U42" t="str">
        <f t="shared" si="1"/>
        <v>AC3944</v>
      </c>
      <c r="V42">
        <v>0</v>
      </c>
      <c r="W42">
        <v>0</v>
      </c>
      <c r="X42">
        <v>2</v>
      </c>
      <c r="Y42">
        <v>0</v>
      </c>
      <c r="AA42">
        <v>0</v>
      </c>
      <c r="AB42">
        <v>8</v>
      </c>
      <c r="AC42">
        <v>3</v>
      </c>
      <c r="AD42">
        <v>0</v>
      </c>
      <c r="AE42">
        <v>9</v>
      </c>
      <c r="AF42" t="s">
        <v>126</v>
      </c>
      <c r="AG42">
        <v>0</v>
      </c>
      <c r="AH42">
        <v>0</v>
      </c>
      <c r="AI42">
        <v>1</v>
      </c>
      <c r="AJ42">
        <v>0</v>
      </c>
      <c r="AK42" t="s">
        <v>159</v>
      </c>
      <c r="AL42">
        <v>32.827148000000001</v>
      </c>
      <c r="AM42" t="s">
        <v>160</v>
      </c>
      <c r="AN42">
        <v>-116.975362</v>
      </c>
      <c r="AO42">
        <v>25</v>
      </c>
      <c r="AP42">
        <v>600</v>
      </c>
      <c r="AQ42" t="s">
        <v>129</v>
      </c>
      <c r="AR42">
        <v>-95</v>
      </c>
      <c r="AS42">
        <v>19</v>
      </c>
      <c r="AT42">
        <v>64</v>
      </c>
      <c r="BB42">
        <v>1200</v>
      </c>
      <c r="BC42">
        <v>1</v>
      </c>
      <c r="BD42" t="str">
        <f t="shared" si="2"/>
        <v xml:space="preserve">N887QR  </v>
      </c>
      <c r="BE42">
        <v>1</v>
      </c>
      <c r="BG42">
        <v>0</v>
      </c>
      <c r="BH42">
        <v>0</v>
      </c>
      <c r="BI42">
        <v>0</v>
      </c>
      <c r="BJ42">
        <v>275</v>
      </c>
      <c r="BK42">
        <v>-325</v>
      </c>
      <c r="BL42" t="s">
        <v>130</v>
      </c>
      <c r="BM42">
        <v>1</v>
      </c>
      <c r="BN42">
        <v>1</v>
      </c>
      <c r="BO42">
        <v>1</v>
      </c>
      <c r="BP42">
        <v>0</v>
      </c>
      <c r="BT42">
        <v>0</v>
      </c>
      <c r="BU42">
        <v>0</v>
      </c>
      <c r="CE42" t="str">
        <f t="shared" si="16"/>
        <v>19:25:46.339</v>
      </c>
      <c r="CF42">
        <v>1339007854</v>
      </c>
      <c r="CS42">
        <v>2</v>
      </c>
      <c r="CT42">
        <v>2</v>
      </c>
      <c r="CU42">
        <v>0</v>
      </c>
      <c r="CV42">
        <v>2</v>
      </c>
      <c r="CW42">
        <v>0</v>
      </c>
      <c r="CX42">
        <v>2</v>
      </c>
      <c r="CY42">
        <v>7</v>
      </c>
      <c r="CZ42" t="s">
        <v>131</v>
      </c>
      <c r="DA42">
        <v>286</v>
      </c>
      <c r="DB42">
        <v>0</v>
      </c>
      <c r="DC42" t="s">
        <v>132</v>
      </c>
      <c r="DD42" t="s">
        <v>133</v>
      </c>
      <c r="DG42">
        <v>780961</v>
      </c>
      <c r="DI42">
        <v>0</v>
      </c>
      <c r="DJ42">
        <v>0</v>
      </c>
      <c r="DK42">
        <v>1</v>
      </c>
      <c r="DL42">
        <v>0</v>
      </c>
      <c r="DM42">
        <v>0</v>
      </c>
      <c r="DN42">
        <v>1</v>
      </c>
      <c r="DO42">
        <v>0</v>
      </c>
      <c r="DP42">
        <v>0</v>
      </c>
      <c r="DQ42">
        <v>0</v>
      </c>
      <c r="DR42">
        <v>0</v>
      </c>
      <c r="DS42">
        <v>0</v>
      </c>
    </row>
    <row r="43" spans="1:123" x14ac:dyDescent="0.3">
      <c r="A43" t="str">
        <f>"10/04/2022 19:25:46.836"</f>
        <v>10/04/2022 19:25:46.836</v>
      </c>
      <c r="C43" t="str">
        <f t="shared" si="0"/>
        <v>FFDFD3C0</v>
      </c>
      <c r="D43" t="s">
        <v>141</v>
      </c>
      <c r="E43">
        <v>3</v>
      </c>
      <c r="H43">
        <v>3</v>
      </c>
      <c r="I43" t="s">
        <v>146</v>
      </c>
      <c r="J43" t="s">
        <v>138</v>
      </c>
      <c r="K43">
        <v>0</v>
      </c>
      <c r="L43">
        <v>3</v>
      </c>
      <c r="M43">
        <v>0</v>
      </c>
      <c r="N43">
        <v>2</v>
      </c>
      <c r="O43">
        <v>0</v>
      </c>
      <c r="P43">
        <v>1</v>
      </c>
      <c r="Q43">
        <v>0</v>
      </c>
      <c r="S43" t="str">
        <f t="shared" si="15"/>
        <v>19:25:45.336</v>
      </c>
      <c r="T43" t="str">
        <f t="shared" si="15"/>
        <v>19:25:45.336</v>
      </c>
      <c r="U43" t="str">
        <f t="shared" si="1"/>
        <v>AC3944</v>
      </c>
      <c r="V43">
        <v>0</v>
      </c>
      <c r="W43">
        <v>0</v>
      </c>
      <c r="X43">
        <v>2</v>
      </c>
      <c r="Y43">
        <v>0</v>
      </c>
      <c r="AA43">
        <v>0</v>
      </c>
      <c r="AB43">
        <v>8</v>
      </c>
      <c r="AC43">
        <v>3</v>
      </c>
      <c r="AD43">
        <v>0</v>
      </c>
      <c r="AE43">
        <v>9</v>
      </c>
      <c r="AF43" t="s">
        <v>126</v>
      </c>
      <c r="AG43">
        <v>0</v>
      </c>
      <c r="AH43">
        <v>0</v>
      </c>
      <c r="AI43">
        <v>1</v>
      </c>
      <c r="AJ43">
        <v>0</v>
      </c>
      <c r="AK43" t="s">
        <v>159</v>
      </c>
      <c r="AL43">
        <v>32.827148000000001</v>
      </c>
      <c r="AM43" t="s">
        <v>160</v>
      </c>
      <c r="AN43">
        <v>-116.975362</v>
      </c>
      <c r="AO43">
        <v>25</v>
      </c>
      <c r="AP43">
        <v>600</v>
      </c>
      <c r="AQ43" t="s">
        <v>129</v>
      </c>
      <c r="AR43">
        <v>-95</v>
      </c>
      <c r="AS43">
        <v>19</v>
      </c>
      <c r="AT43">
        <v>64</v>
      </c>
      <c r="BB43">
        <v>1200</v>
      </c>
      <c r="BC43">
        <v>1</v>
      </c>
      <c r="BD43" t="str">
        <f t="shared" si="2"/>
        <v xml:space="preserve">N887QR  </v>
      </c>
      <c r="BE43">
        <v>1</v>
      </c>
      <c r="BG43">
        <v>0</v>
      </c>
      <c r="BH43">
        <v>0</v>
      </c>
      <c r="BI43">
        <v>0</v>
      </c>
      <c r="BJ43">
        <v>275</v>
      </c>
      <c r="BK43">
        <v>-325</v>
      </c>
      <c r="BL43" t="s">
        <v>130</v>
      </c>
      <c r="BM43">
        <v>1</v>
      </c>
      <c r="BN43">
        <v>1</v>
      </c>
      <c r="BO43">
        <v>1</v>
      </c>
      <c r="BP43">
        <v>0</v>
      </c>
      <c r="BT43">
        <v>0</v>
      </c>
      <c r="BU43">
        <v>0</v>
      </c>
      <c r="CE43" t="str">
        <f t="shared" si="16"/>
        <v>19:25:46.339</v>
      </c>
      <c r="CF43">
        <v>1339007854</v>
      </c>
      <c r="CS43">
        <v>2</v>
      </c>
      <c r="CT43">
        <v>2</v>
      </c>
      <c r="CU43">
        <v>0</v>
      </c>
      <c r="CV43">
        <v>2</v>
      </c>
      <c r="CW43">
        <v>0</v>
      </c>
      <c r="CX43">
        <v>2</v>
      </c>
      <c r="CY43">
        <v>7</v>
      </c>
      <c r="CZ43" t="s">
        <v>131</v>
      </c>
      <c r="DA43">
        <v>286</v>
      </c>
      <c r="DB43">
        <v>0</v>
      </c>
      <c r="DC43" t="s">
        <v>132</v>
      </c>
      <c r="DD43" t="s">
        <v>133</v>
      </c>
      <c r="DG43">
        <v>780961</v>
      </c>
      <c r="DI43">
        <v>0</v>
      </c>
      <c r="DJ43">
        <v>0</v>
      </c>
      <c r="DK43">
        <v>1</v>
      </c>
      <c r="DL43">
        <v>0</v>
      </c>
      <c r="DM43">
        <v>0</v>
      </c>
      <c r="DN43">
        <v>1</v>
      </c>
      <c r="DO43">
        <v>0</v>
      </c>
      <c r="DP43">
        <v>0</v>
      </c>
      <c r="DQ43">
        <v>0</v>
      </c>
      <c r="DR43">
        <v>0</v>
      </c>
      <c r="DS43">
        <v>0</v>
      </c>
    </row>
    <row r="44" spans="1:123" x14ac:dyDescent="0.3">
      <c r="A44" t="str">
        <f>"10/04/2022 19:25:46.836"</f>
        <v>10/04/2022 19:25:46.836</v>
      </c>
      <c r="C44" t="str">
        <f t="shared" si="0"/>
        <v>FFDFD3C0</v>
      </c>
      <c r="D44" t="s">
        <v>141</v>
      </c>
      <c r="E44">
        <v>4</v>
      </c>
      <c r="H44">
        <v>4</v>
      </c>
      <c r="I44" t="s">
        <v>142</v>
      </c>
      <c r="J44" t="s">
        <v>138</v>
      </c>
      <c r="K44">
        <v>0</v>
      </c>
      <c r="L44">
        <v>3</v>
      </c>
      <c r="M44">
        <v>0</v>
      </c>
      <c r="N44">
        <v>2</v>
      </c>
      <c r="O44">
        <v>0</v>
      </c>
      <c r="P44">
        <v>1</v>
      </c>
      <c r="Q44">
        <v>0</v>
      </c>
      <c r="S44" t="str">
        <f t="shared" si="15"/>
        <v>19:25:45.336</v>
      </c>
      <c r="T44" t="str">
        <f t="shared" si="15"/>
        <v>19:25:45.336</v>
      </c>
      <c r="U44" t="str">
        <f t="shared" si="1"/>
        <v>AC3944</v>
      </c>
      <c r="V44">
        <v>0</v>
      </c>
      <c r="W44">
        <v>0</v>
      </c>
      <c r="X44">
        <v>2</v>
      </c>
      <c r="Y44">
        <v>0</v>
      </c>
      <c r="AA44">
        <v>0</v>
      </c>
      <c r="AB44">
        <v>8</v>
      </c>
      <c r="AC44">
        <v>3</v>
      </c>
      <c r="AD44">
        <v>0</v>
      </c>
      <c r="AE44">
        <v>9</v>
      </c>
      <c r="AF44" t="s">
        <v>126</v>
      </c>
      <c r="AG44">
        <v>0</v>
      </c>
      <c r="AH44">
        <v>0</v>
      </c>
      <c r="AI44">
        <v>1</v>
      </c>
      <c r="AJ44">
        <v>0</v>
      </c>
      <c r="AK44" t="s">
        <v>159</v>
      </c>
      <c r="AL44">
        <v>32.827148000000001</v>
      </c>
      <c r="AM44" t="s">
        <v>160</v>
      </c>
      <c r="AN44">
        <v>-116.975362</v>
      </c>
      <c r="AO44">
        <v>25</v>
      </c>
      <c r="AP44">
        <v>600</v>
      </c>
      <c r="AQ44" t="s">
        <v>129</v>
      </c>
      <c r="AR44">
        <v>-95</v>
      </c>
      <c r="AS44">
        <v>19</v>
      </c>
      <c r="AT44">
        <v>64</v>
      </c>
      <c r="BB44">
        <v>1200</v>
      </c>
      <c r="BC44">
        <v>1</v>
      </c>
      <c r="BD44" t="str">
        <f t="shared" si="2"/>
        <v xml:space="preserve">N887QR  </v>
      </c>
      <c r="BE44">
        <v>1</v>
      </c>
      <c r="BG44">
        <v>0</v>
      </c>
      <c r="BH44">
        <v>0</v>
      </c>
      <c r="BI44">
        <v>0</v>
      </c>
      <c r="BJ44">
        <v>275</v>
      </c>
      <c r="BK44">
        <v>-325</v>
      </c>
      <c r="BL44" t="s">
        <v>130</v>
      </c>
      <c r="BM44">
        <v>1</v>
      </c>
      <c r="BN44">
        <v>1</v>
      </c>
      <c r="BO44">
        <v>1</v>
      </c>
      <c r="BP44">
        <v>0</v>
      </c>
      <c r="BT44">
        <v>0</v>
      </c>
      <c r="BU44">
        <v>0</v>
      </c>
      <c r="CE44" t="str">
        <f t="shared" si="16"/>
        <v>19:25:46.339</v>
      </c>
      <c r="CF44">
        <v>1339007854</v>
      </c>
      <c r="CS44">
        <v>2</v>
      </c>
      <c r="CT44">
        <v>2</v>
      </c>
      <c r="CU44">
        <v>0</v>
      </c>
      <c r="CV44">
        <v>2</v>
      </c>
      <c r="CW44">
        <v>0</v>
      </c>
      <c r="CX44">
        <v>2</v>
      </c>
      <c r="CY44">
        <v>7</v>
      </c>
      <c r="CZ44" t="s">
        <v>131</v>
      </c>
      <c r="DA44">
        <v>286</v>
      </c>
      <c r="DB44">
        <v>0</v>
      </c>
      <c r="DC44" t="s">
        <v>132</v>
      </c>
      <c r="DD44" t="s">
        <v>133</v>
      </c>
      <c r="DG44">
        <v>780961</v>
      </c>
      <c r="DI44">
        <v>0</v>
      </c>
      <c r="DJ44">
        <v>0</v>
      </c>
      <c r="DK44">
        <v>1</v>
      </c>
      <c r="DL44">
        <v>0</v>
      </c>
      <c r="DM44">
        <v>0</v>
      </c>
      <c r="DN44">
        <v>1</v>
      </c>
      <c r="DO44">
        <v>0</v>
      </c>
      <c r="DP44">
        <v>0</v>
      </c>
      <c r="DQ44">
        <v>0</v>
      </c>
      <c r="DR44">
        <v>0</v>
      </c>
      <c r="DS44">
        <v>0</v>
      </c>
    </row>
    <row r="45" spans="1:123" x14ac:dyDescent="0.3">
      <c r="A45" t="str">
        <f>"10/04/2022 19:25:46.836"</f>
        <v>10/04/2022 19:25:46.836</v>
      </c>
      <c r="C45" t="str">
        <f t="shared" si="0"/>
        <v>FFDFD3C0</v>
      </c>
      <c r="D45" t="s">
        <v>143</v>
      </c>
      <c r="E45">
        <v>20</v>
      </c>
      <c r="F45">
        <v>1020</v>
      </c>
      <c r="G45" t="s">
        <v>144</v>
      </c>
      <c r="J45" t="s">
        <v>145</v>
      </c>
      <c r="K45">
        <v>0</v>
      </c>
      <c r="L45">
        <v>3</v>
      </c>
      <c r="M45">
        <v>0</v>
      </c>
      <c r="N45">
        <v>2</v>
      </c>
      <c r="O45">
        <v>0</v>
      </c>
      <c r="P45">
        <v>1</v>
      </c>
      <c r="Q45">
        <v>0</v>
      </c>
      <c r="S45" t="str">
        <f t="shared" si="15"/>
        <v>19:25:45.336</v>
      </c>
      <c r="T45" t="str">
        <f t="shared" si="15"/>
        <v>19:25:45.336</v>
      </c>
      <c r="U45" t="str">
        <f t="shared" si="1"/>
        <v>AC3944</v>
      </c>
      <c r="V45">
        <v>0</v>
      </c>
      <c r="W45">
        <v>0</v>
      </c>
      <c r="X45">
        <v>2</v>
      </c>
      <c r="Y45">
        <v>0</v>
      </c>
      <c r="AA45">
        <v>0</v>
      </c>
      <c r="AB45">
        <v>8</v>
      </c>
      <c r="AC45">
        <v>3</v>
      </c>
      <c r="AD45">
        <v>0</v>
      </c>
      <c r="AE45">
        <v>9</v>
      </c>
      <c r="AF45" t="s">
        <v>138</v>
      </c>
      <c r="AG45">
        <v>0</v>
      </c>
      <c r="AH45">
        <v>3</v>
      </c>
      <c r="AI45">
        <v>1</v>
      </c>
      <c r="AJ45">
        <v>0</v>
      </c>
      <c r="AK45" t="s">
        <v>159</v>
      </c>
      <c r="AL45">
        <v>32.827148000000001</v>
      </c>
      <c r="AM45" t="s">
        <v>160</v>
      </c>
      <c r="AN45">
        <v>-116.975362</v>
      </c>
      <c r="AO45">
        <v>25</v>
      </c>
      <c r="AP45">
        <v>600</v>
      </c>
      <c r="AQ45" t="s">
        <v>129</v>
      </c>
      <c r="AR45">
        <v>-95</v>
      </c>
      <c r="AS45">
        <v>19</v>
      </c>
      <c r="AT45">
        <v>64</v>
      </c>
      <c r="BB45">
        <v>1200</v>
      </c>
      <c r="BC45">
        <v>1</v>
      </c>
      <c r="BD45" t="str">
        <f t="shared" si="2"/>
        <v xml:space="preserve">N887QR  </v>
      </c>
      <c r="BE45">
        <v>1</v>
      </c>
      <c r="BG45">
        <v>0</v>
      </c>
      <c r="BH45">
        <v>0</v>
      </c>
      <c r="BI45">
        <v>0</v>
      </c>
      <c r="BJ45">
        <v>275</v>
      </c>
      <c r="BK45">
        <v>-325</v>
      </c>
      <c r="BL45" t="s">
        <v>130</v>
      </c>
      <c r="BM45">
        <v>1</v>
      </c>
      <c r="BN45">
        <v>1</v>
      </c>
      <c r="BO45">
        <v>1</v>
      </c>
      <c r="BP45">
        <v>0</v>
      </c>
      <c r="BT45">
        <v>0</v>
      </c>
      <c r="BU45">
        <v>0</v>
      </c>
      <c r="CE45" t="str">
        <f t="shared" si="16"/>
        <v>19:25:46.339</v>
      </c>
      <c r="CF45">
        <v>1339007854</v>
      </c>
      <c r="CS45">
        <v>3</v>
      </c>
      <c r="CT45">
        <v>2</v>
      </c>
      <c r="CU45">
        <v>0</v>
      </c>
      <c r="CV45">
        <v>2</v>
      </c>
      <c r="CW45">
        <v>0</v>
      </c>
      <c r="CX45">
        <v>2</v>
      </c>
      <c r="CY45">
        <v>7</v>
      </c>
      <c r="CZ45" t="s">
        <v>131</v>
      </c>
      <c r="DA45">
        <v>286</v>
      </c>
      <c r="DB45">
        <v>0</v>
      </c>
      <c r="DC45" t="s">
        <v>132</v>
      </c>
      <c r="DD45" t="s">
        <v>133</v>
      </c>
      <c r="DG45">
        <v>780961</v>
      </c>
      <c r="DI45">
        <v>0</v>
      </c>
      <c r="DJ45">
        <v>0</v>
      </c>
      <c r="DK45">
        <v>1</v>
      </c>
      <c r="DL45">
        <v>0</v>
      </c>
      <c r="DM45">
        <v>0</v>
      </c>
      <c r="DN45">
        <v>1</v>
      </c>
      <c r="DO45">
        <v>0</v>
      </c>
      <c r="DP45">
        <v>0</v>
      </c>
      <c r="DQ45">
        <v>0</v>
      </c>
      <c r="DR45">
        <v>0</v>
      </c>
      <c r="DS45">
        <v>0</v>
      </c>
    </row>
    <row r="46" spans="1:123" x14ac:dyDescent="0.3">
      <c r="A46" t="str">
        <f t="shared" ref="A46:A52" si="17">"10/04/2022 19:25:47.586"</f>
        <v>10/04/2022 19:25:47.586</v>
      </c>
      <c r="C46" t="str">
        <f t="shared" si="0"/>
        <v>FFDFD3C0</v>
      </c>
      <c r="D46" t="s">
        <v>123</v>
      </c>
      <c r="E46">
        <v>7</v>
      </c>
      <c r="F46">
        <v>2007</v>
      </c>
      <c r="G46" t="s">
        <v>124</v>
      </c>
      <c r="J46" t="s">
        <v>125</v>
      </c>
      <c r="K46">
        <v>0</v>
      </c>
      <c r="L46">
        <v>3</v>
      </c>
      <c r="M46">
        <v>0</v>
      </c>
      <c r="N46">
        <v>2</v>
      </c>
      <c r="O46">
        <v>0</v>
      </c>
      <c r="P46">
        <v>1</v>
      </c>
      <c r="Q46">
        <v>0</v>
      </c>
      <c r="S46" t="str">
        <f t="shared" ref="S46:T52" si="18">"19:25:46.250"</f>
        <v>19:25:46.250</v>
      </c>
      <c r="T46" t="str">
        <f t="shared" si="18"/>
        <v>19:25:46.250</v>
      </c>
      <c r="U46" t="str">
        <f t="shared" si="1"/>
        <v>AC3944</v>
      </c>
      <c r="V46">
        <v>0</v>
      </c>
      <c r="W46">
        <v>0</v>
      </c>
      <c r="X46">
        <v>2</v>
      </c>
      <c r="Y46">
        <v>0</v>
      </c>
      <c r="AA46">
        <v>0</v>
      </c>
      <c r="AB46">
        <v>8</v>
      </c>
      <c r="AC46">
        <v>3</v>
      </c>
      <c r="AD46">
        <v>0</v>
      </c>
      <c r="AE46">
        <v>9</v>
      </c>
      <c r="AF46" t="s">
        <v>138</v>
      </c>
      <c r="AG46">
        <v>0</v>
      </c>
      <c r="AH46">
        <v>3</v>
      </c>
      <c r="AI46">
        <v>1</v>
      </c>
      <c r="AJ46">
        <v>0</v>
      </c>
      <c r="AK46" t="s">
        <v>161</v>
      </c>
      <c r="AL46">
        <v>32.827233999999997</v>
      </c>
      <c r="AM46" t="s">
        <v>162</v>
      </c>
      <c r="AN46">
        <v>-116.975899</v>
      </c>
      <c r="AO46">
        <v>25</v>
      </c>
      <c r="AP46">
        <v>600</v>
      </c>
      <c r="AQ46" t="s">
        <v>129</v>
      </c>
      <c r="AR46">
        <v>-97</v>
      </c>
      <c r="AS46">
        <v>19</v>
      </c>
      <c r="AT46">
        <v>64</v>
      </c>
      <c r="BB46">
        <v>1200</v>
      </c>
      <c r="BC46">
        <v>1</v>
      </c>
      <c r="BD46" t="str">
        <f t="shared" si="2"/>
        <v xml:space="preserve">N887QR  </v>
      </c>
      <c r="BE46">
        <v>1</v>
      </c>
      <c r="BG46">
        <v>0</v>
      </c>
      <c r="BH46">
        <v>0</v>
      </c>
      <c r="BI46">
        <v>0</v>
      </c>
      <c r="BJ46">
        <v>300</v>
      </c>
      <c r="BK46">
        <v>-300</v>
      </c>
      <c r="BL46" t="s">
        <v>163</v>
      </c>
      <c r="BM46">
        <v>1</v>
      </c>
      <c r="BN46">
        <v>1</v>
      </c>
      <c r="BO46">
        <v>1</v>
      </c>
      <c r="BP46">
        <v>0</v>
      </c>
      <c r="BS46">
        <v>0</v>
      </c>
      <c r="BT46">
        <v>0</v>
      </c>
      <c r="BU46">
        <v>0</v>
      </c>
      <c r="CE46" t="str">
        <f t="shared" ref="CE46:CE52" si="19">"19:25:47.252"</f>
        <v>19:25:47.252</v>
      </c>
      <c r="CF46">
        <v>1252010825</v>
      </c>
      <c r="CS46">
        <v>3</v>
      </c>
      <c r="CT46">
        <v>2</v>
      </c>
      <c r="CU46">
        <v>0</v>
      </c>
      <c r="CV46">
        <v>2</v>
      </c>
      <c r="CW46">
        <v>0</v>
      </c>
      <c r="CX46">
        <v>3</v>
      </c>
      <c r="CY46">
        <v>7</v>
      </c>
      <c r="CZ46" t="s">
        <v>131</v>
      </c>
      <c r="DA46">
        <v>286</v>
      </c>
      <c r="DB46">
        <v>0</v>
      </c>
      <c r="DC46" t="s">
        <v>132</v>
      </c>
      <c r="DD46" t="s">
        <v>133</v>
      </c>
      <c r="DG46">
        <v>781156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1</v>
      </c>
      <c r="DO46">
        <v>0</v>
      </c>
      <c r="DP46">
        <v>0</v>
      </c>
      <c r="DQ46">
        <v>0</v>
      </c>
      <c r="DR46">
        <v>0</v>
      </c>
      <c r="DS46">
        <v>0</v>
      </c>
    </row>
    <row r="47" spans="1:123" x14ac:dyDescent="0.3">
      <c r="A47" t="str">
        <f t="shared" si="17"/>
        <v>10/04/2022 19:25:47.586</v>
      </c>
      <c r="C47" t="str">
        <f t="shared" si="0"/>
        <v>FFDFD3C0</v>
      </c>
      <c r="D47" t="s">
        <v>136</v>
      </c>
      <c r="E47">
        <v>8</v>
      </c>
      <c r="H47">
        <v>225</v>
      </c>
      <c r="I47" t="s">
        <v>137</v>
      </c>
      <c r="J47" t="s">
        <v>138</v>
      </c>
      <c r="K47">
        <v>0</v>
      </c>
      <c r="L47">
        <v>3</v>
      </c>
      <c r="M47">
        <v>0</v>
      </c>
      <c r="N47">
        <v>2</v>
      </c>
      <c r="O47">
        <v>0</v>
      </c>
      <c r="P47">
        <v>1</v>
      </c>
      <c r="Q47">
        <v>0</v>
      </c>
      <c r="S47" t="str">
        <f t="shared" si="18"/>
        <v>19:25:46.250</v>
      </c>
      <c r="T47" t="str">
        <f t="shared" si="18"/>
        <v>19:25:46.250</v>
      </c>
      <c r="U47" t="str">
        <f t="shared" si="1"/>
        <v>AC3944</v>
      </c>
      <c r="V47">
        <v>0</v>
      </c>
      <c r="W47">
        <v>0</v>
      </c>
      <c r="X47">
        <v>2</v>
      </c>
      <c r="Y47">
        <v>0</v>
      </c>
      <c r="AA47">
        <v>0</v>
      </c>
      <c r="AB47">
        <v>8</v>
      </c>
      <c r="AC47">
        <v>3</v>
      </c>
      <c r="AD47">
        <v>0</v>
      </c>
      <c r="AE47">
        <v>9</v>
      </c>
      <c r="AF47" t="s">
        <v>126</v>
      </c>
      <c r="AG47">
        <v>0</v>
      </c>
      <c r="AH47">
        <v>0</v>
      </c>
      <c r="AI47">
        <v>1</v>
      </c>
      <c r="AJ47">
        <v>0</v>
      </c>
      <c r="AK47" t="s">
        <v>161</v>
      </c>
      <c r="AL47">
        <v>32.827233999999997</v>
      </c>
      <c r="AM47" t="s">
        <v>162</v>
      </c>
      <c r="AN47">
        <v>-116.975899</v>
      </c>
      <c r="AO47">
        <v>25</v>
      </c>
      <c r="AP47">
        <v>600</v>
      </c>
      <c r="AQ47" t="s">
        <v>129</v>
      </c>
      <c r="AR47">
        <v>-97</v>
      </c>
      <c r="AS47">
        <v>19</v>
      </c>
      <c r="AT47">
        <v>64</v>
      </c>
      <c r="BB47">
        <v>1200</v>
      </c>
      <c r="BC47">
        <v>1</v>
      </c>
      <c r="BD47" t="str">
        <f t="shared" si="2"/>
        <v xml:space="preserve">N887QR  </v>
      </c>
      <c r="BE47">
        <v>1</v>
      </c>
      <c r="BG47">
        <v>0</v>
      </c>
      <c r="BH47">
        <v>0</v>
      </c>
      <c r="BI47">
        <v>0</v>
      </c>
      <c r="BJ47">
        <v>300</v>
      </c>
      <c r="BK47">
        <v>-300</v>
      </c>
      <c r="BL47" t="s">
        <v>130</v>
      </c>
      <c r="BM47">
        <v>1</v>
      </c>
      <c r="BN47">
        <v>1</v>
      </c>
      <c r="BO47">
        <v>1</v>
      </c>
      <c r="BP47">
        <v>0</v>
      </c>
      <c r="BT47">
        <v>0</v>
      </c>
      <c r="BU47">
        <v>0</v>
      </c>
      <c r="CE47" t="str">
        <f t="shared" si="19"/>
        <v>19:25:47.252</v>
      </c>
      <c r="CF47">
        <v>1252010825</v>
      </c>
      <c r="CS47">
        <v>2</v>
      </c>
      <c r="CT47">
        <v>2</v>
      </c>
      <c r="CU47">
        <v>0</v>
      </c>
      <c r="CV47">
        <v>2</v>
      </c>
      <c r="CW47">
        <v>0</v>
      </c>
      <c r="CX47">
        <v>3</v>
      </c>
      <c r="CY47">
        <v>7</v>
      </c>
      <c r="CZ47" t="s">
        <v>131</v>
      </c>
      <c r="DA47">
        <v>286</v>
      </c>
      <c r="DB47">
        <v>0</v>
      </c>
      <c r="DC47" t="s">
        <v>132</v>
      </c>
      <c r="DD47" t="s">
        <v>133</v>
      </c>
      <c r="DG47">
        <v>781156</v>
      </c>
      <c r="DI47">
        <v>0</v>
      </c>
      <c r="DJ47">
        <v>0</v>
      </c>
      <c r="DK47">
        <v>1</v>
      </c>
      <c r="DL47">
        <v>0</v>
      </c>
      <c r="DM47">
        <v>0</v>
      </c>
      <c r="DN47">
        <v>1</v>
      </c>
      <c r="DO47">
        <v>0</v>
      </c>
      <c r="DP47">
        <v>0</v>
      </c>
      <c r="DQ47">
        <v>0</v>
      </c>
      <c r="DR47">
        <v>0</v>
      </c>
      <c r="DS47">
        <v>0</v>
      </c>
    </row>
    <row r="48" spans="1:123" x14ac:dyDescent="0.3">
      <c r="A48" t="str">
        <f t="shared" si="17"/>
        <v>10/04/2022 19:25:47.586</v>
      </c>
      <c r="C48" t="str">
        <f t="shared" si="0"/>
        <v>FFDFD3C0</v>
      </c>
      <c r="D48" t="s">
        <v>147</v>
      </c>
      <c r="E48">
        <v>3</v>
      </c>
      <c r="H48">
        <v>166</v>
      </c>
      <c r="I48" t="s">
        <v>144</v>
      </c>
      <c r="J48" t="s">
        <v>148</v>
      </c>
      <c r="K48">
        <v>0</v>
      </c>
      <c r="L48">
        <v>3</v>
      </c>
      <c r="M48">
        <v>0</v>
      </c>
      <c r="N48">
        <v>2</v>
      </c>
      <c r="O48">
        <v>0</v>
      </c>
      <c r="P48">
        <v>1</v>
      </c>
      <c r="Q48">
        <v>0</v>
      </c>
      <c r="S48" t="str">
        <f t="shared" si="18"/>
        <v>19:25:46.250</v>
      </c>
      <c r="T48" t="str">
        <f t="shared" si="18"/>
        <v>19:25:46.250</v>
      </c>
      <c r="U48" t="str">
        <f t="shared" si="1"/>
        <v>AC3944</v>
      </c>
      <c r="V48">
        <v>0</v>
      </c>
      <c r="W48">
        <v>0</v>
      </c>
      <c r="X48">
        <v>2</v>
      </c>
      <c r="Y48">
        <v>0</v>
      </c>
      <c r="AA48">
        <v>0</v>
      </c>
      <c r="AB48">
        <v>8</v>
      </c>
      <c r="AC48">
        <v>3</v>
      </c>
      <c r="AD48">
        <v>0</v>
      </c>
      <c r="AE48">
        <v>9</v>
      </c>
      <c r="AF48" t="s">
        <v>126</v>
      </c>
      <c r="AG48">
        <v>0</v>
      </c>
      <c r="AH48">
        <v>0</v>
      </c>
      <c r="AI48">
        <v>1</v>
      </c>
      <c r="AJ48">
        <v>0</v>
      </c>
      <c r="AK48" t="s">
        <v>161</v>
      </c>
      <c r="AL48">
        <v>32.827233999999997</v>
      </c>
      <c r="AM48" t="s">
        <v>162</v>
      </c>
      <c r="AN48">
        <v>-116.975899</v>
      </c>
      <c r="AO48">
        <v>25</v>
      </c>
      <c r="AP48">
        <v>600</v>
      </c>
      <c r="AQ48" t="s">
        <v>129</v>
      </c>
      <c r="AR48">
        <v>-97</v>
      </c>
      <c r="AS48">
        <v>19</v>
      </c>
      <c r="AT48">
        <v>64</v>
      </c>
      <c r="BB48">
        <v>1200</v>
      </c>
      <c r="BC48">
        <v>1</v>
      </c>
      <c r="BD48" t="str">
        <f t="shared" si="2"/>
        <v xml:space="preserve">N887QR  </v>
      </c>
      <c r="BE48">
        <v>1</v>
      </c>
      <c r="BG48">
        <v>0</v>
      </c>
      <c r="BH48">
        <v>0</v>
      </c>
      <c r="BI48">
        <v>0</v>
      </c>
      <c r="BJ48">
        <v>300</v>
      </c>
      <c r="BK48">
        <v>-300</v>
      </c>
      <c r="BL48" t="s">
        <v>130</v>
      </c>
      <c r="BM48">
        <v>1</v>
      </c>
      <c r="BN48">
        <v>1</v>
      </c>
      <c r="BO48">
        <v>1</v>
      </c>
      <c r="BP48">
        <v>0</v>
      </c>
      <c r="BT48">
        <v>0</v>
      </c>
      <c r="BU48">
        <v>0</v>
      </c>
      <c r="CE48" t="str">
        <f t="shared" si="19"/>
        <v>19:25:47.252</v>
      </c>
      <c r="CF48">
        <v>1252010825</v>
      </c>
      <c r="CS48">
        <v>2</v>
      </c>
      <c r="CT48">
        <v>2</v>
      </c>
      <c r="CU48">
        <v>0</v>
      </c>
      <c r="CV48">
        <v>2</v>
      </c>
      <c r="CW48">
        <v>0</v>
      </c>
      <c r="CX48">
        <v>3</v>
      </c>
      <c r="CY48">
        <v>7</v>
      </c>
      <c r="CZ48" t="s">
        <v>131</v>
      </c>
      <c r="DA48">
        <v>286</v>
      </c>
      <c r="DB48">
        <v>0</v>
      </c>
      <c r="DC48" t="s">
        <v>132</v>
      </c>
      <c r="DD48" t="s">
        <v>133</v>
      </c>
      <c r="DG48">
        <v>781156</v>
      </c>
      <c r="DI48">
        <v>0</v>
      </c>
      <c r="DJ48">
        <v>0</v>
      </c>
      <c r="DK48">
        <v>1</v>
      </c>
      <c r="DL48">
        <v>0</v>
      </c>
      <c r="DM48">
        <v>0</v>
      </c>
      <c r="DN48">
        <v>1</v>
      </c>
      <c r="DO48">
        <v>0</v>
      </c>
      <c r="DP48">
        <v>0</v>
      </c>
      <c r="DQ48">
        <v>0</v>
      </c>
      <c r="DR48">
        <v>0</v>
      </c>
      <c r="DS48">
        <v>0</v>
      </c>
    </row>
    <row r="49" spans="1:123" x14ac:dyDescent="0.3">
      <c r="A49" t="str">
        <f t="shared" si="17"/>
        <v>10/04/2022 19:25:47.586</v>
      </c>
      <c r="C49" t="str">
        <f t="shared" si="0"/>
        <v>FFDFD3C0</v>
      </c>
      <c r="D49" t="s">
        <v>134</v>
      </c>
      <c r="E49">
        <v>15</v>
      </c>
      <c r="J49" t="s">
        <v>135</v>
      </c>
      <c r="K49">
        <v>0</v>
      </c>
      <c r="L49">
        <v>3</v>
      </c>
      <c r="M49">
        <v>0</v>
      </c>
      <c r="N49">
        <v>2</v>
      </c>
      <c r="O49">
        <v>0</v>
      </c>
      <c r="P49">
        <v>1</v>
      </c>
      <c r="Q49">
        <v>0</v>
      </c>
      <c r="S49" t="str">
        <f t="shared" si="18"/>
        <v>19:25:46.250</v>
      </c>
      <c r="T49" t="str">
        <f t="shared" si="18"/>
        <v>19:25:46.250</v>
      </c>
      <c r="U49" t="str">
        <f t="shared" si="1"/>
        <v>AC3944</v>
      </c>
      <c r="V49">
        <v>0</v>
      </c>
      <c r="W49">
        <v>0</v>
      </c>
      <c r="X49">
        <v>2</v>
      </c>
      <c r="Y49">
        <v>0</v>
      </c>
      <c r="AA49">
        <v>0</v>
      </c>
      <c r="AB49">
        <v>8</v>
      </c>
      <c r="AC49">
        <v>3</v>
      </c>
      <c r="AD49">
        <v>0</v>
      </c>
      <c r="AE49">
        <v>9</v>
      </c>
      <c r="AF49" t="s">
        <v>138</v>
      </c>
      <c r="AG49">
        <v>0</v>
      </c>
      <c r="AH49">
        <v>3</v>
      </c>
      <c r="AI49">
        <v>1</v>
      </c>
      <c r="AJ49">
        <v>0</v>
      </c>
      <c r="AK49" t="s">
        <v>161</v>
      </c>
      <c r="AL49">
        <v>32.827233999999997</v>
      </c>
      <c r="AM49" t="s">
        <v>162</v>
      </c>
      <c r="AN49">
        <v>-116.975899</v>
      </c>
      <c r="AO49">
        <v>25</v>
      </c>
      <c r="AP49">
        <v>600</v>
      </c>
      <c r="AQ49" t="s">
        <v>129</v>
      </c>
      <c r="AR49">
        <v>-97</v>
      </c>
      <c r="AS49">
        <v>19</v>
      </c>
      <c r="AT49">
        <v>64</v>
      </c>
      <c r="BB49">
        <v>1200</v>
      </c>
      <c r="BC49">
        <v>1</v>
      </c>
      <c r="BD49" t="str">
        <f t="shared" si="2"/>
        <v xml:space="preserve">N887QR  </v>
      </c>
      <c r="BE49">
        <v>1</v>
      </c>
      <c r="BG49">
        <v>0</v>
      </c>
      <c r="BH49">
        <v>0</v>
      </c>
      <c r="BI49">
        <v>0</v>
      </c>
      <c r="BJ49">
        <v>300</v>
      </c>
      <c r="BK49">
        <v>-300</v>
      </c>
      <c r="BL49" t="s">
        <v>163</v>
      </c>
      <c r="BM49">
        <v>1</v>
      </c>
      <c r="BN49">
        <v>1</v>
      </c>
      <c r="BO49">
        <v>1</v>
      </c>
      <c r="BP49">
        <v>0</v>
      </c>
      <c r="BS49">
        <v>0</v>
      </c>
      <c r="BT49">
        <v>0</v>
      </c>
      <c r="BU49">
        <v>0</v>
      </c>
      <c r="CE49" t="str">
        <f t="shared" si="19"/>
        <v>19:25:47.252</v>
      </c>
      <c r="CF49">
        <v>1252010825</v>
      </c>
      <c r="CS49">
        <v>3</v>
      </c>
      <c r="CT49">
        <v>2</v>
      </c>
      <c r="CU49">
        <v>0</v>
      </c>
      <c r="CV49">
        <v>2</v>
      </c>
      <c r="CW49">
        <v>0</v>
      </c>
      <c r="CX49">
        <v>3</v>
      </c>
      <c r="CY49">
        <v>7</v>
      </c>
      <c r="CZ49" t="s">
        <v>131</v>
      </c>
      <c r="DA49">
        <v>286</v>
      </c>
      <c r="DB49">
        <v>0</v>
      </c>
      <c r="DC49" t="s">
        <v>132</v>
      </c>
      <c r="DD49" t="s">
        <v>133</v>
      </c>
      <c r="DG49">
        <v>781156</v>
      </c>
      <c r="DI49">
        <v>0</v>
      </c>
      <c r="DJ49">
        <v>0</v>
      </c>
      <c r="DK49">
        <v>1</v>
      </c>
      <c r="DL49">
        <v>0</v>
      </c>
      <c r="DM49">
        <v>0</v>
      </c>
      <c r="DN49">
        <v>1</v>
      </c>
      <c r="DO49">
        <v>0</v>
      </c>
      <c r="DP49">
        <v>0</v>
      </c>
      <c r="DQ49">
        <v>0</v>
      </c>
      <c r="DR49">
        <v>0</v>
      </c>
      <c r="DS49">
        <v>0</v>
      </c>
    </row>
    <row r="50" spans="1:123" x14ac:dyDescent="0.3">
      <c r="A50" t="str">
        <f t="shared" si="17"/>
        <v>10/04/2022 19:25:47.586</v>
      </c>
      <c r="C50" t="str">
        <f t="shared" si="0"/>
        <v>FFDFD3C0</v>
      </c>
      <c r="D50" t="s">
        <v>141</v>
      </c>
      <c r="E50">
        <v>3</v>
      </c>
      <c r="H50">
        <v>3</v>
      </c>
      <c r="I50" t="s">
        <v>146</v>
      </c>
      <c r="J50" t="s">
        <v>138</v>
      </c>
      <c r="K50">
        <v>0</v>
      </c>
      <c r="L50">
        <v>3</v>
      </c>
      <c r="M50">
        <v>0</v>
      </c>
      <c r="N50">
        <v>2</v>
      </c>
      <c r="O50">
        <v>0</v>
      </c>
      <c r="P50">
        <v>1</v>
      </c>
      <c r="Q50">
        <v>0</v>
      </c>
      <c r="S50" t="str">
        <f t="shared" si="18"/>
        <v>19:25:46.250</v>
      </c>
      <c r="T50" t="str">
        <f t="shared" si="18"/>
        <v>19:25:46.250</v>
      </c>
      <c r="U50" t="str">
        <f t="shared" si="1"/>
        <v>AC3944</v>
      </c>
      <c r="V50">
        <v>0</v>
      </c>
      <c r="W50">
        <v>0</v>
      </c>
      <c r="X50">
        <v>2</v>
      </c>
      <c r="Y50">
        <v>0</v>
      </c>
      <c r="AA50">
        <v>0</v>
      </c>
      <c r="AB50">
        <v>8</v>
      </c>
      <c r="AC50">
        <v>3</v>
      </c>
      <c r="AD50">
        <v>0</v>
      </c>
      <c r="AE50">
        <v>9</v>
      </c>
      <c r="AF50" t="s">
        <v>126</v>
      </c>
      <c r="AG50">
        <v>0</v>
      </c>
      <c r="AH50">
        <v>0</v>
      </c>
      <c r="AI50">
        <v>1</v>
      </c>
      <c r="AJ50">
        <v>0</v>
      </c>
      <c r="AK50" t="s">
        <v>161</v>
      </c>
      <c r="AL50">
        <v>32.827233999999997</v>
      </c>
      <c r="AM50" t="s">
        <v>162</v>
      </c>
      <c r="AN50">
        <v>-116.975899</v>
      </c>
      <c r="AO50">
        <v>25</v>
      </c>
      <c r="AP50">
        <v>600</v>
      </c>
      <c r="AQ50" t="s">
        <v>129</v>
      </c>
      <c r="AR50">
        <v>-97</v>
      </c>
      <c r="AS50">
        <v>19</v>
      </c>
      <c r="AT50">
        <v>64</v>
      </c>
      <c r="BB50">
        <v>1200</v>
      </c>
      <c r="BC50">
        <v>1</v>
      </c>
      <c r="BD50" t="str">
        <f t="shared" si="2"/>
        <v xml:space="preserve">N887QR  </v>
      </c>
      <c r="BE50">
        <v>1</v>
      </c>
      <c r="BG50">
        <v>0</v>
      </c>
      <c r="BH50">
        <v>0</v>
      </c>
      <c r="BI50">
        <v>0</v>
      </c>
      <c r="BJ50">
        <v>300</v>
      </c>
      <c r="BK50">
        <v>-300</v>
      </c>
      <c r="BL50" t="s">
        <v>130</v>
      </c>
      <c r="BM50">
        <v>1</v>
      </c>
      <c r="BN50">
        <v>1</v>
      </c>
      <c r="BO50">
        <v>1</v>
      </c>
      <c r="BP50">
        <v>0</v>
      </c>
      <c r="BT50">
        <v>0</v>
      </c>
      <c r="BU50">
        <v>0</v>
      </c>
      <c r="CE50" t="str">
        <f t="shared" si="19"/>
        <v>19:25:47.252</v>
      </c>
      <c r="CF50">
        <v>1252010825</v>
      </c>
      <c r="CS50">
        <v>2</v>
      </c>
      <c r="CT50">
        <v>2</v>
      </c>
      <c r="CU50">
        <v>0</v>
      </c>
      <c r="CV50">
        <v>2</v>
      </c>
      <c r="CW50">
        <v>0</v>
      </c>
      <c r="CX50">
        <v>3</v>
      </c>
      <c r="CY50">
        <v>7</v>
      </c>
      <c r="CZ50" t="s">
        <v>131</v>
      </c>
      <c r="DA50">
        <v>286</v>
      </c>
      <c r="DB50">
        <v>0</v>
      </c>
      <c r="DC50" t="s">
        <v>132</v>
      </c>
      <c r="DD50" t="s">
        <v>133</v>
      </c>
      <c r="DG50">
        <v>781156</v>
      </c>
      <c r="DI50">
        <v>0</v>
      </c>
      <c r="DJ50">
        <v>0</v>
      </c>
      <c r="DK50">
        <v>1</v>
      </c>
      <c r="DL50">
        <v>0</v>
      </c>
      <c r="DM50">
        <v>0</v>
      </c>
      <c r="DN50">
        <v>1</v>
      </c>
      <c r="DO50">
        <v>0</v>
      </c>
      <c r="DP50">
        <v>0</v>
      </c>
      <c r="DQ50">
        <v>0</v>
      </c>
      <c r="DR50">
        <v>0</v>
      </c>
      <c r="DS50">
        <v>0</v>
      </c>
    </row>
    <row r="51" spans="1:123" x14ac:dyDescent="0.3">
      <c r="A51" t="str">
        <f t="shared" si="17"/>
        <v>10/04/2022 19:25:47.586</v>
      </c>
      <c r="C51" t="str">
        <f t="shared" si="0"/>
        <v>FFDFD3C0</v>
      </c>
      <c r="D51" t="s">
        <v>141</v>
      </c>
      <c r="E51">
        <v>4</v>
      </c>
      <c r="H51">
        <v>4</v>
      </c>
      <c r="I51" t="s">
        <v>142</v>
      </c>
      <c r="J51" t="s">
        <v>138</v>
      </c>
      <c r="K51">
        <v>0</v>
      </c>
      <c r="L51">
        <v>3</v>
      </c>
      <c r="M51">
        <v>0</v>
      </c>
      <c r="N51">
        <v>2</v>
      </c>
      <c r="O51">
        <v>0</v>
      </c>
      <c r="P51">
        <v>1</v>
      </c>
      <c r="Q51">
        <v>0</v>
      </c>
      <c r="S51" t="str">
        <f t="shared" si="18"/>
        <v>19:25:46.250</v>
      </c>
      <c r="T51" t="str">
        <f t="shared" si="18"/>
        <v>19:25:46.250</v>
      </c>
      <c r="U51" t="str">
        <f t="shared" si="1"/>
        <v>AC3944</v>
      </c>
      <c r="V51">
        <v>0</v>
      </c>
      <c r="W51">
        <v>0</v>
      </c>
      <c r="X51">
        <v>2</v>
      </c>
      <c r="Y51">
        <v>0</v>
      </c>
      <c r="AA51">
        <v>0</v>
      </c>
      <c r="AB51">
        <v>8</v>
      </c>
      <c r="AC51">
        <v>3</v>
      </c>
      <c r="AD51">
        <v>0</v>
      </c>
      <c r="AE51">
        <v>9</v>
      </c>
      <c r="AF51" t="s">
        <v>126</v>
      </c>
      <c r="AG51">
        <v>0</v>
      </c>
      <c r="AH51">
        <v>0</v>
      </c>
      <c r="AI51">
        <v>1</v>
      </c>
      <c r="AJ51">
        <v>0</v>
      </c>
      <c r="AK51" t="s">
        <v>161</v>
      </c>
      <c r="AL51">
        <v>32.827233999999997</v>
      </c>
      <c r="AM51" t="s">
        <v>162</v>
      </c>
      <c r="AN51">
        <v>-116.975899</v>
      </c>
      <c r="AO51">
        <v>25</v>
      </c>
      <c r="AP51">
        <v>600</v>
      </c>
      <c r="AQ51" t="s">
        <v>129</v>
      </c>
      <c r="AR51">
        <v>-97</v>
      </c>
      <c r="AS51">
        <v>19</v>
      </c>
      <c r="AT51">
        <v>64</v>
      </c>
      <c r="BB51">
        <v>1200</v>
      </c>
      <c r="BC51">
        <v>1</v>
      </c>
      <c r="BD51" t="str">
        <f t="shared" si="2"/>
        <v xml:space="preserve">N887QR  </v>
      </c>
      <c r="BE51">
        <v>1</v>
      </c>
      <c r="BG51">
        <v>0</v>
      </c>
      <c r="BH51">
        <v>0</v>
      </c>
      <c r="BI51">
        <v>0</v>
      </c>
      <c r="BJ51">
        <v>300</v>
      </c>
      <c r="BK51">
        <v>-300</v>
      </c>
      <c r="BL51" t="s">
        <v>130</v>
      </c>
      <c r="BM51">
        <v>1</v>
      </c>
      <c r="BN51">
        <v>1</v>
      </c>
      <c r="BO51">
        <v>1</v>
      </c>
      <c r="BP51">
        <v>0</v>
      </c>
      <c r="BT51">
        <v>0</v>
      </c>
      <c r="BU51">
        <v>0</v>
      </c>
      <c r="CE51" t="str">
        <f t="shared" si="19"/>
        <v>19:25:47.252</v>
      </c>
      <c r="CF51">
        <v>1252010825</v>
      </c>
      <c r="CS51">
        <v>2</v>
      </c>
      <c r="CT51">
        <v>2</v>
      </c>
      <c r="CU51">
        <v>0</v>
      </c>
      <c r="CV51">
        <v>2</v>
      </c>
      <c r="CW51">
        <v>0</v>
      </c>
      <c r="CX51">
        <v>3</v>
      </c>
      <c r="CY51">
        <v>7</v>
      </c>
      <c r="CZ51" t="s">
        <v>131</v>
      </c>
      <c r="DA51">
        <v>286</v>
      </c>
      <c r="DB51">
        <v>0</v>
      </c>
      <c r="DC51" t="s">
        <v>132</v>
      </c>
      <c r="DD51" t="s">
        <v>133</v>
      </c>
      <c r="DG51">
        <v>781156</v>
      </c>
      <c r="DI51">
        <v>0</v>
      </c>
      <c r="DJ51">
        <v>0</v>
      </c>
      <c r="DK51">
        <v>1</v>
      </c>
      <c r="DL51">
        <v>0</v>
      </c>
      <c r="DM51">
        <v>0</v>
      </c>
      <c r="DN51">
        <v>1</v>
      </c>
      <c r="DO51">
        <v>0</v>
      </c>
      <c r="DP51">
        <v>0</v>
      </c>
      <c r="DQ51">
        <v>0</v>
      </c>
      <c r="DR51">
        <v>0</v>
      </c>
      <c r="DS51">
        <v>0</v>
      </c>
    </row>
    <row r="52" spans="1:123" x14ac:dyDescent="0.3">
      <c r="A52" t="str">
        <f t="shared" si="17"/>
        <v>10/04/2022 19:25:47.586</v>
      </c>
      <c r="C52" t="str">
        <f t="shared" si="0"/>
        <v>FFDFD3C0</v>
      </c>
      <c r="D52" t="s">
        <v>143</v>
      </c>
      <c r="E52">
        <v>20</v>
      </c>
      <c r="F52">
        <v>1020</v>
      </c>
      <c r="G52" t="s">
        <v>144</v>
      </c>
      <c r="J52" t="s">
        <v>145</v>
      </c>
      <c r="K52">
        <v>0</v>
      </c>
      <c r="L52">
        <v>3</v>
      </c>
      <c r="M52">
        <v>0</v>
      </c>
      <c r="N52">
        <v>2</v>
      </c>
      <c r="O52">
        <v>0</v>
      </c>
      <c r="P52">
        <v>1</v>
      </c>
      <c r="Q52">
        <v>0</v>
      </c>
      <c r="S52" t="str">
        <f t="shared" si="18"/>
        <v>19:25:46.250</v>
      </c>
      <c r="T52" t="str">
        <f t="shared" si="18"/>
        <v>19:25:46.250</v>
      </c>
      <c r="U52" t="str">
        <f t="shared" si="1"/>
        <v>AC3944</v>
      </c>
      <c r="V52">
        <v>0</v>
      </c>
      <c r="W52">
        <v>0</v>
      </c>
      <c r="X52">
        <v>2</v>
      </c>
      <c r="Y52">
        <v>0</v>
      </c>
      <c r="AA52">
        <v>0</v>
      </c>
      <c r="AB52">
        <v>8</v>
      </c>
      <c r="AC52">
        <v>3</v>
      </c>
      <c r="AD52">
        <v>0</v>
      </c>
      <c r="AE52">
        <v>9</v>
      </c>
      <c r="AF52" t="s">
        <v>138</v>
      </c>
      <c r="AG52">
        <v>0</v>
      </c>
      <c r="AH52">
        <v>3</v>
      </c>
      <c r="AI52">
        <v>1</v>
      </c>
      <c r="AJ52">
        <v>0</v>
      </c>
      <c r="AK52" t="s">
        <v>161</v>
      </c>
      <c r="AL52">
        <v>32.827233999999997</v>
      </c>
      <c r="AM52" t="s">
        <v>162</v>
      </c>
      <c r="AN52">
        <v>-116.975899</v>
      </c>
      <c r="AO52">
        <v>25</v>
      </c>
      <c r="AP52">
        <v>600</v>
      </c>
      <c r="AQ52" t="s">
        <v>129</v>
      </c>
      <c r="AR52">
        <v>-97</v>
      </c>
      <c r="AS52">
        <v>19</v>
      </c>
      <c r="AT52">
        <v>64</v>
      </c>
      <c r="BB52">
        <v>1200</v>
      </c>
      <c r="BC52">
        <v>1</v>
      </c>
      <c r="BD52" t="str">
        <f t="shared" si="2"/>
        <v xml:space="preserve">N887QR  </v>
      </c>
      <c r="BE52">
        <v>1</v>
      </c>
      <c r="BG52">
        <v>0</v>
      </c>
      <c r="BH52">
        <v>0</v>
      </c>
      <c r="BI52">
        <v>0</v>
      </c>
      <c r="BJ52">
        <v>300</v>
      </c>
      <c r="BK52">
        <v>-300</v>
      </c>
      <c r="BL52" t="s">
        <v>163</v>
      </c>
      <c r="BM52">
        <v>1</v>
      </c>
      <c r="BN52">
        <v>1</v>
      </c>
      <c r="BO52">
        <v>1</v>
      </c>
      <c r="BP52">
        <v>0</v>
      </c>
      <c r="BS52">
        <v>0</v>
      </c>
      <c r="BT52">
        <v>0</v>
      </c>
      <c r="BU52">
        <v>0</v>
      </c>
      <c r="CE52" t="str">
        <f t="shared" si="19"/>
        <v>19:25:47.252</v>
      </c>
      <c r="CF52">
        <v>1252010825</v>
      </c>
      <c r="CS52">
        <v>3</v>
      </c>
      <c r="CT52">
        <v>2</v>
      </c>
      <c r="CU52">
        <v>0</v>
      </c>
      <c r="CV52">
        <v>2</v>
      </c>
      <c r="CW52">
        <v>0</v>
      </c>
      <c r="CX52">
        <v>3</v>
      </c>
      <c r="CY52">
        <v>7</v>
      </c>
      <c r="CZ52" t="s">
        <v>131</v>
      </c>
      <c r="DA52">
        <v>286</v>
      </c>
      <c r="DB52">
        <v>0</v>
      </c>
      <c r="DC52" t="s">
        <v>132</v>
      </c>
      <c r="DD52" t="s">
        <v>133</v>
      </c>
      <c r="DG52">
        <v>781156</v>
      </c>
      <c r="DI52">
        <v>0</v>
      </c>
      <c r="DJ52">
        <v>0</v>
      </c>
      <c r="DK52">
        <v>1</v>
      </c>
      <c r="DL52">
        <v>0</v>
      </c>
      <c r="DM52">
        <v>0</v>
      </c>
      <c r="DN52">
        <v>1</v>
      </c>
      <c r="DO52">
        <v>0</v>
      </c>
      <c r="DP52">
        <v>0</v>
      </c>
      <c r="DQ52">
        <v>0</v>
      </c>
      <c r="DR52">
        <v>0</v>
      </c>
      <c r="DS52">
        <v>0</v>
      </c>
    </row>
    <row r="53" spans="1:123" x14ac:dyDescent="0.3">
      <c r="A53" t="str">
        <f t="shared" ref="A53:A58" si="20">"10/04/2022 19:25:48.742"</f>
        <v>10/04/2022 19:25:48.742</v>
      </c>
      <c r="C53" t="str">
        <f t="shared" si="0"/>
        <v>FFDFD3C0</v>
      </c>
      <c r="D53" t="s">
        <v>147</v>
      </c>
      <c r="E53">
        <v>3</v>
      </c>
      <c r="H53">
        <v>166</v>
      </c>
      <c r="I53" t="s">
        <v>144</v>
      </c>
      <c r="J53" t="s">
        <v>148</v>
      </c>
      <c r="K53">
        <v>0</v>
      </c>
      <c r="L53">
        <v>3</v>
      </c>
      <c r="M53">
        <v>0</v>
      </c>
      <c r="N53">
        <v>2</v>
      </c>
      <c r="O53">
        <v>0</v>
      </c>
      <c r="P53">
        <v>1</v>
      </c>
      <c r="Q53">
        <v>0</v>
      </c>
      <c r="S53" t="str">
        <f t="shared" ref="S53:T59" si="21">"19:25:47.516"</f>
        <v>19:25:47.516</v>
      </c>
      <c r="T53" t="str">
        <f t="shared" si="21"/>
        <v>19:25:47.516</v>
      </c>
      <c r="U53" t="str">
        <f t="shared" si="1"/>
        <v>AC3944</v>
      </c>
      <c r="V53">
        <v>0</v>
      </c>
      <c r="W53">
        <v>0</v>
      </c>
      <c r="X53">
        <v>2</v>
      </c>
      <c r="Y53">
        <v>0</v>
      </c>
      <c r="AA53">
        <v>0</v>
      </c>
      <c r="AB53">
        <v>8</v>
      </c>
      <c r="AC53">
        <v>3</v>
      </c>
      <c r="AD53">
        <v>0</v>
      </c>
      <c r="AE53">
        <v>9</v>
      </c>
      <c r="AF53" t="s">
        <v>126</v>
      </c>
      <c r="AG53">
        <v>0</v>
      </c>
      <c r="AH53">
        <v>0</v>
      </c>
      <c r="AI53">
        <v>1</v>
      </c>
      <c r="AJ53">
        <v>0</v>
      </c>
      <c r="AK53" t="s">
        <v>164</v>
      </c>
      <c r="AL53">
        <v>32.827342000000002</v>
      </c>
      <c r="AM53" t="s">
        <v>165</v>
      </c>
      <c r="AN53">
        <v>-116.97641400000001</v>
      </c>
      <c r="AO53">
        <v>25</v>
      </c>
      <c r="AP53">
        <v>600</v>
      </c>
      <c r="AQ53" t="s">
        <v>129</v>
      </c>
      <c r="AR53">
        <v>-99</v>
      </c>
      <c r="AS53">
        <v>19</v>
      </c>
      <c r="AT53">
        <v>192</v>
      </c>
      <c r="BB53">
        <v>1200</v>
      </c>
      <c r="BC53">
        <v>1</v>
      </c>
      <c r="BD53" t="str">
        <f t="shared" si="2"/>
        <v xml:space="preserve">N887QR  </v>
      </c>
      <c r="BE53">
        <v>1</v>
      </c>
      <c r="BG53">
        <v>0</v>
      </c>
      <c r="BH53">
        <v>0</v>
      </c>
      <c r="BI53">
        <v>0</v>
      </c>
      <c r="BJ53">
        <v>300</v>
      </c>
      <c r="BK53">
        <v>-300</v>
      </c>
      <c r="BL53" t="s">
        <v>130</v>
      </c>
      <c r="BM53">
        <v>1</v>
      </c>
      <c r="BN53">
        <v>1</v>
      </c>
      <c r="BO53">
        <v>1</v>
      </c>
      <c r="BP53">
        <v>0</v>
      </c>
      <c r="BT53">
        <v>0</v>
      </c>
      <c r="BU53">
        <v>0</v>
      </c>
      <c r="CE53" t="str">
        <f t="shared" ref="CE53:CE59" si="22">"19:25:48.522"</f>
        <v>19:25:48.522</v>
      </c>
      <c r="CF53">
        <v>1522014952</v>
      </c>
      <c r="CS53">
        <v>2</v>
      </c>
      <c r="CT53">
        <v>2</v>
      </c>
      <c r="CU53">
        <v>0</v>
      </c>
      <c r="CV53">
        <v>2</v>
      </c>
      <c r="CW53">
        <v>0</v>
      </c>
      <c r="CX53">
        <v>3</v>
      </c>
      <c r="CY53">
        <v>7</v>
      </c>
      <c r="CZ53" t="s">
        <v>131</v>
      </c>
      <c r="DA53">
        <v>286</v>
      </c>
      <c r="DB53">
        <v>0</v>
      </c>
      <c r="DC53" t="s">
        <v>132</v>
      </c>
      <c r="DD53" t="s">
        <v>133</v>
      </c>
      <c r="DG53">
        <v>781418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1</v>
      </c>
      <c r="DO53">
        <v>0</v>
      </c>
      <c r="DP53">
        <v>0</v>
      </c>
      <c r="DQ53">
        <v>0</v>
      </c>
      <c r="DR53">
        <v>0</v>
      </c>
      <c r="DS53">
        <v>0</v>
      </c>
    </row>
    <row r="54" spans="1:123" x14ac:dyDescent="0.3">
      <c r="A54" t="str">
        <f t="shared" si="20"/>
        <v>10/04/2022 19:25:48.742</v>
      </c>
      <c r="C54" t="str">
        <f t="shared" si="0"/>
        <v>FFDFD3C0</v>
      </c>
      <c r="D54" t="s">
        <v>134</v>
      </c>
      <c r="E54">
        <v>15</v>
      </c>
      <c r="J54" t="s">
        <v>135</v>
      </c>
      <c r="K54">
        <v>0</v>
      </c>
      <c r="L54">
        <v>3</v>
      </c>
      <c r="M54">
        <v>0</v>
      </c>
      <c r="N54">
        <v>2</v>
      </c>
      <c r="O54">
        <v>0</v>
      </c>
      <c r="P54">
        <v>1</v>
      </c>
      <c r="Q54">
        <v>0</v>
      </c>
      <c r="S54" t="str">
        <f t="shared" si="21"/>
        <v>19:25:47.516</v>
      </c>
      <c r="T54" t="str">
        <f t="shared" si="21"/>
        <v>19:25:47.516</v>
      </c>
      <c r="U54" t="str">
        <f t="shared" si="1"/>
        <v>AC3944</v>
      </c>
      <c r="V54">
        <v>0</v>
      </c>
      <c r="W54">
        <v>0</v>
      </c>
      <c r="X54">
        <v>2</v>
      </c>
      <c r="Y54">
        <v>0</v>
      </c>
      <c r="AA54">
        <v>0</v>
      </c>
      <c r="AB54">
        <v>8</v>
      </c>
      <c r="AC54">
        <v>3</v>
      </c>
      <c r="AD54">
        <v>0</v>
      </c>
      <c r="AE54">
        <v>9</v>
      </c>
      <c r="AF54" t="s">
        <v>138</v>
      </c>
      <c r="AG54">
        <v>0</v>
      </c>
      <c r="AH54">
        <v>3</v>
      </c>
      <c r="AI54">
        <v>1</v>
      </c>
      <c r="AJ54">
        <v>0</v>
      </c>
      <c r="AK54" t="s">
        <v>164</v>
      </c>
      <c r="AL54">
        <v>32.827342000000002</v>
      </c>
      <c r="AM54" t="s">
        <v>165</v>
      </c>
      <c r="AN54">
        <v>-116.97641400000001</v>
      </c>
      <c r="AO54">
        <v>25</v>
      </c>
      <c r="AP54">
        <v>600</v>
      </c>
      <c r="AQ54" t="s">
        <v>129</v>
      </c>
      <c r="AR54">
        <v>-99</v>
      </c>
      <c r="AS54">
        <v>19</v>
      </c>
      <c r="AT54">
        <v>192</v>
      </c>
      <c r="BB54">
        <v>1200</v>
      </c>
      <c r="BC54">
        <v>1</v>
      </c>
      <c r="BD54" t="str">
        <f t="shared" si="2"/>
        <v xml:space="preserve">N887QR  </v>
      </c>
      <c r="BE54">
        <v>1</v>
      </c>
      <c r="BG54">
        <v>0</v>
      </c>
      <c r="BH54">
        <v>0</v>
      </c>
      <c r="BI54">
        <v>0</v>
      </c>
      <c r="BJ54">
        <v>300</v>
      </c>
      <c r="BK54">
        <v>-300</v>
      </c>
      <c r="BL54" t="s">
        <v>163</v>
      </c>
      <c r="BM54">
        <v>1</v>
      </c>
      <c r="BN54">
        <v>1</v>
      </c>
      <c r="BO54">
        <v>1</v>
      </c>
      <c r="BP54">
        <v>0</v>
      </c>
      <c r="BS54">
        <v>0</v>
      </c>
      <c r="BT54">
        <v>0</v>
      </c>
      <c r="BU54">
        <v>0</v>
      </c>
      <c r="CE54" t="str">
        <f t="shared" si="22"/>
        <v>19:25:48.522</v>
      </c>
      <c r="CF54">
        <v>1522014952</v>
      </c>
      <c r="CS54">
        <v>3</v>
      </c>
      <c r="CT54">
        <v>2</v>
      </c>
      <c r="CU54">
        <v>0</v>
      </c>
      <c r="CV54">
        <v>2</v>
      </c>
      <c r="CW54">
        <v>0</v>
      </c>
      <c r="CX54">
        <v>3</v>
      </c>
      <c r="CY54">
        <v>7</v>
      </c>
      <c r="CZ54" t="s">
        <v>131</v>
      </c>
      <c r="DA54">
        <v>286</v>
      </c>
      <c r="DB54">
        <v>0</v>
      </c>
      <c r="DC54" t="s">
        <v>132</v>
      </c>
      <c r="DD54" t="s">
        <v>133</v>
      </c>
      <c r="DG54">
        <v>781418</v>
      </c>
      <c r="DI54">
        <v>0</v>
      </c>
      <c r="DJ54">
        <v>0</v>
      </c>
      <c r="DK54">
        <v>1</v>
      </c>
      <c r="DL54">
        <v>0</v>
      </c>
      <c r="DM54">
        <v>0</v>
      </c>
      <c r="DN54">
        <v>1</v>
      </c>
      <c r="DO54">
        <v>0</v>
      </c>
      <c r="DP54">
        <v>0</v>
      </c>
      <c r="DQ54">
        <v>0</v>
      </c>
      <c r="DR54">
        <v>0</v>
      </c>
      <c r="DS54">
        <v>0</v>
      </c>
    </row>
    <row r="55" spans="1:123" x14ac:dyDescent="0.3">
      <c r="A55" t="str">
        <f t="shared" si="20"/>
        <v>10/04/2022 19:25:48.742</v>
      </c>
      <c r="C55" t="str">
        <f t="shared" si="0"/>
        <v>FFDFD3C0</v>
      </c>
      <c r="D55" t="s">
        <v>141</v>
      </c>
      <c r="E55">
        <v>4</v>
      </c>
      <c r="H55">
        <v>4</v>
      </c>
      <c r="I55" t="s">
        <v>142</v>
      </c>
      <c r="J55" t="s">
        <v>138</v>
      </c>
      <c r="K55">
        <v>0</v>
      </c>
      <c r="L55">
        <v>3</v>
      </c>
      <c r="M55">
        <v>0</v>
      </c>
      <c r="N55">
        <v>2</v>
      </c>
      <c r="O55">
        <v>0</v>
      </c>
      <c r="P55">
        <v>1</v>
      </c>
      <c r="Q55">
        <v>0</v>
      </c>
      <c r="S55" t="str">
        <f t="shared" si="21"/>
        <v>19:25:47.516</v>
      </c>
      <c r="T55" t="str">
        <f t="shared" si="21"/>
        <v>19:25:47.516</v>
      </c>
      <c r="U55" t="str">
        <f t="shared" si="1"/>
        <v>AC3944</v>
      </c>
      <c r="V55">
        <v>0</v>
      </c>
      <c r="W55">
        <v>0</v>
      </c>
      <c r="X55">
        <v>2</v>
      </c>
      <c r="Y55">
        <v>0</v>
      </c>
      <c r="AA55">
        <v>0</v>
      </c>
      <c r="AB55">
        <v>8</v>
      </c>
      <c r="AC55">
        <v>3</v>
      </c>
      <c r="AD55">
        <v>0</v>
      </c>
      <c r="AE55">
        <v>9</v>
      </c>
      <c r="AF55" t="s">
        <v>126</v>
      </c>
      <c r="AG55">
        <v>0</v>
      </c>
      <c r="AH55">
        <v>0</v>
      </c>
      <c r="AI55">
        <v>1</v>
      </c>
      <c r="AJ55">
        <v>0</v>
      </c>
      <c r="AK55" t="s">
        <v>164</v>
      </c>
      <c r="AL55">
        <v>32.827342000000002</v>
      </c>
      <c r="AM55" t="s">
        <v>165</v>
      </c>
      <c r="AN55">
        <v>-116.97641400000001</v>
      </c>
      <c r="AO55">
        <v>25</v>
      </c>
      <c r="AP55">
        <v>600</v>
      </c>
      <c r="AQ55" t="s">
        <v>129</v>
      </c>
      <c r="AR55">
        <v>-99</v>
      </c>
      <c r="AS55">
        <v>19</v>
      </c>
      <c r="AT55">
        <v>192</v>
      </c>
      <c r="BB55">
        <v>1200</v>
      </c>
      <c r="BC55">
        <v>1</v>
      </c>
      <c r="BD55" t="str">
        <f t="shared" si="2"/>
        <v xml:space="preserve">N887QR  </v>
      </c>
      <c r="BE55">
        <v>1</v>
      </c>
      <c r="BG55">
        <v>0</v>
      </c>
      <c r="BH55">
        <v>0</v>
      </c>
      <c r="BI55">
        <v>0</v>
      </c>
      <c r="BJ55">
        <v>300</v>
      </c>
      <c r="BK55">
        <v>-300</v>
      </c>
      <c r="BL55" t="s">
        <v>130</v>
      </c>
      <c r="BM55">
        <v>1</v>
      </c>
      <c r="BN55">
        <v>1</v>
      </c>
      <c r="BO55">
        <v>1</v>
      </c>
      <c r="BP55">
        <v>0</v>
      </c>
      <c r="BT55">
        <v>0</v>
      </c>
      <c r="BU55">
        <v>0</v>
      </c>
      <c r="CE55" t="str">
        <f t="shared" si="22"/>
        <v>19:25:48.522</v>
      </c>
      <c r="CF55">
        <v>1522014952</v>
      </c>
      <c r="CS55">
        <v>2</v>
      </c>
      <c r="CT55">
        <v>2</v>
      </c>
      <c r="CU55">
        <v>0</v>
      </c>
      <c r="CV55">
        <v>2</v>
      </c>
      <c r="CW55">
        <v>0</v>
      </c>
      <c r="CX55">
        <v>3</v>
      </c>
      <c r="CY55">
        <v>7</v>
      </c>
      <c r="CZ55" t="s">
        <v>131</v>
      </c>
      <c r="DA55">
        <v>286</v>
      </c>
      <c r="DB55">
        <v>0</v>
      </c>
      <c r="DC55" t="s">
        <v>132</v>
      </c>
      <c r="DD55" t="s">
        <v>133</v>
      </c>
      <c r="DG55">
        <v>781418</v>
      </c>
      <c r="DI55">
        <v>0</v>
      </c>
      <c r="DJ55">
        <v>0</v>
      </c>
      <c r="DK55">
        <v>1</v>
      </c>
      <c r="DL55">
        <v>0</v>
      </c>
      <c r="DM55">
        <v>0</v>
      </c>
      <c r="DN55">
        <v>1</v>
      </c>
      <c r="DO55">
        <v>0</v>
      </c>
      <c r="DP55">
        <v>0</v>
      </c>
      <c r="DQ55">
        <v>0</v>
      </c>
      <c r="DR55">
        <v>0</v>
      </c>
      <c r="DS55">
        <v>0</v>
      </c>
    </row>
    <row r="56" spans="1:123" x14ac:dyDescent="0.3">
      <c r="A56" t="str">
        <f t="shared" si="20"/>
        <v>10/04/2022 19:25:48.742</v>
      </c>
      <c r="C56" t="str">
        <f t="shared" si="0"/>
        <v>FFDFD3C0</v>
      </c>
      <c r="D56" t="s">
        <v>141</v>
      </c>
      <c r="E56">
        <v>3</v>
      </c>
      <c r="H56">
        <v>3</v>
      </c>
      <c r="I56" t="s">
        <v>146</v>
      </c>
      <c r="J56" t="s">
        <v>138</v>
      </c>
      <c r="K56">
        <v>0</v>
      </c>
      <c r="L56">
        <v>3</v>
      </c>
      <c r="M56">
        <v>0</v>
      </c>
      <c r="N56">
        <v>2</v>
      </c>
      <c r="O56">
        <v>0</v>
      </c>
      <c r="P56">
        <v>1</v>
      </c>
      <c r="Q56">
        <v>0</v>
      </c>
      <c r="S56" t="str">
        <f t="shared" si="21"/>
        <v>19:25:47.516</v>
      </c>
      <c r="T56" t="str">
        <f t="shared" si="21"/>
        <v>19:25:47.516</v>
      </c>
      <c r="U56" t="str">
        <f t="shared" si="1"/>
        <v>AC3944</v>
      </c>
      <c r="V56">
        <v>0</v>
      </c>
      <c r="W56">
        <v>0</v>
      </c>
      <c r="X56">
        <v>2</v>
      </c>
      <c r="Y56">
        <v>0</v>
      </c>
      <c r="AA56">
        <v>0</v>
      </c>
      <c r="AB56">
        <v>8</v>
      </c>
      <c r="AC56">
        <v>3</v>
      </c>
      <c r="AD56">
        <v>0</v>
      </c>
      <c r="AE56">
        <v>9</v>
      </c>
      <c r="AF56" t="s">
        <v>126</v>
      </c>
      <c r="AG56">
        <v>0</v>
      </c>
      <c r="AH56">
        <v>0</v>
      </c>
      <c r="AI56">
        <v>1</v>
      </c>
      <c r="AJ56">
        <v>0</v>
      </c>
      <c r="AK56" t="s">
        <v>164</v>
      </c>
      <c r="AL56">
        <v>32.827342000000002</v>
      </c>
      <c r="AM56" t="s">
        <v>165</v>
      </c>
      <c r="AN56">
        <v>-116.97641400000001</v>
      </c>
      <c r="AO56">
        <v>25</v>
      </c>
      <c r="AP56">
        <v>600</v>
      </c>
      <c r="AQ56" t="s">
        <v>129</v>
      </c>
      <c r="AR56">
        <v>-99</v>
      </c>
      <c r="AS56">
        <v>19</v>
      </c>
      <c r="AT56">
        <v>192</v>
      </c>
      <c r="BB56">
        <v>1200</v>
      </c>
      <c r="BC56">
        <v>1</v>
      </c>
      <c r="BD56" t="str">
        <f t="shared" si="2"/>
        <v xml:space="preserve">N887QR  </v>
      </c>
      <c r="BE56">
        <v>1</v>
      </c>
      <c r="BG56">
        <v>0</v>
      </c>
      <c r="BH56">
        <v>0</v>
      </c>
      <c r="BI56">
        <v>0</v>
      </c>
      <c r="BJ56">
        <v>300</v>
      </c>
      <c r="BK56">
        <v>-300</v>
      </c>
      <c r="BL56" t="s">
        <v>130</v>
      </c>
      <c r="BM56">
        <v>1</v>
      </c>
      <c r="BN56">
        <v>1</v>
      </c>
      <c r="BO56">
        <v>1</v>
      </c>
      <c r="BP56">
        <v>0</v>
      </c>
      <c r="BT56">
        <v>0</v>
      </c>
      <c r="BU56">
        <v>0</v>
      </c>
      <c r="CE56" t="str">
        <f t="shared" si="22"/>
        <v>19:25:48.522</v>
      </c>
      <c r="CF56">
        <v>1522014952</v>
      </c>
      <c r="CS56">
        <v>2</v>
      </c>
      <c r="CT56">
        <v>2</v>
      </c>
      <c r="CU56">
        <v>0</v>
      </c>
      <c r="CV56">
        <v>2</v>
      </c>
      <c r="CW56">
        <v>0</v>
      </c>
      <c r="CX56">
        <v>3</v>
      </c>
      <c r="CY56">
        <v>7</v>
      </c>
      <c r="CZ56" t="s">
        <v>131</v>
      </c>
      <c r="DA56">
        <v>286</v>
      </c>
      <c r="DB56">
        <v>0</v>
      </c>
      <c r="DC56" t="s">
        <v>132</v>
      </c>
      <c r="DD56" t="s">
        <v>133</v>
      </c>
      <c r="DG56">
        <v>781418</v>
      </c>
      <c r="DI56">
        <v>0</v>
      </c>
      <c r="DJ56">
        <v>0</v>
      </c>
      <c r="DK56">
        <v>1</v>
      </c>
      <c r="DL56">
        <v>0</v>
      </c>
      <c r="DM56">
        <v>0</v>
      </c>
      <c r="DN56">
        <v>1</v>
      </c>
      <c r="DO56">
        <v>0</v>
      </c>
      <c r="DP56">
        <v>0</v>
      </c>
      <c r="DQ56">
        <v>0</v>
      </c>
      <c r="DR56">
        <v>0</v>
      </c>
      <c r="DS56">
        <v>0</v>
      </c>
    </row>
    <row r="57" spans="1:123" x14ac:dyDescent="0.3">
      <c r="A57" t="str">
        <f t="shared" si="20"/>
        <v>10/04/2022 19:25:48.742</v>
      </c>
      <c r="C57" t="str">
        <f t="shared" si="0"/>
        <v>FFDFD3C0</v>
      </c>
      <c r="D57" t="s">
        <v>143</v>
      </c>
      <c r="E57">
        <v>20</v>
      </c>
      <c r="F57">
        <v>1020</v>
      </c>
      <c r="G57" t="s">
        <v>144</v>
      </c>
      <c r="J57" t="s">
        <v>145</v>
      </c>
      <c r="K57">
        <v>0</v>
      </c>
      <c r="L57">
        <v>3</v>
      </c>
      <c r="M57">
        <v>0</v>
      </c>
      <c r="N57">
        <v>2</v>
      </c>
      <c r="O57">
        <v>0</v>
      </c>
      <c r="P57">
        <v>1</v>
      </c>
      <c r="Q57">
        <v>0</v>
      </c>
      <c r="S57" t="str">
        <f t="shared" si="21"/>
        <v>19:25:47.516</v>
      </c>
      <c r="T57" t="str">
        <f t="shared" si="21"/>
        <v>19:25:47.516</v>
      </c>
      <c r="U57" t="str">
        <f t="shared" si="1"/>
        <v>AC3944</v>
      </c>
      <c r="V57">
        <v>0</v>
      </c>
      <c r="W57">
        <v>0</v>
      </c>
      <c r="X57">
        <v>2</v>
      </c>
      <c r="Y57">
        <v>0</v>
      </c>
      <c r="AA57">
        <v>0</v>
      </c>
      <c r="AB57">
        <v>8</v>
      </c>
      <c r="AC57">
        <v>3</v>
      </c>
      <c r="AD57">
        <v>0</v>
      </c>
      <c r="AE57">
        <v>9</v>
      </c>
      <c r="AF57" t="s">
        <v>138</v>
      </c>
      <c r="AG57">
        <v>0</v>
      </c>
      <c r="AH57">
        <v>3</v>
      </c>
      <c r="AI57">
        <v>1</v>
      </c>
      <c r="AJ57">
        <v>0</v>
      </c>
      <c r="AK57" t="s">
        <v>164</v>
      </c>
      <c r="AL57">
        <v>32.827342000000002</v>
      </c>
      <c r="AM57" t="s">
        <v>165</v>
      </c>
      <c r="AN57">
        <v>-116.97641400000001</v>
      </c>
      <c r="AO57">
        <v>25</v>
      </c>
      <c r="AP57">
        <v>600</v>
      </c>
      <c r="AQ57" t="s">
        <v>129</v>
      </c>
      <c r="AR57">
        <v>-99</v>
      </c>
      <c r="AS57">
        <v>19</v>
      </c>
      <c r="AT57">
        <v>192</v>
      </c>
      <c r="BB57">
        <v>1200</v>
      </c>
      <c r="BC57">
        <v>1</v>
      </c>
      <c r="BD57" t="str">
        <f t="shared" si="2"/>
        <v xml:space="preserve">N887QR  </v>
      </c>
      <c r="BE57">
        <v>1</v>
      </c>
      <c r="BG57">
        <v>0</v>
      </c>
      <c r="BH57">
        <v>0</v>
      </c>
      <c r="BI57">
        <v>0</v>
      </c>
      <c r="BJ57">
        <v>300</v>
      </c>
      <c r="BK57">
        <v>-300</v>
      </c>
      <c r="BL57" t="s">
        <v>163</v>
      </c>
      <c r="BM57">
        <v>1</v>
      </c>
      <c r="BN57">
        <v>1</v>
      </c>
      <c r="BO57">
        <v>1</v>
      </c>
      <c r="BP57">
        <v>0</v>
      </c>
      <c r="BS57">
        <v>0</v>
      </c>
      <c r="BT57">
        <v>0</v>
      </c>
      <c r="BU57">
        <v>0</v>
      </c>
      <c r="CE57" t="str">
        <f t="shared" si="22"/>
        <v>19:25:48.522</v>
      </c>
      <c r="CF57">
        <v>1522014952</v>
      </c>
      <c r="CS57">
        <v>3</v>
      </c>
      <c r="CT57">
        <v>2</v>
      </c>
      <c r="CU57">
        <v>0</v>
      </c>
      <c r="CV57">
        <v>2</v>
      </c>
      <c r="CW57">
        <v>0</v>
      </c>
      <c r="CX57">
        <v>3</v>
      </c>
      <c r="CY57">
        <v>7</v>
      </c>
      <c r="CZ57" t="s">
        <v>131</v>
      </c>
      <c r="DA57">
        <v>286</v>
      </c>
      <c r="DB57">
        <v>0</v>
      </c>
      <c r="DC57" t="s">
        <v>132</v>
      </c>
      <c r="DD57" t="s">
        <v>133</v>
      </c>
      <c r="DG57">
        <v>781418</v>
      </c>
      <c r="DI57">
        <v>0</v>
      </c>
      <c r="DJ57">
        <v>0</v>
      </c>
      <c r="DK57">
        <v>1</v>
      </c>
      <c r="DL57">
        <v>0</v>
      </c>
      <c r="DM57">
        <v>0</v>
      </c>
      <c r="DN57">
        <v>1</v>
      </c>
      <c r="DO57">
        <v>0</v>
      </c>
      <c r="DP57">
        <v>0</v>
      </c>
      <c r="DQ57">
        <v>0</v>
      </c>
      <c r="DR57">
        <v>0</v>
      </c>
      <c r="DS57">
        <v>0</v>
      </c>
    </row>
    <row r="58" spans="1:123" x14ac:dyDescent="0.3">
      <c r="A58" t="str">
        <f t="shared" si="20"/>
        <v>10/04/2022 19:25:48.742</v>
      </c>
      <c r="C58" t="str">
        <f t="shared" si="0"/>
        <v>FFDFD3C0</v>
      </c>
      <c r="D58" t="s">
        <v>123</v>
      </c>
      <c r="E58">
        <v>7</v>
      </c>
      <c r="F58">
        <v>2007</v>
      </c>
      <c r="G58" t="s">
        <v>124</v>
      </c>
      <c r="J58" t="s">
        <v>125</v>
      </c>
      <c r="K58">
        <v>0</v>
      </c>
      <c r="L58">
        <v>3</v>
      </c>
      <c r="M58">
        <v>0</v>
      </c>
      <c r="N58">
        <v>2</v>
      </c>
      <c r="O58">
        <v>0</v>
      </c>
      <c r="P58">
        <v>1</v>
      </c>
      <c r="Q58">
        <v>0</v>
      </c>
      <c r="S58" t="str">
        <f t="shared" si="21"/>
        <v>19:25:47.516</v>
      </c>
      <c r="T58" t="str">
        <f t="shared" si="21"/>
        <v>19:25:47.516</v>
      </c>
      <c r="U58" t="str">
        <f t="shared" si="1"/>
        <v>AC3944</v>
      </c>
      <c r="V58">
        <v>0</v>
      </c>
      <c r="W58">
        <v>0</v>
      </c>
      <c r="X58">
        <v>2</v>
      </c>
      <c r="Y58">
        <v>0</v>
      </c>
      <c r="AA58">
        <v>0</v>
      </c>
      <c r="AB58">
        <v>8</v>
      </c>
      <c r="AC58">
        <v>3</v>
      </c>
      <c r="AD58">
        <v>0</v>
      </c>
      <c r="AE58">
        <v>9</v>
      </c>
      <c r="AF58" t="s">
        <v>138</v>
      </c>
      <c r="AG58">
        <v>0</v>
      </c>
      <c r="AH58">
        <v>3</v>
      </c>
      <c r="AI58">
        <v>1</v>
      </c>
      <c r="AJ58">
        <v>0</v>
      </c>
      <c r="AK58" t="s">
        <v>164</v>
      </c>
      <c r="AL58">
        <v>32.827342000000002</v>
      </c>
      <c r="AM58" t="s">
        <v>165</v>
      </c>
      <c r="AN58">
        <v>-116.97641400000001</v>
      </c>
      <c r="AO58">
        <v>25</v>
      </c>
      <c r="AP58">
        <v>600</v>
      </c>
      <c r="AQ58" t="s">
        <v>129</v>
      </c>
      <c r="AR58">
        <v>-99</v>
      </c>
      <c r="AS58">
        <v>19</v>
      </c>
      <c r="AT58">
        <v>192</v>
      </c>
      <c r="BB58">
        <v>1200</v>
      </c>
      <c r="BC58">
        <v>1</v>
      </c>
      <c r="BD58" t="str">
        <f t="shared" si="2"/>
        <v xml:space="preserve">N887QR  </v>
      </c>
      <c r="BE58">
        <v>1</v>
      </c>
      <c r="BG58">
        <v>0</v>
      </c>
      <c r="BH58">
        <v>0</v>
      </c>
      <c r="BI58">
        <v>0</v>
      </c>
      <c r="BJ58">
        <v>300</v>
      </c>
      <c r="BK58">
        <v>-300</v>
      </c>
      <c r="BL58" t="s">
        <v>163</v>
      </c>
      <c r="BM58">
        <v>1</v>
      </c>
      <c r="BN58">
        <v>1</v>
      </c>
      <c r="BO58">
        <v>1</v>
      </c>
      <c r="BP58">
        <v>0</v>
      </c>
      <c r="BS58">
        <v>0</v>
      </c>
      <c r="BT58">
        <v>0</v>
      </c>
      <c r="BU58">
        <v>0</v>
      </c>
      <c r="CE58" t="str">
        <f t="shared" si="22"/>
        <v>19:25:48.522</v>
      </c>
      <c r="CF58">
        <v>1522014952</v>
      </c>
      <c r="CS58">
        <v>3</v>
      </c>
      <c r="CT58">
        <v>2</v>
      </c>
      <c r="CU58">
        <v>0</v>
      </c>
      <c r="CV58">
        <v>2</v>
      </c>
      <c r="CW58">
        <v>0</v>
      </c>
      <c r="CX58">
        <v>3</v>
      </c>
      <c r="CY58">
        <v>7</v>
      </c>
      <c r="CZ58" t="s">
        <v>131</v>
      </c>
      <c r="DA58">
        <v>286</v>
      </c>
      <c r="DB58">
        <v>0</v>
      </c>
      <c r="DC58" t="s">
        <v>132</v>
      </c>
      <c r="DD58" t="s">
        <v>133</v>
      </c>
      <c r="DG58">
        <v>781418</v>
      </c>
      <c r="DI58">
        <v>0</v>
      </c>
      <c r="DJ58">
        <v>0</v>
      </c>
      <c r="DK58">
        <v>1</v>
      </c>
      <c r="DL58">
        <v>0</v>
      </c>
      <c r="DM58">
        <v>0</v>
      </c>
      <c r="DN58">
        <v>1</v>
      </c>
      <c r="DO58">
        <v>0</v>
      </c>
      <c r="DP58">
        <v>0</v>
      </c>
      <c r="DQ58">
        <v>0</v>
      </c>
      <c r="DR58">
        <v>0</v>
      </c>
      <c r="DS58">
        <v>0</v>
      </c>
    </row>
    <row r="59" spans="1:123" x14ac:dyDescent="0.3">
      <c r="A59" t="str">
        <f>"10/04/2022 19:25:48.773"</f>
        <v>10/04/2022 19:25:48.773</v>
      </c>
      <c r="C59" t="str">
        <f t="shared" si="0"/>
        <v>FFDFD3C0</v>
      </c>
      <c r="D59" t="s">
        <v>136</v>
      </c>
      <c r="E59">
        <v>8</v>
      </c>
      <c r="H59">
        <v>225</v>
      </c>
      <c r="I59" t="s">
        <v>137</v>
      </c>
      <c r="J59" t="s">
        <v>138</v>
      </c>
      <c r="K59">
        <v>0</v>
      </c>
      <c r="L59">
        <v>3</v>
      </c>
      <c r="M59">
        <v>0</v>
      </c>
      <c r="N59">
        <v>2</v>
      </c>
      <c r="O59">
        <v>0</v>
      </c>
      <c r="P59">
        <v>1</v>
      </c>
      <c r="Q59">
        <v>0</v>
      </c>
      <c r="S59" t="str">
        <f t="shared" si="21"/>
        <v>19:25:47.516</v>
      </c>
      <c r="T59" t="str">
        <f t="shared" si="21"/>
        <v>19:25:47.516</v>
      </c>
      <c r="U59" t="str">
        <f t="shared" si="1"/>
        <v>AC3944</v>
      </c>
      <c r="V59">
        <v>0</v>
      </c>
      <c r="W59">
        <v>0</v>
      </c>
      <c r="X59">
        <v>2</v>
      </c>
      <c r="Y59">
        <v>0</v>
      </c>
      <c r="AA59">
        <v>0</v>
      </c>
      <c r="AB59">
        <v>8</v>
      </c>
      <c r="AC59">
        <v>3</v>
      </c>
      <c r="AD59">
        <v>0</v>
      </c>
      <c r="AE59">
        <v>9</v>
      </c>
      <c r="AF59" t="s">
        <v>126</v>
      </c>
      <c r="AG59">
        <v>0</v>
      </c>
      <c r="AH59">
        <v>0</v>
      </c>
      <c r="AI59">
        <v>1</v>
      </c>
      <c r="AJ59">
        <v>0</v>
      </c>
      <c r="AK59" t="s">
        <v>164</v>
      </c>
      <c r="AL59">
        <v>32.827342000000002</v>
      </c>
      <c r="AM59" t="s">
        <v>165</v>
      </c>
      <c r="AN59">
        <v>-116.97641400000001</v>
      </c>
      <c r="AO59">
        <v>25</v>
      </c>
      <c r="AP59">
        <v>600</v>
      </c>
      <c r="AQ59" t="s">
        <v>129</v>
      </c>
      <c r="AR59">
        <v>-99</v>
      </c>
      <c r="AS59">
        <v>19</v>
      </c>
      <c r="AT59">
        <v>192</v>
      </c>
      <c r="BB59">
        <v>1200</v>
      </c>
      <c r="BC59">
        <v>1</v>
      </c>
      <c r="BD59" t="str">
        <f t="shared" si="2"/>
        <v xml:space="preserve">N887QR  </v>
      </c>
      <c r="BE59">
        <v>1</v>
      </c>
      <c r="BG59">
        <v>0</v>
      </c>
      <c r="BH59">
        <v>0</v>
      </c>
      <c r="BI59">
        <v>0</v>
      </c>
      <c r="BJ59">
        <v>300</v>
      </c>
      <c r="BK59">
        <v>-300</v>
      </c>
      <c r="BL59" t="s">
        <v>130</v>
      </c>
      <c r="BM59">
        <v>1</v>
      </c>
      <c r="BN59">
        <v>1</v>
      </c>
      <c r="BO59">
        <v>1</v>
      </c>
      <c r="BP59">
        <v>0</v>
      </c>
      <c r="BT59">
        <v>0</v>
      </c>
      <c r="BU59">
        <v>0</v>
      </c>
      <c r="CE59" t="str">
        <f t="shared" si="22"/>
        <v>19:25:48.522</v>
      </c>
      <c r="CF59">
        <v>1522014952</v>
      </c>
      <c r="CS59">
        <v>2</v>
      </c>
      <c r="CT59">
        <v>2</v>
      </c>
      <c r="CU59">
        <v>0</v>
      </c>
      <c r="CV59">
        <v>2</v>
      </c>
      <c r="CW59">
        <v>0</v>
      </c>
      <c r="CX59">
        <v>3</v>
      </c>
      <c r="CY59">
        <v>7</v>
      </c>
      <c r="CZ59" t="s">
        <v>131</v>
      </c>
      <c r="DA59">
        <v>286</v>
      </c>
      <c r="DB59">
        <v>0</v>
      </c>
      <c r="DC59" t="s">
        <v>132</v>
      </c>
      <c r="DD59" t="s">
        <v>133</v>
      </c>
      <c r="DG59">
        <v>781418</v>
      </c>
      <c r="DI59">
        <v>0</v>
      </c>
      <c r="DJ59">
        <v>0</v>
      </c>
      <c r="DK59">
        <v>1</v>
      </c>
      <c r="DL59">
        <v>0</v>
      </c>
      <c r="DM59">
        <v>0</v>
      </c>
      <c r="DN59">
        <v>1</v>
      </c>
      <c r="DO59">
        <v>0</v>
      </c>
      <c r="DP59">
        <v>0</v>
      </c>
      <c r="DQ59">
        <v>0</v>
      </c>
      <c r="DR59">
        <v>0</v>
      </c>
      <c r="DS59">
        <v>0</v>
      </c>
    </row>
    <row r="60" spans="1:123" x14ac:dyDescent="0.3">
      <c r="A60" t="str">
        <f>"10/04/2022 19:25:49.634"</f>
        <v>10/04/2022 19:25:49.634</v>
      </c>
      <c r="C60" t="str">
        <f t="shared" si="0"/>
        <v>FFDFD3C0</v>
      </c>
      <c r="D60" t="s">
        <v>147</v>
      </c>
      <c r="E60">
        <v>3</v>
      </c>
      <c r="H60">
        <v>166</v>
      </c>
      <c r="I60" t="s">
        <v>144</v>
      </c>
      <c r="J60" t="s">
        <v>148</v>
      </c>
      <c r="K60">
        <v>0</v>
      </c>
      <c r="L60">
        <v>3</v>
      </c>
      <c r="M60">
        <v>0</v>
      </c>
      <c r="N60">
        <v>2</v>
      </c>
      <c r="O60">
        <v>0</v>
      </c>
      <c r="P60">
        <v>1</v>
      </c>
      <c r="Q60">
        <v>0</v>
      </c>
      <c r="S60" t="str">
        <f t="shared" ref="S60:T66" si="23">"19:25:48.430"</f>
        <v>19:25:48.430</v>
      </c>
      <c r="T60" t="str">
        <f t="shared" si="23"/>
        <v>19:25:48.430</v>
      </c>
      <c r="U60" t="str">
        <f t="shared" si="1"/>
        <v>AC3944</v>
      </c>
      <c r="V60">
        <v>0</v>
      </c>
      <c r="W60">
        <v>0</v>
      </c>
      <c r="X60">
        <v>2</v>
      </c>
      <c r="Y60">
        <v>0</v>
      </c>
      <c r="AA60">
        <v>0</v>
      </c>
      <c r="AB60">
        <v>8</v>
      </c>
      <c r="AC60">
        <v>3</v>
      </c>
      <c r="AD60">
        <v>0</v>
      </c>
      <c r="AE60">
        <v>9</v>
      </c>
      <c r="AF60" t="s">
        <v>126</v>
      </c>
      <c r="AG60">
        <v>0</v>
      </c>
      <c r="AH60">
        <v>0</v>
      </c>
      <c r="AI60">
        <v>1</v>
      </c>
      <c r="AJ60">
        <v>0</v>
      </c>
      <c r="AK60" t="s">
        <v>166</v>
      </c>
      <c r="AL60">
        <v>32.827427</v>
      </c>
      <c r="AM60" t="s">
        <v>167</v>
      </c>
      <c r="AN60">
        <v>-116.97695</v>
      </c>
      <c r="AO60">
        <v>25</v>
      </c>
      <c r="AP60">
        <v>600</v>
      </c>
      <c r="AQ60" t="s">
        <v>129</v>
      </c>
      <c r="AR60">
        <v>-100</v>
      </c>
      <c r="AS60">
        <v>19</v>
      </c>
      <c r="AT60">
        <v>192</v>
      </c>
      <c r="BB60">
        <v>1200</v>
      </c>
      <c r="BC60">
        <v>1</v>
      </c>
      <c r="BD60" t="str">
        <f t="shared" si="2"/>
        <v xml:space="preserve">N887QR  </v>
      </c>
      <c r="BE60">
        <v>1</v>
      </c>
      <c r="BG60">
        <v>0</v>
      </c>
      <c r="BH60">
        <v>0</v>
      </c>
      <c r="BI60">
        <v>0</v>
      </c>
      <c r="BJ60">
        <v>300</v>
      </c>
      <c r="BK60">
        <v>-300</v>
      </c>
      <c r="BL60" t="s">
        <v>130</v>
      </c>
      <c r="BM60">
        <v>1</v>
      </c>
      <c r="BN60">
        <v>1</v>
      </c>
      <c r="BO60">
        <v>1</v>
      </c>
      <c r="BP60">
        <v>0</v>
      </c>
      <c r="BT60">
        <v>0</v>
      </c>
      <c r="BU60">
        <v>0</v>
      </c>
      <c r="CE60" t="str">
        <f t="shared" ref="CE60:CE66" si="24">"19:25:49.437"</f>
        <v>19:25:49.437</v>
      </c>
      <c r="CF60">
        <v>1437267889</v>
      </c>
      <c r="CS60">
        <v>2</v>
      </c>
      <c r="CT60">
        <v>2</v>
      </c>
      <c r="CU60">
        <v>0</v>
      </c>
      <c r="CV60">
        <v>2</v>
      </c>
      <c r="CW60">
        <v>0</v>
      </c>
      <c r="CX60">
        <v>2</v>
      </c>
      <c r="CY60">
        <v>7</v>
      </c>
      <c r="CZ60" t="s">
        <v>131</v>
      </c>
      <c r="DA60">
        <v>286</v>
      </c>
      <c r="DB60">
        <v>0</v>
      </c>
      <c r="DC60" t="s">
        <v>132</v>
      </c>
      <c r="DD60" t="s">
        <v>133</v>
      </c>
      <c r="DG60">
        <v>781606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1</v>
      </c>
      <c r="DO60">
        <v>0</v>
      </c>
      <c r="DP60">
        <v>0</v>
      </c>
      <c r="DQ60">
        <v>0</v>
      </c>
      <c r="DR60">
        <v>0</v>
      </c>
      <c r="DS60">
        <v>0</v>
      </c>
    </row>
    <row r="61" spans="1:123" x14ac:dyDescent="0.3">
      <c r="A61" t="str">
        <f>"10/04/2022 19:25:49.634"</f>
        <v>10/04/2022 19:25:49.634</v>
      </c>
      <c r="C61" t="str">
        <f t="shared" si="0"/>
        <v>FFDFD3C0</v>
      </c>
      <c r="D61" t="s">
        <v>141</v>
      </c>
      <c r="E61">
        <v>4</v>
      </c>
      <c r="H61">
        <v>4</v>
      </c>
      <c r="I61" t="s">
        <v>142</v>
      </c>
      <c r="J61" t="s">
        <v>138</v>
      </c>
      <c r="K61">
        <v>0</v>
      </c>
      <c r="L61">
        <v>3</v>
      </c>
      <c r="M61">
        <v>0</v>
      </c>
      <c r="N61">
        <v>2</v>
      </c>
      <c r="O61">
        <v>0</v>
      </c>
      <c r="P61">
        <v>1</v>
      </c>
      <c r="Q61">
        <v>0</v>
      </c>
      <c r="S61" t="str">
        <f t="shared" si="23"/>
        <v>19:25:48.430</v>
      </c>
      <c r="T61" t="str">
        <f t="shared" si="23"/>
        <v>19:25:48.430</v>
      </c>
      <c r="U61" t="str">
        <f t="shared" si="1"/>
        <v>AC3944</v>
      </c>
      <c r="V61">
        <v>0</v>
      </c>
      <c r="W61">
        <v>0</v>
      </c>
      <c r="X61">
        <v>2</v>
      </c>
      <c r="Y61">
        <v>0</v>
      </c>
      <c r="AA61">
        <v>0</v>
      </c>
      <c r="AB61">
        <v>8</v>
      </c>
      <c r="AC61">
        <v>3</v>
      </c>
      <c r="AD61">
        <v>0</v>
      </c>
      <c r="AE61">
        <v>9</v>
      </c>
      <c r="AF61" t="s">
        <v>126</v>
      </c>
      <c r="AG61">
        <v>0</v>
      </c>
      <c r="AH61">
        <v>0</v>
      </c>
      <c r="AI61">
        <v>1</v>
      </c>
      <c r="AJ61">
        <v>0</v>
      </c>
      <c r="AK61" t="s">
        <v>166</v>
      </c>
      <c r="AL61">
        <v>32.827427</v>
      </c>
      <c r="AM61" t="s">
        <v>167</v>
      </c>
      <c r="AN61">
        <v>-116.97695</v>
      </c>
      <c r="AO61">
        <v>25</v>
      </c>
      <c r="AP61">
        <v>600</v>
      </c>
      <c r="AQ61" t="s">
        <v>129</v>
      </c>
      <c r="AR61">
        <v>-100</v>
      </c>
      <c r="AS61">
        <v>19</v>
      </c>
      <c r="AT61">
        <v>192</v>
      </c>
      <c r="BB61">
        <v>1200</v>
      </c>
      <c r="BC61">
        <v>1</v>
      </c>
      <c r="BD61" t="str">
        <f t="shared" si="2"/>
        <v xml:space="preserve">N887QR  </v>
      </c>
      <c r="BE61">
        <v>1</v>
      </c>
      <c r="BG61">
        <v>0</v>
      </c>
      <c r="BH61">
        <v>0</v>
      </c>
      <c r="BI61">
        <v>0</v>
      </c>
      <c r="BJ61">
        <v>300</v>
      </c>
      <c r="BK61">
        <v>-300</v>
      </c>
      <c r="BL61" t="s">
        <v>130</v>
      </c>
      <c r="BM61">
        <v>1</v>
      </c>
      <c r="BN61">
        <v>1</v>
      </c>
      <c r="BO61">
        <v>1</v>
      </c>
      <c r="BP61">
        <v>0</v>
      </c>
      <c r="BT61">
        <v>0</v>
      </c>
      <c r="BU61">
        <v>0</v>
      </c>
      <c r="CE61" t="str">
        <f t="shared" si="24"/>
        <v>19:25:49.437</v>
      </c>
      <c r="CF61">
        <v>1437267889</v>
      </c>
      <c r="CS61">
        <v>2</v>
      </c>
      <c r="CT61">
        <v>2</v>
      </c>
      <c r="CU61">
        <v>0</v>
      </c>
      <c r="CV61">
        <v>2</v>
      </c>
      <c r="CW61">
        <v>0</v>
      </c>
      <c r="CX61">
        <v>2</v>
      </c>
      <c r="CY61">
        <v>7</v>
      </c>
      <c r="CZ61" t="s">
        <v>131</v>
      </c>
      <c r="DA61">
        <v>286</v>
      </c>
      <c r="DB61">
        <v>0</v>
      </c>
      <c r="DC61" t="s">
        <v>132</v>
      </c>
      <c r="DD61" t="s">
        <v>133</v>
      </c>
      <c r="DG61">
        <v>781606</v>
      </c>
      <c r="DI61">
        <v>0</v>
      </c>
      <c r="DJ61">
        <v>0</v>
      </c>
      <c r="DK61">
        <v>1</v>
      </c>
      <c r="DL61">
        <v>0</v>
      </c>
      <c r="DM61">
        <v>0</v>
      </c>
      <c r="DN61">
        <v>1</v>
      </c>
      <c r="DO61">
        <v>0</v>
      </c>
      <c r="DP61">
        <v>0</v>
      </c>
      <c r="DQ61">
        <v>0</v>
      </c>
      <c r="DR61">
        <v>0</v>
      </c>
      <c r="DS61">
        <v>0</v>
      </c>
    </row>
    <row r="62" spans="1:123" x14ac:dyDescent="0.3">
      <c r="A62" t="str">
        <f>"10/04/2022 19:25:49.728"</f>
        <v>10/04/2022 19:25:49.728</v>
      </c>
      <c r="C62" t="str">
        <f t="shared" si="0"/>
        <v>FFDFD3C0</v>
      </c>
      <c r="D62" t="s">
        <v>134</v>
      </c>
      <c r="E62">
        <v>15</v>
      </c>
      <c r="J62" t="s">
        <v>135</v>
      </c>
      <c r="K62">
        <v>0</v>
      </c>
      <c r="L62">
        <v>3</v>
      </c>
      <c r="M62">
        <v>0</v>
      </c>
      <c r="N62">
        <v>2</v>
      </c>
      <c r="O62">
        <v>0</v>
      </c>
      <c r="P62">
        <v>1</v>
      </c>
      <c r="Q62">
        <v>0</v>
      </c>
      <c r="S62" t="str">
        <f t="shared" si="23"/>
        <v>19:25:48.430</v>
      </c>
      <c r="T62" t="str">
        <f t="shared" si="23"/>
        <v>19:25:48.430</v>
      </c>
      <c r="U62" t="str">
        <f t="shared" si="1"/>
        <v>AC3944</v>
      </c>
      <c r="V62">
        <v>0</v>
      </c>
      <c r="W62">
        <v>0</v>
      </c>
      <c r="X62">
        <v>2</v>
      </c>
      <c r="Y62">
        <v>0</v>
      </c>
      <c r="AA62">
        <v>0</v>
      </c>
      <c r="AB62">
        <v>8</v>
      </c>
      <c r="AC62">
        <v>3</v>
      </c>
      <c r="AD62">
        <v>0</v>
      </c>
      <c r="AE62">
        <v>9</v>
      </c>
      <c r="AF62" t="s">
        <v>138</v>
      </c>
      <c r="AG62">
        <v>0</v>
      </c>
      <c r="AH62">
        <v>3</v>
      </c>
      <c r="AI62">
        <v>1</v>
      </c>
      <c r="AJ62">
        <v>0</v>
      </c>
      <c r="AK62" t="s">
        <v>166</v>
      </c>
      <c r="AL62">
        <v>32.827427</v>
      </c>
      <c r="AM62" t="s">
        <v>167</v>
      </c>
      <c r="AN62">
        <v>-116.97695</v>
      </c>
      <c r="AO62">
        <v>25</v>
      </c>
      <c r="AP62">
        <v>600</v>
      </c>
      <c r="AQ62" t="s">
        <v>129</v>
      </c>
      <c r="AR62">
        <v>-100</v>
      </c>
      <c r="AS62">
        <v>19</v>
      </c>
      <c r="AT62">
        <v>192</v>
      </c>
      <c r="BB62">
        <v>1200</v>
      </c>
      <c r="BC62">
        <v>1</v>
      </c>
      <c r="BD62" t="str">
        <f t="shared" si="2"/>
        <v xml:space="preserve">N887QR  </v>
      </c>
      <c r="BE62">
        <v>1</v>
      </c>
      <c r="BG62">
        <v>0</v>
      </c>
      <c r="BH62">
        <v>0</v>
      </c>
      <c r="BI62">
        <v>0</v>
      </c>
      <c r="BJ62">
        <v>300</v>
      </c>
      <c r="BK62">
        <v>-300</v>
      </c>
      <c r="BL62" t="s">
        <v>163</v>
      </c>
      <c r="BM62">
        <v>1</v>
      </c>
      <c r="BN62">
        <v>1</v>
      </c>
      <c r="BO62">
        <v>1</v>
      </c>
      <c r="BP62">
        <v>0</v>
      </c>
      <c r="BS62">
        <v>0</v>
      </c>
      <c r="BT62">
        <v>0</v>
      </c>
      <c r="BU62">
        <v>0</v>
      </c>
      <c r="CE62" t="str">
        <f t="shared" si="24"/>
        <v>19:25:49.437</v>
      </c>
      <c r="CF62">
        <v>1437267889</v>
      </c>
      <c r="CS62">
        <v>3</v>
      </c>
      <c r="CT62">
        <v>2</v>
      </c>
      <c r="CU62">
        <v>0</v>
      </c>
      <c r="CV62">
        <v>2</v>
      </c>
      <c r="CW62">
        <v>0</v>
      </c>
      <c r="CX62">
        <v>2</v>
      </c>
      <c r="CY62">
        <v>7</v>
      </c>
      <c r="CZ62" t="s">
        <v>131</v>
      </c>
      <c r="DA62">
        <v>286</v>
      </c>
      <c r="DB62">
        <v>0</v>
      </c>
      <c r="DC62" t="s">
        <v>132</v>
      </c>
      <c r="DD62" t="s">
        <v>133</v>
      </c>
      <c r="DG62">
        <v>781606</v>
      </c>
      <c r="DI62">
        <v>0</v>
      </c>
      <c r="DJ62">
        <v>0</v>
      </c>
      <c r="DK62">
        <v>1</v>
      </c>
      <c r="DL62">
        <v>0</v>
      </c>
      <c r="DM62">
        <v>0</v>
      </c>
      <c r="DN62">
        <v>1</v>
      </c>
      <c r="DO62">
        <v>0</v>
      </c>
      <c r="DP62">
        <v>0</v>
      </c>
      <c r="DQ62">
        <v>0</v>
      </c>
      <c r="DR62">
        <v>0</v>
      </c>
      <c r="DS62">
        <v>0</v>
      </c>
    </row>
    <row r="63" spans="1:123" x14ac:dyDescent="0.3">
      <c r="A63" t="str">
        <f>"10/04/2022 19:25:49.728"</f>
        <v>10/04/2022 19:25:49.728</v>
      </c>
      <c r="C63" t="str">
        <f t="shared" si="0"/>
        <v>FFDFD3C0</v>
      </c>
      <c r="D63" t="s">
        <v>141</v>
      </c>
      <c r="E63">
        <v>3</v>
      </c>
      <c r="H63">
        <v>3</v>
      </c>
      <c r="I63" t="s">
        <v>146</v>
      </c>
      <c r="J63" t="s">
        <v>138</v>
      </c>
      <c r="K63">
        <v>0</v>
      </c>
      <c r="L63">
        <v>3</v>
      </c>
      <c r="M63">
        <v>0</v>
      </c>
      <c r="N63">
        <v>2</v>
      </c>
      <c r="O63">
        <v>0</v>
      </c>
      <c r="P63">
        <v>1</v>
      </c>
      <c r="Q63">
        <v>0</v>
      </c>
      <c r="S63" t="str">
        <f t="shared" si="23"/>
        <v>19:25:48.430</v>
      </c>
      <c r="T63" t="str">
        <f t="shared" si="23"/>
        <v>19:25:48.430</v>
      </c>
      <c r="U63" t="str">
        <f t="shared" si="1"/>
        <v>AC3944</v>
      </c>
      <c r="V63">
        <v>0</v>
      </c>
      <c r="W63">
        <v>0</v>
      </c>
      <c r="X63">
        <v>2</v>
      </c>
      <c r="Y63">
        <v>0</v>
      </c>
      <c r="AA63">
        <v>0</v>
      </c>
      <c r="AB63">
        <v>8</v>
      </c>
      <c r="AC63">
        <v>3</v>
      </c>
      <c r="AD63">
        <v>0</v>
      </c>
      <c r="AE63">
        <v>9</v>
      </c>
      <c r="AF63" t="s">
        <v>126</v>
      </c>
      <c r="AG63">
        <v>0</v>
      </c>
      <c r="AH63">
        <v>0</v>
      </c>
      <c r="AI63">
        <v>1</v>
      </c>
      <c r="AJ63">
        <v>0</v>
      </c>
      <c r="AK63" t="s">
        <v>166</v>
      </c>
      <c r="AL63">
        <v>32.827427</v>
      </c>
      <c r="AM63" t="s">
        <v>167</v>
      </c>
      <c r="AN63">
        <v>-116.97695</v>
      </c>
      <c r="AO63">
        <v>25</v>
      </c>
      <c r="AP63">
        <v>600</v>
      </c>
      <c r="AQ63" t="s">
        <v>129</v>
      </c>
      <c r="AR63">
        <v>-100</v>
      </c>
      <c r="AS63">
        <v>19</v>
      </c>
      <c r="AT63">
        <v>192</v>
      </c>
      <c r="BB63">
        <v>1200</v>
      </c>
      <c r="BC63">
        <v>1</v>
      </c>
      <c r="BD63" t="str">
        <f t="shared" si="2"/>
        <v xml:space="preserve">N887QR  </v>
      </c>
      <c r="BE63">
        <v>1</v>
      </c>
      <c r="BG63">
        <v>0</v>
      </c>
      <c r="BH63">
        <v>0</v>
      </c>
      <c r="BI63">
        <v>0</v>
      </c>
      <c r="BJ63">
        <v>300</v>
      </c>
      <c r="BK63">
        <v>-300</v>
      </c>
      <c r="BL63" t="s">
        <v>130</v>
      </c>
      <c r="BM63">
        <v>1</v>
      </c>
      <c r="BN63">
        <v>1</v>
      </c>
      <c r="BO63">
        <v>1</v>
      </c>
      <c r="BP63">
        <v>0</v>
      </c>
      <c r="BT63">
        <v>0</v>
      </c>
      <c r="BU63">
        <v>0</v>
      </c>
      <c r="CE63" t="str">
        <f t="shared" si="24"/>
        <v>19:25:49.437</v>
      </c>
      <c r="CF63">
        <v>1437267889</v>
      </c>
      <c r="CS63">
        <v>2</v>
      </c>
      <c r="CT63">
        <v>2</v>
      </c>
      <c r="CU63">
        <v>0</v>
      </c>
      <c r="CV63">
        <v>2</v>
      </c>
      <c r="CW63">
        <v>0</v>
      </c>
      <c r="CX63">
        <v>2</v>
      </c>
      <c r="CY63">
        <v>7</v>
      </c>
      <c r="CZ63" t="s">
        <v>131</v>
      </c>
      <c r="DA63">
        <v>286</v>
      </c>
      <c r="DB63">
        <v>0</v>
      </c>
      <c r="DC63" t="s">
        <v>132</v>
      </c>
      <c r="DD63" t="s">
        <v>133</v>
      </c>
      <c r="DG63">
        <v>781606</v>
      </c>
      <c r="DI63">
        <v>0</v>
      </c>
      <c r="DJ63">
        <v>0</v>
      </c>
      <c r="DK63">
        <v>1</v>
      </c>
      <c r="DL63">
        <v>0</v>
      </c>
      <c r="DM63">
        <v>0</v>
      </c>
      <c r="DN63">
        <v>1</v>
      </c>
      <c r="DO63">
        <v>0</v>
      </c>
      <c r="DP63">
        <v>0</v>
      </c>
      <c r="DQ63">
        <v>0</v>
      </c>
      <c r="DR63">
        <v>0</v>
      </c>
      <c r="DS63">
        <v>0</v>
      </c>
    </row>
    <row r="64" spans="1:123" x14ac:dyDescent="0.3">
      <c r="A64" t="str">
        <f>"10/04/2022 19:25:49.728"</f>
        <v>10/04/2022 19:25:49.728</v>
      </c>
      <c r="C64" t="str">
        <f t="shared" si="0"/>
        <v>FFDFD3C0</v>
      </c>
      <c r="D64" t="s">
        <v>143</v>
      </c>
      <c r="E64">
        <v>20</v>
      </c>
      <c r="F64">
        <v>1020</v>
      </c>
      <c r="G64" t="s">
        <v>144</v>
      </c>
      <c r="J64" t="s">
        <v>145</v>
      </c>
      <c r="K64">
        <v>0</v>
      </c>
      <c r="L64">
        <v>3</v>
      </c>
      <c r="M64">
        <v>0</v>
      </c>
      <c r="N64">
        <v>2</v>
      </c>
      <c r="O64">
        <v>0</v>
      </c>
      <c r="P64">
        <v>1</v>
      </c>
      <c r="Q64">
        <v>0</v>
      </c>
      <c r="S64" t="str">
        <f t="shared" si="23"/>
        <v>19:25:48.430</v>
      </c>
      <c r="T64" t="str">
        <f t="shared" si="23"/>
        <v>19:25:48.430</v>
      </c>
      <c r="U64" t="str">
        <f t="shared" si="1"/>
        <v>AC3944</v>
      </c>
      <c r="V64">
        <v>0</v>
      </c>
      <c r="W64">
        <v>0</v>
      </c>
      <c r="X64">
        <v>2</v>
      </c>
      <c r="Y64">
        <v>0</v>
      </c>
      <c r="AA64">
        <v>0</v>
      </c>
      <c r="AB64">
        <v>8</v>
      </c>
      <c r="AC64">
        <v>3</v>
      </c>
      <c r="AD64">
        <v>0</v>
      </c>
      <c r="AE64">
        <v>9</v>
      </c>
      <c r="AF64" t="s">
        <v>138</v>
      </c>
      <c r="AG64">
        <v>0</v>
      </c>
      <c r="AH64">
        <v>3</v>
      </c>
      <c r="AI64">
        <v>1</v>
      </c>
      <c r="AJ64">
        <v>0</v>
      </c>
      <c r="AK64" t="s">
        <v>166</v>
      </c>
      <c r="AL64">
        <v>32.827427</v>
      </c>
      <c r="AM64" t="s">
        <v>167</v>
      </c>
      <c r="AN64">
        <v>-116.97695</v>
      </c>
      <c r="AO64">
        <v>25</v>
      </c>
      <c r="AP64">
        <v>600</v>
      </c>
      <c r="AQ64" t="s">
        <v>129</v>
      </c>
      <c r="AR64">
        <v>-100</v>
      </c>
      <c r="AS64">
        <v>19</v>
      </c>
      <c r="AT64">
        <v>192</v>
      </c>
      <c r="BB64">
        <v>1200</v>
      </c>
      <c r="BC64">
        <v>1</v>
      </c>
      <c r="BD64" t="str">
        <f t="shared" si="2"/>
        <v xml:space="preserve">N887QR  </v>
      </c>
      <c r="BE64">
        <v>1</v>
      </c>
      <c r="BG64">
        <v>0</v>
      </c>
      <c r="BH64">
        <v>0</v>
      </c>
      <c r="BI64">
        <v>0</v>
      </c>
      <c r="BJ64">
        <v>300</v>
      </c>
      <c r="BK64">
        <v>-300</v>
      </c>
      <c r="BL64" t="s">
        <v>163</v>
      </c>
      <c r="BM64">
        <v>1</v>
      </c>
      <c r="BN64">
        <v>1</v>
      </c>
      <c r="BO64">
        <v>1</v>
      </c>
      <c r="BP64">
        <v>0</v>
      </c>
      <c r="BS64">
        <v>0</v>
      </c>
      <c r="BT64">
        <v>0</v>
      </c>
      <c r="BU64">
        <v>0</v>
      </c>
      <c r="CE64" t="str">
        <f t="shared" si="24"/>
        <v>19:25:49.437</v>
      </c>
      <c r="CF64">
        <v>1437267889</v>
      </c>
      <c r="CS64">
        <v>3</v>
      </c>
      <c r="CT64">
        <v>2</v>
      </c>
      <c r="CU64">
        <v>0</v>
      </c>
      <c r="CV64">
        <v>2</v>
      </c>
      <c r="CW64">
        <v>0</v>
      </c>
      <c r="CX64">
        <v>2</v>
      </c>
      <c r="CY64">
        <v>7</v>
      </c>
      <c r="CZ64" t="s">
        <v>131</v>
      </c>
      <c r="DA64">
        <v>286</v>
      </c>
      <c r="DB64">
        <v>0</v>
      </c>
      <c r="DC64" t="s">
        <v>132</v>
      </c>
      <c r="DD64" t="s">
        <v>133</v>
      </c>
      <c r="DG64">
        <v>781606</v>
      </c>
      <c r="DI64">
        <v>0</v>
      </c>
      <c r="DJ64">
        <v>0</v>
      </c>
      <c r="DK64">
        <v>1</v>
      </c>
      <c r="DL64">
        <v>0</v>
      </c>
      <c r="DM64">
        <v>0</v>
      </c>
      <c r="DN64">
        <v>1</v>
      </c>
      <c r="DO64">
        <v>0</v>
      </c>
      <c r="DP64">
        <v>0</v>
      </c>
      <c r="DQ64">
        <v>0</v>
      </c>
      <c r="DR64">
        <v>0</v>
      </c>
      <c r="DS64">
        <v>0</v>
      </c>
    </row>
    <row r="65" spans="1:123" x14ac:dyDescent="0.3">
      <c r="A65" t="str">
        <f>"10/04/2022 19:25:49.728"</f>
        <v>10/04/2022 19:25:49.728</v>
      </c>
      <c r="C65" t="str">
        <f t="shared" si="0"/>
        <v>FFDFD3C0</v>
      </c>
      <c r="D65" t="s">
        <v>123</v>
      </c>
      <c r="E65">
        <v>7</v>
      </c>
      <c r="F65">
        <v>2007</v>
      </c>
      <c r="G65" t="s">
        <v>124</v>
      </c>
      <c r="J65" t="s">
        <v>125</v>
      </c>
      <c r="K65">
        <v>0</v>
      </c>
      <c r="L65">
        <v>3</v>
      </c>
      <c r="M65">
        <v>0</v>
      </c>
      <c r="N65">
        <v>2</v>
      </c>
      <c r="O65">
        <v>0</v>
      </c>
      <c r="P65">
        <v>1</v>
      </c>
      <c r="Q65">
        <v>0</v>
      </c>
      <c r="S65" t="str">
        <f t="shared" si="23"/>
        <v>19:25:48.430</v>
      </c>
      <c r="T65" t="str">
        <f t="shared" si="23"/>
        <v>19:25:48.430</v>
      </c>
      <c r="U65" t="str">
        <f t="shared" si="1"/>
        <v>AC3944</v>
      </c>
      <c r="V65">
        <v>0</v>
      </c>
      <c r="W65">
        <v>0</v>
      </c>
      <c r="X65">
        <v>2</v>
      </c>
      <c r="Y65">
        <v>0</v>
      </c>
      <c r="AA65">
        <v>0</v>
      </c>
      <c r="AB65">
        <v>8</v>
      </c>
      <c r="AC65">
        <v>3</v>
      </c>
      <c r="AD65">
        <v>0</v>
      </c>
      <c r="AE65">
        <v>9</v>
      </c>
      <c r="AF65" t="s">
        <v>138</v>
      </c>
      <c r="AG65">
        <v>0</v>
      </c>
      <c r="AH65">
        <v>3</v>
      </c>
      <c r="AI65">
        <v>1</v>
      </c>
      <c r="AJ65">
        <v>0</v>
      </c>
      <c r="AK65" t="s">
        <v>166</v>
      </c>
      <c r="AL65">
        <v>32.827427</v>
      </c>
      <c r="AM65" t="s">
        <v>167</v>
      </c>
      <c r="AN65">
        <v>-116.97695</v>
      </c>
      <c r="AO65">
        <v>25</v>
      </c>
      <c r="AP65">
        <v>600</v>
      </c>
      <c r="AQ65" t="s">
        <v>129</v>
      </c>
      <c r="AR65">
        <v>-100</v>
      </c>
      <c r="AS65">
        <v>19</v>
      </c>
      <c r="AT65">
        <v>192</v>
      </c>
      <c r="BB65">
        <v>1200</v>
      </c>
      <c r="BC65">
        <v>1</v>
      </c>
      <c r="BD65" t="str">
        <f t="shared" si="2"/>
        <v xml:space="preserve">N887QR  </v>
      </c>
      <c r="BE65">
        <v>1</v>
      </c>
      <c r="BG65">
        <v>0</v>
      </c>
      <c r="BH65">
        <v>0</v>
      </c>
      <c r="BI65">
        <v>0</v>
      </c>
      <c r="BJ65">
        <v>300</v>
      </c>
      <c r="BK65">
        <v>-300</v>
      </c>
      <c r="BL65" t="s">
        <v>163</v>
      </c>
      <c r="BM65">
        <v>1</v>
      </c>
      <c r="BN65">
        <v>1</v>
      </c>
      <c r="BO65">
        <v>1</v>
      </c>
      <c r="BP65">
        <v>0</v>
      </c>
      <c r="BS65">
        <v>0</v>
      </c>
      <c r="BT65">
        <v>0</v>
      </c>
      <c r="BU65">
        <v>0</v>
      </c>
      <c r="CE65" t="str">
        <f t="shared" si="24"/>
        <v>19:25:49.437</v>
      </c>
      <c r="CF65">
        <v>1437267889</v>
      </c>
      <c r="CS65">
        <v>3</v>
      </c>
      <c r="CT65">
        <v>2</v>
      </c>
      <c r="CU65">
        <v>0</v>
      </c>
      <c r="CV65">
        <v>2</v>
      </c>
      <c r="CW65">
        <v>0</v>
      </c>
      <c r="CX65">
        <v>2</v>
      </c>
      <c r="CY65">
        <v>7</v>
      </c>
      <c r="CZ65" t="s">
        <v>131</v>
      </c>
      <c r="DA65">
        <v>286</v>
      </c>
      <c r="DB65">
        <v>0</v>
      </c>
      <c r="DC65" t="s">
        <v>132</v>
      </c>
      <c r="DD65" t="s">
        <v>133</v>
      </c>
      <c r="DG65">
        <v>781606</v>
      </c>
      <c r="DI65">
        <v>0</v>
      </c>
      <c r="DJ65">
        <v>0</v>
      </c>
      <c r="DK65">
        <v>1</v>
      </c>
      <c r="DL65">
        <v>0</v>
      </c>
      <c r="DM65">
        <v>0</v>
      </c>
      <c r="DN65">
        <v>1</v>
      </c>
      <c r="DO65">
        <v>0</v>
      </c>
      <c r="DP65">
        <v>0</v>
      </c>
      <c r="DQ65">
        <v>0</v>
      </c>
      <c r="DR65">
        <v>0</v>
      </c>
      <c r="DS65">
        <v>0</v>
      </c>
    </row>
    <row r="66" spans="1:123" x14ac:dyDescent="0.3">
      <c r="A66" t="str">
        <f>"10/04/2022 19:25:49.728"</f>
        <v>10/04/2022 19:25:49.728</v>
      </c>
      <c r="C66" t="str">
        <f t="shared" ref="C66:C129" si="25">"FFDFD3C0"</f>
        <v>FFDFD3C0</v>
      </c>
      <c r="D66" t="s">
        <v>136</v>
      </c>
      <c r="E66">
        <v>8</v>
      </c>
      <c r="H66">
        <v>225</v>
      </c>
      <c r="I66" t="s">
        <v>137</v>
      </c>
      <c r="J66" t="s">
        <v>138</v>
      </c>
      <c r="K66">
        <v>0</v>
      </c>
      <c r="L66">
        <v>3</v>
      </c>
      <c r="M66">
        <v>0</v>
      </c>
      <c r="N66">
        <v>2</v>
      </c>
      <c r="O66">
        <v>0</v>
      </c>
      <c r="P66">
        <v>1</v>
      </c>
      <c r="Q66">
        <v>0</v>
      </c>
      <c r="S66" t="str">
        <f t="shared" si="23"/>
        <v>19:25:48.430</v>
      </c>
      <c r="T66" t="str">
        <f t="shared" si="23"/>
        <v>19:25:48.430</v>
      </c>
      <c r="U66" t="str">
        <f t="shared" ref="U66:U129" si="26">"AC3944"</f>
        <v>AC3944</v>
      </c>
      <c r="V66">
        <v>0</v>
      </c>
      <c r="W66">
        <v>0</v>
      </c>
      <c r="X66">
        <v>2</v>
      </c>
      <c r="Y66">
        <v>0</v>
      </c>
      <c r="AA66">
        <v>0</v>
      </c>
      <c r="AB66">
        <v>8</v>
      </c>
      <c r="AC66">
        <v>3</v>
      </c>
      <c r="AD66">
        <v>0</v>
      </c>
      <c r="AE66">
        <v>9</v>
      </c>
      <c r="AF66" t="s">
        <v>126</v>
      </c>
      <c r="AG66">
        <v>0</v>
      </c>
      <c r="AH66">
        <v>0</v>
      </c>
      <c r="AI66">
        <v>1</v>
      </c>
      <c r="AJ66">
        <v>0</v>
      </c>
      <c r="AK66" t="s">
        <v>166</v>
      </c>
      <c r="AL66">
        <v>32.827427</v>
      </c>
      <c r="AM66" t="s">
        <v>167</v>
      </c>
      <c r="AN66">
        <v>-116.97695</v>
      </c>
      <c r="AO66">
        <v>25</v>
      </c>
      <c r="AP66">
        <v>600</v>
      </c>
      <c r="AQ66" t="s">
        <v>129</v>
      </c>
      <c r="AR66">
        <v>-100</v>
      </c>
      <c r="AS66">
        <v>19</v>
      </c>
      <c r="AT66">
        <v>192</v>
      </c>
      <c r="BB66">
        <v>1200</v>
      </c>
      <c r="BC66">
        <v>1</v>
      </c>
      <c r="BD66" t="str">
        <f t="shared" ref="BD66:BD129" si="27">"N887QR  "</f>
        <v xml:space="preserve">N887QR  </v>
      </c>
      <c r="BE66">
        <v>1</v>
      </c>
      <c r="BG66">
        <v>0</v>
      </c>
      <c r="BH66">
        <v>0</v>
      </c>
      <c r="BI66">
        <v>0</v>
      </c>
      <c r="BJ66">
        <v>300</v>
      </c>
      <c r="BK66">
        <v>-300</v>
      </c>
      <c r="BL66" t="s">
        <v>130</v>
      </c>
      <c r="BM66">
        <v>1</v>
      </c>
      <c r="BN66">
        <v>1</v>
      </c>
      <c r="BO66">
        <v>1</v>
      </c>
      <c r="BP66">
        <v>0</v>
      </c>
      <c r="BT66">
        <v>0</v>
      </c>
      <c r="BU66">
        <v>0</v>
      </c>
      <c r="CE66" t="str">
        <f t="shared" si="24"/>
        <v>19:25:49.437</v>
      </c>
      <c r="CF66">
        <v>1437267889</v>
      </c>
      <c r="CS66">
        <v>2</v>
      </c>
      <c r="CT66">
        <v>2</v>
      </c>
      <c r="CU66">
        <v>0</v>
      </c>
      <c r="CV66">
        <v>2</v>
      </c>
      <c r="CW66">
        <v>0</v>
      </c>
      <c r="CX66">
        <v>2</v>
      </c>
      <c r="CY66">
        <v>7</v>
      </c>
      <c r="CZ66" t="s">
        <v>131</v>
      </c>
      <c r="DA66">
        <v>286</v>
      </c>
      <c r="DB66">
        <v>0</v>
      </c>
      <c r="DC66" t="s">
        <v>132</v>
      </c>
      <c r="DD66" t="s">
        <v>133</v>
      </c>
      <c r="DG66">
        <v>781606</v>
      </c>
      <c r="DI66">
        <v>0</v>
      </c>
      <c r="DJ66">
        <v>0</v>
      </c>
      <c r="DK66">
        <v>1</v>
      </c>
      <c r="DL66">
        <v>0</v>
      </c>
      <c r="DM66">
        <v>0</v>
      </c>
      <c r="DN66">
        <v>1</v>
      </c>
      <c r="DO66">
        <v>0</v>
      </c>
      <c r="DP66">
        <v>0</v>
      </c>
      <c r="DQ66">
        <v>0</v>
      </c>
      <c r="DR66">
        <v>0</v>
      </c>
      <c r="DS66">
        <v>0</v>
      </c>
    </row>
    <row r="67" spans="1:123" x14ac:dyDescent="0.3">
      <c r="A67" t="str">
        <f t="shared" ref="A67:A72" si="28">"10/04/2022 19:25:51.228"</f>
        <v>10/04/2022 19:25:51.228</v>
      </c>
      <c r="C67" t="str">
        <f t="shared" si="25"/>
        <v>FFDFD3C0</v>
      </c>
      <c r="D67" t="s">
        <v>136</v>
      </c>
      <c r="E67">
        <v>8</v>
      </c>
      <c r="H67">
        <v>225</v>
      </c>
      <c r="I67" t="s">
        <v>137</v>
      </c>
      <c r="J67" t="s">
        <v>138</v>
      </c>
      <c r="K67">
        <v>0</v>
      </c>
      <c r="L67">
        <v>3</v>
      </c>
      <c r="M67">
        <v>0</v>
      </c>
      <c r="N67">
        <v>2</v>
      </c>
      <c r="O67">
        <v>0</v>
      </c>
      <c r="P67">
        <v>1</v>
      </c>
      <c r="Q67">
        <v>0</v>
      </c>
      <c r="S67" t="str">
        <f t="shared" ref="S67:T73" si="29">"19:25:49.813"</f>
        <v>19:25:49.813</v>
      </c>
      <c r="T67" t="str">
        <f t="shared" si="29"/>
        <v>19:25:49.813</v>
      </c>
      <c r="U67" t="str">
        <f t="shared" si="26"/>
        <v>AC3944</v>
      </c>
      <c r="V67">
        <v>0</v>
      </c>
      <c r="W67">
        <v>0</v>
      </c>
      <c r="X67">
        <v>2</v>
      </c>
      <c r="Y67">
        <v>0</v>
      </c>
      <c r="AA67">
        <v>0</v>
      </c>
      <c r="AB67">
        <v>8</v>
      </c>
      <c r="AC67">
        <v>3</v>
      </c>
      <c r="AD67">
        <v>0</v>
      </c>
      <c r="AE67">
        <v>9</v>
      </c>
      <c r="AF67" t="s">
        <v>126</v>
      </c>
      <c r="AG67">
        <v>0</v>
      </c>
      <c r="AH67">
        <v>0</v>
      </c>
      <c r="AI67">
        <v>1</v>
      </c>
      <c r="AJ67">
        <v>0</v>
      </c>
      <c r="AK67" t="s">
        <v>168</v>
      </c>
      <c r="AL67">
        <v>32.827598999999999</v>
      </c>
      <c r="AM67" t="s">
        <v>169</v>
      </c>
      <c r="AN67">
        <v>-116.977959</v>
      </c>
      <c r="AO67">
        <v>25</v>
      </c>
      <c r="AP67">
        <v>700</v>
      </c>
      <c r="AQ67" t="s">
        <v>129</v>
      </c>
      <c r="AR67">
        <v>-102</v>
      </c>
      <c r="AS67">
        <v>20</v>
      </c>
      <c r="AT67">
        <v>448</v>
      </c>
      <c r="BB67">
        <v>1200</v>
      </c>
      <c r="BC67">
        <v>1</v>
      </c>
      <c r="BD67" t="str">
        <f t="shared" si="27"/>
        <v xml:space="preserve">N887QR  </v>
      </c>
      <c r="BE67">
        <v>1</v>
      </c>
      <c r="BG67">
        <v>0</v>
      </c>
      <c r="BH67">
        <v>0</v>
      </c>
      <c r="BI67">
        <v>0</v>
      </c>
      <c r="BJ67">
        <v>300</v>
      </c>
      <c r="BK67">
        <v>-400</v>
      </c>
      <c r="BL67" t="s">
        <v>130</v>
      </c>
      <c r="BM67">
        <v>1</v>
      </c>
      <c r="BN67">
        <v>1</v>
      </c>
      <c r="BO67">
        <v>1</v>
      </c>
      <c r="BP67">
        <v>0</v>
      </c>
      <c r="BT67">
        <v>0</v>
      </c>
      <c r="BU67">
        <v>0</v>
      </c>
      <c r="CE67" t="str">
        <f t="shared" ref="CE67:CE73" si="30">"19:25:50.813"</f>
        <v>19:25:50.813</v>
      </c>
      <c r="CF67">
        <v>1813022392</v>
      </c>
      <c r="CS67">
        <v>2</v>
      </c>
      <c r="CT67">
        <v>2</v>
      </c>
      <c r="CU67">
        <v>0</v>
      </c>
      <c r="CV67">
        <v>2</v>
      </c>
      <c r="CW67">
        <v>0</v>
      </c>
      <c r="CX67">
        <v>4</v>
      </c>
      <c r="CY67">
        <v>7</v>
      </c>
      <c r="CZ67" t="s">
        <v>131</v>
      </c>
      <c r="DA67">
        <v>286</v>
      </c>
      <c r="DB67">
        <v>0</v>
      </c>
      <c r="DC67" t="s">
        <v>132</v>
      </c>
      <c r="DD67" t="s">
        <v>133</v>
      </c>
      <c r="DG67">
        <v>781888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1</v>
      </c>
      <c r="DO67">
        <v>0</v>
      </c>
      <c r="DP67">
        <v>0</v>
      </c>
      <c r="DQ67">
        <v>0</v>
      </c>
      <c r="DR67">
        <v>0</v>
      </c>
      <c r="DS67">
        <v>0</v>
      </c>
    </row>
    <row r="68" spans="1:123" x14ac:dyDescent="0.3">
      <c r="A68" t="str">
        <f t="shared" si="28"/>
        <v>10/04/2022 19:25:51.228</v>
      </c>
      <c r="C68" t="str">
        <f t="shared" si="25"/>
        <v>FFDFD3C0</v>
      </c>
      <c r="D68" t="s">
        <v>141</v>
      </c>
      <c r="E68">
        <v>4</v>
      </c>
      <c r="H68">
        <v>4</v>
      </c>
      <c r="I68" t="s">
        <v>142</v>
      </c>
      <c r="J68" t="s">
        <v>138</v>
      </c>
      <c r="K68">
        <v>0</v>
      </c>
      <c r="L68">
        <v>3</v>
      </c>
      <c r="M68">
        <v>0</v>
      </c>
      <c r="N68">
        <v>2</v>
      </c>
      <c r="O68">
        <v>0</v>
      </c>
      <c r="P68">
        <v>1</v>
      </c>
      <c r="Q68">
        <v>0</v>
      </c>
      <c r="S68" t="str">
        <f t="shared" si="29"/>
        <v>19:25:49.813</v>
      </c>
      <c r="T68" t="str">
        <f t="shared" si="29"/>
        <v>19:25:49.813</v>
      </c>
      <c r="U68" t="str">
        <f t="shared" si="26"/>
        <v>AC3944</v>
      </c>
      <c r="V68">
        <v>0</v>
      </c>
      <c r="W68">
        <v>0</v>
      </c>
      <c r="X68">
        <v>2</v>
      </c>
      <c r="Y68">
        <v>0</v>
      </c>
      <c r="AA68">
        <v>0</v>
      </c>
      <c r="AB68">
        <v>8</v>
      </c>
      <c r="AC68">
        <v>3</v>
      </c>
      <c r="AD68">
        <v>0</v>
      </c>
      <c r="AE68">
        <v>9</v>
      </c>
      <c r="AF68" t="s">
        <v>126</v>
      </c>
      <c r="AG68">
        <v>0</v>
      </c>
      <c r="AH68">
        <v>0</v>
      </c>
      <c r="AI68">
        <v>1</v>
      </c>
      <c r="AJ68">
        <v>0</v>
      </c>
      <c r="AK68" t="s">
        <v>168</v>
      </c>
      <c r="AL68">
        <v>32.827598999999999</v>
      </c>
      <c r="AM68" t="s">
        <v>169</v>
      </c>
      <c r="AN68">
        <v>-116.977959</v>
      </c>
      <c r="AO68">
        <v>25</v>
      </c>
      <c r="AP68">
        <v>700</v>
      </c>
      <c r="AQ68" t="s">
        <v>129</v>
      </c>
      <c r="AR68">
        <v>-102</v>
      </c>
      <c r="AS68">
        <v>20</v>
      </c>
      <c r="AT68">
        <v>448</v>
      </c>
      <c r="BB68">
        <v>1200</v>
      </c>
      <c r="BC68">
        <v>1</v>
      </c>
      <c r="BD68" t="str">
        <f t="shared" si="27"/>
        <v xml:space="preserve">N887QR  </v>
      </c>
      <c r="BE68">
        <v>1</v>
      </c>
      <c r="BG68">
        <v>0</v>
      </c>
      <c r="BH68">
        <v>0</v>
      </c>
      <c r="BI68">
        <v>0</v>
      </c>
      <c r="BJ68">
        <v>300</v>
      </c>
      <c r="BK68">
        <v>-400</v>
      </c>
      <c r="BL68" t="s">
        <v>130</v>
      </c>
      <c r="BM68">
        <v>1</v>
      </c>
      <c r="BN68">
        <v>1</v>
      </c>
      <c r="BO68">
        <v>1</v>
      </c>
      <c r="BP68">
        <v>0</v>
      </c>
      <c r="BT68">
        <v>0</v>
      </c>
      <c r="BU68">
        <v>0</v>
      </c>
      <c r="CE68" t="str">
        <f t="shared" si="30"/>
        <v>19:25:50.813</v>
      </c>
      <c r="CF68">
        <v>1813022392</v>
      </c>
      <c r="CS68">
        <v>2</v>
      </c>
      <c r="CT68">
        <v>2</v>
      </c>
      <c r="CU68">
        <v>0</v>
      </c>
      <c r="CV68">
        <v>2</v>
      </c>
      <c r="CW68">
        <v>0</v>
      </c>
      <c r="CX68">
        <v>4</v>
      </c>
      <c r="CY68">
        <v>7</v>
      </c>
      <c r="CZ68" t="s">
        <v>131</v>
      </c>
      <c r="DA68">
        <v>286</v>
      </c>
      <c r="DB68">
        <v>0</v>
      </c>
      <c r="DC68" t="s">
        <v>132</v>
      </c>
      <c r="DD68" t="s">
        <v>133</v>
      </c>
      <c r="DG68">
        <v>781888</v>
      </c>
      <c r="DI68">
        <v>0</v>
      </c>
      <c r="DJ68">
        <v>0</v>
      </c>
      <c r="DK68">
        <v>1</v>
      </c>
      <c r="DL68">
        <v>0</v>
      </c>
      <c r="DM68">
        <v>0</v>
      </c>
      <c r="DN68">
        <v>1</v>
      </c>
      <c r="DO68">
        <v>0</v>
      </c>
      <c r="DP68">
        <v>0</v>
      </c>
      <c r="DQ68">
        <v>0</v>
      </c>
      <c r="DR68">
        <v>0</v>
      </c>
      <c r="DS68">
        <v>0</v>
      </c>
    </row>
    <row r="69" spans="1:123" x14ac:dyDescent="0.3">
      <c r="A69" t="str">
        <f t="shared" si="28"/>
        <v>10/04/2022 19:25:51.228</v>
      </c>
      <c r="C69" t="str">
        <f t="shared" si="25"/>
        <v>FFDFD3C0</v>
      </c>
      <c r="D69" t="s">
        <v>147</v>
      </c>
      <c r="E69">
        <v>3</v>
      </c>
      <c r="H69">
        <v>166</v>
      </c>
      <c r="I69" t="s">
        <v>144</v>
      </c>
      <c r="J69" t="s">
        <v>148</v>
      </c>
      <c r="K69">
        <v>0</v>
      </c>
      <c r="L69">
        <v>3</v>
      </c>
      <c r="M69">
        <v>0</v>
      </c>
      <c r="N69">
        <v>2</v>
      </c>
      <c r="O69">
        <v>0</v>
      </c>
      <c r="P69">
        <v>1</v>
      </c>
      <c r="Q69">
        <v>0</v>
      </c>
      <c r="S69" t="str">
        <f t="shared" si="29"/>
        <v>19:25:49.813</v>
      </c>
      <c r="T69" t="str">
        <f t="shared" si="29"/>
        <v>19:25:49.813</v>
      </c>
      <c r="U69" t="str">
        <f t="shared" si="26"/>
        <v>AC3944</v>
      </c>
      <c r="V69">
        <v>0</v>
      </c>
      <c r="W69">
        <v>0</v>
      </c>
      <c r="X69">
        <v>2</v>
      </c>
      <c r="Y69">
        <v>0</v>
      </c>
      <c r="AA69">
        <v>0</v>
      </c>
      <c r="AB69">
        <v>8</v>
      </c>
      <c r="AC69">
        <v>3</v>
      </c>
      <c r="AD69">
        <v>0</v>
      </c>
      <c r="AE69">
        <v>9</v>
      </c>
      <c r="AF69" t="s">
        <v>126</v>
      </c>
      <c r="AG69">
        <v>0</v>
      </c>
      <c r="AH69">
        <v>0</v>
      </c>
      <c r="AI69">
        <v>1</v>
      </c>
      <c r="AJ69">
        <v>0</v>
      </c>
      <c r="AK69" t="s">
        <v>168</v>
      </c>
      <c r="AL69">
        <v>32.827598999999999</v>
      </c>
      <c r="AM69" t="s">
        <v>169</v>
      </c>
      <c r="AN69">
        <v>-116.977959</v>
      </c>
      <c r="AO69">
        <v>25</v>
      </c>
      <c r="AP69">
        <v>700</v>
      </c>
      <c r="AQ69" t="s">
        <v>129</v>
      </c>
      <c r="AR69">
        <v>-102</v>
      </c>
      <c r="AS69">
        <v>20</v>
      </c>
      <c r="AT69">
        <v>448</v>
      </c>
      <c r="BB69">
        <v>1200</v>
      </c>
      <c r="BC69">
        <v>1</v>
      </c>
      <c r="BD69" t="str">
        <f t="shared" si="27"/>
        <v xml:space="preserve">N887QR  </v>
      </c>
      <c r="BE69">
        <v>1</v>
      </c>
      <c r="BG69">
        <v>0</v>
      </c>
      <c r="BH69">
        <v>0</v>
      </c>
      <c r="BI69">
        <v>0</v>
      </c>
      <c r="BJ69">
        <v>300</v>
      </c>
      <c r="BK69">
        <v>-400</v>
      </c>
      <c r="BL69" t="s">
        <v>130</v>
      </c>
      <c r="BM69">
        <v>1</v>
      </c>
      <c r="BN69">
        <v>1</v>
      </c>
      <c r="BO69">
        <v>1</v>
      </c>
      <c r="BP69">
        <v>0</v>
      </c>
      <c r="BT69">
        <v>0</v>
      </c>
      <c r="BU69">
        <v>0</v>
      </c>
      <c r="CE69" t="str">
        <f t="shared" si="30"/>
        <v>19:25:50.813</v>
      </c>
      <c r="CF69">
        <v>1813022392</v>
      </c>
      <c r="CS69">
        <v>2</v>
      </c>
      <c r="CT69">
        <v>2</v>
      </c>
      <c r="CU69">
        <v>0</v>
      </c>
      <c r="CV69">
        <v>2</v>
      </c>
      <c r="CW69">
        <v>0</v>
      </c>
      <c r="CX69">
        <v>4</v>
      </c>
      <c r="CY69">
        <v>7</v>
      </c>
      <c r="CZ69" t="s">
        <v>131</v>
      </c>
      <c r="DA69">
        <v>286</v>
      </c>
      <c r="DB69">
        <v>0</v>
      </c>
      <c r="DC69" t="s">
        <v>132</v>
      </c>
      <c r="DD69" t="s">
        <v>133</v>
      </c>
      <c r="DG69">
        <v>781888</v>
      </c>
      <c r="DI69">
        <v>0</v>
      </c>
      <c r="DJ69">
        <v>0</v>
      </c>
      <c r="DK69">
        <v>1</v>
      </c>
      <c r="DL69">
        <v>0</v>
      </c>
      <c r="DM69">
        <v>0</v>
      </c>
      <c r="DN69">
        <v>1</v>
      </c>
      <c r="DO69">
        <v>0</v>
      </c>
      <c r="DP69">
        <v>0</v>
      </c>
      <c r="DQ69">
        <v>0</v>
      </c>
      <c r="DR69">
        <v>0</v>
      </c>
      <c r="DS69">
        <v>0</v>
      </c>
    </row>
    <row r="70" spans="1:123" x14ac:dyDescent="0.3">
      <c r="A70" t="str">
        <f t="shared" si="28"/>
        <v>10/04/2022 19:25:51.228</v>
      </c>
      <c r="C70" t="str">
        <f t="shared" si="25"/>
        <v>FFDFD3C0</v>
      </c>
      <c r="D70" t="s">
        <v>143</v>
      </c>
      <c r="E70">
        <v>20</v>
      </c>
      <c r="F70">
        <v>1020</v>
      </c>
      <c r="G70" t="s">
        <v>144</v>
      </c>
      <c r="J70" t="s">
        <v>145</v>
      </c>
      <c r="K70">
        <v>0</v>
      </c>
      <c r="L70">
        <v>3</v>
      </c>
      <c r="M70">
        <v>0</v>
      </c>
      <c r="N70">
        <v>2</v>
      </c>
      <c r="O70">
        <v>0</v>
      </c>
      <c r="P70">
        <v>1</v>
      </c>
      <c r="Q70">
        <v>0</v>
      </c>
      <c r="S70" t="str">
        <f t="shared" si="29"/>
        <v>19:25:49.813</v>
      </c>
      <c r="T70" t="str">
        <f t="shared" si="29"/>
        <v>19:25:49.813</v>
      </c>
      <c r="U70" t="str">
        <f t="shared" si="26"/>
        <v>AC3944</v>
      </c>
      <c r="V70">
        <v>0</v>
      </c>
      <c r="W70">
        <v>0</v>
      </c>
      <c r="X70">
        <v>2</v>
      </c>
      <c r="Y70">
        <v>0</v>
      </c>
      <c r="AA70">
        <v>0</v>
      </c>
      <c r="AB70">
        <v>8</v>
      </c>
      <c r="AC70">
        <v>3</v>
      </c>
      <c r="AD70">
        <v>0</v>
      </c>
      <c r="AE70">
        <v>9</v>
      </c>
      <c r="AF70" t="s">
        <v>126</v>
      </c>
      <c r="AG70">
        <v>0</v>
      </c>
      <c r="AH70">
        <v>0</v>
      </c>
      <c r="AI70">
        <v>1</v>
      </c>
      <c r="AJ70">
        <v>0</v>
      </c>
      <c r="AK70" t="s">
        <v>168</v>
      </c>
      <c r="AL70">
        <v>32.827598999999999</v>
      </c>
      <c r="AM70" t="s">
        <v>169</v>
      </c>
      <c r="AN70">
        <v>-116.977959</v>
      </c>
      <c r="AO70">
        <v>25</v>
      </c>
      <c r="AP70">
        <v>700</v>
      </c>
      <c r="AQ70" t="s">
        <v>129</v>
      </c>
      <c r="AR70">
        <v>-102</v>
      </c>
      <c r="AS70">
        <v>20</v>
      </c>
      <c r="AT70">
        <v>448</v>
      </c>
      <c r="BB70">
        <v>1200</v>
      </c>
      <c r="BC70">
        <v>1</v>
      </c>
      <c r="BD70" t="str">
        <f t="shared" si="27"/>
        <v xml:space="preserve">N887QR  </v>
      </c>
      <c r="BE70">
        <v>1</v>
      </c>
      <c r="BG70">
        <v>0</v>
      </c>
      <c r="BH70">
        <v>0</v>
      </c>
      <c r="BI70">
        <v>0</v>
      </c>
      <c r="BJ70">
        <v>300</v>
      </c>
      <c r="BK70">
        <v>-400</v>
      </c>
      <c r="BL70" t="s">
        <v>163</v>
      </c>
      <c r="BM70">
        <v>1</v>
      </c>
      <c r="BN70">
        <v>1</v>
      </c>
      <c r="BO70">
        <v>1</v>
      </c>
      <c r="BP70">
        <v>0</v>
      </c>
      <c r="BS70">
        <v>0</v>
      </c>
      <c r="BT70">
        <v>0</v>
      </c>
      <c r="BU70">
        <v>0</v>
      </c>
      <c r="CE70" t="str">
        <f t="shared" si="30"/>
        <v>19:25:50.813</v>
      </c>
      <c r="CF70">
        <v>1813022392</v>
      </c>
      <c r="CS70">
        <v>2</v>
      </c>
      <c r="CT70">
        <v>2</v>
      </c>
      <c r="CU70">
        <v>0</v>
      </c>
      <c r="CV70">
        <v>2</v>
      </c>
      <c r="CW70">
        <v>0</v>
      </c>
      <c r="CX70">
        <v>4</v>
      </c>
      <c r="CY70">
        <v>7</v>
      </c>
      <c r="CZ70" t="s">
        <v>131</v>
      </c>
      <c r="DA70">
        <v>286</v>
      </c>
      <c r="DB70">
        <v>0</v>
      </c>
      <c r="DC70" t="s">
        <v>132</v>
      </c>
      <c r="DD70" t="s">
        <v>133</v>
      </c>
      <c r="DG70">
        <v>781888</v>
      </c>
      <c r="DI70">
        <v>0</v>
      </c>
      <c r="DJ70">
        <v>0</v>
      </c>
      <c r="DK70">
        <v>1</v>
      </c>
      <c r="DL70">
        <v>0</v>
      </c>
      <c r="DM70">
        <v>0</v>
      </c>
      <c r="DN70">
        <v>1</v>
      </c>
      <c r="DO70">
        <v>0</v>
      </c>
      <c r="DP70">
        <v>0</v>
      </c>
      <c r="DQ70">
        <v>0</v>
      </c>
      <c r="DR70">
        <v>0</v>
      </c>
      <c r="DS70">
        <v>0</v>
      </c>
    </row>
    <row r="71" spans="1:123" x14ac:dyDescent="0.3">
      <c r="A71" t="str">
        <f t="shared" si="28"/>
        <v>10/04/2022 19:25:51.228</v>
      </c>
      <c r="C71" t="str">
        <f t="shared" si="25"/>
        <v>FFDFD3C0</v>
      </c>
      <c r="D71" t="s">
        <v>141</v>
      </c>
      <c r="E71">
        <v>3</v>
      </c>
      <c r="H71">
        <v>3</v>
      </c>
      <c r="I71" t="s">
        <v>146</v>
      </c>
      <c r="J71" t="s">
        <v>138</v>
      </c>
      <c r="K71">
        <v>0</v>
      </c>
      <c r="L71">
        <v>3</v>
      </c>
      <c r="M71">
        <v>0</v>
      </c>
      <c r="N71">
        <v>2</v>
      </c>
      <c r="O71">
        <v>0</v>
      </c>
      <c r="P71">
        <v>1</v>
      </c>
      <c r="Q71">
        <v>0</v>
      </c>
      <c r="S71" t="str">
        <f t="shared" si="29"/>
        <v>19:25:49.813</v>
      </c>
      <c r="T71" t="str">
        <f t="shared" si="29"/>
        <v>19:25:49.813</v>
      </c>
      <c r="U71" t="str">
        <f t="shared" si="26"/>
        <v>AC3944</v>
      </c>
      <c r="V71">
        <v>0</v>
      </c>
      <c r="W71">
        <v>0</v>
      </c>
      <c r="X71">
        <v>2</v>
      </c>
      <c r="Y71">
        <v>0</v>
      </c>
      <c r="AA71">
        <v>0</v>
      </c>
      <c r="AB71">
        <v>8</v>
      </c>
      <c r="AC71">
        <v>3</v>
      </c>
      <c r="AD71">
        <v>0</v>
      </c>
      <c r="AE71">
        <v>9</v>
      </c>
      <c r="AF71" t="s">
        <v>126</v>
      </c>
      <c r="AG71">
        <v>0</v>
      </c>
      <c r="AH71">
        <v>0</v>
      </c>
      <c r="AI71">
        <v>1</v>
      </c>
      <c r="AJ71">
        <v>0</v>
      </c>
      <c r="AK71" t="s">
        <v>168</v>
      </c>
      <c r="AL71">
        <v>32.827598999999999</v>
      </c>
      <c r="AM71" t="s">
        <v>169</v>
      </c>
      <c r="AN71">
        <v>-116.977959</v>
      </c>
      <c r="AO71">
        <v>25</v>
      </c>
      <c r="AP71">
        <v>700</v>
      </c>
      <c r="AQ71" t="s">
        <v>129</v>
      </c>
      <c r="AR71">
        <v>-102</v>
      </c>
      <c r="AS71">
        <v>20</v>
      </c>
      <c r="AT71">
        <v>448</v>
      </c>
      <c r="BB71">
        <v>1200</v>
      </c>
      <c r="BC71">
        <v>1</v>
      </c>
      <c r="BD71" t="str">
        <f t="shared" si="27"/>
        <v xml:space="preserve">N887QR  </v>
      </c>
      <c r="BE71">
        <v>1</v>
      </c>
      <c r="BG71">
        <v>0</v>
      </c>
      <c r="BH71">
        <v>0</v>
      </c>
      <c r="BI71">
        <v>0</v>
      </c>
      <c r="BJ71">
        <v>300</v>
      </c>
      <c r="BK71">
        <v>-400</v>
      </c>
      <c r="BL71" t="s">
        <v>130</v>
      </c>
      <c r="BM71">
        <v>1</v>
      </c>
      <c r="BN71">
        <v>1</v>
      </c>
      <c r="BO71">
        <v>1</v>
      </c>
      <c r="BP71">
        <v>0</v>
      </c>
      <c r="BT71">
        <v>0</v>
      </c>
      <c r="BU71">
        <v>0</v>
      </c>
      <c r="CE71" t="str">
        <f t="shared" si="30"/>
        <v>19:25:50.813</v>
      </c>
      <c r="CF71">
        <v>1813022392</v>
      </c>
      <c r="CS71">
        <v>2</v>
      </c>
      <c r="CT71">
        <v>2</v>
      </c>
      <c r="CU71">
        <v>0</v>
      </c>
      <c r="CV71">
        <v>2</v>
      </c>
      <c r="CW71">
        <v>0</v>
      </c>
      <c r="CX71">
        <v>4</v>
      </c>
      <c r="CY71">
        <v>7</v>
      </c>
      <c r="CZ71" t="s">
        <v>131</v>
      </c>
      <c r="DA71">
        <v>286</v>
      </c>
      <c r="DB71">
        <v>0</v>
      </c>
      <c r="DC71" t="s">
        <v>132</v>
      </c>
      <c r="DD71" t="s">
        <v>133</v>
      </c>
      <c r="DG71">
        <v>781888</v>
      </c>
      <c r="DI71">
        <v>0</v>
      </c>
      <c r="DJ71">
        <v>0</v>
      </c>
      <c r="DK71">
        <v>1</v>
      </c>
      <c r="DL71">
        <v>0</v>
      </c>
      <c r="DM71">
        <v>0</v>
      </c>
      <c r="DN71">
        <v>1</v>
      </c>
      <c r="DO71">
        <v>0</v>
      </c>
      <c r="DP71">
        <v>0</v>
      </c>
      <c r="DQ71">
        <v>0</v>
      </c>
      <c r="DR71">
        <v>0</v>
      </c>
      <c r="DS71">
        <v>0</v>
      </c>
    </row>
    <row r="72" spans="1:123" x14ac:dyDescent="0.3">
      <c r="A72" t="str">
        <f t="shared" si="28"/>
        <v>10/04/2022 19:25:51.228</v>
      </c>
      <c r="C72" t="str">
        <f t="shared" si="25"/>
        <v>FFDFD3C0</v>
      </c>
      <c r="D72" t="s">
        <v>134</v>
      </c>
      <c r="E72">
        <v>15</v>
      </c>
      <c r="J72" t="s">
        <v>135</v>
      </c>
      <c r="K72">
        <v>0</v>
      </c>
      <c r="L72">
        <v>3</v>
      </c>
      <c r="M72">
        <v>0</v>
      </c>
      <c r="N72">
        <v>2</v>
      </c>
      <c r="O72">
        <v>0</v>
      </c>
      <c r="P72">
        <v>1</v>
      </c>
      <c r="Q72">
        <v>0</v>
      </c>
      <c r="S72" t="str">
        <f t="shared" si="29"/>
        <v>19:25:49.813</v>
      </c>
      <c r="T72" t="str">
        <f t="shared" si="29"/>
        <v>19:25:49.813</v>
      </c>
      <c r="U72" t="str">
        <f t="shared" si="26"/>
        <v>AC3944</v>
      </c>
      <c r="V72">
        <v>0</v>
      </c>
      <c r="W72">
        <v>0</v>
      </c>
      <c r="X72">
        <v>2</v>
      </c>
      <c r="Y72">
        <v>0</v>
      </c>
      <c r="AA72">
        <v>0</v>
      </c>
      <c r="AB72">
        <v>8</v>
      </c>
      <c r="AC72">
        <v>3</v>
      </c>
      <c r="AD72">
        <v>0</v>
      </c>
      <c r="AE72">
        <v>9</v>
      </c>
      <c r="AF72" t="s">
        <v>126</v>
      </c>
      <c r="AG72">
        <v>0</v>
      </c>
      <c r="AH72">
        <v>0</v>
      </c>
      <c r="AI72">
        <v>1</v>
      </c>
      <c r="AJ72">
        <v>0</v>
      </c>
      <c r="AK72" t="s">
        <v>168</v>
      </c>
      <c r="AL72">
        <v>32.827598999999999</v>
      </c>
      <c r="AM72" t="s">
        <v>169</v>
      </c>
      <c r="AN72">
        <v>-116.977959</v>
      </c>
      <c r="AO72">
        <v>25</v>
      </c>
      <c r="AP72">
        <v>700</v>
      </c>
      <c r="AQ72" t="s">
        <v>129</v>
      </c>
      <c r="AR72">
        <v>-102</v>
      </c>
      <c r="AS72">
        <v>20</v>
      </c>
      <c r="AT72">
        <v>448</v>
      </c>
      <c r="BB72">
        <v>1200</v>
      </c>
      <c r="BC72">
        <v>1</v>
      </c>
      <c r="BD72" t="str">
        <f t="shared" si="27"/>
        <v xml:space="preserve">N887QR  </v>
      </c>
      <c r="BE72">
        <v>1</v>
      </c>
      <c r="BG72">
        <v>0</v>
      </c>
      <c r="BH72">
        <v>0</v>
      </c>
      <c r="BI72">
        <v>0</v>
      </c>
      <c r="BJ72">
        <v>300</v>
      </c>
      <c r="BK72">
        <v>-400</v>
      </c>
      <c r="BL72" t="s">
        <v>163</v>
      </c>
      <c r="BM72">
        <v>1</v>
      </c>
      <c r="BN72">
        <v>1</v>
      </c>
      <c r="BO72">
        <v>1</v>
      </c>
      <c r="BP72">
        <v>0</v>
      </c>
      <c r="BS72">
        <v>0</v>
      </c>
      <c r="BT72">
        <v>0</v>
      </c>
      <c r="BU72">
        <v>0</v>
      </c>
      <c r="CE72" t="str">
        <f t="shared" si="30"/>
        <v>19:25:50.813</v>
      </c>
      <c r="CF72">
        <v>1813022392</v>
      </c>
      <c r="CS72">
        <v>2</v>
      </c>
      <c r="CT72">
        <v>2</v>
      </c>
      <c r="CU72">
        <v>0</v>
      </c>
      <c r="CV72">
        <v>2</v>
      </c>
      <c r="CW72">
        <v>0</v>
      </c>
      <c r="CX72">
        <v>4</v>
      </c>
      <c r="CY72">
        <v>7</v>
      </c>
      <c r="CZ72" t="s">
        <v>131</v>
      </c>
      <c r="DA72">
        <v>286</v>
      </c>
      <c r="DB72">
        <v>0</v>
      </c>
      <c r="DC72" t="s">
        <v>132</v>
      </c>
      <c r="DD72" t="s">
        <v>133</v>
      </c>
      <c r="DG72">
        <v>781888</v>
      </c>
      <c r="DI72">
        <v>0</v>
      </c>
      <c r="DJ72">
        <v>0</v>
      </c>
      <c r="DK72">
        <v>1</v>
      </c>
      <c r="DL72">
        <v>0</v>
      </c>
      <c r="DM72">
        <v>0</v>
      </c>
      <c r="DN72">
        <v>1</v>
      </c>
      <c r="DO72">
        <v>0</v>
      </c>
      <c r="DP72">
        <v>0</v>
      </c>
      <c r="DQ72">
        <v>0</v>
      </c>
      <c r="DR72">
        <v>0</v>
      </c>
      <c r="DS72">
        <v>0</v>
      </c>
    </row>
    <row r="73" spans="1:123" x14ac:dyDescent="0.3">
      <c r="A73" t="str">
        <f>"10/04/2022 19:25:51.259"</f>
        <v>10/04/2022 19:25:51.259</v>
      </c>
      <c r="C73" t="str">
        <f t="shared" si="25"/>
        <v>FFDFD3C0</v>
      </c>
      <c r="D73" t="s">
        <v>123</v>
      </c>
      <c r="E73">
        <v>7</v>
      </c>
      <c r="F73">
        <v>2007</v>
      </c>
      <c r="G73" t="s">
        <v>124</v>
      </c>
      <c r="J73" t="s">
        <v>125</v>
      </c>
      <c r="K73">
        <v>0</v>
      </c>
      <c r="L73">
        <v>3</v>
      </c>
      <c r="M73">
        <v>0</v>
      </c>
      <c r="N73">
        <v>2</v>
      </c>
      <c r="O73">
        <v>0</v>
      </c>
      <c r="P73">
        <v>1</v>
      </c>
      <c r="Q73">
        <v>0</v>
      </c>
      <c r="S73" t="str">
        <f t="shared" si="29"/>
        <v>19:25:49.813</v>
      </c>
      <c r="T73" t="str">
        <f t="shared" si="29"/>
        <v>19:25:49.813</v>
      </c>
      <c r="U73" t="str">
        <f t="shared" si="26"/>
        <v>AC3944</v>
      </c>
      <c r="V73">
        <v>0</v>
      </c>
      <c r="W73">
        <v>0</v>
      </c>
      <c r="X73">
        <v>2</v>
      </c>
      <c r="Y73">
        <v>0</v>
      </c>
      <c r="AA73">
        <v>0</v>
      </c>
      <c r="AB73">
        <v>8</v>
      </c>
      <c r="AC73">
        <v>3</v>
      </c>
      <c r="AD73">
        <v>0</v>
      </c>
      <c r="AE73">
        <v>9</v>
      </c>
      <c r="AF73" t="s">
        <v>126</v>
      </c>
      <c r="AG73">
        <v>0</v>
      </c>
      <c r="AH73">
        <v>0</v>
      </c>
      <c r="AI73">
        <v>1</v>
      </c>
      <c r="AJ73">
        <v>0</v>
      </c>
      <c r="AK73" t="s">
        <v>168</v>
      </c>
      <c r="AL73">
        <v>32.827598999999999</v>
      </c>
      <c r="AM73" t="s">
        <v>169</v>
      </c>
      <c r="AN73">
        <v>-116.977959</v>
      </c>
      <c r="AO73">
        <v>25</v>
      </c>
      <c r="AP73">
        <v>700</v>
      </c>
      <c r="AQ73" t="s">
        <v>129</v>
      </c>
      <c r="AR73">
        <v>-102</v>
      </c>
      <c r="AS73">
        <v>20</v>
      </c>
      <c r="AT73">
        <v>448</v>
      </c>
      <c r="BB73">
        <v>1200</v>
      </c>
      <c r="BC73">
        <v>1</v>
      </c>
      <c r="BD73" t="str">
        <f t="shared" si="27"/>
        <v xml:space="preserve">N887QR  </v>
      </c>
      <c r="BE73">
        <v>1</v>
      </c>
      <c r="BG73">
        <v>0</v>
      </c>
      <c r="BH73">
        <v>0</v>
      </c>
      <c r="BI73">
        <v>0</v>
      </c>
      <c r="BJ73">
        <v>300</v>
      </c>
      <c r="BK73">
        <v>-400</v>
      </c>
      <c r="BL73" t="s">
        <v>163</v>
      </c>
      <c r="BM73">
        <v>1</v>
      </c>
      <c r="BN73">
        <v>1</v>
      </c>
      <c r="BO73">
        <v>1</v>
      </c>
      <c r="BP73">
        <v>0</v>
      </c>
      <c r="BS73">
        <v>0</v>
      </c>
      <c r="BT73">
        <v>0</v>
      </c>
      <c r="BU73">
        <v>0</v>
      </c>
      <c r="CE73" t="str">
        <f t="shared" si="30"/>
        <v>19:25:50.813</v>
      </c>
      <c r="CF73">
        <v>1813022392</v>
      </c>
      <c r="CS73">
        <v>2</v>
      </c>
      <c r="CT73">
        <v>2</v>
      </c>
      <c r="CU73">
        <v>0</v>
      </c>
      <c r="CV73">
        <v>2</v>
      </c>
      <c r="CW73">
        <v>0</v>
      </c>
      <c r="CX73">
        <v>4</v>
      </c>
      <c r="CY73">
        <v>7</v>
      </c>
      <c r="CZ73" t="s">
        <v>131</v>
      </c>
      <c r="DA73">
        <v>286</v>
      </c>
      <c r="DB73">
        <v>0</v>
      </c>
      <c r="DC73" t="s">
        <v>132</v>
      </c>
      <c r="DD73" t="s">
        <v>133</v>
      </c>
      <c r="DG73">
        <v>781888</v>
      </c>
      <c r="DI73">
        <v>0</v>
      </c>
      <c r="DJ73">
        <v>0</v>
      </c>
      <c r="DK73">
        <v>1</v>
      </c>
      <c r="DL73">
        <v>0</v>
      </c>
      <c r="DM73">
        <v>0</v>
      </c>
      <c r="DN73">
        <v>1</v>
      </c>
      <c r="DO73">
        <v>0</v>
      </c>
      <c r="DP73">
        <v>0</v>
      </c>
      <c r="DQ73">
        <v>0</v>
      </c>
      <c r="DR73">
        <v>0</v>
      </c>
      <c r="DS73">
        <v>0</v>
      </c>
    </row>
    <row r="74" spans="1:123" x14ac:dyDescent="0.3">
      <c r="A74" t="str">
        <f t="shared" ref="A74:A80" si="31">"10/04/2022 19:25:52.430"</f>
        <v>10/04/2022 19:25:52.430</v>
      </c>
      <c r="C74" t="str">
        <f t="shared" si="25"/>
        <v>FFDFD3C0</v>
      </c>
      <c r="D74" t="s">
        <v>136</v>
      </c>
      <c r="E74">
        <v>8</v>
      </c>
      <c r="H74">
        <v>225</v>
      </c>
      <c r="I74" t="s">
        <v>137</v>
      </c>
      <c r="J74" t="s">
        <v>138</v>
      </c>
      <c r="K74">
        <v>0</v>
      </c>
      <c r="L74">
        <v>3</v>
      </c>
      <c r="M74">
        <v>0</v>
      </c>
      <c r="N74">
        <v>2</v>
      </c>
      <c r="O74">
        <v>0</v>
      </c>
      <c r="P74">
        <v>1</v>
      </c>
      <c r="Q74">
        <v>0</v>
      </c>
      <c r="S74" t="str">
        <f t="shared" ref="S74:T80" si="32">"19:25:51.055"</f>
        <v>19:25:51.055</v>
      </c>
      <c r="T74" t="str">
        <f t="shared" si="32"/>
        <v>19:25:51.055</v>
      </c>
      <c r="U74" t="str">
        <f t="shared" si="26"/>
        <v>AC3944</v>
      </c>
      <c r="V74">
        <v>0</v>
      </c>
      <c r="W74">
        <v>0</v>
      </c>
      <c r="X74">
        <v>2</v>
      </c>
      <c r="Y74">
        <v>0</v>
      </c>
      <c r="AA74">
        <v>0</v>
      </c>
      <c r="AB74">
        <v>8</v>
      </c>
      <c r="AC74">
        <v>3</v>
      </c>
      <c r="AD74">
        <v>0</v>
      </c>
      <c r="AE74">
        <v>9</v>
      </c>
      <c r="AF74" t="s">
        <v>126</v>
      </c>
      <c r="AG74">
        <v>0</v>
      </c>
      <c r="AH74">
        <v>0</v>
      </c>
      <c r="AI74">
        <v>1</v>
      </c>
      <c r="AJ74">
        <v>0</v>
      </c>
      <c r="AK74" t="s">
        <v>170</v>
      </c>
      <c r="AL74">
        <v>32.827705999999999</v>
      </c>
      <c r="AM74" t="s">
        <v>171</v>
      </c>
      <c r="AN74">
        <v>-116.978645</v>
      </c>
      <c r="AO74">
        <v>25</v>
      </c>
      <c r="AP74">
        <v>700</v>
      </c>
      <c r="AQ74" t="s">
        <v>129</v>
      </c>
      <c r="AR74">
        <v>-103</v>
      </c>
      <c r="AS74">
        <v>22</v>
      </c>
      <c r="AT74">
        <v>448</v>
      </c>
      <c r="BB74">
        <v>1200</v>
      </c>
      <c r="BC74">
        <v>1</v>
      </c>
      <c r="BD74" t="str">
        <f t="shared" si="27"/>
        <v xml:space="preserve">N887QR  </v>
      </c>
      <c r="BE74">
        <v>1</v>
      </c>
      <c r="BG74">
        <v>0</v>
      </c>
      <c r="BH74">
        <v>0</v>
      </c>
      <c r="BI74">
        <v>0</v>
      </c>
      <c r="BJ74">
        <v>300</v>
      </c>
      <c r="BK74">
        <v>-400</v>
      </c>
      <c r="BL74" t="s">
        <v>130</v>
      </c>
      <c r="BM74">
        <v>1</v>
      </c>
      <c r="BN74">
        <v>1</v>
      </c>
      <c r="BO74">
        <v>1</v>
      </c>
      <c r="BP74">
        <v>0</v>
      </c>
      <c r="BT74">
        <v>0</v>
      </c>
      <c r="BU74">
        <v>0</v>
      </c>
      <c r="CE74" t="str">
        <f t="shared" ref="CE74:CE80" si="33">"19:25:52.057"</f>
        <v>19:25:52.057</v>
      </c>
      <c r="CF74">
        <v>1057026439</v>
      </c>
      <c r="CS74">
        <v>2</v>
      </c>
      <c r="CT74">
        <v>2</v>
      </c>
      <c r="CU74">
        <v>0</v>
      </c>
      <c r="CV74">
        <v>2</v>
      </c>
      <c r="CW74">
        <v>0</v>
      </c>
      <c r="CX74">
        <v>4</v>
      </c>
      <c r="CY74">
        <v>7</v>
      </c>
      <c r="CZ74" t="s">
        <v>131</v>
      </c>
      <c r="DA74">
        <v>286</v>
      </c>
      <c r="DB74">
        <v>0</v>
      </c>
      <c r="DC74" t="s">
        <v>132</v>
      </c>
      <c r="DD74" t="s">
        <v>133</v>
      </c>
      <c r="DG74">
        <v>782137</v>
      </c>
      <c r="DI74">
        <v>0</v>
      </c>
      <c r="DJ74">
        <v>0</v>
      </c>
      <c r="DK74">
        <v>0</v>
      </c>
      <c r="DL74">
        <v>0</v>
      </c>
      <c r="DM74">
        <v>0</v>
      </c>
      <c r="DN74">
        <v>1</v>
      </c>
      <c r="DO74">
        <v>0</v>
      </c>
      <c r="DP74">
        <v>0</v>
      </c>
      <c r="DQ74">
        <v>0</v>
      </c>
      <c r="DR74">
        <v>0</v>
      </c>
      <c r="DS74">
        <v>0</v>
      </c>
    </row>
    <row r="75" spans="1:123" x14ac:dyDescent="0.3">
      <c r="A75" t="str">
        <f t="shared" si="31"/>
        <v>10/04/2022 19:25:52.430</v>
      </c>
      <c r="C75" t="str">
        <f t="shared" si="25"/>
        <v>FFDFD3C0</v>
      </c>
      <c r="D75" t="s">
        <v>141</v>
      </c>
      <c r="E75">
        <v>4</v>
      </c>
      <c r="H75">
        <v>4</v>
      </c>
      <c r="I75" t="s">
        <v>142</v>
      </c>
      <c r="J75" t="s">
        <v>138</v>
      </c>
      <c r="K75">
        <v>0</v>
      </c>
      <c r="L75">
        <v>3</v>
      </c>
      <c r="M75">
        <v>0</v>
      </c>
      <c r="N75">
        <v>2</v>
      </c>
      <c r="O75">
        <v>0</v>
      </c>
      <c r="P75">
        <v>1</v>
      </c>
      <c r="Q75">
        <v>0</v>
      </c>
      <c r="S75" t="str">
        <f t="shared" si="32"/>
        <v>19:25:51.055</v>
      </c>
      <c r="T75" t="str">
        <f t="shared" si="32"/>
        <v>19:25:51.055</v>
      </c>
      <c r="U75" t="str">
        <f t="shared" si="26"/>
        <v>AC3944</v>
      </c>
      <c r="V75">
        <v>0</v>
      </c>
      <c r="W75">
        <v>0</v>
      </c>
      <c r="X75">
        <v>2</v>
      </c>
      <c r="Y75">
        <v>0</v>
      </c>
      <c r="AA75">
        <v>0</v>
      </c>
      <c r="AB75">
        <v>8</v>
      </c>
      <c r="AC75">
        <v>3</v>
      </c>
      <c r="AD75">
        <v>0</v>
      </c>
      <c r="AE75">
        <v>9</v>
      </c>
      <c r="AF75" t="s">
        <v>126</v>
      </c>
      <c r="AG75">
        <v>0</v>
      </c>
      <c r="AH75">
        <v>0</v>
      </c>
      <c r="AI75">
        <v>1</v>
      </c>
      <c r="AJ75">
        <v>0</v>
      </c>
      <c r="AK75" t="s">
        <v>170</v>
      </c>
      <c r="AL75">
        <v>32.827705999999999</v>
      </c>
      <c r="AM75" t="s">
        <v>171</v>
      </c>
      <c r="AN75">
        <v>-116.978645</v>
      </c>
      <c r="AO75">
        <v>25</v>
      </c>
      <c r="AP75">
        <v>700</v>
      </c>
      <c r="AQ75" t="s">
        <v>129</v>
      </c>
      <c r="AR75">
        <v>-103</v>
      </c>
      <c r="AS75">
        <v>22</v>
      </c>
      <c r="AT75">
        <v>448</v>
      </c>
      <c r="BB75">
        <v>1200</v>
      </c>
      <c r="BC75">
        <v>1</v>
      </c>
      <c r="BD75" t="str">
        <f t="shared" si="27"/>
        <v xml:space="preserve">N887QR  </v>
      </c>
      <c r="BE75">
        <v>1</v>
      </c>
      <c r="BG75">
        <v>0</v>
      </c>
      <c r="BH75">
        <v>0</v>
      </c>
      <c r="BI75">
        <v>0</v>
      </c>
      <c r="BJ75">
        <v>300</v>
      </c>
      <c r="BK75">
        <v>-400</v>
      </c>
      <c r="BL75" t="s">
        <v>130</v>
      </c>
      <c r="BM75">
        <v>1</v>
      </c>
      <c r="BN75">
        <v>1</v>
      </c>
      <c r="BO75">
        <v>1</v>
      </c>
      <c r="BP75">
        <v>0</v>
      </c>
      <c r="BT75">
        <v>0</v>
      </c>
      <c r="BU75">
        <v>0</v>
      </c>
      <c r="CE75" t="str">
        <f t="shared" si="33"/>
        <v>19:25:52.057</v>
      </c>
      <c r="CF75">
        <v>1057026439</v>
      </c>
      <c r="CS75">
        <v>2</v>
      </c>
      <c r="CT75">
        <v>2</v>
      </c>
      <c r="CU75">
        <v>0</v>
      </c>
      <c r="CV75">
        <v>2</v>
      </c>
      <c r="CW75">
        <v>0</v>
      </c>
      <c r="CX75">
        <v>4</v>
      </c>
      <c r="CY75">
        <v>7</v>
      </c>
      <c r="CZ75" t="s">
        <v>131</v>
      </c>
      <c r="DA75">
        <v>286</v>
      </c>
      <c r="DB75">
        <v>0</v>
      </c>
      <c r="DC75" t="s">
        <v>132</v>
      </c>
      <c r="DD75" t="s">
        <v>133</v>
      </c>
      <c r="DG75">
        <v>782137</v>
      </c>
      <c r="DI75">
        <v>0</v>
      </c>
      <c r="DJ75">
        <v>0</v>
      </c>
      <c r="DK75">
        <v>1</v>
      </c>
      <c r="DL75">
        <v>0</v>
      </c>
      <c r="DM75">
        <v>0</v>
      </c>
      <c r="DN75">
        <v>1</v>
      </c>
      <c r="DO75">
        <v>0</v>
      </c>
      <c r="DP75">
        <v>0</v>
      </c>
      <c r="DQ75">
        <v>0</v>
      </c>
      <c r="DR75">
        <v>0</v>
      </c>
      <c r="DS75">
        <v>0</v>
      </c>
    </row>
    <row r="76" spans="1:123" x14ac:dyDescent="0.3">
      <c r="A76" t="str">
        <f t="shared" si="31"/>
        <v>10/04/2022 19:25:52.430</v>
      </c>
      <c r="C76" t="str">
        <f t="shared" si="25"/>
        <v>FFDFD3C0</v>
      </c>
      <c r="D76" t="s">
        <v>143</v>
      </c>
      <c r="E76">
        <v>20</v>
      </c>
      <c r="F76">
        <v>1020</v>
      </c>
      <c r="G76" t="s">
        <v>144</v>
      </c>
      <c r="J76" t="s">
        <v>145</v>
      </c>
      <c r="K76">
        <v>0</v>
      </c>
      <c r="L76">
        <v>3</v>
      </c>
      <c r="M76">
        <v>0</v>
      </c>
      <c r="N76">
        <v>2</v>
      </c>
      <c r="O76">
        <v>0</v>
      </c>
      <c r="P76">
        <v>1</v>
      </c>
      <c r="Q76">
        <v>0</v>
      </c>
      <c r="S76" t="str">
        <f t="shared" si="32"/>
        <v>19:25:51.055</v>
      </c>
      <c r="T76" t="str">
        <f t="shared" si="32"/>
        <v>19:25:51.055</v>
      </c>
      <c r="U76" t="str">
        <f t="shared" si="26"/>
        <v>AC3944</v>
      </c>
      <c r="V76">
        <v>0</v>
      </c>
      <c r="W76">
        <v>0</v>
      </c>
      <c r="X76">
        <v>2</v>
      </c>
      <c r="Y76">
        <v>0</v>
      </c>
      <c r="AA76">
        <v>0</v>
      </c>
      <c r="AB76">
        <v>8</v>
      </c>
      <c r="AC76">
        <v>3</v>
      </c>
      <c r="AD76">
        <v>0</v>
      </c>
      <c r="AE76">
        <v>9</v>
      </c>
      <c r="AF76" t="s">
        <v>126</v>
      </c>
      <c r="AG76">
        <v>0</v>
      </c>
      <c r="AH76">
        <v>0</v>
      </c>
      <c r="AI76">
        <v>1</v>
      </c>
      <c r="AJ76">
        <v>0</v>
      </c>
      <c r="AK76" t="s">
        <v>170</v>
      </c>
      <c r="AL76">
        <v>32.827705999999999</v>
      </c>
      <c r="AM76" t="s">
        <v>171</v>
      </c>
      <c r="AN76">
        <v>-116.978645</v>
      </c>
      <c r="AO76">
        <v>25</v>
      </c>
      <c r="AP76">
        <v>700</v>
      </c>
      <c r="AQ76" t="s">
        <v>129</v>
      </c>
      <c r="AR76">
        <v>-103</v>
      </c>
      <c r="AS76">
        <v>22</v>
      </c>
      <c r="AT76">
        <v>448</v>
      </c>
      <c r="BB76">
        <v>1200</v>
      </c>
      <c r="BC76">
        <v>1</v>
      </c>
      <c r="BD76" t="str">
        <f t="shared" si="27"/>
        <v xml:space="preserve">N887QR  </v>
      </c>
      <c r="BE76">
        <v>1</v>
      </c>
      <c r="BG76">
        <v>0</v>
      </c>
      <c r="BH76">
        <v>0</v>
      </c>
      <c r="BI76">
        <v>0</v>
      </c>
      <c r="BJ76">
        <v>300</v>
      </c>
      <c r="BK76">
        <v>-400</v>
      </c>
      <c r="BL76" t="s">
        <v>163</v>
      </c>
      <c r="BM76">
        <v>1</v>
      </c>
      <c r="BN76">
        <v>1</v>
      </c>
      <c r="BO76">
        <v>1</v>
      </c>
      <c r="BP76">
        <v>0</v>
      </c>
      <c r="BS76">
        <v>0</v>
      </c>
      <c r="BT76">
        <v>0</v>
      </c>
      <c r="BU76">
        <v>0</v>
      </c>
      <c r="CE76" t="str">
        <f t="shared" si="33"/>
        <v>19:25:52.057</v>
      </c>
      <c r="CF76">
        <v>1057026439</v>
      </c>
      <c r="CS76">
        <v>2</v>
      </c>
      <c r="CT76">
        <v>2</v>
      </c>
      <c r="CU76">
        <v>0</v>
      </c>
      <c r="CV76">
        <v>2</v>
      </c>
      <c r="CW76">
        <v>0</v>
      </c>
      <c r="CX76">
        <v>4</v>
      </c>
      <c r="CY76">
        <v>7</v>
      </c>
      <c r="CZ76" t="s">
        <v>131</v>
      </c>
      <c r="DA76">
        <v>286</v>
      </c>
      <c r="DB76">
        <v>0</v>
      </c>
      <c r="DC76" t="s">
        <v>132</v>
      </c>
      <c r="DD76" t="s">
        <v>133</v>
      </c>
      <c r="DG76">
        <v>782137</v>
      </c>
      <c r="DI76">
        <v>0</v>
      </c>
      <c r="DJ76">
        <v>0</v>
      </c>
      <c r="DK76">
        <v>1</v>
      </c>
      <c r="DL76">
        <v>0</v>
      </c>
      <c r="DM76">
        <v>0</v>
      </c>
      <c r="DN76">
        <v>1</v>
      </c>
      <c r="DO76">
        <v>0</v>
      </c>
      <c r="DP76">
        <v>0</v>
      </c>
      <c r="DQ76">
        <v>0</v>
      </c>
      <c r="DR76">
        <v>0</v>
      </c>
      <c r="DS76">
        <v>0</v>
      </c>
    </row>
    <row r="77" spans="1:123" x14ac:dyDescent="0.3">
      <c r="A77" t="str">
        <f t="shared" si="31"/>
        <v>10/04/2022 19:25:52.430</v>
      </c>
      <c r="C77" t="str">
        <f t="shared" si="25"/>
        <v>FFDFD3C0</v>
      </c>
      <c r="D77" t="s">
        <v>141</v>
      </c>
      <c r="E77">
        <v>3</v>
      </c>
      <c r="H77">
        <v>3</v>
      </c>
      <c r="I77" t="s">
        <v>146</v>
      </c>
      <c r="J77" t="s">
        <v>138</v>
      </c>
      <c r="K77">
        <v>0</v>
      </c>
      <c r="L77">
        <v>3</v>
      </c>
      <c r="M77">
        <v>0</v>
      </c>
      <c r="N77">
        <v>2</v>
      </c>
      <c r="O77">
        <v>0</v>
      </c>
      <c r="P77">
        <v>1</v>
      </c>
      <c r="Q77">
        <v>0</v>
      </c>
      <c r="S77" t="str">
        <f t="shared" si="32"/>
        <v>19:25:51.055</v>
      </c>
      <c r="T77" t="str">
        <f t="shared" si="32"/>
        <v>19:25:51.055</v>
      </c>
      <c r="U77" t="str">
        <f t="shared" si="26"/>
        <v>AC3944</v>
      </c>
      <c r="V77">
        <v>0</v>
      </c>
      <c r="W77">
        <v>0</v>
      </c>
      <c r="X77">
        <v>2</v>
      </c>
      <c r="Y77">
        <v>0</v>
      </c>
      <c r="AA77">
        <v>0</v>
      </c>
      <c r="AB77">
        <v>8</v>
      </c>
      <c r="AC77">
        <v>3</v>
      </c>
      <c r="AD77">
        <v>0</v>
      </c>
      <c r="AE77">
        <v>9</v>
      </c>
      <c r="AF77" t="s">
        <v>126</v>
      </c>
      <c r="AG77">
        <v>0</v>
      </c>
      <c r="AH77">
        <v>0</v>
      </c>
      <c r="AI77">
        <v>1</v>
      </c>
      <c r="AJ77">
        <v>0</v>
      </c>
      <c r="AK77" t="s">
        <v>170</v>
      </c>
      <c r="AL77">
        <v>32.827705999999999</v>
      </c>
      <c r="AM77" t="s">
        <v>171</v>
      </c>
      <c r="AN77">
        <v>-116.978645</v>
      </c>
      <c r="AO77">
        <v>25</v>
      </c>
      <c r="AP77">
        <v>700</v>
      </c>
      <c r="AQ77" t="s">
        <v>129</v>
      </c>
      <c r="AR77">
        <v>-103</v>
      </c>
      <c r="AS77">
        <v>22</v>
      </c>
      <c r="AT77">
        <v>448</v>
      </c>
      <c r="BB77">
        <v>1200</v>
      </c>
      <c r="BC77">
        <v>1</v>
      </c>
      <c r="BD77" t="str">
        <f t="shared" si="27"/>
        <v xml:space="preserve">N887QR  </v>
      </c>
      <c r="BE77">
        <v>1</v>
      </c>
      <c r="BG77">
        <v>0</v>
      </c>
      <c r="BH77">
        <v>0</v>
      </c>
      <c r="BI77">
        <v>0</v>
      </c>
      <c r="BJ77">
        <v>300</v>
      </c>
      <c r="BK77">
        <v>-400</v>
      </c>
      <c r="BL77" t="s">
        <v>130</v>
      </c>
      <c r="BM77">
        <v>1</v>
      </c>
      <c r="BN77">
        <v>1</v>
      </c>
      <c r="BO77">
        <v>1</v>
      </c>
      <c r="BP77">
        <v>0</v>
      </c>
      <c r="BT77">
        <v>0</v>
      </c>
      <c r="BU77">
        <v>0</v>
      </c>
      <c r="CE77" t="str">
        <f t="shared" si="33"/>
        <v>19:25:52.057</v>
      </c>
      <c r="CF77">
        <v>1057026439</v>
      </c>
      <c r="CS77">
        <v>2</v>
      </c>
      <c r="CT77">
        <v>2</v>
      </c>
      <c r="CU77">
        <v>0</v>
      </c>
      <c r="CV77">
        <v>2</v>
      </c>
      <c r="CW77">
        <v>0</v>
      </c>
      <c r="CX77">
        <v>4</v>
      </c>
      <c r="CY77">
        <v>7</v>
      </c>
      <c r="CZ77" t="s">
        <v>131</v>
      </c>
      <c r="DA77">
        <v>286</v>
      </c>
      <c r="DB77">
        <v>0</v>
      </c>
      <c r="DC77" t="s">
        <v>132</v>
      </c>
      <c r="DD77" t="s">
        <v>133</v>
      </c>
      <c r="DG77">
        <v>782137</v>
      </c>
      <c r="DI77">
        <v>0</v>
      </c>
      <c r="DJ77">
        <v>0</v>
      </c>
      <c r="DK77">
        <v>1</v>
      </c>
      <c r="DL77">
        <v>0</v>
      </c>
      <c r="DM77">
        <v>0</v>
      </c>
      <c r="DN77">
        <v>1</v>
      </c>
      <c r="DO77">
        <v>0</v>
      </c>
      <c r="DP77">
        <v>0</v>
      </c>
      <c r="DQ77">
        <v>0</v>
      </c>
      <c r="DR77">
        <v>0</v>
      </c>
      <c r="DS77">
        <v>0</v>
      </c>
    </row>
    <row r="78" spans="1:123" x14ac:dyDescent="0.3">
      <c r="A78" t="str">
        <f t="shared" si="31"/>
        <v>10/04/2022 19:25:52.430</v>
      </c>
      <c r="C78" t="str">
        <f t="shared" si="25"/>
        <v>FFDFD3C0</v>
      </c>
      <c r="D78" t="s">
        <v>147</v>
      </c>
      <c r="E78">
        <v>3</v>
      </c>
      <c r="H78">
        <v>166</v>
      </c>
      <c r="I78" t="s">
        <v>144</v>
      </c>
      <c r="J78" t="s">
        <v>148</v>
      </c>
      <c r="K78">
        <v>0</v>
      </c>
      <c r="L78">
        <v>3</v>
      </c>
      <c r="M78">
        <v>0</v>
      </c>
      <c r="N78">
        <v>2</v>
      </c>
      <c r="O78">
        <v>0</v>
      </c>
      <c r="P78">
        <v>1</v>
      </c>
      <c r="Q78">
        <v>0</v>
      </c>
      <c r="S78" t="str">
        <f t="shared" si="32"/>
        <v>19:25:51.055</v>
      </c>
      <c r="T78" t="str">
        <f t="shared" si="32"/>
        <v>19:25:51.055</v>
      </c>
      <c r="U78" t="str">
        <f t="shared" si="26"/>
        <v>AC3944</v>
      </c>
      <c r="V78">
        <v>0</v>
      </c>
      <c r="W78">
        <v>0</v>
      </c>
      <c r="X78">
        <v>2</v>
      </c>
      <c r="Y78">
        <v>0</v>
      </c>
      <c r="AA78">
        <v>0</v>
      </c>
      <c r="AB78">
        <v>8</v>
      </c>
      <c r="AC78">
        <v>3</v>
      </c>
      <c r="AD78">
        <v>0</v>
      </c>
      <c r="AE78">
        <v>9</v>
      </c>
      <c r="AF78" t="s">
        <v>126</v>
      </c>
      <c r="AG78">
        <v>0</v>
      </c>
      <c r="AH78">
        <v>0</v>
      </c>
      <c r="AI78">
        <v>1</v>
      </c>
      <c r="AJ78">
        <v>0</v>
      </c>
      <c r="AK78" t="s">
        <v>170</v>
      </c>
      <c r="AL78">
        <v>32.827705999999999</v>
      </c>
      <c r="AM78" t="s">
        <v>171</v>
      </c>
      <c r="AN78">
        <v>-116.978645</v>
      </c>
      <c r="AO78">
        <v>25</v>
      </c>
      <c r="AP78">
        <v>700</v>
      </c>
      <c r="AQ78" t="s">
        <v>129</v>
      </c>
      <c r="AR78">
        <v>-103</v>
      </c>
      <c r="AS78">
        <v>22</v>
      </c>
      <c r="AT78">
        <v>448</v>
      </c>
      <c r="BB78">
        <v>1200</v>
      </c>
      <c r="BC78">
        <v>1</v>
      </c>
      <c r="BD78" t="str">
        <f t="shared" si="27"/>
        <v xml:space="preserve">N887QR  </v>
      </c>
      <c r="BE78">
        <v>1</v>
      </c>
      <c r="BG78">
        <v>0</v>
      </c>
      <c r="BH78">
        <v>0</v>
      </c>
      <c r="BI78">
        <v>0</v>
      </c>
      <c r="BJ78">
        <v>300</v>
      </c>
      <c r="BK78">
        <v>-400</v>
      </c>
      <c r="BL78" t="s">
        <v>130</v>
      </c>
      <c r="BM78">
        <v>1</v>
      </c>
      <c r="BN78">
        <v>1</v>
      </c>
      <c r="BO78">
        <v>1</v>
      </c>
      <c r="BP78">
        <v>0</v>
      </c>
      <c r="BT78">
        <v>0</v>
      </c>
      <c r="BU78">
        <v>0</v>
      </c>
      <c r="CE78" t="str">
        <f t="shared" si="33"/>
        <v>19:25:52.057</v>
      </c>
      <c r="CF78">
        <v>1057026439</v>
      </c>
      <c r="CS78">
        <v>2</v>
      </c>
      <c r="CT78">
        <v>2</v>
      </c>
      <c r="CU78">
        <v>0</v>
      </c>
      <c r="CV78">
        <v>2</v>
      </c>
      <c r="CW78">
        <v>0</v>
      </c>
      <c r="CX78">
        <v>4</v>
      </c>
      <c r="CY78">
        <v>7</v>
      </c>
      <c r="CZ78" t="s">
        <v>131</v>
      </c>
      <c r="DA78">
        <v>286</v>
      </c>
      <c r="DB78">
        <v>0</v>
      </c>
      <c r="DC78" t="s">
        <v>132</v>
      </c>
      <c r="DD78" t="s">
        <v>133</v>
      </c>
      <c r="DG78">
        <v>782137</v>
      </c>
      <c r="DI78">
        <v>0</v>
      </c>
      <c r="DJ78">
        <v>0</v>
      </c>
      <c r="DK78">
        <v>1</v>
      </c>
      <c r="DL78">
        <v>0</v>
      </c>
      <c r="DM78">
        <v>0</v>
      </c>
      <c r="DN78">
        <v>1</v>
      </c>
      <c r="DO78">
        <v>0</v>
      </c>
      <c r="DP78">
        <v>0</v>
      </c>
      <c r="DQ78">
        <v>0</v>
      </c>
      <c r="DR78">
        <v>0</v>
      </c>
      <c r="DS78">
        <v>0</v>
      </c>
    </row>
    <row r="79" spans="1:123" x14ac:dyDescent="0.3">
      <c r="A79" t="str">
        <f t="shared" si="31"/>
        <v>10/04/2022 19:25:52.430</v>
      </c>
      <c r="C79" t="str">
        <f t="shared" si="25"/>
        <v>FFDFD3C0</v>
      </c>
      <c r="D79" t="s">
        <v>134</v>
      </c>
      <c r="E79">
        <v>15</v>
      </c>
      <c r="J79" t="s">
        <v>135</v>
      </c>
      <c r="K79">
        <v>0</v>
      </c>
      <c r="L79">
        <v>3</v>
      </c>
      <c r="M79">
        <v>0</v>
      </c>
      <c r="N79">
        <v>2</v>
      </c>
      <c r="O79">
        <v>0</v>
      </c>
      <c r="P79">
        <v>1</v>
      </c>
      <c r="Q79">
        <v>0</v>
      </c>
      <c r="S79" t="str">
        <f t="shared" si="32"/>
        <v>19:25:51.055</v>
      </c>
      <c r="T79" t="str">
        <f t="shared" si="32"/>
        <v>19:25:51.055</v>
      </c>
      <c r="U79" t="str">
        <f t="shared" si="26"/>
        <v>AC3944</v>
      </c>
      <c r="V79">
        <v>0</v>
      </c>
      <c r="W79">
        <v>0</v>
      </c>
      <c r="X79">
        <v>2</v>
      </c>
      <c r="Y79">
        <v>0</v>
      </c>
      <c r="AA79">
        <v>0</v>
      </c>
      <c r="AB79">
        <v>8</v>
      </c>
      <c r="AC79">
        <v>3</v>
      </c>
      <c r="AD79">
        <v>0</v>
      </c>
      <c r="AE79">
        <v>9</v>
      </c>
      <c r="AF79" t="s">
        <v>126</v>
      </c>
      <c r="AG79">
        <v>0</v>
      </c>
      <c r="AH79">
        <v>0</v>
      </c>
      <c r="AI79">
        <v>1</v>
      </c>
      <c r="AJ79">
        <v>0</v>
      </c>
      <c r="AK79" t="s">
        <v>170</v>
      </c>
      <c r="AL79">
        <v>32.827705999999999</v>
      </c>
      <c r="AM79" t="s">
        <v>171</v>
      </c>
      <c r="AN79">
        <v>-116.978645</v>
      </c>
      <c r="AO79">
        <v>25</v>
      </c>
      <c r="AP79">
        <v>700</v>
      </c>
      <c r="AQ79" t="s">
        <v>129</v>
      </c>
      <c r="AR79">
        <v>-103</v>
      </c>
      <c r="AS79">
        <v>22</v>
      </c>
      <c r="AT79">
        <v>448</v>
      </c>
      <c r="BB79">
        <v>1200</v>
      </c>
      <c r="BC79">
        <v>1</v>
      </c>
      <c r="BD79" t="str">
        <f t="shared" si="27"/>
        <v xml:space="preserve">N887QR  </v>
      </c>
      <c r="BE79">
        <v>1</v>
      </c>
      <c r="BG79">
        <v>0</v>
      </c>
      <c r="BH79">
        <v>0</v>
      </c>
      <c r="BI79">
        <v>0</v>
      </c>
      <c r="BJ79">
        <v>300</v>
      </c>
      <c r="BK79">
        <v>-400</v>
      </c>
      <c r="BL79" t="s">
        <v>163</v>
      </c>
      <c r="BM79">
        <v>1</v>
      </c>
      <c r="BN79">
        <v>1</v>
      </c>
      <c r="BO79">
        <v>1</v>
      </c>
      <c r="BP79">
        <v>0</v>
      </c>
      <c r="BS79">
        <v>0</v>
      </c>
      <c r="BT79">
        <v>0</v>
      </c>
      <c r="BU79">
        <v>0</v>
      </c>
      <c r="CE79" t="str">
        <f t="shared" si="33"/>
        <v>19:25:52.057</v>
      </c>
      <c r="CF79">
        <v>1057026439</v>
      </c>
      <c r="CS79">
        <v>2</v>
      </c>
      <c r="CT79">
        <v>2</v>
      </c>
      <c r="CU79">
        <v>0</v>
      </c>
      <c r="CV79">
        <v>2</v>
      </c>
      <c r="CW79">
        <v>0</v>
      </c>
      <c r="CX79">
        <v>4</v>
      </c>
      <c r="CY79">
        <v>7</v>
      </c>
      <c r="CZ79" t="s">
        <v>131</v>
      </c>
      <c r="DA79">
        <v>286</v>
      </c>
      <c r="DB79">
        <v>0</v>
      </c>
      <c r="DC79" t="s">
        <v>132</v>
      </c>
      <c r="DD79" t="s">
        <v>133</v>
      </c>
      <c r="DG79">
        <v>782137</v>
      </c>
      <c r="DI79">
        <v>0</v>
      </c>
      <c r="DJ79">
        <v>0</v>
      </c>
      <c r="DK79">
        <v>1</v>
      </c>
      <c r="DL79">
        <v>0</v>
      </c>
      <c r="DM79">
        <v>0</v>
      </c>
      <c r="DN79">
        <v>1</v>
      </c>
      <c r="DO79">
        <v>0</v>
      </c>
      <c r="DP79">
        <v>0</v>
      </c>
      <c r="DQ79">
        <v>0</v>
      </c>
      <c r="DR79">
        <v>0</v>
      </c>
      <c r="DS79">
        <v>0</v>
      </c>
    </row>
    <row r="80" spans="1:123" x14ac:dyDescent="0.3">
      <c r="A80" t="str">
        <f t="shared" si="31"/>
        <v>10/04/2022 19:25:52.430</v>
      </c>
      <c r="C80" t="str">
        <f t="shared" si="25"/>
        <v>FFDFD3C0</v>
      </c>
      <c r="D80" t="s">
        <v>123</v>
      </c>
      <c r="E80">
        <v>7</v>
      </c>
      <c r="F80">
        <v>2007</v>
      </c>
      <c r="G80" t="s">
        <v>124</v>
      </c>
      <c r="J80" t="s">
        <v>125</v>
      </c>
      <c r="K80">
        <v>0</v>
      </c>
      <c r="L80">
        <v>3</v>
      </c>
      <c r="M80">
        <v>0</v>
      </c>
      <c r="N80">
        <v>2</v>
      </c>
      <c r="O80">
        <v>0</v>
      </c>
      <c r="P80">
        <v>1</v>
      </c>
      <c r="Q80">
        <v>0</v>
      </c>
      <c r="S80" t="str">
        <f t="shared" si="32"/>
        <v>19:25:51.055</v>
      </c>
      <c r="T80" t="str">
        <f t="shared" si="32"/>
        <v>19:25:51.055</v>
      </c>
      <c r="U80" t="str">
        <f t="shared" si="26"/>
        <v>AC3944</v>
      </c>
      <c r="V80">
        <v>0</v>
      </c>
      <c r="W80">
        <v>0</v>
      </c>
      <c r="X80">
        <v>2</v>
      </c>
      <c r="Y80">
        <v>0</v>
      </c>
      <c r="AA80">
        <v>0</v>
      </c>
      <c r="AB80">
        <v>8</v>
      </c>
      <c r="AC80">
        <v>3</v>
      </c>
      <c r="AD80">
        <v>0</v>
      </c>
      <c r="AE80">
        <v>9</v>
      </c>
      <c r="AF80" t="s">
        <v>126</v>
      </c>
      <c r="AG80">
        <v>0</v>
      </c>
      <c r="AH80">
        <v>0</v>
      </c>
      <c r="AI80">
        <v>1</v>
      </c>
      <c r="AJ80">
        <v>0</v>
      </c>
      <c r="AK80" t="s">
        <v>170</v>
      </c>
      <c r="AL80">
        <v>32.827705999999999</v>
      </c>
      <c r="AM80" t="s">
        <v>171</v>
      </c>
      <c r="AN80">
        <v>-116.978645</v>
      </c>
      <c r="AO80">
        <v>25</v>
      </c>
      <c r="AP80">
        <v>700</v>
      </c>
      <c r="AQ80" t="s">
        <v>129</v>
      </c>
      <c r="AR80">
        <v>-103</v>
      </c>
      <c r="AS80">
        <v>22</v>
      </c>
      <c r="AT80">
        <v>448</v>
      </c>
      <c r="BB80">
        <v>1200</v>
      </c>
      <c r="BC80">
        <v>1</v>
      </c>
      <c r="BD80" t="str">
        <f t="shared" si="27"/>
        <v xml:space="preserve">N887QR  </v>
      </c>
      <c r="BE80">
        <v>1</v>
      </c>
      <c r="BG80">
        <v>0</v>
      </c>
      <c r="BH80">
        <v>0</v>
      </c>
      <c r="BI80">
        <v>0</v>
      </c>
      <c r="BJ80">
        <v>300</v>
      </c>
      <c r="BK80">
        <v>-400</v>
      </c>
      <c r="BL80" t="s">
        <v>163</v>
      </c>
      <c r="BM80">
        <v>1</v>
      </c>
      <c r="BN80">
        <v>1</v>
      </c>
      <c r="BO80">
        <v>1</v>
      </c>
      <c r="BP80">
        <v>0</v>
      </c>
      <c r="BS80">
        <v>0</v>
      </c>
      <c r="BT80">
        <v>0</v>
      </c>
      <c r="BU80">
        <v>0</v>
      </c>
      <c r="CE80" t="str">
        <f t="shared" si="33"/>
        <v>19:25:52.057</v>
      </c>
      <c r="CF80">
        <v>1057026439</v>
      </c>
      <c r="CS80">
        <v>2</v>
      </c>
      <c r="CT80">
        <v>2</v>
      </c>
      <c r="CU80">
        <v>0</v>
      </c>
      <c r="CV80">
        <v>2</v>
      </c>
      <c r="CW80">
        <v>0</v>
      </c>
      <c r="CX80">
        <v>4</v>
      </c>
      <c r="CY80">
        <v>7</v>
      </c>
      <c r="CZ80" t="s">
        <v>131</v>
      </c>
      <c r="DA80">
        <v>286</v>
      </c>
      <c r="DB80">
        <v>0</v>
      </c>
      <c r="DC80" t="s">
        <v>132</v>
      </c>
      <c r="DD80" t="s">
        <v>133</v>
      </c>
      <c r="DG80">
        <v>782137</v>
      </c>
      <c r="DI80">
        <v>0</v>
      </c>
      <c r="DJ80">
        <v>0</v>
      </c>
      <c r="DK80">
        <v>1</v>
      </c>
      <c r="DL80">
        <v>0</v>
      </c>
      <c r="DM80">
        <v>0</v>
      </c>
      <c r="DN80">
        <v>1</v>
      </c>
      <c r="DO80">
        <v>0</v>
      </c>
      <c r="DP80">
        <v>0</v>
      </c>
      <c r="DQ80">
        <v>0</v>
      </c>
      <c r="DR80">
        <v>0</v>
      </c>
      <c r="DS80">
        <v>0</v>
      </c>
    </row>
    <row r="81" spans="1:123" x14ac:dyDescent="0.3">
      <c r="A81" t="str">
        <f>"10/04/2022 19:25:53.400"</f>
        <v>10/04/2022 19:25:53.400</v>
      </c>
      <c r="C81" t="str">
        <f t="shared" si="25"/>
        <v>FFDFD3C0</v>
      </c>
      <c r="D81" t="s">
        <v>136</v>
      </c>
      <c r="E81">
        <v>8</v>
      </c>
      <c r="H81">
        <v>225</v>
      </c>
      <c r="I81" t="s">
        <v>137</v>
      </c>
      <c r="J81" t="s">
        <v>138</v>
      </c>
      <c r="K81">
        <v>0</v>
      </c>
      <c r="L81">
        <v>3</v>
      </c>
      <c r="M81">
        <v>0</v>
      </c>
      <c r="N81">
        <v>2</v>
      </c>
      <c r="O81">
        <v>0</v>
      </c>
      <c r="P81">
        <v>1</v>
      </c>
      <c r="Q81">
        <v>0</v>
      </c>
      <c r="S81" t="str">
        <f t="shared" ref="S81:T87" si="34">"19:25:51.977"</f>
        <v>19:25:51.977</v>
      </c>
      <c r="T81" t="str">
        <f t="shared" si="34"/>
        <v>19:25:51.977</v>
      </c>
      <c r="U81" t="str">
        <f t="shared" si="26"/>
        <v>AC3944</v>
      </c>
      <c r="V81">
        <v>0</v>
      </c>
      <c r="W81">
        <v>0</v>
      </c>
      <c r="X81">
        <v>2</v>
      </c>
      <c r="Y81">
        <v>0</v>
      </c>
      <c r="AA81">
        <v>0</v>
      </c>
      <c r="AB81">
        <v>8</v>
      </c>
      <c r="AC81">
        <v>3</v>
      </c>
      <c r="AD81">
        <v>0</v>
      </c>
      <c r="AE81">
        <v>9</v>
      </c>
      <c r="AF81" t="s">
        <v>138</v>
      </c>
      <c r="AG81">
        <v>0</v>
      </c>
      <c r="AH81">
        <v>3</v>
      </c>
      <c r="AI81">
        <v>1</v>
      </c>
      <c r="AJ81">
        <v>0</v>
      </c>
      <c r="AK81" t="s">
        <v>172</v>
      </c>
      <c r="AL81">
        <v>32.827813999999996</v>
      </c>
      <c r="AM81" t="s">
        <v>173</v>
      </c>
      <c r="AN81">
        <v>-116.979203</v>
      </c>
      <c r="AO81">
        <v>25</v>
      </c>
      <c r="AP81">
        <v>700</v>
      </c>
      <c r="AQ81" t="s">
        <v>129</v>
      </c>
      <c r="AR81">
        <v>-104</v>
      </c>
      <c r="AS81">
        <v>24</v>
      </c>
      <c r="AT81">
        <v>576</v>
      </c>
      <c r="BB81">
        <v>1200</v>
      </c>
      <c r="BC81">
        <v>1</v>
      </c>
      <c r="BD81" t="str">
        <f t="shared" si="27"/>
        <v xml:space="preserve">N887QR  </v>
      </c>
      <c r="BE81">
        <v>1</v>
      </c>
      <c r="BG81">
        <v>0</v>
      </c>
      <c r="BH81">
        <v>0</v>
      </c>
      <c r="BI81">
        <v>0</v>
      </c>
      <c r="BJ81">
        <v>375</v>
      </c>
      <c r="BK81">
        <v>-325</v>
      </c>
      <c r="BL81" t="s">
        <v>163</v>
      </c>
      <c r="BM81">
        <v>1</v>
      </c>
      <c r="BN81">
        <v>1</v>
      </c>
      <c r="BO81">
        <v>1</v>
      </c>
      <c r="BP81">
        <v>0</v>
      </c>
      <c r="BS81">
        <v>0</v>
      </c>
      <c r="BT81">
        <v>0</v>
      </c>
      <c r="BU81">
        <v>0</v>
      </c>
      <c r="CE81" t="str">
        <f t="shared" ref="CE81:CE87" si="35">"19:25:52.977"</f>
        <v>19:25:52.977</v>
      </c>
      <c r="CF81">
        <v>1976779357</v>
      </c>
      <c r="CS81">
        <v>3</v>
      </c>
      <c r="CT81">
        <v>2</v>
      </c>
      <c r="CU81">
        <v>0</v>
      </c>
      <c r="CV81">
        <v>2</v>
      </c>
      <c r="CW81">
        <v>0</v>
      </c>
      <c r="CX81">
        <v>2</v>
      </c>
      <c r="CY81">
        <v>7</v>
      </c>
      <c r="CZ81" t="s">
        <v>131</v>
      </c>
      <c r="DA81">
        <v>286</v>
      </c>
      <c r="DB81">
        <v>0</v>
      </c>
      <c r="DC81" t="s">
        <v>132</v>
      </c>
      <c r="DD81" t="s">
        <v>133</v>
      </c>
      <c r="DG81">
        <v>782323</v>
      </c>
      <c r="DI81">
        <v>0</v>
      </c>
      <c r="DJ81">
        <v>0</v>
      </c>
      <c r="DK81">
        <v>0</v>
      </c>
      <c r="DL81">
        <v>0</v>
      </c>
      <c r="DM81">
        <v>0</v>
      </c>
      <c r="DN81">
        <v>1</v>
      </c>
      <c r="DO81">
        <v>0</v>
      </c>
      <c r="DP81">
        <v>0</v>
      </c>
      <c r="DQ81">
        <v>0</v>
      </c>
      <c r="DR81">
        <v>0</v>
      </c>
      <c r="DS81">
        <v>0</v>
      </c>
    </row>
    <row r="82" spans="1:123" x14ac:dyDescent="0.3">
      <c r="A82" t="str">
        <f>"10/04/2022 19:25:53.400"</f>
        <v>10/04/2022 19:25:53.400</v>
      </c>
      <c r="C82" t="str">
        <f t="shared" si="25"/>
        <v>FFDFD3C0</v>
      </c>
      <c r="D82" t="s">
        <v>141</v>
      </c>
      <c r="E82">
        <v>4</v>
      </c>
      <c r="H82">
        <v>4</v>
      </c>
      <c r="I82" t="s">
        <v>142</v>
      </c>
      <c r="J82" t="s">
        <v>138</v>
      </c>
      <c r="K82">
        <v>0</v>
      </c>
      <c r="L82">
        <v>3</v>
      </c>
      <c r="M82">
        <v>0</v>
      </c>
      <c r="N82">
        <v>2</v>
      </c>
      <c r="O82">
        <v>0</v>
      </c>
      <c r="P82">
        <v>1</v>
      </c>
      <c r="Q82">
        <v>0</v>
      </c>
      <c r="S82" t="str">
        <f t="shared" si="34"/>
        <v>19:25:51.977</v>
      </c>
      <c r="T82" t="str">
        <f t="shared" si="34"/>
        <v>19:25:51.977</v>
      </c>
      <c r="U82" t="str">
        <f t="shared" si="26"/>
        <v>AC3944</v>
      </c>
      <c r="V82">
        <v>0</v>
      </c>
      <c r="W82">
        <v>0</v>
      </c>
      <c r="X82">
        <v>2</v>
      </c>
      <c r="Y82">
        <v>0</v>
      </c>
      <c r="AA82">
        <v>0</v>
      </c>
      <c r="AB82">
        <v>8</v>
      </c>
      <c r="AC82">
        <v>3</v>
      </c>
      <c r="AD82">
        <v>0</v>
      </c>
      <c r="AE82">
        <v>9</v>
      </c>
      <c r="AF82" t="s">
        <v>138</v>
      </c>
      <c r="AG82">
        <v>0</v>
      </c>
      <c r="AH82">
        <v>3</v>
      </c>
      <c r="AI82">
        <v>1</v>
      </c>
      <c r="AJ82">
        <v>0</v>
      </c>
      <c r="AK82" t="s">
        <v>172</v>
      </c>
      <c r="AL82">
        <v>32.827813999999996</v>
      </c>
      <c r="AM82" t="s">
        <v>173</v>
      </c>
      <c r="AN82">
        <v>-116.979203</v>
      </c>
      <c r="AO82">
        <v>25</v>
      </c>
      <c r="AP82">
        <v>700</v>
      </c>
      <c r="AQ82" t="s">
        <v>129</v>
      </c>
      <c r="AR82">
        <v>-104</v>
      </c>
      <c r="AS82">
        <v>24</v>
      </c>
      <c r="AT82">
        <v>576</v>
      </c>
      <c r="BB82">
        <v>1200</v>
      </c>
      <c r="BC82">
        <v>1</v>
      </c>
      <c r="BD82" t="str">
        <f t="shared" si="27"/>
        <v xml:space="preserve">N887QR  </v>
      </c>
      <c r="BE82">
        <v>1</v>
      </c>
      <c r="BG82">
        <v>0</v>
      </c>
      <c r="BH82">
        <v>0</v>
      </c>
      <c r="BI82">
        <v>0</v>
      </c>
      <c r="BJ82">
        <v>375</v>
      </c>
      <c r="BK82">
        <v>-325</v>
      </c>
      <c r="BL82" t="s">
        <v>163</v>
      </c>
      <c r="BM82">
        <v>1</v>
      </c>
      <c r="BN82">
        <v>1</v>
      </c>
      <c r="BO82">
        <v>1</v>
      </c>
      <c r="BP82">
        <v>0</v>
      </c>
      <c r="BS82">
        <v>0</v>
      </c>
      <c r="BT82">
        <v>0</v>
      </c>
      <c r="BU82">
        <v>0</v>
      </c>
      <c r="CE82" t="str">
        <f t="shared" si="35"/>
        <v>19:25:52.977</v>
      </c>
      <c r="CF82">
        <v>1976779357</v>
      </c>
      <c r="CS82">
        <v>3</v>
      </c>
      <c r="CT82">
        <v>2</v>
      </c>
      <c r="CU82">
        <v>0</v>
      </c>
      <c r="CV82">
        <v>2</v>
      </c>
      <c r="CW82">
        <v>0</v>
      </c>
      <c r="CX82">
        <v>2</v>
      </c>
      <c r="CY82">
        <v>7</v>
      </c>
      <c r="CZ82" t="s">
        <v>131</v>
      </c>
      <c r="DA82">
        <v>286</v>
      </c>
      <c r="DB82">
        <v>0</v>
      </c>
      <c r="DC82" t="s">
        <v>132</v>
      </c>
      <c r="DD82" t="s">
        <v>133</v>
      </c>
      <c r="DG82">
        <v>782323</v>
      </c>
      <c r="DI82">
        <v>0</v>
      </c>
      <c r="DJ82">
        <v>0</v>
      </c>
      <c r="DK82">
        <v>1</v>
      </c>
      <c r="DL82">
        <v>0</v>
      </c>
      <c r="DM82">
        <v>0</v>
      </c>
      <c r="DN82">
        <v>1</v>
      </c>
      <c r="DO82">
        <v>0</v>
      </c>
      <c r="DP82">
        <v>0</v>
      </c>
      <c r="DQ82">
        <v>0</v>
      </c>
      <c r="DR82">
        <v>0</v>
      </c>
      <c r="DS82">
        <v>0</v>
      </c>
    </row>
    <row r="83" spans="1:123" x14ac:dyDescent="0.3">
      <c r="A83" t="str">
        <f>"10/04/2022 19:25:53.431"</f>
        <v>10/04/2022 19:25:53.431</v>
      </c>
      <c r="C83" t="str">
        <f t="shared" si="25"/>
        <v>FFDFD3C0</v>
      </c>
      <c r="D83" t="s">
        <v>143</v>
      </c>
      <c r="E83">
        <v>20</v>
      </c>
      <c r="F83">
        <v>1020</v>
      </c>
      <c r="G83" t="s">
        <v>144</v>
      </c>
      <c r="J83" t="s">
        <v>145</v>
      </c>
      <c r="K83">
        <v>0</v>
      </c>
      <c r="L83">
        <v>3</v>
      </c>
      <c r="M83">
        <v>0</v>
      </c>
      <c r="N83">
        <v>2</v>
      </c>
      <c r="O83">
        <v>0</v>
      </c>
      <c r="P83">
        <v>1</v>
      </c>
      <c r="Q83">
        <v>0</v>
      </c>
      <c r="S83" t="str">
        <f t="shared" si="34"/>
        <v>19:25:51.977</v>
      </c>
      <c r="T83" t="str">
        <f t="shared" si="34"/>
        <v>19:25:51.977</v>
      </c>
      <c r="U83" t="str">
        <f t="shared" si="26"/>
        <v>AC3944</v>
      </c>
      <c r="V83">
        <v>0</v>
      </c>
      <c r="W83">
        <v>0</v>
      </c>
      <c r="X83">
        <v>2</v>
      </c>
      <c r="Y83">
        <v>0</v>
      </c>
      <c r="AA83">
        <v>0</v>
      </c>
      <c r="AB83">
        <v>8</v>
      </c>
      <c r="AC83">
        <v>3</v>
      </c>
      <c r="AD83">
        <v>0</v>
      </c>
      <c r="AE83">
        <v>9</v>
      </c>
      <c r="AF83" t="s">
        <v>126</v>
      </c>
      <c r="AG83">
        <v>0</v>
      </c>
      <c r="AH83">
        <v>0</v>
      </c>
      <c r="AI83">
        <v>1</v>
      </c>
      <c r="AJ83">
        <v>0</v>
      </c>
      <c r="AK83" t="s">
        <v>172</v>
      </c>
      <c r="AL83">
        <v>32.827813999999996</v>
      </c>
      <c r="AM83" t="s">
        <v>173</v>
      </c>
      <c r="AN83">
        <v>-116.979203</v>
      </c>
      <c r="AO83">
        <v>25</v>
      </c>
      <c r="AP83">
        <v>700</v>
      </c>
      <c r="AQ83" t="s">
        <v>129</v>
      </c>
      <c r="AR83">
        <v>-104</v>
      </c>
      <c r="AS83">
        <v>24</v>
      </c>
      <c r="AT83">
        <v>576</v>
      </c>
      <c r="BB83">
        <v>1200</v>
      </c>
      <c r="BC83">
        <v>1</v>
      </c>
      <c r="BD83" t="str">
        <f t="shared" si="27"/>
        <v xml:space="preserve">N887QR  </v>
      </c>
      <c r="BE83">
        <v>1</v>
      </c>
      <c r="BG83">
        <v>0</v>
      </c>
      <c r="BH83">
        <v>0</v>
      </c>
      <c r="BI83">
        <v>0</v>
      </c>
      <c r="BJ83">
        <v>375</v>
      </c>
      <c r="BK83">
        <v>-325</v>
      </c>
      <c r="BL83" t="s">
        <v>130</v>
      </c>
      <c r="BM83">
        <v>1</v>
      </c>
      <c r="BN83">
        <v>1</v>
      </c>
      <c r="BO83">
        <v>1</v>
      </c>
      <c r="BP83">
        <v>0</v>
      </c>
      <c r="BT83">
        <v>0</v>
      </c>
      <c r="BU83">
        <v>0</v>
      </c>
      <c r="CE83" t="str">
        <f t="shared" si="35"/>
        <v>19:25:52.977</v>
      </c>
      <c r="CF83">
        <v>1976779357</v>
      </c>
      <c r="CS83">
        <v>2</v>
      </c>
      <c r="CT83">
        <v>2</v>
      </c>
      <c r="CU83">
        <v>0</v>
      </c>
      <c r="CV83">
        <v>2</v>
      </c>
      <c r="CW83">
        <v>0</v>
      </c>
      <c r="CX83">
        <v>2</v>
      </c>
      <c r="CY83">
        <v>7</v>
      </c>
      <c r="CZ83" t="s">
        <v>131</v>
      </c>
      <c r="DA83">
        <v>286</v>
      </c>
      <c r="DB83">
        <v>0</v>
      </c>
      <c r="DC83" t="s">
        <v>132</v>
      </c>
      <c r="DD83" t="s">
        <v>133</v>
      </c>
      <c r="DG83">
        <v>782323</v>
      </c>
      <c r="DI83">
        <v>0</v>
      </c>
      <c r="DJ83">
        <v>0</v>
      </c>
      <c r="DK83">
        <v>0</v>
      </c>
      <c r="DL83">
        <v>0</v>
      </c>
      <c r="DM83">
        <v>0</v>
      </c>
      <c r="DN83">
        <v>1</v>
      </c>
      <c r="DO83">
        <v>0</v>
      </c>
      <c r="DP83">
        <v>0</v>
      </c>
      <c r="DQ83">
        <v>0</v>
      </c>
      <c r="DR83">
        <v>0</v>
      </c>
      <c r="DS83">
        <v>0</v>
      </c>
    </row>
    <row r="84" spans="1:123" x14ac:dyDescent="0.3">
      <c r="A84" t="str">
        <f>"10/04/2022 19:25:53.431"</f>
        <v>10/04/2022 19:25:53.431</v>
      </c>
      <c r="C84" t="str">
        <f t="shared" si="25"/>
        <v>FFDFD3C0</v>
      </c>
      <c r="D84" t="s">
        <v>141</v>
      </c>
      <c r="E84">
        <v>3</v>
      </c>
      <c r="H84">
        <v>3</v>
      </c>
      <c r="I84" t="s">
        <v>146</v>
      </c>
      <c r="J84" t="s">
        <v>138</v>
      </c>
      <c r="K84">
        <v>0</v>
      </c>
      <c r="L84">
        <v>3</v>
      </c>
      <c r="M84">
        <v>0</v>
      </c>
      <c r="N84">
        <v>2</v>
      </c>
      <c r="O84">
        <v>0</v>
      </c>
      <c r="P84">
        <v>1</v>
      </c>
      <c r="Q84">
        <v>0</v>
      </c>
      <c r="S84" t="str">
        <f t="shared" si="34"/>
        <v>19:25:51.977</v>
      </c>
      <c r="T84" t="str">
        <f t="shared" si="34"/>
        <v>19:25:51.977</v>
      </c>
      <c r="U84" t="str">
        <f t="shared" si="26"/>
        <v>AC3944</v>
      </c>
      <c r="V84">
        <v>0</v>
      </c>
      <c r="W84">
        <v>0</v>
      </c>
      <c r="X84">
        <v>2</v>
      </c>
      <c r="Y84">
        <v>0</v>
      </c>
      <c r="AA84">
        <v>0</v>
      </c>
      <c r="AB84">
        <v>8</v>
      </c>
      <c r="AC84">
        <v>3</v>
      </c>
      <c r="AD84">
        <v>0</v>
      </c>
      <c r="AE84">
        <v>9</v>
      </c>
      <c r="AF84" t="s">
        <v>138</v>
      </c>
      <c r="AG84">
        <v>0</v>
      </c>
      <c r="AH84">
        <v>3</v>
      </c>
      <c r="AI84">
        <v>1</v>
      </c>
      <c r="AJ84">
        <v>0</v>
      </c>
      <c r="AK84" t="s">
        <v>172</v>
      </c>
      <c r="AL84">
        <v>32.827813999999996</v>
      </c>
      <c r="AM84" t="s">
        <v>173</v>
      </c>
      <c r="AN84">
        <v>-116.979203</v>
      </c>
      <c r="AO84">
        <v>25</v>
      </c>
      <c r="AP84">
        <v>700</v>
      </c>
      <c r="AQ84" t="s">
        <v>129</v>
      </c>
      <c r="AR84">
        <v>-104</v>
      </c>
      <c r="AS84">
        <v>24</v>
      </c>
      <c r="AT84">
        <v>576</v>
      </c>
      <c r="BB84">
        <v>1200</v>
      </c>
      <c r="BC84">
        <v>1</v>
      </c>
      <c r="BD84" t="str">
        <f t="shared" si="27"/>
        <v xml:space="preserve">N887QR  </v>
      </c>
      <c r="BE84">
        <v>1</v>
      </c>
      <c r="BG84">
        <v>0</v>
      </c>
      <c r="BH84">
        <v>0</v>
      </c>
      <c r="BI84">
        <v>0</v>
      </c>
      <c r="BJ84">
        <v>375</v>
      </c>
      <c r="BK84">
        <v>-325</v>
      </c>
      <c r="BL84" t="s">
        <v>163</v>
      </c>
      <c r="BM84">
        <v>1</v>
      </c>
      <c r="BN84">
        <v>1</v>
      </c>
      <c r="BO84">
        <v>1</v>
      </c>
      <c r="BP84">
        <v>0</v>
      </c>
      <c r="BS84">
        <v>0</v>
      </c>
      <c r="BT84">
        <v>0</v>
      </c>
      <c r="BU84">
        <v>0</v>
      </c>
      <c r="CE84" t="str">
        <f t="shared" si="35"/>
        <v>19:25:52.977</v>
      </c>
      <c r="CF84">
        <v>1976779357</v>
      </c>
      <c r="CS84">
        <v>3</v>
      </c>
      <c r="CT84">
        <v>2</v>
      </c>
      <c r="CU84">
        <v>0</v>
      </c>
      <c r="CV84">
        <v>2</v>
      </c>
      <c r="CW84">
        <v>0</v>
      </c>
      <c r="CX84">
        <v>2</v>
      </c>
      <c r="CY84">
        <v>7</v>
      </c>
      <c r="CZ84" t="s">
        <v>131</v>
      </c>
      <c r="DA84">
        <v>286</v>
      </c>
      <c r="DB84">
        <v>0</v>
      </c>
      <c r="DC84" t="s">
        <v>132</v>
      </c>
      <c r="DD84" t="s">
        <v>133</v>
      </c>
      <c r="DG84">
        <v>782323</v>
      </c>
      <c r="DI84">
        <v>0</v>
      </c>
      <c r="DJ84">
        <v>0</v>
      </c>
      <c r="DK84">
        <v>0</v>
      </c>
      <c r="DL84">
        <v>0</v>
      </c>
      <c r="DM84">
        <v>0</v>
      </c>
      <c r="DN84">
        <v>1</v>
      </c>
      <c r="DO84">
        <v>0</v>
      </c>
      <c r="DP84">
        <v>0</v>
      </c>
      <c r="DQ84">
        <v>0</v>
      </c>
      <c r="DR84">
        <v>0</v>
      </c>
      <c r="DS84">
        <v>0</v>
      </c>
    </row>
    <row r="85" spans="1:123" x14ac:dyDescent="0.3">
      <c r="A85" t="str">
        <f>"10/04/2022 19:25:53.431"</f>
        <v>10/04/2022 19:25:53.431</v>
      </c>
      <c r="C85" t="str">
        <f t="shared" si="25"/>
        <v>FFDFD3C0</v>
      </c>
      <c r="D85" t="s">
        <v>147</v>
      </c>
      <c r="E85">
        <v>3</v>
      </c>
      <c r="H85">
        <v>166</v>
      </c>
      <c r="I85" t="s">
        <v>144</v>
      </c>
      <c r="J85" t="s">
        <v>148</v>
      </c>
      <c r="K85">
        <v>0</v>
      </c>
      <c r="L85">
        <v>3</v>
      </c>
      <c r="M85">
        <v>0</v>
      </c>
      <c r="N85">
        <v>2</v>
      </c>
      <c r="O85">
        <v>0</v>
      </c>
      <c r="P85">
        <v>1</v>
      </c>
      <c r="Q85">
        <v>0</v>
      </c>
      <c r="S85" t="str">
        <f t="shared" si="34"/>
        <v>19:25:51.977</v>
      </c>
      <c r="T85" t="str">
        <f t="shared" si="34"/>
        <v>19:25:51.977</v>
      </c>
      <c r="U85" t="str">
        <f t="shared" si="26"/>
        <v>AC3944</v>
      </c>
      <c r="V85">
        <v>0</v>
      </c>
      <c r="W85">
        <v>0</v>
      </c>
      <c r="X85">
        <v>2</v>
      </c>
      <c r="Y85">
        <v>0</v>
      </c>
      <c r="AA85">
        <v>0</v>
      </c>
      <c r="AB85">
        <v>8</v>
      </c>
      <c r="AC85">
        <v>3</v>
      </c>
      <c r="AD85">
        <v>0</v>
      </c>
      <c r="AE85">
        <v>9</v>
      </c>
      <c r="AF85" t="s">
        <v>138</v>
      </c>
      <c r="AG85">
        <v>0</v>
      </c>
      <c r="AH85">
        <v>3</v>
      </c>
      <c r="AI85">
        <v>1</v>
      </c>
      <c r="AJ85">
        <v>0</v>
      </c>
      <c r="AK85" t="s">
        <v>172</v>
      </c>
      <c r="AL85">
        <v>32.827813999999996</v>
      </c>
      <c r="AM85" t="s">
        <v>173</v>
      </c>
      <c r="AN85">
        <v>-116.979203</v>
      </c>
      <c r="AO85">
        <v>25</v>
      </c>
      <c r="AP85">
        <v>700</v>
      </c>
      <c r="AQ85" t="s">
        <v>129</v>
      </c>
      <c r="AR85">
        <v>-104</v>
      </c>
      <c r="AS85">
        <v>24</v>
      </c>
      <c r="AT85">
        <v>576</v>
      </c>
      <c r="BB85">
        <v>1200</v>
      </c>
      <c r="BC85">
        <v>1</v>
      </c>
      <c r="BD85" t="str">
        <f t="shared" si="27"/>
        <v xml:space="preserve">N887QR  </v>
      </c>
      <c r="BE85">
        <v>1</v>
      </c>
      <c r="BG85">
        <v>0</v>
      </c>
      <c r="BH85">
        <v>0</v>
      </c>
      <c r="BI85">
        <v>0</v>
      </c>
      <c r="BJ85">
        <v>375</v>
      </c>
      <c r="BK85">
        <v>-325</v>
      </c>
      <c r="BL85" t="s">
        <v>163</v>
      </c>
      <c r="BM85">
        <v>1</v>
      </c>
      <c r="BN85">
        <v>1</v>
      </c>
      <c r="BO85">
        <v>1</v>
      </c>
      <c r="BP85">
        <v>0</v>
      </c>
      <c r="BS85">
        <v>0</v>
      </c>
      <c r="BT85">
        <v>0</v>
      </c>
      <c r="BU85">
        <v>0</v>
      </c>
      <c r="CE85" t="str">
        <f t="shared" si="35"/>
        <v>19:25:52.977</v>
      </c>
      <c r="CF85">
        <v>1976779357</v>
      </c>
      <c r="CS85">
        <v>3</v>
      </c>
      <c r="CT85">
        <v>2</v>
      </c>
      <c r="CU85">
        <v>0</v>
      </c>
      <c r="CV85">
        <v>2</v>
      </c>
      <c r="CW85">
        <v>0</v>
      </c>
      <c r="CX85">
        <v>2</v>
      </c>
      <c r="CY85">
        <v>7</v>
      </c>
      <c r="CZ85" t="s">
        <v>131</v>
      </c>
      <c r="DA85">
        <v>286</v>
      </c>
      <c r="DB85">
        <v>0</v>
      </c>
      <c r="DC85" t="s">
        <v>132</v>
      </c>
      <c r="DD85" t="s">
        <v>133</v>
      </c>
      <c r="DG85">
        <v>782323</v>
      </c>
      <c r="DI85">
        <v>0</v>
      </c>
      <c r="DJ85">
        <v>0</v>
      </c>
      <c r="DK85">
        <v>1</v>
      </c>
      <c r="DL85">
        <v>0</v>
      </c>
      <c r="DM85">
        <v>0</v>
      </c>
      <c r="DN85">
        <v>1</v>
      </c>
      <c r="DO85">
        <v>0</v>
      </c>
      <c r="DP85">
        <v>0</v>
      </c>
      <c r="DQ85">
        <v>0</v>
      </c>
      <c r="DR85">
        <v>0</v>
      </c>
      <c r="DS85">
        <v>0</v>
      </c>
    </row>
    <row r="86" spans="1:123" x14ac:dyDescent="0.3">
      <c r="A86" t="str">
        <f>"10/04/2022 19:25:53.431"</f>
        <v>10/04/2022 19:25:53.431</v>
      </c>
      <c r="C86" t="str">
        <f t="shared" si="25"/>
        <v>FFDFD3C0</v>
      </c>
      <c r="D86" t="s">
        <v>123</v>
      </c>
      <c r="E86">
        <v>7</v>
      </c>
      <c r="F86">
        <v>2007</v>
      </c>
      <c r="G86" t="s">
        <v>124</v>
      </c>
      <c r="J86" t="s">
        <v>125</v>
      </c>
      <c r="K86">
        <v>0</v>
      </c>
      <c r="L86">
        <v>3</v>
      </c>
      <c r="M86">
        <v>0</v>
      </c>
      <c r="N86">
        <v>2</v>
      </c>
      <c r="O86">
        <v>0</v>
      </c>
      <c r="P86">
        <v>1</v>
      </c>
      <c r="Q86">
        <v>0</v>
      </c>
      <c r="S86" t="str">
        <f t="shared" si="34"/>
        <v>19:25:51.977</v>
      </c>
      <c r="T86" t="str">
        <f t="shared" si="34"/>
        <v>19:25:51.977</v>
      </c>
      <c r="U86" t="str">
        <f t="shared" si="26"/>
        <v>AC3944</v>
      </c>
      <c r="V86">
        <v>0</v>
      </c>
      <c r="W86">
        <v>0</v>
      </c>
      <c r="X86">
        <v>2</v>
      </c>
      <c r="Y86">
        <v>0</v>
      </c>
      <c r="AA86">
        <v>0</v>
      </c>
      <c r="AB86">
        <v>8</v>
      </c>
      <c r="AC86">
        <v>3</v>
      </c>
      <c r="AD86">
        <v>0</v>
      </c>
      <c r="AE86">
        <v>9</v>
      </c>
      <c r="AF86" t="s">
        <v>126</v>
      </c>
      <c r="AG86">
        <v>0</v>
      </c>
      <c r="AH86">
        <v>0</v>
      </c>
      <c r="AI86">
        <v>1</v>
      </c>
      <c r="AJ86">
        <v>0</v>
      </c>
      <c r="AK86" t="s">
        <v>172</v>
      </c>
      <c r="AL86">
        <v>32.827813999999996</v>
      </c>
      <c r="AM86" t="s">
        <v>173</v>
      </c>
      <c r="AN86">
        <v>-116.979203</v>
      </c>
      <c r="AO86">
        <v>25</v>
      </c>
      <c r="AP86">
        <v>700</v>
      </c>
      <c r="AQ86" t="s">
        <v>129</v>
      </c>
      <c r="AR86">
        <v>-104</v>
      </c>
      <c r="AS86">
        <v>24</v>
      </c>
      <c r="AT86">
        <v>576</v>
      </c>
      <c r="BB86">
        <v>1200</v>
      </c>
      <c r="BC86">
        <v>1</v>
      </c>
      <c r="BD86" t="str">
        <f t="shared" si="27"/>
        <v xml:space="preserve">N887QR  </v>
      </c>
      <c r="BE86">
        <v>1</v>
      </c>
      <c r="BG86">
        <v>0</v>
      </c>
      <c r="BH86">
        <v>0</v>
      </c>
      <c r="BI86">
        <v>0</v>
      </c>
      <c r="BJ86">
        <v>375</v>
      </c>
      <c r="BK86">
        <v>-325</v>
      </c>
      <c r="BL86" t="s">
        <v>130</v>
      </c>
      <c r="BM86">
        <v>1</v>
      </c>
      <c r="BN86">
        <v>1</v>
      </c>
      <c r="BO86">
        <v>1</v>
      </c>
      <c r="BP86">
        <v>0</v>
      </c>
      <c r="BT86">
        <v>0</v>
      </c>
      <c r="BU86">
        <v>0</v>
      </c>
      <c r="CE86" t="str">
        <f t="shared" si="35"/>
        <v>19:25:52.977</v>
      </c>
      <c r="CF86">
        <v>1976779357</v>
      </c>
      <c r="CS86">
        <v>2</v>
      </c>
      <c r="CT86">
        <v>2</v>
      </c>
      <c r="CU86">
        <v>0</v>
      </c>
      <c r="CV86">
        <v>2</v>
      </c>
      <c r="CW86">
        <v>0</v>
      </c>
      <c r="CX86">
        <v>2</v>
      </c>
      <c r="CY86">
        <v>7</v>
      </c>
      <c r="CZ86" t="s">
        <v>131</v>
      </c>
      <c r="DA86">
        <v>286</v>
      </c>
      <c r="DB86">
        <v>0</v>
      </c>
      <c r="DC86" t="s">
        <v>132</v>
      </c>
      <c r="DD86" t="s">
        <v>133</v>
      </c>
      <c r="DG86">
        <v>782323</v>
      </c>
      <c r="DI86">
        <v>0</v>
      </c>
      <c r="DJ86">
        <v>0</v>
      </c>
      <c r="DK86">
        <v>1</v>
      </c>
      <c r="DL86">
        <v>0</v>
      </c>
      <c r="DM86">
        <v>0</v>
      </c>
      <c r="DN86">
        <v>1</v>
      </c>
      <c r="DO86">
        <v>0</v>
      </c>
      <c r="DP86">
        <v>0</v>
      </c>
      <c r="DQ86">
        <v>0</v>
      </c>
      <c r="DR86">
        <v>0</v>
      </c>
      <c r="DS86">
        <v>0</v>
      </c>
    </row>
    <row r="87" spans="1:123" x14ac:dyDescent="0.3">
      <c r="A87" t="str">
        <f>"10/04/2022 19:25:53.431"</f>
        <v>10/04/2022 19:25:53.431</v>
      </c>
      <c r="C87" t="str">
        <f t="shared" si="25"/>
        <v>FFDFD3C0</v>
      </c>
      <c r="D87" t="s">
        <v>134</v>
      </c>
      <c r="E87">
        <v>15</v>
      </c>
      <c r="J87" t="s">
        <v>135</v>
      </c>
      <c r="K87">
        <v>0</v>
      </c>
      <c r="L87">
        <v>3</v>
      </c>
      <c r="M87">
        <v>0</v>
      </c>
      <c r="N87">
        <v>2</v>
      </c>
      <c r="O87">
        <v>0</v>
      </c>
      <c r="P87">
        <v>1</v>
      </c>
      <c r="Q87">
        <v>0</v>
      </c>
      <c r="S87" t="str">
        <f t="shared" si="34"/>
        <v>19:25:51.977</v>
      </c>
      <c r="T87" t="str">
        <f t="shared" si="34"/>
        <v>19:25:51.977</v>
      </c>
      <c r="U87" t="str">
        <f t="shared" si="26"/>
        <v>AC3944</v>
      </c>
      <c r="V87">
        <v>0</v>
      </c>
      <c r="W87">
        <v>0</v>
      </c>
      <c r="X87">
        <v>2</v>
      </c>
      <c r="Y87">
        <v>0</v>
      </c>
      <c r="AA87">
        <v>0</v>
      </c>
      <c r="AB87">
        <v>8</v>
      </c>
      <c r="AC87">
        <v>3</v>
      </c>
      <c r="AD87">
        <v>0</v>
      </c>
      <c r="AE87">
        <v>9</v>
      </c>
      <c r="AF87" t="s">
        <v>126</v>
      </c>
      <c r="AG87">
        <v>0</v>
      </c>
      <c r="AH87">
        <v>0</v>
      </c>
      <c r="AI87">
        <v>1</v>
      </c>
      <c r="AJ87">
        <v>0</v>
      </c>
      <c r="AK87" t="s">
        <v>172</v>
      </c>
      <c r="AL87">
        <v>32.827813999999996</v>
      </c>
      <c r="AM87" t="s">
        <v>173</v>
      </c>
      <c r="AN87">
        <v>-116.979203</v>
      </c>
      <c r="AO87">
        <v>25</v>
      </c>
      <c r="AP87">
        <v>700</v>
      </c>
      <c r="AQ87" t="s">
        <v>129</v>
      </c>
      <c r="AR87">
        <v>-104</v>
      </c>
      <c r="AS87">
        <v>24</v>
      </c>
      <c r="AT87">
        <v>576</v>
      </c>
      <c r="BB87">
        <v>1200</v>
      </c>
      <c r="BC87">
        <v>1</v>
      </c>
      <c r="BD87" t="str">
        <f t="shared" si="27"/>
        <v xml:space="preserve">N887QR  </v>
      </c>
      <c r="BE87">
        <v>1</v>
      </c>
      <c r="BG87">
        <v>0</v>
      </c>
      <c r="BH87">
        <v>0</v>
      </c>
      <c r="BI87">
        <v>0</v>
      </c>
      <c r="BJ87">
        <v>375</v>
      </c>
      <c r="BK87">
        <v>-325</v>
      </c>
      <c r="BL87" t="s">
        <v>130</v>
      </c>
      <c r="BM87">
        <v>1</v>
      </c>
      <c r="BN87">
        <v>1</v>
      </c>
      <c r="BO87">
        <v>1</v>
      </c>
      <c r="BP87">
        <v>0</v>
      </c>
      <c r="BT87">
        <v>0</v>
      </c>
      <c r="BU87">
        <v>0</v>
      </c>
      <c r="CE87" t="str">
        <f t="shared" si="35"/>
        <v>19:25:52.977</v>
      </c>
      <c r="CF87">
        <v>1976779357</v>
      </c>
      <c r="CS87">
        <v>2</v>
      </c>
      <c r="CT87">
        <v>2</v>
      </c>
      <c r="CU87">
        <v>0</v>
      </c>
      <c r="CV87">
        <v>2</v>
      </c>
      <c r="CW87">
        <v>0</v>
      </c>
      <c r="CX87">
        <v>2</v>
      </c>
      <c r="CY87">
        <v>7</v>
      </c>
      <c r="CZ87" t="s">
        <v>131</v>
      </c>
      <c r="DA87">
        <v>286</v>
      </c>
      <c r="DB87">
        <v>0</v>
      </c>
      <c r="DC87" t="s">
        <v>132</v>
      </c>
      <c r="DD87" t="s">
        <v>133</v>
      </c>
      <c r="DG87">
        <v>782323</v>
      </c>
      <c r="DI87">
        <v>0</v>
      </c>
      <c r="DJ87">
        <v>0</v>
      </c>
      <c r="DK87">
        <v>1</v>
      </c>
      <c r="DL87">
        <v>0</v>
      </c>
      <c r="DM87">
        <v>0</v>
      </c>
      <c r="DN87">
        <v>1</v>
      </c>
      <c r="DO87">
        <v>0</v>
      </c>
      <c r="DP87">
        <v>0</v>
      </c>
      <c r="DQ87">
        <v>0</v>
      </c>
      <c r="DR87">
        <v>0</v>
      </c>
      <c r="DS87">
        <v>0</v>
      </c>
    </row>
    <row r="88" spans="1:123" x14ac:dyDescent="0.3">
      <c r="A88" t="str">
        <f>"10/04/2022 19:25:54.573"</f>
        <v>10/04/2022 19:25:54.573</v>
      </c>
      <c r="C88" t="str">
        <f t="shared" si="25"/>
        <v>FFDFD3C0</v>
      </c>
      <c r="D88" t="s">
        <v>134</v>
      </c>
      <c r="E88">
        <v>15</v>
      </c>
      <c r="J88" t="s">
        <v>135</v>
      </c>
      <c r="K88">
        <v>0</v>
      </c>
      <c r="L88">
        <v>3</v>
      </c>
      <c r="M88">
        <v>0</v>
      </c>
      <c r="N88">
        <v>2</v>
      </c>
      <c r="O88">
        <v>0</v>
      </c>
      <c r="P88">
        <v>1</v>
      </c>
      <c r="Q88">
        <v>0</v>
      </c>
      <c r="S88" t="str">
        <f>"19:25:53.000"</f>
        <v>19:25:53.000</v>
      </c>
      <c r="T88" t="str">
        <f>"19:25:53.000"</f>
        <v>19:25:53.000</v>
      </c>
      <c r="U88" t="str">
        <f t="shared" si="26"/>
        <v>AC3944</v>
      </c>
      <c r="V88">
        <v>0</v>
      </c>
      <c r="W88">
        <v>0</v>
      </c>
      <c r="X88">
        <v>2</v>
      </c>
      <c r="Y88">
        <v>0</v>
      </c>
      <c r="AA88">
        <v>0</v>
      </c>
      <c r="AB88">
        <v>8</v>
      </c>
      <c r="AC88">
        <v>3</v>
      </c>
      <c r="AD88">
        <v>0</v>
      </c>
      <c r="AE88">
        <v>9</v>
      </c>
      <c r="AF88" t="s">
        <v>138</v>
      </c>
      <c r="AG88">
        <v>0</v>
      </c>
      <c r="AH88">
        <v>3</v>
      </c>
      <c r="AI88">
        <v>1</v>
      </c>
      <c r="AJ88">
        <v>0</v>
      </c>
      <c r="AK88" t="s">
        <v>174</v>
      </c>
      <c r="AL88">
        <v>32.827921000000003</v>
      </c>
      <c r="AM88" t="s">
        <v>175</v>
      </c>
      <c r="AN88">
        <v>-116.979783</v>
      </c>
      <c r="AO88">
        <v>25</v>
      </c>
      <c r="AP88">
        <v>700</v>
      </c>
      <c r="AQ88" t="s">
        <v>129</v>
      </c>
      <c r="AR88">
        <v>-103</v>
      </c>
      <c r="AS88">
        <v>23</v>
      </c>
      <c r="AT88">
        <v>576</v>
      </c>
      <c r="BB88">
        <v>1200</v>
      </c>
      <c r="BC88">
        <v>1</v>
      </c>
      <c r="BD88" t="str">
        <f t="shared" si="27"/>
        <v xml:space="preserve">N887QR  </v>
      </c>
      <c r="BE88">
        <v>1</v>
      </c>
      <c r="BG88">
        <v>0</v>
      </c>
      <c r="BH88">
        <v>0</v>
      </c>
      <c r="BI88">
        <v>0</v>
      </c>
      <c r="BJ88">
        <v>275</v>
      </c>
      <c r="BK88">
        <v>-425</v>
      </c>
      <c r="BL88" t="s">
        <v>130</v>
      </c>
      <c r="BM88">
        <v>1</v>
      </c>
      <c r="BN88">
        <v>1</v>
      </c>
      <c r="BO88">
        <v>1</v>
      </c>
      <c r="BP88">
        <v>0</v>
      </c>
      <c r="BT88">
        <v>0</v>
      </c>
      <c r="BU88">
        <v>0</v>
      </c>
      <c r="CE88" t="str">
        <f>"19:25:54.008"</f>
        <v>19:25:54.008</v>
      </c>
      <c r="CF88">
        <v>1007503452</v>
      </c>
      <c r="CS88">
        <v>3</v>
      </c>
      <c r="CT88">
        <v>2</v>
      </c>
      <c r="CU88">
        <v>0</v>
      </c>
      <c r="CV88">
        <v>2</v>
      </c>
      <c r="CW88">
        <v>0</v>
      </c>
      <c r="CX88">
        <v>3</v>
      </c>
      <c r="CY88">
        <v>7</v>
      </c>
      <c r="CZ88" t="s">
        <v>131</v>
      </c>
      <c r="DA88">
        <v>300</v>
      </c>
      <c r="DB88">
        <v>0</v>
      </c>
      <c r="DC88" t="s">
        <v>176</v>
      </c>
      <c r="DD88" t="s">
        <v>177</v>
      </c>
      <c r="DG88">
        <v>5353815</v>
      </c>
      <c r="DI88">
        <v>0</v>
      </c>
      <c r="DJ88">
        <v>0</v>
      </c>
      <c r="DK88">
        <v>0</v>
      </c>
      <c r="DL88">
        <v>0</v>
      </c>
      <c r="DM88">
        <v>0</v>
      </c>
      <c r="DN88">
        <v>1</v>
      </c>
      <c r="DO88">
        <v>0</v>
      </c>
      <c r="DP88">
        <v>0</v>
      </c>
      <c r="DQ88">
        <v>0</v>
      </c>
      <c r="DR88">
        <v>0</v>
      </c>
      <c r="DS88">
        <v>0</v>
      </c>
    </row>
    <row r="89" spans="1:123" x14ac:dyDescent="0.3">
      <c r="A89" t="str">
        <f t="shared" ref="A89:A95" si="36">"10/04/2022 19:25:55.745"</f>
        <v>10/04/2022 19:25:55.745</v>
      </c>
      <c r="C89" t="str">
        <f t="shared" si="25"/>
        <v>FFDFD3C0</v>
      </c>
      <c r="D89" t="s">
        <v>123</v>
      </c>
      <c r="E89">
        <v>7</v>
      </c>
      <c r="F89">
        <v>2007</v>
      </c>
      <c r="G89" t="s">
        <v>124</v>
      </c>
      <c r="J89" t="s">
        <v>125</v>
      </c>
      <c r="K89">
        <v>0</v>
      </c>
      <c r="L89">
        <v>3</v>
      </c>
      <c r="M89">
        <v>0</v>
      </c>
      <c r="N89">
        <v>2</v>
      </c>
      <c r="O89">
        <v>0</v>
      </c>
      <c r="P89">
        <v>1</v>
      </c>
      <c r="Q89">
        <v>0</v>
      </c>
      <c r="S89" t="str">
        <f t="shared" ref="S89:T95" si="37">"19:25:54.328"</f>
        <v>19:25:54.328</v>
      </c>
      <c r="T89" t="str">
        <f t="shared" si="37"/>
        <v>19:25:54.328</v>
      </c>
      <c r="U89" t="str">
        <f t="shared" si="26"/>
        <v>AC3944</v>
      </c>
      <c r="V89">
        <v>0</v>
      </c>
      <c r="W89">
        <v>0</v>
      </c>
      <c r="X89">
        <v>2</v>
      </c>
      <c r="Y89">
        <v>0</v>
      </c>
      <c r="AA89">
        <v>0</v>
      </c>
      <c r="AB89">
        <v>8</v>
      </c>
      <c r="AC89">
        <v>3</v>
      </c>
      <c r="AD89">
        <v>0</v>
      </c>
      <c r="AE89">
        <v>9</v>
      </c>
      <c r="AF89" t="s">
        <v>138</v>
      </c>
      <c r="AG89">
        <v>0</v>
      </c>
      <c r="AH89">
        <v>3</v>
      </c>
      <c r="AI89">
        <v>1</v>
      </c>
      <c r="AJ89">
        <v>0</v>
      </c>
      <c r="AK89" t="s">
        <v>178</v>
      </c>
      <c r="AL89">
        <v>32.828028000000003</v>
      </c>
      <c r="AM89" t="s">
        <v>179</v>
      </c>
      <c r="AN89">
        <v>-116.980362</v>
      </c>
      <c r="AO89">
        <v>25</v>
      </c>
      <c r="AP89">
        <v>700</v>
      </c>
      <c r="AQ89" t="s">
        <v>129</v>
      </c>
      <c r="AR89">
        <v>-103</v>
      </c>
      <c r="AS89">
        <v>21</v>
      </c>
      <c r="AT89">
        <v>640</v>
      </c>
      <c r="BB89">
        <v>1200</v>
      </c>
      <c r="BC89">
        <v>1</v>
      </c>
      <c r="BD89" t="str">
        <f t="shared" si="27"/>
        <v xml:space="preserve">N887QR  </v>
      </c>
      <c r="BE89">
        <v>1</v>
      </c>
      <c r="BG89">
        <v>0</v>
      </c>
      <c r="BH89">
        <v>0</v>
      </c>
      <c r="BI89">
        <v>0</v>
      </c>
      <c r="BJ89">
        <v>400</v>
      </c>
      <c r="BK89">
        <v>-300</v>
      </c>
      <c r="BL89" t="s">
        <v>130</v>
      </c>
      <c r="BM89">
        <v>1</v>
      </c>
      <c r="BN89">
        <v>1</v>
      </c>
      <c r="BO89">
        <v>1</v>
      </c>
      <c r="BP89">
        <v>0</v>
      </c>
      <c r="BT89">
        <v>0</v>
      </c>
      <c r="BU89">
        <v>0</v>
      </c>
      <c r="CE89" t="str">
        <f t="shared" ref="CE89:CE95" si="38">"19:25:55.330"</f>
        <v>19:25:55.330</v>
      </c>
      <c r="CF89">
        <v>1329787104</v>
      </c>
      <c r="CS89">
        <v>3</v>
      </c>
      <c r="CT89">
        <v>2</v>
      </c>
      <c r="CU89">
        <v>0</v>
      </c>
      <c r="CV89">
        <v>2</v>
      </c>
      <c r="CW89">
        <v>0</v>
      </c>
      <c r="CX89">
        <v>3</v>
      </c>
      <c r="CY89">
        <v>7</v>
      </c>
      <c r="CZ89" t="s">
        <v>131</v>
      </c>
      <c r="DA89">
        <v>286</v>
      </c>
      <c r="DB89">
        <v>0</v>
      </c>
      <c r="DC89" t="s">
        <v>132</v>
      </c>
      <c r="DD89" t="s">
        <v>133</v>
      </c>
      <c r="DG89">
        <v>782771</v>
      </c>
      <c r="DI89">
        <v>0</v>
      </c>
      <c r="DJ89">
        <v>0</v>
      </c>
      <c r="DK89">
        <v>0</v>
      </c>
      <c r="DL89">
        <v>0</v>
      </c>
      <c r="DM89">
        <v>0</v>
      </c>
      <c r="DN89">
        <v>1</v>
      </c>
      <c r="DO89">
        <v>0</v>
      </c>
      <c r="DP89">
        <v>0</v>
      </c>
      <c r="DQ89">
        <v>0</v>
      </c>
      <c r="DR89">
        <v>0</v>
      </c>
      <c r="DS89">
        <v>0</v>
      </c>
    </row>
    <row r="90" spans="1:123" x14ac:dyDescent="0.3">
      <c r="A90" t="str">
        <f t="shared" si="36"/>
        <v>10/04/2022 19:25:55.745</v>
      </c>
      <c r="C90" t="str">
        <f t="shared" si="25"/>
        <v>FFDFD3C0</v>
      </c>
      <c r="D90" t="s">
        <v>141</v>
      </c>
      <c r="E90">
        <v>3</v>
      </c>
      <c r="H90">
        <v>3</v>
      </c>
      <c r="I90" t="s">
        <v>146</v>
      </c>
      <c r="J90" t="s">
        <v>138</v>
      </c>
      <c r="K90">
        <v>0</v>
      </c>
      <c r="L90">
        <v>3</v>
      </c>
      <c r="M90">
        <v>0</v>
      </c>
      <c r="N90">
        <v>2</v>
      </c>
      <c r="O90">
        <v>0</v>
      </c>
      <c r="P90">
        <v>1</v>
      </c>
      <c r="Q90">
        <v>0</v>
      </c>
      <c r="S90" t="str">
        <f t="shared" si="37"/>
        <v>19:25:54.328</v>
      </c>
      <c r="T90" t="str">
        <f t="shared" si="37"/>
        <v>19:25:54.328</v>
      </c>
      <c r="U90" t="str">
        <f t="shared" si="26"/>
        <v>AC3944</v>
      </c>
      <c r="V90">
        <v>0</v>
      </c>
      <c r="W90">
        <v>0</v>
      </c>
      <c r="X90">
        <v>2</v>
      </c>
      <c r="Y90">
        <v>0</v>
      </c>
      <c r="AA90">
        <v>0</v>
      </c>
      <c r="AB90">
        <v>8</v>
      </c>
      <c r="AC90">
        <v>3</v>
      </c>
      <c r="AD90">
        <v>0</v>
      </c>
      <c r="AE90">
        <v>9</v>
      </c>
      <c r="AF90" t="s">
        <v>138</v>
      </c>
      <c r="AG90">
        <v>0</v>
      </c>
      <c r="AH90">
        <v>3</v>
      </c>
      <c r="AI90">
        <v>1</v>
      </c>
      <c r="AJ90">
        <v>0</v>
      </c>
      <c r="AK90" t="s">
        <v>178</v>
      </c>
      <c r="AL90">
        <v>32.828028000000003</v>
      </c>
      <c r="AM90" t="s">
        <v>179</v>
      </c>
      <c r="AN90">
        <v>-116.980362</v>
      </c>
      <c r="AO90">
        <v>25</v>
      </c>
      <c r="AP90">
        <v>700</v>
      </c>
      <c r="AQ90" t="s">
        <v>129</v>
      </c>
      <c r="AR90">
        <v>-103</v>
      </c>
      <c r="AS90">
        <v>21</v>
      </c>
      <c r="AT90">
        <v>640</v>
      </c>
      <c r="BB90">
        <v>1200</v>
      </c>
      <c r="BC90">
        <v>1</v>
      </c>
      <c r="BD90" t="str">
        <f t="shared" si="27"/>
        <v xml:space="preserve">N887QR  </v>
      </c>
      <c r="BE90">
        <v>1</v>
      </c>
      <c r="BG90">
        <v>0</v>
      </c>
      <c r="BH90">
        <v>0</v>
      </c>
      <c r="BI90">
        <v>0</v>
      </c>
      <c r="BJ90">
        <v>400</v>
      </c>
      <c r="BK90">
        <v>-300</v>
      </c>
      <c r="BL90" t="s">
        <v>163</v>
      </c>
      <c r="BM90">
        <v>1</v>
      </c>
      <c r="BN90">
        <v>1</v>
      </c>
      <c r="BO90">
        <v>1</v>
      </c>
      <c r="BP90">
        <v>0</v>
      </c>
      <c r="BS90">
        <v>0</v>
      </c>
      <c r="BT90">
        <v>0</v>
      </c>
      <c r="BU90">
        <v>0</v>
      </c>
      <c r="CE90" t="str">
        <f t="shared" si="38"/>
        <v>19:25:55.330</v>
      </c>
      <c r="CF90">
        <v>1329787104</v>
      </c>
      <c r="CS90">
        <v>3</v>
      </c>
      <c r="CT90">
        <v>2</v>
      </c>
      <c r="CU90">
        <v>0</v>
      </c>
      <c r="CV90">
        <v>2</v>
      </c>
      <c r="CW90">
        <v>0</v>
      </c>
      <c r="CX90">
        <v>3</v>
      </c>
      <c r="CY90">
        <v>7</v>
      </c>
      <c r="CZ90" t="s">
        <v>131</v>
      </c>
      <c r="DA90">
        <v>286</v>
      </c>
      <c r="DB90">
        <v>0</v>
      </c>
      <c r="DC90" t="s">
        <v>132</v>
      </c>
      <c r="DD90" t="s">
        <v>133</v>
      </c>
      <c r="DG90">
        <v>782771</v>
      </c>
      <c r="DI90">
        <v>0</v>
      </c>
      <c r="DJ90">
        <v>0</v>
      </c>
      <c r="DK90">
        <v>1</v>
      </c>
      <c r="DL90">
        <v>0</v>
      </c>
      <c r="DM90">
        <v>0</v>
      </c>
      <c r="DN90">
        <v>1</v>
      </c>
      <c r="DO90">
        <v>0</v>
      </c>
      <c r="DP90">
        <v>0</v>
      </c>
      <c r="DQ90">
        <v>0</v>
      </c>
      <c r="DR90">
        <v>0</v>
      </c>
      <c r="DS90">
        <v>0</v>
      </c>
    </row>
    <row r="91" spans="1:123" x14ac:dyDescent="0.3">
      <c r="A91" t="str">
        <f t="shared" si="36"/>
        <v>10/04/2022 19:25:55.745</v>
      </c>
      <c r="C91" t="str">
        <f t="shared" si="25"/>
        <v>FFDFD3C0</v>
      </c>
      <c r="D91" t="s">
        <v>147</v>
      </c>
      <c r="E91">
        <v>3</v>
      </c>
      <c r="H91">
        <v>166</v>
      </c>
      <c r="I91" t="s">
        <v>144</v>
      </c>
      <c r="J91" t="s">
        <v>148</v>
      </c>
      <c r="K91">
        <v>0</v>
      </c>
      <c r="L91">
        <v>3</v>
      </c>
      <c r="M91">
        <v>0</v>
      </c>
      <c r="N91">
        <v>2</v>
      </c>
      <c r="O91">
        <v>0</v>
      </c>
      <c r="P91">
        <v>1</v>
      </c>
      <c r="Q91">
        <v>0</v>
      </c>
      <c r="S91" t="str">
        <f t="shared" si="37"/>
        <v>19:25:54.328</v>
      </c>
      <c r="T91" t="str">
        <f t="shared" si="37"/>
        <v>19:25:54.328</v>
      </c>
      <c r="U91" t="str">
        <f t="shared" si="26"/>
        <v>AC3944</v>
      </c>
      <c r="V91">
        <v>0</v>
      </c>
      <c r="W91">
        <v>0</v>
      </c>
      <c r="X91">
        <v>2</v>
      </c>
      <c r="Y91">
        <v>0</v>
      </c>
      <c r="AA91">
        <v>0</v>
      </c>
      <c r="AB91">
        <v>8</v>
      </c>
      <c r="AC91">
        <v>3</v>
      </c>
      <c r="AD91">
        <v>0</v>
      </c>
      <c r="AE91">
        <v>9</v>
      </c>
      <c r="AF91" t="s">
        <v>138</v>
      </c>
      <c r="AG91">
        <v>0</v>
      </c>
      <c r="AH91">
        <v>3</v>
      </c>
      <c r="AI91">
        <v>1</v>
      </c>
      <c r="AJ91">
        <v>0</v>
      </c>
      <c r="AK91" t="s">
        <v>178</v>
      </c>
      <c r="AL91">
        <v>32.828028000000003</v>
      </c>
      <c r="AM91" t="s">
        <v>179</v>
      </c>
      <c r="AN91">
        <v>-116.980362</v>
      </c>
      <c r="AO91">
        <v>25</v>
      </c>
      <c r="AP91">
        <v>700</v>
      </c>
      <c r="AQ91" t="s">
        <v>129</v>
      </c>
      <c r="AR91">
        <v>-103</v>
      </c>
      <c r="AS91">
        <v>21</v>
      </c>
      <c r="AT91">
        <v>640</v>
      </c>
      <c r="BB91">
        <v>1200</v>
      </c>
      <c r="BC91">
        <v>1</v>
      </c>
      <c r="BD91" t="str">
        <f t="shared" si="27"/>
        <v xml:space="preserve">N887QR  </v>
      </c>
      <c r="BE91">
        <v>1</v>
      </c>
      <c r="BG91">
        <v>0</v>
      </c>
      <c r="BH91">
        <v>0</v>
      </c>
      <c r="BI91">
        <v>0</v>
      </c>
      <c r="BJ91">
        <v>400</v>
      </c>
      <c r="BK91">
        <v>-300</v>
      </c>
      <c r="BL91" t="s">
        <v>163</v>
      </c>
      <c r="BM91">
        <v>1</v>
      </c>
      <c r="BN91">
        <v>1</v>
      </c>
      <c r="BO91">
        <v>1</v>
      </c>
      <c r="BP91">
        <v>0</v>
      </c>
      <c r="BS91">
        <v>0</v>
      </c>
      <c r="BT91">
        <v>0</v>
      </c>
      <c r="BU91">
        <v>0</v>
      </c>
      <c r="CE91" t="str">
        <f t="shared" si="38"/>
        <v>19:25:55.330</v>
      </c>
      <c r="CF91">
        <v>1329787104</v>
      </c>
      <c r="CS91">
        <v>3</v>
      </c>
      <c r="CT91">
        <v>2</v>
      </c>
      <c r="CU91">
        <v>0</v>
      </c>
      <c r="CV91">
        <v>2</v>
      </c>
      <c r="CW91">
        <v>0</v>
      </c>
      <c r="CX91">
        <v>3</v>
      </c>
      <c r="CY91">
        <v>7</v>
      </c>
      <c r="CZ91" t="s">
        <v>131</v>
      </c>
      <c r="DA91">
        <v>286</v>
      </c>
      <c r="DB91">
        <v>0</v>
      </c>
      <c r="DC91" t="s">
        <v>132</v>
      </c>
      <c r="DD91" t="s">
        <v>133</v>
      </c>
      <c r="DG91">
        <v>782771</v>
      </c>
      <c r="DI91">
        <v>0</v>
      </c>
      <c r="DJ91">
        <v>0</v>
      </c>
      <c r="DK91">
        <v>1</v>
      </c>
      <c r="DL91">
        <v>0</v>
      </c>
      <c r="DM91">
        <v>0</v>
      </c>
      <c r="DN91">
        <v>1</v>
      </c>
      <c r="DO91">
        <v>0</v>
      </c>
      <c r="DP91">
        <v>0</v>
      </c>
      <c r="DQ91">
        <v>0</v>
      </c>
      <c r="DR91">
        <v>0</v>
      </c>
      <c r="DS91">
        <v>0</v>
      </c>
    </row>
    <row r="92" spans="1:123" x14ac:dyDescent="0.3">
      <c r="A92" t="str">
        <f t="shared" si="36"/>
        <v>10/04/2022 19:25:55.745</v>
      </c>
      <c r="C92" t="str">
        <f t="shared" si="25"/>
        <v>FFDFD3C0</v>
      </c>
      <c r="D92" t="s">
        <v>134</v>
      </c>
      <c r="E92">
        <v>15</v>
      </c>
      <c r="J92" t="s">
        <v>135</v>
      </c>
      <c r="K92">
        <v>0</v>
      </c>
      <c r="L92">
        <v>3</v>
      </c>
      <c r="M92">
        <v>0</v>
      </c>
      <c r="N92">
        <v>2</v>
      </c>
      <c r="O92">
        <v>0</v>
      </c>
      <c r="P92">
        <v>1</v>
      </c>
      <c r="Q92">
        <v>0</v>
      </c>
      <c r="S92" t="str">
        <f t="shared" si="37"/>
        <v>19:25:54.328</v>
      </c>
      <c r="T92" t="str">
        <f t="shared" si="37"/>
        <v>19:25:54.328</v>
      </c>
      <c r="U92" t="str">
        <f t="shared" si="26"/>
        <v>AC3944</v>
      </c>
      <c r="V92">
        <v>0</v>
      </c>
      <c r="W92">
        <v>0</v>
      </c>
      <c r="X92">
        <v>2</v>
      </c>
      <c r="Y92">
        <v>0</v>
      </c>
      <c r="AA92">
        <v>0</v>
      </c>
      <c r="AB92">
        <v>8</v>
      </c>
      <c r="AC92">
        <v>3</v>
      </c>
      <c r="AD92">
        <v>0</v>
      </c>
      <c r="AE92">
        <v>9</v>
      </c>
      <c r="AF92" t="s">
        <v>138</v>
      </c>
      <c r="AG92">
        <v>0</v>
      </c>
      <c r="AH92">
        <v>3</v>
      </c>
      <c r="AI92">
        <v>1</v>
      </c>
      <c r="AJ92">
        <v>0</v>
      </c>
      <c r="AK92" t="s">
        <v>178</v>
      </c>
      <c r="AL92">
        <v>32.828028000000003</v>
      </c>
      <c r="AM92" t="s">
        <v>179</v>
      </c>
      <c r="AN92">
        <v>-116.980362</v>
      </c>
      <c r="AO92">
        <v>25</v>
      </c>
      <c r="AP92">
        <v>700</v>
      </c>
      <c r="AQ92" t="s">
        <v>129</v>
      </c>
      <c r="AR92">
        <v>-103</v>
      </c>
      <c r="AS92">
        <v>21</v>
      </c>
      <c r="AT92">
        <v>640</v>
      </c>
      <c r="BB92">
        <v>1200</v>
      </c>
      <c r="BC92">
        <v>1</v>
      </c>
      <c r="BD92" t="str">
        <f t="shared" si="27"/>
        <v xml:space="preserve">N887QR  </v>
      </c>
      <c r="BE92">
        <v>1</v>
      </c>
      <c r="BG92">
        <v>0</v>
      </c>
      <c r="BH92">
        <v>0</v>
      </c>
      <c r="BI92">
        <v>0</v>
      </c>
      <c r="BJ92">
        <v>400</v>
      </c>
      <c r="BK92">
        <v>-300</v>
      </c>
      <c r="BL92" t="s">
        <v>130</v>
      </c>
      <c r="BM92">
        <v>1</v>
      </c>
      <c r="BN92">
        <v>1</v>
      </c>
      <c r="BO92">
        <v>1</v>
      </c>
      <c r="BP92">
        <v>0</v>
      </c>
      <c r="BT92">
        <v>0</v>
      </c>
      <c r="BU92">
        <v>0</v>
      </c>
      <c r="CE92" t="str">
        <f t="shared" si="38"/>
        <v>19:25:55.330</v>
      </c>
      <c r="CF92">
        <v>1329787104</v>
      </c>
      <c r="CS92">
        <v>3</v>
      </c>
      <c r="CT92">
        <v>2</v>
      </c>
      <c r="CU92">
        <v>0</v>
      </c>
      <c r="CV92">
        <v>2</v>
      </c>
      <c r="CW92">
        <v>0</v>
      </c>
      <c r="CX92">
        <v>3</v>
      </c>
      <c r="CY92">
        <v>7</v>
      </c>
      <c r="CZ92" t="s">
        <v>131</v>
      </c>
      <c r="DA92">
        <v>286</v>
      </c>
      <c r="DB92">
        <v>0</v>
      </c>
      <c r="DC92" t="s">
        <v>132</v>
      </c>
      <c r="DD92" t="s">
        <v>133</v>
      </c>
      <c r="DG92">
        <v>782771</v>
      </c>
      <c r="DI92">
        <v>0</v>
      </c>
      <c r="DJ92">
        <v>0</v>
      </c>
      <c r="DK92">
        <v>0</v>
      </c>
      <c r="DL92">
        <v>0</v>
      </c>
      <c r="DM92">
        <v>0</v>
      </c>
      <c r="DN92">
        <v>1</v>
      </c>
      <c r="DO92">
        <v>0</v>
      </c>
      <c r="DP92">
        <v>0</v>
      </c>
      <c r="DQ92">
        <v>0</v>
      </c>
      <c r="DR92">
        <v>0</v>
      </c>
      <c r="DS92">
        <v>0</v>
      </c>
    </row>
    <row r="93" spans="1:123" x14ac:dyDescent="0.3">
      <c r="A93" t="str">
        <f t="shared" si="36"/>
        <v>10/04/2022 19:25:55.745</v>
      </c>
      <c r="C93" t="str">
        <f t="shared" si="25"/>
        <v>FFDFD3C0</v>
      </c>
      <c r="D93" t="s">
        <v>136</v>
      </c>
      <c r="E93">
        <v>8</v>
      </c>
      <c r="H93">
        <v>225</v>
      </c>
      <c r="I93" t="s">
        <v>137</v>
      </c>
      <c r="J93" t="s">
        <v>138</v>
      </c>
      <c r="K93">
        <v>0</v>
      </c>
      <c r="L93">
        <v>3</v>
      </c>
      <c r="M93">
        <v>0</v>
      </c>
      <c r="N93">
        <v>2</v>
      </c>
      <c r="O93">
        <v>0</v>
      </c>
      <c r="P93">
        <v>1</v>
      </c>
      <c r="Q93">
        <v>0</v>
      </c>
      <c r="S93" t="str">
        <f t="shared" si="37"/>
        <v>19:25:54.328</v>
      </c>
      <c r="T93" t="str">
        <f t="shared" si="37"/>
        <v>19:25:54.328</v>
      </c>
      <c r="U93" t="str">
        <f t="shared" si="26"/>
        <v>AC3944</v>
      </c>
      <c r="V93">
        <v>0</v>
      </c>
      <c r="W93">
        <v>0</v>
      </c>
      <c r="X93">
        <v>2</v>
      </c>
      <c r="Y93">
        <v>0</v>
      </c>
      <c r="AA93">
        <v>0</v>
      </c>
      <c r="AB93">
        <v>8</v>
      </c>
      <c r="AC93">
        <v>3</v>
      </c>
      <c r="AD93">
        <v>0</v>
      </c>
      <c r="AE93">
        <v>9</v>
      </c>
      <c r="AF93" t="s">
        <v>138</v>
      </c>
      <c r="AG93">
        <v>0</v>
      </c>
      <c r="AH93">
        <v>3</v>
      </c>
      <c r="AI93">
        <v>1</v>
      </c>
      <c r="AJ93">
        <v>0</v>
      </c>
      <c r="AK93" t="s">
        <v>178</v>
      </c>
      <c r="AL93">
        <v>32.828028000000003</v>
      </c>
      <c r="AM93" t="s">
        <v>179</v>
      </c>
      <c r="AN93">
        <v>-116.980362</v>
      </c>
      <c r="AO93">
        <v>25</v>
      </c>
      <c r="AP93">
        <v>700</v>
      </c>
      <c r="AQ93" t="s">
        <v>129</v>
      </c>
      <c r="AR93">
        <v>-103</v>
      </c>
      <c r="AS93">
        <v>21</v>
      </c>
      <c r="AT93">
        <v>640</v>
      </c>
      <c r="BB93">
        <v>1200</v>
      </c>
      <c r="BC93">
        <v>1</v>
      </c>
      <c r="BD93" t="str">
        <f t="shared" si="27"/>
        <v xml:space="preserve">N887QR  </v>
      </c>
      <c r="BE93">
        <v>1</v>
      </c>
      <c r="BG93">
        <v>0</v>
      </c>
      <c r="BH93">
        <v>0</v>
      </c>
      <c r="BI93">
        <v>0</v>
      </c>
      <c r="BJ93">
        <v>400</v>
      </c>
      <c r="BK93">
        <v>-300</v>
      </c>
      <c r="BL93" t="s">
        <v>163</v>
      </c>
      <c r="BM93">
        <v>1</v>
      </c>
      <c r="BN93">
        <v>1</v>
      </c>
      <c r="BO93">
        <v>1</v>
      </c>
      <c r="BP93">
        <v>0</v>
      </c>
      <c r="BS93">
        <v>0</v>
      </c>
      <c r="BT93">
        <v>0</v>
      </c>
      <c r="BU93">
        <v>0</v>
      </c>
      <c r="CE93" t="str">
        <f t="shared" si="38"/>
        <v>19:25:55.330</v>
      </c>
      <c r="CF93">
        <v>1329787104</v>
      </c>
      <c r="CS93">
        <v>3</v>
      </c>
      <c r="CT93">
        <v>2</v>
      </c>
      <c r="CU93">
        <v>0</v>
      </c>
      <c r="CV93">
        <v>2</v>
      </c>
      <c r="CW93">
        <v>0</v>
      </c>
      <c r="CX93">
        <v>3</v>
      </c>
      <c r="CY93">
        <v>7</v>
      </c>
      <c r="CZ93" t="s">
        <v>131</v>
      </c>
      <c r="DA93">
        <v>286</v>
      </c>
      <c r="DB93">
        <v>0</v>
      </c>
      <c r="DC93" t="s">
        <v>132</v>
      </c>
      <c r="DD93" t="s">
        <v>133</v>
      </c>
      <c r="DG93">
        <v>782771</v>
      </c>
      <c r="DI93">
        <v>0</v>
      </c>
      <c r="DJ93">
        <v>0</v>
      </c>
      <c r="DK93">
        <v>1</v>
      </c>
      <c r="DL93">
        <v>0</v>
      </c>
      <c r="DM93">
        <v>0</v>
      </c>
      <c r="DN93">
        <v>1</v>
      </c>
      <c r="DO93">
        <v>0</v>
      </c>
      <c r="DP93">
        <v>0</v>
      </c>
      <c r="DQ93">
        <v>0</v>
      </c>
      <c r="DR93">
        <v>0</v>
      </c>
      <c r="DS93">
        <v>0</v>
      </c>
    </row>
    <row r="94" spans="1:123" x14ac:dyDescent="0.3">
      <c r="A94" t="str">
        <f t="shared" si="36"/>
        <v>10/04/2022 19:25:55.745</v>
      </c>
      <c r="C94" t="str">
        <f t="shared" si="25"/>
        <v>FFDFD3C0</v>
      </c>
      <c r="D94" t="s">
        <v>141</v>
      </c>
      <c r="E94">
        <v>4</v>
      </c>
      <c r="H94">
        <v>4</v>
      </c>
      <c r="I94" t="s">
        <v>142</v>
      </c>
      <c r="J94" t="s">
        <v>138</v>
      </c>
      <c r="K94">
        <v>0</v>
      </c>
      <c r="L94">
        <v>3</v>
      </c>
      <c r="M94">
        <v>0</v>
      </c>
      <c r="N94">
        <v>2</v>
      </c>
      <c r="O94">
        <v>0</v>
      </c>
      <c r="P94">
        <v>1</v>
      </c>
      <c r="Q94">
        <v>0</v>
      </c>
      <c r="S94" t="str">
        <f t="shared" si="37"/>
        <v>19:25:54.328</v>
      </c>
      <c r="T94" t="str">
        <f t="shared" si="37"/>
        <v>19:25:54.328</v>
      </c>
      <c r="U94" t="str">
        <f t="shared" si="26"/>
        <v>AC3944</v>
      </c>
      <c r="V94">
        <v>0</v>
      </c>
      <c r="W94">
        <v>0</v>
      </c>
      <c r="X94">
        <v>2</v>
      </c>
      <c r="Y94">
        <v>0</v>
      </c>
      <c r="AA94">
        <v>0</v>
      </c>
      <c r="AB94">
        <v>8</v>
      </c>
      <c r="AC94">
        <v>3</v>
      </c>
      <c r="AD94">
        <v>0</v>
      </c>
      <c r="AE94">
        <v>9</v>
      </c>
      <c r="AF94" t="s">
        <v>138</v>
      </c>
      <c r="AG94">
        <v>0</v>
      </c>
      <c r="AH94">
        <v>3</v>
      </c>
      <c r="AI94">
        <v>1</v>
      </c>
      <c r="AJ94">
        <v>0</v>
      </c>
      <c r="AK94" t="s">
        <v>178</v>
      </c>
      <c r="AL94">
        <v>32.828028000000003</v>
      </c>
      <c r="AM94" t="s">
        <v>179</v>
      </c>
      <c r="AN94">
        <v>-116.980362</v>
      </c>
      <c r="AO94">
        <v>25</v>
      </c>
      <c r="AP94">
        <v>700</v>
      </c>
      <c r="AQ94" t="s">
        <v>129</v>
      </c>
      <c r="AR94">
        <v>-103</v>
      </c>
      <c r="AS94">
        <v>21</v>
      </c>
      <c r="AT94">
        <v>640</v>
      </c>
      <c r="BB94">
        <v>1200</v>
      </c>
      <c r="BC94">
        <v>1</v>
      </c>
      <c r="BD94" t="str">
        <f t="shared" si="27"/>
        <v xml:space="preserve">N887QR  </v>
      </c>
      <c r="BE94">
        <v>1</v>
      </c>
      <c r="BG94">
        <v>0</v>
      </c>
      <c r="BH94">
        <v>0</v>
      </c>
      <c r="BI94">
        <v>0</v>
      </c>
      <c r="BJ94">
        <v>400</v>
      </c>
      <c r="BK94">
        <v>-300</v>
      </c>
      <c r="BL94" t="s">
        <v>163</v>
      </c>
      <c r="BM94">
        <v>1</v>
      </c>
      <c r="BN94">
        <v>1</v>
      </c>
      <c r="BO94">
        <v>1</v>
      </c>
      <c r="BP94">
        <v>0</v>
      </c>
      <c r="BS94">
        <v>0</v>
      </c>
      <c r="BT94">
        <v>0</v>
      </c>
      <c r="BU94">
        <v>0</v>
      </c>
      <c r="CE94" t="str">
        <f t="shared" si="38"/>
        <v>19:25:55.330</v>
      </c>
      <c r="CF94">
        <v>1329787104</v>
      </c>
      <c r="CS94">
        <v>3</v>
      </c>
      <c r="CT94">
        <v>2</v>
      </c>
      <c r="CU94">
        <v>0</v>
      </c>
      <c r="CV94">
        <v>2</v>
      </c>
      <c r="CW94">
        <v>0</v>
      </c>
      <c r="CX94">
        <v>3</v>
      </c>
      <c r="CY94">
        <v>7</v>
      </c>
      <c r="CZ94" t="s">
        <v>131</v>
      </c>
      <c r="DA94">
        <v>286</v>
      </c>
      <c r="DB94">
        <v>0</v>
      </c>
      <c r="DC94" t="s">
        <v>132</v>
      </c>
      <c r="DD94" t="s">
        <v>133</v>
      </c>
      <c r="DG94">
        <v>782771</v>
      </c>
      <c r="DI94">
        <v>0</v>
      </c>
      <c r="DJ94">
        <v>0</v>
      </c>
      <c r="DK94">
        <v>1</v>
      </c>
      <c r="DL94">
        <v>0</v>
      </c>
      <c r="DM94">
        <v>0</v>
      </c>
      <c r="DN94">
        <v>1</v>
      </c>
      <c r="DO94">
        <v>0</v>
      </c>
      <c r="DP94">
        <v>0</v>
      </c>
      <c r="DQ94">
        <v>0</v>
      </c>
      <c r="DR94">
        <v>0</v>
      </c>
      <c r="DS94">
        <v>0</v>
      </c>
    </row>
    <row r="95" spans="1:123" x14ac:dyDescent="0.3">
      <c r="A95" t="str">
        <f t="shared" si="36"/>
        <v>10/04/2022 19:25:55.745</v>
      </c>
      <c r="C95" t="str">
        <f t="shared" si="25"/>
        <v>FFDFD3C0</v>
      </c>
      <c r="D95" t="s">
        <v>143</v>
      </c>
      <c r="E95">
        <v>20</v>
      </c>
      <c r="F95">
        <v>1020</v>
      </c>
      <c r="G95" t="s">
        <v>144</v>
      </c>
      <c r="J95" t="s">
        <v>145</v>
      </c>
      <c r="K95">
        <v>0</v>
      </c>
      <c r="L95">
        <v>3</v>
      </c>
      <c r="M95">
        <v>0</v>
      </c>
      <c r="N95">
        <v>2</v>
      </c>
      <c r="O95">
        <v>0</v>
      </c>
      <c r="P95">
        <v>1</v>
      </c>
      <c r="Q95">
        <v>0</v>
      </c>
      <c r="S95" t="str">
        <f t="shared" si="37"/>
        <v>19:25:54.328</v>
      </c>
      <c r="T95" t="str">
        <f t="shared" si="37"/>
        <v>19:25:54.328</v>
      </c>
      <c r="U95" t="str">
        <f t="shared" si="26"/>
        <v>AC3944</v>
      </c>
      <c r="V95">
        <v>0</v>
      </c>
      <c r="W95">
        <v>0</v>
      </c>
      <c r="X95">
        <v>2</v>
      </c>
      <c r="Y95">
        <v>0</v>
      </c>
      <c r="AA95">
        <v>0</v>
      </c>
      <c r="AB95">
        <v>8</v>
      </c>
      <c r="AC95">
        <v>3</v>
      </c>
      <c r="AD95">
        <v>0</v>
      </c>
      <c r="AE95">
        <v>9</v>
      </c>
      <c r="AF95" t="s">
        <v>138</v>
      </c>
      <c r="AG95">
        <v>0</v>
      </c>
      <c r="AH95">
        <v>3</v>
      </c>
      <c r="AI95">
        <v>1</v>
      </c>
      <c r="AJ95">
        <v>0</v>
      </c>
      <c r="AK95" t="s">
        <v>178</v>
      </c>
      <c r="AL95">
        <v>32.828028000000003</v>
      </c>
      <c r="AM95" t="s">
        <v>179</v>
      </c>
      <c r="AN95">
        <v>-116.980362</v>
      </c>
      <c r="AO95">
        <v>25</v>
      </c>
      <c r="AP95">
        <v>700</v>
      </c>
      <c r="AQ95" t="s">
        <v>129</v>
      </c>
      <c r="AR95">
        <v>-103</v>
      </c>
      <c r="AS95">
        <v>21</v>
      </c>
      <c r="AT95">
        <v>640</v>
      </c>
      <c r="BB95">
        <v>1200</v>
      </c>
      <c r="BC95">
        <v>1</v>
      </c>
      <c r="BD95" t="str">
        <f t="shared" si="27"/>
        <v xml:space="preserve">N887QR  </v>
      </c>
      <c r="BE95">
        <v>1</v>
      </c>
      <c r="BG95">
        <v>0</v>
      </c>
      <c r="BH95">
        <v>0</v>
      </c>
      <c r="BI95">
        <v>0</v>
      </c>
      <c r="BJ95">
        <v>400</v>
      </c>
      <c r="BK95">
        <v>-300</v>
      </c>
      <c r="BL95" t="s">
        <v>130</v>
      </c>
      <c r="BM95">
        <v>1</v>
      </c>
      <c r="BN95">
        <v>1</v>
      </c>
      <c r="BO95">
        <v>1</v>
      </c>
      <c r="BP95">
        <v>0</v>
      </c>
      <c r="BT95">
        <v>0</v>
      </c>
      <c r="BU95">
        <v>0</v>
      </c>
      <c r="CE95" t="str">
        <f t="shared" si="38"/>
        <v>19:25:55.330</v>
      </c>
      <c r="CF95">
        <v>1329787104</v>
      </c>
      <c r="CS95">
        <v>3</v>
      </c>
      <c r="CT95">
        <v>2</v>
      </c>
      <c r="CU95">
        <v>0</v>
      </c>
      <c r="CV95">
        <v>2</v>
      </c>
      <c r="CW95">
        <v>0</v>
      </c>
      <c r="CX95">
        <v>3</v>
      </c>
      <c r="CY95">
        <v>7</v>
      </c>
      <c r="CZ95" t="s">
        <v>131</v>
      </c>
      <c r="DA95">
        <v>286</v>
      </c>
      <c r="DB95">
        <v>0</v>
      </c>
      <c r="DC95" t="s">
        <v>132</v>
      </c>
      <c r="DD95" t="s">
        <v>133</v>
      </c>
      <c r="DG95">
        <v>782771</v>
      </c>
      <c r="DI95">
        <v>0</v>
      </c>
      <c r="DJ95">
        <v>0</v>
      </c>
      <c r="DK95">
        <v>1</v>
      </c>
      <c r="DL95">
        <v>0</v>
      </c>
      <c r="DM95">
        <v>0</v>
      </c>
      <c r="DN95">
        <v>1</v>
      </c>
      <c r="DO95">
        <v>0</v>
      </c>
      <c r="DP95">
        <v>0</v>
      </c>
      <c r="DQ95">
        <v>0</v>
      </c>
      <c r="DR95">
        <v>0</v>
      </c>
      <c r="DS95">
        <v>0</v>
      </c>
    </row>
    <row r="96" spans="1:123" x14ac:dyDescent="0.3">
      <c r="A96" t="str">
        <f>"10/04/2022 19:25:56.712"</f>
        <v>10/04/2022 19:25:56.712</v>
      </c>
      <c r="C96" t="str">
        <f t="shared" si="25"/>
        <v>FFDFD3C0</v>
      </c>
      <c r="D96" t="s">
        <v>123</v>
      </c>
      <c r="E96">
        <v>7</v>
      </c>
      <c r="F96">
        <v>2007</v>
      </c>
      <c r="G96" t="s">
        <v>124</v>
      </c>
      <c r="J96" t="s">
        <v>125</v>
      </c>
      <c r="K96">
        <v>0</v>
      </c>
      <c r="L96">
        <v>3</v>
      </c>
      <c r="M96">
        <v>0</v>
      </c>
      <c r="N96">
        <v>2</v>
      </c>
      <c r="O96">
        <v>0</v>
      </c>
      <c r="P96">
        <v>1</v>
      </c>
      <c r="Q96">
        <v>0</v>
      </c>
      <c r="S96" t="str">
        <f t="shared" ref="S96:T102" si="39">"19:25:55.344"</f>
        <v>19:25:55.344</v>
      </c>
      <c r="T96" t="str">
        <f t="shared" si="39"/>
        <v>19:25:55.344</v>
      </c>
      <c r="U96" t="str">
        <f t="shared" si="26"/>
        <v>AC3944</v>
      </c>
      <c r="V96">
        <v>0</v>
      </c>
      <c r="W96">
        <v>0</v>
      </c>
      <c r="X96">
        <v>2</v>
      </c>
      <c r="Y96">
        <v>0</v>
      </c>
      <c r="AA96">
        <v>0</v>
      </c>
      <c r="AB96">
        <v>8</v>
      </c>
      <c r="AC96">
        <v>3</v>
      </c>
      <c r="AD96">
        <v>0</v>
      </c>
      <c r="AE96">
        <v>9</v>
      </c>
      <c r="AF96" t="s">
        <v>138</v>
      </c>
      <c r="AG96">
        <v>0</v>
      </c>
      <c r="AH96">
        <v>3</v>
      </c>
      <c r="AI96">
        <v>1</v>
      </c>
      <c r="AJ96">
        <v>0</v>
      </c>
      <c r="AK96" t="s">
        <v>180</v>
      </c>
      <c r="AL96">
        <v>32.828135000000003</v>
      </c>
      <c r="AM96" t="s">
        <v>181</v>
      </c>
      <c r="AN96">
        <v>-116.98092</v>
      </c>
      <c r="AO96">
        <v>25</v>
      </c>
      <c r="AP96">
        <v>800</v>
      </c>
      <c r="AQ96" t="s">
        <v>129</v>
      </c>
      <c r="AR96">
        <v>-102</v>
      </c>
      <c r="AS96">
        <v>21</v>
      </c>
      <c r="AT96">
        <v>1088</v>
      </c>
      <c r="BB96">
        <v>1200</v>
      </c>
      <c r="BC96">
        <v>1</v>
      </c>
      <c r="BD96" t="str">
        <f t="shared" si="27"/>
        <v xml:space="preserve">N887QR  </v>
      </c>
      <c r="BE96">
        <v>1</v>
      </c>
      <c r="BG96">
        <v>0</v>
      </c>
      <c r="BH96">
        <v>0</v>
      </c>
      <c r="BI96">
        <v>0</v>
      </c>
      <c r="BJ96">
        <v>425</v>
      </c>
      <c r="BK96">
        <v>-375</v>
      </c>
      <c r="BL96" t="s">
        <v>130</v>
      </c>
      <c r="BM96">
        <v>1</v>
      </c>
      <c r="BN96">
        <v>1</v>
      </c>
      <c r="BO96">
        <v>1</v>
      </c>
      <c r="BP96">
        <v>0</v>
      </c>
      <c r="BT96">
        <v>0</v>
      </c>
      <c r="BU96">
        <v>0</v>
      </c>
      <c r="CE96" t="str">
        <f t="shared" ref="CE96:CE102" si="40">"19:25:56.347"</f>
        <v>19:25:56.347</v>
      </c>
      <c r="CF96">
        <v>1347290383</v>
      </c>
      <c r="CS96">
        <v>3</v>
      </c>
      <c r="CT96">
        <v>2</v>
      </c>
      <c r="CU96">
        <v>0</v>
      </c>
      <c r="CV96">
        <v>2</v>
      </c>
      <c r="CW96">
        <v>0</v>
      </c>
      <c r="CX96">
        <v>3</v>
      </c>
      <c r="CY96">
        <v>7</v>
      </c>
      <c r="CZ96" t="s">
        <v>131</v>
      </c>
      <c r="DA96">
        <v>286</v>
      </c>
      <c r="DB96">
        <v>0</v>
      </c>
      <c r="DC96" t="s">
        <v>132</v>
      </c>
      <c r="DD96" t="s">
        <v>133</v>
      </c>
      <c r="DG96">
        <v>782957</v>
      </c>
      <c r="DI96">
        <v>0</v>
      </c>
      <c r="DJ96">
        <v>0</v>
      </c>
      <c r="DK96">
        <v>0</v>
      </c>
      <c r="DL96">
        <v>0</v>
      </c>
      <c r="DM96">
        <v>0</v>
      </c>
      <c r="DN96">
        <v>1</v>
      </c>
      <c r="DO96">
        <v>0</v>
      </c>
      <c r="DP96">
        <v>0</v>
      </c>
      <c r="DQ96">
        <v>0</v>
      </c>
      <c r="DR96">
        <v>0</v>
      </c>
      <c r="DS96">
        <v>0</v>
      </c>
    </row>
    <row r="97" spans="1:123" x14ac:dyDescent="0.3">
      <c r="A97" t="str">
        <f>"10/04/2022 19:25:56.712"</f>
        <v>10/04/2022 19:25:56.712</v>
      </c>
      <c r="C97" t="str">
        <f t="shared" si="25"/>
        <v>FFDFD3C0</v>
      </c>
      <c r="D97" t="s">
        <v>141</v>
      </c>
      <c r="E97">
        <v>3</v>
      </c>
      <c r="H97">
        <v>3</v>
      </c>
      <c r="I97" t="s">
        <v>146</v>
      </c>
      <c r="J97" t="s">
        <v>138</v>
      </c>
      <c r="K97">
        <v>0</v>
      </c>
      <c r="L97">
        <v>3</v>
      </c>
      <c r="M97">
        <v>0</v>
      </c>
      <c r="N97">
        <v>2</v>
      </c>
      <c r="O97">
        <v>0</v>
      </c>
      <c r="P97">
        <v>1</v>
      </c>
      <c r="Q97">
        <v>0</v>
      </c>
      <c r="S97" t="str">
        <f t="shared" si="39"/>
        <v>19:25:55.344</v>
      </c>
      <c r="T97" t="str">
        <f t="shared" si="39"/>
        <v>19:25:55.344</v>
      </c>
      <c r="U97" t="str">
        <f t="shared" si="26"/>
        <v>AC3944</v>
      </c>
      <c r="V97">
        <v>0</v>
      </c>
      <c r="W97">
        <v>0</v>
      </c>
      <c r="X97">
        <v>2</v>
      </c>
      <c r="Y97">
        <v>0</v>
      </c>
      <c r="AA97">
        <v>0</v>
      </c>
      <c r="AB97">
        <v>8</v>
      </c>
      <c r="AC97">
        <v>3</v>
      </c>
      <c r="AD97">
        <v>0</v>
      </c>
      <c r="AE97">
        <v>9</v>
      </c>
      <c r="AF97" t="s">
        <v>138</v>
      </c>
      <c r="AG97">
        <v>0</v>
      </c>
      <c r="AH97">
        <v>3</v>
      </c>
      <c r="AI97">
        <v>1</v>
      </c>
      <c r="AJ97">
        <v>0</v>
      </c>
      <c r="AK97" t="s">
        <v>180</v>
      </c>
      <c r="AL97">
        <v>32.828135000000003</v>
      </c>
      <c r="AM97" t="s">
        <v>181</v>
      </c>
      <c r="AN97">
        <v>-116.98092</v>
      </c>
      <c r="AO97">
        <v>25</v>
      </c>
      <c r="AP97">
        <v>800</v>
      </c>
      <c r="AQ97" t="s">
        <v>129</v>
      </c>
      <c r="AR97">
        <v>-102</v>
      </c>
      <c r="AS97">
        <v>21</v>
      </c>
      <c r="AT97">
        <v>1088</v>
      </c>
      <c r="BB97">
        <v>1200</v>
      </c>
      <c r="BC97">
        <v>1</v>
      </c>
      <c r="BD97" t="str">
        <f t="shared" si="27"/>
        <v xml:space="preserve">N887QR  </v>
      </c>
      <c r="BE97">
        <v>1</v>
      </c>
      <c r="BG97">
        <v>0</v>
      </c>
      <c r="BH97">
        <v>0</v>
      </c>
      <c r="BI97">
        <v>0</v>
      </c>
      <c r="BJ97">
        <v>425</v>
      </c>
      <c r="BK97">
        <v>-375</v>
      </c>
      <c r="BL97" t="s">
        <v>163</v>
      </c>
      <c r="BM97">
        <v>1</v>
      </c>
      <c r="BN97">
        <v>1</v>
      </c>
      <c r="BO97">
        <v>1</v>
      </c>
      <c r="BP97">
        <v>0</v>
      </c>
      <c r="BS97">
        <v>0</v>
      </c>
      <c r="BT97">
        <v>0</v>
      </c>
      <c r="BU97">
        <v>0</v>
      </c>
      <c r="CE97" t="str">
        <f t="shared" si="40"/>
        <v>19:25:56.347</v>
      </c>
      <c r="CF97">
        <v>1347290383</v>
      </c>
      <c r="CS97">
        <v>3</v>
      </c>
      <c r="CT97">
        <v>2</v>
      </c>
      <c r="CU97">
        <v>0</v>
      </c>
      <c r="CV97">
        <v>2</v>
      </c>
      <c r="CW97">
        <v>0</v>
      </c>
      <c r="CX97">
        <v>3</v>
      </c>
      <c r="CY97">
        <v>7</v>
      </c>
      <c r="CZ97" t="s">
        <v>131</v>
      </c>
      <c r="DA97">
        <v>286</v>
      </c>
      <c r="DB97">
        <v>0</v>
      </c>
      <c r="DC97" t="s">
        <v>132</v>
      </c>
      <c r="DD97" t="s">
        <v>133</v>
      </c>
      <c r="DG97">
        <v>782957</v>
      </c>
      <c r="DI97">
        <v>0</v>
      </c>
      <c r="DJ97">
        <v>0</v>
      </c>
      <c r="DK97">
        <v>1</v>
      </c>
      <c r="DL97">
        <v>0</v>
      </c>
      <c r="DM97">
        <v>0</v>
      </c>
      <c r="DN97">
        <v>1</v>
      </c>
      <c r="DO97">
        <v>0</v>
      </c>
      <c r="DP97">
        <v>0</v>
      </c>
      <c r="DQ97">
        <v>0</v>
      </c>
      <c r="DR97">
        <v>0</v>
      </c>
      <c r="DS97">
        <v>0</v>
      </c>
    </row>
    <row r="98" spans="1:123" x14ac:dyDescent="0.3">
      <c r="A98" t="str">
        <f>"10/04/2022 19:25:56.712"</f>
        <v>10/04/2022 19:25:56.712</v>
      </c>
      <c r="C98" t="str">
        <f t="shared" si="25"/>
        <v>FFDFD3C0</v>
      </c>
      <c r="D98" t="s">
        <v>147</v>
      </c>
      <c r="E98">
        <v>3</v>
      </c>
      <c r="H98">
        <v>166</v>
      </c>
      <c r="I98" t="s">
        <v>144</v>
      </c>
      <c r="J98" t="s">
        <v>148</v>
      </c>
      <c r="K98">
        <v>0</v>
      </c>
      <c r="L98">
        <v>3</v>
      </c>
      <c r="M98">
        <v>0</v>
      </c>
      <c r="N98">
        <v>2</v>
      </c>
      <c r="O98">
        <v>0</v>
      </c>
      <c r="P98">
        <v>1</v>
      </c>
      <c r="Q98">
        <v>0</v>
      </c>
      <c r="S98" t="str">
        <f t="shared" si="39"/>
        <v>19:25:55.344</v>
      </c>
      <c r="T98" t="str">
        <f t="shared" si="39"/>
        <v>19:25:55.344</v>
      </c>
      <c r="U98" t="str">
        <f t="shared" si="26"/>
        <v>AC3944</v>
      </c>
      <c r="V98">
        <v>0</v>
      </c>
      <c r="W98">
        <v>0</v>
      </c>
      <c r="X98">
        <v>2</v>
      </c>
      <c r="Y98">
        <v>0</v>
      </c>
      <c r="AA98">
        <v>0</v>
      </c>
      <c r="AB98">
        <v>8</v>
      </c>
      <c r="AC98">
        <v>3</v>
      </c>
      <c r="AD98">
        <v>0</v>
      </c>
      <c r="AE98">
        <v>9</v>
      </c>
      <c r="AF98" t="s">
        <v>138</v>
      </c>
      <c r="AG98">
        <v>0</v>
      </c>
      <c r="AH98">
        <v>3</v>
      </c>
      <c r="AI98">
        <v>1</v>
      </c>
      <c r="AJ98">
        <v>0</v>
      </c>
      <c r="AK98" t="s">
        <v>180</v>
      </c>
      <c r="AL98">
        <v>32.828135000000003</v>
      </c>
      <c r="AM98" t="s">
        <v>181</v>
      </c>
      <c r="AN98">
        <v>-116.98092</v>
      </c>
      <c r="AO98">
        <v>25</v>
      </c>
      <c r="AP98">
        <v>800</v>
      </c>
      <c r="AQ98" t="s">
        <v>129</v>
      </c>
      <c r="AR98">
        <v>-102</v>
      </c>
      <c r="AS98">
        <v>21</v>
      </c>
      <c r="AT98">
        <v>1088</v>
      </c>
      <c r="BB98">
        <v>1200</v>
      </c>
      <c r="BC98">
        <v>1</v>
      </c>
      <c r="BD98" t="str">
        <f t="shared" si="27"/>
        <v xml:space="preserve">N887QR  </v>
      </c>
      <c r="BE98">
        <v>1</v>
      </c>
      <c r="BG98">
        <v>0</v>
      </c>
      <c r="BH98">
        <v>0</v>
      </c>
      <c r="BI98">
        <v>0</v>
      </c>
      <c r="BJ98">
        <v>425</v>
      </c>
      <c r="BK98">
        <v>-375</v>
      </c>
      <c r="BL98" t="s">
        <v>163</v>
      </c>
      <c r="BM98">
        <v>1</v>
      </c>
      <c r="BN98">
        <v>1</v>
      </c>
      <c r="BO98">
        <v>1</v>
      </c>
      <c r="BP98">
        <v>0</v>
      </c>
      <c r="BS98">
        <v>0</v>
      </c>
      <c r="BT98">
        <v>0</v>
      </c>
      <c r="BU98">
        <v>0</v>
      </c>
      <c r="CE98" t="str">
        <f t="shared" si="40"/>
        <v>19:25:56.347</v>
      </c>
      <c r="CF98">
        <v>1347290383</v>
      </c>
      <c r="CS98">
        <v>3</v>
      </c>
      <c r="CT98">
        <v>2</v>
      </c>
      <c r="CU98">
        <v>0</v>
      </c>
      <c r="CV98">
        <v>2</v>
      </c>
      <c r="CW98">
        <v>0</v>
      </c>
      <c r="CX98">
        <v>3</v>
      </c>
      <c r="CY98">
        <v>7</v>
      </c>
      <c r="CZ98" t="s">
        <v>131</v>
      </c>
      <c r="DA98">
        <v>286</v>
      </c>
      <c r="DB98">
        <v>0</v>
      </c>
      <c r="DC98" t="s">
        <v>132</v>
      </c>
      <c r="DD98" t="s">
        <v>133</v>
      </c>
      <c r="DG98">
        <v>782957</v>
      </c>
      <c r="DI98">
        <v>0</v>
      </c>
      <c r="DJ98">
        <v>0</v>
      </c>
      <c r="DK98">
        <v>1</v>
      </c>
      <c r="DL98">
        <v>0</v>
      </c>
      <c r="DM98">
        <v>0</v>
      </c>
      <c r="DN98">
        <v>1</v>
      </c>
      <c r="DO98">
        <v>0</v>
      </c>
      <c r="DP98">
        <v>0</v>
      </c>
      <c r="DQ98">
        <v>0</v>
      </c>
      <c r="DR98">
        <v>0</v>
      </c>
      <c r="DS98">
        <v>0</v>
      </c>
    </row>
    <row r="99" spans="1:123" x14ac:dyDescent="0.3">
      <c r="A99" t="str">
        <f>"10/04/2022 19:25:56.776"</f>
        <v>10/04/2022 19:25:56.776</v>
      </c>
      <c r="C99" t="str">
        <f t="shared" si="25"/>
        <v>FFDFD3C0</v>
      </c>
      <c r="D99" t="s">
        <v>134</v>
      </c>
      <c r="E99">
        <v>15</v>
      </c>
      <c r="J99" t="s">
        <v>135</v>
      </c>
      <c r="K99">
        <v>0</v>
      </c>
      <c r="L99">
        <v>3</v>
      </c>
      <c r="M99">
        <v>0</v>
      </c>
      <c r="N99">
        <v>2</v>
      </c>
      <c r="O99">
        <v>0</v>
      </c>
      <c r="P99">
        <v>1</v>
      </c>
      <c r="Q99">
        <v>0</v>
      </c>
      <c r="S99" t="str">
        <f t="shared" si="39"/>
        <v>19:25:55.344</v>
      </c>
      <c r="T99" t="str">
        <f t="shared" si="39"/>
        <v>19:25:55.344</v>
      </c>
      <c r="U99" t="str">
        <f t="shared" si="26"/>
        <v>AC3944</v>
      </c>
      <c r="V99">
        <v>0</v>
      </c>
      <c r="W99">
        <v>0</v>
      </c>
      <c r="X99">
        <v>2</v>
      </c>
      <c r="Y99">
        <v>0</v>
      </c>
      <c r="AA99">
        <v>0</v>
      </c>
      <c r="AB99">
        <v>8</v>
      </c>
      <c r="AC99">
        <v>3</v>
      </c>
      <c r="AD99">
        <v>0</v>
      </c>
      <c r="AE99">
        <v>9</v>
      </c>
      <c r="AF99" t="s">
        <v>138</v>
      </c>
      <c r="AG99">
        <v>0</v>
      </c>
      <c r="AH99">
        <v>3</v>
      </c>
      <c r="AI99">
        <v>1</v>
      </c>
      <c r="AJ99">
        <v>0</v>
      </c>
      <c r="AK99" t="s">
        <v>180</v>
      </c>
      <c r="AL99">
        <v>32.828135000000003</v>
      </c>
      <c r="AM99" t="s">
        <v>181</v>
      </c>
      <c r="AN99">
        <v>-116.98092</v>
      </c>
      <c r="AO99">
        <v>25</v>
      </c>
      <c r="AP99">
        <v>800</v>
      </c>
      <c r="AQ99" t="s">
        <v>129</v>
      </c>
      <c r="AR99">
        <v>-102</v>
      </c>
      <c r="AS99">
        <v>21</v>
      </c>
      <c r="AT99">
        <v>1088</v>
      </c>
      <c r="BB99">
        <v>1200</v>
      </c>
      <c r="BC99">
        <v>1</v>
      </c>
      <c r="BD99" t="str">
        <f t="shared" si="27"/>
        <v xml:space="preserve">N887QR  </v>
      </c>
      <c r="BE99">
        <v>1</v>
      </c>
      <c r="BG99">
        <v>0</v>
      </c>
      <c r="BH99">
        <v>0</v>
      </c>
      <c r="BI99">
        <v>0</v>
      </c>
      <c r="BJ99">
        <v>425</v>
      </c>
      <c r="BK99">
        <v>-375</v>
      </c>
      <c r="BL99" t="s">
        <v>130</v>
      </c>
      <c r="BM99">
        <v>1</v>
      </c>
      <c r="BN99">
        <v>1</v>
      </c>
      <c r="BO99">
        <v>1</v>
      </c>
      <c r="BP99">
        <v>0</v>
      </c>
      <c r="BT99">
        <v>0</v>
      </c>
      <c r="BU99">
        <v>0</v>
      </c>
      <c r="CE99" t="str">
        <f t="shared" si="40"/>
        <v>19:25:56.347</v>
      </c>
      <c r="CF99">
        <v>1347290383</v>
      </c>
      <c r="CS99">
        <v>3</v>
      </c>
      <c r="CT99">
        <v>2</v>
      </c>
      <c r="CU99">
        <v>0</v>
      </c>
      <c r="CV99">
        <v>2</v>
      </c>
      <c r="CW99">
        <v>0</v>
      </c>
      <c r="CX99">
        <v>3</v>
      </c>
      <c r="CY99">
        <v>7</v>
      </c>
      <c r="CZ99" t="s">
        <v>131</v>
      </c>
      <c r="DA99">
        <v>286</v>
      </c>
      <c r="DB99">
        <v>0</v>
      </c>
      <c r="DC99" t="s">
        <v>132</v>
      </c>
      <c r="DD99" t="s">
        <v>133</v>
      </c>
      <c r="DG99">
        <v>782957</v>
      </c>
      <c r="DI99">
        <v>0</v>
      </c>
      <c r="DJ99">
        <v>0</v>
      </c>
      <c r="DK99">
        <v>1</v>
      </c>
      <c r="DL99">
        <v>0</v>
      </c>
      <c r="DM99">
        <v>0</v>
      </c>
      <c r="DN99">
        <v>1</v>
      </c>
      <c r="DO99">
        <v>0</v>
      </c>
      <c r="DP99">
        <v>0</v>
      </c>
      <c r="DQ99">
        <v>0</v>
      </c>
      <c r="DR99">
        <v>0</v>
      </c>
      <c r="DS99">
        <v>0</v>
      </c>
    </row>
    <row r="100" spans="1:123" x14ac:dyDescent="0.3">
      <c r="A100" t="str">
        <f>"10/04/2022 19:25:56.790"</f>
        <v>10/04/2022 19:25:56.790</v>
      </c>
      <c r="C100" t="str">
        <f t="shared" si="25"/>
        <v>FFDFD3C0</v>
      </c>
      <c r="D100" t="s">
        <v>143</v>
      </c>
      <c r="E100">
        <v>20</v>
      </c>
      <c r="F100">
        <v>1020</v>
      </c>
      <c r="G100" t="s">
        <v>144</v>
      </c>
      <c r="J100" t="s">
        <v>145</v>
      </c>
      <c r="K100">
        <v>0</v>
      </c>
      <c r="L100">
        <v>3</v>
      </c>
      <c r="M100">
        <v>0</v>
      </c>
      <c r="N100">
        <v>2</v>
      </c>
      <c r="O100">
        <v>0</v>
      </c>
      <c r="P100">
        <v>1</v>
      </c>
      <c r="Q100">
        <v>0</v>
      </c>
      <c r="S100" t="str">
        <f t="shared" si="39"/>
        <v>19:25:55.344</v>
      </c>
      <c r="T100" t="str">
        <f t="shared" si="39"/>
        <v>19:25:55.344</v>
      </c>
      <c r="U100" t="str">
        <f t="shared" si="26"/>
        <v>AC3944</v>
      </c>
      <c r="V100">
        <v>0</v>
      </c>
      <c r="W100">
        <v>0</v>
      </c>
      <c r="X100">
        <v>2</v>
      </c>
      <c r="Y100">
        <v>0</v>
      </c>
      <c r="AA100">
        <v>0</v>
      </c>
      <c r="AB100">
        <v>8</v>
      </c>
      <c r="AC100">
        <v>3</v>
      </c>
      <c r="AD100">
        <v>0</v>
      </c>
      <c r="AE100">
        <v>9</v>
      </c>
      <c r="AF100" t="s">
        <v>138</v>
      </c>
      <c r="AG100">
        <v>0</v>
      </c>
      <c r="AH100">
        <v>3</v>
      </c>
      <c r="AI100">
        <v>1</v>
      </c>
      <c r="AJ100">
        <v>0</v>
      </c>
      <c r="AK100" t="s">
        <v>180</v>
      </c>
      <c r="AL100">
        <v>32.828135000000003</v>
      </c>
      <c r="AM100" t="s">
        <v>181</v>
      </c>
      <c r="AN100">
        <v>-116.98092</v>
      </c>
      <c r="AO100">
        <v>25</v>
      </c>
      <c r="AP100">
        <v>800</v>
      </c>
      <c r="AQ100" t="s">
        <v>129</v>
      </c>
      <c r="AR100">
        <v>-102</v>
      </c>
      <c r="AS100">
        <v>21</v>
      </c>
      <c r="AT100">
        <v>1088</v>
      </c>
      <c r="BB100">
        <v>1200</v>
      </c>
      <c r="BC100">
        <v>1</v>
      </c>
      <c r="BD100" t="str">
        <f t="shared" si="27"/>
        <v xml:space="preserve">N887QR  </v>
      </c>
      <c r="BE100">
        <v>1</v>
      </c>
      <c r="BG100">
        <v>0</v>
      </c>
      <c r="BH100">
        <v>0</v>
      </c>
      <c r="BI100">
        <v>0</v>
      </c>
      <c r="BJ100">
        <v>425</v>
      </c>
      <c r="BK100">
        <v>-375</v>
      </c>
      <c r="BL100" t="s">
        <v>130</v>
      </c>
      <c r="BM100">
        <v>1</v>
      </c>
      <c r="BN100">
        <v>1</v>
      </c>
      <c r="BO100">
        <v>1</v>
      </c>
      <c r="BP100">
        <v>0</v>
      </c>
      <c r="BT100">
        <v>0</v>
      </c>
      <c r="BU100">
        <v>0</v>
      </c>
      <c r="CE100" t="str">
        <f t="shared" si="40"/>
        <v>19:25:56.347</v>
      </c>
      <c r="CF100">
        <v>1347290383</v>
      </c>
      <c r="CS100">
        <v>3</v>
      </c>
      <c r="CT100">
        <v>2</v>
      </c>
      <c r="CU100">
        <v>0</v>
      </c>
      <c r="CV100">
        <v>2</v>
      </c>
      <c r="CW100">
        <v>0</v>
      </c>
      <c r="CX100">
        <v>3</v>
      </c>
      <c r="CY100">
        <v>7</v>
      </c>
      <c r="CZ100" t="s">
        <v>131</v>
      </c>
      <c r="DA100">
        <v>286</v>
      </c>
      <c r="DB100">
        <v>0</v>
      </c>
      <c r="DC100" t="s">
        <v>132</v>
      </c>
      <c r="DD100" t="s">
        <v>133</v>
      </c>
      <c r="DG100">
        <v>782957</v>
      </c>
      <c r="DI100">
        <v>0</v>
      </c>
      <c r="DJ100">
        <v>0</v>
      </c>
      <c r="DK100">
        <v>1</v>
      </c>
      <c r="DL100">
        <v>0</v>
      </c>
      <c r="DM100">
        <v>0</v>
      </c>
      <c r="DN100">
        <v>1</v>
      </c>
      <c r="DO100">
        <v>0</v>
      </c>
      <c r="DP100">
        <v>0</v>
      </c>
      <c r="DQ100">
        <v>0</v>
      </c>
      <c r="DR100">
        <v>0</v>
      </c>
      <c r="DS100">
        <v>0</v>
      </c>
    </row>
    <row r="101" spans="1:123" x14ac:dyDescent="0.3">
      <c r="A101" t="str">
        <f>"10/04/2022 19:25:56.790"</f>
        <v>10/04/2022 19:25:56.790</v>
      </c>
      <c r="C101" t="str">
        <f t="shared" si="25"/>
        <v>FFDFD3C0</v>
      </c>
      <c r="D101" t="s">
        <v>136</v>
      </c>
      <c r="E101">
        <v>8</v>
      </c>
      <c r="H101">
        <v>225</v>
      </c>
      <c r="I101" t="s">
        <v>137</v>
      </c>
      <c r="J101" t="s">
        <v>138</v>
      </c>
      <c r="K101">
        <v>0</v>
      </c>
      <c r="L101">
        <v>3</v>
      </c>
      <c r="M101">
        <v>0</v>
      </c>
      <c r="N101">
        <v>2</v>
      </c>
      <c r="O101">
        <v>0</v>
      </c>
      <c r="P101">
        <v>1</v>
      </c>
      <c r="Q101">
        <v>0</v>
      </c>
      <c r="S101" t="str">
        <f t="shared" si="39"/>
        <v>19:25:55.344</v>
      </c>
      <c r="T101" t="str">
        <f t="shared" si="39"/>
        <v>19:25:55.344</v>
      </c>
      <c r="U101" t="str">
        <f t="shared" si="26"/>
        <v>AC3944</v>
      </c>
      <c r="V101">
        <v>0</v>
      </c>
      <c r="W101">
        <v>0</v>
      </c>
      <c r="X101">
        <v>2</v>
      </c>
      <c r="Y101">
        <v>0</v>
      </c>
      <c r="AA101">
        <v>0</v>
      </c>
      <c r="AB101">
        <v>8</v>
      </c>
      <c r="AC101">
        <v>3</v>
      </c>
      <c r="AD101">
        <v>0</v>
      </c>
      <c r="AE101">
        <v>9</v>
      </c>
      <c r="AF101" t="s">
        <v>138</v>
      </c>
      <c r="AG101">
        <v>0</v>
      </c>
      <c r="AH101">
        <v>3</v>
      </c>
      <c r="AI101">
        <v>1</v>
      </c>
      <c r="AJ101">
        <v>0</v>
      </c>
      <c r="AK101" t="s">
        <v>180</v>
      </c>
      <c r="AL101">
        <v>32.828135000000003</v>
      </c>
      <c r="AM101" t="s">
        <v>181</v>
      </c>
      <c r="AN101">
        <v>-116.98092</v>
      </c>
      <c r="AO101">
        <v>25</v>
      </c>
      <c r="AP101">
        <v>800</v>
      </c>
      <c r="AQ101" t="s">
        <v>129</v>
      </c>
      <c r="AR101">
        <v>-102</v>
      </c>
      <c r="AS101">
        <v>21</v>
      </c>
      <c r="AT101">
        <v>1088</v>
      </c>
      <c r="BB101">
        <v>1200</v>
      </c>
      <c r="BC101">
        <v>1</v>
      </c>
      <c r="BD101" t="str">
        <f t="shared" si="27"/>
        <v xml:space="preserve">N887QR  </v>
      </c>
      <c r="BE101">
        <v>1</v>
      </c>
      <c r="BG101">
        <v>0</v>
      </c>
      <c r="BH101">
        <v>0</v>
      </c>
      <c r="BI101">
        <v>0</v>
      </c>
      <c r="BJ101">
        <v>425</v>
      </c>
      <c r="BK101">
        <v>-375</v>
      </c>
      <c r="BL101" t="s">
        <v>163</v>
      </c>
      <c r="BM101">
        <v>1</v>
      </c>
      <c r="BN101">
        <v>1</v>
      </c>
      <c r="BO101">
        <v>1</v>
      </c>
      <c r="BP101">
        <v>0</v>
      </c>
      <c r="BS101">
        <v>0</v>
      </c>
      <c r="BT101">
        <v>0</v>
      </c>
      <c r="BU101">
        <v>0</v>
      </c>
      <c r="CE101" t="str">
        <f t="shared" si="40"/>
        <v>19:25:56.347</v>
      </c>
      <c r="CF101">
        <v>1347290383</v>
      </c>
      <c r="CS101">
        <v>3</v>
      </c>
      <c r="CT101">
        <v>2</v>
      </c>
      <c r="CU101">
        <v>0</v>
      </c>
      <c r="CV101">
        <v>2</v>
      </c>
      <c r="CW101">
        <v>0</v>
      </c>
      <c r="CX101">
        <v>3</v>
      </c>
      <c r="CY101">
        <v>7</v>
      </c>
      <c r="CZ101" t="s">
        <v>131</v>
      </c>
      <c r="DA101">
        <v>286</v>
      </c>
      <c r="DB101">
        <v>0</v>
      </c>
      <c r="DC101" t="s">
        <v>132</v>
      </c>
      <c r="DD101" t="s">
        <v>133</v>
      </c>
      <c r="DG101">
        <v>782957</v>
      </c>
      <c r="DI101">
        <v>0</v>
      </c>
      <c r="DJ101">
        <v>0</v>
      </c>
      <c r="DK101">
        <v>1</v>
      </c>
      <c r="DL101">
        <v>0</v>
      </c>
      <c r="DM101">
        <v>0</v>
      </c>
      <c r="DN101">
        <v>1</v>
      </c>
      <c r="DO101">
        <v>0</v>
      </c>
      <c r="DP101">
        <v>0</v>
      </c>
      <c r="DQ101">
        <v>0</v>
      </c>
      <c r="DR101">
        <v>0</v>
      </c>
      <c r="DS101">
        <v>0</v>
      </c>
    </row>
    <row r="102" spans="1:123" x14ac:dyDescent="0.3">
      <c r="A102" t="str">
        <f>"10/04/2022 19:25:56.776"</f>
        <v>10/04/2022 19:25:56.776</v>
      </c>
      <c r="C102" t="str">
        <f t="shared" si="25"/>
        <v>FFDFD3C0</v>
      </c>
      <c r="D102" t="s">
        <v>141</v>
      </c>
      <c r="E102">
        <v>4</v>
      </c>
      <c r="H102">
        <v>4</v>
      </c>
      <c r="I102" t="s">
        <v>142</v>
      </c>
      <c r="J102" t="s">
        <v>138</v>
      </c>
      <c r="K102">
        <v>0</v>
      </c>
      <c r="L102">
        <v>3</v>
      </c>
      <c r="M102">
        <v>0</v>
      </c>
      <c r="N102">
        <v>2</v>
      </c>
      <c r="O102">
        <v>0</v>
      </c>
      <c r="P102">
        <v>1</v>
      </c>
      <c r="Q102">
        <v>0</v>
      </c>
      <c r="S102" t="str">
        <f t="shared" si="39"/>
        <v>19:25:55.344</v>
      </c>
      <c r="T102" t="str">
        <f t="shared" si="39"/>
        <v>19:25:55.344</v>
      </c>
      <c r="U102" t="str">
        <f t="shared" si="26"/>
        <v>AC3944</v>
      </c>
      <c r="V102">
        <v>0</v>
      </c>
      <c r="W102">
        <v>0</v>
      </c>
      <c r="X102">
        <v>2</v>
      </c>
      <c r="Y102">
        <v>0</v>
      </c>
      <c r="AA102">
        <v>0</v>
      </c>
      <c r="AB102">
        <v>8</v>
      </c>
      <c r="AC102">
        <v>3</v>
      </c>
      <c r="AD102">
        <v>0</v>
      </c>
      <c r="AE102">
        <v>9</v>
      </c>
      <c r="AF102" t="s">
        <v>138</v>
      </c>
      <c r="AG102">
        <v>0</v>
      </c>
      <c r="AH102">
        <v>3</v>
      </c>
      <c r="AI102">
        <v>1</v>
      </c>
      <c r="AJ102">
        <v>0</v>
      </c>
      <c r="AK102" t="s">
        <v>180</v>
      </c>
      <c r="AL102">
        <v>32.828135000000003</v>
      </c>
      <c r="AM102" t="s">
        <v>181</v>
      </c>
      <c r="AN102">
        <v>-116.98092</v>
      </c>
      <c r="AO102">
        <v>25</v>
      </c>
      <c r="AP102">
        <v>800</v>
      </c>
      <c r="AQ102" t="s">
        <v>129</v>
      </c>
      <c r="AR102">
        <v>-102</v>
      </c>
      <c r="AS102">
        <v>21</v>
      </c>
      <c r="AT102">
        <v>1088</v>
      </c>
      <c r="BB102">
        <v>1200</v>
      </c>
      <c r="BC102">
        <v>1</v>
      </c>
      <c r="BD102" t="str">
        <f t="shared" si="27"/>
        <v xml:space="preserve">N887QR  </v>
      </c>
      <c r="BE102">
        <v>1</v>
      </c>
      <c r="BG102">
        <v>0</v>
      </c>
      <c r="BH102">
        <v>0</v>
      </c>
      <c r="BI102">
        <v>0</v>
      </c>
      <c r="BJ102">
        <v>425</v>
      </c>
      <c r="BK102">
        <v>-375</v>
      </c>
      <c r="BL102" t="s">
        <v>163</v>
      </c>
      <c r="BM102">
        <v>1</v>
      </c>
      <c r="BN102">
        <v>1</v>
      </c>
      <c r="BO102">
        <v>1</v>
      </c>
      <c r="BP102">
        <v>0</v>
      </c>
      <c r="BS102">
        <v>0</v>
      </c>
      <c r="BT102">
        <v>0</v>
      </c>
      <c r="BU102">
        <v>0</v>
      </c>
      <c r="CE102" t="str">
        <f t="shared" si="40"/>
        <v>19:25:56.347</v>
      </c>
      <c r="CF102">
        <v>1347290383</v>
      </c>
      <c r="CS102">
        <v>3</v>
      </c>
      <c r="CT102">
        <v>2</v>
      </c>
      <c r="CU102">
        <v>0</v>
      </c>
      <c r="CV102">
        <v>2</v>
      </c>
      <c r="CW102">
        <v>0</v>
      </c>
      <c r="CX102">
        <v>3</v>
      </c>
      <c r="CY102">
        <v>7</v>
      </c>
      <c r="CZ102" t="s">
        <v>131</v>
      </c>
      <c r="DA102">
        <v>286</v>
      </c>
      <c r="DB102">
        <v>0</v>
      </c>
      <c r="DC102" t="s">
        <v>132</v>
      </c>
      <c r="DD102" t="s">
        <v>133</v>
      </c>
      <c r="DG102">
        <v>782957</v>
      </c>
      <c r="DI102">
        <v>0</v>
      </c>
      <c r="DJ102">
        <v>0</v>
      </c>
      <c r="DK102">
        <v>1</v>
      </c>
      <c r="DL102">
        <v>0</v>
      </c>
      <c r="DM102">
        <v>0</v>
      </c>
      <c r="DN102">
        <v>1</v>
      </c>
      <c r="DO102">
        <v>0</v>
      </c>
      <c r="DP102">
        <v>0</v>
      </c>
      <c r="DQ102">
        <v>0</v>
      </c>
      <c r="DR102">
        <v>0</v>
      </c>
      <c r="DS102">
        <v>0</v>
      </c>
    </row>
    <row r="103" spans="1:123" x14ac:dyDescent="0.3">
      <c r="A103" t="str">
        <f>"10/04/2022 19:25:57.950"</f>
        <v>10/04/2022 19:25:57.950</v>
      </c>
      <c r="C103" t="str">
        <f t="shared" si="25"/>
        <v>FFDFD3C0</v>
      </c>
      <c r="D103" t="s">
        <v>147</v>
      </c>
      <c r="E103">
        <v>3</v>
      </c>
      <c r="H103">
        <v>166</v>
      </c>
      <c r="I103" t="s">
        <v>144</v>
      </c>
      <c r="J103" t="s">
        <v>148</v>
      </c>
      <c r="K103">
        <v>0</v>
      </c>
      <c r="L103">
        <v>3</v>
      </c>
      <c r="M103">
        <v>0</v>
      </c>
      <c r="N103">
        <v>2</v>
      </c>
      <c r="O103">
        <v>0</v>
      </c>
      <c r="P103">
        <v>1</v>
      </c>
      <c r="Q103">
        <v>0</v>
      </c>
      <c r="S103" t="str">
        <f>"19:25:56.469"</f>
        <v>19:25:56.469</v>
      </c>
      <c r="T103" t="str">
        <f>"19:25:56.469"</f>
        <v>19:25:56.469</v>
      </c>
      <c r="U103" t="str">
        <f t="shared" si="26"/>
        <v>AC3944</v>
      </c>
      <c r="V103">
        <v>0</v>
      </c>
      <c r="W103">
        <v>0</v>
      </c>
      <c r="X103">
        <v>2</v>
      </c>
      <c r="Y103">
        <v>0</v>
      </c>
      <c r="AA103">
        <v>0</v>
      </c>
      <c r="AB103">
        <v>8</v>
      </c>
      <c r="AC103">
        <v>3</v>
      </c>
      <c r="AD103">
        <v>0</v>
      </c>
      <c r="AE103">
        <v>9</v>
      </c>
      <c r="AF103" t="s">
        <v>138</v>
      </c>
      <c r="AG103">
        <v>0</v>
      </c>
      <c r="AH103">
        <v>3</v>
      </c>
      <c r="AI103">
        <v>1</v>
      </c>
      <c r="AJ103">
        <v>0</v>
      </c>
      <c r="AK103" t="s">
        <v>182</v>
      </c>
      <c r="AL103">
        <v>32.828220999999999</v>
      </c>
      <c r="AM103" t="s">
        <v>183</v>
      </c>
      <c r="AN103">
        <v>-116.981499</v>
      </c>
      <c r="AO103">
        <v>25</v>
      </c>
      <c r="AP103">
        <v>800</v>
      </c>
      <c r="AQ103" t="s">
        <v>129</v>
      </c>
      <c r="AR103">
        <v>-100</v>
      </c>
      <c r="AS103">
        <v>21</v>
      </c>
      <c r="AT103">
        <v>1088</v>
      </c>
      <c r="BB103">
        <v>1200</v>
      </c>
      <c r="BC103">
        <v>1</v>
      </c>
      <c r="BD103" t="str">
        <f t="shared" si="27"/>
        <v xml:space="preserve">N887QR  </v>
      </c>
      <c r="BE103">
        <v>1</v>
      </c>
      <c r="BG103">
        <v>0</v>
      </c>
      <c r="BH103">
        <v>0</v>
      </c>
      <c r="BI103">
        <v>0</v>
      </c>
      <c r="BJ103">
        <v>425</v>
      </c>
      <c r="BK103">
        <v>-375</v>
      </c>
      <c r="BL103" t="s">
        <v>163</v>
      </c>
      <c r="BM103">
        <v>1</v>
      </c>
      <c r="BN103">
        <v>1</v>
      </c>
      <c r="BO103">
        <v>1</v>
      </c>
      <c r="BP103">
        <v>0</v>
      </c>
      <c r="BS103">
        <v>0</v>
      </c>
      <c r="BT103">
        <v>0</v>
      </c>
      <c r="BU103">
        <v>0</v>
      </c>
      <c r="CE103" t="str">
        <f>"19:25:57.472"</f>
        <v>19:25:57.472</v>
      </c>
      <c r="CF103">
        <v>1471793986</v>
      </c>
      <c r="CS103">
        <v>3</v>
      </c>
      <c r="CT103">
        <v>2</v>
      </c>
      <c r="CU103">
        <v>0</v>
      </c>
      <c r="CV103">
        <v>2</v>
      </c>
      <c r="CW103">
        <v>0</v>
      </c>
      <c r="CX103">
        <v>3</v>
      </c>
      <c r="CY103">
        <v>7</v>
      </c>
      <c r="CZ103" t="s">
        <v>131</v>
      </c>
      <c r="DA103">
        <v>286</v>
      </c>
      <c r="DB103">
        <v>0</v>
      </c>
      <c r="DC103" t="s">
        <v>132</v>
      </c>
      <c r="DD103" t="s">
        <v>133</v>
      </c>
      <c r="DG103">
        <v>783177</v>
      </c>
      <c r="DI103">
        <v>0</v>
      </c>
      <c r="DJ103">
        <v>0</v>
      </c>
      <c r="DK103">
        <v>0</v>
      </c>
      <c r="DL103">
        <v>0</v>
      </c>
      <c r="DM103">
        <v>0</v>
      </c>
      <c r="DN103">
        <v>1</v>
      </c>
      <c r="DO103">
        <v>0</v>
      </c>
      <c r="DP103">
        <v>0</v>
      </c>
      <c r="DQ103">
        <v>0</v>
      </c>
      <c r="DR103">
        <v>0</v>
      </c>
      <c r="DS103">
        <v>0</v>
      </c>
    </row>
    <row r="104" spans="1:123" x14ac:dyDescent="0.3">
      <c r="A104" t="str">
        <f t="shared" ref="A104:A109" si="41">"10/04/2022 19:25:58.747"</f>
        <v>10/04/2022 19:25:58.747</v>
      </c>
      <c r="C104" t="str">
        <f t="shared" si="25"/>
        <v>FFDFD3C0</v>
      </c>
      <c r="D104" t="s">
        <v>147</v>
      </c>
      <c r="E104">
        <v>3</v>
      </c>
      <c r="H104">
        <v>166</v>
      </c>
      <c r="I104" t="s">
        <v>144</v>
      </c>
      <c r="J104" t="s">
        <v>148</v>
      </c>
      <c r="K104">
        <v>0</v>
      </c>
      <c r="L104">
        <v>3</v>
      </c>
      <c r="M104">
        <v>0</v>
      </c>
      <c r="N104">
        <v>2</v>
      </c>
      <c r="O104">
        <v>0</v>
      </c>
      <c r="P104">
        <v>1</v>
      </c>
      <c r="Q104">
        <v>0</v>
      </c>
      <c r="S104" t="str">
        <f t="shared" ref="S104:T110" si="42">"19:25:57.469"</f>
        <v>19:25:57.469</v>
      </c>
      <c r="T104" t="str">
        <f t="shared" si="42"/>
        <v>19:25:57.469</v>
      </c>
      <c r="U104" t="str">
        <f t="shared" si="26"/>
        <v>AC3944</v>
      </c>
      <c r="V104">
        <v>0</v>
      </c>
      <c r="W104">
        <v>0</v>
      </c>
      <c r="X104">
        <v>2</v>
      </c>
      <c r="Y104">
        <v>0</v>
      </c>
      <c r="AA104">
        <v>0</v>
      </c>
      <c r="AB104">
        <v>8</v>
      </c>
      <c r="AC104">
        <v>3</v>
      </c>
      <c r="AD104">
        <v>0</v>
      </c>
      <c r="AE104">
        <v>9</v>
      </c>
      <c r="AF104" t="s">
        <v>138</v>
      </c>
      <c r="AG104">
        <v>0</v>
      </c>
      <c r="AH104">
        <v>3</v>
      </c>
      <c r="AI104">
        <v>1</v>
      </c>
      <c r="AJ104">
        <v>0</v>
      </c>
      <c r="AK104" t="s">
        <v>184</v>
      </c>
      <c r="AL104">
        <v>32.828328999999997</v>
      </c>
      <c r="AM104" t="s">
        <v>185</v>
      </c>
      <c r="AN104">
        <v>-116.982057</v>
      </c>
      <c r="AO104">
        <v>25</v>
      </c>
      <c r="AP104">
        <v>800</v>
      </c>
      <c r="AQ104" t="s">
        <v>129</v>
      </c>
      <c r="AR104">
        <v>-99</v>
      </c>
      <c r="AS104">
        <v>20</v>
      </c>
      <c r="AT104">
        <v>1664</v>
      </c>
      <c r="BB104">
        <v>1200</v>
      </c>
      <c r="BC104">
        <v>1</v>
      </c>
      <c r="BD104" t="str">
        <f t="shared" si="27"/>
        <v xml:space="preserve">N887QR  </v>
      </c>
      <c r="BE104">
        <v>1</v>
      </c>
      <c r="BG104">
        <v>0</v>
      </c>
      <c r="BH104">
        <v>0</v>
      </c>
      <c r="BI104">
        <v>0</v>
      </c>
      <c r="BJ104">
        <v>500</v>
      </c>
      <c r="BK104">
        <v>-300</v>
      </c>
      <c r="BL104" t="s">
        <v>163</v>
      </c>
      <c r="BM104">
        <v>1</v>
      </c>
      <c r="BN104">
        <v>1</v>
      </c>
      <c r="BO104">
        <v>1</v>
      </c>
      <c r="BP104">
        <v>0</v>
      </c>
      <c r="BS104">
        <v>0</v>
      </c>
      <c r="BT104">
        <v>0</v>
      </c>
      <c r="BU104">
        <v>0</v>
      </c>
      <c r="CE104" t="str">
        <f t="shared" ref="CE104:CE110" si="43">"19:25:58.476"</f>
        <v>19:25:58.476</v>
      </c>
      <c r="CF104">
        <v>1476047419</v>
      </c>
      <c r="CS104">
        <v>3</v>
      </c>
      <c r="CT104">
        <v>2</v>
      </c>
      <c r="CU104">
        <v>0</v>
      </c>
      <c r="CV104">
        <v>2</v>
      </c>
      <c r="CW104">
        <v>0</v>
      </c>
      <c r="CX104">
        <v>3</v>
      </c>
      <c r="CY104">
        <v>7</v>
      </c>
      <c r="CZ104" t="s">
        <v>131</v>
      </c>
      <c r="DA104">
        <v>286</v>
      </c>
      <c r="DB104">
        <v>0</v>
      </c>
      <c r="DC104" t="s">
        <v>132</v>
      </c>
      <c r="DD104" t="s">
        <v>133</v>
      </c>
      <c r="DG104">
        <v>783373</v>
      </c>
      <c r="DI104">
        <v>0</v>
      </c>
      <c r="DJ104">
        <v>0</v>
      </c>
      <c r="DK104">
        <v>0</v>
      </c>
      <c r="DL104">
        <v>0</v>
      </c>
      <c r="DM104">
        <v>0</v>
      </c>
      <c r="DN104">
        <v>1</v>
      </c>
      <c r="DO104">
        <v>0</v>
      </c>
      <c r="DP104">
        <v>0</v>
      </c>
      <c r="DQ104">
        <v>0</v>
      </c>
      <c r="DR104">
        <v>0</v>
      </c>
      <c r="DS104">
        <v>0</v>
      </c>
    </row>
    <row r="105" spans="1:123" x14ac:dyDescent="0.3">
      <c r="A105" t="str">
        <f t="shared" si="41"/>
        <v>10/04/2022 19:25:58.747</v>
      </c>
      <c r="C105" t="str">
        <f t="shared" si="25"/>
        <v>FFDFD3C0</v>
      </c>
      <c r="D105" t="s">
        <v>141</v>
      </c>
      <c r="E105">
        <v>3</v>
      </c>
      <c r="H105">
        <v>3</v>
      </c>
      <c r="I105" t="s">
        <v>146</v>
      </c>
      <c r="J105" t="s">
        <v>138</v>
      </c>
      <c r="K105">
        <v>0</v>
      </c>
      <c r="L105">
        <v>3</v>
      </c>
      <c r="M105">
        <v>0</v>
      </c>
      <c r="N105">
        <v>2</v>
      </c>
      <c r="O105">
        <v>0</v>
      </c>
      <c r="P105">
        <v>1</v>
      </c>
      <c r="Q105">
        <v>0</v>
      </c>
      <c r="S105" t="str">
        <f t="shared" si="42"/>
        <v>19:25:57.469</v>
      </c>
      <c r="T105" t="str">
        <f t="shared" si="42"/>
        <v>19:25:57.469</v>
      </c>
      <c r="U105" t="str">
        <f t="shared" si="26"/>
        <v>AC3944</v>
      </c>
      <c r="V105">
        <v>0</v>
      </c>
      <c r="W105">
        <v>0</v>
      </c>
      <c r="X105">
        <v>2</v>
      </c>
      <c r="Y105">
        <v>0</v>
      </c>
      <c r="AA105">
        <v>0</v>
      </c>
      <c r="AB105">
        <v>8</v>
      </c>
      <c r="AC105">
        <v>3</v>
      </c>
      <c r="AD105">
        <v>0</v>
      </c>
      <c r="AE105">
        <v>9</v>
      </c>
      <c r="AF105" t="s">
        <v>138</v>
      </c>
      <c r="AG105">
        <v>0</v>
      </c>
      <c r="AH105">
        <v>3</v>
      </c>
      <c r="AI105">
        <v>1</v>
      </c>
      <c r="AJ105">
        <v>0</v>
      </c>
      <c r="AK105" t="s">
        <v>184</v>
      </c>
      <c r="AL105">
        <v>32.828328999999997</v>
      </c>
      <c r="AM105" t="s">
        <v>185</v>
      </c>
      <c r="AN105">
        <v>-116.982057</v>
      </c>
      <c r="AO105">
        <v>25</v>
      </c>
      <c r="AP105">
        <v>800</v>
      </c>
      <c r="AQ105" t="s">
        <v>129</v>
      </c>
      <c r="AR105">
        <v>-99</v>
      </c>
      <c r="AS105">
        <v>20</v>
      </c>
      <c r="AT105">
        <v>1664</v>
      </c>
      <c r="BB105">
        <v>1200</v>
      </c>
      <c r="BC105">
        <v>1</v>
      </c>
      <c r="BD105" t="str">
        <f t="shared" si="27"/>
        <v xml:space="preserve">N887QR  </v>
      </c>
      <c r="BE105">
        <v>1</v>
      </c>
      <c r="BG105">
        <v>0</v>
      </c>
      <c r="BH105">
        <v>0</v>
      </c>
      <c r="BI105">
        <v>0</v>
      </c>
      <c r="BJ105">
        <v>500</v>
      </c>
      <c r="BK105">
        <v>-300</v>
      </c>
      <c r="BL105" t="s">
        <v>163</v>
      </c>
      <c r="BM105">
        <v>1</v>
      </c>
      <c r="BN105">
        <v>1</v>
      </c>
      <c r="BO105">
        <v>1</v>
      </c>
      <c r="BP105">
        <v>0</v>
      </c>
      <c r="BS105">
        <v>0</v>
      </c>
      <c r="BT105">
        <v>0</v>
      </c>
      <c r="BU105">
        <v>0</v>
      </c>
      <c r="CE105" t="str">
        <f t="shared" si="43"/>
        <v>19:25:58.476</v>
      </c>
      <c r="CF105">
        <v>1476047419</v>
      </c>
      <c r="CS105">
        <v>3</v>
      </c>
      <c r="CT105">
        <v>2</v>
      </c>
      <c r="CU105">
        <v>0</v>
      </c>
      <c r="CV105">
        <v>2</v>
      </c>
      <c r="CW105">
        <v>0</v>
      </c>
      <c r="CX105">
        <v>3</v>
      </c>
      <c r="CY105">
        <v>7</v>
      </c>
      <c r="CZ105" t="s">
        <v>131</v>
      </c>
      <c r="DA105">
        <v>286</v>
      </c>
      <c r="DB105">
        <v>0</v>
      </c>
      <c r="DC105" t="s">
        <v>132</v>
      </c>
      <c r="DD105" t="s">
        <v>133</v>
      </c>
      <c r="DG105">
        <v>783373</v>
      </c>
      <c r="DI105">
        <v>0</v>
      </c>
      <c r="DJ105">
        <v>0</v>
      </c>
      <c r="DK105">
        <v>1</v>
      </c>
      <c r="DL105">
        <v>0</v>
      </c>
      <c r="DM105">
        <v>0</v>
      </c>
      <c r="DN105">
        <v>1</v>
      </c>
      <c r="DO105">
        <v>0</v>
      </c>
      <c r="DP105">
        <v>0</v>
      </c>
      <c r="DQ105">
        <v>0</v>
      </c>
      <c r="DR105">
        <v>0</v>
      </c>
      <c r="DS105">
        <v>0</v>
      </c>
    </row>
    <row r="106" spans="1:123" x14ac:dyDescent="0.3">
      <c r="A106" t="str">
        <f t="shared" si="41"/>
        <v>10/04/2022 19:25:58.747</v>
      </c>
      <c r="C106" t="str">
        <f t="shared" si="25"/>
        <v>FFDFD3C0</v>
      </c>
      <c r="D106" t="s">
        <v>141</v>
      </c>
      <c r="E106">
        <v>4</v>
      </c>
      <c r="H106">
        <v>4</v>
      </c>
      <c r="I106" t="s">
        <v>142</v>
      </c>
      <c r="J106" t="s">
        <v>138</v>
      </c>
      <c r="K106">
        <v>0</v>
      </c>
      <c r="L106">
        <v>3</v>
      </c>
      <c r="M106">
        <v>0</v>
      </c>
      <c r="N106">
        <v>2</v>
      </c>
      <c r="O106">
        <v>0</v>
      </c>
      <c r="P106">
        <v>1</v>
      </c>
      <c r="Q106">
        <v>0</v>
      </c>
      <c r="S106" t="str">
        <f t="shared" si="42"/>
        <v>19:25:57.469</v>
      </c>
      <c r="T106" t="str">
        <f t="shared" si="42"/>
        <v>19:25:57.469</v>
      </c>
      <c r="U106" t="str">
        <f t="shared" si="26"/>
        <v>AC3944</v>
      </c>
      <c r="V106">
        <v>0</v>
      </c>
      <c r="W106">
        <v>0</v>
      </c>
      <c r="X106">
        <v>2</v>
      </c>
      <c r="Y106">
        <v>0</v>
      </c>
      <c r="AA106">
        <v>0</v>
      </c>
      <c r="AB106">
        <v>8</v>
      </c>
      <c r="AC106">
        <v>3</v>
      </c>
      <c r="AD106">
        <v>0</v>
      </c>
      <c r="AE106">
        <v>9</v>
      </c>
      <c r="AF106" t="s">
        <v>138</v>
      </c>
      <c r="AG106">
        <v>0</v>
      </c>
      <c r="AH106">
        <v>3</v>
      </c>
      <c r="AI106">
        <v>1</v>
      </c>
      <c r="AJ106">
        <v>0</v>
      </c>
      <c r="AK106" t="s">
        <v>184</v>
      </c>
      <c r="AL106">
        <v>32.828328999999997</v>
      </c>
      <c r="AM106" t="s">
        <v>185</v>
      </c>
      <c r="AN106">
        <v>-116.982057</v>
      </c>
      <c r="AO106">
        <v>25</v>
      </c>
      <c r="AP106">
        <v>800</v>
      </c>
      <c r="AQ106" t="s">
        <v>129</v>
      </c>
      <c r="AR106">
        <v>-99</v>
      </c>
      <c r="AS106">
        <v>20</v>
      </c>
      <c r="AT106">
        <v>1664</v>
      </c>
      <c r="BB106">
        <v>1200</v>
      </c>
      <c r="BC106">
        <v>1</v>
      </c>
      <c r="BD106" t="str">
        <f t="shared" si="27"/>
        <v xml:space="preserve">N887QR  </v>
      </c>
      <c r="BE106">
        <v>1</v>
      </c>
      <c r="BG106">
        <v>0</v>
      </c>
      <c r="BH106">
        <v>0</v>
      </c>
      <c r="BI106">
        <v>0</v>
      </c>
      <c r="BJ106">
        <v>500</v>
      </c>
      <c r="BK106">
        <v>-300</v>
      </c>
      <c r="BL106" t="s">
        <v>163</v>
      </c>
      <c r="BM106">
        <v>1</v>
      </c>
      <c r="BN106">
        <v>1</v>
      </c>
      <c r="BO106">
        <v>1</v>
      </c>
      <c r="BP106">
        <v>0</v>
      </c>
      <c r="BS106">
        <v>0</v>
      </c>
      <c r="BT106">
        <v>0</v>
      </c>
      <c r="BU106">
        <v>0</v>
      </c>
      <c r="CE106" t="str">
        <f t="shared" si="43"/>
        <v>19:25:58.476</v>
      </c>
      <c r="CF106">
        <v>1476047419</v>
      </c>
      <c r="CS106">
        <v>3</v>
      </c>
      <c r="CT106">
        <v>2</v>
      </c>
      <c r="CU106">
        <v>0</v>
      </c>
      <c r="CV106">
        <v>2</v>
      </c>
      <c r="CW106">
        <v>0</v>
      </c>
      <c r="CX106">
        <v>3</v>
      </c>
      <c r="CY106">
        <v>7</v>
      </c>
      <c r="CZ106" t="s">
        <v>131</v>
      </c>
      <c r="DA106">
        <v>286</v>
      </c>
      <c r="DB106">
        <v>0</v>
      </c>
      <c r="DC106" t="s">
        <v>132</v>
      </c>
      <c r="DD106" t="s">
        <v>133</v>
      </c>
      <c r="DG106">
        <v>783373</v>
      </c>
      <c r="DI106">
        <v>0</v>
      </c>
      <c r="DJ106">
        <v>0</v>
      </c>
      <c r="DK106">
        <v>1</v>
      </c>
      <c r="DL106">
        <v>0</v>
      </c>
      <c r="DM106">
        <v>0</v>
      </c>
      <c r="DN106">
        <v>1</v>
      </c>
      <c r="DO106">
        <v>0</v>
      </c>
      <c r="DP106">
        <v>0</v>
      </c>
      <c r="DQ106">
        <v>0</v>
      </c>
      <c r="DR106">
        <v>0</v>
      </c>
      <c r="DS106">
        <v>0</v>
      </c>
    </row>
    <row r="107" spans="1:123" x14ac:dyDescent="0.3">
      <c r="A107" t="str">
        <f t="shared" si="41"/>
        <v>10/04/2022 19:25:58.747</v>
      </c>
      <c r="C107" t="str">
        <f t="shared" si="25"/>
        <v>FFDFD3C0</v>
      </c>
      <c r="D107" t="s">
        <v>143</v>
      </c>
      <c r="E107">
        <v>20</v>
      </c>
      <c r="F107">
        <v>1020</v>
      </c>
      <c r="G107" t="s">
        <v>144</v>
      </c>
      <c r="J107" t="s">
        <v>145</v>
      </c>
      <c r="K107">
        <v>0</v>
      </c>
      <c r="L107">
        <v>3</v>
      </c>
      <c r="M107">
        <v>0</v>
      </c>
      <c r="N107">
        <v>2</v>
      </c>
      <c r="O107">
        <v>0</v>
      </c>
      <c r="P107">
        <v>1</v>
      </c>
      <c r="Q107">
        <v>0</v>
      </c>
      <c r="S107" t="str">
        <f t="shared" si="42"/>
        <v>19:25:57.469</v>
      </c>
      <c r="T107" t="str">
        <f t="shared" si="42"/>
        <v>19:25:57.469</v>
      </c>
      <c r="U107" t="str">
        <f t="shared" si="26"/>
        <v>AC3944</v>
      </c>
      <c r="V107">
        <v>0</v>
      </c>
      <c r="W107">
        <v>0</v>
      </c>
      <c r="X107">
        <v>2</v>
      </c>
      <c r="Y107">
        <v>0</v>
      </c>
      <c r="AA107">
        <v>0</v>
      </c>
      <c r="AB107">
        <v>8</v>
      </c>
      <c r="AC107">
        <v>3</v>
      </c>
      <c r="AD107">
        <v>0</v>
      </c>
      <c r="AE107">
        <v>9</v>
      </c>
      <c r="AF107" t="s">
        <v>138</v>
      </c>
      <c r="AG107">
        <v>0</v>
      </c>
      <c r="AH107">
        <v>3</v>
      </c>
      <c r="AI107">
        <v>1</v>
      </c>
      <c r="AJ107">
        <v>0</v>
      </c>
      <c r="AK107" t="s">
        <v>184</v>
      </c>
      <c r="AL107">
        <v>32.828328999999997</v>
      </c>
      <c r="AM107" t="s">
        <v>185</v>
      </c>
      <c r="AN107">
        <v>-116.982057</v>
      </c>
      <c r="AO107">
        <v>25</v>
      </c>
      <c r="AP107">
        <v>800</v>
      </c>
      <c r="AQ107" t="s">
        <v>129</v>
      </c>
      <c r="AR107">
        <v>-99</v>
      </c>
      <c r="AS107">
        <v>20</v>
      </c>
      <c r="AT107">
        <v>1664</v>
      </c>
      <c r="BB107">
        <v>1200</v>
      </c>
      <c r="BC107">
        <v>1</v>
      </c>
      <c r="BD107" t="str">
        <f t="shared" si="27"/>
        <v xml:space="preserve">N887QR  </v>
      </c>
      <c r="BE107">
        <v>1</v>
      </c>
      <c r="BG107">
        <v>0</v>
      </c>
      <c r="BH107">
        <v>0</v>
      </c>
      <c r="BI107">
        <v>0</v>
      </c>
      <c r="BJ107">
        <v>500</v>
      </c>
      <c r="BK107">
        <v>-300</v>
      </c>
      <c r="BL107" t="s">
        <v>163</v>
      </c>
      <c r="BM107">
        <v>1</v>
      </c>
      <c r="BN107">
        <v>1</v>
      </c>
      <c r="BO107">
        <v>1</v>
      </c>
      <c r="BP107">
        <v>0</v>
      </c>
      <c r="BS107">
        <v>0</v>
      </c>
      <c r="BT107">
        <v>0</v>
      </c>
      <c r="BU107">
        <v>0</v>
      </c>
      <c r="CE107" t="str">
        <f t="shared" si="43"/>
        <v>19:25:58.476</v>
      </c>
      <c r="CF107">
        <v>1476047419</v>
      </c>
      <c r="CS107">
        <v>3</v>
      </c>
      <c r="CT107">
        <v>2</v>
      </c>
      <c r="CU107">
        <v>0</v>
      </c>
      <c r="CV107">
        <v>2</v>
      </c>
      <c r="CW107">
        <v>0</v>
      </c>
      <c r="CX107">
        <v>3</v>
      </c>
      <c r="CY107">
        <v>7</v>
      </c>
      <c r="CZ107" t="s">
        <v>131</v>
      </c>
      <c r="DA107">
        <v>286</v>
      </c>
      <c r="DB107">
        <v>0</v>
      </c>
      <c r="DC107" t="s">
        <v>132</v>
      </c>
      <c r="DD107" t="s">
        <v>133</v>
      </c>
      <c r="DG107">
        <v>783373</v>
      </c>
      <c r="DI107">
        <v>0</v>
      </c>
      <c r="DJ107">
        <v>0</v>
      </c>
      <c r="DK107">
        <v>1</v>
      </c>
      <c r="DL107">
        <v>0</v>
      </c>
      <c r="DM107">
        <v>0</v>
      </c>
      <c r="DN107">
        <v>1</v>
      </c>
      <c r="DO107">
        <v>0</v>
      </c>
      <c r="DP107">
        <v>0</v>
      </c>
      <c r="DQ107">
        <v>0</v>
      </c>
      <c r="DR107">
        <v>0</v>
      </c>
      <c r="DS107">
        <v>0</v>
      </c>
    </row>
    <row r="108" spans="1:123" x14ac:dyDescent="0.3">
      <c r="A108" t="str">
        <f t="shared" si="41"/>
        <v>10/04/2022 19:25:58.747</v>
      </c>
      <c r="C108" t="str">
        <f t="shared" si="25"/>
        <v>FFDFD3C0</v>
      </c>
      <c r="D108" t="s">
        <v>134</v>
      </c>
      <c r="E108">
        <v>15</v>
      </c>
      <c r="J108" t="s">
        <v>135</v>
      </c>
      <c r="K108">
        <v>0</v>
      </c>
      <c r="L108">
        <v>3</v>
      </c>
      <c r="M108">
        <v>0</v>
      </c>
      <c r="N108">
        <v>2</v>
      </c>
      <c r="O108">
        <v>0</v>
      </c>
      <c r="P108">
        <v>1</v>
      </c>
      <c r="Q108">
        <v>0</v>
      </c>
      <c r="S108" t="str">
        <f t="shared" si="42"/>
        <v>19:25:57.469</v>
      </c>
      <c r="T108" t="str">
        <f t="shared" si="42"/>
        <v>19:25:57.469</v>
      </c>
      <c r="U108" t="str">
        <f t="shared" si="26"/>
        <v>AC3944</v>
      </c>
      <c r="V108">
        <v>0</v>
      </c>
      <c r="W108">
        <v>0</v>
      </c>
      <c r="X108">
        <v>2</v>
      </c>
      <c r="Y108">
        <v>0</v>
      </c>
      <c r="AA108">
        <v>0</v>
      </c>
      <c r="AB108">
        <v>8</v>
      </c>
      <c r="AC108">
        <v>3</v>
      </c>
      <c r="AD108">
        <v>0</v>
      </c>
      <c r="AE108">
        <v>9</v>
      </c>
      <c r="AF108" t="s">
        <v>138</v>
      </c>
      <c r="AG108">
        <v>0</v>
      </c>
      <c r="AH108">
        <v>3</v>
      </c>
      <c r="AI108">
        <v>1</v>
      </c>
      <c r="AJ108">
        <v>0</v>
      </c>
      <c r="AK108" t="s">
        <v>184</v>
      </c>
      <c r="AL108">
        <v>32.828328999999997</v>
      </c>
      <c r="AM108" t="s">
        <v>185</v>
      </c>
      <c r="AN108">
        <v>-116.982057</v>
      </c>
      <c r="AO108">
        <v>25</v>
      </c>
      <c r="AP108">
        <v>800</v>
      </c>
      <c r="AQ108" t="s">
        <v>129</v>
      </c>
      <c r="AR108">
        <v>-99</v>
      </c>
      <c r="AS108">
        <v>20</v>
      </c>
      <c r="AT108">
        <v>1664</v>
      </c>
      <c r="BB108">
        <v>1200</v>
      </c>
      <c r="BC108">
        <v>1</v>
      </c>
      <c r="BD108" t="str">
        <f t="shared" si="27"/>
        <v xml:space="preserve">N887QR  </v>
      </c>
      <c r="BE108">
        <v>1</v>
      </c>
      <c r="BG108">
        <v>0</v>
      </c>
      <c r="BH108">
        <v>0</v>
      </c>
      <c r="BI108">
        <v>0</v>
      </c>
      <c r="BJ108">
        <v>500</v>
      </c>
      <c r="BK108">
        <v>-300</v>
      </c>
      <c r="BL108" t="s">
        <v>163</v>
      </c>
      <c r="BM108">
        <v>1</v>
      </c>
      <c r="BN108">
        <v>1</v>
      </c>
      <c r="BO108">
        <v>1</v>
      </c>
      <c r="BP108">
        <v>0</v>
      </c>
      <c r="BS108">
        <v>0</v>
      </c>
      <c r="BT108">
        <v>0</v>
      </c>
      <c r="BU108">
        <v>0</v>
      </c>
      <c r="CE108" t="str">
        <f t="shared" si="43"/>
        <v>19:25:58.476</v>
      </c>
      <c r="CF108">
        <v>1476047419</v>
      </c>
      <c r="CS108">
        <v>3</v>
      </c>
      <c r="CT108">
        <v>2</v>
      </c>
      <c r="CU108">
        <v>0</v>
      </c>
      <c r="CV108">
        <v>2</v>
      </c>
      <c r="CW108">
        <v>0</v>
      </c>
      <c r="CX108">
        <v>3</v>
      </c>
      <c r="CY108">
        <v>7</v>
      </c>
      <c r="CZ108" t="s">
        <v>131</v>
      </c>
      <c r="DA108">
        <v>286</v>
      </c>
      <c r="DB108">
        <v>0</v>
      </c>
      <c r="DC108" t="s">
        <v>132</v>
      </c>
      <c r="DD108" t="s">
        <v>133</v>
      </c>
      <c r="DG108">
        <v>783373</v>
      </c>
      <c r="DI108">
        <v>0</v>
      </c>
      <c r="DJ108">
        <v>0</v>
      </c>
      <c r="DK108">
        <v>1</v>
      </c>
      <c r="DL108">
        <v>0</v>
      </c>
      <c r="DM108">
        <v>0</v>
      </c>
      <c r="DN108">
        <v>1</v>
      </c>
      <c r="DO108">
        <v>0</v>
      </c>
      <c r="DP108">
        <v>0</v>
      </c>
      <c r="DQ108">
        <v>0</v>
      </c>
      <c r="DR108">
        <v>0</v>
      </c>
      <c r="DS108">
        <v>0</v>
      </c>
    </row>
    <row r="109" spans="1:123" x14ac:dyDescent="0.3">
      <c r="A109" t="str">
        <f t="shared" si="41"/>
        <v>10/04/2022 19:25:58.747</v>
      </c>
      <c r="C109" t="str">
        <f t="shared" si="25"/>
        <v>FFDFD3C0</v>
      </c>
      <c r="D109" t="s">
        <v>136</v>
      </c>
      <c r="E109">
        <v>8</v>
      </c>
      <c r="H109">
        <v>225</v>
      </c>
      <c r="I109" t="s">
        <v>137</v>
      </c>
      <c r="J109" t="s">
        <v>138</v>
      </c>
      <c r="K109">
        <v>0</v>
      </c>
      <c r="L109">
        <v>3</v>
      </c>
      <c r="M109">
        <v>0</v>
      </c>
      <c r="N109">
        <v>2</v>
      </c>
      <c r="O109">
        <v>0</v>
      </c>
      <c r="P109">
        <v>1</v>
      </c>
      <c r="Q109">
        <v>0</v>
      </c>
      <c r="S109" t="str">
        <f t="shared" si="42"/>
        <v>19:25:57.469</v>
      </c>
      <c r="T109" t="str">
        <f t="shared" si="42"/>
        <v>19:25:57.469</v>
      </c>
      <c r="U109" t="str">
        <f t="shared" si="26"/>
        <v>AC3944</v>
      </c>
      <c r="V109">
        <v>0</v>
      </c>
      <c r="W109">
        <v>0</v>
      </c>
      <c r="X109">
        <v>2</v>
      </c>
      <c r="Y109">
        <v>0</v>
      </c>
      <c r="AA109">
        <v>0</v>
      </c>
      <c r="AB109">
        <v>8</v>
      </c>
      <c r="AC109">
        <v>3</v>
      </c>
      <c r="AD109">
        <v>0</v>
      </c>
      <c r="AE109">
        <v>9</v>
      </c>
      <c r="AF109" t="s">
        <v>138</v>
      </c>
      <c r="AG109">
        <v>0</v>
      </c>
      <c r="AH109">
        <v>3</v>
      </c>
      <c r="AI109">
        <v>1</v>
      </c>
      <c r="AJ109">
        <v>0</v>
      </c>
      <c r="AK109" t="s">
        <v>184</v>
      </c>
      <c r="AL109">
        <v>32.828328999999997</v>
      </c>
      <c r="AM109" t="s">
        <v>185</v>
      </c>
      <c r="AN109">
        <v>-116.982057</v>
      </c>
      <c r="AO109">
        <v>25</v>
      </c>
      <c r="AP109">
        <v>800</v>
      </c>
      <c r="AQ109" t="s">
        <v>129</v>
      </c>
      <c r="AR109">
        <v>-99</v>
      </c>
      <c r="AS109">
        <v>20</v>
      </c>
      <c r="AT109">
        <v>1664</v>
      </c>
      <c r="BB109">
        <v>1200</v>
      </c>
      <c r="BC109">
        <v>1</v>
      </c>
      <c r="BD109" t="str">
        <f t="shared" si="27"/>
        <v xml:space="preserve">N887QR  </v>
      </c>
      <c r="BE109">
        <v>1</v>
      </c>
      <c r="BG109">
        <v>0</v>
      </c>
      <c r="BH109">
        <v>0</v>
      </c>
      <c r="BI109">
        <v>0</v>
      </c>
      <c r="BJ109">
        <v>500</v>
      </c>
      <c r="BK109">
        <v>-300</v>
      </c>
      <c r="BL109" t="s">
        <v>163</v>
      </c>
      <c r="BM109">
        <v>1</v>
      </c>
      <c r="BN109">
        <v>1</v>
      </c>
      <c r="BO109">
        <v>1</v>
      </c>
      <c r="BP109">
        <v>0</v>
      </c>
      <c r="BS109">
        <v>0</v>
      </c>
      <c r="BT109">
        <v>0</v>
      </c>
      <c r="BU109">
        <v>0</v>
      </c>
      <c r="CE109" t="str">
        <f t="shared" si="43"/>
        <v>19:25:58.476</v>
      </c>
      <c r="CF109">
        <v>1476047419</v>
      </c>
      <c r="CS109">
        <v>3</v>
      </c>
      <c r="CT109">
        <v>2</v>
      </c>
      <c r="CU109">
        <v>0</v>
      </c>
      <c r="CV109">
        <v>2</v>
      </c>
      <c r="CW109">
        <v>0</v>
      </c>
      <c r="CX109">
        <v>3</v>
      </c>
      <c r="CY109">
        <v>7</v>
      </c>
      <c r="CZ109" t="s">
        <v>131</v>
      </c>
      <c r="DA109">
        <v>286</v>
      </c>
      <c r="DB109">
        <v>0</v>
      </c>
      <c r="DC109" t="s">
        <v>132</v>
      </c>
      <c r="DD109" t="s">
        <v>133</v>
      </c>
      <c r="DG109">
        <v>783373</v>
      </c>
      <c r="DI109">
        <v>0</v>
      </c>
      <c r="DJ109">
        <v>0</v>
      </c>
      <c r="DK109">
        <v>1</v>
      </c>
      <c r="DL109">
        <v>0</v>
      </c>
      <c r="DM109">
        <v>0</v>
      </c>
      <c r="DN109">
        <v>1</v>
      </c>
      <c r="DO109">
        <v>0</v>
      </c>
      <c r="DP109">
        <v>0</v>
      </c>
      <c r="DQ109">
        <v>0</v>
      </c>
      <c r="DR109">
        <v>0</v>
      </c>
      <c r="DS109">
        <v>0</v>
      </c>
    </row>
    <row r="110" spans="1:123" x14ac:dyDescent="0.3">
      <c r="A110" t="str">
        <f>"10/04/2022 19:25:58.794"</f>
        <v>10/04/2022 19:25:58.794</v>
      </c>
      <c r="C110" t="str">
        <f t="shared" si="25"/>
        <v>FFDFD3C0</v>
      </c>
      <c r="D110" t="s">
        <v>123</v>
      </c>
      <c r="E110">
        <v>7</v>
      </c>
      <c r="F110">
        <v>2007</v>
      </c>
      <c r="G110" t="s">
        <v>124</v>
      </c>
      <c r="J110" t="s">
        <v>125</v>
      </c>
      <c r="K110">
        <v>0</v>
      </c>
      <c r="L110">
        <v>3</v>
      </c>
      <c r="M110">
        <v>0</v>
      </c>
      <c r="N110">
        <v>2</v>
      </c>
      <c r="O110">
        <v>0</v>
      </c>
      <c r="P110">
        <v>1</v>
      </c>
      <c r="Q110">
        <v>0</v>
      </c>
      <c r="S110" t="str">
        <f t="shared" si="42"/>
        <v>19:25:57.469</v>
      </c>
      <c r="T110" t="str">
        <f t="shared" si="42"/>
        <v>19:25:57.469</v>
      </c>
      <c r="U110" t="str">
        <f t="shared" si="26"/>
        <v>AC3944</v>
      </c>
      <c r="V110">
        <v>0</v>
      </c>
      <c r="W110">
        <v>0</v>
      </c>
      <c r="X110">
        <v>2</v>
      </c>
      <c r="Y110">
        <v>0</v>
      </c>
      <c r="AA110">
        <v>0</v>
      </c>
      <c r="AB110">
        <v>8</v>
      </c>
      <c r="AC110">
        <v>3</v>
      </c>
      <c r="AD110">
        <v>0</v>
      </c>
      <c r="AE110">
        <v>9</v>
      </c>
      <c r="AF110" t="s">
        <v>138</v>
      </c>
      <c r="AG110">
        <v>0</v>
      </c>
      <c r="AH110">
        <v>3</v>
      </c>
      <c r="AI110">
        <v>1</v>
      </c>
      <c r="AJ110">
        <v>0</v>
      </c>
      <c r="AK110" t="s">
        <v>184</v>
      </c>
      <c r="AL110">
        <v>32.828328999999997</v>
      </c>
      <c r="AM110" t="s">
        <v>185</v>
      </c>
      <c r="AN110">
        <v>-116.982057</v>
      </c>
      <c r="AO110">
        <v>25</v>
      </c>
      <c r="AP110">
        <v>800</v>
      </c>
      <c r="AQ110" t="s">
        <v>129</v>
      </c>
      <c r="AR110">
        <v>-99</v>
      </c>
      <c r="AS110">
        <v>20</v>
      </c>
      <c r="AT110">
        <v>1664</v>
      </c>
      <c r="BB110">
        <v>1200</v>
      </c>
      <c r="BC110">
        <v>1</v>
      </c>
      <c r="BD110" t="str">
        <f t="shared" si="27"/>
        <v xml:space="preserve">N887QR  </v>
      </c>
      <c r="BE110">
        <v>1</v>
      </c>
      <c r="BG110">
        <v>0</v>
      </c>
      <c r="BH110">
        <v>0</v>
      </c>
      <c r="BI110">
        <v>0</v>
      </c>
      <c r="BJ110">
        <v>500</v>
      </c>
      <c r="BK110">
        <v>-300</v>
      </c>
      <c r="BL110" t="s">
        <v>163</v>
      </c>
      <c r="BM110">
        <v>1</v>
      </c>
      <c r="BN110">
        <v>1</v>
      </c>
      <c r="BO110">
        <v>1</v>
      </c>
      <c r="BP110">
        <v>0</v>
      </c>
      <c r="BS110">
        <v>0</v>
      </c>
      <c r="BT110">
        <v>0</v>
      </c>
      <c r="BU110">
        <v>0</v>
      </c>
      <c r="CE110" t="str">
        <f t="shared" si="43"/>
        <v>19:25:58.476</v>
      </c>
      <c r="CF110">
        <v>1476047419</v>
      </c>
      <c r="CS110">
        <v>3</v>
      </c>
      <c r="CT110">
        <v>2</v>
      </c>
      <c r="CU110">
        <v>0</v>
      </c>
      <c r="CV110">
        <v>2</v>
      </c>
      <c r="CW110">
        <v>0</v>
      </c>
      <c r="CX110">
        <v>3</v>
      </c>
      <c r="CY110">
        <v>7</v>
      </c>
      <c r="CZ110" t="s">
        <v>131</v>
      </c>
      <c r="DA110">
        <v>286</v>
      </c>
      <c r="DB110">
        <v>0</v>
      </c>
      <c r="DC110" t="s">
        <v>132</v>
      </c>
      <c r="DD110" t="s">
        <v>133</v>
      </c>
      <c r="DG110">
        <v>783373</v>
      </c>
      <c r="DI110">
        <v>0</v>
      </c>
      <c r="DJ110">
        <v>0</v>
      </c>
      <c r="DK110">
        <v>1</v>
      </c>
      <c r="DL110">
        <v>0</v>
      </c>
      <c r="DM110">
        <v>0</v>
      </c>
      <c r="DN110">
        <v>1</v>
      </c>
      <c r="DO110">
        <v>0</v>
      </c>
      <c r="DP110">
        <v>0</v>
      </c>
      <c r="DQ110">
        <v>0</v>
      </c>
      <c r="DR110">
        <v>0</v>
      </c>
      <c r="DS110">
        <v>0</v>
      </c>
    </row>
    <row r="111" spans="1:123" x14ac:dyDescent="0.3">
      <c r="A111" t="str">
        <f t="shared" ref="A111:A117" si="44">"10/04/2022 19:25:59.967"</f>
        <v>10/04/2022 19:25:59.967</v>
      </c>
      <c r="C111" t="str">
        <f t="shared" si="25"/>
        <v>FFDFD3C0</v>
      </c>
      <c r="D111" t="s">
        <v>134</v>
      </c>
      <c r="E111">
        <v>15</v>
      </c>
      <c r="J111" t="s">
        <v>135</v>
      </c>
      <c r="K111">
        <v>0</v>
      </c>
      <c r="L111">
        <v>3</v>
      </c>
      <c r="M111">
        <v>0</v>
      </c>
      <c r="N111">
        <v>2</v>
      </c>
      <c r="O111">
        <v>0</v>
      </c>
      <c r="P111">
        <v>1</v>
      </c>
      <c r="Q111">
        <v>0</v>
      </c>
      <c r="S111" t="str">
        <f t="shared" ref="S111:T117" si="45">"19:25:58.398"</f>
        <v>19:25:58.398</v>
      </c>
      <c r="T111" t="str">
        <f t="shared" si="45"/>
        <v>19:25:58.398</v>
      </c>
      <c r="U111" t="str">
        <f t="shared" si="26"/>
        <v>AC3944</v>
      </c>
      <c r="V111">
        <v>0</v>
      </c>
      <c r="W111">
        <v>0</v>
      </c>
      <c r="X111">
        <v>2</v>
      </c>
      <c r="Y111">
        <v>0</v>
      </c>
      <c r="AA111">
        <v>0</v>
      </c>
      <c r="AB111">
        <v>8</v>
      </c>
      <c r="AC111">
        <v>3</v>
      </c>
      <c r="AD111">
        <v>0</v>
      </c>
      <c r="AE111">
        <v>9</v>
      </c>
      <c r="AF111" t="s">
        <v>138</v>
      </c>
      <c r="AG111">
        <v>0</v>
      </c>
      <c r="AH111">
        <v>3</v>
      </c>
      <c r="AI111">
        <v>1</v>
      </c>
      <c r="AJ111">
        <v>0</v>
      </c>
      <c r="AK111" t="s">
        <v>186</v>
      </c>
      <c r="AL111">
        <v>32.828414000000002</v>
      </c>
      <c r="AM111" t="s">
        <v>187</v>
      </c>
      <c r="AN111">
        <v>-116.98248599999999</v>
      </c>
      <c r="AO111">
        <v>25</v>
      </c>
      <c r="AP111">
        <v>900</v>
      </c>
      <c r="AQ111" t="s">
        <v>129</v>
      </c>
      <c r="AR111">
        <v>-98</v>
      </c>
      <c r="AS111">
        <v>20</v>
      </c>
      <c r="AT111">
        <v>1664</v>
      </c>
      <c r="BB111">
        <v>1200</v>
      </c>
      <c r="BC111">
        <v>1</v>
      </c>
      <c r="BD111" t="str">
        <f t="shared" si="27"/>
        <v xml:space="preserve">N887QR  </v>
      </c>
      <c r="BE111">
        <v>1</v>
      </c>
      <c r="BG111">
        <v>0</v>
      </c>
      <c r="BH111">
        <v>0</v>
      </c>
      <c r="BI111">
        <v>0</v>
      </c>
      <c r="BJ111">
        <v>500</v>
      </c>
      <c r="BK111">
        <v>-400</v>
      </c>
      <c r="BL111" t="s">
        <v>163</v>
      </c>
      <c r="BM111">
        <v>1</v>
      </c>
      <c r="BN111">
        <v>1</v>
      </c>
      <c r="BO111">
        <v>1</v>
      </c>
      <c r="BP111">
        <v>0</v>
      </c>
      <c r="BS111">
        <v>0</v>
      </c>
      <c r="BT111">
        <v>0</v>
      </c>
      <c r="BU111">
        <v>0</v>
      </c>
      <c r="CE111" t="str">
        <f t="shared" ref="CE111:CE117" si="46">"19:25:59.403"</f>
        <v>19:25:59.403</v>
      </c>
      <c r="CF111">
        <v>1402800249</v>
      </c>
      <c r="CS111">
        <v>3</v>
      </c>
      <c r="CT111">
        <v>2</v>
      </c>
      <c r="CU111">
        <v>0</v>
      </c>
      <c r="CV111">
        <v>2</v>
      </c>
      <c r="CW111">
        <v>0</v>
      </c>
      <c r="CX111">
        <v>3</v>
      </c>
      <c r="CY111">
        <v>7</v>
      </c>
      <c r="CZ111" t="s">
        <v>131</v>
      </c>
      <c r="DA111">
        <v>286</v>
      </c>
      <c r="DB111">
        <v>0</v>
      </c>
      <c r="DC111" t="s">
        <v>132</v>
      </c>
      <c r="DD111" t="s">
        <v>133</v>
      </c>
      <c r="DG111">
        <v>783549</v>
      </c>
      <c r="DI111">
        <v>0</v>
      </c>
      <c r="DJ111">
        <v>0</v>
      </c>
      <c r="DK111">
        <v>0</v>
      </c>
      <c r="DL111">
        <v>0</v>
      </c>
      <c r="DM111">
        <v>0</v>
      </c>
      <c r="DN111">
        <v>1</v>
      </c>
      <c r="DO111">
        <v>0</v>
      </c>
      <c r="DP111">
        <v>0</v>
      </c>
      <c r="DQ111">
        <v>0</v>
      </c>
      <c r="DR111">
        <v>0</v>
      </c>
      <c r="DS111">
        <v>0</v>
      </c>
    </row>
    <row r="112" spans="1:123" x14ac:dyDescent="0.3">
      <c r="A112" t="str">
        <f t="shared" si="44"/>
        <v>10/04/2022 19:25:59.967</v>
      </c>
      <c r="C112" t="str">
        <f t="shared" si="25"/>
        <v>FFDFD3C0</v>
      </c>
      <c r="D112" t="s">
        <v>123</v>
      </c>
      <c r="E112">
        <v>7</v>
      </c>
      <c r="F112">
        <v>2007</v>
      </c>
      <c r="G112" t="s">
        <v>124</v>
      </c>
      <c r="J112" t="s">
        <v>125</v>
      </c>
      <c r="K112">
        <v>0</v>
      </c>
      <c r="L112">
        <v>3</v>
      </c>
      <c r="M112">
        <v>0</v>
      </c>
      <c r="N112">
        <v>2</v>
      </c>
      <c r="O112">
        <v>0</v>
      </c>
      <c r="P112">
        <v>1</v>
      </c>
      <c r="Q112">
        <v>0</v>
      </c>
      <c r="S112" t="str">
        <f t="shared" si="45"/>
        <v>19:25:58.398</v>
      </c>
      <c r="T112" t="str">
        <f t="shared" si="45"/>
        <v>19:25:58.398</v>
      </c>
      <c r="U112" t="str">
        <f t="shared" si="26"/>
        <v>AC3944</v>
      </c>
      <c r="V112">
        <v>0</v>
      </c>
      <c r="W112">
        <v>0</v>
      </c>
      <c r="X112">
        <v>2</v>
      </c>
      <c r="Y112">
        <v>0</v>
      </c>
      <c r="AA112">
        <v>0</v>
      </c>
      <c r="AB112">
        <v>8</v>
      </c>
      <c r="AC112">
        <v>3</v>
      </c>
      <c r="AD112">
        <v>0</v>
      </c>
      <c r="AE112">
        <v>9</v>
      </c>
      <c r="AF112" t="s">
        <v>138</v>
      </c>
      <c r="AG112">
        <v>0</v>
      </c>
      <c r="AH112">
        <v>3</v>
      </c>
      <c r="AI112">
        <v>1</v>
      </c>
      <c r="AJ112">
        <v>0</v>
      </c>
      <c r="AK112" t="s">
        <v>186</v>
      </c>
      <c r="AL112">
        <v>32.828414000000002</v>
      </c>
      <c r="AM112" t="s">
        <v>187</v>
      </c>
      <c r="AN112">
        <v>-116.98248599999999</v>
      </c>
      <c r="AO112">
        <v>25</v>
      </c>
      <c r="AP112">
        <v>900</v>
      </c>
      <c r="AQ112" t="s">
        <v>129</v>
      </c>
      <c r="AR112">
        <v>-98</v>
      </c>
      <c r="AS112">
        <v>20</v>
      </c>
      <c r="AT112">
        <v>1664</v>
      </c>
      <c r="BB112">
        <v>1200</v>
      </c>
      <c r="BC112">
        <v>1</v>
      </c>
      <c r="BD112" t="str">
        <f t="shared" si="27"/>
        <v xml:space="preserve">N887QR  </v>
      </c>
      <c r="BE112">
        <v>1</v>
      </c>
      <c r="BG112">
        <v>0</v>
      </c>
      <c r="BH112">
        <v>0</v>
      </c>
      <c r="BI112">
        <v>0</v>
      </c>
      <c r="BJ112">
        <v>500</v>
      </c>
      <c r="BK112">
        <v>-400</v>
      </c>
      <c r="BL112" t="s">
        <v>163</v>
      </c>
      <c r="BM112">
        <v>1</v>
      </c>
      <c r="BN112">
        <v>1</v>
      </c>
      <c r="BO112">
        <v>1</v>
      </c>
      <c r="BP112">
        <v>0</v>
      </c>
      <c r="BS112">
        <v>0</v>
      </c>
      <c r="BT112">
        <v>0</v>
      </c>
      <c r="BU112">
        <v>0</v>
      </c>
      <c r="CE112" t="str">
        <f t="shared" si="46"/>
        <v>19:25:59.403</v>
      </c>
      <c r="CF112">
        <v>1402800249</v>
      </c>
      <c r="CS112">
        <v>3</v>
      </c>
      <c r="CT112">
        <v>2</v>
      </c>
      <c r="CU112">
        <v>0</v>
      </c>
      <c r="CV112">
        <v>2</v>
      </c>
      <c r="CW112">
        <v>0</v>
      </c>
      <c r="CX112">
        <v>3</v>
      </c>
      <c r="CY112">
        <v>7</v>
      </c>
      <c r="CZ112" t="s">
        <v>131</v>
      </c>
      <c r="DA112">
        <v>286</v>
      </c>
      <c r="DB112">
        <v>0</v>
      </c>
      <c r="DC112" t="s">
        <v>132</v>
      </c>
      <c r="DD112" t="s">
        <v>133</v>
      </c>
      <c r="DG112">
        <v>783549</v>
      </c>
      <c r="DI112">
        <v>0</v>
      </c>
      <c r="DJ112">
        <v>0</v>
      </c>
      <c r="DK112">
        <v>1</v>
      </c>
      <c r="DL112">
        <v>0</v>
      </c>
      <c r="DM112">
        <v>0</v>
      </c>
      <c r="DN112">
        <v>1</v>
      </c>
      <c r="DO112">
        <v>0</v>
      </c>
      <c r="DP112">
        <v>0</v>
      </c>
      <c r="DQ112">
        <v>0</v>
      </c>
      <c r="DR112">
        <v>0</v>
      </c>
      <c r="DS112">
        <v>0</v>
      </c>
    </row>
    <row r="113" spans="1:123" x14ac:dyDescent="0.3">
      <c r="A113" t="str">
        <f t="shared" si="44"/>
        <v>10/04/2022 19:25:59.967</v>
      </c>
      <c r="C113" t="str">
        <f t="shared" si="25"/>
        <v>FFDFD3C0</v>
      </c>
      <c r="D113" t="s">
        <v>136</v>
      </c>
      <c r="E113">
        <v>8</v>
      </c>
      <c r="H113">
        <v>225</v>
      </c>
      <c r="I113" t="s">
        <v>137</v>
      </c>
      <c r="J113" t="s">
        <v>138</v>
      </c>
      <c r="K113">
        <v>0</v>
      </c>
      <c r="L113">
        <v>3</v>
      </c>
      <c r="M113">
        <v>0</v>
      </c>
      <c r="N113">
        <v>2</v>
      </c>
      <c r="O113">
        <v>0</v>
      </c>
      <c r="P113">
        <v>1</v>
      </c>
      <c r="Q113">
        <v>0</v>
      </c>
      <c r="S113" t="str">
        <f t="shared" si="45"/>
        <v>19:25:58.398</v>
      </c>
      <c r="T113" t="str">
        <f t="shared" si="45"/>
        <v>19:25:58.398</v>
      </c>
      <c r="U113" t="str">
        <f t="shared" si="26"/>
        <v>AC3944</v>
      </c>
      <c r="V113">
        <v>0</v>
      </c>
      <c r="W113">
        <v>0</v>
      </c>
      <c r="X113">
        <v>2</v>
      </c>
      <c r="Y113">
        <v>0</v>
      </c>
      <c r="AA113">
        <v>0</v>
      </c>
      <c r="AB113">
        <v>8</v>
      </c>
      <c r="AC113">
        <v>3</v>
      </c>
      <c r="AD113">
        <v>0</v>
      </c>
      <c r="AE113">
        <v>9</v>
      </c>
      <c r="AF113" t="s">
        <v>138</v>
      </c>
      <c r="AG113">
        <v>0</v>
      </c>
      <c r="AH113">
        <v>3</v>
      </c>
      <c r="AI113">
        <v>1</v>
      </c>
      <c r="AJ113">
        <v>0</v>
      </c>
      <c r="AK113" t="s">
        <v>186</v>
      </c>
      <c r="AL113">
        <v>32.828414000000002</v>
      </c>
      <c r="AM113" t="s">
        <v>187</v>
      </c>
      <c r="AN113">
        <v>-116.98248599999999</v>
      </c>
      <c r="AO113">
        <v>25</v>
      </c>
      <c r="AP113">
        <v>900</v>
      </c>
      <c r="AQ113" t="s">
        <v>129</v>
      </c>
      <c r="AR113">
        <v>-98</v>
      </c>
      <c r="AS113">
        <v>20</v>
      </c>
      <c r="AT113">
        <v>1664</v>
      </c>
      <c r="BB113">
        <v>1200</v>
      </c>
      <c r="BC113">
        <v>1</v>
      </c>
      <c r="BD113" t="str">
        <f t="shared" si="27"/>
        <v xml:space="preserve">N887QR  </v>
      </c>
      <c r="BE113">
        <v>1</v>
      </c>
      <c r="BG113">
        <v>0</v>
      </c>
      <c r="BH113">
        <v>0</v>
      </c>
      <c r="BI113">
        <v>0</v>
      </c>
      <c r="BJ113">
        <v>500</v>
      </c>
      <c r="BK113">
        <v>-400</v>
      </c>
      <c r="BL113" t="s">
        <v>163</v>
      </c>
      <c r="BM113">
        <v>1</v>
      </c>
      <c r="BN113">
        <v>1</v>
      </c>
      <c r="BO113">
        <v>1</v>
      </c>
      <c r="BP113">
        <v>0</v>
      </c>
      <c r="BS113">
        <v>0</v>
      </c>
      <c r="BT113">
        <v>0</v>
      </c>
      <c r="BU113">
        <v>0</v>
      </c>
      <c r="CE113" t="str">
        <f t="shared" si="46"/>
        <v>19:25:59.403</v>
      </c>
      <c r="CF113">
        <v>1402800249</v>
      </c>
      <c r="CS113">
        <v>3</v>
      </c>
      <c r="CT113">
        <v>2</v>
      </c>
      <c r="CU113">
        <v>0</v>
      </c>
      <c r="CV113">
        <v>2</v>
      </c>
      <c r="CW113">
        <v>0</v>
      </c>
      <c r="CX113">
        <v>3</v>
      </c>
      <c r="CY113">
        <v>7</v>
      </c>
      <c r="CZ113" t="s">
        <v>131</v>
      </c>
      <c r="DA113">
        <v>286</v>
      </c>
      <c r="DB113">
        <v>0</v>
      </c>
      <c r="DC113" t="s">
        <v>132</v>
      </c>
      <c r="DD113" t="s">
        <v>133</v>
      </c>
      <c r="DG113">
        <v>783549</v>
      </c>
      <c r="DI113">
        <v>0</v>
      </c>
      <c r="DJ113">
        <v>0</v>
      </c>
      <c r="DK113">
        <v>1</v>
      </c>
      <c r="DL113">
        <v>0</v>
      </c>
      <c r="DM113">
        <v>0</v>
      </c>
      <c r="DN113">
        <v>1</v>
      </c>
      <c r="DO113">
        <v>0</v>
      </c>
      <c r="DP113">
        <v>0</v>
      </c>
      <c r="DQ113">
        <v>0</v>
      </c>
      <c r="DR113">
        <v>0</v>
      </c>
      <c r="DS113">
        <v>0</v>
      </c>
    </row>
    <row r="114" spans="1:123" x14ac:dyDescent="0.3">
      <c r="A114" t="str">
        <f t="shared" si="44"/>
        <v>10/04/2022 19:25:59.967</v>
      </c>
      <c r="C114" t="str">
        <f t="shared" si="25"/>
        <v>FFDFD3C0</v>
      </c>
      <c r="D114" t="s">
        <v>147</v>
      </c>
      <c r="E114">
        <v>3</v>
      </c>
      <c r="H114">
        <v>166</v>
      </c>
      <c r="I114" t="s">
        <v>144</v>
      </c>
      <c r="J114" t="s">
        <v>148</v>
      </c>
      <c r="K114">
        <v>0</v>
      </c>
      <c r="L114">
        <v>3</v>
      </c>
      <c r="M114">
        <v>0</v>
      </c>
      <c r="N114">
        <v>2</v>
      </c>
      <c r="O114">
        <v>0</v>
      </c>
      <c r="P114">
        <v>1</v>
      </c>
      <c r="Q114">
        <v>0</v>
      </c>
      <c r="S114" t="str">
        <f t="shared" si="45"/>
        <v>19:25:58.398</v>
      </c>
      <c r="T114" t="str">
        <f t="shared" si="45"/>
        <v>19:25:58.398</v>
      </c>
      <c r="U114" t="str">
        <f t="shared" si="26"/>
        <v>AC3944</v>
      </c>
      <c r="V114">
        <v>0</v>
      </c>
      <c r="W114">
        <v>0</v>
      </c>
      <c r="X114">
        <v>2</v>
      </c>
      <c r="Y114">
        <v>0</v>
      </c>
      <c r="AA114">
        <v>0</v>
      </c>
      <c r="AB114">
        <v>8</v>
      </c>
      <c r="AC114">
        <v>3</v>
      </c>
      <c r="AD114">
        <v>0</v>
      </c>
      <c r="AE114">
        <v>9</v>
      </c>
      <c r="AF114" t="s">
        <v>138</v>
      </c>
      <c r="AG114">
        <v>0</v>
      </c>
      <c r="AH114">
        <v>3</v>
      </c>
      <c r="AI114">
        <v>1</v>
      </c>
      <c r="AJ114">
        <v>0</v>
      </c>
      <c r="AK114" t="s">
        <v>186</v>
      </c>
      <c r="AL114">
        <v>32.828414000000002</v>
      </c>
      <c r="AM114" t="s">
        <v>187</v>
      </c>
      <c r="AN114">
        <v>-116.98248599999999</v>
      </c>
      <c r="AO114">
        <v>25</v>
      </c>
      <c r="AP114">
        <v>900</v>
      </c>
      <c r="AQ114" t="s">
        <v>129</v>
      </c>
      <c r="AR114">
        <v>-98</v>
      </c>
      <c r="AS114">
        <v>20</v>
      </c>
      <c r="AT114">
        <v>1664</v>
      </c>
      <c r="BB114">
        <v>1200</v>
      </c>
      <c r="BC114">
        <v>1</v>
      </c>
      <c r="BD114" t="str">
        <f t="shared" si="27"/>
        <v xml:space="preserve">N887QR  </v>
      </c>
      <c r="BE114">
        <v>1</v>
      </c>
      <c r="BG114">
        <v>0</v>
      </c>
      <c r="BH114">
        <v>0</v>
      </c>
      <c r="BI114">
        <v>0</v>
      </c>
      <c r="BJ114">
        <v>500</v>
      </c>
      <c r="BK114">
        <v>-400</v>
      </c>
      <c r="BL114" t="s">
        <v>163</v>
      </c>
      <c r="BM114">
        <v>1</v>
      </c>
      <c r="BN114">
        <v>1</v>
      </c>
      <c r="BO114">
        <v>1</v>
      </c>
      <c r="BP114">
        <v>0</v>
      </c>
      <c r="BS114">
        <v>0</v>
      </c>
      <c r="BT114">
        <v>0</v>
      </c>
      <c r="BU114">
        <v>0</v>
      </c>
      <c r="CE114" t="str">
        <f t="shared" si="46"/>
        <v>19:25:59.403</v>
      </c>
      <c r="CF114">
        <v>1402800249</v>
      </c>
      <c r="CS114">
        <v>3</v>
      </c>
      <c r="CT114">
        <v>2</v>
      </c>
      <c r="CU114">
        <v>0</v>
      </c>
      <c r="CV114">
        <v>2</v>
      </c>
      <c r="CW114">
        <v>0</v>
      </c>
      <c r="CX114">
        <v>3</v>
      </c>
      <c r="CY114">
        <v>7</v>
      </c>
      <c r="CZ114" t="s">
        <v>131</v>
      </c>
      <c r="DA114">
        <v>286</v>
      </c>
      <c r="DB114">
        <v>0</v>
      </c>
      <c r="DC114" t="s">
        <v>132</v>
      </c>
      <c r="DD114" t="s">
        <v>133</v>
      </c>
      <c r="DG114">
        <v>783549</v>
      </c>
      <c r="DI114">
        <v>0</v>
      </c>
      <c r="DJ114">
        <v>0</v>
      </c>
      <c r="DK114">
        <v>1</v>
      </c>
      <c r="DL114">
        <v>0</v>
      </c>
      <c r="DM114">
        <v>0</v>
      </c>
      <c r="DN114">
        <v>1</v>
      </c>
      <c r="DO114">
        <v>0</v>
      </c>
      <c r="DP114">
        <v>0</v>
      </c>
      <c r="DQ114">
        <v>0</v>
      </c>
      <c r="DR114">
        <v>0</v>
      </c>
      <c r="DS114">
        <v>0</v>
      </c>
    </row>
    <row r="115" spans="1:123" x14ac:dyDescent="0.3">
      <c r="A115" t="str">
        <f t="shared" si="44"/>
        <v>10/04/2022 19:25:59.967</v>
      </c>
      <c r="C115" t="str">
        <f t="shared" si="25"/>
        <v>FFDFD3C0</v>
      </c>
      <c r="D115" t="s">
        <v>141</v>
      </c>
      <c r="E115">
        <v>3</v>
      </c>
      <c r="H115">
        <v>3</v>
      </c>
      <c r="I115" t="s">
        <v>146</v>
      </c>
      <c r="J115" t="s">
        <v>138</v>
      </c>
      <c r="K115">
        <v>0</v>
      </c>
      <c r="L115">
        <v>3</v>
      </c>
      <c r="M115">
        <v>0</v>
      </c>
      <c r="N115">
        <v>2</v>
      </c>
      <c r="O115">
        <v>0</v>
      </c>
      <c r="P115">
        <v>1</v>
      </c>
      <c r="Q115">
        <v>0</v>
      </c>
      <c r="S115" t="str">
        <f t="shared" si="45"/>
        <v>19:25:58.398</v>
      </c>
      <c r="T115" t="str">
        <f t="shared" si="45"/>
        <v>19:25:58.398</v>
      </c>
      <c r="U115" t="str">
        <f t="shared" si="26"/>
        <v>AC3944</v>
      </c>
      <c r="V115">
        <v>0</v>
      </c>
      <c r="W115">
        <v>0</v>
      </c>
      <c r="X115">
        <v>2</v>
      </c>
      <c r="Y115">
        <v>0</v>
      </c>
      <c r="AA115">
        <v>0</v>
      </c>
      <c r="AB115">
        <v>8</v>
      </c>
      <c r="AC115">
        <v>3</v>
      </c>
      <c r="AD115">
        <v>0</v>
      </c>
      <c r="AE115">
        <v>9</v>
      </c>
      <c r="AF115" t="s">
        <v>138</v>
      </c>
      <c r="AG115">
        <v>0</v>
      </c>
      <c r="AH115">
        <v>3</v>
      </c>
      <c r="AI115">
        <v>1</v>
      </c>
      <c r="AJ115">
        <v>0</v>
      </c>
      <c r="AK115" t="s">
        <v>186</v>
      </c>
      <c r="AL115">
        <v>32.828414000000002</v>
      </c>
      <c r="AM115" t="s">
        <v>187</v>
      </c>
      <c r="AN115">
        <v>-116.98248599999999</v>
      </c>
      <c r="AO115">
        <v>25</v>
      </c>
      <c r="AP115">
        <v>900</v>
      </c>
      <c r="AQ115" t="s">
        <v>129</v>
      </c>
      <c r="AR115">
        <v>-98</v>
      </c>
      <c r="AS115">
        <v>20</v>
      </c>
      <c r="AT115">
        <v>1664</v>
      </c>
      <c r="BB115">
        <v>1200</v>
      </c>
      <c r="BC115">
        <v>1</v>
      </c>
      <c r="BD115" t="str">
        <f t="shared" si="27"/>
        <v xml:space="preserve">N887QR  </v>
      </c>
      <c r="BE115">
        <v>1</v>
      </c>
      <c r="BG115">
        <v>0</v>
      </c>
      <c r="BH115">
        <v>0</v>
      </c>
      <c r="BI115">
        <v>0</v>
      </c>
      <c r="BJ115">
        <v>500</v>
      </c>
      <c r="BK115">
        <v>-400</v>
      </c>
      <c r="BL115" t="s">
        <v>163</v>
      </c>
      <c r="BM115">
        <v>1</v>
      </c>
      <c r="BN115">
        <v>1</v>
      </c>
      <c r="BO115">
        <v>1</v>
      </c>
      <c r="BP115">
        <v>0</v>
      </c>
      <c r="BS115">
        <v>0</v>
      </c>
      <c r="BT115">
        <v>0</v>
      </c>
      <c r="BU115">
        <v>0</v>
      </c>
      <c r="CE115" t="str">
        <f t="shared" si="46"/>
        <v>19:25:59.403</v>
      </c>
      <c r="CF115">
        <v>1402800249</v>
      </c>
      <c r="CS115">
        <v>3</v>
      </c>
      <c r="CT115">
        <v>2</v>
      </c>
      <c r="CU115">
        <v>0</v>
      </c>
      <c r="CV115">
        <v>2</v>
      </c>
      <c r="CW115">
        <v>0</v>
      </c>
      <c r="CX115">
        <v>3</v>
      </c>
      <c r="CY115">
        <v>7</v>
      </c>
      <c r="CZ115" t="s">
        <v>131</v>
      </c>
      <c r="DA115">
        <v>286</v>
      </c>
      <c r="DB115">
        <v>0</v>
      </c>
      <c r="DC115" t="s">
        <v>132</v>
      </c>
      <c r="DD115" t="s">
        <v>133</v>
      </c>
      <c r="DG115">
        <v>783549</v>
      </c>
      <c r="DI115">
        <v>0</v>
      </c>
      <c r="DJ115">
        <v>0</v>
      </c>
      <c r="DK115">
        <v>1</v>
      </c>
      <c r="DL115">
        <v>0</v>
      </c>
      <c r="DM115">
        <v>0</v>
      </c>
      <c r="DN115">
        <v>1</v>
      </c>
      <c r="DO115">
        <v>0</v>
      </c>
      <c r="DP115">
        <v>0</v>
      </c>
      <c r="DQ115">
        <v>0</v>
      </c>
      <c r="DR115">
        <v>0</v>
      </c>
      <c r="DS115">
        <v>0</v>
      </c>
    </row>
    <row r="116" spans="1:123" x14ac:dyDescent="0.3">
      <c r="A116" t="str">
        <f t="shared" si="44"/>
        <v>10/04/2022 19:25:59.967</v>
      </c>
      <c r="C116" t="str">
        <f t="shared" si="25"/>
        <v>FFDFD3C0</v>
      </c>
      <c r="D116" t="s">
        <v>141</v>
      </c>
      <c r="E116">
        <v>4</v>
      </c>
      <c r="H116">
        <v>4</v>
      </c>
      <c r="I116" t="s">
        <v>142</v>
      </c>
      <c r="J116" t="s">
        <v>138</v>
      </c>
      <c r="K116">
        <v>0</v>
      </c>
      <c r="L116">
        <v>3</v>
      </c>
      <c r="M116">
        <v>0</v>
      </c>
      <c r="N116">
        <v>2</v>
      </c>
      <c r="O116">
        <v>0</v>
      </c>
      <c r="P116">
        <v>1</v>
      </c>
      <c r="Q116">
        <v>0</v>
      </c>
      <c r="S116" t="str">
        <f t="shared" si="45"/>
        <v>19:25:58.398</v>
      </c>
      <c r="T116" t="str">
        <f t="shared" si="45"/>
        <v>19:25:58.398</v>
      </c>
      <c r="U116" t="str">
        <f t="shared" si="26"/>
        <v>AC3944</v>
      </c>
      <c r="V116">
        <v>0</v>
      </c>
      <c r="W116">
        <v>0</v>
      </c>
      <c r="X116">
        <v>2</v>
      </c>
      <c r="Y116">
        <v>0</v>
      </c>
      <c r="AA116">
        <v>0</v>
      </c>
      <c r="AB116">
        <v>8</v>
      </c>
      <c r="AC116">
        <v>3</v>
      </c>
      <c r="AD116">
        <v>0</v>
      </c>
      <c r="AE116">
        <v>9</v>
      </c>
      <c r="AF116" t="s">
        <v>138</v>
      </c>
      <c r="AG116">
        <v>0</v>
      </c>
      <c r="AH116">
        <v>3</v>
      </c>
      <c r="AI116">
        <v>1</v>
      </c>
      <c r="AJ116">
        <v>0</v>
      </c>
      <c r="AK116" t="s">
        <v>186</v>
      </c>
      <c r="AL116">
        <v>32.828414000000002</v>
      </c>
      <c r="AM116" t="s">
        <v>187</v>
      </c>
      <c r="AN116">
        <v>-116.98248599999999</v>
      </c>
      <c r="AO116">
        <v>25</v>
      </c>
      <c r="AP116">
        <v>900</v>
      </c>
      <c r="AQ116" t="s">
        <v>129</v>
      </c>
      <c r="AR116">
        <v>-98</v>
      </c>
      <c r="AS116">
        <v>20</v>
      </c>
      <c r="AT116">
        <v>1664</v>
      </c>
      <c r="BB116">
        <v>1200</v>
      </c>
      <c r="BC116">
        <v>1</v>
      </c>
      <c r="BD116" t="str">
        <f t="shared" si="27"/>
        <v xml:space="preserve">N887QR  </v>
      </c>
      <c r="BE116">
        <v>1</v>
      </c>
      <c r="BG116">
        <v>0</v>
      </c>
      <c r="BH116">
        <v>0</v>
      </c>
      <c r="BI116">
        <v>0</v>
      </c>
      <c r="BJ116">
        <v>500</v>
      </c>
      <c r="BK116">
        <v>-400</v>
      </c>
      <c r="BL116" t="s">
        <v>163</v>
      </c>
      <c r="BM116">
        <v>1</v>
      </c>
      <c r="BN116">
        <v>1</v>
      </c>
      <c r="BO116">
        <v>1</v>
      </c>
      <c r="BP116">
        <v>0</v>
      </c>
      <c r="BS116">
        <v>0</v>
      </c>
      <c r="BT116">
        <v>0</v>
      </c>
      <c r="BU116">
        <v>0</v>
      </c>
      <c r="CE116" t="str">
        <f t="shared" si="46"/>
        <v>19:25:59.403</v>
      </c>
      <c r="CF116">
        <v>1402800249</v>
      </c>
      <c r="CS116">
        <v>3</v>
      </c>
      <c r="CT116">
        <v>2</v>
      </c>
      <c r="CU116">
        <v>0</v>
      </c>
      <c r="CV116">
        <v>2</v>
      </c>
      <c r="CW116">
        <v>0</v>
      </c>
      <c r="CX116">
        <v>3</v>
      </c>
      <c r="CY116">
        <v>7</v>
      </c>
      <c r="CZ116" t="s">
        <v>131</v>
      </c>
      <c r="DA116">
        <v>286</v>
      </c>
      <c r="DB116">
        <v>0</v>
      </c>
      <c r="DC116" t="s">
        <v>132</v>
      </c>
      <c r="DD116" t="s">
        <v>133</v>
      </c>
      <c r="DG116">
        <v>783549</v>
      </c>
      <c r="DI116">
        <v>0</v>
      </c>
      <c r="DJ116">
        <v>0</v>
      </c>
      <c r="DK116">
        <v>0</v>
      </c>
      <c r="DL116">
        <v>0</v>
      </c>
      <c r="DM116">
        <v>0</v>
      </c>
      <c r="DN116">
        <v>1</v>
      </c>
      <c r="DO116">
        <v>0</v>
      </c>
      <c r="DP116">
        <v>0</v>
      </c>
      <c r="DQ116">
        <v>0</v>
      </c>
      <c r="DR116">
        <v>0</v>
      </c>
      <c r="DS116">
        <v>0</v>
      </c>
    </row>
    <row r="117" spans="1:123" x14ac:dyDescent="0.3">
      <c r="A117" t="str">
        <f t="shared" si="44"/>
        <v>10/04/2022 19:25:59.967</v>
      </c>
      <c r="C117" t="str">
        <f t="shared" si="25"/>
        <v>FFDFD3C0</v>
      </c>
      <c r="D117" t="s">
        <v>143</v>
      </c>
      <c r="E117">
        <v>20</v>
      </c>
      <c r="F117">
        <v>1020</v>
      </c>
      <c r="G117" t="s">
        <v>144</v>
      </c>
      <c r="J117" t="s">
        <v>145</v>
      </c>
      <c r="K117">
        <v>0</v>
      </c>
      <c r="L117">
        <v>3</v>
      </c>
      <c r="M117">
        <v>0</v>
      </c>
      <c r="N117">
        <v>2</v>
      </c>
      <c r="O117">
        <v>0</v>
      </c>
      <c r="P117">
        <v>1</v>
      </c>
      <c r="Q117">
        <v>0</v>
      </c>
      <c r="S117" t="str">
        <f t="shared" si="45"/>
        <v>19:25:58.398</v>
      </c>
      <c r="T117" t="str">
        <f t="shared" si="45"/>
        <v>19:25:58.398</v>
      </c>
      <c r="U117" t="str">
        <f t="shared" si="26"/>
        <v>AC3944</v>
      </c>
      <c r="V117">
        <v>0</v>
      </c>
      <c r="W117">
        <v>0</v>
      </c>
      <c r="X117">
        <v>2</v>
      </c>
      <c r="Y117">
        <v>0</v>
      </c>
      <c r="AA117">
        <v>0</v>
      </c>
      <c r="AB117">
        <v>8</v>
      </c>
      <c r="AC117">
        <v>3</v>
      </c>
      <c r="AD117">
        <v>0</v>
      </c>
      <c r="AE117">
        <v>9</v>
      </c>
      <c r="AF117" t="s">
        <v>138</v>
      </c>
      <c r="AG117">
        <v>0</v>
      </c>
      <c r="AH117">
        <v>3</v>
      </c>
      <c r="AI117">
        <v>1</v>
      </c>
      <c r="AJ117">
        <v>0</v>
      </c>
      <c r="AK117" t="s">
        <v>186</v>
      </c>
      <c r="AL117">
        <v>32.828414000000002</v>
      </c>
      <c r="AM117" t="s">
        <v>187</v>
      </c>
      <c r="AN117">
        <v>-116.98248599999999</v>
      </c>
      <c r="AO117">
        <v>25</v>
      </c>
      <c r="AP117">
        <v>900</v>
      </c>
      <c r="AQ117" t="s">
        <v>129</v>
      </c>
      <c r="AR117">
        <v>-98</v>
      </c>
      <c r="AS117">
        <v>20</v>
      </c>
      <c r="AT117">
        <v>1664</v>
      </c>
      <c r="BB117">
        <v>1200</v>
      </c>
      <c r="BC117">
        <v>1</v>
      </c>
      <c r="BD117" t="str">
        <f t="shared" si="27"/>
        <v xml:space="preserve">N887QR  </v>
      </c>
      <c r="BE117">
        <v>1</v>
      </c>
      <c r="BG117">
        <v>0</v>
      </c>
      <c r="BH117">
        <v>0</v>
      </c>
      <c r="BI117">
        <v>0</v>
      </c>
      <c r="BJ117">
        <v>500</v>
      </c>
      <c r="BK117">
        <v>-400</v>
      </c>
      <c r="BL117" t="s">
        <v>163</v>
      </c>
      <c r="BM117">
        <v>1</v>
      </c>
      <c r="BN117">
        <v>1</v>
      </c>
      <c r="BO117">
        <v>1</v>
      </c>
      <c r="BP117">
        <v>0</v>
      </c>
      <c r="BS117">
        <v>0</v>
      </c>
      <c r="BT117">
        <v>0</v>
      </c>
      <c r="BU117">
        <v>0</v>
      </c>
      <c r="CE117" t="str">
        <f t="shared" si="46"/>
        <v>19:25:59.403</v>
      </c>
      <c r="CF117">
        <v>1402800249</v>
      </c>
      <c r="CS117">
        <v>3</v>
      </c>
      <c r="CT117">
        <v>2</v>
      </c>
      <c r="CU117">
        <v>0</v>
      </c>
      <c r="CV117">
        <v>2</v>
      </c>
      <c r="CW117">
        <v>0</v>
      </c>
      <c r="CX117">
        <v>3</v>
      </c>
      <c r="CY117">
        <v>7</v>
      </c>
      <c r="CZ117" t="s">
        <v>131</v>
      </c>
      <c r="DA117">
        <v>286</v>
      </c>
      <c r="DB117">
        <v>0</v>
      </c>
      <c r="DC117" t="s">
        <v>132</v>
      </c>
      <c r="DD117" t="s">
        <v>133</v>
      </c>
      <c r="DG117">
        <v>783549</v>
      </c>
      <c r="DI117">
        <v>0</v>
      </c>
      <c r="DJ117">
        <v>0</v>
      </c>
      <c r="DK117">
        <v>1</v>
      </c>
      <c r="DL117">
        <v>0</v>
      </c>
      <c r="DM117">
        <v>0</v>
      </c>
      <c r="DN117">
        <v>1</v>
      </c>
      <c r="DO117">
        <v>0</v>
      </c>
      <c r="DP117">
        <v>0</v>
      </c>
      <c r="DQ117">
        <v>0</v>
      </c>
      <c r="DR117">
        <v>0</v>
      </c>
      <c r="DS117">
        <v>0</v>
      </c>
    </row>
    <row r="118" spans="1:123" x14ac:dyDescent="0.3">
      <c r="A118" t="str">
        <f t="shared" ref="A118:A124" si="47">"10/04/2022 19:26:00.155"</f>
        <v>10/04/2022 19:26:00.155</v>
      </c>
      <c r="C118" t="str">
        <f t="shared" si="25"/>
        <v>FFDFD3C0</v>
      </c>
      <c r="D118" t="s">
        <v>141</v>
      </c>
      <c r="E118">
        <v>4</v>
      </c>
      <c r="H118">
        <v>4</v>
      </c>
      <c r="I118" t="s">
        <v>142</v>
      </c>
      <c r="J118" t="s">
        <v>138</v>
      </c>
      <c r="K118">
        <v>0</v>
      </c>
      <c r="L118">
        <v>3</v>
      </c>
      <c r="M118">
        <v>0</v>
      </c>
      <c r="N118">
        <v>2</v>
      </c>
      <c r="O118">
        <v>0</v>
      </c>
      <c r="P118">
        <v>1</v>
      </c>
      <c r="Q118">
        <v>0</v>
      </c>
      <c r="S118" t="str">
        <f t="shared" ref="S118:T124" si="48">"19:25:58.813"</f>
        <v>19:25:58.813</v>
      </c>
      <c r="T118" t="str">
        <f t="shared" si="48"/>
        <v>19:25:58.813</v>
      </c>
      <c r="U118" t="str">
        <f t="shared" si="26"/>
        <v>AC3944</v>
      </c>
      <c r="V118">
        <v>0</v>
      </c>
      <c r="W118">
        <v>0</v>
      </c>
      <c r="X118">
        <v>2</v>
      </c>
      <c r="Y118">
        <v>0</v>
      </c>
      <c r="AA118">
        <v>0</v>
      </c>
      <c r="AB118">
        <v>8</v>
      </c>
      <c r="AC118">
        <v>3</v>
      </c>
      <c r="AD118">
        <v>0</v>
      </c>
      <c r="AE118">
        <v>9</v>
      </c>
      <c r="AF118" t="s">
        <v>138</v>
      </c>
      <c r="AG118">
        <v>0</v>
      </c>
      <c r="AH118">
        <v>3</v>
      </c>
      <c r="AI118">
        <v>1</v>
      </c>
      <c r="AJ118">
        <v>0</v>
      </c>
      <c r="AK118" t="s">
        <v>188</v>
      </c>
      <c r="AL118">
        <v>32.828499999999998</v>
      </c>
      <c r="AM118" t="s">
        <v>189</v>
      </c>
      <c r="AN118">
        <v>-116.98304400000001</v>
      </c>
      <c r="AO118">
        <v>25</v>
      </c>
      <c r="AP118">
        <v>900</v>
      </c>
      <c r="AQ118" t="s">
        <v>129</v>
      </c>
      <c r="AR118">
        <v>-97</v>
      </c>
      <c r="AS118">
        <v>20</v>
      </c>
      <c r="AT118">
        <v>1664</v>
      </c>
      <c r="BB118">
        <v>1200</v>
      </c>
      <c r="BC118">
        <v>1</v>
      </c>
      <c r="BD118" t="str">
        <f t="shared" si="27"/>
        <v xml:space="preserve">N887QR  </v>
      </c>
      <c r="BE118">
        <v>1</v>
      </c>
      <c r="BG118">
        <v>0</v>
      </c>
      <c r="BH118">
        <v>0</v>
      </c>
      <c r="BI118">
        <v>0</v>
      </c>
      <c r="BJ118">
        <v>500</v>
      </c>
      <c r="BK118">
        <v>-400</v>
      </c>
      <c r="BL118" t="s">
        <v>163</v>
      </c>
      <c r="BM118">
        <v>1</v>
      </c>
      <c r="BN118">
        <v>1</v>
      </c>
      <c r="BO118">
        <v>1</v>
      </c>
      <c r="BP118">
        <v>0</v>
      </c>
      <c r="BS118">
        <v>0</v>
      </c>
      <c r="BT118">
        <v>0</v>
      </c>
      <c r="BU118">
        <v>0</v>
      </c>
      <c r="CE118" t="str">
        <f t="shared" ref="CE118:CE124" si="49">"19:25:59.820"</f>
        <v>19:25:59.820</v>
      </c>
      <c r="CF118">
        <v>1819551662</v>
      </c>
      <c r="CS118">
        <v>3</v>
      </c>
      <c r="CT118">
        <v>2</v>
      </c>
      <c r="CU118">
        <v>0</v>
      </c>
      <c r="CV118">
        <v>2</v>
      </c>
      <c r="CW118">
        <v>0</v>
      </c>
      <c r="CX118">
        <v>4</v>
      </c>
      <c r="CY118">
        <v>7</v>
      </c>
      <c r="CZ118" t="s">
        <v>131</v>
      </c>
      <c r="DA118">
        <v>286</v>
      </c>
      <c r="DB118">
        <v>0</v>
      </c>
      <c r="DC118" t="s">
        <v>132</v>
      </c>
      <c r="DD118" t="s">
        <v>133</v>
      </c>
      <c r="DG118">
        <v>783638</v>
      </c>
      <c r="DI118">
        <v>0</v>
      </c>
      <c r="DJ118">
        <v>0</v>
      </c>
      <c r="DK118">
        <v>0</v>
      </c>
      <c r="DL118">
        <v>0</v>
      </c>
      <c r="DM118">
        <v>0</v>
      </c>
      <c r="DN118">
        <v>1</v>
      </c>
      <c r="DO118">
        <v>0</v>
      </c>
      <c r="DP118">
        <v>0</v>
      </c>
      <c r="DQ118">
        <v>0</v>
      </c>
      <c r="DR118">
        <v>0</v>
      </c>
      <c r="DS118">
        <v>0</v>
      </c>
    </row>
    <row r="119" spans="1:123" x14ac:dyDescent="0.3">
      <c r="A119" t="str">
        <f t="shared" si="47"/>
        <v>10/04/2022 19:26:00.155</v>
      </c>
      <c r="C119" t="str">
        <f t="shared" si="25"/>
        <v>FFDFD3C0</v>
      </c>
      <c r="D119" t="s">
        <v>143</v>
      </c>
      <c r="E119">
        <v>20</v>
      </c>
      <c r="F119">
        <v>1020</v>
      </c>
      <c r="G119" t="s">
        <v>144</v>
      </c>
      <c r="J119" t="s">
        <v>145</v>
      </c>
      <c r="K119">
        <v>0</v>
      </c>
      <c r="L119">
        <v>3</v>
      </c>
      <c r="M119">
        <v>0</v>
      </c>
      <c r="N119">
        <v>2</v>
      </c>
      <c r="O119">
        <v>0</v>
      </c>
      <c r="P119">
        <v>1</v>
      </c>
      <c r="Q119">
        <v>0</v>
      </c>
      <c r="S119" t="str">
        <f t="shared" si="48"/>
        <v>19:25:58.813</v>
      </c>
      <c r="T119" t="str">
        <f t="shared" si="48"/>
        <v>19:25:58.813</v>
      </c>
      <c r="U119" t="str">
        <f t="shared" si="26"/>
        <v>AC3944</v>
      </c>
      <c r="V119">
        <v>0</v>
      </c>
      <c r="W119">
        <v>0</v>
      </c>
      <c r="X119">
        <v>2</v>
      </c>
      <c r="Y119">
        <v>0</v>
      </c>
      <c r="AA119">
        <v>0</v>
      </c>
      <c r="AB119">
        <v>8</v>
      </c>
      <c r="AC119">
        <v>3</v>
      </c>
      <c r="AD119">
        <v>0</v>
      </c>
      <c r="AE119">
        <v>9</v>
      </c>
      <c r="AF119" t="s">
        <v>138</v>
      </c>
      <c r="AG119">
        <v>0</v>
      </c>
      <c r="AH119">
        <v>3</v>
      </c>
      <c r="AI119">
        <v>1</v>
      </c>
      <c r="AJ119">
        <v>0</v>
      </c>
      <c r="AK119" t="s">
        <v>188</v>
      </c>
      <c r="AL119">
        <v>32.828499999999998</v>
      </c>
      <c r="AM119" t="s">
        <v>189</v>
      </c>
      <c r="AN119">
        <v>-116.98304400000001</v>
      </c>
      <c r="AO119">
        <v>25</v>
      </c>
      <c r="AP119">
        <v>900</v>
      </c>
      <c r="AQ119" t="s">
        <v>129</v>
      </c>
      <c r="AR119">
        <v>-97</v>
      </c>
      <c r="AS119">
        <v>20</v>
      </c>
      <c r="AT119">
        <v>1664</v>
      </c>
      <c r="BB119">
        <v>1200</v>
      </c>
      <c r="BC119">
        <v>1</v>
      </c>
      <c r="BD119" t="str">
        <f t="shared" si="27"/>
        <v xml:space="preserve">N887QR  </v>
      </c>
      <c r="BE119">
        <v>1</v>
      </c>
      <c r="BG119">
        <v>0</v>
      </c>
      <c r="BH119">
        <v>0</v>
      </c>
      <c r="BI119">
        <v>0</v>
      </c>
      <c r="BJ119">
        <v>500</v>
      </c>
      <c r="BK119">
        <v>-400</v>
      </c>
      <c r="BL119" t="s">
        <v>163</v>
      </c>
      <c r="BM119">
        <v>1</v>
      </c>
      <c r="BN119">
        <v>1</v>
      </c>
      <c r="BO119">
        <v>1</v>
      </c>
      <c r="BP119">
        <v>0</v>
      </c>
      <c r="BS119">
        <v>0</v>
      </c>
      <c r="BT119">
        <v>0</v>
      </c>
      <c r="BU119">
        <v>0</v>
      </c>
      <c r="CE119" t="str">
        <f t="shared" si="49"/>
        <v>19:25:59.820</v>
      </c>
      <c r="CF119">
        <v>1819551662</v>
      </c>
      <c r="CS119">
        <v>3</v>
      </c>
      <c r="CT119">
        <v>2</v>
      </c>
      <c r="CU119">
        <v>0</v>
      </c>
      <c r="CV119">
        <v>2</v>
      </c>
      <c r="CW119">
        <v>0</v>
      </c>
      <c r="CX119">
        <v>4</v>
      </c>
      <c r="CY119">
        <v>7</v>
      </c>
      <c r="CZ119" t="s">
        <v>131</v>
      </c>
      <c r="DA119">
        <v>286</v>
      </c>
      <c r="DB119">
        <v>0</v>
      </c>
      <c r="DC119" t="s">
        <v>132</v>
      </c>
      <c r="DD119" t="s">
        <v>133</v>
      </c>
      <c r="DG119">
        <v>783638</v>
      </c>
      <c r="DI119">
        <v>0</v>
      </c>
      <c r="DJ119">
        <v>0</v>
      </c>
      <c r="DK119">
        <v>1</v>
      </c>
      <c r="DL119">
        <v>0</v>
      </c>
      <c r="DM119">
        <v>0</v>
      </c>
      <c r="DN119">
        <v>1</v>
      </c>
      <c r="DO119">
        <v>0</v>
      </c>
      <c r="DP119">
        <v>0</v>
      </c>
      <c r="DQ119">
        <v>0</v>
      </c>
      <c r="DR119">
        <v>0</v>
      </c>
      <c r="DS119">
        <v>0</v>
      </c>
    </row>
    <row r="120" spans="1:123" x14ac:dyDescent="0.3">
      <c r="A120" t="str">
        <f t="shared" si="47"/>
        <v>10/04/2022 19:26:00.155</v>
      </c>
      <c r="C120" t="str">
        <f t="shared" si="25"/>
        <v>FFDFD3C0</v>
      </c>
      <c r="D120" t="s">
        <v>136</v>
      </c>
      <c r="E120">
        <v>8</v>
      </c>
      <c r="H120">
        <v>225</v>
      </c>
      <c r="I120" t="s">
        <v>137</v>
      </c>
      <c r="J120" t="s">
        <v>138</v>
      </c>
      <c r="K120">
        <v>0</v>
      </c>
      <c r="L120">
        <v>3</v>
      </c>
      <c r="M120">
        <v>0</v>
      </c>
      <c r="N120">
        <v>2</v>
      </c>
      <c r="O120">
        <v>0</v>
      </c>
      <c r="P120">
        <v>1</v>
      </c>
      <c r="Q120">
        <v>0</v>
      </c>
      <c r="S120" t="str">
        <f t="shared" si="48"/>
        <v>19:25:58.813</v>
      </c>
      <c r="T120" t="str">
        <f t="shared" si="48"/>
        <v>19:25:58.813</v>
      </c>
      <c r="U120" t="str">
        <f t="shared" si="26"/>
        <v>AC3944</v>
      </c>
      <c r="V120">
        <v>0</v>
      </c>
      <c r="W120">
        <v>0</v>
      </c>
      <c r="X120">
        <v>2</v>
      </c>
      <c r="Y120">
        <v>0</v>
      </c>
      <c r="AA120">
        <v>0</v>
      </c>
      <c r="AB120">
        <v>8</v>
      </c>
      <c r="AC120">
        <v>3</v>
      </c>
      <c r="AD120">
        <v>0</v>
      </c>
      <c r="AE120">
        <v>9</v>
      </c>
      <c r="AF120" t="s">
        <v>138</v>
      </c>
      <c r="AG120">
        <v>0</v>
      </c>
      <c r="AH120">
        <v>3</v>
      </c>
      <c r="AI120">
        <v>1</v>
      </c>
      <c r="AJ120">
        <v>0</v>
      </c>
      <c r="AK120" t="s">
        <v>188</v>
      </c>
      <c r="AL120">
        <v>32.828499999999998</v>
      </c>
      <c r="AM120" t="s">
        <v>189</v>
      </c>
      <c r="AN120">
        <v>-116.98304400000001</v>
      </c>
      <c r="AO120">
        <v>25</v>
      </c>
      <c r="AP120">
        <v>900</v>
      </c>
      <c r="AQ120" t="s">
        <v>129</v>
      </c>
      <c r="AR120">
        <v>-97</v>
      </c>
      <c r="AS120">
        <v>20</v>
      </c>
      <c r="AT120">
        <v>1664</v>
      </c>
      <c r="BB120">
        <v>1200</v>
      </c>
      <c r="BC120">
        <v>1</v>
      </c>
      <c r="BD120" t="str">
        <f t="shared" si="27"/>
        <v xml:space="preserve">N887QR  </v>
      </c>
      <c r="BE120">
        <v>1</v>
      </c>
      <c r="BG120">
        <v>0</v>
      </c>
      <c r="BH120">
        <v>0</v>
      </c>
      <c r="BI120">
        <v>0</v>
      </c>
      <c r="BJ120">
        <v>500</v>
      </c>
      <c r="BK120">
        <v>-400</v>
      </c>
      <c r="BL120" t="s">
        <v>163</v>
      </c>
      <c r="BM120">
        <v>1</v>
      </c>
      <c r="BN120">
        <v>1</v>
      </c>
      <c r="BO120">
        <v>1</v>
      </c>
      <c r="BP120">
        <v>0</v>
      </c>
      <c r="BS120">
        <v>0</v>
      </c>
      <c r="BT120">
        <v>0</v>
      </c>
      <c r="BU120">
        <v>0</v>
      </c>
      <c r="CE120" t="str">
        <f t="shared" si="49"/>
        <v>19:25:59.820</v>
      </c>
      <c r="CF120">
        <v>1819551662</v>
      </c>
      <c r="CS120">
        <v>3</v>
      </c>
      <c r="CT120">
        <v>2</v>
      </c>
      <c r="CU120">
        <v>0</v>
      </c>
      <c r="CV120">
        <v>2</v>
      </c>
      <c r="CW120">
        <v>0</v>
      </c>
      <c r="CX120">
        <v>4</v>
      </c>
      <c r="CY120">
        <v>7</v>
      </c>
      <c r="CZ120" t="s">
        <v>131</v>
      </c>
      <c r="DA120">
        <v>286</v>
      </c>
      <c r="DB120">
        <v>0</v>
      </c>
      <c r="DC120" t="s">
        <v>132</v>
      </c>
      <c r="DD120" t="s">
        <v>133</v>
      </c>
      <c r="DG120">
        <v>783638</v>
      </c>
      <c r="DI120">
        <v>0</v>
      </c>
      <c r="DJ120">
        <v>0</v>
      </c>
      <c r="DK120">
        <v>1</v>
      </c>
      <c r="DL120">
        <v>0</v>
      </c>
      <c r="DM120">
        <v>0</v>
      </c>
      <c r="DN120">
        <v>1</v>
      </c>
      <c r="DO120">
        <v>0</v>
      </c>
      <c r="DP120">
        <v>0</v>
      </c>
      <c r="DQ120">
        <v>0</v>
      </c>
      <c r="DR120">
        <v>0</v>
      </c>
      <c r="DS120">
        <v>0</v>
      </c>
    </row>
    <row r="121" spans="1:123" x14ac:dyDescent="0.3">
      <c r="A121" t="str">
        <f t="shared" si="47"/>
        <v>10/04/2022 19:26:00.155</v>
      </c>
      <c r="C121" t="str">
        <f t="shared" si="25"/>
        <v>FFDFD3C0</v>
      </c>
      <c r="D121" t="s">
        <v>123</v>
      </c>
      <c r="E121">
        <v>7</v>
      </c>
      <c r="F121">
        <v>2007</v>
      </c>
      <c r="G121" t="s">
        <v>124</v>
      </c>
      <c r="J121" t="s">
        <v>125</v>
      </c>
      <c r="K121">
        <v>0</v>
      </c>
      <c r="L121">
        <v>3</v>
      </c>
      <c r="M121">
        <v>0</v>
      </c>
      <c r="N121">
        <v>2</v>
      </c>
      <c r="O121">
        <v>0</v>
      </c>
      <c r="P121">
        <v>1</v>
      </c>
      <c r="Q121">
        <v>0</v>
      </c>
      <c r="S121" t="str">
        <f t="shared" si="48"/>
        <v>19:25:58.813</v>
      </c>
      <c r="T121" t="str">
        <f t="shared" si="48"/>
        <v>19:25:58.813</v>
      </c>
      <c r="U121" t="str">
        <f t="shared" si="26"/>
        <v>AC3944</v>
      </c>
      <c r="V121">
        <v>0</v>
      </c>
      <c r="W121">
        <v>0</v>
      </c>
      <c r="X121">
        <v>2</v>
      </c>
      <c r="Y121">
        <v>0</v>
      </c>
      <c r="AA121">
        <v>0</v>
      </c>
      <c r="AB121">
        <v>8</v>
      </c>
      <c r="AC121">
        <v>3</v>
      </c>
      <c r="AD121">
        <v>0</v>
      </c>
      <c r="AE121">
        <v>9</v>
      </c>
      <c r="AF121" t="s">
        <v>138</v>
      </c>
      <c r="AG121">
        <v>0</v>
      </c>
      <c r="AH121">
        <v>3</v>
      </c>
      <c r="AI121">
        <v>1</v>
      </c>
      <c r="AJ121">
        <v>0</v>
      </c>
      <c r="AK121" t="s">
        <v>188</v>
      </c>
      <c r="AL121">
        <v>32.828499999999998</v>
      </c>
      <c r="AM121" t="s">
        <v>189</v>
      </c>
      <c r="AN121">
        <v>-116.98304400000001</v>
      </c>
      <c r="AO121">
        <v>25</v>
      </c>
      <c r="AP121">
        <v>900</v>
      </c>
      <c r="AQ121" t="s">
        <v>129</v>
      </c>
      <c r="AR121">
        <v>-97</v>
      </c>
      <c r="AS121">
        <v>20</v>
      </c>
      <c r="AT121">
        <v>1664</v>
      </c>
      <c r="BB121">
        <v>1200</v>
      </c>
      <c r="BC121">
        <v>1</v>
      </c>
      <c r="BD121" t="str">
        <f t="shared" si="27"/>
        <v xml:space="preserve">N887QR  </v>
      </c>
      <c r="BE121">
        <v>1</v>
      </c>
      <c r="BG121">
        <v>0</v>
      </c>
      <c r="BH121">
        <v>0</v>
      </c>
      <c r="BI121">
        <v>0</v>
      </c>
      <c r="BJ121">
        <v>500</v>
      </c>
      <c r="BK121">
        <v>-400</v>
      </c>
      <c r="BL121" t="s">
        <v>163</v>
      </c>
      <c r="BM121">
        <v>1</v>
      </c>
      <c r="BN121">
        <v>1</v>
      </c>
      <c r="BO121">
        <v>1</v>
      </c>
      <c r="BP121">
        <v>0</v>
      </c>
      <c r="BS121">
        <v>0</v>
      </c>
      <c r="BT121">
        <v>0</v>
      </c>
      <c r="BU121">
        <v>0</v>
      </c>
      <c r="CE121" t="str">
        <f t="shared" si="49"/>
        <v>19:25:59.820</v>
      </c>
      <c r="CF121">
        <v>1819551662</v>
      </c>
      <c r="CS121">
        <v>3</v>
      </c>
      <c r="CT121">
        <v>2</v>
      </c>
      <c r="CU121">
        <v>0</v>
      </c>
      <c r="CV121">
        <v>2</v>
      </c>
      <c r="CW121">
        <v>0</v>
      </c>
      <c r="CX121">
        <v>4</v>
      </c>
      <c r="CY121">
        <v>7</v>
      </c>
      <c r="CZ121" t="s">
        <v>131</v>
      </c>
      <c r="DA121">
        <v>286</v>
      </c>
      <c r="DB121">
        <v>0</v>
      </c>
      <c r="DC121" t="s">
        <v>132</v>
      </c>
      <c r="DD121" t="s">
        <v>133</v>
      </c>
      <c r="DG121">
        <v>783638</v>
      </c>
      <c r="DI121">
        <v>0</v>
      </c>
      <c r="DJ121">
        <v>0</v>
      </c>
      <c r="DK121">
        <v>0</v>
      </c>
      <c r="DL121">
        <v>0</v>
      </c>
      <c r="DM121">
        <v>0</v>
      </c>
      <c r="DN121">
        <v>1</v>
      </c>
      <c r="DO121">
        <v>0</v>
      </c>
      <c r="DP121">
        <v>0</v>
      </c>
      <c r="DQ121">
        <v>0</v>
      </c>
      <c r="DR121">
        <v>0</v>
      </c>
      <c r="DS121">
        <v>0</v>
      </c>
    </row>
    <row r="122" spans="1:123" x14ac:dyDescent="0.3">
      <c r="A122" t="str">
        <f t="shared" si="47"/>
        <v>10/04/2022 19:26:00.155</v>
      </c>
      <c r="C122" t="str">
        <f t="shared" si="25"/>
        <v>FFDFD3C0</v>
      </c>
      <c r="D122" t="s">
        <v>134</v>
      </c>
      <c r="E122">
        <v>15</v>
      </c>
      <c r="J122" t="s">
        <v>135</v>
      </c>
      <c r="K122">
        <v>0</v>
      </c>
      <c r="L122">
        <v>3</v>
      </c>
      <c r="M122">
        <v>0</v>
      </c>
      <c r="N122">
        <v>2</v>
      </c>
      <c r="O122">
        <v>0</v>
      </c>
      <c r="P122">
        <v>1</v>
      </c>
      <c r="Q122">
        <v>0</v>
      </c>
      <c r="S122" t="str">
        <f t="shared" si="48"/>
        <v>19:25:58.813</v>
      </c>
      <c r="T122" t="str">
        <f t="shared" si="48"/>
        <v>19:25:58.813</v>
      </c>
      <c r="U122" t="str">
        <f t="shared" si="26"/>
        <v>AC3944</v>
      </c>
      <c r="V122">
        <v>0</v>
      </c>
      <c r="W122">
        <v>0</v>
      </c>
      <c r="X122">
        <v>2</v>
      </c>
      <c r="Y122">
        <v>0</v>
      </c>
      <c r="AA122">
        <v>0</v>
      </c>
      <c r="AB122">
        <v>8</v>
      </c>
      <c r="AC122">
        <v>3</v>
      </c>
      <c r="AD122">
        <v>0</v>
      </c>
      <c r="AE122">
        <v>9</v>
      </c>
      <c r="AF122" t="s">
        <v>138</v>
      </c>
      <c r="AG122">
        <v>0</v>
      </c>
      <c r="AH122">
        <v>3</v>
      </c>
      <c r="AI122">
        <v>1</v>
      </c>
      <c r="AJ122">
        <v>0</v>
      </c>
      <c r="AK122" t="s">
        <v>188</v>
      </c>
      <c r="AL122">
        <v>32.828499999999998</v>
      </c>
      <c r="AM122" t="s">
        <v>189</v>
      </c>
      <c r="AN122">
        <v>-116.98304400000001</v>
      </c>
      <c r="AO122">
        <v>25</v>
      </c>
      <c r="AP122">
        <v>900</v>
      </c>
      <c r="AQ122" t="s">
        <v>129</v>
      </c>
      <c r="AR122">
        <v>-97</v>
      </c>
      <c r="AS122">
        <v>20</v>
      </c>
      <c r="AT122">
        <v>1664</v>
      </c>
      <c r="BB122">
        <v>1200</v>
      </c>
      <c r="BC122">
        <v>1</v>
      </c>
      <c r="BD122" t="str">
        <f t="shared" si="27"/>
        <v xml:space="preserve">N887QR  </v>
      </c>
      <c r="BE122">
        <v>1</v>
      </c>
      <c r="BG122">
        <v>0</v>
      </c>
      <c r="BH122">
        <v>0</v>
      </c>
      <c r="BI122">
        <v>0</v>
      </c>
      <c r="BJ122">
        <v>500</v>
      </c>
      <c r="BK122">
        <v>-400</v>
      </c>
      <c r="BL122" t="s">
        <v>163</v>
      </c>
      <c r="BM122">
        <v>1</v>
      </c>
      <c r="BN122">
        <v>1</v>
      </c>
      <c r="BO122">
        <v>1</v>
      </c>
      <c r="BP122">
        <v>0</v>
      </c>
      <c r="BS122">
        <v>0</v>
      </c>
      <c r="BT122">
        <v>0</v>
      </c>
      <c r="BU122">
        <v>0</v>
      </c>
      <c r="CE122" t="str">
        <f t="shared" si="49"/>
        <v>19:25:59.820</v>
      </c>
      <c r="CF122">
        <v>1819551662</v>
      </c>
      <c r="CS122">
        <v>3</v>
      </c>
      <c r="CT122">
        <v>2</v>
      </c>
      <c r="CU122">
        <v>0</v>
      </c>
      <c r="CV122">
        <v>2</v>
      </c>
      <c r="CW122">
        <v>0</v>
      </c>
      <c r="CX122">
        <v>4</v>
      </c>
      <c r="CY122">
        <v>7</v>
      </c>
      <c r="CZ122" t="s">
        <v>131</v>
      </c>
      <c r="DA122">
        <v>286</v>
      </c>
      <c r="DB122">
        <v>0</v>
      </c>
      <c r="DC122" t="s">
        <v>132</v>
      </c>
      <c r="DD122" t="s">
        <v>133</v>
      </c>
      <c r="DG122">
        <v>783638</v>
      </c>
      <c r="DI122">
        <v>0</v>
      </c>
      <c r="DJ122">
        <v>0</v>
      </c>
      <c r="DK122">
        <v>1</v>
      </c>
      <c r="DL122">
        <v>0</v>
      </c>
      <c r="DM122">
        <v>0</v>
      </c>
      <c r="DN122">
        <v>1</v>
      </c>
      <c r="DO122">
        <v>0</v>
      </c>
      <c r="DP122">
        <v>0</v>
      </c>
      <c r="DQ122">
        <v>0</v>
      </c>
      <c r="DR122">
        <v>0</v>
      </c>
      <c r="DS122">
        <v>0</v>
      </c>
    </row>
    <row r="123" spans="1:123" x14ac:dyDescent="0.3">
      <c r="A123" t="str">
        <f t="shared" si="47"/>
        <v>10/04/2022 19:26:00.155</v>
      </c>
      <c r="C123" t="str">
        <f t="shared" si="25"/>
        <v>FFDFD3C0</v>
      </c>
      <c r="D123" t="s">
        <v>147</v>
      </c>
      <c r="E123">
        <v>3</v>
      </c>
      <c r="H123">
        <v>166</v>
      </c>
      <c r="I123" t="s">
        <v>144</v>
      </c>
      <c r="J123" t="s">
        <v>148</v>
      </c>
      <c r="K123">
        <v>0</v>
      </c>
      <c r="L123">
        <v>3</v>
      </c>
      <c r="M123">
        <v>0</v>
      </c>
      <c r="N123">
        <v>2</v>
      </c>
      <c r="O123">
        <v>0</v>
      </c>
      <c r="P123">
        <v>1</v>
      </c>
      <c r="Q123">
        <v>0</v>
      </c>
      <c r="S123" t="str">
        <f t="shared" si="48"/>
        <v>19:25:58.813</v>
      </c>
      <c r="T123" t="str">
        <f t="shared" si="48"/>
        <v>19:25:58.813</v>
      </c>
      <c r="U123" t="str">
        <f t="shared" si="26"/>
        <v>AC3944</v>
      </c>
      <c r="V123">
        <v>0</v>
      </c>
      <c r="W123">
        <v>0</v>
      </c>
      <c r="X123">
        <v>2</v>
      </c>
      <c r="Y123">
        <v>0</v>
      </c>
      <c r="AA123">
        <v>0</v>
      </c>
      <c r="AB123">
        <v>8</v>
      </c>
      <c r="AC123">
        <v>3</v>
      </c>
      <c r="AD123">
        <v>0</v>
      </c>
      <c r="AE123">
        <v>9</v>
      </c>
      <c r="AF123" t="s">
        <v>138</v>
      </c>
      <c r="AG123">
        <v>0</v>
      </c>
      <c r="AH123">
        <v>3</v>
      </c>
      <c r="AI123">
        <v>1</v>
      </c>
      <c r="AJ123">
        <v>0</v>
      </c>
      <c r="AK123" t="s">
        <v>188</v>
      </c>
      <c r="AL123">
        <v>32.828499999999998</v>
      </c>
      <c r="AM123" t="s">
        <v>189</v>
      </c>
      <c r="AN123">
        <v>-116.98304400000001</v>
      </c>
      <c r="AO123">
        <v>25</v>
      </c>
      <c r="AP123">
        <v>900</v>
      </c>
      <c r="AQ123" t="s">
        <v>129</v>
      </c>
      <c r="AR123">
        <v>-97</v>
      </c>
      <c r="AS123">
        <v>20</v>
      </c>
      <c r="AT123">
        <v>1664</v>
      </c>
      <c r="BB123">
        <v>1200</v>
      </c>
      <c r="BC123">
        <v>1</v>
      </c>
      <c r="BD123" t="str">
        <f t="shared" si="27"/>
        <v xml:space="preserve">N887QR  </v>
      </c>
      <c r="BE123">
        <v>1</v>
      </c>
      <c r="BG123">
        <v>0</v>
      </c>
      <c r="BH123">
        <v>0</v>
      </c>
      <c r="BI123">
        <v>0</v>
      </c>
      <c r="BJ123">
        <v>500</v>
      </c>
      <c r="BK123">
        <v>-400</v>
      </c>
      <c r="BL123" t="s">
        <v>163</v>
      </c>
      <c r="BM123">
        <v>1</v>
      </c>
      <c r="BN123">
        <v>1</v>
      </c>
      <c r="BO123">
        <v>1</v>
      </c>
      <c r="BP123">
        <v>0</v>
      </c>
      <c r="BS123">
        <v>0</v>
      </c>
      <c r="BT123">
        <v>0</v>
      </c>
      <c r="BU123">
        <v>0</v>
      </c>
      <c r="CE123" t="str">
        <f t="shared" si="49"/>
        <v>19:25:59.820</v>
      </c>
      <c r="CF123">
        <v>1819551662</v>
      </c>
      <c r="CS123">
        <v>3</v>
      </c>
      <c r="CT123">
        <v>2</v>
      </c>
      <c r="CU123">
        <v>0</v>
      </c>
      <c r="CV123">
        <v>2</v>
      </c>
      <c r="CW123">
        <v>0</v>
      </c>
      <c r="CX123">
        <v>4</v>
      </c>
      <c r="CY123">
        <v>7</v>
      </c>
      <c r="CZ123" t="s">
        <v>131</v>
      </c>
      <c r="DA123">
        <v>286</v>
      </c>
      <c r="DB123">
        <v>0</v>
      </c>
      <c r="DC123" t="s">
        <v>132</v>
      </c>
      <c r="DD123" t="s">
        <v>133</v>
      </c>
      <c r="DG123">
        <v>783638</v>
      </c>
      <c r="DI123">
        <v>0</v>
      </c>
      <c r="DJ123">
        <v>0</v>
      </c>
      <c r="DK123">
        <v>1</v>
      </c>
      <c r="DL123">
        <v>0</v>
      </c>
      <c r="DM123">
        <v>0</v>
      </c>
      <c r="DN123">
        <v>1</v>
      </c>
      <c r="DO123">
        <v>0</v>
      </c>
      <c r="DP123">
        <v>0</v>
      </c>
      <c r="DQ123">
        <v>0</v>
      </c>
      <c r="DR123">
        <v>0</v>
      </c>
      <c r="DS123">
        <v>0</v>
      </c>
    </row>
    <row r="124" spans="1:123" x14ac:dyDescent="0.3">
      <c r="A124" t="str">
        <f t="shared" si="47"/>
        <v>10/04/2022 19:26:00.155</v>
      </c>
      <c r="C124" t="str">
        <f t="shared" si="25"/>
        <v>FFDFD3C0</v>
      </c>
      <c r="D124" t="s">
        <v>141</v>
      </c>
      <c r="E124">
        <v>3</v>
      </c>
      <c r="H124">
        <v>3</v>
      </c>
      <c r="I124" t="s">
        <v>146</v>
      </c>
      <c r="J124" t="s">
        <v>138</v>
      </c>
      <c r="K124">
        <v>0</v>
      </c>
      <c r="L124">
        <v>3</v>
      </c>
      <c r="M124">
        <v>0</v>
      </c>
      <c r="N124">
        <v>2</v>
      </c>
      <c r="O124">
        <v>0</v>
      </c>
      <c r="P124">
        <v>1</v>
      </c>
      <c r="Q124">
        <v>0</v>
      </c>
      <c r="S124" t="str">
        <f t="shared" si="48"/>
        <v>19:25:58.813</v>
      </c>
      <c r="T124" t="str">
        <f t="shared" si="48"/>
        <v>19:25:58.813</v>
      </c>
      <c r="U124" t="str">
        <f t="shared" si="26"/>
        <v>AC3944</v>
      </c>
      <c r="V124">
        <v>0</v>
      </c>
      <c r="W124">
        <v>0</v>
      </c>
      <c r="X124">
        <v>2</v>
      </c>
      <c r="Y124">
        <v>0</v>
      </c>
      <c r="AA124">
        <v>0</v>
      </c>
      <c r="AB124">
        <v>8</v>
      </c>
      <c r="AC124">
        <v>3</v>
      </c>
      <c r="AD124">
        <v>0</v>
      </c>
      <c r="AE124">
        <v>9</v>
      </c>
      <c r="AF124" t="s">
        <v>138</v>
      </c>
      <c r="AG124">
        <v>0</v>
      </c>
      <c r="AH124">
        <v>3</v>
      </c>
      <c r="AI124">
        <v>1</v>
      </c>
      <c r="AJ124">
        <v>0</v>
      </c>
      <c r="AK124" t="s">
        <v>188</v>
      </c>
      <c r="AL124">
        <v>32.828499999999998</v>
      </c>
      <c r="AM124" t="s">
        <v>189</v>
      </c>
      <c r="AN124">
        <v>-116.98304400000001</v>
      </c>
      <c r="AO124">
        <v>25</v>
      </c>
      <c r="AP124">
        <v>900</v>
      </c>
      <c r="AQ124" t="s">
        <v>129</v>
      </c>
      <c r="AR124">
        <v>-97</v>
      </c>
      <c r="AS124">
        <v>20</v>
      </c>
      <c r="AT124">
        <v>1664</v>
      </c>
      <c r="BB124">
        <v>1200</v>
      </c>
      <c r="BC124">
        <v>1</v>
      </c>
      <c r="BD124" t="str">
        <f t="shared" si="27"/>
        <v xml:space="preserve">N887QR  </v>
      </c>
      <c r="BE124">
        <v>1</v>
      </c>
      <c r="BG124">
        <v>0</v>
      </c>
      <c r="BH124">
        <v>0</v>
      </c>
      <c r="BI124">
        <v>0</v>
      </c>
      <c r="BJ124">
        <v>500</v>
      </c>
      <c r="BK124">
        <v>-400</v>
      </c>
      <c r="BL124" t="s">
        <v>163</v>
      </c>
      <c r="BM124">
        <v>1</v>
      </c>
      <c r="BN124">
        <v>1</v>
      </c>
      <c r="BO124">
        <v>1</v>
      </c>
      <c r="BP124">
        <v>0</v>
      </c>
      <c r="BS124">
        <v>0</v>
      </c>
      <c r="BT124">
        <v>0</v>
      </c>
      <c r="BU124">
        <v>0</v>
      </c>
      <c r="CE124" t="str">
        <f t="shared" si="49"/>
        <v>19:25:59.820</v>
      </c>
      <c r="CF124">
        <v>1819551662</v>
      </c>
      <c r="CS124">
        <v>3</v>
      </c>
      <c r="CT124">
        <v>2</v>
      </c>
      <c r="CU124">
        <v>0</v>
      </c>
      <c r="CV124">
        <v>2</v>
      </c>
      <c r="CW124">
        <v>0</v>
      </c>
      <c r="CX124">
        <v>4</v>
      </c>
      <c r="CY124">
        <v>7</v>
      </c>
      <c r="CZ124" t="s">
        <v>131</v>
      </c>
      <c r="DA124">
        <v>286</v>
      </c>
      <c r="DB124">
        <v>0</v>
      </c>
      <c r="DC124" t="s">
        <v>132</v>
      </c>
      <c r="DD124" t="s">
        <v>133</v>
      </c>
      <c r="DG124">
        <v>783638</v>
      </c>
      <c r="DI124">
        <v>0</v>
      </c>
      <c r="DJ124">
        <v>0</v>
      </c>
      <c r="DK124">
        <v>1</v>
      </c>
      <c r="DL124">
        <v>0</v>
      </c>
      <c r="DM124">
        <v>0</v>
      </c>
      <c r="DN124">
        <v>1</v>
      </c>
      <c r="DO124">
        <v>0</v>
      </c>
      <c r="DP124">
        <v>0</v>
      </c>
      <c r="DQ124">
        <v>0</v>
      </c>
      <c r="DR124">
        <v>0</v>
      </c>
      <c r="DS124">
        <v>0</v>
      </c>
    </row>
    <row r="125" spans="1:123" x14ac:dyDescent="0.3">
      <c r="A125" t="str">
        <f>"10/04/2022 19:26:01.534"</f>
        <v>10/04/2022 19:26:01.534</v>
      </c>
      <c r="C125" t="str">
        <f t="shared" si="25"/>
        <v>FFDFD3C0</v>
      </c>
      <c r="D125" t="s">
        <v>123</v>
      </c>
      <c r="E125">
        <v>7</v>
      </c>
      <c r="F125">
        <v>2007</v>
      </c>
      <c r="G125" t="s">
        <v>124</v>
      </c>
      <c r="J125" t="s">
        <v>125</v>
      </c>
      <c r="K125">
        <v>0</v>
      </c>
      <c r="L125">
        <v>3</v>
      </c>
      <c r="M125">
        <v>0</v>
      </c>
      <c r="N125">
        <v>2</v>
      </c>
      <c r="O125">
        <v>0</v>
      </c>
      <c r="P125">
        <v>1</v>
      </c>
      <c r="Q125">
        <v>0</v>
      </c>
      <c r="S125" t="str">
        <f t="shared" ref="S125:T131" si="50">"19:26:00.148"</f>
        <v>19:26:00.148</v>
      </c>
      <c r="T125" t="str">
        <f t="shared" si="50"/>
        <v>19:26:00.148</v>
      </c>
      <c r="U125" t="str">
        <f t="shared" si="26"/>
        <v>AC3944</v>
      </c>
      <c r="V125">
        <v>0</v>
      </c>
      <c r="W125">
        <v>0</v>
      </c>
      <c r="X125">
        <v>2</v>
      </c>
      <c r="Y125">
        <v>0</v>
      </c>
      <c r="AA125">
        <v>0</v>
      </c>
      <c r="AB125">
        <v>8</v>
      </c>
      <c r="AC125">
        <v>3</v>
      </c>
      <c r="AD125">
        <v>0</v>
      </c>
      <c r="AE125">
        <v>9</v>
      </c>
      <c r="AF125" t="s">
        <v>126</v>
      </c>
      <c r="AG125">
        <v>0</v>
      </c>
      <c r="AH125">
        <v>0</v>
      </c>
      <c r="AI125">
        <v>1</v>
      </c>
      <c r="AJ125">
        <v>0</v>
      </c>
      <c r="AK125" t="s">
        <v>190</v>
      </c>
      <c r="AL125">
        <v>32.828608000000003</v>
      </c>
      <c r="AM125" t="s">
        <v>191</v>
      </c>
      <c r="AN125">
        <v>-116.983688</v>
      </c>
      <c r="AO125">
        <v>25</v>
      </c>
      <c r="AP125">
        <v>900</v>
      </c>
      <c r="AQ125" t="s">
        <v>129</v>
      </c>
      <c r="AR125">
        <v>-95</v>
      </c>
      <c r="AS125">
        <v>19</v>
      </c>
      <c r="AT125">
        <v>1984</v>
      </c>
      <c r="BB125">
        <v>1200</v>
      </c>
      <c r="BC125">
        <v>1</v>
      </c>
      <c r="BD125" t="str">
        <f t="shared" si="27"/>
        <v xml:space="preserve">N887QR  </v>
      </c>
      <c r="BE125">
        <v>1</v>
      </c>
      <c r="BG125">
        <v>0</v>
      </c>
      <c r="BH125">
        <v>0</v>
      </c>
      <c r="BI125">
        <v>0</v>
      </c>
      <c r="BJ125">
        <v>625</v>
      </c>
      <c r="BK125">
        <v>-275</v>
      </c>
      <c r="BL125" t="s">
        <v>163</v>
      </c>
      <c r="BM125">
        <v>1</v>
      </c>
      <c r="BN125">
        <v>1</v>
      </c>
      <c r="BO125">
        <v>1</v>
      </c>
      <c r="BP125">
        <v>0</v>
      </c>
      <c r="BS125">
        <v>0</v>
      </c>
      <c r="BT125">
        <v>0</v>
      </c>
      <c r="BU125">
        <v>0</v>
      </c>
      <c r="CE125" t="str">
        <f t="shared" ref="CE125:CE131" si="51">"19:26:01.149"</f>
        <v>19:26:01.149</v>
      </c>
      <c r="CF125">
        <v>1148555957</v>
      </c>
      <c r="CS125">
        <v>2</v>
      </c>
      <c r="CT125">
        <v>2</v>
      </c>
      <c r="CU125">
        <v>0</v>
      </c>
      <c r="CV125">
        <v>2</v>
      </c>
      <c r="CW125">
        <v>0</v>
      </c>
      <c r="CX125">
        <v>3</v>
      </c>
      <c r="CY125">
        <v>7</v>
      </c>
      <c r="CZ125" t="s">
        <v>131</v>
      </c>
      <c r="DA125">
        <v>286</v>
      </c>
      <c r="DB125">
        <v>0</v>
      </c>
      <c r="DC125" t="s">
        <v>132</v>
      </c>
      <c r="DD125" t="s">
        <v>133</v>
      </c>
      <c r="DG125">
        <v>783868</v>
      </c>
      <c r="DI125">
        <v>0</v>
      </c>
      <c r="DJ125">
        <v>0</v>
      </c>
      <c r="DK125">
        <v>0</v>
      </c>
      <c r="DL125">
        <v>0</v>
      </c>
      <c r="DM125">
        <v>0</v>
      </c>
      <c r="DN125">
        <v>1</v>
      </c>
      <c r="DO125">
        <v>0</v>
      </c>
      <c r="DP125">
        <v>0</v>
      </c>
      <c r="DQ125">
        <v>0</v>
      </c>
      <c r="DR125">
        <v>0</v>
      </c>
      <c r="DS125">
        <v>0</v>
      </c>
    </row>
    <row r="126" spans="1:123" x14ac:dyDescent="0.3">
      <c r="A126" t="str">
        <f>"10/04/2022 19:26:01.535"</f>
        <v>10/04/2022 19:26:01.535</v>
      </c>
      <c r="C126" t="str">
        <f t="shared" si="25"/>
        <v>FFDFD3C0</v>
      </c>
      <c r="D126" t="s">
        <v>136</v>
      </c>
      <c r="E126">
        <v>8</v>
      </c>
      <c r="H126">
        <v>225</v>
      </c>
      <c r="I126" t="s">
        <v>137</v>
      </c>
      <c r="J126" t="s">
        <v>138</v>
      </c>
      <c r="K126">
        <v>0</v>
      </c>
      <c r="L126">
        <v>3</v>
      </c>
      <c r="M126">
        <v>0</v>
      </c>
      <c r="N126">
        <v>2</v>
      </c>
      <c r="O126">
        <v>0</v>
      </c>
      <c r="P126">
        <v>1</v>
      </c>
      <c r="Q126">
        <v>0</v>
      </c>
      <c r="S126" t="str">
        <f t="shared" si="50"/>
        <v>19:26:00.148</v>
      </c>
      <c r="T126" t="str">
        <f t="shared" si="50"/>
        <v>19:26:00.148</v>
      </c>
      <c r="U126" t="str">
        <f t="shared" si="26"/>
        <v>AC3944</v>
      </c>
      <c r="V126">
        <v>0</v>
      </c>
      <c r="W126">
        <v>0</v>
      </c>
      <c r="X126">
        <v>2</v>
      </c>
      <c r="Y126">
        <v>0</v>
      </c>
      <c r="AA126">
        <v>0</v>
      </c>
      <c r="AB126">
        <v>8</v>
      </c>
      <c r="AC126">
        <v>3</v>
      </c>
      <c r="AD126">
        <v>0</v>
      </c>
      <c r="AE126">
        <v>9</v>
      </c>
      <c r="AF126" t="s">
        <v>126</v>
      </c>
      <c r="AG126">
        <v>0</v>
      </c>
      <c r="AH126">
        <v>0</v>
      </c>
      <c r="AI126">
        <v>1</v>
      </c>
      <c r="AJ126">
        <v>0</v>
      </c>
      <c r="AK126" t="s">
        <v>190</v>
      </c>
      <c r="AL126">
        <v>32.828608000000003</v>
      </c>
      <c r="AM126" t="s">
        <v>191</v>
      </c>
      <c r="AN126">
        <v>-116.983688</v>
      </c>
      <c r="AO126">
        <v>25</v>
      </c>
      <c r="AP126">
        <v>900</v>
      </c>
      <c r="AQ126" t="s">
        <v>129</v>
      </c>
      <c r="AR126">
        <v>-95</v>
      </c>
      <c r="AS126">
        <v>19</v>
      </c>
      <c r="AT126">
        <v>1984</v>
      </c>
      <c r="BB126">
        <v>1200</v>
      </c>
      <c r="BC126">
        <v>1</v>
      </c>
      <c r="BD126" t="str">
        <f t="shared" si="27"/>
        <v xml:space="preserve">N887QR  </v>
      </c>
      <c r="BE126">
        <v>1</v>
      </c>
      <c r="BG126">
        <v>0</v>
      </c>
      <c r="BH126">
        <v>0</v>
      </c>
      <c r="BI126">
        <v>0</v>
      </c>
      <c r="BJ126">
        <v>625</v>
      </c>
      <c r="BK126">
        <v>-275</v>
      </c>
      <c r="BL126" t="s">
        <v>163</v>
      </c>
      <c r="BM126">
        <v>1</v>
      </c>
      <c r="BN126">
        <v>1</v>
      </c>
      <c r="BO126">
        <v>1</v>
      </c>
      <c r="BP126">
        <v>0</v>
      </c>
      <c r="BS126">
        <v>0</v>
      </c>
      <c r="BT126">
        <v>0</v>
      </c>
      <c r="BU126">
        <v>0</v>
      </c>
      <c r="CE126" t="str">
        <f t="shared" si="51"/>
        <v>19:26:01.149</v>
      </c>
      <c r="CF126">
        <v>1148555957</v>
      </c>
      <c r="CS126">
        <v>2</v>
      </c>
      <c r="CT126">
        <v>2</v>
      </c>
      <c r="CU126">
        <v>0</v>
      </c>
      <c r="CV126">
        <v>2</v>
      </c>
      <c r="CW126">
        <v>0</v>
      </c>
      <c r="CX126">
        <v>3</v>
      </c>
      <c r="CY126">
        <v>7</v>
      </c>
      <c r="CZ126" t="s">
        <v>131</v>
      </c>
      <c r="DA126">
        <v>286</v>
      </c>
      <c r="DB126">
        <v>0</v>
      </c>
      <c r="DC126" t="s">
        <v>132</v>
      </c>
      <c r="DD126" t="s">
        <v>133</v>
      </c>
      <c r="DG126">
        <v>783868</v>
      </c>
      <c r="DI126">
        <v>0</v>
      </c>
      <c r="DJ126">
        <v>0</v>
      </c>
      <c r="DK126">
        <v>1</v>
      </c>
      <c r="DL126">
        <v>0</v>
      </c>
      <c r="DM126">
        <v>0</v>
      </c>
      <c r="DN126">
        <v>1</v>
      </c>
      <c r="DO126">
        <v>0</v>
      </c>
      <c r="DP126">
        <v>0</v>
      </c>
      <c r="DQ126">
        <v>0</v>
      </c>
      <c r="DR126">
        <v>0</v>
      </c>
      <c r="DS126">
        <v>0</v>
      </c>
    </row>
    <row r="127" spans="1:123" x14ac:dyDescent="0.3">
      <c r="A127" t="str">
        <f>"10/04/2022 19:26:01.535"</f>
        <v>10/04/2022 19:26:01.535</v>
      </c>
      <c r="C127" t="str">
        <f t="shared" si="25"/>
        <v>FFDFD3C0</v>
      </c>
      <c r="D127" t="s">
        <v>134</v>
      </c>
      <c r="E127">
        <v>15</v>
      </c>
      <c r="J127" t="s">
        <v>135</v>
      </c>
      <c r="K127">
        <v>0</v>
      </c>
      <c r="L127">
        <v>3</v>
      </c>
      <c r="M127">
        <v>0</v>
      </c>
      <c r="N127">
        <v>2</v>
      </c>
      <c r="O127">
        <v>0</v>
      </c>
      <c r="P127">
        <v>1</v>
      </c>
      <c r="Q127">
        <v>0</v>
      </c>
      <c r="S127" t="str">
        <f t="shared" si="50"/>
        <v>19:26:00.148</v>
      </c>
      <c r="T127" t="str">
        <f t="shared" si="50"/>
        <v>19:26:00.148</v>
      </c>
      <c r="U127" t="str">
        <f t="shared" si="26"/>
        <v>AC3944</v>
      </c>
      <c r="V127">
        <v>0</v>
      </c>
      <c r="W127">
        <v>0</v>
      </c>
      <c r="X127">
        <v>2</v>
      </c>
      <c r="Y127">
        <v>0</v>
      </c>
      <c r="AA127">
        <v>0</v>
      </c>
      <c r="AB127">
        <v>8</v>
      </c>
      <c r="AC127">
        <v>3</v>
      </c>
      <c r="AD127">
        <v>0</v>
      </c>
      <c r="AE127">
        <v>9</v>
      </c>
      <c r="AF127" t="s">
        <v>126</v>
      </c>
      <c r="AG127">
        <v>0</v>
      </c>
      <c r="AH127">
        <v>0</v>
      </c>
      <c r="AI127">
        <v>1</v>
      </c>
      <c r="AJ127">
        <v>0</v>
      </c>
      <c r="AK127" t="s">
        <v>190</v>
      </c>
      <c r="AL127">
        <v>32.828608000000003</v>
      </c>
      <c r="AM127" t="s">
        <v>191</v>
      </c>
      <c r="AN127">
        <v>-116.983688</v>
      </c>
      <c r="AO127">
        <v>25</v>
      </c>
      <c r="AP127">
        <v>900</v>
      </c>
      <c r="AQ127" t="s">
        <v>129</v>
      </c>
      <c r="AR127">
        <v>-95</v>
      </c>
      <c r="AS127">
        <v>19</v>
      </c>
      <c r="AT127">
        <v>1984</v>
      </c>
      <c r="BB127">
        <v>1200</v>
      </c>
      <c r="BC127">
        <v>1</v>
      </c>
      <c r="BD127" t="str">
        <f t="shared" si="27"/>
        <v xml:space="preserve">N887QR  </v>
      </c>
      <c r="BE127">
        <v>1</v>
      </c>
      <c r="BG127">
        <v>0</v>
      </c>
      <c r="BH127">
        <v>0</v>
      </c>
      <c r="BI127">
        <v>0</v>
      </c>
      <c r="BJ127">
        <v>625</v>
      </c>
      <c r="BK127">
        <v>-275</v>
      </c>
      <c r="BL127" t="s">
        <v>163</v>
      </c>
      <c r="BM127">
        <v>1</v>
      </c>
      <c r="BN127">
        <v>1</v>
      </c>
      <c r="BO127">
        <v>1</v>
      </c>
      <c r="BP127">
        <v>0</v>
      </c>
      <c r="BS127">
        <v>0</v>
      </c>
      <c r="BT127">
        <v>0</v>
      </c>
      <c r="BU127">
        <v>0</v>
      </c>
      <c r="CE127" t="str">
        <f t="shared" si="51"/>
        <v>19:26:01.149</v>
      </c>
      <c r="CF127">
        <v>1148555957</v>
      </c>
      <c r="CS127">
        <v>2</v>
      </c>
      <c r="CT127">
        <v>2</v>
      </c>
      <c r="CU127">
        <v>0</v>
      </c>
      <c r="CV127">
        <v>2</v>
      </c>
      <c r="CW127">
        <v>0</v>
      </c>
      <c r="CX127">
        <v>3</v>
      </c>
      <c r="CY127">
        <v>7</v>
      </c>
      <c r="CZ127" t="s">
        <v>131</v>
      </c>
      <c r="DA127">
        <v>286</v>
      </c>
      <c r="DB127">
        <v>0</v>
      </c>
      <c r="DC127" t="s">
        <v>132</v>
      </c>
      <c r="DD127" t="s">
        <v>133</v>
      </c>
      <c r="DG127">
        <v>783868</v>
      </c>
      <c r="DI127">
        <v>0</v>
      </c>
      <c r="DJ127">
        <v>0</v>
      </c>
      <c r="DK127">
        <v>1</v>
      </c>
      <c r="DL127">
        <v>0</v>
      </c>
      <c r="DM127">
        <v>0</v>
      </c>
      <c r="DN127">
        <v>1</v>
      </c>
      <c r="DO127">
        <v>0</v>
      </c>
      <c r="DP127">
        <v>0</v>
      </c>
      <c r="DQ127">
        <v>0</v>
      </c>
      <c r="DR127">
        <v>0</v>
      </c>
      <c r="DS127">
        <v>0</v>
      </c>
    </row>
    <row r="128" spans="1:123" x14ac:dyDescent="0.3">
      <c r="A128" t="str">
        <f>"10/04/2022 19:26:01.535"</f>
        <v>10/04/2022 19:26:01.535</v>
      </c>
      <c r="C128" t="str">
        <f t="shared" si="25"/>
        <v>FFDFD3C0</v>
      </c>
      <c r="D128" t="s">
        <v>147</v>
      </c>
      <c r="E128">
        <v>3</v>
      </c>
      <c r="H128">
        <v>166</v>
      </c>
      <c r="I128" t="s">
        <v>144</v>
      </c>
      <c r="J128" t="s">
        <v>148</v>
      </c>
      <c r="K128">
        <v>0</v>
      </c>
      <c r="L128">
        <v>3</v>
      </c>
      <c r="M128">
        <v>0</v>
      </c>
      <c r="N128">
        <v>2</v>
      </c>
      <c r="O128">
        <v>0</v>
      </c>
      <c r="P128">
        <v>1</v>
      </c>
      <c r="Q128">
        <v>0</v>
      </c>
      <c r="S128" t="str">
        <f t="shared" si="50"/>
        <v>19:26:00.148</v>
      </c>
      <c r="T128" t="str">
        <f t="shared" si="50"/>
        <v>19:26:00.148</v>
      </c>
      <c r="U128" t="str">
        <f t="shared" si="26"/>
        <v>AC3944</v>
      </c>
      <c r="V128">
        <v>0</v>
      </c>
      <c r="W128">
        <v>0</v>
      </c>
      <c r="X128">
        <v>2</v>
      </c>
      <c r="Y128">
        <v>0</v>
      </c>
      <c r="AA128">
        <v>0</v>
      </c>
      <c r="AB128">
        <v>8</v>
      </c>
      <c r="AC128">
        <v>3</v>
      </c>
      <c r="AD128">
        <v>0</v>
      </c>
      <c r="AE128">
        <v>9</v>
      </c>
      <c r="AF128" t="s">
        <v>126</v>
      </c>
      <c r="AG128">
        <v>0</v>
      </c>
      <c r="AH128">
        <v>0</v>
      </c>
      <c r="AI128">
        <v>1</v>
      </c>
      <c r="AJ128">
        <v>0</v>
      </c>
      <c r="AK128" t="s">
        <v>190</v>
      </c>
      <c r="AL128">
        <v>32.828608000000003</v>
      </c>
      <c r="AM128" t="s">
        <v>191</v>
      </c>
      <c r="AN128">
        <v>-116.983688</v>
      </c>
      <c r="AO128">
        <v>25</v>
      </c>
      <c r="AP128">
        <v>900</v>
      </c>
      <c r="AQ128" t="s">
        <v>129</v>
      </c>
      <c r="AR128">
        <v>-95</v>
      </c>
      <c r="AS128">
        <v>19</v>
      </c>
      <c r="AT128">
        <v>1984</v>
      </c>
      <c r="BB128">
        <v>1200</v>
      </c>
      <c r="BC128">
        <v>1</v>
      </c>
      <c r="BD128" t="str">
        <f t="shared" si="27"/>
        <v xml:space="preserve">N887QR  </v>
      </c>
      <c r="BE128">
        <v>1</v>
      </c>
      <c r="BG128">
        <v>0</v>
      </c>
      <c r="BH128">
        <v>0</v>
      </c>
      <c r="BI128">
        <v>0</v>
      </c>
      <c r="BJ128">
        <v>625</v>
      </c>
      <c r="BK128">
        <v>-275</v>
      </c>
      <c r="BL128" t="s">
        <v>163</v>
      </c>
      <c r="BM128">
        <v>1</v>
      </c>
      <c r="BN128">
        <v>1</v>
      </c>
      <c r="BO128">
        <v>1</v>
      </c>
      <c r="BP128">
        <v>0</v>
      </c>
      <c r="BS128">
        <v>0</v>
      </c>
      <c r="BT128">
        <v>0</v>
      </c>
      <c r="BU128">
        <v>0</v>
      </c>
      <c r="CE128" t="str">
        <f t="shared" si="51"/>
        <v>19:26:01.149</v>
      </c>
      <c r="CF128">
        <v>1148555957</v>
      </c>
      <c r="CS128">
        <v>2</v>
      </c>
      <c r="CT128">
        <v>2</v>
      </c>
      <c r="CU128">
        <v>0</v>
      </c>
      <c r="CV128">
        <v>2</v>
      </c>
      <c r="CW128">
        <v>0</v>
      </c>
      <c r="CX128">
        <v>3</v>
      </c>
      <c r="CY128">
        <v>7</v>
      </c>
      <c r="CZ128" t="s">
        <v>131</v>
      </c>
      <c r="DA128">
        <v>286</v>
      </c>
      <c r="DB128">
        <v>0</v>
      </c>
      <c r="DC128" t="s">
        <v>132</v>
      </c>
      <c r="DD128" t="s">
        <v>133</v>
      </c>
      <c r="DG128">
        <v>783868</v>
      </c>
      <c r="DI128">
        <v>0</v>
      </c>
      <c r="DJ128">
        <v>0</v>
      </c>
      <c r="DK128">
        <v>1</v>
      </c>
      <c r="DL128">
        <v>0</v>
      </c>
      <c r="DM128">
        <v>0</v>
      </c>
      <c r="DN128">
        <v>1</v>
      </c>
      <c r="DO128">
        <v>0</v>
      </c>
      <c r="DP128">
        <v>0</v>
      </c>
      <c r="DQ128">
        <v>0</v>
      </c>
      <c r="DR128">
        <v>0</v>
      </c>
      <c r="DS128">
        <v>0</v>
      </c>
    </row>
    <row r="129" spans="1:123" x14ac:dyDescent="0.3">
      <c r="A129" t="str">
        <f>"10/04/2022 19:26:01.535"</f>
        <v>10/04/2022 19:26:01.535</v>
      </c>
      <c r="C129" t="str">
        <f t="shared" si="25"/>
        <v>FFDFD3C0</v>
      </c>
      <c r="D129" t="s">
        <v>141</v>
      </c>
      <c r="E129">
        <v>3</v>
      </c>
      <c r="H129">
        <v>3</v>
      </c>
      <c r="I129" t="s">
        <v>146</v>
      </c>
      <c r="J129" t="s">
        <v>138</v>
      </c>
      <c r="K129">
        <v>0</v>
      </c>
      <c r="L129">
        <v>3</v>
      </c>
      <c r="M129">
        <v>0</v>
      </c>
      <c r="N129">
        <v>2</v>
      </c>
      <c r="O129">
        <v>0</v>
      </c>
      <c r="P129">
        <v>1</v>
      </c>
      <c r="Q129">
        <v>0</v>
      </c>
      <c r="S129" t="str">
        <f t="shared" si="50"/>
        <v>19:26:00.148</v>
      </c>
      <c r="T129" t="str">
        <f t="shared" si="50"/>
        <v>19:26:00.148</v>
      </c>
      <c r="U129" t="str">
        <f t="shared" si="26"/>
        <v>AC3944</v>
      </c>
      <c r="V129">
        <v>0</v>
      </c>
      <c r="W129">
        <v>0</v>
      </c>
      <c r="X129">
        <v>2</v>
      </c>
      <c r="Y129">
        <v>0</v>
      </c>
      <c r="AA129">
        <v>0</v>
      </c>
      <c r="AB129">
        <v>8</v>
      </c>
      <c r="AC129">
        <v>3</v>
      </c>
      <c r="AD129">
        <v>0</v>
      </c>
      <c r="AE129">
        <v>9</v>
      </c>
      <c r="AF129" t="s">
        <v>126</v>
      </c>
      <c r="AG129">
        <v>0</v>
      </c>
      <c r="AH129">
        <v>0</v>
      </c>
      <c r="AI129">
        <v>1</v>
      </c>
      <c r="AJ129">
        <v>0</v>
      </c>
      <c r="AK129" t="s">
        <v>190</v>
      </c>
      <c r="AL129">
        <v>32.828608000000003</v>
      </c>
      <c r="AM129" t="s">
        <v>191</v>
      </c>
      <c r="AN129">
        <v>-116.983688</v>
      </c>
      <c r="AO129">
        <v>25</v>
      </c>
      <c r="AP129">
        <v>900</v>
      </c>
      <c r="AQ129" t="s">
        <v>129</v>
      </c>
      <c r="AR129">
        <v>-95</v>
      </c>
      <c r="AS129">
        <v>19</v>
      </c>
      <c r="AT129">
        <v>1984</v>
      </c>
      <c r="BB129">
        <v>1200</v>
      </c>
      <c r="BC129">
        <v>1</v>
      </c>
      <c r="BD129" t="str">
        <f t="shared" si="27"/>
        <v xml:space="preserve">N887QR  </v>
      </c>
      <c r="BE129">
        <v>1</v>
      </c>
      <c r="BG129">
        <v>0</v>
      </c>
      <c r="BH129">
        <v>0</v>
      </c>
      <c r="BI129">
        <v>0</v>
      </c>
      <c r="BJ129">
        <v>625</v>
      </c>
      <c r="BK129">
        <v>-275</v>
      </c>
      <c r="BL129" t="s">
        <v>163</v>
      </c>
      <c r="BM129">
        <v>1</v>
      </c>
      <c r="BN129">
        <v>1</v>
      </c>
      <c r="BO129">
        <v>1</v>
      </c>
      <c r="BP129">
        <v>0</v>
      </c>
      <c r="BS129">
        <v>0</v>
      </c>
      <c r="BT129">
        <v>0</v>
      </c>
      <c r="BU129">
        <v>0</v>
      </c>
      <c r="CE129" t="str">
        <f t="shared" si="51"/>
        <v>19:26:01.149</v>
      </c>
      <c r="CF129">
        <v>1148555957</v>
      </c>
      <c r="CS129">
        <v>2</v>
      </c>
      <c r="CT129">
        <v>2</v>
      </c>
      <c r="CU129">
        <v>0</v>
      </c>
      <c r="CV129">
        <v>2</v>
      </c>
      <c r="CW129">
        <v>0</v>
      </c>
      <c r="CX129">
        <v>3</v>
      </c>
      <c r="CY129">
        <v>7</v>
      </c>
      <c r="CZ129" t="s">
        <v>131</v>
      </c>
      <c r="DA129">
        <v>286</v>
      </c>
      <c r="DB129">
        <v>0</v>
      </c>
      <c r="DC129" t="s">
        <v>132</v>
      </c>
      <c r="DD129" t="s">
        <v>133</v>
      </c>
      <c r="DG129">
        <v>783868</v>
      </c>
      <c r="DI129">
        <v>0</v>
      </c>
      <c r="DJ129">
        <v>0</v>
      </c>
      <c r="DK129">
        <v>1</v>
      </c>
      <c r="DL129">
        <v>0</v>
      </c>
      <c r="DM129">
        <v>0</v>
      </c>
      <c r="DN129">
        <v>1</v>
      </c>
      <c r="DO129">
        <v>0</v>
      </c>
      <c r="DP129">
        <v>0</v>
      </c>
      <c r="DQ129">
        <v>0</v>
      </c>
      <c r="DR129">
        <v>0</v>
      </c>
      <c r="DS129">
        <v>0</v>
      </c>
    </row>
    <row r="130" spans="1:123" x14ac:dyDescent="0.3">
      <c r="A130" t="str">
        <f>"10/04/2022 19:26:01.536"</f>
        <v>10/04/2022 19:26:01.536</v>
      </c>
      <c r="C130" t="str">
        <f t="shared" ref="C130:C193" si="52">"FFDFD3C0"</f>
        <v>FFDFD3C0</v>
      </c>
      <c r="D130" t="s">
        <v>143</v>
      </c>
      <c r="E130">
        <v>20</v>
      </c>
      <c r="F130">
        <v>1020</v>
      </c>
      <c r="G130" t="s">
        <v>144</v>
      </c>
      <c r="J130" t="s">
        <v>145</v>
      </c>
      <c r="K130">
        <v>0</v>
      </c>
      <c r="L130">
        <v>3</v>
      </c>
      <c r="M130">
        <v>0</v>
      </c>
      <c r="N130">
        <v>2</v>
      </c>
      <c r="O130">
        <v>0</v>
      </c>
      <c r="P130">
        <v>1</v>
      </c>
      <c r="Q130">
        <v>0</v>
      </c>
      <c r="S130" t="str">
        <f t="shared" si="50"/>
        <v>19:26:00.148</v>
      </c>
      <c r="T130" t="str">
        <f t="shared" si="50"/>
        <v>19:26:00.148</v>
      </c>
      <c r="U130" t="str">
        <f t="shared" ref="U130:U193" si="53">"AC3944"</f>
        <v>AC3944</v>
      </c>
      <c r="V130">
        <v>0</v>
      </c>
      <c r="W130">
        <v>0</v>
      </c>
      <c r="X130">
        <v>2</v>
      </c>
      <c r="Y130">
        <v>0</v>
      </c>
      <c r="AA130">
        <v>0</v>
      </c>
      <c r="AB130">
        <v>8</v>
      </c>
      <c r="AC130">
        <v>3</v>
      </c>
      <c r="AD130">
        <v>0</v>
      </c>
      <c r="AE130">
        <v>9</v>
      </c>
      <c r="AF130" t="s">
        <v>126</v>
      </c>
      <c r="AG130">
        <v>0</v>
      </c>
      <c r="AH130">
        <v>0</v>
      </c>
      <c r="AI130">
        <v>1</v>
      </c>
      <c r="AJ130">
        <v>0</v>
      </c>
      <c r="AK130" t="s">
        <v>190</v>
      </c>
      <c r="AL130">
        <v>32.828608000000003</v>
      </c>
      <c r="AM130" t="s">
        <v>191</v>
      </c>
      <c r="AN130">
        <v>-116.983688</v>
      </c>
      <c r="AO130">
        <v>25</v>
      </c>
      <c r="AP130">
        <v>900</v>
      </c>
      <c r="AQ130" t="s">
        <v>129</v>
      </c>
      <c r="AR130">
        <v>-95</v>
      </c>
      <c r="AS130">
        <v>19</v>
      </c>
      <c r="AT130">
        <v>1984</v>
      </c>
      <c r="BB130">
        <v>1200</v>
      </c>
      <c r="BC130">
        <v>1</v>
      </c>
      <c r="BD130" t="str">
        <f t="shared" ref="BD130:BD193" si="54">"N887QR  "</f>
        <v xml:space="preserve">N887QR  </v>
      </c>
      <c r="BE130">
        <v>1</v>
      </c>
      <c r="BG130">
        <v>0</v>
      </c>
      <c r="BH130">
        <v>0</v>
      </c>
      <c r="BI130">
        <v>0</v>
      </c>
      <c r="BJ130">
        <v>625</v>
      </c>
      <c r="BK130">
        <v>-275</v>
      </c>
      <c r="BL130" t="s">
        <v>163</v>
      </c>
      <c r="BM130">
        <v>1</v>
      </c>
      <c r="BN130">
        <v>1</v>
      </c>
      <c r="BO130">
        <v>1</v>
      </c>
      <c r="BP130">
        <v>0</v>
      </c>
      <c r="BS130">
        <v>0</v>
      </c>
      <c r="BT130">
        <v>0</v>
      </c>
      <c r="BU130">
        <v>0</v>
      </c>
      <c r="CE130" t="str">
        <f t="shared" si="51"/>
        <v>19:26:01.149</v>
      </c>
      <c r="CF130">
        <v>1148555957</v>
      </c>
      <c r="CS130">
        <v>2</v>
      </c>
      <c r="CT130">
        <v>2</v>
      </c>
      <c r="CU130">
        <v>0</v>
      </c>
      <c r="CV130">
        <v>2</v>
      </c>
      <c r="CW130">
        <v>0</v>
      </c>
      <c r="CX130">
        <v>3</v>
      </c>
      <c r="CY130">
        <v>7</v>
      </c>
      <c r="CZ130" t="s">
        <v>131</v>
      </c>
      <c r="DA130">
        <v>286</v>
      </c>
      <c r="DB130">
        <v>0</v>
      </c>
      <c r="DC130" t="s">
        <v>132</v>
      </c>
      <c r="DD130" t="s">
        <v>133</v>
      </c>
      <c r="DG130">
        <v>783868</v>
      </c>
      <c r="DI130">
        <v>0</v>
      </c>
      <c r="DJ130">
        <v>0</v>
      </c>
      <c r="DK130">
        <v>1</v>
      </c>
      <c r="DL130">
        <v>0</v>
      </c>
      <c r="DM130">
        <v>0</v>
      </c>
      <c r="DN130">
        <v>1</v>
      </c>
      <c r="DO130">
        <v>0</v>
      </c>
      <c r="DP130">
        <v>0</v>
      </c>
      <c r="DQ130">
        <v>0</v>
      </c>
      <c r="DR130">
        <v>0</v>
      </c>
      <c r="DS130">
        <v>0</v>
      </c>
    </row>
    <row r="131" spans="1:123" x14ac:dyDescent="0.3">
      <c r="A131" t="str">
        <f>"10/04/2022 19:26:01.536"</f>
        <v>10/04/2022 19:26:01.536</v>
      </c>
      <c r="C131" t="str">
        <f t="shared" si="52"/>
        <v>FFDFD3C0</v>
      </c>
      <c r="D131" t="s">
        <v>141</v>
      </c>
      <c r="E131">
        <v>4</v>
      </c>
      <c r="H131">
        <v>4</v>
      </c>
      <c r="I131" t="s">
        <v>142</v>
      </c>
      <c r="J131" t="s">
        <v>138</v>
      </c>
      <c r="K131">
        <v>0</v>
      </c>
      <c r="L131">
        <v>3</v>
      </c>
      <c r="M131">
        <v>0</v>
      </c>
      <c r="N131">
        <v>2</v>
      </c>
      <c r="O131">
        <v>0</v>
      </c>
      <c r="P131">
        <v>1</v>
      </c>
      <c r="Q131">
        <v>0</v>
      </c>
      <c r="S131" t="str">
        <f t="shared" si="50"/>
        <v>19:26:00.148</v>
      </c>
      <c r="T131" t="str">
        <f t="shared" si="50"/>
        <v>19:26:00.148</v>
      </c>
      <c r="U131" t="str">
        <f t="shared" si="53"/>
        <v>AC3944</v>
      </c>
      <c r="V131">
        <v>0</v>
      </c>
      <c r="W131">
        <v>0</v>
      </c>
      <c r="X131">
        <v>2</v>
      </c>
      <c r="Y131">
        <v>0</v>
      </c>
      <c r="AA131">
        <v>0</v>
      </c>
      <c r="AB131">
        <v>8</v>
      </c>
      <c r="AC131">
        <v>3</v>
      </c>
      <c r="AD131">
        <v>0</v>
      </c>
      <c r="AE131">
        <v>9</v>
      </c>
      <c r="AF131" t="s">
        <v>126</v>
      </c>
      <c r="AG131">
        <v>0</v>
      </c>
      <c r="AH131">
        <v>0</v>
      </c>
      <c r="AI131">
        <v>1</v>
      </c>
      <c r="AJ131">
        <v>0</v>
      </c>
      <c r="AK131" t="s">
        <v>190</v>
      </c>
      <c r="AL131">
        <v>32.828608000000003</v>
      </c>
      <c r="AM131" t="s">
        <v>191</v>
      </c>
      <c r="AN131">
        <v>-116.983688</v>
      </c>
      <c r="AO131">
        <v>25</v>
      </c>
      <c r="AP131">
        <v>900</v>
      </c>
      <c r="AQ131" t="s">
        <v>129</v>
      </c>
      <c r="AR131">
        <v>-95</v>
      </c>
      <c r="AS131">
        <v>19</v>
      </c>
      <c r="AT131">
        <v>1984</v>
      </c>
      <c r="BB131">
        <v>1200</v>
      </c>
      <c r="BC131">
        <v>1</v>
      </c>
      <c r="BD131" t="str">
        <f t="shared" si="54"/>
        <v xml:space="preserve">N887QR  </v>
      </c>
      <c r="BE131">
        <v>1</v>
      </c>
      <c r="BG131">
        <v>0</v>
      </c>
      <c r="BH131">
        <v>0</v>
      </c>
      <c r="BI131">
        <v>0</v>
      </c>
      <c r="BJ131">
        <v>625</v>
      </c>
      <c r="BK131">
        <v>-275</v>
      </c>
      <c r="BL131" t="s">
        <v>163</v>
      </c>
      <c r="BM131">
        <v>1</v>
      </c>
      <c r="BN131">
        <v>1</v>
      </c>
      <c r="BO131">
        <v>1</v>
      </c>
      <c r="BP131">
        <v>0</v>
      </c>
      <c r="BS131">
        <v>0</v>
      </c>
      <c r="BT131">
        <v>0</v>
      </c>
      <c r="BU131">
        <v>0</v>
      </c>
      <c r="CE131" t="str">
        <f t="shared" si="51"/>
        <v>19:26:01.149</v>
      </c>
      <c r="CF131">
        <v>1148555957</v>
      </c>
      <c r="CS131">
        <v>2</v>
      </c>
      <c r="CT131">
        <v>2</v>
      </c>
      <c r="CU131">
        <v>0</v>
      </c>
      <c r="CV131">
        <v>2</v>
      </c>
      <c r="CW131">
        <v>0</v>
      </c>
      <c r="CX131">
        <v>3</v>
      </c>
      <c r="CY131">
        <v>7</v>
      </c>
      <c r="CZ131" t="s">
        <v>131</v>
      </c>
      <c r="DA131">
        <v>286</v>
      </c>
      <c r="DB131">
        <v>0</v>
      </c>
      <c r="DC131" t="s">
        <v>132</v>
      </c>
      <c r="DD131" t="s">
        <v>133</v>
      </c>
      <c r="DG131">
        <v>783868</v>
      </c>
      <c r="DI131">
        <v>0</v>
      </c>
      <c r="DJ131">
        <v>0</v>
      </c>
      <c r="DK131">
        <v>1</v>
      </c>
      <c r="DL131">
        <v>0</v>
      </c>
      <c r="DM131">
        <v>0</v>
      </c>
      <c r="DN131">
        <v>1</v>
      </c>
      <c r="DO131">
        <v>0</v>
      </c>
      <c r="DP131">
        <v>0</v>
      </c>
      <c r="DQ131">
        <v>0</v>
      </c>
      <c r="DR131">
        <v>0</v>
      </c>
      <c r="DS131">
        <v>0</v>
      </c>
    </row>
    <row r="132" spans="1:123" x14ac:dyDescent="0.3">
      <c r="A132" t="str">
        <f t="shared" ref="A132:A138" si="55">"10/04/2022 19:26:02.373"</f>
        <v>10/04/2022 19:26:02.373</v>
      </c>
      <c r="C132" t="str">
        <f t="shared" si="52"/>
        <v>FFDFD3C0</v>
      </c>
      <c r="D132" t="s">
        <v>147</v>
      </c>
      <c r="E132">
        <v>3</v>
      </c>
      <c r="H132">
        <v>166</v>
      </c>
      <c r="I132" t="s">
        <v>144</v>
      </c>
      <c r="J132" t="s">
        <v>148</v>
      </c>
      <c r="K132">
        <v>0</v>
      </c>
      <c r="L132">
        <v>3</v>
      </c>
      <c r="M132">
        <v>0</v>
      </c>
      <c r="N132">
        <v>2</v>
      </c>
      <c r="O132">
        <v>0</v>
      </c>
      <c r="P132">
        <v>1</v>
      </c>
      <c r="Q132">
        <v>0</v>
      </c>
      <c r="S132" t="str">
        <f t="shared" ref="S132:T138" si="56">"19:26:01.148"</f>
        <v>19:26:01.148</v>
      </c>
      <c r="T132" t="str">
        <f t="shared" si="56"/>
        <v>19:26:01.148</v>
      </c>
      <c r="U132" t="str">
        <f t="shared" si="53"/>
        <v>AC3944</v>
      </c>
      <c r="V132">
        <v>0</v>
      </c>
      <c r="W132">
        <v>0</v>
      </c>
      <c r="X132">
        <v>2</v>
      </c>
      <c r="Y132">
        <v>0</v>
      </c>
      <c r="AA132">
        <v>0</v>
      </c>
      <c r="AB132">
        <v>8</v>
      </c>
      <c r="AC132">
        <v>3</v>
      </c>
      <c r="AD132">
        <v>0</v>
      </c>
      <c r="AE132">
        <v>9</v>
      </c>
      <c r="AF132" t="s">
        <v>138</v>
      </c>
      <c r="AG132">
        <v>0</v>
      </c>
      <c r="AH132">
        <v>3</v>
      </c>
      <c r="AI132">
        <v>1</v>
      </c>
      <c r="AJ132">
        <v>0</v>
      </c>
      <c r="AK132" t="s">
        <v>192</v>
      </c>
      <c r="AL132">
        <v>32.828715000000003</v>
      </c>
      <c r="AM132" t="s">
        <v>193</v>
      </c>
      <c r="AN132">
        <v>-116.98420299999999</v>
      </c>
      <c r="AO132">
        <v>25</v>
      </c>
      <c r="AP132">
        <v>1000</v>
      </c>
      <c r="AQ132" t="s">
        <v>129</v>
      </c>
      <c r="AR132">
        <v>-95</v>
      </c>
      <c r="AS132">
        <v>18</v>
      </c>
      <c r="AT132">
        <v>2176</v>
      </c>
      <c r="BB132">
        <v>1200</v>
      </c>
      <c r="BC132">
        <v>1</v>
      </c>
      <c r="BD132" t="str">
        <f t="shared" si="54"/>
        <v xml:space="preserve">N887QR  </v>
      </c>
      <c r="BE132">
        <v>1</v>
      </c>
      <c r="BG132">
        <v>0</v>
      </c>
      <c r="BH132">
        <v>0</v>
      </c>
      <c r="BI132">
        <v>0</v>
      </c>
      <c r="BJ132">
        <v>625</v>
      </c>
      <c r="BK132">
        <v>-375</v>
      </c>
      <c r="BL132" t="s">
        <v>163</v>
      </c>
      <c r="BM132">
        <v>1</v>
      </c>
      <c r="BN132">
        <v>1</v>
      </c>
      <c r="BO132">
        <v>1</v>
      </c>
      <c r="BP132">
        <v>0</v>
      </c>
      <c r="BS132">
        <v>0</v>
      </c>
      <c r="BT132">
        <v>0</v>
      </c>
      <c r="BU132">
        <v>0</v>
      </c>
      <c r="CE132" t="str">
        <f t="shared" ref="CE132:CE138" si="57">"19:26:02.152"</f>
        <v>19:26:02.152</v>
      </c>
      <c r="CF132">
        <v>1151809199</v>
      </c>
      <c r="CS132">
        <v>3</v>
      </c>
      <c r="CT132">
        <v>2</v>
      </c>
      <c r="CU132">
        <v>0</v>
      </c>
      <c r="CV132">
        <v>2</v>
      </c>
      <c r="CW132">
        <v>0</v>
      </c>
      <c r="CX132">
        <v>3</v>
      </c>
      <c r="CY132">
        <v>7</v>
      </c>
      <c r="CZ132" t="s">
        <v>131</v>
      </c>
      <c r="DA132">
        <v>286</v>
      </c>
      <c r="DB132">
        <v>0</v>
      </c>
      <c r="DC132" t="s">
        <v>132</v>
      </c>
      <c r="DD132" t="s">
        <v>133</v>
      </c>
      <c r="DG132">
        <v>784043</v>
      </c>
      <c r="DI132">
        <v>0</v>
      </c>
      <c r="DJ132">
        <v>0</v>
      </c>
      <c r="DK132">
        <v>0</v>
      </c>
      <c r="DL132">
        <v>0</v>
      </c>
      <c r="DM132">
        <v>0</v>
      </c>
      <c r="DN132">
        <v>1</v>
      </c>
      <c r="DO132">
        <v>0</v>
      </c>
      <c r="DP132">
        <v>0</v>
      </c>
      <c r="DQ132">
        <v>0</v>
      </c>
      <c r="DR132">
        <v>0</v>
      </c>
      <c r="DS132">
        <v>0</v>
      </c>
    </row>
    <row r="133" spans="1:123" x14ac:dyDescent="0.3">
      <c r="A133" t="str">
        <f t="shared" si="55"/>
        <v>10/04/2022 19:26:02.373</v>
      </c>
      <c r="C133" t="str">
        <f t="shared" si="52"/>
        <v>FFDFD3C0</v>
      </c>
      <c r="D133" t="s">
        <v>141</v>
      </c>
      <c r="E133">
        <v>3</v>
      </c>
      <c r="H133">
        <v>3</v>
      </c>
      <c r="I133" t="s">
        <v>146</v>
      </c>
      <c r="J133" t="s">
        <v>138</v>
      </c>
      <c r="K133">
        <v>0</v>
      </c>
      <c r="L133">
        <v>3</v>
      </c>
      <c r="M133">
        <v>0</v>
      </c>
      <c r="N133">
        <v>2</v>
      </c>
      <c r="O133">
        <v>0</v>
      </c>
      <c r="P133">
        <v>1</v>
      </c>
      <c r="Q133">
        <v>0</v>
      </c>
      <c r="S133" t="str">
        <f t="shared" si="56"/>
        <v>19:26:01.148</v>
      </c>
      <c r="T133" t="str">
        <f t="shared" si="56"/>
        <v>19:26:01.148</v>
      </c>
      <c r="U133" t="str">
        <f t="shared" si="53"/>
        <v>AC3944</v>
      </c>
      <c r="V133">
        <v>0</v>
      </c>
      <c r="W133">
        <v>0</v>
      </c>
      <c r="X133">
        <v>2</v>
      </c>
      <c r="Y133">
        <v>0</v>
      </c>
      <c r="AA133">
        <v>0</v>
      </c>
      <c r="AB133">
        <v>8</v>
      </c>
      <c r="AC133">
        <v>3</v>
      </c>
      <c r="AD133">
        <v>0</v>
      </c>
      <c r="AE133">
        <v>9</v>
      </c>
      <c r="AF133" t="s">
        <v>138</v>
      </c>
      <c r="AG133">
        <v>0</v>
      </c>
      <c r="AH133">
        <v>3</v>
      </c>
      <c r="AI133">
        <v>1</v>
      </c>
      <c r="AJ133">
        <v>0</v>
      </c>
      <c r="AK133" t="s">
        <v>192</v>
      </c>
      <c r="AL133">
        <v>32.828715000000003</v>
      </c>
      <c r="AM133" t="s">
        <v>193</v>
      </c>
      <c r="AN133">
        <v>-116.98420299999999</v>
      </c>
      <c r="AO133">
        <v>25</v>
      </c>
      <c r="AP133">
        <v>1000</v>
      </c>
      <c r="AQ133" t="s">
        <v>129</v>
      </c>
      <c r="AR133">
        <v>-95</v>
      </c>
      <c r="AS133">
        <v>18</v>
      </c>
      <c r="AT133">
        <v>2176</v>
      </c>
      <c r="BB133">
        <v>1200</v>
      </c>
      <c r="BC133">
        <v>1</v>
      </c>
      <c r="BD133" t="str">
        <f t="shared" si="54"/>
        <v xml:space="preserve">N887QR  </v>
      </c>
      <c r="BE133">
        <v>1</v>
      </c>
      <c r="BG133">
        <v>0</v>
      </c>
      <c r="BH133">
        <v>0</v>
      </c>
      <c r="BI133">
        <v>0</v>
      </c>
      <c r="BJ133">
        <v>625</v>
      </c>
      <c r="BK133">
        <v>-375</v>
      </c>
      <c r="BL133" t="s">
        <v>163</v>
      </c>
      <c r="BM133">
        <v>1</v>
      </c>
      <c r="BN133">
        <v>1</v>
      </c>
      <c r="BO133">
        <v>1</v>
      </c>
      <c r="BP133">
        <v>0</v>
      </c>
      <c r="BS133">
        <v>0</v>
      </c>
      <c r="BT133">
        <v>0</v>
      </c>
      <c r="BU133">
        <v>0</v>
      </c>
      <c r="CE133" t="str">
        <f t="shared" si="57"/>
        <v>19:26:02.152</v>
      </c>
      <c r="CF133">
        <v>1151809199</v>
      </c>
      <c r="CS133">
        <v>3</v>
      </c>
      <c r="CT133">
        <v>2</v>
      </c>
      <c r="CU133">
        <v>0</v>
      </c>
      <c r="CV133">
        <v>2</v>
      </c>
      <c r="CW133">
        <v>0</v>
      </c>
      <c r="CX133">
        <v>3</v>
      </c>
      <c r="CY133">
        <v>7</v>
      </c>
      <c r="CZ133" t="s">
        <v>131</v>
      </c>
      <c r="DA133">
        <v>286</v>
      </c>
      <c r="DB133">
        <v>0</v>
      </c>
      <c r="DC133" t="s">
        <v>132</v>
      </c>
      <c r="DD133" t="s">
        <v>133</v>
      </c>
      <c r="DG133">
        <v>784043</v>
      </c>
      <c r="DI133">
        <v>0</v>
      </c>
      <c r="DJ133">
        <v>0</v>
      </c>
      <c r="DK133">
        <v>1</v>
      </c>
      <c r="DL133">
        <v>0</v>
      </c>
      <c r="DM133">
        <v>0</v>
      </c>
      <c r="DN133">
        <v>1</v>
      </c>
      <c r="DO133">
        <v>0</v>
      </c>
      <c r="DP133">
        <v>0</v>
      </c>
      <c r="DQ133">
        <v>0</v>
      </c>
      <c r="DR133">
        <v>0</v>
      </c>
      <c r="DS133">
        <v>0</v>
      </c>
    </row>
    <row r="134" spans="1:123" x14ac:dyDescent="0.3">
      <c r="A134" t="str">
        <f t="shared" si="55"/>
        <v>10/04/2022 19:26:02.373</v>
      </c>
      <c r="C134" t="str">
        <f t="shared" si="52"/>
        <v>FFDFD3C0</v>
      </c>
      <c r="D134" t="s">
        <v>143</v>
      </c>
      <c r="E134">
        <v>20</v>
      </c>
      <c r="F134">
        <v>1020</v>
      </c>
      <c r="G134" t="s">
        <v>144</v>
      </c>
      <c r="J134" t="s">
        <v>145</v>
      </c>
      <c r="K134">
        <v>0</v>
      </c>
      <c r="L134">
        <v>3</v>
      </c>
      <c r="M134">
        <v>0</v>
      </c>
      <c r="N134">
        <v>2</v>
      </c>
      <c r="O134">
        <v>0</v>
      </c>
      <c r="P134">
        <v>1</v>
      </c>
      <c r="Q134">
        <v>0</v>
      </c>
      <c r="S134" t="str">
        <f t="shared" si="56"/>
        <v>19:26:01.148</v>
      </c>
      <c r="T134" t="str">
        <f t="shared" si="56"/>
        <v>19:26:01.148</v>
      </c>
      <c r="U134" t="str">
        <f t="shared" si="53"/>
        <v>AC3944</v>
      </c>
      <c r="V134">
        <v>0</v>
      </c>
      <c r="W134">
        <v>0</v>
      </c>
      <c r="X134">
        <v>2</v>
      </c>
      <c r="Y134">
        <v>0</v>
      </c>
      <c r="AA134">
        <v>0</v>
      </c>
      <c r="AB134">
        <v>8</v>
      </c>
      <c r="AC134">
        <v>3</v>
      </c>
      <c r="AD134">
        <v>0</v>
      </c>
      <c r="AE134">
        <v>9</v>
      </c>
      <c r="AF134" t="s">
        <v>138</v>
      </c>
      <c r="AG134">
        <v>0</v>
      </c>
      <c r="AH134">
        <v>3</v>
      </c>
      <c r="AI134">
        <v>1</v>
      </c>
      <c r="AJ134">
        <v>0</v>
      </c>
      <c r="AK134" t="s">
        <v>192</v>
      </c>
      <c r="AL134">
        <v>32.828715000000003</v>
      </c>
      <c r="AM134" t="s">
        <v>193</v>
      </c>
      <c r="AN134">
        <v>-116.98420299999999</v>
      </c>
      <c r="AO134">
        <v>25</v>
      </c>
      <c r="AP134">
        <v>1000</v>
      </c>
      <c r="AQ134" t="s">
        <v>129</v>
      </c>
      <c r="AR134">
        <v>-95</v>
      </c>
      <c r="AS134">
        <v>18</v>
      </c>
      <c r="AT134">
        <v>2176</v>
      </c>
      <c r="BB134">
        <v>1200</v>
      </c>
      <c r="BC134">
        <v>1</v>
      </c>
      <c r="BD134" t="str">
        <f t="shared" si="54"/>
        <v xml:space="preserve">N887QR  </v>
      </c>
      <c r="BE134">
        <v>1</v>
      </c>
      <c r="BG134">
        <v>0</v>
      </c>
      <c r="BH134">
        <v>0</v>
      </c>
      <c r="BI134">
        <v>0</v>
      </c>
      <c r="BJ134">
        <v>625</v>
      </c>
      <c r="BK134">
        <v>-375</v>
      </c>
      <c r="BL134" t="s">
        <v>163</v>
      </c>
      <c r="BM134">
        <v>1</v>
      </c>
      <c r="BN134">
        <v>1</v>
      </c>
      <c r="BO134">
        <v>1</v>
      </c>
      <c r="BP134">
        <v>0</v>
      </c>
      <c r="BS134">
        <v>0</v>
      </c>
      <c r="BT134">
        <v>0</v>
      </c>
      <c r="BU134">
        <v>0</v>
      </c>
      <c r="CE134" t="str">
        <f t="shared" si="57"/>
        <v>19:26:02.152</v>
      </c>
      <c r="CF134">
        <v>1151809199</v>
      </c>
      <c r="CS134">
        <v>3</v>
      </c>
      <c r="CT134">
        <v>2</v>
      </c>
      <c r="CU134">
        <v>0</v>
      </c>
      <c r="CV134">
        <v>2</v>
      </c>
      <c r="CW134">
        <v>0</v>
      </c>
      <c r="CX134">
        <v>3</v>
      </c>
      <c r="CY134">
        <v>7</v>
      </c>
      <c r="CZ134" t="s">
        <v>131</v>
      </c>
      <c r="DA134">
        <v>286</v>
      </c>
      <c r="DB134">
        <v>0</v>
      </c>
      <c r="DC134" t="s">
        <v>132</v>
      </c>
      <c r="DD134" t="s">
        <v>133</v>
      </c>
      <c r="DG134">
        <v>784043</v>
      </c>
      <c r="DI134">
        <v>0</v>
      </c>
      <c r="DJ134">
        <v>0</v>
      </c>
      <c r="DK134">
        <v>1</v>
      </c>
      <c r="DL134">
        <v>0</v>
      </c>
      <c r="DM134">
        <v>0</v>
      </c>
      <c r="DN134">
        <v>1</v>
      </c>
      <c r="DO134">
        <v>0</v>
      </c>
      <c r="DP134">
        <v>0</v>
      </c>
      <c r="DQ134">
        <v>0</v>
      </c>
      <c r="DR134">
        <v>0</v>
      </c>
      <c r="DS134">
        <v>0</v>
      </c>
    </row>
    <row r="135" spans="1:123" x14ac:dyDescent="0.3">
      <c r="A135" t="str">
        <f t="shared" si="55"/>
        <v>10/04/2022 19:26:02.373</v>
      </c>
      <c r="C135" t="str">
        <f t="shared" si="52"/>
        <v>FFDFD3C0</v>
      </c>
      <c r="D135" t="s">
        <v>141</v>
      </c>
      <c r="E135">
        <v>4</v>
      </c>
      <c r="H135">
        <v>4</v>
      </c>
      <c r="I135" t="s">
        <v>142</v>
      </c>
      <c r="J135" t="s">
        <v>138</v>
      </c>
      <c r="K135">
        <v>0</v>
      </c>
      <c r="L135">
        <v>3</v>
      </c>
      <c r="M135">
        <v>0</v>
      </c>
      <c r="N135">
        <v>2</v>
      </c>
      <c r="O135">
        <v>0</v>
      </c>
      <c r="P135">
        <v>1</v>
      </c>
      <c r="Q135">
        <v>0</v>
      </c>
      <c r="S135" t="str">
        <f t="shared" si="56"/>
        <v>19:26:01.148</v>
      </c>
      <c r="T135" t="str">
        <f t="shared" si="56"/>
        <v>19:26:01.148</v>
      </c>
      <c r="U135" t="str">
        <f t="shared" si="53"/>
        <v>AC3944</v>
      </c>
      <c r="V135">
        <v>0</v>
      </c>
      <c r="W135">
        <v>0</v>
      </c>
      <c r="X135">
        <v>2</v>
      </c>
      <c r="Y135">
        <v>0</v>
      </c>
      <c r="AA135">
        <v>0</v>
      </c>
      <c r="AB135">
        <v>8</v>
      </c>
      <c r="AC135">
        <v>3</v>
      </c>
      <c r="AD135">
        <v>0</v>
      </c>
      <c r="AE135">
        <v>9</v>
      </c>
      <c r="AF135" t="s">
        <v>138</v>
      </c>
      <c r="AG135">
        <v>0</v>
      </c>
      <c r="AH135">
        <v>3</v>
      </c>
      <c r="AI135">
        <v>1</v>
      </c>
      <c r="AJ135">
        <v>0</v>
      </c>
      <c r="AK135" t="s">
        <v>192</v>
      </c>
      <c r="AL135">
        <v>32.828715000000003</v>
      </c>
      <c r="AM135" t="s">
        <v>193</v>
      </c>
      <c r="AN135">
        <v>-116.98420299999999</v>
      </c>
      <c r="AO135">
        <v>25</v>
      </c>
      <c r="AP135">
        <v>1000</v>
      </c>
      <c r="AQ135" t="s">
        <v>129</v>
      </c>
      <c r="AR135">
        <v>-95</v>
      </c>
      <c r="AS135">
        <v>18</v>
      </c>
      <c r="AT135">
        <v>2176</v>
      </c>
      <c r="BB135">
        <v>1200</v>
      </c>
      <c r="BC135">
        <v>1</v>
      </c>
      <c r="BD135" t="str">
        <f t="shared" si="54"/>
        <v xml:space="preserve">N887QR  </v>
      </c>
      <c r="BE135">
        <v>1</v>
      </c>
      <c r="BG135">
        <v>0</v>
      </c>
      <c r="BH135">
        <v>0</v>
      </c>
      <c r="BI135">
        <v>0</v>
      </c>
      <c r="BJ135">
        <v>625</v>
      </c>
      <c r="BK135">
        <v>-375</v>
      </c>
      <c r="BL135" t="s">
        <v>163</v>
      </c>
      <c r="BM135">
        <v>1</v>
      </c>
      <c r="BN135">
        <v>1</v>
      </c>
      <c r="BO135">
        <v>1</v>
      </c>
      <c r="BP135">
        <v>0</v>
      </c>
      <c r="BS135">
        <v>0</v>
      </c>
      <c r="BT135">
        <v>0</v>
      </c>
      <c r="BU135">
        <v>0</v>
      </c>
      <c r="CE135" t="str">
        <f t="shared" si="57"/>
        <v>19:26:02.152</v>
      </c>
      <c r="CF135">
        <v>1151809199</v>
      </c>
      <c r="CS135">
        <v>3</v>
      </c>
      <c r="CT135">
        <v>2</v>
      </c>
      <c r="CU135">
        <v>0</v>
      </c>
      <c r="CV135">
        <v>2</v>
      </c>
      <c r="CW135">
        <v>0</v>
      </c>
      <c r="CX135">
        <v>3</v>
      </c>
      <c r="CY135">
        <v>7</v>
      </c>
      <c r="CZ135" t="s">
        <v>131</v>
      </c>
      <c r="DA135">
        <v>286</v>
      </c>
      <c r="DB135">
        <v>0</v>
      </c>
      <c r="DC135" t="s">
        <v>132</v>
      </c>
      <c r="DD135" t="s">
        <v>133</v>
      </c>
      <c r="DG135">
        <v>784043</v>
      </c>
      <c r="DI135">
        <v>0</v>
      </c>
      <c r="DJ135">
        <v>0</v>
      </c>
      <c r="DK135">
        <v>1</v>
      </c>
      <c r="DL135">
        <v>0</v>
      </c>
      <c r="DM135">
        <v>0</v>
      </c>
      <c r="DN135">
        <v>1</v>
      </c>
      <c r="DO135">
        <v>0</v>
      </c>
      <c r="DP135">
        <v>0</v>
      </c>
      <c r="DQ135">
        <v>0</v>
      </c>
      <c r="DR135">
        <v>0</v>
      </c>
      <c r="DS135">
        <v>0</v>
      </c>
    </row>
    <row r="136" spans="1:123" x14ac:dyDescent="0.3">
      <c r="A136" t="str">
        <f t="shared" si="55"/>
        <v>10/04/2022 19:26:02.373</v>
      </c>
      <c r="C136" t="str">
        <f t="shared" si="52"/>
        <v>FFDFD3C0</v>
      </c>
      <c r="D136" t="s">
        <v>123</v>
      </c>
      <c r="E136">
        <v>7</v>
      </c>
      <c r="F136">
        <v>2007</v>
      </c>
      <c r="G136" t="s">
        <v>124</v>
      </c>
      <c r="J136" t="s">
        <v>125</v>
      </c>
      <c r="K136">
        <v>0</v>
      </c>
      <c r="L136">
        <v>3</v>
      </c>
      <c r="M136">
        <v>0</v>
      </c>
      <c r="N136">
        <v>2</v>
      </c>
      <c r="O136">
        <v>0</v>
      </c>
      <c r="P136">
        <v>1</v>
      </c>
      <c r="Q136">
        <v>0</v>
      </c>
      <c r="S136" t="str">
        <f t="shared" si="56"/>
        <v>19:26:01.148</v>
      </c>
      <c r="T136" t="str">
        <f t="shared" si="56"/>
        <v>19:26:01.148</v>
      </c>
      <c r="U136" t="str">
        <f t="shared" si="53"/>
        <v>AC3944</v>
      </c>
      <c r="V136">
        <v>0</v>
      </c>
      <c r="W136">
        <v>0</v>
      </c>
      <c r="X136">
        <v>2</v>
      </c>
      <c r="Y136">
        <v>0</v>
      </c>
      <c r="AA136">
        <v>0</v>
      </c>
      <c r="AB136">
        <v>8</v>
      </c>
      <c r="AC136">
        <v>3</v>
      </c>
      <c r="AD136">
        <v>0</v>
      </c>
      <c r="AE136">
        <v>9</v>
      </c>
      <c r="AF136" t="s">
        <v>138</v>
      </c>
      <c r="AG136">
        <v>0</v>
      </c>
      <c r="AH136">
        <v>3</v>
      </c>
      <c r="AI136">
        <v>1</v>
      </c>
      <c r="AJ136">
        <v>0</v>
      </c>
      <c r="AK136" t="s">
        <v>192</v>
      </c>
      <c r="AL136">
        <v>32.828715000000003</v>
      </c>
      <c r="AM136" t="s">
        <v>193</v>
      </c>
      <c r="AN136">
        <v>-116.98420299999999</v>
      </c>
      <c r="AO136">
        <v>25</v>
      </c>
      <c r="AP136">
        <v>1000</v>
      </c>
      <c r="AQ136" t="s">
        <v>129</v>
      </c>
      <c r="AR136">
        <v>-95</v>
      </c>
      <c r="AS136">
        <v>18</v>
      </c>
      <c r="AT136">
        <v>2176</v>
      </c>
      <c r="BB136">
        <v>1200</v>
      </c>
      <c r="BC136">
        <v>1</v>
      </c>
      <c r="BD136" t="str">
        <f t="shared" si="54"/>
        <v xml:space="preserve">N887QR  </v>
      </c>
      <c r="BE136">
        <v>1</v>
      </c>
      <c r="BG136">
        <v>0</v>
      </c>
      <c r="BH136">
        <v>0</v>
      </c>
      <c r="BI136">
        <v>0</v>
      </c>
      <c r="BJ136">
        <v>625</v>
      </c>
      <c r="BK136">
        <v>-375</v>
      </c>
      <c r="BL136" t="s">
        <v>163</v>
      </c>
      <c r="BM136">
        <v>1</v>
      </c>
      <c r="BN136">
        <v>1</v>
      </c>
      <c r="BO136">
        <v>1</v>
      </c>
      <c r="BP136">
        <v>0</v>
      </c>
      <c r="BS136">
        <v>0</v>
      </c>
      <c r="BT136">
        <v>0</v>
      </c>
      <c r="BU136">
        <v>0</v>
      </c>
      <c r="CE136" t="str">
        <f t="shared" si="57"/>
        <v>19:26:02.152</v>
      </c>
      <c r="CF136">
        <v>1151809199</v>
      </c>
      <c r="CS136">
        <v>3</v>
      </c>
      <c r="CT136">
        <v>2</v>
      </c>
      <c r="CU136">
        <v>0</v>
      </c>
      <c r="CV136">
        <v>2</v>
      </c>
      <c r="CW136">
        <v>0</v>
      </c>
      <c r="CX136">
        <v>3</v>
      </c>
      <c r="CY136">
        <v>7</v>
      </c>
      <c r="CZ136" t="s">
        <v>131</v>
      </c>
      <c r="DA136">
        <v>286</v>
      </c>
      <c r="DB136">
        <v>0</v>
      </c>
      <c r="DC136" t="s">
        <v>132</v>
      </c>
      <c r="DD136" t="s">
        <v>133</v>
      </c>
      <c r="DG136">
        <v>784043</v>
      </c>
      <c r="DI136">
        <v>0</v>
      </c>
      <c r="DJ136">
        <v>0</v>
      </c>
      <c r="DK136">
        <v>1</v>
      </c>
      <c r="DL136">
        <v>0</v>
      </c>
      <c r="DM136">
        <v>0</v>
      </c>
      <c r="DN136">
        <v>1</v>
      </c>
      <c r="DO136">
        <v>0</v>
      </c>
      <c r="DP136">
        <v>0</v>
      </c>
      <c r="DQ136">
        <v>0</v>
      </c>
      <c r="DR136">
        <v>0</v>
      </c>
      <c r="DS136">
        <v>0</v>
      </c>
    </row>
    <row r="137" spans="1:123" x14ac:dyDescent="0.3">
      <c r="A137" t="str">
        <f t="shared" si="55"/>
        <v>10/04/2022 19:26:02.373</v>
      </c>
      <c r="C137" t="str">
        <f t="shared" si="52"/>
        <v>FFDFD3C0</v>
      </c>
      <c r="D137" t="s">
        <v>136</v>
      </c>
      <c r="E137">
        <v>8</v>
      </c>
      <c r="H137">
        <v>225</v>
      </c>
      <c r="I137" t="s">
        <v>137</v>
      </c>
      <c r="J137" t="s">
        <v>138</v>
      </c>
      <c r="K137">
        <v>0</v>
      </c>
      <c r="L137">
        <v>3</v>
      </c>
      <c r="M137">
        <v>0</v>
      </c>
      <c r="N137">
        <v>2</v>
      </c>
      <c r="O137">
        <v>0</v>
      </c>
      <c r="P137">
        <v>1</v>
      </c>
      <c r="Q137">
        <v>0</v>
      </c>
      <c r="S137" t="str">
        <f t="shared" si="56"/>
        <v>19:26:01.148</v>
      </c>
      <c r="T137" t="str">
        <f t="shared" si="56"/>
        <v>19:26:01.148</v>
      </c>
      <c r="U137" t="str">
        <f t="shared" si="53"/>
        <v>AC3944</v>
      </c>
      <c r="V137">
        <v>0</v>
      </c>
      <c r="W137">
        <v>0</v>
      </c>
      <c r="X137">
        <v>2</v>
      </c>
      <c r="Y137">
        <v>0</v>
      </c>
      <c r="AA137">
        <v>0</v>
      </c>
      <c r="AB137">
        <v>8</v>
      </c>
      <c r="AC137">
        <v>3</v>
      </c>
      <c r="AD137">
        <v>0</v>
      </c>
      <c r="AE137">
        <v>9</v>
      </c>
      <c r="AF137" t="s">
        <v>138</v>
      </c>
      <c r="AG137">
        <v>0</v>
      </c>
      <c r="AH137">
        <v>3</v>
      </c>
      <c r="AI137">
        <v>1</v>
      </c>
      <c r="AJ137">
        <v>0</v>
      </c>
      <c r="AK137" t="s">
        <v>192</v>
      </c>
      <c r="AL137">
        <v>32.828715000000003</v>
      </c>
      <c r="AM137" t="s">
        <v>193</v>
      </c>
      <c r="AN137">
        <v>-116.98420299999999</v>
      </c>
      <c r="AO137">
        <v>25</v>
      </c>
      <c r="AP137">
        <v>1000</v>
      </c>
      <c r="AQ137" t="s">
        <v>129</v>
      </c>
      <c r="AR137">
        <v>-95</v>
      </c>
      <c r="AS137">
        <v>18</v>
      </c>
      <c r="AT137">
        <v>2176</v>
      </c>
      <c r="BB137">
        <v>1200</v>
      </c>
      <c r="BC137">
        <v>1</v>
      </c>
      <c r="BD137" t="str">
        <f t="shared" si="54"/>
        <v xml:space="preserve">N887QR  </v>
      </c>
      <c r="BE137">
        <v>1</v>
      </c>
      <c r="BG137">
        <v>0</v>
      </c>
      <c r="BH137">
        <v>0</v>
      </c>
      <c r="BI137">
        <v>0</v>
      </c>
      <c r="BJ137">
        <v>625</v>
      </c>
      <c r="BK137">
        <v>-375</v>
      </c>
      <c r="BL137" t="s">
        <v>163</v>
      </c>
      <c r="BM137">
        <v>1</v>
      </c>
      <c r="BN137">
        <v>1</v>
      </c>
      <c r="BO137">
        <v>1</v>
      </c>
      <c r="BP137">
        <v>0</v>
      </c>
      <c r="BS137">
        <v>0</v>
      </c>
      <c r="BT137">
        <v>0</v>
      </c>
      <c r="BU137">
        <v>0</v>
      </c>
      <c r="CE137" t="str">
        <f t="shared" si="57"/>
        <v>19:26:02.152</v>
      </c>
      <c r="CF137">
        <v>1151809199</v>
      </c>
      <c r="CS137">
        <v>3</v>
      </c>
      <c r="CT137">
        <v>2</v>
      </c>
      <c r="CU137">
        <v>0</v>
      </c>
      <c r="CV137">
        <v>2</v>
      </c>
      <c r="CW137">
        <v>0</v>
      </c>
      <c r="CX137">
        <v>3</v>
      </c>
      <c r="CY137">
        <v>7</v>
      </c>
      <c r="CZ137" t="s">
        <v>131</v>
      </c>
      <c r="DA137">
        <v>286</v>
      </c>
      <c r="DB137">
        <v>0</v>
      </c>
      <c r="DC137" t="s">
        <v>132</v>
      </c>
      <c r="DD137" t="s">
        <v>133</v>
      </c>
      <c r="DG137">
        <v>784043</v>
      </c>
      <c r="DI137">
        <v>0</v>
      </c>
      <c r="DJ137">
        <v>0</v>
      </c>
      <c r="DK137">
        <v>1</v>
      </c>
      <c r="DL137">
        <v>0</v>
      </c>
      <c r="DM137">
        <v>0</v>
      </c>
      <c r="DN137">
        <v>1</v>
      </c>
      <c r="DO137">
        <v>0</v>
      </c>
      <c r="DP137">
        <v>0</v>
      </c>
      <c r="DQ137">
        <v>0</v>
      </c>
      <c r="DR137">
        <v>0</v>
      </c>
      <c r="DS137">
        <v>0</v>
      </c>
    </row>
    <row r="138" spans="1:123" x14ac:dyDescent="0.3">
      <c r="A138" t="str">
        <f t="shared" si="55"/>
        <v>10/04/2022 19:26:02.373</v>
      </c>
      <c r="C138" t="str">
        <f t="shared" si="52"/>
        <v>FFDFD3C0</v>
      </c>
      <c r="D138" t="s">
        <v>134</v>
      </c>
      <c r="E138">
        <v>15</v>
      </c>
      <c r="J138" t="s">
        <v>135</v>
      </c>
      <c r="K138">
        <v>0</v>
      </c>
      <c r="L138">
        <v>3</v>
      </c>
      <c r="M138">
        <v>0</v>
      </c>
      <c r="N138">
        <v>2</v>
      </c>
      <c r="O138">
        <v>0</v>
      </c>
      <c r="P138">
        <v>1</v>
      </c>
      <c r="Q138">
        <v>0</v>
      </c>
      <c r="S138" t="str">
        <f t="shared" si="56"/>
        <v>19:26:01.148</v>
      </c>
      <c r="T138" t="str">
        <f t="shared" si="56"/>
        <v>19:26:01.148</v>
      </c>
      <c r="U138" t="str">
        <f t="shared" si="53"/>
        <v>AC3944</v>
      </c>
      <c r="V138">
        <v>0</v>
      </c>
      <c r="W138">
        <v>0</v>
      </c>
      <c r="X138">
        <v>2</v>
      </c>
      <c r="Y138">
        <v>0</v>
      </c>
      <c r="AA138">
        <v>0</v>
      </c>
      <c r="AB138">
        <v>8</v>
      </c>
      <c r="AC138">
        <v>3</v>
      </c>
      <c r="AD138">
        <v>0</v>
      </c>
      <c r="AE138">
        <v>9</v>
      </c>
      <c r="AF138" t="s">
        <v>138</v>
      </c>
      <c r="AG138">
        <v>0</v>
      </c>
      <c r="AH138">
        <v>3</v>
      </c>
      <c r="AI138">
        <v>1</v>
      </c>
      <c r="AJ138">
        <v>0</v>
      </c>
      <c r="AK138" t="s">
        <v>192</v>
      </c>
      <c r="AL138">
        <v>32.828715000000003</v>
      </c>
      <c r="AM138" t="s">
        <v>193</v>
      </c>
      <c r="AN138">
        <v>-116.98420299999999</v>
      </c>
      <c r="AO138">
        <v>25</v>
      </c>
      <c r="AP138">
        <v>1000</v>
      </c>
      <c r="AQ138" t="s">
        <v>129</v>
      </c>
      <c r="AR138">
        <v>-95</v>
      </c>
      <c r="AS138">
        <v>18</v>
      </c>
      <c r="AT138">
        <v>2176</v>
      </c>
      <c r="BB138">
        <v>1200</v>
      </c>
      <c r="BC138">
        <v>1</v>
      </c>
      <c r="BD138" t="str">
        <f t="shared" si="54"/>
        <v xml:space="preserve">N887QR  </v>
      </c>
      <c r="BE138">
        <v>1</v>
      </c>
      <c r="BG138">
        <v>0</v>
      </c>
      <c r="BH138">
        <v>0</v>
      </c>
      <c r="BI138">
        <v>0</v>
      </c>
      <c r="BJ138">
        <v>625</v>
      </c>
      <c r="BK138">
        <v>-375</v>
      </c>
      <c r="BL138" t="s">
        <v>163</v>
      </c>
      <c r="BM138">
        <v>1</v>
      </c>
      <c r="BN138">
        <v>1</v>
      </c>
      <c r="BO138">
        <v>1</v>
      </c>
      <c r="BP138">
        <v>0</v>
      </c>
      <c r="BS138">
        <v>0</v>
      </c>
      <c r="BT138">
        <v>0</v>
      </c>
      <c r="BU138">
        <v>0</v>
      </c>
      <c r="CE138" t="str">
        <f t="shared" si="57"/>
        <v>19:26:02.152</v>
      </c>
      <c r="CF138">
        <v>1151809199</v>
      </c>
      <c r="CS138">
        <v>3</v>
      </c>
      <c r="CT138">
        <v>2</v>
      </c>
      <c r="CU138">
        <v>0</v>
      </c>
      <c r="CV138">
        <v>2</v>
      </c>
      <c r="CW138">
        <v>0</v>
      </c>
      <c r="CX138">
        <v>3</v>
      </c>
      <c r="CY138">
        <v>7</v>
      </c>
      <c r="CZ138" t="s">
        <v>131</v>
      </c>
      <c r="DA138">
        <v>286</v>
      </c>
      <c r="DB138">
        <v>0</v>
      </c>
      <c r="DC138" t="s">
        <v>132</v>
      </c>
      <c r="DD138" t="s">
        <v>133</v>
      </c>
      <c r="DG138">
        <v>784043</v>
      </c>
      <c r="DI138">
        <v>0</v>
      </c>
      <c r="DJ138">
        <v>0</v>
      </c>
      <c r="DK138">
        <v>1</v>
      </c>
      <c r="DL138">
        <v>0</v>
      </c>
      <c r="DM138">
        <v>0</v>
      </c>
      <c r="DN138">
        <v>1</v>
      </c>
      <c r="DO138">
        <v>0</v>
      </c>
      <c r="DP138">
        <v>0</v>
      </c>
      <c r="DQ138">
        <v>0</v>
      </c>
      <c r="DR138">
        <v>0</v>
      </c>
      <c r="DS138">
        <v>0</v>
      </c>
    </row>
    <row r="139" spans="1:123" x14ac:dyDescent="0.3">
      <c r="A139" t="str">
        <f t="shared" ref="A139:A145" si="58">"10/04/2022 19:26:03.170"</f>
        <v>10/04/2022 19:26:03.170</v>
      </c>
      <c r="C139" t="str">
        <f t="shared" si="52"/>
        <v>FFDFD3C0</v>
      </c>
      <c r="D139" t="s">
        <v>136</v>
      </c>
      <c r="E139">
        <v>8</v>
      </c>
      <c r="H139">
        <v>225</v>
      </c>
      <c r="I139" t="s">
        <v>137</v>
      </c>
      <c r="J139" t="s">
        <v>138</v>
      </c>
      <c r="K139">
        <v>0</v>
      </c>
      <c r="L139">
        <v>3</v>
      </c>
      <c r="M139">
        <v>0</v>
      </c>
      <c r="N139">
        <v>2</v>
      </c>
      <c r="O139">
        <v>0</v>
      </c>
      <c r="P139">
        <v>1</v>
      </c>
      <c r="Q139">
        <v>0</v>
      </c>
      <c r="S139" t="str">
        <f t="shared" ref="S139:T145" si="59">"19:26:01.883"</f>
        <v>19:26:01.883</v>
      </c>
      <c r="T139" t="str">
        <f t="shared" si="59"/>
        <v>19:26:01.883</v>
      </c>
      <c r="U139" t="str">
        <f t="shared" si="53"/>
        <v>AC3944</v>
      </c>
      <c r="V139">
        <v>0</v>
      </c>
      <c r="W139">
        <v>0</v>
      </c>
      <c r="X139">
        <v>2</v>
      </c>
      <c r="Y139">
        <v>0</v>
      </c>
      <c r="AA139">
        <v>0</v>
      </c>
      <c r="AB139">
        <v>8</v>
      </c>
      <c r="AC139">
        <v>3</v>
      </c>
      <c r="AD139">
        <v>0</v>
      </c>
      <c r="AE139">
        <v>9</v>
      </c>
      <c r="AF139" t="s">
        <v>138</v>
      </c>
      <c r="AG139">
        <v>0</v>
      </c>
      <c r="AH139">
        <v>3</v>
      </c>
      <c r="AI139">
        <v>1</v>
      </c>
      <c r="AJ139">
        <v>0</v>
      </c>
      <c r="AK139" t="s">
        <v>194</v>
      </c>
      <c r="AL139">
        <v>32.828800999999999</v>
      </c>
      <c r="AM139" t="s">
        <v>195</v>
      </c>
      <c r="AN139">
        <v>-116.984718</v>
      </c>
      <c r="AO139">
        <v>25</v>
      </c>
      <c r="AP139">
        <v>1000</v>
      </c>
      <c r="AQ139" t="s">
        <v>129</v>
      </c>
      <c r="AR139">
        <v>-95</v>
      </c>
      <c r="AS139">
        <v>17</v>
      </c>
      <c r="AT139">
        <v>2176</v>
      </c>
      <c r="BB139">
        <v>1200</v>
      </c>
      <c r="BC139">
        <v>1</v>
      </c>
      <c r="BD139" t="str">
        <f t="shared" si="54"/>
        <v xml:space="preserve">N887QR  </v>
      </c>
      <c r="BE139">
        <v>1</v>
      </c>
      <c r="BG139">
        <v>0</v>
      </c>
      <c r="BH139">
        <v>0</v>
      </c>
      <c r="BI139">
        <v>0</v>
      </c>
      <c r="BJ139">
        <v>725</v>
      </c>
      <c r="BK139">
        <v>-275</v>
      </c>
      <c r="BL139" t="s">
        <v>163</v>
      </c>
      <c r="BM139">
        <v>1</v>
      </c>
      <c r="BN139">
        <v>1</v>
      </c>
      <c r="BO139">
        <v>1</v>
      </c>
      <c r="BP139">
        <v>0</v>
      </c>
      <c r="BS139">
        <v>0</v>
      </c>
      <c r="BT139">
        <v>0</v>
      </c>
      <c r="BU139">
        <v>0</v>
      </c>
      <c r="CE139" t="str">
        <f t="shared" ref="CE139:CE145" si="60">"19:26:02.883"</f>
        <v>19:26:02.883</v>
      </c>
      <c r="CF139">
        <v>1883031044</v>
      </c>
      <c r="CS139">
        <v>3</v>
      </c>
      <c r="CT139">
        <v>2</v>
      </c>
      <c r="CU139">
        <v>0</v>
      </c>
      <c r="CV139">
        <v>2</v>
      </c>
      <c r="CW139">
        <v>0</v>
      </c>
      <c r="CX139">
        <v>3</v>
      </c>
      <c r="CY139">
        <v>7</v>
      </c>
      <c r="CZ139" t="s">
        <v>131</v>
      </c>
      <c r="DA139">
        <v>300</v>
      </c>
      <c r="DB139">
        <v>0</v>
      </c>
      <c r="DC139" t="s">
        <v>176</v>
      </c>
      <c r="DD139" t="s">
        <v>177</v>
      </c>
      <c r="DG139">
        <v>5355167</v>
      </c>
      <c r="DI139">
        <v>0</v>
      </c>
      <c r="DJ139">
        <v>0</v>
      </c>
      <c r="DK139">
        <v>0</v>
      </c>
      <c r="DL139">
        <v>0</v>
      </c>
      <c r="DM139">
        <v>0</v>
      </c>
      <c r="DN139">
        <v>1</v>
      </c>
      <c r="DO139">
        <v>0</v>
      </c>
      <c r="DP139">
        <v>0</v>
      </c>
      <c r="DQ139">
        <v>0</v>
      </c>
      <c r="DR139">
        <v>0</v>
      </c>
      <c r="DS139">
        <v>0</v>
      </c>
    </row>
    <row r="140" spans="1:123" x14ac:dyDescent="0.3">
      <c r="A140" t="str">
        <f t="shared" si="58"/>
        <v>10/04/2022 19:26:03.170</v>
      </c>
      <c r="C140" t="str">
        <f t="shared" si="52"/>
        <v>FFDFD3C0</v>
      </c>
      <c r="D140" t="s">
        <v>134</v>
      </c>
      <c r="E140">
        <v>15</v>
      </c>
      <c r="J140" t="s">
        <v>135</v>
      </c>
      <c r="K140">
        <v>0</v>
      </c>
      <c r="L140">
        <v>3</v>
      </c>
      <c r="M140">
        <v>0</v>
      </c>
      <c r="N140">
        <v>2</v>
      </c>
      <c r="O140">
        <v>0</v>
      </c>
      <c r="P140">
        <v>1</v>
      </c>
      <c r="Q140">
        <v>0</v>
      </c>
      <c r="S140" t="str">
        <f t="shared" si="59"/>
        <v>19:26:01.883</v>
      </c>
      <c r="T140" t="str">
        <f t="shared" si="59"/>
        <v>19:26:01.883</v>
      </c>
      <c r="U140" t="str">
        <f t="shared" si="53"/>
        <v>AC3944</v>
      </c>
      <c r="V140">
        <v>0</v>
      </c>
      <c r="W140">
        <v>0</v>
      </c>
      <c r="X140">
        <v>2</v>
      </c>
      <c r="Y140">
        <v>0</v>
      </c>
      <c r="AA140">
        <v>0</v>
      </c>
      <c r="AB140">
        <v>8</v>
      </c>
      <c r="AC140">
        <v>3</v>
      </c>
      <c r="AD140">
        <v>0</v>
      </c>
      <c r="AE140">
        <v>9</v>
      </c>
      <c r="AF140" t="s">
        <v>138</v>
      </c>
      <c r="AG140">
        <v>0</v>
      </c>
      <c r="AH140">
        <v>3</v>
      </c>
      <c r="AI140">
        <v>1</v>
      </c>
      <c r="AJ140">
        <v>0</v>
      </c>
      <c r="AK140" t="s">
        <v>194</v>
      </c>
      <c r="AL140">
        <v>32.828800999999999</v>
      </c>
      <c r="AM140" t="s">
        <v>195</v>
      </c>
      <c r="AN140">
        <v>-116.984718</v>
      </c>
      <c r="AO140">
        <v>25</v>
      </c>
      <c r="AP140">
        <v>1000</v>
      </c>
      <c r="AQ140" t="s">
        <v>129</v>
      </c>
      <c r="AR140">
        <v>-95</v>
      </c>
      <c r="AS140">
        <v>17</v>
      </c>
      <c r="AT140">
        <v>2176</v>
      </c>
      <c r="BB140">
        <v>1200</v>
      </c>
      <c r="BC140">
        <v>1</v>
      </c>
      <c r="BD140" t="str">
        <f t="shared" si="54"/>
        <v xml:space="preserve">N887QR  </v>
      </c>
      <c r="BE140">
        <v>1</v>
      </c>
      <c r="BG140">
        <v>0</v>
      </c>
      <c r="BH140">
        <v>0</v>
      </c>
      <c r="BI140">
        <v>0</v>
      </c>
      <c r="BJ140">
        <v>725</v>
      </c>
      <c r="BK140">
        <v>-275</v>
      </c>
      <c r="BL140" t="s">
        <v>163</v>
      </c>
      <c r="BM140">
        <v>1</v>
      </c>
      <c r="BN140">
        <v>1</v>
      </c>
      <c r="BO140">
        <v>1</v>
      </c>
      <c r="BP140">
        <v>0</v>
      </c>
      <c r="BS140">
        <v>0</v>
      </c>
      <c r="BT140">
        <v>0</v>
      </c>
      <c r="BU140">
        <v>0</v>
      </c>
      <c r="CE140" t="str">
        <f t="shared" si="60"/>
        <v>19:26:02.883</v>
      </c>
      <c r="CF140">
        <v>1883031044</v>
      </c>
      <c r="CS140">
        <v>3</v>
      </c>
      <c r="CT140">
        <v>2</v>
      </c>
      <c r="CU140">
        <v>0</v>
      </c>
      <c r="CV140">
        <v>2</v>
      </c>
      <c r="CW140">
        <v>0</v>
      </c>
      <c r="CX140">
        <v>3</v>
      </c>
      <c r="CY140">
        <v>7</v>
      </c>
      <c r="CZ140" t="s">
        <v>131</v>
      </c>
      <c r="DA140">
        <v>300</v>
      </c>
      <c r="DB140">
        <v>0</v>
      </c>
      <c r="DC140" t="s">
        <v>176</v>
      </c>
      <c r="DD140" t="s">
        <v>177</v>
      </c>
      <c r="DG140">
        <v>5355167</v>
      </c>
      <c r="DI140">
        <v>0</v>
      </c>
      <c r="DJ140">
        <v>0</v>
      </c>
      <c r="DK140">
        <v>1</v>
      </c>
      <c r="DL140">
        <v>0</v>
      </c>
      <c r="DM140">
        <v>0</v>
      </c>
      <c r="DN140">
        <v>1</v>
      </c>
      <c r="DO140">
        <v>0</v>
      </c>
      <c r="DP140">
        <v>0</v>
      </c>
      <c r="DQ140">
        <v>0</v>
      </c>
      <c r="DR140">
        <v>0</v>
      </c>
      <c r="DS140">
        <v>0</v>
      </c>
    </row>
    <row r="141" spans="1:123" x14ac:dyDescent="0.3">
      <c r="A141" t="str">
        <f t="shared" si="58"/>
        <v>10/04/2022 19:26:03.170</v>
      </c>
      <c r="C141" t="str">
        <f t="shared" si="52"/>
        <v>FFDFD3C0</v>
      </c>
      <c r="D141" t="s">
        <v>147</v>
      </c>
      <c r="E141">
        <v>3</v>
      </c>
      <c r="H141">
        <v>166</v>
      </c>
      <c r="I141" t="s">
        <v>144</v>
      </c>
      <c r="J141" t="s">
        <v>148</v>
      </c>
      <c r="K141">
        <v>0</v>
      </c>
      <c r="L141">
        <v>3</v>
      </c>
      <c r="M141">
        <v>0</v>
      </c>
      <c r="N141">
        <v>2</v>
      </c>
      <c r="O141">
        <v>0</v>
      </c>
      <c r="P141">
        <v>1</v>
      </c>
      <c r="Q141">
        <v>0</v>
      </c>
      <c r="S141" t="str">
        <f t="shared" si="59"/>
        <v>19:26:01.883</v>
      </c>
      <c r="T141" t="str">
        <f t="shared" si="59"/>
        <v>19:26:01.883</v>
      </c>
      <c r="U141" t="str">
        <f t="shared" si="53"/>
        <v>AC3944</v>
      </c>
      <c r="V141">
        <v>0</v>
      </c>
      <c r="W141">
        <v>0</v>
      </c>
      <c r="X141">
        <v>2</v>
      </c>
      <c r="Y141">
        <v>0</v>
      </c>
      <c r="AA141">
        <v>0</v>
      </c>
      <c r="AB141">
        <v>8</v>
      </c>
      <c r="AC141">
        <v>3</v>
      </c>
      <c r="AD141">
        <v>0</v>
      </c>
      <c r="AE141">
        <v>9</v>
      </c>
      <c r="AF141" t="s">
        <v>138</v>
      </c>
      <c r="AG141">
        <v>0</v>
      </c>
      <c r="AH141">
        <v>3</v>
      </c>
      <c r="AI141">
        <v>1</v>
      </c>
      <c r="AJ141">
        <v>0</v>
      </c>
      <c r="AK141" t="s">
        <v>194</v>
      </c>
      <c r="AL141">
        <v>32.828800999999999</v>
      </c>
      <c r="AM141" t="s">
        <v>195</v>
      </c>
      <c r="AN141">
        <v>-116.984718</v>
      </c>
      <c r="AO141">
        <v>25</v>
      </c>
      <c r="AP141">
        <v>1000</v>
      </c>
      <c r="AQ141" t="s">
        <v>129</v>
      </c>
      <c r="AR141">
        <v>-95</v>
      </c>
      <c r="AS141">
        <v>17</v>
      </c>
      <c r="AT141">
        <v>2176</v>
      </c>
      <c r="BB141">
        <v>1200</v>
      </c>
      <c r="BC141">
        <v>1</v>
      </c>
      <c r="BD141" t="str">
        <f t="shared" si="54"/>
        <v xml:space="preserve">N887QR  </v>
      </c>
      <c r="BE141">
        <v>1</v>
      </c>
      <c r="BG141">
        <v>0</v>
      </c>
      <c r="BH141">
        <v>0</v>
      </c>
      <c r="BI141">
        <v>0</v>
      </c>
      <c r="BJ141">
        <v>725</v>
      </c>
      <c r="BK141">
        <v>-275</v>
      </c>
      <c r="BL141" t="s">
        <v>163</v>
      </c>
      <c r="BM141">
        <v>1</v>
      </c>
      <c r="BN141">
        <v>1</v>
      </c>
      <c r="BO141">
        <v>1</v>
      </c>
      <c r="BP141">
        <v>0</v>
      </c>
      <c r="BS141">
        <v>0</v>
      </c>
      <c r="BT141">
        <v>0</v>
      </c>
      <c r="BU141">
        <v>0</v>
      </c>
      <c r="CE141" t="str">
        <f t="shared" si="60"/>
        <v>19:26:02.883</v>
      </c>
      <c r="CF141">
        <v>1883031044</v>
      </c>
      <c r="CS141">
        <v>3</v>
      </c>
      <c r="CT141">
        <v>2</v>
      </c>
      <c r="CU141">
        <v>0</v>
      </c>
      <c r="CV141">
        <v>2</v>
      </c>
      <c r="CW141">
        <v>0</v>
      </c>
      <c r="CX141">
        <v>3</v>
      </c>
      <c r="CY141">
        <v>7</v>
      </c>
      <c r="CZ141" t="s">
        <v>131</v>
      </c>
      <c r="DA141">
        <v>300</v>
      </c>
      <c r="DB141">
        <v>0</v>
      </c>
      <c r="DC141" t="s">
        <v>176</v>
      </c>
      <c r="DD141" t="s">
        <v>177</v>
      </c>
      <c r="DG141">
        <v>5355167</v>
      </c>
      <c r="DI141">
        <v>0</v>
      </c>
      <c r="DJ141">
        <v>0</v>
      </c>
      <c r="DK141">
        <v>1</v>
      </c>
      <c r="DL141">
        <v>0</v>
      </c>
      <c r="DM141">
        <v>0</v>
      </c>
      <c r="DN141">
        <v>1</v>
      </c>
      <c r="DO141">
        <v>0</v>
      </c>
      <c r="DP141">
        <v>0</v>
      </c>
      <c r="DQ141">
        <v>0</v>
      </c>
      <c r="DR141">
        <v>0</v>
      </c>
      <c r="DS141">
        <v>0</v>
      </c>
    </row>
    <row r="142" spans="1:123" x14ac:dyDescent="0.3">
      <c r="A142" t="str">
        <f t="shared" si="58"/>
        <v>10/04/2022 19:26:03.170</v>
      </c>
      <c r="C142" t="str">
        <f t="shared" si="52"/>
        <v>FFDFD3C0</v>
      </c>
      <c r="D142" t="s">
        <v>141</v>
      </c>
      <c r="E142">
        <v>3</v>
      </c>
      <c r="H142">
        <v>3</v>
      </c>
      <c r="I142" t="s">
        <v>146</v>
      </c>
      <c r="J142" t="s">
        <v>138</v>
      </c>
      <c r="K142">
        <v>0</v>
      </c>
      <c r="L142">
        <v>3</v>
      </c>
      <c r="M142">
        <v>0</v>
      </c>
      <c r="N142">
        <v>2</v>
      </c>
      <c r="O142">
        <v>0</v>
      </c>
      <c r="P142">
        <v>1</v>
      </c>
      <c r="Q142">
        <v>0</v>
      </c>
      <c r="S142" t="str">
        <f t="shared" si="59"/>
        <v>19:26:01.883</v>
      </c>
      <c r="T142" t="str">
        <f t="shared" si="59"/>
        <v>19:26:01.883</v>
      </c>
      <c r="U142" t="str">
        <f t="shared" si="53"/>
        <v>AC3944</v>
      </c>
      <c r="V142">
        <v>0</v>
      </c>
      <c r="W142">
        <v>0</v>
      </c>
      <c r="X142">
        <v>2</v>
      </c>
      <c r="Y142">
        <v>0</v>
      </c>
      <c r="AA142">
        <v>0</v>
      </c>
      <c r="AB142">
        <v>8</v>
      </c>
      <c r="AC142">
        <v>3</v>
      </c>
      <c r="AD142">
        <v>0</v>
      </c>
      <c r="AE142">
        <v>9</v>
      </c>
      <c r="AF142" t="s">
        <v>138</v>
      </c>
      <c r="AG142">
        <v>0</v>
      </c>
      <c r="AH142">
        <v>3</v>
      </c>
      <c r="AI142">
        <v>1</v>
      </c>
      <c r="AJ142">
        <v>0</v>
      </c>
      <c r="AK142" t="s">
        <v>194</v>
      </c>
      <c r="AL142">
        <v>32.828800999999999</v>
      </c>
      <c r="AM142" t="s">
        <v>195</v>
      </c>
      <c r="AN142">
        <v>-116.984718</v>
      </c>
      <c r="AO142">
        <v>25</v>
      </c>
      <c r="AP142">
        <v>1000</v>
      </c>
      <c r="AQ142" t="s">
        <v>129</v>
      </c>
      <c r="AR142">
        <v>-95</v>
      </c>
      <c r="AS142">
        <v>17</v>
      </c>
      <c r="AT142">
        <v>2176</v>
      </c>
      <c r="BB142">
        <v>1200</v>
      </c>
      <c r="BC142">
        <v>1</v>
      </c>
      <c r="BD142" t="str">
        <f t="shared" si="54"/>
        <v xml:space="preserve">N887QR  </v>
      </c>
      <c r="BE142">
        <v>1</v>
      </c>
      <c r="BG142">
        <v>0</v>
      </c>
      <c r="BH142">
        <v>0</v>
      </c>
      <c r="BI142">
        <v>0</v>
      </c>
      <c r="BJ142">
        <v>725</v>
      </c>
      <c r="BK142">
        <v>-275</v>
      </c>
      <c r="BL142" t="s">
        <v>163</v>
      </c>
      <c r="BM142">
        <v>1</v>
      </c>
      <c r="BN142">
        <v>1</v>
      </c>
      <c r="BO142">
        <v>1</v>
      </c>
      <c r="BP142">
        <v>0</v>
      </c>
      <c r="BS142">
        <v>0</v>
      </c>
      <c r="BT142">
        <v>0</v>
      </c>
      <c r="BU142">
        <v>0</v>
      </c>
      <c r="CE142" t="str">
        <f t="shared" si="60"/>
        <v>19:26:02.883</v>
      </c>
      <c r="CF142">
        <v>1883031044</v>
      </c>
      <c r="CS142">
        <v>3</v>
      </c>
      <c r="CT142">
        <v>2</v>
      </c>
      <c r="CU142">
        <v>0</v>
      </c>
      <c r="CV142">
        <v>2</v>
      </c>
      <c r="CW142">
        <v>0</v>
      </c>
      <c r="CX142">
        <v>3</v>
      </c>
      <c r="CY142">
        <v>7</v>
      </c>
      <c r="CZ142" t="s">
        <v>131</v>
      </c>
      <c r="DA142">
        <v>300</v>
      </c>
      <c r="DB142">
        <v>0</v>
      </c>
      <c r="DC142" t="s">
        <v>176</v>
      </c>
      <c r="DD142" t="s">
        <v>177</v>
      </c>
      <c r="DG142">
        <v>5355167</v>
      </c>
      <c r="DI142">
        <v>0</v>
      </c>
      <c r="DJ142">
        <v>0</v>
      </c>
      <c r="DK142">
        <v>1</v>
      </c>
      <c r="DL142">
        <v>0</v>
      </c>
      <c r="DM142">
        <v>0</v>
      </c>
      <c r="DN142">
        <v>1</v>
      </c>
      <c r="DO142">
        <v>0</v>
      </c>
      <c r="DP142">
        <v>0</v>
      </c>
      <c r="DQ142">
        <v>0</v>
      </c>
      <c r="DR142">
        <v>0</v>
      </c>
      <c r="DS142">
        <v>0</v>
      </c>
    </row>
    <row r="143" spans="1:123" x14ac:dyDescent="0.3">
      <c r="A143" t="str">
        <f t="shared" si="58"/>
        <v>10/04/2022 19:26:03.170</v>
      </c>
      <c r="C143" t="str">
        <f t="shared" si="52"/>
        <v>FFDFD3C0</v>
      </c>
      <c r="D143" t="s">
        <v>141</v>
      </c>
      <c r="E143">
        <v>4</v>
      </c>
      <c r="H143">
        <v>4</v>
      </c>
      <c r="I143" t="s">
        <v>142</v>
      </c>
      <c r="J143" t="s">
        <v>138</v>
      </c>
      <c r="K143">
        <v>0</v>
      </c>
      <c r="L143">
        <v>3</v>
      </c>
      <c r="M143">
        <v>0</v>
      </c>
      <c r="N143">
        <v>2</v>
      </c>
      <c r="O143">
        <v>0</v>
      </c>
      <c r="P143">
        <v>1</v>
      </c>
      <c r="Q143">
        <v>0</v>
      </c>
      <c r="S143" t="str">
        <f t="shared" si="59"/>
        <v>19:26:01.883</v>
      </c>
      <c r="T143" t="str">
        <f t="shared" si="59"/>
        <v>19:26:01.883</v>
      </c>
      <c r="U143" t="str">
        <f t="shared" si="53"/>
        <v>AC3944</v>
      </c>
      <c r="V143">
        <v>0</v>
      </c>
      <c r="W143">
        <v>0</v>
      </c>
      <c r="X143">
        <v>2</v>
      </c>
      <c r="Y143">
        <v>0</v>
      </c>
      <c r="AA143">
        <v>0</v>
      </c>
      <c r="AB143">
        <v>8</v>
      </c>
      <c r="AC143">
        <v>3</v>
      </c>
      <c r="AD143">
        <v>0</v>
      </c>
      <c r="AE143">
        <v>9</v>
      </c>
      <c r="AF143" t="s">
        <v>138</v>
      </c>
      <c r="AG143">
        <v>0</v>
      </c>
      <c r="AH143">
        <v>3</v>
      </c>
      <c r="AI143">
        <v>1</v>
      </c>
      <c r="AJ143">
        <v>0</v>
      </c>
      <c r="AK143" t="s">
        <v>194</v>
      </c>
      <c r="AL143">
        <v>32.828800999999999</v>
      </c>
      <c r="AM143" t="s">
        <v>195</v>
      </c>
      <c r="AN143">
        <v>-116.984718</v>
      </c>
      <c r="AO143">
        <v>25</v>
      </c>
      <c r="AP143">
        <v>1000</v>
      </c>
      <c r="AQ143" t="s">
        <v>129</v>
      </c>
      <c r="AR143">
        <v>-95</v>
      </c>
      <c r="AS143">
        <v>17</v>
      </c>
      <c r="AT143">
        <v>2176</v>
      </c>
      <c r="BB143">
        <v>1200</v>
      </c>
      <c r="BC143">
        <v>1</v>
      </c>
      <c r="BD143" t="str">
        <f t="shared" si="54"/>
        <v xml:space="preserve">N887QR  </v>
      </c>
      <c r="BE143">
        <v>1</v>
      </c>
      <c r="BG143">
        <v>0</v>
      </c>
      <c r="BH143">
        <v>0</v>
      </c>
      <c r="BI143">
        <v>0</v>
      </c>
      <c r="BJ143">
        <v>725</v>
      </c>
      <c r="BK143">
        <v>-275</v>
      </c>
      <c r="BL143" t="s">
        <v>163</v>
      </c>
      <c r="BM143">
        <v>1</v>
      </c>
      <c r="BN143">
        <v>1</v>
      </c>
      <c r="BO143">
        <v>1</v>
      </c>
      <c r="BP143">
        <v>0</v>
      </c>
      <c r="BS143">
        <v>0</v>
      </c>
      <c r="BT143">
        <v>0</v>
      </c>
      <c r="BU143">
        <v>0</v>
      </c>
      <c r="CE143" t="str">
        <f t="shared" si="60"/>
        <v>19:26:02.883</v>
      </c>
      <c r="CF143">
        <v>1883031044</v>
      </c>
      <c r="CS143">
        <v>3</v>
      </c>
      <c r="CT143">
        <v>2</v>
      </c>
      <c r="CU143">
        <v>0</v>
      </c>
      <c r="CV143">
        <v>2</v>
      </c>
      <c r="CW143">
        <v>0</v>
      </c>
      <c r="CX143">
        <v>3</v>
      </c>
      <c r="CY143">
        <v>7</v>
      </c>
      <c r="CZ143" t="s">
        <v>131</v>
      </c>
      <c r="DA143">
        <v>300</v>
      </c>
      <c r="DB143">
        <v>0</v>
      </c>
      <c r="DC143" t="s">
        <v>176</v>
      </c>
      <c r="DD143" t="s">
        <v>177</v>
      </c>
      <c r="DG143">
        <v>5355167</v>
      </c>
      <c r="DI143">
        <v>0</v>
      </c>
      <c r="DJ143">
        <v>0</v>
      </c>
      <c r="DK143">
        <v>1</v>
      </c>
      <c r="DL143">
        <v>0</v>
      </c>
      <c r="DM143">
        <v>0</v>
      </c>
      <c r="DN143">
        <v>1</v>
      </c>
      <c r="DO143">
        <v>0</v>
      </c>
      <c r="DP143">
        <v>0</v>
      </c>
      <c r="DQ143">
        <v>0</v>
      </c>
      <c r="DR143">
        <v>0</v>
      </c>
      <c r="DS143">
        <v>0</v>
      </c>
    </row>
    <row r="144" spans="1:123" x14ac:dyDescent="0.3">
      <c r="A144" t="str">
        <f t="shared" si="58"/>
        <v>10/04/2022 19:26:03.170</v>
      </c>
      <c r="C144" t="str">
        <f t="shared" si="52"/>
        <v>FFDFD3C0</v>
      </c>
      <c r="D144" t="s">
        <v>143</v>
      </c>
      <c r="E144">
        <v>20</v>
      </c>
      <c r="F144">
        <v>1020</v>
      </c>
      <c r="G144" t="s">
        <v>144</v>
      </c>
      <c r="J144" t="s">
        <v>145</v>
      </c>
      <c r="K144">
        <v>0</v>
      </c>
      <c r="L144">
        <v>3</v>
      </c>
      <c r="M144">
        <v>0</v>
      </c>
      <c r="N144">
        <v>2</v>
      </c>
      <c r="O144">
        <v>0</v>
      </c>
      <c r="P144">
        <v>1</v>
      </c>
      <c r="Q144">
        <v>0</v>
      </c>
      <c r="S144" t="str">
        <f t="shared" si="59"/>
        <v>19:26:01.883</v>
      </c>
      <c r="T144" t="str">
        <f t="shared" si="59"/>
        <v>19:26:01.883</v>
      </c>
      <c r="U144" t="str">
        <f t="shared" si="53"/>
        <v>AC3944</v>
      </c>
      <c r="V144">
        <v>0</v>
      </c>
      <c r="W144">
        <v>0</v>
      </c>
      <c r="X144">
        <v>2</v>
      </c>
      <c r="Y144">
        <v>0</v>
      </c>
      <c r="AA144">
        <v>0</v>
      </c>
      <c r="AB144">
        <v>8</v>
      </c>
      <c r="AC144">
        <v>3</v>
      </c>
      <c r="AD144">
        <v>0</v>
      </c>
      <c r="AE144">
        <v>9</v>
      </c>
      <c r="AF144" t="s">
        <v>138</v>
      </c>
      <c r="AG144">
        <v>0</v>
      </c>
      <c r="AH144">
        <v>3</v>
      </c>
      <c r="AI144">
        <v>1</v>
      </c>
      <c r="AJ144">
        <v>0</v>
      </c>
      <c r="AK144" t="s">
        <v>194</v>
      </c>
      <c r="AL144">
        <v>32.828800999999999</v>
      </c>
      <c r="AM144" t="s">
        <v>195</v>
      </c>
      <c r="AN144">
        <v>-116.984718</v>
      </c>
      <c r="AO144">
        <v>25</v>
      </c>
      <c r="AP144">
        <v>1000</v>
      </c>
      <c r="AQ144" t="s">
        <v>129</v>
      </c>
      <c r="AR144">
        <v>-95</v>
      </c>
      <c r="AS144">
        <v>17</v>
      </c>
      <c r="AT144">
        <v>2176</v>
      </c>
      <c r="BB144">
        <v>1200</v>
      </c>
      <c r="BC144">
        <v>1</v>
      </c>
      <c r="BD144" t="str">
        <f t="shared" si="54"/>
        <v xml:space="preserve">N887QR  </v>
      </c>
      <c r="BE144">
        <v>1</v>
      </c>
      <c r="BG144">
        <v>0</v>
      </c>
      <c r="BH144">
        <v>0</v>
      </c>
      <c r="BI144">
        <v>0</v>
      </c>
      <c r="BJ144">
        <v>725</v>
      </c>
      <c r="BK144">
        <v>-275</v>
      </c>
      <c r="BL144" t="s">
        <v>163</v>
      </c>
      <c r="BM144">
        <v>1</v>
      </c>
      <c r="BN144">
        <v>1</v>
      </c>
      <c r="BO144">
        <v>1</v>
      </c>
      <c r="BP144">
        <v>0</v>
      </c>
      <c r="BS144">
        <v>0</v>
      </c>
      <c r="BT144">
        <v>0</v>
      </c>
      <c r="BU144">
        <v>0</v>
      </c>
      <c r="CE144" t="str">
        <f t="shared" si="60"/>
        <v>19:26:02.883</v>
      </c>
      <c r="CF144">
        <v>1883031044</v>
      </c>
      <c r="CS144">
        <v>3</v>
      </c>
      <c r="CT144">
        <v>2</v>
      </c>
      <c r="CU144">
        <v>0</v>
      </c>
      <c r="CV144">
        <v>2</v>
      </c>
      <c r="CW144">
        <v>0</v>
      </c>
      <c r="CX144">
        <v>3</v>
      </c>
      <c r="CY144">
        <v>7</v>
      </c>
      <c r="CZ144" t="s">
        <v>131</v>
      </c>
      <c r="DA144">
        <v>300</v>
      </c>
      <c r="DB144">
        <v>0</v>
      </c>
      <c r="DC144" t="s">
        <v>176</v>
      </c>
      <c r="DD144" t="s">
        <v>177</v>
      </c>
      <c r="DG144">
        <v>5355167</v>
      </c>
      <c r="DI144">
        <v>0</v>
      </c>
      <c r="DJ144">
        <v>0</v>
      </c>
      <c r="DK144">
        <v>1</v>
      </c>
      <c r="DL144">
        <v>0</v>
      </c>
      <c r="DM144">
        <v>0</v>
      </c>
      <c r="DN144">
        <v>1</v>
      </c>
      <c r="DO144">
        <v>0</v>
      </c>
      <c r="DP144">
        <v>0</v>
      </c>
      <c r="DQ144">
        <v>0</v>
      </c>
      <c r="DR144">
        <v>0</v>
      </c>
      <c r="DS144">
        <v>0</v>
      </c>
    </row>
    <row r="145" spans="1:123" x14ac:dyDescent="0.3">
      <c r="A145" t="str">
        <f t="shared" si="58"/>
        <v>10/04/2022 19:26:03.170</v>
      </c>
      <c r="C145" t="str">
        <f t="shared" si="52"/>
        <v>FFDFD3C0</v>
      </c>
      <c r="D145" t="s">
        <v>123</v>
      </c>
      <c r="E145">
        <v>7</v>
      </c>
      <c r="F145">
        <v>2007</v>
      </c>
      <c r="G145" t="s">
        <v>124</v>
      </c>
      <c r="J145" t="s">
        <v>125</v>
      </c>
      <c r="K145">
        <v>0</v>
      </c>
      <c r="L145">
        <v>3</v>
      </c>
      <c r="M145">
        <v>0</v>
      </c>
      <c r="N145">
        <v>2</v>
      </c>
      <c r="O145">
        <v>0</v>
      </c>
      <c r="P145">
        <v>1</v>
      </c>
      <c r="Q145">
        <v>0</v>
      </c>
      <c r="S145" t="str">
        <f t="shared" si="59"/>
        <v>19:26:01.883</v>
      </c>
      <c r="T145" t="str">
        <f t="shared" si="59"/>
        <v>19:26:01.883</v>
      </c>
      <c r="U145" t="str">
        <f t="shared" si="53"/>
        <v>AC3944</v>
      </c>
      <c r="V145">
        <v>0</v>
      </c>
      <c r="W145">
        <v>0</v>
      </c>
      <c r="X145">
        <v>2</v>
      </c>
      <c r="Y145">
        <v>0</v>
      </c>
      <c r="AA145">
        <v>0</v>
      </c>
      <c r="AB145">
        <v>8</v>
      </c>
      <c r="AC145">
        <v>3</v>
      </c>
      <c r="AD145">
        <v>0</v>
      </c>
      <c r="AE145">
        <v>9</v>
      </c>
      <c r="AF145" t="s">
        <v>138</v>
      </c>
      <c r="AG145">
        <v>0</v>
      </c>
      <c r="AH145">
        <v>3</v>
      </c>
      <c r="AI145">
        <v>1</v>
      </c>
      <c r="AJ145">
        <v>0</v>
      </c>
      <c r="AK145" t="s">
        <v>194</v>
      </c>
      <c r="AL145">
        <v>32.828800999999999</v>
      </c>
      <c r="AM145" t="s">
        <v>195</v>
      </c>
      <c r="AN145">
        <v>-116.984718</v>
      </c>
      <c r="AO145">
        <v>25</v>
      </c>
      <c r="AP145">
        <v>1000</v>
      </c>
      <c r="AQ145" t="s">
        <v>129</v>
      </c>
      <c r="AR145">
        <v>-95</v>
      </c>
      <c r="AS145">
        <v>17</v>
      </c>
      <c r="AT145">
        <v>2176</v>
      </c>
      <c r="BB145">
        <v>1200</v>
      </c>
      <c r="BC145">
        <v>1</v>
      </c>
      <c r="BD145" t="str">
        <f t="shared" si="54"/>
        <v xml:space="preserve">N887QR  </v>
      </c>
      <c r="BE145">
        <v>1</v>
      </c>
      <c r="BG145">
        <v>0</v>
      </c>
      <c r="BH145">
        <v>0</v>
      </c>
      <c r="BI145">
        <v>0</v>
      </c>
      <c r="BJ145">
        <v>725</v>
      </c>
      <c r="BK145">
        <v>-275</v>
      </c>
      <c r="BL145" t="s">
        <v>163</v>
      </c>
      <c r="BM145">
        <v>1</v>
      </c>
      <c r="BN145">
        <v>1</v>
      </c>
      <c r="BO145">
        <v>1</v>
      </c>
      <c r="BP145">
        <v>0</v>
      </c>
      <c r="BS145">
        <v>0</v>
      </c>
      <c r="BT145">
        <v>0</v>
      </c>
      <c r="BU145">
        <v>0</v>
      </c>
      <c r="CE145" t="str">
        <f t="shared" si="60"/>
        <v>19:26:02.883</v>
      </c>
      <c r="CF145">
        <v>1883031044</v>
      </c>
      <c r="CS145">
        <v>3</v>
      </c>
      <c r="CT145">
        <v>2</v>
      </c>
      <c r="CU145">
        <v>0</v>
      </c>
      <c r="CV145">
        <v>2</v>
      </c>
      <c r="CW145">
        <v>0</v>
      </c>
      <c r="CX145">
        <v>3</v>
      </c>
      <c r="CY145">
        <v>7</v>
      </c>
      <c r="CZ145" t="s">
        <v>131</v>
      </c>
      <c r="DA145">
        <v>300</v>
      </c>
      <c r="DB145">
        <v>0</v>
      </c>
      <c r="DC145" t="s">
        <v>176</v>
      </c>
      <c r="DD145" t="s">
        <v>177</v>
      </c>
      <c r="DG145">
        <v>5355167</v>
      </c>
      <c r="DI145">
        <v>0</v>
      </c>
      <c r="DJ145">
        <v>0</v>
      </c>
      <c r="DK145">
        <v>1</v>
      </c>
      <c r="DL145">
        <v>0</v>
      </c>
      <c r="DM145">
        <v>0</v>
      </c>
      <c r="DN145">
        <v>1</v>
      </c>
      <c r="DO145">
        <v>0</v>
      </c>
      <c r="DP145">
        <v>0</v>
      </c>
      <c r="DQ145">
        <v>0</v>
      </c>
      <c r="DR145">
        <v>0</v>
      </c>
      <c r="DS145">
        <v>0</v>
      </c>
    </row>
    <row r="146" spans="1:123" x14ac:dyDescent="0.3">
      <c r="A146" t="str">
        <f t="shared" ref="A146:A152" si="61">"10/04/2022 19:26:04.514"</f>
        <v>10/04/2022 19:26:04.514</v>
      </c>
      <c r="C146" t="str">
        <f t="shared" si="52"/>
        <v>FFDFD3C0</v>
      </c>
      <c r="D146" t="s">
        <v>136</v>
      </c>
      <c r="E146">
        <v>8</v>
      </c>
      <c r="H146">
        <v>225</v>
      </c>
      <c r="I146" t="s">
        <v>137</v>
      </c>
      <c r="J146" t="s">
        <v>138</v>
      </c>
      <c r="K146">
        <v>0</v>
      </c>
      <c r="L146">
        <v>3</v>
      </c>
      <c r="M146">
        <v>0</v>
      </c>
      <c r="N146">
        <v>2</v>
      </c>
      <c r="O146">
        <v>0</v>
      </c>
      <c r="P146">
        <v>1</v>
      </c>
      <c r="Q146">
        <v>0</v>
      </c>
      <c r="S146" t="str">
        <f t="shared" ref="S146:T152" si="62">"19:26:03.273"</f>
        <v>19:26:03.273</v>
      </c>
      <c r="T146" t="str">
        <f t="shared" si="62"/>
        <v>19:26:03.273</v>
      </c>
      <c r="U146" t="str">
        <f t="shared" si="53"/>
        <v>AC3944</v>
      </c>
      <c r="V146">
        <v>0</v>
      </c>
      <c r="W146">
        <v>0</v>
      </c>
      <c r="X146">
        <v>2</v>
      </c>
      <c r="Y146">
        <v>0</v>
      </c>
      <c r="AA146">
        <v>0</v>
      </c>
      <c r="AB146">
        <v>8</v>
      </c>
      <c r="AC146">
        <v>3</v>
      </c>
      <c r="AD146">
        <v>0</v>
      </c>
      <c r="AE146">
        <v>9</v>
      </c>
      <c r="AF146" t="s">
        <v>138</v>
      </c>
      <c r="AG146">
        <v>0</v>
      </c>
      <c r="AH146">
        <v>3</v>
      </c>
      <c r="AI146">
        <v>1</v>
      </c>
      <c r="AJ146">
        <v>0</v>
      </c>
      <c r="AK146" t="s">
        <v>196</v>
      </c>
      <c r="AL146">
        <v>32.828865</v>
      </c>
      <c r="AM146" t="s">
        <v>197</v>
      </c>
      <c r="AN146">
        <v>-116.985254</v>
      </c>
      <c r="AO146">
        <v>25</v>
      </c>
      <c r="AP146">
        <v>1100</v>
      </c>
      <c r="AQ146" t="s">
        <v>129</v>
      </c>
      <c r="AR146">
        <v>-95</v>
      </c>
      <c r="AS146">
        <v>14</v>
      </c>
      <c r="AT146">
        <v>2240</v>
      </c>
      <c r="BB146">
        <v>1200</v>
      </c>
      <c r="BC146">
        <v>1</v>
      </c>
      <c r="BD146" t="str">
        <f t="shared" si="54"/>
        <v xml:space="preserve">N887QR  </v>
      </c>
      <c r="BE146">
        <v>1</v>
      </c>
      <c r="BG146">
        <v>0</v>
      </c>
      <c r="BH146">
        <v>0</v>
      </c>
      <c r="BI146">
        <v>0</v>
      </c>
      <c r="BJ146">
        <v>750</v>
      </c>
      <c r="BK146">
        <v>-350</v>
      </c>
      <c r="BL146" t="s">
        <v>163</v>
      </c>
      <c r="BM146">
        <v>1</v>
      </c>
      <c r="BN146">
        <v>1</v>
      </c>
      <c r="BO146">
        <v>1</v>
      </c>
      <c r="BP146">
        <v>0</v>
      </c>
      <c r="BS146">
        <v>0</v>
      </c>
      <c r="BT146">
        <v>0</v>
      </c>
      <c r="BU146">
        <v>0</v>
      </c>
      <c r="CE146" t="str">
        <f t="shared" ref="CE146:CE152" si="63">"19:26:04.274"</f>
        <v>19:26:04.274</v>
      </c>
      <c r="CF146">
        <v>1274035388</v>
      </c>
      <c r="CS146">
        <v>3</v>
      </c>
      <c r="CT146">
        <v>2</v>
      </c>
      <c r="CU146">
        <v>0</v>
      </c>
      <c r="CV146">
        <v>2</v>
      </c>
      <c r="CW146">
        <v>0</v>
      </c>
      <c r="CX146">
        <v>4</v>
      </c>
      <c r="CY146">
        <v>7</v>
      </c>
      <c r="CZ146" t="s">
        <v>131</v>
      </c>
      <c r="DA146">
        <v>300</v>
      </c>
      <c r="DB146">
        <v>0</v>
      </c>
      <c r="DC146" t="s">
        <v>176</v>
      </c>
      <c r="DD146" t="s">
        <v>177</v>
      </c>
      <c r="DG146">
        <v>5355387</v>
      </c>
      <c r="DI146">
        <v>0</v>
      </c>
      <c r="DJ146">
        <v>0</v>
      </c>
      <c r="DK146">
        <v>0</v>
      </c>
      <c r="DL146">
        <v>0</v>
      </c>
      <c r="DM146">
        <v>0</v>
      </c>
      <c r="DN146">
        <v>1</v>
      </c>
      <c r="DO146">
        <v>0</v>
      </c>
      <c r="DP146">
        <v>0</v>
      </c>
      <c r="DQ146">
        <v>0</v>
      </c>
      <c r="DR146">
        <v>0</v>
      </c>
      <c r="DS146">
        <v>0</v>
      </c>
    </row>
    <row r="147" spans="1:123" x14ac:dyDescent="0.3">
      <c r="A147" t="str">
        <f t="shared" si="61"/>
        <v>10/04/2022 19:26:04.514</v>
      </c>
      <c r="C147" t="str">
        <f t="shared" si="52"/>
        <v>FFDFD3C0</v>
      </c>
      <c r="D147" t="s">
        <v>134</v>
      </c>
      <c r="E147">
        <v>15</v>
      </c>
      <c r="J147" t="s">
        <v>135</v>
      </c>
      <c r="K147">
        <v>0</v>
      </c>
      <c r="L147">
        <v>3</v>
      </c>
      <c r="M147">
        <v>0</v>
      </c>
      <c r="N147">
        <v>2</v>
      </c>
      <c r="O147">
        <v>0</v>
      </c>
      <c r="P147">
        <v>1</v>
      </c>
      <c r="Q147">
        <v>0</v>
      </c>
      <c r="S147" t="str">
        <f t="shared" si="62"/>
        <v>19:26:03.273</v>
      </c>
      <c r="T147" t="str">
        <f t="shared" si="62"/>
        <v>19:26:03.273</v>
      </c>
      <c r="U147" t="str">
        <f t="shared" si="53"/>
        <v>AC3944</v>
      </c>
      <c r="V147">
        <v>0</v>
      </c>
      <c r="W147">
        <v>0</v>
      </c>
      <c r="X147">
        <v>2</v>
      </c>
      <c r="Y147">
        <v>0</v>
      </c>
      <c r="AA147">
        <v>0</v>
      </c>
      <c r="AB147">
        <v>8</v>
      </c>
      <c r="AC147">
        <v>3</v>
      </c>
      <c r="AD147">
        <v>0</v>
      </c>
      <c r="AE147">
        <v>9</v>
      </c>
      <c r="AF147" t="s">
        <v>138</v>
      </c>
      <c r="AG147">
        <v>0</v>
      </c>
      <c r="AH147">
        <v>3</v>
      </c>
      <c r="AI147">
        <v>1</v>
      </c>
      <c r="AJ147">
        <v>0</v>
      </c>
      <c r="AK147" t="s">
        <v>196</v>
      </c>
      <c r="AL147">
        <v>32.828865</v>
      </c>
      <c r="AM147" t="s">
        <v>197</v>
      </c>
      <c r="AN147">
        <v>-116.985254</v>
      </c>
      <c r="AO147">
        <v>25</v>
      </c>
      <c r="AP147">
        <v>1100</v>
      </c>
      <c r="AQ147" t="s">
        <v>129</v>
      </c>
      <c r="AR147">
        <v>-95</v>
      </c>
      <c r="AS147">
        <v>14</v>
      </c>
      <c r="AT147">
        <v>2240</v>
      </c>
      <c r="BB147">
        <v>1200</v>
      </c>
      <c r="BC147">
        <v>1</v>
      </c>
      <c r="BD147" t="str">
        <f t="shared" si="54"/>
        <v xml:space="preserve">N887QR  </v>
      </c>
      <c r="BE147">
        <v>1</v>
      </c>
      <c r="BG147">
        <v>0</v>
      </c>
      <c r="BH147">
        <v>0</v>
      </c>
      <c r="BI147">
        <v>0</v>
      </c>
      <c r="BJ147">
        <v>750</v>
      </c>
      <c r="BK147">
        <v>-350</v>
      </c>
      <c r="BL147" t="s">
        <v>163</v>
      </c>
      <c r="BM147">
        <v>1</v>
      </c>
      <c r="BN147">
        <v>1</v>
      </c>
      <c r="BO147">
        <v>1</v>
      </c>
      <c r="BP147">
        <v>0</v>
      </c>
      <c r="BS147">
        <v>0</v>
      </c>
      <c r="BT147">
        <v>0</v>
      </c>
      <c r="BU147">
        <v>0</v>
      </c>
      <c r="CE147" t="str">
        <f t="shared" si="63"/>
        <v>19:26:04.274</v>
      </c>
      <c r="CF147">
        <v>1274035388</v>
      </c>
      <c r="CS147">
        <v>3</v>
      </c>
      <c r="CT147">
        <v>2</v>
      </c>
      <c r="CU147">
        <v>0</v>
      </c>
      <c r="CV147">
        <v>2</v>
      </c>
      <c r="CW147">
        <v>0</v>
      </c>
      <c r="CX147">
        <v>4</v>
      </c>
      <c r="CY147">
        <v>7</v>
      </c>
      <c r="CZ147" t="s">
        <v>131</v>
      </c>
      <c r="DA147">
        <v>300</v>
      </c>
      <c r="DB147">
        <v>0</v>
      </c>
      <c r="DC147" t="s">
        <v>176</v>
      </c>
      <c r="DD147" t="s">
        <v>177</v>
      </c>
      <c r="DG147">
        <v>5355387</v>
      </c>
      <c r="DI147">
        <v>0</v>
      </c>
      <c r="DJ147">
        <v>0</v>
      </c>
      <c r="DK147">
        <v>1</v>
      </c>
      <c r="DL147">
        <v>0</v>
      </c>
      <c r="DM147">
        <v>0</v>
      </c>
      <c r="DN147">
        <v>1</v>
      </c>
      <c r="DO147">
        <v>0</v>
      </c>
      <c r="DP147">
        <v>0</v>
      </c>
      <c r="DQ147">
        <v>0</v>
      </c>
      <c r="DR147">
        <v>0</v>
      </c>
      <c r="DS147">
        <v>0</v>
      </c>
    </row>
    <row r="148" spans="1:123" x14ac:dyDescent="0.3">
      <c r="A148" t="str">
        <f t="shared" si="61"/>
        <v>10/04/2022 19:26:04.514</v>
      </c>
      <c r="C148" t="str">
        <f t="shared" si="52"/>
        <v>FFDFD3C0</v>
      </c>
      <c r="D148" t="s">
        <v>147</v>
      </c>
      <c r="E148">
        <v>3</v>
      </c>
      <c r="H148">
        <v>166</v>
      </c>
      <c r="I148" t="s">
        <v>144</v>
      </c>
      <c r="J148" t="s">
        <v>148</v>
      </c>
      <c r="K148">
        <v>0</v>
      </c>
      <c r="L148">
        <v>3</v>
      </c>
      <c r="M148">
        <v>0</v>
      </c>
      <c r="N148">
        <v>2</v>
      </c>
      <c r="O148">
        <v>0</v>
      </c>
      <c r="P148">
        <v>1</v>
      </c>
      <c r="Q148">
        <v>0</v>
      </c>
      <c r="S148" t="str">
        <f t="shared" si="62"/>
        <v>19:26:03.273</v>
      </c>
      <c r="T148" t="str">
        <f t="shared" si="62"/>
        <v>19:26:03.273</v>
      </c>
      <c r="U148" t="str">
        <f t="shared" si="53"/>
        <v>AC3944</v>
      </c>
      <c r="V148">
        <v>0</v>
      </c>
      <c r="W148">
        <v>0</v>
      </c>
      <c r="X148">
        <v>2</v>
      </c>
      <c r="Y148">
        <v>0</v>
      </c>
      <c r="AA148">
        <v>0</v>
      </c>
      <c r="AB148">
        <v>8</v>
      </c>
      <c r="AC148">
        <v>3</v>
      </c>
      <c r="AD148">
        <v>0</v>
      </c>
      <c r="AE148">
        <v>9</v>
      </c>
      <c r="AF148" t="s">
        <v>138</v>
      </c>
      <c r="AG148">
        <v>0</v>
      </c>
      <c r="AH148">
        <v>3</v>
      </c>
      <c r="AI148">
        <v>1</v>
      </c>
      <c r="AJ148">
        <v>0</v>
      </c>
      <c r="AK148" t="s">
        <v>196</v>
      </c>
      <c r="AL148">
        <v>32.828865</v>
      </c>
      <c r="AM148" t="s">
        <v>197</v>
      </c>
      <c r="AN148">
        <v>-116.985254</v>
      </c>
      <c r="AO148">
        <v>25</v>
      </c>
      <c r="AP148">
        <v>1100</v>
      </c>
      <c r="AQ148" t="s">
        <v>129</v>
      </c>
      <c r="AR148">
        <v>-95</v>
      </c>
      <c r="AS148">
        <v>14</v>
      </c>
      <c r="AT148">
        <v>2240</v>
      </c>
      <c r="BB148">
        <v>1200</v>
      </c>
      <c r="BC148">
        <v>1</v>
      </c>
      <c r="BD148" t="str">
        <f t="shared" si="54"/>
        <v xml:space="preserve">N887QR  </v>
      </c>
      <c r="BE148">
        <v>1</v>
      </c>
      <c r="BG148">
        <v>0</v>
      </c>
      <c r="BH148">
        <v>0</v>
      </c>
      <c r="BI148">
        <v>0</v>
      </c>
      <c r="BJ148">
        <v>750</v>
      </c>
      <c r="BK148">
        <v>-350</v>
      </c>
      <c r="BL148" t="s">
        <v>163</v>
      </c>
      <c r="BM148">
        <v>1</v>
      </c>
      <c r="BN148">
        <v>1</v>
      </c>
      <c r="BO148">
        <v>1</v>
      </c>
      <c r="BP148">
        <v>0</v>
      </c>
      <c r="BS148">
        <v>0</v>
      </c>
      <c r="BT148">
        <v>0</v>
      </c>
      <c r="BU148">
        <v>0</v>
      </c>
      <c r="CE148" t="str">
        <f t="shared" si="63"/>
        <v>19:26:04.274</v>
      </c>
      <c r="CF148">
        <v>1274035388</v>
      </c>
      <c r="CS148">
        <v>3</v>
      </c>
      <c r="CT148">
        <v>2</v>
      </c>
      <c r="CU148">
        <v>0</v>
      </c>
      <c r="CV148">
        <v>2</v>
      </c>
      <c r="CW148">
        <v>0</v>
      </c>
      <c r="CX148">
        <v>4</v>
      </c>
      <c r="CY148">
        <v>7</v>
      </c>
      <c r="CZ148" t="s">
        <v>131</v>
      </c>
      <c r="DA148">
        <v>300</v>
      </c>
      <c r="DB148">
        <v>0</v>
      </c>
      <c r="DC148" t="s">
        <v>176</v>
      </c>
      <c r="DD148" t="s">
        <v>177</v>
      </c>
      <c r="DG148">
        <v>5355387</v>
      </c>
      <c r="DI148">
        <v>0</v>
      </c>
      <c r="DJ148">
        <v>0</v>
      </c>
      <c r="DK148">
        <v>1</v>
      </c>
      <c r="DL148">
        <v>0</v>
      </c>
      <c r="DM148">
        <v>0</v>
      </c>
      <c r="DN148">
        <v>1</v>
      </c>
      <c r="DO148">
        <v>0</v>
      </c>
      <c r="DP148">
        <v>0</v>
      </c>
      <c r="DQ148">
        <v>0</v>
      </c>
      <c r="DR148">
        <v>0</v>
      </c>
      <c r="DS148">
        <v>0</v>
      </c>
    </row>
    <row r="149" spans="1:123" x14ac:dyDescent="0.3">
      <c r="A149" t="str">
        <f t="shared" si="61"/>
        <v>10/04/2022 19:26:04.514</v>
      </c>
      <c r="C149" t="str">
        <f t="shared" si="52"/>
        <v>FFDFD3C0</v>
      </c>
      <c r="D149" t="s">
        <v>141</v>
      </c>
      <c r="E149">
        <v>3</v>
      </c>
      <c r="H149">
        <v>3</v>
      </c>
      <c r="I149" t="s">
        <v>146</v>
      </c>
      <c r="J149" t="s">
        <v>138</v>
      </c>
      <c r="K149">
        <v>0</v>
      </c>
      <c r="L149">
        <v>3</v>
      </c>
      <c r="M149">
        <v>0</v>
      </c>
      <c r="N149">
        <v>2</v>
      </c>
      <c r="O149">
        <v>0</v>
      </c>
      <c r="P149">
        <v>1</v>
      </c>
      <c r="Q149">
        <v>0</v>
      </c>
      <c r="S149" t="str">
        <f t="shared" si="62"/>
        <v>19:26:03.273</v>
      </c>
      <c r="T149" t="str">
        <f t="shared" si="62"/>
        <v>19:26:03.273</v>
      </c>
      <c r="U149" t="str">
        <f t="shared" si="53"/>
        <v>AC3944</v>
      </c>
      <c r="V149">
        <v>0</v>
      </c>
      <c r="W149">
        <v>0</v>
      </c>
      <c r="X149">
        <v>2</v>
      </c>
      <c r="Y149">
        <v>0</v>
      </c>
      <c r="AA149">
        <v>0</v>
      </c>
      <c r="AB149">
        <v>8</v>
      </c>
      <c r="AC149">
        <v>3</v>
      </c>
      <c r="AD149">
        <v>0</v>
      </c>
      <c r="AE149">
        <v>9</v>
      </c>
      <c r="AF149" t="s">
        <v>138</v>
      </c>
      <c r="AG149">
        <v>0</v>
      </c>
      <c r="AH149">
        <v>3</v>
      </c>
      <c r="AI149">
        <v>1</v>
      </c>
      <c r="AJ149">
        <v>0</v>
      </c>
      <c r="AK149" t="s">
        <v>196</v>
      </c>
      <c r="AL149">
        <v>32.828865</v>
      </c>
      <c r="AM149" t="s">
        <v>197</v>
      </c>
      <c r="AN149">
        <v>-116.985254</v>
      </c>
      <c r="AO149">
        <v>25</v>
      </c>
      <c r="AP149">
        <v>1100</v>
      </c>
      <c r="AQ149" t="s">
        <v>129</v>
      </c>
      <c r="AR149">
        <v>-95</v>
      </c>
      <c r="AS149">
        <v>14</v>
      </c>
      <c r="AT149">
        <v>2240</v>
      </c>
      <c r="BB149">
        <v>1200</v>
      </c>
      <c r="BC149">
        <v>1</v>
      </c>
      <c r="BD149" t="str">
        <f t="shared" si="54"/>
        <v xml:space="preserve">N887QR  </v>
      </c>
      <c r="BE149">
        <v>1</v>
      </c>
      <c r="BG149">
        <v>0</v>
      </c>
      <c r="BH149">
        <v>0</v>
      </c>
      <c r="BI149">
        <v>0</v>
      </c>
      <c r="BJ149">
        <v>750</v>
      </c>
      <c r="BK149">
        <v>-350</v>
      </c>
      <c r="BL149" t="s">
        <v>163</v>
      </c>
      <c r="BM149">
        <v>1</v>
      </c>
      <c r="BN149">
        <v>1</v>
      </c>
      <c r="BO149">
        <v>1</v>
      </c>
      <c r="BP149">
        <v>0</v>
      </c>
      <c r="BS149">
        <v>0</v>
      </c>
      <c r="BT149">
        <v>0</v>
      </c>
      <c r="BU149">
        <v>0</v>
      </c>
      <c r="CE149" t="str">
        <f t="shared" si="63"/>
        <v>19:26:04.274</v>
      </c>
      <c r="CF149">
        <v>1274035388</v>
      </c>
      <c r="CS149">
        <v>3</v>
      </c>
      <c r="CT149">
        <v>2</v>
      </c>
      <c r="CU149">
        <v>0</v>
      </c>
      <c r="CV149">
        <v>2</v>
      </c>
      <c r="CW149">
        <v>0</v>
      </c>
      <c r="CX149">
        <v>4</v>
      </c>
      <c r="CY149">
        <v>7</v>
      </c>
      <c r="CZ149" t="s">
        <v>131</v>
      </c>
      <c r="DA149">
        <v>300</v>
      </c>
      <c r="DB149">
        <v>0</v>
      </c>
      <c r="DC149" t="s">
        <v>176</v>
      </c>
      <c r="DD149" t="s">
        <v>177</v>
      </c>
      <c r="DG149">
        <v>5355387</v>
      </c>
      <c r="DI149">
        <v>0</v>
      </c>
      <c r="DJ149">
        <v>0</v>
      </c>
      <c r="DK149">
        <v>1</v>
      </c>
      <c r="DL149">
        <v>0</v>
      </c>
      <c r="DM149">
        <v>0</v>
      </c>
      <c r="DN149">
        <v>1</v>
      </c>
      <c r="DO149">
        <v>0</v>
      </c>
      <c r="DP149">
        <v>0</v>
      </c>
      <c r="DQ149">
        <v>0</v>
      </c>
      <c r="DR149">
        <v>0</v>
      </c>
      <c r="DS149">
        <v>0</v>
      </c>
    </row>
    <row r="150" spans="1:123" x14ac:dyDescent="0.3">
      <c r="A150" t="str">
        <f t="shared" si="61"/>
        <v>10/04/2022 19:26:04.514</v>
      </c>
      <c r="C150" t="str">
        <f t="shared" si="52"/>
        <v>FFDFD3C0</v>
      </c>
      <c r="D150" t="s">
        <v>141</v>
      </c>
      <c r="E150">
        <v>4</v>
      </c>
      <c r="H150">
        <v>4</v>
      </c>
      <c r="I150" t="s">
        <v>142</v>
      </c>
      <c r="J150" t="s">
        <v>138</v>
      </c>
      <c r="K150">
        <v>0</v>
      </c>
      <c r="L150">
        <v>3</v>
      </c>
      <c r="M150">
        <v>0</v>
      </c>
      <c r="N150">
        <v>2</v>
      </c>
      <c r="O150">
        <v>0</v>
      </c>
      <c r="P150">
        <v>1</v>
      </c>
      <c r="Q150">
        <v>0</v>
      </c>
      <c r="S150" t="str">
        <f t="shared" si="62"/>
        <v>19:26:03.273</v>
      </c>
      <c r="T150" t="str">
        <f t="shared" si="62"/>
        <v>19:26:03.273</v>
      </c>
      <c r="U150" t="str">
        <f t="shared" si="53"/>
        <v>AC3944</v>
      </c>
      <c r="V150">
        <v>0</v>
      </c>
      <c r="W150">
        <v>0</v>
      </c>
      <c r="X150">
        <v>2</v>
      </c>
      <c r="Y150">
        <v>0</v>
      </c>
      <c r="AA150">
        <v>0</v>
      </c>
      <c r="AB150">
        <v>8</v>
      </c>
      <c r="AC150">
        <v>3</v>
      </c>
      <c r="AD150">
        <v>0</v>
      </c>
      <c r="AE150">
        <v>9</v>
      </c>
      <c r="AF150" t="s">
        <v>138</v>
      </c>
      <c r="AG150">
        <v>0</v>
      </c>
      <c r="AH150">
        <v>3</v>
      </c>
      <c r="AI150">
        <v>1</v>
      </c>
      <c r="AJ150">
        <v>0</v>
      </c>
      <c r="AK150" t="s">
        <v>196</v>
      </c>
      <c r="AL150">
        <v>32.828865</v>
      </c>
      <c r="AM150" t="s">
        <v>197</v>
      </c>
      <c r="AN150">
        <v>-116.985254</v>
      </c>
      <c r="AO150">
        <v>25</v>
      </c>
      <c r="AP150">
        <v>1100</v>
      </c>
      <c r="AQ150" t="s">
        <v>129</v>
      </c>
      <c r="AR150">
        <v>-95</v>
      </c>
      <c r="AS150">
        <v>14</v>
      </c>
      <c r="AT150">
        <v>2240</v>
      </c>
      <c r="BB150">
        <v>1200</v>
      </c>
      <c r="BC150">
        <v>1</v>
      </c>
      <c r="BD150" t="str">
        <f t="shared" si="54"/>
        <v xml:space="preserve">N887QR  </v>
      </c>
      <c r="BE150">
        <v>1</v>
      </c>
      <c r="BG150">
        <v>0</v>
      </c>
      <c r="BH150">
        <v>0</v>
      </c>
      <c r="BI150">
        <v>0</v>
      </c>
      <c r="BJ150">
        <v>750</v>
      </c>
      <c r="BK150">
        <v>-350</v>
      </c>
      <c r="BL150" t="s">
        <v>163</v>
      </c>
      <c r="BM150">
        <v>1</v>
      </c>
      <c r="BN150">
        <v>1</v>
      </c>
      <c r="BO150">
        <v>1</v>
      </c>
      <c r="BP150">
        <v>0</v>
      </c>
      <c r="BS150">
        <v>0</v>
      </c>
      <c r="BT150">
        <v>0</v>
      </c>
      <c r="BU150">
        <v>0</v>
      </c>
      <c r="CE150" t="str">
        <f t="shared" si="63"/>
        <v>19:26:04.274</v>
      </c>
      <c r="CF150">
        <v>1274035388</v>
      </c>
      <c r="CS150">
        <v>3</v>
      </c>
      <c r="CT150">
        <v>2</v>
      </c>
      <c r="CU150">
        <v>0</v>
      </c>
      <c r="CV150">
        <v>2</v>
      </c>
      <c r="CW150">
        <v>0</v>
      </c>
      <c r="CX150">
        <v>4</v>
      </c>
      <c r="CY150">
        <v>7</v>
      </c>
      <c r="CZ150" t="s">
        <v>131</v>
      </c>
      <c r="DA150">
        <v>300</v>
      </c>
      <c r="DB150">
        <v>0</v>
      </c>
      <c r="DC150" t="s">
        <v>176</v>
      </c>
      <c r="DD150" t="s">
        <v>177</v>
      </c>
      <c r="DG150">
        <v>5355387</v>
      </c>
      <c r="DI150">
        <v>0</v>
      </c>
      <c r="DJ150">
        <v>0</v>
      </c>
      <c r="DK150">
        <v>1</v>
      </c>
      <c r="DL150">
        <v>0</v>
      </c>
      <c r="DM150">
        <v>0</v>
      </c>
      <c r="DN150">
        <v>1</v>
      </c>
      <c r="DO150">
        <v>0</v>
      </c>
      <c r="DP150">
        <v>0</v>
      </c>
      <c r="DQ150">
        <v>0</v>
      </c>
      <c r="DR150">
        <v>0</v>
      </c>
      <c r="DS150">
        <v>0</v>
      </c>
    </row>
    <row r="151" spans="1:123" x14ac:dyDescent="0.3">
      <c r="A151" t="str">
        <f t="shared" si="61"/>
        <v>10/04/2022 19:26:04.514</v>
      </c>
      <c r="C151" t="str">
        <f t="shared" si="52"/>
        <v>FFDFD3C0</v>
      </c>
      <c r="D151" t="s">
        <v>123</v>
      </c>
      <c r="E151">
        <v>7</v>
      </c>
      <c r="F151">
        <v>2007</v>
      </c>
      <c r="G151" t="s">
        <v>124</v>
      </c>
      <c r="J151" t="s">
        <v>125</v>
      </c>
      <c r="K151">
        <v>0</v>
      </c>
      <c r="L151">
        <v>3</v>
      </c>
      <c r="M151">
        <v>0</v>
      </c>
      <c r="N151">
        <v>2</v>
      </c>
      <c r="O151">
        <v>0</v>
      </c>
      <c r="P151">
        <v>1</v>
      </c>
      <c r="Q151">
        <v>0</v>
      </c>
      <c r="S151" t="str">
        <f t="shared" si="62"/>
        <v>19:26:03.273</v>
      </c>
      <c r="T151" t="str">
        <f t="shared" si="62"/>
        <v>19:26:03.273</v>
      </c>
      <c r="U151" t="str">
        <f t="shared" si="53"/>
        <v>AC3944</v>
      </c>
      <c r="V151">
        <v>0</v>
      </c>
      <c r="W151">
        <v>0</v>
      </c>
      <c r="X151">
        <v>2</v>
      </c>
      <c r="Y151">
        <v>0</v>
      </c>
      <c r="AA151">
        <v>0</v>
      </c>
      <c r="AB151">
        <v>8</v>
      </c>
      <c r="AC151">
        <v>3</v>
      </c>
      <c r="AD151">
        <v>0</v>
      </c>
      <c r="AE151">
        <v>9</v>
      </c>
      <c r="AF151" t="s">
        <v>138</v>
      </c>
      <c r="AG151">
        <v>0</v>
      </c>
      <c r="AH151">
        <v>3</v>
      </c>
      <c r="AI151">
        <v>1</v>
      </c>
      <c r="AJ151">
        <v>0</v>
      </c>
      <c r="AK151" t="s">
        <v>196</v>
      </c>
      <c r="AL151">
        <v>32.828865</v>
      </c>
      <c r="AM151" t="s">
        <v>197</v>
      </c>
      <c r="AN151">
        <v>-116.985254</v>
      </c>
      <c r="AO151">
        <v>25</v>
      </c>
      <c r="AP151">
        <v>1100</v>
      </c>
      <c r="AQ151" t="s">
        <v>129</v>
      </c>
      <c r="AR151">
        <v>-95</v>
      </c>
      <c r="AS151">
        <v>14</v>
      </c>
      <c r="AT151">
        <v>2240</v>
      </c>
      <c r="BB151">
        <v>1200</v>
      </c>
      <c r="BC151">
        <v>1</v>
      </c>
      <c r="BD151" t="str">
        <f t="shared" si="54"/>
        <v xml:space="preserve">N887QR  </v>
      </c>
      <c r="BE151">
        <v>1</v>
      </c>
      <c r="BG151">
        <v>0</v>
      </c>
      <c r="BH151">
        <v>0</v>
      </c>
      <c r="BI151">
        <v>0</v>
      </c>
      <c r="BJ151">
        <v>750</v>
      </c>
      <c r="BK151">
        <v>-350</v>
      </c>
      <c r="BL151" t="s">
        <v>163</v>
      </c>
      <c r="BM151">
        <v>1</v>
      </c>
      <c r="BN151">
        <v>1</v>
      </c>
      <c r="BO151">
        <v>1</v>
      </c>
      <c r="BP151">
        <v>0</v>
      </c>
      <c r="BS151">
        <v>0</v>
      </c>
      <c r="BT151">
        <v>0</v>
      </c>
      <c r="BU151">
        <v>0</v>
      </c>
      <c r="CE151" t="str">
        <f t="shared" si="63"/>
        <v>19:26:04.274</v>
      </c>
      <c r="CF151">
        <v>1274035388</v>
      </c>
      <c r="CS151">
        <v>3</v>
      </c>
      <c r="CT151">
        <v>2</v>
      </c>
      <c r="CU151">
        <v>0</v>
      </c>
      <c r="CV151">
        <v>2</v>
      </c>
      <c r="CW151">
        <v>0</v>
      </c>
      <c r="CX151">
        <v>4</v>
      </c>
      <c r="CY151">
        <v>7</v>
      </c>
      <c r="CZ151" t="s">
        <v>131</v>
      </c>
      <c r="DA151">
        <v>300</v>
      </c>
      <c r="DB151">
        <v>0</v>
      </c>
      <c r="DC151" t="s">
        <v>176</v>
      </c>
      <c r="DD151" t="s">
        <v>177</v>
      </c>
      <c r="DG151">
        <v>5355387</v>
      </c>
      <c r="DI151">
        <v>0</v>
      </c>
      <c r="DJ151">
        <v>0</v>
      </c>
      <c r="DK151">
        <v>1</v>
      </c>
      <c r="DL151">
        <v>0</v>
      </c>
      <c r="DM151">
        <v>0</v>
      </c>
      <c r="DN151">
        <v>1</v>
      </c>
      <c r="DO151">
        <v>0</v>
      </c>
      <c r="DP151">
        <v>0</v>
      </c>
      <c r="DQ151">
        <v>0</v>
      </c>
      <c r="DR151">
        <v>0</v>
      </c>
      <c r="DS151">
        <v>0</v>
      </c>
    </row>
    <row r="152" spans="1:123" x14ac:dyDescent="0.3">
      <c r="A152" t="str">
        <f t="shared" si="61"/>
        <v>10/04/2022 19:26:04.514</v>
      </c>
      <c r="C152" t="str">
        <f t="shared" si="52"/>
        <v>FFDFD3C0</v>
      </c>
      <c r="D152" t="s">
        <v>143</v>
      </c>
      <c r="E152">
        <v>20</v>
      </c>
      <c r="F152">
        <v>1020</v>
      </c>
      <c r="G152" t="s">
        <v>144</v>
      </c>
      <c r="J152" t="s">
        <v>145</v>
      </c>
      <c r="K152">
        <v>0</v>
      </c>
      <c r="L152">
        <v>3</v>
      </c>
      <c r="M152">
        <v>0</v>
      </c>
      <c r="N152">
        <v>2</v>
      </c>
      <c r="O152">
        <v>0</v>
      </c>
      <c r="P152">
        <v>1</v>
      </c>
      <c r="Q152">
        <v>0</v>
      </c>
      <c r="S152" t="str">
        <f t="shared" si="62"/>
        <v>19:26:03.273</v>
      </c>
      <c r="T152" t="str">
        <f t="shared" si="62"/>
        <v>19:26:03.273</v>
      </c>
      <c r="U152" t="str">
        <f t="shared" si="53"/>
        <v>AC3944</v>
      </c>
      <c r="V152">
        <v>0</v>
      </c>
      <c r="W152">
        <v>0</v>
      </c>
      <c r="X152">
        <v>2</v>
      </c>
      <c r="Y152">
        <v>0</v>
      </c>
      <c r="AA152">
        <v>0</v>
      </c>
      <c r="AB152">
        <v>8</v>
      </c>
      <c r="AC152">
        <v>3</v>
      </c>
      <c r="AD152">
        <v>0</v>
      </c>
      <c r="AE152">
        <v>9</v>
      </c>
      <c r="AF152" t="s">
        <v>138</v>
      </c>
      <c r="AG152">
        <v>0</v>
      </c>
      <c r="AH152">
        <v>3</v>
      </c>
      <c r="AI152">
        <v>1</v>
      </c>
      <c r="AJ152">
        <v>0</v>
      </c>
      <c r="AK152" t="s">
        <v>196</v>
      </c>
      <c r="AL152">
        <v>32.828865</v>
      </c>
      <c r="AM152" t="s">
        <v>197</v>
      </c>
      <c r="AN152">
        <v>-116.985254</v>
      </c>
      <c r="AO152">
        <v>25</v>
      </c>
      <c r="AP152">
        <v>1100</v>
      </c>
      <c r="AQ152" t="s">
        <v>129</v>
      </c>
      <c r="AR152">
        <v>-95</v>
      </c>
      <c r="AS152">
        <v>14</v>
      </c>
      <c r="AT152">
        <v>2240</v>
      </c>
      <c r="BB152">
        <v>1200</v>
      </c>
      <c r="BC152">
        <v>1</v>
      </c>
      <c r="BD152" t="str">
        <f t="shared" si="54"/>
        <v xml:space="preserve">N887QR  </v>
      </c>
      <c r="BE152">
        <v>1</v>
      </c>
      <c r="BG152">
        <v>0</v>
      </c>
      <c r="BH152">
        <v>0</v>
      </c>
      <c r="BI152">
        <v>0</v>
      </c>
      <c r="BJ152">
        <v>750</v>
      </c>
      <c r="BK152">
        <v>-350</v>
      </c>
      <c r="BL152" t="s">
        <v>163</v>
      </c>
      <c r="BM152">
        <v>1</v>
      </c>
      <c r="BN152">
        <v>1</v>
      </c>
      <c r="BO152">
        <v>1</v>
      </c>
      <c r="BP152">
        <v>0</v>
      </c>
      <c r="BS152">
        <v>0</v>
      </c>
      <c r="BT152">
        <v>0</v>
      </c>
      <c r="BU152">
        <v>0</v>
      </c>
      <c r="CE152" t="str">
        <f t="shared" si="63"/>
        <v>19:26:04.274</v>
      </c>
      <c r="CF152">
        <v>1274035388</v>
      </c>
      <c r="CS152">
        <v>3</v>
      </c>
      <c r="CT152">
        <v>2</v>
      </c>
      <c r="CU152">
        <v>0</v>
      </c>
      <c r="CV152">
        <v>2</v>
      </c>
      <c r="CW152">
        <v>0</v>
      </c>
      <c r="CX152">
        <v>4</v>
      </c>
      <c r="CY152">
        <v>7</v>
      </c>
      <c r="CZ152" t="s">
        <v>131</v>
      </c>
      <c r="DA152">
        <v>300</v>
      </c>
      <c r="DB152">
        <v>0</v>
      </c>
      <c r="DC152" t="s">
        <v>176</v>
      </c>
      <c r="DD152" t="s">
        <v>177</v>
      </c>
      <c r="DG152">
        <v>5355387</v>
      </c>
      <c r="DI152">
        <v>0</v>
      </c>
      <c r="DJ152">
        <v>0</v>
      </c>
      <c r="DK152">
        <v>1</v>
      </c>
      <c r="DL152">
        <v>0</v>
      </c>
      <c r="DM152">
        <v>0</v>
      </c>
      <c r="DN152">
        <v>1</v>
      </c>
      <c r="DO152">
        <v>0</v>
      </c>
      <c r="DP152">
        <v>0</v>
      </c>
      <c r="DQ152">
        <v>0</v>
      </c>
      <c r="DR152">
        <v>0</v>
      </c>
      <c r="DS152">
        <v>0</v>
      </c>
    </row>
    <row r="153" spans="1:123" x14ac:dyDescent="0.3">
      <c r="A153" t="str">
        <f>"10/04/2022 19:26:05.437"</f>
        <v>10/04/2022 19:26:05.437</v>
      </c>
      <c r="C153" t="str">
        <f t="shared" si="52"/>
        <v>FFDFD3C0</v>
      </c>
      <c r="D153" t="s">
        <v>134</v>
      </c>
      <c r="E153">
        <v>15</v>
      </c>
      <c r="J153" t="s">
        <v>135</v>
      </c>
      <c r="K153">
        <v>0</v>
      </c>
      <c r="L153">
        <v>3</v>
      </c>
      <c r="M153">
        <v>0</v>
      </c>
      <c r="N153">
        <v>2</v>
      </c>
      <c r="O153">
        <v>0</v>
      </c>
      <c r="P153">
        <v>1</v>
      </c>
      <c r="Q153">
        <v>0</v>
      </c>
      <c r="S153" t="str">
        <f t="shared" ref="S153:T159" si="64">"19:26:04.203"</f>
        <v>19:26:04.203</v>
      </c>
      <c r="T153" t="str">
        <f t="shared" si="64"/>
        <v>19:26:04.203</v>
      </c>
      <c r="U153" t="str">
        <f t="shared" si="53"/>
        <v>AC3944</v>
      </c>
      <c r="V153">
        <v>0</v>
      </c>
      <c r="W153">
        <v>0</v>
      </c>
      <c r="X153">
        <v>2</v>
      </c>
      <c r="Y153">
        <v>0</v>
      </c>
      <c r="AA153">
        <v>0</v>
      </c>
      <c r="AB153">
        <v>8</v>
      </c>
      <c r="AC153">
        <v>3</v>
      </c>
      <c r="AD153">
        <v>0</v>
      </c>
      <c r="AE153">
        <v>9</v>
      </c>
      <c r="AF153" t="s">
        <v>138</v>
      </c>
      <c r="AG153">
        <v>0</v>
      </c>
      <c r="AH153">
        <v>3</v>
      </c>
      <c r="AI153">
        <v>1</v>
      </c>
      <c r="AJ153">
        <v>0</v>
      </c>
      <c r="AK153" t="s">
        <v>198</v>
      </c>
      <c r="AL153">
        <v>32.828951000000004</v>
      </c>
      <c r="AM153" t="s">
        <v>199</v>
      </c>
      <c r="AN153">
        <v>-116.985769</v>
      </c>
      <c r="AO153">
        <v>25</v>
      </c>
      <c r="AP153">
        <v>1100</v>
      </c>
      <c r="AQ153" t="s">
        <v>129</v>
      </c>
      <c r="AR153">
        <v>-96</v>
      </c>
      <c r="AS153">
        <v>12</v>
      </c>
      <c r="AT153">
        <v>2240</v>
      </c>
      <c r="BB153">
        <v>1200</v>
      </c>
      <c r="BC153">
        <v>1</v>
      </c>
      <c r="BD153" t="str">
        <f t="shared" si="54"/>
        <v xml:space="preserve">N887QR  </v>
      </c>
      <c r="BE153">
        <v>1</v>
      </c>
      <c r="BG153">
        <v>0</v>
      </c>
      <c r="BH153">
        <v>0</v>
      </c>
      <c r="BI153">
        <v>0</v>
      </c>
      <c r="BJ153">
        <v>750</v>
      </c>
      <c r="BK153">
        <v>-350</v>
      </c>
      <c r="BL153" t="s">
        <v>163</v>
      </c>
      <c r="BM153">
        <v>1</v>
      </c>
      <c r="BN153">
        <v>1</v>
      </c>
      <c r="BO153">
        <v>1</v>
      </c>
      <c r="BP153">
        <v>0</v>
      </c>
      <c r="BS153">
        <v>0</v>
      </c>
      <c r="BT153">
        <v>0</v>
      </c>
      <c r="BU153">
        <v>0</v>
      </c>
      <c r="CE153" t="str">
        <f t="shared" ref="CE153:CE159" si="65">"19:26:05.207"</f>
        <v>19:26:05.207</v>
      </c>
      <c r="CF153">
        <v>1207038306</v>
      </c>
      <c r="CS153">
        <v>3</v>
      </c>
      <c r="CT153">
        <v>2</v>
      </c>
      <c r="CU153">
        <v>0</v>
      </c>
      <c r="CV153">
        <v>2</v>
      </c>
      <c r="CW153">
        <v>0</v>
      </c>
      <c r="CX153">
        <v>5</v>
      </c>
      <c r="CY153">
        <v>7</v>
      </c>
      <c r="CZ153" t="s">
        <v>131</v>
      </c>
      <c r="DA153">
        <v>300</v>
      </c>
      <c r="DB153">
        <v>0</v>
      </c>
      <c r="DC153" t="s">
        <v>176</v>
      </c>
      <c r="DD153" t="s">
        <v>177</v>
      </c>
      <c r="DG153">
        <v>5355519</v>
      </c>
      <c r="DI153">
        <v>0</v>
      </c>
      <c r="DJ153">
        <v>0</v>
      </c>
      <c r="DK153">
        <v>0</v>
      </c>
      <c r="DL153">
        <v>0</v>
      </c>
      <c r="DM153">
        <v>0</v>
      </c>
      <c r="DN153">
        <v>1</v>
      </c>
      <c r="DO153">
        <v>0</v>
      </c>
      <c r="DP153">
        <v>0</v>
      </c>
      <c r="DQ153">
        <v>0</v>
      </c>
      <c r="DR153">
        <v>0</v>
      </c>
      <c r="DS153">
        <v>0</v>
      </c>
    </row>
    <row r="154" spans="1:123" x14ac:dyDescent="0.3">
      <c r="A154" t="str">
        <f>"10/04/2022 19:26:05.437"</f>
        <v>10/04/2022 19:26:05.437</v>
      </c>
      <c r="C154" t="str">
        <f t="shared" si="52"/>
        <v>FFDFD3C0</v>
      </c>
      <c r="D154" t="s">
        <v>141</v>
      </c>
      <c r="E154">
        <v>3</v>
      </c>
      <c r="H154">
        <v>3</v>
      </c>
      <c r="I154" t="s">
        <v>146</v>
      </c>
      <c r="J154" t="s">
        <v>138</v>
      </c>
      <c r="K154">
        <v>0</v>
      </c>
      <c r="L154">
        <v>3</v>
      </c>
      <c r="M154">
        <v>0</v>
      </c>
      <c r="N154">
        <v>2</v>
      </c>
      <c r="O154">
        <v>0</v>
      </c>
      <c r="P154">
        <v>1</v>
      </c>
      <c r="Q154">
        <v>0</v>
      </c>
      <c r="S154" t="str">
        <f t="shared" si="64"/>
        <v>19:26:04.203</v>
      </c>
      <c r="T154" t="str">
        <f t="shared" si="64"/>
        <v>19:26:04.203</v>
      </c>
      <c r="U154" t="str">
        <f t="shared" si="53"/>
        <v>AC3944</v>
      </c>
      <c r="V154">
        <v>0</v>
      </c>
      <c r="W154">
        <v>0</v>
      </c>
      <c r="X154">
        <v>2</v>
      </c>
      <c r="Y154">
        <v>0</v>
      </c>
      <c r="AA154">
        <v>0</v>
      </c>
      <c r="AB154">
        <v>8</v>
      </c>
      <c r="AC154">
        <v>3</v>
      </c>
      <c r="AD154">
        <v>0</v>
      </c>
      <c r="AE154">
        <v>9</v>
      </c>
      <c r="AF154" t="s">
        <v>138</v>
      </c>
      <c r="AG154">
        <v>0</v>
      </c>
      <c r="AH154">
        <v>3</v>
      </c>
      <c r="AI154">
        <v>1</v>
      </c>
      <c r="AJ154">
        <v>0</v>
      </c>
      <c r="AK154" t="s">
        <v>198</v>
      </c>
      <c r="AL154">
        <v>32.828951000000004</v>
      </c>
      <c r="AM154" t="s">
        <v>199</v>
      </c>
      <c r="AN154">
        <v>-116.985769</v>
      </c>
      <c r="AO154">
        <v>25</v>
      </c>
      <c r="AP154">
        <v>1100</v>
      </c>
      <c r="AQ154" t="s">
        <v>129</v>
      </c>
      <c r="AR154">
        <v>-96</v>
      </c>
      <c r="AS154">
        <v>12</v>
      </c>
      <c r="AT154">
        <v>2240</v>
      </c>
      <c r="BB154">
        <v>1200</v>
      </c>
      <c r="BC154">
        <v>1</v>
      </c>
      <c r="BD154" t="str">
        <f t="shared" si="54"/>
        <v xml:space="preserve">N887QR  </v>
      </c>
      <c r="BE154">
        <v>1</v>
      </c>
      <c r="BG154">
        <v>0</v>
      </c>
      <c r="BH154">
        <v>0</v>
      </c>
      <c r="BI154">
        <v>0</v>
      </c>
      <c r="BJ154">
        <v>750</v>
      </c>
      <c r="BK154">
        <v>-350</v>
      </c>
      <c r="BL154" t="s">
        <v>163</v>
      </c>
      <c r="BM154">
        <v>1</v>
      </c>
      <c r="BN154">
        <v>1</v>
      </c>
      <c r="BO154">
        <v>1</v>
      </c>
      <c r="BP154">
        <v>0</v>
      </c>
      <c r="BS154">
        <v>0</v>
      </c>
      <c r="BT154">
        <v>0</v>
      </c>
      <c r="BU154">
        <v>0</v>
      </c>
      <c r="CE154" t="str">
        <f t="shared" si="65"/>
        <v>19:26:05.207</v>
      </c>
      <c r="CF154">
        <v>1207038306</v>
      </c>
      <c r="CS154">
        <v>3</v>
      </c>
      <c r="CT154">
        <v>2</v>
      </c>
      <c r="CU154">
        <v>0</v>
      </c>
      <c r="CV154">
        <v>2</v>
      </c>
      <c r="CW154">
        <v>0</v>
      </c>
      <c r="CX154">
        <v>5</v>
      </c>
      <c r="CY154">
        <v>7</v>
      </c>
      <c r="CZ154" t="s">
        <v>131</v>
      </c>
      <c r="DA154">
        <v>300</v>
      </c>
      <c r="DB154">
        <v>0</v>
      </c>
      <c r="DC154" t="s">
        <v>176</v>
      </c>
      <c r="DD154" t="s">
        <v>177</v>
      </c>
      <c r="DG154">
        <v>5355519</v>
      </c>
      <c r="DI154">
        <v>0</v>
      </c>
      <c r="DJ154">
        <v>0</v>
      </c>
      <c r="DK154">
        <v>1</v>
      </c>
      <c r="DL154">
        <v>0</v>
      </c>
      <c r="DM154">
        <v>0</v>
      </c>
      <c r="DN154">
        <v>1</v>
      </c>
      <c r="DO154">
        <v>0</v>
      </c>
      <c r="DP154">
        <v>0</v>
      </c>
      <c r="DQ154">
        <v>0</v>
      </c>
      <c r="DR154">
        <v>0</v>
      </c>
      <c r="DS154">
        <v>0</v>
      </c>
    </row>
    <row r="155" spans="1:123" x14ac:dyDescent="0.3">
      <c r="A155" t="str">
        <f>"10/04/2022 19:26:05.437"</f>
        <v>10/04/2022 19:26:05.437</v>
      </c>
      <c r="C155" t="str">
        <f t="shared" si="52"/>
        <v>FFDFD3C0</v>
      </c>
      <c r="D155" t="s">
        <v>141</v>
      </c>
      <c r="E155">
        <v>4</v>
      </c>
      <c r="H155">
        <v>4</v>
      </c>
      <c r="I155" t="s">
        <v>142</v>
      </c>
      <c r="J155" t="s">
        <v>138</v>
      </c>
      <c r="K155">
        <v>0</v>
      </c>
      <c r="L155">
        <v>3</v>
      </c>
      <c r="M155">
        <v>0</v>
      </c>
      <c r="N155">
        <v>2</v>
      </c>
      <c r="O155">
        <v>0</v>
      </c>
      <c r="P155">
        <v>1</v>
      </c>
      <c r="Q155">
        <v>0</v>
      </c>
      <c r="S155" t="str">
        <f t="shared" si="64"/>
        <v>19:26:04.203</v>
      </c>
      <c r="T155" t="str">
        <f t="shared" si="64"/>
        <v>19:26:04.203</v>
      </c>
      <c r="U155" t="str">
        <f t="shared" si="53"/>
        <v>AC3944</v>
      </c>
      <c r="V155">
        <v>0</v>
      </c>
      <c r="W155">
        <v>0</v>
      </c>
      <c r="X155">
        <v>2</v>
      </c>
      <c r="Y155">
        <v>0</v>
      </c>
      <c r="AA155">
        <v>0</v>
      </c>
      <c r="AB155">
        <v>8</v>
      </c>
      <c r="AC155">
        <v>3</v>
      </c>
      <c r="AD155">
        <v>0</v>
      </c>
      <c r="AE155">
        <v>9</v>
      </c>
      <c r="AF155" t="s">
        <v>138</v>
      </c>
      <c r="AG155">
        <v>0</v>
      </c>
      <c r="AH155">
        <v>3</v>
      </c>
      <c r="AI155">
        <v>1</v>
      </c>
      <c r="AJ155">
        <v>0</v>
      </c>
      <c r="AK155" t="s">
        <v>198</v>
      </c>
      <c r="AL155">
        <v>32.828951000000004</v>
      </c>
      <c r="AM155" t="s">
        <v>199</v>
      </c>
      <c r="AN155">
        <v>-116.985769</v>
      </c>
      <c r="AO155">
        <v>25</v>
      </c>
      <c r="AP155">
        <v>1100</v>
      </c>
      <c r="AQ155" t="s">
        <v>129</v>
      </c>
      <c r="AR155">
        <v>-96</v>
      </c>
      <c r="AS155">
        <v>12</v>
      </c>
      <c r="AT155">
        <v>2240</v>
      </c>
      <c r="BB155">
        <v>1200</v>
      </c>
      <c r="BC155">
        <v>1</v>
      </c>
      <c r="BD155" t="str">
        <f t="shared" si="54"/>
        <v xml:space="preserve">N887QR  </v>
      </c>
      <c r="BE155">
        <v>1</v>
      </c>
      <c r="BG155">
        <v>0</v>
      </c>
      <c r="BH155">
        <v>0</v>
      </c>
      <c r="BI155">
        <v>0</v>
      </c>
      <c r="BJ155">
        <v>750</v>
      </c>
      <c r="BK155">
        <v>-350</v>
      </c>
      <c r="BL155" t="s">
        <v>163</v>
      </c>
      <c r="BM155">
        <v>1</v>
      </c>
      <c r="BN155">
        <v>1</v>
      </c>
      <c r="BO155">
        <v>1</v>
      </c>
      <c r="BP155">
        <v>0</v>
      </c>
      <c r="BS155">
        <v>0</v>
      </c>
      <c r="BT155">
        <v>0</v>
      </c>
      <c r="BU155">
        <v>0</v>
      </c>
      <c r="CE155" t="str">
        <f t="shared" si="65"/>
        <v>19:26:05.207</v>
      </c>
      <c r="CF155">
        <v>1207038306</v>
      </c>
      <c r="CS155">
        <v>3</v>
      </c>
      <c r="CT155">
        <v>2</v>
      </c>
      <c r="CU155">
        <v>0</v>
      </c>
      <c r="CV155">
        <v>2</v>
      </c>
      <c r="CW155">
        <v>0</v>
      </c>
      <c r="CX155">
        <v>5</v>
      </c>
      <c r="CY155">
        <v>7</v>
      </c>
      <c r="CZ155" t="s">
        <v>131</v>
      </c>
      <c r="DA155">
        <v>300</v>
      </c>
      <c r="DB155">
        <v>0</v>
      </c>
      <c r="DC155" t="s">
        <v>176</v>
      </c>
      <c r="DD155" t="s">
        <v>177</v>
      </c>
      <c r="DG155">
        <v>5355519</v>
      </c>
      <c r="DI155">
        <v>0</v>
      </c>
      <c r="DJ155">
        <v>0</v>
      </c>
      <c r="DK155">
        <v>1</v>
      </c>
      <c r="DL155">
        <v>0</v>
      </c>
      <c r="DM155">
        <v>0</v>
      </c>
      <c r="DN155">
        <v>1</v>
      </c>
      <c r="DO155">
        <v>0</v>
      </c>
      <c r="DP155">
        <v>0</v>
      </c>
      <c r="DQ155">
        <v>0</v>
      </c>
      <c r="DR155">
        <v>0</v>
      </c>
      <c r="DS155">
        <v>0</v>
      </c>
    </row>
    <row r="156" spans="1:123" x14ac:dyDescent="0.3">
      <c r="A156" t="str">
        <f>"10/04/2022 19:26:05.437"</f>
        <v>10/04/2022 19:26:05.437</v>
      </c>
      <c r="C156" t="str">
        <f t="shared" si="52"/>
        <v>FFDFD3C0</v>
      </c>
      <c r="D156" t="s">
        <v>123</v>
      </c>
      <c r="E156">
        <v>7</v>
      </c>
      <c r="F156">
        <v>2007</v>
      </c>
      <c r="G156" t="s">
        <v>124</v>
      </c>
      <c r="J156" t="s">
        <v>125</v>
      </c>
      <c r="K156">
        <v>0</v>
      </c>
      <c r="L156">
        <v>3</v>
      </c>
      <c r="M156">
        <v>0</v>
      </c>
      <c r="N156">
        <v>2</v>
      </c>
      <c r="O156">
        <v>0</v>
      </c>
      <c r="P156">
        <v>1</v>
      </c>
      <c r="Q156">
        <v>0</v>
      </c>
      <c r="S156" t="str">
        <f t="shared" si="64"/>
        <v>19:26:04.203</v>
      </c>
      <c r="T156" t="str">
        <f t="shared" si="64"/>
        <v>19:26:04.203</v>
      </c>
      <c r="U156" t="str">
        <f t="shared" si="53"/>
        <v>AC3944</v>
      </c>
      <c r="V156">
        <v>0</v>
      </c>
      <c r="W156">
        <v>0</v>
      </c>
      <c r="X156">
        <v>2</v>
      </c>
      <c r="Y156">
        <v>0</v>
      </c>
      <c r="AA156">
        <v>0</v>
      </c>
      <c r="AB156">
        <v>8</v>
      </c>
      <c r="AC156">
        <v>3</v>
      </c>
      <c r="AD156">
        <v>0</v>
      </c>
      <c r="AE156">
        <v>9</v>
      </c>
      <c r="AF156" t="s">
        <v>138</v>
      </c>
      <c r="AG156">
        <v>0</v>
      </c>
      <c r="AH156">
        <v>3</v>
      </c>
      <c r="AI156">
        <v>1</v>
      </c>
      <c r="AJ156">
        <v>0</v>
      </c>
      <c r="AK156" t="s">
        <v>198</v>
      </c>
      <c r="AL156">
        <v>32.828951000000004</v>
      </c>
      <c r="AM156" t="s">
        <v>199</v>
      </c>
      <c r="AN156">
        <v>-116.985769</v>
      </c>
      <c r="AO156">
        <v>25</v>
      </c>
      <c r="AP156">
        <v>1100</v>
      </c>
      <c r="AQ156" t="s">
        <v>129</v>
      </c>
      <c r="AR156">
        <v>-96</v>
      </c>
      <c r="AS156">
        <v>12</v>
      </c>
      <c r="AT156">
        <v>2240</v>
      </c>
      <c r="BB156">
        <v>1200</v>
      </c>
      <c r="BC156">
        <v>1</v>
      </c>
      <c r="BD156" t="str">
        <f t="shared" si="54"/>
        <v xml:space="preserve">N887QR  </v>
      </c>
      <c r="BE156">
        <v>1</v>
      </c>
      <c r="BG156">
        <v>0</v>
      </c>
      <c r="BH156">
        <v>0</v>
      </c>
      <c r="BI156">
        <v>0</v>
      </c>
      <c r="BJ156">
        <v>750</v>
      </c>
      <c r="BK156">
        <v>-350</v>
      </c>
      <c r="BL156" t="s">
        <v>163</v>
      </c>
      <c r="BM156">
        <v>1</v>
      </c>
      <c r="BN156">
        <v>1</v>
      </c>
      <c r="BO156">
        <v>1</v>
      </c>
      <c r="BP156">
        <v>0</v>
      </c>
      <c r="BS156">
        <v>0</v>
      </c>
      <c r="BT156">
        <v>0</v>
      </c>
      <c r="BU156">
        <v>0</v>
      </c>
      <c r="CE156" t="str">
        <f t="shared" si="65"/>
        <v>19:26:05.207</v>
      </c>
      <c r="CF156">
        <v>1207038306</v>
      </c>
      <c r="CS156">
        <v>3</v>
      </c>
      <c r="CT156">
        <v>2</v>
      </c>
      <c r="CU156">
        <v>0</v>
      </c>
      <c r="CV156">
        <v>2</v>
      </c>
      <c r="CW156">
        <v>0</v>
      </c>
      <c r="CX156">
        <v>5</v>
      </c>
      <c r="CY156">
        <v>7</v>
      </c>
      <c r="CZ156" t="s">
        <v>131</v>
      </c>
      <c r="DA156">
        <v>300</v>
      </c>
      <c r="DB156">
        <v>0</v>
      </c>
      <c r="DC156" t="s">
        <v>176</v>
      </c>
      <c r="DD156" t="s">
        <v>177</v>
      </c>
      <c r="DG156">
        <v>5355519</v>
      </c>
      <c r="DI156">
        <v>0</v>
      </c>
      <c r="DJ156">
        <v>0</v>
      </c>
      <c r="DK156">
        <v>1</v>
      </c>
      <c r="DL156">
        <v>0</v>
      </c>
      <c r="DM156">
        <v>0</v>
      </c>
      <c r="DN156">
        <v>1</v>
      </c>
      <c r="DO156">
        <v>0</v>
      </c>
      <c r="DP156">
        <v>0</v>
      </c>
      <c r="DQ156">
        <v>0</v>
      </c>
      <c r="DR156">
        <v>0</v>
      </c>
      <c r="DS156">
        <v>0</v>
      </c>
    </row>
    <row r="157" spans="1:123" x14ac:dyDescent="0.3">
      <c r="A157" t="str">
        <f>"10/04/2022 19:26:05.437"</f>
        <v>10/04/2022 19:26:05.437</v>
      </c>
      <c r="C157" t="str">
        <f t="shared" si="52"/>
        <v>FFDFD3C0</v>
      </c>
      <c r="D157" t="s">
        <v>136</v>
      </c>
      <c r="E157">
        <v>8</v>
      </c>
      <c r="H157">
        <v>225</v>
      </c>
      <c r="I157" t="s">
        <v>137</v>
      </c>
      <c r="J157" t="s">
        <v>138</v>
      </c>
      <c r="K157">
        <v>0</v>
      </c>
      <c r="L157">
        <v>3</v>
      </c>
      <c r="M157">
        <v>0</v>
      </c>
      <c r="N157">
        <v>2</v>
      </c>
      <c r="O157">
        <v>0</v>
      </c>
      <c r="P157">
        <v>1</v>
      </c>
      <c r="Q157">
        <v>0</v>
      </c>
      <c r="S157" t="str">
        <f t="shared" si="64"/>
        <v>19:26:04.203</v>
      </c>
      <c r="T157" t="str">
        <f t="shared" si="64"/>
        <v>19:26:04.203</v>
      </c>
      <c r="U157" t="str">
        <f t="shared" si="53"/>
        <v>AC3944</v>
      </c>
      <c r="V157">
        <v>0</v>
      </c>
      <c r="W157">
        <v>0</v>
      </c>
      <c r="X157">
        <v>2</v>
      </c>
      <c r="Y157">
        <v>0</v>
      </c>
      <c r="AA157">
        <v>0</v>
      </c>
      <c r="AB157">
        <v>8</v>
      </c>
      <c r="AC157">
        <v>3</v>
      </c>
      <c r="AD157">
        <v>0</v>
      </c>
      <c r="AE157">
        <v>9</v>
      </c>
      <c r="AF157" t="s">
        <v>138</v>
      </c>
      <c r="AG157">
        <v>0</v>
      </c>
      <c r="AH157">
        <v>3</v>
      </c>
      <c r="AI157">
        <v>1</v>
      </c>
      <c r="AJ157">
        <v>0</v>
      </c>
      <c r="AK157" t="s">
        <v>198</v>
      </c>
      <c r="AL157">
        <v>32.828951000000004</v>
      </c>
      <c r="AM157" t="s">
        <v>199</v>
      </c>
      <c r="AN157">
        <v>-116.985769</v>
      </c>
      <c r="AO157">
        <v>25</v>
      </c>
      <c r="AP157">
        <v>1100</v>
      </c>
      <c r="AQ157" t="s">
        <v>129</v>
      </c>
      <c r="AR157">
        <v>-96</v>
      </c>
      <c r="AS157">
        <v>12</v>
      </c>
      <c r="AT157">
        <v>2240</v>
      </c>
      <c r="BB157">
        <v>1200</v>
      </c>
      <c r="BC157">
        <v>1</v>
      </c>
      <c r="BD157" t="str">
        <f t="shared" si="54"/>
        <v xml:space="preserve">N887QR  </v>
      </c>
      <c r="BE157">
        <v>1</v>
      </c>
      <c r="BG157">
        <v>0</v>
      </c>
      <c r="BH157">
        <v>0</v>
      </c>
      <c r="BI157">
        <v>0</v>
      </c>
      <c r="BJ157">
        <v>750</v>
      </c>
      <c r="BK157">
        <v>-350</v>
      </c>
      <c r="BL157" t="s">
        <v>163</v>
      </c>
      <c r="BM157">
        <v>1</v>
      </c>
      <c r="BN157">
        <v>1</v>
      </c>
      <c r="BO157">
        <v>1</v>
      </c>
      <c r="BP157">
        <v>0</v>
      </c>
      <c r="BS157">
        <v>0</v>
      </c>
      <c r="BT157">
        <v>0</v>
      </c>
      <c r="BU157">
        <v>0</v>
      </c>
      <c r="CE157" t="str">
        <f t="shared" si="65"/>
        <v>19:26:05.207</v>
      </c>
      <c r="CF157">
        <v>1207038306</v>
      </c>
      <c r="CS157">
        <v>3</v>
      </c>
      <c r="CT157">
        <v>2</v>
      </c>
      <c r="CU157">
        <v>0</v>
      </c>
      <c r="CV157">
        <v>2</v>
      </c>
      <c r="CW157">
        <v>0</v>
      </c>
      <c r="CX157">
        <v>5</v>
      </c>
      <c r="CY157">
        <v>7</v>
      </c>
      <c r="CZ157" t="s">
        <v>131</v>
      </c>
      <c r="DA157">
        <v>300</v>
      </c>
      <c r="DB157">
        <v>0</v>
      </c>
      <c r="DC157" t="s">
        <v>176</v>
      </c>
      <c r="DD157" t="s">
        <v>177</v>
      </c>
      <c r="DG157">
        <v>5355519</v>
      </c>
      <c r="DI157">
        <v>0</v>
      </c>
      <c r="DJ157">
        <v>0</v>
      </c>
      <c r="DK157">
        <v>0</v>
      </c>
      <c r="DL157">
        <v>0</v>
      </c>
      <c r="DM157">
        <v>0</v>
      </c>
      <c r="DN157">
        <v>1</v>
      </c>
      <c r="DO157">
        <v>0</v>
      </c>
      <c r="DP157">
        <v>0</v>
      </c>
      <c r="DQ157">
        <v>0</v>
      </c>
      <c r="DR157">
        <v>0</v>
      </c>
      <c r="DS157">
        <v>0</v>
      </c>
    </row>
    <row r="158" spans="1:123" x14ac:dyDescent="0.3">
      <c r="A158" t="str">
        <f>"10/04/2022 19:26:05.531"</f>
        <v>10/04/2022 19:26:05.531</v>
      </c>
      <c r="C158" t="str">
        <f t="shared" si="52"/>
        <v>FFDFD3C0</v>
      </c>
      <c r="D158" t="s">
        <v>143</v>
      </c>
      <c r="E158">
        <v>20</v>
      </c>
      <c r="F158">
        <v>1020</v>
      </c>
      <c r="G158" t="s">
        <v>144</v>
      </c>
      <c r="J158" t="s">
        <v>145</v>
      </c>
      <c r="K158">
        <v>0</v>
      </c>
      <c r="L158">
        <v>3</v>
      </c>
      <c r="M158">
        <v>0</v>
      </c>
      <c r="N158">
        <v>2</v>
      </c>
      <c r="O158">
        <v>0</v>
      </c>
      <c r="P158">
        <v>1</v>
      </c>
      <c r="Q158">
        <v>0</v>
      </c>
      <c r="S158" t="str">
        <f t="shared" si="64"/>
        <v>19:26:04.203</v>
      </c>
      <c r="T158" t="str">
        <f t="shared" si="64"/>
        <v>19:26:04.203</v>
      </c>
      <c r="U158" t="str">
        <f t="shared" si="53"/>
        <v>AC3944</v>
      </c>
      <c r="V158">
        <v>0</v>
      </c>
      <c r="W158">
        <v>0</v>
      </c>
      <c r="X158">
        <v>2</v>
      </c>
      <c r="Y158">
        <v>0</v>
      </c>
      <c r="AA158">
        <v>0</v>
      </c>
      <c r="AB158">
        <v>8</v>
      </c>
      <c r="AC158">
        <v>3</v>
      </c>
      <c r="AD158">
        <v>0</v>
      </c>
      <c r="AE158">
        <v>9</v>
      </c>
      <c r="AF158" t="s">
        <v>138</v>
      </c>
      <c r="AG158">
        <v>0</v>
      </c>
      <c r="AH158">
        <v>3</v>
      </c>
      <c r="AI158">
        <v>1</v>
      </c>
      <c r="AJ158">
        <v>0</v>
      </c>
      <c r="AK158" t="s">
        <v>198</v>
      </c>
      <c r="AL158">
        <v>32.828951000000004</v>
      </c>
      <c r="AM158" t="s">
        <v>199</v>
      </c>
      <c r="AN158">
        <v>-116.985769</v>
      </c>
      <c r="AO158">
        <v>25</v>
      </c>
      <c r="AP158">
        <v>1100</v>
      </c>
      <c r="AQ158" t="s">
        <v>129</v>
      </c>
      <c r="AR158">
        <v>-96</v>
      </c>
      <c r="AS158">
        <v>12</v>
      </c>
      <c r="AT158">
        <v>2240</v>
      </c>
      <c r="BB158">
        <v>1200</v>
      </c>
      <c r="BC158">
        <v>1</v>
      </c>
      <c r="BD158" t="str">
        <f t="shared" si="54"/>
        <v xml:space="preserve">N887QR  </v>
      </c>
      <c r="BE158">
        <v>1</v>
      </c>
      <c r="BG158">
        <v>0</v>
      </c>
      <c r="BH158">
        <v>0</v>
      </c>
      <c r="BI158">
        <v>0</v>
      </c>
      <c r="BJ158">
        <v>750</v>
      </c>
      <c r="BK158">
        <v>-350</v>
      </c>
      <c r="BL158" t="s">
        <v>163</v>
      </c>
      <c r="BM158">
        <v>1</v>
      </c>
      <c r="BN158">
        <v>1</v>
      </c>
      <c r="BO158">
        <v>1</v>
      </c>
      <c r="BP158">
        <v>0</v>
      </c>
      <c r="BS158">
        <v>0</v>
      </c>
      <c r="BT158">
        <v>0</v>
      </c>
      <c r="BU158">
        <v>0</v>
      </c>
      <c r="CE158" t="str">
        <f t="shared" si="65"/>
        <v>19:26:05.207</v>
      </c>
      <c r="CF158">
        <v>1207038306</v>
      </c>
      <c r="CS158">
        <v>3</v>
      </c>
      <c r="CT158">
        <v>2</v>
      </c>
      <c r="CU158">
        <v>0</v>
      </c>
      <c r="CV158">
        <v>2</v>
      </c>
      <c r="CW158">
        <v>0</v>
      </c>
      <c r="CX158">
        <v>5</v>
      </c>
      <c r="CY158">
        <v>7</v>
      </c>
      <c r="CZ158" t="s">
        <v>131</v>
      </c>
      <c r="DA158">
        <v>300</v>
      </c>
      <c r="DB158">
        <v>0</v>
      </c>
      <c r="DC158" t="s">
        <v>176</v>
      </c>
      <c r="DD158" t="s">
        <v>177</v>
      </c>
      <c r="DG158">
        <v>5355519</v>
      </c>
      <c r="DI158">
        <v>0</v>
      </c>
      <c r="DJ158">
        <v>0</v>
      </c>
      <c r="DK158">
        <v>1</v>
      </c>
      <c r="DL158">
        <v>0</v>
      </c>
      <c r="DM158">
        <v>0</v>
      </c>
      <c r="DN158">
        <v>1</v>
      </c>
      <c r="DO158">
        <v>0</v>
      </c>
      <c r="DP158">
        <v>0</v>
      </c>
      <c r="DQ158">
        <v>0</v>
      </c>
      <c r="DR158">
        <v>0</v>
      </c>
      <c r="DS158">
        <v>0</v>
      </c>
    </row>
    <row r="159" spans="1:123" x14ac:dyDescent="0.3">
      <c r="A159" t="str">
        <f>"10/04/2022 19:26:05.531"</f>
        <v>10/04/2022 19:26:05.531</v>
      </c>
      <c r="C159" t="str">
        <f t="shared" si="52"/>
        <v>FFDFD3C0</v>
      </c>
      <c r="D159" t="s">
        <v>147</v>
      </c>
      <c r="E159">
        <v>3</v>
      </c>
      <c r="H159">
        <v>166</v>
      </c>
      <c r="I159" t="s">
        <v>144</v>
      </c>
      <c r="J159" t="s">
        <v>148</v>
      </c>
      <c r="K159">
        <v>0</v>
      </c>
      <c r="L159">
        <v>3</v>
      </c>
      <c r="M159">
        <v>0</v>
      </c>
      <c r="N159">
        <v>2</v>
      </c>
      <c r="O159">
        <v>0</v>
      </c>
      <c r="P159">
        <v>1</v>
      </c>
      <c r="Q159">
        <v>0</v>
      </c>
      <c r="S159" t="str">
        <f t="shared" si="64"/>
        <v>19:26:04.203</v>
      </c>
      <c r="T159" t="str">
        <f t="shared" si="64"/>
        <v>19:26:04.203</v>
      </c>
      <c r="U159" t="str">
        <f t="shared" si="53"/>
        <v>AC3944</v>
      </c>
      <c r="V159">
        <v>0</v>
      </c>
      <c r="W159">
        <v>0</v>
      </c>
      <c r="X159">
        <v>2</v>
      </c>
      <c r="Y159">
        <v>0</v>
      </c>
      <c r="AA159">
        <v>0</v>
      </c>
      <c r="AB159">
        <v>8</v>
      </c>
      <c r="AC159">
        <v>3</v>
      </c>
      <c r="AD159">
        <v>0</v>
      </c>
      <c r="AE159">
        <v>9</v>
      </c>
      <c r="AF159" t="s">
        <v>138</v>
      </c>
      <c r="AG159">
        <v>0</v>
      </c>
      <c r="AH159">
        <v>3</v>
      </c>
      <c r="AI159">
        <v>1</v>
      </c>
      <c r="AJ159">
        <v>0</v>
      </c>
      <c r="AK159" t="s">
        <v>198</v>
      </c>
      <c r="AL159">
        <v>32.828951000000004</v>
      </c>
      <c r="AM159" t="s">
        <v>199</v>
      </c>
      <c r="AN159">
        <v>-116.985769</v>
      </c>
      <c r="AO159">
        <v>25</v>
      </c>
      <c r="AP159">
        <v>1100</v>
      </c>
      <c r="AQ159" t="s">
        <v>129</v>
      </c>
      <c r="AR159">
        <v>-96</v>
      </c>
      <c r="AS159">
        <v>12</v>
      </c>
      <c r="AT159">
        <v>2240</v>
      </c>
      <c r="BB159">
        <v>1200</v>
      </c>
      <c r="BC159">
        <v>1</v>
      </c>
      <c r="BD159" t="str">
        <f t="shared" si="54"/>
        <v xml:space="preserve">N887QR  </v>
      </c>
      <c r="BE159">
        <v>1</v>
      </c>
      <c r="BG159">
        <v>0</v>
      </c>
      <c r="BH159">
        <v>0</v>
      </c>
      <c r="BI159">
        <v>0</v>
      </c>
      <c r="BJ159">
        <v>750</v>
      </c>
      <c r="BK159">
        <v>-350</v>
      </c>
      <c r="BL159" t="s">
        <v>163</v>
      </c>
      <c r="BM159">
        <v>1</v>
      </c>
      <c r="BN159">
        <v>1</v>
      </c>
      <c r="BO159">
        <v>1</v>
      </c>
      <c r="BP159">
        <v>0</v>
      </c>
      <c r="BS159">
        <v>0</v>
      </c>
      <c r="BT159">
        <v>0</v>
      </c>
      <c r="BU159">
        <v>0</v>
      </c>
      <c r="CE159" t="str">
        <f t="shared" si="65"/>
        <v>19:26:05.207</v>
      </c>
      <c r="CF159">
        <v>1207038306</v>
      </c>
      <c r="CS159">
        <v>3</v>
      </c>
      <c r="CT159">
        <v>2</v>
      </c>
      <c r="CU159">
        <v>0</v>
      </c>
      <c r="CV159">
        <v>2</v>
      </c>
      <c r="CW159">
        <v>0</v>
      </c>
      <c r="CX159">
        <v>5</v>
      </c>
      <c r="CY159">
        <v>7</v>
      </c>
      <c r="CZ159" t="s">
        <v>131</v>
      </c>
      <c r="DA159">
        <v>300</v>
      </c>
      <c r="DB159">
        <v>0</v>
      </c>
      <c r="DC159" t="s">
        <v>176</v>
      </c>
      <c r="DD159" t="s">
        <v>177</v>
      </c>
      <c r="DG159">
        <v>5355519</v>
      </c>
      <c r="DI159">
        <v>0</v>
      </c>
      <c r="DJ159">
        <v>0</v>
      </c>
      <c r="DK159">
        <v>1</v>
      </c>
      <c r="DL159">
        <v>0</v>
      </c>
      <c r="DM159">
        <v>0</v>
      </c>
      <c r="DN159">
        <v>1</v>
      </c>
      <c r="DO159">
        <v>0</v>
      </c>
      <c r="DP159">
        <v>0</v>
      </c>
      <c r="DQ159">
        <v>0</v>
      </c>
      <c r="DR159">
        <v>0</v>
      </c>
      <c r="DS159">
        <v>0</v>
      </c>
    </row>
    <row r="160" spans="1:123" x14ac:dyDescent="0.3">
      <c r="A160" t="str">
        <f t="shared" ref="A160:A166" si="66">"10/04/2022 19:26:07.664"</f>
        <v>10/04/2022 19:26:07.664</v>
      </c>
      <c r="C160" t="str">
        <f t="shared" si="52"/>
        <v>FFDFD3C0</v>
      </c>
      <c r="D160" t="s">
        <v>136</v>
      </c>
      <c r="E160">
        <v>8</v>
      </c>
      <c r="H160">
        <v>225</v>
      </c>
      <c r="I160" t="s">
        <v>137</v>
      </c>
      <c r="J160" t="s">
        <v>138</v>
      </c>
      <c r="K160">
        <v>0</v>
      </c>
      <c r="L160">
        <v>3</v>
      </c>
      <c r="M160">
        <v>0</v>
      </c>
      <c r="N160">
        <v>2</v>
      </c>
      <c r="O160">
        <v>0</v>
      </c>
      <c r="P160">
        <v>1</v>
      </c>
      <c r="Q160">
        <v>0</v>
      </c>
      <c r="S160" t="str">
        <f t="shared" ref="S160:T166" si="67">"19:26:06.313"</f>
        <v>19:26:06.313</v>
      </c>
      <c r="T160" t="str">
        <f t="shared" si="67"/>
        <v>19:26:06.313</v>
      </c>
      <c r="U160" t="str">
        <f t="shared" si="53"/>
        <v>AC3944</v>
      </c>
      <c r="V160">
        <v>0</v>
      </c>
      <c r="W160">
        <v>0</v>
      </c>
      <c r="X160">
        <v>2</v>
      </c>
      <c r="Y160">
        <v>0</v>
      </c>
      <c r="AA160">
        <v>0</v>
      </c>
      <c r="AB160">
        <v>8</v>
      </c>
      <c r="AC160">
        <v>3</v>
      </c>
      <c r="AD160">
        <v>0</v>
      </c>
      <c r="AE160">
        <v>9</v>
      </c>
      <c r="AF160" t="s">
        <v>138</v>
      </c>
      <c r="AG160">
        <v>0</v>
      </c>
      <c r="AH160">
        <v>3</v>
      </c>
      <c r="AI160">
        <v>1</v>
      </c>
      <c r="AJ160">
        <v>0</v>
      </c>
      <c r="AK160" t="s">
        <v>200</v>
      </c>
      <c r="AL160">
        <v>32.829037</v>
      </c>
      <c r="AM160" t="s">
        <v>201</v>
      </c>
      <c r="AN160">
        <v>-116.986735</v>
      </c>
      <c r="AO160">
        <v>25</v>
      </c>
      <c r="AP160">
        <v>1100</v>
      </c>
      <c r="AQ160" t="s">
        <v>129</v>
      </c>
      <c r="AR160">
        <v>-97</v>
      </c>
      <c r="AS160">
        <v>7</v>
      </c>
      <c r="AT160">
        <v>2048</v>
      </c>
      <c r="BB160">
        <v>1200</v>
      </c>
      <c r="BC160">
        <v>1</v>
      </c>
      <c r="BD160" t="str">
        <f t="shared" si="54"/>
        <v xml:space="preserve">N887QR  </v>
      </c>
      <c r="BE160">
        <v>1</v>
      </c>
      <c r="BG160">
        <v>0</v>
      </c>
      <c r="BH160">
        <v>0</v>
      </c>
      <c r="BI160">
        <v>0</v>
      </c>
      <c r="BJ160">
        <v>750</v>
      </c>
      <c r="BK160">
        <v>-350</v>
      </c>
      <c r="BL160" t="s">
        <v>163</v>
      </c>
      <c r="BM160">
        <v>1</v>
      </c>
      <c r="BN160">
        <v>1</v>
      </c>
      <c r="BO160">
        <v>1</v>
      </c>
      <c r="BP160">
        <v>0</v>
      </c>
      <c r="BS160">
        <v>0</v>
      </c>
      <c r="BT160">
        <v>0</v>
      </c>
      <c r="BU160">
        <v>0</v>
      </c>
      <c r="CE160" t="str">
        <f t="shared" ref="CE160:CE166" si="68">"19:26:07.320"</f>
        <v>19:26:07.320</v>
      </c>
      <c r="CF160">
        <v>1319794926</v>
      </c>
      <c r="CS160">
        <v>3</v>
      </c>
      <c r="CT160">
        <v>2</v>
      </c>
      <c r="CU160">
        <v>0</v>
      </c>
      <c r="CV160">
        <v>2</v>
      </c>
      <c r="CW160">
        <v>0</v>
      </c>
      <c r="CX160">
        <v>5</v>
      </c>
      <c r="CY160">
        <v>7</v>
      </c>
      <c r="CZ160" t="s">
        <v>131</v>
      </c>
      <c r="DA160">
        <v>300</v>
      </c>
      <c r="DB160">
        <v>0</v>
      </c>
      <c r="DC160" t="s">
        <v>176</v>
      </c>
      <c r="DD160" t="s">
        <v>177</v>
      </c>
      <c r="DG160">
        <v>5355825</v>
      </c>
      <c r="DI160">
        <v>0</v>
      </c>
      <c r="DJ160">
        <v>0</v>
      </c>
      <c r="DK160">
        <v>0</v>
      </c>
      <c r="DL160">
        <v>0</v>
      </c>
      <c r="DM160">
        <v>0</v>
      </c>
      <c r="DN160">
        <v>1</v>
      </c>
      <c r="DO160">
        <v>0</v>
      </c>
      <c r="DP160">
        <v>0</v>
      </c>
      <c r="DQ160">
        <v>0</v>
      </c>
      <c r="DR160">
        <v>0</v>
      </c>
      <c r="DS160">
        <v>0</v>
      </c>
    </row>
    <row r="161" spans="1:123" x14ac:dyDescent="0.3">
      <c r="A161" t="str">
        <f t="shared" si="66"/>
        <v>10/04/2022 19:26:07.664</v>
      </c>
      <c r="C161" t="str">
        <f t="shared" si="52"/>
        <v>FFDFD3C0</v>
      </c>
      <c r="D161" t="s">
        <v>143</v>
      </c>
      <c r="E161">
        <v>20</v>
      </c>
      <c r="F161">
        <v>1020</v>
      </c>
      <c r="G161" t="s">
        <v>144</v>
      </c>
      <c r="J161" t="s">
        <v>145</v>
      </c>
      <c r="K161">
        <v>0</v>
      </c>
      <c r="L161">
        <v>3</v>
      </c>
      <c r="M161">
        <v>0</v>
      </c>
      <c r="N161">
        <v>2</v>
      </c>
      <c r="O161">
        <v>0</v>
      </c>
      <c r="P161">
        <v>1</v>
      </c>
      <c r="Q161">
        <v>0</v>
      </c>
      <c r="S161" t="str">
        <f t="shared" si="67"/>
        <v>19:26:06.313</v>
      </c>
      <c r="T161" t="str">
        <f t="shared" si="67"/>
        <v>19:26:06.313</v>
      </c>
      <c r="U161" t="str">
        <f t="shared" si="53"/>
        <v>AC3944</v>
      </c>
      <c r="V161">
        <v>0</v>
      </c>
      <c r="W161">
        <v>0</v>
      </c>
      <c r="X161">
        <v>2</v>
      </c>
      <c r="Y161">
        <v>0</v>
      </c>
      <c r="AA161">
        <v>0</v>
      </c>
      <c r="AB161">
        <v>8</v>
      </c>
      <c r="AC161">
        <v>3</v>
      </c>
      <c r="AD161">
        <v>0</v>
      </c>
      <c r="AE161">
        <v>9</v>
      </c>
      <c r="AF161" t="s">
        <v>138</v>
      </c>
      <c r="AG161">
        <v>0</v>
      </c>
      <c r="AH161">
        <v>3</v>
      </c>
      <c r="AI161">
        <v>1</v>
      </c>
      <c r="AJ161">
        <v>0</v>
      </c>
      <c r="AK161" t="s">
        <v>200</v>
      </c>
      <c r="AL161">
        <v>32.829037</v>
      </c>
      <c r="AM161" t="s">
        <v>201</v>
      </c>
      <c r="AN161">
        <v>-116.986735</v>
      </c>
      <c r="AO161">
        <v>25</v>
      </c>
      <c r="AP161">
        <v>1100</v>
      </c>
      <c r="AQ161" t="s">
        <v>129</v>
      </c>
      <c r="AR161">
        <v>-97</v>
      </c>
      <c r="AS161">
        <v>7</v>
      </c>
      <c r="AT161">
        <v>2048</v>
      </c>
      <c r="BB161">
        <v>1200</v>
      </c>
      <c r="BC161">
        <v>1</v>
      </c>
      <c r="BD161" t="str">
        <f t="shared" si="54"/>
        <v xml:space="preserve">N887QR  </v>
      </c>
      <c r="BE161">
        <v>1</v>
      </c>
      <c r="BG161">
        <v>0</v>
      </c>
      <c r="BH161">
        <v>0</v>
      </c>
      <c r="BI161">
        <v>0</v>
      </c>
      <c r="BJ161">
        <v>750</v>
      </c>
      <c r="BK161">
        <v>-350</v>
      </c>
      <c r="BL161" t="s">
        <v>163</v>
      </c>
      <c r="BM161">
        <v>1</v>
      </c>
      <c r="BN161">
        <v>1</v>
      </c>
      <c r="BO161">
        <v>1</v>
      </c>
      <c r="BP161">
        <v>0</v>
      </c>
      <c r="BS161">
        <v>0</v>
      </c>
      <c r="BT161">
        <v>0</v>
      </c>
      <c r="BU161">
        <v>0</v>
      </c>
      <c r="CE161" t="str">
        <f t="shared" si="68"/>
        <v>19:26:07.320</v>
      </c>
      <c r="CF161">
        <v>1319794926</v>
      </c>
      <c r="CS161">
        <v>3</v>
      </c>
      <c r="CT161">
        <v>2</v>
      </c>
      <c r="CU161">
        <v>0</v>
      </c>
      <c r="CV161">
        <v>2</v>
      </c>
      <c r="CW161">
        <v>0</v>
      </c>
      <c r="CX161">
        <v>5</v>
      </c>
      <c r="CY161">
        <v>7</v>
      </c>
      <c r="CZ161" t="s">
        <v>131</v>
      </c>
      <c r="DA161">
        <v>300</v>
      </c>
      <c r="DB161">
        <v>0</v>
      </c>
      <c r="DC161" t="s">
        <v>176</v>
      </c>
      <c r="DD161" t="s">
        <v>177</v>
      </c>
      <c r="DG161">
        <v>5355825</v>
      </c>
      <c r="DI161">
        <v>0</v>
      </c>
      <c r="DJ161">
        <v>0</v>
      </c>
      <c r="DK161">
        <v>0</v>
      </c>
      <c r="DL161">
        <v>0</v>
      </c>
      <c r="DM161">
        <v>0</v>
      </c>
      <c r="DN161">
        <v>1</v>
      </c>
      <c r="DO161">
        <v>0</v>
      </c>
      <c r="DP161">
        <v>0</v>
      </c>
      <c r="DQ161">
        <v>0</v>
      </c>
      <c r="DR161">
        <v>0</v>
      </c>
      <c r="DS161">
        <v>0</v>
      </c>
    </row>
    <row r="162" spans="1:123" x14ac:dyDescent="0.3">
      <c r="A162" t="str">
        <f t="shared" si="66"/>
        <v>10/04/2022 19:26:07.664</v>
      </c>
      <c r="C162" t="str">
        <f t="shared" si="52"/>
        <v>FFDFD3C0</v>
      </c>
      <c r="D162" t="s">
        <v>141</v>
      </c>
      <c r="E162">
        <v>4</v>
      </c>
      <c r="H162">
        <v>4</v>
      </c>
      <c r="I162" t="s">
        <v>142</v>
      </c>
      <c r="J162" t="s">
        <v>138</v>
      </c>
      <c r="K162">
        <v>0</v>
      </c>
      <c r="L162">
        <v>3</v>
      </c>
      <c r="M162">
        <v>0</v>
      </c>
      <c r="N162">
        <v>2</v>
      </c>
      <c r="O162">
        <v>0</v>
      </c>
      <c r="P162">
        <v>1</v>
      </c>
      <c r="Q162">
        <v>0</v>
      </c>
      <c r="S162" t="str">
        <f t="shared" si="67"/>
        <v>19:26:06.313</v>
      </c>
      <c r="T162" t="str">
        <f t="shared" si="67"/>
        <v>19:26:06.313</v>
      </c>
      <c r="U162" t="str">
        <f t="shared" si="53"/>
        <v>AC3944</v>
      </c>
      <c r="V162">
        <v>0</v>
      </c>
      <c r="W162">
        <v>0</v>
      </c>
      <c r="X162">
        <v>2</v>
      </c>
      <c r="Y162">
        <v>0</v>
      </c>
      <c r="AA162">
        <v>0</v>
      </c>
      <c r="AB162">
        <v>8</v>
      </c>
      <c r="AC162">
        <v>3</v>
      </c>
      <c r="AD162">
        <v>0</v>
      </c>
      <c r="AE162">
        <v>9</v>
      </c>
      <c r="AF162" t="s">
        <v>138</v>
      </c>
      <c r="AG162">
        <v>0</v>
      </c>
      <c r="AH162">
        <v>3</v>
      </c>
      <c r="AI162">
        <v>1</v>
      </c>
      <c r="AJ162">
        <v>0</v>
      </c>
      <c r="AK162" t="s">
        <v>200</v>
      </c>
      <c r="AL162">
        <v>32.829037</v>
      </c>
      <c r="AM162" t="s">
        <v>201</v>
      </c>
      <c r="AN162">
        <v>-116.986735</v>
      </c>
      <c r="AO162">
        <v>25</v>
      </c>
      <c r="AP162">
        <v>1100</v>
      </c>
      <c r="AQ162" t="s">
        <v>129</v>
      </c>
      <c r="AR162">
        <v>-97</v>
      </c>
      <c r="AS162">
        <v>7</v>
      </c>
      <c r="AT162">
        <v>2048</v>
      </c>
      <c r="BB162">
        <v>1200</v>
      </c>
      <c r="BC162">
        <v>1</v>
      </c>
      <c r="BD162" t="str">
        <f t="shared" si="54"/>
        <v xml:space="preserve">N887QR  </v>
      </c>
      <c r="BE162">
        <v>1</v>
      </c>
      <c r="BG162">
        <v>0</v>
      </c>
      <c r="BH162">
        <v>0</v>
      </c>
      <c r="BI162">
        <v>0</v>
      </c>
      <c r="BJ162">
        <v>750</v>
      </c>
      <c r="BK162">
        <v>-350</v>
      </c>
      <c r="BL162" t="s">
        <v>163</v>
      </c>
      <c r="BM162">
        <v>1</v>
      </c>
      <c r="BN162">
        <v>1</v>
      </c>
      <c r="BO162">
        <v>1</v>
      </c>
      <c r="BP162">
        <v>0</v>
      </c>
      <c r="BS162">
        <v>0</v>
      </c>
      <c r="BT162">
        <v>0</v>
      </c>
      <c r="BU162">
        <v>0</v>
      </c>
      <c r="CE162" t="str">
        <f t="shared" si="68"/>
        <v>19:26:07.320</v>
      </c>
      <c r="CF162">
        <v>1319794926</v>
      </c>
      <c r="CS162">
        <v>3</v>
      </c>
      <c r="CT162">
        <v>2</v>
      </c>
      <c r="CU162">
        <v>0</v>
      </c>
      <c r="CV162">
        <v>2</v>
      </c>
      <c r="CW162">
        <v>0</v>
      </c>
      <c r="CX162">
        <v>5</v>
      </c>
      <c r="CY162">
        <v>7</v>
      </c>
      <c r="CZ162" t="s">
        <v>131</v>
      </c>
      <c r="DA162">
        <v>300</v>
      </c>
      <c r="DB162">
        <v>0</v>
      </c>
      <c r="DC162" t="s">
        <v>176</v>
      </c>
      <c r="DD162" t="s">
        <v>177</v>
      </c>
      <c r="DG162">
        <v>5355825</v>
      </c>
      <c r="DI162">
        <v>0</v>
      </c>
      <c r="DJ162">
        <v>0</v>
      </c>
      <c r="DK162">
        <v>1</v>
      </c>
      <c r="DL162">
        <v>0</v>
      </c>
      <c r="DM162">
        <v>0</v>
      </c>
      <c r="DN162">
        <v>1</v>
      </c>
      <c r="DO162">
        <v>0</v>
      </c>
      <c r="DP162">
        <v>0</v>
      </c>
      <c r="DQ162">
        <v>0</v>
      </c>
      <c r="DR162">
        <v>0</v>
      </c>
      <c r="DS162">
        <v>0</v>
      </c>
    </row>
    <row r="163" spans="1:123" x14ac:dyDescent="0.3">
      <c r="A163" t="str">
        <f t="shared" si="66"/>
        <v>10/04/2022 19:26:07.664</v>
      </c>
      <c r="C163" t="str">
        <f t="shared" si="52"/>
        <v>FFDFD3C0</v>
      </c>
      <c r="D163" t="s">
        <v>147</v>
      </c>
      <c r="E163">
        <v>3</v>
      </c>
      <c r="H163">
        <v>166</v>
      </c>
      <c r="I163" t="s">
        <v>144</v>
      </c>
      <c r="J163" t="s">
        <v>148</v>
      </c>
      <c r="K163">
        <v>0</v>
      </c>
      <c r="L163">
        <v>3</v>
      </c>
      <c r="M163">
        <v>0</v>
      </c>
      <c r="N163">
        <v>2</v>
      </c>
      <c r="O163">
        <v>0</v>
      </c>
      <c r="P163">
        <v>1</v>
      </c>
      <c r="Q163">
        <v>0</v>
      </c>
      <c r="S163" t="str">
        <f t="shared" si="67"/>
        <v>19:26:06.313</v>
      </c>
      <c r="T163" t="str">
        <f t="shared" si="67"/>
        <v>19:26:06.313</v>
      </c>
      <c r="U163" t="str">
        <f t="shared" si="53"/>
        <v>AC3944</v>
      </c>
      <c r="V163">
        <v>0</v>
      </c>
      <c r="W163">
        <v>0</v>
      </c>
      <c r="X163">
        <v>2</v>
      </c>
      <c r="Y163">
        <v>0</v>
      </c>
      <c r="AA163">
        <v>0</v>
      </c>
      <c r="AB163">
        <v>8</v>
      </c>
      <c r="AC163">
        <v>3</v>
      </c>
      <c r="AD163">
        <v>0</v>
      </c>
      <c r="AE163">
        <v>9</v>
      </c>
      <c r="AF163" t="s">
        <v>138</v>
      </c>
      <c r="AG163">
        <v>0</v>
      </c>
      <c r="AH163">
        <v>3</v>
      </c>
      <c r="AI163">
        <v>1</v>
      </c>
      <c r="AJ163">
        <v>0</v>
      </c>
      <c r="AK163" t="s">
        <v>200</v>
      </c>
      <c r="AL163">
        <v>32.829037</v>
      </c>
      <c r="AM163" t="s">
        <v>201</v>
      </c>
      <c r="AN163">
        <v>-116.986735</v>
      </c>
      <c r="AO163">
        <v>25</v>
      </c>
      <c r="AP163">
        <v>1100</v>
      </c>
      <c r="AQ163" t="s">
        <v>129</v>
      </c>
      <c r="AR163">
        <v>-97</v>
      </c>
      <c r="AS163">
        <v>7</v>
      </c>
      <c r="AT163">
        <v>2048</v>
      </c>
      <c r="BB163">
        <v>1200</v>
      </c>
      <c r="BC163">
        <v>1</v>
      </c>
      <c r="BD163" t="str">
        <f t="shared" si="54"/>
        <v xml:space="preserve">N887QR  </v>
      </c>
      <c r="BE163">
        <v>1</v>
      </c>
      <c r="BG163">
        <v>0</v>
      </c>
      <c r="BH163">
        <v>0</v>
      </c>
      <c r="BI163">
        <v>0</v>
      </c>
      <c r="BJ163">
        <v>750</v>
      </c>
      <c r="BK163">
        <v>-350</v>
      </c>
      <c r="BL163" t="s">
        <v>163</v>
      </c>
      <c r="BM163">
        <v>1</v>
      </c>
      <c r="BN163">
        <v>1</v>
      </c>
      <c r="BO163">
        <v>1</v>
      </c>
      <c r="BP163">
        <v>0</v>
      </c>
      <c r="BS163">
        <v>0</v>
      </c>
      <c r="BT163">
        <v>0</v>
      </c>
      <c r="BU163">
        <v>0</v>
      </c>
      <c r="CE163" t="str">
        <f t="shared" si="68"/>
        <v>19:26:07.320</v>
      </c>
      <c r="CF163">
        <v>1319794926</v>
      </c>
      <c r="CS163">
        <v>3</v>
      </c>
      <c r="CT163">
        <v>2</v>
      </c>
      <c r="CU163">
        <v>0</v>
      </c>
      <c r="CV163">
        <v>2</v>
      </c>
      <c r="CW163">
        <v>0</v>
      </c>
      <c r="CX163">
        <v>5</v>
      </c>
      <c r="CY163">
        <v>7</v>
      </c>
      <c r="CZ163" t="s">
        <v>131</v>
      </c>
      <c r="DA163">
        <v>300</v>
      </c>
      <c r="DB163">
        <v>0</v>
      </c>
      <c r="DC163" t="s">
        <v>176</v>
      </c>
      <c r="DD163" t="s">
        <v>177</v>
      </c>
      <c r="DG163">
        <v>5355825</v>
      </c>
      <c r="DI163">
        <v>0</v>
      </c>
      <c r="DJ163">
        <v>0</v>
      </c>
      <c r="DK163">
        <v>1</v>
      </c>
      <c r="DL163">
        <v>0</v>
      </c>
      <c r="DM163">
        <v>0</v>
      </c>
      <c r="DN163">
        <v>1</v>
      </c>
      <c r="DO163">
        <v>0</v>
      </c>
      <c r="DP163">
        <v>0</v>
      </c>
      <c r="DQ163">
        <v>0</v>
      </c>
      <c r="DR163">
        <v>0</v>
      </c>
      <c r="DS163">
        <v>0</v>
      </c>
    </row>
    <row r="164" spans="1:123" x14ac:dyDescent="0.3">
      <c r="A164" t="str">
        <f t="shared" si="66"/>
        <v>10/04/2022 19:26:07.664</v>
      </c>
      <c r="C164" t="str">
        <f t="shared" si="52"/>
        <v>FFDFD3C0</v>
      </c>
      <c r="D164" t="s">
        <v>141</v>
      </c>
      <c r="E164">
        <v>3</v>
      </c>
      <c r="H164">
        <v>3</v>
      </c>
      <c r="I164" t="s">
        <v>146</v>
      </c>
      <c r="J164" t="s">
        <v>138</v>
      </c>
      <c r="K164">
        <v>0</v>
      </c>
      <c r="L164">
        <v>3</v>
      </c>
      <c r="M164">
        <v>0</v>
      </c>
      <c r="N164">
        <v>2</v>
      </c>
      <c r="O164">
        <v>0</v>
      </c>
      <c r="P164">
        <v>1</v>
      </c>
      <c r="Q164">
        <v>0</v>
      </c>
      <c r="S164" t="str">
        <f t="shared" si="67"/>
        <v>19:26:06.313</v>
      </c>
      <c r="T164" t="str">
        <f t="shared" si="67"/>
        <v>19:26:06.313</v>
      </c>
      <c r="U164" t="str">
        <f t="shared" si="53"/>
        <v>AC3944</v>
      </c>
      <c r="V164">
        <v>0</v>
      </c>
      <c r="W164">
        <v>0</v>
      </c>
      <c r="X164">
        <v>2</v>
      </c>
      <c r="Y164">
        <v>0</v>
      </c>
      <c r="AA164">
        <v>0</v>
      </c>
      <c r="AB164">
        <v>8</v>
      </c>
      <c r="AC164">
        <v>3</v>
      </c>
      <c r="AD164">
        <v>0</v>
      </c>
      <c r="AE164">
        <v>9</v>
      </c>
      <c r="AF164" t="s">
        <v>138</v>
      </c>
      <c r="AG164">
        <v>0</v>
      </c>
      <c r="AH164">
        <v>3</v>
      </c>
      <c r="AI164">
        <v>1</v>
      </c>
      <c r="AJ164">
        <v>0</v>
      </c>
      <c r="AK164" t="s">
        <v>200</v>
      </c>
      <c r="AL164">
        <v>32.829037</v>
      </c>
      <c r="AM164" t="s">
        <v>201</v>
      </c>
      <c r="AN164">
        <v>-116.986735</v>
      </c>
      <c r="AO164">
        <v>25</v>
      </c>
      <c r="AP164">
        <v>1100</v>
      </c>
      <c r="AQ164" t="s">
        <v>129</v>
      </c>
      <c r="AR164">
        <v>-97</v>
      </c>
      <c r="AS164">
        <v>7</v>
      </c>
      <c r="AT164">
        <v>2048</v>
      </c>
      <c r="BB164">
        <v>1200</v>
      </c>
      <c r="BC164">
        <v>1</v>
      </c>
      <c r="BD164" t="str">
        <f t="shared" si="54"/>
        <v xml:space="preserve">N887QR  </v>
      </c>
      <c r="BE164">
        <v>1</v>
      </c>
      <c r="BG164">
        <v>0</v>
      </c>
      <c r="BH164">
        <v>0</v>
      </c>
      <c r="BI164">
        <v>0</v>
      </c>
      <c r="BJ164">
        <v>750</v>
      </c>
      <c r="BK164">
        <v>-350</v>
      </c>
      <c r="BL164" t="s">
        <v>163</v>
      </c>
      <c r="BM164">
        <v>1</v>
      </c>
      <c r="BN164">
        <v>1</v>
      </c>
      <c r="BO164">
        <v>1</v>
      </c>
      <c r="BP164">
        <v>0</v>
      </c>
      <c r="BS164">
        <v>0</v>
      </c>
      <c r="BT164">
        <v>0</v>
      </c>
      <c r="BU164">
        <v>0</v>
      </c>
      <c r="CE164" t="str">
        <f t="shared" si="68"/>
        <v>19:26:07.320</v>
      </c>
      <c r="CF164">
        <v>1319794926</v>
      </c>
      <c r="CS164">
        <v>3</v>
      </c>
      <c r="CT164">
        <v>2</v>
      </c>
      <c r="CU164">
        <v>0</v>
      </c>
      <c r="CV164">
        <v>2</v>
      </c>
      <c r="CW164">
        <v>0</v>
      </c>
      <c r="CX164">
        <v>5</v>
      </c>
      <c r="CY164">
        <v>7</v>
      </c>
      <c r="CZ164" t="s">
        <v>131</v>
      </c>
      <c r="DA164">
        <v>300</v>
      </c>
      <c r="DB164">
        <v>0</v>
      </c>
      <c r="DC164" t="s">
        <v>176</v>
      </c>
      <c r="DD164" t="s">
        <v>177</v>
      </c>
      <c r="DG164">
        <v>5355825</v>
      </c>
      <c r="DI164">
        <v>0</v>
      </c>
      <c r="DJ164">
        <v>0</v>
      </c>
      <c r="DK164">
        <v>1</v>
      </c>
      <c r="DL164">
        <v>0</v>
      </c>
      <c r="DM164">
        <v>0</v>
      </c>
      <c r="DN164">
        <v>1</v>
      </c>
      <c r="DO164">
        <v>0</v>
      </c>
      <c r="DP164">
        <v>0</v>
      </c>
      <c r="DQ164">
        <v>0</v>
      </c>
      <c r="DR164">
        <v>0</v>
      </c>
      <c r="DS164">
        <v>0</v>
      </c>
    </row>
    <row r="165" spans="1:123" x14ac:dyDescent="0.3">
      <c r="A165" t="str">
        <f t="shared" si="66"/>
        <v>10/04/2022 19:26:07.664</v>
      </c>
      <c r="C165" t="str">
        <f t="shared" si="52"/>
        <v>FFDFD3C0</v>
      </c>
      <c r="D165" t="s">
        <v>134</v>
      </c>
      <c r="E165">
        <v>15</v>
      </c>
      <c r="J165" t="s">
        <v>135</v>
      </c>
      <c r="K165">
        <v>0</v>
      </c>
      <c r="L165">
        <v>3</v>
      </c>
      <c r="M165">
        <v>0</v>
      </c>
      <c r="N165">
        <v>2</v>
      </c>
      <c r="O165">
        <v>0</v>
      </c>
      <c r="P165">
        <v>1</v>
      </c>
      <c r="Q165">
        <v>0</v>
      </c>
      <c r="S165" t="str">
        <f t="shared" si="67"/>
        <v>19:26:06.313</v>
      </c>
      <c r="T165" t="str">
        <f t="shared" si="67"/>
        <v>19:26:06.313</v>
      </c>
      <c r="U165" t="str">
        <f t="shared" si="53"/>
        <v>AC3944</v>
      </c>
      <c r="V165">
        <v>0</v>
      </c>
      <c r="W165">
        <v>0</v>
      </c>
      <c r="X165">
        <v>2</v>
      </c>
      <c r="Y165">
        <v>0</v>
      </c>
      <c r="AA165">
        <v>0</v>
      </c>
      <c r="AB165">
        <v>8</v>
      </c>
      <c r="AC165">
        <v>3</v>
      </c>
      <c r="AD165">
        <v>0</v>
      </c>
      <c r="AE165">
        <v>9</v>
      </c>
      <c r="AF165" t="s">
        <v>138</v>
      </c>
      <c r="AG165">
        <v>0</v>
      </c>
      <c r="AH165">
        <v>3</v>
      </c>
      <c r="AI165">
        <v>1</v>
      </c>
      <c r="AJ165">
        <v>0</v>
      </c>
      <c r="AK165" t="s">
        <v>200</v>
      </c>
      <c r="AL165">
        <v>32.829037</v>
      </c>
      <c r="AM165" t="s">
        <v>201</v>
      </c>
      <c r="AN165">
        <v>-116.986735</v>
      </c>
      <c r="AO165">
        <v>25</v>
      </c>
      <c r="AP165">
        <v>1100</v>
      </c>
      <c r="AQ165" t="s">
        <v>129</v>
      </c>
      <c r="AR165">
        <v>-97</v>
      </c>
      <c r="AS165">
        <v>7</v>
      </c>
      <c r="AT165">
        <v>2048</v>
      </c>
      <c r="BB165">
        <v>1200</v>
      </c>
      <c r="BC165">
        <v>1</v>
      </c>
      <c r="BD165" t="str">
        <f t="shared" si="54"/>
        <v xml:space="preserve">N887QR  </v>
      </c>
      <c r="BE165">
        <v>1</v>
      </c>
      <c r="BG165">
        <v>0</v>
      </c>
      <c r="BH165">
        <v>0</v>
      </c>
      <c r="BI165">
        <v>0</v>
      </c>
      <c r="BJ165">
        <v>750</v>
      </c>
      <c r="BK165">
        <v>-350</v>
      </c>
      <c r="BL165" t="s">
        <v>163</v>
      </c>
      <c r="BM165">
        <v>1</v>
      </c>
      <c r="BN165">
        <v>1</v>
      </c>
      <c r="BO165">
        <v>1</v>
      </c>
      <c r="BP165">
        <v>0</v>
      </c>
      <c r="BS165">
        <v>0</v>
      </c>
      <c r="BT165">
        <v>0</v>
      </c>
      <c r="BU165">
        <v>0</v>
      </c>
      <c r="CE165" t="str">
        <f t="shared" si="68"/>
        <v>19:26:07.320</v>
      </c>
      <c r="CF165">
        <v>1319794926</v>
      </c>
      <c r="CS165">
        <v>3</v>
      </c>
      <c r="CT165">
        <v>2</v>
      </c>
      <c r="CU165">
        <v>0</v>
      </c>
      <c r="CV165">
        <v>2</v>
      </c>
      <c r="CW165">
        <v>0</v>
      </c>
      <c r="CX165">
        <v>5</v>
      </c>
      <c r="CY165">
        <v>7</v>
      </c>
      <c r="CZ165" t="s">
        <v>131</v>
      </c>
      <c r="DA165">
        <v>300</v>
      </c>
      <c r="DB165">
        <v>0</v>
      </c>
      <c r="DC165" t="s">
        <v>176</v>
      </c>
      <c r="DD165" t="s">
        <v>177</v>
      </c>
      <c r="DG165">
        <v>5355825</v>
      </c>
      <c r="DI165">
        <v>0</v>
      </c>
      <c r="DJ165">
        <v>0</v>
      </c>
      <c r="DK165">
        <v>1</v>
      </c>
      <c r="DL165">
        <v>0</v>
      </c>
      <c r="DM165">
        <v>0</v>
      </c>
      <c r="DN165">
        <v>1</v>
      </c>
      <c r="DO165">
        <v>0</v>
      </c>
      <c r="DP165">
        <v>0</v>
      </c>
      <c r="DQ165">
        <v>0</v>
      </c>
      <c r="DR165">
        <v>0</v>
      </c>
      <c r="DS165">
        <v>0</v>
      </c>
    </row>
    <row r="166" spans="1:123" x14ac:dyDescent="0.3">
      <c r="A166" t="str">
        <f t="shared" si="66"/>
        <v>10/04/2022 19:26:07.664</v>
      </c>
      <c r="C166" t="str">
        <f t="shared" si="52"/>
        <v>FFDFD3C0</v>
      </c>
      <c r="D166" t="s">
        <v>123</v>
      </c>
      <c r="E166">
        <v>7</v>
      </c>
      <c r="F166">
        <v>2007</v>
      </c>
      <c r="G166" t="s">
        <v>124</v>
      </c>
      <c r="J166" t="s">
        <v>125</v>
      </c>
      <c r="K166">
        <v>0</v>
      </c>
      <c r="L166">
        <v>3</v>
      </c>
      <c r="M166">
        <v>0</v>
      </c>
      <c r="N166">
        <v>2</v>
      </c>
      <c r="O166">
        <v>0</v>
      </c>
      <c r="P166">
        <v>1</v>
      </c>
      <c r="Q166">
        <v>0</v>
      </c>
      <c r="S166" t="str">
        <f t="shared" si="67"/>
        <v>19:26:06.313</v>
      </c>
      <c r="T166" t="str">
        <f t="shared" si="67"/>
        <v>19:26:06.313</v>
      </c>
      <c r="U166" t="str">
        <f t="shared" si="53"/>
        <v>AC3944</v>
      </c>
      <c r="V166">
        <v>0</v>
      </c>
      <c r="W166">
        <v>0</v>
      </c>
      <c r="X166">
        <v>2</v>
      </c>
      <c r="Y166">
        <v>0</v>
      </c>
      <c r="AA166">
        <v>0</v>
      </c>
      <c r="AB166">
        <v>8</v>
      </c>
      <c r="AC166">
        <v>3</v>
      </c>
      <c r="AD166">
        <v>0</v>
      </c>
      <c r="AE166">
        <v>9</v>
      </c>
      <c r="AF166" t="s">
        <v>138</v>
      </c>
      <c r="AG166">
        <v>0</v>
      </c>
      <c r="AH166">
        <v>3</v>
      </c>
      <c r="AI166">
        <v>1</v>
      </c>
      <c r="AJ166">
        <v>0</v>
      </c>
      <c r="AK166" t="s">
        <v>200</v>
      </c>
      <c r="AL166">
        <v>32.829037</v>
      </c>
      <c r="AM166" t="s">
        <v>201</v>
      </c>
      <c r="AN166">
        <v>-116.986735</v>
      </c>
      <c r="AO166">
        <v>25</v>
      </c>
      <c r="AP166">
        <v>1100</v>
      </c>
      <c r="AQ166" t="s">
        <v>129</v>
      </c>
      <c r="AR166">
        <v>-97</v>
      </c>
      <c r="AS166">
        <v>7</v>
      </c>
      <c r="AT166">
        <v>2048</v>
      </c>
      <c r="BB166">
        <v>1200</v>
      </c>
      <c r="BC166">
        <v>1</v>
      </c>
      <c r="BD166" t="str">
        <f t="shared" si="54"/>
        <v xml:space="preserve">N887QR  </v>
      </c>
      <c r="BE166">
        <v>1</v>
      </c>
      <c r="BG166">
        <v>0</v>
      </c>
      <c r="BH166">
        <v>0</v>
      </c>
      <c r="BI166">
        <v>0</v>
      </c>
      <c r="BJ166">
        <v>750</v>
      </c>
      <c r="BK166">
        <v>-350</v>
      </c>
      <c r="BL166" t="s">
        <v>163</v>
      </c>
      <c r="BM166">
        <v>1</v>
      </c>
      <c r="BN166">
        <v>1</v>
      </c>
      <c r="BO166">
        <v>1</v>
      </c>
      <c r="BP166">
        <v>0</v>
      </c>
      <c r="BS166">
        <v>0</v>
      </c>
      <c r="BT166">
        <v>0</v>
      </c>
      <c r="BU166">
        <v>0</v>
      </c>
      <c r="CE166" t="str">
        <f t="shared" si="68"/>
        <v>19:26:07.320</v>
      </c>
      <c r="CF166">
        <v>1319794926</v>
      </c>
      <c r="CS166">
        <v>3</v>
      </c>
      <c r="CT166">
        <v>2</v>
      </c>
      <c r="CU166">
        <v>0</v>
      </c>
      <c r="CV166">
        <v>2</v>
      </c>
      <c r="CW166">
        <v>0</v>
      </c>
      <c r="CX166">
        <v>5</v>
      </c>
      <c r="CY166">
        <v>7</v>
      </c>
      <c r="CZ166" t="s">
        <v>131</v>
      </c>
      <c r="DA166">
        <v>300</v>
      </c>
      <c r="DB166">
        <v>0</v>
      </c>
      <c r="DC166" t="s">
        <v>176</v>
      </c>
      <c r="DD166" t="s">
        <v>177</v>
      </c>
      <c r="DG166">
        <v>5355825</v>
      </c>
      <c r="DI166">
        <v>0</v>
      </c>
      <c r="DJ166">
        <v>0</v>
      </c>
      <c r="DK166">
        <v>1</v>
      </c>
      <c r="DL166">
        <v>0</v>
      </c>
      <c r="DM166">
        <v>0</v>
      </c>
      <c r="DN166">
        <v>1</v>
      </c>
      <c r="DO166">
        <v>0</v>
      </c>
      <c r="DP166">
        <v>0</v>
      </c>
      <c r="DQ166">
        <v>0</v>
      </c>
      <c r="DR166">
        <v>0</v>
      </c>
      <c r="DS166">
        <v>0</v>
      </c>
    </row>
    <row r="167" spans="1:123" x14ac:dyDescent="0.3">
      <c r="A167" t="str">
        <f>"10/04/2022 19:26:08.743"</f>
        <v>10/04/2022 19:26:08.743</v>
      </c>
      <c r="C167" t="str">
        <f t="shared" si="52"/>
        <v>FFDFD3C0</v>
      </c>
      <c r="D167" t="s">
        <v>136</v>
      </c>
      <c r="E167">
        <v>8</v>
      </c>
      <c r="H167">
        <v>225</v>
      </c>
      <c r="I167" t="s">
        <v>137</v>
      </c>
      <c r="J167" t="s">
        <v>138</v>
      </c>
      <c r="K167">
        <v>0</v>
      </c>
      <c r="L167">
        <v>3</v>
      </c>
      <c r="M167">
        <v>0</v>
      </c>
      <c r="N167">
        <v>2</v>
      </c>
      <c r="O167">
        <v>0</v>
      </c>
      <c r="P167">
        <v>1</v>
      </c>
      <c r="Q167">
        <v>0</v>
      </c>
      <c r="S167" t="str">
        <f t="shared" ref="S167:T173" si="69">"19:26:07.484"</f>
        <v>19:26:07.484</v>
      </c>
      <c r="T167" t="str">
        <f t="shared" si="69"/>
        <v>19:26:07.484</v>
      </c>
      <c r="U167" t="str">
        <f t="shared" si="53"/>
        <v>AC3944</v>
      </c>
      <c r="V167">
        <v>0</v>
      </c>
      <c r="W167">
        <v>0</v>
      </c>
      <c r="X167">
        <v>2</v>
      </c>
      <c r="Y167">
        <v>0</v>
      </c>
      <c r="AA167">
        <v>0</v>
      </c>
      <c r="AB167">
        <v>8</v>
      </c>
      <c r="AC167">
        <v>3</v>
      </c>
      <c r="AD167">
        <v>0</v>
      </c>
      <c r="AE167">
        <v>9</v>
      </c>
      <c r="AF167" t="s">
        <v>138</v>
      </c>
      <c r="AG167">
        <v>0</v>
      </c>
      <c r="AH167">
        <v>3</v>
      </c>
      <c r="AI167">
        <v>1</v>
      </c>
      <c r="AJ167">
        <v>0</v>
      </c>
      <c r="AK167" t="s">
        <v>202</v>
      </c>
      <c r="AL167">
        <v>32.829079999999998</v>
      </c>
      <c r="AM167" t="s">
        <v>203</v>
      </c>
      <c r="AN167">
        <v>-116.98727100000001</v>
      </c>
      <c r="AO167">
        <v>25</v>
      </c>
      <c r="AP167">
        <v>1200</v>
      </c>
      <c r="AQ167" t="s">
        <v>129</v>
      </c>
      <c r="AR167">
        <v>-98</v>
      </c>
      <c r="AS167">
        <v>3</v>
      </c>
      <c r="AT167">
        <v>1728</v>
      </c>
      <c r="BB167">
        <v>1200</v>
      </c>
      <c r="BC167">
        <v>1</v>
      </c>
      <c r="BD167" t="str">
        <f t="shared" si="54"/>
        <v xml:space="preserve">N887QR  </v>
      </c>
      <c r="BE167">
        <v>1</v>
      </c>
      <c r="BG167">
        <v>0</v>
      </c>
      <c r="BH167">
        <v>0</v>
      </c>
      <c r="BI167">
        <v>0</v>
      </c>
      <c r="BJ167">
        <v>750</v>
      </c>
      <c r="BK167">
        <v>-450</v>
      </c>
      <c r="BL167" t="s">
        <v>163</v>
      </c>
      <c r="BM167">
        <v>1</v>
      </c>
      <c r="BN167">
        <v>1</v>
      </c>
      <c r="BO167">
        <v>1</v>
      </c>
      <c r="BP167">
        <v>0</v>
      </c>
      <c r="BS167">
        <v>0</v>
      </c>
      <c r="BT167">
        <v>0</v>
      </c>
      <c r="BU167">
        <v>0</v>
      </c>
      <c r="CE167" t="str">
        <f t="shared" ref="CE167:CE173" si="70">"19:26:08.487"</f>
        <v>19:26:08.487</v>
      </c>
      <c r="CF167">
        <v>1487298598</v>
      </c>
      <c r="CS167">
        <v>3</v>
      </c>
      <c r="CT167">
        <v>2</v>
      </c>
      <c r="CU167">
        <v>0</v>
      </c>
      <c r="CV167">
        <v>2</v>
      </c>
      <c r="CW167">
        <v>0</v>
      </c>
      <c r="CX167">
        <v>5</v>
      </c>
      <c r="CY167">
        <v>7</v>
      </c>
      <c r="CZ167" t="s">
        <v>131</v>
      </c>
      <c r="DA167">
        <v>300</v>
      </c>
      <c r="DB167">
        <v>0</v>
      </c>
      <c r="DC167" t="s">
        <v>176</v>
      </c>
      <c r="DD167" t="s">
        <v>177</v>
      </c>
      <c r="DG167">
        <v>5356029</v>
      </c>
      <c r="DI167">
        <v>0</v>
      </c>
      <c r="DJ167">
        <v>0</v>
      </c>
      <c r="DK167">
        <v>0</v>
      </c>
      <c r="DL167">
        <v>0</v>
      </c>
      <c r="DM167">
        <v>0</v>
      </c>
      <c r="DN167">
        <v>1</v>
      </c>
      <c r="DO167">
        <v>0</v>
      </c>
      <c r="DP167">
        <v>0</v>
      </c>
      <c r="DQ167">
        <v>0</v>
      </c>
      <c r="DR167">
        <v>0</v>
      </c>
      <c r="DS167">
        <v>0</v>
      </c>
    </row>
    <row r="168" spans="1:123" x14ac:dyDescent="0.3">
      <c r="A168" t="str">
        <f>"10/04/2022 19:26:08.774"</f>
        <v>10/04/2022 19:26:08.774</v>
      </c>
      <c r="C168" t="str">
        <f t="shared" si="52"/>
        <v>FFDFD3C0</v>
      </c>
      <c r="D168" t="s">
        <v>143</v>
      </c>
      <c r="E168">
        <v>20</v>
      </c>
      <c r="F168">
        <v>1020</v>
      </c>
      <c r="G168" t="s">
        <v>144</v>
      </c>
      <c r="J168" t="s">
        <v>145</v>
      </c>
      <c r="K168">
        <v>0</v>
      </c>
      <c r="L168">
        <v>3</v>
      </c>
      <c r="M168">
        <v>0</v>
      </c>
      <c r="N168">
        <v>2</v>
      </c>
      <c r="O168">
        <v>0</v>
      </c>
      <c r="P168">
        <v>1</v>
      </c>
      <c r="Q168">
        <v>0</v>
      </c>
      <c r="S168" t="str">
        <f t="shared" si="69"/>
        <v>19:26:07.484</v>
      </c>
      <c r="T168" t="str">
        <f t="shared" si="69"/>
        <v>19:26:07.484</v>
      </c>
      <c r="U168" t="str">
        <f t="shared" si="53"/>
        <v>AC3944</v>
      </c>
      <c r="V168">
        <v>0</v>
      </c>
      <c r="W168">
        <v>0</v>
      </c>
      <c r="X168">
        <v>2</v>
      </c>
      <c r="Y168">
        <v>0</v>
      </c>
      <c r="AA168">
        <v>0</v>
      </c>
      <c r="AB168">
        <v>8</v>
      </c>
      <c r="AC168">
        <v>3</v>
      </c>
      <c r="AD168">
        <v>0</v>
      </c>
      <c r="AE168">
        <v>9</v>
      </c>
      <c r="AF168" t="s">
        <v>138</v>
      </c>
      <c r="AG168">
        <v>0</v>
      </c>
      <c r="AH168">
        <v>3</v>
      </c>
      <c r="AI168">
        <v>1</v>
      </c>
      <c r="AJ168">
        <v>0</v>
      </c>
      <c r="AK168" t="s">
        <v>202</v>
      </c>
      <c r="AL168">
        <v>32.829079999999998</v>
      </c>
      <c r="AM168" t="s">
        <v>203</v>
      </c>
      <c r="AN168">
        <v>-116.98727100000001</v>
      </c>
      <c r="AO168">
        <v>25</v>
      </c>
      <c r="AP168">
        <v>1200</v>
      </c>
      <c r="AQ168" t="s">
        <v>129</v>
      </c>
      <c r="AR168">
        <v>-98</v>
      </c>
      <c r="AS168">
        <v>3</v>
      </c>
      <c r="AT168">
        <v>1728</v>
      </c>
      <c r="BB168">
        <v>1200</v>
      </c>
      <c r="BC168">
        <v>1</v>
      </c>
      <c r="BD168" t="str">
        <f t="shared" si="54"/>
        <v xml:space="preserve">N887QR  </v>
      </c>
      <c r="BE168">
        <v>1</v>
      </c>
      <c r="BG168">
        <v>0</v>
      </c>
      <c r="BH168">
        <v>0</v>
      </c>
      <c r="BI168">
        <v>0</v>
      </c>
      <c r="BJ168">
        <v>750</v>
      </c>
      <c r="BK168">
        <v>-450</v>
      </c>
      <c r="BL168" t="s">
        <v>163</v>
      </c>
      <c r="BM168">
        <v>1</v>
      </c>
      <c r="BN168">
        <v>1</v>
      </c>
      <c r="BO168">
        <v>1</v>
      </c>
      <c r="BP168">
        <v>0</v>
      </c>
      <c r="BS168">
        <v>0</v>
      </c>
      <c r="BT168">
        <v>0</v>
      </c>
      <c r="BU168">
        <v>0</v>
      </c>
      <c r="CE168" t="str">
        <f t="shared" si="70"/>
        <v>19:26:08.487</v>
      </c>
      <c r="CF168">
        <v>1487298598</v>
      </c>
      <c r="CS168">
        <v>3</v>
      </c>
      <c r="CT168">
        <v>2</v>
      </c>
      <c r="CU168">
        <v>0</v>
      </c>
      <c r="CV168">
        <v>2</v>
      </c>
      <c r="CW168">
        <v>0</v>
      </c>
      <c r="CX168">
        <v>5</v>
      </c>
      <c r="CY168">
        <v>7</v>
      </c>
      <c r="CZ168" t="s">
        <v>131</v>
      </c>
      <c r="DA168">
        <v>300</v>
      </c>
      <c r="DB168">
        <v>0</v>
      </c>
      <c r="DC168" t="s">
        <v>176</v>
      </c>
      <c r="DD168" t="s">
        <v>177</v>
      </c>
      <c r="DG168">
        <v>5356029</v>
      </c>
      <c r="DI168">
        <v>0</v>
      </c>
      <c r="DJ168">
        <v>0</v>
      </c>
      <c r="DK168">
        <v>1</v>
      </c>
      <c r="DL168">
        <v>0</v>
      </c>
      <c r="DM168">
        <v>0</v>
      </c>
      <c r="DN168">
        <v>1</v>
      </c>
      <c r="DO168">
        <v>0</v>
      </c>
      <c r="DP168">
        <v>0</v>
      </c>
      <c r="DQ168">
        <v>0</v>
      </c>
      <c r="DR168">
        <v>0</v>
      </c>
      <c r="DS168">
        <v>0</v>
      </c>
    </row>
    <row r="169" spans="1:123" x14ac:dyDescent="0.3">
      <c r="A169" t="str">
        <f>"10/04/2022 19:26:08.774"</f>
        <v>10/04/2022 19:26:08.774</v>
      </c>
      <c r="C169" t="str">
        <f t="shared" si="52"/>
        <v>FFDFD3C0</v>
      </c>
      <c r="D169" t="s">
        <v>141</v>
      </c>
      <c r="E169">
        <v>4</v>
      </c>
      <c r="H169">
        <v>4</v>
      </c>
      <c r="I169" t="s">
        <v>142</v>
      </c>
      <c r="J169" t="s">
        <v>138</v>
      </c>
      <c r="K169">
        <v>0</v>
      </c>
      <c r="L169">
        <v>3</v>
      </c>
      <c r="M169">
        <v>0</v>
      </c>
      <c r="N169">
        <v>2</v>
      </c>
      <c r="O169">
        <v>0</v>
      </c>
      <c r="P169">
        <v>1</v>
      </c>
      <c r="Q169">
        <v>0</v>
      </c>
      <c r="S169" t="str">
        <f t="shared" si="69"/>
        <v>19:26:07.484</v>
      </c>
      <c r="T169" t="str">
        <f t="shared" si="69"/>
        <v>19:26:07.484</v>
      </c>
      <c r="U169" t="str">
        <f t="shared" si="53"/>
        <v>AC3944</v>
      </c>
      <c r="V169">
        <v>0</v>
      </c>
      <c r="W169">
        <v>0</v>
      </c>
      <c r="X169">
        <v>2</v>
      </c>
      <c r="Y169">
        <v>0</v>
      </c>
      <c r="AA169">
        <v>0</v>
      </c>
      <c r="AB169">
        <v>8</v>
      </c>
      <c r="AC169">
        <v>3</v>
      </c>
      <c r="AD169">
        <v>0</v>
      </c>
      <c r="AE169">
        <v>9</v>
      </c>
      <c r="AF169" t="s">
        <v>138</v>
      </c>
      <c r="AG169">
        <v>0</v>
      </c>
      <c r="AH169">
        <v>3</v>
      </c>
      <c r="AI169">
        <v>1</v>
      </c>
      <c r="AJ169">
        <v>0</v>
      </c>
      <c r="AK169" t="s">
        <v>202</v>
      </c>
      <c r="AL169">
        <v>32.829079999999998</v>
      </c>
      <c r="AM169" t="s">
        <v>203</v>
      </c>
      <c r="AN169">
        <v>-116.98727100000001</v>
      </c>
      <c r="AO169">
        <v>25</v>
      </c>
      <c r="AP169">
        <v>1200</v>
      </c>
      <c r="AQ169" t="s">
        <v>129</v>
      </c>
      <c r="AR169">
        <v>-98</v>
      </c>
      <c r="AS169">
        <v>3</v>
      </c>
      <c r="AT169">
        <v>1728</v>
      </c>
      <c r="BB169">
        <v>1200</v>
      </c>
      <c r="BC169">
        <v>1</v>
      </c>
      <c r="BD169" t="str">
        <f t="shared" si="54"/>
        <v xml:space="preserve">N887QR  </v>
      </c>
      <c r="BE169">
        <v>1</v>
      </c>
      <c r="BG169">
        <v>0</v>
      </c>
      <c r="BH169">
        <v>0</v>
      </c>
      <c r="BI169">
        <v>0</v>
      </c>
      <c r="BJ169">
        <v>750</v>
      </c>
      <c r="BK169">
        <v>-450</v>
      </c>
      <c r="BL169" t="s">
        <v>163</v>
      </c>
      <c r="BM169">
        <v>1</v>
      </c>
      <c r="BN169">
        <v>1</v>
      </c>
      <c r="BO169">
        <v>1</v>
      </c>
      <c r="BP169">
        <v>0</v>
      </c>
      <c r="BS169">
        <v>0</v>
      </c>
      <c r="BT169">
        <v>0</v>
      </c>
      <c r="BU169">
        <v>0</v>
      </c>
      <c r="CE169" t="str">
        <f t="shared" si="70"/>
        <v>19:26:08.487</v>
      </c>
      <c r="CF169">
        <v>1487298598</v>
      </c>
      <c r="CS169">
        <v>3</v>
      </c>
      <c r="CT169">
        <v>2</v>
      </c>
      <c r="CU169">
        <v>0</v>
      </c>
      <c r="CV169">
        <v>2</v>
      </c>
      <c r="CW169">
        <v>0</v>
      </c>
      <c r="CX169">
        <v>5</v>
      </c>
      <c r="CY169">
        <v>7</v>
      </c>
      <c r="CZ169" t="s">
        <v>131</v>
      </c>
      <c r="DA169">
        <v>300</v>
      </c>
      <c r="DB169">
        <v>0</v>
      </c>
      <c r="DC169" t="s">
        <v>176</v>
      </c>
      <c r="DD169" t="s">
        <v>177</v>
      </c>
      <c r="DG169">
        <v>5356029</v>
      </c>
      <c r="DI169">
        <v>0</v>
      </c>
      <c r="DJ169">
        <v>0</v>
      </c>
      <c r="DK169">
        <v>1</v>
      </c>
      <c r="DL169">
        <v>0</v>
      </c>
      <c r="DM169">
        <v>0</v>
      </c>
      <c r="DN169">
        <v>1</v>
      </c>
      <c r="DO169">
        <v>0</v>
      </c>
      <c r="DP169">
        <v>0</v>
      </c>
      <c r="DQ169">
        <v>0</v>
      </c>
      <c r="DR169">
        <v>0</v>
      </c>
      <c r="DS169">
        <v>0</v>
      </c>
    </row>
    <row r="170" spans="1:123" x14ac:dyDescent="0.3">
      <c r="A170" t="str">
        <f>"10/04/2022 19:26:08.774"</f>
        <v>10/04/2022 19:26:08.774</v>
      </c>
      <c r="C170" t="str">
        <f t="shared" si="52"/>
        <v>FFDFD3C0</v>
      </c>
      <c r="D170" t="s">
        <v>147</v>
      </c>
      <c r="E170">
        <v>3</v>
      </c>
      <c r="H170">
        <v>166</v>
      </c>
      <c r="I170" t="s">
        <v>144</v>
      </c>
      <c r="J170" t="s">
        <v>148</v>
      </c>
      <c r="K170">
        <v>0</v>
      </c>
      <c r="L170">
        <v>3</v>
      </c>
      <c r="M170">
        <v>0</v>
      </c>
      <c r="N170">
        <v>2</v>
      </c>
      <c r="O170">
        <v>0</v>
      </c>
      <c r="P170">
        <v>1</v>
      </c>
      <c r="Q170">
        <v>0</v>
      </c>
      <c r="S170" t="str">
        <f t="shared" si="69"/>
        <v>19:26:07.484</v>
      </c>
      <c r="T170" t="str">
        <f t="shared" si="69"/>
        <v>19:26:07.484</v>
      </c>
      <c r="U170" t="str">
        <f t="shared" si="53"/>
        <v>AC3944</v>
      </c>
      <c r="V170">
        <v>0</v>
      </c>
      <c r="W170">
        <v>0</v>
      </c>
      <c r="X170">
        <v>2</v>
      </c>
      <c r="Y170">
        <v>0</v>
      </c>
      <c r="AA170">
        <v>0</v>
      </c>
      <c r="AB170">
        <v>8</v>
      </c>
      <c r="AC170">
        <v>3</v>
      </c>
      <c r="AD170">
        <v>0</v>
      </c>
      <c r="AE170">
        <v>9</v>
      </c>
      <c r="AF170" t="s">
        <v>138</v>
      </c>
      <c r="AG170">
        <v>0</v>
      </c>
      <c r="AH170">
        <v>3</v>
      </c>
      <c r="AI170">
        <v>1</v>
      </c>
      <c r="AJ170">
        <v>0</v>
      </c>
      <c r="AK170" t="s">
        <v>202</v>
      </c>
      <c r="AL170">
        <v>32.829079999999998</v>
      </c>
      <c r="AM170" t="s">
        <v>203</v>
      </c>
      <c r="AN170">
        <v>-116.98727100000001</v>
      </c>
      <c r="AO170">
        <v>25</v>
      </c>
      <c r="AP170">
        <v>1200</v>
      </c>
      <c r="AQ170" t="s">
        <v>129</v>
      </c>
      <c r="AR170">
        <v>-98</v>
      </c>
      <c r="AS170">
        <v>3</v>
      </c>
      <c r="AT170">
        <v>1728</v>
      </c>
      <c r="BB170">
        <v>1200</v>
      </c>
      <c r="BC170">
        <v>1</v>
      </c>
      <c r="BD170" t="str">
        <f t="shared" si="54"/>
        <v xml:space="preserve">N887QR  </v>
      </c>
      <c r="BE170">
        <v>1</v>
      </c>
      <c r="BG170">
        <v>0</v>
      </c>
      <c r="BH170">
        <v>0</v>
      </c>
      <c r="BI170">
        <v>0</v>
      </c>
      <c r="BJ170">
        <v>750</v>
      </c>
      <c r="BK170">
        <v>-450</v>
      </c>
      <c r="BL170" t="s">
        <v>163</v>
      </c>
      <c r="BM170">
        <v>1</v>
      </c>
      <c r="BN170">
        <v>1</v>
      </c>
      <c r="BO170">
        <v>1</v>
      </c>
      <c r="BP170">
        <v>0</v>
      </c>
      <c r="BS170">
        <v>0</v>
      </c>
      <c r="BT170">
        <v>0</v>
      </c>
      <c r="BU170">
        <v>0</v>
      </c>
      <c r="CE170" t="str">
        <f t="shared" si="70"/>
        <v>19:26:08.487</v>
      </c>
      <c r="CF170">
        <v>1487298598</v>
      </c>
      <c r="CS170">
        <v>3</v>
      </c>
      <c r="CT170">
        <v>2</v>
      </c>
      <c r="CU170">
        <v>0</v>
      </c>
      <c r="CV170">
        <v>2</v>
      </c>
      <c r="CW170">
        <v>0</v>
      </c>
      <c r="CX170">
        <v>5</v>
      </c>
      <c r="CY170">
        <v>7</v>
      </c>
      <c r="CZ170" t="s">
        <v>131</v>
      </c>
      <c r="DA170">
        <v>300</v>
      </c>
      <c r="DB170">
        <v>0</v>
      </c>
      <c r="DC170" t="s">
        <v>176</v>
      </c>
      <c r="DD170" t="s">
        <v>177</v>
      </c>
      <c r="DG170">
        <v>5356029</v>
      </c>
      <c r="DI170">
        <v>0</v>
      </c>
      <c r="DJ170">
        <v>0</v>
      </c>
      <c r="DK170">
        <v>1</v>
      </c>
      <c r="DL170">
        <v>0</v>
      </c>
      <c r="DM170">
        <v>0</v>
      </c>
      <c r="DN170">
        <v>1</v>
      </c>
      <c r="DO170">
        <v>0</v>
      </c>
      <c r="DP170">
        <v>0</v>
      </c>
      <c r="DQ170">
        <v>0</v>
      </c>
      <c r="DR170">
        <v>0</v>
      </c>
      <c r="DS170">
        <v>0</v>
      </c>
    </row>
    <row r="171" spans="1:123" x14ac:dyDescent="0.3">
      <c r="A171" t="str">
        <f>"10/04/2022 19:26:08.774"</f>
        <v>10/04/2022 19:26:08.774</v>
      </c>
      <c r="C171" t="str">
        <f t="shared" si="52"/>
        <v>FFDFD3C0</v>
      </c>
      <c r="D171" t="s">
        <v>123</v>
      </c>
      <c r="E171">
        <v>7</v>
      </c>
      <c r="F171">
        <v>2007</v>
      </c>
      <c r="G171" t="s">
        <v>124</v>
      </c>
      <c r="J171" t="s">
        <v>125</v>
      </c>
      <c r="K171">
        <v>0</v>
      </c>
      <c r="L171">
        <v>3</v>
      </c>
      <c r="M171">
        <v>0</v>
      </c>
      <c r="N171">
        <v>2</v>
      </c>
      <c r="O171">
        <v>0</v>
      </c>
      <c r="P171">
        <v>1</v>
      </c>
      <c r="Q171">
        <v>0</v>
      </c>
      <c r="S171" t="str">
        <f t="shared" si="69"/>
        <v>19:26:07.484</v>
      </c>
      <c r="T171" t="str">
        <f t="shared" si="69"/>
        <v>19:26:07.484</v>
      </c>
      <c r="U171" t="str">
        <f t="shared" si="53"/>
        <v>AC3944</v>
      </c>
      <c r="V171">
        <v>0</v>
      </c>
      <c r="W171">
        <v>0</v>
      </c>
      <c r="X171">
        <v>2</v>
      </c>
      <c r="Y171">
        <v>0</v>
      </c>
      <c r="AA171">
        <v>0</v>
      </c>
      <c r="AB171">
        <v>8</v>
      </c>
      <c r="AC171">
        <v>3</v>
      </c>
      <c r="AD171">
        <v>0</v>
      </c>
      <c r="AE171">
        <v>9</v>
      </c>
      <c r="AF171" t="s">
        <v>138</v>
      </c>
      <c r="AG171">
        <v>0</v>
      </c>
      <c r="AH171">
        <v>3</v>
      </c>
      <c r="AI171">
        <v>1</v>
      </c>
      <c r="AJ171">
        <v>0</v>
      </c>
      <c r="AK171" t="s">
        <v>202</v>
      </c>
      <c r="AL171">
        <v>32.829079999999998</v>
      </c>
      <c r="AM171" t="s">
        <v>203</v>
      </c>
      <c r="AN171">
        <v>-116.98727100000001</v>
      </c>
      <c r="AO171">
        <v>25</v>
      </c>
      <c r="AP171">
        <v>1200</v>
      </c>
      <c r="AQ171" t="s">
        <v>129</v>
      </c>
      <c r="AR171">
        <v>-98</v>
      </c>
      <c r="AS171">
        <v>3</v>
      </c>
      <c r="AT171">
        <v>1728</v>
      </c>
      <c r="BB171">
        <v>1200</v>
      </c>
      <c r="BC171">
        <v>1</v>
      </c>
      <c r="BD171" t="str">
        <f t="shared" si="54"/>
        <v xml:space="preserve">N887QR  </v>
      </c>
      <c r="BE171">
        <v>1</v>
      </c>
      <c r="BG171">
        <v>0</v>
      </c>
      <c r="BH171">
        <v>0</v>
      </c>
      <c r="BI171">
        <v>0</v>
      </c>
      <c r="BJ171">
        <v>750</v>
      </c>
      <c r="BK171">
        <v>-450</v>
      </c>
      <c r="BL171" t="s">
        <v>163</v>
      </c>
      <c r="BM171">
        <v>1</v>
      </c>
      <c r="BN171">
        <v>1</v>
      </c>
      <c r="BO171">
        <v>1</v>
      </c>
      <c r="BP171">
        <v>0</v>
      </c>
      <c r="BS171">
        <v>0</v>
      </c>
      <c r="BT171">
        <v>0</v>
      </c>
      <c r="BU171">
        <v>0</v>
      </c>
      <c r="CE171" t="str">
        <f t="shared" si="70"/>
        <v>19:26:08.487</v>
      </c>
      <c r="CF171">
        <v>1487298598</v>
      </c>
      <c r="CS171">
        <v>3</v>
      </c>
      <c r="CT171">
        <v>2</v>
      </c>
      <c r="CU171">
        <v>0</v>
      </c>
      <c r="CV171">
        <v>2</v>
      </c>
      <c r="CW171">
        <v>0</v>
      </c>
      <c r="CX171">
        <v>5</v>
      </c>
      <c r="CY171">
        <v>7</v>
      </c>
      <c r="CZ171" t="s">
        <v>131</v>
      </c>
      <c r="DA171">
        <v>300</v>
      </c>
      <c r="DB171">
        <v>0</v>
      </c>
      <c r="DC171" t="s">
        <v>176</v>
      </c>
      <c r="DD171" t="s">
        <v>177</v>
      </c>
      <c r="DG171">
        <v>5356029</v>
      </c>
      <c r="DI171">
        <v>0</v>
      </c>
      <c r="DJ171">
        <v>0</v>
      </c>
      <c r="DK171">
        <v>1</v>
      </c>
      <c r="DL171">
        <v>0</v>
      </c>
      <c r="DM171">
        <v>0</v>
      </c>
      <c r="DN171">
        <v>1</v>
      </c>
      <c r="DO171">
        <v>0</v>
      </c>
      <c r="DP171">
        <v>0</v>
      </c>
      <c r="DQ171">
        <v>0</v>
      </c>
      <c r="DR171">
        <v>0</v>
      </c>
      <c r="DS171">
        <v>0</v>
      </c>
    </row>
    <row r="172" spans="1:123" x14ac:dyDescent="0.3">
      <c r="A172" t="str">
        <f>"10/04/2022 19:26:08.790"</f>
        <v>10/04/2022 19:26:08.790</v>
      </c>
      <c r="C172" t="str">
        <f t="shared" si="52"/>
        <v>FFDFD3C0</v>
      </c>
      <c r="D172" t="s">
        <v>141</v>
      </c>
      <c r="E172">
        <v>3</v>
      </c>
      <c r="H172">
        <v>3</v>
      </c>
      <c r="I172" t="s">
        <v>146</v>
      </c>
      <c r="J172" t="s">
        <v>138</v>
      </c>
      <c r="K172">
        <v>0</v>
      </c>
      <c r="L172">
        <v>3</v>
      </c>
      <c r="M172">
        <v>0</v>
      </c>
      <c r="N172">
        <v>2</v>
      </c>
      <c r="O172">
        <v>0</v>
      </c>
      <c r="P172">
        <v>1</v>
      </c>
      <c r="Q172">
        <v>0</v>
      </c>
      <c r="S172" t="str">
        <f t="shared" si="69"/>
        <v>19:26:07.484</v>
      </c>
      <c r="T172" t="str">
        <f t="shared" si="69"/>
        <v>19:26:07.484</v>
      </c>
      <c r="U172" t="str">
        <f t="shared" si="53"/>
        <v>AC3944</v>
      </c>
      <c r="V172">
        <v>0</v>
      </c>
      <c r="W172">
        <v>0</v>
      </c>
      <c r="X172">
        <v>2</v>
      </c>
      <c r="Y172">
        <v>0</v>
      </c>
      <c r="AA172">
        <v>0</v>
      </c>
      <c r="AB172">
        <v>8</v>
      </c>
      <c r="AC172">
        <v>3</v>
      </c>
      <c r="AD172">
        <v>0</v>
      </c>
      <c r="AE172">
        <v>9</v>
      </c>
      <c r="AF172" t="s">
        <v>138</v>
      </c>
      <c r="AG172">
        <v>0</v>
      </c>
      <c r="AH172">
        <v>3</v>
      </c>
      <c r="AI172">
        <v>1</v>
      </c>
      <c r="AJ172">
        <v>0</v>
      </c>
      <c r="AK172" t="s">
        <v>202</v>
      </c>
      <c r="AL172">
        <v>32.829079999999998</v>
      </c>
      <c r="AM172" t="s">
        <v>203</v>
      </c>
      <c r="AN172">
        <v>-116.98727100000001</v>
      </c>
      <c r="AO172">
        <v>25</v>
      </c>
      <c r="AP172">
        <v>1200</v>
      </c>
      <c r="AQ172" t="s">
        <v>129</v>
      </c>
      <c r="AR172">
        <v>-98</v>
      </c>
      <c r="AS172">
        <v>3</v>
      </c>
      <c r="AT172">
        <v>1728</v>
      </c>
      <c r="BB172">
        <v>1200</v>
      </c>
      <c r="BC172">
        <v>1</v>
      </c>
      <c r="BD172" t="str">
        <f t="shared" si="54"/>
        <v xml:space="preserve">N887QR  </v>
      </c>
      <c r="BE172">
        <v>1</v>
      </c>
      <c r="BG172">
        <v>0</v>
      </c>
      <c r="BH172">
        <v>0</v>
      </c>
      <c r="BI172">
        <v>0</v>
      </c>
      <c r="BJ172">
        <v>750</v>
      </c>
      <c r="BK172">
        <v>-450</v>
      </c>
      <c r="BL172" t="s">
        <v>163</v>
      </c>
      <c r="BM172">
        <v>1</v>
      </c>
      <c r="BN172">
        <v>1</v>
      </c>
      <c r="BO172">
        <v>1</v>
      </c>
      <c r="BP172">
        <v>0</v>
      </c>
      <c r="BS172">
        <v>0</v>
      </c>
      <c r="BT172">
        <v>0</v>
      </c>
      <c r="BU172">
        <v>0</v>
      </c>
      <c r="CE172" t="str">
        <f t="shared" si="70"/>
        <v>19:26:08.487</v>
      </c>
      <c r="CF172">
        <v>1487298598</v>
      </c>
      <c r="CS172">
        <v>3</v>
      </c>
      <c r="CT172">
        <v>2</v>
      </c>
      <c r="CU172">
        <v>0</v>
      </c>
      <c r="CV172">
        <v>2</v>
      </c>
      <c r="CW172">
        <v>0</v>
      </c>
      <c r="CX172">
        <v>5</v>
      </c>
      <c r="CY172">
        <v>7</v>
      </c>
      <c r="CZ172" t="s">
        <v>131</v>
      </c>
      <c r="DA172">
        <v>300</v>
      </c>
      <c r="DB172">
        <v>0</v>
      </c>
      <c r="DC172" t="s">
        <v>176</v>
      </c>
      <c r="DD172" t="s">
        <v>177</v>
      </c>
      <c r="DG172">
        <v>5356029</v>
      </c>
      <c r="DI172">
        <v>0</v>
      </c>
      <c r="DJ172">
        <v>0</v>
      </c>
      <c r="DK172">
        <v>1</v>
      </c>
      <c r="DL172">
        <v>0</v>
      </c>
      <c r="DM172">
        <v>0</v>
      </c>
      <c r="DN172">
        <v>1</v>
      </c>
      <c r="DO172">
        <v>0</v>
      </c>
      <c r="DP172">
        <v>0</v>
      </c>
      <c r="DQ172">
        <v>0</v>
      </c>
      <c r="DR172">
        <v>0</v>
      </c>
      <c r="DS172">
        <v>0</v>
      </c>
    </row>
    <row r="173" spans="1:123" x14ac:dyDescent="0.3">
      <c r="A173" t="str">
        <f>"10/04/2022 19:26:08.790"</f>
        <v>10/04/2022 19:26:08.790</v>
      </c>
      <c r="C173" t="str">
        <f t="shared" si="52"/>
        <v>FFDFD3C0</v>
      </c>
      <c r="D173" t="s">
        <v>134</v>
      </c>
      <c r="E173">
        <v>15</v>
      </c>
      <c r="J173" t="s">
        <v>135</v>
      </c>
      <c r="K173">
        <v>0</v>
      </c>
      <c r="L173">
        <v>3</v>
      </c>
      <c r="M173">
        <v>0</v>
      </c>
      <c r="N173">
        <v>2</v>
      </c>
      <c r="O173">
        <v>0</v>
      </c>
      <c r="P173">
        <v>1</v>
      </c>
      <c r="Q173">
        <v>0</v>
      </c>
      <c r="S173" t="str">
        <f t="shared" si="69"/>
        <v>19:26:07.484</v>
      </c>
      <c r="T173" t="str">
        <f t="shared" si="69"/>
        <v>19:26:07.484</v>
      </c>
      <c r="U173" t="str">
        <f t="shared" si="53"/>
        <v>AC3944</v>
      </c>
      <c r="V173">
        <v>0</v>
      </c>
      <c r="W173">
        <v>0</v>
      </c>
      <c r="X173">
        <v>2</v>
      </c>
      <c r="Y173">
        <v>0</v>
      </c>
      <c r="AA173">
        <v>0</v>
      </c>
      <c r="AB173">
        <v>8</v>
      </c>
      <c r="AC173">
        <v>3</v>
      </c>
      <c r="AD173">
        <v>0</v>
      </c>
      <c r="AE173">
        <v>9</v>
      </c>
      <c r="AF173" t="s">
        <v>138</v>
      </c>
      <c r="AG173">
        <v>0</v>
      </c>
      <c r="AH173">
        <v>3</v>
      </c>
      <c r="AI173">
        <v>1</v>
      </c>
      <c r="AJ173">
        <v>0</v>
      </c>
      <c r="AK173" t="s">
        <v>202</v>
      </c>
      <c r="AL173">
        <v>32.829079999999998</v>
      </c>
      <c r="AM173" t="s">
        <v>203</v>
      </c>
      <c r="AN173">
        <v>-116.98727100000001</v>
      </c>
      <c r="AO173">
        <v>25</v>
      </c>
      <c r="AP173">
        <v>1200</v>
      </c>
      <c r="AQ173" t="s">
        <v>129</v>
      </c>
      <c r="AR173">
        <v>-98</v>
      </c>
      <c r="AS173">
        <v>3</v>
      </c>
      <c r="AT173">
        <v>1728</v>
      </c>
      <c r="BB173">
        <v>1200</v>
      </c>
      <c r="BC173">
        <v>1</v>
      </c>
      <c r="BD173" t="str">
        <f t="shared" si="54"/>
        <v xml:space="preserve">N887QR  </v>
      </c>
      <c r="BE173">
        <v>1</v>
      </c>
      <c r="BG173">
        <v>0</v>
      </c>
      <c r="BH173">
        <v>0</v>
      </c>
      <c r="BI173">
        <v>0</v>
      </c>
      <c r="BJ173">
        <v>750</v>
      </c>
      <c r="BK173">
        <v>-450</v>
      </c>
      <c r="BL173" t="s">
        <v>163</v>
      </c>
      <c r="BM173">
        <v>1</v>
      </c>
      <c r="BN173">
        <v>1</v>
      </c>
      <c r="BO173">
        <v>1</v>
      </c>
      <c r="BP173">
        <v>0</v>
      </c>
      <c r="BS173">
        <v>0</v>
      </c>
      <c r="BT173">
        <v>0</v>
      </c>
      <c r="BU173">
        <v>0</v>
      </c>
      <c r="CE173" t="str">
        <f t="shared" si="70"/>
        <v>19:26:08.487</v>
      </c>
      <c r="CF173">
        <v>1487298598</v>
      </c>
      <c r="CS173">
        <v>3</v>
      </c>
      <c r="CT173">
        <v>2</v>
      </c>
      <c r="CU173">
        <v>0</v>
      </c>
      <c r="CV173">
        <v>2</v>
      </c>
      <c r="CW173">
        <v>0</v>
      </c>
      <c r="CX173">
        <v>5</v>
      </c>
      <c r="CY173">
        <v>7</v>
      </c>
      <c r="CZ173" t="s">
        <v>131</v>
      </c>
      <c r="DA173">
        <v>300</v>
      </c>
      <c r="DB173">
        <v>0</v>
      </c>
      <c r="DC173" t="s">
        <v>176</v>
      </c>
      <c r="DD173" t="s">
        <v>177</v>
      </c>
      <c r="DG173">
        <v>5356029</v>
      </c>
      <c r="DI173">
        <v>0</v>
      </c>
      <c r="DJ173">
        <v>0</v>
      </c>
      <c r="DK173">
        <v>1</v>
      </c>
      <c r="DL173">
        <v>0</v>
      </c>
      <c r="DM173">
        <v>0</v>
      </c>
      <c r="DN173">
        <v>1</v>
      </c>
      <c r="DO173">
        <v>0</v>
      </c>
      <c r="DP173">
        <v>0</v>
      </c>
      <c r="DQ173">
        <v>0</v>
      </c>
      <c r="DR173">
        <v>0</v>
      </c>
      <c r="DS173">
        <v>0</v>
      </c>
    </row>
    <row r="174" spans="1:123" x14ac:dyDescent="0.3">
      <c r="A174" t="str">
        <f>"10/04/2022 19:26:09.024"</f>
        <v>10/04/2022 19:26:09.024</v>
      </c>
      <c r="C174" t="str">
        <f t="shared" si="52"/>
        <v>FFDFD3C0</v>
      </c>
      <c r="D174" t="s">
        <v>147</v>
      </c>
      <c r="E174">
        <v>3</v>
      </c>
      <c r="H174">
        <v>166</v>
      </c>
      <c r="I174" t="s">
        <v>144</v>
      </c>
      <c r="J174" t="s">
        <v>148</v>
      </c>
      <c r="K174">
        <v>0</v>
      </c>
      <c r="L174">
        <v>3</v>
      </c>
      <c r="M174">
        <v>0</v>
      </c>
      <c r="N174">
        <v>2</v>
      </c>
      <c r="O174">
        <v>0</v>
      </c>
      <c r="P174">
        <v>1</v>
      </c>
      <c r="Q174">
        <v>0</v>
      </c>
      <c r="S174" t="str">
        <f t="shared" ref="S174:T180" si="71">"19:26:07.820"</f>
        <v>19:26:07.820</v>
      </c>
      <c r="T174" t="str">
        <f t="shared" si="71"/>
        <v>19:26:07.820</v>
      </c>
      <c r="U174" t="str">
        <f t="shared" si="53"/>
        <v>AC3944</v>
      </c>
      <c r="V174">
        <v>0</v>
      </c>
      <c r="W174">
        <v>0</v>
      </c>
      <c r="X174">
        <v>2</v>
      </c>
      <c r="Y174">
        <v>0</v>
      </c>
      <c r="AA174">
        <v>0</v>
      </c>
      <c r="AB174">
        <v>8</v>
      </c>
      <c r="AC174">
        <v>3</v>
      </c>
      <c r="AD174">
        <v>0</v>
      </c>
      <c r="AE174">
        <v>9</v>
      </c>
      <c r="AF174" t="s">
        <v>138</v>
      </c>
      <c r="AG174">
        <v>0</v>
      </c>
      <c r="AH174">
        <v>3</v>
      </c>
      <c r="AI174">
        <v>1</v>
      </c>
      <c r="AJ174">
        <v>0</v>
      </c>
      <c r="AK174" t="s">
        <v>204</v>
      </c>
      <c r="AL174">
        <v>32.829101000000001</v>
      </c>
      <c r="AM174" t="s">
        <v>205</v>
      </c>
      <c r="AN174">
        <v>-116.987915</v>
      </c>
      <c r="AO174">
        <v>25</v>
      </c>
      <c r="AP174">
        <v>1200</v>
      </c>
      <c r="AQ174" t="s">
        <v>129</v>
      </c>
      <c r="AR174">
        <v>-98</v>
      </c>
      <c r="AS174">
        <v>2</v>
      </c>
      <c r="AT174">
        <v>1728</v>
      </c>
      <c r="BB174">
        <v>1200</v>
      </c>
      <c r="BC174">
        <v>1</v>
      </c>
      <c r="BD174" t="str">
        <f t="shared" si="54"/>
        <v xml:space="preserve">N887QR  </v>
      </c>
      <c r="BE174">
        <v>1</v>
      </c>
      <c r="BG174">
        <v>0</v>
      </c>
      <c r="BH174">
        <v>0</v>
      </c>
      <c r="BI174">
        <v>0</v>
      </c>
      <c r="BJ174">
        <v>875</v>
      </c>
      <c r="BK174">
        <v>-325</v>
      </c>
      <c r="BL174" t="s">
        <v>163</v>
      </c>
      <c r="BM174">
        <v>1</v>
      </c>
      <c r="BN174">
        <v>1</v>
      </c>
      <c r="BO174">
        <v>1</v>
      </c>
      <c r="BP174">
        <v>0</v>
      </c>
      <c r="BS174">
        <v>0</v>
      </c>
      <c r="BT174">
        <v>0</v>
      </c>
      <c r="BU174">
        <v>0</v>
      </c>
      <c r="CE174" t="str">
        <f t="shared" ref="CE174:CE180" si="72">"19:26:08.822"</f>
        <v>19:26:08.822</v>
      </c>
      <c r="CF174">
        <v>1822049621</v>
      </c>
      <c r="CS174">
        <v>3</v>
      </c>
      <c r="CT174">
        <v>2</v>
      </c>
      <c r="CU174">
        <v>0</v>
      </c>
      <c r="CV174">
        <v>2</v>
      </c>
      <c r="CW174">
        <v>0</v>
      </c>
      <c r="CX174">
        <v>5</v>
      </c>
      <c r="CY174">
        <v>7</v>
      </c>
      <c r="CZ174" t="s">
        <v>131</v>
      </c>
      <c r="DA174">
        <v>300</v>
      </c>
      <c r="DB174">
        <v>0</v>
      </c>
      <c r="DC174" t="s">
        <v>176</v>
      </c>
      <c r="DD174" t="s">
        <v>177</v>
      </c>
      <c r="DG174">
        <v>5356086</v>
      </c>
      <c r="DI174">
        <v>0</v>
      </c>
      <c r="DJ174">
        <v>0</v>
      </c>
      <c r="DK174">
        <v>0</v>
      </c>
      <c r="DL174">
        <v>0</v>
      </c>
      <c r="DM174">
        <v>0</v>
      </c>
      <c r="DN174">
        <v>1</v>
      </c>
      <c r="DO174">
        <v>0</v>
      </c>
      <c r="DP174">
        <v>0</v>
      </c>
      <c r="DQ174">
        <v>0</v>
      </c>
      <c r="DR174">
        <v>0</v>
      </c>
      <c r="DS174">
        <v>0</v>
      </c>
    </row>
    <row r="175" spans="1:123" x14ac:dyDescent="0.3">
      <c r="A175" t="str">
        <f>"10/04/2022 19:26:09.024"</f>
        <v>10/04/2022 19:26:09.024</v>
      </c>
      <c r="C175" t="str">
        <f t="shared" si="52"/>
        <v>FFDFD3C0</v>
      </c>
      <c r="D175" t="s">
        <v>123</v>
      </c>
      <c r="E175">
        <v>7</v>
      </c>
      <c r="F175">
        <v>2007</v>
      </c>
      <c r="G175" t="s">
        <v>124</v>
      </c>
      <c r="J175" t="s">
        <v>125</v>
      </c>
      <c r="K175">
        <v>0</v>
      </c>
      <c r="L175">
        <v>3</v>
      </c>
      <c r="M175">
        <v>0</v>
      </c>
      <c r="N175">
        <v>2</v>
      </c>
      <c r="O175">
        <v>0</v>
      </c>
      <c r="P175">
        <v>1</v>
      </c>
      <c r="Q175">
        <v>0</v>
      </c>
      <c r="S175" t="str">
        <f t="shared" si="71"/>
        <v>19:26:07.820</v>
      </c>
      <c r="T175" t="str">
        <f t="shared" si="71"/>
        <v>19:26:07.820</v>
      </c>
      <c r="U175" t="str">
        <f t="shared" si="53"/>
        <v>AC3944</v>
      </c>
      <c r="V175">
        <v>0</v>
      </c>
      <c r="W175">
        <v>0</v>
      </c>
      <c r="X175">
        <v>2</v>
      </c>
      <c r="Y175">
        <v>0</v>
      </c>
      <c r="AA175">
        <v>0</v>
      </c>
      <c r="AB175">
        <v>8</v>
      </c>
      <c r="AC175">
        <v>3</v>
      </c>
      <c r="AD175">
        <v>0</v>
      </c>
      <c r="AE175">
        <v>9</v>
      </c>
      <c r="AF175" t="s">
        <v>138</v>
      </c>
      <c r="AG175">
        <v>0</v>
      </c>
      <c r="AH175">
        <v>3</v>
      </c>
      <c r="AI175">
        <v>1</v>
      </c>
      <c r="AJ175">
        <v>0</v>
      </c>
      <c r="AK175" t="s">
        <v>204</v>
      </c>
      <c r="AL175">
        <v>32.829101000000001</v>
      </c>
      <c r="AM175" t="s">
        <v>205</v>
      </c>
      <c r="AN175">
        <v>-116.987915</v>
      </c>
      <c r="AO175">
        <v>25</v>
      </c>
      <c r="AP175">
        <v>1200</v>
      </c>
      <c r="AQ175" t="s">
        <v>129</v>
      </c>
      <c r="AR175">
        <v>-98</v>
      </c>
      <c r="AS175">
        <v>2</v>
      </c>
      <c r="AT175">
        <v>1728</v>
      </c>
      <c r="BB175">
        <v>1200</v>
      </c>
      <c r="BC175">
        <v>1</v>
      </c>
      <c r="BD175" t="str">
        <f t="shared" si="54"/>
        <v xml:space="preserve">N887QR  </v>
      </c>
      <c r="BE175">
        <v>1</v>
      </c>
      <c r="BG175">
        <v>0</v>
      </c>
      <c r="BH175">
        <v>0</v>
      </c>
      <c r="BI175">
        <v>0</v>
      </c>
      <c r="BJ175">
        <v>875</v>
      </c>
      <c r="BK175">
        <v>-325</v>
      </c>
      <c r="BL175" t="s">
        <v>163</v>
      </c>
      <c r="BM175">
        <v>1</v>
      </c>
      <c r="BN175">
        <v>1</v>
      </c>
      <c r="BO175">
        <v>1</v>
      </c>
      <c r="BP175">
        <v>0</v>
      </c>
      <c r="BS175">
        <v>0</v>
      </c>
      <c r="BT175">
        <v>0</v>
      </c>
      <c r="BU175">
        <v>0</v>
      </c>
      <c r="CE175" t="str">
        <f t="shared" si="72"/>
        <v>19:26:08.822</v>
      </c>
      <c r="CF175">
        <v>1822049621</v>
      </c>
      <c r="CS175">
        <v>3</v>
      </c>
      <c r="CT175">
        <v>2</v>
      </c>
      <c r="CU175">
        <v>0</v>
      </c>
      <c r="CV175">
        <v>2</v>
      </c>
      <c r="CW175">
        <v>0</v>
      </c>
      <c r="CX175">
        <v>5</v>
      </c>
      <c r="CY175">
        <v>7</v>
      </c>
      <c r="CZ175" t="s">
        <v>131</v>
      </c>
      <c r="DA175">
        <v>300</v>
      </c>
      <c r="DB175">
        <v>0</v>
      </c>
      <c r="DC175" t="s">
        <v>176</v>
      </c>
      <c r="DD175" t="s">
        <v>177</v>
      </c>
      <c r="DG175">
        <v>5356086</v>
      </c>
      <c r="DI175">
        <v>0</v>
      </c>
      <c r="DJ175">
        <v>0</v>
      </c>
      <c r="DK175">
        <v>1</v>
      </c>
      <c r="DL175">
        <v>0</v>
      </c>
      <c r="DM175">
        <v>0</v>
      </c>
      <c r="DN175">
        <v>1</v>
      </c>
      <c r="DO175">
        <v>0</v>
      </c>
      <c r="DP175">
        <v>0</v>
      </c>
      <c r="DQ175">
        <v>0</v>
      </c>
      <c r="DR175">
        <v>0</v>
      </c>
      <c r="DS175">
        <v>0</v>
      </c>
    </row>
    <row r="176" spans="1:123" x14ac:dyDescent="0.3">
      <c r="A176" t="str">
        <f>"10/04/2022 19:26:09.024"</f>
        <v>10/04/2022 19:26:09.024</v>
      </c>
      <c r="C176" t="str">
        <f t="shared" si="52"/>
        <v>FFDFD3C0</v>
      </c>
      <c r="D176" t="s">
        <v>141</v>
      </c>
      <c r="E176">
        <v>3</v>
      </c>
      <c r="H176">
        <v>3</v>
      </c>
      <c r="I176" t="s">
        <v>146</v>
      </c>
      <c r="J176" t="s">
        <v>138</v>
      </c>
      <c r="K176">
        <v>0</v>
      </c>
      <c r="L176">
        <v>3</v>
      </c>
      <c r="M176">
        <v>0</v>
      </c>
      <c r="N176">
        <v>2</v>
      </c>
      <c r="O176">
        <v>0</v>
      </c>
      <c r="P176">
        <v>1</v>
      </c>
      <c r="Q176">
        <v>0</v>
      </c>
      <c r="S176" t="str">
        <f t="shared" si="71"/>
        <v>19:26:07.820</v>
      </c>
      <c r="T176" t="str">
        <f t="shared" si="71"/>
        <v>19:26:07.820</v>
      </c>
      <c r="U176" t="str">
        <f t="shared" si="53"/>
        <v>AC3944</v>
      </c>
      <c r="V176">
        <v>0</v>
      </c>
      <c r="W176">
        <v>0</v>
      </c>
      <c r="X176">
        <v>2</v>
      </c>
      <c r="Y176">
        <v>0</v>
      </c>
      <c r="AA176">
        <v>0</v>
      </c>
      <c r="AB176">
        <v>8</v>
      </c>
      <c r="AC176">
        <v>3</v>
      </c>
      <c r="AD176">
        <v>0</v>
      </c>
      <c r="AE176">
        <v>9</v>
      </c>
      <c r="AF176" t="s">
        <v>138</v>
      </c>
      <c r="AG176">
        <v>0</v>
      </c>
      <c r="AH176">
        <v>3</v>
      </c>
      <c r="AI176">
        <v>1</v>
      </c>
      <c r="AJ176">
        <v>0</v>
      </c>
      <c r="AK176" t="s">
        <v>204</v>
      </c>
      <c r="AL176">
        <v>32.829101000000001</v>
      </c>
      <c r="AM176" t="s">
        <v>205</v>
      </c>
      <c r="AN176">
        <v>-116.987915</v>
      </c>
      <c r="AO176">
        <v>25</v>
      </c>
      <c r="AP176">
        <v>1200</v>
      </c>
      <c r="AQ176" t="s">
        <v>129</v>
      </c>
      <c r="AR176">
        <v>-98</v>
      </c>
      <c r="AS176">
        <v>2</v>
      </c>
      <c r="AT176">
        <v>1728</v>
      </c>
      <c r="BB176">
        <v>1200</v>
      </c>
      <c r="BC176">
        <v>1</v>
      </c>
      <c r="BD176" t="str">
        <f t="shared" si="54"/>
        <v xml:space="preserve">N887QR  </v>
      </c>
      <c r="BE176">
        <v>1</v>
      </c>
      <c r="BG176">
        <v>0</v>
      </c>
      <c r="BH176">
        <v>0</v>
      </c>
      <c r="BI176">
        <v>0</v>
      </c>
      <c r="BJ176">
        <v>875</v>
      </c>
      <c r="BK176">
        <v>-325</v>
      </c>
      <c r="BL176" t="s">
        <v>163</v>
      </c>
      <c r="BM176">
        <v>1</v>
      </c>
      <c r="BN176">
        <v>1</v>
      </c>
      <c r="BO176">
        <v>1</v>
      </c>
      <c r="BP176">
        <v>0</v>
      </c>
      <c r="BS176">
        <v>0</v>
      </c>
      <c r="BT176">
        <v>0</v>
      </c>
      <c r="BU176">
        <v>0</v>
      </c>
      <c r="CE176" t="str">
        <f t="shared" si="72"/>
        <v>19:26:08.822</v>
      </c>
      <c r="CF176">
        <v>1822049621</v>
      </c>
      <c r="CS176">
        <v>3</v>
      </c>
      <c r="CT176">
        <v>2</v>
      </c>
      <c r="CU176">
        <v>0</v>
      </c>
      <c r="CV176">
        <v>2</v>
      </c>
      <c r="CW176">
        <v>0</v>
      </c>
      <c r="CX176">
        <v>5</v>
      </c>
      <c r="CY176">
        <v>7</v>
      </c>
      <c r="CZ176" t="s">
        <v>131</v>
      </c>
      <c r="DA176">
        <v>300</v>
      </c>
      <c r="DB176">
        <v>0</v>
      </c>
      <c r="DC176" t="s">
        <v>176</v>
      </c>
      <c r="DD176" t="s">
        <v>177</v>
      </c>
      <c r="DG176">
        <v>5356086</v>
      </c>
      <c r="DI176">
        <v>0</v>
      </c>
      <c r="DJ176">
        <v>0</v>
      </c>
      <c r="DK176">
        <v>1</v>
      </c>
      <c r="DL176">
        <v>0</v>
      </c>
      <c r="DM176">
        <v>0</v>
      </c>
      <c r="DN176">
        <v>1</v>
      </c>
      <c r="DO176">
        <v>0</v>
      </c>
      <c r="DP176">
        <v>0</v>
      </c>
      <c r="DQ176">
        <v>0</v>
      </c>
      <c r="DR176">
        <v>0</v>
      </c>
      <c r="DS176">
        <v>0</v>
      </c>
    </row>
    <row r="177" spans="1:123" x14ac:dyDescent="0.3">
      <c r="A177" t="str">
        <f>"10/04/2022 19:26:09.024"</f>
        <v>10/04/2022 19:26:09.024</v>
      </c>
      <c r="C177" t="str">
        <f t="shared" si="52"/>
        <v>FFDFD3C0</v>
      </c>
      <c r="D177" t="s">
        <v>134</v>
      </c>
      <c r="E177">
        <v>15</v>
      </c>
      <c r="J177" t="s">
        <v>135</v>
      </c>
      <c r="K177">
        <v>0</v>
      </c>
      <c r="L177">
        <v>3</v>
      </c>
      <c r="M177">
        <v>0</v>
      </c>
      <c r="N177">
        <v>2</v>
      </c>
      <c r="O177">
        <v>0</v>
      </c>
      <c r="P177">
        <v>1</v>
      </c>
      <c r="Q177">
        <v>0</v>
      </c>
      <c r="S177" t="str">
        <f t="shared" si="71"/>
        <v>19:26:07.820</v>
      </c>
      <c r="T177" t="str">
        <f t="shared" si="71"/>
        <v>19:26:07.820</v>
      </c>
      <c r="U177" t="str">
        <f t="shared" si="53"/>
        <v>AC3944</v>
      </c>
      <c r="V177">
        <v>0</v>
      </c>
      <c r="W177">
        <v>0</v>
      </c>
      <c r="X177">
        <v>2</v>
      </c>
      <c r="Y177">
        <v>0</v>
      </c>
      <c r="AA177">
        <v>0</v>
      </c>
      <c r="AB177">
        <v>8</v>
      </c>
      <c r="AC177">
        <v>3</v>
      </c>
      <c r="AD177">
        <v>0</v>
      </c>
      <c r="AE177">
        <v>9</v>
      </c>
      <c r="AF177" t="s">
        <v>138</v>
      </c>
      <c r="AG177">
        <v>0</v>
      </c>
      <c r="AH177">
        <v>3</v>
      </c>
      <c r="AI177">
        <v>1</v>
      </c>
      <c r="AJ177">
        <v>0</v>
      </c>
      <c r="AK177" t="s">
        <v>204</v>
      </c>
      <c r="AL177">
        <v>32.829101000000001</v>
      </c>
      <c r="AM177" t="s">
        <v>205</v>
      </c>
      <c r="AN177">
        <v>-116.987915</v>
      </c>
      <c r="AO177">
        <v>25</v>
      </c>
      <c r="AP177">
        <v>1200</v>
      </c>
      <c r="AQ177" t="s">
        <v>129</v>
      </c>
      <c r="AR177">
        <v>-98</v>
      </c>
      <c r="AS177">
        <v>2</v>
      </c>
      <c r="AT177">
        <v>1728</v>
      </c>
      <c r="BB177">
        <v>1200</v>
      </c>
      <c r="BC177">
        <v>1</v>
      </c>
      <c r="BD177" t="str">
        <f t="shared" si="54"/>
        <v xml:space="preserve">N887QR  </v>
      </c>
      <c r="BE177">
        <v>1</v>
      </c>
      <c r="BG177">
        <v>0</v>
      </c>
      <c r="BH177">
        <v>0</v>
      </c>
      <c r="BI177">
        <v>0</v>
      </c>
      <c r="BJ177">
        <v>875</v>
      </c>
      <c r="BK177">
        <v>-325</v>
      </c>
      <c r="BL177" t="s">
        <v>163</v>
      </c>
      <c r="BM177">
        <v>1</v>
      </c>
      <c r="BN177">
        <v>1</v>
      </c>
      <c r="BO177">
        <v>1</v>
      </c>
      <c r="BP177">
        <v>0</v>
      </c>
      <c r="BS177">
        <v>0</v>
      </c>
      <c r="BT177">
        <v>0</v>
      </c>
      <c r="BU177">
        <v>0</v>
      </c>
      <c r="CE177" t="str">
        <f t="shared" si="72"/>
        <v>19:26:08.822</v>
      </c>
      <c r="CF177">
        <v>1822049621</v>
      </c>
      <c r="CS177">
        <v>3</v>
      </c>
      <c r="CT177">
        <v>2</v>
      </c>
      <c r="CU177">
        <v>0</v>
      </c>
      <c r="CV177">
        <v>2</v>
      </c>
      <c r="CW177">
        <v>0</v>
      </c>
      <c r="CX177">
        <v>5</v>
      </c>
      <c r="CY177">
        <v>7</v>
      </c>
      <c r="CZ177" t="s">
        <v>131</v>
      </c>
      <c r="DA177">
        <v>300</v>
      </c>
      <c r="DB177">
        <v>0</v>
      </c>
      <c r="DC177" t="s">
        <v>176</v>
      </c>
      <c r="DD177" t="s">
        <v>177</v>
      </c>
      <c r="DG177">
        <v>5356086</v>
      </c>
      <c r="DI177">
        <v>0</v>
      </c>
      <c r="DJ177">
        <v>0</v>
      </c>
      <c r="DK177">
        <v>1</v>
      </c>
      <c r="DL177">
        <v>0</v>
      </c>
      <c r="DM177">
        <v>0</v>
      </c>
      <c r="DN177">
        <v>1</v>
      </c>
      <c r="DO177">
        <v>0</v>
      </c>
      <c r="DP177">
        <v>0</v>
      </c>
      <c r="DQ177">
        <v>0</v>
      </c>
      <c r="DR177">
        <v>0</v>
      </c>
      <c r="DS177">
        <v>0</v>
      </c>
    </row>
    <row r="178" spans="1:123" x14ac:dyDescent="0.3">
      <c r="A178" t="str">
        <f>"10/04/2022 19:26:09.071"</f>
        <v>10/04/2022 19:26:09.071</v>
      </c>
      <c r="C178" t="str">
        <f t="shared" si="52"/>
        <v>FFDFD3C0</v>
      </c>
      <c r="D178" t="s">
        <v>136</v>
      </c>
      <c r="E178">
        <v>8</v>
      </c>
      <c r="H178">
        <v>225</v>
      </c>
      <c r="I178" t="s">
        <v>137</v>
      </c>
      <c r="J178" t="s">
        <v>138</v>
      </c>
      <c r="K178">
        <v>0</v>
      </c>
      <c r="L178">
        <v>3</v>
      </c>
      <c r="M178">
        <v>0</v>
      </c>
      <c r="N178">
        <v>2</v>
      </c>
      <c r="O178">
        <v>0</v>
      </c>
      <c r="P178">
        <v>1</v>
      </c>
      <c r="Q178">
        <v>0</v>
      </c>
      <c r="S178" t="str">
        <f t="shared" si="71"/>
        <v>19:26:07.820</v>
      </c>
      <c r="T178" t="str">
        <f t="shared" si="71"/>
        <v>19:26:07.820</v>
      </c>
      <c r="U178" t="str">
        <f t="shared" si="53"/>
        <v>AC3944</v>
      </c>
      <c r="V178">
        <v>0</v>
      </c>
      <c r="W178">
        <v>0</v>
      </c>
      <c r="X178">
        <v>2</v>
      </c>
      <c r="Y178">
        <v>0</v>
      </c>
      <c r="AA178">
        <v>0</v>
      </c>
      <c r="AB178">
        <v>8</v>
      </c>
      <c r="AC178">
        <v>3</v>
      </c>
      <c r="AD178">
        <v>0</v>
      </c>
      <c r="AE178">
        <v>9</v>
      </c>
      <c r="AF178" t="s">
        <v>138</v>
      </c>
      <c r="AG178">
        <v>0</v>
      </c>
      <c r="AH178">
        <v>3</v>
      </c>
      <c r="AI178">
        <v>1</v>
      </c>
      <c r="AJ178">
        <v>0</v>
      </c>
      <c r="AK178" t="s">
        <v>204</v>
      </c>
      <c r="AL178">
        <v>32.829101000000001</v>
      </c>
      <c r="AM178" t="s">
        <v>205</v>
      </c>
      <c r="AN178">
        <v>-116.987915</v>
      </c>
      <c r="AO178">
        <v>25</v>
      </c>
      <c r="AP178">
        <v>1200</v>
      </c>
      <c r="AQ178" t="s">
        <v>129</v>
      </c>
      <c r="AR178">
        <v>-98</v>
      </c>
      <c r="AS178">
        <v>2</v>
      </c>
      <c r="AT178">
        <v>1728</v>
      </c>
      <c r="BB178">
        <v>1200</v>
      </c>
      <c r="BC178">
        <v>1</v>
      </c>
      <c r="BD178" t="str">
        <f t="shared" si="54"/>
        <v xml:space="preserve">N887QR  </v>
      </c>
      <c r="BE178">
        <v>1</v>
      </c>
      <c r="BG178">
        <v>0</v>
      </c>
      <c r="BH178">
        <v>0</v>
      </c>
      <c r="BI178">
        <v>0</v>
      </c>
      <c r="BJ178">
        <v>875</v>
      </c>
      <c r="BK178">
        <v>-325</v>
      </c>
      <c r="BL178" t="s">
        <v>163</v>
      </c>
      <c r="BM178">
        <v>1</v>
      </c>
      <c r="BN178">
        <v>1</v>
      </c>
      <c r="BO178">
        <v>1</v>
      </c>
      <c r="BP178">
        <v>0</v>
      </c>
      <c r="BS178">
        <v>0</v>
      </c>
      <c r="BT178">
        <v>0</v>
      </c>
      <c r="BU178">
        <v>0</v>
      </c>
      <c r="CE178" t="str">
        <f t="shared" si="72"/>
        <v>19:26:08.822</v>
      </c>
      <c r="CF178">
        <v>1822049621</v>
      </c>
      <c r="CS178">
        <v>3</v>
      </c>
      <c r="CT178">
        <v>2</v>
      </c>
      <c r="CU178">
        <v>0</v>
      </c>
      <c r="CV178">
        <v>2</v>
      </c>
      <c r="CW178">
        <v>0</v>
      </c>
      <c r="CX178">
        <v>5</v>
      </c>
      <c r="CY178">
        <v>7</v>
      </c>
      <c r="CZ178" t="s">
        <v>131</v>
      </c>
      <c r="DA178">
        <v>300</v>
      </c>
      <c r="DB178">
        <v>0</v>
      </c>
      <c r="DC178" t="s">
        <v>176</v>
      </c>
      <c r="DD178" t="s">
        <v>177</v>
      </c>
      <c r="DG178">
        <v>5356086</v>
      </c>
      <c r="DI178">
        <v>0</v>
      </c>
      <c r="DJ178">
        <v>0</v>
      </c>
      <c r="DK178">
        <v>1</v>
      </c>
      <c r="DL178">
        <v>0</v>
      </c>
      <c r="DM178">
        <v>0</v>
      </c>
      <c r="DN178">
        <v>1</v>
      </c>
      <c r="DO178">
        <v>0</v>
      </c>
      <c r="DP178">
        <v>0</v>
      </c>
      <c r="DQ178">
        <v>0</v>
      </c>
      <c r="DR178">
        <v>0</v>
      </c>
      <c r="DS178">
        <v>0</v>
      </c>
    </row>
    <row r="179" spans="1:123" x14ac:dyDescent="0.3">
      <c r="A179" t="str">
        <f>"10/04/2022 19:26:09.071"</f>
        <v>10/04/2022 19:26:09.071</v>
      </c>
      <c r="C179" t="str">
        <f t="shared" si="52"/>
        <v>FFDFD3C0</v>
      </c>
      <c r="D179" t="s">
        <v>143</v>
      </c>
      <c r="E179">
        <v>20</v>
      </c>
      <c r="F179">
        <v>1020</v>
      </c>
      <c r="G179" t="s">
        <v>144</v>
      </c>
      <c r="J179" t="s">
        <v>145</v>
      </c>
      <c r="K179">
        <v>0</v>
      </c>
      <c r="L179">
        <v>3</v>
      </c>
      <c r="M179">
        <v>0</v>
      </c>
      <c r="N179">
        <v>2</v>
      </c>
      <c r="O179">
        <v>0</v>
      </c>
      <c r="P179">
        <v>1</v>
      </c>
      <c r="Q179">
        <v>0</v>
      </c>
      <c r="S179" t="str">
        <f t="shared" si="71"/>
        <v>19:26:07.820</v>
      </c>
      <c r="T179" t="str">
        <f t="shared" si="71"/>
        <v>19:26:07.820</v>
      </c>
      <c r="U179" t="str">
        <f t="shared" si="53"/>
        <v>AC3944</v>
      </c>
      <c r="V179">
        <v>0</v>
      </c>
      <c r="W179">
        <v>0</v>
      </c>
      <c r="X179">
        <v>2</v>
      </c>
      <c r="Y179">
        <v>0</v>
      </c>
      <c r="AA179">
        <v>0</v>
      </c>
      <c r="AB179">
        <v>8</v>
      </c>
      <c r="AC179">
        <v>3</v>
      </c>
      <c r="AD179">
        <v>0</v>
      </c>
      <c r="AE179">
        <v>9</v>
      </c>
      <c r="AF179" t="s">
        <v>138</v>
      </c>
      <c r="AG179">
        <v>0</v>
      </c>
      <c r="AH179">
        <v>3</v>
      </c>
      <c r="AI179">
        <v>1</v>
      </c>
      <c r="AJ179">
        <v>0</v>
      </c>
      <c r="AK179" t="s">
        <v>204</v>
      </c>
      <c r="AL179">
        <v>32.829101000000001</v>
      </c>
      <c r="AM179" t="s">
        <v>205</v>
      </c>
      <c r="AN179">
        <v>-116.987915</v>
      </c>
      <c r="AO179">
        <v>25</v>
      </c>
      <c r="AP179">
        <v>1200</v>
      </c>
      <c r="AQ179" t="s">
        <v>129</v>
      </c>
      <c r="AR179">
        <v>-98</v>
      </c>
      <c r="AS179">
        <v>2</v>
      </c>
      <c r="AT179">
        <v>1728</v>
      </c>
      <c r="BB179">
        <v>1200</v>
      </c>
      <c r="BC179">
        <v>1</v>
      </c>
      <c r="BD179" t="str">
        <f t="shared" si="54"/>
        <v xml:space="preserve">N887QR  </v>
      </c>
      <c r="BE179">
        <v>1</v>
      </c>
      <c r="BG179">
        <v>0</v>
      </c>
      <c r="BH179">
        <v>0</v>
      </c>
      <c r="BI179">
        <v>0</v>
      </c>
      <c r="BJ179">
        <v>875</v>
      </c>
      <c r="BK179">
        <v>-325</v>
      </c>
      <c r="BL179" t="s">
        <v>163</v>
      </c>
      <c r="BM179">
        <v>1</v>
      </c>
      <c r="BN179">
        <v>1</v>
      </c>
      <c r="BO179">
        <v>1</v>
      </c>
      <c r="BP179">
        <v>0</v>
      </c>
      <c r="BS179">
        <v>0</v>
      </c>
      <c r="BT179">
        <v>0</v>
      </c>
      <c r="BU179">
        <v>0</v>
      </c>
      <c r="CE179" t="str">
        <f t="shared" si="72"/>
        <v>19:26:08.822</v>
      </c>
      <c r="CF179">
        <v>1822049621</v>
      </c>
      <c r="CS179">
        <v>3</v>
      </c>
      <c r="CT179">
        <v>2</v>
      </c>
      <c r="CU179">
        <v>0</v>
      </c>
      <c r="CV179">
        <v>2</v>
      </c>
      <c r="CW179">
        <v>0</v>
      </c>
      <c r="CX179">
        <v>5</v>
      </c>
      <c r="CY179">
        <v>7</v>
      </c>
      <c r="CZ179" t="s">
        <v>131</v>
      </c>
      <c r="DA179">
        <v>300</v>
      </c>
      <c r="DB179">
        <v>0</v>
      </c>
      <c r="DC179" t="s">
        <v>176</v>
      </c>
      <c r="DD179" t="s">
        <v>177</v>
      </c>
      <c r="DG179">
        <v>5356086</v>
      </c>
      <c r="DI179">
        <v>0</v>
      </c>
      <c r="DJ179">
        <v>0</v>
      </c>
      <c r="DK179">
        <v>1</v>
      </c>
      <c r="DL179">
        <v>0</v>
      </c>
      <c r="DM179">
        <v>0</v>
      </c>
      <c r="DN179">
        <v>1</v>
      </c>
      <c r="DO179">
        <v>0</v>
      </c>
      <c r="DP179">
        <v>0</v>
      </c>
      <c r="DQ179">
        <v>0</v>
      </c>
      <c r="DR179">
        <v>0</v>
      </c>
      <c r="DS179">
        <v>0</v>
      </c>
    </row>
    <row r="180" spans="1:123" x14ac:dyDescent="0.3">
      <c r="A180" t="str">
        <f>"10/04/2022 19:26:09.071"</f>
        <v>10/04/2022 19:26:09.071</v>
      </c>
      <c r="C180" t="str">
        <f t="shared" si="52"/>
        <v>FFDFD3C0</v>
      </c>
      <c r="D180" t="s">
        <v>141</v>
      </c>
      <c r="E180">
        <v>4</v>
      </c>
      <c r="H180">
        <v>4</v>
      </c>
      <c r="I180" t="s">
        <v>142</v>
      </c>
      <c r="J180" t="s">
        <v>138</v>
      </c>
      <c r="K180">
        <v>0</v>
      </c>
      <c r="L180">
        <v>3</v>
      </c>
      <c r="M180">
        <v>0</v>
      </c>
      <c r="N180">
        <v>2</v>
      </c>
      <c r="O180">
        <v>0</v>
      </c>
      <c r="P180">
        <v>1</v>
      </c>
      <c r="Q180">
        <v>0</v>
      </c>
      <c r="S180" t="str">
        <f t="shared" si="71"/>
        <v>19:26:07.820</v>
      </c>
      <c r="T180" t="str">
        <f t="shared" si="71"/>
        <v>19:26:07.820</v>
      </c>
      <c r="U180" t="str">
        <f t="shared" si="53"/>
        <v>AC3944</v>
      </c>
      <c r="V180">
        <v>0</v>
      </c>
      <c r="W180">
        <v>0</v>
      </c>
      <c r="X180">
        <v>2</v>
      </c>
      <c r="Y180">
        <v>0</v>
      </c>
      <c r="AA180">
        <v>0</v>
      </c>
      <c r="AB180">
        <v>8</v>
      </c>
      <c r="AC180">
        <v>3</v>
      </c>
      <c r="AD180">
        <v>0</v>
      </c>
      <c r="AE180">
        <v>9</v>
      </c>
      <c r="AF180" t="s">
        <v>138</v>
      </c>
      <c r="AG180">
        <v>0</v>
      </c>
      <c r="AH180">
        <v>3</v>
      </c>
      <c r="AI180">
        <v>1</v>
      </c>
      <c r="AJ180">
        <v>0</v>
      </c>
      <c r="AK180" t="s">
        <v>204</v>
      </c>
      <c r="AL180">
        <v>32.829101000000001</v>
      </c>
      <c r="AM180" t="s">
        <v>205</v>
      </c>
      <c r="AN180">
        <v>-116.987915</v>
      </c>
      <c r="AO180">
        <v>25</v>
      </c>
      <c r="AP180">
        <v>1200</v>
      </c>
      <c r="AQ180" t="s">
        <v>129</v>
      </c>
      <c r="AR180">
        <v>-98</v>
      </c>
      <c r="AS180">
        <v>2</v>
      </c>
      <c r="AT180">
        <v>1728</v>
      </c>
      <c r="BB180">
        <v>1200</v>
      </c>
      <c r="BC180">
        <v>1</v>
      </c>
      <c r="BD180" t="str">
        <f t="shared" si="54"/>
        <v xml:space="preserve">N887QR  </v>
      </c>
      <c r="BE180">
        <v>1</v>
      </c>
      <c r="BG180">
        <v>0</v>
      </c>
      <c r="BH180">
        <v>0</v>
      </c>
      <c r="BI180">
        <v>0</v>
      </c>
      <c r="BJ180">
        <v>875</v>
      </c>
      <c r="BK180">
        <v>-325</v>
      </c>
      <c r="BL180" t="s">
        <v>163</v>
      </c>
      <c r="BM180">
        <v>1</v>
      </c>
      <c r="BN180">
        <v>1</v>
      </c>
      <c r="BO180">
        <v>1</v>
      </c>
      <c r="BP180">
        <v>0</v>
      </c>
      <c r="BS180">
        <v>0</v>
      </c>
      <c r="BT180">
        <v>0</v>
      </c>
      <c r="BU180">
        <v>0</v>
      </c>
      <c r="CE180" t="str">
        <f t="shared" si="72"/>
        <v>19:26:08.822</v>
      </c>
      <c r="CF180">
        <v>1822049621</v>
      </c>
      <c r="CS180">
        <v>3</v>
      </c>
      <c r="CT180">
        <v>2</v>
      </c>
      <c r="CU180">
        <v>0</v>
      </c>
      <c r="CV180">
        <v>2</v>
      </c>
      <c r="CW180">
        <v>0</v>
      </c>
      <c r="CX180">
        <v>5</v>
      </c>
      <c r="CY180">
        <v>7</v>
      </c>
      <c r="CZ180" t="s">
        <v>131</v>
      </c>
      <c r="DA180">
        <v>300</v>
      </c>
      <c r="DB180">
        <v>0</v>
      </c>
      <c r="DC180" t="s">
        <v>176</v>
      </c>
      <c r="DD180" t="s">
        <v>177</v>
      </c>
      <c r="DG180">
        <v>5356086</v>
      </c>
      <c r="DI180">
        <v>0</v>
      </c>
      <c r="DJ180">
        <v>0</v>
      </c>
      <c r="DK180">
        <v>1</v>
      </c>
      <c r="DL180">
        <v>0</v>
      </c>
      <c r="DM180">
        <v>0</v>
      </c>
      <c r="DN180">
        <v>1</v>
      </c>
      <c r="DO180">
        <v>0</v>
      </c>
      <c r="DP180">
        <v>0</v>
      </c>
      <c r="DQ180">
        <v>0</v>
      </c>
      <c r="DR180">
        <v>0</v>
      </c>
      <c r="DS180">
        <v>0</v>
      </c>
    </row>
    <row r="181" spans="1:123" x14ac:dyDescent="0.3">
      <c r="A181" t="str">
        <f>"10/04/2022 19:26:11.743"</f>
        <v>10/04/2022 19:26:11.743</v>
      </c>
      <c r="C181" t="str">
        <f t="shared" si="52"/>
        <v>FFDFD3C0</v>
      </c>
      <c r="D181" t="s">
        <v>141</v>
      </c>
      <c r="E181">
        <v>3</v>
      </c>
      <c r="H181">
        <v>3</v>
      </c>
      <c r="I181" t="s">
        <v>146</v>
      </c>
      <c r="J181" t="s">
        <v>138</v>
      </c>
      <c r="K181">
        <v>0</v>
      </c>
      <c r="L181">
        <v>3</v>
      </c>
      <c r="M181">
        <v>0</v>
      </c>
      <c r="N181">
        <v>2</v>
      </c>
      <c r="O181">
        <v>0</v>
      </c>
      <c r="P181">
        <v>1</v>
      </c>
      <c r="Q181">
        <v>0</v>
      </c>
      <c r="S181" t="str">
        <f t="shared" ref="S181:T187" si="73">"19:26:10.508"</f>
        <v>19:26:10.508</v>
      </c>
      <c r="T181" t="str">
        <f t="shared" si="73"/>
        <v>19:26:10.508</v>
      </c>
      <c r="U181" t="str">
        <f t="shared" si="53"/>
        <v>AC3944</v>
      </c>
      <c r="V181">
        <v>0</v>
      </c>
      <c r="W181">
        <v>0</v>
      </c>
      <c r="X181">
        <v>2</v>
      </c>
      <c r="Y181">
        <v>0</v>
      </c>
      <c r="AA181">
        <v>0</v>
      </c>
      <c r="AB181">
        <v>8</v>
      </c>
      <c r="AC181">
        <v>3</v>
      </c>
      <c r="AD181">
        <v>0</v>
      </c>
      <c r="AE181">
        <v>9</v>
      </c>
      <c r="AF181" t="s">
        <v>138</v>
      </c>
      <c r="AG181">
        <v>0</v>
      </c>
      <c r="AH181">
        <v>3</v>
      </c>
      <c r="AI181">
        <v>1</v>
      </c>
      <c r="AJ181">
        <v>0</v>
      </c>
      <c r="AK181" t="s">
        <v>204</v>
      </c>
      <c r="AL181">
        <v>32.829101000000001</v>
      </c>
      <c r="AM181" t="s">
        <v>206</v>
      </c>
      <c r="AN181">
        <v>-116.989009</v>
      </c>
      <c r="AO181">
        <v>25</v>
      </c>
      <c r="AP181">
        <v>1200</v>
      </c>
      <c r="AQ181" t="s">
        <v>129</v>
      </c>
      <c r="AR181">
        <v>-102</v>
      </c>
      <c r="AS181">
        <v>-8</v>
      </c>
      <c r="AT181">
        <v>1536</v>
      </c>
      <c r="BB181">
        <v>1200</v>
      </c>
      <c r="BC181">
        <v>1</v>
      </c>
      <c r="BD181" t="str">
        <f t="shared" si="54"/>
        <v xml:space="preserve">N887QR  </v>
      </c>
      <c r="BE181">
        <v>1</v>
      </c>
      <c r="BG181">
        <v>0</v>
      </c>
      <c r="BH181">
        <v>0</v>
      </c>
      <c r="BI181">
        <v>0</v>
      </c>
      <c r="BJ181">
        <v>925</v>
      </c>
      <c r="BK181">
        <v>-275</v>
      </c>
      <c r="BL181" t="s">
        <v>163</v>
      </c>
      <c r="BM181">
        <v>1</v>
      </c>
      <c r="BN181">
        <v>1</v>
      </c>
      <c r="BO181">
        <v>1</v>
      </c>
      <c r="BP181">
        <v>0</v>
      </c>
      <c r="BS181">
        <v>0</v>
      </c>
      <c r="BT181">
        <v>0</v>
      </c>
      <c r="BU181">
        <v>0</v>
      </c>
      <c r="CE181" t="str">
        <f t="shared" ref="CE181:CE187" si="74">"19:26:11.510"</f>
        <v>19:26:11.510</v>
      </c>
      <c r="CF181">
        <v>1510308136</v>
      </c>
      <c r="CS181">
        <v>3</v>
      </c>
      <c r="CT181">
        <v>2</v>
      </c>
      <c r="CU181">
        <v>0</v>
      </c>
      <c r="CV181">
        <v>2</v>
      </c>
      <c r="CW181">
        <v>0</v>
      </c>
      <c r="CX181">
        <v>5</v>
      </c>
      <c r="CY181">
        <v>7</v>
      </c>
      <c r="CZ181" t="s">
        <v>131</v>
      </c>
      <c r="DA181">
        <v>300</v>
      </c>
      <c r="DB181">
        <v>0</v>
      </c>
      <c r="DC181" t="s">
        <v>176</v>
      </c>
      <c r="DD181" t="s">
        <v>177</v>
      </c>
      <c r="DG181">
        <v>5356494</v>
      </c>
      <c r="DI181">
        <v>0</v>
      </c>
      <c r="DJ181">
        <v>0</v>
      </c>
      <c r="DK181">
        <v>0</v>
      </c>
      <c r="DL181">
        <v>0</v>
      </c>
      <c r="DM181">
        <v>0</v>
      </c>
      <c r="DN181">
        <v>1</v>
      </c>
      <c r="DO181">
        <v>0</v>
      </c>
      <c r="DP181">
        <v>0</v>
      </c>
      <c r="DQ181">
        <v>0</v>
      </c>
      <c r="DR181">
        <v>0</v>
      </c>
      <c r="DS181">
        <v>0</v>
      </c>
    </row>
    <row r="182" spans="1:123" x14ac:dyDescent="0.3">
      <c r="A182" t="str">
        <f>"10/04/2022 19:26:11.743"</f>
        <v>10/04/2022 19:26:11.743</v>
      </c>
      <c r="C182" t="str">
        <f t="shared" si="52"/>
        <v>FFDFD3C0</v>
      </c>
      <c r="D182" t="s">
        <v>134</v>
      </c>
      <c r="E182">
        <v>15</v>
      </c>
      <c r="J182" t="s">
        <v>135</v>
      </c>
      <c r="K182">
        <v>0</v>
      </c>
      <c r="L182">
        <v>3</v>
      </c>
      <c r="M182">
        <v>0</v>
      </c>
      <c r="N182">
        <v>2</v>
      </c>
      <c r="O182">
        <v>0</v>
      </c>
      <c r="P182">
        <v>1</v>
      </c>
      <c r="Q182">
        <v>0</v>
      </c>
      <c r="S182" t="str">
        <f t="shared" si="73"/>
        <v>19:26:10.508</v>
      </c>
      <c r="T182" t="str">
        <f t="shared" si="73"/>
        <v>19:26:10.508</v>
      </c>
      <c r="U182" t="str">
        <f t="shared" si="53"/>
        <v>AC3944</v>
      </c>
      <c r="V182">
        <v>0</v>
      </c>
      <c r="W182">
        <v>0</v>
      </c>
      <c r="X182">
        <v>2</v>
      </c>
      <c r="Y182">
        <v>0</v>
      </c>
      <c r="AA182">
        <v>0</v>
      </c>
      <c r="AB182">
        <v>8</v>
      </c>
      <c r="AC182">
        <v>3</v>
      </c>
      <c r="AD182">
        <v>0</v>
      </c>
      <c r="AE182">
        <v>9</v>
      </c>
      <c r="AF182" t="s">
        <v>138</v>
      </c>
      <c r="AG182">
        <v>0</v>
      </c>
      <c r="AH182">
        <v>3</v>
      </c>
      <c r="AI182">
        <v>1</v>
      </c>
      <c r="AJ182">
        <v>0</v>
      </c>
      <c r="AK182" t="s">
        <v>204</v>
      </c>
      <c r="AL182">
        <v>32.829101000000001</v>
      </c>
      <c r="AM182" t="s">
        <v>206</v>
      </c>
      <c r="AN182">
        <v>-116.989009</v>
      </c>
      <c r="AO182">
        <v>25</v>
      </c>
      <c r="AP182">
        <v>1200</v>
      </c>
      <c r="AQ182" t="s">
        <v>129</v>
      </c>
      <c r="AR182">
        <v>-102</v>
      </c>
      <c r="AS182">
        <v>-8</v>
      </c>
      <c r="AT182">
        <v>1536</v>
      </c>
      <c r="BB182">
        <v>1200</v>
      </c>
      <c r="BC182">
        <v>1</v>
      </c>
      <c r="BD182" t="str">
        <f t="shared" si="54"/>
        <v xml:space="preserve">N887QR  </v>
      </c>
      <c r="BE182">
        <v>1</v>
      </c>
      <c r="BG182">
        <v>0</v>
      </c>
      <c r="BH182">
        <v>0</v>
      </c>
      <c r="BI182">
        <v>0</v>
      </c>
      <c r="BJ182">
        <v>925</v>
      </c>
      <c r="BK182">
        <v>-275</v>
      </c>
      <c r="BL182" t="s">
        <v>163</v>
      </c>
      <c r="BM182">
        <v>1</v>
      </c>
      <c r="BN182">
        <v>1</v>
      </c>
      <c r="BO182">
        <v>1</v>
      </c>
      <c r="BP182">
        <v>0</v>
      </c>
      <c r="BS182">
        <v>0</v>
      </c>
      <c r="BT182">
        <v>0</v>
      </c>
      <c r="BU182">
        <v>0</v>
      </c>
      <c r="CE182" t="str">
        <f t="shared" si="74"/>
        <v>19:26:11.510</v>
      </c>
      <c r="CF182">
        <v>1510308136</v>
      </c>
      <c r="CS182">
        <v>3</v>
      </c>
      <c r="CT182">
        <v>2</v>
      </c>
      <c r="CU182">
        <v>0</v>
      </c>
      <c r="CV182">
        <v>2</v>
      </c>
      <c r="CW182">
        <v>0</v>
      </c>
      <c r="CX182">
        <v>5</v>
      </c>
      <c r="CY182">
        <v>7</v>
      </c>
      <c r="CZ182" t="s">
        <v>131</v>
      </c>
      <c r="DA182">
        <v>300</v>
      </c>
      <c r="DB182">
        <v>0</v>
      </c>
      <c r="DC182" t="s">
        <v>176</v>
      </c>
      <c r="DD182" t="s">
        <v>177</v>
      </c>
      <c r="DG182">
        <v>5356494</v>
      </c>
      <c r="DI182">
        <v>0</v>
      </c>
      <c r="DJ182">
        <v>0</v>
      </c>
      <c r="DK182">
        <v>1</v>
      </c>
      <c r="DL182">
        <v>0</v>
      </c>
      <c r="DM182">
        <v>0</v>
      </c>
      <c r="DN182">
        <v>1</v>
      </c>
      <c r="DO182">
        <v>0</v>
      </c>
      <c r="DP182">
        <v>0</v>
      </c>
      <c r="DQ182">
        <v>0</v>
      </c>
      <c r="DR182">
        <v>0</v>
      </c>
      <c r="DS182">
        <v>0</v>
      </c>
    </row>
    <row r="183" spans="1:123" x14ac:dyDescent="0.3">
      <c r="A183" t="str">
        <f>"10/04/2022 19:26:11.743"</f>
        <v>10/04/2022 19:26:11.743</v>
      </c>
      <c r="C183" t="str">
        <f t="shared" si="52"/>
        <v>FFDFD3C0</v>
      </c>
      <c r="D183" t="s">
        <v>136</v>
      </c>
      <c r="E183">
        <v>8</v>
      </c>
      <c r="H183">
        <v>225</v>
      </c>
      <c r="I183" t="s">
        <v>137</v>
      </c>
      <c r="J183" t="s">
        <v>138</v>
      </c>
      <c r="K183">
        <v>0</v>
      </c>
      <c r="L183">
        <v>3</v>
      </c>
      <c r="M183">
        <v>0</v>
      </c>
      <c r="N183">
        <v>2</v>
      </c>
      <c r="O183">
        <v>0</v>
      </c>
      <c r="P183">
        <v>1</v>
      </c>
      <c r="Q183">
        <v>0</v>
      </c>
      <c r="S183" t="str">
        <f t="shared" si="73"/>
        <v>19:26:10.508</v>
      </c>
      <c r="T183" t="str">
        <f t="shared" si="73"/>
        <v>19:26:10.508</v>
      </c>
      <c r="U183" t="str">
        <f t="shared" si="53"/>
        <v>AC3944</v>
      </c>
      <c r="V183">
        <v>0</v>
      </c>
      <c r="W183">
        <v>0</v>
      </c>
      <c r="X183">
        <v>2</v>
      </c>
      <c r="Y183">
        <v>0</v>
      </c>
      <c r="AA183">
        <v>0</v>
      </c>
      <c r="AB183">
        <v>8</v>
      </c>
      <c r="AC183">
        <v>3</v>
      </c>
      <c r="AD183">
        <v>0</v>
      </c>
      <c r="AE183">
        <v>9</v>
      </c>
      <c r="AF183" t="s">
        <v>138</v>
      </c>
      <c r="AG183">
        <v>0</v>
      </c>
      <c r="AH183">
        <v>3</v>
      </c>
      <c r="AI183">
        <v>1</v>
      </c>
      <c r="AJ183">
        <v>0</v>
      </c>
      <c r="AK183" t="s">
        <v>204</v>
      </c>
      <c r="AL183">
        <v>32.829101000000001</v>
      </c>
      <c r="AM183" t="s">
        <v>206</v>
      </c>
      <c r="AN183">
        <v>-116.989009</v>
      </c>
      <c r="AO183">
        <v>25</v>
      </c>
      <c r="AP183">
        <v>1200</v>
      </c>
      <c r="AQ183" t="s">
        <v>129</v>
      </c>
      <c r="AR183">
        <v>-102</v>
      </c>
      <c r="AS183">
        <v>-8</v>
      </c>
      <c r="AT183">
        <v>1536</v>
      </c>
      <c r="BB183">
        <v>1200</v>
      </c>
      <c r="BC183">
        <v>1</v>
      </c>
      <c r="BD183" t="str">
        <f t="shared" si="54"/>
        <v xml:space="preserve">N887QR  </v>
      </c>
      <c r="BE183">
        <v>1</v>
      </c>
      <c r="BG183">
        <v>0</v>
      </c>
      <c r="BH183">
        <v>0</v>
      </c>
      <c r="BI183">
        <v>0</v>
      </c>
      <c r="BJ183">
        <v>925</v>
      </c>
      <c r="BK183">
        <v>-275</v>
      </c>
      <c r="BL183" t="s">
        <v>163</v>
      </c>
      <c r="BM183">
        <v>1</v>
      </c>
      <c r="BN183">
        <v>1</v>
      </c>
      <c r="BO183">
        <v>1</v>
      </c>
      <c r="BP183">
        <v>0</v>
      </c>
      <c r="BS183">
        <v>0</v>
      </c>
      <c r="BT183">
        <v>0</v>
      </c>
      <c r="BU183">
        <v>0</v>
      </c>
      <c r="CE183" t="str">
        <f t="shared" si="74"/>
        <v>19:26:11.510</v>
      </c>
      <c r="CF183">
        <v>1510308136</v>
      </c>
      <c r="CS183">
        <v>3</v>
      </c>
      <c r="CT183">
        <v>2</v>
      </c>
      <c r="CU183">
        <v>0</v>
      </c>
      <c r="CV183">
        <v>2</v>
      </c>
      <c r="CW183">
        <v>0</v>
      </c>
      <c r="CX183">
        <v>5</v>
      </c>
      <c r="CY183">
        <v>7</v>
      </c>
      <c r="CZ183" t="s">
        <v>131</v>
      </c>
      <c r="DA183">
        <v>300</v>
      </c>
      <c r="DB183">
        <v>0</v>
      </c>
      <c r="DC183" t="s">
        <v>176</v>
      </c>
      <c r="DD183" t="s">
        <v>177</v>
      </c>
      <c r="DG183">
        <v>5356494</v>
      </c>
      <c r="DI183">
        <v>0</v>
      </c>
      <c r="DJ183">
        <v>0</v>
      </c>
      <c r="DK183">
        <v>0</v>
      </c>
      <c r="DL183">
        <v>0</v>
      </c>
      <c r="DM183">
        <v>0</v>
      </c>
      <c r="DN183">
        <v>1</v>
      </c>
      <c r="DO183">
        <v>0</v>
      </c>
      <c r="DP183">
        <v>0</v>
      </c>
      <c r="DQ183">
        <v>0</v>
      </c>
      <c r="DR183">
        <v>0</v>
      </c>
      <c r="DS183">
        <v>0</v>
      </c>
    </row>
    <row r="184" spans="1:123" x14ac:dyDescent="0.3">
      <c r="A184" t="str">
        <f>"10/04/2022 19:26:11.774"</f>
        <v>10/04/2022 19:26:11.774</v>
      </c>
      <c r="C184" t="str">
        <f t="shared" si="52"/>
        <v>FFDFD3C0</v>
      </c>
      <c r="D184" t="s">
        <v>143</v>
      </c>
      <c r="E184">
        <v>20</v>
      </c>
      <c r="F184">
        <v>1020</v>
      </c>
      <c r="G184" t="s">
        <v>144</v>
      </c>
      <c r="J184" t="s">
        <v>145</v>
      </c>
      <c r="K184">
        <v>0</v>
      </c>
      <c r="L184">
        <v>3</v>
      </c>
      <c r="M184">
        <v>0</v>
      </c>
      <c r="N184">
        <v>2</v>
      </c>
      <c r="O184">
        <v>0</v>
      </c>
      <c r="P184">
        <v>1</v>
      </c>
      <c r="Q184">
        <v>0</v>
      </c>
      <c r="S184" t="str">
        <f t="shared" si="73"/>
        <v>19:26:10.508</v>
      </c>
      <c r="T184" t="str">
        <f t="shared" si="73"/>
        <v>19:26:10.508</v>
      </c>
      <c r="U184" t="str">
        <f t="shared" si="53"/>
        <v>AC3944</v>
      </c>
      <c r="V184">
        <v>0</v>
      </c>
      <c r="W184">
        <v>0</v>
      </c>
      <c r="X184">
        <v>2</v>
      </c>
      <c r="Y184">
        <v>0</v>
      </c>
      <c r="AA184">
        <v>0</v>
      </c>
      <c r="AB184">
        <v>8</v>
      </c>
      <c r="AC184">
        <v>3</v>
      </c>
      <c r="AD184">
        <v>0</v>
      </c>
      <c r="AE184">
        <v>9</v>
      </c>
      <c r="AF184" t="s">
        <v>138</v>
      </c>
      <c r="AG184">
        <v>0</v>
      </c>
      <c r="AH184">
        <v>3</v>
      </c>
      <c r="AI184">
        <v>1</v>
      </c>
      <c r="AJ184">
        <v>0</v>
      </c>
      <c r="AK184" t="s">
        <v>204</v>
      </c>
      <c r="AL184">
        <v>32.829101000000001</v>
      </c>
      <c r="AM184" t="s">
        <v>206</v>
      </c>
      <c r="AN184">
        <v>-116.989009</v>
      </c>
      <c r="AO184">
        <v>25</v>
      </c>
      <c r="AP184">
        <v>1200</v>
      </c>
      <c r="AQ184" t="s">
        <v>129</v>
      </c>
      <c r="AR184">
        <v>-102</v>
      </c>
      <c r="AS184">
        <v>-8</v>
      </c>
      <c r="AT184">
        <v>1536</v>
      </c>
      <c r="BB184">
        <v>1200</v>
      </c>
      <c r="BC184">
        <v>1</v>
      </c>
      <c r="BD184" t="str">
        <f t="shared" si="54"/>
        <v xml:space="preserve">N887QR  </v>
      </c>
      <c r="BE184">
        <v>1</v>
      </c>
      <c r="BG184">
        <v>0</v>
      </c>
      <c r="BH184">
        <v>0</v>
      </c>
      <c r="BI184">
        <v>0</v>
      </c>
      <c r="BJ184">
        <v>925</v>
      </c>
      <c r="BK184">
        <v>-275</v>
      </c>
      <c r="BL184" t="s">
        <v>163</v>
      </c>
      <c r="BM184">
        <v>1</v>
      </c>
      <c r="BN184">
        <v>1</v>
      </c>
      <c r="BO184">
        <v>1</v>
      </c>
      <c r="BP184">
        <v>0</v>
      </c>
      <c r="BS184">
        <v>0</v>
      </c>
      <c r="BT184">
        <v>0</v>
      </c>
      <c r="BU184">
        <v>0</v>
      </c>
      <c r="CE184" t="str">
        <f t="shared" si="74"/>
        <v>19:26:11.510</v>
      </c>
      <c r="CF184">
        <v>1510308136</v>
      </c>
      <c r="CS184">
        <v>3</v>
      </c>
      <c r="CT184">
        <v>2</v>
      </c>
      <c r="CU184">
        <v>0</v>
      </c>
      <c r="CV184">
        <v>2</v>
      </c>
      <c r="CW184">
        <v>0</v>
      </c>
      <c r="CX184">
        <v>5</v>
      </c>
      <c r="CY184">
        <v>7</v>
      </c>
      <c r="CZ184" t="s">
        <v>131</v>
      </c>
      <c r="DA184">
        <v>300</v>
      </c>
      <c r="DB184">
        <v>0</v>
      </c>
      <c r="DC184" t="s">
        <v>176</v>
      </c>
      <c r="DD184" t="s">
        <v>177</v>
      </c>
      <c r="DG184">
        <v>5356494</v>
      </c>
      <c r="DI184">
        <v>0</v>
      </c>
      <c r="DJ184">
        <v>0</v>
      </c>
      <c r="DK184">
        <v>1</v>
      </c>
      <c r="DL184">
        <v>0</v>
      </c>
      <c r="DM184">
        <v>0</v>
      </c>
      <c r="DN184">
        <v>1</v>
      </c>
      <c r="DO184">
        <v>0</v>
      </c>
      <c r="DP184">
        <v>0</v>
      </c>
      <c r="DQ184">
        <v>0</v>
      </c>
      <c r="DR184">
        <v>0</v>
      </c>
      <c r="DS184">
        <v>0</v>
      </c>
    </row>
    <row r="185" spans="1:123" x14ac:dyDescent="0.3">
      <c r="A185" t="str">
        <f>"10/04/2022 19:26:11.774"</f>
        <v>10/04/2022 19:26:11.774</v>
      </c>
      <c r="C185" t="str">
        <f t="shared" si="52"/>
        <v>FFDFD3C0</v>
      </c>
      <c r="D185" t="s">
        <v>141</v>
      </c>
      <c r="E185">
        <v>4</v>
      </c>
      <c r="H185">
        <v>4</v>
      </c>
      <c r="I185" t="s">
        <v>142</v>
      </c>
      <c r="J185" t="s">
        <v>138</v>
      </c>
      <c r="K185">
        <v>0</v>
      </c>
      <c r="L185">
        <v>3</v>
      </c>
      <c r="M185">
        <v>0</v>
      </c>
      <c r="N185">
        <v>2</v>
      </c>
      <c r="O185">
        <v>0</v>
      </c>
      <c r="P185">
        <v>1</v>
      </c>
      <c r="Q185">
        <v>0</v>
      </c>
      <c r="S185" t="str">
        <f t="shared" si="73"/>
        <v>19:26:10.508</v>
      </c>
      <c r="T185" t="str">
        <f t="shared" si="73"/>
        <v>19:26:10.508</v>
      </c>
      <c r="U185" t="str">
        <f t="shared" si="53"/>
        <v>AC3944</v>
      </c>
      <c r="V185">
        <v>0</v>
      </c>
      <c r="W185">
        <v>0</v>
      </c>
      <c r="X185">
        <v>2</v>
      </c>
      <c r="Y185">
        <v>0</v>
      </c>
      <c r="AA185">
        <v>0</v>
      </c>
      <c r="AB185">
        <v>8</v>
      </c>
      <c r="AC185">
        <v>3</v>
      </c>
      <c r="AD185">
        <v>0</v>
      </c>
      <c r="AE185">
        <v>9</v>
      </c>
      <c r="AF185" t="s">
        <v>138</v>
      </c>
      <c r="AG185">
        <v>0</v>
      </c>
      <c r="AH185">
        <v>3</v>
      </c>
      <c r="AI185">
        <v>1</v>
      </c>
      <c r="AJ185">
        <v>0</v>
      </c>
      <c r="AK185" t="s">
        <v>204</v>
      </c>
      <c r="AL185">
        <v>32.829101000000001</v>
      </c>
      <c r="AM185" t="s">
        <v>206</v>
      </c>
      <c r="AN185">
        <v>-116.989009</v>
      </c>
      <c r="AO185">
        <v>25</v>
      </c>
      <c r="AP185">
        <v>1200</v>
      </c>
      <c r="AQ185" t="s">
        <v>129</v>
      </c>
      <c r="AR185">
        <v>-102</v>
      </c>
      <c r="AS185">
        <v>-8</v>
      </c>
      <c r="AT185">
        <v>1536</v>
      </c>
      <c r="BB185">
        <v>1200</v>
      </c>
      <c r="BC185">
        <v>1</v>
      </c>
      <c r="BD185" t="str">
        <f t="shared" si="54"/>
        <v xml:space="preserve">N887QR  </v>
      </c>
      <c r="BE185">
        <v>1</v>
      </c>
      <c r="BG185">
        <v>0</v>
      </c>
      <c r="BH185">
        <v>0</v>
      </c>
      <c r="BI185">
        <v>0</v>
      </c>
      <c r="BJ185">
        <v>925</v>
      </c>
      <c r="BK185">
        <v>-275</v>
      </c>
      <c r="BL185" t="s">
        <v>163</v>
      </c>
      <c r="BM185">
        <v>1</v>
      </c>
      <c r="BN185">
        <v>1</v>
      </c>
      <c r="BO185">
        <v>1</v>
      </c>
      <c r="BP185">
        <v>0</v>
      </c>
      <c r="BS185">
        <v>0</v>
      </c>
      <c r="BT185">
        <v>0</v>
      </c>
      <c r="BU185">
        <v>0</v>
      </c>
      <c r="CE185" t="str">
        <f t="shared" si="74"/>
        <v>19:26:11.510</v>
      </c>
      <c r="CF185">
        <v>1510308136</v>
      </c>
      <c r="CS185">
        <v>3</v>
      </c>
      <c r="CT185">
        <v>2</v>
      </c>
      <c r="CU185">
        <v>0</v>
      </c>
      <c r="CV185">
        <v>2</v>
      </c>
      <c r="CW185">
        <v>0</v>
      </c>
      <c r="CX185">
        <v>5</v>
      </c>
      <c r="CY185">
        <v>7</v>
      </c>
      <c r="CZ185" t="s">
        <v>131</v>
      </c>
      <c r="DA185">
        <v>300</v>
      </c>
      <c r="DB185">
        <v>0</v>
      </c>
      <c r="DC185" t="s">
        <v>176</v>
      </c>
      <c r="DD185" t="s">
        <v>177</v>
      </c>
      <c r="DG185">
        <v>5356494</v>
      </c>
      <c r="DI185">
        <v>0</v>
      </c>
      <c r="DJ185">
        <v>0</v>
      </c>
      <c r="DK185">
        <v>1</v>
      </c>
      <c r="DL185">
        <v>0</v>
      </c>
      <c r="DM185">
        <v>0</v>
      </c>
      <c r="DN185">
        <v>1</v>
      </c>
      <c r="DO185">
        <v>0</v>
      </c>
      <c r="DP185">
        <v>0</v>
      </c>
      <c r="DQ185">
        <v>0</v>
      </c>
      <c r="DR185">
        <v>0</v>
      </c>
      <c r="DS185">
        <v>0</v>
      </c>
    </row>
    <row r="186" spans="1:123" x14ac:dyDescent="0.3">
      <c r="A186" t="str">
        <f>"10/04/2022 19:26:11.774"</f>
        <v>10/04/2022 19:26:11.774</v>
      </c>
      <c r="C186" t="str">
        <f t="shared" si="52"/>
        <v>FFDFD3C0</v>
      </c>
      <c r="D186" t="s">
        <v>147</v>
      </c>
      <c r="E186">
        <v>3</v>
      </c>
      <c r="H186">
        <v>166</v>
      </c>
      <c r="I186" t="s">
        <v>144</v>
      </c>
      <c r="J186" t="s">
        <v>148</v>
      </c>
      <c r="K186">
        <v>0</v>
      </c>
      <c r="L186">
        <v>3</v>
      </c>
      <c r="M186">
        <v>0</v>
      </c>
      <c r="N186">
        <v>2</v>
      </c>
      <c r="O186">
        <v>0</v>
      </c>
      <c r="P186">
        <v>1</v>
      </c>
      <c r="Q186">
        <v>0</v>
      </c>
      <c r="S186" t="str">
        <f t="shared" si="73"/>
        <v>19:26:10.508</v>
      </c>
      <c r="T186" t="str">
        <f t="shared" si="73"/>
        <v>19:26:10.508</v>
      </c>
      <c r="U186" t="str">
        <f t="shared" si="53"/>
        <v>AC3944</v>
      </c>
      <c r="V186">
        <v>0</v>
      </c>
      <c r="W186">
        <v>0</v>
      </c>
      <c r="X186">
        <v>2</v>
      </c>
      <c r="Y186">
        <v>0</v>
      </c>
      <c r="AA186">
        <v>0</v>
      </c>
      <c r="AB186">
        <v>8</v>
      </c>
      <c r="AC186">
        <v>3</v>
      </c>
      <c r="AD186">
        <v>0</v>
      </c>
      <c r="AE186">
        <v>9</v>
      </c>
      <c r="AF186" t="s">
        <v>138</v>
      </c>
      <c r="AG186">
        <v>0</v>
      </c>
      <c r="AH186">
        <v>3</v>
      </c>
      <c r="AI186">
        <v>1</v>
      </c>
      <c r="AJ186">
        <v>0</v>
      </c>
      <c r="AK186" t="s">
        <v>204</v>
      </c>
      <c r="AL186">
        <v>32.829101000000001</v>
      </c>
      <c r="AM186" t="s">
        <v>206</v>
      </c>
      <c r="AN186">
        <v>-116.989009</v>
      </c>
      <c r="AO186">
        <v>25</v>
      </c>
      <c r="AP186">
        <v>1200</v>
      </c>
      <c r="AQ186" t="s">
        <v>129</v>
      </c>
      <c r="AR186">
        <v>-102</v>
      </c>
      <c r="AS186">
        <v>-8</v>
      </c>
      <c r="AT186">
        <v>1536</v>
      </c>
      <c r="BB186">
        <v>1200</v>
      </c>
      <c r="BC186">
        <v>1</v>
      </c>
      <c r="BD186" t="str">
        <f t="shared" si="54"/>
        <v xml:space="preserve">N887QR  </v>
      </c>
      <c r="BE186">
        <v>1</v>
      </c>
      <c r="BG186">
        <v>0</v>
      </c>
      <c r="BH186">
        <v>0</v>
      </c>
      <c r="BI186">
        <v>0</v>
      </c>
      <c r="BJ186">
        <v>925</v>
      </c>
      <c r="BK186">
        <v>-275</v>
      </c>
      <c r="BL186" t="s">
        <v>163</v>
      </c>
      <c r="BM186">
        <v>1</v>
      </c>
      <c r="BN186">
        <v>1</v>
      </c>
      <c r="BO186">
        <v>1</v>
      </c>
      <c r="BP186">
        <v>0</v>
      </c>
      <c r="BS186">
        <v>0</v>
      </c>
      <c r="BT186">
        <v>0</v>
      </c>
      <c r="BU186">
        <v>0</v>
      </c>
      <c r="CE186" t="str">
        <f t="shared" si="74"/>
        <v>19:26:11.510</v>
      </c>
      <c r="CF186">
        <v>1510308136</v>
      </c>
      <c r="CS186">
        <v>3</v>
      </c>
      <c r="CT186">
        <v>2</v>
      </c>
      <c r="CU186">
        <v>0</v>
      </c>
      <c r="CV186">
        <v>2</v>
      </c>
      <c r="CW186">
        <v>0</v>
      </c>
      <c r="CX186">
        <v>5</v>
      </c>
      <c r="CY186">
        <v>7</v>
      </c>
      <c r="CZ186" t="s">
        <v>131</v>
      </c>
      <c r="DA186">
        <v>300</v>
      </c>
      <c r="DB186">
        <v>0</v>
      </c>
      <c r="DC186" t="s">
        <v>176</v>
      </c>
      <c r="DD186" t="s">
        <v>177</v>
      </c>
      <c r="DG186">
        <v>5356494</v>
      </c>
      <c r="DI186">
        <v>0</v>
      </c>
      <c r="DJ186">
        <v>0</v>
      </c>
      <c r="DK186">
        <v>1</v>
      </c>
      <c r="DL186">
        <v>0</v>
      </c>
      <c r="DM186">
        <v>0</v>
      </c>
      <c r="DN186">
        <v>1</v>
      </c>
      <c r="DO186">
        <v>0</v>
      </c>
      <c r="DP186">
        <v>0</v>
      </c>
      <c r="DQ186">
        <v>0</v>
      </c>
      <c r="DR186">
        <v>0</v>
      </c>
      <c r="DS186">
        <v>0</v>
      </c>
    </row>
    <row r="187" spans="1:123" x14ac:dyDescent="0.3">
      <c r="A187" t="str">
        <f>"10/04/2022 19:26:11.774"</f>
        <v>10/04/2022 19:26:11.774</v>
      </c>
      <c r="C187" t="str">
        <f t="shared" si="52"/>
        <v>FFDFD3C0</v>
      </c>
      <c r="D187" t="s">
        <v>123</v>
      </c>
      <c r="E187">
        <v>7</v>
      </c>
      <c r="F187">
        <v>2007</v>
      </c>
      <c r="G187" t="s">
        <v>124</v>
      </c>
      <c r="J187" t="s">
        <v>125</v>
      </c>
      <c r="K187">
        <v>0</v>
      </c>
      <c r="L187">
        <v>3</v>
      </c>
      <c r="M187">
        <v>0</v>
      </c>
      <c r="N187">
        <v>2</v>
      </c>
      <c r="O187">
        <v>0</v>
      </c>
      <c r="P187">
        <v>1</v>
      </c>
      <c r="Q187">
        <v>0</v>
      </c>
      <c r="S187" t="str">
        <f t="shared" si="73"/>
        <v>19:26:10.508</v>
      </c>
      <c r="T187" t="str">
        <f t="shared" si="73"/>
        <v>19:26:10.508</v>
      </c>
      <c r="U187" t="str">
        <f t="shared" si="53"/>
        <v>AC3944</v>
      </c>
      <c r="V187">
        <v>0</v>
      </c>
      <c r="W187">
        <v>0</v>
      </c>
      <c r="X187">
        <v>2</v>
      </c>
      <c r="Y187">
        <v>0</v>
      </c>
      <c r="AA187">
        <v>0</v>
      </c>
      <c r="AB187">
        <v>8</v>
      </c>
      <c r="AC187">
        <v>3</v>
      </c>
      <c r="AD187">
        <v>0</v>
      </c>
      <c r="AE187">
        <v>9</v>
      </c>
      <c r="AF187" t="s">
        <v>138</v>
      </c>
      <c r="AG187">
        <v>0</v>
      </c>
      <c r="AH187">
        <v>3</v>
      </c>
      <c r="AI187">
        <v>1</v>
      </c>
      <c r="AJ187">
        <v>0</v>
      </c>
      <c r="AK187" t="s">
        <v>204</v>
      </c>
      <c r="AL187">
        <v>32.829101000000001</v>
      </c>
      <c r="AM187" t="s">
        <v>206</v>
      </c>
      <c r="AN187">
        <v>-116.989009</v>
      </c>
      <c r="AO187">
        <v>25</v>
      </c>
      <c r="AP187">
        <v>1200</v>
      </c>
      <c r="AQ187" t="s">
        <v>129</v>
      </c>
      <c r="AR187">
        <v>-102</v>
      </c>
      <c r="AS187">
        <v>-8</v>
      </c>
      <c r="AT187">
        <v>1536</v>
      </c>
      <c r="BB187">
        <v>1200</v>
      </c>
      <c r="BC187">
        <v>1</v>
      </c>
      <c r="BD187" t="str">
        <f t="shared" si="54"/>
        <v xml:space="preserve">N887QR  </v>
      </c>
      <c r="BE187">
        <v>1</v>
      </c>
      <c r="BG187">
        <v>0</v>
      </c>
      <c r="BH187">
        <v>0</v>
      </c>
      <c r="BI187">
        <v>0</v>
      </c>
      <c r="BJ187">
        <v>925</v>
      </c>
      <c r="BK187">
        <v>-275</v>
      </c>
      <c r="BL187" t="s">
        <v>163</v>
      </c>
      <c r="BM187">
        <v>1</v>
      </c>
      <c r="BN187">
        <v>1</v>
      </c>
      <c r="BO187">
        <v>1</v>
      </c>
      <c r="BP187">
        <v>0</v>
      </c>
      <c r="BS187">
        <v>0</v>
      </c>
      <c r="BT187">
        <v>0</v>
      </c>
      <c r="BU187">
        <v>0</v>
      </c>
      <c r="CE187" t="str">
        <f t="shared" si="74"/>
        <v>19:26:11.510</v>
      </c>
      <c r="CF187">
        <v>1510308136</v>
      </c>
      <c r="CS187">
        <v>3</v>
      </c>
      <c r="CT187">
        <v>2</v>
      </c>
      <c r="CU187">
        <v>0</v>
      </c>
      <c r="CV187">
        <v>2</v>
      </c>
      <c r="CW187">
        <v>0</v>
      </c>
      <c r="CX187">
        <v>5</v>
      </c>
      <c r="CY187">
        <v>7</v>
      </c>
      <c r="CZ187" t="s">
        <v>131</v>
      </c>
      <c r="DA187">
        <v>300</v>
      </c>
      <c r="DB187">
        <v>0</v>
      </c>
      <c r="DC187" t="s">
        <v>176</v>
      </c>
      <c r="DD187" t="s">
        <v>177</v>
      </c>
      <c r="DG187">
        <v>5356494</v>
      </c>
      <c r="DI187">
        <v>0</v>
      </c>
      <c r="DJ187">
        <v>0</v>
      </c>
      <c r="DK187">
        <v>1</v>
      </c>
      <c r="DL187">
        <v>0</v>
      </c>
      <c r="DM187">
        <v>0</v>
      </c>
      <c r="DN187">
        <v>1</v>
      </c>
      <c r="DO187">
        <v>0</v>
      </c>
      <c r="DP187">
        <v>0</v>
      </c>
      <c r="DQ187">
        <v>0</v>
      </c>
      <c r="DR187">
        <v>0</v>
      </c>
      <c r="DS187">
        <v>0</v>
      </c>
    </row>
    <row r="188" spans="1:123" x14ac:dyDescent="0.3">
      <c r="A188" t="str">
        <f>"10/04/2022 19:26:12.477"</f>
        <v>10/04/2022 19:26:12.477</v>
      </c>
      <c r="C188" t="str">
        <f t="shared" si="52"/>
        <v>FFDFD3C0</v>
      </c>
      <c r="D188" t="s">
        <v>134</v>
      </c>
      <c r="E188">
        <v>15</v>
      </c>
      <c r="J188" t="s">
        <v>135</v>
      </c>
      <c r="K188">
        <v>0</v>
      </c>
      <c r="L188">
        <v>3</v>
      </c>
      <c r="M188">
        <v>0</v>
      </c>
      <c r="N188">
        <v>2</v>
      </c>
      <c r="O188">
        <v>0</v>
      </c>
      <c r="P188">
        <v>1</v>
      </c>
      <c r="Q188">
        <v>0</v>
      </c>
      <c r="S188" t="str">
        <f t="shared" ref="S188:T194" si="75">"19:26:11.250"</f>
        <v>19:26:11.250</v>
      </c>
      <c r="T188" t="str">
        <f t="shared" si="75"/>
        <v>19:26:11.250</v>
      </c>
      <c r="U188" t="str">
        <f t="shared" si="53"/>
        <v>AC3944</v>
      </c>
      <c r="V188">
        <v>0</v>
      </c>
      <c r="W188">
        <v>0</v>
      </c>
      <c r="X188">
        <v>2</v>
      </c>
      <c r="Y188">
        <v>0</v>
      </c>
      <c r="AA188">
        <v>0</v>
      </c>
      <c r="AB188">
        <v>8</v>
      </c>
      <c r="AC188">
        <v>3</v>
      </c>
      <c r="AD188">
        <v>0</v>
      </c>
      <c r="AE188">
        <v>9</v>
      </c>
      <c r="AF188" t="s">
        <v>138</v>
      </c>
      <c r="AG188">
        <v>0</v>
      </c>
      <c r="AH188">
        <v>3</v>
      </c>
      <c r="AI188">
        <v>1</v>
      </c>
      <c r="AJ188">
        <v>0</v>
      </c>
      <c r="AK188" t="s">
        <v>207</v>
      </c>
      <c r="AL188">
        <v>32.829058000000003</v>
      </c>
      <c r="AM188" t="s">
        <v>208</v>
      </c>
      <c r="AN188">
        <v>-116.989589</v>
      </c>
      <c r="AO188">
        <v>25</v>
      </c>
      <c r="AP188">
        <v>1200</v>
      </c>
      <c r="AQ188" t="s">
        <v>129</v>
      </c>
      <c r="AR188">
        <v>-103</v>
      </c>
      <c r="AS188">
        <v>-9</v>
      </c>
      <c r="AT188">
        <v>1344</v>
      </c>
      <c r="BB188">
        <v>1200</v>
      </c>
      <c r="BC188">
        <v>1</v>
      </c>
      <c r="BD188" t="str">
        <f t="shared" si="54"/>
        <v xml:space="preserve">N887QR  </v>
      </c>
      <c r="BE188">
        <v>1</v>
      </c>
      <c r="BG188">
        <v>0</v>
      </c>
      <c r="BH188">
        <v>0</v>
      </c>
      <c r="BI188">
        <v>0</v>
      </c>
      <c r="BJ188">
        <v>925</v>
      </c>
      <c r="BK188">
        <v>-275</v>
      </c>
      <c r="BL188" t="s">
        <v>163</v>
      </c>
      <c r="BM188">
        <v>1</v>
      </c>
      <c r="BN188">
        <v>1</v>
      </c>
      <c r="BO188">
        <v>1</v>
      </c>
      <c r="BP188">
        <v>0</v>
      </c>
      <c r="BS188">
        <v>0</v>
      </c>
      <c r="BT188">
        <v>0</v>
      </c>
      <c r="BU188">
        <v>0</v>
      </c>
      <c r="CE188" t="str">
        <f t="shared" ref="CE188:CE194" si="76">"19:26:12.251"</f>
        <v>19:26:12.251</v>
      </c>
      <c r="CF188">
        <v>1250810466</v>
      </c>
      <c r="CS188">
        <v>3</v>
      </c>
      <c r="CT188">
        <v>2</v>
      </c>
      <c r="CU188">
        <v>0</v>
      </c>
      <c r="CV188">
        <v>2</v>
      </c>
      <c r="CW188">
        <v>0</v>
      </c>
      <c r="CX188">
        <v>5</v>
      </c>
      <c r="CY188">
        <v>7</v>
      </c>
      <c r="CZ188" t="s">
        <v>131</v>
      </c>
      <c r="DA188">
        <v>300</v>
      </c>
      <c r="DB188">
        <v>0</v>
      </c>
      <c r="DC188" t="s">
        <v>176</v>
      </c>
      <c r="DD188" t="s">
        <v>177</v>
      </c>
      <c r="DG188">
        <v>5356609</v>
      </c>
      <c r="DI188">
        <v>0</v>
      </c>
      <c r="DJ188">
        <v>0</v>
      </c>
      <c r="DK188">
        <v>0</v>
      </c>
      <c r="DL188">
        <v>0</v>
      </c>
      <c r="DM188">
        <v>0</v>
      </c>
      <c r="DN188">
        <v>1</v>
      </c>
      <c r="DO188">
        <v>0</v>
      </c>
      <c r="DP188">
        <v>0</v>
      </c>
      <c r="DQ188">
        <v>0</v>
      </c>
      <c r="DR188">
        <v>0</v>
      </c>
      <c r="DS188">
        <v>0</v>
      </c>
    </row>
    <row r="189" spans="1:123" x14ac:dyDescent="0.3">
      <c r="A189" t="str">
        <f>"10/04/2022 19:26:12.477"</f>
        <v>10/04/2022 19:26:12.477</v>
      </c>
      <c r="C189" t="str">
        <f t="shared" si="52"/>
        <v>FFDFD3C0</v>
      </c>
      <c r="D189" t="s">
        <v>136</v>
      </c>
      <c r="E189">
        <v>8</v>
      </c>
      <c r="H189">
        <v>225</v>
      </c>
      <c r="I189" t="s">
        <v>137</v>
      </c>
      <c r="J189" t="s">
        <v>138</v>
      </c>
      <c r="K189">
        <v>0</v>
      </c>
      <c r="L189">
        <v>3</v>
      </c>
      <c r="M189">
        <v>0</v>
      </c>
      <c r="N189">
        <v>2</v>
      </c>
      <c r="O189">
        <v>0</v>
      </c>
      <c r="P189">
        <v>1</v>
      </c>
      <c r="Q189">
        <v>0</v>
      </c>
      <c r="S189" t="str">
        <f t="shared" si="75"/>
        <v>19:26:11.250</v>
      </c>
      <c r="T189" t="str">
        <f t="shared" si="75"/>
        <v>19:26:11.250</v>
      </c>
      <c r="U189" t="str">
        <f t="shared" si="53"/>
        <v>AC3944</v>
      </c>
      <c r="V189">
        <v>0</v>
      </c>
      <c r="W189">
        <v>0</v>
      </c>
      <c r="X189">
        <v>2</v>
      </c>
      <c r="Y189">
        <v>0</v>
      </c>
      <c r="AA189">
        <v>0</v>
      </c>
      <c r="AB189">
        <v>8</v>
      </c>
      <c r="AC189">
        <v>3</v>
      </c>
      <c r="AD189">
        <v>0</v>
      </c>
      <c r="AE189">
        <v>9</v>
      </c>
      <c r="AF189" t="s">
        <v>138</v>
      </c>
      <c r="AG189">
        <v>0</v>
      </c>
      <c r="AH189">
        <v>3</v>
      </c>
      <c r="AI189">
        <v>1</v>
      </c>
      <c r="AJ189">
        <v>0</v>
      </c>
      <c r="AK189" t="s">
        <v>207</v>
      </c>
      <c r="AL189">
        <v>32.829058000000003</v>
      </c>
      <c r="AM189" t="s">
        <v>208</v>
      </c>
      <c r="AN189">
        <v>-116.989589</v>
      </c>
      <c r="AO189">
        <v>25</v>
      </c>
      <c r="AP189">
        <v>1200</v>
      </c>
      <c r="AQ189" t="s">
        <v>129</v>
      </c>
      <c r="AR189">
        <v>-103</v>
      </c>
      <c r="AS189">
        <v>-9</v>
      </c>
      <c r="AT189">
        <v>1344</v>
      </c>
      <c r="BB189">
        <v>1200</v>
      </c>
      <c r="BC189">
        <v>1</v>
      </c>
      <c r="BD189" t="str">
        <f t="shared" si="54"/>
        <v xml:space="preserve">N887QR  </v>
      </c>
      <c r="BE189">
        <v>1</v>
      </c>
      <c r="BG189">
        <v>0</v>
      </c>
      <c r="BH189">
        <v>0</v>
      </c>
      <c r="BI189">
        <v>0</v>
      </c>
      <c r="BJ189">
        <v>925</v>
      </c>
      <c r="BK189">
        <v>-275</v>
      </c>
      <c r="BL189" t="s">
        <v>163</v>
      </c>
      <c r="BM189">
        <v>1</v>
      </c>
      <c r="BN189">
        <v>1</v>
      </c>
      <c r="BO189">
        <v>1</v>
      </c>
      <c r="BP189">
        <v>0</v>
      </c>
      <c r="BS189">
        <v>0</v>
      </c>
      <c r="BT189">
        <v>0</v>
      </c>
      <c r="BU189">
        <v>0</v>
      </c>
      <c r="CE189" t="str">
        <f t="shared" si="76"/>
        <v>19:26:12.251</v>
      </c>
      <c r="CF189">
        <v>1250810466</v>
      </c>
      <c r="CS189">
        <v>3</v>
      </c>
      <c r="CT189">
        <v>2</v>
      </c>
      <c r="CU189">
        <v>0</v>
      </c>
      <c r="CV189">
        <v>2</v>
      </c>
      <c r="CW189">
        <v>0</v>
      </c>
      <c r="CX189">
        <v>5</v>
      </c>
      <c r="CY189">
        <v>7</v>
      </c>
      <c r="CZ189" t="s">
        <v>131</v>
      </c>
      <c r="DA189">
        <v>300</v>
      </c>
      <c r="DB189">
        <v>0</v>
      </c>
      <c r="DC189" t="s">
        <v>176</v>
      </c>
      <c r="DD189" t="s">
        <v>177</v>
      </c>
      <c r="DG189">
        <v>5356609</v>
      </c>
      <c r="DI189">
        <v>0</v>
      </c>
      <c r="DJ189">
        <v>0</v>
      </c>
      <c r="DK189">
        <v>1</v>
      </c>
      <c r="DL189">
        <v>0</v>
      </c>
      <c r="DM189">
        <v>0</v>
      </c>
      <c r="DN189">
        <v>1</v>
      </c>
      <c r="DO189">
        <v>0</v>
      </c>
      <c r="DP189">
        <v>0</v>
      </c>
      <c r="DQ189">
        <v>0</v>
      </c>
      <c r="DR189">
        <v>0</v>
      </c>
      <c r="DS189">
        <v>0</v>
      </c>
    </row>
    <row r="190" spans="1:123" x14ac:dyDescent="0.3">
      <c r="A190" t="str">
        <f>"10/04/2022 19:26:12.477"</f>
        <v>10/04/2022 19:26:12.477</v>
      </c>
      <c r="C190" t="str">
        <f t="shared" si="52"/>
        <v>FFDFD3C0</v>
      </c>
      <c r="D190" t="s">
        <v>143</v>
      </c>
      <c r="E190">
        <v>20</v>
      </c>
      <c r="F190">
        <v>1020</v>
      </c>
      <c r="G190" t="s">
        <v>144</v>
      </c>
      <c r="J190" t="s">
        <v>145</v>
      </c>
      <c r="K190">
        <v>0</v>
      </c>
      <c r="L190">
        <v>3</v>
      </c>
      <c r="M190">
        <v>0</v>
      </c>
      <c r="N190">
        <v>2</v>
      </c>
      <c r="O190">
        <v>0</v>
      </c>
      <c r="P190">
        <v>1</v>
      </c>
      <c r="Q190">
        <v>0</v>
      </c>
      <c r="S190" t="str">
        <f t="shared" si="75"/>
        <v>19:26:11.250</v>
      </c>
      <c r="T190" t="str">
        <f t="shared" si="75"/>
        <v>19:26:11.250</v>
      </c>
      <c r="U190" t="str">
        <f t="shared" si="53"/>
        <v>AC3944</v>
      </c>
      <c r="V190">
        <v>0</v>
      </c>
      <c r="W190">
        <v>0</v>
      </c>
      <c r="X190">
        <v>2</v>
      </c>
      <c r="Y190">
        <v>0</v>
      </c>
      <c r="AA190">
        <v>0</v>
      </c>
      <c r="AB190">
        <v>8</v>
      </c>
      <c r="AC190">
        <v>3</v>
      </c>
      <c r="AD190">
        <v>0</v>
      </c>
      <c r="AE190">
        <v>9</v>
      </c>
      <c r="AF190" t="s">
        <v>138</v>
      </c>
      <c r="AG190">
        <v>0</v>
      </c>
      <c r="AH190">
        <v>3</v>
      </c>
      <c r="AI190">
        <v>1</v>
      </c>
      <c r="AJ190">
        <v>0</v>
      </c>
      <c r="AK190" t="s">
        <v>207</v>
      </c>
      <c r="AL190">
        <v>32.829058000000003</v>
      </c>
      <c r="AM190" t="s">
        <v>208</v>
      </c>
      <c r="AN190">
        <v>-116.989589</v>
      </c>
      <c r="AO190">
        <v>25</v>
      </c>
      <c r="AP190">
        <v>1200</v>
      </c>
      <c r="AQ190" t="s">
        <v>129</v>
      </c>
      <c r="AR190">
        <v>-103</v>
      </c>
      <c r="AS190">
        <v>-9</v>
      </c>
      <c r="AT190">
        <v>1344</v>
      </c>
      <c r="BB190">
        <v>1200</v>
      </c>
      <c r="BC190">
        <v>1</v>
      </c>
      <c r="BD190" t="str">
        <f t="shared" si="54"/>
        <v xml:space="preserve">N887QR  </v>
      </c>
      <c r="BE190">
        <v>1</v>
      </c>
      <c r="BG190">
        <v>0</v>
      </c>
      <c r="BH190">
        <v>0</v>
      </c>
      <c r="BI190">
        <v>0</v>
      </c>
      <c r="BJ190">
        <v>925</v>
      </c>
      <c r="BK190">
        <v>-275</v>
      </c>
      <c r="BL190" t="s">
        <v>163</v>
      </c>
      <c r="BM190">
        <v>1</v>
      </c>
      <c r="BN190">
        <v>1</v>
      </c>
      <c r="BO190">
        <v>1</v>
      </c>
      <c r="BP190">
        <v>0</v>
      </c>
      <c r="BS190">
        <v>0</v>
      </c>
      <c r="BT190">
        <v>0</v>
      </c>
      <c r="BU190">
        <v>0</v>
      </c>
      <c r="CE190" t="str">
        <f t="shared" si="76"/>
        <v>19:26:12.251</v>
      </c>
      <c r="CF190">
        <v>1250810466</v>
      </c>
      <c r="CS190">
        <v>3</v>
      </c>
      <c r="CT190">
        <v>2</v>
      </c>
      <c r="CU190">
        <v>0</v>
      </c>
      <c r="CV190">
        <v>2</v>
      </c>
      <c r="CW190">
        <v>0</v>
      </c>
      <c r="CX190">
        <v>5</v>
      </c>
      <c r="CY190">
        <v>7</v>
      </c>
      <c r="CZ190" t="s">
        <v>131</v>
      </c>
      <c r="DA190">
        <v>300</v>
      </c>
      <c r="DB190">
        <v>0</v>
      </c>
      <c r="DC190" t="s">
        <v>176</v>
      </c>
      <c r="DD190" t="s">
        <v>177</v>
      </c>
      <c r="DG190">
        <v>5356609</v>
      </c>
      <c r="DI190">
        <v>0</v>
      </c>
      <c r="DJ190">
        <v>0</v>
      </c>
      <c r="DK190">
        <v>1</v>
      </c>
      <c r="DL190">
        <v>0</v>
      </c>
      <c r="DM190">
        <v>0</v>
      </c>
      <c r="DN190">
        <v>1</v>
      </c>
      <c r="DO190">
        <v>0</v>
      </c>
      <c r="DP190">
        <v>0</v>
      </c>
      <c r="DQ190">
        <v>0</v>
      </c>
      <c r="DR190">
        <v>0</v>
      </c>
      <c r="DS190">
        <v>0</v>
      </c>
    </row>
    <row r="191" spans="1:123" x14ac:dyDescent="0.3">
      <c r="A191" t="str">
        <f>"10/04/2022 19:26:12.477"</f>
        <v>10/04/2022 19:26:12.477</v>
      </c>
      <c r="C191" t="str">
        <f t="shared" si="52"/>
        <v>FFDFD3C0</v>
      </c>
      <c r="D191" t="s">
        <v>141</v>
      </c>
      <c r="E191">
        <v>4</v>
      </c>
      <c r="H191">
        <v>4</v>
      </c>
      <c r="I191" t="s">
        <v>142</v>
      </c>
      <c r="J191" t="s">
        <v>138</v>
      </c>
      <c r="K191">
        <v>0</v>
      </c>
      <c r="L191">
        <v>3</v>
      </c>
      <c r="M191">
        <v>0</v>
      </c>
      <c r="N191">
        <v>2</v>
      </c>
      <c r="O191">
        <v>0</v>
      </c>
      <c r="P191">
        <v>1</v>
      </c>
      <c r="Q191">
        <v>0</v>
      </c>
      <c r="S191" t="str">
        <f t="shared" si="75"/>
        <v>19:26:11.250</v>
      </c>
      <c r="T191" t="str">
        <f t="shared" si="75"/>
        <v>19:26:11.250</v>
      </c>
      <c r="U191" t="str">
        <f t="shared" si="53"/>
        <v>AC3944</v>
      </c>
      <c r="V191">
        <v>0</v>
      </c>
      <c r="W191">
        <v>0</v>
      </c>
      <c r="X191">
        <v>2</v>
      </c>
      <c r="Y191">
        <v>0</v>
      </c>
      <c r="AA191">
        <v>0</v>
      </c>
      <c r="AB191">
        <v>8</v>
      </c>
      <c r="AC191">
        <v>3</v>
      </c>
      <c r="AD191">
        <v>0</v>
      </c>
      <c r="AE191">
        <v>9</v>
      </c>
      <c r="AF191" t="s">
        <v>138</v>
      </c>
      <c r="AG191">
        <v>0</v>
      </c>
      <c r="AH191">
        <v>3</v>
      </c>
      <c r="AI191">
        <v>1</v>
      </c>
      <c r="AJ191">
        <v>0</v>
      </c>
      <c r="AK191" t="s">
        <v>207</v>
      </c>
      <c r="AL191">
        <v>32.829058000000003</v>
      </c>
      <c r="AM191" t="s">
        <v>208</v>
      </c>
      <c r="AN191">
        <v>-116.989589</v>
      </c>
      <c r="AO191">
        <v>25</v>
      </c>
      <c r="AP191">
        <v>1200</v>
      </c>
      <c r="AQ191" t="s">
        <v>129</v>
      </c>
      <c r="AR191">
        <v>-103</v>
      </c>
      <c r="AS191">
        <v>-9</v>
      </c>
      <c r="AT191">
        <v>1344</v>
      </c>
      <c r="BB191">
        <v>1200</v>
      </c>
      <c r="BC191">
        <v>1</v>
      </c>
      <c r="BD191" t="str">
        <f t="shared" si="54"/>
        <v xml:space="preserve">N887QR  </v>
      </c>
      <c r="BE191">
        <v>1</v>
      </c>
      <c r="BG191">
        <v>0</v>
      </c>
      <c r="BH191">
        <v>0</v>
      </c>
      <c r="BI191">
        <v>0</v>
      </c>
      <c r="BJ191">
        <v>925</v>
      </c>
      <c r="BK191">
        <v>-275</v>
      </c>
      <c r="BL191" t="s">
        <v>163</v>
      </c>
      <c r="BM191">
        <v>1</v>
      </c>
      <c r="BN191">
        <v>1</v>
      </c>
      <c r="BO191">
        <v>1</v>
      </c>
      <c r="BP191">
        <v>0</v>
      </c>
      <c r="BS191">
        <v>0</v>
      </c>
      <c r="BT191">
        <v>0</v>
      </c>
      <c r="BU191">
        <v>0</v>
      </c>
      <c r="CE191" t="str">
        <f t="shared" si="76"/>
        <v>19:26:12.251</v>
      </c>
      <c r="CF191">
        <v>1250810466</v>
      </c>
      <c r="CS191">
        <v>3</v>
      </c>
      <c r="CT191">
        <v>2</v>
      </c>
      <c r="CU191">
        <v>0</v>
      </c>
      <c r="CV191">
        <v>2</v>
      </c>
      <c r="CW191">
        <v>0</v>
      </c>
      <c r="CX191">
        <v>5</v>
      </c>
      <c r="CY191">
        <v>7</v>
      </c>
      <c r="CZ191" t="s">
        <v>131</v>
      </c>
      <c r="DA191">
        <v>300</v>
      </c>
      <c r="DB191">
        <v>0</v>
      </c>
      <c r="DC191" t="s">
        <v>176</v>
      </c>
      <c r="DD191" t="s">
        <v>177</v>
      </c>
      <c r="DG191">
        <v>5356609</v>
      </c>
      <c r="DI191">
        <v>0</v>
      </c>
      <c r="DJ191">
        <v>0</v>
      </c>
      <c r="DK191">
        <v>1</v>
      </c>
      <c r="DL191">
        <v>0</v>
      </c>
      <c r="DM191">
        <v>0</v>
      </c>
      <c r="DN191">
        <v>1</v>
      </c>
      <c r="DO191">
        <v>0</v>
      </c>
      <c r="DP191">
        <v>0</v>
      </c>
      <c r="DQ191">
        <v>0</v>
      </c>
      <c r="DR191">
        <v>0</v>
      </c>
      <c r="DS191">
        <v>0</v>
      </c>
    </row>
    <row r="192" spans="1:123" x14ac:dyDescent="0.3">
      <c r="A192" t="str">
        <f>"10/04/2022 19:26:12.602"</f>
        <v>10/04/2022 19:26:12.602</v>
      </c>
      <c r="C192" t="str">
        <f t="shared" si="52"/>
        <v>FFDFD3C0</v>
      </c>
      <c r="D192" t="s">
        <v>123</v>
      </c>
      <c r="E192">
        <v>7</v>
      </c>
      <c r="F192">
        <v>2007</v>
      </c>
      <c r="G192" t="s">
        <v>124</v>
      </c>
      <c r="J192" t="s">
        <v>125</v>
      </c>
      <c r="K192">
        <v>0</v>
      </c>
      <c r="L192">
        <v>3</v>
      </c>
      <c r="M192">
        <v>0</v>
      </c>
      <c r="N192">
        <v>2</v>
      </c>
      <c r="O192">
        <v>0</v>
      </c>
      <c r="P192">
        <v>1</v>
      </c>
      <c r="Q192">
        <v>0</v>
      </c>
      <c r="S192" t="str">
        <f t="shared" si="75"/>
        <v>19:26:11.250</v>
      </c>
      <c r="T192" t="str">
        <f t="shared" si="75"/>
        <v>19:26:11.250</v>
      </c>
      <c r="U192" t="str">
        <f t="shared" si="53"/>
        <v>AC3944</v>
      </c>
      <c r="V192">
        <v>0</v>
      </c>
      <c r="W192">
        <v>0</v>
      </c>
      <c r="X192">
        <v>2</v>
      </c>
      <c r="Y192">
        <v>0</v>
      </c>
      <c r="AA192">
        <v>0</v>
      </c>
      <c r="AB192">
        <v>8</v>
      </c>
      <c r="AC192">
        <v>3</v>
      </c>
      <c r="AD192">
        <v>0</v>
      </c>
      <c r="AE192">
        <v>9</v>
      </c>
      <c r="AF192" t="s">
        <v>138</v>
      </c>
      <c r="AG192">
        <v>0</v>
      </c>
      <c r="AH192">
        <v>3</v>
      </c>
      <c r="AI192">
        <v>1</v>
      </c>
      <c r="AJ192">
        <v>0</v>
      </c>
      <c r="AK192" t="s">
        <v>207</v>
      </c>
      <c r="AL192">
        <v>32.829058000000003</v>
      </c>
      <c r="AM192" t="s">
        <v>208</v>
      </c>
      <c r="AN192">
        <v>-116.989589</v>
      </c>
      <c r="AO192">
        <v>25</v>
      </c>
      <c r="AP192">
        <v>1200</v>
      </c>
      <c r="AQ192" t="s">
        <v>129</v>
      </c>
      <c r="AR192">
        <v>-103</v>
      </c>
      <c r="AS192">
        <v>-9</v>
      </c>
      <c r="AT192">
        <v>1344</v>
      </c>
      <c r="BB192">
        <v>1200</v>
      </c>
      <c r="BC192">
        <v>1</v>
      </c>
      <c r="BD192" t="str">
        <f t="shared" si="54"/>
        <v xml:space="preserve">N887QR  </v>
      </c>
      <c r="BE192">
        <v>1</v>
      </c>
      <c r="BG192">
        <v>0</v>
      </c>
      <c r="BH192">
        <v>0</v>
      </c>
      <c r="BI192">
        <v>0</v>
      </c>
      <c r="BJ192">
        <v>925</v>
      </c>
      <c r="BK192">
        <v>-275</v>
      </c>
      <c r="BL192" t="s">
        <v>163</v>
      </c>
      <c r="BM192">
        <v>1</v>
      </c>
      <c r="BN192">
        <v>1</v>
      </c>
      <c r="BO192">
        <v>1</v>
      </c>
      <c r="BP192">
        <v>0</v>
      </c>
      <c r="BS192">
        <v>0</v>
      </c>
      <c r="BT192">
        <v>0</v>
      </c>
      <c r="BU192">
        <v>0</v>
      </c>
      <c r="CE192" t="str">
        <f t="shared" si="76"/>
        <v>19:26:12.251</v>
      </c>
      <c r="CF192">
        <v>1250810466</v>
      </c>
      <c r="CS192">
        <v>3</v>
      </c>
      <c r="CT192">
        <v>2</v>
      </c>
      <c r="CU192">
        <v>0</v>
      </c>
      <c r="CV192">
        <v>2</v>
      </c>
      <c r="CW192">
        <v>0</v>
      </c>
      <c r="CX192">
        <v>5</v>
      </c>
      <c r="CY192">
        <v>7</v>
      </c>
      <c r="CZ192" t="s">
        <v>131</v>
      </c>
      <c r="DA192">
        <v>300</v>
      </c>
      <c r="DB192">
        <v>0</v>
      </c>
      <c r="DC192" t="s">
        <v>176</v>
      </c>
      <c r="DD192" t="s">
        <v>177</v>
      </c>
      <c r="DG192">
        <v>5356609</v>
      </c>
      <c r="DI192">
        <v>0</v>
      </c>
      <c r="DJ192">
        <v>0</v>
      </c>
      <c r="DK192">
        <v>1</v>
      </c>
      <c r="DL192">
        <v>0</v>
      </c>
      <c r="DM192">
        <v>0</v>
      </c>
      <c r="DN192">
        <v>1</v>
      </c>
      <c r="DO192">
        <v>0</v>
      </c>
      <c r="DP192">
        <v>0</v>
      </c>
      <c r="DQ192">
        <v>0</v>
      </c>
      <c r="DR192">
        <v>0</v>
      </c>
      <c r="DS192">
        <v>0</v>
      </c>
    </row>
    <row r="193" spans="1:123" x14ac:dyDescent="0.3">
      <c r="A193" t="str">
        <f>"10/04/2022 19:26:12.602"</f>
        <v>10/04/2022 19:26:12.602</v>
      </c>
      <c r="C193" t="str">
        <f t="shared" si="52"/>
        <v>FFDFD3C0</v>
      </c>
      <c r="D193" t="s">
        <v>147</v>
      </c>
      <c r="E193">
        <v>3</v>
      </c>
      <c r="H193">
        <v>166</v>
      </c>
      <c r="I193" t="s">
        <v>144</v>
      </c>
      <c r="J193" t="s">
        <v>148</v>
      </c>
      <c r="K193">
        <v>0</v>
      </c>
      <c r="L193">
        <v>3</v>
      </c>
      <c r="M193">
        <v>0</v>
      </c>
      <c r="N193">
        <v>2</v>
      </c>
      <c r="O193">
        <v>0</v>
      </c>
      <c r="P193">
        <v>1</v>
      </c>
      <c r="Q193">
        <v>0</v>
      </c>
      <c r="S193" t="str">
        <f t="shared" si="75"/>
        <v>19:26:11.250</v>
      </c>
      <c r="T193" t="str">
        <f t="shared" si="75"/>
        <v>19:26:11.250</v>
      </c>
      <c r="U193" t="str">
        <f t="shared" si="53"/>
        <v>AC3944</v>
      </c>
      <c r="V193">
        <v>0</v>
      </c>
      <c r="W193">
        <v>0</v>
      </c>
      <c r="X193">
        <v>2</v>
      </c>
      <c r="Y193">
        <v>0</v>
      </c>
      <c r="AA193">
        <v>0</v>
      </c>
      <c r="AB193">
        <v>8</v>
      </c>
      <c r="AC193">
        <v>3</v>
      </c>
      <c r="AD193">
        <v>0</v>
      </c>
      <c r="AE193">
        <v>9</v>
      </c>
      <c r="AF193" t="s">
        <v>138</v>
      </c>
      <c r="AG193">
        <v>0</v>
      </c>
      <c r="AH193">
        <v>3</v>
      </c>
      <c r="AI193">
        <v>1</v>
      </c>
      <c r="AJ193">
        <v>0</v>
      </c>
      <c r="AK193" t="s">
        <v>207</v>
      </c>
      <c r="AL193">
        <v>32.829058000000003</v>
      </c>
      <c r="AM193" t="s">
        <v>208</v>
      </c>
      <c r="AN193">
        <v>-116.989589</v>
      </c>
      <c r="AO193">
        <v>25</v>
      </c>
      <c r="AP193">
        <v>1200</v>
      </c>
      <c r="AQ193" t="s">
        <v>129</v>
      </c>
      <c r="AR193">
        <v>-103</v>
      </c>
      <c r="AS193">
        <v>-9</v>
      </c>
      <c r="AT193">
        <v>1344</v>
      </c>
      <c r="BB193">
        <v>1200</v>
      </c>
      <c r="BC193">
        <v>1</v>
      </c>
      <c r="BD193" t="str">
        <f t="shared" si="54"/>
        <v xml:space="preserve">N887QR  </v>
      </c>
      <c r="BE193">
        <v>1</v>
      </c>
      <c r="BG193">
        <v>0</v>
      </c>
      <c r="BH193">
        <v>0</v>
      </c>
      <c r="BI193">
        <v>0</v>
      </c>
      <c r="BJ193">
        <v>925</v>
      </c>
      <c r="BK193">
        <v>-275</v>
      </c>
      <c r="BL193" t="s">
        <v>163</v>
      </c>
      <c r="BM193">
        <v>1</v>
      </c>
      <c r="BN193">
        <v>1</v>
      </c>
      <c r="BO193">
        <v>1</v>
      </c>
      <c r="BP193">
        <v>0</v>
      </c>
      <c r="BS193">
        <v>0</v>
      </c>
      <c r="BT193">
        <v>0</v>
      </c>
      <c r="BU193">
        <v>0</v>
      </c>
      <c r="CE193" t="str">
        <f t="shared" si="76"/>
        <v>19:26:12.251</v>
      </c>
      <c r="CF193">
        <v>1250810466</v>
      </c>
      <c r="CS193">
        <v>3</v>
      </c>
      <c r="CT193">
        <v>2</v>
      </c>
      <c r="CU193">
        <v>0</v>
      </c>
      <c r="CV193">
        <v>2</v>
      </c>
      <c r="CW193">
        <v>0</v>
      </c>
      <c r="CX193">
        <v>5</v>
      </c>
      <c r="CY193">
        <v>7</v>
      </c>
      <c r="CZ193" t="s">
        <v>131</v>
      </c>
      <c r="DA193">
        <v>300</v>
      </c>
      <c r="DB193">
        <v>0</v>
      </c>
      <c r="DC193" t="s">
        <v>176</v>
      </c>
      <c r="DD193" t="s">
        <v>177</v>
      </c>
      <c r="DG193">
        <v>5356609</v>
      </c>
      <c r="DI193">
        <v>0</v>
      </c>
      <c r="DJ193">
        <v>0</v>
      </c>
      <c r="DK193">
        <v>1</v>
      </c>
      <c r="DL193">
        <v>0</v>
      </c>
      <c r="DM193">
        <v>0</v>
      </c>
      <c r="DN193">
        <v>1</v>
      </c>
      <c r="DO193">
        <v>0</v>
      </c>
      <c r="DP193">
        <v>0</v>
      </c>
      <c r="DQ193">
        <v>0</v>
      </c>
      <c r="DR193">
        <v>0</v>
      </c>
      <c r="DS193">
        <v>0</v>
      </c>
    </row>
    <row r="194" spans="1:123" x14ac:dyDescent="0.3">
      <c r="A194" t="str">
        <f>"10/04/2022 19:26:12.602"</f>
        <v>10/04/2022 19:26:12.602</v>
      </c>
      <c r="C194" t="str">
        <f t="shared" ref="C194:C257" si="77">"FFDFD3C0"</f>
        <v>FFDFD3C0</v>
      </c>
      <c r="D194" t="s">
        <v>141</v>
      </c>
      <c r="E194">
        <v>3</v>
      </c>
      <c r="H194">
        <v>3</v>
      </c>
      <c r="I194" t="s">
        <v>146</v>
      </c>
      <c r="J194" t="s">
        <v>138</v>
      </c>
      <c r="K194">
        <v>0</v>
      </c>
      <c r="L194">
        <v>3</v>
      </c>
      <c r="M194">
        <v>0</v>
      </c>
      <c r="N194">
        <v>2</v>
      </c>
      <c r="O194">
        <v>0</v>
      </c>
      <c r="P194">
        <v>1</v>
      </c>
      <c r="Q194">
        <v>0</v>
      </c>
      <c r="S194" t="str">
        <f t="shared" si="75"/>
        <v>19:26:11.250</v>
      </c>
      <c r="T194" t="str">
        <f t="shared" si="75"/>
        <v>19:26:11.250</v>
      </c>
      <c r="U194" t="str">
        <f t="shared" ref="U194:U257" si="78">"AC3944"</f>
        <v>AC3944</v>
      </c>
      <c r="V194">
        <v>0</v>
      </c>
      <c r="W194">
        <v>0</v>
      </c>
      <c r="X194">
        <v>2</v>
      </c>
      <c r="Y194">
        <v>0</v>
      </c>
      <c r="AA194">
        <v>0</v>
      </c>
      <c r="AB194">
        <v>8</v>
      </c>
      <c r="AC194">
        <v>3</v>
      </c>
      <c r="AD194">
        <v>0</v>
      </c>
      <c r="AE194">
        <v>9</v>
      </c>
      <c r="AF194" t="s">
        <v>138</v>
      </c>
      <c r="AG194">
        <v>0</v>
      </c>
      <c r="AH194">
        <v>3</v>
      </c>
      <c r="AI194">
        <v>1</v>
      </c>
      <c r="AJ194">
        <v>0</v>
      </c>
      <c r="AK194" t="s">
        <v>207</v>
      </c>
      <c r="AL194">
        <v>32.829058000000003</v>
      </c>
      <c r="AM194" t="s">
        <v>208</v>
      </c>
      <c r="AN194">
        <v>-116.989589</v>
      </c>
      <c r="AO194">
        <v>25</v>
      </c>
      <c r="AP194">
        <v>1200</v>
      </c>
      <c r="AQ194" t="s">
        <v>129</v>
      </c>
      <c r="AR194">
        <v>-103</v>
      </c>
      <c r="AS194">
        <v>-9</v>
      </c>
      <c r="AT194">
        <v>1344</v>
      </c>
      <c r="BB194">
        <v>1200</v>
      </c>
      <c r="BC194">
        <v>1</v>
      </c>
      <c r="BD194" t="str">
        <f t="shared" ref="BD194:BD257" si="79">"N887QR  "</f>
        <v xml:space="preserve">N887QR  </v>
      </c>
      <c r="BE194">
        <v>1</v>
      </c>
      <c r="BG194">
        <v>0</v>
      </c>
      <c r="BH194">
        <v>0</v>
      </c>
      <c r="BI194">
        <v>0</v>
      </c>
      <c r="BJ194">
        <v>925</v>
      </c>
      <c r="BK194">
        <v>-275</v>
      </c>
      <c r="BL194" t="s">
        <v>163</v>
      </c>
      <c r="BM194">
        <v>1</v>
      </c>
      <c r="BN194">
        <v>1</v>
      </c>
      <c r="BO194">
        <v>1</v>
      </c>
      <c r="BP194">
        <v>0</v>
      </c>
      <c r="BS194">
        <v>0</v>
      </c>
      <c r="BT194">
        <v>0</v>
      </c>
      <c r="BU194">
        <v>0</v>
      </c>
      <c r="CE194" t="str">
        <f t="shared" si="76"/>
        <v>19:26:12.251</v>
      </c>
      <c r="CF194">
        <v>1250810466</v>
      </c>
      <c r="CS194">
        <v>3</v>
      </c>
      <c r="CT194">
        <v>2</v>
      </c>
      <c r="CU194">
        <v>0</v>
      </c>
      <c r="CV194">
        <v>2</v>
      </c>
      <c r="CW194">
        <v>0</v>
      </c>
      <c r="CX194">
        <v>5</v>
      </c>
      <c r="CY194">
        <v>7</v>
      </c>
      <c r="CZ194" t="s">
        <v>131</v>
      </c>
      <c r="DA194">
        <v>300</v>
      </c>
      <c r="DB194">
        <v>0</v>
      </c>
      <c r="DC194" t="s">
        <v>176</v>
      </c>
      <c r="DD194" t="s">
        <v>177</v>
      </c>
      <c r="DG194">
        <v>5356609</v>
      </c>
      <c r="DI194">
        <v>0</v>
      </c>
      <c r="DJ194">
        <v>0</v>
      </c>
      <c r="DK194">
        <v>1</v>
      </c>
      <c r="DL194">
        <v>0</v>
      </c>
      <c r="DM194">
        <v>0</v>
      </c>
      <c r="DN194">
        <v>1</v>
      </c>
      <c r="DO194">
        <v>0</v>
      </c>
      <c r="DP194">
        <v>0</v>
      </c>
      <c r="DQ194">
        <v>0</v>
      </c>
      <c r="DR194">
        <v>0</v>
      </c>
      <c r="DS194">
        <v>0</v>
      </c>
    </row>
    <row r="195" spans="1:123" x14ac:dyDescent="0.3">
      <c r="A195" t="str">
        <f>"10/04/2022 19:26:14.321"</f>
        <v>10/04/2022 19:26:14.321</v>
      </c>
      <c r="C195" t="str">
        <f t="shared" si="77"/>
        <v>FFDFD3C0</v>
      </c>
      <c r="D195" t="s">
        <v>143</v>
      </c>
      <c r="E195">
        <v>20</v>
      </c>
      <c r="F195">
        <v>1020</v>
      </c>
      <c r="G195" t="s">
        <v>144</v>
      </c>
      <c r="J195" t="s">
        <v>145</v>
      </c>
      <c r="K195">
        <v>0</v>
      </c>
      <c r="L195">
        <v>3</v>
      </c>
      <c r="M195">
        <v>0</v>
      </c>
      <c r="N195">
        <v>2</v>
      </c>
      <c r="O195">
        <v>0</v>
      </c>
      <c r="P195">
        <v>1</v>
      </c>
      <c r="Q195">
        <v>0</v>
      </c>
      <c r="S195" t="str">
        <f t="shared" ref="S195:T197" si="80">"19:26:13.000"</f>
        <v>19:26:13.000</v>
      </c>
      <c r="T195" t="str">
        <f t="shared" si="80"/>
        <v>19:26:13.000</v>
      </c>
      <c r="U195" t="str">
        <f t="shared" si="78"/>
        <v>AC3944</v>
      </c>
      <c r="V195">
        <v>0</v>
      </c>
      <c r="W195">
        <v>0</v>
      </c>
      <c r="X195">
        <v>2</v>
      </c>
      <c r="Y195">
        <v>0</v>
      </c>
      <c r="AA195">
        <v>1</v>
      </c>
      <c r="AB195">
        <v>8</v>
      </c>
      <c r="AC195">
        <v>3</v>
      </c>
      <c r="AD195">
        <v>0</v>
      </c>
      <c r="AE195">
        <v>9</v>
      </c>
      <c r="AF195" t="s">
        <v>138</v>
      </c>
      <c r="AG195">
        <v>0</v>
      </c>
      <c r="AH195">
        <v>3</v>
      </c>
      <c r="AI195">
        <v>1</v>
      </c>
      <c r="AJ195">
        <v>0</v>
      </c>
      <c r="AK195" t="s">
        <v>209</v>
      </c>
      <c r="AL195">
        <v>32.828972</v>
      </c>
      <c r="AM195" t="s">
        <v>210</v>
      </c>
      <c r="AN195">
        <v>-116.99070500000001</v>
      </c>
      <c r="AO195">
        <v>25</v>
      </c>
      <c r="AP195">
        <v>1300</v>
      </c>
      <c r="AQ195" t="s">
        <v>129</v>
      </c>
      <c r="AR195">
        <v>-104</v>
      </c>
      <c r="AS195">
        <v>-13</v>
      </c>
      <c r="AT195">
        <v>1344</v>
      </c>
      <c r="BB195">
        <v>1200</v>
      </c>
      <c r="BC195">
        <v>1</v>
      </c>
      <c r="BD195" t="str">
        <f t="shared" si="79"/>
        <v xml:space="preserve">N887QR  </v>
      </c>
      <c r="BE195">
        <v>1</v>
      </c>
      <c r="BG195">
        <v>0</v>
      </c>
      <c r="BH195">
        <v>0</v>
      </c>
      <c r="BI195">
        <v>0</v>
      </c>
      <c r="BJ195">
        <v>950</v>
      </c>
      <c r="BK195">
        <v>-350</v>
      </c>
      <c r="BL195" t="s">
        <v>163</v>
      </c>
      <c r="BM195">
        <v>1</v>
      </c>
      <c r="BN195">
        <v>1</v>
      </c>
      <c r="BO195">
        <v>1</v>
      </c>
      <c r="BP195">
        <v>0</v>
      </c>
      <c r="BS195">
        <v>0</v>
      </c>
      <c r="BT195">
        <v>0</v>
      </c>
      <c r="BU195">
        <v>0</v>
      </c>
      <c r="CE195" t="str">
        <f>"19:26:13.912"</f>
        <v>19:26:13.912</v>
      </c>
      <c r="CF195">
        <v>912065792</v>
      </c>
      <c r="CS195">
        <v>3</v>
      </c>
      <c r="CT195">
        <v>2</v>
      </c>
      <c r="CU195">
        <v>0</v>
      </c>
      <c r="CV195">
        <v>2</v>
      </c>
      <c r="CW195">
        <v>0</v>
      </c>
      <c r="CX195">
        <v>5</v>
      </c>
      <c r="CY195">
        <v>7</v>
      </c>
      <c r="CZ195" t="s">
        <v>131</v>
      </c>
      <c r="DA195">
        <v>300</v>
      </c>
      <c r="DB195">
        <v>0</v>
      </c>
      <c r="DC195" t="s">
        <v>176</v>
      </c>
      <c r="DD195" t="s">
        <v>177</v>
      </c>
      <c r="DG195">
        <v>5356891</v>
      </c>
      <c r="DI195">
        <v>0</v>
      </c>
      <c r="DJ195">
        <v>0</v>
      </c>
      <c r="DK195">
        <v>0</v>
      </c>
      <c r="DL195">
        <v>0</v>
      </c>
      <c r="DM195">
        <v>0</v>
      </c>
      <c r="DN195">
        <v>1</v>
      </c>
      <c r="DO195">
        <v>0</v>
      </c>
      <c r="DP195">
        <v>0</v>
      </c>
      <c r="DQ195">
        <v>0</v>
      </c>
      <c r="DR195">
        <v>0</v>
      </c>
      <c r="DS195">
        <v>0</v>
      </c>
    </row>
    <row r="196" spans="1:123" x14ac:dyDescent="0.3">
      <c r="A196" t="str">
        <f>"10/04/2022 19:26:14.368"</f>
        <v>10/04/2022 19:26:14.368</v>
      </c>
      <c r="C196" t="str">
        <f t="shared" si="77"/>
        <v>FFDFD3C0</v>
      </c>
      <c r="D196" t="s">
        <v>141</v>
      </c>
      <c r="E196">
        <v>3</v>
      </c>
      <c r="H196">
        <v>3</v>
      </c>
      <c r="I196" t="s">
        <v>146</v>
      </c>
      <c r="J196" t="s">
        <v>138</v>
      </c>
      <c r="K196">
        <v>0</v>
      </c>
      <c r="L196">
        <v>3</v>
      </c>
      <c r="M196">
        <v>0</v>
      </c>
      <c r="N196">
        <v>2</v>
      </c>
      <c r="O196">
        <v>0</v>
      </c>
      <c r="P196">
        <v>1</v>
      </c>
      <c r="Q196">
        <v>0</v>
      </c>
      <c r="S196" t="str">
        <f t="shared" si="80"/>
        <v>19:26:13.000</v>
      </c>
      <c r="T196" t="str">
        <f t="shared" si="80"/>
        <v>19:26:13.000</v>
      </c>
      <c r="U196" t="str">
        <f t="shared" si="78"/>
        <v>AC3944</v>
      </c>
      <c r="V196">
        <v>0</v>
      </c>
      <c r="W196">
        <v>0</v>
      </c>
      <c r="X196">
        <v>2</v>
      </c>
      <c r="Y196">
        <v>0</v>
      </c>
      <c r="AA196">
        <v>1</v>
      </c>
      <c r="AB196">
        <v>8</v>
      </c>
      <c r="AC196">
        <v>3</v>
      </c>
      <c r="AD196">
        <v>0</v>
      </c>
      <c r="AE196">
        <v>9</v>
      </c>
      <c r="AF196" t="s">
        <v>138</v>
      </c>
      <c r="AG196">
        <v>0</v>
      </c>
      <c r="AH196">
        <v>3</v>
      </c>
      <c r="AI196">
        <v>1</v>
      </c>
      <c r="AJ196">
        <v>0</v>
      </c>
      <c r="AK196" t="s">
        <v>209</v>
      </c>
      <c r="AL196">
        <v>32.828972</v>
      </c>
      <c r="AM196" t="s">
        <v>210</v>
      </c>
      <c r="AN196">
        <v>-116.99070500000001</v>
      </c>
      <c r="AO196">
        <v>25</v>
      </c>
      <c r="AP196">
        <v>1300</v>
      </c>
      <c r="AQ196" t="s">
        <v>129</v>
      </c>
      <c r="AR196">
        <v>-104</v>
      </c>
      <c r="AS196">
        <v>-13</v>
      </c>
      <c r="AT196">
        <v>1344</v>
      </c>
      <c r="BB196">
        <v>1200</v>
      </c>
      <c r="BC196">
        <v>1</v>
      </c>
      <c r="BD196" t="str">
        <f t="shared" si="79"/>
        <v xml:space="preserve">N887QR  </v>
      </c>
      <c r="BE196">
        <v>1</v>
      </c>
      <c r="BG196">
        <v>0</v>
      </c>
      <c r="BH196">
        <v>0</v>
      </c>
      <c r="BI196">
        <v>0</v>
      </c>
      <c r="BJ196">
        <v>950</v>
      </c>
      <c r="BK196">
        <v>-350</v>
      </c>
      <c r="BL196" t="s">
        <v>163</v>
      </c>
      <c r="BM196">
        <v>1</v>
      </c>
      <c r="BN196">
        <v>1</v>
      </c>
      <c r="BO196">
        <v>1</v>
      </c>
      <c r="BP196">
        <v>0</v>
      </c>
      <c r="BS196">
        <v>0</v>
      </c>
      <c r="BT196">
        <v>0</v>
      </c>
      <c r="BU196">
        <v>0</v>
      </c>
      <c r="CE196" t="str">
        <f>"19:26:13.912"</f>
        <v>19:26:13.912</v>
      </c>
      <c r="CF196">
        <v>912065792</v>
      </c>
      <c r="CS196">
        <v>3</v>
      </c>
      <c r="CT196">
        <v>2</v>
      </c>
      <c r="CU196">
        <v>0</v>
      </c>
      <c r="CV196">
        <v>2</v>
      </c>
      <c r="CW196">
        <v>0</v>
      </c>
      <c r="CX196">
        <v>5</v>
      </c>
      <c r="CY196">
        <v>7</v>
      </c>
      <c r="CZ196" t="s">
        <v>131</v>
      </c>
      <c r="DA196">
        <v>300</v>
      </c>
      <c r="DB196">
        <v>0</v>
      </c>
      <c r="DC196" t="s">
        <v>176</v>
      </c>
      <c r="DD196" t="s">
        <v>177</v>
      </c>
      <c r="DG196">
        <v>5356891</v>
      </c>
      <c r="DI196">
        <v>0</v>
      </c>
      <c r="DJ196">
        <v>0</v>
      </c>
      <c r="DK196">
        <v>1</v>
      </c>
      <c r="DL196">
        <v>0</v>
      </c>
      <c r="DM196">
        <v>0</v>
      </c>
      <c r="DN196">
        <v>1</v>
      </c>
      <c r="DO196">
        <v>0</v>
      </c>
      <c r="DP196">
        <v>0</v>
      </c>
      <c r="DQ196">
        <v>0</v>
      </c>
      <c r="DR196">
        <v>0</v>
      </c>
      <c r="DS196">
        <v>0</v>
      </c>
    </row>
    <row r="197" spans="1:123" x14ac:dyDescent="0.3">
      <c r="A197" t="str">
        <f>"10/04/2022 19:26:14.368"</f>
        <v>10/04/2022 19:26:14.368</v>
      </c>
      <c r="C197" t="str">
        <f t="shared" si="77"/>
        <v>FFDFD3C0</v>
      </c>
      <c r="D197" t="s">
        <v>134</v>
      </c>
      <c r="E197">
        <v>15</v>
      </c>
      <c r="J197" t="s">
        <v>135</v>
      </c>
      <c r="K197">
        <v>0</v>
      </c>
      <c r="L197">
        <v>3</v>
      </c>
      <c r="M197">
        <v>0</v>
      </c>
      <c r="N197">
        <v>2</v>
      </c>
      <c r="O197">
        <v>0</v>
      </c>
      <c r="P197">
        <v>1</v>
      </c>
      <c r="Q197">
        <v>0</v>
      </c>
      <c r="S197" t="str">
        <f t="shared" si="80"/>
        <v>19:26:13.000</v>
      </c>
      <c r="T197" t="str">
        <f t="shared" si="80"/>
        <v>19:26:13.000</v>
      </c>
      <c r="U197" t="str">
        <f t="shared" si="78"/>
        <v>AC3944</v>
      </c>
      <c r="V197">
        <v>0</v>
      </c>
      <c r="W197">
        <v>0</v>
      </c>
      <c r="X197">
        <v>2</v>
      </c>
      <c r="Y197">
        <v>0</v>
      </c>
      <c r="AA197">
        <v>1</v>
      </c>
      <c r="AB197">
        <v>8</v>
      </c>
      <c r="AC197">
        <v>3</v>
      </c>
      <c r="AD197">
        <v>0</v>
      </c>
      <c r="AE197">
        <v>9</v>
      </c>
      <c r="AF197" t="s">
        <v>138</v>
      </c>
      <c r="AG197">
        <v>0</v>
      </c>
      <c r="AH197">
        <v>3</v>
      </c>
      <c r="AI197">
        <v>1</v>
      </c>
      <c r="AJ197">
        <v>0</v>
      </c>
      <c r="AK197" t="s">
        <v>209</v>
      </c>
      <c r="AL197">
        <v>32.828972</v>
      </c>
      <c r="AM197" t="s">
        <v>210</v>
      </c>
      <c r="AN197">
        <v>-116.99070500000001</v>
      </c>
      <c r="AO197">
        <v>25</v>
      </c>
      <c r="AP197">
        <v>1300</v>
      </c>
      <c r="AQ197" t="s">
        <v>129</v>
      </c>
      <c r="AR197">
        <v>-104</v>
      </c>
      <c r="AS197">
        <v>-13</v>
      </c>
      <c r="AT197">
        <v>1344</v>
      </c>
      <c r="BB197">
        <v>1200</v>
      </c>
      <c r="BC197">
        <v>1</v>
      </c>
      <c r="BD197" t="str">
        <f t="shared" si="79"/>
        <v xml:space="preserve">N887QR  </v>
      </c>
      <c r="BE197">
        <v>1</v>
      </c>
      <c r="BG197">
        <v>0</v>
      </c>
      <c r="BH197">
        <v>0</v>
      </c>
      <c r="BI197">
        <v>0</v>
      </c>
      <c r="BJ197">
        <v>950</v>
      </c>
      <c r="BK197">
        <v>-350</v>
      </c>
      <c r="BL197" t="s">
        <v>163</v>
      </c>
      <c r="BM197">
        <v>1</v>
      </c>
      <c r="BN197">
        <v>1</v>
      </c>
      <c r="BO197">
        <v>1</v>
      </c>
      <c r="BP197">
        <v>0</v>
      </c>
      <c r="BS197">
        <v>0</v>
      </c>
      <c r="BT197">
        <v>0</v>
      </c>
      <c r="BU197">
        <v>0</v>
      </c>
      <c r="CE197" t="str">
        <f>"19:26:13.912"</f>
        <v>19:26:13.912</v>
      </c>
      <c r="CF197">
        <v>912065792</v>
      </c>
      <c r="CS197">
        <v>3</v>
      </c>
      <c r="CT197">
        <v>2</v>
      </c>
      <c r="CU197">
        <v>0</v>
      </c>
      <c r="CV197">
        <v>2</v>
      </c>
      <c r="CW197">
        <v>0</v>
      </c>
      <c r="CX197">
        <v>5</v>
      </c>
      <c r="CY197">
        <v>7</v>
      </c>
      <c r="CZ197" t="s">
        <v>131</v>
      </c>
      <c r="DA197">
        <v>300</v>
      </c>
      <c r="DB197">
        <v>0</v>
      </c>
      <c r="DC197" t="s">
        <v>176</v>
      </c>
      <c r="DD197" t="s">
        <v>177</v>
      </c>
      <c r="DG197">
        <v>5356891</v>
      </c>
      <c r="DI197">
        <v>0</v>
      </c>
      <c r="DJ197">
        <v>0</v>
      </c>
      <c r="DK197">
        <v>1</v>
      </c>
      <c r="DL197">
        <v>0</v>
      </c>
      <c r="DM197">
        <v>0</v>
      </c>
      <c r="DN197">
        <v>1</v>
      </c>
      <c r="DO197">
        <v>0</v>
      </c>
      <c r="DP197">
        <v>0</v>
      </c>
      <c r="DQ197">
        <v>0</v>
      </c>
      <c r="DR197">
        <v>0</v>
      </c>
      <c r="DS197">
        <v>0</v>
      </c>
    </row>
    <row r="198" spans="1:123" x14ac:dyDescent="0.3">
      <c r="A198" t="str">
        <f>"10/04/2022 19:26:15.135"</f>
        <v>10/04/2022 19:26:15.135</v>
      </c>
      <c r="C198" t="str">
        <f t="shared" si="77"/>
        <v>FFDFD3C0</v>
      </c>
      <c r="D198" t="s">
        <v>134</v>
      </c>
      <c r="E198">
        <v>15</v>
      </c>
      <c r="J198" t="s">
        <v>135</v>
      </c>
      <c r="K198">
        <v>0</v>
      </c>
      <c r="L198">
        <v>3</v>
      </c>
      <c r="M198">
        <v>0</v>
      </c>
      <c r="N198">
        <v>2</v>
      </c>
      <c r="O198">
        <v>0</v>
      </c>
      <c r="P198">
        <v>1</v>
      </c>
      <c r="Q198">
        <v>0</v>
      </c>
      <c r="S198" t="str">
        <f t="shared" ref="S198:T204" si="81">"19:26:14.000"</f>
        <v>19:26:14.000</v>
      </c>
      <c r="T198" t="str">
        <f t="shared" si="81"/>
        <v>19:26:14.000</v>
      </c>
      <c r="U198" t="str">
        <f t="shared" si="78"/>
        <v>AC3944</v>
      </c>
      <c r="V198">
        <v>0</v>
      </c>
      <c r="W198">
        <v>0</v>
      </c>
      <c r="X198">
        <v>2</v>
      </c>
      <c r="Y198">
        <v>0</v>
      </c>
      <c r="AA198">
        <v>1</v>
      </c>
      <c r="AB198">
        <v>8</v>
      </c>
      <c r="AC198">
        <v>3</v>
      </c>
      <c r="AD198">
        <v>0</v>
      </c>
      <c r="AE198">
        <v>9</v>
      </c>
      <c r="AF198" t="s">
        <v>138</v>
      </c>
      <c r="AG198">
        <v>0</v>
      </c>
      <c r="AH198">
        <v>3</v>
      </c>
      <c r="AI198">
        <v>1</v>
      </c>
      <c r="AJ198">
        <v>0</v>
      </c>
      <c r="AK198" t="s">
        <v>211</v>
      </c>
      <c r="AL198">
        <v>32.828907999999998</v>
      </c>
      <c r="AM198" t="s">
        <v>212</v>
      </c>
      <c r="AN198">
        <v>-116.99128399999999</v>
      </c>
      <c r="AO198">
        <v>25</v>
      </c>
      <c r="AP198">
        <v>1300</v>
      </c>
      <c r="AQ198" t="s">
        <v>129</v>
      </c>
      <c r="AR198">
        <v>-106</v>
      </c>
      <c r="AS198">
        <v>-15</v>
      </c>
      <c r="AT198">
        <v>1024</v>
      </c>
      <c r="BB198">
        <v>1200</v>
      </c>
      <c r="BC198">
        <v>1</v>
      </c>
      <c r="BD198" t="str">
        <f t="shared" si="79"/>
        <v xml:space="preserve">N887QR  </v>
      </c>
      <c r="BE198">
        <v>1</v>
      </c>
      <c r="BG198">
        <v>0</v>
      </c>
      <c r="BH198">
        <v>0</v>
      </c>
      <c r="BI198">
        <v>0</v>
      </c>
      <c r="BJ198">
        <v>950</v>
      </c>
      <c r="BK198">
        <v>-350</v>
      </c>
      <c r="BL198" t="s">
        <v>163</v>
      </c>
      <c r="BM198">
        <v>1</v>
      </c>
      <c r="BN198">
        <v>1</v>
      </c>
      <c r="BO198">
        <v>1</v>
      </c>
      <c r="BP198">
        <v>0</v>
      </c>
      <c r="BS198">
        <v>0</v>
      </c>
      <c r="BT198">
        <v>0</v>
      </c>
      <c r="BU198">
        <v>0</v>
      </c>
      <c r="CE198" t="str">
        <f t="shared" ref="CE198:CE204" si="82">"19:26:14.845"</f>
        <v>19:26:14.845</v>
      </c>
      <c r="CF198">
        <v>844568745</v>
      </c>
      <c r="CS198">
        <v>3</v>
      </c>
      <c r="CT198">
        <v>2</v>
      </c>
      <c r="CU198">
        <v>0</v>
      </c>
      <c r="CV198">
        <v>2</v>
      </c>
      <c r="CW198">
        <v>0</v>
      </c>
      <c r="CX198">
        <v>5</v>
      </c>
      <c r="CY198">
        <v>7</v>
      </c>
      <c r="CZ198" t="s">
        <v>131</v>
      </c>
      <c r="DA198">
        <v>300</v>
      </c>
      <c r="DB198">
        <v>0</v>
      </c>
      <c r="DC198" t="s">
        <v>176</v>
      </c>
      <c r="DD198" t="s">
        <v>177</v>
      </c>
      <c r="DG198">
        <v>5357044</v>
      </c>
      <c r="DI198">
        <v>0</v>
      </c>
      <c r="DJ198">
        <v>0</v>
      </c>
      <c r="DK198">
        <v>0</v>
      </c>
      <c r="DL198">
        <v>0</v>
      </c>
      <c r="DM198">
        <v>0</v>
      </c>
      <c r="DN198">
        <v>1</v>
      </c>
      <c r="DO198">
        <v>0</v>
      </c>
      <c r="DP198">
        <v>0</v>
      </c>
      <c r="DQ198">
        <v>0</v>
      </c>
      <c r="DR198">
        <v>0</v>
      </c>
      <c r="DS198">
        <v>0</v>
      </c>
    </row>
    <row r="199" spans="1:123" x14ac:dyDescent="0.3">
      <c r="A199" t="str">
        <f>"10/04/2022 19:26:15.135"</f>
        <v>10/04/2022 19:26:15.135</v>
      </c>
      <c r="C199" t="str">
        <f t="shared" si="77"/>
        <v>FFDFD3C0</v>
      </c>
      <c r="D199" t="s">
        <v>143</v>
      </c>
      <c r="E199">
        <v>20</v>
      </c>
      <c r="F199">
        <v>1020</v>
      </c>
      <c r="G199" t="s">
        <v>144</v>
      </c>
      <c r="J199" t="s">
        <v>145</v>
      </c>
      <c r="K199">
        <v>0</v>
      </c>
      <c r="L199">
        <v>3</v>
      </c>
      <c r="M199">
        <v>0</v>
      </c>
      <c r="N199">
        <v>2</v>
      </c>
      <c r="O199">
        <v>0</v>
      </c>
      <c r="P199">
        <v>1</v>
      </c>
      <c r="Q199">
        <v>0</v>
      </c>
      <c r="S199" t="str">
        <f t="shared" si="81"/>
        <v>19:26:14.000</v>
      </c>
      <c r="T199" t="str">
        <f t="shared" si="81"/>
        <v>19:26:14.000</v>
      </c>
      <c r="U199" t="str">
        <f t="shared" si="78"/>
        <v>AC3944</v>
      </c>
      <c r="V199">
        <v>0</v>
      </c>
      <c r="W199">
        <v>0</v>
      </c>
      <c r="X199">
        <v>2</v>
      </c>
      <c r="Y199">
        <v>0</v>
      </c>
      <c r="AA199">
        <v>1</v>
      </c>
      <c r="AB199">
        <v>8</v>
      </c>
      <c r="AC199">
        <v>3</v>
      </c>
      <c r="AD199">
        <v>0</v>
      </c>
      <c r="AE199">
        <v>9</v>
      </c>
      <c r="AF199" t="s">
        <v>138</v>
      </c>
      <c r="AG199">
        <v>0</v>
      </c>
      <c r="AH199">
        <v>3</v>
      </c>
      <c r="AI199">
        <v>1</v>
      </c>
      <c r="AJ199">
        <v>0</v>
      </c>
      <c r="AK199" t="s">
        <v>211</v>
      </c>
      <c r="AL199">
        <v>32.828907999999998</v>
      </c>
      <c r="AM199" t="s">
        <v>212</v>
      </c>
      <c r="AN199">
        <v>-116.99128399999999</v>
      </c>
      <c r="AO199">
        <v>25</v>
      </c>
      <c r="AP199">
        <v>1300</v>
      </c>
      <c r="AQ199" t="s">
        <v>129</v>
      </c>
      <c r="AR199">
        <v>-106</v>
      </c>
      <c r="AS199">
        <v>-15</v>
      </c>
      <c r="AT199">
        <v>1024</v>
      </c>
      <c r="BB199">
        <v>1200</v>
      </c>
      <c r="BC199">
        <v>1</v>
      </c>
      <c r="BD199" t="str">
        <f t="shared" si="79"/>
        <v xml:space="preserve">N887QR  </v>
      </c>
      <c r="BE199">
        <v>1</v>
      </c>
      <c r="BG199">
        <v>0</v>
      </c>
      <c r="BH199">
        <v>0</v>
      </c>
      <c r="BI199">
        <v>0</v>
      </c>
      <c r="BJ199">
        <v>950</v>
      </c>
      <c r="BK199">
        <v>-350</v>
      </c>
      <c r="BL199" t="s">
        <v>163</v>
      </c>
      <c r="BM199">
        <v>1</v>
      </c>
      <c r="BN199">
        <v>1</v>
      </c>
      <c r="BO199">
        <v>1</v>
      </c>
      <c r="BP199">
        <v>0</v>
      </c>
      <c r="BS199">
        <v>0</v>
      </c>
      <c r="BT199">
        <v>0</v>
      </c>
      <c r="BU199">
        <v>0</v>
      </c>
      <c r="CE199" t="str">
        <f t="shared" si="82"/>
        <v>19:26:14.845</v>
      </c>
      <c r="CF199">
        <v>844568745</v>
      </c>
      <c r="CS199">
        <v>3</v>
      </c>
      <c r="CT199">
        <v>2</v>
      </c>
      <c r="CU199">
        <v>0</v>
      </c>
      <c r="CV199">
        <v>2</v>
      </c>
      <c r="CW199">
        <v>0</v>
      </c>
      <c r="CX199">
        <v>5</v>
      </c>
      <c r="CY199">
        <v>7</v>
      </c>
      <c r="CZ199" t="s">
        <v>131</v>
      </c>
      <c r="DA199">
        <v>300</v>
      </c>
      <c r="DB199">
        <v>0</v>
      </c>
      <c r="DC199" t="s">
        <v>176</v>
      </c>
      <c r="DD199" t="s">
        <v>177</v>
      </c>
      <c r="DG199">
        <v>5357044</v>
      </c>
      <c r="DI199">
        <v>0</v>
      </c>
      <c r="DJ199">
        <v>0</v>
      </c>
      <c r="DK199">
        <v>1</v>
      </c>
      <c r="DL199">
        <v>0</v>
      </c>
      <c r="DM199">
        <v>0</v>
      </c>
      <c r="DN199">
        <v>1</v>
      </c>
      <c r="DO199">
        <v>0</v>
      </c>
      <c r="DP199">
        <v>0</v>
      </c>
      <c r="DQ199">
        <v>0</v>
      </c>
      <c r="DR199">
        <v>0</v>
      </c>
      <c r="DS199">
        <v>0</v>
      </c>
    </row>
    <row r="200" spans="1:123" x14ac:dyDescent="0.3">
      <c r="A200" t="str">
        <f>"10/04/2022 19:26:15.135"</f>
        <v>10/04/2022 19:26:15.135</v>
      </c>
      <c r="C200" t="str">
        <f t="shared" si="77"/>
        <v>FFDFD3C0</v>
      </c>
      <c r="D200" t="s">
        <v>136</v>
      </c>
      <c r="E200">
        <v>8</v>
      </c>
      <c r="H200">
        <v>225</v>
      </c>
      <c r="I200" t="s">
        <v>137</v>
      </c>
      <c r="J200" t="s">
        <v>138</v>
      </c>
      <c r="K200">
        <v>0</v>
      </c>
      <c r="L200">
        <v>3</v>
      </c>
      <c r="M200">
        <v>0</v>
      </c>
      <c r="N200">
        <v>2</v>
      </c>
      <c r="O200">
        <v>0</v>
      </c>
      <c r="P200">
        <v>1</v>
      </c>
      <c r="Q200">
        <v>0</v>
      </c>
      <c r="S200" t="str">
        <f t="shared" si="81"/>
        <v>19:26:14.000</v>
      </c>
      <c r="T200" t="str">
        <f t="shared" si="81"/>
        <v>19:26:14.000</v>
      </c>
      <c r="U200" t="str">
        <f t="shared" si="78"/>
        <v>AC3944</v>
      </c>
      <c r="V200">
        <v>0</v>
      </c>
      <c r="W200">
        <v>0</v>
      </c>
      <c r="X200">
        <v>2</v>
      </c>
      <c r="Y200">
        <v>0</v>
      </c>
      <c r="AA200">
        <v>1</v>
      </c>
      <c r="AB200">
        <v>8</v>
      </c>
      <c r="AC200">
        <v>3</v>
      </c>
      <c r="AD200">
        <v>0</v>
      </c>
      <c r="AE200">
        <v>9</v>
      </c>
      <c r="AF200" t="s">
        <v>138</v>
      </c>
      <c r="AG200">
        <v>0</v>
      </c>
      <c r="AH200">
        <v>3</v>
      </c>
      <c r="AI200">
        <v>1</v>
      </c>
      <c r="AJ200">
        <v>0</v>
      </c>
      <c r="AK200" t="s">
        <v>211</v>
      </c>
      <c r="AL200">
        <v>32.828907999999998</v>
      </c>
      <c r="AM200" t="s">
        <v>212</v>
      </c>
      <c r="AN200">
        <v>-116.99128399999999</v>
      </c>
      <c r="AO200">
        <v>25</v>
      </c>
      <c r="AP200">
        <v>1300</v>
      </c>
      <c r="AQ200" t="s">
        <v>129</v>
      </c>
      <c r="AR200">
        <v>-106</v>
      </c>
      <c r="AS200">
        <v>-15</v>
      </c>
      <c r="AT200">
        <v>1024</v>
      </c>
      <c r="BB200">
        <v>1200</v>
      </c>
      <c r="BC200">
        <v>1</v>
      </c>
      <c r="BD200" t="str">
        <f t="shared" si="79"/>
        <v xml:space="preserve">N887QR  </v>
      </c>
      <c r="BE200">
        <v>1</v>
      </c>
      <c r="BG200">
        <v>0</v>
      </c>
      <c r="BH200">
        <v>0</v>
      </c>
      <c r="BI200">
        <v>0</v>
      </c>
      <c r="BJ200">
        <v>950</v>
      </c>
      <c r="BK200">
        <v>-350</v>
      </c>
      <c r="BL200" t="s">
        <v>163</v>
      </c>
      <c r="BM200">
        <v>1</v>
      </c>
      <c r="BN200">
        <v>1</v>
      </c>
      <c r="BO200">
        <v>1</v>
      </c>
      <c r="BP200">
        <v>0</v>
      </c>
      <c r="BS200">
        <v>0</v>
      </c>
      <c r="BT200">
        <v>0</v>
      </c>
      <c r="BU200">
        <v>0</v>
      </c>
      <c r="CE200" t="str">
        <f t="shared" si="82"/>
        <v>19:26:14.845</v>
      </c>
      <c r="CF200">
        <v>844568745</v>
      </c>
      <c r="CS200">
        <v>3</v>
      </c>
      <c r="CT200">
        <v>2</v>
      </c>
      <c r="CU200">
        <v>0</v>
      </c>
      <c r="CV200">
        <v>2</v>
      </c>
      <c r="CW200">
        <v>0</v>
      </c>
      <c r="CX200">
        <v>5</v>
      </c>
      <c r="CY200">
        <v>7</v>
      </c>
      <c r="CZ200" t="s">
        <v>131</v>
      </c>
      <c r="DA200">
        <v>300</v>
      </c>
      <c r="DB200">
        <v>0</v>
      </c>
      <c r="DC200" t="s">
        <v>176</v>
      </c>
      <c r="DD200" t="s">
        <v>177</v>
      </c>
      <c r="DG200">
        <v>5357044</v>
      </c>
      <c r="DI200">
        <v>0</v>
      </c>
      <c r="DJ200">
        <v>0</v>
      </c>
      <c r="DK200">
        <v>1</v>
      </c>
      <c r="DL200">
        <v>0</v>
      </c>
      <c r="DM200">
        <v>0</v>
      </c>
      <c r="DN200">
        <v>1</v>
      </c>
      <c r="DO200">
        <v>0</v>
      </c>
      <c r="DP200">
        <v>0</v>
      </c>
      <c r="DQ200">
        <v>0</v>
      </c>
      <c r="DR200">
        <v>0</v>
      </c>
      <c r="DS200">
        <v>0</v>
      </c>
    </row>
    <row r="201" spans="1:123" x14ac:dyDescent="0.3">
      <c r="A201" t="str">
        <f>"10/04/2022 19:26:15.135"</f>
        <v>10/04/2022 19:26:15.135</v>
      </c>
      <c r="C201" t="str">
        <f t="shared" si="77"/>
        <v>FFDFD3C0</v>
      </c>
      <c r="D201" t="s">
        <v>141</v>
      </c>
      <c r="E201">
        <v>4</v>
      </c>
      <c r="H201">
        <v>4</v>
      </c>
      <c r="I201" t="s">
        <v>142</v>
      </c>
      <c r="J201" t="s">
        <v>138</v>
      </c>
      <c r="K201">
        <v>0</v>
      </c>
      <c r="L201">
        <v>3</v>
      </c>
      <c r="M201">
        <v>0</v>
      </c>
      <c r="N201">
        <v>2</v>
      </c>
      <c r="O201">
        <v>0</v>
      </c>
      <c r="P201">
        <v>1</v>
      </c>
      <c r="Q201">
        <v>0</v>
      </c>
      <c r="S201" t="str">
        <f t="shared" si="81"/>
        <v>19:26:14.000</v>
      </c>
      <c r="T201" t="str">
        <f t="shared" si="81"/>
        <v>19:26:14.000</v>
      </c>
      <c r="U201" t="str">
        <f t="shared" si="78"/>
        <v>AC3944</v>
      </c>
      <c r="V201">
        <v>0</v>
      </c>
      <c r="W201">
        <v>0</v>
      </c>
      <c r="X201">
        <v>2</v>
      </c>
      <c r="Y201">
        <v>0</v>
      </c>
      <c r="AA201">
        <v>1</v>
      </c>
      <c r="AB201">
        <v>8</v>
      </c>
      <c r="AC201">
        <v>3</v>
      </c>
      <c r="AD201">
        <v>0</v>
      </c>
      <c r="AE201">
        <v>9</v>
      </c>
      <c r="AF201" t="s">
        <v>138</v>
      </c>
      <c r="AG201">
        <v>0</v>
      </c>
      <c r="AH201">
        <v>3</v>
      </c>
      <c r="AI201">
        <v>1</v>
      </c>
      <c r="AJ201">
        <v>0</v>
      </c>
      <c r="AK201" t="s">
        <v>211</v>
      </c>
      <c r="AL201">
        <v>32.828907999999998</v>
      </c>
      <c r="AM201" t="s">
        <v>212</v>
      </c>
      <c r="AN201">
        <v>-116.99128399999999</v>
      </c>
      <c r="AO201">
        <v>25</v>
      </c>
      <c r="AP201">
        <v>1300</v>
      </c>
      <c r="AQ201" t="s">
        <v>129</v>
      </c>
      <c r="AR201">
        <v>-106</v>
      </c>
      <c r="AS201">
        <v>-15</v>
      </c>
      <c r="AT201">
        <v>1024</v>
      </c>
      <c r="BB201">
        <v>1200</v>
      </c>
      <c r="BC201">
        <v>1</v>
      </c>
      <c r="BD201" t="str">
        <f t="shared" si="79"/>
        <v xml:space="preserve">N887QR  </v>
      </c>
      <c r="BE201">
        <v>1</v>
      </c>
      <c r="BG201">
        <v>0</v>
      </c>
      <c r="BH201">
        <v>0</v>
      </c>
      <c r="BI201">
        <v>0</v>
      </c>
      <c r="BJ201">
        <v>950</v>
      </c>
      <c r="BK201">
        <v>-350</v>
      </c>
      <c r="BL201" t="s">
        <v>163</v>
      </c>
      <c r="BM201">
        <v>1</v>
      </c>
      <c r="BN201">
        <v>1</v>
      </c>
      <c r="BO201">
        <v>1</v>
      </c>
      <c r="BP201">
        <v>0</v>
      </c>
      <c r="BS201">
        <v>0</v>
      </c>
      <c r="BT201">
        <v>0</v>
      </c>
      <c r="BU201">
        <v>0</v>
      </c>
      <c r="CE201" t="str">
        <f t="shared" si="82"/>
        <v>19:26:14.845</v>
      </c>
      <c r="CF201">
        <v>844568745</v>
      </c>
      <c r="CS201">
        <v>3</v>
      </c>
      <c r="CT201">
        <v>2</v>
      </c>
      <c r="CU201">
        <v>0</v>
      </c>
      <c r="CV201">
        <v>2</v>
      </c>
      <c r="CW201">
        <v>0</v>
      </c>
      <c r="CX201">
        <v>5</v>
      </c>
      <c r="CY201">
        <v>7</v>
      </c>
      <c r="CZ201" t="s">
        <v>131</v>
      </c>
      <c r="DA201">
        <v>300</v>
      </c>
      <c r="DB201">
        <v>0</v>
      </c>
      <c r="DC201" t="s">
        <v>176</v>
      </c>
      <c r="DD201" t="s">
        <v>177</v>
      </c>
      <c r="DG201">
        <v>5357044</v>
      </c>
      <c r="DI201">
        <v>0</v>
      </c>
      <c r="DJ201">
        <v>0</v>
      </c>
      <c r="DK201">
        <v>1</v>
      </c>
      <c r="DL201">
        <v>0</v>
      </c>
      <c r="DM201">
        <v>0</v>
      </c>
      <c r="DN201">
        <v>1</v>
      </c>
      <c r="DO201">
        <v>0</v>
      </c>
      <c r="DP201">
        <v>0</v>
      </c>
      <c r="DQ201">
        <v>0</v>
      </c>
      <c r="DR201">
        <v>0</v>
      </c>
      <c r="DS201">
        <v>0</v>
      </c>
    </row>
    <row r="202" spans="1:123" x14ac:dyDescent="0.3">
      <c r="A202" t="str">
        <f>"10/04/2022 19:26:15.135"</f>
        <v>10/04/2022 19:26:15.135</v>
      </c>
      <c r="C202" t="str">
        <f t="shared" si="77"/>
        <v>FFDFD3C0</v>
      </c>
      <c r="D202" t="s">
        <v>123</v>
      </c>
      <c r="E202">
        <v>7</v>
      </c>
      <c r="F202">
        <v>2007</v>
      </c>
      <c r="G202" t="s">
        <v>124</v>
      </c>
      <c r="J202" t="s">
        <v>125</v>
      </c>
      <c r="K202">
        <v>0</v>
      </c>
      <c r="L202">
        <v>3</v>
      </c>
      <c r="M202">
        <v>0</v>
      </c>
      <c r="N202">
        <v>2</v>
      </c>
      <c r="O202">
        <v>0</v>
      </c>
      <c r="P202">
        <v>1</v>
      </c>
      <c r="Q202">
        <v>0</v>
      </c>
      <c r="S202" t="str">
        <f t="shared" si="81"/>
        <v>19:26:14.000</v>
      </c>
      <c r="T202" t="str">
        <f t="shared" si="81"/>
        <v>19:26:14.000</v>
      </c>
      <c r="U202" t="str">
        <f t="shared" si="78"/>
        <v>AC3944</v>
      </c>
      <c r="V202">
        <v>0</v>
      </c>
      <c r="W202">
        <v>0</v>
      </c>
      <c r="X202">
        <v>2</v>
      </c>
      <c r="Y202">
        <v>0</v>
      </c>
      <c r="AA202">
        <v>1</v>
      </c>
      <c r="AB202">
        <v>8</v>
      </c>
      <c r="AC202">
        <v>3</v>
      </c>
      <c r="AD202">
        <v>0</v>
      </c>
      <c r="AE202">
        <v>9</v>
      </c>
      <c r="AF202" t="s">
        <v>138</v>
      </c>
      <c r="AG202">
        <v>0</v>
      </c>
      <c r="AH202">
        <v>3</v>
      </c>
      <c r="AI202">
        <v>1</v>
      </c>
      <c r="AJ202">
        <v>0</v>
      </c>
      <c r="AK202" t="s">
        <v>211</v>
      </c>
      <c r="AL202">
        <v>32.828907999999998</v>
      </c>
      <c r="AM202" t="s">
        <v>212</v>
      </c>
      <c r="AN202">
        <v>-116.99128399999999</v>
      </c>
      <c r="AO202">
        <v>25</v>
      </c>
      <c r="AP202">
        <v>1300</v>
      </c>
      <c r="AQ202" t="s">
        <v>129</v>
      </c>
      <c r="AR202">
        <v>-106</v>
      </c>
      <c r="AS202">
        <v>-15</v>
      </c>
      <c r="AT202">
        <v>1024</v>
      </c>
      <c r="BB202">
        <v>1200</v>
      </c>
      <c r="BC202">
        <v>1</v>
      </c>
      <c r="BD202" t="str">
        <f t="shared" si="79"/>
        <v xml:space="preserve">N887QR  </v>
      </c>
      <c r="BE202">
        <v>1</v>
      </c>
      <c r="BG202">
        <v>0</v>
      </c>
      <c r="BH202">
        <v>0</v>
      </c>
      <c r="BI202">
        <v>0</v>
      </c>
      <c r="BJ202">
        <v>950</v>
      </c>
      <c r="BK202">
        <v>-350</v>
      </c>
      <c r="BL202" t="s">
        <v>163</v>
      </c>
      <c r="BM202">
        <v>1</v>
      </c>
      <c r="BN202">
        <v>1</v>
      </c>
      <c r="BO202">
        <v>1</v>
      </c>
      <c r="BP202">
        <v>0</v>
      </c>
      <c r="BS202">
        <v>0</v>
      </c>
      <c r="BT202">
        <v>0</v>
      </c>
      <c r="BU202">
        <v>0</v>
      </c>
      <c r="CE202" t="str">
        <f t="shared" si="82"/>
        <v>19:26:14.845</v>
      </c>
      <c r="CF202">
        <v>844568745</v>
      </c>
      <c r="CS202">
        <v>3</v>
      </c>
      <c r="CT202">
        <v>2</v>
      </c>
      <c r="CU202">
        <v>0</v>
      </c>
      <c r="CV202">
        <v>2</v>
      </c>
      <c r="CW202">
        <v>0</v>
      </c>
      <c r="CX202">
        <v>5</v>
      </c>
      <c r="CY202">
        <v>7</v>
      </c>
      <c r="CZ202" t="s">
        <v>131</v>
      </c>
      <c r="DA202">
        <v>300</v>
      </c>
      <c r="DB202">
        <v>0</v>
      </c>
      <c r="DC202" t="s">
        <v>176</v>
      </c>
      <c r="DD202" t="s">
        <v>177</v>
      </c>
      <c r="DG202">
        <v>5357044</v>
      </c>
      <c r="DI202">
        <v>0</v>
      </c>
      <c r="DJ202">
        <v>0</v>
      </c>
      <c r="DK202">
        <v>1</v>
      </c>
      <c r="DL202">
        <v>0</v>
      </c>
      <c r="DM202">
        <v>0</v>
      </c>
      <c r="DN202">
        <v>1</v>
      </c>
      <c r="DO202">
        <v>0</v>
      </c>
      <c r="DP202">
        <v>0</v>
      </c>
      <c r="DQ202">
        <v>0</v>
      </c>
      <c r="DR202">
        <v>0</v>
      </c>
      <c r="DS202">
        <v>0</v>
      </c>
    </row>
    <row r="203" spans="1:123" x14ac:dyDescent="0.3">
      <c r="A203" t="str">
        <f>"10/04/2022 19:26:15.150"</f>
        <v>10/04/2022 19:26:15.150</v>
      </c>
      <c r="C203" t="str">
        <f t="shared" si="77"/>
        <v>FFDFD3C0</v>
      </c>
      <c r="D203" t="s">
        <v>147</v>
      </c>
      <c r="E203">
        <v>3</v>
      </c>
      <c r="H203">
        <v>166</v>
      </c>
      <c r="I203" t="s">
        <v>144</v>
      </c>
      <c r="J203" t="s">
        <v>148</v>
      </c>
      <c r="K203">
        <v>0</v>
      </c>
      <c r="L203">
        <v>3</v>
      </c>
      <c r="M203">
        <v>0</v>
      </c>
      <c r="N203">
        <v>2</v>
      </c>
      <c r="O203">
        <v>0</v>
      </c>
      <c r="P203">
        <v>1</v>
      </c>
      <c r="Q203">
        <v>0</v>
      </c>
      <c r="S203" t="str">
        <f t="shared" si="81"/>
        <v>19:26:14.000</v>
      </c>
      <c r="T203" t="str">
        <f t="shared" si="81"/>
        <v>19:26:14.000</v>
      </c>
      <c r="U203" t="str">
        <f t="shared" si="78"/>
        <v>AC3944</v>
      </c>
      <c r="V203">
        <v>0</v>
      </c>
      <c r="W203">
        <v>0</v>
      </c>
      <c r="X203">
        <v>2</v>
      </c>
      <c r="Y203">
        <v>0</v>
      </c>
      <c r="AA203">
        <v>1</v>
      </c>
      <c r="AB203">
        <v>8</v>
      </c>
      <c r="AC203">
        <v>3</v>
      </c>
      <c r="AD203">
        <v>0</v>
      </c>
      <c r="AE203">
        <v>9</v>
      </c>
      <c r="AF203" t="s">
        <v>138</v>
      </c>
      <c r="AG203">
        <v>0</v>
      </c>
      <c r="AH203">
        <v>3</v>
      </c>
      <c r="AI203">
        <v>1</v>
      </c>
      <c r="AJ203">
        <v>0</v>
      </c>
      <c r="AK203" t="s">
        <v>211</v>
      </c>
      <c r="AL203">
        <v>32.828907999999998</v>
      </c>
      <c r="AM203" t="s">
        <v>212</v>
      </c>
      <c r="AN203">
        <v>-116.99128399999999</v>
      </c>
      <c r="AO203">
        <v>25</v>
      </c>
      <c r="AP203">
        <v>1300</v>
      </c>
      <c r="AQ203" t="s">
        <v>129</v>
      </c>
      <c r="AR203">
        <v>-106</v>
      </c>
      <c r="AS203">
        <v>-15</v>
      </c>
      <c r="AT203">
        <v>1024</v>
      </c>
      <c r="BB203">
        <v>1200</v>
      </c>
      <c r="BC203">
        <v>1</v>
      </c>
      <c r="BD203" t="str">
        <f t="shared" si="79"/>
        <v xml:space="preserve">N887QR  </v>
      </c>
      <c r="BE203">
        <v>1</v>
      </c>
      <c r="BG203">
        <v>0</v>
      </c>
      <c r="BH203">
        <v>0</v>
      </c>
      <c r="BI203">
        <v>0</v>
      </c>
      <c r="BJ203">
        <v>950</v>
      </c>
      <c r="BK203">
        <v>-350</v>
      </c>
      <c r="BL203" t="s">
        <v>163</v>
      </c>
      <c r="BM203">
        <v>1</v>
      </c>
      <c r="BN203">
        <v>1</v>
      </c>
      <c r="BO203">
        <v>1</v>
      </c>
      <c r="BP203">
        <v>0</v>
      </c>
      <c r="BS203">
        <v>0</v>
      </c>
      <c r="BT203">
        <v>0</v>
      </c>
      <c r="BU203">
        <v>0</v>
      </c>
      <c r="CE203" t="str">
        <f t="shared" si="82"/>
        <v>19:26:14.845</v>
      </c>
      <c r="CF203">
        <v>844568745</v>
      </c>
      <c r="CS203">
        <v>3</v>
      </c>
      <c r="CT203">
        <v>2</v>
      </c>
      <c r="CU203">
        <v>0</v>
      </c>
      <c r="CV203">
        <v>2</v>
      </c>
      <c r="CW203">
        <v>0</v>
      </c>
      <c r="CX203">
        <v>5</v>
      </c>
      <c r="CY203">
        <v>7</v>
      </c>
      <c r="CZ203" t="s">
        <v>131</v>
      </c>
      <c r="DA203">
        <v>300</v>
      </c>
      <c r="DB203">
        <v>0</v>
      </c>
      <c r="DC203" t="s">
        <v>176</v>
      </c>
      <c r="DD203" t="s">
        <v>177</v>
      </c>
      <c r="DG203">
        <v>5357044</v>
      </c>
      <c r="DI203">
        <v>0</v>
      </c>
      <c r="DJ203">
        <v>0</v>
      </c>
      <c r="DK203">
        <v>1</v>
      </c>
      <c r="DL203">
        <v>0</v>
      </c>
      <c r="DM203">
        <v>0</v>
      </c>
      <c r="DN203">
        <v>1</v>
      </c>
      <c r="DO203">
        <v>0</v>
      </c>
      <c r="DP203">
        <v>0</v>
      </c>
      <c r="DQ203">
        <v>0</v>
      </c>
      <c r="DR203">
        <v>0</v>
      </c>
      <c r="DS203">
        <v>0</v>
      </c>
    </row>
    <row r="204" spans="1:123" x14ac:dyDescent="0.3">
      <c r="A204" t="str">
        <f>"10/04/2022 19:26:15.182"</f>
        <v>10/04/2022 19:26:15.182</v>
      </c>
      <c r="C204" t="str">
        <f t="shared" si="77"/>
        <v>FFDFD3C0</v>
      </c>
      <c r="D204" t="s">
        <v>141</v>
      </c>
      <c r="E204">
        <v>3</v>
      </c>
      <c r="H204">
        <v>3</v>
      </c>
      <c r="I204" t="s">
        <v>146</v>
      </c>
      <c r="J204" t="s">
        <v>138</v>
      </c>
      <c r="K204">
        <v>0</v>
      </c>
      <c r="L204">
        <v>3</v>
      </c>
      <c r="M204">
        <v>0</v>
      </c>
      <c r="N204">
        <v>2</v>
      </c>
      <c r="O204">
        <v>0</v>
      </c>
      <c r="P204">
        <v>1</v>
      </c>
      <c r="Q204">
        <v>0</v>
      </c>
      <c r="S204" t="str">
        <f t="shared" si="81"/>
        <v>19:26:14.000</v>
      </c>
      <c r="T204" t="str">
        <f t="shared" si="81"/>
        <v>19:26:14.000</v>
      </c>
      <c r="U204" t="str">
        <f t="shared" si="78"/>
        <v>AC3944</v>
      </c>
      <c r="V204">
        <v>0</v>
      </c>
      <c r="W204">
        <v>0</v>
      </c>
      <c r="X204">
        <v>2</v>
      </c>
      <c r="Y204">
        <v>0</v>
      </c>
      <c r="AA204">
        <v>1</v>
      </c>
      <c r="AB204">
        <v>8</v>
      </c>
      <c r="AC204">
        <v>3</v>
      </c>
      <c r="AD204">
        <v>0</v>
      </c>
      <c r="AE204">
        <v>9</v>
      </c>
      <c r="AF204" t="s">
        <v>138</v>
      </c>
      <c r="AG204">
        <v>0</v>
      </c>
      <c r="AH204">
        <v>3</v>
      </c>
      <c r="AI204">
        <v>1</v>
      </c>
      <c r="AJ204">
        <v>0</v>
      </c>
      <c r="AK204" t="s">
        <v>211</v>
      </c>
      <c r="AL204">
        <v>32.828907999999998</v>
      </c>
      <c r="AM204" t="s">
        <v>212</v>
      </c>
      <c r="AN204">
        <v>-116.99128399999999</v>
      </c>
      <c r="AO204">
        <v>25</v>
      </c>
      <c r="AP204">
        <v>1300</v>
      </c>
      <c r="AQ204" t="s">
        <v>129</v>
      </c>
      <c r="AR204">
        <v>-106</v>
      </c>
      <c r="AS204">
        <v>-15</v>
      </c>
      <c r="AT204">
        <v>1024</v>
      </c>
      <c r="BB204">
        <v>1200</v>
      </c>
      <c r="BC204">
        <v>1</v>
      </c>
      <c r="BD204" t="str">
        <f t="shared" si="79"/>
        <v xml:space="preserve">N887QR  </v>
      </c>
      <c r="BE204">
        <v>1</v>
      </c>
      <c r="BG204">
        <v>0</v>
      </c>
      <c r="BH204">
        <v>0</v>
      </c>
      <c r="BI204">
        <v>0</v>
      </c>
      <c r="BJ204">
        <v>950</v>
      </c>
      <c r="BK204">
        <v>-350</v>
      </c>
      <c r="BL204" t="s">
        <v>163</v>
      </c>
      <c r="BM204">
        <v>1</v>
      </c>
      <c r="BN204">
        <v>1</v>
      </c>
      <c r="BO204">
        <v>1</v>
      </c>
      <c r="BP204">
        <v>0</v>
      </c>
      <c r="BS204">
        <v>0</v>
      </c>
      <c r="BT204">
        <v>0</v>
      </c>
      <c r="BU204">
        <v>0</v>
      </c>
      <c r="CE204" t="str">
        <f t="shared" si="82"/>
        <v>19:26:14.845</v>
      </c>
      <c r="CF204">
        <v>844568745</v>
      </c>
      <c r="CS204">
        <v>3</v>
      </c>
      <c r="CT204">
        <v>2</v>
      </c>
      <c r="CU204">
        <v>0</v>
      </c>
      <c r="CV204">
        <v>2</v>
      </c>
      <c r="CW204">
        <v>0</v>
      </c>
      <c r="CX204">
        <v>5</v>
      </c>
      <c r="CY204">
        <v>7</v>
      </c>
      <c r="CZ204" t="s">
        <v>131</v>
      </c>
      <c r="DA204">
        <v>300</v>
      </c>
      <c r="DB204">
        <v>0</v>
      </c>
      <c r="DC204" t="s">
        <v>176</v>
      </c>
      <c r="DD204" t="s">
        <v>177</v>
      </c>
      <c r="DG204">
        <v>5357044</v>
      </c>
      <c r="DI204">
        <v>0</v>
      </c>
      <c r="DJ204">
        <v>0</v>
      </c>
      <c r="DK204">
        <v>1</v>
      </c>
      <c r="DL204">
        <v>0</v>
      </c>
      <c r="DM204">
        <v>0</v>
      </c>
      <c r="DN204">
        <v>1</v>
      </c>
      <c r="DO204">
        <v>0</v>
      </c>
      <c r="DP204">
        <v>0</v>
      </c>
      <c r="DQ204">
        <v>0</v>
      </c>
      <c r="DR204">
        <v>0</v>
      </c>
      <c r="DS204">
        <v>0</v>
      </c>
    </row>
    <row r="205" spans="1:123" x14ac:dyDescent="0.3">
      <c r="A205" t="str">
        <f>"10/04/2022 19:26:15.963"</f>
        <v>10/04/2022 19:26:15.963</v>
      </c>
      <c r="C205" t="str">
        <f t="shared" si="77"/>
        <v>FFDFD3C0</v>
      </c>
      <c r="D205" t="s">
        <v>123</v>
      </c>
      <c r="E205">
        <v>7</v>
      </c>
      <c r="F205">
        <v>2007</v>
      </c>
      <c r="G205" t="s">
        <v>124</v>
      </c>
      <c r="J205" t="s">
        <v>125</v>
      </c>
      <c r="K205">
        <v>0</v>
      </c>
      <c r="L205">
        <v>3</v>
      </c>
      <c r="M205">
        <v>0</v>
      </c>
      <c r="N205">
        <v>2</v>
      </c>
      <c r="O205">
        <v>0</v>
      </c>
      <c r="P205">
        <v>1</v>
      </c>
      <c r="Q205">
        <v>0</v>
      </c>
      <c r="S205" t="str">
        <f t="shared" ref="S205:T211" si="83">"19:26:15.000"</f>
        <v>19:26:15.000</v>
      </c>
      <c r="T205" t="str">
        <f t="shared" si="83"/>
        <v>19:26:15.000</v>
      </c>
      <c r="U205" t="str">
        <f t="shared" si="78"/>
        <v>AC3944</v>
      </c>
      <c r="V205">
        <v>0</v>
      </c>
      <c r="W205">
        <v>0</v>
      </c>
      <c r="X205">
        <v>2</v>
      </c>
      <c r="Y205">
        <v>0</v>
      </c>
      <c r="AA205">
        <v>1</v>
      </c>
      <c r="AB205">
        <v>8</v>
      </c>
      <c r="AC205">
        <v>3</v>
      </c>
      <c r="AD205">
        <v>0</v>
      </c>
      <c r="AE205">
        <v>9</v>
      </c>
      <c r="AF205" t="s">
        <v>138</v>
      </c>
      <c r="AG205">
        <v>0</v>
      </c>
      <c r="AH205">
        <v>3</v>
      </c>
      <c r="AI205">
        <v>1</v>
      </c>
      <c r="AJ205">
        <v>0</v>
      </c>
      <c r="AK205" t="s">
        <v>213</v>
      </c>
      <c r="AL205">
        <v>32.828843999999997</v>
      </c>
      <c r="AM205" t="s">
        <v>214</v>
      </c>
      <c r="AN205">
        <v>-116.99173500000001</v>
      </c>
      <c r="AO205">
        <v>25</v>
      </c>
      <c r="AP205">
        <v>1300</v>
      </c>
      <c r="AQ205" t="s">
        <v>129</v>
      </c>
      <c r="AR205">
        <v>-106</v>
      </c>
      <c r="AS205">
        <v>-17</v>
      </c>
      <c r="AT205">
        <v>1024</v>
      </c>
      <c r="BB205">
        <v>1200</v>
      </c>
      <c r="BC205">
        <v>1</v>
      </c>
      <c r="BD205" t="str">
        <f t="shared" si="79"/>
        <v xml:space="preserve">N887QR  </v>
      </c>
      <c r="BE205">
        <v>1</v>
      </c>
      <c r="BG205">
        <v>0</v>
      </c>
      <c r="BH205">
        <v>0</v>
      </c>
      <c r="BI205">
        <v>0</v>
      </c>
      <c r="BJ205">
        <v>950</v>
      </c>
      <c r="BK205">
        <v>-350</v>
      </c>
      <c r="BL205" t="s">
        <v>163</v>
      </c>
      <c r="BM205">
        <v>1</v>
      </c>
      <c r="BN205">
        <v>1</v>
      </c>
      <c r="BO205">
        <v>1</v>
      </c>
      <c r="BP205">
        <v>0</v>
      </c>
      <c r="BS205">
        <v>0</v>
      </c>
      <c r="BT205">
        <v>0</v>
      </c>
      <c r="BU205">
        <v>0</v>
      </c>
      <c r="CE205" t="str">
        <f t="shared" ref="CE205:CE211" si="84">"19:26:15.760"</f>
        <v>19:26:15.760</v>
      </c>
      <c r="CF205">
        <v>760071661</v>
      </c>
      <c r="CS205">
        <v>3</v>
      </c>
      <c r="CT205">
        <v>2</v>
      </c>
      <c r="CU205">
        <v>0</v>
      </c>
      <c r="CV205">
        <v>2</v>
      </c>
      <c r="CW205">
        <v>0</v>
      </c>
      <c r="CX205">
        <v>5</v>
      </c>
      <c r="CY205">
        <v>7</v>
      </c>
      <c r="CZ205" t="s">
        <v>131</v>
      </c>
      <c r="DA205">
        <v>300</v>
      </c>
      <c r="DB205">
        <v>0</v>
      </c>
      <c r="DC205" t="s">
        <v>176</v>
      </c>
      <c r="DD205" t="s">
        <v>177</v>
      </c>
      <c r="DG205">
        <v>5357179</v>
      </c>
      <c r="DI205">
        <v>0</v>
      </c>
      <c r="DJ205">
        <v>0</v>
      </c>
      <c r="DK205">
        <v>0</v>
      </c>
      <c r="DL205">
        <v>0</v>
      </c>
      <c r="DM205">
        <v>0</v>
      </c>
      <c r="DN205">
        <v>1</v>
      </c>
      <c r="DO205">
        <v>0</v>
      </c>
      <c r="DP205">
        <v>0</v>
      </c>
      <c r="DQ205">
        <v>0</v>
      </c>
      <c r="DR205">
        <v>0</v>
      </c>
      <c r="DS205">
        <v>0</v>
      </c>
    </row>
    <row r="206" spans="1:123" x14ac:dyDescent="0.3">
      <c r="A206" t="str">
        <f>"10/04/2022 19:26:15.963"</f>
        <v>10/04/2022 19:26:15.963</v>
      </c>
      <c r="C206" t="str">
        <f t="shared" si="77"/>
        <v>FFDFD3C0</v>
      </c>
      <c r="D206" t="s">
        <v>147</v>
      </c>
      <c r="E206">
        <v>3</v>
      </c>
      <c r="H206">
        <v>166</v>
      </c>
      <c r="I206" t="s">
        <v>144</v>
      </c>
      <c r="J206" t="s">
        <v>148</v>
      </c>
      <c r="K206">
        <v>0</v>
      </c>
      <c r="L206">
        <v>3</v>
      </c>
      <c r="M206">
        <v>0</v>
      </c>
      <c r="N206">
        <v>2</v>
      </c>
      <c r="O206">
        <v>0</v>
      </c>
      <c r="P206">
        <v>1</v>
      </c>
      <c r="Q206">
        <v>0</v>
      </c>
      <c r="S206" t="str">
        <f t="shared" si="83"/>
        <v>19:26:15.000</v>
      </c>
      <c r="T206" t="str">
        <f t="shared" si="83"/>
        <v>19:26:15.000</v>
      </c>
      <c r="U206" t="str">
        <f t="shared" si="78"/>
        <v>AC3944</v>
      </c>
      <c r="V206">
        <v>0</v>
      </c>
      <c r="W206">
        <v>0</v>
      </c>
      <c r="X206">
        <v>2</v>
      </c>
      <c r="Y206">
        <v>0</v>
      </c>
      <c r="AA206">
        <v>1</v>
      </c>
      <c r="AB206">
        <v>8</v>
      </c>
      <c r="AC206">
        <v>3</v>
      </c>
      <c r="AD206">
        <v>0</v>
      </c>
      <c r="AE206">
        <v>9</v>
      </c>
      <c r="AF206" t="s">
        <v>138</v>
      </c>
      <c r="AG206">
        <v>0</v>
      </c>
      <c r="AH206">
        <v>3</v>
      </c>
      <c r="AI206">
        <v>1</v>
      </c>
      <c r="AJ206">
        <v>0</v>
      </c>
      <c r="AK206" t="s">
        <v>213</v>
      </c>
      <c r="AL206">
        <v>32.828843999999997</v>
      </c>
      <c r="AM206" t="s">
        <v>214</v>
      </c>
      <c r="AN206">
        <v>-116.99173500000001</v>
      </c>
      <c r="AO206">
        <v>25</v>
      </c>
      <c r="AP206">
        <v>1300</v>
      </c>
      <c r="AQ206" t="s">
        <v>129</v>
      </c>
      <c r="AR206">
        <v>-106</v>
      </c>
      <c r="AS206">
        <v>-17</v>
      </c>
      <c r="AT206">
        <v>1024</v>
      </c>
      <c r="BB206">
        <v>1200</v>
      </c>
      <c r="BC206">
        <v>1</v>
      </c>
      <c r="BD206" t="str">
        <f t="shared" si="79"/>
        <v xml:space="preserve">N887QR  </v>
      </c>
      <c r="BE206">
        <v>1</v>
      </c>
      <c r="BG206">
        <v>0</v>
      </c>
      <c r="BH206">
        <v>0</v>
      </c>
      <c r="BI206">
        <v>0</v>
      </c>
      <c r="BJ206">
        <v>950</v>
      </c>
      <c r="BK206">
        <v>-350</v>
      </c>
      <c r="BL206" t="s">
        <v>163</v>
      </c>
      <c r="BM206">
        <v>1</v>
      </c>
      <c r="BN206">
        <v>1</v>
      </c>
      <c r="BO206">
        <v>1</v>
      </c>
      <c r="BP206">
        <v>0</v>
      </c>
      <c r="BS206">
        <v>0</v>
      </c>
      <c r="BT206">
        <v>0</v>
      </c>
      <c r="BU206">
        <v>0</v>
      </c>
      <c r="CE206" t="str">
        <f t="shared" si="84"/>
        <v>19:26:15.760</v>
      </c>
      <c r="CF206">
        <v>760071661</v>
      </c>
      <c r="CS206">
        <v>3</v>
      </c>
      <c r="CT206">
        <v>2</v>
      </c>
      <c r="CU206">
        <v>0</v>
      </c>
      <c r="CV206">
        <v>2</v>
      </c>
      <c r="CW206">
        <v>0</v>
      </c>
      <c r="CX206">
        <v>5</v>
      </c>
      <c r="CY206">
        <v>7</v>
      </c>
      <c r="CZ206" t="s">
        <v>131</v>
      </c>
      <c r="DA206">
        <v>300</v>
      </c>
      <c r="DB206">
        <v>0</v>
      </c>
      <c r="DC206" t="s">
        <v>176</v>
      </c>
      <c r="DD206" t="s">
        <v>177</v>
      </c>
      <c r="DG206">
        <v>5357179</v>
      </c>
      <c r="DI206">
        <v>0</v>
      </c>
      <c r="DJ206">
        <v>0</v>
      </c>
      <c r="DK206">
        <v>1</v>
      </c>
      <c r="DL206">
        <v>0</v>
      </c>
      <c r="DM206">
        <v>0</v>
      </c>
      <c r="DN206">
        <v>1</v>
      </c>
      <c r="DO206">
        <v>0</v>
      </c>
      <c r="DP206">
        <v>0</v>
      </c>
      <c r="DQ206">
        <v>0</v>
      </c>
      <c r="DR206">
        <v>0</v>
      </c>
      <c r="DS206">
        <v>0</v>
      </c>
    </row>
    <row r="207" spans="1:123" x14ac:dyDescent="0.3">
      <c r="A207" t="str">
        <f>"10/04/2022 19:26:15.963"</f>
        <v>10/04/2022 19:26:15.963</v>
      </c>
      <c r="C207" t="str">
        <f t="shared" si="77"/>
        <v>FFDFD3C0</v>
      </c>
      <c r="D207" t="s">
        <v>141</v>
      </c>
      <c r="E207">
        <v>3</v>
      </c>
      <c r="H207">
        <v>3</v>
      </c>
      <c r="I207" t="s">
        <v>146</v>
      </c>
      <c r="J207" t="s">
        <v>138</v>
      </c>
      <c r="K207">
        <v>0</v>
      </c>
      <c r="L207">
        <v>3</v>
      </c>
      <c r="M207">
        <v>0</v>
      </c>
      <c r="N207">
        <v>2</v>
      </c>
      <c r="O207">
        <v>0</v>
      </c>
      <c r="P207">
        <v>1</v>
      </c>
      <c r="Q207">
        <v>0</v>
      </c>
      <c r="S207" t="str">
        <f t="shared" si="83"/>
        <v>19:26:15.000</v>
      </c>
      <c r="T207" t="str">
        <f t="shared" si="83"/>
        <v>19:26:15.000</v>
      </c>
      <c r="U207" t="str">
        <f t="shared" si="78"/>
        <v>AC3944</v>
      </c>
      <c r="V207">
        <v>0</v>
      </c>
      <c r="W207">
        <v>0</v>
      </c>
      <c r="X207">
        <v>2</v>
      </c>
      <c r="Y207">
        <v>0</v>
      </c>
      <c r="AA207">
        <v>1</v>
      </c>
      <c r="AB207">
        <v>8</v>
      </c>
      <c r="AC207">
        <v>3</v>
      </c>
      <c r="AD207">
        <v>0</v>
      </c>
      <c r="AE207">
        <v>9</v>
      </c>
      <c r="AF207" t="s">
        <v>138</v>
      </c>
      <c r="AG207">
        <v>0</v>
      </c>
      <c r="AH207">
        <v>3</v>
      </c>
      <c r="AI207">
        <v>1</v>
      </c>
      <c r="AJ207">
        <v>0</v>
      </c>
      <c r="AK207" t="s">
        <v>213</v>
      </c>
      <c r="AL207">
        <v>32.828843999999997</v>
      </c>
      <c r="AM207" t="s">
        <v>214</v>
      </c>
      <c r="AN207">
        <v>-116.99173500000001</v>
      </c>
      <c r="AO207">
        <v>25</v>
      </c>
      <c r="AP207">
        <v>1300</v>
      </c>
      <c r="AQ207" t="s">
        <v>129</v>
      </c>
      <c r="AR207">
        <v>-106</v>
      </c>
      <c r="AS207">
        <v>-17</v>
      </c>
      <c r="AT207">
        <v>1024</v>
      </c>
      <c r="BB207">
        <v>1200</v>
      </c>
      <c r="BC207">
        <v>1</v>
      </c>
      <c r="BD207" t="str">
        <f t="shared" si="79"/>
        <v xml:space="preserve">N887QR  </v>
      </c>
      <c r="BE207">
        <v>1</v>
      </c>
      <c r="BG207">
        <v>0</v>
      </c>
      <c r="BH207">
        <v>0</v>
      </c>
      <c r="BI207">
        <v>0</v>
      </c>
      <c r="BJ207">
        <v>950</v>
      </c>
      <c r="BK207">
        <v>-350</v>
      </c>
      <c r="BL207" t="s">
        <v>163</v>
      </c>
      <c r="BM207">
        <v>1</v>
      </c>
      <c r="BN207">
        <v>1</v>
      </c>
      <c r="BO207">
        <v>1</v>
      </c>
      <c r="BP207">
        <v>0</v>
      </c>
      <c r="BS207">
        <v>0</v>
      </c>
      <c r="BT207">
        <v>0</v>
      </c>
      <c r="BU207">
        <v>0</v>
      </c>
      <c r="CE207" t="str">
        <f t="shared" si="84"/>
        <v>19:26:15.760</v>
      </c>
      <c r="CF207">
        <v>760071661</v>
      </c>
      <c r="CS207">
        <v>3</v>
      </c>
      <c r="CT207">
        <v>2</v>
      </c>
      <c r="CU207">
        <v>0</v>
      </c>
      <c r="CV207">
        <v>2</v>
      </c>
      <c r="CW207">
        <v>0</v>
      </c>
      <c r="CX207">
        <v>5</v>
      </c>
      <c r="CY207">
        <v>7</v>
      </c>
      <c r="CZ207" t="s">
        <v>131</v>
      </c>
      <c r="DA207">
        <v>300</v>
      </c>
      <c r="DB207">
        <v>0</v>
      </c>
      <c r="DC207" t="s">
        <v>176</v>
      </c>
      <c r="DD207" t="s">
        <v>177</v>
      </c>
      <c r="DG207">
        <v>5357179</v>
      </c>
      <c r="DI207">
        <v>0</v>
      </c>
      <c r="DJ207">
        <v>0</v>
      </c>
      <c r="DK207">
        <v>1</v>
      </c>
      <c r="DL207">
        <v>0</v>
      </c>
      <c r="DM207">
        <v>0</v>
      </c>
      <c r="DN207">
        <v>1</v>
      </c>
      <c r="DO207">
        <v>0</v>
      </c>
      <c r="DP207">
        <v>0</v>
      </c>
      <c r="DQ207">
        <v>0</v>
      </c>
      <c r="DR207">
        <v>0</v>
      </c>
      <c r="DS207">
        <v>0</v>
      </c>
    </row>
    <row r="208" spans="1:123" x14ac:dyDescent="0.3">
      <c r="A208" t="str">
        <f>"10/04/2022 19:26:16.010"</f>
        <v>10/04/2022 19:26:16.010</v>
      </c>
      <c r="C208" t="str">
        <f t="shared" si="77"/>
        <v>FFDFD3C0</v>
      </c>
      <c r="D208" t="s">
        <v>143</v>
      </c>
      <c r="E208">
        <v>20</v>
      </c>
      <c r="F208">
        <v>1020</v>
      </c>
      <c r="G208" t="s">
        <v>144</v>
      </c>
      <c r="J208" t="s">
        <v>145</v>
      </c>
      <c r="K208">
        <v>0</v>
      </c>
      <c r="L208">
        <v>3</v>
      </c>
      <c r="M208">
        <v>0</v>
      </c>
      <c r="N208">
        <v>2</v>
      </c>
      <c r="O208">
        <v>0</v>
      </c>
      <c r="P208">
        <v>1</v>
      </c>
      <c r="Q208">
        <v>0</v>
      </c>
      <c r="S208" t="str">
        <f t="shared" si="83"/>
        <v>19:26:15.000</v>
      </c>
      <c r="T208" t="str">
        <f t="shared" si="83"/>
        <v>19:26:15.000</v>
      </c>
      <c r="U208" t="str">
        <f t="shared" si="78"/>
        <v>AC3944</v>
      </c>
      <c r="V208">
        <v>0</v>
      </c>
      <c r="W208">
        <v>0</v>
      </c>
      <c r="X208">
        <v>2</v>
      </c>
      <c r="Y208">
        <v>0</v>
      </c>
      <c r="AA208">
        <v>1</v>
      </c>
      <c r="AB208">
        <v>8</v>
      </c>
      <c r="AC208">
        <v>3</v>
      </c>
      <c r="AD208">
        <v>0</v>
      </c>
      <c r="AE208">
        <v>9</v>
      </c>
      <c r="AF208" t="s">
        <v>138</v>
      </c>
      <c r="AG208">
        <v>0</v>
      </c>
      <c r="AH208">
        <v>3</v>
      </c>
      <c r="AI208">
        <v>1</v>
      </c>
      <c r="AJ208">
        <v>0</v>
      </c>
      <c r="AK208" t="s">
        <v>213</v>
      </c>
      <c r="AL208">
        <v>32.828843999999997</v>
      </c>
      <c r="AM208" t="s">
        <v>214</v>
      </c>
      <c r="AN208">
        <v>-116.99173500000001</v>
      </c>
      <c r="AO208">
        <v>25</v>
      </c>
      <c r="AP208">
        <v>1300</v>
      </c>
      <c r="AQ208" t="s">
        <v>129</v>
      </c>
      <c r="AR208">
        <v>-106</v>
      </c>
      <c r="AS208">
        <v>-17</v>
      </c>
      <c r="AT208">
        <v>1024</v>
      </c>
      <c r="BB208">
        <v>1200</v>
      </c>
      <c r="BC208">
        <v>1</v>
      </c>
      <c r="BD208" t="str">
        <f t="shared" si="79"/>
        <v xml:space="preserve">N887QR  </v>
      </c>
      <c r="BE208">
        <v>1</v>
      </c>
      <c r="BG208">
        <v>0</v>
      </c>
      <c r="BH208">
        <v>0</v>
      </c>
      <c r="BI208">
        <v>0</v>
      </c>
      <c r="BJ208">
        <v>950</v>
      </c>
      <c r="BK208">
        <v>-350</v>
      </c>
      <c r="BL208" t="s">
        <v>163</v>
      </c>
      <c r="BM208">
        <v>1</v>
      </c>
      <c r="BN208">
        <v>1</v>
      </c>
      <c r="BO208">
        <v>1</v>
      </c>
      <c r="BP208">
        <v>0</v>
      </c>
      <c r="BS208">
        <v>0</v>
      </c>
      <c r="BT208">
        <v>0</v>
      </c>
      <c r="BU208">
        <v>0</v>
      </c>
      <c r="CE208" t="str">
        <f t="shared" si="84"/>
        <v>19:26:15.760</v>
      </c>
      <c r="CF208">
        <v>760071661</v>
      </c>
      <c r="CS208">
        <v>3</v>
      </c>
      <c r="CT208">
        <v>2</v>
      </c>
      <c r="CU208">
        <v>0</v>
      </c>
      <c r="CV208">
        <v>2</v>
      </c>
      <c r="CW208">
        <v>0</v>
      </c>
      <c r="CX208">
        <v>5</v>
      </c>
      <c r="CY208">
        <v>7</v>
      </c>
      <c r="CZ208" t="s">
        <v>131</v>
      </c>
      <c r="DA208">
        <v>300</v>
      </c>
      <c r="DB208">
        <v>0</v>
      </c>
      <c r="DC208" t="s">
        <v>176</v>
      </c>
      <c r="DD208" t="s">
        <v>177</v>
      </c>
      <c r="DG208">
        <v>5357179</v>
      </c>
      <c r="DI208">
        <v>0</v>
      </c>
      <c r="DJ208">
        <v>0</v>
      </c>
      <c r="DK208">
        <v>1</v>
      </c>
      <c r="DL208">
        <v>0</v>
      </c>
      <c r="DM208">
        <v>0</v>
      </c>
      <c r="DN208">
        <v>1</v>
      </c>
      <c r="DO208">
        <v>0</v>
      </c>
      <c r="DP208">
        <v>0</v>
      </c>
      <c r="DQ208">
        <v>0</v>
      </c>
      <c r="DR208">
        <v>0</v>
      </c>
      <c r="DS208">
        <v>0</v>
      </c>
    </row>
    <row r="209" spans="1:123" x14ac:dyDescent="0.3">
      <c r="A209" t="str">
        <f>"10/04/2022 19:26:16.010"</f>
        <v>10/04/2022 19:26:16.010</v>
      </c>
      <c r="C209" t="str">
        <f t="shared" si="77"/>
        <v>FFDFD3C0</v>
      </c>
      <c r="D209" t="s">
        <v>136</v>
      </c>
      <c r="E209">
        <v>8</v>
      </c>
      <c r="H209">
        <v>225</v>
      </c>
      <c r="I209" t="s">
        <v>137</v>
      </c>
      <c r="J209" t="s">
        <v>138</v>
      </c>
      <c r="K209">
        <v>0</v>
      </c>
      <c r="L209">
        <v>3</v>
      </c>
      <c r="M209">
        <v>0</v>
      </c>
      <c r="N209">
        <v>2</v>
      </c>
      <c r="O209">
        <v>0</v>
      </c>
      <c r="P209">
        <v>1</v>
      </c>
      <c r="Q209">
        <v>0</v>
      </c>
      <c r="S209" t="str">
        <f t="shared" si="83"/>
        <v>19:26:15.000</v>
      </c>
      <c r="T209" t="str">
        <f t="shared" si="83"/>
        <v>19:26:15.000</v>
      </c>
      <c r="U209" t="str">
        <f t="shared" si="78"/>
        <v>AC3944</v>
      </c>
      <c r="V209">
        <v>0</v>
      </c>
      <c r="W209">
        <v>0</v>
      </c>
      <c r="X209">
        <v>2</v>
      </c>
      <c r="Y209">
        <v>0</v>
      </c>
      <c r="AA209">
        <v>1</v>
      </c>
      <c r="AB209">
        <v>8</v>
      </c>
      <c r="AC209">
        <v>3</v>
      </c>
      <c r="AD209">
        <v>0</v>
      </c>
      <c r="AE209">
        <v>9</v>
      </c>
      <c r="AF209" t="s">
        <v>138</v>
      </c>
      <c r="AG209">
        <v>0</v>
      </c>
      <c r="AH209">
        <v>3</v>
      </c>
      <c r="AI209">
        <v>1</v>
      </c>
      <c r="AJ209">
        <v>0</v>
      </c>
      <c r="AK209" t="s">
        <v>213</v>
      </c>
      <c r="AL209">
        <v>32.828843999999997</v>
      </c>
      <c r="AM209" t="s">
        <v>214</v>
      </c>
      <c r="AN209">
        <v>-116.99173500000001</v>
      </c>
      <c r="AO209">
        <v>25</v>
      </c>
      <c r="AP209">
        <v>1300</v>
      </c>
      <c r="AQ209" t="s">
        <v>129</v>
      </c>
      <c r="AR209">
        <v>-106</v>
      </c>
      <c r="AS209">
        <v>-17</v>
      </c>
      <c r="AT209">
        <v>1024</v>
      </c>
      <c r="BB209">
        <v>1200</v>
      </c>
      <c r="BC209">
        <v>1</v>
      </c>
      <c r="BD209" t="str">
        <f t="shared" si="79"/>
        <v xml:space="preserve">N887QR  </v>
      </c>
      <c r="BE209">
        <v>1</v>
      </c>
      <c r="BG209">
        <v>0</v>
      </c>
      <c r="BH209">
        <v>0</v>
      </c>
      <c r="BI209">
        <v>0</v>
      </c>
      <c r="BJ209">
        <v>950</v>
      </c>
      <c r="BK209">
        <v>-350</v>
      </c>
      <c r="BL209" t="s">
        <v>163</v>
      </c>
      <c r="BM209">
        <v>1</v>
      </c>
      <c r="BN209">
        <v>1</v>
      </c>
      <c r="BO209">
        <v>1</v>
      </c>
      <c r="BP209">
        <v>0</v>
      </c>
      <c r="BS209">
        <v>0</v>
      </c>
      <c r="BT209">
        <v>0</v>
      </c>
      <c r="BU209">
        <v>0</v>
      </c>
      <c r="CE209" t="str">
        <f t="shared" si="84"/>
        <v>19:26:15.760</v>
      </c>
      <c r="CF209">
        <v>760071661</v>
      </c>
      <c r="CS209">
        <v>3</v>
      </c>
      <c r="CT209">
        <v>2</v>
      </c>
      <c r="CU209">
        <v>0</v>
      </c>
      <c r="CV209">
        <v>2</v>
      </c>
      <c r="CW209">
        <v>0</v>
      </c>
      <c r="CX209">
        <v>5</v>
      </c>
      <c r="CY209">
        <v>7</v>
      </c>
      <c r="CZ209" t="s">
        <v>131</v>
      </c>
      <c r="DA209">
        <v>300</v>
      </c>
      <c r="DB209">
        <v>0</v>
      </c>
      <c r="DC209" t="s">
        <v>176</v>
      </c>
      <c r="DD209" t="s">
        <v>177</v>
      </c>
      <c r="DG209">
        <v>5357179</v>
      </c>
      <c r="DI209">
        <v>0</v>
      </c>
      <c r="DJ209">
        <v>0</v>
      </c>
      <c r="DK209">
        <v>1</v>
      </c>
      <c r="DL209">
        <v>0</v>
      </c>
      <c r="DM209">
        <v>0</v>
      </c>
      <c r="DN209">
        <v>1</v>
      </c>
      <c r="DO209">
        <v>0</v>
      </c>
      <c r="DP209">
        <v>0</v>
      </c>
      <c r="DQ209">
        <v>0</v>
      </c>
      <c r="DR209">
        <v>0</v>
      </c>
      <c r="DS209">
        <v>0</v>
      </c>
    </row>
    <row r="210" spans="1:123" x14ac:dyDescent="0.3">
      <c r="A210" t="str">
        <f>"10/04/2022 19:26:16.010"</f>
        <v>10/04/2022 19:26:16.010</v>
      </c>
      <c r="C210" t="str">
        <f t="shared" si="77"/>
        <v>FFDFD3C0</v>
      </c>
      <c r="D210" t="s">
        <v>141</v>
      </c>
      <c r="E210">
        <v>4</v>
      </c>
      <c r="H210">
        <v>4</v>
      </c>
      <c r="I210" t="s">
        <v>142</v>
      </c>
      <c r="J210" t="s">
        <v>138</v>
      </c>
      <c r="K210">
        <v>0</v>
      </c>
      <c r="L210">
        <v>3</v>
      </c>
      <c r="M210">
        <v>0</v>
      </c>
      <c r="N210">
        <v>2</v>
      </c>
      <c r="O210">
        <v>0</v>
      </c>
      <c r="P210">
        <v>1</v>
      </c>
      <c r="Q210">
        <v>0</v>
      </c>
      <c r="S210" t="str">
        <f t="shared" si="83"/>
        <v>19:26:15.000</v>
      </c>
      <c r="T210" t="str">
        <f t="shared" si="83"/>
        <v>19:26:15.000</v>
      </c>
      <c r="U210" t="str">
        <f t="shared" si="78"/>
        <v>AC3944</v>
      </c>
      <c r="V210">
        <v>0</v>
      </c>
      <c r="W210">
        <v>0</v>
      </c>
      <c r="X210">
        <v>2</v>
      </c>
      <c r="Y210">
        <v>0</v>
      </c>
      <c r="AA210">
        <v>1</v>
      </c>
      <c r="AB210">
        <v>8</v>
      </c>
      <c r="AC210">
        <v>3</v>
      </c>
      <c r="AD210">
        <v>0</v>
      </c>
      <c r="AE210">
        <v>9</v>
      </c>
      <c r="AF210" t="s">
        <v>138</v>
      </c>
      <c r="AG210">
        <v>0</v>
      </c>
      <c r="AH210">
        <v>3</v>
      </c>
      <c r="AI210">
        <v>1</v>
      </c>
      <c r="AJ210">
        <v>0</v>
      </c>
      <c r="AK210" t="s">
        <v>213</v>
      </c>
      <c r="AL210">
        <v>32.828843999999997</v>
      </c>
      <c r="AM210" t="s">
        <v>214</v>
      </c>
      <c r="AN210">
        <v>-116.99173500000001</v>
      </c>
      <c r="AO210">
        <v>25</v>
      </c>
      <c r="AP210">
        <v>1300</v>
      </c>
      <c r="AQ210" t="s">
        <v>129</v>
      </c>
      <c r="AR210">
        <v>-106</v>
      </c>
      <c r="AS210">
        <v>-17</v>
      </c>
      <c r="AT210">
        <v>1024</v>
      </c>
      <c r="BB210">
        <v>1200</v>
      </c>
      <c r="BC210">
        <v>1</v>
      </c>
      <c r="BD210" t="str">
        <f t="shared" si="79"/>
        <v xml:space="preserve">N887QR  </v>
      </c>
      <c r="BE210">
        <v>1</v>
      </c>
      <c r="BG210">
        <v>0</v>
      </c>
      <c r="BH210">
        <v>0</v>
      </c>
      <c r="BI210">
        <v>0</v>
      </c>
      <c r="BJ210">
        <v>950</v>
      </c>
      <c r="BK210">
        <v>-350</v>
      </c>
      <c r="BL210" t="s">
        <v>163</v>
      </c>
      <c r="BM210">
        <v>1</v>
      </c>
      <c r="BN210">
        <v>1</v>
      </c>
      <c r="BO210">
        <v>1</v>
      </c>
      <c r="BP210">
        <v>0</v>
      </c>
      <c r="BS210">
        <v>0</v>
      </c>
      <c r="BT210">
        <v>0</v>
      </c>
      <c r="BU210">
        <v>0</v>
      </c>
      <c r="CE210" t="str">
        <f t="shared" si="84"/>
        <v>19:26:15.760</v>
      </c>
      <c r="CF210">
        <v>760071661</v>
      </c>
      <c r="CS210">
        <v>3</v>
      </c>
      <c r="CT210">
        <v>2</v>
      </c>
      <c r="CU210">
        <v>0</v>
      </c>
      <c r="CV210">
        <v>2</v>
      </c>
      <c r="CW210">
        <v>0</v>
      </c>
      <c r="CX210">
        <v>5</v>
      </c>
      <c r="CY210">
        <v>7</v>
      </c>
      <c r="CZ210" t="s">
        <v>131</v>
      </c>
      <c r="DA210">
        <v>300</v>
      </c>
      <c r="DB210">
        <v>0</v>
      </c>
      <c r="DC210" t="s">
        <v>176</v>
      </c>
      <c r="DD210" t="s">
        <v>177</v>
      </c>
      <c r="DG210">
        <v>5357179</v>
      </c>
      <c r="DI210">
        <v>0</v>
      </c>
      <c r="DJ210">
        <v>0</v>
      </c>
      <c r="DK210">
        <v>1</v>
      </c>
      <c r="DL210">
        <v>0</v>
      </c>
      <c r="DM210">
        <v>0</v>
      </c>
      <c r="DN210">
        <v>1</v>
      </c>
      <c r="DO210">
        <v>0</v>
      </c>
      <c r="DP210">
        <v>0</v>
      </c>
      <c r="DQ210">
        <v>0</v>
      </c>
      <c r="DR210">
        <v>0</v>
      </c>
      <c r="DS210">
        <v>0</v>
      </c>
    </row>
    <row r="211" spans="1:123" x14ac:dyDescent="0.3">
      <c r="A211" t="str">
        <f>"10/04/2022 19:26:16.072"</f>
        <v>10/04/2022 19:26:16.072</v>
      </c>
      <c r="C211" t="str">
        <f t="shared" si="77"/>
        <v>FFDFD3C0</v>
      </c>
      <c r="D211" t="s">
        <v>134</v>
      </c>
      <c r="E211">
        <v>15</v>
      </c>
      <c r="J211" t="s">
        <v>135</v>
      </c>
      <c r="K211">
        <v>0</v>
      </c>
      <c r="L211">
        <v>3</v>
      </c>
      <c r="M211">
        <v>0</v>
      </c>
      <c r="N211">
        <v>2</v>
      </c>
      <c r="O211">
        <v>0</v>
      </c>
      <c r="P211">
        <v>1</v>
      </c>
      <c r="Q211">
        <v>0</v>
      </c>
      <c r="S211" t="str">
        <f t="shared" si="83"/>
        <v>19:26:15.000</v>
      </c>
      <c r="T211" t="str">
        <f t="shared" si="83"/>
        <v>19:26:15.000</v>
      </c>
      <c r="U211" t="str">
        <f t="shared" si="78"/>
        <v>AC3944</v>
      </c>
      <c r="V211">
        <v>0</v>
      </c>
      <c r="W211">
        <v>0</v>
      </c>
      <c r="X211">
        <v>2</v>
      </c>
      <c r="Y211">
        <v>0</v>
      </c>
      <c r="AA211">
        <v>1</v>
      </c>
      <c r="AB211">
        <v>8</v>
      </c>
      <c r="AC211">
        <v>3</v>
      </c>
      <c r="AD211">
        <v>0</v>
      </c>
      <c r="AE211">
        <v>9</v>
      </c>
      <c r="AF211" t="s">
        <v>138</v>
      </c>
      <c r="AG211">
        <v>0</v>
      </c>
      <c r="AH211">
        <v>3</v>
      </c>
      <c r="AI211">
        <v>1</v>
      </c>
      <c r="AJ211">
        <v>0</v>
      </c>
      <c r="AK211" t="s">
        <v>213</v>
      </c>
      <c r="AL211">
        <v>32.828843999999997</v>
      </c>
      <c r="AM211" t="s">
        <v>214</v>
      </c>
      <c r="AN211">
        <v>-116.99173500000001</v>
      </c>
      <c r="AO211">
        <v>25</v>
      </c>
      <c r="AP211">
        <v>1300</v>
      </c>
      <c r="AQ211" t="s">
        <v>129</v>
      </c>
      <c r="AR211">
        <v>-106</v>
      </c>
      <c r="AS211">
        <v>-17</v>
      </c>
      <c r="AT211">
        <v>1024</v>
      </c>
      <c r="BB211">
        <v>1200</v>
      </c>
      <c r="BC211">
        <v>1</v>
      </c>
      <c r="BD211" t="str">
        <f t="shared" si="79"/>
        <v xml:space="preserve">N887QR  </v>
      </c>
      <c r="BE211">
        <v>1</v>
      </c>
      <c r="BG211">
        <v>0</v>
      </c>
      <c r="BH211">
        <v>0</v>
      </c>
      <c r="BI211">
        <v>0</v>
      </c>
      <c r="BJ211">
        <v>950</v>
      </c>
      <c r="BK211">
        <v>-350</v>
      </c>
      <c r="BL211" t="s">
        <v>163</v>
      </c>
      <c r="BM211">
        <v>1</v>
      </c>
      <c r="BN211">
        <v>1</v>
      </c>
      <c r="BO211">
        <v>1</v>
      </c>
      <c r="BP211">
        <v>0</v>
      </c>
      <c r="BS211">
        <v>0</v>
      </c>
      <c r="BT211">
        <v>0</v>
      </c>
      <c r="BU211">
        <v>0</v>
      </c>
      <c r="CE211" t="str">
        <f t="shared" si="84"/>
        <v>19:26:15.760</v>
      </c>
      <c r="CF211">
        <v>760071661</v>
      </c>
      <c r="CS211">
        <v>3</v>
      </c>
      <c r="CT211">
        <v>2</v>
      </c>
      <c r="CU211">
        <v>0</v>
      </c>
      <c r="CV211">
        <v>2</v>
      </c>
      <c r="CW211">
        <v>0</v>
      </c>
      <c r="CX211">
        <v>5</v>
      </c>
      <c r="CY211">
        <v>7</v>
      </c>
      <c r="CZ211" t="s">
        <v>131</v>
      </c>
      <c r="DA211">
        <v>300</v>
      </c>
      <c r="DB211">
        <v>0</v>
      </c>
      <c r="DC211" t="s">
        <v>176</v>
      </c>
      <c r="DD211" t="s">
        <v>177</v>
      </c>
      <c r="DG211">
        <v>5357179</v>
      </c>
      <c r="DI211">
        <v>0</v>
      </c>
      <c r="DJ211">
        <v>0</v>
      </c>
      <c r="DK211">
        <v>1</v>
      </c>
      <c r="DL211">
        <v>0</v>
      </c>
      <c r="DM211">
        <v>0</v>
      </c>
      <c r="DN211">
        <v>1</v>
      </c>
      <c r="DO211">
        <v>0</v>
      </c>
      <c r="DP211">
        <v>0</v>
      </c>
      <c r="DQ211">
        <v>0</v>
      </c>
      <c r="DR211">
        <v>0</v>
      </c>
      <c r="DS211">
        <v>0</v>
      </c>
    </row>
    <row r="212" spans="1:123" x14ac:dyDescent="0.3">
      <c r="A212" t="str">
        <f>"10/04/2022 19:26:17.773"</f>
        <v>10/04/2022 19:26:17.773</v>
      </c>
      <c r="C212" t="str">
        <f t="shared" si="77"/>
        <v>FFDFD3C0</v>
      </c>
      <c r="D212" t="s">
        <v>123</v>
      </c>
      <c r="E212">
        <v>7</v>
      </c>
      <c r="F212">
        <v>2007</v>
      </c>
      <c r="G212" t="s">
        <v>124</v>
      </c>
      <c r="J212" t="s">
        <v>125</v>
      </c>
      <c r="K212">
        <v>0</v>
      </c>
      <c r="L212">
        <v>3</v>
      </c>
      <c r="M212">
        <v>0</v>
      </c>
      <c r="N212">
        <v>2</v>
      </c>
      <c r="O212">
        <v>0</v>
      </c>
      <c r="P212">
        <v>1</v>
      </c>
      <c r="Q212">
        <v>0</v>
      </c>
      <c r="S212" t="str">
        <f t="shared" ref="S212:T225" si="85">"19:26:17.000"</f>
        <v>19:26:17.000</v>
      </c>
      <c r="T212" t="str">
        <f t="shared" si="85"/>
        <v>19:26:17.000</v>
      </c>
      <c r="U212" t="str">
        <f t="shared" si="78"/>
        <v>AC3944</v>
      </c>
      <c r="V212">
        <v>0</v>
      </c>
      <c r="W212">
        <v>0</v>
      </c>
      <c r="X212">
        <v>2</v>
      </c>
      <c r="Y212">
        <v>0</v>
      </c>
      <c r="AA212">
        <v>1</v>
      </c>
      <c r="AB212">
        <v>8</v>
      </c>
      <c r="AC212">
        <v>3</v>
      </c>
      <c r="AD212">
        <v>0</v>
      </c>
      <c r="AE212">
        <v>9</v>
      </c>
      <c r="AF212" t="s">
        <v>138</v>
      </c>
      <c r="AG212">
        <v>0</v>
      </c>
      <c r="AH212">
        <v>3</v>
      </c>
      <c r="AI212">
        <v>1</v>
      </c>
      <c r="AJ212">
        <v>0</v>
      </c>
      <c r="AK212" t="s">
        <v>215</v>
      </c>
      <c r="AL212">
        <v>32.828758000000001</v>
      </c>
      <c r="AM212" t="s">
        <v>216</v>
      </c>
      <c r="AN212">
        <v>-116.992335</v>
      </c>
      <c r="AO212">
        <v>25</v>
      </c>
      <c r="AP212">
        <v>1300</v>
      </c>
      <c r="AQ212" t="s">
        <v>129</v>
      </c>
      <c r="AR212">
        <v>-108</v>
      </c>
      <c r="AS212">
        <v>-24</v>
      </c>
      <c r="AT212">
        <v>960</v>
      </c>
      <c r="BB212">
        <v>1200</v>
      </c>
      <c r="BC212">
        <v>1</v>
      </c>
      <c r="BD212" t="str">
        <f t="shared" si="79"/>
        <v xml:space="preserve">N887QR  </v>
      </c>
      <c r="BE212">
        <v>1</v>
      </c>
      <c r="BG212">
        <v>0</v>
      </c>
      <c r="BH212">
        <v>0</v>
      </c>
      <c r="BI212">
        <v>0</v>
      </c>
      <c r="BJ212">
        <v>1000</v>
      </c>
      <c r="BK212">
        <v>-300</v>
      </c>
      <c r="BL212" t="s">
        <v>163</v>
      </c>
      <c r="BM212">
        <v>1</v>
      </c>
      <c r="BN212">
        <v>1</v>
      </c>
      <c r="BO212">
        <v>1</v>
      </c>
      <c r="BP212">
        <v>0</v>
      </c>
      <c r="BS212">
        <v>0</v>
      </c>
      <c r="BT212">
        <v>0</v>
      </c>
      <c r="BU212">
        <v>0</v>
      </c>
      <c r="CE212" t="str">
        <f t="shared" ref="CE212:CE218" si="86">"19:26:17.491"</f>
        <v>19:26:17.491</v>
      </c>
      <c r="CF212">
        <v>490827220</v>
      </c>
      <c r="CS212">
        <v>3</v>
      </c>
      <c r="CT212">
        <v>2</v>
      </c>
      <c r="CU212">
        <v>0</v>
      </c>
      <c r="CV212">
        <v>2</v>
      </c>
      <c r="CW212">
        <v>0</v>
      </c>
      <c r="CX212">
        <v>6</v>
      </c>
      <c r="CY212">
        <v>7</v>
      </c>
      <c r="CZ212" t="s">
        <v>131</v>
      </c>
      <c r="DA212">
        <v>300</v>
      </c>
      <c r="DB212">
        <v>0</v>
      </c>
      <c r="DC212" t="s">
        <v>176</v>
      </c>
      <c r="DD212" t="s">
        <v>177</v>
      </c>
      <c r="DG212">
        <v>5357436</v>
      </c>
      <c r="DI212">
        <v>0</v>
      </c>
      <c r="DJ212">
        <v>0</v>
      </c>
      <c r="DK212">
        <v>0</v>
      </c>
      <c r="DL212">
        <v>0</v>
      </c>
      <c r="DM212">
        <v>0</v>
      </c>
      <c r="DN212">
        <v>1</v>
      </c>
      <c r="DO212">
        <v>0</v>
      </c>
      <c r="DP212">
        <v>0</v>
      </c>
      <c r="DQ212">
        <v>0</v>
      </c>
      <c r="DR212">
        <v>0</v>
      </c>
      <c r="DS212">
        <v>0</v>
      </c>
    </row>
    <row r="213" spans="1:123" x14ac:dyDescent="0.3">
      <c r="A213" t="str">
        <f>"10/04/2022 19:26:17.773"</f>
        <v>10/04/2022 19:26:17.773</v>
      </c>
      <c r="C213" t="str">
        <f t="shared" si="77"/>
        <v>FFDFD3C0</v>
      </c>
      <c r="D213" t="s">
        <v>134</v>
      </c>
      <c r="E213">
        <v>15</v>
      </c>
      <c r="J213" t="s">
        <v>135</v>
      </c>
      <c r="K213">
        <v>0</v>
      </c>
      <c r="L213">
        <v>3</v>
      </c>
      <c r="M213">
        <v>0</v>
      </c>
      <c r="N213">
        <v>2</v>
      </c>
      <c r="O213">
        <v>0</v>
      </c>
      <c r="P213">
        <v>1</v>
      </c>
      <c r="Q213">
        <v>0</v>
      </c>
      <c r="S213" t="str">
        <f t="shared" si="85"/>
        <v>19:26:17.000</v>
      </c>
      <c r="T213" t="str">
        <f t="shared" si="85"/>
        <v>19:26:17.000</v>
      </c>
      <c r="U213" t="str">
        <f t="shared" si="78"/>
        <v>AC3944</v>
      </c>
      <c r="V213">
        <v>0</v>
      </c>
      <c r="W213">
        <v>0</v>
      </c>
      <c r="X213">
        <v>2</v>
      </c>
      <c r="Y213">
        <v>0</v>
      </c>
      <c r="AA213">
        <v>1</v>
      </c>
      <c r="AB213">
        <v>8</v>
      </c>
      <c r="AC213">
        <v>3</v>
      </c>
      <c r="AD213">
        <v>0</v>
      </c>
      <c r="AE213">
        <v>9</v>
      </c>
      <c r="AF213" t="s">
        <v>138</v>
      </c>
      <c r="AG213">
        <v>0</v>
      </c>
      <c r="AH213">
        <v>3</v>
      </c>
      <c r="AI213">
        <v>1</v>
      </c>
      <c r="AJ213">
        <v>0</v>
      </c>
      <c r="AK213" t="s">
        <v>215</v>
      </c>
      <c r="AL213">
        <v>32.828758000000001</v>
      </c>
      <c r="AM213" t="s">
        <v>216</v>
      </c>
      <c r="AN213">
        <v>-116.992335</v>
      </c>
      <c r="AO213">
        <v>25</v>
      </c>
      <c r="AP213">
        <v>1300</v>
      </c>
      <c r="AQ213" t="s">
        <v>129</v>
      </c>
      <c r="AR213">
        <v>-108</v>
      </c>
      <c r="AS213">
        <v>-24</v>
      </c>
      <c r="AT213">
        <v>960</v>
      </c>
      <c r="BB213">
        <v>1200</v>
      </c>
      <c r="BC213">
        <v>1</v>
      </c>
      <c r="BD213" t="str">
        <f t="shared" si="79"/>
        <v xml:space="preserve">N887QR  </v>
      </c>
      <c r="BE213">
        <v>1</v>
      </c>
      <c r="BG213">
        <v>0</v>
      </c>
      <c r="BH213">
        <v>0</v>
      </c>
      <c r="BI213">
        <v>0</v>
      </c>
      <c r="BJ213">
        <v>1000</v>
      </c>
      <c r="BK213">
        <v>-300</v>
      </c>
      <c r="BL213" t="s">
        <v>163</v>
      </c>
      <c r="BM213">
        <v>1</v>
      </c>
      <c r="BN213">
        <v>1</v>
      </c>
      <c r="BO213">
        <v>1</v>
      </c>
      <c r="BP213">
        <v>0</v>
      </c>
      <c r="BS213">
        <v>0</v>
      </c>
      <c r="BT213">
        <v>0</v>
      </c>
      <c r="BU213">
        <v>0</v>
      </c>
      <c r="CE213" t="str">
        <f t="shared" si="86"/>
        <v>19:26:17.491</v>
      </c>
      <c r="CF213">
        <v>490827220</v>
      </c>
      <c r="CS213">
        <v>3</v>
      </c>
      <c r="CT213">
        <v>2</v>
      </c>
      <c r="CU213">
        <v>0</v>
      </c>
      <c r="CV213">
        <v>2</v>
      </c>
      <c r="CW213">
        <v>0</v>
      </c>
      <c r="CX213">
        <v>6</v>
      </c>
      <c r="CY213">
        <v>7</v>
      </c>
      <c r="CZ213" t="s">
        <v>131</v>
      </c>
      <c r="DA213">
        <v>300</v>
      </c>
      <c r="DB213">
        <v>0</v>
      </c>
      <c r="DC213" t="s">
        <v>176</v>
      </c>
      <c r="DD213" t="s">
        <v>177</v>
      </c>
      <c r="DG213">
        <v>5357436</v>
      </c>
      <c r="DI213">
        <v>0</v>
      </c>
      <c r="DJ213">
        <v>0</v>
      </c>
      <c r="DK213">
        <v>1</v>
      </c>
      <c r="DL213">
        <v>0</v>
      </c>
      <c r="DM213">
        <v>0</v>
      </c>
      <c r="DN213">
        <v>1</v>
      </c>
      <c r="DO213">
        <v>0</v>
      </c>
      <c r="DP213">
        <v>0</v>
      </c>
      <c r="DQ213">
        <v>0</v>
      </c>
      <c r="DR213">
        <v>0</v>
      </c>
      <c r="DS213">
        <v>0</v>
      </c>
    </row>
    <row r="214" spans="1:123" x14ac:dyDescent="0.3">
      <c r="A214" t="str">
        <f>"10/04/2022 19:26:17.805"</f>
        <v>10/04/2022 19:26:17.805</v>
      </c>
      <c r="C214" t="str">
        <f t="shared" si="77"/>
        <v>FFDFD3C0</v>
      </c>
      <c r="D214" t="s">
        <v>147</v>
      </c>
      <c r="E214">
        <v>3</v>
      </c>
      <c r="H214">
        <v>166</v>
      </c>
      <c r="I214" t="s">
        <v>144</v>
      </c>
      <c r="J214" t="s">
        <v>148</v>
      </c>
      <c r="K214">
        <v>0</v>
      </c>
      <c r="L214">
        <v>3</v>
      </c>
      <c r="M214">
        <v>0</v>
      </c>
      <c r="N214">
        <v>2</v>
      </c>
      <c r="O214">
        <v>0</v>
      </c>
      <c r="P214">
        <v>1</v>
      </c>
      <c r="Q214">
        <v>0</v>
      </c>
      <c r="S214" t="str">
        <f t="shared" si="85"/>
        <v>19:26:17.000</v>
      </c>
      <c r="T214" t="str">
        <f t="shared" si="85"/>
        <v>19:26:17.000</v>
      </c>
      <c r="U214" t="str">
        <f t="shared" si="78"/>
        <v>AC3944</v>
      </c>
      <c r="V214">
        <v>0</v>
      </c>
      <c r="W214">
        <v>0</v>
      </c>
      <c r="X214">
        <v>2</v>
      </c>
      <c r="Y214">
        <v>0</v>
      </c>
      <c r="AA214">
        <v>1</v>
      </c>
      <c r="AB214">
        <v>8</v>
      </c>
      <c r="AC214">
        <v>3</v>
      </c>
      <c r="AD214">
        <v>0</v>
      </c>
      <c r="AE214">
        <v>9</v>
      </c>
      <c r="AF214" t="s">
        <v>138</v>
      </c>
      <c r="AG214">
        <v>0</v>
      </c>
      <c r="AH214">
        <v>3</v>
      </c>
      <c r="AI214">
        <v>1</v>
      </c>
      <c r="AJ214">
        <v>0</v>
      </c>
      <c r="AK214" t="s">
        <v>215</v>
      </c>
      <c r="AL214">
        <v>32.828758000000001</v>
      </c>
      <c r="AM214" t="s">
        <v>216</v>
      </c>
      <c r="AN214">
        <v>-116.992335</v>
      </c>
      <c r="AO214">
        <v>25</v>
      </c>
      <c r="AP214">
        <v>1300</v>
      </c>
      <c r="AQ214" t="s">
        <v>129</v>
      </c>
      <c r="AR214">
        <v>-108</v>
      </c>
      <c r="AS214">
        <v>-24</v>
      </c>
      <c r="AT214">
        <v>960</v>
      </c>
      <c r="BB214">
        <v>1200</v>
      </c>
      <c r="BC214">
        <v>1</v>
      </c>
      <c r="BD214" t="str">
        <f t="shared" si="79"/>
        <v xml:space="preserve">N887QR  </v>
      </c>
      <c r="BE214">
        <v>1</v>
      </c>
      <c r="BG214">
        <v>0</v>
      </c>
      <c r="BH214">
        <v>0</v>
      </c>
      <c r="BI214">
        <v>0</v>
      </c>
      <c r="BJ214">
        <v>1000</v>
      </c>
      <c r="BK214">
        <v>-300</v>
      </c>
      <c r="BL214" t="s">
        <v>163</v>
      </c>
      <c r="BM214">
        <v>1</v>
      </c>
      <c r="BN214">
        <v>1</v>
      </c>
      <c r="BO214">
        <v>1</v>
      </c>
      <c r="BP214">
        <v>0</v>
      </c>
      <c r="BS214">
        <v>0</v>
      </c>
      <c r="BT214">
        <v>0</v>
      </c>
      <c r="BU214">
        <v>0</v>
      </c>
      <c r="CE214" t="str">
        <f t="shared" si="86"/>
        <v>19:26:17.491</v>
      </c>
      <c r="CF214">
        <v>490827220</v>
      </c>
      <c r="CS214">
        <v>3</v>
      </c>
      <c r="CT214">
        <v>2</v>
      </c>
      <c r="CU214">
        <v>0</v>
      </c>
      <c r="CV214">
        <v>2</v>
      </c>
      <c r="CW214">
        <v>0</v>
      </c>
      <c r="CX214">
        <v>6</v>
      </c>
      <c r="CY214">
        <v>7</v>
      </c>
      <c r="CZ214" t="s">
        <v>131</v>
      </c>
      <c r="DA214">
        <v>300</v>
      </c>
      <c r="DB214">
        <v>0</v>
      </c>
      <c r="DC214" t="s">
        <v>176</v>
      </c>
      <c r="DD214" t="s">
        <v>177</v>
      </c>
      <c r="DG214">
        <v>5357436</v>
      </c>
      <c r="DI214">
        <v>0</v>
      </c>
      <c r="DJ214">
        <v>0</v>
      </c>
      <c r="DK214">
        <v>1</v>
      </c>
      <c r="DL214">
        <v>0</v>
      </c>
      <c r="DM214">
        <v>0</v>
      </c>
      <c r="DN214">
        <v>1</v>
      </c>
      <c r="DO214">
        <v>0</v>
      </c>
      <c r="DP214">
        <v>0</v>
      </c>
      <c r="DQ214">
        <v>0</v>
      </c>
      <c r="DR214">
        <v>0</v>
      </c>
      <c r="DS214">
        <v>0</v>
      </c>
    </row>
    <row r="215" spans="1:123" x14ac:dyDescent="0.3">
      <c r="A215" t="str">
        <f>"10/04/2022 19:26:17.805"</f>
        <v>10/04/2022 19:26:17.805</v>
      </c>
      <c r="C215" t="str">
        <f t="shared" si="77"/>
        <v>FFDFD3C0</v>
      </c>
      <c r="D215" t="s">
        <v>141</v>
      </c>
      <c r="E215">
        <v>3</v>
      </c>
      <c r="H215">
        <v>3</v>
      </c>
      <c r="I215" t="s">
        <v>146</v>
      </c>
      <c r="J215" t="s">
        <v>138</v>
      </c>
      <c r="K215">
        <v>0</v>
      </c>
      <c r="L215">
        <v>3</v>
      </c>
      <c r="M215">
        <v>0</v>
      </c>
      <c r="N215">
        <v>2</v>
      </c>
      <c r="O215">
        <v>0</v>
      </c>
      <c r="P215">
        <v>1</v>
      </c>
      <c r="Q215">
        <v>0</v>
      </c>
      <c r="S215" t="str">
        <f t="shared" si="85"/>
        <v>19:26:17.000</v>
      </c>
      <c r="T215" t="str">
        <f t="shared" si="85"/>
        <v>19:26:17.000</v>
      </c>
      <c r="U215" t="str">
        <f t="shared" si="78"/>
        <v>AC3944</v>
      </c>
      <c r="V215">
        <v>0</v>
      </c>
      <c r="W215">
        <v>0</v>
      </c>
      <c r="X215">
        <v>2</v>
      </c>
      <c r="Y215">
        <v>0</v>
      </c>
      <c r="AA215">
        <v>1</v>
      </c>
      <c r="AB215">
        <v>8</v>
      </c>
      <c r="AC215">
        <v>3</v>
      </c>
      <c r="AD215">
        <v>0</v>
      </c>
      <c r="AE215">
        <v>9</v>
      </c>
      <c r="AF215" t="s">
        <v>138</v>
      </c>
      <c r="AG215">
        <v>0</v>
      </c>
      <c r="AH215">
        <v>3</v>
      </c>
      <c r="AI215">
        <v>1</v>
      </c>
      <c r="AJ215">
        <v>0</v>
      </c>
      <c r="AK215" t="s">
        <v>215</v>
      </c>
      <c r="AL215">
        <v>32.828758000000001</v>
      </c>
      <c r="AM215" t="s">
        <v>216</v>
      </c>
      <c r="AN215">
        <v>-116.992335</v>
      </c>
      <c r="AO215">
        <v>25</v>
      </c>
      <c r="AP215">
        <v>1300</v>
      </c>
      <c r="AQ215" t="s">
        <v>129</v>
      </c>
      <c r="AR215">
        <v>-108</v>
      </c>
      <c r="AS215">
        <v>-24</v>
      </c>
      <c r="AT215">
        <v>960</v>
      </c>
      <c r="BB215">
        <v>1200</v>
      </c>
      <c r="BC215">
        <v>1</v>
      </c>
      <c r="BD215" t="str">
        <f t="shared" si="79"/>
        <v xml:space="preserve">N887QR  </v>
      </c>
      <c r="BE215">
        <v>1</v>
      </c>
      <c r="BG215">
        <v>0</v>
      </c>
      <c r="BH215">
        <v>0</v>
      </c>
      <c r="BI215">
        <v>0</v>
      </c>
      <c r="BJ215">
        <v>1000</v>
      </c>
      <c r="BK215">
        <v>-300</v>
      </c>
      <c r="BL215" t="s">
        <v>163</v>
      </c>
      <c r="BM215">
        <v>1</v>
      </c>
      <c r="BN215">
        <v>1</v>
      </c>
      <c r="BO215">
        <v>1</v>
      </c>
      <c r="BP215">
        <v>0</v>
      </c>
      <c r="BS215">
        <v>0</v>
      </c>
      <c r="BT215">
        <v>0</v>
      </c>
      <c r="BU215">
        <v>0</v>
      </c>
      <c r="CE215" t="str">
        <f t="shared" si="86"/>
        <v>19:26:17.491</v>
      </c>
      <c r="CF215">
        <v>490827220</v>
      </c>
      <c r="CS215">
        <v>3</v>
      </c>
      <c r="CT215">
        <v>2</v>
      </c>
      <c r="CU215">
        <v>0</v>
      </c>
      <c r="CV215">
        <v>2</v>
      </c>
      <c r="CW215">
        <v>0</v>
      </c>
      <c r="CX215">
        <v>6</v>
      </c>
      <c r="CY215">
        <v>7</v>
      </c>
      <c r="CZ215" t="s">
        <v>131</v>
      </c>
      <c r="DA215">
        <v>300</v>
      </c>
      <c r="DB215">
        <v>0</v>
      </c>
      <c r="DC215" t="s">
        <v>176</v>
      </c>
      <c r="DD215" t="s">
        <v>177</v>
      </c>
      <c r="DG215">
        <v>5357436</v>
      </c>
      <c r="DI215">
        <v>0</v>
      </c>
      <c r="DJ215">
        <v>0</v>
      </c>
      <c r="DK215">
        <v>1</v>
      </c>
      <c r="DL215">
        <v>0</v>
      </c>
      <c r="DM215">
        <v>0</v>
      </c>
      <c r="DN215">
        <v>1</v>
      </c>
      <c r="DO215">
        <v>0</v>
      </c>
      <c r="DP215">
        <v>0</v>
      </c>
      <c r="DQ215">
        <v>0</v>
      </c>
      <c r="DR215">
        <v>0</v>
      </c>
      <c r="DS215">
        <v>0</v>
      </c>
    </row>
    <row r="216" spans="1:123" x14ac:dyDescent="0.3">
      <c r="A216" t="str">
        <f>"10/04/2022 19:26:17.805"</f>
        <v>10/04/2022 19:26:17.805</v>
      </c>
      <c r="C216" t="str">
        <f t="shared" si="77"/>
        <v>FFDFD3C0</v>
      </c>
      <c r="D216" t="s">
        <v>143</v>
      </c>
      <c r="E216">
        <v>20</v>
      </c>
      <c r="F216">
        <v>1020</v>
      </c>
      <c r="G216" t="s">
        <v>144</v>
      </c>
      <c r="J216" t="s">
        <v>145</v>
      </c>
      <c r="K216">
        <v>0</v>
      </c>
      <c r="L216">
        <v>3</v>
      </c>
      <c r="M216">
        <v>0</v>
      </c>
      <c r="N216">
        <v>2</v>
      </c>
      <c r="O216">
        <v>0</v>
      </c>
      <c r="P216">
        <v>1</v>
      </c>
      <c r="Q216">
        <v>0</v>
      </c>
      <c r="S216" t="str">
        <f t="shared" si="85"/>
        <v>19:26:17.000</v>
      </c>
      <c r="T216" t="str">
        <f t="shared" si="85"/>
        <v>19:26:17.000</v>
      </c>
      <c r="U216" t="str">
        <f t="shared" si="78"/>
        <v>AC3944</v>
      </c>
      <c r="V216">
        <v>0</v>
      </c>
      <c r="W216">
        <v>0</v>
      </c>
      <c r="X216">
        <v>2</v>
      </c>
      <c r="Y216">
        <v>0</v>
      </c>
      <c r="AA216">
        <v>1</v>
      </c>
      <c r="AB216">
        <v>8</v>
      </c>
      <c r="AC216">
        <v>3</v>
      </c>
      <c r="AD216">
        <v>0</v>
      </c>
      <c r="AE216">
        <v>9</v>
      </c>
      <c r="AF216" t="s">
        <v>138</v>
      </c>
      <c r="AG216">
        <v>0</v>
      </c>
      <c r="AH216">
        <v>3</v>
      </c>
      <c r="AI216">
        <v>1</v>
      </c>
      <c r="AJ216">
        <v>0</v>
      </c>
      <c r="AK216" t="s">
        <v>215</v>
      </c>
      <c r="AL216">
        <v>32.828758000000001</v>
      </c>
      <c r="AM216" t="s">
        <v>216</v>
      </c>
      <c r="AN216">
        <v>-116.992335</v>
      </c>
      <c r="AO216">
        <v>25</v>
      </c>
      <c r="AP216">
        <v>1300</v>
      </c>
      <c r="AQ216" t="s">
        <v>129</v>
      </c>
      <c r="AR216">
        <v>-108</v>
      </c>
      <c r="AS216">
        <v>-24</v>
      </c>
      <c r="AT216">
        <v>960</v>
      </c>
      <c r="BB216">
        <v>1200</v>
      </c>
      <c r="BC216">
        <v>1</v>
      </c>
      <c r="BD216" t="str">
        <f t="shared" si="79"/>
        <v xml:space="preserve">N887QR  </v>
      </c>
      <c r="BE216">
        <v>1</v>
      </c>
      <c r="BG216">
        <v>0</v>
      </c>
      <c r="BH216">
        <v>0</v>
      </c>
      <c r="BI216">
        <v>0</v>
      </c>
      <c r="BJ216">
        <v>1000</v>
      </c>
      <c r="BK216">
        <v>-300</v>
      </c>
      <c r="BL216" t="s">
        <v>163</v>
      </c>
      <c r="BM216">
        <v>1</v>
      </c>
      <c r="BN216">
        <v>1</v>
      </c>
      <c r="BO216">
        <v>1</v>
      </c>
      <c r="BP216">
        <v>0</v>
      </c>
      <c r="BS216">
        <v>0</v>
      </c>
      <c r="BT216">
        <v>0</v>
      </c>
      <c r="BU216">
        <v>0</v>
      </c>
      <c r="CE216" t="str">
        <f t="shared" si="86"/>
        <v>19:26:17.491</v>
      </c>
      <c r="CF216">
        <v>490827220</v>
      </c>
      <c r="CS216">
        <v>3</v>
      </c>
      <c r="CT216">
        <v>2</v>
      </c>
      <c r="CU216">
        <v>0</v>
      </c>
      <c r="CV216">
        <v>2</v>
      </c>
      <c r="CW216">
        <v>0</v>
      </c>
      <c r="CX216">
        <v>6</v>
      </c>
      <c r="CY216">
        <v>7</v>
      </c>
      <c r="CZ216" t="s">
        <v>131</v>
      </c>
      <c r="DA216">
        <v>300</v>
      </c>
      <c r="DB216">
        <v>0</v>
      </c>
      <c r="DC216" t="s">
        <v>176</v>
      </c>
      <c r="DD216" t="s">
        <v>177</v>
      </c>
      <c r="DG216">
        <v>5357436</v>
      </c>
      <c r="DI216">
        <v>0</v>
      </c>
      <c r="DJ216">
        <v>0</v>
      </c>
      <c r="DK216">
        <v>1</v>
      </c>
      <c r="DL216">
        <v>0</v>
      </c>
      <c r="DM216">
        <v>0</v>
      </c>
      <c r="DN216">
        <v>1</v>
      </c>
      <c r="DO216">
        <v>0</v>
      </c>
      <c r="DP216">
        <v>0</v>
      </c>
      <c r="DQ216">
        <v>0</v>
      </c>
      <c r="DR216">
        <v>0</v>
      </c>
      <c r="DS216">
        <v>0</v>
      </c>
    </row>
    <row r="217" spans="1:123" x14ac:dyDescent="0.3">
      <c r="A217" t="str">
        <f>"10/04/2022 19:26:17.805"</f>
        <v>10/04/2022 19:26:17.805</v>
      </c>
      <c r="C217" t="str">
        <f t="shared" si="77"/>
        <v>FFDFD3C0</v>
      </c>
      <c r="D217" t="s">
        <v>141</v>
      </c>
      <c r="E217">
        <v>4</v>
      </c>
      <c r="H217">
        <v>4</v>
      </c>
      <c r="I217" t="s">
        <v>142</v>
      </c>
      <c r="J217" t="s">
        <v>138</v>
      </c>
      <c r="K217">
        <v>0</v>
      </c>
      <c r="L217">
        <v>3</v>
      </c>
      <c r="M217">
        <v>0</v>
      </c>
      <c r="N217">
        <v>2</v>
      </c>
      <c r="O217">
        <v>0</v>
      </c>
      <c r="P217">
        <v>1</v>
      </c>
      <c r="Q217">
        <v>0</v>
      </c>
      <c r="S217" t="str">
        <f t="shared" si="85"/>
        <v>19:26:17.000</v>
      </c>
      <c r="T217" t="str">
        <f t="shared" si="85"/>
        <v>19:26:17.000</v>
      </c>
      <c r="U217" t="str">
        <f t="shared" si="78"/>
        <v>AC3944</v>
      </c>
      <c r="V217">
        <v>0</v>
      </c>
      <c r="W217">
        <v>0</v>
      </c>
      <c r="X217">
        <v>2</v>
      </c>
      <c r="Y217">
        <v>0</v>
      </c>
      <c r="AA217">
        <v>1</v>
      </c>
      <c r="AB217">
        <v>8</v>
      </c>
      <c r="AC217">
        <v>3</v>
      </c>
      <c r="AD217">
        <v>0</v>
      </c>
      <c r="AE217">
        <v>9</v>
      </c>
      <c r="AF217" t="s">
        <v>138</v>
      </c>
      <c r="AG217">
        <v>0</v>
      </c>
      <c r="AH217">
        <v>3</v>
      </c>
      <c r="AI217">
        <v>1</v>
      </c>
      <c r="AJ217">
        <v>0</v>
      </c>
      <c r="AK217" t="s">
        <v>215</v>
      </c>
      <c r="AL217">
        <v>32.828758000000001</v>
      </c>
      <c r="AM217" t="s">
        <v>216</v>
      </c>
      <c r="AN217">
        <v>-116.992335</v>
      </c>
      <c r="AO217">
        <v>25</v>
      </c>
      <c r="AP217">
        <v>1300</v>
      </c>
      <c r="AQ217" t="s">
        <v>129</v>
      </c>
      <c r="AR217">
        <v>-108</v>
      </c>
      <c r="AS217">
        <v>-24</v>
      </c>
      <c r="AT217">
        <v>960</v>
      </c>
      <c r="BB217">
        <v>1200</v>
      </c>
      <c r="BC217">
        <v>1</v>
      </c>
      <c r="BD217" t="str">
        <f t="shared" si="79"/>
        <v xml:space="preserve">N887QR  </v>
      </c>
      <c r="BE217">
        <v>1</v>
      </c>
      <c r="BG217">
        <v>0</v>
      </c>
      <c r="BH217">
        <v>0</v>
      </c>
      <c r="BI217">
        <v>0</v>
      </c>
      <c r="BJ217">
        <v>1000</v>
      </c>
      <c r="BK217">
        <v>-300</v>
      </c>
      <c r="BL217" t="s">
        <v>163</v>
      </c>
      <c r="BM217">
        <v>1</v>
      </c>
      <c r="BN217">
        <v>1</v>
      </c>
      <c r="BO217">
        <v>1</v>
      </c>
      <c r="BP217">
        <v>0</v>
      </c>
      <c r="BS217">
        <v>0</v>
      </c>
      <c r="BT217">
        <v>0</v>
      </c>
      <c r="BU217">
        <v>0</v>
      </c>
      <c r="CE217" t="str">
        <f t="shared" si="86"/>
        <v>19:26:17.491</v>
      </c>
      <c r="CF217">
        <v>490827220</v>
      </c>
      <c r="CS217">
        <v>3</v>
      </c>
      <c r="CT217">
        <v>2</v>
      </c>
      <c r="CU217">
        <v>0</v>
      </c>
      <c r="CV217">
        <v>2</v>
      </c>
      <c r="CW217">
        <v>0</v>
      </c>
      <c r="CX217">
        <v>6</v>
      </c>
      <c r="CY217">
        <v>7</v>
      </c>
      <c r="CZ217" t="s">
        <v>131</v>
      </c>
      <c r="DA217">
        <v>300</v>
      </c>
      <c r="DB217">
        <v>0</v>
      </c>
      <c r="DC217" t="s">
        <v>176</v>
      </c>
      <c r="DD217" t="s">
        <v>177</v>
      </c>
      <c r="DG217">
        <v>5357436</v>
      </c>
      <c r="DI217">
        <v>0</v>
      </c>
      <c r="DJ217">
        <v>0</v>
      </c>
      <c r="DK217">
        <v>1</v>
      </c>
      <c r="DL217">
        <v>0</v>
      </c>
      <c r="DM217">
        <v>0</v>
      </c>
      <c r="DN217">
        <v>1</v>
      </c>
      <c r="DO217">
        <v>0</v>
      </c>
      <c r="DP217">
        <v>0</v>
      </c>
      <c r="DQ217">
        <v>0</v>
      </c>
      <c r="DR217">
        <v>0</v>
      </c>
      <c r="DS217">
        <v>0</v>
      </c>
    </row>
    <row r="218" spans="1:123" x14ac:dyDescent="0.3">
      <c r="A218" t="str">
        <f>"10/04/2022 19:26:17.805"</f>
        <v>10/04/2022 19:26:17.805</v>
      </c>
      <c r="C218" t="str">
        <f t="shared" si="77"/>
        <v>FFDFD3C0</v>
      </c>
      <c r="D218" t="s">
        <v>136</v>
      </c>
      <c r="E218">
        <v>8</v>
      </c>
      <c r="H218">
        <v>225</v>
      </c>
      <c r="I218" t="s">
        <v>137</v>
      </c>
      <c r="J218" t="s">
        <v>138</v>
      </c>
      <c r="K218">
        <v>0</v>
      </c>
      <c r="L218">
        <v>3</v>
      </c>
      <c r="M218">
        <v>0</v>
      </c>
      <c r="N218">
        <v>2</v>
      </c>
      <c r="O218">
        <v>0</v>
      </c>
      <c r="P218">
        <v>1</v>
      </c>
      <c r="Q218">
        <v>0</v>
      </c>
      <c r="S218" t="str">
        <f t="shared" si="85"/>
        <v>19:26:17.000</v>
      </c>
      <c r="T218" t="str">
        <f t="shared" si="85"/>
        <v>19:26:17.000</v>
      </c>
      <c r="U218" t="str">
        <f t="shared" si="78"/>
        <v>AC3944</v>
      </c>
      <c r="V218">
        <v>0</v>
      </c>
      <c r="W218">
        <v>0</v>
      </c>
      <c r="X218">
        <v>2</v>
      </c>
      <c r="Y218">
        <v>0</v>
      </c>
      <c r="AA218">
        <v>1</v>
      </c>
      <c r="AB218">
        <v>8</v>
      </c>
      <c r="AC218">
        <v>3</v>
      </c>
      <c r="AD218">
        <v>0</v>
      </c>
      <c r="AE218">
        <v>9</v>
      </c>
      <c r="AF218" t="s">
        <v>138</v>
      </c>
      <c r="AG218">
        <v>0</v>
      </c>
      <c r="AH218">
        <v>3</v>
      </c>
      <c r="AI218">
        <v>1</v>
      </c>
      <c r="AJ218">
        <v>0</v>
      </c>
      <c r="AK218" t="s">
        <v>215</v>
      </c>
      <c r="AL218">
        <v>32.828758000000001</v>
      </c>
      <c r="AM218" t="s">
        <v>216</v>
      </c>
      <c r="AN218">
        <v>-116.992335</v>
      </c>
      <c r="AO218">
        <v>25</v>
      </c>
      <c r="AP218">
        <v>1300</v>
      </c>
      <c r="AQ218" t="s">
        <v>129</v>
      </c>
      <c r="AR218">
        <v>-108</v>
      </c>
      <c r="AS218">
        <v>-24</v>
      </c>
      <c r="AT218">
        <v>960</v>
      </c>
      <c r="BB218">
        <v>1200</v>
      </c>
      <c r="BC218">
        <v>1</v>
      </c>
      <c r="BD218" t="str">
        <f t="shared" si="79"/>
        <v xml:space="preserve">N887QR  </v>
      </c>
      <c r="BE218">
        <v>1</v>
      </c>
      <c r="BG218">
        <v>0</v>
      </c>
      <c r="BH218">
        <v>0</v>
      </c>
      <c r="BI218">
        <v>0</v>
      </c>
      <c r="BJ218">
        <v>1000</v>
      </c>
      <c r="BK218">
        <v>-300</v>
      </c>
      <c r="BL218" t="s">
        <v>163</v>
      </c>
      <c r="BM218">
        <v>1</v>
      </c>
      <c r="BN218">
        <v>1</v>
      </c>
      <c r="BO218">
        <v>1</v>
      </c>
      <c r="BP218">
        <v>0</v>
      </c>
      <c r="BS218">
        <v>0</v>
      </c>
      <c r="BT218">
        <v>0</v>
      </c>
      <c r="BU218">
        <v>0</v>
      </c>
      <c r="CE218" t="str">
        <f t="shared" si="86"/>
        <v>19:26:17.491</v>
      </c>
      <c r="CF218">
        <v>490827220</v>
      </c>
      <c r="CS218">
        <v>3</v>
      </c>
      <c r="CT218">
        <v>2</v>
      </c>
      <c r="CU218">
        <v>0</v>
      </c>
      <c r="CV218">
        <v>2</v>
      </c>
      <c r="CW218">
        <v>0</v>
      </c>
      <c r="CX218">
        <v>6</v>
      </c>
      <c r="CY218">
        <v>7</v>
      </c>
      <c r="CZ218" t="s">
        <v>131</v>
      </c>
      <c r="DA218">
        <v>300</v>
      </c>
      <c r="DB218">
        <v>0</v>
      </c>
      <c r="DC218" t="s">
        <v>176</v>
      </c>
      <c r="DD218" t="s">
        <v>177</v>
      </c>
      <c r="DG218">
        <v>5357436</v>
      </c>
      <c r="DI218">
        <v>0</v>
      </c>
      <c r="DJ218">
        <v>0</v>
      </c>
      <c r="DK218">
        <v>1</v>
      </c>
      <c r="DL218">
        <v>0</v>
      </c>
      <c r="DM218">
        <v>0</v>
      </c>
      <c r="DN218">
        <v>1</v>
      </c>
      <c r="DO218">
        <v>0</v>
      </c>
      <c r="DP218">
        <v>0</v>
      </c>
      <c r="DQ218">
        <v>0</v>
      </c>
      <c r="DR218">
        <v>0</v>
      </c>
      <c r="DS218">
        <v>0</v>
      </c>
    </row>
    <row r="219" spans="1:123" x14ac:dyDescent="0.3">
      <c r="A219" t="str">
        <f t="shared" ref="A219:A225" si="87">"10/04/2022 19:26:18.039"</f>
        <v>10/04/2022 19:26:18.039</v>
      </c>
      <c r="C219" t="str">
        <f t="shared" si="77"/>
        <v>FFDFD3C0</v>
      </c>
      <c r="D219" t="s">
        <v>143</v>
      </c>
      <c r="E219">
        <v>20</v>
      </c>
      <c r="F219">
        <v>1020</v>
      </c>
      <c r="G219" t="s">
        <v>144</v>
      </c>
      <c r="J219" t="s">
        <v>145</v>
      </c>
      <c r="K219">
        <v>0</v>
      </c>
      <c r="L219">
        <v>3</v>
      </c>
      <c r="M219">
        <v>0</v>
      </c>
      <c r="N219">
        <v>2</v>
      </c>
      <c r="O219">
        <v>0</v>
      </c>
      <c r="P219">
        <v>1</v>
      </c>
      <c r="Q219">
        <v>0</v>
      </c>
      <c r="S219" t="str">
        <f t="shared" si="85"/>
        <v>19:26:17.000</v>
      </c>
      <c r="T219" t="str">
        <f t="shared" si="85"/>
        <v>19:26:17.000</v>
      </c>
      <c r="U219" t="str">
        <f t="shared" si="78"/>
        <v>AC3944</v>
      </c>
      <c r="V219">
        <v>0</v>
      </c>
      <c r="W219">
        <v>0</v>
      </c>
      <c r="X219">
        <v>2</v>
      </c>
      <c r="Y219">
        <v>0</v>
      </c>
      <c r="AA219">
        <v>1</v>
      </c>
      <c r="AB219">
        <v>8</v>
      </c>
      <c r="AC219">
        <v>3</v>
      </c>
      <c r="AD219">
        <v>0</v>
      </c>
      <c r="AE219">
        <v>9</v>
      </c>
      <c r="AF219" t="s">
        <v>138</v>
      </c>
      <c r="AG219">
        <v>0</v>
      </c>
      <c r="AH219">
        <v>3</v>
      </c>
      <c r="AI219">
        <v>1</v>
      </c>
      <c r="AJ219">
        <v>0</v>
      </c>
      <c r="AK219" t="s">
        <v>217</v>
      </c>
      <c r="AL219">
        <v>32.828628999999999</v>
      </c>
      <c r="AM219" t="s">
        <v>218</v>
      </c>
      <c r="AN219">
        <v>-116.993043</v>
      </c>
      <c r="AO219">
        <v>25</v>
      </c>
      <c r="AP219">
        <v>1300</v>
      </c>
      <c r="AQ219" t="s">
        <v>129</v>
      </c>
      <c r="AR219">
        <v>-108</v>
      </c>
      <c r="AS219">
        <v>-25</v>
      </c>
      <c r="AT219">
        <v>960</v>
      </c>
      <c r="BB219">
        <v>1200</v>
      </c>
      <c r="BC219">
        <v>1</v>
      </c>
      <c r="BD219" t="str">
        <f t="shared" si="79"/>
        <v xml:space="preserve">N887QR  </v>
      </c>
      <c r="BE219">
        <v>1</v>
      </c>
      <c r="BG219">
        <v>0</v>
      </c>
      <c r="BH219">
        <v>0</v>
      </c>
      <c r="BI219">
        <v>0</v>
      </c>
      <c r="BJ219">
        <v>1000</v>
      </c>
      <c r="BK219">
        <v>-300</v>
      </c>
      <c r="BL219" t="s">
        <v>163</v>
      </c>
      <c r="BM219">
        <v>1</v>
      </c>
      <c r="BN219">
        <v>1</v>
      </c>
      <c r="BO219">
        <v>1</v>
      </c>
      <c r="BP219">
        <v>0</v>
      </c>
      <c r="BS219">
        <v>0</v>
      </c>
      <c r="BT219">
        <v>0</v>
      </c>
      <c r="BU219">
        <v>0</v>
      </c>
      <c r="CE219" t="str">
        <f t="shared" ref="CE219:CE225" si="88">"19:26:17.791"</f>
        <v>19:26:17.791</v>
      </c>
      <c r="CF219">
        <v>791078165</v>
      </c>
      <c r="CS219">
        <v>3</v>
      </c>
      <c r="CT219">
        <v>2</v>
      </c>
      <c r="CU219">
        <v>0</v>
      </c>
      <c r="CV219">
        <v>2</v>
      </c>
      <c r="CW219">
        <v>0</v>
      </c>
      <c r="CX219">
        <v>6</v>
      </c>
      <c r="CY219">
        <v>7</v>
      </c>
      <c r="CZ219" t="s">
        <v>131</v>
      </c>
      <c r="DA219">
        <v>300</v>
      </c>
      <c r="DB219">
        <v>0</v>
      </c>
      <c r="DC219" t="s">
        <v>176</v>
      </c>
      <c r="DD219" t="s">
        <v>177</v>
      </c>
      <c r="DG219">
        <v>5357501</v>
      </c>
      <c r="DI219">
        <v>0</v>
      </c>
      <c r="DJ219">
        <v>0</v>
      </c>
      <c r="DK219">
        <v>1</v>
      </c>
      <c r="DL219">
        <v>0</v>
      </c>
      <c r="DM219">
        <v>0</v>
      </c>
      <c r="DN219">
        <v>1</v>
      </c>
      <c r="DO219">
        <v>0</v>
      </c>
      <c r="DP219">
        <v>0</v>
      </c>
      <c r="DQ219">
        <v>0</v>
      </c>
      <c r="DR219">
        <v>0</v>
      </c>
      <c r="DS219">
        <v>0</v>
      </c>
    </row>
    <row r="220" spans="1:123" x14ac:dyDescent="0.3">
      <c r="A220" t="str">
        <f t="shared" si="87"/>
        <v>10/04/2022 19:26:18.039</v>
      </c>
      <c r="C220" t="str">
        <f t="shared" si="77"/>
        <v>FFDFD3C0</v>
      </c>
      <c r="D220" t="s">
        <v>141</v>
      </c>
      <c r="E220">
        <v>4</v>
      </c>
      <c r="H220">
        <v>4</v>
      </c>
      <c r="I220" t="s">
        <v>142</v>
      </c>
      <c r="J220" t="s">
        <v>138</v>
      </c>
      <c r="K220">
        <v>0</v>
      </c>
      <c r="L220">
        <v>3</v>
      </c>
      <c r="M220">
        <v>0</v>
      </c>
      <c r="N220">
        <v>2</v>
      </c>
      <c r="O220">
        <v>0</v>
      </c>
      <c r="P220">
        <v>1</v>
      </c>
      <c r="Q220">
        <v>0</v>
      </c>
      <c r="S220" t="str">
        <f t="shared" si="85"/>
        <v>19:26:17.000</v>
      </c>
      <c r="T220" t="str">
        <f t="shared" si="85"/>
        <v>19:26:17.000</v>
      </c>
      <c r="U220" t="str">
        <f t="shared" si="78"/>
        <v>AC3944</v>
      </c>
      <c r="V220">
        <v>0</v>
      </c>
      <c r="W220">
        <v>0</v>
      </c>
      <c r="X220">
        <v>2</v>
      </c>
      <c r="Y220">
        <v>0</v>
      </c>
      <c r="AA220">
        <v>1</v>
      </c>
      <c r="AB220">
        <v>8</v>
      </c>
      <c r="AC220">
        <v>3</v>
      </c>
      <c r="AD220">
        <v>0</v>
      </c>
      <c r="AE220">
        <v>9</v>
      </c>
      <c r="AF220" t="s">
        <v>138</v>
      </c>
      <c r="AG220">
        <v>0</v>
      </c>
      <c r="AH220">
        <v>3</v>
      </c>
      <c r="AI220">
        <v>1</v>
      </c>
      <c r="AJ220">
        <v>0</v>
      </c>
      <c r="AK220" t="s">
        <v>217</v>
      </c>
      <c r="AL220">
        <v>32.828628999999999</v>
      </c>
      <c r="AM220" t="s">
        <v>218</v>
      </c>
      <c r="AN220">
        <v>-116.993043</v>
      </c>
      <c r="AO220">
        <v>25</v>
      </c>
      <c r="AP220">
        <v>1300</v>
      </c>
      <c r="AQ220" t="s">
        <v>129</v>
      </c>
      <c r="AR220">
        <v>-108</v>
      </c>
      <c r="AS220">
        <v>-25</v>
      </c>
      <c r="AT220">
        <v>960</v>
      </c>
      <c r="BB220">
        <v>1200</v>
      </c>
      <c r="BC220">
        <v>1</v>
      </c>
      <c r="BD220" t="str">
        <f t="shared" si="79"/>
        <v xml:space="preserve">N887QR  </v>
      </c>
      <c r="BE220">
        <v>1</v>
      </c>
      <c r="BG220">
        <v>0</v>
      </c>
      <c r="BH220">
        <v>0</v>
      </c>
      <c r="BI220">
        <v>0</v>
      </c>
      <c r="BJ220">
        <v>1000</v>
      </c>
      <c r="BK220">
        <v>-300</v>
      </c>
      <c r="BL220" t="s">
        <v>163</v>
      </c>
      <c r="BM220">
        <v>1</v>
      </c>
      <c r="BN220">
        <v>1</v>
      </c>
      <c r="BO220">
        <v>1</v>
      </c>
      <c r="BP220">
        <v>0</v>
      </c>
      <c r="BS220">
        <v>0</v>
      </c>
      <c r="BT220">
        <v>0</v>
      </c>
      <c r="BU220">
        <v>0</v>
      </c>
      <c r="CE220" t="str">
        <f t="shared" si="88"/>
        <v>19:26:17.791</v>
      </c>
      <c r="CF220">
        <v>791078165</v>
      </c>
      <c r="CS220">
        <v>3</v>
      </c>
      <c r="CT220">
        <v>2</v>
      </c>
      <c r="CU220">
        <v>0</v>
      </c>
      <c r="CV220">
        <v>2</v>
      </c>
      <c r="CW220">
        <v>0</v>
      </c>
      <c r="CX220">
        <v>6</v>
      </c>
      <c r="CY220">
        <v>7</v>
      </c>
      <c r="CZ220" t="s">
        <v>131</v>
      </c>
      <c r="DA220">
        <v>300</v>
      </c>
      <c r="DB220">
        <v>0</v>
      </c>
      <c r="DC220" t="s">
        <v>176</v>
      </c>
      <c r="DD220" t="s">
        <v>177</v>
      </c>
      <c r="DG220">
        <v>5357501</v>
      </c>
      <c r="DI220">
        <v>0</v>
      </c>
      <c r="DJ220">
        <v>0</v>
      </c>
      <c r="DK220">
        <v>1</v>
      </c>
      <c r="DL220">
        <v>0</v>
      </c>
      <c r="DM220">
        <v>0</v>
      </c>
      <c r="DN220">
        <v>1</v>
      </c>
      <c r="DO220">
        <v>0</v>
      </c>
      <c r="DP220">
        <v>0</v>
      </c>
      <c r="DQ220">
        <v>0</v>
      </c>
      <c r="DR220">
        <v>0</v>
      </c>
      <c r="DS220">
        <v>0</v>
      </c>
    </row>
    <row r="221" spans="1:123" x14ac:dyDescent="0.3">
      <c r="A221" t="str">
        <f t="shared" si="87"/>
        <v>10/04/2022 19:26:18.039</v>
      </c>
      <c r="C221" t="str">
        <f t="shared" si="77"/>
        <v>FFDFD3C0</v>
      </c>
      <c r="D221" t="s">
        <v>136</v>
      </c>
      <c r="E221">
        <v>8</v>
      </c>
      <c r="H221">
        <v>225</v>
      </c>
      <c r="I221" t="s">
        <v>137</v>
      </c>
      <c r="J221" t="s">
        <v>138</v>
      </c>
      <c r="K221">
        <v>0</v>
      </c>
      <c r="L221">
        <v>3</v>
      </c>
      <c r="M221">
        <v>0</v>
      </c>
      <c r="N221">
        <v>2</v>
      </c>
      <c r="O221">
        <v>0</v>
      </c>
      <c r="P221">
        <v>1</v>
      </c>
      <c r="Q221">
        <v>0</v>
      </c>
      <c r="S221" t="str">
        <f t="shared" si="85"/>
        <v>19:26:17.000</v>
      </c>
      <c r="T221" t="str">
        <f t="shared" si="85"/>
        <v>19:26:17.000</v>
      </c>
      <c r="U221" t="str">
        <f t="shared" si="78"/>
        <v>AC3944</v>
      </c>
      <c r="V221">
        <v>0</v>
      </c>
      <c r="W221">
        <v>0</v>
      </c>
      <c r="X221">
        <v>2</v>
      </c>
      <c r="Y221">
        <v>0</v>
      </c>
      <c r="AA221">
        <v>1</v>
      </c>
      <c r="AB221">
        <v>8</v>
      </c>
      <c r="AC221">
        <v>3</v>
      </c>
      <c r="AD221">
        <v>0</v>
      </c>
      <c r="AE221">
        <v>9</v>
      </c>
      <c r="AF221" t="s">
        <v>138</v>
      </c>
      <c r="AG221">
        <v>0</v>
      </c>
      <c r="AH221">
        <v>3</v>
      </c>
      <c r="AI221">
        <v>1</v>
      </c>
      <c r="AJ221">
        <v>0</v>
      </c>
      <c r="AK221" t="s">
        <v>217</v>
      </c>
      <c r="AL221">
        <v>32.828628999999999</v>
      </c>
      <c r="AM221" t="s">
        <v>218</v>
      </c>
      <c r="AN221">
        <v>-116.993043</v>
      </c>
      <c r="AO221">
        <v>25</v>
      </c>
      <c r="AP221">
        <v>1300</v>
      </c>
      <c r="AQ221" t="s">
        <v>129</v>
      </c>
      <c r="AR221">
        <v>-108</v>
      </c>
      <c r="AS221">
        <v>-25</v>
      </c>
      <c r="AT221">
        <v>960</v>
      </c>
      <c r="BB221">
        <v>1200</v>
      </c>
      <c r="BC221">
        <v>1</v>
      </c>
      <c r="BD221" t="str">
        <f t="shared" si="79"/>
        <v xml:space="preserve">N887QR  </v>
      </c>
      <c r="BE221">
        <v>1</v>
      </c>
      <c r="BG221">
        <v>0</v>
      </c>
      <c r="BH221">
        <v>0</v>
      </c>
      <c r="BI221">
        <v>0</v>
      </c>
      <c r="BJ221">
        <v>1000</v>
      </c>
      <c r="BK221">
        <v>-300</v>
      </c>
      <c r="BL221" t="s">
        <v>163</v>
      </c>
      <c r="BM221">
        <v>1</v>
      </c>
      <c r="BN221">
        <v>1</v>
      </c>
      <c r="BO221">
        <v>1</v>
      </c>
      <c r="BP221">
        <v>0</v>
      </c>
      <c r="BS221">
        <v>0</v>
      </c>
      <c r="BT221">
        <v>0</v>
      </c>
      <c r="BU221">
        <v>0</v>
      </c>
      <c r="CE221" t="str">
        <f t="shared" si="88"/>
        <v>19:26:17.791</v>
      </c>
      <c r="CF221">
        <v>791078165</v>
      </c>
      <c r="CS221">
        <v>3</v>
      </c>
      <c r="CT221">
        <v>2</v>
      </c>
      <c r="CU221">
        <v>0</v>
      </c>
      <c r="CV221">
        <v>2</v>
      </c>
      <c r="CW221">
        <v>0</v>
      </c>
      <c r="CX221">
        <v>6</v>
      </c>
      <c r="CY221">
        <v>7</v>
      </c>
      <c r="CZ221" t="s">
        <v>131</v>
      </c>
      <c r="DA221">
        <v>300</v>
      </c>
      <c r="DB221">
        <v>0</v>
      </c>
      <c r="DC221" t="s">
        <v>176</v>
      </c>
      <c r="DD221" t="s">
        <v>177</v>
      </c>
      <c r="DG221">
        <v>5357501</v>
      </c>
      <c r="DI221">
        <v>0</v>
      </c>
      <c r="DJ221">
        <v>0</v>
      </c>
      <c r="DK221">
        <v>1</v>
      </c>
      <c r="DL221">
        <v>0</v>
      </c>
      <c r="DM221">
        <v>0</v>
      </c>
      <c r="DN221">
        <v>1</v>
      </c>
      <c r="DO221">
        <v>0</v>
      </c>
      <c r="DP221">
        <v>0</v>
      </c>
      <c r="DQ221">
        <v>0</v>
      </c>
      <c r="DR221">
        <v>0</v>
      </c>
      <c r="DS221">
        <v>0</v>
      </c>
    </row>
    <row r="222" spans="1:123" x14ac:dyDescent="0.3">
      <c r="A222" t="str">
        <f t="shared" si="87"/>
        <v>10/04/2022 19:26:18.039</v>
      </c>
      <c r="C222" t="str">
        <f t="shared" si="77"/>
        <v>FFDFD3C0</v>
      </c>
      <c r="D222" t="s">
        <v>123</v>
      </c>
      <c r="E222">
        <v>7</v>
      </c>
      <c r="F222">
        <v>2007</v>
      </c>
      <c r="G222" t="s">
        <v>124</v>
      </c>
      <c r="J222" t="s">
        <v>125</v>
      </c>
      <c r="K222">
        <v>0</v>
      </c>
      <c r="L222">
        <v>3</v>
      </c>
      <c r="M222">
        <v>0</v>
      </c>
      <c r="N222">
        <v>2</v>
      </c>
      <c r="O222">
        <v>0</v>
      </c>
      <c r="P222">
        <v>1</v>
      </c>
      <c r="Q222">
        <v>0</v>
      </c>
      <c r="S222" t="str">
        <f t="shared" si="85"/>
        <v>19:26:17.000</v>
      </c>
      <c r="T222" t="str">
        <f t="shared" si="85"/>
        <v>19:26:17.000</v>
      </c>
      <c r="U222" t="str">
        <f t="shared" si="78"/>
        <v>AC3944</v>
      </c>
      <c r="V222">
        <v>0</v>
      </c>
      <c r="W222">
        <v>0</v>
      </c>
      <c r="X222">
        <v>2</v>
      </c>
      <c r="Y222">
        <v>0</v>
      </c>
      <c r="AA222">
        <v>1</v>
      </c>
      <c r="AB222">
        <v>8</v>
      </c>
      <c r="AC222">
        <v>3</v>
      </c>
      <c r="AD222">
        <v>0</v>
      </c>
      <c r="AE222">
        <v>9</v>
      </c>
      <c r="AF222" t="s">
        <v>138</v>
      </c>
      <c r="AG222">
        <v>0</v>
      </c>
      <c r="AH222">
        <v>3</v>
      </c>
      <c r="AI222">
        <v>1</v>
      </c>
      <c r="AJ222">
        <v>0</v>
      </c>
      <c r="AK222" t="s">
        <v>217</v>
      </c>
      <c r="AL222">
        <v>32.828628999999999</v>
      </c>
      <c r="AM222" t="s">
        <v>218</v>
      </c>
      <c r="AN222">
        <v>-116.993043</v>
      </c>
      <c r="AO222">
        <v>25</v>
      </c>
      <c r="AP222">
        <v>1300</v>
      </c>
      <c r="AQ222" t="s">
        <v>129</v>
      </c>
      <c r="AR222">
        <v>-108</v>
      </c>
      <c r="AS222">
        <v>-25</v>
      </c>
      <c r="AT222">
        <v>960</v>
      </c>
      <c r="BB222">
        <v>1200</v>
      </c>
      <c r="BC222">
        <v>1</v>
      </c>
      <c r="BD222" t="str">
        <f t="shared" si="79"/>
        <v xml:space="preserve">N887QR  </v>
      </c>
      <c r="BE222">
        <v>1</v>
      </c>
      <c r="BG222">
        <v>0</v>
      </c>
      <c r="BH222">
        <v>0</v>
      </c>
      <c r="BI222">
        <v>0</v>
      </c>
      <c r="BJ222">
        <v>1000</v>
      </c>
      <c r="BK222">
        <v>-300</v>
      </c>
      <c r="BL222" t="s">
        <v>163</v>
      </c>
      <c r="BM222">
        <v>1</v>
      </c>
      <c r="BN222">
        <v>1</v>
      </c>
      <c r="BO222">
        <v>1</v>
      </c>
      <c r="BP222">
        <v>0</v>
      </c>
      <c r="BS222">
        <v>0</v>
      </c>
      <c r="BT222">
        <v>0</v>
      </c>
      <c r="BU222">
        <v>0</v>
      </c>
      <c r="CE222" t="str">
        <f t="shared" si="88"/>
        <v>19:26:17.791</v>
      </c>
      <c r="CF222">
        <v>791078165</v>
      </c>
      <c r="CS222">
        <v>3</v>
      </c>
      <c r="CT222">
        <v>2</v>
      </c>
      <c r="CU222">
        <v>0</v>
      </c>
      <c r="CV222">
        <v>2</v>
      </c>
      <c r="CW222">
        <v>0</v>
      </c>
      <c r="CX222">
        <v>6</v>
      </c>
      <c r="CY222">
        <v>7</v>
      </c>
      <c r="CZ222" t="s">
        <v>131</v>
      </c>
      <c r="DA222">
        <v>300</v>
      </c>
      <c r="DB222">
        <v>0</v>
      </c>
      <c r="DC222" t="s">
        <v>176</v>
      </c>
      <c r="DD222" t="s">
        <v>177</v>
      </c>
      <c r="DG222">
        <v>5357501</v>
      </c>
      <c r="DI222">
        <v>0</v>
      </c>
      <c r="DJ222">
        <v>0</v>
      </c>
      <c r="DK222">
        <v>1</v>
      </c>
      <c r="DL222">
        <v>0</v>
      </c>
      <c r="DM222">
        <v>0</v>
      </c>
      <c r="DN222">
        <v>1</v>
      </c>
      <c r="DO222">
        <v>0</v>
      </c>
      <c r="DP222">
        <v>0</v>
      </c>
      <c r="DQ222">
        <v>0</v>
      </c>
      <c r="DR222">
        <v>0</v>
      </c>
      <c r="DS222">
        <v>0</v>
      </c>
    </row>
    <row r="223" spans="1:123" x14ac:dyDescent="0.3">
      <c r="A223" t="str">
        <f t="shared" si="87"/>
        <v>10/04/2022 19:26:18.039</v>
      </c>
      <c r="C223" t="str">
        <f t="shared" si="77"/>
        <v>FFDFD3C0</v>
      </c>
      <c r="D223" t="s">
        <v>134</v>
      </c>
      <c r="E223">
        <v>15</v>
      </c>
      <c r="J223" t="s">
        <v>135</v>
      </c>
      <c r="K223">
        <v>0</v>
      </c>
      <c r="L223">
        <v>3</v>
      </c>
      <c r="M223">
        <v>0</v>
      </c>
      <c r="N223">
        <v>2</v>
      </c>
      <c r="O223">
        <v>0</v>
      </c>
      <c r="P223">
        <v>1</v>
      </c>
      <c r="Q223">
        <v>0</v>
      </c>
      <c r="S223" t="str">
        <f t="shared" si="85"/>
        <v>19:26:17.000</v>
      </c>
      <c r="T223" t="str">
        <f t="shared" si="85"/>
        <v>19:26:17.000</v>
      </c>
      <c r="U223" t="str">
        <f t="shared" si="78"/>
        <v>AC3944</v>
      </c>
      <c r="V223">
        <v>0</v>
      </c>
      <c r="W223">
        <v>0</v>
      </c>
      <c r="X223">
        <v>2</v>
      </c>
      <c r="Y223">
        <v>0</v>
      </c>
      <c r="AA223">
        <v>1</v>
      </c>
      <c r="AB223">
        <v>8</v>
      </c>
      <c r="AC223">
        <v>3</v>
      </c>
      <c r="AD223">
        <v>0</v>
      </c>
      <c r="AE223">
        <v>9</v>
      </c>
      <c r="AF223" t="s">
        <v>138</v>
      </c>
      <c r="AG223">
        <v>0</v>
      </c>
      <c r="AH223">
        <v>3</v>
      </c>
      <c r="AI223">
        <v>1</v>
      </c>
      <c r="AJ223">
        <v>0</v>
      </c>
      <c r="AK223" t="s">
        <v>217</v>
      </c>
      <c r="AL223">
        <v>32.828628999999999</v>
      </c>
      <c r="AM223" t="s">
        <v>218</v>
      </c>
      <c r="AN223">
        <v>-116.993043</v>
      </c>
      <c r="AO223">
        <v>25</v>
      </c>
      <c r="AP223">
        <v>1300</v>
      </c>
      <c r="AQ223" t="s">
        <v>129</v>
      </c>
      <c r="AR223">
        <v>-108</v>
      </c>
      <c r="AS223">
        <v>-25</v>
      </c>
      <c r="AT223">
        <v>960</v>
      </c>
      <c r="BB223">
        <v>1200</v>
      </c>
      <c r="BC223">
        <v>1</v>
      </c>
      <c r="BD223" t="str">
        <f t="shared" si="79"/>
        <v xml:space="preserve">N887QR  </v>
      </c>
      <c r="BE223">
        <v>1</v>
      </c>
      <c r="BG223">
        <v>0</v>
      </c>
      <c r="BH223">
        <v>0</v>
      </c>
      <c r="BI223">
        <v>0</v>
      </c>
      <c r="BJ223">
        <v>1000</v>
      </c>
      <c r="BK223">
        <v>-300</v>
      </c>
      <c r="BL223" t="s">
        <v>163</v>
      </c>
      <c r="BM223">
        <v>1</v>
      </c>
      <c r="BN223">
        <v>1</v>
      </c>
      <c r="BO223">
        <v>1</v>
      </c>
      <c r="BP223">
        <v>0</v>
      </c>
      <c r="BS223">
        <v>0</v>
      </c>
      <c r="BT223">
        <v>0</v>
      </c>
      <c r="BU223">
        <v>0</v>
      </c>
      <c r="CE223" t="str">
        <f t="shared" si="88"/>
        <v>19:26:17.791</v>
      </c>
      <c r="CF223">
        <v>791078165</v>
      </c>
      <c r="CS223">
        <v>3</v>
      </c>
      <c r="CT223">
        <v>2</v>
      </c>
      <c r="CU223">
        <v>0</v>
      </c>
      <c r="CV223">
        <v>2</v>
      </c>
      <c r="CW223">
        <v>0</v>
      </c>
      <c r="CX223">
        <v>6</v>
      </c>
      <c r="CY223">
        <v>7</v>
      </c>
      <c r="CZ223" t="s">
        <v>131</v>
      </c>
      <c r="DA223">
        <v>300</v>
      </c>
      <c r="DB223">
        <v>0</v>
      </c>
      <c r="DC223" t="s">
        <v>176</v>
      </c>
      <c r="DD223" t="s">
        <v>177</v>
      </c>
      <c r="DG223">
        <v>5357501</v>
      </c>
      <c r="DI223">
        <v>0</v>
      </c>
      <c r="DJ223">
        <v>0</v>
      </c>
      <c r="DK223">
        <v>1</v>
      </c>
      <c r="DL223">
        <v>0</v>
      </c>
      <c r="DM223">
        <v>0</v>
      </c>
      <c r="DN223">
        <v>1</v>
      </c>
      <c r="DO223">
        <v>0</v>
      </c>
      <c r="DP223">
        <v>0</v>
      </c>
      <c r="DQ223">
        <v>0</v>
      </c>
      <c r="DR223">
        <v>0</v>
      </c>
      <c r="DS223">
        <v>0</v>
      </c>
    </row>
    <row r="224" spans="1:123" x14ac:dyDescent="0.3">
      <c r="A224" t="str">
        <f t="shared" si="87"/>
        <v>10/04/2022 19:26:18.039</v>
      </c>
      <c r="C224" t="str">
        <f t="shared" si="77"/>
        <v>FFDFD3C0</v>
      </c>
      <c r="D224" t="s">
        <v>147</v>
      </c>
      <c r="E224">
        <v>3</v>
      </c>
      <c r="H224">
        <v>166</v>
      </c>
      <c r="I224" t="s">
        <v>144</v>
      </c>
      <c r="J224" t="s">
        <v>148</v>
      </c>
      <c r="K224">
        <v>0</v>
      </c>
      <c r="L224">
        <v>3</v>
      </c>
      <c r="M224">
        <v>0</v>
      </c>
      <c r="N224">
        <v>2</v>
      </c>
      <c r="O224">
        <v>0</v>
      </c>
      <c r="P224">
        <v>1</v>
      </c>
      <c r="Q224">
        <v>0</v>
      </c>
      <c r="S224" t="str">
        <f t="shared" si="85"/>
        <v>19:26:17.000</v>
      </c>
      <c r="T224" t="str">
        <f t="shared" si="85"/>
        <v>19:26:17.000</v>
      </c>
      <c r="U224" t="str">
        <f t="shared" si="78"/>
        <v>AC3944</v>
      </c>
      <c r="V224">
        <v>0</v>
      </c>
      <c r="W224">
        <v>0</v>
      </c>
      <c r="X224">
        <v>2</v>
      </c>
      <c r="Y224">
        <v>0</v>
      </c>
      <c r="AA224">
        <v>1</v>
      </c>
      <c r="AB224">
        <v>8</v>
      </c>
      <c r="AC224">
        <v>3</v>
      </c>
      <c r="AD224">
        <v>0</v>
      </c>
      <c r="AE224">
        <v>9</v>
      </c>
      <c r="AF224" t="s">
        <v>138</v>
      </c>
      <c r="AG224">
        <v>0</v>
      </c>
      <c r="AH224">
        <v>3</v>
      </c>
      <c r="AI224">
        <v>1</v>
      </c>
      <c r="AJ224">
        <v>0</v>
      </c>
      <c r="AK224" t="s">
        <v>217</v>
      </c>
      <c r="AL224">
        <v>32.828628999999999</v>
      </c>
      <c r="AM224" t="s">
        <v>218</v>
      </c>
      <c r="AN224">
        <v>-116.993043</v>
      </c>
      <c r="AO224">
        <v>25</v>
      </c>
      <c r="AP224">
        <v>1300</v>
      </c>
      <c r="AQ224" t="s">
        <v>129</v>
      </c>
      <c r="AR224">
        <v>-108</v>
      </c>
      <c r="AS224">
        <v>-25</v>
      </c>
      <c r="AT224">
        <v>960</v>
      </c>
      <c r="BB224">
        <v>1200</v>
      </c>
      <c r="BC224">
        <v>1</v>
      </c>
      <c r="BD224" t="str">
        <f t="shared" si="79"/>
        <v xml:space="preserve">N887QR  </v>
      </c>
      <c r="BE224">
        <v>1</v>
      </c>
      <c r="BG224">
        <v>0</v>
      </c>
      <c r="BH224">
        <v>0</v>
      </c>
      <c r="BI224">
        <v>0</v>
      </c>
      <c r="BJ224">
        <v>1000</v>
      </c>
      <c r="BK224">
        <v>-300</v>
      </c>
      <c r="BL224" t="s">
        <v>163</v>
      </c>
      <c r="BM224">
        <v>1</v>
      </c>
      <c r="BN224">
        <v>1</v>
      </c>
      <c r="BO224">
        <v>1</v>
      </c>
      <c r="BP224">
        <v>0</v>
      </c>
      <c r="BS224">
        <v>0</v>
      </c>
      <c r="BT224">
        <v>0</v>
      </c>
      <c r="BU224">
        <v>0</v>
      </c>
      <c r="CE224" t="str">
        <f t="shared" si="88"/>
        <v>19:26:17.791</v>
      </c>
      <c r="CF224">
        <v>791078165</v>
      </c>
      <c r="CS224">
        <v>3</v>
      </c>
      <c r="CT224">
        <v>2</v>
      </c>
      <c r="CU224">
        <v>0</v>
      </c>
      <c r="CV224">
        <v>2</v>
      </c>
      <c r="CW224">
        <v>0</v>
      </c>
      <c r="CX224">
        <v>6</v>
      </c>
      <c r="CY224">
        <v>7</v>
      </c>
      <c r="CZ224" t="s">
        <v>131</v>
      </c>
      <c r="DA224">
        <v>300</v>
      </c>
      <c r="DB224">
        <v>0</v>
      </c>
      <c r="DC224" t="s">
        <v>176</v>
      </c>
      <c r="DD224" t="s">
        <v>177</v>
      </c>
      <c r="DG224">
        <v>5357501</v>
      </c>
      <c r="DI224">
        <v>0</v>
      </c>
      <c r="DJ224">
        <v>0</v>
      </c>
      <c r="DK224">
        <v>1</v>
      </c>
      <c r="DL224">
        <v>0</v>
      </c>
      <c r="DM224">
        <v>0</v>
      </c>
      <c r="DN224">
        <v>1</v>
      </c>
      <c r="DO224">
        <v>0</v>
      </c>
      <c r="DP224">
        <v>0</v>
      </c>
      <c r="DQ224">
        <v>0</v>
      </c>
      <c r="DR224">
        <v>0</v>
      </c>
      <c r="DS224">
        <v>0</v>
      </c>
    </row>
    <row r="225" spans="1:123" x14ac:dyDescent="0.3">
      <c r="A225" t="str">
        <f t="shared" si="87"/>
        <v>10/04/2022 19:26:18.039</v>
      </c>
      <c r="C225" t="str">
        <f t="shared" si="77"/>
        <v>FFDFD3C0</v>
      </c>
      <c r="D225" t="s">
        <v>141</v>
      </c>
      <c r="E225">
        <v>3</v>
      </c>
      <c r="H225">
        <v>3</v>
      </c>
      <c r="I225" t="s">
        <v>146</v>
      </c>
      <c r="J225" t="s">
        <v>138</v>
      </c>
      <c r="K225">
        <v>0</v>
      </c>
      <c r="L225">
        <v>3</v>
      </c>
      <c r="M225">
        <v>0</v>
      </c>
      <c r="N225">
        <v>2</v>
      </c>
      <c r="O225">
        <v>0</v>
      </c>
      <c r="P225">
        <v>1</v>
      </c>
      <c r="Q225">
        <v>0</v>
      </c>
      <c r="S225" t="str">
        <f t="shared" si="85"/>
        <v>19:26:17.000</v>
      </c>
      <c r="T225" t="str">
        <f t="shared" si="85"/>
        <v>19:26:17.000</v>
      </c>
      <c r="U225" t="str">
        <f t="shared" si="78"/>
        <v>AC3944</v>
      </c>
      <c r="V225">
        <v>0</v>
      </c>
      <c r="W225">
        <v>0</v>
      </c>
      <c r="X225">
        <v>2</v>
      </c>
      <c r="Y225">
        <v>0</v>
      </c>
      <c r="AA225">
        <v>1</v>
      </c>
      <c r="AB225">
        <v>8</v>
      </c>
      <c r="AC225">
        <v>3</v>
      </c>
      <c r="AD225">
        <v>0</v>
      </c>
      <c r="AE225">
        <v>9</v>
      </c>
      <c r="AF225" t="s">
        <v>138</v>
      </c>
      <c r="AG225">
        <v>0</v>
      </c>
      <c r="AH225">
        <v>3</v>
      </c>
      <c r="AI225">
        <v>1</v>
      </c>
      <c r="AJ225">
        <v>0</v>
      </c>
      <c r="AK225" t="s">
        <v>217</v>
      </c>
      <c r="AL225">
        <v>32.828628999999999</v>
      </c>
      <c r="AM225" t="s">
        <v>218</v>
      </c>
      <c r="AN225">
        <v>-116.993043</v>
      </c>
      <c r="AO225">
        <v>25</v>
      </c>
      <c r="AP225">
        <v>1300</v>
      </c>
      <c r="AQ225" t="s">
        <v>129</v>
      </c>
      <c r="AR225">
        <v>-108</v>
      </c>
      <c r="AS225">
        <v>-25</v>
      </c>
      <c r="AT225">
        <v>960</v>
      </c>
      <c r="BB225">
        <v>1200</v>
      </c>
      <c r="BC225">
        <v>1</v>
      </c>
      <c r="BD225" t="str">
        <f t="shared" si="79"/>
        <v xml:space="preserve">N887QR  </v>
      </c>
      <c r="BE225">
        <v>1</v>
      </c>
      <c r="BG225">
        <v>0</v>
      </c>
      <c r="BH225">
        <v>0</v>
      </c>
      <c r="BI225">
        <v>0</v>
      </c>
      <c r="BJ225">
        <v>1000</v>
      </c>
      <c r="BK225">
        <v>-300</v>
      </c>
      <c r="BL225" t="s">
        <v>163</v>
      </c>
      <c r="BM225">
        <v>1</v>
      </c>
      <c r="BN225">
        <v>1</v>
      </c>
      <c r="BO225">
        <v>1</v>
      </c>
      <c r="BP225">
        <v>0</v>
      </c>
      <c r="BS225">
        <v>0</v>
      </c>
      <c r="BT225">
        <v>0</v>
      </c>
      <c r="BU225">
        <v>0</v>
      </c>
      <c r="CE225" t="str">
        <f t="shared" si="88"/>
        <v>19:26:17.791</v>
      </c>
      <c r="CF225">
        <v>791078165</v>
      </c>
      <c r="CS225">
        <v>3</v>
      </c>
      <c r="CT225">
        <v>2</v>
      </c>
      <c r="CU225">
        <v>0</v>
      </c>
      <c r="CV225">
        <v>2</v>
      </c>
      <c r="CW225">
        <v>0</v>
      </c>
      <c r="CX225">
        <v>6</v>
      </c>
      <c r="CY225">
        <v>7</v>
      </c>
      <c r="CZ225" t="s">
        <v>131</v>
      </c>
      <c r="DA225">
        <v>300</v>
      </c>
      <c r="DB225">
        <v>0</v>
      </c>
      <c r="DC225" t="s">
        <v>176</v>
      </c>
      <c r="DD225" t="s">
        <v>177</v>
      </c>
      <c r="DG225">
        <v>5357501</v>
      </c>
      <c r="DI225">
        <v>0</v>
      </c>
      <c r="DJ225">
        <v>0</v>
      </c>
      <c r="DK225">
        <v>1</v>
      </c>
      <c r="DL225">
        <v>0</v>
      </c>
      <c r="DM225">
        <v>0</v>
      </c>
      <c r="DN225">
        <v>1</v>
      </c>
      <c r="DO225">
        <v>0</v>
      </c>
      <c r="DP225">
        <v>0</v>
      </c>
      <c r="DQ225">
        <v>0</v>
      </c>
      <c r="DR225">
        <v>0</v>
      </c>
      <c r="DS225">
        <v>0</v>
      </c>
    </row>
    <row r="226" spans="1:123" x14ac:dyDescent="0.3">
      <c r="A226" t="str">
        <f>"10/04/2022 19:26:19.743"</f>
        <v>10/04/2022 19:26:19.743</v>
      </c>
      <c r="C226" t="str">
        <f t="shared" si="77"/>
        <v>FFDFD3C0</v>
      </c>
      <c r="D226" t="s">
        <v>134</v>
      </c>
      <c r="E226">
        <v>15</v>
      </c>
      <c r="J226" t="s">
        <v>135</v>
      </c>
      <c r="K226">
        <v>0</v>
      </c>
      <c r="L226">
        <v>3</v>
      </c>
      <c r="M226">
        <v>0</v>
      </c>
      <c r="N226">
        <v>2</v>
      </c>
      <c r="O226">
        <v>0</v>
      </c>
      <c r="P226">
        <v>1</v>
      </c>
      <c r="Q226">
        <v>0</v>
      </c>
      <c r="S226" t="str">
        <f t="shared" ref="S226:T239" si="89">"19:26:19.000"</f>
        <v>19:26:19.000</v>
      </c>
      <c r="T226" t="str">
        <f t="shared" si="89"/>
        <v>19:26:19.000</v>
      </c>
      <c r="U226" t="str">
        <f t="shared" si="78"/>
        <v>AC3944</v>
      </c>
      <c r="V226">
        <v>0</v>
      </c>
      <c r="W226">
        <v>0</v>
      </c>
      <c r="X226">
        <v>2</v>
      </c>
      <c r="Y226">
        <v>0</v>
      </c>
      <c r="AA226">
        <v>1</v>
      </c>
      <c r="AB226">
        <v>8</v>
      </c>
      <c r="AC226">
        <v>3</v>
      </c>
      <c r="AD226">
        <v>0</v>
      </c>
      <c r="AE226">
        <v>9</v>
      </c>
      <c r="AF226" t="s">
        <v>138</v>
      </c>
      <c r="AG226">
        <v>0</v>
      </c>
      <c r="AH226">
        <v>3</v>
      </c>
      <c r="AI226">
        <v>1</v>
      </c>
      <c r="AJ226">
        <v>0</v>
      </c>
      <c r="AK226" t="s">
        <v>188</v>
      </c>
      <c r="AL226">
        <v>32.828499999999998</v>
      </c>
      <c r="AM226" t="s">
        <v>219</v>
      </c>
      <c r="AN226">
        <v>-116.993644</v>
      </c>
      <c r="AO226">
        <v>25</v>
      </c>
      <c r="AP226">
        <v>1300</v>
      </c>
      <c r="AQ226" t="s">
        <v>129</v>
      </c>
      <c r="AR226">
        <v>-105</v>
      </c>
      <c r="AS226">
        <v>-36</v>
      </c>
      <c r="AT226">
        <v>768</v>
      </c>
      <c r="BB226">
        <v>1200</v>
      </c>
      <c r="BC226">
        <v>1</v>
      </c>
      <c r="BD226" t="str">
        <f t="shared" si="79"/>
        <v xml:space="preserve">N887QR  </v>
      </c>
      <c r="BE226">
        <v>1</v>
      </c>
      <c r="BG226">
        <v>0</v>
      </c>
      <c r="BH226">
        <v>0</v>
      </c>
      <c r="BI226">
        <v>0</v>
      </c>
      <c r="BJ226">
        <v>1025</v>
      </c>
      <c r="BK226">
        <v>-275</v>
      </c>
      <c r="BL226" t="s">
        <v>163</v>
      </c>
      <c r="BM226">
        <v>1</v>
      </c>
      <c r="BN226">
        <v>1</v>
      </c>
      <c r="BO226">
        <v>1</v>
      </c>
      <c r="BP226">
        <v>0</v>
      </c>
      <c r="BS226">
        <v>0</v>
      </c>
      <c r="BT226">
        <v>0</v>
      </c>
      <c r="BU226">
        <v>0</v>
      </c>
      <c r="CE226" t="str">
        <f t="shared" ref="CE226:CE232" si="90">"19:26:19.519"</f>
        <v>19:26:19.519</v>
      </c>
      <c r="CF226">
        <v>518833733</v>
      </c>
      <c r="CS226">
        <v>3</v>
      </c>
      <c r="CT226">
        <v>2</v>
      </c>
      <c r="CU226">
        <v>0</v>
      </c>
      <c r="CV226">
        <v>2</v>
      </c>
      <c r="CW226">
        <v>0</v>
      </c>
      <c r="CX226">
        <v>5</v>
      </c>
      <c r="CY226">
        <v>7</v>
      </c>
      <c r="CZ226" t="s">
        <v>131</v>
      </c>
      <c r="DA226">
        <v>300</v>
      </c>
      <c r="DB226">
        <v>0</v>
      </c>
      <c r="DC226" t="s">
        <v>176</v>
      </c>
      <c r="DD226" t="s">
        <v>177</v>
      </c>
      <c r="DG226">
        <v>5357780</v>
      </c>
      <c r="DI226">
        <v>0</v>
      </c>
      <c r="DJ226">
        <v>0</v>
      </c>
      <c r="DK226">
        <v>0</v>
      </c>
      <c r="DL226">
        <v>0</v>
      </c>
      <c r="DM226">
        <v>0</v>
      </c>
      <c r="DN226">
        <v>1</v>
      </c>
      <c r="DO226">
        <v>0</v>
      </c>
      <c r="DP226">
        <v>0</v>
      </c>
      <c r="DQ226">
        <v>0</v>
      </c>
      <c r="DR226">
        <v>0</v>
      </c>
      <c r="DS226">
        <v>0</v>
      </c>
    </row>
    <row r="227" spans="1:123" x14ac:dyDescent="0.3">
      <c r="A227" t="str">
        <f>"10/04/2022 19:26:19.743"</f>
        <v>10/04/2022 19:26:19.743</v>
      </c>
      <c r="C227" t="str">
        <f t="shared" si="77"/>
        <v>FFDFD3C0</v>
      </c>
      <c r="D227" t="s">
        <v>147</v>
      </c>
      <c r="E227">
        <v>3</v>
      </c>
      <c r="H227">
        <v>166</v>
      </c>
      <c r="I227" t="s">
        <v>144</v>
      </c>
      <c r="J227" t="s">
        <v>148</v>
      </c>
      <c r="K227">
        <v>0</v>
      </c>
      <c r="L227">
        <v>3</v>
      </c>
      <c r="M227">
        <v>0</v>
      </c>
      <c r="N227">
        <v>2</v>
      </c>
      <c r="O227">
        <v>0</v>
      </c>
      <c r="P227">
        <v>1</v>
      </c>
      <c r="Q227">
        <v>0</v>
      </c>
      <c r="S227" t="str">
        <f t="shared" si="89"/>
        <v>19:26:19.000</v>
      </c>
      <c r="T227" t="str">
        <f t="shared" si="89"/>
        <v>19:26:19.000</v>
      </c>
      <c r="U227" t="str">
        <f t="shared" si="78"/>
        <v>AC3944</v>
      </c>
      <c r="V227">
        <v>0</v>
      </c>
      <c r="W227">
        <v>0</v>
      </c>
      <c r="X227">
        <v>2</v>
      </c>
      <c r="Y227">
        <v>0</v>
      </c>
      <c r="AA227">
        <v>1</v>
      </c>
      <c r="AB227">
        <v>8</v>
      </c>
      <c r="AC227">
        <v>3</v>
      </c>
      <c r="AD227">
        <v>0</v>
      </c>
      <c r="AE227">
        <v>9</v>
      </c>
      <c r="AF227" t="s">
        <v>138</v>
      </c>
      <c r="AG227">
        <v>0</v>
      </c>
      <c r="AH227">
        <v>3</v>
      </c>
      <c r="AI227">
        <v>1</v>
      </c>
      <c r="AJ227">
        <v>0</v>
      </c>
      <c r="AK227" t="s">
        <v>188</v>
      </c>
      <c r="AL227">
        <v>32.828499999999998</v>
      </c>
      <c r="AM227" t="s">
        <v>219</v>
      </c>
      <c r="AN227">
        <v>-116.993644</v>
      </c>
      <c r="AO227">
        <v>25</v>
      </c>
      <c r="AP227">
        <v>1300</v>
      </c>
      <c r="AQ227" t="s">
        <v>129</v>
      </c>
      <c r="AR227">
        <v>-105</v>
      </c>
      <c r="AS227">
        <v>-36</v>
      </c>
      <c r="AT227">
        <v>768</v>
      </c>
      <c r="BB227">
        <v>1200</v>
      </c>
      <c r="BC227">
        <v>1</v>
      </c>
      <c r="BD227" t="str">
        <f t="shared" si="79"/>
        <v xml:space="preserve">N887QR  </v>
      </c>
      <c r="BE227">
        <v>1</v>
      </c>
      <c r="BG227">
        <v>0</v>
      </c>
      <c r="BH227">
        <v>0</v>
      </c>
      <c r="BI227">
        <v>0</v>
      </c>
      <c r="BJ227">
        <v>1025</v>
      </c>
      <c r="BK227">
        <v>-275</v>
      </c>
      <c r="BL227" t="s">
        <v>163</v>
      </c>
      <c r="BM227">
        <v>1</v>
      </c>
      <c r="BN227">
        <v>1</v>
      </c>
      <c r="BO227">
        <v>1</v>
      </c>
      <c r="BP227">
        <v>0</v>
      </c>
      <c r="BS227">
        <v>0</v>
      </c>
      <c r="BT227">
        <v>0</v>
      </c>
      <c r="BU227">
        <v>0</v>
      </c>
      <c r="CE227" t="str">
        <f t="shared" si="90"/>
        <v>19:26:19.519</v>
      </c>
      <c r="CF227">
        <v>518833733</v>
      </c>
      <c r="CS227">
        <v>3</v>
      </c>
      <c r="CT227">
        <v>2</v>
      </c>
      <c r="CU227">
        <v>0</v>
      </c>
      <c r="CV227">
        <v>2</v>
      </c>
      <c r="CW227">
        <v>0</v>
      </c>
      <c r="CX227">
        <v>5</v>
      </c>
      <c r="CY227">
        <v>7</v>
      </c>
      <c r="CZ227" t="s">
        <v>131</v>
      </c>
      <c r="DA227">
        <v>300</v>
      </c>
      <c r="DB227">
        <v>0</v>
      </c>
      <c r="DC227" t="s">
        <v>176</v>
      </c>
      <c r="DD227" t="s">
        <v>177</v>
      </c>
      <c r="DG227">
        <v>5357780</v>
      </c>
      <c r="DI227">
        <v>0</v>
      </c>
      <c r="DJ227">
        <v>0</v>
      </c>
      <c r="DK227">
        <v>1</v>
      </c>
      <c r="DL227">
        <v>0</v>
      </c>
      <c r="DM227">
        <v>0</v>
      </c>
      <c r="DN227">
        <v>1</v>
      </c>
      <c r="DO227">
        <v>0</v>
      </c>
      <c r="DP227">
        <v>0</v>
      </c>
      <c r="DQ227">
        <v>0</v>
      </c>
      <c r="DR227">
        <v>0</v>
      </c>
      <c r="DS227">
        <v>0</v>
      </c>
    </row>
    <row r="228" spans="1:123" x14ac:dyDescent="0.3">
      <c r="A228" t="str">
        <f>"10/04/2022 19:26:19.743"</f>
        <v>10/04/2022 19:26:19.743</v>
      </c>
      <c r="C228" t="str">
        <f t="shared" si="77"/>
        <v>FFDFD3C0</v>
      </c>
      <c r="D228" t="s">
        <v>143</v>
      </c>
      <c r="E228">
        <v>20</v>
      </c>
      <c r="F228">
        <v>1020</v>
      </c>
      <c r="G228" t="s">
        <v>144</v>
      </c>
      <c r="J228" t="s">
        <v>145</v>
      </c>
      <c r="K228">
        <v>0</v>
      </c>
      <c r="L228">
        <v>3</v>
      </c>
      <c r="M228">
        <v>0</v>
      </c>
      <c r="N228">
        <v>2</v>
      </c>
      <c r="O228">
        <v>0</v>
      </c>
      <c r="P228">
        <v>1</v>
      </c>
      <c r="Q228">
        <v>0</v>
      </c>
      <c r="S228" t="str">
        <f t="shared" si="89"/>
        <v>19:26:19.000</v>
      </c>
      <c r="T228" t="str">
        <f t="shared" si="89"/>
        <v>19:26:19.000</v>
      </c>
      <c r="U228" t="str">
        <f t="shared" si="78"/>
        <v>AC3944</v>
      </c>
      <c r="V228">
        <v>0</v>
      </c>
      <c r="W228">
        <v>0</v>
      </c>
      <c r="X228">
        <v>2</v>
      </c>
      <c r="Y228">
        <v>0</v>
      </c>
      <c r="AA228">
        <v>1</v>
      </c>
      <c r="AB228">
        <v>8</v>
      </c>
      <c r="AC228">
        <v>3</v>
      </c>
      <c r="AD228">
        <v>0</v>
      </c>
      <c r="AE228">
        <v>9</v>
      </c>
      <c r="AF228" t="s">
        <v>138</v>
      </c>
      <c r="AG228">
        <v>0</v>
      </c>
      <c r="AH228">
        <v>3</v>
      </c>
      <c r="AI228">
        <v>1</v>
      </c>
      <c r="AJ228">
        <v>0</v>
      </c>
      <c r="AK228" t="s">
        <v>188</v>
      </c>
      <c r="AL228">
        <v>32.828499999999998</v>
      </c>
      <c r="AM228" t="s">
        <v>219</v>
      </c>
      <c r="AN228">
        <v>-116.993644</v>
      </c>
      <c r="AO228">
        <v>25</v>
      </c>
      <c r="AP228">
        <v>1300</v>
      </c>
      <c r="AQ228" t="s">
        <v>129</v>
      </c>
      <c r="AR228">
        <v>-105</v>
      </c>
      <c r="AS228">
        <v>-36</v>
      </c>
      <c r="AT228">
        <v>768</v>
      </c>
      <c r="BB228">
        <v>1200</v>
      </c>
      <c r="BC228">
        <v>1</v>
      </c>
      <c r="BD228" t="str">
        <f t="shared" si="79"/>
        <v xml:space="preserve">N887QR  </v>
      </c>
      <c r="BE228">
        <v>1</v>
      </c>
      <c r="BG228">
        <v>0</v>
      </c>
      <c r="BH228">
        <v>0</v>
      </c>
      <c r="BI228">
        <v>0</v>
      </c>
      <c r="BJ228">
        <v>1025</v>
      </c>
      <c r="BK228">
        <v>-275</v>
      </c>
      <c r="BL228" t="s">
        <v>163</v>
      </c>
      <c r="BM228">
        <v>1</v>
      </c>
      <c r="BN228">
        <v>1</v>
      </c>
      <c r="BO228">
        <v>1</v>
      </c>
      <c r="BP228">
        <v>0</v>
      </c>
      <c r="BS228">
        <v>0</v>
      </c>
      <c r="BT228">
        <v>0</v>
      </c>
      <c r="BU228">
        <v>0</v>
      </c>
      <c r="CE228" t="str">
        <f t="shared" si="90"/>
        <v>19:26:19.519</v>
      </c>
      <c r="CF228">
        <v>518833733</v>
      </c>
      <c r="CS228">
        <v>3</v>
      </c>
      <c r="CT228">
        <v>2</v>
      </c>
      <c r="CU228">
        <v>0</v>
      </c>
      <c r="CV228">
        <v>2</v>
      </c>
      <c r="CW228">
        <v>0</v>
      </c>
      <c r="CX228">
        <v>5</v>
      </c>
      <c r="CY228">
        <v>7</v>
      </c>
      <c r="CZ228" t="s">
        <v>131</v>
      </c>
      <c r="DA228">
        <v>300</v>
      </c>
      <c r="DB228">
        <v>0</v>
      </c>
      <c r="DC228" t="s">
        <v>176</v>
      </c>
      <c r="DD228" t="s">
        <v>177</v>
      </c>
      <c r="DG228">
        <v>5357780</v>
      </c>
      <c r="DI228">
        <v>0</v>
      </c>
      <c r="DJ228">
        <v>0</v>
      </c>
      <c r="DK228">
        <v>1</v>
      </c>
      <c r="DL228">
        <v>0</v>
      </c>
      <c r="DM228">
        <v>0</v>
      </c>
      <c r="DN228">
        <v>1</v>
      </c>
      <c r="DO228">
        <v>0</v>
      </c>
      <c r="DP228">
        <v>0</v>
      </c>
      <c r="DQ228">
        <v>0</v>
      </c>
      <c r="DR228">
        <v>0</v>
      </c>
      <c r="DS228">
        <v>0</v>
      </c>
    </row>
    <row r="229" spans="1:123" x14ac:dyDescent="0.3">
      <c r="A229" t="str">
        <f>"10/04/2022 19:26:19.743"</f>
        <v>10/04/2022 19:26:19.743</v>
      </c>
      <c r="C229" t="str">
        <f t="shared" si="77"/>
        <v>FFDFD3C0</v>
      </c>
      <c r="D229" t="s">
        <v>141</v>
      </c>
      <c r="E229">
        <v>3</v>
      </c>
      <c r="H229">
        <v>3</v>
      </c>
      <c r="I229" t="s">
        <v>146</v>
      </c>
      <c r="J229" t="s">
        <v>138</v>
      </c>
      <c r="K229">
        <v>0</v>
      </c>
      <c r="L229">
        <v>3</v>
      </c>
      <c r="M229">
        <v>0</v>
      </c>
      <c r="N229">
        <v>2</v>
      </c>
      <c r="O229">
        <v>0</v>
      </c>
      <c r="P229">
        <v>1</v>
      </c>
      <c r="Q229">
        <v>0</v>
      </c>
      <c r="S229" t="str">
        <f t="shared" si="89"/>
        <v>19:26:19.000</v>
      </c>
      <c r="T229" t="str">
        <f t="shared" si="89"/>
        <v>19:26:19.000</v>
      </c>
      <c r="U229" t="str">
        <f t="shared" si="78"/>
        <v>AC3944</v>
      </c>
      <c r="V229">
        <v>0</v>
      </c>
      <c r="W229">
        <v>0</v>
      </c>
      <c r="X229">
        <v>2</v>
      </c>
      <c r="Y229">
        <v>0</v>
      </c>
      <c r="AA229">
        <v>1</v>
      </c>
      <c r="AB229">
        <v>8</v>
      </c>
      <c r="AC229">
        <v>3</v>
      </c>
      <c r="AD229">
        <v>0</v>
      </c>
      <c r="AE229">
        <v>9</v>
      </c>
      <c r="AF229" t="s">
        <v>138</v>
      </c>
      <c r="AG229">
        <v>0</v>
      </c>
      <c r="AH229">
        <v>3</v>
      </c>
      <c r="AI229">
        <v>1</v>
      </c>
      <c r="AJ229">
        <v>0</v>
      </c>
      <c r="AK229" t="s">
        <v>188</v>
      </c>
      <c r="AL229">
        <v>32.828499999999998</v>
      </c>
      <c r="AM229" t="s">
        <v>219</v>
      </c>
      <c r="AN229">
        <v>-116.993644</v>
      </c>
      <c r="AO229">
        <v>25</v>
      </c>
      <c r="AP229">
        <v>1300</v>
      </c>
      <c r="AQ229" t="s">
        <v>129</v>
      </c>
      <c r="AR229">
        <v>-105</v>
      </c>
      <c r="AS229">
        <v>-36</v>
      </c>
      <c r="AT229">
        <v>768</v>
      </c>
      <c r="BB229">
        <v>1200</v>
      </c>
      <c r="BC229">
        <v>1</v>
      </c>
      <c r="BD229" t="str">
        <f t="shared" si="79"/>
        <v xml:space="preserve">N887QR  </v>
      </c>
      <c r="BE229">
        <v>1</v>
      </c>
      <c r="BG229">
        <v>0</v>
      </c>
      <c r="BH229">
        <v>0</v>
      </c>
      <c r="BI229">
        <v>0</v>
      </c>
      <c r="BJ229">
        <v>1025</v>
      </c>
      <c r="BK229">
        <v>-275</v>
      </c>
      <c r="BL229" t="s">
        <v>163</v>
      </c>
      <c r="BM229">
        <v>1</v>
      </c>
      <c r="BN229">
        <v>1</v>
      </c>
      <c r="BO229">
        <v>1</v>
      </c>
      <c r="BP229">
        <v>0</v>
      </c>
      <c r="BS229">
        <v>0</v>
      </c>
      <c r="BT229">
        <v>0</v>
      </c>
      <c r="BU229">
        <v>0</v>
      </c>
      <c r="CE229" t="str">
        <f t="shared" si="90"/>
        <v>19:26:19.519</v>
      </c>
      <c r="CF229">
        <v>518833733</v>
      </c>
      <c r="CS229">
        <v>3</v>
      </c>
      <c r="CT229">
        <v>2</v>
      </c>
      <c r="CU229">
        <v>0</v>
      </c>
      <c r="CV229">
        <v>2</v>
      </c>
      <c r="CW229">
        <v>0</v>
      </c>
      <c r="CX229">
        <v>5</v>
      </c>
      <c r="CY229">
        <v>7</v>
      </c>
      <c r="CZ229" t="s">
        <v>131</v>
      </c>
      <c r="DA229">
        <v>300</v>
      </c>
      <c r="DB229">
        <v>0</v>
      </c>
      <c r="DC229" t="s">
        <v>176</v>
      </c>
      <c r="DD229" t="s">
        <v>177</v>
      </c>
      <c r="DG229">
        <v>5357780</v>
      </c>
      <c r="DI229">
        <v>0</v>
      </c>
      <c r="DJ229">
        <v>0</v>
      </c>
      <c r="DK229">
        <v>1</v>
      </c>
      <c r="DL229">
        <v>0</v>
      </c>
      <c r="DM229">
        <v>0</v>
      </c>
      <c r="DN229">
        <v>1</v>
      </c>
      <c r="DO229">
        <v>0</v>
      </c>
      <c r="DP229">
        <v>0</v>
      </c>
      <c r="DQ229">
        <v>0</v>
      </c>
      <c r="DR229">
        <v>0</v>
      </c>
      <c r="DS229">
        <v>0</v>
      </c>
    </row>
    <row r="230" spans="1:123" x14ac:dyDescent="0.3">
      <c r="A230" t="str">
        <f>"10/04/2022 19:26:19.743"</f>
        <v>10/04/2022 19:26:19.743</v>
      </c>
      <c r="C230" t="str">
        <f t="shared" si="77"/>
        <v>FFDFD3C0</v>
      </c>
      <c r="D230" t="s">
        <v>141</v>
      </c>
      <c r="E230">
        <v>4</v>
      </c>
      <c r="H230">
        <v>4</v>
      </c>
      <c r="I230" t="s">
        <v>142</v>
      </c>
      <c r="J230" t="s">
        <v>138</v>
      </c>
      <c r="K230">
        <v>0</v>
      </c>
      <c r="L230">
        <v>3</v>
      </c>
      <c r="M230">
        <v>0</v>
      </c>
      <c r="N230">
        <v>2</v>
      </c>
      <c r="O230">
        <v>0</v>
      </c>
      <c r="P230">
        <v>1</v>
      </c>
      <c r="Q230">
        <v>0</v>
      </c>
      <c r="S230" t="str">
        <f t="shared" si="89"/>
        <v>19:26:19.000</v>
      </c>
      <c r="T230" t="str">
        <f t="shared" si="89"/>
        <v>19:26:19.000</v>
      </c>
      <c r="U230" t="str">
        <f t="shared" si="78"/>
        <v>AC3944</v>
      </c>
      <c r="V230">
        <v>0</v>
      </c>
      <c r="W230">
        <v>0</v>
      </c>
      <c r="X230">
        <v>2</v>
      </c>
      <c r="Y230">
        <v>0</v>
      </c>
      <c r="AA230">
        <v>1</v>
      </c>
      <c r="AB230">
        <v>8</v>
      </c>
      <c r="AC230">
        <v>3</v>
      </c>
      <c r="AD230">
        <v>0</v>
      </c>
      <c r="AE230">
        <v>9</v>
      </c>
      <c r="AF230" t="s">
        <v>138</v>
      </c>
      <c r="AG230">
        <v>0</v>
      </c>
      <c r="AH230">
        <v>3</v>
      </c>
      <c r="AI230">
        <v>1</v>
      </c>
      <c r="AJ230">
        <v>0</v>
      </c>
      <c r="AK230" t="s">
        <v>188</v>
      </c>
      <c r="AL230">
        <v>32.828499999999998</v>
      </c>
      <c r="AM230" t="s">
        <v>219</v>
      </c>
      <c r="AN230">
        <v>-116.993644</v>
      </c>
      <c r="AO230">
        <v>25</v>
      </c>
      <c r="AP230">
        <v>1300</v>
      </c>
      <c r="AQ230" t="s">
        <v>129</v>
      </c>
      <c r="AR230">
        <v>-105</v>
      </c>
      <c r="AS230">
        <v>-36</v>
      </c>
      <c r="AT230">
        <v>768</v>
      </c>
      <c r="BB230">
        <v>1200</v>
      </c>
      <c r="BC230">
        <v>1</v>
      </c>
      <c r="BD230" t="str">
        <f t="shared" si="79"/>
        <v xml:space="preserve">N887QR  </v>
      </c>
      <c r="BE230">
        <v>1</v>
      </c>
      <c r="BG230">
        <v>0</v>
      </c>
      <c r="BH230">
        <v>0</v>
      </c>
      <c r="BI230">
        <v>0</v>
      </c>
      <c r="BJ230">
        <v>1025</v>
      </c>
      <c r="BK230">
        <v>-275</v>
      </c>
      <c r="BL230" t="s">
        <v>163</v>
      </c>
      <c r="BM230">
        <v>1</v>
      </c>
      <c r="BN230">
        <v>1</v>
      </c>
      <c r="BO230">
        <v>1</v>
      </c>
      <c r="BP230">
        <v>0</v>
      </c>
      <c r="BS230">
        <v>0</v>
      </c>
      <c r="BT230">
        <v>0</v>
      </c>
      <c r="BU230">
        <v>0</v>
      </c>
      <c r="CE230" t="str">
        <f t="shared" si="90"/>
        <v>19:26:19.519</v>
      </c>
      <c r="CF230">
        <v>518833733</v>
      </c>
      <c r="CS230">
        <v>3</v>
      </c>
      <c r="CT230">
        <v>2</v>
      </c>
      <c r="CU230">
        <v>0</v>
      </c>
      <c r="CV230">
        <v>2</v>
      </c>
      <c r="CW230">
        <v>0</v>
      </c>
      <c r="CX230">
        <v>5</v>
      </c>
      <c r="CY230">
        <v>7</v>
      </c>
      <c r="CZ230" t="s">
        <v>131</v>
      </c>
      <c r="DA230">
        <v>300</v>
      </c>
      <c r="DB230">
        <v>0</v>
      </c>
      <c r="DC230" t="s">
        <v>176</v>
      </c>
      <c r="DD230" t="s">
        <v>177</v>
      </c>
      <c r="DG230">
        <v>5357780</v>
      </c>
      <c r="DI230">
        <v>0</v>
      </c>
      <c r="DJ230">
        <v>0</v>
      </c>
      <c r="DK230">
        <v>1</v>
      </c>
      <c r="DL230">
        <v>0</v>
      </c>
      <c r="DM230">
        <v>0</v>
      </c>
      <c r="DN230">
        <v>1</v>
      </c>
      <c r="DO230">
        <v>0</v>
      </c>
      <c r="DP230">
        <v>0</v>
      </c>
      <c r="DQ230">
        <v>0</v>
      </c>
      <c r="DR230">
        <v>0</v>
      </c>
      <c r="DS230">
        <v>0</v>
      </c>
    </row>
    <row r="231" spans="1:123" x14ac:dyDescent="0.3">
      <c r="A231" t="str">
        <f>"10/04/2022 19:26:19.759"</f>
        <v>10/04/2022 19:26:19.759</v>
      </c>
      <c r="C231" t="str">
        <f t="shared" si="77"/>
        <v>FFDFD3C0</v>
      </c>
      <c r="D231" t="s">
        <v>123</v>
      </c>
      <c r="E231">
        <v>7</v>
      </c>
      <c r="F231">
        <v>2007</v>
      </c>
      <c r="G231" t="s">
        <v>124</v>
      </c>
      <c r="J231" t="s">
        <v>125</v>
      </c>
      <c r="K231">
        <v>0</v>
      </c>
      <c r="L231">
        <v>3</v>
      </c>
      <c r="M231">
        <v>0</v>
      </c>
      <c r="N231">
        <v>2</v>
      </c>
      <c r="O231">
        <v>0</v>
      </c>
      <c r="P231">
        <v>1</v>
      </c>
      <c r="Q231">
        <v>0</v>
      </c>
      <c r="S231" t="str">
        <f t="shared" si="89"/>
        <v>19:26:19.000</v>
      </c>
      <c r="T231" t="str">
        <f t="shared" si="89"/>
        <v>19:26:19.000</v>
      </c>
      <c r="U231" t="str">
        <f t="shared" si="78"/>
        <v>AC3944</v>
      </c>
      <c r="V231">
        <v>0</v>
      </c>
      <c r="W231">
        <v>0</v>
      </c>
      <c r="X231">
        <v>2</v>
      </c>
      <c r="Y231">
        <v>0</v>
      </c>
      <c r="AA231">
        <v>1</v>
      </c>
      <c r="AB231">
        <v>8</v>
      </c>
      <c r="AC231">
        <v>3</v>
      </c>
      <c r="AD231">
        <v>0</v>
      </c>
      <c r="AE231">
        <v>9</v>
      </c>
      <c r="AF231" t="s">
        <v>138</v>
      </c>
      <c r="AG231">
        <v>0</v>
      </c>
      <c r="AH231">
        <v>3</v>
      </c>
      <c r="AI231">
        <v>1</v>
      </c>
      <c r="AJ231">
        <v>0</v>
      </c>
      <c r="AK231" t="s">
        <v>188</v>
      </c>
      <c r="AL231">
        <v>32.828499999999998</v>
      </c>
      <c r="AM231" t="s">
        <v>219</v>
      </c>
      <c r="AN231">
        <v>-116.993644</v>
      </c>
      <c r="AO231">
        <v>25</v>
      </c>
      <c r="AP231">
        <v>1300</v>
      </c>
      <c r="AQ231" t="s">
        <v>129</v>
      </c>
      <c r="AR231">
        <v>-105</v>
      </c>
      <c r="AS231">
        <v>-36</v>
      </c>
      <c r="AT231">
        <v>768</v>
      </c>
      <c r="BB231">
        <v>1200</v>
      </c>
      <c r="BC231">
        <v>1</v>
      </c>
      <c r="BD231" t="str">
        <f t="shared" si="79"/>
        <v xml:space="preserve">N887QR  </v>
      </c>
      <c r="BE231">
        <v>1</v>
      </c>
      <c r="BG231">
        <v>0</v>
      </c>
      <c r="BH231">
        <v>0</v>
      </c>
      <c r="BI231">
        <v>0</v>
      </c>
      <c r="BJ231">
        <v>1025</v>
      </c>
      <c r="BK231">
        <v>-275</v>
      </c>
      <c r="BL231" t="s">
        <v>163</v>
      </c>
      <c r="BM231">
        <v>1</v>
      </c>
      <c r="BN231">
        <v>1</v>
      </c>
      <c r="BO231">
        <v>1</v>
      </c>
      <c r="BP231">
        <v>0</v>
      </c>
      <c r="BS231">
        <v>0</v>
      </c>
      <c r="BT231">
        <v>0</v>
      </c>
      <c r="BU231">
        <v>0</v>
      </c>
      <c r="CE231" t="str">
        <f t="shared" si="90"/>
        <v>19:26:19.519</v>
      </c>
      <c r="CF231">
        <v>518833733</v>
      </c>
      <c r="CS231">
        <v>3</v>
      </c>
      <c r="CT231">
        <v>2</v>
      </c>
      <c r="CU231">
        <v>0</v>
      </c>
      <c r="CV231">
        <v>2</v>
      </c>
      <c r="CW231">
        <v>0</v>
      </c>
      <c r="CX231">
        <v>5</v>
      </c>
      <c r="CY231">
        <v>7</v>
      </c>
      <c r="CZ231" t="s">
        <v>131</v>
      </c>
      <c r="DA231">
        <v>300</v>
      </c>
      <c r="DB231">
        <v>0</v>
      </c>
      <c r="DC231" t="s">
        <v>176</v>
      </c>
      <c r="DD231" t="s">
        <v>177</v>
      </c>
      <c r="DG231">
        <v>5357780</v>
      </c>
      <c r="DI231">
        <v>0</v>
      </c>
      <c r="DJ231">
        <v>0</v>
      </c>
      <c r="DK231">
        <v>1</v>
      </c>
      <c r="DL231">
        <v>0</v>
      </c>
      <c r="DM231">
        <v>0</v>
      </c>
      <c r="DN231">
        <v>1</v>
      </c>
      <c r="DO231">
        <v>0</v>
      </c>
      <c r="DP231">
        <v>0</v>
      </c>
      <c r="DQ231">
        <v>0</v>
      </c>
      <c r="DR231">
        <v>0</v>
      </c>
      <c r="DS231">
        <v>0</v>
      </c>
    </row>
    <row r="232" spans="1:123" x14ac:dyDescent="0.3">
      <c r="A232" t="str">
        <f>"10/04/2022 19:26:19.775"</f>
        <v>10/04/2022 19:26:19.775</v>
      </c>
      <c r="C232" t="str">
        <f t="shared" si="77"/>
        <v>FFDFD3C0</v>
      </c>
      <c r="D232" t="s">
        <v>136</v>
      </c>
      <c r="E232">
        <v>8</v>
      </c>
      <c r="H232">
        <v>225</v>
      </c>
      <c r="I232" t="s">
        <v>137</v>
      </c>
      <c r="J232" t="s">
        <v>138</v>
      </c>
      <c r="K232">
        <v>0</v>
      </c>
      <c r="L232">
        <v>3</v>
      </c>
      <c r="M232">
        <v>0</v>
      </c>
      <c r="N232">
        <v>2</v>
      </c>
      <c r="O232">
        <v>0</v>
      </c>
      <c r="P232">
        <v>1</v>
      </c>
      <c r="Q232">
        <v>0</v>
      </c>
      <c r="S232" t="str">
        <f t="shared" si="89"/>
        <v>19:26:19.000</v>
      </c>
      <c r="T232" t="str">
        <f t="shared" si="89"/>
        <v>19:26:19.000</v>
      </c>
      <c r="U232" t="str">
        <f t="shared" si="78"/>
        <v>AC3944</v>
      </c>
      <c r="V232">
        <v>0</v>
      </c>
      <c r="W232">
        <v>0</v>
      </c>
      <c r="X232">
        <v>2</v>
      </c>
      <c r="Y232">
        <v>0</v>
      </c>
      <c r="AA232">
        <v>1</v>
      </c>
      <c r="AB232">
        <v>8</v>
      </c>
      <c r="AC232">
        <v>3</v>
      </c>
      <c r="AD232">
        <v>0</v>
      </c>
      <c r="AE232">
        <v>9</v>
      </c>
      <c r="AF232" t="s">
        <v>138</v>
      </c>
      <c r="AG232">
        <v>0</v>
      </c>
      <c r="AH232">
        <v>3</v>
      </c>
      <c r="AI232">
        <v>1</v>
      </c>
      <c r="AJ232">
        <v>0</v>
      </c>
      <c r="AK232" t="s">
        <v>188</v>
      </c>
      <c r="AL232">
        <v>32.828499999999998</v>
      </c>
      <c r="AM232" t="s">
        <v>219</v>
      </c>
      <c r="AN232">
        <v>-116.993644</v>
      </c>
      <c r="AO232">
        <v>25</v>
      </c>
      <c r="AP232">
        <v>1300</v>
      </c>
      <c r="AQ232" t="s">
        <v>129</v>
      </c>
      <c r="AR232">
        <v>-105</v>
      </c>
      <c r="AS232">
        <v>-36</v>
      </c>
      <c r="AT232">
        <v>768</v>
      </c>
      <c r="BB232">
        <v>1200</v>
      </c>
      <c r="BC232">
        <v>1</v>
      </c>
      <c r="BD232" t="str">
        <f t="shared" si="79"/>
        <v xml:space="preserve">N887QR  </v>
      </c>
      <c r="BE232">
        <v>1</v>
      </c>
      <c r="BG232">
        <v>0</v>
      </c>
      <c r="BH232">
        <v>0</v>
      </c>
      <c r="BI232">
        <v>0</v>
      </c>
      <c r="BJ232">
        <v>1025</v>
      </c>
      <c r="BK232">
        <v>-275</v>
      </c>
      <c r="BL232" t="s">
        <v>163</v>
      </c>
      <c r="BM232">
        <v>1</v>
      </c>
      <c r="BN232">
        <v>1</v>
      </c>
      <c r="BO232">
        <v>1</v>
      </c>
      <c r="BP232">
        <v>0</v>
      </c>
      <c r="BS232">
        <v>0</v>
      </c>
      <c r="BT232">
        <v>0</v>
      </c>
      <c r="BU232">
        <v>0</v>
      </c>
      <c r="CE232" t="str">
        <f t="shared" si="90"/>
        <v>19:26:19.519</v>
      </c>
      <c r="CF232">
        <v>518833733</v>
      </c>
      <c r="CS232">
        <v>3</v>
      </c>
      <c r="CT232">
        <v>2</v>
      </c>
      <c r="CU232">
        <v>0</v>
      </c>
      <c r="CV232">
        <v>2</v>
      </c>
      <c r="CW232">
        <v>0</v>
      </c>
      <c r="CX232">
        <v>5</v>
      </c>
      <c r="CY232">
        <v>7</v>
      </c>
      <c r="CZ232" t="s">
        <v>131</v>
      </c>
      <c r="DA232">
        <v>300</v>
      </c>
      <c r="DB232">
        <v>0</v>
      </c>
      <c r="DC232" t="s">
        <v>176</v>
      </c>
      <c r="DD232" t="s">
        <v>177</v>
      </c>
      <c r="DG232">
        <v>5357780</v>
      </c>
      <c r="DI232">
        <v>0</v>
      </c>
      <c r="DJ232">
        <v>0</v>
      </c>
      <c r="DK232">
        <v>1</v>
      </c>
      <c r="DL232">
        <v>0</v>
      </c>
      <c r="DM232">
        <v>0</v>
      </c>
      <c r="DN232">
        <v>1</v>
      </c>
      <c r="DO232">
        <v>0</v>
      </c>
      <c r="DP232">
        <v>0</v>
      </c>
      <c r="DQ232">
        <v>0</v>
      </c>
      <c r="DR232">
        <v>0</v>
      </c>
      <c r="DS232">
        <v>0</v>
      </c>
    </row>
    <row r="233" spans="1:123" x14ac:dyDescent="0.3">
      <c r="A233" t="str">
        <f>"10/04/2022 19:26:20.025"</f>
        <v>10/04/2022 19:26:20.025</v>
      </c>
      <c r="C233" t="str">
        <f t="shared" si="77"/>
        <v>FFDFD3C0</v>
      </c>
      <c r="D233" t="s">
        <v>123</v>
      </c>
      <c r="E233">
        <v>7</v>
      </c>
      <c r="F233">
        <v>2007</v>
      </c>
      <c r="G233" t="s">
        <v>124</v>
      </c>
      <c r="J233" t="s">
        <v>125</v>
      </c>
      <c r="K233">
        <v>0</v>
      </c>
      <c r="L233">
        <v>3</v>
      </c>
      <c r="M233">
        <v>0</v>
      </c>
      <c r="N233">
        <v>2</v>
      </c>
      <c r="O233">
        <v>0</v>
      </c>
      <c r="P233">
        <v>1</v>
      </c>
      <c r="Q233">
        <v>0</v>
      </c>
      <c r="S233" t="str">
        <f t="shared" si="89"/>
        <v>19:26:19.000</v>
      </c>
      <c r="T233" t="str">
        <f t="shared" si="89"/>
        <v>19:26:19.000</v>
      </c>
      <c r="U233" t="str">
        <f t="shared" si="78"/>
        <v>AC3944</v>
      </c>
      <c r="V233">
        <v>0</v>
      </c>
      <c r="W233">
        <v>0</v>
      </c>
      <c r="X233">
        <v>2</v>
      </c>
      <c r="Y233">
        <v>0</v>
      </c>
      <c r="AA233">
        <v>1</v>
      </c>
      <c r="AB233">
        <v>8</v>
      </c>
      <c r="AC233">
        <v>3</v>
      </c>
      <c r="AD233">
        <v>0</v>
      </c>
      <c r="AE233">
        <v>9</v>
      </c>
      <c r="AF233" t="s">
        <v>138</v>
      </c>
      <c r="AG233">
        <v>0</v>
      </c>
      <c r="AH233">
        <v>3</v>
      </c>
      <c r="AI233">
        <v>1</v>
      </c>
      <c r="AJ233">
        <v>0</v>
      </c>
      <c r="AK233" t="s">
        <v>220</v>
      </c>
      <c r="AL233">
        <v>32.82835</v>
      </c>
      <c r="AM233" t="s">
        <v>221</v>
      </c>
      <c r="AN233">
        <v>-116.99424500000001</v>
      </c>
      <c r="AO233">
        <v>25</v>
      </c>
      <c r="AP233">
        <v>1300</v>
      </c>
      <c r="AQ233" t="s">
        <v>129</v>
      </c>
      <c r="AR233">
        <v>-104</v>
      </c>
      <c r="AS233">
        <v>-38</v>
      </c>
      <c r="AT233">
        <v>768</v>
      </c>
      <c r="BB233">
        <v>1200</v>
      </c>
      <c r="BC233">
        <v>1</v>
      </c>
      <c r="BD233" t="str">
        <f t="shared" si="79"/>
        <v xml:space="preserve">N887QR  </v>
      </c>
      <c r="BE233">
        <v>1</v>
      </c>
      <c r="BG233">
        <v>0</v>
      </c>
      <c r="BH233">
        <v>0</v>
      </c>
      <c r="BI233">
        <v>0</v>
      </c>
      <c r="BJ233">
        <v>1025</v>
      </c>
      <c r="BK233">
        <v>-275</v>
      </c>
      <c r="BL233" t="s">
        <v>163</v>
      </c>
      <c r="BM233">
        <v>1</v>
      </c>
      <c r="BN233">
        <v>1</v>
      </c>
      <c r="BO233">
        <v>1</v>
      </c>
      <c r="BP233">
        <v>0</v>
      </c>
      <c r="BS233">
        <v>0</v>
      </c>
      <c r="BT233">
        <v>0</v>
      </c>
      <c r="BU233">
        <v>0</v>
      </c>
      <c r="CE233" t="str">
        <f t="shared" ref="CE233:CE239" si="91">"19:26:19.805"</f>
        <v>19:26:19.805</v>
      </c>
      <c r="CF233">
        <v>805115956</v>
      </c>
      <c r="CS233">
        <v>3</v>
      </c>
      <c r="CT233">
        <v>2</v>
      </c>
      <c r="CU233">
        <v>0</v>
      </c>
      <c r="CV233">
        <v>2</v>
      </c>
      <c r="CW233">
        <v>0</v>
      </c>
      <c r="CX233">
        <v>0</v>
      </c>
      <c r="CY233">
        <v>7</v>
      </c>
      <c r="CZ233" t="s">
        <v>131</v>
      </c>
      <c r="DA233">
        <v>286</v>
      </c>
      <c r="DB233">
        <v>0</v>
      </c>
      <c r="DC233" t="s">
        <v>132</v>
      </c>
      <c r="DD233" t="s">
        <v>133</v>
      </c>
      <c r="DG233">
        <v>787611</v>
      </c>
      <c r="DI233">
        <v>0</v>
      </c>
      <c r="DJ233">
        <v>0</v>
      </c>
      <c r="DK233">
        <v>1</v>
      </c>
      <c r="DL233">
        <v>0</v>
      </c>
      <c r="DM233">
        <v>0</v>
      </c>
      <c r="DN233">
        <v>1</v>
      </c>
      <c r="DO233">
        <v>0</v>
      </c>
      <c r="DP233">
        <v>0</v>
      </c>
      <c r="DQ233">
        <v>0</v>
      </c>
      <c r="DR233">
        <v>0</v>
      </c>
      <c r="DS233">
        <v>0</v>
      </c>
    </row>
    <row r="234" spans="1:123" x14ac:dyDescent="0.3">
      <c r="A234" t="str">
        <f>"10/04/2022 19:26:20.025"</f>
        <v>10/04/2022 19:26:20.025</v>
      </c>
      <c r="C234" t="str">
        <f t="shared" si="77"/>
        <v>FFDFD3C0</v>
      </c>
      <c r="D234" t="s">
        <v>136</v>
      </c>
      <c r="E234">
        <v>8</v>
      </c>
      <c r="H234">
        <v>225</v>
      </c>
      <c r="I234" t="s">
        <v>137</v>
      </c>
      <c r="J234" t="s">
        <v>138</v>
      </c>
      <c r="K234">
        <v>0</v>
      </c>
      <c r="L234">
        <v>3</v>
      </c>
      <c r="M234">
        <v>0</v>
      </c>
      <c r="N234">
        <v>2</v>
      </c>
      <c r="O234">
        <v>0</v>
      </c>
      <c r="P234">
        <v>1</v>
      </c>
      <c r="Q234">
        <v>0</v>
      </c>
      <c r="S234" t="str">
        <f t="shared" si="89"/>
        <v>19:26:19.000</v>
      </c>
      <c r="T234" t="str">
        <f t="shared" si="89"/>
        <v>19:26:19.000</v>
      </c>
      <c r="U234" t="str">
        <f t="shared" si="78"/>
        <v>AC3944</v>
      </c>
      <c r="V234">
        <v>0</v>
      </c>
      <c r="W234">
        <v>0</v>
      </c>
      <c r="X234">
        <v>2</v>
      </c>
      <c r="Y234">
        <v>0</v>
      </c>
      <c r="AA234">
        <v>1</v>
      </c>
      <c r="AB234">
        <v>8</v>
      </c>
      <c r="AC234">
        <v>3</v>
      </c>
      <c r="AD234">
        <v>0</v>
      </c>
      <c r="AE234">
        <v>9</v>
      </c>
      <c r="AF234" t="s">
        <v>138</v>
      </c>
      <c r="AG234">
        <v>0</v>
      </c>
      <c r="AH234">
        <v>3</v>
      </c>
      <c r="AI234">
        <v>1</v>
      </c>
      <c r="AJ234">
        <v>0</v>
      </c>
      <c r="AK234" t="s">
        <v>220</v>
      </c>
      <c r="AL234">
        <v>32.82835</v>
      </c>
      <c r="AM234" t="s">
        <v>221</v>
      </c>
      <c r="AN234">
        <v>-116.99424500000001</v>
      </c>
      <c r="AO234">
        <v>25</v>
      </c>
      <c r="AP234">
        <v>1300</v>
      </c>
      <c r="AQ234" t="s">
        <v>129</v>
      </c>
      <c r="AR234">
        <v>-104</v>
      </c>
      <c r="AS234">
        <v>-38</v>
      </c>
      <c r="AT234">
        <v>768</v>
      </c>
      <c r="BB234">
        <v>1200</v>
      </c>
      <c r="BC234">
        <v>1</v>
      </c>
      <c r="BD234" t="str">
        <f t="shared" si="79"/>
        <v xml:space="preserve">N887QR  </v>
      </c>
      <c r="BE234">
        <v>1</v>
      </c>
      <c r="BG234">
        <v>0</v>
      </c>
      <c r="BH234">
        <v>0</v>
      </c>
      <c r="BI234">
        <v>0</v>
      </c>
      <c r="BJ234">
        <v>1025</v>
      </c>
      <c r="BK234">
        <v>-275</v>
      </c>
      <c r="BL234" t="s">
        <v>163</v>
      </c>
      <c r="BM234">
        <v>1</v>
      </c>
      <c r="BN234">
        <v>1</v>
      </c>
      <c r="BO234">
        <v>1</v>
      </c>
      <c r="BP234">
        <v>0</v>
      </c>
      <c r="BS234">
        <v>0</v>
      </c>
      <c r="BT234">
        <v>0</v>
      </c>
      <c r="BU234">
        <v>0</v>
      </c>
      <c r="CE234" t="str">
        <f t="shared" si="91"/>
        <v>19:26:19.805</v>
      </c>
      <c r="CF234">
        <v>805115956</v>
      </c>
      <c r="CS234">
        <v>3</v>
      </c>
      <c r="CT234">
        <v>2</v>
      </c>
      <c r="CU234">
        <v>0</v>
      </c>
      <c r="CV234">
        <v>2</v>
      </c>
      <c r="CW234">
        <v>0</v>
      </c>
      <c r="CX234">
        <v>0</v>
      </c>
      <c r="CY234">
        <v>7</v>
      </c>
      <c r="CZ234" t="s">
        <v>131</v>
      </c>
      <c r="DA234">
        <v>286</v>
      </c>
      <c r="DB234">
        <v>0</v>
      </c>
      <c r="DC234" t="s">
        <v>132</v>
      </c>
      <c r="DD234" t="s">
        <v>133</v>
      </c>
      <c r="DG234">
        <v>787611</v>
      </c>
      <c r="DI234">
        <v>0</v>
      </c>
      <c r="DJ234">
        <v>0</v>
      </c>
      <c r="DK234">
        <v>1</v>
      </c>
      <c r="DL234">
        <v>0</v>
      </c>
      <c r="DM234">
        <v>0</v>
      </c>
      <c r="DN234">
        <v>1</v>
      </c>
      <c r="DO234">
        <v>0</v>
      </c>
      <c r="DP234">
        <v>0</v>
      </c>
      <c r="DQ234">
        <v>0</v>
      </c>
      <c r="DR234">
        <v>0</v>
      </c>
      <c r="DS234">
        <v>0</v>
      </c>
    </row>
    <row r="235" spans="1:123" x14ac:dyDescent="0.3">
      <c r="A235" t="str">
        <f>"10/04/2022 19:26:20.025"</f>
        <v>10/04/2022 19:26:20.025</v>
      </c>
      <c r="C235" t="str">
        <f t="shared" si="77"/>
        <v>FFDFD3C0</v>
      </c>
      <c r="D235" t="s">
        <v>147</v>
      </c>
      <c r="E235">
        <v>3</v>
      </c>
      <c r="H235">
        <v>166</v>
      </c>
      <c r="I235" t="s">
        <v>144</v>
      </c>
      <c r="J235" t="s">
        <v>148</v>
      </c>
      <c r="K235">
        <v>0</v>
      </c>
      <c r="L235">
        <v>3</v>
      </c>
      <c r="M235">
        <v>0</v>
      </c>
      <c r="N235">
        <v>2</v>
      </c>
      <c r="O235">
        <v>0</v>
      </c>
      <c r="P235">
        <v>1</v>
      </c>
      <c r="Q235">
        <v>0</v>
      </c>
      <c r="S235" t="str">
        <f t="shared" si="89"/>
        <v>19:26:19.000</v>
      </c>
      <c r="T235" t="str">
        <f t="shared" si="89"/>
        <v>19:26:19.000</v>
      </c>
      <c r="U235" t="str">
        <f t="shared" si="78"/>
        <v>AC3944</v>
      </c>
      <c r="V235">
        <v>0</v>
      </c>
      <c r="W235">
        <v>0</v>
      </c>
      <c r="X235">
        <v>2</v>
      </c>
      <c r="Y235">
        <v>0</v>
      </c>
      <c r="AA235">
        <v>1</v>
      </c>
      <c r="AB235">
        <v>8</v>
      </c>
      <c r="AC235">
        <v>3</v>
      </c>
      <c r="AD235">
        <v>0</v>
      </c>
      <c r="AE235">
        <v>9</v>
      </c>
      <c r="AF235" t="s">
        <v>138</v>
      </c>
      <c r="AG235">
        <v>0</v>
      </c>
      <c r="AH235">
        <v>3</v>
      </c>
      <c r="AI235">
        <v>1</v>
      </c>
      <c r="AJ235">
        <v>0</v>
      </c>
      <c r="AK235" t="s">
        <v>220</v>
      </c>
      <c r="AL235">
        <v>32.82835</v>
      </c>
      <c r="AM235" t="s">
        <v>221</v>
      </c>
      <c r="AN235">
        <v>-116.99424500000001</v>
      </c>
      <c r="AO235">
        <v>25</v>
      </c>
      <c r="AP235">
        <v>1300</v>
      </c>
      <c r="AQ235" t="s">
        <v>129</v>
      </c>
      <c r="AR235">
        <v>-104</v>
      </c>
      <c r="AS235">
        <v>-38</v>
      </c>
      <c r="AT235">
        <v>768</v>
      </c>
      <c r="BB235">
        <v>1200</v>
      </c>
      <c r="BC235">
        <v>1</v>
      </c>
      <c r="BD235" t="str">
        <f t="shared" si="79"/>
        <v xml:space="preserve">N887QR  </v>
      </c>
      <c r="BE235">
        <v>1</v>
      </c>
      <c r="BG235">
        <v>0</v>
      </c>
      <c r="BH235">
        <v>0</v>
      </c>
      <c r="BI235">
        <v>0</v>
      </c>
      <c r="BJ235">
        <v>1025</v>
      </c>
      <c r="BK235">
        <v>-275</v>
      </c>
      <c r="BL235" t="s">
        <v>163</v>
      </c>
      <c r="BM235">
        <v>1</v>
      </c>
      <c r="BN235">
        <v>1</v>
      </c>
      <c r="BO235">
        <v>1</v>
      </c>
      <c r="BP235">
        <v>0</v>
      </c>
      <c r="BS235">
        <v>0</v>
      </c>
      <c r="BT235">
        <v>0</v>
      </c>
      <c r="BU235">
        <v>0</v>
      </c>
      <c r="CE235" t="str">
        <f t="shared" si="91"/>
        <v>19:26:19.805</v>
      </c>
      <c r="CF235">
        <v>805115956</v>
      </c>
      <c r="CS235">
        <v>3</v>
      </c>
      <c r="CT235">
        <v>2</v>
      </c>
      <c r="CU235">
        <v>0</v>
      </c>
      <c r="CV235">
        <v>2</v>
      </c>
      <c r="CW235">
        <v>0</v>
      </c>
      <c r="CX235">
        <v>0</v>
      </c>
      <c r="CY235">
        <v>7</v>
      </c>
      <c r="CZ235" t="s">
        <v>131</v>
      </c>
      <c r="DA235">
        <v>286</v>
      </c>
      <c r="DB235">
        <v>0</v>
      </c>
      <c r="DC235" t="s">
        <v>132</v>
      </c>
      <c r="DD235" t="s">
        <v>133</v>
      </c>
      <c r="DG235">
        <v>787611</v>
      </c>
      <c r="DI235">
        <v>0</v>
      </c>
      <c r="DJ235">
        <v>0</v>
      </c>
      <c r="DK235">
        <v>1</v>
      </c>
      <c r="DL235">
        <v>0</v>
      </c>
      <c r="DM235">
        <v>0</v>
      </c>
      <c r="DN235">
        <v>1</v>
      </c>
      <c r="DO235">
        <v>0</v>
      </c>
      <c r="DP235">
        <v>0</v>
      </c>
      <c r="DQ235">
        <v>0</v>
      </c>
      <c r="DR235">
        <v>0</v>
      </c>
      <c r="DS235">
        <v>0</v>
      </c>
    </row>
    <row r="236" spans="1:123" x14ac:dyDescent="0.3">
      <c r="A236" t="str">
        <f>"10/04/2022 19:26:20.025"</f>
        <v>10/04/2022 19:26:20.025</v>
      </c>
      <c r="C236" t="str">
        <f t="shared" si="77"/>
        <v>FFDFD3C0</v>
      </c>
      <c r="D236" t="s">
        <v>134</v>
      </c>
      <c r="E236">
        <v>15</v>
      </c>
      <c r="J236" t="s">
        <v>135</v>
      </c>
      <c r="K236">
        <v>0</v>
      </c>
      <c r="L236">
        <v>3</v>
      </c>
      <c r="M236">
        <v>0</v>
      </c>
      <c r="N236">
        <v>2</v>
      </c>
      <c r="O236">
        <v>0</v>
      </c>
      <c r="P236">
        <v>1</v>
      </c>
      <c r="Q236">
        <v>0</v>
      </c>
      <c r="S236" t="str">
        <f t="shared" si="89"/>
        <v>19:26:19.000</v>
      </c>
      <c r="T236" t="str">
        <f t="shared" si="89"/>
        <v>19:26:19.000</v>
      </c>
      <c r="U236" t="str">
        <f t="shared" si="78"/>
        <v>AC3944</v>
      </c>
      <c r="V236">
        <v>0</v>
      </c>
      <c r="W236">
        <v>0</v>
      </c>
      <c r="X236">
        <v>2</v>
      </c>
      <c r="Y236">
        <v>0</v>
      </c>
      <c r="AA236">
        <v>1</v>
      </c>
      <c r="AB236">
        <v>8</v>
      </c>
      <c r="AC236">
        <v>3</v>
      </c>
      <c r="AD236">
        <v>0</v>
      </c>
      <c r="AE236">
        <v>9</v>
      </c>
      <c r="AF236" t="s">
        <v>138</v>
      </c>
      <c r="AG236">
        <v>0</v>
      </c>
      <c r="AH236">
        <v>3</v>
      </c>
      <c r="AI236">
        <v>1</v>
      </c>
      <c r="AJ236">
        <v>0</v>
      </c>
      <c r="AK236" t="s">
        <v>220</v>
      </c>
      <c r="AL236">
        <v>32.82835</v>
      </c>
      <c r="AM236" t="s">
        <v>221</v>
      </c>
      <c r="AN236">
        <v>-116.99424500000001</v>
      </c>
      <c r="AO236">
        <v>25</v>
      </c>
      <c r="AP236">
        <v>1300</v>
      </c>
      <c r="AQ236" t="s">
        <v>129</v>
      </c>
      <c r="AR236">
        <v>-104</v>
      </c>
      <c r="AS236">
        <v>-38</v>
      </c>
      <c r="AT236">
        <v>768</v>
      </c>
      <c r="BB236">
        <v>1200</v>
      </c>
      <c r="BC236">
        <v>1</v>
      </c>
      <c r="BD236" t="str">
        <f t="shared" si="79"/>
        <v xml:space="preserve">N887QR  </v>
      </c>
      <c r="BE236">
        <v>1</v>
      </c>
      <c r="BG236">
        <v>0</v>
      </c>
      <c r="BH236">
        <v>0</v>
      </c>
      <c r="BI236">
        <v>0</v>
      </c>
      <c r="BJ236">
        <v>1025</v>
      </c>
      <c r="BK236">
        <v>-275</v>
      </c>
      <c r="BL236" t="s">
        <v>163</v>
      </c>
      <c r="BM236">
        <v>1</v>
      </c>
      <c r="BN236">
        <v>1</v>
      </c>
      <c r="BO236">
        <v>1</v>
      </c>
      <c r="BP236">
        <v>0</v>
      </c>
      <c r="BS236">
        <v>0</v>
      </c>
      <c r="BT236">
        <v>0</v>
      </c>
      <c r="BU236">
        <v>0</v>
      </c>
      <c r="CE236" t="str">
        <f t="shared" si="91"/>
        <v>19:26:19.805</v>
      </c>
      <c r="CF236">
        <v>805115956</v>
      </c>
      <c r="CS236">
        <v>3</v>
      </c>
      <c r="CT236">
        <v>2</v>
      </c>
      <c r="CU236">
        <v>0</v>
      </c>
      <c r="CV236">
        <v>2</v>
      </c>
      <c r="CW236">
        <v>0</v>
      </c>
      <c r="CX236">
        <v>0</v>
      </c>
      <c r="CY236">
        <v>7</v>
      </c>
      <c r="CZ236" t="s">
        <v>131</v>
      </c>
      <c r="DA236">
        <v>286</v>
      </c>
      <c r="DB236">
        <v>0</v>
      </c>
      <c r="DC236" t="s">
        <v>132</v>
      </c>
      <c r="DD236" t="s">
        <v>133</v>
      </c>
      <c r="DG236">
        <v>787611</v>
      </c>
      <c r="DI236">
        <v>0</v>
      </c>
      <c r="DJ236">
        <v>0</v>
      </c>
      <c r="DK236">
        <v>1</v>
      </c>
      <c r="DL236">
        <v>0</v>
      </c>
      <c r="DM236">
        <v>0</v>
      </c>
      <c r="DN236">
        <v>1</v>
      </c>
      <c r="DO236">
        <v>0</v>
      </c>
      <c r="DP236">
        <v>0</v>
      </c>
      <c r="DQ236">
        <v>0</v>
      </c>
      <c r="DR236">
        <v>0</v>
      </c>
      <c r="DS236">
        <v>0</v>
      </c>
    </row>
    <row r="237" spans="1:123" x14ac:dyDescent="0.3">
      <c r="A237" t="str">
        <f>"10/04/2022 19:26:20.056"</f>
        <v>10/04/2022 19:26:20.056</v>
      </c>
      <c r="C237" t="str">
        <f t="shared" si="77"/>
        <v>FFDFD3C0</v>
      </c>
      <c r="D237" t="s">
        <v>141</v>
      </c>
      <c r="E237">
        <v>3</v>
      </c>
      <c r="H237">
        <v>3</v>
      </c>
      <c r="I237" t="s">
        <v>146</v>
      </c>
      <c r="J237" t="s">
        <v>138</v>
      </c>
      <c r="K237">
        <v>0</v>
      </c>
      <c r="L237">
        <v>3</v>
      </c>
      <c r="M237">
        <v>0</v>
      </c>
      <c r="N237">
        <v>2</v>
      </c>
      <c r="O237">
        <v>0</v>
      </c>
      <c r="P237">
        <v>1</v>
      </c>
      <c r="Q237">
        <v>0</v>
      </c>
      <c r="S237" t="str">
        <f t="shared" si="89"/>
        <v>19:26:19.000</v>
      </c>
      <c r="T237" t="str">
        <f t="shared" si="89"/>
        <v>19:26:19.000</v>
      </c>
      <c r="U237" t="str">
        <f t="shared" si="78"/>
        <v>AC3944</v>
      </c>
      <c r="V237">
        <v>0</v>
      </c>
      <c r="W237">
        <v>0</v>
      </c>
      <c r="X237">
        <v>2</v>
      </c>
      <c r="Y237">
        <v>0</v>
      </c>
      <c r="AA237">
        <v>1</v>
      </c>
      <c r="AB237">
        <v>8</v>
      </c>
      <c r="AC237">
        <v>3</v>
      </c>
      <c r="AD237">
        <v>0</v>
      </c>
      <c r="AE237">
        <v>9</v>
      </c>
      <c r="AF237" t="s">
        <v>138</v>
      </c>
      <c r="AG237">
        <v>0</v>
      </c>
      <c r="AH237">
        <v>3</v>
      </c>
      <c r="AI237">
        <v>1</v>
      </c>
      <c r="AJ237">
        <v>0</v>
      </c>
      <c r="AK237" t="s">
        <v>220</v>
      </c>
      <c r="AL237">
        <v>32.82835</v>
      </c>
      <c r="AM237" t="s">
        <v>221</v>
      </c>
      <c r="AN237">
        <v>-116.99424500000001</v>
      </c>
      <c r="AO237">
        <v>25</v>
      </c>
      <c r="AP237">
        <v>1300</v>
      </c>
      <c r="AQ237" t="s">
        <v>129</v>
      </c>
      <c r="AR237">
        <v>-104</v>
      </c>
      <c r="AS237">
        <v>-38</v>
      </c>
      <c r="AT237">
        <v>768</v>
      </c>
      <c r="BB237">
        <v>1200</v>
      </c>
      <c r="BC237">
        <v>1</v>
      </c>
      <c r="BD237" t="str">
        <f t="shared" si="79"/>
        <v xml:space="preserve">N887QR  </v>
      </c>
      <c r="BE237">
        <v>1</v>
      </c>
      <c r="BG237">
        <v>0</v>
      </c>
      <c r="BH237">
        <v>0</v>
      </c>
      <c r="BI237">
        <v>0</v>
      </c>
      <c r="BJ237">
        <v>1025</v>
      </c>
      <c r="BK237">
        <v>-275</v>
      </c>
      <c r="BL237" t="s">
        <v>163</v>
      </c>
      <c r="BM237">
        <v>1</v>
      </c>
      <c r="BN237">
        <v>1</v>
      </c>
      <c r="BO237">
        <v>1</v>
      </c>
      <c r="BP237">
        <v>0</v>
      </c>
      <c r="BS237">
        <v>0</v>
      </c>
      <c r="BT237">
        <v>0</v>
      </c>
      <c r="BU237">
        <v>0</v>
      </c>
      <c r="CE237" t="str">
        <f t="shared" si="91"/>
        <v>19:26:19.805</v>
      </c>
      <c r="CF237">
        <v>805115956</v>
      </c>
      <c r="CS237">
        <v>3</v>
      </c>
      <c r="CT237">
        <v>2</v>
      </c>
      <c r="CU237">
        <v>0</v>
      </c>
      <c r="CV237">
        <v>2</v>
      </c>
      <c r="CW237">
        <v>0</v>
      </c>
      <c r="CX237">
        <v>0</v>
      </c>
      <c r="CY237">
        <v>7</v>
      </c>
      <c r="CZ237" t="s">
        <v>131</v>
      </c>
      <c r="DA237">
        <v>286</v>
      </c>
      <c r="DB237">
        <v>0</v>
      </c>
      <c r="DC237" t="s">
        <v>132</v>
      </c>
      <c r="DD237" t="s">
        <v>133</v>
      </c>
      <c r="DG237">
        <v>787611</v>
      </c>
      <c r="DI237">
        <v>0</v>
      </c>
      <c r="DJ237">
        <v>0</v>
      </c>
      <c r="DK237">
        <v>1</v>
      </c>
      <c r="DL237">
        <v>0</v>
      </c>
      <c r="DM237">
        <v>0</v>
      </c>
      <c r="DN237">
        <v>1</v>
      </c>
      <c r="DO237">
        <v>0</v>
      </c>
      <c r="DP237">
        <v>0</v>
      </c>
      <c r="DQ237">
        <v>0</v>
      </c>
      <c r="DR237">
        <v>0</v>
      </c>
      <c r="DS237">
        <v>0</v>
      </c>
    </row>
    <row r="238" spans="1:123" x14ac:dyDescent="0.3">
      <c r="A238" t="str">
        <f>"10/04/2022 19:26:20.056"</f>
        <v>10/04/2022 19:26:20.056</v>
      </c>
      <c r="C238" t="str">
        <f t="shared" si="77"/>
        <v>FFDFD3C0</v>
      </c>
      <c r="D238" t="s">
        <v>143</v>
      </c>
      <c r="E238">
        <v>20</v>
      </c>
      <c r="F238">
        <v>1020</v>
      </c>
      <c r="G238" t="s">
        <v>144</v>
      </c>
      <c r="J238" t="s">
        <v>145</v>
      </c>
      <c r="K238">
        <v>0</v>
      </c>
      <c r="L238">
        <v>3</v>
      </c>
      <c r="M238">
        <v>0</v>
      </c>
      <c r="N238">
        <v>2</v>
      </c>
      <c r="O238">
        <v>0</v>
      </c>
      <c r="P238">
        <v>1</v>
      </c>
      <c r="Q238">
        <v>0</v>
      </c>
      <c r="S238" t="str">
        <f t="shared" si="89"/>
        <v>19:26:19.000</v>
      </c>
      <c r="T238" t="str">
        <f t="shared" si="89"/>
        <v>19:26:19.000</v>
      </c>
      <c r="U238" t="str">
        <f t="shared" si="78"/>
        <v>AC3944</v>
      </c>
      <c r="V238">
        <v>0</v>
      </c>
      <c r="W238">
        <v>0</v>
      </c>
      <c r="X238">
        <v>2</v>
      </c>
      <c r="Y238">
        <v>0</v>
      </c>
      <c r="AA238">
        <v>1</v>
      </c>
      <c r="AB238">
        <v>8</v>
      </c>
      <c r="AC238">
        <v>3</v>
      </c>
      <c r="AD238">
        <v>0</v>
      </c>
      <c r="AE238">
        <v>9</v>
      </c>
      <c r="AF238" t="s">
        <v>138</v>
      </c>
      <c r="AG238">
        <v>0</v>
      </c>
      <c r="AH238">
        <v>3</v>
      </c>
      <c r="AI238">
        <v>1</v>
      </c>
      <c r="AJ238">
        <v>0</v>
      </c>
      <c r="AK238" t="s">
        <v>220</v>
      </c>
      <c r="AL238">
        <v>32.82835</v>
      </c>
      <c r="AM238" t="s">
        <v>221</v>
      </c>
      <c r="AN238">
        <v>-116.99424500000001</v>
      </c>
      <c r="AO238">
        <v>25</v>
      </c>
      <c r="AP238">
        <v>1300</v>
      </c>
      <c r="AQ238" t="s">
        <v>129</v>
      </c>
      <c r="AR238">
        <v>-104</v>
      </c>
      <c r="AS238">
        <v>-38</v>
      </c>
      <c r="AT238">
        <v>768</v>
      </c>
      <c r="BB238">
        <v>1200</v>
      </c>
      <c r="BC238">
        <v>1</v>
      </c>
      <c r="BD238" t="str">
        <f t="shared" si="79"/>
        <v xml:space="preserve">N887QR  </v>
      </c>
      <c r="BE238">
        <v>1</v>
      </c>
      <c r="BG238">
        <v>0</v>
      </c>
      <c r="BH238">
        <v>0</v>
      </c>
      <c r="BI238">
        <v>0</v>
      </c>
      <c r="BJ238">
        <v>1025</v>
      </c>
      <c r="BK238">
        <v>-275</v>
      </c>
      <c r="BL238" t="s">
        <v>163</v>
      </c>
      <c r="BM238">
        <v>1</v>
      </c>
      <c r="BN238">
        <v>1</v>
      </c>
      <c r="BO238">
        <v>1</v>
      </c>
      <c r="BP238">
        <v>0</v>
      </c>
      <c r="BS238">
        <v>0</v>
      </c>
      <c r="BT238">
        <v>0</v>
      </c>
      <c r="BU238">
        <v>0</v>
      </c>
      <c r="CE238" t="str">
        <f t="shared" si="91"/>
        <v>19:26:19.805</v>
      </c>
      <c r="CF238">
        <v>805115956</v>
      </c>
      <c r="CS238">
        <v>3</v>
      </c>
      <c r="CT238">
        <v>2</v>
      </c>
      <c r="CU238">
        <v>0</v>
      </c>
      <c r="CV238">
        <v>2</v>
      </c>
      <c r="CW238">
        <v>0</v>
      </c>
      <c r="CX238">
        <v>0</v>
      </c>
      <c r="CY238">
        <v>7</v>
      </c>
      <c r="CZ238" t="s">
        <v>131</v>
      </c>
      <c r="DA238">
        <v>286</v>
      </c>
      <c r="DB238">
        <v>0</v>
      </c>
      <c r="DC238" t="s">
        <v>132</v>
      </c>
      <c r="DD238" t="s">
        <v>133</v>
      </c>
      <c r="DG238">
        <v>787611</v>
      </c>
      <c r="DI238">
        <v>0</v>
      </c>
      <c r="DJ238">
        <v>0</v>
      </c>
      <c r="DK238">
        <v>1</v>
      </c>
      <c r="DL238">
        <v>0</v>
      </c>
      <c r="DM238">
        <v>0</v>
      </c>
      <c r="DN238">
        <v>1</v>
      </c>
      <c r="DO238">
        <v>0</v>
      </c>
      <c r="DP238">
        <v>0</v>
      </c>
      <c r="DQ238">
        <v>0</v>
      </c>
      <c r="DR238">
        <v>0</v>
      </c>
      <c r="DS238">
        <v>0</v>
      </c>
    </row>
    <row r="239" spans="1:123" x14ac:dyDescent="0.3">
      <c r="A239" t="str">
        <f>"10/04/2022 19:26:20.056"</f>
        <v>10/04/2022 19:26:20.056</v>
      </c>
      <c r="C239" t="str">
        <f t="shared" si="77"/>
        <v>FFDFD3C0</v>
      </c>
      <c r="D239" t="s">
        <v>141</v>
      </c>
      <c r="E239">
        <v>4</v>
      </c>
      <c r="H239">
        <v>4</v>
      </c>
      <c r="I239" t="s">
        <v>142</v>
      </c>
      <c r="J239" t="s">
        <v>138</v>
      </c>
      <c r="K239">
        <v>0</v>
      </c>
      <c r="L239">
        <v>3</v>
      </c>
      <c r="M239">
        <v>0</v>
      </c>
      <c r="N239">
        <v>2</v>
      </c>
      <c r="O239">
        <v>0</v>
      </c>
      <c r="P239">
        <v>1</v>
      </c>
      <c r="Q239">
        <v>0</v>
      </c>
      <c r="S239" t="str">
        <f t="shared" si="89"/>
        <v>19:26:19.000</v>
      </c>
      <c r="T239" t="str">
        <f t="shared" si="89"/>
        <v>19:26:19.000</v>
      </c>
      <c r="U239" t="str">
        <f t="shared" si="78"/>
        <v>AC3944</v>
      </c>
      <c r="V239">
        <v>0</v>
      </c>
      <c r="W239">
        <v>0</v>
      </c>
      <c r="X239">
        <v>2</v>
      </c>
      <c r="Y239">
        <v>0</v>
      </c>
      <c r="AA239">
        <v>1</v>
      </c>
      <c r="AB239">
        <v>8</v>
      </c>
      <c r="AC239">
        <v>3</v>
      </c>
      <c r="AD239">
        <v>0</v>
      </c>
      <c r="AE239">
        <v>9</v>
      </c>
      <c r="AF239" t="s">
        <v>138</v>
      </c>
      <c r="AG239">
        <v>0</v>
      </c>
      <c r="AH239">
        <v>3</v>
      </c>
      <c r="AI239">
        <v>1</v>
      </c>
      <c r="AJ239">
        <v>0</v>
      </c>
      <c r="AK239" t="s">
        <v>220</v>
      </c>
      <c r="AL239">
        <v>32.82835</v>
      </c>
      <c r="AM239" t="s">
        <v>221</v>
      </c>
      <c r="AN239">
        <v>-116.99424500000001</v>
      </c>
      <c r="AO239">
        <v>25</v>
      </c>
      <c r="AP239">
        <v>1300</v>
      </c>
      <c r="AQ239" t="s">
        <v>129</v>
      </c>
      <c r="AR239">
        <v>-104</v>
      </c>
      <c r="AS239">
        <v>-38</v>
      </c>
      <c r="AT239">
        <v>768</v>
      </c>
      <c r="BB239">
        <v>1200</v>
      </c>
      <c r="BC239">
        <v>1</v>
      </c>
      <c r="BD239" t="str">
        <f t="shared" si="79"/>
        <v xml:space="preserve">N887QR  </v>
      </c>
      <c r="BE239">
        <v>1</v>
      </c>
      <c r="BG239">
        <v>0</v>
      </c>
      <c r="BH239">
        <v>0</v>
      </c>
      <c r="BI239">
        <v>0</v>
      </c>
      <c r="BJ239">
        <v>1025</v>
      </c>
      <c r="BK239">
        <v>-275</v>
      </c>
      <c r="BL239" t="s">
        <v>163</v>
      </c>
      <c r="BM239">
        <v>1</v>
      </c>
      <c r="BN239">
        <v>1</v>
      </c>
      <c r="BO239">
        <v>1</v>
      </c>
      <c r="BP239">
        <v>0</v>
      </c>
      <c r="BS239">
        <v>0</v>
      </c>
      <c r="BT239">
        <v>0</v>
      </c>
      <c r="BU239">
        <v>0</v>
      </c>
      <c r="CE239" t="str">
        <f t="shared" si="91"/>
        <v>19:26:19.805</v>
      </c>
      <c r="CF239">
        <v>805115956</v>
      </c>
      <c r="CS239">
        <v>3</v>
      </c>
      <c r="CT239">
        <v>2</v>
      </c>
      <c r="CU239">
        <v>0</v>
      </c>
      <c r="CV239">
        <v>2</v>
      </c>
      <c r="CW239">
        <v>0</v>
      </c>
      <c r="CX239">
        <v>0</v>
      </c>
      <c r="CY239">
        <v>7</v>
      </c>
      <c r="CZ239" t="s">
        <v>131</v>
      </c>
      <c r="DA239">
        <v>286</v>
      </c>
      <c r="DB239">
        <v>0</v>
      </c>
      <c r="DC239" t="s">
        <v>132</v>
      </c>
      <c r="DD239" t="s">
        <v>133</v>
      </c>
      <c r="DG239">
        <v>787611</v>
      </c>
      <c r="DI239">
        <v>0</v>
      </c>
      <c r="DJ239">
        <v>0</v>
      </c>
      <c r="DK239">
        <v>1</v>
      </c>
      <c r="DL239">
        <v>0</v>
      </c>
      <c r="DM239">
        <v>0</v>
      </c>
      <c r="DN239">
        <v>1</v>
      </c>
      <c r="DO239">
        <v>0</v>
      </c>
      <c r="DP239">
        <v>0</v>
      </c>
      <c r="DQ239">
        <v>0</v>
      </c>
      <c r="DR239">
        <v>0</v>
      </c>
      <c r="DS239">
        <v>0</v>
      </c>
    </row>
    <row r="240" spans="1:123" x14ac:dyDescent="0.3">
      <c r="A240" t="str">
        <f>"10/04/2022 19:26:21.742"</f>
        <v>10/04/2022 19:26:21.742</v>
      </c>
      <c r="C240" t="str">
        <f t="shared" si="77"/>
        <v>FFDFD3C0</v>
      </c>
      <c r="D240" t="s">
        <v>136</v>
      </c>
      <c r="E240">
        <v>8</v>
      </c>
      <c r="H240">
        <v>225</v>
      </c>
      <c r="I240" t="s">
        <v>137</v>
      </c>
      <c r="J240" t="s">
        <v>138</v>
      </c>
      <c r="K240">
        <v>0</v>
      </c>
      <c r="L240">
        <v>3</v>
      </c>
      <c r="M240">
        <v>0</v>
      </c>
      <c r="N240">
        <v>2</v>
      </c>
      <c r="O240">
        <v>0</v>
      </c>
      <c r="P240">
        <v>1</v>
      </c>
      <c r="Q240">
        <v>0</v>
      </c>
      <c r="S240" t="str">
        <f t="shared" ref="S240:T253" si="92">"19:26:21.000"</f>
        <v>19:26:21.000</v>
      </c>
      <c r="T240" t="str">
        <f t="shared" si="92"/>
        <v>19:26:21.000</v>
      </c>
      <c r="U240" t="str">
        <f t="shared" si="78"/>
        <v>AC3944</v>
      </c>
      <c r="V240">
        <v>0</v>
      </c>
      <c r="W240">
        <v>0</v>
      </c>
      <c r="X240">
        <v>2</v>
      </c>
      <c r="Y240">
        <v>0</v>
      </c>
      <c r="AA240">
        <v>1</v>
      </c>
      <c r="AB240">
        <v>8</v>
      </c>
      <c r="AC240">
        <v>3</v>
      </c>
      <c r="AD240">
        <v>0</v>
      </c>
      <c r="AE240">
        <v>9</v>
      </c>
      <c r="AF240" t="s">
        <v>138</v>
      </c>
      <c r="AG240">
        <v>0</v>
      </c>
      <c r="AH240">
        <v>3</v>
      </c>
      <c r="AI240">
        <v>1</v>
      </c>
      <c r="AJ240">
        <v>0</v>
      </c>
      <c r="AK240" t="s">
        <v>222</v>
      </c>
      <c r="AL240">
        <v>32.828156999999997</v>
      </c>
      <c r="AM240" t="s">
        <v>223</v>
      </c>
      <c r="AN240">
        <v>-116.994803</v>
      </c>
      <c r="AO240">
        <v>25</v>
      </c>
      <c r="AP240">
        <v>1400</v>
      </c>
      <c r="AQ240" t="s">
        <v>129</v>
      </c>
      <c r="AR240">
        <v>-98</v>
      </c>
      <c r="AS240">
        <v>-51</v>
      </c>
      <c r="AT240">
        <v>640</v>
      </c>
      <c r="BB240">
        <v>1200</v>
      </c>
      <c r="BC240">
        <v>1</v>
      </c>
      <c r="BD240" t="str">
        <f t="shared" si="79"/>
        <v xml:space="preserve">N887QR  </v>
      </c>
      <c r="BE240">
        <v>1</v>
      </c>
      <c r="BG240">
        <v>0</v>
      </c>
      <c r="BH240">
        <v>0</v>
      </c>
      <c r="BI240">
        <v>0</v>
      </c>
      <c r="BJ240">
        <v>1025</v>
      </c>
      <c r="BK240">
        <v>-375</v>
      </c>
      <c r="BL240" t="s">
        <v>163</v>
      </c>
      <c r="BM240">
        <v>1</v>
      </c>
      <c r="BN240">
        <v>1</v>
      </c>
      <c r="BO240">
        <v>1</v>
      </c>
      <c r="BP240">
        <v>0</v>
      </c>
      <c r="BS240">
        <v>0</v>
      </c>
      <c r="BT240">
        <v>0</v>
      </c>
      <c r="BU240">
        <v>0</v>
      </c>
      <c r="CE240" t="str">
        <f t="shared" ref="CE240:CE246" si="93">"19:26:21.529"</f>
        <v>19:26:21.529</v>
      </c>
      <c r="CF240">
        <v>528840277</v>
      </c>
      <c r="CS240">
        <v>3</v>
      </c>
      <c r="CT240">
        <v>2</v>
      </c>
      <c r="CU240">
        <v>0</v>
      </c>
      <c r="CV240">
        <v>2</v>
      </c>
      <c r="CW240">
        <v>0</v>
      </c>
      <c r="CX240">
        <v>6</v>
      </c>
      <c r="CY240">
        <v>7</v>
      </c>
      <c r="CZ240" t="s">
        <v>131</v>
      </c>
      <c r="DA240">
        <v>300</v>
      </c>
      <c r="DB240">
        <v>0</v>
      </c>
      <c r="DC240" t="s">
        <v>176</v>
      </c>
      <c r="DD240" t="s">
        <v>177</v>
      </c>
      <c r="DG240">
        <v>5358103</v>
      </c>
      <c r="DI240">
        <v>0</v>
      </c>
      <c r="DJ240">
        <v>0</v>
      </c>
      <c r="DK240">
        <v>0</v>
      </c>
      <c r="DL240">
        <v>0</v>
      </c>
      <c r="DM240">
        <v>0</v>
      </c>
      <c r="DN240">
        <v>1</v>
      </c>
      <c r="DO240">
        <v>0</v>
      </c>
      <c r="DP240">
        <v>0</v>
      </c>
      <c r="DQ240">
        <v>0</v>
      </c>
      <c r="DR240">
        <v>0</v>
      </c>
      <c r="DS240">
        <v>0</v>
      </c>
    </row>
    <row r="241" spans="1:123" x14ac:dyDescent="0.3">
      <c r="A241" t="str">
        <f>"10/04/2022 19:26:21.789"</f>
        <v>10/04/2022 19:26:21.789</v>
      </c>
      <c r="C241" t="str">
        <f t="shared" si="77"/>
        <v>FFDFD3C0</v>
      </c>
      <c r="D241" t="s">
        <v>147</v>
      </c>
      <c r="E241">
        <v>3</v>
      </c>
      <c r="H241">
        <v>166</v>
      </c>
      <c r="I241" t="s">
        <v>144</v>
      </c>
      <c r="J241" t="s">
        <v>148</v>
      </c>
      <c r="K241">
        <v>0</v>
      </c>
      <c r="L241">
        <v>3</v>
      </c>
      <c r="M241">
        <v>0</v>
      </c>
      <c r="N241">
        <v>2</v>
      </c>
      <c r="O241">
        <v>0</v>
      </c>
      <c r="P241">
        <v>1</v>
      </c>
      <c r="Q241">
        <v>0</v>
      </c>
      <c r="S241" t="str">
        <f t="shared" si="92"/>
        <v>19:26:21.000</v>
      </c>
      <c r="T241" t="str">
        <f t="shared" si="92"/>
        <v>19:26:21.000</v>
      </c>
      <c r="U241" t="str">
        <f t="shared" si="78"/>
        <v>AC3944</v>
      </c>
      <c r="V241">
        <v>0</v>
      </c>
      <c r="W241">
        <v>0</v>
      </c>
      <c r="X241">
        <v>2</v>
      </c>
      <c r="Y241">
        <v>0</v>
      </c>
      <c r="AA241">
        <v>1</v>
      </c>
      <c r="AB241">
        <v>8</v>
      </c>
      <c r="AC241">
        <v>3</v>
      </c>
      <c r="AD241">
        <v>0</v>
      </c>
      <c r="AE241">
        <v>9</v>
      </c>
      <c r="AF241" t="s">
        <v>138</v>
      </c>
      <c r="AG241">
        <v>0</v>
      </c>
      <c r="AH241">
        <v>3</v>
      </c>
      <c r="AI241">
        <v>1</v>
      </c>
      <c r="AJ241">
        <v>0</v>
      </c>
      <c r="AK241" t="s">
        <v>222</v>
      </c>
      <c r="AL241">
        <v>32.828156999999997</v>
      </c>
      <c r="AM241" t="s">
        <v>223</v>
      </c>
      <c r="AN241">
        <v>-116.994803</v>
      </c>
      <c r="AO241">
        <v>25</v>
      </c>
      <c r="AP241">
        <v>1400</v>
      </c>
      <c r="AQ241" t="s">
        <v>129</v>
      </c>
      <c r="AR241">
        <v>-98</v>
      </c>
      <c r="AS241">
        <v>-51</v>
      </c>
      <c r="AT241">
        <v>640</v>
      </c>
      <c r="BB241">
        <v>1200</v>
      </c>
      <c r="BC241">
        <v>1</v>
      </c>
      <c r="BD241" t="str">
        <f t="shared" si="79"/>
        <v xml:space="preserve">N887QR  </v>
      </c>
      <c r="BE241">
        <v>1</v>
      </c>
      <c r="BG241">
        <v>0</v>
      </c>
      <c r="BH241">
        <v>0</v>
      </c>
      <c r="BI241">
        <v>0</v>
      </c>
      <c r="BJ241">
        <v>1025</v>
      </c>
      <c r="BK241">
        <v>-375</v>
      </c>
      <c r="BL241" t="s">
        <v>163</v>
      </c>
      <c r="BM241">
        <v>1</v>
      </c>
      <c r="BN241">
        <v>1</v>
      </c>
      <c r="BO241">
        <v>1</v>
      </c>
      <c r="BP241">
        <v>0</v>
      </c>
      <c r="BS241">
        <v>0</v>
      </c>
      <c r="BT241">
        <v>0</v>
      </c>
      <c r="BU241">
        <v>0</v>
      </c>
      <c r="CE241" t="str">
        <f t="shared" si="93"/>
        <v>19:26:21.529</v>
      </c>
      <c r="CF241">
        <v>528840277</v>
      </c>
      <c r="CS241">
        <v>3</v>
      </c>
      <c r="CT241">
        <v>2</v>
      </c>
      <c r="CU241">
        <v>0</v>
      </c>
      <c r="CV241">
        <v>2</v>
      </c>
      <c r="CW241">
        <v>0</v>
      </c>
      <c r="CX241">
        <v>6</v>
      </c>
      <c r="CY241">
        <v>7</v>
      </c>
      <c r="CZ241" t="s">
        <v>131</v>
      </c>
      <c r="DA241">
        <v>300</v>
      </c>
      <c r="DB241">
        <v>0</v>
      </c>
      <c r="DC241" t="s">
        <v>176</v>
      </c>
      <c r="DD241" t="s">
        <v>177</v>
      </c>
      <c r="DG241">
        <v>5358103</v>
      </c>
      <c r="DI241">
        <v>0</v>
      </c>
      <c r="DJ241">
        <v>0</v>
      </c>
      <c r="DK241">
        <v>1</v>
      </c>
      <c r="DL241">
        <v>0</v>
      </c>
      <c r="DM241">
        <v>0</v>
      </c>
      <c r="DN241">
        <v>1</v>
      </c>
      <c r="DO241">
        <v>0</v>
      </c>
      <c r="DP241">
        <v>0</v>
      </c>
      <c r="DQ241">
        <v>0</v>
      </c>
      <c r="DR241">
        <v>0</v>
      </c>
      <c r="DS241">
        <v>0</v>
      </c>
    </row>
    <row r="242" spans="1:123" x14ac:dyDescent="0.3">
      <c r="A242" t="str">
        <f>"10/04/2022 19:26:21.789"</f>
        <v>10/04/2022 19:26:21.789</v>
      </c>
      <c r="C242" t="str">
        <f t="shared" si="77"/>
        <v>FFDFD3C0</v>
      </c>
      <c r="D242" t="s">
        <v>134</v>
      </c>
      <c r="E242">
        <v>15</v>
      </c>
      <c r="J242" t="s">
        <v>135</v>
      </c>
      <c r="K242">
        <v>0</v>
      </c>
      <c r="L242">
        <v>3</v>
      </c>
      <c r="M242">
        <v>0</v>
      </c>
      <c r="N242">
        <v>2</v>
      </c>
      <c r="O242">
        <v>0</v>
      </c>
      <c r="P242">
        <v>1</v>
      </c>
      <c r="Q242">
        <v>0</v>
      </c>
      <c r="S242" t="str">
        <f t="shared" si="92"/>
        <v>19:26:21.000</v>
      </c>
      <c r="T242" t="str">
        <f t="shared" si="92"/>
        <v>19:26:21.000</v>
      </c>
      <c r="U242" t="str">
        <f t="shared" si="78"/>
        <v>AC3944</v>
      </c>
      <c r="V242">
        <v>0</v>
      </c>
      <c r="W242">
        <v>0</v>
      </c>
      <c r="X242">
        <v>2</v>
      </c>
      <c r="Y242">
        <v>0</v>
      </c>
      <c r="AA242">
        <v>1</v>
      </c>
      <c r="AB242">
        <v>8</v>
      </c>
      <c r="AC242">
        <v>3</v>
      </c>
      <c r="AD242">
        <v>0</v>
      </c>
      <c r="AE242">
        <v>9</v>
      </c>
      <c r="AF242" t="s">
        <v>138</v>
      </c>
      <c r="AG242">
        <v>0</v>
      </c>
      <c r="AH242">
        <v>3</v>
      </c>
      <c r="AI242">
        <v>1</v>
      </c>
      <c r="AJ242">
        <v>0</v>
      </c>
      <c r="AK242" t="s">
        <v>222</v>
      </c>
      <c r="AL242">
        <v>32.828156999999997</v>
      </c>
      <c r="AM242" t="s">
        <v>223</v>
      </c>
      <c r="AN242">
        <v>-116.994803</v>
      </c>
      <c r="AO242">
        <v>25</v>
      </c>
      <c r="AP242">
        <v>1400</v>
      </c>
      <c r="AQ242" t="s">
        <v>129</v>
      </c>
      <c r="AR242">
        <v>-98</v>
      </c>
      <c r="AS242">
        <v>-51</v>
      </c>
      <c r="AT242">
        <v>640</v>
      </c>
      <c r="BB242">
        <v>1200</v>
      </c>
      <c r="BC242">
        <v>1</v>
      </c>
      <c r="BD242" t="str">
        <f t="shared" si="79"/>
        <v xml:space="preserve">N887QR  </v>
      </c>
      <c r="BE242">
        <v>1</v>
      </c>
      <c r="BG242">
        <v>0</v>
      </c>
      <c r="BH242">
        <v>0</v>
      </c>
      <c r="BI242">
        <v>0</v>
      </c>
      <c r="BJ242">
        <v>1025</v>
      </c>
      <c r="BK242">
        <v>-375</v>
      </c>
      <c r="BL242" t="s">
        <v>163</v>
      </c>
      <c r="BM242">
        <v>1</v>
      </c>
      <c r="BN242">
        <v>1</v>
      </c>
      <c r="BO242">
        <v>1</v>
      </c>
      <c r="BP242">
        <v>0</v>
      </c>
      <c r="BS242">
        <v>0</v>
      </c>
      <c r="BT242">
        <v>0</v>
      </c>
      <c r="BU242">
        <v>0</v>
      </c>
      <c r="CE242" t="str">
        <f t="shared" si="93"/>
        <v>19:26:21.529</v>
      </c>
      <c r="CF242">
        <v>528840277</v>
      </c>
      <c r="CS242">
        <v>3</v>
      </c>
      <c r="CT242">
        <v>2</v>
      </c>
      <c r="CU242">
        <v>0</v>
      </c>
      <c r="CV242">
        <v>2</v>
      </c>
      <c r="CW242">
        <v>0</v>
      </c>
      <c r="CX242">
        <v>6</v>
      </c>
      <c r="CY242">
        <v>7</v>
      </c>
      <c r="CZ242" t="s">
        <v>131</v>
      </c>
      <c r="DA242">
        <v>300</v>
      </c>
      <c r="DB242">
        <v>0</v>
      </c>
      <c r="DC242" t="s">
        <v>176</v>
      </c>
      <c r="DD242" t="s">
        <v>177</v>
      </c>
      <c r="DG242">
        <v>5358103</v>
      </c>
      <c r="DI242">
        <v>0</v>
      </c>
      <c r="DJ242">
        <v>0</v>
      </c>
      <c r="DK242">
        <v>1</v>
      </c>
      <c r="DL242">
        <v>0</v>
      </c>
      <c r="DM242">
        <v>0</v>
      </c>
      <c r="DN242">
        <v>1</v>
      </c>
      <c r="DO242">
        <v>0</v>
      </c>
      <c r="DP242">
        <v>0</v>
      </c>
      <c r="DQ242">
        <v>0</v>
      </c>
      <c r="DR242">
        <v>0</v>
      </c>
      <c r="DS242">
        <v>0</v>
      </c>
    </row>
    <row r="243" spans="1:123" x14ac:dyDescent="0.3">
      <c r="A243" t="str">
        <f>"10/04/2022 19:26:21.789"</f>
        <v>10/04/2022 19:26:21.789</v>
      </c>
      <c r="C243" t="str">
        <f t="shared" si="77"/>
        <v>FFDFD3C0</v>
      </c>
      <c r="D243" t="s">
        <v>143</v>
      </c>
      <c r="E243">
        <v>20</v>
      </c>
      <c r="F243">
        <v>1020</v>
      </c>
      <c r="G243" t="s">
        <v>144</v>
      </c>
      <c r="J243" t="s">
        <v>145</v>
      </c>
      <c r="K243">
        <v>0</v>
      </c>
      <c r="L243">
        <v>3</v>
      </c>
      <c r="M243">
        <v>0</v>
      </c>
      <c r="N243">
        <v>2</v>
      </c>
      <c r="O243">
        <v>0</v>
      </c>
      <c r="P243">
        <v>1</v>
      </c>
      <c r="Q243">
        <v>0</v>
      </c>
      <c r="S243" t="str">
        <f t="shared" si="92"/>
        <v>19:26:21.000</v>
      </c>
      <c r="T243" t="str">
        <f t="shared" si="92"/>
        <v>19:26:21.000</v>
      </c>
      <c r="U243" t="str">
        <f t="shared" si="78"/>
        <v>AC3944</v>
      </c>
      <c r="V243">
        <v>0</v>
      </c>
      <c r="W243">
        <v>0</v>
      </c>
      <c r="X243">
        <v>2</v>
      </c>
      <c r="Y243">
        <v>0</v>
      </c>
      <c r="AA243">
        <v>1</v>
      </c>
      <c r="AB243">
        <v>8</v>
      </c>
      <c r="AC243">
        <v>3</v>
      </c>
      <c r="AD243">
        <v>0</v>
      </c>
      <c r="AE243">
        <v>9</v>
      </c>
      <c r="AF243" t="s">
        <v>138</v>
      </c>
      <c r="AG243">
        <v>0</v>
      </c>
      <c r="AH243">
        <v>3</v>
      </c>
      <c r="AI243">
        <v>1</v>
      </c>
      <c r="AJ243">
        <v>0</v>
      </c>
      <c r="AK243" t="s">
        <v>222</v>
      </c>
      <c r="AL243">
        <v>32.828156999999997</v>
      </c>
      <c r="AM243" t="s">
        <v>223</v>
      </c>
      <c r="AN243">
        <v>-116.994803</v>
      </c>
      <c r="AO243">
        <v>25</v>
      </c>
      <c r="AP243">
        <v>1400</v>
      </c>
      <c r="AQ243" t="s">
        <v>129</v>
      </c>
      <c r="AR243">
        <v>-98</v>
      </c>
      <c r="AS243">
        <v>-51</v>
      </c>
      <c r="AT243">
        <v>640</v>
      </c>
      <c r="BB243">
        <v>1200</v>
      </c>
      <c r="BC243">
        <v>1</v>
      </c>
      <c r="BD243" t="str">
        <f t="shared" si="79"/>
        <v xml:space="preserve">N887QR  </v>
      </c>
      <c r="BE243">
        <v>1</v>
      </c>
      <c r="BG243">
        <v>0</v>
      </c>
      <c r="BH243">
        <v>0</v>
      </c>
      <c r="BI243">
        <v>0</v>
      </c>
      <c r="BJ243">
        <v>1025</v>
      </c>
      <c r="BK243">
        <v>-375</v>
      </c>
      <c r="BL243" t="s">
        <v>163</v>
      </c>
      <c r="BM243">
        <v>1</v>
      </c>
      <c r="BN243">
        <v>1</v>
      </c>
      <c r="BO243">
        <v>1</v>
      </c>
      <c r="BP243">
        <v>0</v>
      </c>
      <c r="BS243">
        <v>0</v>
      </c>
      <c r="BT243">
        <v>0</v>
      </c>
      <c r="BU243">
        <v>0</v>
      </c>
      <c r="CE243" t="str">
        <f t="shared" si="93"/>
        <v>19:26:21.529</v>
      </c>
      <c r="CF243">
        <v>528840277</v>
      </c>
      <c r="CS243">
        <v>3</v>
      </c>
      <c r="CT243">
        <v>2</v>
      </c>
      <c r="CU243">
        <v>0</v>
      </c>
      <c r="CV243">
        <v>2</v>
      </c>
      <c r="CW243">
        <v>0</v>
      </c>
      <c r="CX243">
        <v>6</v>
      </c>
      <c r="CY243">
        <v>7</v>
      </c>
      <c r="CZ243" t="s">
        <v>131</v>
      </c>
      <c r="DA243">
        <v>300</v>
      </c>
      <c r="DB243">
        <v>0</v>
      </c>
      <c r="DC243" t="s">
        <v>176</v>
      </c>
      <c r="DD243" t="s">
        <v>177</v>
      </c>
      <c r="DG243">
        <v>5358103</v>
      </c>
      <c r="DI243">
        <v>0</v>
      </c>
      <c r="DJ243">
        <v>0</v>
      </c>
      <c r="DK243">
        <v>1</v>
      </c>
      <c r="DL243">
        <v>0</v>
      </c>
      <c r="DM243">
        <v>0</v>
      </c>
      <c r="DN243">
        <v>1</v>
      </c>
      <c r="DO243">
        <v>0</v>
      </c>
      <c r="DP243">
        <v>0</v>
      </c>
      <c r="DQ243">
        <v>0</v>
      </c>
      <c r="DR243">
        <v>0</v>
      </c>
      <c r="DS243">
        <v>0</v>
      </c>
    </row>
    <row r="244" spans="1:123" x14ac:dyDescent="0.3">
      <c r="A244" t="str">
        <f>"10/04/2022 19:26:21.789"</f>
        <v>10/04/2022 19:26:21.789</v>
      </c>
      <c r="C244" t="str">
        <f t="shared" si="77"/>
        <v>FFDFD3C0</v>
      </c>
      <c r="D244" t="s">
        <v>141</v>
      </c>
      <c r="E244">
        <v>3</v>
      </c>
      <c r="H244">
        <v>3</v>
      </c>
      <c r="I244" t="s">
        <v>146</v>
      </c>
      <c r="J244" t="s">
        <v>138</v>
      </c>
      <c r="K244">
        <v>0</v>
      </c>
      <c r="L244">
        <v>3</v>
      </c>
      <c r="M244">
        <v>0</v>
      </c>
      <c r="N244">
        <v>2</v>
      </c>
      <c r="O244">
        <v>0</v>
      </c>
      <c r="P244">
        <v>1</v>
      </c>
      <c r="Q244">
        <v>0</v>
      </c>
      <c r="S244" t="str">
        <f t="shared" si="92"/>
        <v>19:26:21.000</v>
      </c>
      <c r="T244" t="str">
        <f t="shared" si="92"/>
        <v>19:26:21.000</v>
      </c>
      <c r="U244" t="str">
        <f t="shared" si="78"/>
        <v>AC3944</v>
      </c>
      <c r="V244">
        <v>0</v>
      </c>
      <c r="W244">
        <v>0</v>
      </c>
      <c r="X244">
        <v>2</v>
      </c>
      <c r="Y244">
        <v>0</v>
      </c>
      <c r="AA244">
        <v>1</v>
      </c>
      <c r="AB244">
        <v>8</v>
      </c>
      <c r="AC244">
        <v>3</v>
      </c>
      <c r="AD244">
        <v>0</v>
      </c>
      <c r="AE244">
        <v>9</v>
      </c>
      <c r="AF244" t="s">
        <v>138</v>
      </c>
      <c r="AG244">
        <v>0</v>
      </c>
      <c r="AH244">
        <v>3</v>
      </c>
      <c r="AI244">
        <v>1</v>
      </c>
      <c r="AJ244">
        <v>0</v>
      </c>
      <c r="AK244" t="s">
        <v>222</v>
      </c>
      <c r="AL244">
        <v>32.828156999999997</v>
      </c>
      <c r="AM244" t="s">
        <v>223</v>
      </c>
      <c r="AN244">
        <v>-116.994803</v>
      </c>
      <c r="AO244">
        <v>25</v>
      </c>
      <c r="AP244">
        <v>1400</v>
      </c>
      <c r="AQ244" t="s">
        <v>129</v>
      </c>
      <c r="AR244">
        <v>-98</v>
      </c>
      <c r="AS244">
        <v>-51</v>
      </c>
      <c r="AT244">
        <v>640</v>
      </c>
      <c r="BB244">
        <v>1200</v>
      </c>
      <c r="BC244">
        <v>1</v>
      </c>
      <c r="BD244" t="str">
        <f t="shared" si="79"/>
        <v xml:space="preserve">N887QR  </v>
      </c>
      <c r="BE244">
        <v>1</v>
      </c>
      <c r="BG244">
        <v>0</v>
      </c>
      <c r="BH244">
        <v>0</v>
      </c>
      <c r="BI244">
        <v>0</v>
      </c>
      <c r="BJ244">
        <v>1025</v>
      </c>
      <c r="BK244">
        <v>-375</v>
      </c>
      <c r="BL244" t="s">
        <v>163</v>
      </c>
      <c r="BM244">
        <v>1</v>
      </c>
      <c r="BN244">
        <v>1</v>
      </c>
      <c r="BO244">
        <v>1</v>
      </c>
      <c r="BP244">
        <v>0</v>
      </c>
      <c r="BS244">
        <v>0</v>
      </c>
      <c r="BT244">
        <v>0</v>
      </c>
      <c r="BU244">
        <v>0</v>
      </c>
      <c r="CE244" t="str">
        <f t="shared" si="93"/>
        <v>19:26:21.529</v>
      </c>
      <c r="CF244">
        <v>528840277</v>
      </c>
      <c r="CS244">
        <v>3</v>
      </c>
      <c r="CT244">
        <v>2</v>
      </c>
      <c r="CU244">
        <v>0</v>
      </c>
      <c r="CV244">
        <v>2</v>
      </c>
      <c r="CW244">
        <v>0</v>
      </c>
      <c r="CX244">
        <v>6</v>
      </c>
      <c r="CY244">
        <v>7</v>
      </c>
      <c r="CZ244" t="s">
        <v>131</v>
      </c>
      <c r="DA244">
        <v>300</v>
      </c>
      <c r="DB244">
        <v>0</v>
      </c>
      <c r="DC244" t="s">
        <v>176</v>
      </c>
      <c r="DD244" t="s">
        <v>177</v>
      </c>
      <c r="DG244">
        <v>5358103</v>
      </c>
      <c r="DI244">
        <v>0</v>
      </c>
      <c r="DJ244">
        <v>0</v>
      </c>
      <c r="DK244">
        <v>1</v>
      </c>
      <c r="DL244">
        <v>0</v>
      </c>
      <c r="DM244">
        <v>0</v>
      </c>
      <c r="DN244">
        <v>1</v>
      </c>
      <c r="DO244">
        <v>0</v>
      </c>
      <c r="DP244">
        <v>0</v>
      </c>
      <c r="DQ244">
        <v>0</v>
      </c>
      <c r="DR244">
        <v>0</v>
      </c>
      <c r="DS244">
        <v>0</v>
      </c>
    </row>
    <row r="245" spans="1:123" x14ac:dyDescent="0.3">
      <c r="A245" t="str">
        <f>"10/04/2022 19:26:21.821"</f>
        <v>10/04/2022 19:26:21.821</v>
      </c>
      <c r="C245" t="str">
        <f t="shared" si="77"/>
        <v>FFDFD3C0</v>
      </c>
      <c r="D245" t="s">
        <v>141</v>
      </c>
      <c r="E245">
        <v>4</v>
      </c>
      <c r="H245">
        <v>4</v>
      </c>
      <c r="I245" t="s">
        <v>142</v>
      </c>
      <c r="J245" t="s">
        <v>138</v>
      </c>
      <c r="K245">
        <v>0</v>
      </c>
      <c r="L245">
        <v>3</v>
      </c>
      <c r="M245">
        <v>0</v>
      </c>
      <c r="N245">
        <v>2</v>
      </c>
      <c r="O245">
        <v>0</v>
      </c>
      <c r="P245">
        <v>1</v>
      </c>
      <c r="Q245">
        <v>0</v>
      </c>
      <c r="S245" t="str">
        <f t="shared" si="92"/>
        <v>19:26:21.000</v>
      </c>
      <c r="T245" t="str">
        <f t="shared" si="92"/>
        <v>19:26:21.000</v>
      </c>
      <c r="U245" t="str">
        <f t="shared" si="78"/>
        <v>AC3944</v>
      </c>
      <c r="V245">
        <v>0</v>
      </c>
      <c r="W245">
        <v>0</v>
      </c>
      <c r="X245">
        <v>2</v>
      </c>
      <c r="Y245">
        <v>0</v>
      </c>
      <c r="AA245">
        <v>1</v>
      </c>
      <c r="AB245">
        <v>8</v>
      </c>
      <c r="AC245">
        <v>3</v>
      </c>
      <c r="AD245">
        <v>0</v>
      </c>
      <c r="AE245">
        <v>9</v>
      </c>
      <c r="AF245" t="s">
        <v>138</v>
      </c>
      <c r="AG245">
        <v>0</v>
      </c>
      <c r="AH245">
        <v>3</v>
      </c>
      <c r="AI245">
        <v>1</v>
      </c>
      <c r="AJ245">
        <v>0</v>
      </c>
      <c r="AK245" t="s">
        <v>222</v>
      </c>
      <c r="AL245">
        <v>32.828156999999997</v>
      </c>
      <c r="AM245" t="s">
        <v>223</v>
      </c>
      <c r="AN245">
        <v>-116.994803</v>
      </c>
      <c r="AO245">
        <v>25</v>
      </c>
      <c r="AP245">
        <v>1400</v>
      </c>
      <c r="AQ245" t="s">
        <v>129</v>
      </c>
      <c r="AR245">
        <v>-98</v>
      </c>
      <c r="AS245">
        <v>-51</v>
      </c>
      <c r="AT245">
        <v>640</v>
      </c>
      <c r="BB245">
        <v>1200</v>
      </c>
      <c r="BC245">
        <v>1</v>
      </c>
      <c r="BD245" t="str">
        <f t="shared" si="79"/>
        <v xml:space="preserve">N887QR  </v>
      </c>
      <c r="BE245">
        <v>1</v>
      </c>
      <c r="BG245">
        <v>0</v>
      </c>
      <c r="BH245">
        <v>0</v>
      </c>
      <c r="BI245">
        <v>0</v>
      </c>
      <c r="BJ245">
        <v>1025</v>
      </c>
      <c r="BK245">
        <v>-375</v>
      </c>
      <c r="BL245" t="s">
        <v>163</v>
      </c>
      <c r="BM245">
        <v>1</v>
      </c>
      <c r="BN245">
        <v>1</v>
      </c>
      <c r="BO245">
        <v>1</v>
      </c>
      <c r="BP245">
        <v>0</v>
      </c>
      <c r="BS245">
        <v>0</v>
      </c>
      <c r="BT245">
        <v>0</v>
      </c>
      <c r="BU245">
        <v>0</v>
      </c>
      <c r="CE245" t="str">
        <f t="shared" si="93"/>
        <v>19:26:21.529</v>
      </c>
      <c r="CF245">
        <v>528840277</v>
      </c>
      <c r="CS245">
        <v>3</v>
      </c>
      <c r="CT245">
        <v>2</v>
      </c>
      <c r="CU245">
        <v>0</v>
      </c>
      <c r="CV245">
        <v>2</v>
      </c>
      <c r="CW245">
        <v>0</v>
      </c>
      <c r="CX245">
        <v>6</v>
      </c>
      <c r="CY245">
        <v>7</v>
      </c>
      <c r="CZ245" t="s">
        <v>131</v>
      </c>
      <c r="DA245">
        <v>300</v>
      </c>
      <c r="DB245">
        <v>0</v>
      </c>
      <c r="DC245" t="s">
        <v>176</v>
      </c>
      <c r="DD245" t="s">
        <v>177</v>
      </c>
      <c r="DG245">
        <v>5358103</v>
      </c>
      <c r="DI245">
        <v>0</v>
      </c>
      <c r="DJ245">
        <v>0</v>
      </c>
      <c r="DK245">
        <v>1</v>
      </c>
      <c r="DL245">
        <v>0</v>
      </c>
      <c r="DM245">
        <v>0</v>
      </c>
      <c r="DN245">
        <v>1</v>
      </c>
      <c r="DO245">
        <v>0</v>
      </c>
      <c r="DP245">
        <v>0</v>
      </c>
      <c r="DQ245">
        <v>0</v>
      </c>
      <c r="DR245">
        <v>0</v>
      </c>
      <c r="DS245">
        <v>0</v>
      </c>
    </row>
    <row r="246" spans="1:123" x14ac:dyDescent="0.3">
      <c r="A246" t="str">
        <f>"10/04/2022 19:26:21.821"</f>
        <v>10/04/2022 19:26:21.821</v>
      </c>
      <c r="C246" t="str">
        <f t="shared" si="77"/>
        <v>FFDFD3C0</v>
      </c>
      <c r="D246" t="s">
        <v>123</v>
      </c>
      <c r="E246">
        <v>7</v>
      </c>
      <c r="F246">
        <v>2007</v>
      </c>
      <c r="G246" t="s">
        <v>124</v>
      </c>
      <c r="J246" t="s">
        <v>125</v>
      </c>
      <c r="K246">
        <v>0</v>
      </c>
      <c r="L246">
        <v>3</v>
      </c>
      <c r="M246">
        <v>0</v>
      </c>
      <c r="N246">
        <v>2</v>
      </c>
      <c r="O246">
        <v>0</v>
      </c>
      <c r="P246">
        <v>1</v>
      </c>
      <c r="Q246">
        <v>0</v>
      </c>
      <c r="S246" t="str">
        <f t="shared" si="92"/>
        <v>19:26:21.000</v>
      </c>
      <c r="T246" t="str">
        <f t="shared" si="92"/>
        <v>19:26:21.000</v>
      </c>
      <c r="U246" t="str">
        <f t="shared" si="78"/>
        <v>AC3944</v>
      </c>
      <c r="V246">
        <v>0</v>
      </c>
      <c r="W246">
        <v>0</v>
      </c>
      <c r="X246">
        <v>2</v>
      </c>
      <c r="Y246">
        <v>0</v>
      </c>
      <c r="AA246">
        <v>1</v>
      </c>
      <c r="AB246">
        <v>8</v>
      </c>
      <c r="AC246">
        <v>3</v>
      </c>
      <c r="AD246">
        <v>0</v>
      </c>
      <c r="AE246">
        <v>9</v>
      </c>
      <c r="AF246" t="s">
        <v>138</v>
      </c>
      <c r="AG246">
        <v>0</v>
      </c>
      <c r="AH246">
        <v>3</v>
      </c>
      <c r="AI246">
        <v>1</v>
      </c>
      <c r="AJ246">
        <v>0</v>
      </c>
      <c r="AK246" t="s">
        <v>222</v>
      </c>
      <c r="AL246">
        <v>32.828156999999997</v>
      </c>
      <c r="AM246" t="s">
        <v>223</v>
      </c>
      <c r="AN246">
        <v>-116.994803</v>
      </c>
      <c r="AO246">
        <v>25</v>
      </c>
      <c r="AP246">
        <v>1400</v>
      </c>
      <c r="AQ246" t="s">
        <v>129</v>
      </c>
      <c r="AR246">
        <v>-98</v>
      </c>
      <c r="AS246">
        <v>-51</v>
      </c>
      <c r="AT246">
        <v>640</v>
      </c>
      <c r="BB246">
        <v>1200</v>
      </c>
      <c r="BC246">
        <v>1</v>
      </c>
      <c r="BD246" t="str">
        <f t="shared" si="79"/>
        <v xml:space="preserve">N887QR  </v>
      </c>
      <c r="BE246">
        <v>1</v>
      </c>
      <c r="BG246">
        <v>0</v>
      </c>
      <c r="BH246">
        <v>0</v>
      </c>
      <c r="BI246">
        <v>0</v>
      </c>
      <c r="BJ246">
        <v>1025</v>
      </c>
      <c r="BK246">
        <v>-375</v>
      </c>
      <c r="BL246" t="s">
        <v>163</v>
      </c>
      <c r="BM246">
        <v>1</v>
      </c>
      <c r="BN246">
        <v>1</v>
      </c>
      <c r="BO246">
        <v>1</v>
      </c>
      <c r="BP246">
        <v>0</v>
      </c>
      <c r="BS246">
        <v>0</v>
      </c>
      <c r="BT246">
        <v>0</v>
      </c>
      <c r="BU246">
        <v>0</v>
      </c>
      <c r="CE246" t="str">
        <f t="shared" si="93"/>
        <v>19:26:21.529</v>
      </c>
      <c r="CF246">
        <v>528840277</v>
      </c>
      <c r="CS246">
        <v>3</v>
      </c>
      <c r="CT246">
        <v>2</v>
      </c>
      <c r="CU246">
        <v>0</v>
      </c>
      <c r="CV246">
        <v>2</v>
      </c>
      <c r="CW246">
        <v>0</v>
      </c>
      <c r="CX246">
        <v>6</v>
      </c>
      <c r="CY246">
        <v>7</v>
      </c>
      <c r="CZ246" t="s">
        <v>131</v>
      </c>
      <c r="DA246">
        <v>300</v>
      </c>
      <c r="DB246">
        <v>0</v>
      </c>
      <c r="DC246" t="s">
        <v>176</v>
      </c>
      <c r="DD246" t="s">
        <v>177</v>
      </c>
      <c r="DG246">
        <v>5358103</v>
      </c>
      <c r="DI246">
        <v>0</v>
      </c>
      <c r="DJ246">
        <v>0</v>
      </c>
      <c r="DK246">
        <v>1</v>
      </c>
      <c r="DL246">
        <v>0</v>
      </c>
      <c r="DM246">
        <v>0</v>
      </c>
      <c r="DN246">
        <v>1</v>
      </c>
      <c r="DO246">
        <v>0</v>
      </c>
      <c r="DP246">
        <v>0</v>
      </c>
      <c r="DQ246">
        <v>0</v>
      </c>
      <c r="DR246">
        <v>0</v>
      </c>
      <c r="DS246">
        <v>0</v>
      </c>
    </row>
    <row r="247" spans="1:123" x14ac:dyDescent="0.3">
      <c r="A247" t="str">
        <f t="shared" ref="A247:A253" si="94">"10/04/2022 19:26:22.071"</f>
        <v>10/04/2022 19:26:22.071</v>
      </c>
      <c r="C247" t="str">
        <f t="shared" si="77"/>
        <v>FFDFD3C0</v>
      </c>
      <c r="D247" t="s">
        <v>123</v>
      </c>
      <c r="E247">
        <v>7</v>
      </c>
      <c r="F247">
        <v>2007</v>
      </c>
      <c r="G247" t="s">
        <v>124</v>
      </c>
      <c r="J247" t="s">
        <v>125</v>
      </c>
      <c r="K247">
        <v>0</v>
      </c>
      <c r="L247">
        <v>3</v>
      </c>
      <c r="M247">
        <v>0</v>
      </c>
      <c r="N247">
        <v>2</v>
      </c>
      <c r="O247">
        <v>0</v>
      </c>
      <c r="P247">
        <v>1</v>
      </c>
      <c r="Q247">
        <v>0</v>
      </c>
      <c r="S247" t="str">
        <f t="shared" si="92"/>
        <v>19:26:21.000</v>
      </c>
      <c r="T247" t="str">
        <f t="shared" si="92"/>
        <v>19:26:21.000</v>
      </c>
      <c r="U247" t="str">
        <f t="shared" si="78"/>
        <v>AC3944</v>
      </c>
      <c r="V247">
        <v>0</v>
      </c>
      <c r="W247">
        <v>0</v>
      </c>
      <c r="X247">
        <v>2</v>
      </c>
      <c r="Y247">
        <v>0</v>
      </c>
      <c r="AA247">
        <v>1</v>
      </c>
      <c r="AB247">
        <v>8</v>
      </c>
      <c r="AC247">
        <v>3</v>
      </c>
      <c r="AD247">
        <v>0</v>
      </c>
      <c r="AE247">
        <v>9</v>
      </c>
      <c r="AF247" t="s">
        <v>138</v>
      </c>
      <c r="AG247">
        <v>0</v>
      </c>
      <c r="AH247">
        <v>3</v>
      </c>
      <c r="AI247">
        <v>1</v>
      </c>
      <c r="AJ247">
        <v>0</v>
      </c>
      <c r="AK247" t="s">
        <v>224</v>
      </c>
      <c r="AL247">
        <v>32.827942</v>
      </c>
      <c r="AM247" t="s">
        <v>225</v>
      </c>
      <c r="AN247">
        <v>-116.995361</v>
      </c>
      <c r="AO247">
        <v>25</v>
      </c>
      <c r="AP247">
        <v>1400</v>
      </c>
      <c r="AQ247" t="s">
        <v>129</v>
      </c>
      <c r="AR247">
        <v>-96</v>
      </c>
      <c r="AS247">
        <v>-55</v>
      </c>
      <c r="AT247">
        <v>640</v>
      </c>
      <c r="BB247">
        <v>1200</v>
      </c>
      <c r="BC247">
        <v>1</v>
      </c>
      <c r="BD247" t="str">
        <f t="shared" si="79"/>
        <v xml:space="preserve">N887QR  </v>
      </c>
      <c r="BE247">
        <v>1</v>
      </c>
      <c r="BG247">
        <v>0</v>
      </c>
      <c r="BH247">
        <v>0</v>
      </c>
      <c r="BI247">
        <v>0</v>
      </c>
      <c r="BJ247">
        <v>1075</v>
      </c>
      <c r="BK247">
        <v>-325</v>
      </c>
      <c r="BL247" t="s">
        <v>163</v>
      </c>
      <c r="BM247">
        <v>1</v>
      </c>
      <c r="BN247">
        <v>1</v>
      </c>
      <c r="BO247">
        <v>1</v>
      </c>
      <c r="BP247">
        <v>0</v>
      </c>
      <c r="BS247">
        <v>0</v>
      </c>
      <c r="BT247">
        <v>0</v>
      </c>
      <c r="BU247">
        <v>0</v>
      </c>
      <c r="CE247" t="str">
        <f t="shared" ref="CE247:CE253" si="95">"19:26:21.802"</f>
        <v>19:26:21.802</v>
      </c>
      <c r="CF247">
        <v>802122338</v>
      </c>
      <c r="CS247">
        <v>3</v>
      </c>
      <c r="CT247">
        <v>2</v>
      </c>
      <c r="CU247">
        <v>0</v>
      </c>
      <c r="CV247">
        <v>2</v>
      </c>
      <c r="CW247">
        <v>0</v>
      </c>
      <c r="CX247">
        <v>0</v>
      </c>
      <c r="CY247">
        <v>7</v>
      </c>
      <c r="CZ247" t="s">
        <v>131</v>
      </c>
      <c r="DA247">
        <v>286</v>
      </c>
      <c r="DB247">
        <v>0</v>
      </c>
      <c r="DC247" t="s">
        <v>132</v>
      </c>
      <c r="DD247" t="s">
        <v>133</v>
      </c>
      <c r="DG247">
        <v>788035</v>
      </c>
      <c r="DI247">
        <v>0</v>
      </c>
      <c r="DJ247">
        <v>0</v>
      </c>
      <c r="DK247">
        <v>1</v>
      </c>
      <c r="DL247">
        <v>0</v>
      </c>
      <c r="DM247">
        <v>0</v>
      </c>
      <c r="DN247">
        <v>1</v>
      </c>
      <c r="DO247">
        <v>0</v>
      </c>
      <c r="DP247">
        <v>0</v>
      </c>
      <c r="DQ247">
        <v>0</v>
      </c>
      <c r="DR247">
        <v>0</v>
      </c>
      <c r="DS247">
        <v>0</v>
      </c>
    </row>
    <row r="248" spans="1:123" x14ac:dyDescent="0.3">
      <c r="A248" t="str">
        <f t="shared" si="94"/>
        <v>10/04/2022 19:26:22.071</v>
      </c>
      <c r="C248" t="str">
        <f t="shared" si="77"/>
        <v>FFDFD3C0</v>
      </c>
      <c r="D248" t="s">
        <v>136</v>
      </c>
      <c r="E248">
        <v>8</v>
      </c>
      <c r="H248">
        <v>225</v>
      </c>
      <c r="I248" t="s">
        <v>137</v>
      </c>
      <c r="J248" t="s">
        <v>138</v>
      </c>
      <c r="K248">
        <v>0</v>
      </c>
      <c r="L248">
        <v>3</v>
      </c>
      <c r="M248">
        <v>0</v>
      </c>
      <c r="N248">
        <v>2</v>
      </c>
      <c r="O248">
        <v>0</v>
      </c>
      <c r="P248">
        <v>1</v>
      </c>
      <c r="Q248">
        <v>0</v>
      </c>
      <c r="S248" t="str">
        <f t="shared" si="92"/>
        <v>19:26:21.000</v>
      </c>
      <c r="T248" t="str">
        <f t="shared" si="92"/>
        <v>19:26:21.000</v>
      </c>
      <c r="U248" t="str">
        <f t="shared" si="78"/>
        <v>AC3944</v>
      </c>
      <c r="V248">
        <v>0</v>
      </c>
      <c r="W248">
        <v>0</v>
      </c>
      <c r="X248">
        <v>2</v>
      </c>
      <c r="Y248">
        <v>0</v>
      </c>
      <c r="AA248">
        <v>1</v>
      </c>
      <c r="AB248">
        <v>8</v>
      </c>
      <c r="AC248">
        <v>3</v>
      </c>
      <c r="AD248">
        <v>0</v>
      </c>
      <c r="AE248">
        <v>9</v>
      </c>
      <c r="AF248" t="s">
        <v>138</v>
      </c>
      <c r="AG248">
        <v>0</v>
      </c>
      <c r="AH248">
        <v>3</v>
      </c>
      <c r="AI248">
        <v>1</v>
      </c>
      <c r="AJ248">
        <v>0</v>
      </c>
      <c r="AK248" t="s">
        <v>224</v>
      </c>
      <c r="AL248">
        <v>32.827942</v>
      </c>
      <c r="AM248" t="s">
        <v>225</v>
      </c>
      <c r="AN248">
        <v>-116.995361</v>
      </c>
      <c r="AO248">
        <v>25</v>
      </c>
      <c r="AP248">
        <v>1400</v>
      </c>
      <c r="AQ248" t="s">
        <v>129</v>
      </c>
      <c r="AR248">
        <v>-96</v>
      </c>
      <c r="AS248">
        <v>-55</v>
      </c>
      <c r="AT248">
        <v>640</v>
      </c>
      <c r="BB248">
        <v>1200</v>
      </c>
      <c r="BC248">
        <v>1</v>
      </c>
      <c r="BD248" t="str">
        <f t="shared" si="79"/>
        <v xml:space="preserve">N887QR  </v>
      </c>
      <c r="BE248">
        <v>1</v>
      </c>
      <c r="BG248">
        <v>0</v>
      </c>
      <c r="BH248">
        <v>0</v>
      </c>
      <c r="BI248">
        <v>0</v>
      </c>
      <c r="BJ248">
        <v>1075</v>
      </c>
      <c r="BK248">
        <v>-325</v>
      </c>
      <c r="BL248" t="s">
        <v>163</v>
      </c>
      <c r="BM248">
        <v>1</v>
      </c>
      <c r="BN248">
        <v>1</v>
      </c>
      <c r="BO248">
        <v>1</v>
      </c>
      <c r="BP248">
        <v>0</v>
      </c>
      <c r="BS248">
        <v>0</v>
      </c>
      <c r="BT248">
        <v>0</v>
      </c>
      <c r="BU248">
        <v>0</v>
      </c>
      <c r="CE248" t="str">
        <f t="shared" si="95"/>
        <v>19:26:21.802</v>
      </c>
      <c r="CF248">
        <v>802122338</v>
      </c>
      <c r="CS248">
        <v>3</v>
      </c>
      <c r="CT248">
        <v>2</v>
      </c>
      <c r="CU248">
        <v>0</v>
      </c>
      <c r="CV248">
        <v>2</v>
      </c>
      <c r="CW248">
        <v>0</v>
      </c>
      <c r="CX248">
        <v>0</v>
      </c>
      <c r="CY248">
        <v>7</v>
      </c>
      <c r="CZ248" t="s">
        <v>131</v>
      </c>
      <c r="DA248">
        <v>286</v>
      </c>
      <c r="DB248">
        <v>0</v>
      </c>
      <c r="DC248" t="s">
        <v>132</v>
      </c>
      <c r="DD248" t="s">
        <v>133</v>
      </c>
      <c r="DG248">
        <v>788035</v>
      </c>
      <c r="DI248">
        <v>0</v>
      </c>
      <c r="DJ248">
        <v>0</v>
      </c>
      <c r="DK248">
        <v>1</v>
      </c>
      <c r="DL248">
        <v>0</v>
      </c>
      <c r="DM248">
        <v>0</v>
      </c>
      <c r="DN248">
        <v>1</v>
      </c>
      <c r="DO248">
        <v>0</v>
      </c>
      <c r="DP248">
        <v>0</v>
      </c>
      <c r="DQ248">
        <v>0</v>
      </c>
      <c r="DR248">
        <v>0</v>
      </c>
      <c r="DS248">
        <v>0</v>
      </c>
    </row>
    <row r="249" spans="1:123" x14ac:dyDescent="0.3">
      <c r="A249" t="str">
        <f t="shared" si="94"/>
        <v>10/04/2022 19:26:22.071</v>
      </c>
      <c r="C249" t="str">
        <f t="shared" si="77"/>
        <v>FFDFD3C0</v>
      </c>
      <c r="D249" t="s">
        <v>147</v>
      </c>
      <c r="E249">
        <v>3</v>
      </c>
      <c r="H249">
        <v>166</v>
      </c>
      <c r="I249" t="s">
        <v>144</v>
      </c>
      <c r="J249" t="s">
        <v>148</v>
      </c>
      <c r="K249">
        <v>0</v>
      </c>
      <c r="L249">
        <v>3</v>
      </c>
      <c r="M249">
        <v>0</v>
      </c>
      <c r="N249">
        <v>2</v>
      </c>
      <c r="O249">
        <v>0</v>
      </c>
      <c r="P249">
        <v>1</v>
      </c>
      <c r="Q249">
        <v>0</v>
      </c>
      <c r="S249" t="str">
        <f t="shared" si="92"/>
        <v>19:26:21.000</v>
      </c>
      <c r="T249" t="str">
        <f t="shared" si="92"/>
        <v>19:26:21.000</v>
      </c>
      <c r="U249" t="str">
        <f t="shared" si="78"/>
        <v>AC3944</v>
      </c>
      <c r="V249">
        <v>0</v>
      </c>
      <c r="W249">
        <v>0</v>
      </c>
      <c r="X249">
        <v>2</v>
      </c>
      <c r="Y249">
        <v>0</v>
      </c>
      <c r="AA249">
        <v>1</v>
      </c>
      <c r="AB249">
        <v>8</v>
      </c>
      <c r="AC249">
        <v>3</v>
      </c>
      <c r="AD249">
        <v>0</v>
      </c>
      <c r="AE249">
        <v>9</v>
      </c>
      <c r="AF249" t="s">
        <v>138</v>
      </c>
      <c r="AG249">
        <v>0</v>
      </c>
      <c r="AH249">
        <v>3</v>
      </c>
      <c r="AI249">
        <v>1</v>
      </c>
      <c r="AJ249">
        <v>0</v>
      </c>
      <c r="AK249" t="s">
        <v>224</v>
      </c>
      <c r="AL249">
        <v>32.827942</v>
      </c>
      <c r="AM249" t="s">
        <v>225</v>
      </c>
      <c r="AN249">
        <v>-116.995361</v>
      </c>
      <c r="AO249">
        <v>25</v>
      </c>
      <c r="AP249">
        <v>1400</v>
      </c>
      <c r="AQ249" t="s">
        <v>129</v>
      </c>
      <c r="AR249">
        <v>-96</v>
      </c>
      <c r="AS249">
        <v>-55</v>
      </c>
      <c r="AT249">
        <v>640</v>
      </c>
      <c r="BB249">
        <v>1200</v>
      </c>
      <c r="BC249">
        <v>1</v>
      </c>
      <c r="BD249" t="str">
        <f t="shared" si="79"/>
        <v xml:space="preserve">N887QR  </v>
      </c>
      <c r="BE249">
        <v>1</v>
      </c>
      <c r="BG249">
        <v>0</v>
      </c>
      <c r="BH249">
        <v>0</v>
      </c>
      <c r="BI249">
        <v>0</v>
      </c>
      <c r="BJ249">
        <v>1075</v>
      </c>
      <c r="BK249">
        <v>-325</v>
      </c>
      <c r="BL249" t="s">
        <v>163</v>
      </c>
      <c r="BM249">
        <v>1</v>
      </c>
      <c r="BN249">
        <v>1</v>
      </c>
      <c r="BO249">
        <v>1</v>
      </c>
      <c r="BP249">
        <v>0</v>
      </c>
      <c r="BS249">
        <v>0</v>
      </c>
      <c r="BT249">
        <v>0</v>
      </c>
      <c r="BU249">
        <v>0</v>
      </c>
      <c r="CE249" t="str">
        <f t="shared" si="95"/>
        <v>19:26:21.802</v>
      </c>
      <c r="CF249">
        <v>802122338</v>
      </c>
      <c r="CS249">
        <v>3</v>
      </c>
      <c r="CT249">
        <v>2</v>
      </c>
      <c r="CU249">
        <v>0</v>
      </c>
      <c r="CV249">
        <v>2</v>
      </c>
      <c r="CW249">
        <v>0</v>
      </c>
      <c r="CX249">
        <v>0</v>
      </c>
      <c r="CY249">
        <v>7</v>
      </c>
      <c r="CZ249" t="s">
        <v>131</v>
      </c>
      <c r="DA249">
        <v>286</v>
      </c>
      <c r="DB249">
        <v>0</v>
      </c>
      <c r="DC249" t="s">
        <v>132</v>
      </c>
      <c r="DD249" t="s">
        <v>133</v>
      </c>
      <c r="DG249">
        <v>788035</v>
      </c>
      <c r="DI249">
        <v>0</v>
      </c>
      <c r="DJ249">
        <v>0</v>
      </c>
      <c r="DK249">
        <v>1</v>
      </c>
      <c r="DL249">
        <v>0</v>
      </c>
      <c r="DM249">
        <v>0</v>
      </c>
      <c r="DN249">
        <v>1</v>
      </c>
      <c r="DO249">
        <v>0</v>
      </c>
      <c r="DP249">
        <v>0</v>
      </c>
      <c r="DQ249">
        <v>0</v>
      </c>
      <c r="DR249">
        <v>0</v>
      </c>
      <c r="DS249">
        <v>0</v>
      </c>
    </row>
    <row r="250" spans="1:123" x14ac:dyDescent="0.3">
      <c r="A250" t="str">
        <f t="shared" si="94"/>
        <v>10/04/2022 19:26:22.071</v>
      </c>
      <c r="C250" t="str">
        <f t="shared" si="77"/>
        <v>FFDFD3C0</v>
      </c>
      <c r="D250" t="s">
        <v>134</v>
      </c>
      <c r="E250">
        <v>15</v>
      </c>
      <c r="J250" t="s">
        <v>135</v>
      </c>
      <c r="K250">
        <v>0</v>
      </c>
      <c r="L250">
        <v>3</v>
      </c>
      <c r="M250">
        <v>0</v>
      </c>
      <c r="N250">
        <v>2</v>
      </c>
      <c r="O250">
        <v>0</v>
      </c>
      <c r="P250">
        <v>1</v>
      </c>
      <c r="Q250">
        <v>0</v>
      </c>
      <c r="S250" t="str">
        <f t="shared" si="92"/>
        <v>19:26:21.000</v>
      </c>
      <c r="T250" t="str">
        <f t="shared" si="92"/>
        <v>19:26:21.000</v>
      </c>
      <c r="U250" t="str">
        <f t="shared" si="78"/>
        <v>AC3944</v>
      </c>
      <c r="V250">
        <v>0</v>
      </c>
      <c r="W250">
        <v>0</v>
      </c>
      <c r="X250">
        <v>2</v>
      </c>
      <c r="Y250">
        <v>0</v>
      </c>
      <c r="AA250">
        <v>1</v>
      </c>
      <c r="AB250">
        <v>8</v>
      </c>
      <c r="AC250">
        <v>3</v>
      </c>
      <c r="AD250">
        <v>0</v>
      </c>
      <c r="AE250">
        <v>9</v>
      </c>
      <c r="AF250" t="s">
        <v>138</v>
      </c>
      <c r="AG250">
        <v>0</v>
      </c>
      <c r="AH250">
        <v>3</v>
      </c>
      <c r="AI250">
        <v>1</v>
      </c>
      <c r="AJ250">
        <v>0</v>
      </c>
      <c r="AK250" t="s">
        <v>224</v>
      </c>
      <c r="AL250">
        <v>32.827942</v>
      </c>
      <c r="AM250" t="s">
        <v>225</v>
      </c>
      <c r="AN250">
        <v>-116.995361</v>
      </c>
      <c r="AO250">
        <v>25</v>
      </c>
      <c r="AP250">
        <v>1400</v>
      </c>
      <c r="AQ250" t="s">
        <v>129</v>
      </c>
      <c r="AR250">
        <v>-96</v>
      </c>
      <c r="AS250">
        <v>-55</v>
      </c>
      <c r="AT250">
        <v>640</v>
      </c>
      <c r="BB250">
        <v>1200</v>
      </c>
      <c r="BC250">
        <v>1</v>
      </c>
      <c r="BD250" t="str">
        <f t="shared" si="79"/>
        <v xml:space="preserve">N887QR  </v>
      </c>
      <c r="BE250">
        <v>1</v>
      </c>
      <c r="BG250">
        <v>0</v>
      </c>
      <c r="BH250">
        <v>0</v>
      </c>
      <c r="BI250">
        <v>0</v>
      </c>
      <c r="BJ250">
        <v>1075</v>
      </c>
      <c r="BK250">
        <v>-325</v>
      </c>
      <c r="BL250" t="s">
        <v>163</v>
      </c>
      <c r="BM250">
        <v>1</v>
      </c>
      <c r="BN250">
        <v>1</v>
      </c>
      <c r="BO250">
        <v>1</v>
      </c>
      <c r="BP250">
        <v>0</v>
      </c>
      <c r="BS250">
        <v>0</v>
      </c>
      <c r="BT250">
        <v>0</v>
      </c>
      <c r="BU250">
        <v>0</v>
      </c>
      <c r="CE250" t="str">
        <f t="shared" si="95"/>
        <v>19:26:21.802</v>
      </c>
      <c r="CF250">
        <v>802122338</v>
      </c>
      <c r="CS250">
        <v>3</v>
      </c>
      <c r="CT250">
        <v>2</v>
      </c>
      <c r="CU250">
        <v>0</v>
      </c>
      <c r="CV250">
        <v>2</v>
      </c>
      <c r="CW250">
        <v>0</v>
      </c>
      <c r="CX250">
        <v>0</v>
      </c>
      <c r="CY250">
        <v>7</v>
      </c>
      <c r="CZ250" t="s">
        <v>131</v>
      </c>
      <c r="DA250">
        <v>286</v>
      </c>
      <c r="DB250">
        <v>0</v>
      </c>
      <c r="DC250" t="s">
        <v>132</v>
      </c>
      <c r="DD250" t="s">
        <v>133</v>
      </c>
      <c r="DG250">
        <v>788035</v>
      </c>
      <c r="DI250">
        <v>0</v>
      </c>
      <c r="DJ250">
        <v>0</v>
      </c>
      <c r="DK250">
        <v>1</v>
      </c>
      <c r="DL250">
        <v>0</v>
      </c>
      <c r="DM250">
        <v>0</v>
      </c>
      <c r="DN250">
        <v>1</v>
      </c>
      <c r="DO250">
        <v>0</v>
      </c>
      <c r="DP250">
        <v>0</v>
      </c>
      <c r="DQ250">
        <v>0</v>
      </c>
      <c r="DR250">
        <v>0</v>
      </c>
      <c r="DS250">
        <v>0</v>
      </c>
    </row>
    <row r="251" spans="1:123" x14ac:dyDescent="0.3">
      <c r="A251" t="str">
        <f t="shared" si="94"/>
        <v>10/04/2022 19:26:22.071</v>
      </c>
      <c r="C251" t="str">
        <f t="shared" si="77"/>
        <v>FFDFD3C0</v>
      </c>
      <c r="D251" t="s">
        <v>143</v>
      </c>
      <c r="E251">
        <v>20</v>
      </c>
      <c r="F251">
        <v>1020</v>
      </c>
      <c r="G251" t="s">
        <v>144</v>
      </c>
      <c r="J251" t="s">
        <v>145</v>
      </c>
      <c r="K251">
        <v>0</v>
      </c>
      <c r="L251">
        <v>3</v>
      </c>
      <c r="M251">
        <v>0</v>
      </c>
      <c r="N251">
        <v>2</v>
      </c>
      <c r="O251">
        <v>0</v>
      </c>
      <c r="P251">
        <v>1</v>
      </c>
      <c r="Q251">
        <v>0</v>
      </c>
      <c r="S251" t="str">
        <f t="shared" si="92"/>
        <v>19:26:21.000</v>
      </c>
      <c r="T251" t="str">
        <f t="shared" si="92"/>
        <v>19:26:21.000</v>
      </c>
      <c r="U251" t="str">
        <f t="shared" si="78"/>
        <v>AC3944</v>
      </c>
      <c r="V251">
        <v>0</v>
      </c>
      <c r="W251">
        <v>0</v>
      </c>
      <c r="X251">
        <v>2</v>
      </c>
      <c r="Y251">
        <v>0</v>
      </c>
      <c r="AA251">
        <v>1</v>
      </c>
      <c r="AB251">
        <v>8</v>
      </c>
      <c r="AC251">
        <v>3</v>
      </c>
      <c r="AD251">
        <v>0</v>
      </c>
      <c r="AE251">
        <v>9</v>
      </c>
      <c r="AF251" t="s">
        <v>138</v>
      </c>
      <c r="AG251">
        <v>0</v>
      </c>
      <c r="AH251">
        <v>3</v>
      </c>
      <c r="AI251">
        <v>1</v>
      </c>
      <c r="AJ251">
        <v>0</v>
      </c>
      <c r="AK251" t="s">
        <v>224</v>
      </c>
      <c r="AL251">
        <v>32.827942</v>
      </c>
      <c r="AM251" t="s">
        <v>225</v>
      </c>
      <c r="AN251">
        <v>-116.995361</v>
      </c>
      <c r="AO251">
        <v>25</v>
      </c>
      <c r="AP251">
        <v>1400</v>
      </c>
      <c r="AQ251" t="s">
        <v>129</v>
      </c>
      <c r="AR251">
        <v>-96</v>
      </c>
      <c r="AS251">
        <v>-55</v>
      </c>
      <c r="AT251">
        <v>640</v>
      </c>
      <c r="BB251">
        <v>1200</v>
      </c>
      <c r="BC251">
        <v>1</v>
      </c>
      <c r="BD251" t="str">
        <f t="shared" si="79"/>
        <v xml:space="preserve">N887QR  </v>
      </c>
      <c r="BE251">
        <v>1</v>
      </c>
      <c r="BG251">
        <v>0</v>
      </c>
      <c r="BH251">
        <v>0</v>
      </c>
      <c r="BI251">
        <v>0</v>
      </c>
      <c r="BJ251">
        <v>1075</v>
      </c>
      <c r="BK251">
        <v>-325</v>
      </c>
      <c r="BL251" t="s">
        <v>163</v>
      </c>
      <c r="BM251">
        <v>1</v>
      </c>
      <c r="BN251">
        <v>1</v>
      </c>
      <c r="BO251">
        <v>1</v>
      </c>
      <c r="BP251">
        <v>0</v>
      </c>
      <c r="BS251">
        <v>0</v>
      </c>
      <c r="BT251">
        <v>0</v>
      </c>
      <c r="BU251">
        <v>0</v>
      </c>
      <c r="CE251" t="str">
        <f t="shared" si="95"/>
        <v>19:26:21.802</v>
      </c>
      <c r="CF251">
        <v>802122338</v>
      </c>
      <c r="CS251">
        <v>3</v>
      </c>
      <c r="CT251">
        <v>2</v>
      </c>
      <c r="CU251">
        <v>0</v>
      </c>
      <c r="CV251">
        <v>2</v>
      </c>
      <c r="CW251">
        <v>0</v>
      </c>
      <c r="CX251">
        <v>0</v>
      </c>
      <c r="CY251">
        <v>7</v>
      </c>
      <c r="CZ251" t="s">
        <v>131</v>
      </c>
      <c r="DA251">
        <v>286</v>
      </c>
      <c r="DB251">
        <v>0</v>
      </c>
      <c r="DC251" t="s">
        <v>132</v>
      </c>
      <c r="DD251" t="s">
        <v>133</v>
      </c>
      <c r="DG251">
        <v>788035</v>
      </c>
      <c r="DI251">
        <v>0</v>
      </c>
      <c r="DJ251">
        <v>0</v>
      </c>
      <c r="DK251">
        <v>0</v>
      </c>
      <c r="DL251">
        <v>0</v>
      </c>
      <c r="DM251">
        <v>0</v>
      </c>
      <c r="DN251">
        <v>1</v>
      </c>
      <c r="DO251">
        <v>0</v>
      </c>
      <c r="DP251">
        <v>0</v>
      </c>
      <c r="DQ251">
        <v>0</v>
      </c>
      <c r="DR251">
        <v>0</v>
      </c>
      <c r="DS251">
        <v>0</v>
      </c>
    </row>
    <row r="252" spans="1:123" x14ac:dyDescent="0.3">
      <c r="A252" t="str">
        <f t="shared" si="94"/>
        <v>10/04/2022 19:26:22.071</v>
      </c>
      <c r="C252" t="str">
        <f t="shared" si="77"/>
        <v>FFDFD3C0</v>
      </c>
      <c r="D252" t="s">
        <v>141</v>
      </c>
      <c r="E252">
        <v>3</v>
      </c>
      <c r="H252">
        <v>3</v>
      </c>
      <c r="I252" t="s">
        <v>146</v>
      </c>
      <c r="J252" t="s">
        <v>138</v>
      </c>
      <c r="K252">
        <v>0</v>
      </c>
      <c r="L252">
        <v>3</v>
      </c>
      <c r="M252">
        <v>0</v>
      </c>
      <c r="N252">
        <v>2</v>
      </c>
      <c r="O252">
        <v>0</v>
      </c>
      <c r="P252">
        <v>1</v>
      </c>
      <c r="Q252">
        <v>0</v>
      </c>
      <c r="S252" t="str">
        <f t="shared" si="92"/>
        <v>19:26:21.000</v>
      </c>
      <c r="T252" t="str">
        <f t="shared" si="92"/>
        <v>19:26:21.000</v>
      </c>
      <c r="U252" t="str">
        <f t="shared" si="78"/>
        <v>AC3944</v>
      </c>
      <c r="V252">
        <v>0</v>
      </c>
      <c r="W252">
        <v>0</v>
      </c>
      <c r="X252">
        <v>2</v>
      </c>
      <c r="Y252">
        <v>0</v>
      </c>
      <c r="AA252">
        <v>1</v>
      </c>
      <c r="AB252">
        <v>8</v>
      </c>
      <c r="AC252">
        <v>3</v>
      </c>
      <c r="AD252">
        <v>0</v>
      </c>
      <c r="AE252">
        <v>9</v>
      </c>
      <c r="AF252" t="s">
        <v>138</v>
      </c>
      <c r="AG252">
        <v>0</v>
      </c>
      <c r="AH252">
        <v>3</v>
      </c>
      <c r="AI252">
        <v>1</v>
      </c>
      <c r="AJ252">
        <v>0</v>
      </c>
      <c r="AK252" t="s">
        <v>224</v>
      </c>
      <c r="AL252">
        <v>32.827942</v>
      </c>
      <c r="AM252" t="s">
        <v>225</v>
      </c>
      <c r="AN252">
        <v>-116.995361</v>
      </c>
      <c r="AO252">
        <v>25</v>
      </c>
      <c r="AP252">
        <v>1400</v>
      </c>
      <c r="AQ252" t="s">
        <v>129</v>
      </c>
      <c r="AR252">
        <v>-96</v>
      </c>
      <c r="AS252">
        <v>-55</v>
      </c>
      <c r="AT252">
        <v>640</v>
      </c>
      <c r="BB252">
        <v>1200</v>
      </c>
      <c r="BC252">
        <v>1</v>
      </c>
      <c r="BD252" t="str">
        <f t="shared" si="79"/>
        <v xml:space="preserve">N887QR  </v>
      </c>
      <c r="BE252">
        <v>1</v>
      </c>
      <c r="BG252">
        <v>0</v>
      </c>
      <c r="BH252">
        <v>0</v>
      </c>
      <c r="BI252">
        <v>0</v>
      </c>
      <c r="BJ252">
        <v>1075</v>
      </c>
      <c r="BK252">
        <v>-325</v>
      </c>
      <c r="BL252" t="s">
        <v>163</v>
      </c>
      <c r="BM252">
        <v>1</v>
      </c>
      <c r="BN252">
        <v>1</v>
      </c>
      <c r="BO252">
        <v>1</v>
      </c>
      <c r="BP252">
        <v>0</v>
      </c>
      <c r="BS252">
        <v>0</v>
      </c>
      <c r="BT252">
        <v>0</v>
      </c>
      <c r="BU252">
        <v>0</v>
      </c>
      <c r="CE252" t="str">
        <f t="shared" si="95"/>
        <v>19:26:21.802</v>
      </c>
      <c r="CF252">
        <v>802122338</v>
      </c>
      <c r="CS252">
        <v>3</v>
      </c>
      <c r="CT252">
        <v>2</v>
      </c>
      <c r="CU252">
        <v>0</v>
      </c>
      <c r="CV252">
        <v>2</v>
      </c>
      <c r="CW252">
        <v>0</v>
      </c>
      <c r="CX252">
        <v>0</v>
      </c>
      <c r="CY252">
        <v>7</v>
      </c>
      <c r="CZ252" t="s">
        <v>131</v>
      </c>
      <c r="DA252">
        <v>286</v>
      </c>
      <c r="DB252">
        <v>0</v>
      </c>
      <c r="DC252" t="s">
        <v>132</v>
      </c>
      <c r="DD252" t="s">
        <v>133</v>
      </c>
      <c r="DG252">
        <v>788035</v>
      </c>
      <c r="DI252">
        <v>0</v>
      </c>
      <c r="DJ252">
        <v>0</v>
      </c>
      <c r="DK252">
        <v>1</v>
      </c>
      <c r="DL252">
        <v>0</v>
      </c>
      <c r="DM252">
        <v>0</v>
      </c>
      <c r="DN252">
        <v>1</v>
      </c>
      <c r="DO252">
        <v>0</v>
      </c>
      <c r="DP252">
        <v>0</v>
      </c>
      <c r="DQ252">
        <v>0</v>
      </c>
      <c r="DR252">
        <v>0</v>
      </c>
      <c r="DS252">
        <v>0</v>
      </c>
    </row>
    <row r="253" spans="1:123" x14ac:dyDescent="0.3">
      <c r="A253" t="str">
        <f t="shared" si="94"/>
        <v>10/04/2022 19:26:22.071</v>
      </c>
      <c r="C253" t="str">
        <f t="shared" si="77"/>
        <v>FFDFD3C0</v>
      </c>
      <c r="D253" t="s">
        <v>141</v>
      </c>
      <c r="E253">
        <v>4</v>
      </c>
      <c r="H253">
        <v>4</v>
      </c>
      <c r="I253" t="s">
        <v>142</v>
      </c>
      <c r="J253" t="s">
        <v>138</v>
      </c>
      <c r="K253">
        <v>0</v>
      </c>
      <c r="L253">
        <v>3</v>
      </c>
      <c r="M253">
        <v>0</v>
      </c>
      <c r="N253">
        <v>2</v>
      </c>
      <c r="O253">
        <v>0</v>
      </c>
      <c r="P253">
        <v>1</v>
      </c>
      <c r="Q253">
        <v>0</v>
      </c>
      <c r="S253" t="str">
        <f t="shared" si="92"/>
        <v>19:26:21.000</v>
      </c>
      <c r="T253" t="str">
        <f t="shared" si="92"/>
        <v>19:26:21.000</v>
      </c>
      <c r="U253" t="str">
        <f t="shared" si="78"/>
        <v>AC3944</v>
      </c>
      <c r="V253">
        <v>0</v>
      </c>
      <c r="W253">
        <v>0</v>
      </c>
      <c r="X253">
        <v>2</v>
      </c>
      <c r="Y253">
        <v>0</v>
      </c>
      <c r="AA253">
        <v>1</v>
      </c>
      <c r="AB253">
        <v>8</v>
      </c>
      <c r="AC253">
        <v>3</v>
      </c>
      <c r="AD253">
        <v>0</v>
      </c>
      <c r="AE253">
        <v>9</v>
      </c>
      <c r="AF253" t="s">
        <v>138</v>
      </c>
      <c r="AG253">
        <v>0</v>
      </c>
      <c r="AH253">
        <v>3</v>
      </c>
      <c r="AI253">
        <v>1</v>
      </c>
      <c r="AJ253">
        <v>0</v>
      </c>
      <c r="AK253" t="s">
        <v>224</v>
      </c>
      <c r="AL253">
        <v>32.827942</v>
      </c>
      <c r="AM253" t="s">
        <v>225</v>
      </c>
      <c r="AN253">
        <v>-116.995361</v>
      </c>
      <c r="AO253">
        <v>25</v>
      </c>
      <c r="AP253">
        <v>1400</v>
      </c>
      <c r="AQ253" t="s">
        <v>129</v>
      </c>
      <c r="AR253">
        <v>-96</v>
      </c>
      <c r="AS253">
        <v>-55</v>
      </c>
      <c r="AT253">
        <v>640</v>
      </c>
      <c r="BB253">
        <v>1200</v>
      </c>
      <c r="BC253">
        <v>1</v>
      </c>
      <c r="BD253" t="str">
        <f t="shared" si="79"/>
        <v xml:space="preserve">N887QR  </v>
      </c>
      <c r="BE253">
        <v>1</v>
      </c>
      <c r="BG253">
        <v>0</v>
      </c>
      <c r="BH253">
        <v>0</v>
      </c>
      <c r="BI253">
        <v>0</v>
      </c>
      <c r="BJ253">
        <v>1075</v>
      </c>
      <c r="BK253">
        <v>-325</v>
      </c>
      <c r="BL253" t="s">
        <v>163</v>
      </c>
      <c r="BM253">
        <v>1</v>
      </c>
      <c r="BN253">
        <v>1</v>
      </c>
      <c r="BO253">
        <v>1</v>
      </c>
      <c r="BP253">
        <v>0</v>
      </c>
      <c r="BS253">
        <v>0</v>
      </c>
      <c r="BT253">
        <v>0</v>
      </c>
      <c r="BU253">
        <v>0</v>
      </c>
      <c r="CE253" t="str">
        <f t="shared" si="95"/>
        <v>19:26:21.802</v>
      </c>
      <c r="CF253">
        <v>802122338</v>
      </c>
      <c r="CS253">
        <v>3</v>
      </c>
      <c r="CT253">
        <v>2</v>
      </c>
      <c r="CU253">
        <v>0</v>
      </c>
      <c r="CV253">
        <v>2</v>
      </c>
      <c r="CW253">
        <v>0</v>
      </c>
      <c r="CX253">
        <v>0</v>
      </c>
      <c r="CY253">
        <v>7</v>
      </c>
      <c r="CZ253" t="s">
        <v>131</v>
      </c>
      <c r="DA253">
        <v>286</v>
      </c>
      <c r="DB253">
        <v>0</v>
      </c>
      <c r="DC253" t="s">
        <v>132</v>
      </c>
      <c r="DD253" t="s">
        <v>133</v>
      </c>
      <c r="DG253">
        <v>788035</v>
      </c>
      <c r="DI253">
        <v>0</v>
      </c>
      <c r="DJ253">
        <v>0</v>
      </c>
      <c r="DK253">
        <v>1</v>
      </c>
      <c r="DL253">
        <v>0</v>
      </c>
      <c r="DM253">
        <v>0</v>
      </c>
      <c r="DN253">
        <v>1</v>
      </c>
      <c r="DO253">
        <v>0</v>
      </c>
      <c r="DP253">
        <v>0</v>
      </c>
      <c r="DQ253">
        <v>0</v>
      </c>
      <c r="DR253">
        <v>0</v>
      </c>
      <c r="DS253">
        <v>0</v>
      </c>
    </row>
    <row r="254" spans="1:123" x14ac:dyDescent="0.3">
      <c r="A254" t="str">
        <f>"10/04/2022 19:26:23.743"</f>
        <v>10/04/2022 19:26:23.743</v>
      </c>
      <c r="C254" t="str">
        <f t="shared" si="77"/>
        <v>FFDFD3C0</v>
      </c>
      <c r="D254" t="s">
        <v>134</v>
      </c>
      <c r="E254">
        <v>15</v>
      </c>
      <c r="J254" t="s">
        <v>135</v>
      </c>
      <c r="K254">
        <v>0</v>
      </c>
      <c r="L254">
        <v>3</v>
      </c>
      <c r="M254">
        <v>0</v>
      </c>
      <c r="N254">
        <v>2</v>
      </c>
      <c r="O254">
        <v>0</v>
      </c>
      <c r="P254">
        <v>1</v>
      </c>
      <c r="Q254">
        <v>0</v>
      </c>
      <c r="S254" t="str">
        <f t="shared" ref="S254:T260" si="96">"19:26:23.000"</f>
        <v>19:26:23.000</v>
      </c>
      <c r="T254" t="str">
        <f t="shared" si="96"/>
        <v>19:26:23.000</v>
      </c>
      <c r="U254" t="str">
        <f t="shared" si="78"/>
        <v>AC3944</v>
      </c>
      <c r="V254">
        <v>0</v>
      </c>
      <c r="W254">
        <v>0</v>
      </c>
      <c r="X254">
        <v>2</v>
      </c>
      <c r="Y254">
        <v>0</v>
      </c>
      <c r="AA254">
        <v>1</v>
      </c>
      <c r="AB254">
        <v>8</v>
      </c>
      <c r="AC254">
        <v>3</v>
      </c>
      <c r="AD254">
        <v>0</v>
      </c>
      <c r="AE254">
        <v>9</v>
      </c>
      <c r="AF254" t="s">
        <v>138</v>
      </c>
      <c r="AG254">
        <v>0</v>
      </c>
      <c r="AH254">
        <v>3</v>
      </c>
      <c r="AI254">
        <v>1</v>
      </c>
      <c r="AJ254">
        <v>0</v>
      </c>
      <c r="AK254" t="s">
        <v>226</v>
      </c>
      <c r="AL254">
        <v>32.827663000000001</v>
      </c>
      <c r="AM254" t="s">
        <v>227</v>
      </c>
      <c r="AN254">
        <v>-116.995897</v>
      </c>
      <c r="AO254">
        <v>25</v>
      </c>
      <c r="AP254">
        <v>1400</v>
      </c>
      <c r="AQ254" t="s">
        <v>129</v>
      </c>
      <c r="AR254">
        <v>-85</v>
      </c>
      <c r="AS254">
        <v>-70</v>
      </c>
      <c r="AT254">
        <v>960</v>
      </c>
      <c r="BB254">
        <v>1200</v>
      </c>
      <c r="BC254">
        <v>1</v>
      </c>
      <c r="BD254" t="str">
        <f t="shared" si="79"/>
        <v xml:space="preserve">N887QR  </v>
      </c>
      <c r="BE254">
        <v>1</v>
      </c>
      <c r="BG254">
        <v>0</v>
      </c>
      <c r="BH254">
        <v>0</v>
      </c>
      <c r="BI254">
        <v>0</v>
      </c>
      <c r="BJ254">
        <v>1075</v>
      </c>
      <c r="BK254">
        <v>-325</v>
      </c>
      <c r="BL254" t="s">
        <v>163</v>
      </c>
      <c r="BM254">
        <v>1</v>
      </c>
      <c r="BN254">
        <v>1</v>
      </c>
      <c r="BO254">
        <v>1</v>
      </c>
      <c r="BP254">
        <v>0</v>
      </c>
      <c r="BS254">
        <v>0</v>
      </c>
      <c r="BT254">
        <v>0</v>
      </c>
      <c r="BU254">
        <v>0</v>
      </c>
      <c r="CE254" t="str">
        <f t="shared" ref="CE254:CE260" si="97">"19:26:23.520"</f>
        <v>19:26:23.520</v>
      </c>
      <c r="CF254">
        <v>520096750</v>
      </c>
      <c r="CS254">
        <v>3</v>
      </c>
      <c r="CT254">
        <v>2</v>
      </c>
      <c r="CU254">
        <v>0</v>
      </c>
      <c r="CV254">
        <v>2</v>
      </c>
      <c r="CW254">
        <v>0</v>
      </c>
      <c r="CX254">
        <v>6</v>
      </c>
      <c r="CY254">
        <v>7</v>
      </c>
      <c r="CZ254" t="s">
        <v>131</v>
      </c>
      <c r="DA254">
        <v>300</v>
      </c>
      <c r="DB254">
        <v>0</v>
      </c>
      <c r="DC254" t="s">
        <v>176</v>
      </c>
      <c r="DD254" t="s">
        <v>177</v>
      </c>
      <c r="DG254">
        <v>5358441</v>
      </c>
      <c r="DI254">
        <v>0</v>
      </c>
      <c r="DJ254">
        <v>0</v>
      </c>
      <c r="DK254">
        <v>0</v>
      </c>
      <c r="DL254">
        <v>0</v>
      </c>
      <c r="DM254">
        <v>0</v>
      </c>
      <c r="DN254">
        <v>1</v>
      </c>
      <c r="DO254">
        <v>0</v>
      </c>
      <c r="DP254">
        <v>0</v>
      </c>
      <c r="DQ254">
        <v>0</v>
      </c>
      <c r="DR254">
        <v>0</v>
      </c>
      <c r="DS254">
        <v>0</v>
      </c>
    </row>
    <row r="255" spans="1:123" x14ac:dyDescent="0.3">
      <c r="A255" t="str">
        <f>"10/04/2022 19:26:23.743"</f>
        <v>10/04/2022 19:26:23.743</v>
      </c>
      <c r="C255" t="str">
        <f t="shared" si="77"/>
        <v>FFDFD3C0</v>
      </c>
      <c r="D255" t="s">
        <v>141</v>
      </c>
      <c r="E255">
        <v>3</v>
      </c>
      <c r="H255">
        <v>3</v>
      </c>
      <c r="I255" t="s">
        <v>146</v>
      </c>
      <c r="J255" t="s">
        <v>138</v>
      </c>
      <c r="K255">
        <v>0</v>
      </c>
      <c r="L255">
        <v>3</v>
      </c>
      <c r="M255">
        <v>0</v>
      </c>
      <c r="N255">
        <v>2</v>
      </c>
      <c r="O255">
        <v>0</v>
      </c>
      <c r="P255">
        <v>1</v>
      </c>
      <c r="Q255">
        <v>0</v>
      </c>
      <c r="S255" t="str">
        <f t="shared" si="96"/>
        <v>19:26:23.000</v>
      </c>
      <c r="T255" t="str">
        <f t="shared" si="96"/>
        <v>19:26:23.000</v>
      </c>
      <c r="U255" t="str">
        <f t="shared" si="78"/>
        <v>AC3944</v>
      </c>
      <c r="V255">
        <v>0</v>
      </c>
      <c r="W255">
        <v>0</v>
      </c>
      <c r="X255">
        <v>2</v>
      </c>
      <c r="Y255">
        <v>0</v>
      </c>
      <c r="AA255">
        <v>1</v>
      </c>
      <c r="AB255">
        <v>8</v>
      </c>
      <c r="AC255">
        <v>3</v>
      </c>
      <c r="AD255">
        <v>0</v>
      </c>
      <c r="AE255">
        <v>9</v>
      </c>
      <c r="AF255" t="s">
        <v>138</v>
      </c>
      <c r="AG255">
        <v>0</v>
      </c>
      <c r="AH255">
        <v>3</v>
      </c>
      <c r="AI255">
        <v>1</v>
      </c>
      <c r="AJ255">
        <v>0</v>
      </c>
      <c r="AK255" t="s">
        <v>226</v>
      </c>
      <c r="AL255">
        <v>32.827663000000001</v>
      </c>
      <c r="AM255" t="s">
        <v>227</v>
      </c>
      <c r="AN255">
        <v>-116.995897</v>
      </c>
      <c r="AO255">
        <v>25</v>
      </c>
      <c r="AP255">
        <v>1400</v>
      </c>
      <c r="AQ255" t="s">
        <v>129</v>
      </c>
      <c r="AR255">
        <v>-85</v>
      </c>
      <c r="AS255">
        <v>-70</v>
      </c>
      <c r="AT255">
        <v>960</v>
      </c>
      <c r="BB255">
        <v>1200</v>
      </c>
      <c r="BC255">
        <v>1</v>
      </c>
      <c r="BD255" t="str">
        <f t="shared" si="79"/>
        <v xml:space="preserve">N887QR  </v>
      </c>
      <c r="BE255">
        <v>1</v>
      </c>
      <c r="BG255">
        <v>0</v>
      </c>
      <c r="BH255">
        <v>0</v>
      </c>
      <c r="BI255">
        <v>0</v>
      </c>
      <c r="BJ255">
        <v>1075</v>
      </c>
      <c r="BK255">
        <v>-325</v>
      </c>
      <c r="BL255" t="s">
        <v>163</v>
      </c>
      <c r="BM255">
        <v>1</v>
      </c>
      <c r="BN255">
        <v>1</v>
      </c>
      <c r="BO255">
        <v>1</v>
      </c>
      <c r="BP255">
        <v>0</v>
      </c>
      <c r="BS255">
        <v>0</v>
      </c>
      <c r="BT255">
        <v>0</v>
      </c>
      <c r="BU255">
        <v>0</v>
      </c>
      <c r="CE255" t="str">
        <f t="shared" si="97"/>
        <v>19:26:23.520</v>
      </c>
      <c r="CF255">
        <v>520096750</v>
      </c>
      <c r="CS255">
        <v>3</v>
      </c>
      <c r="CT255">
        <v>2</v>
      </c>
      <c r="CU255">
        <v>0</v>
      </c>
      <c r="CV255">
        <v>2</v>
      </c>
      <c r="CW255">
        <v>0</v>
      </c>
      <c r="CX255">
        <v>6</v>
      </c>
      <c r="CY255">
        <v>7</v>
      </c>
      <c r="CZ255" t="s">
        <v>131</v>
      </c>
      <c r="DA255">
        <v>300</v>
      </c>
      <c r="DB255">
        <v>0</v>
      </c>
      <c r="DC255" t="s">
        <v>176</v>
      </c>
      <c r="DD255" t="s">
        <v>177</v>
      </c>
      <c r="DG255">
        <v>5358441</v>
      </c>
      <c r="DI255">
        <v>0</v>
      </c>
      <c r="DJ255">
        <v>0</v>
      </c>
      <c r="DK255">
        <v>1</v>
      </c>
      <c r="DL255">
        <v>0</v>
      </c>
      <c r="DM255">
        <v>0</v>
      </c>
      <c r="DN255">
        <v>1</v>
      </c>
      <c r="DO255">
        <v>0</v>
      </c>
      <c r="DP255">
        <v>0</v>
      </c>
      <c r="DQ255">
        <v>0</v>
      </c>
      <c r="DR255">
        <v>0</v>
      </c>
      <c r="DS255">
        <v>0</v>
      </c>
    </row>
    <row r="256" spans="1:123" x14ac:dyDescent="0.3">
      <c r="A256" t="str">
        <f>"10/04/2022 19:26:23.743"</f>
        <v>10/04/2022 19:26:23.743</v>
      </c>
      <c r="C256" t="str">
        <f t="shared" si="77"/>
        <v>FFDFD3C0</v>
      </c>
      <c r="D256" t="s">
        <v>123</v>
      </c>
      <c r="E256">
        <v>7</v>
      </c>
      <c r="F256">
        <v>2007</v>
      </c>
      <c r="G256" t="s">
        <v>124</v>
      </c>
      <c r="J256" t="s">
        <v>125</v>
      </c>
      <c r="K256">
        <v>0</v>
      </c>
      <c r="L256">
        <v>3</v>
      </c>
      <c r="M256">
        <v>0</v>
      </c>
      <c r="N256">
        <v>2</v>
      </c>
      <c r="O256">
        <v>0</v>
      </c>
      <c r="P256">
        <v>1</v>
      </c>
      <c r="Q256">
        <v>0</v>
      </c>
      <c r="S256" t="str">
        <f t="shared" si="96"/>
        <v>19:26:23.000</v>
      </c>
      <c r="T256" t="str">
        <f t="shared" si="96"/>
        <v>19:26:23.000</v>
      </c>
      <c r="U256" t="str">
        <f t="shared" si="78"/>
        <v>AC3944</v>
      </c>
      <c r="V256">
        <v>0</v>
      </c>
      <c r="W256">
        <v>0</v>
      </c>
      <c r="X256">
        <v>2</v>
      </c>
      <c r="Y256">
        <v>0</v>
      </c>
      <c r="AA256">
        <v>1</v>
      </c>
      <c r="AB256">
        <v>8</v>
      </c>
      <c r="AC256">
        <v>3</v>
      </c>
      <c r="AD256">
        <v>0</v>
      </c>
      <c r="AE256">
        <v>9</v>
      </c>
      <c r="AF256" t="s">
        <v>138</v>
      </c>
      <c r="AG256">
        <v>0</v>
      </c>
      <c r="AH256">
        <v>3</v>
      </c>
      <c r="AI256">
        <v>1</v>
      </c>
      <c r="AJ256">
        <v>0</v>
      </c>
      <c r="AK256" t="s">
        <v>226</v>
      </c>
      <c r="AL256">
        <v>32.827663000000001</v>
      </c>
      <c r="AM256" t="s">
        <v>227</v>
      </c>
      <c r="AN256">
        <v>-116.995897</v>
      </c>
      <c r="AO256">
        <v>25</v>
      </c>
      <c r="AP256">
        <v>1400</v>
      </c>
      <c r="AQ256" t="s">
        <v>129</v>
      </c>
      <c r="AR256">
        <v>-85</v>
      </c>
      <c r="AS256">
        <v>-70</v>
      </c>
      <c r="AT256">
        <v>960</v>
      </c>
      <c r="BB256">
        <v>1200</v>
      </c>
      <c r="BC256">
        <v>1</v>
      </c>
      <c r="BD256" t="str">
        <f t="shared" si="79"/>
        <v xml:space="preserve">N887QR  </v>
      </c>
      <c r="BE256">
        <v>1</v>
      </c>
      <c r="BG256">
        <v>0</v>
      </c>
      <c r="BH256">
        <v>0</v>
      </c>
      <c r="BI256">
        <v>0</v>
      </c>
      <c r="BJ256">
        <v>1075</v>
      </c>
      <c r="BK256">
        <v>-325</v>
      </c>
      <c r="BL256" t="s">
        <v>163</v>
      </c>
      <c r="BM256">
        <v>1</v>
      </c>
      <c r="BN256">
        <v>1</v>
      </c>
      <c r="BO256">
        <v>1</v>
      </c>
      <c r="BP256">
        <v>0</v>
      </c>
      <c r="BS256">
        <v>0</v>
      </c>
      <c r="BT256">
        <v>0</v>
      </c>
      <c r="BU256">
        <v>0</v>
      </c>
      <c r="CE256" t="str">
        <f t="shared" si="97"/>
        <v>19:26:23.520</v>
      </c>
      <c r="CF256">
        <v>520096750</v>
      </c>
      <c r="CS256">
        <v>3</v>
      </c>
      <c r="CT256">
        <v>2</v>
      </c>
      <c r="CU256">
        <v>0</v>
      </c>
      <c r="CV256">
        <v>2</v>
      </c>
      <c r="CW256">
        <v>0</v>
      </c>
      <c r="CX256">
        <v>6</v>
      </c>
      <c r="CY256">
        <v>7</v>
      </c>
      <c r="CZ256" t="s">
        <v>131</v>
      </c>
      <c r="DA256">
        <v>300</v>
      </c>
      <c r="DB256">
        <v>0</v>
      </c>
      <c r="DC256" t="s">
        <v>176</v>
      </c>
      <c r="DD256" t="s">
        <v>177</v>
      </c>
      <c r="DG256">
        <v>5358441</v>
      </c>
      <c r="DI256">
        <v>0</v>
      </c>
      <c r="DJ256">
        <v>0</v>
      </c>
      <c r="DK256">
        <v>1</v>
      </c>
      <c r="DL256">
        <v>0</v>
      </c>
      <c r="DM256">
        <v>0</v>
      </c>
      <c r="DN256">
        <v>1</v>
      </c>
      <c r="DO256">
        <v>0</v>
      </c>
      <c r="DP256">
        <v>0</v>
      </c>
      <c r="DQ256">
        <v>0</v>
      </c>
      <c r="DR256">
        <v>0</v>
      </c>
      <c r="DS256">
        <v>0</v>
      </c>
    </row>
    <row r="257" spans="1:123" x14ac:dyDescent="0.3">
      <c r="A257" t="str">
        <f>"10/04/2022 19:26:23.774"</f>
        <v>10/04/2022 19:26:23.774</v>
      </c>
      <c r="C257" t="str">
        <f t="shared" si="77"/>
        <v>FFDFD3C0</v>
      </c>
      <c r="D257" t="s">
        <v>136</v>
      </c>
      <c r="E257">
        <v>8</v>
      </c>
      <c r="H257">
        <v>225</v>
      </c>
      <c r="I257" t="s">
        <v>137</v>
      </c>
      <c r="J257" t="s">
        <v>138</v>
      </c>
      <c r="K257">
        <v>0</v>
      </c>
      <c r="L257">
        <v>3</v>
      </c>
      <c r="M257">
        <v>0</v>
      </c>
      <c r="N257">
        <v>2</v>
      </c>
      <c r="O257">
        <v>0</v>
      </c>
      <c r="P257">
        <v>1</v>
      </c>
      <c r="Q257">
        <v>0</v>
      </c>
      <c r="S257" t="str">
        <f t="shared" si="96"/>
        <v>19:26:23.000</v>
      </c>
      <c r="T257" t="str">
        <f t="shared" si="96"/>
        <v>19:26:23.000</v>
      </c>
      <c r="U257" t="str">
        <f t="shared" si="78"/>
        <v>AC3944</v>
      </c>
      <c r="V257">
        <v>0</v>
      </c>
      <c r="W257">
        <v>0</v>
      </c>
      <c r="X257">
        <v>2</v>
      </c>
      <c r="Y257">
        <v>0</v>
      </c>
      <c r="AA257">
        <v>1</v>
      </c>
      <c r="AB257">
        <v>8</v>
      </c>
      <c r="AC257">
        <v>3</v>
      </c>
      <c r="AD257">
        <v>0</v>
      </c>
      <c r="AE257">
        <v>9</v>
      </c>
      <c r="AF257" t="s">
        <v>138</v>
      </c>
      <c r="AG257">
        <v>0</v>
      </c>
      <c r="AH257">
        <v>3</v>
      </c>
      <c r="AI257">
        <v>1</v>
      </c>
      <c r="AJ257">
        <v>0</v>
      </c>
      <c r="AK257" t="s">
        <v>226</v>
      </c>
      <c r="AL257">
        <v>32.827663000000001</v>
      </c>
      <c r="AM257" t="s">
        <v>227</v>
      </c>
      <c r="AN257">
        <v>-116.995897</v>
      </c>
      <c r="AO257">
        <v>25</v>
      </c>
      <c r="AP257">
        <v>1400</v>
      </c>
      <c r="AQ257" t="s">
        <v>129</v>
      </c>
      <c r="AR257">
        <v>-85</v>
      </c>
      <c r="AS257">
        <v>-70</v>
      </c>
      <c r="AT257">
        <v>960</v>
      </c>
      <c r="BB257">
        <v>1200</v>
      </c>
      <c r="BC257">
        <v>1</v>
      </c>
      <c r="BD257" t="str">
        <f t="shared" si="79"/>
        <v xml:space="preserve">N887QR  </v>
      </c>
      <c r="BE257">
        <v>1</v>
      </c>
      <c r="BG257">
        <v>0</v>
      </c>
      <c r="BH257">
        <v>0</v>
      </c>
      <c r="BI257">
        <v>0</v>
      </c>
      <c r="BJ257">
        <v>1075</v>
      </c>
      <c r="BK257">
        <v>-325</v>
      </c>
      <c r="BL257" t="s">
        <v>163</v>
      </c>
      <c r="BM257">
        <v>1</v>
      </c>
      <c r="BN257">
        <v>1</v>
      </c>
      <c r="BO257">
        <v>1</v>
      </c>
      <c r="BP257">
        <v>0</v>
      </c>
      <c r="BS257">
        <v>0</v>
      </c>
      <c r="BT257">
        <v>0</v>
      </c>
      <c r="BU257">
        <v>0</v>
      </c>
      <c r="CE257" t="str">
        <f t="shared" si="97"/>
        <v>19:26:23.520</v>
      </c>
      <c r="CF257">
        <v>520096750</v>
      </c>
      <c r="CS257">
        <v>3</v>
      </c>
      <c r="CT257">
        <v>2</v>
      </c>
      <c r="CU257">
        <v>0</v>
      </c>
      <c r="CV257">
        <v>2</v>
      </c>
      <c r="CW257">
        <v>0</v>
      </c>
      <c r="CX257">
        <v>6</v>
      </c>
      <c r="CY257">
        <v>7</v>
      </c>
      <c r="CZ257" t="s">
        <v>131</v>
      </c>
      <c r="DA257">
        <v>300</v>
      </c>
      <c r="DB257">
        <v>0</v>
      </c>
      <c r="DC257" t="s">
        <v>176</v>
      </c>
      <c r="DD257" t="s">
        <v>177</v>
      </c>
      <c r="DG257">
        <v>5358441</v>
      </c>
      <c r="DI257">
        <v>0</v>
      </c>
      <c r="DJ257">
        <v>0</v>
      </c>
      <c r="DK257">
        <v>1</v>
      </c>
      <c r="DL257">
        <v>0</v>
      </c>
      <c r="DM257">
        <v>0</v>
      </c>
      <c r="DN257">
        <v>1</v>
      </c>
      <c r="DO257">
        <v>0</v>
      </c>
      <c r="DP257">
        <v>0</v>
      </c>
      <c r="DQ257">
        <v>0</v>
      </c>
      <c r="DR257">
        <v>0</v>
      </c>
      <c r="DS257">
        <v>0</v>
      </c>
    </row>
    <row r="258" spans="1:123" x14ac:dyDescent="0.3">
      <c r="A258" t="str">
        <f>"10/04/2022 19:26:23.821"</f>
        <v>10/04/2022 19:26:23.821</v>
      </c>
      <c r="C258" t="str">
        <f t="shared" ref="C258:C321" si="98">"FFDFD3C0"</f>
        <v>FFDFD3C0</v>
      </c>
      <c r="D258" t="s">
        <v>147</v>
      </c>
      <c r="E258">
        <v>3</v>
      </c>
      <c r="H258">
        <v>166</v>
      </c>
      <c r="I258" t="s">
        <v>144</v>
      </c>
      <c r="J258" t="s">
        <v>148</v>
      </c>
      <c r="K258">
        <v>0</v>
      </c>
      <c r="L258">
        <v>3</v>
      </c>
      <c r="M258">
        <v>0</v>
      </c>
      <c r="N258">
        <v>2</v>
      </c>
      <c r="O258">
        <v>0</v>
      </c>
      <c r="P258">
        <v>1</v>
      </c>
      <c r="Q258">
        <v>0</v>
      </c>
      <c r="S258" t="str">
        <f t="shared" si="96"/>
        <v>19:26:23.000</v>
      </c>
      <c r="T258" t="str">
        <f t="shared" si="96"/>
        <v>19:26:23.000</v>
      </c>
      <c r="U258" t="str">
        <f t="shared" ref="U258:U321" si="99">"AC3944"</f>
        <v>AC3944</v>
      </c>
      <c r="V258">
        <v>0</v>
      </c>
      <c r="W258">
        <v>0</v>
      </c>
      <c r="X258">
        <v>2</v>
      </c>
      <c r="Y258">
        <v>0</v>
      </c>
      <c r="AA258">
        <v>1</v>
      </c>
      <c r="AB258">
        <v>8</v>
      </c>
      <c r="AC258">
        <v>3</v>
      </c>
      <c r="AD258">
        <v>0</v>
      </c>
      <c r="AE258">
        <v>9</v>
      </c>
      <c r="AF258" t="s">
        <v>138</v>
      </c>
      <c r="AG258">
        <v>0</v>
      </c>
      <c r="AH258">
        <v>3</v>
      </c>
      <c r="AI258">
        <v>1</v>
      </c>
      <c r="AJ258">
        <v>0</v>
      </c>
      <c r="AK258" t="s">
        <v>226</v>
      </c>
      <c r="AL258">
        <v>32.827663000000001</v>
      </c>
      <c r="AM258" t="s">
        <v>227</v>
      </c>
      <c r="AN258">
        <v>-116.995897</v>
      </c>
      <c r="AO258">
        <v>25</v>
      </c>
      <c r="AP258">
        <v>1400</v>
      </c>
      <c r="AQ258" t="s">
        <v>129</v>
      </c>
      <c r="AR258">
        <v>-85</v>
      </c>
      <c r="AS258">
        <v>-70</v>
      </c>
      <c r="AT258">
        <v>960</v>
      </c>
      <c r="BB258">
        <v>1200</v>
      </c>
      <c r="BC258">
        <v>1</v>
      </c>
      <c r="BD258" t="str">
        <f t="shared" ref="BD258:BD321" si="100">"N887QR  "</f>
        <v xml:space="preserve">N887QR  </v>
      </c>
      <c r="BE258">
        <v>1</v>
      </c>
      <c r="BG258">
        <v>0</v>
      </c>
      <c r="BH258">
        <v>0</v>
      </c>
      <c r="BI258">
        <v>0</v>
      </c>
      <c r="BJ258">
        <v>1075</v>
      </c>
      <c r="BK258">
        <v>-325</v>
      </c>
      <c r="BL258" t="s">
        <v>163</v>
      </c>
      <c r="BM258">
        <v>1</v>
      </c>
      <c r="BN258">
        <v>1</v>
      </c>
      <c r="BO258">
        <v>1</v>
      </c>
      <c r="BP258">
        <v>0</v>
      </c>
      <c r="BS258">
        <v>0</v>
      </c>
      <c r="BT258">
        <v>0</v>
      </c>
      <c r="BU258">
        <v>0</v>
      </c>
      <c r="CE258" t="str">
        <f t="shared" si="97"/>
        <v>19:26:23.520</v>
      </c>
      <c r="CF258">
        <v>520096750</v>
      </c>
      <c r="CS258">
        <v>3</v>
      </c>
      <c r="CT258">
        <v>2</v>
      </c>
      <c r="CU258">
        <v>0</v>
      </c>
      <c r="CV258">
        <v>2</v>
      </c>
      <c r="CW258">
        <v>0</v>
      </c>
      <c r="CX258">
        <v>6</v>
      </c>
      <c r="CY258">
        <v>7</v>
      </c>
      <c r="CZ258" t="s">
        <v>131</v>
      </c>
      <c r="DA258">
        <v>300</v>
      </c>
      <c r="DB258">
        <v>0</v>
      </c>
      <c r="DC258" t="s">
        <v>176</v>
      </c>
      <c r="DD258" t="s">
        <v>177</v>
      </c>
      <c r="DG258">
        <v>5358441</v>
      </c>
      <c r="DI258">
        <v>0</v>
      </c>
      <c r="DJ258">
        <v>0</v>
      </c>
      <c r="DK258">
        <v>1</v>
      </c>
      <c r="DL258">
        <v>0</v>
      </c>
      <c r="DM258">
        <v>0</v>
      </c>
      <c r="DN258">
        <v>1</v>
      </c>
      <c r="DO258">
        <v>0</v>
      </c>
      <c r="DP258">
        <v>0</v>
      </c>
      <c r="DQ258">
        <v>0</v>
      </c>
      <c r="DR258">
        <v>0</v>
      </c>
      <c r="DS258">
        <v>0</v>
      </c>
    </row>
    <row r="259" spans="1:123" x14ac:dyDescent="0.3">
      <c r="A259" t="str">
        <f>"10/04/2022 19:26:23.821"</f>
        <v>10/04/2022 19:26:23.821</v>
      </c>
      <c r="C259" t="str">
        <f t="shared" si="98"/>
        <v>FFDFD3C0</v>
      </c>
      <c r="D259" t="s">
        <v>143</v>
      </c>
      <c r="E259">
        <v>20</v>
      </c>
      <c r="F259">
        <v>1020</v>
      </c>
      <c r="G259" t="s">
        <v>144</v>
      </c>
      <c r="J259" t="s">
        <v>145</v>
      </c>
      <c r="K259">
        <v>0</v>
      </c>
      <c r="L259">
        <v>3</v>
      </c>
      <c r="M259">
        <v>0</v>
      </c>
      <c r="N259">
        <v>2</v>
      </c>
      <c r="O259">
        <v>0</v>
      </c>
      <c r="P259">
        <v>1</v>
      </c>
      <c r="Q259">
        <v>0</v>
      </c>
      <c r="S259" t="str">
        <f t="shared" si="96"/>
        <v>19:26:23.000</v>
      </c>
      <c r="T259" t="str">
        <f t="shared" si="96"/>
        <v>19:26:23.000</v>
      </c>
      <c r="U259" t="str">
        <f t="shared" si="99"/>
        <v>AC3944</v>
      </c>
      <c r="V259">
        <v>0</v>
      </c>
      <c r="W259">
        <v>0</v>
      </c>
      <c r="X259">
        <v>2</v>
      </c>
      <c r="Y259">
        <v>0</v>
      </c>
      <c r="AA259">
        <v>1</v>
      </c>
      <c r="AB259">
        <v>8</v>
      </c>
      <c r="AC259">
        <v>3</v>
      </c>
      <c r="AD259">
        <v>0</v>
      </c>
      <c r="AE259">
        <v>9</v>
      </c>
      <c r="AF259" t="s">
        <v>138</v>
      </c>
      <c r="AG259">
        <v>0</v>
      </c>
      <c r="AH259">
        <v>3</v>
      </c>
      <c r="AI259">
        <v>1</v>
      </c>
      <c r="AJ259">
        <v>0</v>
      </c>
      <c r="AK259" t="s">
        <v>226</v>
      </c>
      <c r="AL259">
        <v>32.827663000000001</v>
      </c>
      <c r="AM259" t="s">
        <v>227</v>
      </c>
      <c r="AN259">
        <v>-116.995897</v>
      </c>
      <c r="AO259">
        <v>25</v>
      </c>
      <c r="AP259">
        <v>1400</v>
      </c>
      <c r="AQ259" t="s">
        <v>129</v>
      </c>
      <c r="AR259">
        <v>-85</v>
      </c>
      <c r="AS259">
        <v>-70</v>
      </c>
      <c r="AT259">
        <v>960</v>
      </c>
      <c r="BB259">
        <v>1200</v>
      </c>
      <c r="BC259">
        <v>1</v>
      </c>
      <c r="BD259" t="str">
        <f t="shared" si="100"/>
        <v xml:space="preserve">N887QR  </v>
      </c>
      <c r="BE259">
        <v>1</v>
      </c>
      <c r="BG259">
        <v>0</v>
      </c>
      <c r="BH259">
        <v>0</v>
      </c>
      <c r="BI259">
        <v>0</v>
      </c>
      <c r="BJ259">
        <v>1075</v>
      </c>
      <c r="BK259">
        <v>-325</v>
      </c>
      <c r="BL259" t="s">
        <v>163</v>
      </c>
      <c r="BM259">
        <v>1</v>
      </c>
      <c r="BN259">
        <v>1</v>
      </c>
      <c r="BO259">
        <v>1</v>
      </c>
      <c r="BP259">
        <v>0</v>
      </c>
      <c r="BS259">
        <v>0</v>
      </c>
      <c r="BT259">
        <v>0</v>
      </c>
      <c r="BU259">
        <v>0</v>
      </c>
      <c r="CE259" t="str">
        <f t="shared" si="97"/>
        <v>19:26:23.520</v>
      </c>
      <c r="CF259">
        <v>520096750</v>
      </c>
      <c r="CS259">
        <v>3</v>
      </c>
      <c r="CT259">
        <v>2</v>
      </c>
      <c r="CU259">
        <v>0</v>
      </c>
      <c r="CV259">
        <v>2</v>
      </c>
      <c r="CW259">
        <v>0</v>
      </c>
      <c r="CX259">
        <v>6</v>
      </c>
      <c r="CY259">
        <v>7</v>
      </c>
      <c r="CZ259" t="s">
        <v>131</v>
      </c>
      <c r="DA259">
        <v>300</v>
      </c>
      <c r="DB259">
        <v>0</v>
      </c>
      <c r="DC259" t="s">
        <v>176</v>
      </c>
      <c r="DD259" t="s">
        <v>177</v>
      </c>
      <c r="DG259">
        <v>5358441</v>
      </c>
      <c r="DI259">
        <v>0</v>
      </c>
      <c r="DJ259">
        <v>0</v>
      </c>
      <c r="DK259">
        <v>1</v>
      </c>
      <c r="DL259">
        <v>0</v>
      </c>
      <c r="DM259">
        <v>0</v>
      </c>
      <c r="DN259">
        <v>1</v>
      </c>
      <c r="DO259">
        <v>0</v>
      </c>
      <c r="DP259">
        <v>0</v>
      </c>
      <c r="DQ259">
        <v>0</v>
      </c>
      <c r="DR259">
        <v>0</v>
      </c>
      <c r="DS259">
        <v>0</v>
      </c>
    </row>
    <row r="260" spans="1:123" x14ac:dyDescent="0.3">
      <c r="A260" t="str">
        <f>"10/04/2022 19:26:23.821"</f>
        <v>10/04/2022 19:26:23.821</v>
      </c>
      <c r="C260" t="str">
        <f t="shared" si="98"/>
        <v>FFDFD3C0</v>
      </c>
      <c r="D260" t="s">
        <v>141</v>
      </c>
      <c r="E260">
        <v>4</v>
      </c>
      <c r="H260">
        <v>4</v>
      </c>
      <c r="I260" t="s">
        <v>142</v>
      </c>
      <c r="J260" t="s">
        <v>138</v>
      </c>
      <c r="K260">
        <v>0</v>
      </c>
      <c r="L260">
        <v>3</v>
      </c>
      <c r="M260">
        <v>0</v>
      </c>
      <c r="N260">
        <v>2</v>
      </c>
      <c r="O260">
        <v>0</v>
      </c>
      <c r="P260">
        <v>1</v>
      </c>
      <c r="Q260">
        <v>0</v>
      </c>
      <c r="S260" t="str">
        <f t="shared" si="96"/>
        <v>19:26:23.000</v>
      </c>
      <c r="T260" t="str">
        <f t="shared" si="96"/>
        <v>19:26:23.000</v>
      </c>
      <c r="U260" t="str">
        <f t="shared" si="99"/>
        <v>AC3944</v>
      </c>
      <c r="V260">
        <v>0</v>
      </c>
      <c r="W260">
        <v>0</v>
      </c>
      <c r="X260">
        <v>2</v>
      </c>
      <c r="Y260">
        <v>0</v>
      </c>
      <c r="AA260">
        <v>1</v>
      </c>
      <c r="AB260">
        <v>8</v>
      </c>
      <c r="AC260">
        <v>3</v>
      </c>
      <c r="AD260">
        <v>0</v>
      </c>
      <c r="AE260">
        <v>9</v>
      </c>
      <c r="AF260" t="s">
        <v>138</v>
      </c>
      <c r="AG260">
        <v>0</v>
      </c>
      <c r="AH260">
        <v>3</v>
      </c>
      <c r="AI260">
        <v>1</v>
      </c>
      <c r="AJ260">
        <v>0</v>
      </c>
      <c r="AK260" t="s">
        <v>226</v>
      </c>
      <c r="AL260">
        <v>32.827663000000001</v>
      </c>
      <c r="AM260" t="s">
        <v>227</v>
      </c>
      <c r="AN260">
        <v>-116.995897</v>
      </c>
      <c r="AO260">
        <v>25</v>
      </c>
      <c r="AP260">
        <v>1400</v>
      </c>
      <c r="AQ260" t="s">
        <v>129</v>
      </c>
      <c r="AR260">
        <v>-85</v>
      </c>
      <c r="AS260">
        <v>-70</v>
      </c>
      <c r="AT260">
        <v>960</v>
      </c>
      <c r="BB260">
        <v>1200</v>
      </c>
      <c r="BC260">
        <v>1</v>
      </c>
      <c r="BD260" t="str">
        <f t="shared" si="100"/>
        <v xml:space="preserve">N887QR  </v>
      </c>
      <c r="BE260">
        <v>1</v>
      </c>
      <c r="BG260">
        <v>0</v>
      </c>
      <c r="BH260">
        <v>0</v>
      </c>
      <c r="BI260">
        <v>0</v>
      </c>
      <c r="BJ260">
        <v>1075</v>
      </c>
      <c r="BK260">
        <v>-325</v>
      </c>
      <c r="BL260" t="s">
        <v>163</v>
      </c>
      <c r="BM260">
        <v>1</v>
      </c>
      <c r="BN260">
        <v>1</v>
      </c>
      <c r="BO260">
        <v>1</v>
      </c>
      <c r="BP260">
        <v>0</v>
      </c>
      <c r="BS260">
        <v>0</v>
      </c>
      <c r="BT260">
        <v>0</v>
      </c>
      <c r="BU260">
        <v>0</v>
      </c>
      <c r="CE260" t="str">
        <f t="shared" si="97"/>
        <v>19:26:23.520</v>
      </c>
      <c r="CF260">
        <v>520096750</v>
      </c>
      <c r="CS260">
        <v>3</v>
      </c>
      <c r="CT260">
        <v>2</v>
      </c>
      <c r="CU260">
        <v>0</v>
      </c>
      <c r="CV260">
        <v>2</v>
      </c>
      <c r="CW260">
        <v>0</v>
      </c>
      <c r="CX260">
        <v>6</v>
      </c>
      <c r="CY260">
        <v>7</v>
      </c>
      <c r="CZ260" t="s">
        <v>131</v>
      </c>
      <c r="DA260">
        <v>300</v>
      </c>
      <c r="DB260">
        <v>0</v>
      </c>
      <c r="DC260" t="s">
        <v>176</v>
      </c>
      <c r="DD260" t="s">
        <v>177</v>
      </c>
      <c r="DG260">
        <v>5358441</v>
      </c>
      <c r="DI260">
        <v>0</v>
      </c>
      <c r="DJ260">
        <v>0</v>
      </c>
      <c r="DK260">
        <v>1</v>
      </c>
      <c r="DL260">
        <v>0</v>
      </c>
      <c r="DM260">
        <v>0</v>
      </c>
      <c r="DN260">
        <v>1</v>
      </c>
      <c r="DO260">
        <v>0</v>
      </c>
      <c r="DP260">
        <v>0</v>
      </c>
      <c r="DQ260">
        <v>0</v>
      </c>
      <c r="DR260">
        <v>0</v>
      </c>
      <c r="DS260">
        <v>0</v>
      </c>
    </row>
    <row r="261" spans="1:123" x14ac:dyDescent="0.3">
      <c r="A261" t="str">
        <f t="shared" ref="A261:A267" si="101">"10/04/2022 19:26:25.588"</f>
        <v>10/04/2022 19:26:25.588</v>
      </c>
      <c r="C261" t="str">
        <f t="shared" si="98"/>
        <v>FFDFD3C0</v>
      </c>
      <c r="D261" t="s">
        <v>136</v>
      </c>
      <c r="E261">
        <v>8</v>
      </c>
      <c r="H261">
        <v>225</v>
      </c>
      <c r="I261" t="s">
        <v>137</v>
      </c>
      <c r="J261" t="s">
        <v>138</v>
      </c>
      <c r="K261">
        <v>0</v>
      </c>
      <c r="L261">
        <v>3</v>
      </c>
      <c r="M261">
        <v>0</v>
      </c>
      <c r="N261">
        <v>2</v>
      </c>
      <c r="O261">
        <v>0</v>
      </c>
      <c r="P261">
        <v>1</v>
      </c>
      <c r="Q261">
        <v>0</v>
      </c>
      <c r="S261" t="str">
        <f t="shared" ref="S261:T267" si="102">"19:26:25.000"</f>
        <v>19:26:25.000</v>
      </c>
      <c r="T261" t="str">
        <f t="shared" si="102"/>
        <v>19:26:25.000</v>
      </c>
      <c r="U261" t="str">
        <f t="shared" si="99"/>
        <v>AC3944</v>
      </c>
      <c r="V261">
        <v>0</v>
      </c>
      <c r="W261">
        <v>0</v>
      </c>
      <c r="X261">
        <v>2</v>
      </c>
      <c r="Y261">
        <v>0</v>
      </c>
      <c r="AA261">
        <v>1</v>
      </c>
      <c r="AB261">
        <v>8</v>
      </c>
      <c r="AC261">
        <v>3</v>
      </c>
      <c r="AD261">
        <v>0</v>
      </c>
      <c r="AE261">
        <v>9</v>
      </c>
      <c r="AF261" t="s">
        <v>138</v>
      </c>
      <c r="AG261">
        <v>0</v>
      </c>
      <c r="AH261">
        <v>3</v>
      </c>
      <c r="AI261">
        <v>1</v>
      </c>
      <c r="AJ261">
        <v>0</v>
      </c>
      <c r="AK261" t="s">
        <v>228</v>
      </c>
      <c r="AL261">
        <v>32.827083999999999</v>
      </c>
      <c r="AM261" t="s">
        <v>229</v>
      </c>
      <c r="AN261">
        <v>-116.996713</v>
      </c>
      <c r="AO261">
        <v>25</v>
      </c>
      <c r="AP261">
        <v>1500</v>
      </c>
      <c r="AQ261" t="s">
        <v>129</v>
      </c>
      <c r="AR261">
        <v>-70</v>
      </c>
      <c r="AS261">
        <v>-84</v>
      </c>
      <c r="AT261">
        <v>1216</v>
      </c>
      <c r="BB261">
        <v>1200</v>
      </c>
      <c r="BC261">
        <v>1</v>
      </c>
      <c r="BD261" t="str">
        <f t="shared" si="100"/>
        <v xml:space="preserve">N887QR  </v>
      </c>
      <c r="BE261">
        <v>1</v>
      </c>
      <c r="BG261">
        <v>0</v>
      </c>
      <c r="BH261">
        <v>0</v>
      </c>
      <c r="BI261">
        <v>0</v>
      </c>
      <c r="BJ261">
        <v>1150</v>
      </c>
      <c r="BK261">
        <v>-350</v>
      </c>
      <c r="BL261" t="s">
        <v>163</v>
      </c>
      <c r="BM261">
        <v>1</v>
      </c>
      <c r="BN261">
        <v>1</v>
      </c>
      <c r="BO261">
        <v>1</v>
      </c>
      <c r="BP261">
        <v>0</v>
      </c>
      <c r="BS261">
        <v>0</v>
      </c>
      <c r="BT261">
        <v>0</v>
      </c>
      <c r="BU261">
        <v>0</v>
      </c>
      <c r="CE261" t="str">
        <f t="shared" ref="CE261:CE267" si="103">"19:26:25.294"</f>
        <v>19:26:25.294</v>
      </c>
      <c r="CF261">
        <v>293852627</v>
      </c>
      <c r="CS261">
        <v>3</v>
      </c>
      <c r="CT261">
        <v>2</v>
      </c>
      <c r="CU261">
        <v>0</v>
      </c>
      <c r="CV261">
        <v>2</v>
      </c>
      <c r="CW261">
        <v>0</v>
      </c>
      <c r="CX261">
        <v>6</v>
      </c>
      <c r="CY261">
        <v>7</v>
      </c>
      <c r="CZ261" t="s">
        <v>131</v>
      </c>
      <c r="DA261">
        <v>300</v>
      </c>
      <c r="DB261">
        <v>0</v>
      </c>
      <c r="DC261" t="s">
        <v>176</v>
      </c>
      <c r="DD261" t="s">
        <v>177</v>
      </c>
      <c r="DG261">
        <v>5358723</v>
      </c>
      <c r="DI261">
        <v>0</v>
      </c>
      <c r="DJ261">
        <v>0</v>
      </c>
      <c r="DK261">
        <v>0</v>
      </c>
      <c r="DL261">
        <v>0</v>
      </c>
      <c r="DM261">
        <v>0</v>
      </c>
      <c r="DN261">
        <v>1</v>
      </c>
      <c r="DO261">
        <v>0</v>
      </c>
      <c r="DP261">
        <v>0</v>
      </c>
      <c r="DQ261">
        <v>0</v>
      </c>
      <c r="DR261">
        <v>0</v>
      </c>
      <c r="DS261">
        <v>0</v>
      </c>
    </row>
    <row r="262" spans="1:123" x14ac:dyDescent="0.3">
      <c r="A262" t="str">
        <f t="shared" si="101"/>
        <v>10/04/2022 19:26:25.588</v>
      </c>
      <c r="C262" t="str">
        <f t="shared" si="98"/>
        <v>FFDFD3C0</v>
      </c>
      <c r="D262" t="s">
        <v>147</v>
      </c>
      <c r="E262">
        <v>3</v>
      </c>
      <c r="H262">
        <v>166</v>
      </c>
      <c r="I262" t="s">
        <v>144</v>
      </c>
      <c r="J262" t="s">
        <v>148</v>
      </c>
      <c r="K262">
        <v>0</v>
      </c>
      <c r="L262">
        <v>3</v>
      </c>
      <c r="M262">
        <v>0</v>
      </c>
      <c r="N262">
        <v>2</v>
      </c>
      <c r="O262">
        <v>0</v>
      </c>
      <c r="P262">
        <v>1</v>
      </c>
      <c r="Q262">
        <v>0</v>
      </c>
      <c r="S262" t="str">
        <f t="shared" si="102"/>
        <v>19:26:25.000</v>
      </c>
      <c r="T262" t="str">
        <f t="shared" si="102"/>
        <v>19:26:25.000</v>
      </c>
      <c r="U262" t="str">
        <f t="shared" si="99"/>
        <v>AC3944</v>
      </c>
      <c r="V262">
        <v>0</v>
      </c>
      <c r="W262">
        <v>0</v>
      </c>
      <c r="X262">
        <v>2</v>
      </c>
      <c r="Y262">
        <v>0</v>
      </c>
      <c r="AA262">
        <v>1</v>
      </c>
      <c r="AB262">
        <v>8</v>
      </c>
      <c r="AC262">
        <v>3</v>
      </c>
      <c r="AD262">
        <v>0</v>
      </c>
      <c r="AE262">
        <v>9</v>
      </c>
      <c r="AF262" t="s">
        <v>138</v>
      </c>
      <c r="AG262">
        <v>0</v>
      </c>
      <c r="AH262">
        <v>3</v>
      </c>
      <c r="AI262">
        <v>1</v>
      </c>
      <c r="AJ262">
        <v>0</v>
      </c>
      <c r="AK262" t="s">
        <v>228</v>
      </c>
      <c r="AL262">
        <v>32.827083999999999</v>
      </c>
      <c r="AM262" t="s">
        <v>229</v>
      </c>
      <c r="AN262">
        <v>-116.996713</v>
      </c>
      <c r="AO262">
        <v>25</v>
      </c>
      <c r="AP262">
        <v>1500</v>
      </c>
      <c r="AQ262" t="s">
        <v>129</v>
      </c>
      <c r="AR262">
        <v>-70</v>
      </c>
      <c r="AS262">
        <v>-84</v>
      </c>
      <c r="AT262">
        <v>1216</v>
      </c>
      <c r="BB262">
        <v>1200</v>
      </c>
      <c r="BC262">
        <v>1</v>
      </c>
      <c r="BD262" t="str">
        <f t="shared" si="100"/>
        <v xml:space="preserve">N887QR  </v>
      </c>
      <c r="BE262">
        <v>1</v>
      </c>
      <c r="BG262">
        <v>0</v>
      </c>
      <c r="BH262">
        <v>0</v>
      </c>
      <c r="BI262">
        <v>0</v>
      </c>
      <c r="BJ262">
        <v>1150</v>
      </c>
      <c r="BK262">
        <v>-350</v>
      </c>
      <c r="BL262" t="s">
        <v>163</v>
      </c>
      <c r="BM262">
        <v>1</v>
      </c>
      <c r="BN262">
        <v>1</v>
      </c>
      <c r="BO262">
        <v>1</v>
      </c>
      <c r="BP262">
        <v>0</v>
      </c>
      <c r="BS262">
        <v>0</v>
      </c>
      <c r="BT262">
        <v>0</v>
      </c>
      <c r="BU262">
        <v>0</v>
      </c>
      <c r="CE262" t="str">
        <f t="shared" si="103"/>
        <v>19:26:25.294</v>
      </c>
      <c r="CF262">
        <v>293852627</v>
      </c>
      <c r="CS262">
        <v>3</v>
      </c>
      <c r="CT262">
        <v>2</v>
      </c>
      <c r="CU262">
        <v>0</v>
      </c>
      <c r="CV262">
        <v>2</v>
      </c>
      <c r="CW262">
        <v>0</v>
      </c>
      <c r="CX262">
        <v>6</v>
      </c>
      <c r="CY262">
        <v>7</v>
      </c>
      <c r="CZ262" t="s">
        <v>131</v>
      </c>
      <c r="DA262">
        <v>300</v>
      </c>
      <c r="DB262">
        <v>0</v>
      </c>
      <c r="DC262" t="s">
        <v>176</v>
      </c>
      <c r="DD262" t="s">
        <v>177</v>
      </c>
      <c r="DG262">
        <v>5358723</v>
      </c>
      <c r="DI262">
        <v>0</v>
      </c>
      <c r="DJ262">
        <v>0</v>
      </c>
      <c r="DK262">
        <v>1</v>
      </c>
      <c r="DL262">
        <v>0</v>
      </c>
      <c r="DM262">
        <v>0</v>
      </c>
      <c r="DN262">
        <v>1</v>
      </c>
      <c r="DO262">
        <v>0</v>
      </c>
      <c r="DP262">
        <v>0</v>
      </c>
      <c r="DQ262">
        <v>0</v>
      </c>
      <c r="DR262">
        <v>0</v>
      </c>
      <c r="DS262">
        <v>0</v>
      </c>
    </row>
    <row r="263" spans="1:123" x14ac:dyDescent="0.3">
      <c r="A263" t="str">
        <f t="shared" si="101"/>
        <v>10/04/2022 19:26:25.588</v>
      </c>
      <c r="C263" t="str">
        <f t="shared" si="98"/>
        <v>FFDFD3C0</v>
      </c>
      <c r="D263" t="s">
        <v>143</v>
      </c>
      <c r="E263">
        <v>20</v>
      </c>
      <c r="F263">
        <v>1020</v>
      </c>
      <c r="G263" t="s">
        <v>144</v>
      </c>
      <c r="J263" t="s">
        <v>145</v>
      </c>
      <c r="K263">
        <v>0</v>
      </c>
      <c r="L263">
        <v>3</v>
      </c>
      <c r="M263">
        <v>0</v>
      </c>
      <c r="N263">
        <v>2</v>
      </c>
      <c r="O263">
        <v>0</v>
      </c>
      <c r="P263">
        <v>1</v>
      </c>
      <c r="Q263">
        <v>0</v>
      </c>
      <c r="S263" t="str">
        <f t="shared" si="102"/>
        <v>19:26:25.000</v>
      </c>
      <c r="T263" t="str">
        <f t="shared" si="102"/>
        <v>19:26:25.000</v>
      </c>
      <c r="U263" t="str">
        <f t="shared" si="99"/>
        <v>AC3944</v>
      </c>
      <c r="V263">
        <v>0</v>
      </c>
      <c r="W263">
        <v>0</v>
      </c>
      <c r="X263">
        <v>2</v>
      </c>
      <c r="Y263">
        <v>0</v>
      </c>
      <c r="AA263">
        <v>1</v>
      </c>
      <c r="AB263">
        <v>8</v>
      </c>
      <c r="AC263">
        <v>3</v>
      </c>
      <c r="AD263">
        <v>0</v>
      </c>
      <c r="AE263">
        <v>9</v>
      </c>
      <c r="AF263" t="s">
        <v>138</v>
      </c>
      <c r="AG263">
        <v>0</v>
      </c>
      <c r="AH263">
        <v>3</v>
      </c>
      <c r="AI263">
        <v>1</v>
      </c>
      <c r="AJ263">
        <v>0</v>
      </c>
      <c r="AK263" t="s">
        <v>228</v>
      </c>
      <c r="AL263">
        <v>32.827083999999999</v>
      </c>
      <c r="AM263" t="s">
        <v>229</v>
      </c>
      <c r="AN263">
        <v>-116.996713</v>
      </c>
      <c r="AO263">
        <v>25</v>
      </c>
      <c r="AP263">
        <v>1500</v>
      </c>
      <c r="AQ263" t="s">
        <v>129</v>
      </c>
      <c r="AR263">
        <v>-70</v>
      </c>
      <c r="AS263">
        <v>-84</v>
      </c>
      <c r="AT263">
        <v>1216</v>
      </c>
      <c r="BB263">
        <v>1200</v>
      </c>
      <c r="BC263">
        <v>1</v>
      </c>
      <c r="BD263" t="str">
        <f t="shared" si="100"/>
        <v xml:space="preserve">N887QR  </v>
      </c>
      <c r="BE263">
        <v>1</v>
      </c>
      <c r="BG263">
        <v>0</v>
      </c>
      <c r="BH263">
        <v>0</v>
      </c>
      <c r="BI263">
        <v>0</v>
      </c>
      <c r="BJ263">
        <v>1150</v>
      </c>
      <c r="BK263">
        <v>-350</v>
      </c>
      <c r="BL263" t="s">
        <v>163</v>
      </c>
      <c r="BM263">
        <v>1</v>
      </c>
      <c r="BN263">
        <v>1</v>
      </c>
      <c r="BO263">
        <v>1</v>
      </c>
      <c r="BP263">
        <v>0</v>
      </c>
      <c r="BS263">
        <v>0</v>
      </c>
      <c r="BT263">
        <v>0</v>
      </c>
      <c r="BU263">
        <v>0</v>
      </c>
      <c r="CE263" t="str">
        <f t="shared" si="103"/>
        <v>19:26:25.294</v>
      </c>
      <c r="CF263">
        <v>293852627</v>
      </c>
      <c r="CS263">
        <v>3</v>
      </c>
      <c r="CT263">
        <v>2</v>
      </c>
      <c r="CU263">
        <v>0</v>
      </c>
      <c r="CV263">
        <v>2</v>
      </c>
      <c r="CW263">
        <v>0</v>
      </c>
      <c r="CX263">
        <v>6</v>
      </c>
      <c r="CY263">
        <v>7</v>
      </c>
      <c r="CZ263" t="s">
        <v>131</v>
      </c>
      <c r="DA263">
        <v>300</v>
      </c>
      <c r="DB263">
        <v>0</v>
      </c>
      <c r="DC263" t="s">
        <v>176</v>
      </c>
      <c r="DD263" t="s">
        <v>177</v>
      </c>
      <c r="DG263">
        <v>5358723</v>
      </c>
      <c r="DI263">
        <v>0</v>
      </c>
      <c r="DJ263">
        <v>0</v>
      </c>
      <c r="DK263">
        <v>1</v>
      </c>
      <c r="DL263">
        <v>0</v>
      </c>
      <c r="DM263">
        <v>0</v>
      </c>
      <c r="DN263">
        <v>1</v>
      </c>
      <c r="DO263">
        <v>0</v>
      </c>
      <c r="DP263">
        <v>0</v>
      </c>
      <c r="DQ263">
        <v>0</v>
      </c>
      <c r="DR263">
        <v>0</v>
      </c>
      <c r="DS263">
        <v>0</v>
      </c>
    </row>
    <row r="264" spans="1:123" x14ac:dyDescent="0.3">
      <c r="A264" t="str">
        <f t="shared" si="101"/>
        <v>10/04/2022 19:26:25.588</v>
      </c>
      <c r="C264" t="str">
        <f t="shared" si="98"/>
        <v>FFDFD3C0</v>
      </c>
      <c r="D264" t="s">
        <v>141</v>
      </c>
      <c r="E264">
        <v>4</v>
      </c>
      <c r="H264">
        <v>4</v>
      </c>
      <c r="I264" t="s">
        <v>142</v>
      </c>
      <c r="J264" t="s">
        <v>138</v>
      </c>
      <c r="K264">
        <v>0</v>
      </c>
      <c r="L264">
        <v>3</v>
      </c>
      <c r="M264">
        <v>0</v>
      </c>
      <c r="N264">
        <v>2</v>
      </c>
      <c r="O264">
        <v>0</v>
      </c>
      <c r="P264">
        <v>1</v>
      </c>
      <c r="Q264">
        <v>0</v>
      </c>
      <c r="S264" t="str">
        <f t="shared" si="102"/>
        <v>19:26:25.000</v>
      </c>
      <c r="T264" t="str">
        <f t="shared" si="102"/>
        <v>19:26:25.000</v>
      </c>
      <c r="U264" t="str">
        <f t="shared" si="99"/>
        <v>AC3944</v>
      </c>
      <c r="V264">
        <v>0</v>
      </c>
      <c r="W264">
        <v>0</v>
      </c>
      <c r="X264">
        <v>2</v>
      </c>
      <c r="Y264">
        <v>0</v>
      </c>
      <c r="AA264">
        <v>1</v>
      </c>
      <c r="AB264">
        <v>8</v>
      </c>
      <c r="AC264">
        <v>3</v>
      </c>
      <c r="AD264">
        <v>0</v>
      </c>
      <c r="AE264">
        <v>9</v>
      </c>
      <c r="AF264" t="s">
        <v>138</v>
      </c>
      <c r="AG264">
        <v>0</v>
      </c>
      <c r="AH264">
        <v>3</v>
      </c>
      <c r="AI264">
        <v>1</v>
      </c>
      <c r="AJ264">
        <v>0</v>
      </c>
      <c r="AK264" t="s">
        <v>228</v>
      </c>
      <c r="AL264">
        <v>32.827083999999999</v>
      </c>
      <c r="AM264" t="s">
        <v>229</v>
      </c>
      <c r="AN264">
        <v>-116.996713</v>
      </c>
      <c r="AO264">
        <v>25</v>
      </c>
      <c r="AP264">
        <v>1500</v>
      </c>
      <c r="AQ264" t="s">
        <v>129</v>
      </c>
      <c r="AR264">
        <v>-70</v>
      </c>
      <c r="AS264">
        <v>-84</v>
      </c>
      <c r="AT264">
        <v>1216</v>
      </c>
      <c r="BB264">
        <v>1200</v>
      </c>
      <c r="BC264">
        <v>1</v>
      </c>
      <c r="BD264" t="str">
        <f t="shared" si="100"/>
        <v xml:space="preserve">N887QR  </v>
      </c>
      <c r="BE264">
        <v>1</v>
      </c>
      <c r="BG264">
        <v>0</v>
      </c>
      <c r="BH264">
        <v>0</v>
      </c>
      <c r="BI264">
        <v>0</v>
      </c>
      <c r="BJ264">
        <v>1150</v>
      </c>
      <c r="BK264">
        <v>-350</v>
      </c>
      <c r="BL264" t="s">
        <v>163</v>
      </c>
      <c r="BM264">
        <v>1</v>
      </c>
      <c r="BN264">
        <v>1</v>
      </c>
      <c r="BO264">
        <v>1</v>
      </c>
      <c r="BP264">
        <v>0</v>
      </c>
      <c r="BS264">
        <v>0</v>
      </c>
      <c r="BT264">
        <v>0</v>
      </c>
      <c r="BU264">
        <v>0</v>
      </c>
      <c r="CE264" t="str">
        <f t="shared" si="103"/>
        <v>19:26:25.294</v>
      </c>
      <c r="CF264">
        <v>293852627</v>
      </c>
      <c r="CS264">
        <v>3</v>
      </c>
      <c r="CT264">
        <v>2</v>
      </c>
      <c r="CU264">
        <v>0</v>
      </c>
      <c r="CV264">
        <v>2</v>
      </c>
      <c r="CW264">
        <v>0</v>
      </c>
      <c r="CX264">
        <v>6</v>
      </c>
      <c r="CY264">
        <v>7</v>
      </c>
      <c r="CZ264" t="s">
        <v>131</v>
      </c>
      <c r="DA264">
        <v>300</v>
      </c>
      <c r="DB264">
        <v>0</v>
      </c>
      <c r="DC264" t="s">
        <v>176</v>
      </c>
      <c r="DD264" t="s">
        <v>177</v>
      </c>
      <c r="DG264">
        <v>5358723</v>
      </c>
      <c r="DI264">
        <v>0</v>
      </c>
      <c r="DJ264">
        <v>0</v>
      </c>
      <c r="DK264">
        <v>1</v>
      </c>
      <c r="DL264">
        <v>0</v>
      </c>
      <c r="DM264">
        <v>0</v>
      </c>
      <c r="DN264">
        <v>1</v>
      </c>
      <c r="DO264">
        <v>0</v>
      </c>
      <c r="DP264">
        <v>0</v>
      </c>
      <c r="DQ264">
        <v>0</v>
      </c>
      <c r="DR264">
        <v>0</v>
      </c>
      <c r="DS264">
        <v>0</v>
      </c>
    </row>
    <row r="265" spans="1:123" x14ac:dyDescent="0.3">
      <c r="A265" t="str">
        <f t="shared" si="101"/>
        <v>10/04/2022 19:26:25.588</v>
      </c>
      <c r="C265" t="str">
        <f t="shared" si="98"/>
        <v>FFDFD3C0</v>
      </c>
      <c r="D265" t="s">
        <v>141</v>
      </c>
      <c r="E265">
        <v>3</v>
      </c>
      <c r="H265">
        <v>3</v>
      </c>
      <c r="I265" t="s">
        <v>146</v>
      </c>
      <c r="J265" t="s">
        <v>138</v>
      </c>
      <c r="K265">
        <v>0</v>
      </c>
      <c r="L265">
        <v>3</v>
      </c>
      <c r="M265">
        <v>0</v>
      </c>
      <c r="N265">
        <v>2</v>
      </c>
      <c r="O265">
        <v>0</v>
      </c>
      <c r="P265">
        <v>1</v>
      </c>
      <c r="Q265">
        <v>0</v>
      </c>
      <c r="S265" t="str">
        <f t="shared" si="102"/>
        <v>19:26:25.000</v>
      </c>
      <c r="T265" t="str">
        <f t="shared" si="102"/>
        <v>19:26:25.000</v>
      </c>
      <c r="U265" t="str">
        <f t="shared" si="99"/>
        <v>AC3944</v>
      </c>
      <c r="V265">
        <v>0</v>
      </c>
      <c r="W265">
        <v>0</v>
      </c>
      <c r="X265">
        <v>2</v>
      </c>
      <c r="Y265">
        <v>0</v>
      </c>
      <c r="AA265">
        <v>1</v>
      </c>
      <c r="AB265">
        <v>8</v>
      </c>
      <c r="AC265">
        <v>3</v>
      </c>
      <c r="AD265">
        <v>0</v>
      </c>
      <c r="AE265">
        <v>9</v>
      </c>
      <c r="AF265" t="s">
        <v>138</v>
      </c>
      <c r="AG265">
        <v>0</v>
      </c>
      <c r="AH265">
        <v>3</v>
      </c>
      <c r="AI265">
        <v>1</v>
      </c>
      <c r="AJ265">
        <v>0</v>
      </c>
      <c r="AK265" t="s">
        <v>228</v>
      </c>
      <c r="AL265">
        <v>32.827083999999999</v>
      </c>
      <c r="AM265" t="s">
        <v>229</v>
      </c>
      <c r="AN265">
        <v>-116.996713</v>
      </c>
      <c r="AO265">
        <v>25</v>
      </c>
      <c r="AP265">
        <v>1500</v>
      </c>
      <c r="AQ265" t="s">
        <v>129</v>
      </c>
      <c r="AR265">
        <v>-70</v>
      </c>
      <c r="AS265">
        <v>-84</v>
      </c>
      <c r="AT265">
        <v>1216</v>
      </c>
      <c r="BB265">
        <v>1200</v>
      </c>
      <c r="BC265">
        <v>1</v>
      </c>
      <c r="BD265" t="str">
        <f t="shared" si="100"/>
        <v xml:space="preserve">N887QR  </v>
      </c>
      <c r="BE265">
        <v>1</v>
      </c>
      <c r="BG265">
        <v>0</v>
      </c>
      <c r="BH265">
        <v>0</v>
      </c>
      <c r="BI265">
        <v>0</v>
      </c>
      <c r="BJ265">
        <v>1150</v>
      </c>
      <c r="BK265">
        <v>-350</v>
      </c>
      <c r="BL265" t="s">
        <v>163</v>
      </c>
      <c r="BM265">
        <v>1</v>
      </c>
      <c r="BN265">
        <v>1</v>
      </c>
      <c r="BO265">
        <v>1</v>
      </c>
      <c r="BP265">
        <v>0</v>
      </c>
      <c r="BS265">
        <v>0</v>
      </c>
      <c r="BT265">
        <v>0</v>
      </c>
      <c r="BU265">
        <v>0</v>
      </c>
      <c r="CE265" t="str">
        <f t="shared" si="103"/>
        <v>19:26:25.294</v>
      </c>
      <c r="CF265">
        <v>293852627</v>
      </c>
      <c r="CS265">
        <v>3</v>
      </c>
      <c r="CT265">
        <v>2</v>
      </c>
      <c r="CU265">
        <v>0</v>
      </c>
      <c r="CV265">
        <v>2</v>
      </c>
      <c r="CW265">
        <v>0</v>
      </c>
      <c r="CX265">
        <v>6</v>
      </c>
      <c r="CY265">
        <v>7</v>
      </c>
      <c r="CZ265" t="s">
        <v>131</v>
      </c>
      <c r="DA265">
        <v>300</v>
      </c>
      <c r="DB265">
        <v>0</v>
      </c>
      <c r="DC265" t="s">
        <v>176</v>
      </c>
      <c r="DD265" t="s">
        <v>177</v>
      </c>
      <c r="DG265">
        <v>5358723</v>
      </c>
      <c r="DI265">
        <v>0</v>
      </c>
      <c r="DJ265">
        <v>0</v>
      </c>
      <c r="DK265">
        <v>1</v>
      </c>
      <c r="DL265">
        <v>0</v>
      </c>
      <c r="DM265">
        <v>0</v>
      </c>
      <c r="DN265">
        <v>1</v>
      </c>
      <c r="DO265">
        <v>0</v>
      </c>
      <c r="DP265">
        <v>0</v>
      </c>
      <c r="DQ265">
        <v>0</v>
      </c>
      <c r="DR265">
        <v>0</v>
      </c>
      <c r="DS265">
        <v>0</v>
      </c>
    </row>
    <row r="266" spans="1:123" x14ac:dyDescent="0.3">
      <c r="A266" t="str">
        <f t="shared" si="101"/>
        <v>10/04/2022 19:26:25.588</v>
      </c>
      <c r="C266" t="str">
        <f t="shared" si="98"/>
        <v>FFDFD3C0</v>
      </c>
      <c r="D266" t="s">
        <v>123</v>
      </c>
      <c r="E266">
        <v>7</v>
      </c>
      <c r="F266">
        <v>2007</v>
      </c>
      <c r="G266" t="s">
        <v>124</v>
      </c>
      <c r="J266" t="s">
        <v>125</v>
      </c>
      <c r="K266">
        <v>0</v>
      </c>
      <c r="L266">
        <v>3</v>
      </c>
      <c r="M266">
        <v>0</v>
      </c>
      <c r="N266">
        <v>2</v>
      </c>
      <c r="O266">
        <v>0</v>
      </c>
      <c r="P266">
        <v>1</v>
      </c>
      <c r="Q266">
        <v>0</v>
      </c>
      <c r="S266" t="str">
        <f t="shared" si="102"/>
        <v>19:26:25.000</v>
      </c>
      <c r="T266" t="str">
        <f t="shared" si="102"/>
        <v>19:26:25.000</v>
      </c>
      <c r="U266" t="str">
        <f t="shared" si="99"/>
        <v>AC3944</v>
      </c>
      <c r="V266">
        <v>0</v>
      </c>
      <c r="W266">
        <v>0</v>
      </c>
      <c r="X266">
        <v>2</v>
      </c>
      <c r="Y266">
        <v>0</v>
      </c>
      <c r="AA266">
        <v>1</v>
      </c>
      <c r="AB266">
        <v>8</v>
      </c>
      <c r="AC266">
        <v>3</v>
      </c>
      <c r="AD266">
        <v>0</v>
      </c>
      <c r="AE266">
        <v>9</v>
      </c>
      <c r="AF266" t="s">
        <v>138</v>
      </c>
      <c r="AG266">
        <v>0</v>
      </c>
      <c r="AH266">
        <v>3</v>
      </c>
      <c r="AI266">
        <v>1</v>
      </c>
      <c r="AJ266">
        <v>0</v>
      </c>
      <c r="AK266" t="s">
        <v>228</v>
      </c>
      <c r="AL266">
        <v>32.827083999999999</v>
      </c>
      <c r="AM266" t="s">
        <v>229</v>
      </c>
      <c r="AN266">
        <v>-116.996713</v>
      </c>
      <c r="AO266">
        <v>25</v>
      </c>
      <c r="AP266">
        <v>1500</v>
      </c>
      <c r="AQ266" t="s">
        <v>129</v>
      </c>
      <c r="AR266">
        <v>-70</v>
      </c>
      <c r="AS266">
        <v>-84</v>
      </c>
      <c r="AT266">
        <v>1216</v>
      </c>
      <c r="BB266">
        <v>1200</v>
      </c>
      <c r="BC266">
        <v>1</v>
      </c>
      <c r="BD266" t="str">
        <f t="shared" si="100"/>
        <v xml:space="preserve">N887QR  </v>
      </c>
      <c r="BE266">
        <v>1</v>
      </c>
      <c r="BG266">
        <v>0</v>
      </c>
      <c r="BH266">
        <v>0</v>
      </c>
      <c r="BI266">
        <v>0</v>
      </c>
      <c r="BJ266">
        <v>1150</v>
      </c>
      <c r="BK266">
        <v>-350</v>
      </c>
      <c r="BL266" t="s">
        <v>163</v>
      </c>
      <c r="BM266">
        <v>1</v>
      </c>
      <c r="BN266">
        <v>1</v>
      </c>
      <c r="BO266">
        <v>1</v>
      </c>
      <c r="BP266">
        <v>0</v>
      </c>
      <c r="BS266">
        <v>0</v>
      </c>
      <c r="BT266">
        <v>0</v>
      </c>
      <c r="BU266">
        <v>0</v>
      </c>
      <c r="CE266" t="str">
        <f t="shared" si="103"/>
        <v>19:26:25.294</v>
      </c>
      <c r="CF266">
        <v>293852627</v>
      </c>
      <c r="CS266">
        <v>3</v>
      </c>
      <c r="CT266">
        <v>2</v>
      </c>
      <c r="CU266">
        <v>0</v>
      </c>
      <c r="CV266">
        <v>2</v>
      </c>
      <c r="CW266">
        <v>0</v>
      </c>
      <c r="CX266">
        <v>6</v>
      </c>
      <c r="CY266">
        <v>7</v>
      </c>
      <c r="CZ266" t="s">
        <v>131</v>
      </c>
      <c r="DA266">
        <v>300</v>
      </c>
      <c r="DB266">
        <v>0</v>
      </c>
      <c r="DC266" t="s">
        <v>176</v>
      </c>
      <c r="DD266" t="s">
        <v>177</v>
      </c>
      <c r="DG266">
        <v>5358723</v>
      </c>
      <c r="DI266">
        <v>0</v>
      </c>
      <c r="DJ266">
        <v>0</v>
      </c>
      <c r="DK266">
        <v>1</v>
      </c>
      <c r="DL266">
        <v>0</v>
      </c>
      <c r="DM266">
        <v>0</v>
      </c>
      <c r="DN266">
        <v>1</v>
      </c>
      <c r="DO266">
        <v>0</v>
      </c>
      <c r="DP266">
        <v>0</v>
      </c>
      <c r="DQ266">
        <v>0</v>
      </c>
      <c r="DR266">
        <v>0</v>
      </c>
      <c r="DS266">
        <v>0</v>
      </c>
    </row>
    <row r="267" spans="1:123" x14ac:dyDescent="0.3">
      <c r="A267" t="str">
        <f t="shared" si="101"/>
        <v>10/04/2022 19:26:25.588</v>
      </c>
      <c r="C267" t="str">
        <f t="shared" si="98"/>
        <v>FFDFD3C0</v>
      </c>
      <c r="D267" t="s">
        <v>134</v>
      </c>
      <c r="E267">
        <v>15</v>
      </c>
      <c r="J267" t="s">
        <v>135</v>
      </c>
      <c r="K267">
        <v>0</v>
      </c>
      <c r="L267">
        <v>3</v>
      </c>
      <c r="M267">
        <v>0</v>
      </c>
      <c r="N267">
        <v>2</v>
      </c>
      <c r="O267">
        <v>0</v>
      </c>
      <c r="P267">
        <v>1</v>
      </c>
      <c r="Q267">
        <v>0</v>
      </c>
      <c r="S267" t="str">
        <f t="shared" si="102"/>
        <v>19:26:25.000</v>
      </c>
      <c r="T267" t="str">
        <f t="shared" si="102"/>
        <v>19:26:25.000</v>
      </c>
      <c r="U267" t="str">
        <f t="shared" si="99"/>
        <v>AC3944</v>
      </c>
      <c r="V267">
        <v>0</v>
      </c>
      <c r="W267">
        <v>0</v>
      </c>
      <c r="X267">
        <v>2</v>
      </c>
      <c r="Y267">
        <v>0</v>
      </c>
      <c r="AA267">
        <v>1</v>
      </c>
      <c r="AB267">
        <v>8</v>
      </c>
      <c r="AC267">
        <v>3</v>
      </c>
      <c r="AD267">
        <v>0</v>
      </c>
      <c r="AE267">
        <v>9</v>
      </c>
      <c r="AF267" t="s">
        <v>138</v>
      </c>
      <c r="AG267">
        <v>0</v>
      </c>
      <c r="AH267">
        <v>3</v>
      </c>
      <c r="AI267">
        <v>1</v>
      </c>
      <c r="AJ267">
        <v>0</v>
      </c>
      <c r="AK267" t="s">
        <v>228</v>
      </c>
      <c r="AL267">
        <v>32.827083999999999</v>
      </c>
      <c r="AM267" t="s">
        <v>229</v>
      </c>
      <c r="AN267">
        <v>-116.996713</v>
      </c>
      <c r="AO267">
        <v>25</v>
      </c>
      <c r="AP267">
        <v>1500</v>
      </c>
      <c r="AQ267" t="s">
        <v>129</v>
      </c>
      <c r="AR267">
        <v>-70</v>
      </c>
      <c r="AS267">
        <v>-84</v>
      </c>
      <c r="AT267">
        <v>1216</v>
      </c>
      <c r="BB267">
        <v>1200</v>
      </c>
      <c r="BC267">
        <v>1</v>
      </c>
      <c r="BD267" t="str">
        <f t="shared" si="100"/>
        <v xml:space="preserve">N887QR  </v>
      </c>
      <c r="BE267">
        <v>1</v>
      </c>
      <c r="BG267">
        <v>0</v>
      </c>
      <c r="BH267">
        <v>0</v>
      </c>
      <c r="BI267">
        <v>0</v>
      </c>
      <c r="BJ267">
        <v>1150</v>
      </c>
      <c r="BK267">
        <v>-350</v>
      </c>
      <c r="BL267" t="s">
        <v>163</v>
      </c>
      <c r="BM267">
        <v>1</v>
      </c>
      <c r="BN267">
        <v>1</v>
      </c>
      <c r="BO267">
        <v>1</v>
      </c>
      <c r="BP267">
        <v>0</v>
      </c>
      <c r="BS267">
        <v>0</v>
      </c>
      <c r="BT267">
        <v>0</v>
      </c>
      <c r="BU267">
        <v>0</v>
      </c>
      <c r="CE267" t="str">
        <f t="shared" si="103"/>
        <v>19:26:25.294</v>
      </c>
      <c r="CF267">
        <v>293852627</v>
      </c>
      <c r="CS267">
        <v>3</v>
      </c>
      <c r="CT267">
        <v>2</v>
      </c>
      <c r="CU267">
        <v>0</v>
      </c>
      <c r="CV267">
        <v>2</v>
      </c>
      <c r="CW267">
        <v>0</v>
      </c>
      <c r="CX267">
        <v>6</v>
      </c>
      <c r="CY267">
        <v>7</v>
      </c>
      <c r="CZ267" t="s">
        <v>131</v>
      </c>
      <c r="DA267">
        <v>300</v>
      </c>
      <c r="DB267">
        <v>0</v>
      </c>
      <c r="DC267" t="s">
        <v>176</v>
      </c>
      <c r="DD267" t="s">
        <v>177</v>
      </c>
      <c r="DG267">
        <v>5358723</v>
      </c>
      <c r="DI267">
        <v>0</v>
      </c>
      <c r="DJ267">
        <v>0</v>
      </c>
      <c r="DK267">
        <v>1</v>
      </c>
      <c r="DL267">
        <v>0</v>
      </c>
      <c r="DM267">
        <v>0</v>
      </c>
      <c r="DN267">
        <v>1</v>
      </c>
      <c r="DO267">
        <v>0</v>
      </c>
      <c r="DP267">
        <v>0</v>
      </c>
      <c r="DQ267">
        <v>0</v>
      </c>
      <c r="DR267">
        <v>0</v>
      </c>
      <c r="DS267">
        <v>0</v>
      </c>
    </row>
    <row r="268" spans="1:123" x14ac:dyDescent="0.3">
      <c r="A268" t="str">
        <f>"10/04/2022 19:26:26.586"</f>
        <v>10/04/2022 19:26:26.586</v>
      </c>
      <c r="C268" t="str">
        <f t="shared" si="98"/>
        <v>FFDFD3C0</v>
      </c>
      <c r="D268" t="s">
        <v>134</v>
      </c>
      <c r="E268">
        <v>15</v>
      </c>
      <c r="J268" t="s">
        <v>135</v>
      </c>
      <c r="K268">
        <v>0</v>
      </c>
      <c r="L268">
        <v>3</v>
      </c>
      <c r="M268">
        <v>0</v>
      </c>
      <c r="N268">
        <v>2</v>
      </c>
      <c r="O268">
        <v>0</v>
      </c>
      <c r="P268">
        <v>1</v>
      </c>
      <c r="Q268">
        <v>0</v>
      </c>
      <c r="S268" t="str">
        <f t="shared" ref="S268:T281" si="104">"19:26:26.000"</f>
        <v>19:26:26.000</v>
      </c>
      <c r="T268" t="str">
        <f t="shared" si="104"/>
        <v>19:26:26.000</v>
      </c>
      <c r="U268" t="str">
        <f t="shared" si="99"/>
        <v>AC3944</v>
      </c>
      <c r="V268">
        <v>0</v>
      </c>
      <c r="W268">
        <v>0</v>
      </c>
      <c r="X268">
        <v>2</v>
      </c>
      <c r="Y268">
        <v>0</v>
      </c>
      <c r="AA268">
        <v>1</v>
      </c>
      <c r="AB268">
        <v>8</v>
      </c>
      <c r="AC268">
        <v>3</v>
      </c>
      <c r="AD268">
        <v>0</v>
      </c>
      <c r="AE268">
        <v>9</v>
      </c>
      <c r="AF268" t="s">
        <v>138</v>
      </c>
      <c r="AG268">
        <v>0</v>
      </c>
      <c r="AH268">
        <v>3</v>
      </c>
      <c r="AI268">
        <v>1</v>
      </c>
      <c r="AJ268">
        <v>0</v>
      </c>
      <c r="AK268" t="s">
        <v>230</v>
      </c>
      <c r="AL268">
        <v>32.826611999999997</v>
      </c>
      <c r="AM268" t="s">
        <v>231</v>
      </c>
      <c r="AN268">
        <v>-116.99720600000001</v>
      </c>
      <c r="AO268">
        <v>25</v>
      </c>
      <c r="AP268">
        <v>1500</v>
      </c>
      <c r="AQ268" t="s">
        <v>129</v>
      </c>
      <c r="AR268">
        <v>-59</v>
      </c>
      <c r="AS268">
        <v>-92</v>
      </c>
      <c r="AT268">
        <v>1408</v>
      </c>
      <c r="BB268">
        <v>1200</v>
      </c>
      <c r="BC268">
        <v>1</v>
      </c>
      <c r="BD268" t="str">
        <f t="shared" si="100"/>
        <v xml:space="preserve">N887QR  </v>
      </c>
      <c r="BE268">
        <v>1</v>
      </c>
      <c r="BG268">
        <v>0</v>
      </c>
      <c r="BH268">
        <v>0</v>
      </c>
      <c r="BI268">
        <v>0</v>
      </c>
      <c r="BJ268">
        <v>1150</v>
      </c>
      <c r="BK268">
        <v>-350</v>
      </c>
      <c r="BL268" t="s">
        <v>163</v>
      </c>
      <c r="BM268">
        <v>1</v>
      </c>
      <c r="BN268">
        <v>1</v>
      </c>
      <c r="BO268">
        <v>1</v>
      </c>
      <c r="BP268">
        <v>0</v>
      </c>
      <c r="BS268">
        <v>0</v>
      </c>
      <c r="BT268">
        <v>0</v>
      </c>
      <c r="BU268">
        <v>0</v>
      </c>
      <c r="CE268" t="str">
        <f t="shared" ref="CE268:CE274" si="105">"19:26:26.346"</f>
        <v>19:26:26.346</v>
      </c>
      <c r="CF268">
        <v>345606100</v>
      </c>
      <c r="CS268">
        <v>3</v>
      </c>
      <c r="CT268">
        <v>2</v>
      </c>
      <c r="CU268">
        <v>0</v>
      </c>
      <c r="CV268">
        <v>2</v>
      </c>
      <c r="CW268">
        <v>0</v>
      </c>
      <c r="CX268">
        <v>6</v>
      </c>
      <c r="CY268">
        <v>7</v>
      </c>
      <c r="CZ268" t="s">
        <v>131</v>
      </c>
      <c r="DA268">
        <v>300</v>
      </c>
      <c r="DB268">
        <v>0</v>
      </c>
      <c r="DC268" t="s">
        <v>176</v>
      </c>
      <c r="DD268" t="s">
        <v>177</v>
      </c>
      <c r="DG268">
        <v>5358860</v>
      </c>
      <c r="DI268">
        <v>0</v>
      </c>
      <c r="DJ268">
        <v>0</v>
      </c>
      <c r="DK268">
        <v>0</v>
      </c>
      <c r="DL268">
        <v>0</v>
      </c>
      <c r="DM268">
        <v>0</v>
      </c>
      <c r="DN268">
        <v>1</v>
      </c>
      <c r="DO268">
        <v>0</v>
      </c>
      <c r="DP268">
        <v>0</v>
      </c>
      <c r="DQ268">
        <v>0</v>
      </c>
      <c r="DR268">
        <v>0</v>
      </c>
      <c r="DS268">
        <v>0</v>
      </c>
    </row>
    <row r="269" spans="1:123" x14ac:dyDescent="0.3">
      <c r="A269" t="str">
        <f>"10/04/2022 19:26:26.586"</f>
        <v>10/04/2022 19:26:26.586</v>
      </c>
      <c r="C269" t="str">
        <f t="shared" si="98"/>
        <v>FFDFD3C0</v>
      </c>
      <c r="D269" t="s">
        <v>136</v>
      </c>
      <c r="E269">
        <v>8</v>
      </c>
      <c r="H269">
        <v>225</v>
      </c>
      <c r="I269" t="s">
        <v>137</v>
      </c>
      <c r="J269" t="s">
        <v>138</v>
      </c>
      <c r="K269">
        <v>0</v>
      </c>
      <c r="L269">
        <v>3</v>
      </c>
      <c r="M269">
        <v>0</v>
      </c>
      <c r="N269">
        <v>2</v>
      </c>
      <c r="O269">
        <v>0</v>
      </c>
      <c r="P269">
        <v>1</v>
      </c>
      <c r="Q269">
        <v>0</v>
      </c>
      <c r="S269" t="str">
        <f t="shared" si="104"/>
        <v>19:26:26.000</v>
      </c>
      <c r="T269" t="str">
        <f t="shared" si="104"/>
        <v>19:26:26.000</v>
      </c>
      <c r="U269" t="str">
        <f t="shared" si="99"/>
        <v>AC3944</v>
      </c>
      <c r="V269">
        <v>0</v>
      </c>
      <c r="W269">
        <v>0</v>
      </c>
      <c r="X269">
        <v>2</v>
      </c>
      <c r="Y269">
        <v>0</v>
      </c>
      <c r="AA269">
        <v>1</v>
      </c>
      <c r="AB269">
        <v>8</v>
      </c>
      <c r="AC269">
        <v>3</v>
      </c>
      <c r="AD269">
        <v>0</v>
      </c>
      <c r="AE269">
        <v>9</v>
      </c>
      <c r="AF269" t="s">
        <v>138</v>
      </c>
      <c r="AG269">
        <v>0</v>
      </c>
      <c r="AH269">
        <v>3</v>
      </c>
      <c r="AI269">
        <v>1</v>
      </c>
      <c r="AJ269">
        <v>0</v>
      </c>
      <c r="AK269" t="s">
        <v>230</v>
      </c>
      <c r="AL269">
        <v>32.826611999999997</v>
      </c>
      <c r="AM269" t="s">
        <v>231</v>
      </c>
      <c r="AN269">
        <v>-116.99720600000001</v>
      </c>
      <c r="AO269">
        <v>25</v>
      </c>
      <c r="AP269">
        <v>1500</v>
      </c>
      <c r="AQ269" t="s">
        <v>129</v>
      </c>
      <c r="AR269">
        <v>-59</v>
      </c>
      <c r="AS269">
        <v>-92</v>
      </c>
      <c r="AT269">
        <v>1408</v>
      </c>
      <c r="BB269">
        <v>1200</v>
      </c>
      <c r="BC269">
        <v>1</v>
      </c>
      <c r="BD269" t="str">
        <f t="shared" si="100"/>
        <v xml:space="preserve">N887QR  </v>
      </c>
      <c r="BE269">
        <v>1</v>
      </c>
      <c r="BG269">
        <v>0</v>
      </c>
      <c r="BH269">
        <v>0</v>
      </c>
      <c r="BI269">
        <v>0</v>
      </c>
      <c r="BJ269">
        <v>1150</v>
      </c>
      <c r="BK269">
        <v>-350</v>
      </c>
      <c r="BL269" t="s">
        <v>163</v>
      </c>
      <c r="BM269">
        <v>1</v>
      </c>
      <c r="BN269">
        <v>1</v>
      </c>
      <c r="BO269">
        <v>1</v>
      </c>
      <c r="BP269">
        <v>0</v>
      </c>
      <c r="BS269">
        <v>0</v>
      </c>
      <c r="BT269">
        <v>0</v>
      </c>
      <c r="BU269">
        <v>0</v>
      </c>
      <c r="CE269" t="str">
        <f t="shared" si="105"/>
        <v>19:26:26.346</v>
      </c>
      <c r="CF269">
        <v>345606100</v>
      </c>
      <c r="CS269">
        <v>3</v>
      </c>
      <c r="CT269">
        <v>2</v>
      </c>
      <c r="CU269">
        <v>0</v>
      </c>
      <c r="CV269">
        <v>2</v>
      </c>
      <c r="CW269">
        <v>0</v>
      </c>
      <c r="CX269">
        <v>6</v>
      </c>
      <c r="CY269">
        <v>7</v>
      </c>
      <c r="CZ269" t="s">
        <v>131</v>
      </c>
      <c r="DA269">
        <v>300</v>
      </c>
      <c r="DB269">
        <v>0</v>
      </c>
      <c r="DC269" t="s">
        <v>176</v>
      </c>
      <c r="DD269" t="s">
        <v>177</v>
      </c>
      <c r="DG269">
        <v>5358860</v>
      </c>
      <c r="DI269">
        <v>0</v>
      </c>
      <c r="DJ269">
        <v>0</v>
      </c>
      <c r="DK269">
        <v>1</v>
      </c>
      <c r="DL269">
        <v>0</v>
      </c>
      <c r="DM269">
        <v>0</v>
      </c>
      <c r="DN269">
        <v>1</v>
      </c>
      <c r="DO269">
        <v>0</v>
      </c>
      <c r="DP269">
        <v>0</v>
      </c>
      <c r="DQ269">
        <v>0</v>
      </c>
      <c r="DR269">
        <v>0</v>
      </c>
      <c r="DS269">
        <v>0</v>
      </c>
    </row>
    <row r="270" spans="1:123" x14ac:dyDescent="0.3">
      <c r="A270" t="str">
        <f>"10/04/2022 19:26:26.586"</f>
        <v>10/04/2022 19:26:26.586</v>
      </c>
      <c r="C270" t="str">
        <f t="shared" si="98"/>
        <v>FFDFD3C0</v>
      </c>
      <c r="D270" t="s">
        <v>143</v>
      </c>
      <c r="E270">
        <v>20</v>
      </c>
      <c r="F270">
        <v>1020</v>
      </c>
      <c r="G270" t="s">
        <v>144</v>
      </c>
      <c r="J270" t="s">
        <v>145</v>
      </c>
      <c r="K270">
        <v>0</v>
      </c>
      <c r="L270">
        <v>3</v>
      </c>
      <c r="M270">
        <v>0</v>
      </c>
      <c r="N270">
        <v>2</v>
      </c>
      <c r="O270">
        <v>0</v>
      </c>
      <c r="P270">
        <v>1</v>
      </c>
      <c r="Q270">
        <v>0</v>
      </c>
      <c r="S270" t="str">
        <f t="shared" si="104"/>
        <v>19:26:26.000</v>
      </c>
      <c r="T270" t="str">
        <f t="shared" si="104"/>
        <v>19:26:26.000</v>
      </c>
      <c r="U270" t="str">
        <f t="shared" si="99"/>
        <v>AC3944</v>
      </c>
      <c r="V270">
        <v>0</v>
      </c>
      <c r="W270">
        <v>0</v>
      </c>
      <c r="X270">
        <v>2</v>
      </c>
      <c r="Y270">
        <v>0</v>
      </c>
      <c r="AA270">
        <v>1</v>
      </c>
      <c r="AB270">
        <v>8</v>
      </c>
      <c r="AC270">
        <v>3</v>
      </c>
      <c r="AD270">
        <v>0</v>
      </c>
      <c r="AE270">
        <v>9</v>
      </c>
      <c r="AF270" t="s">
        <v>138</v>
      </c>
      <c r="AG270">
        <v>0</v>
      </c>
      <c r="AH270">
        <v>3</v>
      </c>
      <c r="AI270">
        <v>1</v>
      </c>
      <c r="AJ270">
        <v>0</v>
      </c>
      <c r="AK270" t="s">
        <v>230</v>
      </c>
      <c r="AL270">
        <v>32.826611999999997</v>
      </c>
      <c r="AM270" t="s">
        <v>231</v>
      </c>
      <c r="AN270">
        <v>-116.99720600000001</v>
      </c>
      <c r="AO270">
        <v>25</v>
      </c>
      <c r="AP270">
        <v>1500</v>
      </c>
      <c r="AQ270" t="s">
        <v>129</v>
      </c>
      <c r="AR270">
        <v>-59</v>
      </c>
      <c r="AS270">
        <v>-92</v>
      </c>
      <c r="AT270">
        <v>1408</v>
      </c>
      <c r="BB270">
        <v>1200</v>
      </c>
      <c r="BC270">
        <v>1</v>
      </c>
      <c r="BD270" t="str">
        <f t="shared" si="100"/>
        <v xml:space="preserve">N887QR  </v>
      </c>
      <c r="BE270">
        <v>1</v>
      </c>
      <c r="BG270">
        <v>0</v>
      </c>
      <c r="BH270">
        <v>0</v>
      </c>
      <c r="BI270">
        <v>0</v>
      </c>
      <c r="BJ270">
        <v>1150</v>
      </c>
      <c r="BK270">
        <v>-350</v>
      </c>
      <c r="BL270" t="s">
        <v>163</v>
      </c>
      <c r="BM270">
        <v>1</v>
      </c>
      <c r="BN270">
        <v>1</v>
      </c>
      <c r="BO270">
        <v>1</v>
      </c>
      <c r="BP270">
        <v>0</v>
      </c>
      <c r="BS270">
        <v>0</v>
      </c>
      <c r="BT270">
        <v>0</v>
      </c>
      <c r="BU270">
        <v>0</v>
      </c>
      <c r="CE270" t="str">
        <f t="shared" si="105"/>
        <v>19:26:26.346</v>
      </c>
      <c r="CF270">
        <v>345606100</v>
      </c>
      <c r="CS270">
        <v>3</v>
      </c>
      <c r="CT270">
        <v>2</v>
      </c>
      <c r="CU270">
        <v>0</v>
      </c>
      <c r="CV270">
        <v>2</v>
      </c>
      <c r="CW270">
        <v>0</v>
      </c>
      <c r="CX270">
        <v>6</v>
      </c>
      <c r="CY270">
        <v>7</v>
      </c>
      <c r="CZ270" t="s">
        <v>131</v>
      </c>
      <c r="DA270">
        <v>300</v>
      </c>
      <c r="DB270">
        <v>0</v>
      </c>
      <c r="DC270" t="s">
        <v>176</v>
      </c>
      <c r="DD270" t="s">
        <v>177</v>
      </c>
      <c r="DG270">
        <v>5358860</v>
      </c>
      <c r="DI270">
        <v>0</v>
      </c>
      <c r="DJ270">
        <v>0</v>
      </c>
      <c r="DK270">
        <v>1</v>
      </c>
      <c r="DL270">
        <v>0</v>
      </c>
      <c r="DM270">
        <v>0</v>
      </c>
      <c r="DN270">
        <v>1</v>
      </c>
      <c r="DO270">
        <v>0</v>
      </c>
      <c r="DP270">
        <v>0</v>
      </c>
      <c r="DQ270">
        <v>0</v>
      </c>
      <c r="DR270">
        <v>0</v>
      </c>
      <c r="DS270">
        <v>0</v>
      </c>
    </row>
    <row r="271" spans="1:123" x14ac:dyDescent="0.3">
      <c r="A271" t="str">
        <f>"10/04/2022 19:26:26.586"</f>
        <v>10/04/2022 19:26:26.586</v>
      </c>
      <c r="C271" t="str">
        <f t="shared" si="98"/>
        <v>FFDFD3C0</v>
      </c>
      <c r="D271" t="s">
        <v>147</v>
      </c>
      <c r="E271">
        <v>3</v>
      </c>
      <c r="H271">
        <v>166</v>
      </c>
      <c r="I271" t="s">
        <v>144</v>
      </c>
      <c r="J271" t="s">
        <v>148</v>
      </c>
      <c r="K271">
        <v>0</v>
      </c>
      <c r="L271">
        <v>3</v>
      </c>
      <c r="M271">
        <v>0</v>
      </c>
      <c r="N271">
        <v>2</v>
      </c>
      <c r="O271">
        <v>0</v>
      </c>
      <c r="P271">
        <v>1</v>
      </c>
      <c r="Q271">
        <v>0</v>
      </c>
      <c r="S271" t="str">
        <f t="shared" si="104"/>
        <v>19:26:26.000</v>
      </c>
      <c r="T271" t="str">
        <f t="shared" si="104"/>
        <v>19:26:26.000</v>
      </c>
      <c r="U271" t="str">
        <f t="shared" si="99"/>
        <v>AC3944</v>
      </c>
      <c r="V271">
        <v>0</v>
      </c>
      <c r="W271">
        <v>0</v>
      </c>
      <c r="X271">
        <v>2</v>
      </c>
      <c r="Y271">
        <v>0</v>
      </c>
      <c r="AA271">
        <v>1</v>
      </c>
      <c r="AB271">
        <v>8</v>
      </c>
      <c r="AC271">
        <v>3</v>
      </c>
      <c r="AD271">
        <v>0</v>
      </c>
      <c r="AE271">
        <v>9</v>
      </c>
      <c r="AF271" t="s">
        <v>138</v>
      </c>
      <c r="AG271">
        <v>0</v>
      </c>
      <c r="AH271">
        <v>3</v>
      </c>
      <c r="AI271">
        <v>1</v>
      </c>
      <c r="AJ271">
        <v>0</v>
      </c>
      <c r="AK271" t="s">
        <v>230</v>
      </c>
      <c r="AL271">
        <v>32.826611999999997</v>
      </c>
      <c r="AM271" t="s">
        <v>231</v>
      </c>
      <c r="AN271">
        <v>-116.99720600000001</v>
      </c>
      <c r="AO271">
        <v>25</v>
      </c>
      <c r="AP271">
        <v>1500</v>
      </c>
      <c r="AQ271" t="s">
        <v>129</v>
      </c>
      <c r="AR271">
        <v>-59</v>
      </c>
      <c r="AS271">
        <v>-92</v>
      </c>
      <c r="AT271">
        <v>1408</v>
      </c>
      <c r="BB271">
        <v>1200</v>
      </c>
      <c r="BC271">
        <v>1</v>
      </c>
      <c r="BD271" t="str">
        <f t="shared" si="100"/>
        <v xml:space="preserve">N887QR  </v>
      </c>
      <c r="BE271">
        <v>1</v>
      </c>
      <c r="BG271">
        <v>0</v>
      </c>
      <c r="BH271">
        <v>0</v>
      </c>
      <c r="BI271">
        <v>0</v>
      </c>
      <c r="BJ271">
        <v>1150</v>
      </c>
      <c r="BK271">
        <v>-350</v>
      </c>
      <c r="BL271" t="s">
        <v>163</v>
      </c>
      <c r="BM271">
        <v>1</v>
      </c>
      <c r="BN271">
        <v>1</v>
      </c>
      <c r="BO271">
        <v>1</v>
      </c>
      <c r="BP271">
        <v>0</v>
      </c>
      <c r="BS271">
        <v>0</v>
      </c>
      <c r="BT271">
        <v>0</v>
      </c>
      <c r="BU271">
        <v>0</v>
      </c>
      <c r="CE271" t="str">
        <f t="shared" si="105"/>
        <v>19:26:26.346</v>
      </c>
      <c r="CF271">
        <v>345606100</v>
      </c>
      <c r="CS271">
        <v>3</v>
      </c>
      <c r="CT271">
        <v>2</v>
      </c>
      <c r="CU271">
        <v>0</v>
      </c>
      <c r="CV271">
        <v>2</v>
      </c>
      <c r="CW271">
        <v>0</v>
      </c>
      <c r="CX271">
        <v>6</v>
      </c>
      <c r="CY271">
        <v>7</v>
      </c>
      <c r="CZ271" t="s">
        <v>131</v>
      </c>
      <c r="DA271">
        <v>300</v>
      </c>
      <c r="DB271">
        <v>0</v>
      </c>
      <c r="DC271" t="s">
        <v>176</v>
      </c>
      <c r="DD271" t="s">
        <v>177</v>
      </c>
      <c r="DG271">
        <v>5358860</v>
      </c>
      <c r="DI271">
        <v>0</v>
      </c>
      <c r="DJ271">
        <v>0</v>
      </c>
      <c r="DK271">
        <v>1</v>
      </c>
      <c r="DL271">
        <v>0</v>
      </c>
      <c r="DM271">
        <v>0</v>
      </c>
      <c r="DN271">
        <v>1</v>
      </c>
      <c r="DO271">
        <v>0</v>
      </c>
      <c r="DP271">
        <v>0</v>
      </c>
      <c r="DQ271">
        <v>0</v>
      </c>
      <c r="DR271">
        <v>0</v>
      </c>
      <c r="DS271">
        <v>0</v>
      </c>
    </row>
    <row r="272" spans="1:123" x14ac:dyDescent="0.3">
      <c r="A272" t="str">
        <f>"10/04/2022 19:26:26.586"</f>
        <v>10/04/2022 19:26:26.586</v>
      </c>
      <c r="C272" t="str">
        <f t="shared" si="98"/>
        <v>FFDFD3C0</v>
      </c>
      <c r="D272" t="s">
        <v>141</v>
      </c>
      <c r="E272">
        <v>4</v>
      </c>
      <c r="H272">
        <v>4</v>
      </c>
      <c r="I272" t="s">
        <v>142</v>
      </c>
      <c r="J272" t="s">
        <v>138</v>
      </c>
      <c r="K272">
        <v>0</v>
      </c>
      <c r="L272">
        <v>3</v>
      </c>
      <c r="M272">
        <v>0</v>
      </c>
      <c r="N272">
        <v>2</v>
      </c>
      <c r="O272">
        <v>0</v>
      </c>
      <c r="P272">
        <v>1</v>
      </c>
      <c r="Q272">
        <v>0</v>
      </c>
      <c r="S272" t="str">
        <f t="shared" si="104"/>
        <v>19:26:26.000</v>
      </c>
      <c r="T272" t="str">
        <f t="shared" si="104"/>
        <v>19:26:26.000</v>
      </c>
      <c r="U272" t="str">
        <f t="shared" si="99"/>
        <v>AC3944</v>
      </c>
      <c r="V272">
        <v>0</v>
      </c>
      <c r="W272">
        <v>0</v>
      </c>
      <c r="X272">
        <v>2</v>
      </c>
      <c r="Y272">
        <v>0</v>
      </c>
      <c r="AA272">
        <v>1</v>
      </c>
      <c r="AB272">
        <v>8</v>
      </c>
      <c r="AC272">
        <v>3</v>
      </c>
      <c r="AD272">
        <v>0</v>
      </c>
      <c r="AE272">
        <v>9</v>
      </c>
      <c r="AF272" t="s">
        <v>138</v>
      </c>
      <c r="AG272">
        <v>0</v>
      </c>
      <c r="AH272">
        <v>3</v>
      </c>
      <c r="AI272">
        <v>1</v>
      </c>
      <c r="AJ272">
        <v>0</v>
      </c>
      <c r="AK272" t="s">
        <v>230</v>
      </c>
      <c r="AL272">
        <v>32.826611999999997</v>
      </c>
      <c r="AM272" t="s">
        <v>231</v>
      </c>
      <c r="AN272">
        <v>-116.99720600000001</v>
      </c>
      <c r="AO272">
        <v>25</v>
      </c>
      <c r="AP272">
        <v>1500</v>
      </c>
      <c r="AQ272" t="s">
        <v>129</v>
      </c>
      <c r="AR272">
        <v>-59</v>
      </c>
      <c r="AS272">
        <v>-92</v>
      </c>
      <c r="AT272">
        <v>1408</v>
      </c>
      <c r="BB272">
        <v>1200</v>
      </c>
      <c r="BC272">
        <v>1</v>
      </c>
      <c r="BD272" t="str">
        <f t="shared" si="100"/>
        <v xml:space="preserve">N887QR  </v>
      </c>
      <c r="BE272">
        <v>1</v>
      </c>
      <c r="BG272">
        <v>0</v>
      </c>
      <c r="BH272">
        <v>0</v>
      </c>
      <c r="BI272">
        <v>0</v>
      </c>
      <c r="BJ272">
        <v>1150</v>
      </c>
      <c r="BK272">
        <v>-350</v>
      </c>
      <c r="BL272" t="s">
        <v>163</v>
      </c>
      <c r="BM272">
        <v>1</v>
      </c>
      <c r="BN272">
        <v>1</v>
      </c>
      <c r="BO272">
        <v>1</v>
      </c>
      <c r="BP272">
        <v>0</v>
      </c>
      <c r="BS272">
        <v>0</v>
      </c>
      <c r="BT272">
        <v>0</v>
      </c>
      <c r="BU272">
        <v>0</v>
      </c>
      <c r="CE272" t="str">
        <f t="shared" si="105"/>
        <v>19:26:26.346</v>
      </c>
      <c r="CF272">
        <v>345606100</v>
      </c>
      <c r="CS272">
        <v>3</v>
      </c>
      <c r="CT272">
        <v>2</v>
      </c>
      <c r="CU272">
        <v>0</v>
      </c>
      <c r="CV272">
        <v>2</v>
      </c>
      <c r="CW272">
        <v>0</v>
      </c>
      <c r="CX272">
        <v>6</v>
      </c>
      <c r="CY272">
        <v>7</v>
      </c>
      <c r="CZ272" t="s">
        <v>131</v>
      </c>
      <c r="DA272">
        <v>300</v>
      </c>
      <c r="DB272">
        <v>0</v>
      </c>
      <c r="DC272" t="s">
        <v>176</v>
      </c>
      <c r="DD272" t="s">
        <v>177</v>
      </c>
      <c r="DG272">
        <v>5358860</v>
      </c>
      <c r="DI272">
        <v>0</v>
      </c>
      <c r="DJ272">
        <v>0</v>
      </c>
      <c r="DK272">
        <v>1</v>
      </c>
      <c r="DL272">
        <v>0</v>
      </c>
      <c r="DM272">
        <v>0</v>
      </c>
      <c r="DN272">
        <v>1</v>
      </c>
      <c r="DO272">
        <v>0</v>
      </c>
      <c r="DP272">
        <v>0</v>
      </c>
      <c r="DQ272">
        <v>0</v>
      </c>
      <c r="DR272">
        <v>0</v>
      </c>
      <c r="DS272">
        <v>0</v>
      </c>
    </row>
    <row r="273" spans="1:123" x14ac:dyDescent="0.3">
      <c r="A273" t="str">
        <f>"10/04/2022 19:26:26.618"</f>
        <v>10/04/2022 19:26:26.618</v>
      </c>
      <c r="C273" t="str">
        <f t="shared" si="98"/>
        <v>FFDFD3C0</v>
      </c>
      <c r="D273" t="s">
        <v>123</v>
      </c>
      <c r="E273">
        <v>7</v>
      </c>
      <c r="F273">
        <v>2007</v>
      </c>
      <c r="G273" t="s">
        <v>124</v>
      </c>
      <c r="J273" t="s">
        <v>125</v>
      </c>
      <c r="K273">
        <v>0</v>
      </c>
      <c r="L273">
        <v>3</v>
      </c>
      <c r="M273">
        <v>0</v>
      </c>
      <c r="N273">
        <v>2</v>
      </c>
      <c r="O273">
        <v>0</v>
      </c>
      <c r="P273">
        <v>1</v>
      </c>
      <c r="Q273">
        <v>0</v>
      </c>
      <c r="S273" t="str">
        <f t="shared" si="104"/>
        <v>19:26:26.000</v>
      </c>
      <c r="T273" t="str">
        <f t="shared" si="104"/>
        <v>19:26:26.000</v>
      </c>
      <c r="U273" t="str">
        <f t="shared" si="99"/>
        <v>AC3944</v>
      </c>
      <c r="V273">
        <v>0</v>
      </c>
      <c r="W273">
        <v>0</v>
      </c>
      <c r="X273">
        <v>2</v>
      </c>
      <c r="Y273">
        <v>0</v>
      </c>
      <c r="AA273">
        <v>1</v>
      </c>
      <c r="AB273">
        <v>8</v>
      </c>
      <c r="AC273">
        <v>3</v>
      </c>
      <c r="AD273">
        <v>0</v>
      </c>
      <c r="AE273">
        <v>9</v>
      </c>
      <c r="AF273" t="s">
        <v>138</v>
      </c>
      <c r="AG273">
        <v>0</v>
      </c>
      <c r="AH273">
        <v>3</v>
      </c>
      <c r="AI273">
        <v>1</v>
      </c>
      <c r="AJ273">
        <v>0</v>
      </c>
      <c r="AK273" t="s">
        <v>230</v>
      </c>
      <c r="AL273">
        <v>32.826611999999997</v>
      </c>
      <c r="AM273" t="s">
        <v>231</v>
      </c>
      <c r="AN273">
        <v>-116.99720600000001</v>
      </c>
      <c r="AO273">
        <v>25</v>
      </c>
      <c r="AP273">
        <v>1500</v>
      </c>
      <c r="AQ273" t="s">
        <v>129</v>
      </c>
      <c r="AR273">
        <v>-59</v>
      </c>
      <c r="AS273">
        <v>-92</v>
      </c>
      <c r="AT273">
        <v>1408</v>
      </c>
      <c r="BB273">
        <v>1200</v>
      </c>
      <c r="BC273">
        <v>1</v>
      </c>
      <c r="BD273" t="str">
        <f t="shared" si="100"/>
        <v xml:space="preserve">N887QR  </v>
      </c>
      <c r="BE273">
        <v>1</v>
      </c>
      <c r="BG273">
        <v>0</v>
      </c>
      <c r="BH273">
        <v>0</v>
      </c>
      <c r="BI273">
        <v>0</v>
      </c>
      <c r="BJ273">
        <v>1150</v>
      </c>
      <c r="BK273">
        <v>-350</v>
      </c>
      <c r="BL273" t="s">
        <v>163</v>
      </c>
      <c r="BM273">
        <v>1</v>
      </c>
      <c r="BN273">
        <v>1</v>
      </c>
      <c r="BO273">
        <v>1</v>
      </c>
      <c r="BP273">
        <v>0</v>
      </c>
      <c r="BS273">
        <v>0</v>
      </c>
      <c r="BT273">
        <v>0</v>
      </c>
      <c r="BU273">
        <v>0</v>
      </c>
      <c r="CE273" t="str">
        <f t="shared" si="105"/>
        <v>19:26:26.346</v>
      </c>
      <c r="CF273">
        <v>345606100</v>
      </c>
      <c r="CS273">
        <v>3</v>
      </c>
      <c r="CT273">
        <v>2</v>
      </c>
      <c r="CU273">
        <v>0</v>
      </c>
      <c r="CV273">
        <v>2</v>
      </c>
      <c r="CW273">
        <v>0</v>
      </c>
      <c r="CX273">
        <v>6</v>
      </c>
      <c r="CY273">
        <v>7</v>
      </c>
      <c r="CZ273" t="s">
        <v>131</v>
      </c>
      <c r="DA273">
        <v>300</v>
      </c>
      <c r="DB273">
        <v>0</v>
      </c>
      <c r="DC273" t="s">
        <v>176</v>
      </c>
      <c r="DD273" t="s">
        <v>177</v>
      </c>
      <c r="DG273">
        <v>5358860</v>
      </c>
      <c r="DI273">
        <v>0</v>
      </c>
      <c r="DJ273">
        <v>0</v>
      </c>
      <c r="DK273">
        <v>1</v>
      </c>
      <c r="DL273">
        <v>0</v>
      </c>
      <c r="DM273">
        <v>0</v>
      </c>
      <c r="DN273">
        <v>1</v>
      </c>
      <c r="DO273">
        <v>0</v>
      </c>
      <c r="DP273">
        <v>0</v>
      </c>
      <c r="DQ273">
        <v>0</v>
      </c>
      <c r="DR273">
        <v>0</v>
      </c>
      <c r="DS273">
        <v>0</v>
      </c>
    </row>
    <row r="274" spans="1:123" x14ac:dyDescent="0.3">
      <c r="A274" t="str">
        <f>"10/04/2022 19:26:26.618"</f>
        <v>10/04/2022 19:26:26.618</v>
      </c>
      <c r="C274" t="str">
        <f t="shared" si="98"/>
        <v>FFDFD3C0</v>
      </c>
      <c r="D274" t="s">
        <v>141</v>
      </c>
      <c r="E274">
        <v>3</v>
      </c>
      <c r="H274">
        <v>3</v>
      </c>
      <c r="I274" t="s">
        <v>146</v>
      </c>
      <c r="J274" t="s">
        <v>138</v>
      </c>
      <c r="K274">
        <v>0</v>
      </c>
      <c r="L274">
        <v>3</v>
      </c>
      <c r="M274">
        <v>0</v>
      </c>
      <c r="N274">
        <v>2</v>
      </c>
      <c r="O274">
        <v>0</v>
      </c>
      <c r="P274">
        <v>1</v>
      </c>
      <c r="Q274">
        <v>0</v>
      </c>
      <c r="S274" t="str">
        <f t="shared" si="104"/>
        <v>19:26:26.000</v>
      </c>
      <c r="T274" t="str">
        <f t="shared" si="104"/>
        <v>19:26:26.000</v>
      </c>
      <c r="U274" t="str">
        <f t="shared" si="99"/>
        <v>AC3944</v>
      </c>
      <c r="V274">
        <v>0</v>
      </c>
      <c r="W274">
        <v>0</v>
      </c>
      <c r="X274">
        <v>2</v>
      </c>
      <c r="Y274">
        <v>0</v>
      </c>
      <c r="AA274">
        <v>1</v>
      </c>
      <c r="AB274">
        <v>8</v>
      </c>
      <c r="AC274">
        <v>3</v>
      </c>
      <c r="AD274">
        <v>0</v>
      </c>
      <c r="AE274">
        <v>9</v>
      </c>
      <c r="AF274" t="s">
        <v>138</v>
      </c>
      <c r="AG274">
        <v>0</v>
      </c>
      <c r="AH274">
        <v>3</v>
      </c>
      <c r="AI274">
        <v>1</v>
      </c>
      <c r="AJ274">
        <v>0</v>
      </c>
      <c r="AK274" t="s">
        <v>230</v>
      </c>
      <c r="AL274">
        <v>32.826611999999997</v>
      </c>
      <c r="AM274" t="s">
        <v>231</v>
      </c>
      <c r="AN274">
        <v>-116.99720600000001</v>
      </c>
      <c r="AO274">
        <v>25</v>
      </c>
      <c r="AP274">
        <v>1500</v>
      </c>
      <c r="AQ274" t="s">
        <v>129</v>
      </c>
      <c r="AR274">
        <v>-59</v>
      </c>
      <c r="AS274">
        <v>-92</v>
      </c>
      <c r="AT274">
        <v>1408</v>
      </c>
      <c r="BB274">
        <v>1200</v>
      </c>
      <c r="BC274">
        <v>1</v>
      </c>
      <c r="BD274" t="str">
        <f t="shared" si="100"/>
        <v xml:space="preserve">N887QR  </v>
      </c>
      <c r="BE274">
        <v>1</v>
      </c>
      <c r="BG274">
        <v>0</v>
      </c>
      <c r="BH274">
        <v>0</v>
      </c>
      <c r="BI274">
        <v>0</v>
      </c>
      <c r="BJ274">
        <v>1150</v>
      </c>
      <c r="BK274">
        <v>-350</v>
      </c>
      <c r="BL274" t="s">
        <v>163</v>
      </c>
      <c r="BM274">
        <v>1</v>
      </c>
      <c r="BN274">
        <v>1</v>
      </c>
      <c r="BO274">
        <v>1</v>
      </c>
      <c r="BP274">
        <v>0</v>
      </c>
      <c r="BS274">
        <v>0</v>
      </c>
      <c r="BT274">
        <v>0</v>
      </c>
      <c r="BU274">
        <v>0</v>
      </c>
      <c r="CE274" t="str">
        <f t="shared" si="105"/>
        <v>19:26:26.346</v>
      </c>
      <c r="CF274">
        <v>345606100</v>
      </c>
      <c r="CS274">
        <v>3</v>
      </c>
      <c r="CT274">
        <v>2</v>
      </c>
      <c r="CU274">
        <v>0</v>
      </c>
      <c r="CV274">
        <v>2</v>
      </c>
      <c r="CW274">
        <v>0</v>
      </c>
      <c r="CX274">
        <v>6</v>
      </c>
      <c r="CY274">
        <v>7</v>
      </c>
      <c r="CZ274" t="s">
        <v>131</v>
      </c>
      <c r="DA274">
        <v>300</v>
      </c>
      <c r="DB274">
        <v>0</v>
      </c>
      <c r="DC274" t="s">
        <v>176</v>
      </c>
      <c r="DD274" t="s">
        <v>177</v>
      </c>
      <c r="DG274">
        <v>5358860</v>
      </c>
      <c r="DI274">
        <v>0</v>
      </c>
      <c r="DJ274">
        <v>0</v>
      </c>
      <c r="DK274">
        <v>1</v>
      </c>
      <c r="DL274">
        <v>0</v>
      </c>
      <c r="DM274">
        <v>0</v>
      </c>
      <c r="DN274">
        <v>1</v>
      </c>
      <c r="DO274">
        <v>0</v>
      </c>
      <c r="DP274">
        <v>0</v>
      </c>
      <c r="DQ274">
        <v>0</v>
      </c>
      <c r="DR274">
        <v>0</v>
      </c>
      <c r="DS274">
        <v>0</v>
      </c>
    </row>
    <row r="275" spans="1:123" x14ac:dyDescent="0.3">
      <c r="A275" t="str">
        <f>"10/04/2022 19:26:27.164"</f>
        <v>10/04/2022 19:26:27.164</v>
      </c>
      <c r="C275" t="str">
        <f t="shared" si="98"/>
        <v>FFDFD3C0</v>
      </c>
      <c r="D275" t="s">
        <v>134</v>
      </c>
      <c r="E275">
        <v>15</v>
      </c>
      <c r="J275" t="s">
        <v>135</v>
      </c>
      <c r="K275">
        <v>0</v>
      </c>
      <c r="L275">
        <v>3</v>
      </c>
      <c r="M275">
        <v>0</v>
      </c>
      <c r="N275">
        <v>2</v>
      </c>
      <c r="O275">
        <v>0</v>
      </c>
      <c r="P275">
        <v>1</v>
      </c>
      <c r="Q275">
        <v>0</v>
      </c>
      <c r="S275" t="str">
        <f t="shared" si="104"/>
        <v>19:26:26.000</v>
      </c>
      <c r="T275" t="str">
        <f t="shared" si="104"/>
        <v>19:26:26.000</v>
      </c>
      <c r="U275" t="str">
        <f t="shared" si="99"/>
        <v>AC3944</v>
      </c>
      <c r="V275">
        <v>0</v>
      </c>
      <c r="W275">
        <v>0</v>
      </c>
      <c r="X275">
        <v>2</v>
      </c>
      <c r="Y275">
        <v>0</v>
      </c>
      <c r="AA275">
        <v>1</v>
      </c>
      <c r="AB275">
        <v>8</v>
      </c>
      <c r="AC275">
        <v>3</v>
      </c>
      <c r="AD275">
        <v>0</v>
      </c>
      <c r="AE275">
        <v>9</v>
      </c>
      <c r="AF275" t="s">
        <v>138</v>
      </c>
      <c r="AG275">
        <v>0</v>
      </c>
      <c r="AH275">
        <v>3</v>
      </c>
      <c r="AI275">
        <v>1</v>
      </c>
      <c r="AJ275">
        <v>0</v>
      </c>
      <c r="AK275" t="s">
        <v>232</v>
      </c>
      <c r="AL275">
        <v>32.826183</v>
      </c>
      <c r="AM275" t="s">
        <v>233</v>
      </c>
      <c r="AN275">
        <v>-116.99755</v>
      </c>
      <c r="AO275">
        <v>25</v>
      </c>
      <c r="AP275">
        <v>1500</v>
      </c>
      <c r="AQ275" t="s">
        <v>129</v>
      </c>
      <c r="AR275">
        <v>-56</v>
      </c>
      <c r="AS275">
        <v>-94</v>
      </c>
      <c r="AT275">
        <v>1408</v>
      </c>
      <c r="BB275">
        <v>1200</v>
      </c>
      <c r="BC275">
        <v>1</v>
      </c>
      <c r="BD275" t="str">
        <f t="shared" si="100"/>
        <v xml:space="preserve">N887QR  </v>
      </c>
      <c r="BE275">
        <v>1</v>
      </c>
      <c r="BG275">
        <v>0</v>
      </c>
      <c r="BH275">
        <v>0</v>
      </c>
      <c r="BI275">
        <v>0</v>
      </c>
      <c r="BJ275">
        <v>1225</v>
      </c>
      <c r="BK275">
        <v>-275</v>
      </c>
      <c r="BL275" t="s">
        <v>163</v>
      </c>
      <c r="BM275">
        <v>1</v>
      </c>
      <c r="BN275">
        <v>1</v>
      </c>
      <c r="BO275">
        <v>1</v>
      </c>
      <c r="BP275">
        <v>0</v>
      </c>
      <c r="BS275">
        <v>0</v>
      </c>
      <c r="BT275">
        <v>0</v>
      </c>
      <c r="BU275">
        <v>0</v>
      </c>
      <c r="CE275" t="str">
        <f t="shared" ref="CE275:CE281" si="106">"19:26:26.846"</f>
        <v>19:26:26.846</v>
      </c>
      <c r="CF275">
        <v>846387804</v>
      </c>
      <c r="CS275">
        <v>3</v>
      </c>
      <c r="CT275">
        <v>2</v>
      </c>
      <c r="CU275">
        <v>0</v>
      </c>
      <c r="CV275">
        <v>2</v>
      </c>
      <c r="CW275">
        <v>0</v>
      </c>
      <c r="CX275">
        <v>3</v>
      </c>
      <c r="CY275">
        <v>7</v>
      </c>
      <c r="CZ275" t="s">
        <v>131</v>
      </c>
      <c r="DA275">
        <v>286</v>
      </c>
      <c r="DB275">
        <v>0</v>
      </c>
      <c r="DC275" t="s">
        <v>132</v>
      </c>
      <c r="DD275" t="s">
        <v>133</v>
      </c>
      <c r="DG275">
        <v>789072</v>
      </c>
      <c r="DI275">
        <v>0</v>
      </c>
      <c r="DJ275">
        <v>0</v>
      </c>
      <c r="DK275">
        <v>0</v>
      </c>
      <c r="DL275">
        <v>0</v>
      </c>
      <c r="DM275">
        <v>0</v>
      </c>
      <c r="DN275">
        <v>1</v>
      </c>
      <c r="DO275">
        <v>0</v>
      </c>
      <c r="DP275">
        <v>0</v>
      </c>
      <c r="DQ275">
        <v>0</v>
      </c>
      <c r="DR275">
        <v>0</v>
      </c>
      <c r="DS275">
        <v>0</v>
      </c>
    </row>
    <row r="276" spans="1:123" x14ac:dyDescent="0.3">
      <c r="A276" t="str">
        <f>"10/04/2022 19:26:27.227"</f>
        <v>10/04/2022 19:26:27.227</v>
      </c>
      <c r="C276" t="str">
        <f t="shared" si="98"/>
        <v>FFDFD3C0</v>
      </c>
      <c r="D276" t="s">
        <v>136</v>
      </c>
      <c r="E276">
        <v>8</v>
      </c>
      <c r="H276">
        <v>225</v>
      </c>
      <c r="I276" t="s">
        <v>137</v>
      </c>
      <c r="J276" t="s">
        <v>138</v>
      </c>
      <c r="K276">
        <v>0</v>
      </c>
      <c r="L276">
        <v>3</v>
      </c>
      <c r="M276">
        <v>0</v>
      </c>
      <c r="N276">
        <v>2</v>
      </c>
      <c r="O276">
        <v>0</v>
      </c>
      <c r="P276">
        <v>1</v>
      </c>
      <c r="Q276">
        <v>0</v>
      </c>
      <c r="S276" t="str">
        <f t="shared" si="104"/>
        <v>19:26:26.000</v>
      </c>
      <c r="T276" t="str">
        <f t="shared" si="104"/>
        <v>19:26:26.000</v>
      </c>
      <c r="U276" t="str">
        <f t="shared" si="99"/>
        <v>AC3944</v>
      </c>
      <c r="V276">
        <v>0</v>
      </c>
      <c r="W276">
        <v>0</v>
      </c>
      <c r="X276">
        <v>2</v>
      </c>
      <c r="Y276">
        <v>0</v>
      </c>
      <c r="AA276">
        <v>1</v>
      </c>
      <c r="AB276">
        <v>8</v>
      </c>
      <c r="AC276">
        <v>3</v>
      </c>
      <c r="AD276">
        <v>0</v>
      </c>
      <c r="AE276">
        <v>9</v>
      </c>
      <c r="AF276" t="s">
        <v>138</v>
      </c>
      <c r="AG276">
        <v>0</v>
      </c>
      <c r="AH276">
        <v>3</v>
      </c>
      <c r="AI276">
        <v>1</v>
      </c>
      <c r="AJ276">
        <v>0</v>
      </c>
      <c r="AK276" t="s">
        <v>232</v>
      </c>
      <c r="AL276">
        <v>32.826183</v>
      </c>
      <c r="AM276" t="s">
        <v>233</v>
      </c>
      <c r="AN276">
        <v>-116.99755</v>
      </c>
      <c r="AO276">
        <v>25</v>
      </c>
      <c r="AP276">
        <v>1500</v>
      </c>
      <c r="AQ276" t="s">
        <v>129</v>
      </c>
      <c r="AR276">
        <v>-56</v>
      </c>
      <c r="AS276">
        <v>-94</v>
      </c>
      <c r="AT276">
        <v>1408</v>
      </c>
      <c r="BB276">
        <v>1200</v>
      </c>
      <c r="BC276">
        <v>1</v>
      </c>
      <c r="BD276" t="str">
        <f t="shared" si="100"/>
        <v xml:space="preserve">N887QR  </v>
      </c>
      <c r="BE276">
        <v>1</v>
      </c>
      <c r="BG276">
        <v>0</v>
      </c>
      <c r="BH276">
        <v>0</v>
      </c>
      <c r="BI276">
        <v>0</v>
      </c>
      <c r="BJ276">
        <v>1225</v>
      </c>
      <c r="BK276">
        <v>-275</v>
      </c>
      <c r="BL276" t="s">
        <v>163</v>
      </c>
      <c r="BM276">
        <v>1</v>
      </c>
      <c r="BN276">
        <v>1</v>
      </c>
      <c r="BO276">
        <v>1</v>
      </c>
      <c r="BP276">
        <v>0</v>
      </c>
      <c r="BS276">
        <v>0</v>
      </c>
      <c r="BT276">
        <v>0</v>
      </c>
      <c r="BU276">
        <v>0</v>
      </c>
      <c r="CE276" t="str">
        <f t="shared" si="106"/>
        <v>19:26:26.846</v>
      </c>
      <c r="CF276">
        <v>846387804</v>
      </c>
      <c r="CS276">
        <v>3</v>
      </c>
      <c r="CT276">
        <v>2</v>
      </c>
      <c r="CU276">
        <v>0</v>
      </c>
      <c r="CV276">
        <v>2</v>
      </c>
      <c r="CW276">
        <v>0</v>
      </c>
      <c r="CX276">
        <v>3</v>
      </c>
      <c r="CY276">
        <v>7</v>
      </c>
      <c r="CZ276" t="s">
        <v>131</v>
      </c>
      <c r="DA276">
        <v>286</v>
      </c>
      <c r="DB276">
        <v>0</v>
      </c>
      <c r="DC276" t="s">
        <v>132</v>
      </c>
      <c r="DD276" t="s">
        <v>133</v>
      </c>
      <c r="DG276">
        <v>789072</v>
      </c>
      <c r="DI276">
        <v>0</v>
      </c>
      <c r="DJ276">
        <v>0</v>
      </c>
      <c r="DK276">
        <v>1</v>
      </c>
      <c r="DL276">
        <v>0</v>
      </c>
      <c r="DM276">
        <v>0</v>
      </c>
      <c r="DN276">
        <v>1</v>
      </c>
      <c r="DO276">
        <v>0</v>
      </c>
      <c r="DP276">
        <v>0</v>
      </c>
      <c r="DQ276">
        <v>0</v>
      </c>
      <c r="DR276">
        <v>0</v>
      </c>
      <c r="DS276">
        <v>0</v>
      </c>
    </row>
    <row r="277" spans="1:123" x14ac:dyDescent="0.3">
      <c r="A277" t="str">
        <f>"10/04/2022 19:26:27.227"</f>
        <v>10/04/2022 19:26:27.227</v>
      </c>
      <c r="C277" t="str">
        <f t="shared" si="98"/>
        <v>FFDFD3C0</v>
      </c>
      <c r="D277" t="s">
        <v>141</v>
      </c>
      <c r="E277">
        <v>4</v>
      </c>
      <c r="H277">
        <v>4</v>
      </c>
      <c r="I277" t="s">
        <v>142</v>
      </c>
      <c r="J277" t="s">
        <v>138</v>
      </c>
      <c r="K277">
        <v>0</v>
      </c>
      <c r="L277">
        <v>3</v>
      </c>
      <c r="M277">
        <v>0</v>
      </c>
      <c r="N277">
        <v>2</v>
      </c>
      <c r="O277">
        <v>0</v>
      </c>
      <c r="P277">
        <v>1</v>
      </c>
      <c r="Q277">
        <v>0</v>
      </c>
      <c r="S277" t="str">
        <f t="shared" si="104"/>
        <v>19:26:26.000</v>
      </c>
      <c r="T277" t="str">
        <f t="shared" si="104"/>
        <v>19:26:26.000</v>
      </c>
      <c r="U277" t="str">
        <f t="shared" si="99"/>
        <v>AC3944</v>
      </c>
      <c r="V277">
        <v>0</v>
      </c>
      <c r="W277">
        <v>0</v>
      </c>
      <c r="X277">
        <v>2</v>
      </c>
      <c r="Y277">
        <v>0</v>
      </c>
      <c r="AA277">
        <v>1</v>
      </c>
      <c r="AB277">
        <v>8</v>
      </c>
      <c r="AC277">
        <v>3</v>
      </c>
      <c r="AD277">
        <v>0</v>
      </c>
      <c r="AE277">
        <v>9</v>
      </c>
      <c r="AF277" t="s">
        <v>138</v>
      </c>
      <c r="AG277">
        <v>0</v>
      </c>
      <c r="AH277">
        <v>3</v>
      </c>
      <c r="AI277">
        <v>1</v>
      </c>
      <c r="AJ277">
        <v>0</v>
      </c>
      <c r="AK277" t="s">
        <v>232</v>
      </c>
      <c r="AL277">
        <v>32.826183</v>
      </c>
      <c r="AM277" t="s">
        <v>233</v>
      </c>
      <c r="AN277">
        <v>-116.99755</v>
      </c>
      <c r="AO277">
        <v>25</v>
      </c>
      <c r="AP277">
        <v>1500</v>
      </c>
      <c r="AQ277" t="s">
        <v>129</v>
      </c>
      <c r="AR277">
        <v>-56</v>
      </c>
      <c r="AS277">
        <v>-94</v>
      </c>
      <c r="AT277">
        <v>1408</v>
      </c>
      <c r="BB277">
        <v>1200</v>
      </c>
      <c r="BC277">
        <v>1</v>
      </c>
      <c r="BD277" t="str">
        <f t="shared" si="100"/>
        <v xml:space="preserve">N887QR  </v>
      </c>
      <c r="BE277">
        <v>1</v>
      </c>
      <c r="BG277">
        <v>0</v>
      </c>
      <c r="BH277">
        <v>0</v>
      </c>
      <c r="BI277">
        <v>0</v>
      </c>
      <c r="BJ277">
        <v>1225</v>
      </c>
      <c r="BK277">
        <v>-275</v>
      </c>
      <c r="BL277" t="s">
        <v>163</v>
      </c>
      <c r="BM277">
        <v>1</v>
      </c>
      <c r="BN277">
        <v>1</v>
      </c>
      <c r="BO277">
        <v>1</v>
      </c>
      <c r="BP277">
        <v>0</v>
      </c>
      <c r="BS277">
        <v>0</v>
      </c>
      <c r="BT277">
        <v>0</v>
      </c>
      <c r="BU277">
        <v>0</v>
      </c>
      <c r="CE277" t="str">
        <f t="shared" si="106"/>
        <v>19:26:26.846</v>
      </c>
      <c r="CF277">
        <v>846387804</v>
      </c>
      <c r="CS277">
        <v>3</v>
      </c>
      <c r="CT277">
        <v>2</v>
      </c>
      <c r="CU277">
        <v>0</v>
      </c>
      <c r="CV277">
        <v>2</v>
      </c>
      <c r="CW277">
        <v>0</v>
      </c>
      <c r="CX277">
        <v>3</v>
      </c>
      <c r="CY277">
        <v>7</v>
      </c>
      <c r="CZ277" t="s">
        <v>131</v>
      </c>
      <c r="DA277">
        <v>286</v>
      </c>
      <c r="DB277">
        <v>0</v>
      </c>
      <c r="DC277" t="s">
        <v>132</v>
      </c>
      <c r="DD277" t="s">
        <v>133</v>
      </c>
      <c r="DG277">
        <v>789072</v>
      </c>
      <c r="DI277">
        <v>0</v>
      </c>
      <c r="DJ277">
        <v>0</v>
      </c>
      <c r="DK277">
        <v>1</v>
      </c>
      <c r="DL277">
        <v>0</v>
      </c>
      <c r="DM277">
        <v>0</v>
      </c>
      <c r="DN277">
        <v>1</v>
      </c>
      <c r="DO277">
        <v>0</v>
      </c>
      <c r="DP277">
        <v>0</v>
      </c>
      <c r="DQ277">
        <v>0</v>
      </c>
      <c r="DR277">
        <v>0</v>
      </c>
      <c r="DS277">
        <v>0</v>
      </c>
    </row>
    <row r="278" spans="1:123" x14ac:dyDescent="0.3">
      <c r="A278" t="str">
        <f>"10/04/2022 19:26:27.227"</f>
        <v>10/04/2022 19:26:27.227</v>
      </c>
      <c r="C278" t="str">
        <f t="shared" si="98"/>
        <v>FFDFD3C0</v>
      </c>
      <c r="D278" t="s">
        <v>143</v>
      </c>
      <c r="E278">
        <v>20</v>
      </c>
      <c r="F278">
        <v>1020</v>
      </c>
      <c r="G278" t="s">
        <v>144</v>
      </c>
      <c r="J278" t="s">
        <v>145</v>
      </c>
      <c r="K278">
        <v>0</v>
      </c>
      <c r="L278">
        <v>3</v>
      </c>
      <c r="M278">
        <v>0</v>
      </c>
      <c r="N278">
        <v>2</v>
      </c>
      <c r="O278">
        <v>0</v>
      </c>
      <c r="P278">
        <v>1</v>
      </c>
      <c r="Q278">
        <v>0</v>
      </c>
      <c r="S278" t="str">
        <f t="shared" si="104"/>
        <v>19:26:26.000</v>
      </c>
      <c r="T278" t="str">
        <f t="shared" si="104"/>
        <v>19:26:26.000</v>
      </c>
      <c r="U278" t="str">
        <f t="shared" si="99"/>
        <v>AC3944</v>
      </c>
      <c r="V278">
        <v>0</v>
      </c>
      <c r="W278">
        <v>0</v>
      </c>
      <c r="X278">
        <v>2</v>
      </c>
      <c r="Y278">
        <v>0</v>
      </c>
      <c r="AA278">
        <v>1</v>
      </c>
      <c r="AB278">
        <v>8</v>
      </c>
      <c r="AC278">
        <v>3</v>
      </c>
      <c r="AD278">
        <v>0</v>
      </c>
      <c r="AE278">
        <v>9</v>
      </c>
      <c r="AF278" t="s">
        <v>138</v>
      </c>
      <c r="AG278">
        <v>0</v>
      </c>
      <c r="AH278">
        <v>3</v>
      </c>
      <c r="AI278">
        <v>1</v>
      </c>
      <c r="AJ278">
        <v>0</v>
      </c>
      <c r="AK278" t="s">
        <v>232</v>
      </c>
      <c r="AL278">
        <v>32.826183</v>
      </c>
      <c r="AM278" t="s">
        <v>233</v>
      </c>
      <c r="AN278">
        <v>-116.99755</v>
      </c>
      <c r="AO278">
        <v>25</v>
      </c>
      <c r="AP278">
        <v>1500</v>
      </c>
      <c r="AQ278" t="s">
        <v>129</v>
      </c>
      <c r="AR278">
        <v>-56</v>
      </c>
      <c r="AS278">
        <v>-94</v>
      </c>
      <c r="AT278">
        <v>1408</v>
      </c>
      <c r="BB278">
        <v>1200</v>
      </c>
      <c r="BC278">
        <v>1</v>
      </c>
      <c r="BD278" t="str">
        <f t="shared" si="100"/>
        <v xml:space="preserve">N887QR  </v>
      </c>
      <c r="BE278">
        <v>1</v>
      </c>
      <c r="BG278">
        <v>0</v>
      </c>
      <c r="BH278">
        <v>0</v>
      </c>
      <c r="BI278">
        <v>0</v>
      </c>
      <c r="BJ278">
        <v>1225</v>
      </c>
      <c r="BK278">
        <v>-275</v>
      </c>
      <c r="BL278" t="s">
        <v>163</v>
      </c>
      <c r="BM278">
        <v>1</v>
      </c>
      <c r="BN278">
        <v>1</v>
      </c>
      <c r="BO278">
        <v>1</v>
      </c>
      <c r="BP278">
        <v>0</v>
      </c>
      <c r="BS278">
        <v>0</v>
      </c>
      <c r="BT278">
        <v>0</v>
      </c>
      <c r="BU278">
        <v>0</v>
      </c>
      <c r="CE278" t="str">
        <f t="shared" si="106"/>
        <v>19:26:26.846</v>
      </c>
      <c r="CF278">
        <v>846387804</v>
      </c>
      <c r="CS278">
        <v>3</v>
      </c>
      <c r="CT278">
        <v>2</v>
      </c>
      <c r="CU278">
        <v>0</v>
      </c>
      <c r="CV278">
        <v>2</v>
      </c>
      <c r="CW278">
        <v>0</v>
      </c>
      <c r="CX278">
        <v>3</v>
      </c>
      <c r="CY278">
        <v>7</v>
      </c>
      <c r="CZ278" t="s">
        <v>131</v>
      </c>
      <c r="DA278">
        <v>286</v>
      </c>
      <c r="DB278">
        <v>0</v>
      </c>
      <c r="DC278" t="s">
        <v>132</v>
      </c>
      <c r="DD278" t="s">
        <v>133</v>
      </c>
      <c r="DG278">
        <v>789072</v>
      </c>
      <c r="DI278">
        <v>0</v>
      </c>
      <c r="DJ278">
        <v>0</v>
      </c>
      <c r="DK278">
        <v>1</v>
      </c>
      <c r="DL278">
        <v>0</v>
      </c>
      <c r="DM278">
        <v>0</v>
      </c>
      <c r="DN278">
        <v>1</v>
      </c>
      <c r="DO278">
        <v>0</v>
      </c>
      <c r="DP278">
        <v>0</v>
      </c>
      <c r="DQ278">
        <v>0</v>
      </c>
      <c r="DR278">
        <v>0</v>
      </c>
      <c r="DS278">
        <v>0</v>
      </c>
    </row>
    <row r="279" spans="1:123" x14ac:dyDescent="0.3">
      <c r="A279" t="str">
        <f>"10/04/2022 19:26:27.227"</f>
        <v>10/04/2022 19:26:27.227</v>
      </c>
      <c r="C279" t="str">
        <f t="shared" si="98"/>
        <v>FFDFD3C0</v>
      </c>
      <c r="D279" t="s">
        <v>147</v>
      </c>
      <c r="E279">
        <v>3</v>
      </c>
      <c r="H279">
        <v>166</v>
      </c>
      <c r="I279" t="s">
        <v>144</v>
      </c>
      <c r="J279" t="s">
        <v>148</v>
      </c>
      <c r="K279">
        <v>0</v>
      </c>
      <c r="L279">
        <v>3</v>
      </c>
      <c r="M279">
        <v>0</v>
      </c>
      <c r="N279">
        <v>2</v>
      </c>
      <c r="O279">
        <v>0</v>
      </c>
      <c r="P279">
        <v>1</v>
      </c>
      <c r="Q279">
        <v>0</v>
      </c>
      <c r="S279" t="str">
        <f t="shared" si="104"/>
        <v>19:26:26.000</v>
      </c>
      <c r="T279" t="str">
        <f t="shared" si="104"/>
        <v>19:26:26.000</v>
      </c>
      <c r="U279" t="str">
        <f t="shared" si="99"/>
        <v>AC3944</v>
      </c>
      <c r="V279">
        <v>0</v>
      </c>
      <c r="W279">
        <v>0</v>
      </c>
      <c r="X279">
        <v>2</v>
      </c>
      <c r="Y279">
        <v>0</v>
      </c>
      <c r="AA279">
        <v>1</v>
      </c>
      <c r="AB279">
        <v>8</v>
      </c>
      <c r="AC279">
        <v>3</v>
      </c>
      <c r="AD279">
        <v>0</v>
      </c>
      <c r="AE279">
        <v>9</v>
      </c>
      <c r="AF279" t="s">
        <v>138</v>
      </c>
      <c r="AG279">
        <v>0</v>
      </c>
      <c r="AH279">
        <v>3</v>
      </c>
      <c r="AI279">
        <v>1</v>
      </c>
      <c r="AJ279">
        <v>0</v>
      </c>
      <c r="AK279" t="s">
        <v>232</v>
      </c>
      <c r="AL279">
        <v>32.826183</v>
      </c>
      <c r="AM279" t="s">
        <v>233</v>
      </c>
      <c r="AN279">
        <v>-116.99755</v>
      </c>
      <c r="AO279">
        <v>25</v>
      </c>
      <c r="AP279">
        <v>1500</v>
      </c>
      <c r="AQ279" t="s">
        <v>129</v>
      </c>
      <c r="AR279">
        <v>-56</v>
      </c>
      <c r="AS279">
        <v>-94</v>
      </c>
      <c r="AT279">
        <v>1408</v>
      </c>
      <c r="BB279">
        <v>1200</v>
      </c>
      <c r="BC279">
        <v>1</v>
      </c>
      <c r="BD279" t="str">
        <f t="shared" si="100"/>
        <v xml:space="preserve">N887QR  </v>
      </c>
      <c r="BE279">
        <v>1</v>
      </c>
      <c r="BG279">
        <v>0</v>
      </c>
      <c r="BH279">
        <v>0</v>
      </c>
      <c r="BI279">
        <v>0</v>
      </c>
      <c r="BJ279">
        <v>1225</v>
      </c>
      <c r="BK279">
        <v>-275</v>
      </c>
      <c r="BL279" t="s">
        <v>163</v>
      </c>
      <c r="BM279">
        <v>1</v>
      </c>
      <c r="BN279">
        <v>1</v>
      </c>
      <c r="BO279">
        <v>1</v>
      </c>
      <c r="BP279">
        <v>0</v>
      </c>
      <c r="BS279">
        <v>0</v>
      </c>
      <c r="BT279">
        <v>0</v>
      </c>
      <c r="BU279">
        <v>0</v>
      </c>
      <c r="CE279" t="str">
        <f t="shared" si="106"/>
        <v>19:26:26.846</v>
      </c>
      <c r="CF279">
        <v>846387804</v>
      </c>
      <c r="CS279">
        <v>3</v>
      </c>
      <c r="CT279">
        <v>2</v>
      </c>
      <c r="CU279">
        <v>0</v>
      </c>
      <c r="CV279">
        <v>2</v>
      </c>
      <c r="CW279">
        <v>0</v>
      </c>
      <c r="CX279">
        <v>3</v>
      </c>
      <c r="CY279">
        <v>7</v>
      </c>
      <c r="CZ279" t="s">
        <v>131</v>
      </c>
      <c r="DA279">
        <v>286</v>
      </c>
      <c r="DB279">
        <v>0</v>
      </c>
      <c r="DC279" t="s">
        <v>132</v>
      </c>
      <c r="DD279" t="s">
        <v>133</v>
      </c>
      <c r="DG279">
        <v>789072</v>
      </c>
      <c r="DI279">
        <v>0</v>
      </c>
      <c r="DJ279">
        <v>0</v>
      </c>
      <c r="DK279">
        <v>1</v>
      </c>
      <c r="DL279">
        <v>0</v>
      </c>
      <c r="DM279">
        <v>0</v>
      </c>
      <c r="DN279">
        <v>1</v>
      </c>
      <c r="DO279">
        <v>0</v>
      </c>
      <c r="DP279">
        <v>0</v>
      </c>
      <c r="DQ279">
        <v>0</v>
      </c>
      <c r="DR279">
        <v>0</v>
      </c>
      <c r="DS279">
        <v>0</v>
      </c>
    </row>
    <row r="280" spans="1:123" x14ac:dyDescent="0.3">
      <c r="A280" t="str">
        <f>"10/04/2022 19:26:27.273"</f>
        <v>10/04/2022 19:26:27.273</v>
      </c>
      <c r="C280" t="str">
        <f t="shared" si="98"/>
        <v>FFDFD3C0</v>
      </c>
      <c r="D280" t="s">
        <v>123</v>
      </c>
      <c r="E280">
        <v>7</v>
      </c>
      <c r="F280">
        <v>2007</v>
      </c>
      <c r="G280" t="s">
        <v>124</v>
      </c>
      <c r="J280" t="s">
        <v>125</v>
      </c>
      <c r="K280">
        <v>0</v>
      </c>
      <c r="L280">
        <v>3</v>
      </c>
      <c r="M280">
        <v>0</v>
      </c>
      <c r="N280">
        <v>2</v>
      </c>
      <c r="O280">
        <v>0</v>
      </c>
      <c r="P280">
        <v>1</v>
      </c>
      <c r="Q280">
        <v>0</v>
      </c>
      <c r="S280" t="str">
        <f t="shared" si="104"/>
        <v>19:26:26.000</v>
      </c>
      <c r="T280" t="str">
        <f t="shared" si="104"/>
        <v>19:26:26.000</v>
      </c>
      <c r="U280" t="str">
        <f t="shared" si="99"/>
        <v>AC3944</v>
      </c>
      <c r="V280">
        <v>0</v>
      </c>
      <c r="W280">
        <v>0</v>
      </c>
      <c r="X280">
        <v>2</v>
      </c>
      <c r="Y280">
        <v>0</v>
      </c>
      <c r="AA280">
        <v>1</v>
      </c>
      <c r="AB280">
        <v>8</v>
      </c>
      <c r="AC280">
        <v>3</v>
      </c>
      <c r="AD280">
        <v>0</v>
      </c>
      <c r="AE280">
        <v>9</v>
      </c>
      <c r="AF280" t="s">
        <v>138</v>
      </c>
      <c r="AG280">
        <v>0</v>
      </c>
      <c r="AH280">
        <v>3</v>
      </c>
      <c r="AI280">
        <v>1</v>
      </c>
      <c r="AJ280">
        <v>0</v>
      </c>
      <c r="AK280" t="s">
        <v>232</v>
      </c>
      <c r="AL280">
        <v>32.826183</v>
      </c>
      <c r="AM280" t="s">
        <v>233</v>
      </c>
      <c r="AN280">
        <v>-116.99755</v>
      </c>
      <c r="AO280">
        <v>25</v>
      </c>
      <c r="AP280">
        <v>1500</v>
      </c>
      <c r="AQ280" t="s">
        <v>129</v>
      </c>
      <c r="AR280">
        <v>-56</v>
      </c>
      <c r="AS280">
        <v>-94</v>
      </c>
      <c r="AT280">
        <v>1408</v>
      </c>
      <c r="BB280">
        <v>1200</v>
      </c>
      <c r="BC280">
        <v>1</v>
      </c>
      <c r="BD280" t="str">
        <f t="shared" si="100"/>
        <v xml:space="preserve">N887QR  </v>
      </c>
      <c r="BE280">
        <v>1</v>
      </c>
      <c r="BG280">
        <v>0</v>
      </c>
      <c r="BH280">
        <v>0</v>
      </c>
      <c r="BI280">
        <v>0</v>
      </c>
      <c r="BJ280">
        <v>1225</v>
      </c>
      <c r="BK280">
        <v>-275</v>
      </c>
      <c r="BL280" t="s">
        <v>163</v>
      </c>
      <c r="BM280">
        <v>1</v>
      </c>
      <c r="BN280">
        <v>1</v>
      </c>
      <c r="BO280">
        <v>1</v>
      </c>
      <c r="BP280">
        <v>0</v>
      </c>
      <c r="BS280">
        <v>0</v>
      </c>
      <c r="BT280">
        <v>0</v>
      </c>
      <c r="BU280">
        <v>0</v>
      </c>
      <c r="CE280" t="str">
        <f t="shared" si="106"/>
        <v>19:26:26.846</v>
      </c>
      <c r="CF280">
        <v>846387804</v>
      </c>
      <c r="CS280">
        <v>3</v>
      </c>
      <c r="CT280">
        <v>2</v>
      </c>
      <c r="CU280">
        <v>0</v>
      </c>
      <c r="CV280">
        <v>2</v>
      </c>
      <c r="CW280">
        <v>0</v>
      </c>
      <c r="CX280">
        <v>3</v>
      </c>
      <c r="CY280">
        <v>7</v>
      </c>
      <c r="CZ280" t="s">
        <v>131</v>
      </c>
      <c r="DA280">
        <v>286</v>
      </c>
      <c r="DB280">
        <v>0</v>
      </c>
      <c r="DC280" t="s">
        <v>132</v>
      </c>
      <c r="DD280" t="s">
        <v>133</v>
      </c>
      <c r="DG280">
        <v>789072</v>
      </c>
      <c r="DI280">
        <v>0</v>
      </c>
      <c r="DJ280">
        <v>0</v>
      </c>
      <c r="DK280">
        <v>1</v>
      </c>
      <c r="DL280">
        <v>0</v>
      </c>
      <c r="DM280">
        <v>0</v>
      </c>
      <c r="DN280">
        <v>1</v>
      </c>
      <c r="DO280">
        <v>0</v>
      </c>
      <c r="DP280">
        <v>0</v>
      </c>
      <c r="DQ280">
        <v>0</v>
      </c>
      <c r="DR280">
        <v>0</v>
      </c>
      <c r="DS280">
        <v>0</v>
      </c>
    </row>
    <row r="281" spans="1:123" x14ac:dyDescent="0.3">
      <c r="A281" t="str">
        <f>"10/04/2022 19:26:27.273"</f>
        <v>10/04/2022 19:26:27.273</v>
      </c>
      <c r="C281" t="str">
        <f t="shared" si="98"/>
        <v>FFDFD3C0</v>
      </c>
      <c r="D281" t="s">
        <v>141</v>
      </c>
      <c r="E281">
        <v>3</v>
      </c>
      <c r="H281">
        <v>3</v>
      </c>
      <c r="I281" t="s">
        <v>146</v>
      </c>
      <c r="J281" t="s">
        <v>138</v>
      </c>
      <c r="K281">
        <v>0</v>
      </c>
      <c r="L281">
        <v>3</v>
      </c>
      <c r="M281">
        <v>0</v>
      </c>
      <c r="N281">
        <v>2</v>
      </c>
      <c r="O281">
        <v>0</v>
      </c>
      <c r="P281">
        <v>1</v>
      </c>
      <c r="Q281">
        <v>0</v>
      </c>
      <c r="S281" t="str">
        <f t="shared" si="104"/>
        <v>19:26:26.000</v>
      </c>
      <c r="T281" t="str">
        <f t="shared" si="104"/>
        <v>19:26:26.000</v>
      </c>
      <c r="U281" t="str">
        <f t="shared" si="99"/>
        <v>AC3944</v>
      </c>
      <c r="V281">
        <v>0</v>
      </c>
      <c r="W281">
        <v>0</v>
      </c>
      <c r="X281">
        <v>2</v>
      </c>
      <c r="Y281">
        <v>0</v>
      </c>
      <c r="AA281">
        <v>1</v>
      </c>
      <c r="AB281">
        <v>8</v>
      </c>
      <c r="AC281">
        <v>3</v>
      </c>
      <c r="AD281">
        <v>0</v>
      </c>
      <c r="AE281">
        <v>9</v>
      </c>
      <c r="AF281" t="s">
        <v>138</v>
      </c>
      <c r="AG281">
        <v>0</v>
      </c>
      <c r="AH281">
        <v>3</v>
      </c>
      <c r="AI281">
        <v>1</v>
      </c>
      <c r="AJ281">
        <v>0</v>
      </c>
      <c r="AK281" t="s">
        <v>232</v>
      </c>
      <c r="AL281">
        <v>32.826183</v>
      </c>
      <c r="AM281" t="s">
        <v>233</v>
      </c>
      <c r="AN281">
        <v>-116.99755</v>
      </c>
      <c r="AO281">
        <v>25</v>
      </c>
      <c r="AP281">
        <v>1500</v>
      </c>
      <c r="AQ281" t="s">
        <v>129</v>
      </c>
      <c r="AR281">
        <v>-56</v>
      </c>
      <c r="AS281">
        <v>-94</v>
      </c>
      <c r="AT281">
        <v>1408</v>
      </c>
      <c r="BB281">
        <v>1200</v>
      </c>
      <c r="BC281">
        <v>1</v>
      </c>
      <c r="BD281" t="str">
        <f t="shared" si="100"/>
        <v xml:space="preserve">N887QR  </v>
      </c>
      <c r="BE281">
        <v>1</v>
      </c>
      <c r="BG281">
        <v>0</v>
      </c>
      <c r="BH281">
        <v>0</v>
      </c>
      <c r="BI281">
        <v>0</v>
      </c>
      <c r="BJ281">
        <v>1225</v>
      </c>
      <c r="BK281">
        <v>-275</v>
      </c>
      <c r="BL281" t="s">
        <v>163</v>
      </c>
      <c r="BM281">
        <v>1</v>
      </c>
      <c r="BN281">
        <v>1</v>
      </c>
      <c r="BO281">
        <v>1</v>
      </c>
      <c r="BP281">
        <v>0</v>
      </c>
      <c r="BS281">
        <v>0</v>
      </c>
      <c r="BT281">
        <v>0</v>
      </c>
      <c r="BU281">
        <v>0</v>
      </c>
      <c r="CE281" t="str">
        <f t="shared" si="106"/>
        <v>19:26:26.846</v>
      </c>
      <c r="CF281">
        <v>846387804</v>
      </c>
      <c r="CS281">
        <v>3</v>
      </c>
      <c r="CT281">
        <v>2</v>
      </c>
      <c r="CU281">
        <v>0</v>
      </c>
      <c r="CV281">
        <v>2</v>
      </c>
      <c r="CW281">
        <v>0</v>
      </c>
      <c r="CX281">
        <v>3</v>
      </c>
      <c r="CY281">
        <v>7</v>
      </c>
      <c r="CZ281" t="s">
        <v>131</v>
      </c>
      <c r="DA281">
        <v>286</v>
      </c>
      <c r="DB281">
        <v>0</v>
      </c>
      <c r="DC281" t="s">
        <v>132</v>
      </c>
      <c r="DD281" t="s">
        <v>133</v>
      </c>
      <c r="DG281">
        <v>789072</v>
      </c>
      <c r="DI281">
        <v>0</v>
      </c>
      <c r="DJ281">
        <v>0</v>
      </c>
      <c r="DK281">
        <v>1</v>
      </c>
      <c r="DL281">
        <v>0</v>
      </c>
      <c r="DM281">
        <v>0</v>
      </c>
      <c r="DN281">
        <v>1</v>
      </c>
      <c r="DO281">
        <v>0</v>
      </c>
      <c r="DP281">
        <v>0</v>
      </c>
      <c r="DQ281">
        <v>0</v>
      </c>
      <c r="DR281">
        <v>0</v>
      </c>
      <c r="DS281">
        <v>0</v>
      </c>
    </row>
    <row r="282" spans="1:123" x14ac:dyDescent="0.3">
      <c r="A282" t="str">
        <f t="shared" ref="A282:A288" si="107">"10/04/2022 19:26:28.649"</f>
        <v>10/04/2022 19:26:28.649</v>
      </c>
      <c r="C282" t="str">
        <f t="shared" si="98"/>
        <v>FFDFD3C0</v>
      </c>
      <c r="D282" t="s">
        <v>134</v>
      </c>
      <c r="E282">
        <v>15</v>
      </c>
      <c r="J282" t="s">
        <v>135</v>
      </c>
      <c r="K282">
        <v>0</v>
      </c>
      <c r="L282">
        <v>3</v>
      </c>
      <c r="M282">
        <v>0</v>
      </c>
      <c r="N282">
        <v>2</v>
      </c>
      <c r="O282">
        <v>0</v>
      </c>
      <c r="P282">
        <v>1</v>
      </c>
      <c r="Q282">
        <v>0</v>
      </c>
      <c r="S282" t="str">
        <f t="shared" ref="S282:T295" si="108">"19:26:28.000"</f>
        <v>19:26:28.000</v>
      </c>
      <c r="T282" t="str">
        <f t="shared" si="108"/>
        <v>19:26:28.000</v>
      </c>
      <c r="U282" t="str">
        <f t="shared" si="99"/>
        <v>AC3944</v>
      </c>
      <c r="V282">
        <v>0</v>
      </c>
      <c r="W282">
        <v>0</v>
      </c>
      <c r="X282">
        <v>2</v>
      </c>
      <c r="Y282">
        <v>0</v>
      </c>
      <c r="AA282">
        <v>1</v>
      </c>
      <c r="AB282">
        <v>8</v>
      </c>
      <c r="AC282">
        <v>3</v>
      </c>
      <c r="AD282">
        <v>0</v>
      </c>
      <c r="AE282">
        <v>9</v>
      </c>
      <c r="AF282" t="s">
        <v>138</v>
      </c>
      <c r="AG282">
        <v>0</v>
      </c>
      <c r="AH282">
        <v>3</v>
      </c>
      <c r="AI282">
        <v>1</v>
      </c>
      <c r="AJ282">
        <v>0</v>
      </c>
      <c r="AK282" t="s">
        <v>234</v>
      </c>
      <c r="AL282">
        <v>32.825732000000002</v>
      </c>
      <c r="AM282" t="s">
        <v>235</v>
      </c>
      <c r="AN282">
        <v>-116.997828</v>
      </c>
      <c r="AO282">
        <v>25</v>
      </c>
      <c r="AP282">
        <v>1600</v>
      </c>
      <c r="AQ282" t="s">
        <v>129</v>
      </c>
      <c r="AR282">
        <v>-42</v>
      </c>
      <c r="AS282">
        <v>-100</v>
      </c>
      <c r="AT282">
        <v>1536</v>
      </c>
      <c r="BB282">
        <v>1200</v>
      </c>
      <c r="BC282">
        <v>1</v>
      </c>
      <c r="BD282" t="str">
        <f t="shared" si="100"/>
        <v xml:space="preserve">N887QR  </v>
      </c>
      <c r="BE282">
        <v>1</v>
      </c>
      <c r="BG282">
        <v>0</v>
      </c>
      <c r="BH282">
        <v>0</v>
      </c>
      <c r="BI282">
        <v>0</v>
      </c>
      <c r="BJ282">
        <v>1250</v>
      </c>
      <c r="BK282">
        <v>-350</v>
      </c>
      <c r="BL282" t="s">
        <v>163</v>
      </c>
      <c r="BM282">
        <v>1</v>
      </c>
      <c r="BN282">
        <v>1</v>
      </c>
      <c r="BO282">
        <v>1</v>
      </c>
      <c r="BP282">
        <v>0</v>
      </c>
      <c r="BS282">
        <v>0</v>
      </c>
      <c r="BT282">
        <v>0</v>
      </c>
      <c r="BU282">
        <v>0</v>
      </c>
      <c r="CE282" t="str">
        <f t="shared" ref="CE282:CE288" si="109">"19:26:28.291"</f>
        <v>19:26:28.291</v>
      </c>
      <c r="CF282">
        <v>290862534</v>
      </c>
      <c r="CS282">
        <v>3</v>
      </c>
      <c r="CT282">
        <v>2</v>
      </c>
      <c r="CU282">
        <v>0</v>
      </c>
      <c r="CV282">
        <v>2</v>
      </c>
      <c r="CW282">
        <v>0</v>
      </c>
      <c r="CX282">
        <v>6</v>
      </c>
      <c r="CY282">
        <v>7</v>
      </c>
      <c r="CZ282" t="s">
        <v>131</v>
      </c>
      <c r="DA282">
        <v>300</v>
      </c>
      <c r="DB282">
        <v>0</v>
      </c>
      <c r="DC282" t="s">
        <v>176</v>
      </c>
      <c r="DD282" t="s">
        <v>177</v>
      </c>
      <c r="DG282">
        <v>5359189</v>
      </c>
      <c r="DI282">
        <v>0</v>
      </c>
      <c r="DJ282">
        <v>0</v>
      </c>
      <c r="DK282">
        <v>0</v>
      </c>
      <c r="DL282">
        <v>0</v>
      </c>
      <c r="DM282">
        <v>0</v>
      </c>
      <c r="DN282">
        <v>1</v>
      </c>
      <c r="DO282">
        <v>0</v>
      </c>
      <c r="DP282">
        <v>0</v>
      </c>
      <c r="DQ282">
        <v>0</v>
      </c>
      <c r="DR282">
        <v>0</v>
      </c>
      <c r="DS282">
        <v>0</v>
      </c>
    </row>
    <row r="283" spans="1:123" x14ac:dyDescent="0.3">
      <c r="A283" t="str">
        <f t="shared" si="107"/>
        <v>10/04/2022 19:26:28.649</v>
      </c>
      <c r="C283" t="str">
        <f t="shared" si="98"/>
        <v>FFDFD3C0</v>
      </c>
      <c r="D283" t="s">
        <v>136</v>
      </c>
      <c r="E283">
        <v>8</v>
      </c>
      <c r="H283">
        <v>225</v>
      </c>
      <c r="I283" t="s">
        <v>137</v>
      </c>
      <c r="J283" t="s">
        <v>138</v>
      </c>
      <c r="K283">
        <v>0</v>
      </c>
      <c r="L283">
        <v>3</v>
      </c>
      <c r="M283">
        <v>0</v>
      </c>
      <c r="N283">
        <v>2</v>
      </c>
      <c r="O283">
        <v>0</v>
      </c>
      <c r="P283">
        <v>1</v>
      </c>
      <c r="Q283">
        <v>0</v>
      </c>
      <c r="S283" t="str">
        <f t="shared" si="108"/>
        <v>19:26:28.000</v>
      </c>
      <c r="T283" t="str">
        <f t="shared" si="108"/>
        <v>19:26:28.000</v>
      </c>
      <c r="U283" t="str">
        <f t="shared" si="99"/>
        <v>AC3944</v>
      </c>
      <c r="V283">
        <v>0</v>
      </c>
      <c r="W283">
        <v>0</v>
      </c>
      <c r="X283">
        <v>2</v>
      </c>
      <c r="Y283">
        <v>0</v>
      </c>
      <c r="AA283">
        <v>1</v>
      </c>
      <c r="AB283">
        <v>8</v>
      </c>
      <c r="AC283">
        <v>3</v>
      </c>
      <c r="AD283">
        <v>0</v>
      </c>
      <c r="AE283">
        <v>9</v>
      </c>
      <c r="AF283" t="s">
        <v>138</v>
      </c>
      <c r="AG283">
        <v>0</v>
      </c>
      <c r="AH283">
        <v>3</v>
      </c>
      <c r="AI283">
        <v>1</v>
      </c>
      <c r="AJ283">
        <v>0</v>
      </c>
      <c r="AK283" t="s">
        <v>234</v>
      </c>
      <c r="AL283">
        <v>32.825732000000002</v>
      </c>
      <c r="AM283" t="s">
        <v>235</v>
      </c>
      <c r="AN283">
        <v>-116.997828</v>
      </c>
      <c r="AO283">
        <v>25</v>
      </c>
      <c r="AP283">
        <v>1600</v>
      </c>
      <c r="AQ283" t="s">
        <v>129</v>
      </c>
      <c r="AR283">
        <v>-42</v>
      </c>
      <c r="AS283">
        <v>-100</v>
      </c>
      <c r="AT283">
        <v>1536</v>
      </c>
      <c r="BB283">
        <v>1200</v>
      </c>
      <c r="BC283">
        <v>1</v>
      </c>
      <c r="BD283" t="str">
        <f t="shared" si="100"/>
        <v xml:space="preserve">N887QR  </v>
      </c>
      <c r="BE283">
        <v>1</v>
      </c>
      <c r="BG283">
        <v>0</v>
      </c>
      <c r="BH283">
        <v>0</v>
      </c>
      <c r="BI283">
        <v>0</v>
      </c>
      <c r="BJ283">
        <v>1250</v>
      </c>
      <c r="BK283">
        <v>-350</v>
      </c>
      <c r="BL283" t="s">
        <v>163</v>
      </c>
      <c r="BM283">
        <v>1</v>
      </c>
      <c r="BN283">
        <v>1</v>
      </c>
      <c r="BO283">
        <v>1</v>
      </c>
      <c r="BP283">
        <v>0</v>
      </c>
      <c r="BS283">
        <v>0</v>
      </c>
      <c r="BT283">
        <v>0</v>
      </c>
      <c r="BU283">
        <v>0</v>
      </c>
      <c r="CE283" t="str">
        <f t="shared" si="109"/>
        <v>19:26:28.291</v>
      </c>
      <c r="CF283">
        <v>290862534</v>
      </c>
      <c r="CS283">
        <v>3</v>
      </c>
      <c r="CT283">
        <v>2</v>
      </c>
      <c r="CU283">
        <v>0</v>
      </c>
      <c r="CV283">
        <v>2</v>
      </c>
      <c r="CW283">
        <v>0</v>
      </c>
      <c r="CX283">
        <v>6</v>
      </c>
      <c r="CY283">
        <v>7</v>
      </c>
      <c r="CZ283" t="s">
        <v>131</v>
      </c>
      <c r="DA283">
        <v>300</v>
      </c>
      <c r="DB283">
        <v>0</v>
      </c>
      <c r="DC283" t="s">
        <v>176</v>
      </c>
      <c r="DD283" t="s">
        <v>177</v>
      </c>
      <c r="DG283">
        <v>5359189</v>
      </c>
      <c r="DI283">
        <v>0</v>
      </c>
      <c r="DJ283">
        <v>0</v>
      </c>
      <c r="DK283">
        <v>1</v>
      </c>
      <c r="DL283">
        <v>0</v>
      </c>
      <c r="DM283">
        <v>0</v>
      </c>
      <c r="DN283">
        <v>1</v>
      </c>
      <c r="DO283">
        <v>0</v>
      </c>
      <c r="DP283">
        <v>0</v>
      </c>
      <c r="DQ283">
        <v>0</v>
      </c>
      <c r="DR283">
        <v>0</v>
      </c>
      <c r="DS283">
        <v>0</v>
      </c>
    </row>
    <row r="284" spans="1:123" x14ac:dyDescent="0.3">
      <c r="A284" t="str">
        <f t="shared" si="107"/>
        <v>10/04/2022 19:26:28.649</v>
      </c>
      <c r="C284" t="str">
        <f t="shared" si="98"/>
        <v>FFDFD3C0</v>
      </c>
      <c r="D284" t="s">
        <v>143</v>
      </c>
      <c r="E284">
        <v>20</v>
      </c>
      <c r="F284">
        <v>1020</v>
      </c>
      <c r="G284" t="s">
        <v>144</v>
      </c>
      <c r="J284" t="s">
        <v>145</v>
      </c>
      <c r="K284">
        <v>0</v>
      </c>
      <c r="L284">
        <v>3</v>
      </c>
      <c r="M284">
        <v>0</v>
      </c>
      <c r="N284">
        <v>2</v>
      </c>
      <c r="O284">
        <v>0</v>
      </c>
      <c r="P284">
        <v>1</v>
      </c>
      <c r="Q284">
        <v>0</v>
      </c>
      <c r="S284" t="str">
        <f t="shared" si="108"/>
        <v>19:26:28.000</v>
      </c>
      <c r="T284" t="str">
        <f t="shared" si="108"/>
        <v>19:26:28.000</v>
      </c>
      <c r="U284" t="str">
        <f t="shared" si="99"/>
        <v>AC3944</v>
      </c>
      <c r="V284">
        <v>0</v>
      </c>
      <c r="W284">
        <v>0</v>
      </c>
      <c r="X284">
        <v>2</v>
      </c>
      <c r="Y284">
        <v>0</v>
      </c>
      <c r="AA284">
        <v>1</v>
      </c>
      <c r="AB284">
        <v>8</v>
      </c>
      <c r="AC284">
        <v>3</v>
      </c>
      <c r="AD284">
        <v>0</v>
      </c>
      <c r="AE284">
        <v>9</v>
      </c>
      <c r="AF284" t="s">
        <v>138</v>
      </c>
      <c r="AG284">
        <v>0</v>
      </c>
      <c r="AH284">
        <v>3</v>
      </c>
      <c r="AI284">
        <v>1</v>
      </c>
      <c r="AJ284">
        <v>0</v>
      </c>
      <c r="AK284" t="s">
        <v>234</v>
      </c>
      <c r="AL284">
        <v>32.825732000000002</v>
      </c>
      <c r="AM284" t="s">
        <v>235</v>
      </c>
      <c r="AN284">
        <v>-116.997828</v>
      </c>
      <c r="AO284">
        <v>25</v>
      </c>
      <c r="AP284">
        <v>1600</v>
      </c>
      <c r="AQ284" t="s">
        <v>129</v>
      </c>
      <c r="AR284">
        <v>-42</v>
      </c>
      <c r="AS284">
        <v>-100</v>
      </c>
      <c r="AT284">
        <v>1536</v>
      </c>
      <c r="BB284">
        <v>1200</v>
      </c>
      <c r="BC284">
        <v>1</v>
      </c>
      <c r="BD284" t="str">
        <f t="shared" si="100"/>
        <v xml:space="preserve">N887QR  </v>
      </c>
      <c r="BE284">
        <v>1</v>
      </c>
      <c r="BG284">
        <v>0</v>
      </c>
      <c r="BH284">
        <v>0</v>
      </c>
      <c r="BI284">
        <v>0</v>
      </c>
      <c r="BJ284">
        <v>1250</v>
      </c>
      <c r="BK284">
        <v>-350</v>
      </c>
      <c r="BL284" t="s">
        <v>163</v>
      </c>
      <c r="BM284">
        <v>1</v>
      </c>
      <c r="BN284">
        <v>1</v>
      </c>
      <c r="BO284">
        <v>1</v>
      </c>
      <c r="BP284">
        <v>0</v>
      </c>
      <c r="BS284">
        <v>0</v>
      </c>
      <c r="BT284">
        <v>0</v>
      </c>
      <c r="BU284">
        <v>0</v>
      </c>
      <c r="CE284" t="str">
        <f t="shared" si="109"/>
        <v>19:26:28.291</v>
      </c>
      <c r="CF284">
        <v>290862534</v>
      </c>
      <c r="CS284">
        <v>3</v>
      </c>
      <c r="CT284">
        <v>2</v>
      </c>
      <c r="CU284">
        <v>0</v>
      </c>
      <c r="CV284">
        <v>2</v>
      </c>
      <c r="CW284">
        <v>0</v>
      </c>
      <c r="CX284">
        <v>6</v>
      </c>
      <c r="CY284">
        <v>7</v>
      </c>
      <c r="CZ284" t="s">
        <v>131</v>
      </c>
      <c r="DA284">
        <v>300</v>
      </c>
      <c r="DB284">
        <v>0</v>
      </c>
      <c r="DC284" t="s">
        <v>176</v>
      </c>
      <c r="DD284" t="s">
        <v>177</v>
      </c>
      <c r="DG284">
        <v>5359189</v>
      </c>
      <c r="DI284">
        <v>0</v>
      </c>
      <c r="DJ284">
        <v>0</v>
      </c>
      <c r="DK284">
        <v>1</v>
      </c>
      <c r="DL284">
        <v>0</v>
      </c>
      <c r="DM284">
        <v>0</v>
      </c>
      <c r="DN284">
        <v>1</v>
      </c>
      <c r="DO284">
        <v>0</v>
      </c>
      <c r="DP284">
        <v>0</v>
      </c>
      <c r="DQ284">
        <v>0</v>
      </c>
      <c r="DR284">
        <v>0</v>
      </c>
      <c r="DS284">
        <v>0</v>
      </c>
    </row>
    <row r="285" spans="1:123" x14ac:dyDescent="0.3">
      <c r="A285" t="str">
        <f t="shared" si="107"/>
        <v>10/04/2022 19:26:28.649</v>
      </c>
      <c r="C285" t="str">
        <f t="shared" si="98"/>
        <v>FFDFD3C0</v>
      </c>
      <c r="D285" t="s">
        <v>141</v>
      </c>
      <c r="E285">
        <v>4</v>
      </c>
      <c r="H285">
        <v>4</v>
      </c>
      <c r="I285" t="s">
        <v>142</v>
      </c>
      <c r="J285" t="s">
        <v>138</v>
      </c>
      <c r="K285">
        <v>0</v>
      </c>
      <c r="L285">
        <v>3</v>
      </c>
      <c r="M285">
        <v>0</v>
      </c>
      <c r="N285">
        <v>2</v>
      </c>
      <c r="O285">
        <v>0</v>
      </c>
      <c r="P285">
        <v>1</v>
      </c>
      <c r="Q285">
        <v>0</v>
      </c>
      <c r="S285" t="str">
        <f t="shared" si="108"/>
        <v>19:26:28.000</v>
      </c>
      <c r="T285" t="str">
        <f t="shared" si="108"/>
        <v>19:26:28.000</v>
      </c>
      <c r="U285" t="str">
        <f t="shared" si="99"/>
        <v>AC3944</v>
      </c>
      <c r="V285">
        <v>0</v>
      </c>
      <c r="W285">
        <v>0</v>
      </c>
      <c r="X285">
        <v>2</v>
      </c>
      <c r="Y285">
        <v>0</v>
      </c>
      <c r="AA285">
        <v>1</v>
      </c>
      <c r="AB285">
        <v>8</v>
      </c>
      <c r="AC285">
        <v>3</v>
      </c>
      <c r="AD285">
        <v>0</v>
      </c>
      <c r="AE285">
        <v>9</v>
      </c>
      <c r="AF285" t="s">
        <v>138</v>
      </c>
      <c r="AG285">
        <v>0</v>
      </c>
      <c r="AH285">
        <v>3</v>
      </c>
      <c r="AI285">
        <v>1</v>
      </c>
      <c r="AJ285">
        <v>0</v>
      </c>
      <c r="AK285" t="s">
        <v>234</v>
      </c>
      <c r="AL285">
        <v>32.825732000000002</v>
      </c>
      <c r="AM285" t="s">
        <v>235</v>
      </c>
      <c r="AN285">
        <v>-116.997828</v>
      </c>
      <c r="AO285">
        <v>25</v>
      </c>
      <c r="AP285">
        <v>1600</v>
      </c>
      <c r="AQ285" t="s">
        <v>129</v>
      </c>
      <c r="AR285">
        <v>-42</v>
      </c>
      <c r="AS285">
        <v>-100</v>
      </c>
      <c r="AT285">
        <v>1536</v>
      </c>
      <c r="BB285">
        <v>1200</v>
      </c>
      <c r="BC285">
        <v>1</v>
      </c>
      <c r="BD285" t="str">
        <f t="shared" si="100"/>
        <v xml:space="preserve">N887QR  </v>
      </c>
      <c r="BE285">
        <v>1</v>
      </c>
      <c r="BG285">
        <v>0</v>
      </c>
      <c r="BH285">
        <v>0</v>
      </c>
      <c r="BI285">
        <v>0</v>
      </c>
      <c r="BJ285">
        <v>1250</v>
      </c>
      <c r="BK285">
        <v>-350</v>
      </c>
      <c r="BL285" t="s">
        <v>163</v>
      </c>
      <c r="BM285">
        <v>1</v>
      </c>
      <c r="BN285">
        <v>1</v>
      </c>
      <c r="BO285">
        <v>1</v>
      </c>
      <c r="BP285">
        <v>0</v>
      </c>
      <c r="BS285">
        <v>0</v>
      </c>
      <c r="BT285">
        <v>0</v>
      </c>
      <c r="BU285">
        <v>0</v>
      </c>
      <c r="CE285" t="str">
        <f t="shared" si="109"/>
        <v>19:26:28.291</v>
      </c>
      <c r="CF285">
        <v>290862534</v>
      </c>
      <c r="CS285">
        <v>3</v>
      </c>
      <c r="CT285">
        <v>2</v>
      </c>
      <c r="CU285">
        <v>0</v>
      </c>
      <c r="CV285">
        <v>2</v>
      </c>
      <c r="CW285">
        <v>0</v>
      </c>
      <c r="CX285">
        <v>6</v>
      </c>
      <c r="CY285">
        <v>7</v>
      </c>
      <c r="CZ285" t="s">
        <v>131</v>
      </c>
      <c r="DA285">
        <v>300</v>
      </c>
      <c r="DB285">
        <v>0</v>
      </c>
      <c r="DC285" t="s">
        <v>176</v>
      </c>
      <c r="DD285" t="s">
        <v>177</v>
      </c>
      <c r="DG285">
        <v>5359189</v>
      </c>
      <c r="DI285">
        <v>0</v>
      </c>
      <c r="DJ285">
        <v>0</v>
      </c>
      <c r="DK285">
        <v>1</v>
      </c>
      <c r="DL285">
        <v>0</v>
      </c>
      <c r="DM285">
        <v>0</v>
      </c>
      <c r="DN285">
        <v>1</v>
      </c>
      <c r="DO285">
        <v>0</v>
      </c>
      <c r="DP285">
        <v>0</v>
      </c>
      <c r="DQ285">
        <v>0</v>
      </c>
      <c r="DR285">
        <v>0</v>
      </c>
      <c r="DS285">
        <v>0</v>
      </c>
    </row>
    <row r="286" spans="1:123" x14ac:dyDescent="0.3">
      <c r="A286" t="str">
        <f t="shared" si="107"/>
        <v>10/04/2022 19:26:28.649</v>
      </c>
      <c r="C286" t="str">
        <f t="shared" si="98"/>
        <v>FFDFD3C0</v>
      </c>
      <c r="D286" t="s">
        <v>147</v>
      </c>
      <c r="E286">
        <v>3</v>
      </c>
      <c r="H286">
        <v>166</v>
      </c>
      <c r="I286" t="s">
        <v>144</v>
      </c>
      <c r="J286" t="s">
        <v>148</v>
      </c>
      <c r="K286">
        <v>0</v>
      </c>
      <c r="L286">
        <v>3</v>
      </c>
      <c r="M286">
        <v>0</v>
      </c>
      <c r="N286">
        <v>2</v>
      </c>
      <c r="O286">
        <v>0</v>
      </c>
      <c r="P286">
        <v>1</v>
      </c>
      <c r="Q286">
        <v>0</v>
      </c>
      <c r="S286" t="str">
        <f t="shared" si="108"/>
        <v>19:26:28.000</v>
      </c>
      <c r="T286" t="str">
        <f t="shared" si="108"/>
        <v>19:26:28.000</v>
      </c>
      <c r="U286" t="str">
        <f t="shared" si="99"/>
        <v>AC3944</v>
      </c>
      <c r="V286">
        <v>0</v>
      </c>
      <c r="W286">
        <v>0</v>
      </c>
      <c r="X286">
        <v>2</v>
      </c>
      <c r="Y286">
        <v>0</v>
      </c>
      <c r="AA286">
        <v>1</v>
      </c>
      <c r="AB286">
        <v>8</v>
      </c>
      <c r="AC286">
        <v>3</v>
      </c>
      <c r="AD286">
        <v>0</v>
      </c>
      <c r="AE286">
        <v>9</v>
      </c>
      <c r="AF286" t="s">
        <v>138</v>
      </c>
      <c r="AG286">
        <v>0</v>
      </c>
      <c r="AH286">
        <v>3</v>
      </c>
      <c r="AI286">
        <v>1</v>
      </c>
      <c r="AJ286">
        <v>0</v>
      </c>
      <c r="AK286" t="s">
        <v>234</v>
      </c>
      <c r="AL286">
        <v>32.825732000000002</v>
      </c>
      <c r="AM286" t="s">
        <v>235</v>
      </c>
      <c r="AN286">
        <v>-116.997828</v>
      </c>
      <c r="AO286">
        <v>25</v>
      </c>
      <c r="AP286">
        <v>1600</v>
      </c>
      <c r="AQ286" t="s">
        <v>129</v>
      </c>
      <c r="AR286">
        <v>-42</v>
      </c>
      <c r="AS286">
        <v>-100</v>
      </c>
      <c r="AT286">
        <v>1536</v>
      </c>
      <c r="BB286">
        <v>1200</v>
      </c>
      <c r="BC286">
        <v>1</v>
      </c>
      <c r="BD286" t="str">
        <f t="shared" si="100"/>
        <v xml:space="preserve">N887QR  </v>
      </c>
      <c r="BE286">
        <v>1</v>
      </c>
      <c r="BG286">
        <v>0</v>
      </c>
      <c r="BH286">
        <v>0</v>
      </c>
      <c r="BI286">
        <v>0</v>
      </c>
      <c r="BJ286">
        <v>1250</v>
      </c>
      <c r="BK286">
        <v>-350</v>
      </c>
      <c r="BL286" t="s">
        <v>163</v>
      </c>
      <c r="BM286">
        <v>1</v>
      </c>
      <c r="BN286">
        <v>1</v>
      </c>
      <c r="BO286">
        <v>1</v>
      </c>
      <c r="BP286">
        <v>0</v>
      </c>
      <c r="BS286">
        <v>0</v>
      </c>
      <c r="BT286">
        <v>0</v>
      </c>
      <c r="BU286">
        <v>0</v>
      </c>
      <c r="CE286" t="str">
        <f t="shared" si="109"/>
        <v>19:26:28.291</v>
      </c>
      <c r="CF286">
        <v>290862534</v>
      </c>
      <c r="CS286">
        <v>3</v>
      </c>
      <c r="CT286">
        <v>2</v>
      </c>
      <c r="CU286">
        <v>0</v>
      </c>
      <c r="CV286">
        <v>2</v>
      </c>
      <c r="CW286">
        <v>0</v>
      </c>
      <c r="CX286">
        <v>6</v>
      </c>
      <c r="CY286">
        <v>7</v>
      </c>
      <c r="CZ286" t="s">
        <v>131</v>
      </c>
      <c r="DA286">
        <v>300</v>
      </c>
      <c r="DB286">
        <v>0</v>
      </c>
      <c r="DC286" t="s">
        <v>176</v>
      </c>
      <c r="DD286" t="s">
        <v>177</v>
      </c>
      <c r="DG286">
        <v>5359189</v>
      </c>
      <c r="DI286">
        <v>0</v>
      </c>
      <c r="DJ286">
        <v>0</v>
      </c>
      <c r="DK286">
        <v>1</v>
      </c>
      <c r="DL286">
        <v>0</v>
      </c>
      <c r="DM286">
        <v>0</v>
      </c>
      <c r="DN286">
        <v>1</v>
      </c>
      <c r="DO286">
        <v>0</v>
      </c>
      <c r="DP286">
        <v>0</v>
      </c>
      <c r="DQ286">
        <v>0</v>
      </c>
      <c r="DR286">
        <v>0</v>
      </c>
      <c r="DS286">
        <v>0</v>
      </c>
    </row>
    <row r="287" spans="1:123" x14ac:dyDescent="0.3">
      <c r="A287" t="str">
        <f t="shared" si="107"/>
        <v>10/04/2022 19:26:28.649</v>
      </c>
      <c r="C287" t="str">
        <f t="shared" si="98"/>
        <v>FFDFD3C0</v>
      </c>
      <c r="D287" t="s">
        <v>123</v>
      </c>
      <c r="E287">
        <v>7</v>
      </c>
      <c r="F287">
        <v>2007</v>
      </c>
      <c r="G287" t="s">
        <v>124</v>
      </c>
      <c r="J287" t="s">
        <v>125</v>
      </c>
      <c r="K287">
        <v>0</v>
      </c>
      <c r="L287">
        <v>3</v>
      </c>
      <c r="M287">
        <v>0</v>
      </c>
      <c r="N287">
        <v>2</v>
      </c>
      <c r="O287">
        <v>0</v>
      </c>
      <c r="P287">
        <v>1</v>
      </c>
      <c r="Q287">
        <v>0</v>
      </c>
      <c r="S287" t="str">
        <f t="shared" si="108"/>
        <v>19:26:28.000</v>
      </c>
      <c r="T287" t="str">
        <f t="shared" si="108"/>
        <v>19:26:28.000</v>
      </c>
      <c r="U287" t="str">
        <f t="shared" si="99"/>
        <v>AC3944</v>
      </c>
      <c r="V287">
        <v>0</v>
      </c>
      <c r="W287">
        <v>0</v>
      </c>
      <c r="X287">
        <v>2</v>
      </c>
      <c r="Y287">
        <v>0</v>
      </c>
      <c r="AA287">
        <v>1</v>
      </c>
      <c r="AB287">
        <v>8</v>
      </c>
      <c r="AC287">
        <v>3</v>
      </c>
      <c r="AD287">
        <v>0</v>
      </c>
      <c r="AE287">
        <v>9</v>
      </c>
      <c r="AF287" t="s">
        <v>138</v>
      </c>
      <c r="AG287">
        <v>0</v>
      </c>
      <c r="AH287">
        <v>3</v>
      </c>
      <c r="AI287">
        <v>1</v>
      </c>
      <c r="AJ287">
        <v>0</v>
      </c>
      <c r="AK287" t="s">
        <v>234</v>
      </c>
      <c r="AL287">
        <v>32.825732000000002</v>
      </c>
      <c r="AM287" t="s">
        <v>235</v>
      </c>
      <c r="AN287">
        <v>-116.997828</v>
      </c>
      <c r="AO287">
        <v>25</v>
      </c>
      <c r="AP287">
        <v>1600</v>
      </c>
      <c r="AQ287" t="s">
        <v>129</v>
      </c>
      <c r="AR287">
        <v>-42</v>
      </c>
      <c r="AS287">
        <v>-100</v>
      </c>
      <c r="AT287">
        <v>1536</v>
      </c>
      <c r="BB287">
        <v>1200</v>
      </c>
      <c r="BC287">
        <v>1</v>
      </c>
      <c r="BD287" t="str">
        <f t="shared" si="100"/>
        <v xml:space="preserve">N887QR  </v>
      </c>
      <c r="BE287">
        <v>1</v>
      </c>
      <c r="BG287">
        <v>0</v>
      </c>
      <c r="BH287">
        <v>0</v>
      </c>
      <c r="BI287">
        <v>0</v>
      </c>
      <c r="BJ287">
        <v>1250</v>
      </c>
      <c r="BK287">
        <v>-350</v>
      </c>
      <c r="BL287" t="s">
        <v>163</v>
      </c>
      <c r="BM287">
        <v>1</v>
      </c>
      <c r="BN287">
        <v>1</v>
      </c>
      <c r="BO287">
        <v>1</v>
      </c>
      <c r="BP287">
        <v>0</v>
      </c>
      <c r="BS287">
        <v>0</v>
      </c>
      <c r="BT287">
        <v>0</v>
      </c>
      <c r="BU287">
        <v>0</v>
      </c>
      <c r="CE287" t="str">
        <f t="shared" si="109"/>
        <v>19:26:28.291</v>
      </c>
      <c r="CF287">
        <v>290862534</v>
      </c>
      <c r="CS287">
        <v>3</v>
      </c>
      <c r="CT287">
        <v>2</v>
      </c>
      <c r="CU287">
        <v>0</v>
      </c>
      <c r="CV287">
        <v>2</v>
      </c>
      <c r="CW287">
        <v>0</v>
      </c>
      <c r="CX287">
        <v>6</v>
      </c>
      <c r="CY287">
        <v>7</v>
      </c>
      <c r="CZ287" t="s">
        <v>131</v>
      </c>
      <c r="DA287">
        <v>300</v>
      </c>
      <c r="DB287">
        <v>0</v>
      </c>
      <c r="DC287" t="s">
        <v>176</v>
      </c>
      <c r="DD287" t="s">
        <v>177</v>
      </c>
      <c r="DG287">
        <v>5359189</v>
      </c>
      <c r="DI287">
        <v>0</v>
      </c>
      <c r="DJ287">
        <v>0</v>
      </c>
      <c r="DK287">
        <v>1</v>
      </c>
      <c r="DL287">
        <v>0</v>
      </c>
      <c r="DM287">
        <v>0</v>
      </c>
      <c r="DN287">
        <v>1</v>
      </c>
      <c r="DO287">
        <v>0</v>
      </c>
      <c r="DP287">
        <v>0</v>
      </c>
      <c r="DQ287">
        <v>0</v>
      </c>
      <c r="DR287">
        <v>0</v>
      </c>
      <c r="DS287">
        <v>0</v>
      </c>
    </row>
    <row r="288" spans="1:123" x14ac:dyDescent="0.3">
      <c r="A288" t="str">
        <f t="shared" si="107"/>
        <v>10/04/2022 19:26:28.649</v>
      </c>
      <c r="C288" t="str">
        <f t="shared" si="98"/>
        <v>FFDFD3C0</v>
      </c>
      <c r="D288" t="s">
        <v>141</v>
      </c>
      <c r="E288">
        <v>3</v>
      </c>
      <c r="H288">
        <v>3</v>
      </c>
      <c r="I288" t="s">
        <v>146</v>
      </c>
      <c r="J288" t="s">
        <v>138</v>
      </c>
      <c r="K288">
        <v>0</v>
      </c>
      <c r="L288">
        <v>3</v>
      </c>
      <c r="M288">
        <v>0</v>
      </c>
      <c r="N288">
        <v>2</v>
      </c>
      <c r="O288">
        <v>0</v>
      </c>
      <c r="P288">
        <v>1</v>
      </c>
      <c r="Q288">
        <v>0</v>
      </c>
      <c r="S288" t="str">
        <f t="shared" si="108"/>
        <v>19:26:28.000</v>
      </c>
      <c r="T288" t="str">
        <f t="shared" si="108"/>
        <v>19:26:28.000</v>
      </c>
      <c r="U288" t="str">
        <f t="shared" si="99"/>
        <v>AC3944</v>
      </c>
      <c r="V288">
        <v>0</v>
      </c>
      <c r="W288">
        <v>0</v>
      </c>
      <c r="X288">
        <v>2</v>
      </c>
      <c r="Y288">
        <v>0</v>
      </c>
      <c r="AA288">
        <v>1</v>
      </c>
      <c r="AB288">
        <v>8</v>
      </c>
      <c r="AC288">
        <v>3</v>
      </c>
      <c r="AD288">
        <v>0</v>
      </c>
      <c r="AE288">
        <v>9</v>
      </c>
      <c r="AF288" t="s">
        <v>138</v>
      </c>
      <c r="AG288">
        <v>0</v>
      </c>
      <c r="AH288">
        <v>3</v>
      </c>
      <c r="AI288">
        <v>1</v>
      </c>
      <c r="AJ288">
        <v>0</v>
      </c>
      <c r="AK288" t="s">
        <v>234</v>
      </c>
      <c r="AL288">
        <v>32.825732000000002</v>
      </c>
      <c r="AM288" t="s">
        <v>235</v>
      </c>
      <c r="AN288">
        <v>-116.997828</v>
      </c>
      <c r="AO288">
        <v>25</v>
      </c>
      <c r="AP288">
        <v>1600</v>
      </c>
      <c r="AQ288" t="s">
        <v>129</v>
      </c>
      <c r="AR288">
        <v>-42</v>
      </c>
      <c r="AS288">
        <v>-100</v>
      </c>
      <c r="AT288">
        <v>1536</v>
      </c>
      <c r="BB288">
        <v>1200</v>
      </c>
      <c r="BC288">
        <v>1</v>
      </c>
      <c r="BD288" t="str">
        <f t="shared" si="100"/>
        <v xml:space="preserve">N887QR  </v>
      </c>
      <c r="BE288">
        <v>1</v>
      </c>
      <c r="BG288">
        <v>0</v>
      </c>
      <c r="BH288">
        <v>0</v>
      </c>
      <c r="BI288">
        <v>0</v>
      </c>
      <c r="BJ288">
        <v>1250</v>
      </c>
      <c r="BK288">
        <v>-350</v>
      </c>
      <c r="BL288" t="s">
        <v>163</v>
      </c>
      <c r="BM288">
        <v>1</v>
      </c>
      <c r="BN288">
        <v>1</v>
      </c>
      <c r="BO288">
        <v>1</v>
      </c>
      <c r="BP288">
        <v>0</v>
      </c>
      <c r="BS288">
        <v>0</v>
      </c>
      <c r="BT288">
        <v>0</v>
      </c>
      <c r="BU288">
        <v>0</v>
      </c>
      <c r="CE288" t="str">
        <f t="shared" si="109"/>
        <v>19:26:28.291</v>
      </c>
      <c r="CF288">
        <v>290862534</v>
      </c>
      <c r="CS288">
        <v>3</v>
      </c>
      <c r="CT288">
        <v>2</v>
      </c>
      <c r="CU288">
        <v>0</v>
      </c>
      <c r="CV288">
        <v>2</v>
      </c>
      <c r="CW288">
        <v>0</v>
      </c>
      <c r="CX288">
        <v>6</v>
      </c>
      <c r="CY288">
        <v>7</v>
      </c>
      <c r="CZ288" t="s">
        <v>131</v>
      </c>
      <c r="DA288">
        <v>300</v>
      </c>
      <c r="DB288">
        <v>0</v>
      </c>
      <c r="DC288" t="s">
        <v>176</v>
      </c>
      <c r="DD288" t="s">
        <v>177</v>
      </c>
      <c r="DG288">
        <v>5359189</v>
      </c>
      <c r="DI288">
        <v>0</v>
      </c>
      <c r="DJ288">
        <v>0</v>
      </c>
      <c r="DK288">
        <v>1</v>
      </c>
      <c r="DL288">
        <v>0</v>
      </c>
      <c r="DM288">
        <v>0</v>
      </c>
      <c r="DN288">
        <v>1</v>
      </c>
      <c r="DO288">
        <v>0</v>
      </c>
      <c r="DP288">
        <v>0</v>
      </c>
      <c r="DQ288">
        <v>0</v>
      </c>
      <c r="DR288">
        <v>0</v>
      </c>
      <c r="DS288">
        <v>0</v>
      </c>
    </row>
    <row r="289" spans="1:123" x14ac:dyDescent="0.3">
      <c r="A289" t="str">
        <f t="shared" ref="A289:A294" si="110">"10/04/2022 19:26:29.180"</f>
        <v>10/04/2022 19:26:29.180</v>
      </c>
      <c r="C289" t="str">
        <f t="shared" si="98"/>
        <v>FFDFD3C0</v>
      </c>
      <c r="D289" t="s">
        <v>134</v>
      </c>
      <c r="E289">
        <v>15</v>
      </c>
      <c r="J289" t="s">
        <v>135</v>
      </c>
      <c r="K289">
        <v>0</v>
      </c>
      <c r="L289">
        <v>3</v>
      </c>
      <c r="M289">
        <v>0</v>
      </c>
      <c r="N289">
        <v>2</v>
      </c>
      <c r="O289">
        <v>0</v>
      </c>
      <c r="P289">
        <v>1</v>
      </c>
      <c r="Q289">
        <v>0</v>
      </c>
      <c r="S289" t="str">
        <f t="shared" si="108"/>
        <v>19:26:28.000</v>
      </c>
      <c r="T289" t="str">
        <f t="shared" si="108"/>
        <v>19:26:28.000</v>
      </c>
      <c r="U289" t="str">
        <f t="shared" si="99"/>
        <v>AC3944</v>
      </c>
      <c r="V289">
        <v>0</v>
      </c>
      <c r="W289">
        <v>0</v>
      </c>
      <c r="X289">
        <v>2</v>
      </c>
      <c r="Y289">
        <v>0</v>
      </c>
      <c r="AA289">
        <v>1</v>
      </c>
      <c r="AB289">
        <v>8</v>
      </c>
      <c r="AC289">
        <v>3</v>
      </c>
      <c r="AD289">
        <v>0</v>
      </c>
      <c r="AE289">
        <v>9</v>
      </c>
      <c r="AF289" t="s">
        <v>138</v>
      </c>
      <c r="AG289">
        <v>0</v>
      </c>
      <c r="AH289">
        <v>3</v>
      </c>
      <c r="AI289">
        <v>1</v>
      </c>
      <c r="AJ289">
        <v>0</v>
      </c>
      <c r="AK289" t="s">
        <v>236</v>
      </c>
      <c r="AL289">
        <v>32.825282000000001</v>
      </c>
      <c r="AM289" t="s">
        <v>237</v>
      </c>
      <c r="AN289">
        <v>-116.998086</v>
      </c>
      <c r="AO289">
        <v>25</v>
      </c>
      <c r="AP289">
        <v>1600</v>
      </c>
      <c r="AQ289" t="s">
        <v>129</v>
      </c>
      <c r="AR289">
        <v>-34</v>
      </c>
      <c r="AS289">
        <v>-103</v>
      </c>
      <c r="AT289">
        <v>1536</v>
      </c>
      <c r="BB289">
        <v>1200</v>
      </c>
      <c r="BC289">
        <v>1</v>
      </c>
      <c r="BD289" t="str">
        <f t="shared" si="100"/>
        <v xml:space="preserve">N887QR  </v>
      </c>
      <c r="BE289">
        <v>1</v>
      </c>
      <c r="BG289">
        <v>0</v>
      </c>
      <c r="BH289">
        <v>0</v>
      </c>
      <c r="BI289">
        <v>0</v>
      </c>
      <c r="BJ289">
        <v>1250</v>
      </c>
      <c r="BK289">
        <v>-350</v>
      </c>
      <c r="BL289" t="s">
        <v>163</v>
      </c>
      <c r="BM289">
        <v>1</v>
      </c>
      <c r="BN289">
        <v>1</v>
      </c>
      <c r="BO289">
        <v>1</v>
      </c>
      <c r="BP289">
        <v>0</v>
      </c>
      <c r="BS289">
        <v>0</v>
      </c>
      <c r="BT289">
        <v>0</v>
      </c>
      <c r="BU289">
        <v>0</v>
      </c>
      <c r="CE289" t="str">
        <f t="shared" ref="CE289:CE295" si="111">"19:26:28.981"</f>
        <v>19:26:28.981</v>
      </c>
      <c r="CF289">
        <v>981114903</v>
      </c>
      <c r="CS289">
        <v>3</v>
      </c>
      <c r="CT289">
        <v>2</v>
      </c>
      <c r="CU289">
        <v>0</v>
      </c>
      <c r="CV289">
        <v>2</v>
      </c>
      <c r="CW289">
        <v>0</v>
      </c>
      <c r="CX289">
        <v>6</v>
      </c>
      <c r="CY289">
        <v>7</v>
      </c>
      <c r="CZ289" t="s">
        <v>131</v>
      </c>
      <c r="DA289">
        <v>300</v>
      </c>
      <c r="DB289">
        <v>0</v>
      </c>
      <c r="DC289" t="s">
        <v>176</v>
      </c>
      <c r="DD289" t="s">
        <v>177</v>
      </c>
      <c r="DG289">
        <v>5359309</v>
      </c>
      <c r="DI289">
        <v>0</v>
      </c>
      <c r="DJ289">
        <v>0</v>
      </c>
      <c r="DK289">
        <v>0</v>
      </c>
      <c r="DL289">
        <v>0</v>
      </c>
      <c r="DM289">
        <v>0</v>
      </c>
      <c r="DN289">
        <v>1</v>
      </c>
      <c r="DO289">
        <v>0</v>
      </c>
      <c r="DP289">
        <v>0</v>
      </c>
      <c r="DQ289">
        <v>0</v>
      </c>
      <c r="DR289">
        <v>0</v>
      </c>
      <c r="DS289">
        <v>0</v>
      </c>
    </row>
    <row r="290" spans="1:123" x14ac:dyDescent="0.3">
      <c r="A290" t="str">
        <f t="shared" si="110"/>
        <v>10/04/2022 19:26:29.180</v>
      </c>
      <c r="C290" t="str">
        <f t="shared" si="98"/>
        <v>FFDFD3C0</v>
      </c>
      <c r="D290" t="s">
        <v>136</v>
      </c>
      <c r="E290">
        <v>8</v>
      </c>
      <c r="H290">
        <v>225</v>
      </c>
      <c r="I290" t="s">
        <v>137</v>
      </c>
      <c r="J290" t="s">
        <v>138</v>
      </c>
      <c r="K290">
        <v>0</v>
      </c>
      <c r="L290">
        <v>3</v>
      </c>
      <c r="M290">
        <v>0</v>
      </c>
      <c r="N290">
        <v>2</v>
      </c>
      <c r="O290">
        <v>0</v>
      </c>
      <c r="P290">
        <v>1</v>
      </c>
      <c r="Q290">
        <v>0</v>
      </c>
      <c r="S290" t="str">
        <f t="shared" si="108"/>
        <v>19:26:28.000</v>
      </c>
      <c r="T290" t="str">
        <f t="shared" si="108"/>
        <v>19:26:28.000</v>
      </c>
      <c r="U290" t="str">
        <f t="shared" si="99"/>
        <v>AC3944</v>
      </c>
      <c r="V290">
        <v>0</v>
      </c>
      <c r="W290">
        <v>0</v>
      </c>
      <c r="X290">
        <v>2</v>
      </c>
      <c r="Y290">
        <v>0</v>
      </c>
      <c r="AA290">
        <v>1</v>
      </c>
      <c r="AB290">
        <v>8</v>
      </c>
      <c r="AC290">
        <v>3</v>
      </c>
      <c r="AD290">
        <v>0</v>
      </c>
      <c r="AE290">
        <v>9</v>
      </c>
      <c r="AF290" t="s">
        <v>138</v>
      </c>
      <c r="AG290">
        <v>0</v>
      </c>
      <c r="AH290">
        <v>3</v>
      </c>
      <c r="AI290">
        <v>1</v>
      </c>
      <c r="AJ290">
        <v>0</v>
      </c>
      <c r="AK290" t="s">
        <v>236</v>
      </c>
      <c r="AL290">
        <v>32.825282000000001</v>
      </c>
      <c r="AM290" t="s">
        <v>237</v>
      </c>
      <c r="AN290">
        <v>-116.998086</v>
      </c>
      <c r="AO290">
        <v>25</v>
      </c>
      <c r="AP290">
        <v>1600</v>
      </c>
      <c r="AQ290" t="s">
        <v>129</v>
      </c>
      <c r="AR290">
        <v>-34</v>
      </c>
      <c r="AS290">
        <v>-103</v>
      </c>
      <c r="AT290">
        <v>1536</v>
      </c>
      <c r="BB290">
        <v>1200</v>
      </c>
      <c r="BC290">
        <v>1</v>
      </c>
      <c r="BD290" t="str">
        <f t="shared" si="100"/>
        <v xml:space="preserve">N887QR  </v>
      </c>
      <c r="BE290">
        <v>1</v>
      </c>
      <c r="BG290">
        <v>0</v>
      </c>
      <c r="BH290">
        <v>0</v>
      </c>
      <c r="BI290">
        <v>0</v>
      </c>
      <c r="BJ290">
        <v>1250</v>
      </c>
      <c r="BK290">
        <v>-350</v>
      </c>
      <c r="BL290" t="s">
        <v>163</v>
      </c>
      <c r="BM290">
        <v>1</v>
      </c>
      <c r="BN290">
        <v>1</v>
      </c>
      <c r="BO290">
        <v>1</v>
      </c>
      <c r="BP290">
        <v>0</v>
      </c>
      <c r="BS290">
        <v>0</v>
      </c>
      <c r="BT290">
        <v>0</v>
      </c>
      <c r="BU290">
        <v>0</v>
      </c>
      <c r="CE290" t="str">
        <f t="shared" si="111"/>
        <v>19:26:28.981</v>
      </c>
      <c r="CF290">
        <v>981114903</v>
      </c>
      <c r="CS290">
        <v>3</v>
      </c>
      <c r="CT290">
        <v>2</v>
      </c>
      <c r="CU290">
        <v>0</v>
      </c>
      <c r="CV290">
        <v>2</v>
      </c>
      <c r="CW290">
        <v>0</v>
      </c>
      <c r="CX290">
        <v>6</v>
      </c>
      <c r="CY290">
        <v>7</v>
      </c>
      <c r="CZ290" t="s">
        <v>131</v>
      </c>
      <c r="DA290">
        <v>300</v>
      </c>
      <c r="DB290">
        <v>0</v>
      </c>
      <c r="DC290" t="s">
        <v>176</v>
      </c>
      <c r="DD290" t="s">
        <v>177</v>
      </c>
      <c r="DG290">
        <v>5359309</v>
      </c>
      <c r="DI290">
        <v>0</v>
      </c>
      <c r="DJ290">
        <v>0</v>
      </c>
      <c r="DK290">
        <v>1</v>
      </c>
      <c r="DL290">
        <v>0</v>
      </c>
      <c r="DM290">
        <v>0</v>
      </c>
      <c r="DN290">
        <v>1</v>
      </c>
      <c r="DO290">
        <v>0</v>
      </c>
      <c r="DP290">
        <v>0</v>
      </c>
      <c r="DQ290">
        <v>0</v>
      </c>
      <c r="DR290">
        <v>0</v>
      </c>
      <c r="DS290">
        <v>0</v>
      </c>
    </row>
    <row r="291" spans="1:123" x14ac:dyDescent="0.3">
      <c r="A291" t="str">
        <f t="shared" si="110"/>
        <v>10/04/2022 19:26:29.180</v>
      </c>
      <c r="C291" t="str">
        <f t="shared" si="98"/>
        <v>FFDFD3C0</v>
      </c>
      <c r="D291" t="s">
        <v>143</v>
      </c>
      <c r="E291">
        <v>20</v>
      </c>
      <c r="F291">
        <v>1020</v>
      </c>
      <c r="G291" t="s">
        <v>144</v>
      </c>
      <c r="J291" t="s">
        <v>145</v>
      </c>
      <c r="K291">
        <v>0</v>
      </c>
      <c r="L291">
        <v>3</v>
      </c>
      <c r="M291">
        <v>0</v>
      </c>
      <c r="N291">
        <v>2</v>
      </c>
      <c r="O291">
        <v>0</v>
      </c>
      <c r="P291">
        <v>1</v>
      </c>
      <c r="Q291">
        <v>0</v>
      </c>
      <c r="S291" t="str">
        <f t="shared" si="108"/>
        <v>19:26:28.000</v>
      </c>
      <c r="T291" t="str">
        <f t="shared" si="108"/>
        <v>19:26:28.000</v>
      </c>
      <c r="U291" t="str">
        <f t="shared" si="99"/>
        <v>AC3944</v>
      </c>
      <c r="V291">
        <v>0</v>
      </c>
      <c r="W291">
        <v>0</v>
      </c>
      <c r="X291">
        <v>2</v>
      </c>
      <c r="Y291">
        <v>0</v>
      </c>
      <c r="AA291">
        <v>1</v>
      </c>
      <c r="AB291">
        <v>8</v>
      </c>
      <c r="AC291">
        <v>3</v>
      </c>
      <c r="AD291">
        <v>0</v>
      </c>
      <c r="AE291">
        <v>9</v>
      </c>
      <c r="AF291" t="s">
        <v>138</v>
      </c>
      <c r="AG291">
        <v>0</v>
      </c>
      <c r="AH291">
        <v>3</v>
      </c>
      <c r="AI291">
        <v>1</v>
      </c>
      <c r="AJ291">
        <v>0</v>
      </c>
      <c r="AK291" t="s">
        <v>236</v>
      </c>
      <c r="AL291">
        <v>32.825282000000001</v>
      </c>
      <c r="AM291" t="s">
        <v>237</v>
      </c>
      <c r="AN291">
        <v>-116.998086</v>
      </c>
      <c r="AO291">
        <v>25</v>
      </c>
      <c r="AP291">
        <v>1600</v>
      </c>
      <c r="AQ291" t="s">
        <v>129</v>
      </c>
      <c r="AR291">
        <v>-34</v>
      </c>
      <c r="AS291">
        <v>-103</v>
      </c>
      <c r="AT291">
        <v>1536</v>
      </c>
      <c r="BB291">
        <v>1200</v>
      </c>
      <c r="BC291">
        <v>1</v>
      </c>
      <c r="BD291" t="str">
        <f t="shared" si="100"/>
        <v xml:space="preserve">N887QR  </v>
      </c>
      <c r="BE291">
        <v>1</v>
      </c>
      <c r="BG291">
        <v>0</v>
      </c>
      <c r="BH291">
        <v>0</v>
      </c>
      <c r="BI291">
        <v>0</v>
      </c>
      <c r="BJ291">
        <v>1250</v>
      </c>
      <c r="BK291">
        <v>-350</v>
      </c>
      <c r="BL291" t="s">
        <v>163</v>
      </c>
      <c r="BM291">
        <v>1</v>
      </c>
      <c r="BN291">
        <v>1</v>
      </c>
      <c r="BO291">
        <v>1</v>
      </c>
      <c r="BP291">
        <v>0</v>
      </c>
      <c r="BS291">
        <v>0</v>
      </c>
      <c r="BT291">
        <v>0</v>
      </c>
      <c r="BU291">
        <v>0</v>
      </c>
      <c r="CE291" t="str">
        <f t="shared" si="111"/>
        <v>19:26:28.981</v>
      </c>
      <c r="CF291">
        <v>981114903</v>
      </c>
      <c r="CS291">
        <v>3</v>
      </c>
      <c r="CT291">
        <v>2</v>
      </c>
      <c r="CU291">
        <v>0</v>
      </c>
      <c r="CV291">
        <v>2</v>
      </c>
      <c r="CW291">
        <v>0</v>
      </c>
      <c r="CX291">
        <v>6</v>
      </c>
      <c r="CY291">
        <v>7</v>
      </c>
      <c r="CZ291" t="s">
        <v>131</v>
      </c>
      <c r="DA291">
        <v>300</v>
      </c>
      <c r="DB291">
        <v>0</v>
      </c>
      <c r="DC291" t="s">
        <v>176</v>
      </c>
      <c r="DD291" t="s">
        <v>177</v>
      </c>
      <c r="DG291">
        <v>5359309</v>
      </c>
      <c r="DI291">
        <v>0</v>
      </c>
      <c r="DJ291">
        <v>0</v>
      </c>
      <c r="DK291">
        <v>1</v>
      </c>
      <c r="DL291">
        <v>0</v>
      </c>
      <c r="DM291">
        <v>0</v>
      </c>
      <c r="DN291">
        <v>1</v>
      </c>
      <c r="DO291">
        <v>0</v>
      </c>
      <c r="DP291">
        <v>0</v>
      </c>
      <c r="DQ291">
        <v>0</v>
      </c>
      <c r="DR291">
        <v>0</v>
      </c>
      <c r="DS291">
        <v>0</v>
      </c>
    </row>
    <row r="292" spans="1:123" x14ac:dyDescent="0.3">
      <c r="A292" t="str">
        <f t="shared" si="110"/>
        <v>10/04/2022 19:26:29.180</v>
      </c>
      <c r="C292" t="str">
        <f t="shared" si="98"/>
        <v>FFDFD3C0</v>
      </c>
      <c r="D292" t="s">
        <v>141</v>
      </c>
      <c r="E292">
        <v>4</v>
      </c>
      <c r="H292">
        <v>4</v>
      </c>
      <c r="I292" t="s">
        <v>142</v>
      </c>
      <c r="J292" t="s">
        <v>138</v>
      </c>
      <c r="K292">
        <v>0</v>
      </c>
      <c r="L292">
        <v>3</v>
      </c>
      <c r="M292">
        <v>0</v>
      </c>
      <c r="N292">
        <v>2</v>
      </c>
      <c r="O292">
        <v>0</v>
      </c>
      <c r="P292">
        <v>1</v>
      </c>
      <c r="Q292">
        <v>0</v>
      </c>
      <c r="S292" t="str">
        <f t="shared" si="108"/>
        <v>19:26:28.000</v>
      </c>
      <c r="T292" t="str">
        <f t="shared" si="108"/>
        <v>19:26:28.000</v>
      </c>
      <c r="U292" t="str">
        <f t="shared" si="99"/>
        <v>AC3944</v>
      </c>
      <c r="V292">
        <v>0</v>
      </c>
      <c r="W292">
        <v>0</v>
      </c>
      <c r="X292">
        <v>2</v>
      </c>
      <c r="Y292">
        <v>0</v>
      </c>
      <c r="AA292">
        <v>1</v>
      </c>
      <c r="AB292">
        <v>8</v>
      </c>
      <c r="AC292">
        <v>3</v>
      </c>
      <c r="AD292">
        <v>0</v>
      </c>
      <c r="AE292">
        <v>9</v>
      </c>
      <c r="AF292" t="s">
        <v>138</v>
      </c>
      <c r="AG292">
        <v>0</v>
      </c>
      <c r="AH292">
        <v>3</v>
      </c>
      <c r="AI292">
        <v>1</v>
      </c>
      <c r="AJ292">
        <v>0</v>
      </c>
      <c r="AK292" t="s">
        <v>236</v>
      </c>
      <c r="AL292">
        <v>32.825282000000001</v>
      </c>
      <c r="AM292" t="s">
        <v>237</v>
      </c>
      <c r="AN292">
        <v>-116.998086</v>
      </c>
      <c r="AO292">
        <v>25</v>
      </c>
      <c r="AP292">
        <v>1600</v>
      </c>
      <c r="AQ292" t="s">
        <v>129</v>
      </c>
      <c r="AR292">
        <v>-34</v>
      </c>
      <c r="AS292">
        <v>-103</v>
      </c>
      <c r="AT292">
        <v>1536</v>
      </c>
      <c r="BB292">
        <v>1200</v>
      </c>
      <c r="BC292">
        <v>1</v>
      </c>
      <c r="BD292" t="str">
        <f t="shared" si="100"/>
        <v xml:space="preserve">N887QR  </v>
      </c>
      <c r="BE292">
        <v>1</v>
      </c>
      <c r="BG292">
        <v>0</v>
      </c>
      <c r="BH292">
        <v>0</v>
      </c>
      <c r="BI292">
        <v>0</v>
      </c>
      <c r="BJ292">
        <v>1250</v>
      </c>
      <c r="BK292">
        <v>-350</v>
      </c>
      <c r="BL292" t="s">
        <v>163</v>
      </c>
      <c r="BM292">
        <v>1</v>
      </c>
      <c r="BN292">
        <v>1</v>
      </c>
      <c r="BO292">
        <v>1</v>
      </c>
      <c r="BP292">
        <v>0</v>
      </c>
      <c r="BS292">
        <v>0</v>
      </c>
      <c r="BT292">
        <v>0</v>
      </c>
      <c r="BU292">
        <v>0</v>
      </c>
      <c r="CE292" t="str">
        <f t="shared" si="111"/>
        <v>19:26:28.981</v>
      </c>
      <c r="CF292">
        <v>981114903</v>
      </c>
      <c r="CS292">
        <v>3</v>
      </c>
      <c r="CT292">
        <v>2</v>
      </c>
      <c r="CU292">
        <v>0</v>
      </c>
      <c r="CV292">
        <v>2</v>
      </c>
      <c r="CW292">
        <v>0</v>
      </c>
      <c r="CX292">
        <v>6</v>
      </c>
      <c r="CY292">
        <v>7</v>
      </c>
      <c r="CZ292" t="s">
        <v>131</v>
      </c>
      <c r="DA292">
        <v>300</v>
      </c>
      <c r="DB292">
        <v>0</v>
      </c>
      <c r="DC292" t="s">
        <v>176</v>
      </c>
      <c r="DD292" t="s">
        <v>177</v>
      </c>
      <c r="DG292">
        <v>5359309</v>
      </c>
      <c r="DI292">
        <v>0</v>
      </c>
      <c r="DJ292">
        <v>0</v>
      </c>
      <c r="DK292">
        <v>1</v>
      </c>
      <c r="DL292">
        <v>0</v>
      </c>
      <c r="DM292">
        <v>0</v>
      </c>
      <c r="DN292">
        <v>1</v>
      </c>
      <c r="DO292">
        <v>0</v>
      </c>
      <c r="DP292">
        <v>0</v>
      </c>
      <c r="DQ292">
        <v>0</v>
      </c>
      <c r="DR292">
        <v>0</v>
      </c>
      <c r="DS292">
        <v>0</v>
      </c>
    </row>
    <row r="293" spans="1:123" x14ac:dyDescent="0.3">
      <c r="A293" t="str">
        <f t="shared" si="110"/>
        <v>10/04/2022 19:26:29.180</v>
      </c>
      <c r="C293" t="str">
        <f t="shared" si="98"/>
        <v>FFDFD3C0</v>
      </c>
      <c r="D293" t="s">
        <v>147</v>
      </c>
      <c r="E293">
        <v>3</v>
      </c>
      <c r="H293">
        <v>166</v>
      </c>
      <c r="I293" t="s">
        <v>144</v>
      </c>
      <c r="J293" t="s">
        <v>148</v>
      </c>
      <c r="K293">
        <v>0</v>
      </c>
      <c r="L293">
        <v>3</v>
      </c>
      <c r="M293">
        <v>0</v>
      </c>
      <c r="N293">
        <v>2</v>
      </c>
      <c r="O293">
        <v>0</v>
      </c>
      <c r="P293">
        <v>1</v>
      </c>
      <c r="Q293">
        <v>0</v>
      </c>
      <c r="S293" t="str">
        <f t="shared" si="108"/>
        <v>19:26:28.000</v>
      </c>
      <c r="T293" t="str">
        <f t="shared" si="108"/>
        <v>19:26:28.000</v>
      </c>
      <c r="U293" t="str">
        <f t="shared" si="99"/>
        <v>AC3944</v>
      </c>
      <c r="V293">
        <v>0</v>
      </c>
      <c r="W293">
        <v>0</v>
      </c>
      <c r="X293">
        <v>2</v>
      </c>
      <c r="Y293">
        <v>0</v>
      </c>
      <c r="AA293">
        <v>1</v>
      </c>
      <c r="AB293">
        <v>8</v>
      </c>
      <c r="AC293">
        <v>3</v>
      </c>
      <c r="AD293">
        <v>0</v>
      </c>
      <c r="AE293">
        <v>9</v>
      </c>
      <c r="AF293" t="s">
        <v>138</v>
      </c>
      <c r="AG293">
        <v>0</v>
      </c>
      <c r="AH293">
        <v>3</v>
      </c>
      <c r="AI293">
        <v>1</v>
      </c>
      <c r="AJ293">
        <v>0</v>
      </c>
      <c r="AK293" t="s">
        <v>236</v>
      </c>
      <c r="AL293">
        <v>32.825282000000001</v>
      </c>
      <c r="AM293" t="s">
        <v>237</v>
      </c>
      <c r="AN293">
        <v>-116.998086</v>
      </c>
      <c r="AO293">
        <v>25</v>
      </c>
      <c r="AP293">
        <v>1600</v>
      </c>
      <c r="AQ293" t="s">
        <v>129</v>
      </c>
      <c r="AR293">
        <v>-34</v>
      </c>
      <c r="AS293">
        <v>-103</v>
      </c>
      <c r="AT293">
        <v>1536</v>
      </c>
      <c r="BB293">
        <v>1200</v>
      </c>
      <c r="BC293">
        <v>1</v>
      </c>
      <c r="BD293" t="str">
        <f t="shared" si="100"/>
        <v xml:space="preserve">N887QR  </v>
      </c>
      <c r="BE293">
        <v>1</v>
      </c>
      <c r="BG293">
        <v>0</v>
      </c>
      <c r="BH293">
        <v>0</v>
      </c>
      <c r="BI293">
        <v>0</v>
      </c>
      <c r="BJ293">
        <v>1250</v>
      </c>
      <c r="BK293">
        <v>-350</v>
      </c>
      <c r="BL293" t="s">
        <v>163</v>
      </c>
      <c r="BM293">
        <v>1</v>
      </c>
      <c r="BN293">
        <v>1</v>
      </c>
      <c r="BO293">
        <v>1</v>
      </c>
      <c r="BP293">
        <v>0</v>
      </c>
      <c r="BS293">
        <v>0</v>
      </c>
      <c r="BT293">
        <v>0</v>
      </c>
      <c r="BU293">
        <v>0</v>
      </c>
      <c r="CE293" t="str">
        <f t="shared" si="111"/>
        <v>19:26:28.981</v>
      </c>
      <c r="CF293">
        <v>981114903</v>
      </c>
      <c r="CS293">
        <v>3</v>
      </c>
      <c r="CT293">
        <v>2</v>
      </c>
      <c r="CU293">
        <v>0</v>
      </c>
      <c r="CV293">
        <v>2</v>
      </c>
      <c r="CW293">
        <v>0</v>
      </c>
      <c r="CX293">
        <v>6</v>
      </c>
      <c r="CY293">
        <v>7</v>
      </c>
      <c r="CZ293" t="s">
        <v>131</v>
      </c>
      <c r="DA293">
        <v>300</v>
      </c>
      <c r="DB293">
        <v>0</v>
      </c>
      <c r="DC293" t="s">
        <v>176</v>
      </c>
      <c r="DD293" t="s">
        <v>177</v>
      </c>
      <c r="DG293">
        <v>5359309</v>
      </c>
      <c r="DI293">
        <v>0</v>
      </c>
      <c r="DJ293">
        <v>0</v>
      </c>
      <c r="DK293">
        <v>1</v>
      </c>
      <c r="DL293">
        <v>0</v>
      </c>
      <c r="DM293">
        <v>0</v>
      </c>
      <c r="DN293">
        <v>1</v>
      </c>
      <c r="DO293">
        <v>0</v>
      </c>
      <c r="DP293">
        <v>0</v>
      </c>
      <c r="DQ293">
        <v>0</v>
      </c>
      <c r="DR293">
        <v>0</v>
      </c>
      <c r="DS293">
        <v>0</v>
      </c>
    </row>
    <row r="294" spans="1:123" x14ac:dyDescent="0.3">
      <c r="A294" t="str">
        <f t="shared" si="110"/>
        <v>10/04/2022 19:26:29.180</v>
      </c>
      <c r="C294" t="str">
        <f t="shared" si="98"/>
        <v>FFDFD3C0</v>
      </c>
      <c r="D294" t="s">
        <v>123</v>
      </c>
      <c r="E294">
        <v>7</v>
      </c>
      <c r="F294">
        <v>2007</v>
      </c>
      <c r="G294" t="s">
        <v>124</v>
      </c>
      <c r="J294" t="s">
        <v>125</v>
      </c>
      <c r="K294">
        <v>0</v>
      </c>
      <c r="L294">
        <v>3</v>
      </c>
      <c r="M294">
        <v>0</v>
      </c>
      <c r="N294">
        <v>2</v>
      </c>
      <c r="O294">
        <v>0</v>
      </c>
      <c r="P294">
        <v>1</v>
      </c>
      <c r="Q294">
        <v>0</v>
      </c>
      <c r="S294" t="str">
        <f t="shared" si="108"/>
        <v>19:26:28.000</v>
      </c>
      <c r="T294" t="str">
        <f t="shared" si="108"/>
        <v>19:26:28.000</v>
      </c>
      <c r="U294" t="str">
        <f t="shared" si="99"/>
        <v>AC3944</v>
      </c>
      <c r="V294">
        <v>0</v>
      </c>
      <c r="W294">
        <v>0</v>
      </c>
      <c r="X294">
        <v>2</v>
      </c>
      <c r="Y294">
        <v>0</v>
      </c>
      <c r="AA294">
        <v>1</v>
      </c>
      <c r="AB294">
        <v>8</v>
      </c>
      <c r="AC294">
        <v>3</v>
      </c>
      <c r="AD294">
        <v>0</v>
      </c>
      <c r="AE294">
        <v>9</v>
      </c>
      <c r="AF294" t="s">
        <v>138</v>
      </c>
      <c r="AG294">
        <v>0</v>
      </c>
      <c r="AH294">
        <v>3</v>
      </c>
      <c r="AI294">
        <v>1</v>
      </c>
      <c r="AJ294">
        <v>0</v>
      </c>
      <c r="AK294" t="s">
        <v>236</v>
      </c>
      <c r="AL294">
        <v>32.825282000000001</v>
      </c>
      <c r="AM294" t="s">
        <v>237</v>
      </c>
      <c r="AN294">
        <v>-116.998086</v>
      </c>
      <c r="AO294">
        <v>25</v>
      </c>
      <c r="AP294">
        <v>1600</v>
      </c>
      <c r="AQ294" t="s">
        <v>129</v>
      </c>
      <c r="AR294">
        <v>-34</v>
      </c>
      <c r="AS294">
        <v>-103</v>
      </c>
      <c r="AT294">
        <v>1536</v>
      </c>
      <c r="BB294">
        <v>1200</v>
      </c>
      <c r="BC294">
        <v>1</v>
      </c>
      <c r="BD294" t="str">
        <f t="shared" si="100"/>
        <v xml:space="preserve">N887QR  </v>
      </c>
      <c r="BE294">
        <v>1</v>
      </c>
      <c r="BG294">
        <v>0</v>
      </c>
      <c r="BH294">
        <v>0</v>
      </c>
      <c r="BI294">
        <v>0</v>
      </c>
      <c r="BJ294">
        <v>1250</v>
      </c>
      <c r="BK294">
        <v>-350</v>
      </c>
      <c r="BL294" t="s">
        <v>163</v>
      </c>
      <c r="BM294">
        <v>1</v>
      </c>
      <c r="BN294">
        <v>1</v>
      </c>
      <c r="BO294">
        <v>1</v>
      </c>
      <c r="BP294">
        <v>0</v>
      </c>
      <c r="BS294">
        <v>0</v>
      </c>
      <c r="BT294">
        <v>0</v>
      </c>
      <c r="BU294">
        <v>0</v>
      </c>
      <c r="CE294" t="str">
        <f t="shared" si="111"/>
        <v>19:26:28.981</v>
      </c>
      <c r="CF294">
        <v>981114903</v>
      </c>
      <c r="CS294">
        <v>3</v>
      </c>
      <c r="CT294">
        <v>2</v>
      </c>
      <c r="CU294">
        <v>0</v>
      </c>
      <c r="CV294">
        <v>2</v>
      </c>
      <c r="CW294">
        <v>0</v>
      </c>
      <c r="CX294">
        <v>6</v>
      </c>
      <c r="CY294">
        <v>7</v>
      </c>
      <c r="CZ294" t="s">
        <v>131</v>
      </c>
      <c r="DA294">
        <v>300</v>
      </c>
      <c r="DB294">
        <v>0</v>
      </c>
      <c r="DC294" t="s">
        <v>176</v>
      </c>
      <c r="DD294" t="s">
        <v>177</v>
      </c>
      <c r="DG294">
        <v>5359309</v>
      </c>
      <c r="DI294">
        <v>0</v>
      </c>
      <c r="DJ294">
        <v>0</v>
      </c>
      <c r="DK294">
        <v>1</v>
      </c>
      <c r="DL294">
        <v>0</v>
      </c>
      <c r="DM294">
        <v>0</v>
      </c>
      <c r="DN294">
        <v>1</v>
      </c>
      <c r="DO294">
        <v>0</v>
      </c>
      <c r="DP294">
        <v>0</v>
      </c>
      <c r="DQ294">
        <v>0</v>
      </c>
      <c r="DR294">
        <v>0</v>
      </c>
      <c r="DS294">
        <v>0</v>
      </c>
    </row>
    <row r="295" spans="1:123" x14ac:dyDescent="0.3">
      <c r="A295" t="str">
        <f>"10/04/2022 19:26:29.211"</f>
        <v>10/04/2022 19:26:29.211</v>
      </c>
      <c r="C295" t="str">
        <f t="shared" si="98"/>
        <v>FFDFD3C0</v>
      </c>
      <c r="D295" t="s">
        <v>141</v>
      </c>
      <c r="E295">
        <v>3</v>
      </c>
      <c r="H295">
        <v>3</v>
      </c>
      <c r="I295" t="s">
        <v>146</v>
      </c>
      <c r="J295" t="s">
        <v>138</v>
      </c>
      <c r="K295">
        <v>0</v>
      </c>
      <c r="L295">
        <v>3</v>
      </c>
      <c r="M295">
        <v>0</v>
      </c>
      <c r="N295">
        <v>2</v>
      </c>
      <c r="O295">
        <v>0</v>
      </c>
      <c r="P295">
        <v>1</v>
      </c>
      <c r="Q295">
        <v>0</v>
      </c>
      <c r="S295" t="str">
        <f t="shared" si="108"/>
        <v>19:26:28.000</v>
      </c>
      <c r="T295" t="str">
        <f t="shared" si="108"/>
        <v>19:26:28.000</v>
      </c>
      <c r="U295" t="str">
        <f t="shared" si="99"/>
        <v>AC3944</v>
      </c>
      <c r="V295">
        <v>0</v>
      </c>
      <c r="W295">
        <v>0</v>
      </c>
      <c r="X295">
        <v>2</v>
      </c>
      <c r="Y295">
        <v>0</v>
      </c>
      <c r="AA295">
        <v>1</v>
      </c>
      <c r="AB295">
        <v>8</v>
      </c>
      <c r="AC295">
        <v>3</v>
      </c>
      <c r="AD295">
        <v>0</v>
      </c>
      <c r="AE295">
        <v>9</v>
      </c>
      <c r="AF295" t="s">
        <v>138</v>
      </c>
      <c r="AG295">
        <v>0</v>
      </c>
      <c r="AH295">
        <v>3</v>
      </c>
      <c r="AI295">
        <v>1</v>
      </c>
      <c r="AJ295">
        <v>0</v>
      </c>
      <c r="AK295" t="s">
        <v>236</v>
      </c>
      <c r="AL295">
        <v>32.825282000000001</v>
      </c>
      <c r="AM295" t="s">
        <v>237</v>
      </c>
      <c r="AN295">
        <v>-116.998086</v>
      </c>
      <c r="AO295">
        <v>25</v>
      </c>
      <c r="AP295">
        <v>1600</v>
      </c>
      <c r="AQ295" t="s">
        <v>129</v>
      </c>
      <c r="AR295">
        <v>-34</v>
      </c>
      <c r="AS295">
        <v>-103</v>
      </c>
      <c r="AT295">
        <v>1536</v>
      </c>
      <c r="BB295">
        <v>1200</v>
      </c>
      <c r="BC295">
        <v>1</v>
      </c>
      <c r="BD295" t="str">
        <f t="shared" si="100"/>
        <v xml:space="preserve">N887QR  </v>
      </c>
      <c r="BE295">
        <v>1</v>
      </c>
      <c r="BG295">
        <v>0</v>
      </c>
      <c r="BH295">
        <v>0</v>
      </c>
      <c r="BI295">
        <v>0</v>
      </c>
      <c r="BJ295">
        <v>1250</v>
      </c>
      <c r="BK295">
        <v>-350</v>
      </c>
      <c r="BL295" t="s">
        <v>163</v>
      </c>
      <c r="BM295">
        <v>1</v>
      </c>
      <c r="BN295">
        <v>1</v>
      </c>
      <c r="BO295">
        <v>1</v>
      </c>
      <c r="BP295">
        <v>0</v>
      </c>
      <c r="BS295">
        <v>0</v>
      </c>
      <c r="BT295">
        <v>0</v>
      </c>
      <c r="BU295">
        <v>0</v>
      </c>
      <c r="CE295" t="str">
        <f t="shared" si="111"/>
        <v>19:26:28.981</v>
      </c>
      <c r="CF295">
        <v>981114903</v>
      </c>
      <c r="CS295">
        <v>3</v>
      </c>
      <c r="CT295">
        <v>2</v>
      </c>
      <c r="CU295">
        <v>0</v>
      </c>
      <c r="CV295">
        <v>2</v>
      </c>
      <c r="CW295">
        <v>0</v>
      </c>
      <c r="CX295">
        <v>6</v>
      </c>
      <c r="CY295">
        <v>7</v>
      </c>
      <c r="CZ295" t="s">
        <v>131</v>
      </c>
      <c r="DA295">
        <v>300</v>
      </c>
      <c r="DB295">
        <v>0</v>
      </c>
      <c r="DC295" t="s">
        <v>176</v>
      </c>
      <c r="DD295" t="s">
        <v>177</v>
      </c>
      <c r="DG295">
        <v>5359309</v>
      </c>
      <c r="DI295">
        <v>0</v>
      </c>
      <c r="DJ295">
        <v>0</v>
      </c>
      <c r="DK295">
        <v>1</v>
      </c>
      <c r="DL295">
        <v>0</v>
      </c>
      <c r="DM295">
        <v>0</v>
      </c>
      <c r="DN295">
        <v>1</v>
      </c>
      <c r="DO295">
        <v>0</v>
      </c>
      <c r="DP295">
        <v>0</v>
      </c>
      <c r="DQ295">
        <v>0</v>
      </c>
      <c r="DR295">
        <v>0</v>
      </c>
      <c r="DS295">
        <v>0</v>
      </c>
    </row>
    <row r="296" spans="1:123" x14ac:dyDescent="0.3">
      <c r="A296" t="str">
        <f t="shared" ref="A296:A302" si="112">"10/04/2022 19:26:30.462"</f>
        <v>10/04/2022 19:26:30.462</v>
      </c>
      <c r="C296" t="str">
        <f t="shared" si="98"/>
        <v>FFDFD3C0</v>
      </c>
      <c r="D296" t="s">
        <v>147</v>
      </c>
      <c r="E296">
        <v>3</v>
      </c>
      <c r="H296">
        <v>166</v>
      </c>
      <c r="I296" t="s">
        <v>144</v>
      </c>
      <c r="J296" t="s">
        <v>148</v>
      </c>
      <c r="K296">
        <v>0</v>
      </c>
      <c r="L296">
        <v>3</v>
      </c>
      <c r="M296">
        <v>0</v>
      </c>
      <c r="N296">
        <v>2</v>
      </c>
      <c r="O296">
        <v>0</v>
      </c>
      <c r="P296">
        <v>1</v>
      </c>
      <c r="Q296">
        <v>0</v>
      </c>
      <c r="S296" t="str">
        <f t="shared" ref="S296:T302" si="113">"19:26:30.000"</f>
        <v>19:26:30.000</v>
      </c>
      <c r="T296" t="str">
        <f t="shared" si="113"/>
        <v>19:26:30.000</v>
      </c>
      <c r="U296" t="str">
        <f t="shared" si="99"/>
        <v>AC3944</v>
      </c>
      <c r="V296">
        <v>0</v>
      </c>
      <c r="W296">
        <v>0</v>
      </c>
      <c r="X296">
        <v>2</v>
      </c>
      <c r="Y296">
        <v>0</v>
      </c>
      <c r="AA296">
        <v>1</v>
      </c>
      <c r="AB296">
        <v>8</v>
      </c>
      <c r="AC296">
        <v>3</v>
      </c>
      <c r="AD296">
        <v>0</v>
      </c>
      <c r="AE296">
        <v>9</v>
      </c>
      <c r="AF296" t="s">
        <v>138</v>
      </c>
      <c r="AG296">
        <v>0</v>
      </c>
      <c r="AH296">
        <v>3</v>
      </c>
      <c r="AI296">
        <v>1</v>
      </c>
      <c r="AJ296">
        <v>0</v>
      </c>
      <c r="AK296" t="s">
        <v>238</v>
      </c>
      <c r="AL296">
        <v>32.824787999999998</v>
      </c>
      <c r="AM296" t="s">
        <v>239</v>
      </c>
      <c r="AN296">
        <v>-116.998279</v>
      </c>
      <c r="AO296">
        <v>25</v>
      </c>
      <c r="AP296">
        <v>1600</v>
      </c>
      <c r="AQ296" t="s">
        <v>129</v>
      </c>
      <c r="AR296">
        <v>-23</v>
      </c>
      <c r="AS296">
        <v>-106</v>
      </c>
      <c r="AT296">
        <v>1536</v>
      </c>
      <c r="BB296">
        <v>1200</v>
      </c>
      <c r="BC296">
        <v>1</v>
      </c>
      <c r="BD296" t="str">
        <f t="shared" si="100"/>
        <v xml:space="preserve">N887QR  </v>
      </c>
      <c r="BE296">
        <v>1</v>
      </c>
      <c r="BG296">
        <v>0</v>
      </c>
      <c r="BH296">
        <v>0</v>
      </c>
      <c r="BI296">
        <v>0</v>
      </c>
      <c r="BJ296">
        <v>1300</v>
      </c>
      <c r="BK296">
        <v>-300</v>
      </c>
      <c r="BL296" t="s">
        <v>163</v>
      </c>
      <c r="BM296">
        <v>1</v>
      </c>
      <c r="BN296">
        <v>1</v>
      </c>
      <c r="BO296">
        <v>1</v>
      </c>
      <c r="BP296">
        <v>0</v>
      </c>
      <c r="BS296">
        <v>0</v>
      </c>
      <c r="BT296">
        <v>0</v>
      </c>
      <c r="BU296">
        <v>0</v>
      </c>
      <c r="CE296" t="str">
        <f t="shared" ref="CE296:CE302" si="114">"19:26:30.220"</f>
        <v>19:26:30.220</v>
      </c>
      <c r="CF296">
        <v>220369008</v>
      </c>
      <c r="CS296">
        <v>3</v>
      </c>
      <c r="CT296">
        <v>2</v>
      </c>
      <c r="CU296">
        <v>0</v>
      </c>
      <c r="CV296">
        <v>2</v>
      </c>
      <c r="CW296">
        <v>0</v>
      </c>
      <c r="CX296">
        <v>5</v>
      </c>
      <c r="CY296">
        <v>7</v>
      </c>
      <c r="CZ296" t="s">
        <v>131</v>
      </c>
      <c r="DA296">
        <v>300</v>
      </c>
      <c r="DB296">
        <v>0</v>
      </c>
      <c r="DC296" t="s">
        <v>176</v>
      </c>
      <c r="DD296" t="s">
        <v>177</v>
      </c>
      <c r="DG296">
        <v>5359506</v>
      </c>
      <c r="DI296">
        <v>0</v>
      </c>
      <c r="DJ296">
        <v>0</v>
      </c>
      <c r="DK296">
        <v>0</v>
      </c>
      <c r="DL296">
        <v>0</v>
      </c>
      <c r="DM296">
        <v>0</v>
      </c>
      <c r="DN296">
        <v>1</v>
      </c>
      <c r="DO296">
        <v>0</v>
      </c>
      <c r="DP296">
        <v>0</v>
      </c>
      <c r="DQ296">
        <v>0</v>
      </c>
      <c r="DR296">
        <v>0</v>
      </c>
      <c r="DS296">
        <v>0</v>
      </c>
    </row>
    <row r="297" spans="1:123" x14ac:dyDescent="0.3">
      <c r="A297" t="str">
        <f t="shared" si="112"/>
        <v>10/04/2022 19:26:30.462</v>
      </c>
      <c r="C297" t="str">
        <f t="shared" si="98"/>
        <v>FFDFD3C0</v>
      </c>
      <c r="D297" t="s">
        <v>123</v>
      </c>
      <c r="E297">
        <v>7</v>
      </c>
      <c r="F297">
        <v>2007</v>
      </c>
      <c r="G297" t="s">
        <v>124</v>
      </c>
      <c r="J297" t="s">
        <v>125</v>
      </c>
      <c r="K297">
        <v>0</v>
      </c>
      <c r="L297">
        <v>3</v>
      </c>
      <c r="M297">
        <v>0</v>
      </c>
      <c r="N297">
        <v>2</v>
      </c>
      <c r="O297">
        <v>0</v>
      </c>
      <c r="P297">
        <v>1</v>
      </c>
      <c r="Q297">
        <v>0</v>
      </c>
      <c r="S297" t="str">
        <f t="shared" si="113"/>
        <v>19:26:30.000</v>
      </c>
      <c r="T297" t="str">
        <f t="shared" si="113"/>
        <v>19:26:30.000</v>
      </c>
      <c r="U297" t="str">
        <f t="shared" si="99"/>
        <v>AC3944</v>
      </c>
      <c r="V297">
        <v>0</v>
      </c>
      <c r="W297">
        <v>0</v>
      </c>
      <c r="X297">
        <v>2</v>
      </c>
      <c r="Y297">
        <v>0</v>
      </c>
      <c r="AA297">
        <v>1</v>
      </c>
      <c r="AB297">
        <v>8</v>
      </c>
      <c r="AC297">
        <v>3</v>
      </c>
      <c r="AD297">
        <v>0</v>
      </c>
      <c r="AE297">
        <v>9</v>
      </c>
      <c r="AF297" t="s">
        <v>138</v>
      </c>
      <c r="AG297">
        <v>0</v>
      </c>
      <c r="AH297">
        <v>3</v>
      </c>
      <c r="AI297">
        <v>1</v>
      </c>
      <c r="AJ297">
        <v>0</v>
      </c>
      <c r="AK297" t="s">
        <v>238</v>
      </c>
      <c r="AL297">
        <v>32.824787999999998</v>
      </c>
      <c r="AM297" t="s">
        <v>239</v>
      </c>
      <c r="AN297">
        <v>-116.998279</v>
      </c>
      <c r="AO297">
        <v>25</v>
      </c>
      <c r="AP297">
        <v>1600</v>
      </c>
      <c r="AQ297" t="s">
        <v>129</v>
      </c>
      <c r="AR297">
        <v>-23</v>
      </c>
      <c r="AS297">
        <v>-106</v>
      </c>
      <c r="AT297">
        <v>1536</v>
      </c>
      <c r="BB297">
        <v>1200</v>
      </c>
      <c r="BC297">
        <v>1</v>
      </c>
      <c r="BD297" t="str">
        <f t="shared" si="100"/>
        <v xml:space="preserve">N887QR  </v>
      </c>
      <c r="BE297">
        <v>1</v>
      </c>
      <c r="BG297">
        <v>0</v>
      </c>
      <c r="BH297">
        <v>0</v>
      </c>
      <c r="BI297">
        <v>0</v>
      </c>
      <c r="BJ297">
        <v>1300</v>
      </c>
      <c r="BK297">
        <v>-300</v>
      </c>
      <c r="BL297" t="s">
        <v>163</v>
      </c>
      <c r="BM297">
        <v>1</v>
      </c>
      <c r="BN297">
        <v>1</v>
      </c>
      <c r="BO297">
        <v>1</v>
      </c>
      <c r="BP297">
        <v>0</v>
      </c>
      <c r="BS297">
        <v>0</v>
      </c>
      <c r="BT297">
        <v>0</v>
      </c>
      <c r="BU297">
        <v>0</v>
      </c>
      <c r="CE297" t="str">
        <f t="shared" si="114"/>
        <v>19:26:30.220</v>
      </c>
      <c r="CF297">
        <v>220369008</v>
      </c>
      <c r="CS297">
        <v>3</v>
      </c>
      <c r="CT297">
        <v>2</v>
      </c>
      <c r="CU297">
        <v>0</v>
      </c>
      <c r="CV297">
        <v>2</v>
      </c>
      <c r="CW297">
        <v>0</v>
      </c>
      <c r="CX297">
        <v>5</v>
      </c>
      <c r="CY297">
        <v>7</v>
      </c>
      <c r="CZ297" t="s">
        <v>131</v>
      </c>
      <c r="DA297">
        <v>300</v>
      </c>
      <c r="DB297">
        <v>0</v>
      </c>
      <c r="DC297" t="s">
        <v>176</v>
      </c>
      <c r="DD297" t="s">
        <v>177</v>
      </c>
      <c r="DG297">
        <v>5359506</v>
      </c>
      <c r="DI297">
        <v>0</v>
      </c>
      <c r="DJ297">
        <v>0</v>
      </c>
      <c r="DK297">
        <v>1</v>
      </c>
      <c r="DL297">
        <v>0</v>
      </c>
      <c r="DM297">
        <v>0</v>
      </c>
      <c r="DN297">
        <v>1</v>
      </c>
      <c r="DO297">
        <v>0</v>
      </c>
      <c r="DP297">
        <v>0</v>
      </c>
      <c r="DQ297">
        <v>0</v>
      </c>
      <c r="DR297">
        <v>0</v>
      </c>
      <c r="DS297">
        <v>0</v>
      </c>
    </row>
    <row r="298" spans="1:123" x14ac:dyDescent="0.3">
      <c r="A298" t="str">
        <f t="shared" si="112"/>
        <v>10/04/2022 19:26:30.462</v>
      </c>
      <c r="C298" t="str">
        <f t="shared" si="98"/>
        <v>FFDFD3C0</v>
      </c>
      <c r="D298" t="s">
        <v>141</v>
      </c>
      <c r="E298">
        <v>3</v>
      </c>
      <c r="H298">
        <v>3</v>
      </c>
      <c r="I298" t="s">
        <v>146</v>
      </c>
      <c r="J298" t="s">
        <v>138</v>
      </c>
      <c r="K298">
        <v>0</v>
      </c>
      <c r="L298">
        <v>3</v>
      </c>
      <c r="M298">
        <v>0</v>
      </c>
      <c r="N298">
        <v>2</v>
      </c>
      <c r="O298">
        <v>0</v>
      </c>
      <c r="P298">
        <v>1</v>
      </c>
      <c r="Q298">
        <v>0</v>
      </c>
      <c r="S298" t="str">
        <f t="shared" si="113"/>
        <v>19:26:30.000</v>
      </c>
      <c r="T298" t="str">
        <f t="shared" si="113"/>
        <v>19:26:30.000</v>
      </c>
      <c r="U298" t="str">
        <f t="shared" si="99"/>
        <v>AC3944</v>
      </c>
      <c r="V298">
        <v>0</v>
      </c>
      <c r="W298">
        <v>0</v>
      </c>
      <c r="X298">
        <v>2</v>
      </c>
      <c r="Y298">
        <v>0</v>
      </c>
      <c r="AA298">
        <v>1</v>
      </c>
      <c r="AB298">
        <v>8</v>
      </c>
      <c r="AC298">
        <v>3</v>
      </c>
      <c r="AD298">
        <v>0</v>
      </c>
      <c r="AE298">
        <v>9</v>
      </c>
      <c r="AF298" t="s">
        <v>138</v>
      </c>
      <c r="AG298">
        <v>0</v>
      </c>
      <c r="AH298">
        <v>3</v>
      </c>
      <c r="AI298">
        <v>1</v>
      </c>
      <c r="AJ298">
        <v>0</v>
      </c>
      <c r="AK298" t="s">
        <v>238</v>
      </c>
      <c r="AL298">
        <v>32.824787999999998</v>
      </c>
      <c r="AM298" t="s">
        <v>239</v>
      </c>
      <c r="AN298">
        <v>-116.998279</v>
      </c>
      <c r="AO298">
        <v>25</v>
      </c>
      <c r="AP298">
        <v>1600</v>
      </c>
      <c r="AQ298" t="s">
        <v>129</v>
      </c>
      <c r="AR298">
        <v>-23</v>
      </c>
      <c r="AS298">
        <v>-106</v>
      </c>
      <c r="AT298">
        <v>1536</v>
      </c>
      <c r="BB298">
        <v>1200</v>
      </c>
      <c r="BC298">
        <v>1</v>
      </c>
      <c r="BD298" t="str">
        <f t="shared" si="100"/>
        <v xml:space="preserve">N887QR  </v>
      </c>
      <c r="BE298">
        <v>1</v>
      </c>
      <c r="BG298">
        <v>0</v>
      </c>
      <c r="BH298">
        <v>0</v>
      </c>
      <c r="BI298">
        <v>0</v>
      </c>
      <c r="BJ298">
        <v>1300</v>
      </c>
      <c r="BK298">
        <v>-300</v>
      </c>
      <c r="BL298" t="s">
        <v>163</v>
      </c>
      <c r="BM298">
        <v>1</v>
      </c>
      <c r="BN298">
        <v>1</v>
      </c>
      <c r="BO298">
        <v>1</v>
      </c>
      <c r="BP298">
        <v>0</v>
      </c>
      <c r="BS298">
        <v>0</v>
      </c>
      <c r="BT298">
        <v>0</v>
      </c>
      <c r="BU298">
        <v>0</v>
      </c>
      <c r="CE298" t="str">
        <f t="shared" si="114"/>
        <v>19:26:30.220</v>
      </c>
      <c r="CF298">
        <v>220369008</v>
      </c>
      <c r="CS298">
        <v>3</v>
      </c>
      <c r="CT298">
        <v>2</v>
      </c>
      <c r="CU298">
        <v>0</v>
      </c>
      <c r="CV298">
        <v>2</v>
      </c>
      <c r="CW298">
        <v>0</v>
      </c>
      <c r="CX298">
        <v>5</v>
      </c>
      <c r="CY298">
        <v>7</v>
      </c>
      <c r="CZ298" t="s">
        <v>131</v>
      </c>
      <c r="DA298">
        <v>300</v>
      </c>
      <c r="DB298">
        <v>0</v>
      </c>
      <c r="DC298" t="s">
        <v>176</v>
      </c>
      <c r="DD298" t="s">
        <v>177</v>
      </c>
      <c r="DG298">
        <v>5359506</v>
      </c>
      <c r="DI298">
        <v>0</v>
      </c>
      <c r="DJ298">
        <v>0</v>
      </c>
      <c r="DK298">
        <v>1</v>
      </c>
      <c r="DL298">
        <v>0</v>
      </c>
      <c r="DM298">
        <v>0</v>
      </c>
      <c r="DN298">
        <v>1</v>
      </c>
      <c r="DO298">
        <v>0</v>
      </c>
      <c r="DP298">
        <v>0</v>
      </c>
      <c r="DQ298">
        <v>0</v>
      </c>
      <c r="DR298">
        <v>0</v>
      </c>
      <c r="DS298">
        <v>0</v>
      </c>
    </row>
    <row r="299" spans="1:123" x14ac:dyDescent="0.3">
      <c r="A299" t="str">
        <f t="shared" si="112"/>
        <v>10/04/2022 19:26:30.462</v>
      </c>
      <c r="C299" t="str">
        <f t="shared" si="98"/>
        <v>FFDFD3C0</v>
      </c>
      <c r="D299" t="s">
        <v>136</v>
      </c>
      <c r="E299">
        <v>8</v>
      </c>
      <c r="H299">
        <v>225</v>
      </c>
      <c r="I299" t="s">
        <v>137</v>
      </c>
      <c r="J299" t="s">
        <v>138</v>
      </c>
      <c r="K299">
        <v>0</v>
      </c>
      <c r="L299">
        <v>3</v>
      </c>
      <c r="M299">
        <v>0</v>
      </c>
      <c r="N299">
        <v>2</v>
      </c>
      <c r="O299">
        <v>0</v>
      </c>
      <c r="P299">
        <v>1</v>
      </c>
      <c r="Q299">
        <v>0</v>
      </c>
      <c r="S299" t="str">
        <f t="shared" si="113"/>
        <v>19:26:30.000</v>
      </c>
      <c r="T299" t="str">
        <f t="shared" si="113"/>
        <v>19:26:30.000</v>
      </c>
      <c r="U299" t="str">
        <f t="shared" si="99"/>
        <v>AC3944</v>
      </c>
      <c r="V299">
        <v>0</v>
      </c>
      <c r="W299">
        <v>0</v>
      </c>
      <c r="X299">
        <v>2</v>
      </c>
      <c r="Y299">
        <v>0</v>
      </c>
      <c r="AA299">
        <v>1</v>
      </c>
      <c r="AB299">
        <v>8</v>
      </c>
      <c r="AC299">
        <v>3</v>
      </c>
      <c r="AD299">
        <v>0</v>
      </c>
      <c r="AE299">
        <v>9</v>
      </c>
      <c r="AF299" t="s">
        <v>138</v>
      </c>
      <c r="AG299">
        <v>0</v>
      </c>
      <c r="AH299">
        <v>3</v>
      </c>
      <c r="AI299">
        <v>1</v>
      </c>
      <c r="AJ299">
        <v>0</v>
      </c>
      <c r="AK299" t="s">
        <v>238</v>
      </c>
      <c r="AL299">
        <v>32.824787999999998</v>
      </c>
      <c r="AM299" t="s">
        <v>239</v>
      </c>
      <c r="AN299">
        <v>-116.998279</v>
      </c>
      <c r="AO299">
        <v>25</v>
      </c>
      <c r="AP299">
        <v>1600</v>
      </c>
      <c r="AQ299" t="s">
        <v>129</v>
      </c>
      <c r="AR299">
        <v>-23</v>
      </c>
      <c r="AS299">
        <v>-106</v>
      </c>
      <c r="AT299">
        <v>1536</v>
      </c>
      <c r="BB299">
        <v>1200</v>
      </c>
      <c r="BC299">
        <v>1</v>
      </c>
      <c r="BD299" t="str">
        <f t="shared" si="100"/>
        <v xml:space="preserve">N887QR  </v>
      </c>
      <c r="BE299">
        <v>1</v>
      </c>
      <c r="BG299">
        <v>0</v>
      </c>
      <c r="BH299">
        <v>0</v>
      </c>
      <c r="BI299">
        <v>0</v>
      </c>
      <c r="BJ299">
        <v>1300</v>
      </c>
      <c r="BK299">
        <v>-300</v>
      </c>
      <c r="BL299" t="s">
        <v>163</v>
      </c>
      <c r="BM299">
        <v>1</v>
      </c>
      <c r="BN299">
        <v>1</v>
      </c>
      <c r="BO299">
        <v>1</v>
      </c>
      <c r="BP299">
        <v>0</v>
      </c>
      <c r="BS299">
        <v>0</v>
      </c>
      <c r="BT299">
        <v>0</v>
      </c>
      <c r="BU299">
        <v>0</v>
      </c>
      <c r="CE299" t="str">
        <f t="shared" si="114"/>
        <v>19:26:30.220</v>
      </c>
      <c r="CF299">
        <v>220369008</v>
      </c>
      <c r="CS299">
        <v>3</v>
      </c>
      <c r="CT299">
        <v>2</v>
      </c>
      <c r="CU299">
        <v>0</v>
      </c>
      <c r="CV299">
        <v>2</v>
      </c>
      <c r="CW299">
        <v>0</v>
      </c>
      <c r="CX299">
        <v>5</v>
      </c>
      <c r="CY299">
        <v>7</v>
      </c>
      <c r="CZ299" t="s">
        <v>131</v>
      </c>
      <c r="DA299">
        <v>300</v>
      </c>
      <c r="DB299">
        <v>0</v>
      </c>
      <c r="DC299" t="s">
        <v>176</v>
      </c>
      <c r="DD299" t="s">
        <v>177</v>
      </c>
      <c r="DG299">
        <v>5359506</v>
      </c>
      <c r="DI299">
        <v>0</v>
      </c>
      <c r="DJ299">
        <v>0</v>
      </c>
      <c r="DK299">
        <v>1</v>
      </c>
      <c r="DL299">
        <v>0</v>
      </c>
      <c r="DM299">
        <v>0</v>
      </c>
      <c r="DN299">
        <v>1</v>
      </c>
      <c r="DO299">
        <v>0</v>
      </c>
      <c r="DP299">
        <v>0</v>
      </c>
      <c r="DQ299">
        <v>0</v>
      </c>
      <c r="DR299">
        <v>0</v>
      </c>
      <c r="DS299">
        <v>0</v>
      </c>
    </row>
    <row r="300" spans="1:123" x14ac:dyDescent="0.3">
      <c r="A300" t="str">
        <f t="shared" si="112"/>
        <v>10/04/2022 19:26:30.462</v>
      </c>
      <c r="C300" t="str">
        <f t="shared" si="98"/>
        <v>FFDFD3C0</v>
      </c>
      <c r="D300" t="s">
        <v>134</v>
      </c>
      <c r="E300">
        <v>15</v>
      </c>
      <c r="J300" t="s">
        <v>135</v>
      </c>
      <c r="K300">
        <v>0</v>
      </c>
      <c r="L300">
        <v>3</v>
      </c>
      <c r="M300">
        <v>0</v>
      </c>
      <c r="N300">
        <v>2</v>
      </c>
      <c r="O300">
        <v>0</v>
      </c>
      <c r="P300">
        <v>1</v>
      </c>
      <c r="Q300">
        <v>0</v>
      </c>
      <c r="S300" t="str">
        <f t="shared" si="113"/>
        <v>19:26:30.000</v>
      </c>
      <c r="T300" t="str">
        <f t="shared" si="113"/>
        <v>19:26:30.000</v>
      </c>
      <c r="U300" t="str">
        <f t="shared" si="99"/>
        <v>AC3944</v>
      </c>
      <c r="V300">
        <v>0</v>
      </c>
      <c r="W300">
        <v>0</v>
      </c>
      <c r="X300">
        <v>2</v>
      </c>
      <c r="Y300">
        <v>0</v>
      </c>
      <c r="AA300">
        <v>1</v>
      </c>
      <c r="AB300">
        <v>8</v>
      </c>
      <c r="AC300">
        <v>3</v>
      </c>
      <c r="AD300">
        <v>0</v>
      </c>
      <c r="AE300">
        <v>9</v>
      </c>
      <c r="AF300" t="s">
        <v>138</v>
      </c>
      <c r="AG300">
        <v>0</v>
      </c>
      <c r="AH300">
        <v>3</v>
      </c>
      <c r="AI300">
        <v>1</v>
      </c>
      <c r="AJ300">
        <v>0</v>
      </c>
      <c r="AK300" t="s">
        <v>238</v>
      </c>
      <c r="AL300">
        <v>32.824787999999998</v>
      </c>
      <c r="AM300" t="s">
        <v>239</v>
      </c>
      <c r="AN300">
        <v>-116.998279</v>
      </c>
      <c r="AO300">
        <v>25</v>
      </c>
      <c r="AP300">
        <v>1600</v>
      </c>
      <c r="AQ300" t="s">
        <v>129</v>
      </c>
      <c r="AR300">
        <v>-23</v>
      </c>
      <c r="AS300">
        <v>-106</v>
      </c>
      <c r="AT300">
        <v>1536</v>
      </c>
      <c r="BB300">
        <v>1200</v>
      </c>
      <c r="BC300">
        <v>1</v>
      </c>
      <c r="BD300" t="str">
        <f t="shared" si="100"/>
        <v xml:space="preserve">N887QR  </v>
      </c>
      <c r="BE300">
        <v>1</v>
      </c>
      <c r="BG300">
        <v>0</v>
      </c>
      <c r="BH300">
        <v>0</v>
      </c>
      <c r="BI300">
        <v>0</v>
      </c>
      <c r="BJ300">
        <v>1300</v>
      </c>
      <c r="BK300">
        <v>-300</v>
      </c>
      <c r="BL300" t="s">
        <v>163</v>
      </c>
      <c r="BM300">
        <v>1</v>
      </c>
      <c r="BN300">
        <v>1</v>
      </c>
      <c r="BO300">
        <v>1</v>
      </c>
      <c r="BP300">
        <v>0</v>
      </c>
      <c r="BS300">
        <v>0</v>
      </c>
      <c r="BT300">
        <v>0</v>
      </c>
      <c r="BU300">
        <v>0</v>
      </c>
      <c r="CE300" t="str">
        <f t="shared" si="114"/>
        <v>19:26:30.220</v>
      </c>
      <c r="CF300">
        <v>220369008</v>
      </c>
      <c r="CS300">
        <v>3</v>
      </c>
      <c r="CT300">
        <v>2</v>
      </c>
      <c r="CU300">
        <v>0</v>
      </c>
      <c r="CV300">
        <v>2</v>
      </c>
      <c r="CW300">
        <v>0</v>
      </c>
      <c r="CX300">
        <v>5</v>
      </c>
      <c r="CY300">
        <v>7</v>
      </c>
      <c r="CZ300" t="s">
        <v>131</v>
      </c>
      <c r="DA300">
        <v>300</v>
      </c>
      <c r="DB300">
        <v>0</v>
      </c>
      <c r="DC300" t="s">
        <v>176</v>
      </c>
      <c r="DD300" t="s">
        <v>177</v>
      </c>
      <c r="DG300">
        <v>5359506</v>
      </c>
      <c r="DI300">
        <v>0</v>
      </c>
      <c r="DJ300">
        <v>0</v>
      </c>
      <c r="DK300">
        <v>1</v>
      </c>
      <c r="DL300">
        <v>0</v>
      </c>
      <c r="DM300">
        <v>0</v>
      </c>
      <c r="DN300">
        <v>1</v>
      </c>
      <c r="DO300">
        <v>0</v>
      </c>
      <c r="DP300">
        <v>0</v>
      </c>
      <c r="DQ300">
        <v>0</v>
      </c>
      <c r="DR300">
        <v>0</v>
      </c>
      <c r="DS300">
        <v>0</v>
      </c>
    </row>
    <row r="301" spans="1:123" x14ac:dyDescent="0.3">
      <c r="A301" t="str">
        <f t="shared" si="112"/>
        <v>10/04/2022 19:26:30.462</v>
      </c>
      <c r="C301" t="str">
        <f t="shared" si="98"/>
        <v>FFDFD3C0</v>
      </c>
      <c r="D301" t="s">
        <v>143</v>
      </c>
      <c r="E301">
        <v>20</v>
      </c>
      <c r="F301">
        <v>1020</v>
      </c>
      <c r="G301" t="s">
        <v>144</v>
      </c>
      <c r="J301" t="s">
        <v>145</v>
      </c>
      <c r="K301">
        <v>0</v>
      </c>
      <c r="L301">
        <v>3</v>
      </c>
      <c r="M301">
        <v>0</v>
      </c>
      <c r="N301">
        <v>2</v>
      </c>
      <c r="O301">
        <v>0</v>
      </c>
      <c r="P301">
        <v>1</v>
      </c>
      <c r="Q301">
        <v>0</v>
      </c>
      <c r="S301" t="str">
        <f t="shared" si="113"/>
        <v>19:26:30.000</v>
      </c>
      <c r="T301" t="str">
        <f t="shared" si="113"/>
        <v>19:26:30.000</v>
      </c>
      <c r="U301" t="str">
        <f t="shared" si="99"/>
        <v>AC3944</v>
      </c>
      <c r="V301">
        <v>0</v>
      </c>
      <c r="W301">
        <v>0</v>
      </c>
      <c r="X301">
        <v>2</v>
      </c>
      <c r="Y301">
        <v>0</v>
      </c>
      <c r="AA301">
        <v>1</v>
      </c>
      <c r="AB301">
        <v>8</v>
      </c>
      <c r="AC301">
        <v>3</v>
      </c>
      <c r="AD301">
        <v>0</v>
      </c>
      <c r="AE301">
        <v>9</v>
      </c>
      <c r="AF301" t="s">
        <v>138</v>
      </c>
      <c r="AG301">
        <v>0</v>
      </c>
      <c r="AH301">
        <v>3</v>
      </c>
      <c r="AI301">
        <v>1</v>
      </c>
      <c r="AJ301">
        <v>0</v>
      </c>
      <c r="AK301" t="s">
        <v>238</v>
      </c>
      <c r="AL301">
        <v>32.824787999999998</v>
      </c>
      <c r="AM301" t="s">
        <v>239</v>
      </c>
      <c r="AN301">
        <v>-116.998279</v>
      </c>
      <c r="AO301">
        <v>25</v>
      </c>
      <c r="AP301">
        <v>1600</v>
      </c>
      <c r="AQ301" t="s">
        <v>129</v>
      </c>
      <c r="AR301">
        <v>-23</v>
      </c>
      <c r="AS301">
        <v>-106</v>
      </c>
      <c r="AT301">
        <v>1536</v>
      </c>
      <c r="BB301">
        <v>1200</v>
      </c>
      <c r="BC301">
        <v>1</v>
      </c>
      <c r="BD301" t="str">
        <f t="shared" si="100"/>
        <v xml:space="preserve">N887QR  </v>
      </c>
      <c r="BE301">
        <v>1</v>
      </c>
      <c r="BG301">
        <v>0</v>
      </c>
      <c r="BH301">
        <v>0</v>
      </c>
      <c r="BI301">
        <v>0</v>
      </c>
      <c r="BJ301">
        <v>1300</v>
      </c>
      <c r="BK301">
        <v>-300</v>
      </c>
      <c r="BL301" t="s">
        <v>163</v>
      </c>
      <c r="BM301">
        <v>1</v>
      </c>
      <c r="BN301">
        <v>1</v>
      </c>
      <c r="BO301">
        <v>1</v>
      </c>
      <c r="BP301">
        <v>0</v>
      </c>
      <c r="BS301">
        <v>0</v>
      </c>
      <c r="BT301">
        <v>0</v>
      </c>
      <c r="BU301">
        <v>0</v>
      </c>
      <c r="CE301" t="str">
        <f t="shared" si="114"/>
        <v>19:26:30.220</v>
      </c>
      <c r="CF301">
        <v>220369008</v>
      </c>
      <c r="CS301">
        <v>3</v>
      </c>
      <c r="CT301">
        <v>2</v>
      </c>
      <c r="CU301">
        <v>0</v>
      </c>
      <c r="CV301">
        <v>2</v>
      </c>
      <c r="CW301">
        <v>0</v>
      </c>
      <c r="CX301">
        <v>5</v>
      </c>
      <c r="CY301">
        <v>7</v>
      </c>
      <c r="CZ301" t="s">
        <v>131</v>
      </c>
      <c r="DA301">
        <v>300</v>
      </c>
      <c r="DB301">
        <v>0</v>
      </c>
      <c r="DC301" t="s">
        <v>176</v>
      </c>
      <c r="DD301" t="s">
        <v>177</v>
      </c>
      <c r="DG301">
        <v>5359506</v>
      </c>
      <c r="DI301">
        <v>0</v>
      </c>
      <c r="DJ301">
        <v>0</v>
      </c>
      <c r="DK301">
        <v>1</v>
      </c>
      <c r="DL301">
        <v>0</v>
      </c>
      <c r="DM301">
        <v>0</v>
      </c>
      <c r="DN301">
        <v>1</v>
      </c>
      <c r="DO301">
        <v>0</v>
      </c>
      <c r="DP301">
        <v>0</v>
      </c>
      <c r="DQ301">
        <v>0</v>
      </c>
      <c r="DR301">
        <v>0</v>
      </c>
      <c r="DS301">
        <v>0</v>
      </c>
    </row>
    <row r="302" spans="1:123" x14ac:dyDescent="0.3">
      <c r="A302" t="str">
        <f t="shared" si="112"/>
        <v>10/04/2022 19:26:30.462</v>
      </c>
      <c r="C302" t="str">
        <f t="shared" si="98"/>
        <v>FFDFD3C0</v>
      </c>
      <c r="D302" t="s">
        <v>141</v>
      </c>
      <c r="E302">
        <v>4</v>
      </c>
      <c r="H302">
        <v>4</v>
      </c>
      <c r="I302" t="s">
        <v>142</v>
      </c>
      <c r="J302" t="s">
        <v>138</v>
      </c>
      <c r="K302">
        <v>0</v>
      </c>
      <c r="L302">
        <v>3</v>
      </c>
      <c r="M302">
        <v>0</v>
      </c>
      <c r="N302">
        <v>2</v>
      </c>
      <c r="O302">
        <v>0</v>
      </c>
      <c r="P302">
        <v>1</v>
      </c>
      <c r="Q302">
        <v>0</v>
      </c>
      <c r="S302" t="str">
        <f t="shared" si="113"/>
        <v>19:26:30.000</v>
      </c>
      <c r="T302" t="str">
        <f t="shared" si="113"/>
        <v>19:26:30.000</v>
      </c>
      <c r="U302" t="str">
        <f t="shared" si="99"/>
        <v>AC3944</v>
      </c>
      <c r="V302">
        <v>0</v>
      </c>
      <c r="W302">
        <v>0</v>
      </c>
      <c r="X302">
        <v>2</v>
      </c>
      <c r="Y302">
        <v>0</v>
      </c>
      <c r="AA302">
        <v>1</v>
      </c>
      <c r="AB302">
        <v>8</v>
      </c>
      <c r="AC302">
        <v>3</v>
      </c>
      <c r="AD302">
        <v>0</v>
      </c>
      <c r="AE302">
        <v>9</v>
      </c>
      <c r="AF302" t="s">
        <v>138</v>
      </c>
      <c r="AG302">
        <v>0</v>
      </c>
      <c r="AH302">
        <v>3</v>
      </c>
      <c r="AI302">
        <v>1</v>
      </c>
      <c r="AJ302">
        <v>0</v>
      </c>
      <c r="AK302" t="s">
        <v>238</v>
      </c>
      <c r="AL302">
        <v>32.824787999999998</v>
      </c>
      <c r="AM302" t="s">
        <v>239</v>
      </c>
      <c r="AN302">
        <v>-116.998279</v>
      </c>
      <c r="AO302">
        <v>25</v>
      </c>
      <c r="AP302">
        <v>1600</v>
      </c>
      <c r="AQ302" t="s">
        <v>129</v>
      </c>
      <c r="AR302">
        <v>-23</v>
      </c>
      <c r="AS302">
        <v>-106</v>
      </c>
      <c r="AT302">
        <v>1536</v>
      </c>
      <c r="BB302">
        <v>1200</v>
      </c>
      <c r="BC302">
        <v>1</v>
      </c>
      <c r="BD302" t="str">
        <f t="shared" si="100"/>
        <v xml:space="preserve">N887QR  </v>
      </c>
      <c r="BE302">
        <v>1</v>
      </c>
      <c r="BG302">
        <v>0</v>
      </c>
      <c r="BH302">
        <v>0</v>
      </c>
      <c r="BI302">
        <v>0</v>
      </c>
      <c r="BJ302">
        <v>1300</v>
      </c>
      <c r="BK302">
        <v>-300</v>
      </c>
      <c r="BL302" t="s">
        <v>163</v>
      </c>
      <c r="BM302">
        <v>1</v>
      </c>
      <c r="BN302">
        <v>1</v>
      </c>
      <c r="BO302">
        <v>1</v>
      </c>
      <c r="BP302">
        <v>0</v>
      </c>
      <c r="BS302">
        <v>0</v>
      </c>
      <c r="BT302">
        <v>0</v>
      </c>
      <c r="BU302">
        <v>0</v>
      </c>
      <c r="CE302" t="str">
        <f t="shared" si="114"/>
        <v>19:26:30.220</v>
      </c>
      <c r="CF302">
        <v>220369008</v>
      </c>
      <c r="CS302">
        <v>3</v>
      </c>
      <c r="CT302">
        <v>2</v>
      </c>
      <c r="CU302">
        <v>0</v>
      </c>
      <c r="CV302">
        <v>2</v>
      </c>
      <c r="CW302">
        <v>0</v>
      </c>
      <c r="CX302">
        <v>5</v>
      </c>
      <c r="CY302">
        <v>7</v>
      </c>
      <c r="CZ302" t="s">
        <v>131</v>
      </c>
      <c r="DA302">
        <v>300</v>
      </c>
      <c r="DB302">
        <v>0</v>
      </c>
      <c r="DC302" t="s">
        <v>176</v>
      </c>
      <c r="DD302" t="s">
        <v>177</v>
      </c>
      <c r="DG302">
        <v>5359506</v>
      </c>
      <c r="DI302">
        <v>0</v>
      </c>
      <c r="DJ302">
        <v>0</v>
      </c>
      <c r="DK302">
        <v>1</v>
      </c>
      <c r="DL302">
        <v>0</v>
      </c>
      <c r="DM302">
        <v>0</v>
      </c>
      <c r="DN302">
        <v>1</v>
      </c>
      <c r="DO302">
        <v>0</v>
      </c>
      <c r="DP302">
        <v>0</v>
      </c>
      <c r="DQ302">
        <v>0</v>
      </c>
      <c r="DR302">
        <v>0</v>
      </c>
      <c r="DS302">
        <v>0</v>
      </c>
    </row>
    <row r="303" spans="1:123" x14ac:dyDescent="0.3">
      <c r="A303" t="str">
        <f>"10/04/2022 19:26:31.524"</f>
        <v>10/04/2022 19:26:31.524</v>
      </c>
      <c r="C303" t="str">
        <f t="shared" si="98"/>
        <v>FFDFD3C0</v>
      </c>
      <c r="D303" t="s">
        <v>123</v>
      </c>
      <c r="E303">
        <v>7</v>
      </c>
      <c r="F303">
        <v>2007</v>
      </c>
      <c r="G303" t="s">
        <v>124</v>
      </c>
      <c r="J303" t="s">
        <v>125</v>
      </c>
      <c r="K303">
        <v>0</v>
      </c>
      <c r="L303">
        <v>3</v>
      </c>
      <c r="M303">
        <v>0</v>
      </c>
      <c r="N303">
        <v>2</v>
      </c>
      <c r="O303">
        <v>0</v>
      </c>
      <c r="P303">
        <v>1</v>
      </c>
      <c r="Q303">
        <v>0</v>
      </c>
      <c r="S303" t="str">
        <f t="shared" ref="S303:T316" si="115">"19:26:31.000"</f>
        <v>19:26:31.000</v>
      </c>
      <c r="T303" t="str">
        <f t="shared" si="115"/>
        <v>19:26:31.000</v>
      </c>
      <c r="U303" t="str">
        <f t="shared" si="99"/>
        <v>AC3944</v>
      </c>
      <c r="V303">
        <v>0</v>
      </c>
      <c r="W303">
        <v>0</v>
      </c>
      <c r="X303">
        <v>2</v>
      </c>
      <c r="Y303">
        <v>0</v>
      </c>
      <c r="AA303">
        <v>1</v>
      </c>
      <c r="AB303">
        <v>8</v>
      </c>
      <c r="AC303">
        <v>3</v>
      </c>
      <c r="AD303">
        <v>0</v>
      </c>
      <c r="AE303">
        <v>9</v>
      </c>
      <c r="AF303" t="s">
        <v>138</v>
      </c>
      <c r="AG303">
        <v>0</v>
      </c>
      <c r="AH303">
        <v>3</v>
      </c>
      <c r="AI303">
        <v>1</v>
      </c>
      <c r="AJ303">
        <v>0</v>
      </c>
      <c r="AK303" t="s">
        <v>240</v>
      </c>
      <c r="AL303">
        <v>32.824294999999999</v>
      </c>
      <c r="AM303" t="s">
        <v>241</v>
      </c>
      <c r="AN303">
        <v>-116.998408</v>
      </c>
      <c r="AO303">
        <v>25</v>
      </c>
      <c r="AP303">
        <v>1600</v>
      </c>
      <c r="AQ303" t="s">
        <v>129</v>
      </c>
      <c r="AR303">
        <v>-13</v>
      </c>
      <c r="AS303">
        <v>-108</v>
      </c>
      <c r="AT303">
        <v>1536</v>
      </c>
      <c r="BB303">
        <v>1200</v>
      </c>
      <c r="BC303">
        <v>1</v>
      </c>
      <c r="BD303" t="str">
        <f t="shared" si="100"/>
        <v xml:space="preserve">N887QR  </v>
      </c>
      <c r="BE303">
        <v>1</v>
      </c>
      <c r="BG303">
        <v>0</v>
      </c>
      <c r="BH303">
        <v>0</v>
      </c>
      <c r="BI303">
        <v>0</v>
      </c>
      <c r="BJ303">
        <v>1300</v>
      </c>
      <c r="BK303">
        <v>-300</v>
      </c>
      <c r="BL303" t="s">
        <v>163</v>
      </c>
      <c r="BM303">
        <v>1</v>
      </c>
      <c r="BN303">
        <v>1</v>
      </c>
      <c r="BO303">
        <v>1</v>
      </c>
      <c r="BP303">
        <v>0</v>
      </c>
      <c r="BS303">
        <v>0</v>
      </c>
      <c r="BT303">
        <v>0</v>
      </c>
      <c r="BU303">
        <v>0</v>
      </c>
      <c r="CE303" t="str">
        <f t="shared" ref="CE303:CE309" si="116">"19:26:31.299"</f>
        <v>19:26:31.299</v>
      </c>
      <c r="CF303">
        <v>299122646</v>
      </c>
      <c r="CS303">
        <v>3</v>
      </c>
      <c r="CT303">
        <v>2</v>
      </c>
      <c r="CU303">
        <v>0</v>
      </c>
      <c r="CV303">
        <v>2</v>
      </c>
      <c r="CW303">
        <v>0</v>
      </c>
      <c r="CX303">
        <v>5</v>
      </c>
      <c r="CY303">
        <v>7</v>
      </c>
      <c r="CZ303" t="s">
        <v>131</v>
      </c>
      <c r="DA303">
        <v>300</v>
      </c>
      <c r="DB303">
        <v>0</v>
      </c>
      <c r="DC303" t="s">
        <v>176</v>
      </c>
      <c r="DD303" t="s">
        <v>177</v>
      </c>
      <c r="DG303">
        <v>5359663</v>
      </c>
      <c r="DI303">
        <v>0</v>
      </c>
      <c r="DJ303">
        <v>0</v>
      </c>
      <c r="DK303">
        <v>0</v>
      </c>
      <c r="DL303">
        <v>0</v>
      </c>
      <c r="DM303">
        <v>0</v>
      </c>
      <c r="DN303">
        <v>1</v>
      </c>
      <c r="DO303">
        <v>0</v>
      </c>
      <c r="DP303">
        <v>0</v>
      </c>
      <c r="DQ303">
        <v>0</v>
      </c>
      <c r="DR303">
        <v>0</v>
      </c>
      <c r="DS303">
        <v>0</v>
      </c>
    </row>
    <row r="304" spans="1:123" x14ac:dyDescent="0.3">
      <c r="A304" t="str">
        <f>"10/04/2022 19:26:31.524"</f>
        <v>10/04/2022 19:26:31.524</v>
      </c>
      <c r="C304" t="str">
        <f t="shared" si="98"/>
        <v>FFDFD3C0</v>
      </c>
      <c r="D304" t="s">
        <v>147</v>
      </c>
      <c r="E304">
        <v>3</v>
      </c>
      <c r="H304">
        <v>166</v>
      </c>
      <c r="I304" t="s">
        <v>144</v>
      </c>
      <c r="J304" t="s">
        <v>148</v>
      </c>
      <c r="K304">
        <v>0</v>
      </c>
      <c r="L304">
        <v>3</v>
      </c>
      <c r="M304">
        <v>0</v>
      </c>
      <c r="N304">
        <v>2</v>
      </c>
      <c r="O304">
        <v>0</v>
      </c>
      <c r="P304">
        <v>1</v>
      </c>
      <c r="Q304">
        <v>0</v>
      </c>
      <c r="S304" t="str">
        <f t="shared" si="115"/>
        <v>19:26:31.000</v>
      </c>
      <c r="T304" t="str">
        <f t="shared" si="115"/>
        <v>19:26:31.000</v>
      </c>
      <c r="U304" t="str">
        <f t="shared" si="99"/>
        <v>AC3944</v>
      </c>
      <c r="V304">
        <v>0</v>
      </c>
      <c r="W304">
        <v>0</v>
      </c>
      <c r="X304">
        <v>2</v>
      </c>
      <c r="Y304">
        <v>0</v>
      </c>
      <c r="AA304">
        <v>1</v>
      </c>
      <c r="AB304">
        <v>8</v>
      </c>
      <c r="AC304">
        <v>3</v>
      </c>
      <c r="AD304">
        <v>0</v>
      </c>
      <c r="AE304">
        <v>9</v>
      </c>
      <c r="AF304" t="s">
        <v>138</v>
      </c>
      <c r="AG304">
        <v>0</v>
      </c>
      <c r="AH304">
        <v>3</v>
      </c>
      <c r="AI304">
        <v>1</v>
      </c>
      <c r="AJ304">
        <v>0</v>
      </c>
      <c r="AK304" t="s">
        <v>240</v>
      </c>
      <c r="AL304">
        <v>32.824294999999999</v>
      </c>
      <c r="AM304" t="s">
        <v>241</v>
      </c>
      <c r="AN304">
        <v>-116.998408</v>
      </c>
      <c r="AO304">
        <v>25</v>
      </c>
      <c r="AP304">
        <v>1600</v>
      </c>
      <c r="AQ304" t="s">
        <v>129</v>
      </c>
      <c r="AR304">
        <v>-13</v>
      </c>
      <c r="AS304">
        <v>-108</v>
      </c>
      <c r="AT304">
        <v>1536</v>
      </c>
      <c r="BB304">
        <v>1200</v>
      </c>
      <c r="BC304">
        <v>1</v>
      </c>
      <c r="BD304" t="str">
        <f t="shared" si="100"/>
        <v xml:space="preserve">N887QR  </v>
      </c>
      <c r="BE304">
        <v>1</v>
      </c>
      <c r="BG304">
        <v>0</v>
      </c>
      <c r="BH304">
        <v>0</v>
      </c>
      <c r="BI304">
        <v>0</v>
      </c>
      <c r="BJ304">
        <v>1300</v>
      </c>
      <c r="BK304">
        <v>-300</v>
      </c>
      <c r="BL304" t="s">
        <v>163</v>
      </c>
      <c r="BM304">
        <v>1</v>
      </c>
      <c r="BN304">
        <v>1</v>
      </c>
      <c r="BO304">
        <v>1</v>
      </c>
      <c r="BP304">
        <v>0</v>
      </c>
      <c r="BS304">
        <v>0</v>
      </c>
      <c r="BT304">
        <v>0</v>
      </c>
      <c r="BU304">
        <v>0</v>
      </c>
      <c r="CE304" t="str">
        <f t="shared" si="116"/>
        <v>19:26:31.299</v>
      </c>
      <c r="CF304">
        <v>299122646</v>
      </c>
      <c r="CS304">
        <v>3</v>
      </c>
      <c r="CT304">
        <v>2</v>
      </c>
      <c r="CU304">
        <v>0</v>
      </c>
      <c r="CV304">
        <v>2</v>
      </c>
      <c r="CW304">
        <v>0</v>
      </c>
      <c r="CX304">
        <v>5</v>
      </c>
      <c r="CY304">
        <v>7</v>
      </c>
      <c r="CZ304" t="s">
        <v>131</v>
      </c>
      <c r="DA304">
        <v>300</v>
      </c>
      <c r="DB304">
        <v>0</v>
      </c>
      <c r="DC304" t="s">
        <v>176</v>
      </c>
      <c r="DD304" t="s">
        <v>177</v>
      </c>
      <c r="DG304">
        <v>5359663</v>
      </c>
      <c r="DI304">
        <v>0</v>
      </c>
      <c r="DJ304">
        <v>0</v>
      </c>
      <c r="DK304">
        <v>1</v>
      </c>
      <c r="DL304">
        <v>0</v>
      </c>
      <c r="DM304">
        <v>0</v>
      </c>
      <c r="DN304">
        <v>1</v>
      </c>
      <c r="DO304">
        <v>0</v>
      </c>
      <c r="DP304">
        <v>0</v>
      </c>
      <c r="DQ304">
        <v>0</v>
      </c>
      <c r="DR304">
        <v>0</v>
      </c>
      <c r="DS304">
        <v>0</v>
      </c>
    </row>
    <row r="305" spans="1:123" x14ac:dyDescent="0.3">
      <c r="A305" t="str">
        <f>"10/04/2022 19:26:31.524"</f>
        <v>10/04/2022 19:26:31.524</v>
      </c>
      <c r="C305" t="str">
        <f t="shared" si="98"/>
        <v>FFDFD3C0</v>
      </c>
      <c r="D305" t="s">
        <v>141</v>
      </c>
      <c r="E305">
        <v>3</v>
      </c>
      <c r="H305">
        <v>3</v>
      </c>
      <c r="I305" t="s">
        <v>146</v>
      </c>
      <c r="J305" t="s">
        <v>138</v>
      </c>
      <c r="K305">
        <v>0</v>
      </c>
      <c r="L305">
        <v>3</v>
      </c>
      <c r="M305">
        <v>0</v>
      </c>
      <c r="N305">
        <v>2</v>
      </c>
      <c r="O305">
        <v>0</v>
      </c>
      <c r="P305">
        <v>1</v>
      </c>
      <c r="Q305">
        <v>0</v>
      </c>
      <c r="S305" t="str">
        <f t="shared" si="115"/>
        <v>19:26:31.000</v>
      </c>
      <c r="T305" t="str">
        <f t="shared" si="115"/>
        <v>19:26:31.000</v>
      </c>
      <c r="U305" t="str">
        <f t="shared" si="99"/>
        <v>AC3944</v>
      </c>
      <c r="V305">
        <v>0</v>
      </c>
      <c r="W305">
        <v>0</v>
      </c>
      <c r="X305">
        <v>2</v>
      </c>
      <c r="Y305">
        <v>0</v>
      </c>
      <c r="AA305">
        <v>1</v>
      </c>
      <c r="AB305">
        <v>8</v>
      </c>
      <c r="AC305">
        <v>3</v>
      </c>
      <c r="AD305">
        <v>0</v>
      </c>
      <c r="AE305">
        <v>9</v>
      </c>
      <c r="AF305" t="s">
        <v>138</v>
      </c>
      <c r="AG305">
        <v>0</v>
      </c>
      <c r="AH305">
        <v>3</v>
      </c>
      <c r="AI305">
        <v>1</v>
      </c>
      <c r="AJ305">
        <v>0</v>
      </c>
      <c r="AK305" t="s">
        <v>240</v>
      </c>
      <c r="AL305">
        <v>32.824294999999999</v>
      </c>
      <c r="AM305" t="s">
        <v>241</v>
      </c>
      <c r="AN305">
        <v>-116.998408</v>
      </c>
      <c r="AO305">
        <v>25</v>
      </c>
      <c r="AP305">
        <v>1600</v>
      </c>
      <c r="AQ305" t="s">
        <v>129</v>
      </c>
      <c r="AR305">
        <v>-13</v>
      </c>
      <c r="AS305">
        <v>-108</v>
      </c>
      <c r="AT305">
        <v>1536</v>
      </c>
      <c r="BB305">
        <v>1200</v>
      </c>
      <c r="BC305">
        <v>1</v>
      </c>
      <c r="BD305" t="str">
        <f t="shared" si="100"/>
        <v xml:space="preserve">N887QR  </v>
      </c>
      <c r="BE305">
        <v>1</v>
      </c>
      <c r="BG305">
        <v>0</v>
      </c>
      <c r="BH305">
        <v>0</v>
      </c>
      <c r="BI305">
        <v>0</v>
      </c>
      <c r="BJ305">
        <v>1300</v>
      </c>
      <c r="BK305">
        <v>-300</v>
      </c>
      <c r="BL305" t="s">
        <v>163</v>
      </c>
      <c r="BM305">
        <v>1</v>
      </c>
      <c r="BN305">
        <v>1</v>
      </c>
      <c r="BO305">
        <v>1</v>
      </c>
      <c r="BP305">
        <v>0</v>
      </c>
      <c r="BS305">
        <v>0</v>
      </c>
      <c r="BT305">
        <v>0</v>
      </c>
      <c r="BU305">
        <v>0</v>
      </c>
      <c r="CE305" t="str">
        <f t="shared" si="116"/>
        <v>19:26:31.299</v>
      </c>
      <c r="CF305">
        <v>299122646</v>
      </c>
      <c r="CS305">
        <v>3</v>
      </c>
      <c r="CT305">
        <v>2</v>
      </c>
      <c r="CU305">
        <v>0</v>
      </c>
      <c r="CV305">
        <v>2</v>
      </c>
      <c r="CW305">
        <v>0</v>
      </c>
      <c r="CX305">
        <v>5</v>
      </c>
      <c r="CY305">
        <v>7</v>
      </c>
      <c r="CZ305" t="s">
        <v>131</v>
      </c>
      <c r="DA305">
        <v>300</v>
      </c>
      <c r="DB305">
        <v>0</v>
      </c>
      <c r="DC305" t="s">
        <v>176</v>
      </c>
      <c r="DD305" t="s">
        <v>177</v>
      </c>
      <c r="DG305">
        <v>5359663</v>
      </c>
      <c r="DI305">
        <v>0</v>
      </c>
      <c r="DJ305">
        <v>0</v>
      </c>
      <c r="DK305">
        <v>1</v>
      </c>
      <c r="DL305">
        <v>0</v>
      </c>
      <c r="DM305">
        <v>0</v>
      </c>
      <c r="DN305">
        <v>1</v>
      </c>
      <c r="DO305">
        <v>0</v>
      </c>
      <c r="DP305">
        <v>0</v>
      </c>
      <c r="DQ305">
        <v>0</v>
      </c>
      <c r="DR305">
        <v>0</v>
      </c>
      <c r="DS305">
        <v>0</v>
      </c>
    </row>
    <row r="306" spans="1:123" x14ac:dyDescent="0.3">
      <c r="A306" t="str">
        <f>"10/04/2022 19:26:31.555"</f>
        <v>10/04/2022 19:26:31.555</v>
      </c>
      <c r="C306" t="str">
        <f t="shared" si="98"/>
        <v>FFDFD3C0</v>
      </c>
      <c r="D306" t="s">
        <v>143</v>
      </c>
      <c r="E306">
        <v>20</v>
      </c>
      <c r="F306">
        <v>1020</v>
      </c>
      <c r="G306" t="s">
        <v>144</v>
      </c>
      <c r="J306" t="s">
        <v>145</v>
      </c>
      <c r="K306">
        <v>0</v>
      </c>
      <c r="L306">
        <v>3</v>
      </c>
      <c r="M306">
        <v>0</v>
      </c>
      <c r="N306">
        <v>2</v>
      </c>
      <c r="O306">
        <v>0</v>
      </c>
      <c r="P306">
        <v>1</v>
      </c>
      <c r="Q306">
        <v>0</v>
      </c>
      <c r="S306" t="str">
        <f t="shared" si="115"/>
        <v>19:26:31.000</v>
      </c>
      <c r="T306" t="str">
        <f t="shared" si="115"/>
        <v>19:26:31.000</v>
      </c>
      <c r="U306" t="str">
        <f t="shared" si="99"/>
        <v>AC3944</v>
      </c>
      <c r="V306">
        <v>0</v>
      </c>
      <c r="W306">
        <v>0</v>
      </c>
      <c r="X306">
        <v>2</v>
      </c>
      <c r="Y306">
        <v>0</v>
      </c>
      <c r="AA306">
        <v>1</v>
      </c>
      <c r="AB306">
        <v>8</v>
      </c>
      <c r="AC306">
        <v>3</v>
      </c>
      <c r="AD306">
        <v>0</v>
      </c>
      <c r="AE306">
        <v>9</v>
      </c>
      <c r="AF306" t="s">
        <v>138</v>
      </c>
      <c r="AG306">
        <v>0</v>
      </c>
      <c r="AH306">
        <v>3</v>
      </c>
      <c r="AI306">
        <v>1</v>
      </c>
      <c r="AJ306">
        <v>0</v>
      </c>
      <c r="AK306" t="s">
        <v>240</v>
      </c>
      <c r="AL306">
        <v>32.824294999999999</v>
      </c>
      <c r="AM306" t="s">
        <v>241</v>
      </c>
      <c r="AN306">
        <v>-116.998408</v>
      </c>
      <c r="AO306">
        <v>25</v>
      </c>
      <c r="AP306">
        <v>1600</v>
      </c>
      <c r="AQ306" t="s">
        <v>129</v>
      </c>
      <c r="AR306">
        <v>-13</v>
      </c>
      <c r="AS306">
        <v>-108</v>
      </c>
      <c r="AT306">
        <v>1536</v>
      </c>
      <c r="BB306">
        <v>1200</v>
      </c>
      <c r="BC306">
        <v>1</v>
      </c>
      <c r="BD306" t="str">
        <f t="shared" si="100"/>
        <v xml:space="preserve">N887QR  </v>
      </c>
      <c r="BE306">
        <v>1</v>
      </c>
      <c r="BG306">
        <v>0</v>
      </c>
      <c r="BH306">
        <v>0</v>
      </c>
      <c r="BI306">
        <v>0</v>
      </c>
      <c r="BJ306">
        <v>1300</v>
      </c>
      <c r="BK306">
        <v>-300</v>
      </c>
      <c r="BL306" t="s">
        <v>163</v>
      </c>
      <c r="BM306">
        <v>1</v>
      </c>
      <c r="BN306">
        <v>1</v>
      </c>
      <c r="BO306">
        <v>1</v>
      </c>
      <c r="BP306">
        <v>0</v>
      </c>
      <c r="BS306">
        <v>0</v>
      </c>
      <c r="BT306">
        <v>0</v>
      </c>
      <c r="BU306">
        <v>0</v>
      </c>
      <c r="CE306" t="str">
        <f t="shared" si="116"/>
        <v>19:26:31.299</v>
      </c>
      <c r="CF306">
        <v>299122646</v>
      </c>
      <c r="CS306">
        <v>3</v>
      </c>
      <c r="CT306">
        <v>2</v>
      </c>
      <c r="CU306">
        <v>0</v>
      </c>
      <c r="CV306">
        <v>2</v>
      </c>
      <c r="CW306">
        <v>0</v>
      </c>
      <c r="CX306">
        <v>5</v>
      </c>
      <c r="CY306">
        <v>7</v>
      </c>
      <c r="CZ306" t="s">
        <v>131</v>
      </c>
      <c r="DA306">
        <v>300</v>
      </c>
      <c r="DB306">
        <v>0</v>
      </c>
      <c r="DC306" t="s">
        <v>176</v>
      </c>
      <c r="DD306" t="s">
        <v>177</v>
      </c>
      <c r="DG306">
        <v>5359663</v>
      </c>
      <c r="DI306">
        <v>0</v>
      </c>
      <c r="DJ306">
        <v>0</v>
      </c>
      <c r="DK306">
        <v>1</v>
      </c>
      <c r="DL306">
        <v>0</v>
      </c>
      <c r="DM306">
        <v>0</v>
      </c>
      <c r="DN306">
        <v>1</v>
      </c>
      <c r="DO306">
        <v>0</v>
      </c>
      <c r="DP306">
        <v>0</v>
      </c>
      <c r="DQ306">
        <v>0</v>
      </c>
      <c r="DR306">
        <v>0</v>
      </c>
      <c r="DS306">
        <v>0</v>
      </c>
    </row>
    <row r="307" spans="1:123" x14ac:dyDescent="0.3">
      <c r="A307" t="str">
        <f>"10/04/2022 19:26:31.571"</f>
        <v>10/04/2022 19:26:31.571</v>
      </c>
      <c r="C307" t="str">
        <f t="shared" si="98"/>
        <v>FFDFD3C0</v>
      </c>
      <c r="D307" t="s">
        <v>136</v>
      </c>
      <c r="E307">
        <v>8</v>
      </c>
      <c r="H307">
        <v>225</v>
      </c>
      <c r="I307" t="s">
        <v>137</v>
      </c>
      <c r="J307" t="s">
        <v>138</v>
      </c>
      <c r="K307">
        <v>0</v>
      </c>
      <c r="L307">
        <v>3</v>
      </c>
      <c r="M307">
        <v>0</v>
      </c>
      <c r="N307">
        <v>2</v>
      </c>
      <c r="O307">
        <v>0</v>
      </c>
      <c r="P307">
        <v>1</v>
      </c>
      <c r="Q307">
        <v>0</v>
      </c>
      <c r="S307" t="str">
        <f t="shared" si="115"/>
        <v>19:26:31.000</v>
      </c>
      <c r="T307" t="str">
        <f t="shared" si="115"/>
        <v>19:26:31.000</v>
      </c>
      <c r="U307" t="str">
        <f t="shared" si="99"/>
        <v>AC3944</v>
      </c>
      <c r="V307">
        <v>0</v>
      </c>
      <c r="W307">
        <v>0</v>
      </c>
      <c r="X307">
        <v>2</v>
      </c>
      <c r="Y307">
        <v>0</v>
      </c>
      <c r="AA307">
        <v>1</v>
      </c>
      <c r="AB307">
        <v>8</v>
      </c>
      <c r="AC307">
        <v>3</v>
      </c>
      <c r="AD307">
        <v>0</v>
      </c>
      <c r="AE307">
        <v>9</v>
      </c>
      <c r="AF307" t="s">
        <v>138</v>
      </c>
      <c r="AG307">
        <v>0</v>
      </c>
      <c r="AH307">
        <v>3</v>
      </c>
      <c r="AI307">
        <v>1</v>
      </c>
      <c r="AJ307">
        <v>0</v>
      </c>
      <c r="AK307" t="s">
        <v>240</v>
      </c>
      <c r="AL307">
        <v>32.824294999999999</v>
      </c>
      <c r="AM307" t="s">
        <v>241</v>
      </c>
      <c r="AN307">
        <v>-116.998408</v>
      </c>
      <c r="AO307">
        <v>25</v>
      </c>
      <c r="AP307">
        <v>1600</v>
      </c>
      <c r="AQ307" t="s">
        <v>129</v>
      </c>
      <c r="AR307">
        <v>-13</v>
      </c>
      <c r="AS307">
        <v>-108</v>
      </c>
      <c r="AT307">
        <v>1536</v>
      </c>
      <c r="BB307">
        <v>1200</v>
      </c>
      <c r="BC307">
        <v>1</v>
      </c>
      <c r="BD307" t="str">
        <f t="shared" si="100"/>
        <v xml:space="preserve">N887QR  </v>
      </c>
      <c r="BE307">
        <v>1</v>
      </c>
      <c r="BG307">
        <v>0</v>
      </c>
      <c r="BH307">
        <v>0</v>
      </c>
      <c r="BI307">
        <v>0</v>
      </c>
      <c r="BJ307">
        <v>1300</v>
      </c>
      <c r="BK307">
        <v>-300</v>
      </c>
      <c r="BL307" t="s">
        <v>163</v>
      </c>
      <c r="BM307">
        <v>1</v>
      </c>
      <c r="BN307">
        <v>1</v>
      </c>
      <c r="BO307">
        <v>1</v>
      </c>
      <c r="BP307">
        <v>0</v>
      </c>
      <c r="BS307">
        <v>0</v>
      </c>
      <c r="BT307">
        <v>0</v>
      </c>
      <c r="BU307">
        <v>0</v>
      </c>
      <c r="CE307" t="str">
        <f t="shared" si="116"/>
        <v>19:26:31.299</v>
      </c>
      <c r="CF307">
        <v>299122646</v>
      </c>
      <c r="CS307">
        <v>3</v>
      </c>
      <c r="CT307">
        <v>2</v>
      </c>
      <c r="CU307">
        <v>0</v>
      </c>
      <c r="CV307">
        <v>2</v>
      </c>
      <c r="CW307">
        <v>0</v>
      </c>
      <c r="CX307">
        <v>5</v>
      </c>
      <c r="CY307">
        <v>7</v>
      </c>
      <c r="CZ307" t="s">
        <v>131</v>
      </c>
      <c r="DA307">
        <v>300</v>
      </c>
      <c r="DB307">
        <v>0</v>
      </c>
      <c r="DC307" t="s">
        <v>176</v>
      </c>
      <c r="DD307" t="s">
        <v>177</v>
      </c>
      <c r="DG307">
        <v>5359663</v>
      </c>
      <c r="DI307">
        <v>0</v>
      </c>
      <c r="DJ307">
        <v>0</v>
      </c>
      <c r="DK307">
        <v>1</v>
      </c>
      <c r="DL307">
        <v>0</v>
      </c>
      <c r="DM307">
        <v>0</v>
      </c>
      <c r="DN307">
        <v>1</v>
      </c>
      <c r="DO307">
        <v>0</v>
      </c>
      <c r="DP307">
        <v>0</v>
      </c>
      <c r="DQ307">
        <v>0</v>
      </c>
      <c r="DR307">
        <v>0</v>
      </c>
      <c r="DS307">
        <v>0</v>
      </c>
    </row>
    <row r="308" spans="1:123" x14ac:dyDescent="0.3">
      <c r="A308" t="str">
        <f>"10/04/2022 19:26:31.571"</f>
        <v>10/04/2022 19:26:31.571</v>
      </c>
      <c r="C308" t="str">
        <f t="shared" si="98"/>
        <v>FFDFD3C0</v>
      </c>
      <c r="D308" t="s">
        <v>134</v>
      </c>
      <c r="E308">
        <v>15</v>
      </c>
      <c r="J308" t="s">
        <v>135</v>
      </c>
      <c r="K308">
        <v>0</v>
      </c>
      <c r="L308">
        <v>3</v>
      </c>
      <c r="M308">
        <v>0</v>
      </c>
      <c r="N308">
        <v>2</v>
      </c>
      <c r="O308">
        <v>0</v>
      </c>
      <c r="P308">
        <v>1</v>
      </c>
      <c r="Q308">
        <v>0</v>
      </c>
      <c r="S308" t="str">
        <f t="shared" si="115"/>
        <v>19:26:31.000</v>
      </c>
      <c r="T308" t="str">
        <f t="shared" si="115"/>
        <v>19:26:31.000</v>
      </c>
      <c r="U308" t="str">
        <f t="shared" si="99"/>
        <v>AC3944</v>
      </c>
      <c r="V308">
        <v>0</v>
      </c>
      <c r="W308">
        <v>0</v>
      </c>
      <c r="X308">
        <v>2</v>
      </c>
      <c r="Y308">
        <v>0</v>
      </c>
      <c r="AA308">
        <v>1</v>
      </c>
      <c r="AB308">
        <v>8</v>
      </c>
      <c r="AC308">
        <v>3</v>
      </c>
      <c r="AD308">
        <v>0</v>
      </c>
      <c r="AE308">
        <v>9</v>
      </c>
      <c r="AF308" t="s">
        <v>138</v>
      </c>
      <c r="AG308">
        <v>0</v>
      </c>
      <c r="AH308">
        <v>3</v>
      </c>
      <c r="AI308">
        <v>1</v>
      </c>
      <c r="AJ308">
        <v>0</v>
      </c>
      <c r="AK308" t="s">
        <v>240</v>
      </c>
      <c r="AL308">
        <v>32.824294999999999</v>
      </c>
      <c r="AM308" t="s">
        <v>241</v>
      </c>
      <c r="AN308">
        <v>-116.998408</v>
      </c>
      <c r="AO308">
        <v>25</v>
      </c>
      <c r="AP308">
        <v>1600</v>
      </c>
      <c r="AQ308" t="s">
        <v>129</v>
      </c>
      <c r="AR308">
        <v>-13</v>
      </c>
      <c r="AS308">
        <v>-108</v>
      </c>
      <c r="AT308">
        <v>1536</v>
      </c>
      <c r="BB308">
        <v>1200</v>
      </c>
      <c r="BC308">
        <v>1</v>
      </c>
      <c r="BD308" t="str">
        <f t="shared" si="100"/>
        <v xml:space="preserve">N887QR  </v>
      </c>
      <c r="BE308">
        <v>1</v>
      </c>
      <c r="BG308">
        <v>0</v>
      </c>
      <c r="BH308">
        <v>0</v>
      </c>
      <c r="BI308">
        <v>0</v>
      </c>
      <c r="BJ308">
        <v>1300</v>
      </c>
      <c r="BK308">
        <v>-300</v>
      </c>
      <c r="BL308" t="s">
        <v>163</v>
      </c>
      <c r="BM308">
        <v>1</v>
      </c>
      <c r="BN308">
        <v>1</v>
      </c>
      <c r="BO308">
        <v>1</v>
      </c>
      <c r="BP308">
        <v>0</v>
      </c>
      <c r="BS308">
        <v>0</v>
      </c>
      <c r="BT308">
        <v>0</v>
      </c>
      <c r="BU308">
        <v>0</v>
      </c>
      <c r="CE308" t="str">
        <f t="shared" si="116"/>
        <v>19:26:31.299</v>
      </c>
      <c r="CF308">
        <v>299122646</v>
      </c>
      <c r="CS308">
        <v>3</v>
      </c>
      <c r="CT308">
        <v>2</v>
      </c>
      <c r="CU308">
        <v>0</v>
      </c>
      <c r="CV308">
        <v>2</v>
      </c>
      <c r="CW308">
        <v>0</v>
      </c>
      <c r="CX308">
        <v>5</v>
      </c>
      <c r="CY308">
        <v>7</v>
      </c>
      <c r="CZ308" t="s">
        <v>131</v>
      </c>
      <c r="DA308">
        <v>300</v>
      </c>
      <c r="DB308">
        <v>0</v>
      </c>
      <c r="DC308" t="s">
        <v>176</v>
      </c>
      <c r="DD308" t="s">
        <v>177</v>
      </c>
      <c r="DG308">
        <v>5359663</v>
      </c>
      <c r="DI308">
        <v>0</v>
      </c>
      <c r="DJ308">
        <v>0</v>
      </c>
      <c r="DK308">
        <v>1</v>
      </c>
      <c r="DL308">
        <v>0</v>
      </c>
      <c r="DM308">
        <v>0</v>
      </c>
      <c r="DN308">
        <v>1</v>
      </c>
      <c r="DO308">
        <v>0</v>
      </c>
      <c r="DP308">
        <v>0</v>
      </c>
      <c r="DQ308">
        <v>0</v>
      </c>
      <c r="DR308">
        <v>0</v>
      </c>
      <c r="DS308">
        <v>0</v>
      </c>
    </row>
    <row r="309" spans="1:123" x14ac:dyDescent="0.3">
      <c r="A309" t="str">
        <f>"10/04/2022 19:26:31.571"</f>
        <v>10/04/2022 19:26:31.571</v>
      </c>
      <c r="C309" t="str">
        <f t="shared" si="98"/>
        <v>FFDFD3C0</v>
      </c>
      <c r="D309" t="s">
        <v>141</v>
      </c>
      <c r="E309">
        <v>4</v>
      </c>
      <c r="H309">
        <v>4</v>
      </c>
      <c r="I309" t="s">
        <v>142</v>
      </c>
      <c r="J309" t="s">
        <v>138</v>
      </c>
      <c r="K309">
        <v>0</v>
      </c>
      <c r="L309">
        <v>3</v>
      </c>
      <c r="M309">
        <v>0</v>
      </c>
      <c r="N309">
        <v>2</v>
      </c>
      <c r="O309">
        <v>0</v>
      </c>
      <c r="P309">
        <v>1</v>
      </c>
      <c r="Q309">
        <v>0</v>
      </c>
      <c r="S309" t="str">
        <f t="shared" si="115"/>
        <v>19:26:31.000</v>
      </c>
      <c r="T309" t="str">
        <f t="shared" si="115"/>
        <v>19:26:31.000</v>
      </c>
      <c r="U309" t="str">
        <f t="shared" si="99"/>
        <v>AC3944</v>
      </c>
      <c r="V309">
        <v>0</v>
      </c>
      <c r="W309">
        <v>0</v>
      </c>
      <c r="X309">
        <v>2</v>
      </c>
      <c r="Y309">
        <v>0</v>
      </c>
      <c r="AA309">
        <v>1</v>
      </c>
      <c r="AB309">
        <v>8</v>
      </c>
      <c r="AC309">
        <v>3</v>
      </c>
      <c r="AD309">
        <v>0</v>
      </c>
      <c r="AE309">
        <v>9</v>
      </c>
      <c r="AF309" t="s">
        <v>138</v>
      </c>
      <c r="AG309">
        <v>0</v>
      </c>
      <c r="AH309">
        <v>3</v>
      </c>
      <c r="AI309">
        <v>1</v>
      </c>
      <c r="AJ309">
        <v>0</v>
      </c>
      <c r="AK309" t="s">
        <v>240</v>
      </c>
      <c r="AL309">
        <v>32.824294999999999</v>
      </c>
      <c r="AM309" t="s">
        <v>241</v>
      </c>
      <c r="AN309">
        <v>-116.998408</v>
      </c>
      <c r="AO309">
        <v>25</v>
      </c>
      <c r="AP309">
        <v>1600</v>
      </c>
      <c r="AQ309" t="s">
        <v>129</v>
      </c>
      <c r="AR309">
        <v>-13</v>
      </c>
      <c r="AS309">
        <v>-108</v>
      </c>
      <c r="AT309">
        <v>1536</v>
      </c>
      <c r="BB309">
        <v>1200</v>
      </c>
      <c r="BC309">
        <v>1</v>
      </c>
      <c r="BD309" t="str">
        <f t="shared" si="100"/>
        <v xml:space="preserve">N887QR  </v>
      </c>
      <c r="BE309">
        <v>1</v>
      </c>
      <c r="BG309">
        <v>0</v>
      </c>
      <c r="BH309">
        <v>0</v>
      </c>
      <c r="BI309">
        <v>0</v>
      </c>
      <c r="BJ309">
        <v>1300</v>
      </c>
      <c r="BK309">
        <v>-300</v>
      </c>
      <c r="BL309" t="s">
        <v>163</v>
      </c>
      <c r="BM309">
        <v>1</v>
      </c>
      <c r="BN309">
        <v>1</v>
      </c>
      <c r="BO309">
        <v>1</v>
      </c>
      <c r="BP309">
        <v>0</v>
      </c>
      <c r="BS309">
        <v>0</v>
      </c>
      <c r="BT309">
        <v>0</v>
      </c>
      <c r="BU309">
        <v>0</v>
      </c>
      <c r="CE309" t="str">
        <f t="shared" si="116"/>
        <v>19:26:31.299</v>
      </c>
      <c r="CF309">
        <v>299122646</v>
      </c>
      <c r="CS309">
        <v>3</v>
      </c>
      <c r="CT309">
        <v>2</v>
      </c>
      <c r="CU309">
        <v>0</v>
      </c>
      <c r="CV309">
        <v>2</v>
      </c>
      <c r="CW309">
        <v>0</v>
      </c>
      <c r="CX309">
        <v>5</v>
      </c>
      <c r="CY309">
        <v>7</v>
      </c>
      <c r="CZ309" t="s">
        <v>131</v>
      </c>
      <c r="DA309">
        <v>300</v>
      </c>
      <c r="DB309">
        <v>0</v>
      </c>
      <c r="DC309" t="s">
        <v>176</v>
      </c>
      <c r="DD309" t="s">
        <v>177</v>
      </c>
      <c r="DG309">
        <v>5359663</v>
      </c>
      <c r="DI309">
        <v>0</v>
      </c>
      <c r="DJ309">
        <v>0</v>
      </c>
      <c r="DK309">
        <v>1</v>
      </c>
      <c r="DL309">
        <v>0</v>
      </c>
      <c r="DM309">
        <v>0</v>
      </c>
      <c r="DN309">
        <v>1</v>
      </c>
      <c r="DO309">
        <v>0</v>
      </c>
      <c r="DP309">
        <v>0</v>
      </c>
      <c r="DQ309">
        <v>0</v>
      </c>
      <c r="DR309">
        <v>0</v>
      </c>
      <c r="DS309">
        <v>0</v>
      </c>
    </row>
    <row r="310" spans="1:123" x14ac:dyDescent="0.3">
      <c r="A310" t="str">
        <f>"10/04/2022 19:26:31.992"</f>
        <v>10/04/2022 19:26:31.992</v>
      </c>
      <c r="C310" t="str">
        <f t="shared" si="98"/>
        <v>FFDFD3C0</v>
      </c>
      <c r="D310" t="s">
        <v>123</v>
      </c>
      <c r="E310">
        <v>7</v>
      </c>
      <c r="F310">
        <v>2007</v>
      </c>
      <c r="G310" t="s">
        <v>124</v>
      </c>
      <c r="J310" t="s">
        <v>125</v>
      </c>
      <c r="K310">
        <v>0</v>
      </c>
      <c r="L310">
        <v>3</v>
      </c>
      <c r="M310">
        <v>0</v>
      </c>
      <c r="N310">
        <v>2</v>
      </c>
      <c r="O310">
        <v>0</v>
      </c>
      <c r="P310">
        <v>1</v>
      </c>
      <c r="Q310">
        <v>0</v>
      </c>
      <c r="S310" t="str">
        <f t="shared" si="115"/>
        <v>19:26:31.000</v>
      </c>
      <c r="T310" t="str">
        <f t="shared" si="115"/>
        <v>19:26:31.000</v>
      </c>
      <c r="U310" t="str">
        <f t="shared" si="99"/>
        <v>AC3944</v>
      </c>
      <c r="V310">
        <v>0</v>
      </c>
      <c r="W310">
        <v>0</v>
      </c>
      <c r="X310">
        <v>2</v>
      </c>
      <c r="Y310">
        <v>0</v>
      </c>
      <c r="AA310">
        <v>1</v>
      </c>
      <c r="AB310">
        <v>8</v>
      </c>
      <c r="AC310">
        <v>3</v>
      </c>
      <c r="AD310">
        <v>0</v>
      </c>
      <c r="AE310">
        <v>9</v>
      </c>
      <c r="AF310" t="s">
        <v>138</v>
      </c>
      <c r="AG310">
        <v>0</v>
      </c>
      <c r="AH310">
        <v>3</v>
      </c>
      <c r="AI310">
        <v>1</v>
      </c>
      <c r="AJ310">
        <v>0</v>
      </c>
      <c r="AK310" t="s">
        <v>242</v>
      </c>
      <c r="AL310">
        <v>32.823886999999999</v>
      </c>
      <c r="AM310" t="s">
        <v>243</v>
      </c>
      <c r="AN310">
        <v>-116.998451</v>
      </c>
      <c r="AO310">
        <v>25</v>
      </c>
      <c r="AP310">
        <v>1700</v>
      </c>
      <c r="AQ310" t="s">
        <v>129</v>
      </c>
      <c r="AR310">
        <v>-9</v>
      </c>
      <c r="AS310">
        <v>-108</v>
      </c>
      <c r="AT310">
        <v>1536</v>
      </c>
      <c r="BB310">
        <v>1200</v>
      </c>
      <c r="BC310">
        <v>1</v>
      </c>
      <c r="BD310" t="str">
        <f t="shared" si="100"/>
        <v xml:space="preserve">N887QR  </v>
      </c>
      <c r="BE310">
        <v>1</v>
      </c>
      <c r="BG310">
        <v>0</v>
      </c>
      <c r="BH310">
        <v>0</v>
      </c>
      <c r="BI310">
        <v>0</v>
      </c>
      <c r="BJ310">
        <v>1300</v>
      </c>
      <c r="BK310">
        <v>-400</v>
      </c>
      <c r="BL310" t="s">
        <v>163</v>
      </c>
      <c r="BM310">
        <v>1</v>
      </c>
      <c r="BN310">
        <v>1</v>
      </c>
      <c r="BO310">
        <v>1</v>
      </c>
      <c r="BP310">
        <v>0</v>
      </c>
      <c r="BS310">
        <v>0</v>
      </c>
      <c r="BT310">
        <v>0</v>
      </c>
      <c r="BU310">
        <v>0</v>
      </c>
      <c r="CE310" t="str">
        <f t="shared" ref="CE310:CE316" si="117">"19:26:31.736"</f>
        <v>19:26:31.736</v>
      </c>
      <c r="CF310">
        <v>736402603</v>
      </c>
      <c r="CS310">
        <v>3</v>
      </c>
      <c r="CT310">
        <v>2</v>
      </c>
      <c r="CU310">
        <v>0</v>
      </c>
      <c r="CV310">
        <v>2</v>
      </c>
      <c r="CW310">
        <v>0</v>
      </c>
      <c r="CX310">
        <v>5</v>
      </c>
      <c r="CY310">
        <v>7</v>
      </c>
      <c r="CZ310" t="s">
        <v>131</v>
      </c>
      <c r="DA310">
        <v>286</v>
      </c>
      <c r="DB310">
        <v>0</v>
      </c>
      <c r="DC310" t="s">
        <v>132</v>
      </c>
      <c r="DD310" t="s">
        <v>133</v>
      </c>
      <c r="DG310">
        <v>790037</v>
      </c>
      <c r="DI310">
        <v>0</v>
      </c>
      <c r="DJ310">
        <v>0</v>
      </c>
      <c r="DK310">
        <v>0</v>
      </c>
      <c r="DL310">
        <v>0</v>
      </c>
      <c r="DM310">
        <v>0</v>
      </c>
      <c r="DN310">
        <v>1</v>
      </c>
      <c r="DO310">
        <v>0</v>
      </c>
      <c r="DP310">
        <v>0</v>
      </c>
      <c r="DQ310">
        <v>0</v>
      </c>
      <c r="DR310">
        <v>0</v>
      </c>
      <c r="DS310">
        <v>0</v>
      </c>
    </row>
    <row r="311" spans="1:123" x14ac:dyDescent="0.3">
      <c r="A311" t="str">
        <f>"10/04/2022 19:26:31.992"</f>
        <v>10/04/2022 19:26:31.992</v>
      </c>
      <c r="C311" t="str">
        <f t="shared" si="98"/>
        <v>FFDFD3C0</v>
      </c>
      <c r="D311" t="s">
        <v>147</v>
      </c>
      <c r="E311">
        <v>3</v>
      </c>
      <c r="H311">
        <v>166</v>
      </c>
      <c r="I311" t="s">
        <v>144</v>
      </c>
      <c r="J311" t="s">
        <v>148</v>
      </c>
      <c r="K311">
        <v>0</v>
      </c>
      <c r="L311">
        <v>3</v>
      </c>
      <c r="M311">
        <v>0</v>
      </c>
      <c r="N311">
        <v>2</v>
      </c>
      <c r="O311">
        <v>0</v>
      </c>
      <c r="P311">
        <v>1</v>
      </c>
      <c r="Q311">
        <v>0</v>
      </c>
      <c r="S311" t="str">
        <f t="shared" si="115"/>
        <v>19:26:31.000</v>
      </c>
      <c r="T311" t="str">
        <f t="shared" si="115"/>
        <v>19:26:31.000</v>
      </c>
      <c r="U311" t="str">
        <f t="shared" si="99"/>
        <v>AC3944</v>
      </c>
      <c r="V311">
        <v>0</v>
      </c>
      <c r="W311">
        <v>0</v>
      </c>
      <c r="X311">
        <v>2</v>
      </c>
      <c r="Y311">
        <v>0</v>
      </c>
      <c r="AA311">
        <v>1</v>
      </c>
      <c r="AB311">
        <v>8</v>
      </c>
      <c r="AC311">
        <v>3</v>
      </c>
      <c r="AD311">
        <v>0</v>
      </c>
      <c r="AE311">
        <v>9</v>
      </c>
      <c r="AF311" t="s">
        <v>138</v>
      </c>
      <c r="AG311">
        <v>0</v>
      </c>
      <c r="AH311">
        <v>3</v>
      </c>
      <c r="AI311">
        <v>1</v>
      </c>
      <c r="AJ311">
        <v>0</v>
      </c>
      <c r="AK311" t="s">
        <v>242</v>
      </c>
      <c r="AL311">
        <v>32.823886999999999</v>
      </c>
      <c r="AM311" t="s">
        <v>243</v>
      </c>
      <c r="AN311">
        <v>-116.998451</v>
      </c>
      <c r="AO311">
        <v>25</v>
      </c>
      <c r="AP311">
        <v>1700</v>
      </c>
      <c r="AQ311" t="s">
        <v>129</v>
      </c>
      <c r="AR311">
        <v>-9</v>
      </c>
      <c r="AS311">
        <v>-108</v>
      </c>
      <c r="AT311">
        <v>1536</v>
      </c>
      <c r="BB311">
        <v>1200</v>
      </c>
      <c r="BC311">
        <v>1</v>
      </c>
      <c r="BD311" t="str">
        <f t="shared" si="100"/>
        <v xml:space="preserve">N887QR  </v>
      </c>
      <c r="BE311">
        <v>1</v>
      </c>
      <c r="BG311">
        <v>0</v>
      </c>
      <c r="BH311">
        <v>0</v>
      </c>
      <c r="BI311">
        <v>0</v>
      </c>
      <c r="BJ311">
        <v>1300</v>
      </c>
      <c r="BK311">
        <v>-400</v>
      </c>
      <c r="BL311" t="s">
        <v>163</v>
      </c>
      <c r="BM311">
        <v>1</v>
      </c>
      <c r="BN311">
        <v>1</v>
      </c>
      <c r="BO311">
        <v>1</v>
      </c>
      <c r="BP311">
        <v>0</v>
      </c>
      <c r="BS311">
        <v>0</v>
      </c>
      <c r="BT311">
        <v>0</v>
      </c>
      <c r="BU311">
        <v>0</v>
      </c>
      <c r="CE311" t="str">
        <f t="shared" si="117"/>
        <v>19:26:31.736</v>
      </c>
      <c r="CF311">
        <v>736402603</v>
      </c>
      <c r="CS311">
        <v>3</v>
      </c>
      <c r="CT311">
        <v>2</v>
      </c>
      <c r="CU311">
        <v>0</v>
      </c>
      <c r="CV311">
        <v>2</v>
      </c>
      <c r="CW311">
        <v>0</v>
      </c>
      <c r="CX311">
        <v>5</v>
      </c>
      <c r="CY311">
        <v>7</v>
      </c>
      <c r="CZ311" t="s">
        <v>131</v>
      </c>
      <c r="DA311">
        <v>286</v>
      </c>
      <c r="DB311">
        <v>0</v>
      </c>
      <c r="DC311" t="s">
        <v>132</v>
      </c>
      <c r="DD311" t="s">
        <v>133</v>
      </c>
      <c r="DG311">
        <v>790037</v>
      </c>
      <c r="DI311">
        <v>0</v>
      </c>
      <c r="DJ311">
        <v>0</v>
      </c>
      <c r="DK311">
        <v>1</v>
      </c>
      <c r="DL311">
        <v>0</v>
      </c>
      <c r="DM311">
        <v>0</v>
      </c>
      <c r="DN311">
        <v>1</v>
      </c>
      <c r="DO311">
        <v>0</v>
      </c>
      <c r="DP311">
        <v>0</v>
      </c>
      <c r="DQ311">
        <v>0</v>
      </c>
      <c r="DR311">
        <v>0</v>
      </c>
      <c r="DS311">
        <v>0</v>
      </c>
    </row>
    <row r="312" spans="1:123" x14ac:dyDescent="0.3">
      <c r="A312" t="str">
        <f>"10/04/2022 19:26:32.008"</f>
        <v>10/04/2022 19:26:32.008</v>
      </c>
      <c r="C312" t="str">
        <f t="shared" si="98"/>
        <v>FFDFD3C0</v>
      </c>
      <c r="D312" t="s">
        <v>141</v>
      </c>
      <c r="E312">
        <v>3</v>
      </c>
      <c r="H312">
        <v>3</v>
      </c>
      <c r="I312" t="s">
        <v>146</v>
      </c>
      <c r="J312" t="s">
        <v>138</v>
      </c>
      <c r="K312">
        <v>0</v>
      </c>
      <c r="L312">
        <v>3</v>
      </c>
      <c r="M312">
        <v>0</v>
      </c>
      <c r="N312">
        <v>2</v>
      </c>
      <c r="O312">
        <v>0</v>
      </c>
      <c r="P312">
        <v>1</v>
      </c>
      <c r="Q312">
        <v>0</v>
      </c>
      <c r="S312" t="str">
        <f t="shared" si="115"/>
        <v>19:26:31.000</v>
      </c>
      <c r="T312" t="str">
        <f t="shared" si="115"/>
        <v>19:26:31.000</v>
      </c>
      <c r="U312" t="str">
        <f t="shared" si="99"/>
        <v>AC3944</v>
      </c>
      <c r="V312">
        <v>0</v>
      </c>
      <c r="W312">
        <v>0</v>
      </c>
      <c r="X312">
        <v>2</v>
      </c>
      <c r="Y312">
        <v>0</v>
      </c>
      <c r="AA312">
        <v>1</v>
      </c>
      <c r="AB312">
        <v>8</v>
      </c>
      <c r="AC312">
        <v>3</v>
      </c>
      <c r="AD312">
        <v>0</v>
      </c>
      <c r="AE312">
        <v>9</v>
      </c>
      <c r="AF312" t="s">
        <v>138</v>
      </c>
      <c r="AG312">
        <v>0</v>
      </c>
      <c r="AH312">
        <v>3</v>
      </c>
      <c r="AI312">
        <v>1</v>
      </c>
      <c r="AJ312">
        <v>0</v>
      </c>
      <c r="AK312" t="s">
        <v>242</v>
      </c>
      <c r="AL312">
        <v>32.823886999999999</v>
      </c>
      <c r="AM312" t="s">
        <v>243</v>
      </c>
      <c r="AN312">
        <v>-116.998451</v>
      </c>
      <c r="AO312">
        <v>25</v>
      </c>
      <c r="AP312">
        <v>1700</v>
      </c>
      <c r="AQ312" t="s">
        <v>129</v>
      </c>
      <c r="AR312">
        <v>-9</v>
      </c>
      <c r="AS312">
        <v>-108</v>
      </c>
      <c r="AT312">
        <v>1536</v>
      </c>
      <c r="BB312">
        <v>1200</v>
      </c>
      <c r="BC312">
        <v>1</v>
      </c>
      <c r="BD312" t="str">
        <f t="shared" si="100"/>
        <v xml:space="preserve">N887QR  </v>
      </c>
      <c r="BE312">
        <v>1</v>
      </c>
      <c r="BG312">
        <v>0</v>
      </c>
      <c r="BH312">
        <v>0</v>
      </c>
      <c r="BI312">
        <v>0</v>
      </c>
      <c r="BJ312">
        <v>1300</v>
      </c>
      <c r="BK312">
        <v>-400</v>
      </c>
      <c r="BL312" t="s">
        <v>163</v>
      </c>
      <c r="BM312">
        <v>1</v>
      </c>
      <c r="BN312">
        <v>1</v>
      </c>
      <c r="BO312">
        <v>1</v>
      </c>
      <c r="BP312">
        <v>0</v>
      </c>
      <c r="BS312">
        <v>0</v>
      </c>
      <c r="BT312">
        <v>0</v>
      </c>
      <c r="BU312">
        <v>0</v>
      </c>
      <c r="CE312" t="str">
        <f t="shared" si="117"/>
        <v>19:26:31.736</v>
      </c>
      <c r="CF312">
        <v>736402603</v>
      </c>
      <c r="CS312">
        <v>3</v>
      </c>
      <c r="CT312">
        <v>2</v>
      </c>
      <c r="CU312">
        <v>0</v>
      </c>
      <c r="CV312">
        <v>2</v>
      </c>
      <c r="CW312">
        <v>0</v>
      </c>
      <c r="CX312">
        <v>5</v>
      </c>
      <c r="CY312">
        <v>7</v>
      </c>
      <c r="CZ312" t="s">
        <v>131</v>
      </c>
      <c r="DA312">
        <v>286</v>
      </c>
      <c r="DB312">
        <v>0</v>
      </c>
      <c r="DC312" t="s">
        <v>132</v>
      </c>
      <c r="DD312" t="s">
        <v>133</v>
      </c>
      <c r="DG312">
        <v>790037</v>
      </c>
      <c r="DI312">
        <v>0</v>
      </c>
      <c r="DJ312">
        <v>0</v>
      </c>
      <c r="DK312">
        <v>1</v>
      </c>
      <c r="DL312">
        <v>0</v>
      </c>
      <c r="DM312">
        <v>0</v>
      </c>
      <c r="DN312">
        <v>1</v>
      </c>
      <c r="DO312">
        <v>0</v>
      </c>
      <c r="DP312">
        <v>0</v>
      </c>
      <c r="DQ312">
        <v>0</v>
      </c>
      <c r="DR312">
        <v>0</v>
      </c>
      <c r="DS312">
        <v>0</v>
      </c>
    </row>
    <row r="313" spans="1:123" x14ac:dyDescent="0.3">
      <c r="A313" t="str">
        <f>"10/04/2022 19:26:32.008"</f>
        <v>10/04/2022 19:26:32.008</v>
      </c>
      <c r="C313" t="str">
        <f t="shared" si="98"/>
        <v>FFDFD3C0</v>
      </c>
      <c r="D313" t="s">
        <v>143</v>
      </c>
      <c r="E313">
        <v>20</v>
      </c>
      <c r="F313">
        <v>1020</v>
      </c>
      <c r="G313" t="s">
        <v>144</v>
      </c>
      <c r="J313" t="s">
        <v>145</v>
      </c>
      <c r="K313">
        <v>0</v>
      </c>
      <c r="L313">
        <v>3</v>
      </c>
      <c r="M313">
        <v>0</v>
      </c>
      <c r="N313">
        <v>2</v>
      </c>
      <c r="O313">
        <v>0</v>
      </c>
      <c r="P313">
        <v>1</v>
      </c>
      <c r="Q313">
        <v>0</v>
      </c>
      <c r="S313" t="str">
        <f t="shared" si="115"/>
        <v>19:26:31.000</v>
      </c>
      <c r="T313" t="str">
        <f t="shared" si="115"/>
        <v>19:26:31.000</v>
      </c>
      <c r="U313" t="str">
        <f t="shared" si="99"/>
        <v>AC3944</v>
      </c>
      <c r="V313">
        <v>0</v>
      </c>
      <c r="W313">
        <v>0</v>
      </c>
      <c r="X313">
        <v>2</v>
      </c>
      <c r="Y313">
        <v>0</v>
      </c>
      <c r="AA313">
        <v>1</v>
      </c>
      <c r="AB313">
        <v>8</v>
      </c>
      <c r="AC313">
        <v>3</v>
      </c>
      <c r="AD313">
        <v>0</v>
      </c>
      <c r="AE313">
        <v>9</v>
      </c>
      <c r="AF313" t="s">
        <v>138</v>
      </c>
      <c r="AG313">
        <v>0</v>
      </c>
      <c r="AH313">
        <v>3</v>
      </c>
      <c r="AI313">
        <v>1</v>
      </c>
      <c r="AJ313">
        <v>0</v>
      </c>
      <c r="AK313" t="s">
        <v>242</v>
      </c>
      <c r="AL313">
        <v>32.823886999999999</v>
      </c>
      <c r="AM313" t="s">
        <v>243</v>
      </c>
      <c r="AN313">
        <v>-116.998451</v>
      </c>
      <c r="AO313">
        <v>25</v>
      </c>
      <c r="AP313">
        <v>1700</v>
      </c>
      <c r="AQ313" t="s">
        <v>129</v>
      </c>
      <c r="AR313">
        <v>-9</v>
      </c>
      <c r="AS313">
        <v>-108</v>
      </c>
      <c r="AT313">
        <v>1536</v>
      </c>
      <c r="BB313">
        <v>1200</v>
      </c>
      <c r="BC313">
        <v>1</v>
      </c>
      <c r="BD313" t="str">
        <f t="shared" si="100"/>
        <v xml:space="preserve">N887QR  </v>
      </c>
      <c r="BE313">
        <v>1</v>
      </c>
      <c r="BG313">
        <v>0</v>
      </c>
      <c r="BH313">
        <v>0</v>
      </c>
      <c r="BI313">
        <v>0</v>
      </c>
      <c r="BJ313">
        <v>1300</v>
      </c>
      <c r="BK313">
        <v>-400</v>
      </c>
      <c r="BL313" t="s">
        <v>163</v>
      </c>
      <c r="BM313">
        <v>1</v>
      </c>
      <c r="BN313">
        <v>1</v>
      </c>
      <c r="BO313">
        <v>1</v>
      </c>
      <c r="BP313">
        <v>0</v>
      </c>
      <c r="BS313">
        <v>0</v>
      </c>
      <c r="BT313">
        <v>0</v>
      </c>
      <c r="BU313">
        <v>0</v>
      </c>
      <c r="CE313" t="str">
        <f t="shared" si="117"/>
        <v>19:26:31.736</v>
      </c>
      <c r="CF313">
        <v>736402603</v>
      </c>
      <c r="CS313">
        <v>3</v>
      </c>
      <c r="CT313">
        <v>2</v>
      </c>
      <c r="CU313">
        <v>0</v>
      </c>
      <c r="CV313">
        <v>2</v>
      </c>
      <c r="CW313">
        <v>0</v>
      </c>
      <c r="CX313">
        <v>5</v>
      </c>
      <c r="CY313">
        <v>7</v>
      </c>
      <c r="CZ313" t="s">
        <v>131</v>
      </c>
      <c r="DA313">
        <v>286</v>
      </c>
      <c r="DB313">
        <v>0</v>
      </c>
      <c r="DC313" t="s">
        <v>132</v>
      </c>
      <c r="DD313" t="s">
        <v>133</v>
      </c>
      <c r="DG313">
        <v>790037</v>
      </c>
      <c r="DI313">
        <v>0</v>
      </c>
      <c r="DJ313">
        <v>0</v>
      </c>
      <c r="DK313">
        <v>1</v>
      </c>
      <c r="DL313">
        <v>0</v>
      </c>
      <c r="DM313">
        <v>0</v>
      </c>
      <c r="DN313">
        <v>1</v>
      </c>
      <c r="DO313">
        <v>0</v>
      </c>
      <c r="DP313">
        <v>0</v>
      </c>
      <c r="DQ313">
        <v>0</v>
      </c>
      <c r="DR313">
        <v>0</v>
      </c>
      <c r="DS313">
        <v>0</v>
      </c>
    </row>
    <row r="314" spans="1:123" x14ac:dyDescent="0.3">
      <c r="A314" t="str">
        <f>"10/04/2022 19:26:32.008"</f>
        <v>10/04/2022 19:26:32.008</v>
      </c>
      <c r="C314" t="str">
        <f t="shared" si="98"/>
        <v>FFDFD3C0</v>
      </c>
      <c r="D314" t="s">
        <v>136</v>
      </c>
      <c r="E314">
        <v>8</v>
      </c>
      <c r="H314">
        <v>225</v>
      </c>
      <c r="I314" t="s">
        <v>137</v>
      </c>
      <c r="J314" t="s">
        <v>138</v>
      </c>
      <c r="K314">
        <v>0</v>
      </c>
      <c r="L314">
        <v>3</v>
      </c>
      <c r="M314">
        <v>0</v>
      </c>
      <c r="N314">
        <v>2</v>
      </c>
      <c r="O314">
        <v>0</v>
      </c>
      <c r="P314">
        <v>1</v>
      </c>
      <c r="Q314">
        <v>0</v>
      </c>
      <c r="S314" t="str">
        <f t="shared" si="115"/>
        <v>19:26:31.000</v>
      </c>
      <c r="T314" t="str">
        <f t="shared" si="115"/>
        <v>19:26:31.000</v>
      </c>
      <c r="U314" t="str">
        <f t="shared" si="99"/>
        <v>AC3944</v>
      </c>
      <c r="V314">
        <v>0</v>
      </c>
      <c r="W314">
        <v>0</v>
      </c>
      <c r="X314">
        <v>2</v>
      </c>
      <c r="Y314">
        <v>0</v>
      </c>
      <c r="AA314">
        <v>1</v>
      </c>
      <c r="AB314">
        <v>8</v>
      </c>
      <c r="AC314">
        <v>3</v>
      </c>
      <c r="AD314">
        <v>0</v>
      </c>
      <c r="AE314">
        <v>9</v>
      </c>
      <c r="AF314" t="s">
        <v>138</v>
      </c>
      <c r="AG314">
        <v>0</v>
      </c>
      <c r="AH314">
        <v>3</v>
      </c>
      <c r="AI314">
        <v>1</v>
      </c>
      <c r="AJ314">
        <v>0</v>
      </c>
      <c r="AK314" t="s">
        <v>242</v>
      </c>
      <c r="AL314">
        <v>32.823886999999999</v>
      </c>
      <c r="AM314" t="s">
        <v>243</v>
      </c>
      <c r="AN314">
        <v>-116.998451</v>
      </c>
      <c r="AO314">
        <v>25</v>
      </c>
      <c r="AP314">
        <v>1700</v>
      </c>
      <c r="AQ314" t="s">
        <v>129</v>
      </c>
      <c r="AR314">
        <v>-9</v>
      </c>
      <c r="AS314">
        <v>-108</v>
      </c>
      <c r="AT314">
        <v>1536</v>
      </c>
      <c r="BB314">
        <v>1200</v>
      </c>
      <c r="BC314">
        <v>1</v>
      </c>
      <c r="BD314" t="str">
        <f t="shared" si="100"/>
        <v xml:space="preserve">N887QR  </v>
      </c>
      <c r="BE314">
        <v>1</v>
      </c>
      <c r="BG314">
        <v>0</v>
      </c>
      <c r="BH314">
        <v>0</v>
      </c>
      <c r="BI314">
        <v>0</v>
      </c>
      <c r="BJ314">
        <v>1300</v>
      </c>
      <c r="BK314">
        <v>-400</v>
      </c>
      <c r="BL314" t="s">
        <v>163</v>
      </c>
      <c r="BM314">
        <v>1</v>
      </c>
      <c r="BN314">
        <v>1</v>
      </c>
      <c r="BO314">
        <v>1</v>
      </c>
      <c r="BP314">
        <v>0</v>
      </c>
      <c r="BS314">
        <v>0</v>
      </c>
      <c r="BT314">
        <v>0</v>
      </c>
      <c r="BU314">
        <v>0</v>
      </c>
      <c r="CE314" t="str">
        <f t="shared" si="117"/>
        <v>19:26:31.736</v>
      </c>
      <c r="CF314">
        <v>736402603</v>
      </c>
      <c r="CS314">
        <v>3</v>
      </c>
      <c r="CT314">
        <v>2</v>
      </c>
      <c r="CU314">
        <v>0</v>
      </c>
      <c r="CV314">
        <v>2</v>
      </c>
      <c r="CW314">
        <v>0</v>
      </c>
      <c r="CX314">
        <v>5</v>
      </c>
      <c r="CY314">
        <v>7</v>
      </c>
      <c r="CZ314" t="s">
        <v>131</v>
      </c>
      <c r="DA314">
        <v>286</v>
      </c>
      <c r="DB314">
        <v>0</v>
      </c>
      <c r="DC314" t="s">
        <v>132</v>
      </c>
      <c r="DD314" t="s">
        <v>133</v>
      </c>
      <c r="DG314">
        <v>790037</v>
      </c>
      <c r="DI314">
        <v>0</v>
      </c>
      <c r="DJ314">
        <v>0</v>
      </c>
      <c r="DK314">
        <v>1</v>
      </c>
      <c r="DL314">
        <v>0</v>
      </c>
      <c r="DM314">
        <v>0</v>
      </c>
      <c r="DN314">
        <v>1</v>
      </c>
      <c r="DO314">
        <v>0</v>
      </c>
      <c r="DP314">
        <v>0</v>
      </c>
      <c r="DQ314">
        <v>0</v>
      </c>
      <c r="DR314">
        <v>0</v>
      </c>
      <c r="DS314">
        <v>0</v>
      </c>
    </row>
    <row r="315" spans="1:123" x14ac:dyDescent="0.3">
      <c r="A315" t="str">
        <f>"10/04/2022 19:26:32.008"</f>
        <v>10/04/2022 19:26:32.008</v>
      </c>
      <c r="C315" t="str">
        <f t="shared" si="98"/>
        <v>FFDFD3C0</v>
      </c>
      <c r="D315" t="s">
        <v>141</v>
      </c>
      <c r="E315">
        <v>4</v>
      </c>
      <c r="H315">
        <v>4</v>
      </c>
      <c r="I315" t="s">
        <v>142</v>
      </c>
      <c r="J315" t="s">
        <v>138</v>
      </c>
      <c r="K315">
        <v>0</v>
      </c>
      <c r="L315">
        <v>3</v>
      </c>
      <c r="M315">
        <v>0</v>
      </c>
      <c r="N315">
        <v>2</v>
      </c>
      <c r="O315">
        <v>0</v>
      </c>
      <c r="P315">
        <v>1</v>
      </c>
      <c r="Q315">
        <v>0</v>
      </c>
      <c r="S315" t="str">
        <f t="shared" si="115"/>
        <v>19:26:31.000</v>
      </c>
      <c r="T315" t="str">
        <f t="shared" si="115"/>
        <v>19:26:31.000</v>
      </c>
      <c r="U315" t="str">
        <f t="shared" si="99"/>
        <v>AC3944</v>
      </c>
      <c r="V315">
        <v>0</v>
      </c>
      <c r="W315">
        <v>0</v>
      </c>
      <c r="X315">
        <v>2</v>
      </c>
      <c r="Y315">
        <v>0</v>
      </c>
      <c r="AA315">
        <v>1</v>
      </c>
      <c r="AB315">
        <v>8</v>
      </c>
      <c r="AC315">
        <v>3</v>
      </c>
      <c r="AD315">
        <v>0</v>
      </c>
      <c r="AE315">
        <v>9</v>
      </c>
      <c r="AF315" t="s">
        <v>138</v>
      </c>
      <c r="AG315">
        <v>0</v>
      </c>
      <c r="AH315">
        <v>3</v>
      </c>
      <c r="AI315">
        <v>1</v>
      </c>
      <c r="AJ315">
        <v>0</v>
      </c>
      <c r="AK315" t="s">
        <v>242</v>
      </c>
      <c r="AL315">
        <v>32.823886999999999</v>
      </c>
      <c r="AM315" t="s">
        <v>243</v>
      </c>
      <c r="AN315">
        <v>-116.998451</v>
      </c>
      <c r="AO315">
        <v>25</v>
      </c>
      <c r="AP315">
        <v>1700</v>
      </c>
      <c r="AQ315" t="s">
        <v>129</v>
      </c>
      <c r="AR315">
        <v>-9</v>
      </c>
      <c r="AS315">
        <v>-108</v>
      </c>
      <c r="AT315">
        <v>1536</v>
      </c>
      <c r="BB315">
        <v>1200</v>
      </c>
      <c r="BC315">
        <v>1</v>
      </c>
      <c r="BD315" t="str">
        <f t="shared" si="100"/>
        <v xml:space="preserve">N887QR  </v>
      </c>
      <c r="BE315">
        <v>1</v>
      </c>
      <c r="BG315">
        <v>0</v>
      </c>
      <c r="BH315">
        <v>0</v>
      </c>
      <c r="BI315">
        <v>0</v>
      </c>
      <c r="BJ315">
        <v>1300</v>
      </c>
      <c r="BK315">
        <v>-400</v>
      </c>
      <c r="BL315" t="s">
        <v>163</v>
      </c>
      <c r="BM315">
        <v>1</v>
      </c>
      <c r="BN315">
        <v>1</v>
      </c>
      <c r="BO315">
        <v>1</v>
      </c>
      <c r="BP315">
        <v>0</v>
      </c>
      <c r="BS315">
        <v>0</v>
      </c>
      <c r="BT315">
        <v>0</v>
      </c>
      <c r="BU315">
        <v>0</v>
      </c>
      <c r="CE315" t="str">
        <f t="shared" si="117"/>
        <v>19:26:31.736</v>
      </c>
      <c r="CF315">
        <v>736402603</v>
      </c>
      <c r="CS315">
        <v>3</v>
      </c>
      <c r="CT315">
        <v>2</v>
      </c>
      <c r="CU315">
        <v>0</v>
      </c>
      <c r="CV315">
        <v>2</v>
      </c>
      <c r="CW315">
        <v>0</v>
      </c>
      <c r="CX315">
        <v>5</v>
      </c>
      <c r="CY315">
        <v>7</v>
      </c>
      <c r="CZ315" t="s">
        <v>131</v>
      </c>
      <c r="DA315">
        <v>286</v>
      </c>
      <c r="DB315">
        <v>0</v>
      </c>
      <c r="DC315" t="s">
        <v>132</v>
      </c>
      <c r="DD315" t="s">
        <v>133</v>
      </c>
      <c r="DG315">
        <v>790037</v>
      </c>
      <c r="DI315">
        <v>0</v>
      </c>
      <c r="DJ315">
        <v>0</v>
      </c>
      <c r="DK315">
        <v>1</v>
      </c>
      <c r="DL315">
        <v>0</v>
      </c>
      <c r="DM315">
        <v>0</v>
      </c>
      <c r="DN315">
        <v>1</v>
      </c>
      <c r="DO315">
        <v>0</v>
      </c>
      <c r="DP315">
        <v>0</v>
      </c>
      <c r="DQ315">
        <v>0</v>
      </c>
      <c r="DR315">
        <v>0</v>
      </c>
      <c r="DS315">
        <v>0</v>
      </c>
    </row>
    <row r="316" spans="1:123" x14ac:dyDescent="0.3">
      <c r="A316" t="str">
        <f>"10/04/2022 19:26:32.008"</f>
        <v>10/04/2022 19:26:32.008</v>
      </c>
      <c r="C316" t="str">
        <f t="shared" si="98"/>
        <v>FFDFD3C0</v>
      </c>
      <c r="D316" t="s">
        <v>134</v>
      </c>
      <c r="E316">
        <v>15</v>
      </c>
      <c r="J316" t="s">
        <v>135</v>
      </c>
      <c r="K316">
        <v>0</v>
      </c>
      <c r="L316">
        <v>3</v>
      </c>
      <c r="M316">
        <v>0</v>
      </c>
      <c r="N316">
        <v>2</v>
      </c>
      <c r="O316">
        <v>0</v>
      </c>
      <c r="P316">
        <v>1</v>
      </c>
      <c r="Q316">
        <v>0</v>
      </c>
      <c r="S316" t="str">
        <f t="shared" si="115"/>
        <v>19:26:31.000</v>
      </c>
      <c r="T316" t="str">
        <f t="shared" si="115"/>
        <v>19:26:31.000</v>
      </c>
      <c r="U316" t="str">
        <f t="shared" si="99"/>
        <v>AC3944</v>
      </c>
      <c r="V316">
        <v>0</v>
      </c>
      <c r="W316">
        <v>0</v>
      </c>
      <c r="X316">
        <v>2</v>
      </c>
      <c r="Y316">
        <v>0</v>
      </c>
      <c r="AA316">
        <v>1</v>
      </c>
      <c r="AB316">
        <v>8</v>
      </c>
      <c r="AC316">
        <v>3</v>
      </c>
      <c r="AD316">
        <v>0</v>
      </c>
      <c r="AE316">
        <v>9</v>
      </c>
      <c r="AF316" t="s">
        <v>138</v>
      </c>
      <c r="AG316">
        <v>0</v>
      </c>
      <c r="AH316">
        <v>3</v>
      </c>
      <c r="AI316">
        <v>1</v>
      </c>
      <c r="AJ316">
        <v>0</v>
      </c>
      <c r="AK316" t="s">
        <v>242</v>
      </c>
      <c r="AL316">
        <v>32.823886999999999</v>
      </c>
      <c r="AM316" t="s">
        <v>243</v>
      </c>
      <c r="AN316">
        <v>-116.998451</v>
      </c>
      <c r="AO316">
        <v>25</v>
      </c>
      <c r="AP316">
        <v>1700</v>
      </c>
      <c r="AQ316" t="s">
        <v>129</v>
      </c>
      <c r="AR316">
        <v>-9</v>
      </c>
      <c r="AS316">
        <v>-108</v>
      </c>
      <c r="AT316">
        <v>1536</v>
      </c>
      <c r="BB316">
        <v>1200</v>
      </c>
      <c r="BC316">
        <v>1</v>
      </c>
      <c r="BD316" t="str">
        <f t="shared" si="100"/>
        <v xml:space="preserve">N887QR  </v>
      </c>
      <c r="BE316">
        <v>1</v>
      </c>
      <c r="BG316">
        <v>0</v>
      </c>
      <c r="BH316">
        <v>0</v>
      </c>
      <c r="BI316">
        <v>0</v>
      </c>
      <c r="BJ316">
        <v>1300</v>
      </c>
      <c r="BK316">
        <v>-400</v>
      </c>
      <c r="BL316" t="s">
        <v>163</v>
      </c>
      <c r="BM316">
        <v>1</v>
      </c>
      <c r="BN316">
        <v>1</v>
      </c>
      <c r="BO316">
        <v>1</v>
      </c>
      <c r="BP316">
        <v>0</v>
      </c>
      <c r="BS316">
        <v>0</v>
      </c>
      <c r="BT316">
        <v>0</v>
      </c>
      <c r="BU316">
        <v>0</v>
      </c>
      <c r="CE316" t="str">
        <f t="shared" si="117"/>
        <v>19:26:31.736</v>
      </c>
      <c r="CF316">
        <v>736402603</v>
      </c>
      <c r="CS316">
        <v>3</v>
      </c>
      <c r="CT316">
        <v>2</v>
      </c>
      <c r="CU316">
        <v>0</v>
      </c>
      <c r="CV316">
        <v>2</v>
      </c>
      <c r="CW316">
        <v>0</v>
      </c>
      <c r="CX316">
        <v>5</v>
      </c>
      <c r="CY316">
        <v>7</v>
      </c>
      <c r="CZ316" t="s">
        <v>131</v>
      </c>
      <c r="DA316">
        <v>286</v>
      </c>
      <c r="DB316">
        <v>0</v>
      </c>
      <c r="DC316" t="s">
        <v>132</v>
      </c>
      <c r="DD316" t="s">
        <v>133</v>
      </c>
      <c r="DG316">
        <v>790037</v>
      </c>
      <c r="DI316">
        <v>0</v>
      </c>
      <c r="DJ316">
        <v>0</v>
      </c>
      <c r="DK316">
        <v>1</v>
      </c>
      <c r="DL316">
        <v>0</v>
      </c>
      <c r="DM316">
        <v>0</v>
      </c>
      <c r="DN316">
        <v>1</v>
      </c>
      <c r="DO316">
        <v>0</v>
      </c>
      <c r="DP316">
        <v>0</v>
      </c>
      <c r="DQ316">
        <v>0</v>
      </c>
      <c r="DR316">
        <v>0</v>
      </c>
      <c r="DS316">
        <v>0</v>
      </c>
    </row>
    <row r="317" spans="1:123" x14ac:dyDescent="0.3">
      <c r="A317" t="str">
        <f>"10/04/2022 19:26:33.008"</f>
        <v>10/04/2022 19:26:33.008</v>
      </c>
      <c r="C317" t="str">
        <f t="shared" si="98"/>
        <v>FFDFD3C0</v>
      </c>
      <c r="D317" t="s">
        <v>147</v>
      </c>
      <c r="E317">
        <v>3</v>
      </c>
      <c r="H317">
        <v>166</v>
      </c>
      <c r="I317" t="s">
        <v>144</v>
      </c>
      <c r="J317" t="s">
        <v>148</v>
      </c>
      <c r="K317">
        <v>0</v>
      </c>
      <c r="L317">
        <v>3</v>
      </c>
      <c r="M317">
        <v>0</v>
      </c>
      <c r="N317">
        <v>2</v>
      </c>
      <c r="O317">
        <v>0</v>
      </c>
      <c r="P317">
        <v>1</v>
      </c>
      <c r="Q317">
        <v>0</v>
      </c>
      <c r="S317" t="str">
        <f t="shared" ref="S317:T323" si="118">"19:26:32.000"</f>
        <v>19:26:32.000</v>
      </c>
      <c r="T317" t="str">
        <f t="shared" si="118"/>
        <v>19:26:32.000</v>
      </c>
      <c r="U317" t="str">
        <f t="shared" si="99"/>
        <v>AC3944</v>
      </c>
      <c r="V317">
        <v>0</v>
      </c>
      <c r="W317">
        <v>0</v>
      </c>
      <c r="X317">
        <v>2</v>
      </c>
      <c r="Y317">
        <v>0</v>
      </c>
      <c r="AA317">
        <v>1</v>
      </c>
      <c r="AB317">
        <v>8</v>
      </c>
      <c r="AC317">
        <v>3</v>
      </c>
      <c r="AD317">
        <v>0</v>
      </c>
      <c r="AE317">
        <v>9</v>
      </c>
      <c r="AF317" t="s">
        <v>138</v>
      </c>
      <c r="AG317">
        <v>0</v>
      </c>
      <c r="AH317">
        <v>3</v>
      </c>
      <c r="AI317">
        <v>1</v>
      </c>
      <c r="AJ317">
        <v>0</v>
      </c>
      <c r="AK317" t="s">
        <v>244</v>
      </c>
      <c r="AL317">
        <v>32.823393000000003</v>
      </c>
      <c r="AM317" t="s">
        <v>245</v>
      </c>
      <c r="AN317">
        <v>-116.99849399999999</v>
      </c>
      <c r="AO317">
        <v>25</v>
      </c>
      <c r="AP317">
        <v>1700</v>
      </c>
      <c r="AQ317" t="s">
        <v>129</v>
      </c>
      <c r="AR317">
        <v>2</v>
      </c>
      <c r="AS317">
        <v>-108</v>
      </c>
      <c r="AT317">
        <v>1536</v>
      </c>
      <c r="BB317">
        <v>1200</v>
      </c>
      <c r="BC317">
        <v>1</v>
      </c>
      <c r="BD317" t="str">
        <f t="shared" si="100"/>
        <v xml:space="preserve">N887QR  </v>
      </c>
      <c r="BE317">
        <v>1</v>
      </c>
      <c r="BG317">
        <v>0</v>
      </c>
      <c r="BH317">
        <v>0</v>
      </c>
      <c r="BI317">
        <v>0</v>
      </c>
      <c r="BJ317">
        <v>1375</v>
      </c>
      <c r="BK317">
        <v>-325</v>
      </c>
      <c r="BL317" t="s">
        <v>163</v>
      </c>
      <c r="BM317">
        <v>1</v>
      </c>
      <c r="BN317">
        <v>1</v>
      </c>
      <c r="BO317">
        <v>1</v>
      </c>
      <c r="BP317">
        <v>0</v>
      </c>
      <c r="BS317">
        <v>0</v>
      </c>
      <c r="BT317">
        <v>0</v>
      </c>
      <c r="BU317">
        <v>0</v>
      </c>
      <c r="CE317" t="str">
        <f t="shared" ref="CE317:CE323" si="119">"19:26:32.805"</f>
        <v>19:26:32.805</v>
      </c>
      <c r="CF317">
        <v>804655746</v>
      </c>
      <c r="CS317">
        <v>3</v>
      </c>
      <c r="CT317">
        <v>2</v>
      </c>
      <c r="CU317">
        <v>0</v>
      </c>
      <c r="CV317">
        <v>2</v>
      </c>
      <c r="CW317">
        <v>0</v>
      </c>
      <c r="CX317">
        <v>5</v>
      </c>
      <c r="CY317">
        <v>7</v>
      </c>
      <c r="CZ317" t="s">
        <v>131</v>
      </c>
      <c r="DA317">
        <v>286</v>
      </c>
      <c r="DB317">
        <v>0</v>
      </c>
      <c r="DC317" t="s">
        <v>132</v>
      </c>
      <c r="DD317" t="s">
        <v>133</v>
      </c>
      <c r="DG317">
        <v>790272</v>
      </c>
      <c r="DI317">
        <v>0</v>
      </c>
      <c r="DJ317">
        <v>0</v>
      </c>
      <c r="DK317">
        <v>0</v>
      </c>
      <c r="DL317">
        <v>0</v>
      </c>
      <c r="DM317">
        <v>0</v>
      </c>
      <c r="DN317">
        <v>1</v>
      </c>
      <c r="DO317">
        <v>0</v>
      </c>
      <c r="DP317">
        <v>0</v>
      </c>
      <c r="DQ317">
        <v>0</v>
      </c>
      <c r="DR317">
        <v>0</v>
      </c>
      <c r="DS317">
        <v>0</v>
      </c>
    </row>
    <row r="318" spans="1:123" x14ac:dyDescent="0.3">
      <c r="A318" t="str">
        <f t="shared" ref="A318:A323" si="120">"10/04/2022 19:26:33.055"</f>
        <v>10/04/2022 19:26:33.055</v>
      </c>
      <c r="C318" t="str">
        <f t="shared" si="98"/>
        <v>FFDFD3C0</v>
      </c>
      <c r="D318" t="s">
        <v>141</v>
      </c>
      <c r="E318">
        <v>3</v>
      </c>
      <c r="H318">
        <v>3</v>
      </c>
      <c r="I318" t="s">
        <v>146</v>
      </c>
      <c r="J318" t="s">
        <v>138</v>
      </c>
      <c r="K318">
        <v>0</v>
      </c>
      <c r="L318">
        <v>3</v>
      </c>
      <c r="M318">
        <v>0</v>
      </c>
      <c r="N318">
        <v>2</v>
      </c>
      <c r="O318">
        <v>0</v>
      </c>
      <c r="P318">
        <v>1</v>
      </c>
      <c r="Q318">
        <v>0</v>
      </c>
      <c r="S318" t="str">
        <f t="shared" si="118"/>
        <v>19:26:32.000</v>
      </c>
      <c r="T318" t="str">
        <f t="shared" si="118"/>
        <v>19:26:32.000</v>
      </c>
      <c r="U318" t="str">
        <f t="shared" si="99"/>
        <v>AC3944</v>
      </c>
      <c r="V318">
        <v>0</v>
      </c>
      <c r="W318">
        <v>0</v>
      </c>
      <c r="X318">
        <v>2</v>
      </c>
      <c r="Y318">
        <v>0</v>
      </c>
      <c r="AA318">
        <v>1</v>
      </c>
      <c r="AB318">
        <v>8</v>
      </c>
      <c r="AC318">
        <v>3</v>
      </c>
      <c r="AD318">
        <v>0</v>
      </c>
      <c r="AE318">
        <v>9</v>
      </c>
      <c r="AF318" t="s">
        <v>138</v>
      </c>
      <c r="AG318">
        <v>0</v>
      </c>
      <c r="AH318">
        <v>3</v>
      </c>
      <c r="AI318">
        <v>1</v>
      </c>
      <c r="AJ318">
        <v>0</v>
      </c>
      <c r="AK318" t="s">
        <v>244</v>
      </c>
      <c r="AL318">
        <v>32.823393000000003</v>
      </c>
      <c r="AM318" t="s">
        <v>245</v>
      </c>
      <c r="AN318">
        <v>-116.99849399999999</v>
      </c>
      <c r="AO318">
        <v>25</v>
      </c>
      <c r="AP318">
        <v>1700</v>
      </c>
      <c r="AQ318" t="s">
        <v>129</v>
      </c>
      <c r="AR318">
        <v>2</v>
      </c>
      <c r="AS318">
        <v>-108</v>
      </c>
      <c r="AT318">
        <v>1536</v>
      </c>
      <c r="BB318">
        <v>1200</v>
      </c>
      <c r="BC318">
        <v>1</v>
      </c>
      <c r="BD318" t="str">
        <f t="shared" si="100"/>
        <v xml:space="preserve">N887QR  </v>
      </c>
      <c r="BE318">
        <v>1</v>
      </c>
      <c r="BG318">
        <v>0</v>
      </c>
      <c r="BH318">
        <v>0</v>
      </c>
      <c r="BI318">
        <v>0</v>
      </c>
      <c r="BJ318">
        <v>1375</v>
      </c>
      <c r="BK318">
        <v>-325</v>
      </c>
      <c r="BL318" t="s">
        <v>163</v>
      </c>
      <c r="BM318">
        <v>1</v>
      </c>
      <c r="BN318">
        <v>1</v>
      </c>
      <c r="BO318">
        <v>1</v>
      </c>
      <c r="BP318">
        <v>0</v>
      </c>
      <c r="BS318">
        <v>0</v>
      </c>
      <c r="BT318">
        <v>0</v>
      </c>
      <c r="BU318">
        <v>0</v>
      </c>
      <c r="CE318" t="str">
        <f t="shared" si="119"/>
        <v>19:26:32.805</v>
      </c>
      <c r="CF318">
        <v>804655746</v>
      </c>
      <c r="CS318">
        <v>3</v>
      </c>
      <c r="CT318">
        <v>2</v>
      </c>
      <c r="CU318">
        <v>0</v>
      </c>
      <c r="CV318">
        <v>2</v>
      </c>
      <c r="CW318">
        <v>0</v>
      </c>
      <c r="CX318">
        <v>5</v>
      </c>
      <c r="CY318">
        <v>7</v>
      </c>
      <c r="CZ318" t="s">
        <v>131</v>
      </c>
      <c r="DA318">
        <v>286</v>
      </c>
      <c r="DB318">
        <v>0</v>
      </c>
      <c r="DC318" t="s">
        <v>132</v>
      </c>
      <c r="DD318" t="s">
        <v>133</v>
      </c>
      <c r="DG318">
        <v>790272</v>
      </c>
      <c r="DI318">
        <v>0</v>
      </c>
      <c r="DJ318">
        <v>0</v>
      </c>
      <c r="DK318">
        <v>1</v>
      </c>
      <c r="DL318">
        <v>0</v>
      </c>
      <c r="DM318">
        <v>0</v>
      </c>
      <c r="DN318">
        <v>1</v>
      </c>
      <c r="DO318">
        <v>0</v>
      </c>
      <c r="DP318">
        <v>0</v>
      </c>
      <c r="DQ318">
        <v>0</v>
      </c>
      <c r="DR318">
        <v>0</v>
      </c>
      <c r="DS318">
        <v>0</v>
      </c>
    </row>
    <row r="319" spans="1:123" x14ac:dyDescent="0.3">
      <c r="A319" t="str">
        <f t="shared" si="120"/>
        <v>10/04/2022 19:26:33.055</v>
      </c>
      <c r="C319" t="str">
        <f t="shared" si="98"/>
        <v>FFDFD3C0</v>
      </c>
      <c r="D319" t="s">
        <v>141</v>
      </c>
      <c r="E319">
        <v>4</v>
      </c>
      <c r="H319">
        <v>4</v>
      </c>
      <c r="I319" t="s">
        <v>142</v>
      </c>
      <c r="J319" t="s">
        <v>138</v>
      </c>
      <c r="K319">
        <v>0</v>
      </c>
      <c r="L319">
        <v>3</v>
      </c>
      <c r="M319">
        <v>0</v>
      </c>
      <c r="N319">
        <v>2</v>
      </c>
      <c r="O319">
        <v>0</v>
      </c>
      <c r="P319">
        <v>1</v>
      </c>
      <c r="Q319">
        <v>0</v>
      </c>
      <c r="S319" t="str">
        <f t="shared" si="118"/>
        <v>19:26:32.000</v>
      </c>
      <c r="T319" t="str">
        <f t="shared" si="118"/>
        <v>19:26:32.000</v>
      </c>
      <c r="U319" t="str">
        <f t="shared" si="99"/>
        <v>AC3944</v>
      </c>
      <c r="V319">
        <v>0</v>
      </c>
      <c r="W319">
        <v>0</v>
      </c>
      <c r="X319">
        <v>2</v>
      </c>
      <c r="Y319">
        <v>0</v>
      </c>
      <c r="AA319">
        <v>1</v>
      </c>
      <c r="AB319">
        <v>8</v>
      </c>
      <c r="AC319">
        <v>3</v>
      </c>
      <c r="AD319">
        <v>0</v>
      </c>
      <c r="AE319">
        <v>9</v>
      </c>
      <c r="AF319" t="s">
        <v>138</v>
      </c>
      <c r="AG319">
        <v>0</v>
      </c>
      <c r="AH319">
        <v>3</v>
      </c>
      <c r="AI319">
        <v>1</v>
      </c>
      <c r="AJ319">
        <v>0</v>
      </c>
      <c r="AK319" t="s">
        <v>244</v>
      </c>
      <c r="AL319">
        <v>32.823393000000003</v>
      </c>
      <c r="AM319" t="s">
        <v>245</v>
      </c>
      <c r="AN319">
        <v>-116.99849399999999</v>
      </c>
      <c r="AO319">
        <v>25</v>
      </c>
      <c r="AP319">
        <v>1700</v>
      </c>
      <c r="AQ319" t="s">
        <v>129</v>
      </c>
      <c r="AR319">
        <v>2</v>
      </c>
      <c r="AS319">
        <v>-108</v>
      </c>
      <c r="AT319">
        <v>1536</v>
      </c>
      <c r="BB319">
        <v>1200</v>
      </c>
      <c r="BC319">
        <v>1</v>
      </c>
      <c r="BD319" t="str">
        <f t="shared" si="100"/>
        <v xml:space="preserve">N887QR  </v>
      </c>
      <c r="BE319">
        <v>1</v>
      </c>
      <c r="BG319">
        <v>0</v>
      </c>
      <c r="BH319">
        <v>0</v>
      </c>
      <c r="BI319">
        <v>0</v>
      </c>
      <c r="BJ319">
        <v>1375</v>
      </c>
      <c r="BK319">
        <v>-325</v>
      </c>
      <c r="BL319" t="s">
        <v>163</v>
      </c>
      <c r="BM319">
        <v>1</v>
      </c>
      <c r="BN319">
        <v>1</v>
      </c>
      <c r="BO319">
        <v>1</v>
      </c>
      <c r="BP319">
        <v>0</v>
      </c>
      <c r="BS319">
        <v>0</v>
      </c>
      <c r="BT319">
        <v>0</v>
      </c>
      <c r="BU319">
        <v>0</v>
      </c>
      <c r="CE319" t="str">
        <f t="shared" si="119"/>
        <v>19:26:32.805</v>
      </c>
      <c r="CF319">
        <v>804655746</v>
      </c>
      <c r="CS319">
        <v>3</v>
      </c>
      <c r="CT319">
        <v>2</v>
      </c>
      <c r="CU319">
        <v>0</v>
      </c>
      <c r="CV319">
        <v>2</v>
      </c>
      <c r="CW319">
        <v>0</v>
      </c>
      <c r="CX319">
        <v>5</v>
      </c>
      <c r="CY319">
        <v>7</v>
      </c>
      <c r="CZ319" t="s">
        <v>131</v>
      </c>
      <c r="DA319">
        <v>286</v>
      </c>
      <c r="DB319">
        <v>0</v>
      </c>
      <c r="DC319" t="s">
        <v>132</v>
      </c>
      <c r="DD319" t="s">
        <v>133</v>
      </c>
      <c r="DG319">
        <v>790272</v>
      </c>
      <c r="DI319">
        <v>0</v>
      </c>
      <c r="DJ319">
        <v>0</v>
      </c>
      <c r="DK319">
        <v>1</v>
      </c>
      <c r="DL319">
        <v>0</v>
      </c>
      <c r="DM319">
        <v>0</v>
      </c>
      <c r="DN319">
        <v>1</v>
      </c>
      <c r="DO319">
        <v>0</v>
      </c>
      <c r="DP319">
        <v>0</v>
      </c>
      <c r="DQ319">
        <v>0</v>
      </c>
      <c r="DR319">
        <v>0</v>
      </c>
      <c r="DS319">
        <v>0</v>
      </c>
    </row>
    <row r="320" spans="1:123" x14ac:dyDescent="0.3">
      <c r="A320" t="str">
        <f t="shared" si="120"/>
        <v>10/04/2022 19:26:33.055</v>
      </c>
      <c r="C320" t="str">
        <f t="shared" si="98"/>
        <v>FFDFD3C0</v>
      </c>
      <c r="D320" t="s">
        <v>136</v>
      </c>
      <c r="E320">
        <v>8</v>
      </c>
      <c r="H320">
        <v>225</v>
      </c>
      <c r="I320" t="s">
        <v>137</v>
      </c>
      <c r="J320" t="s">
        <v>138</v>
      </c>
      <c r="K320">
        <v>0</v>
      </c>
      <c r="L320">
        <v>3</v>
      </c>
      <c r="M320">
        <v>0</v>
      </c>
      <c r="N320">
        <v>2</v>
      </c>
      <c r="O320">
        <v>0</v>
      </c>
      <c r="P320">
        <v>1</v>
      </c>
      <c r="Q320">
        <v>0</v>
      </c>
      <c r="S320" t="str">
        <f t="shared" si="118"/>
        <v>19:26:32.000</v>
      </c>
      <c r="T320" t="str">
        <f t="shared" si="118"/>
        <v>19:26:32.000</v>
      </c>
      <c r="U320" t="str">
        <f t="shared" si="99"/>
        <v>AC3944</v>
      </c>
      <c r="V320">
        <v>0</v>
      </c>
      <c r="W320">
        <v>0</v>
      </c>
      <c r="X320">
        <v>2</v>
      </c>
      <c r="Y320">
        <v>0</v>
      </c>
      <c r="AA320">
        <v>1</v>
      </c>
      <c r="AB320">
        <v>8</v>
      </c>
      <c r="AC320">
        <v>3</v>
      </c>
      <c r="AD320">
        <v>0</v>
      </c>
      <c r="AE320">
        <v>9</v>
      </c>
      <c r="AF320" t="s">
        <v>138</v>
      </c>
      <c r="AG320">
        <v>0</v>
      </c>
      <c r="AH320">
        <v>3</v>
      </c>
      <c r="AI320">
        <v>1</v>
      </c>
      <c r="AJ320">
        <v>0</v>
      </c>
      <c r="AK320" t="s">
        <v>244</v>
      </c>
      <c r="AL320">
        <v>32.823393000000003</v>
      </c>
      <c r="AM320" t="s">
        <v>245</v>
      </c>
      <c r="AN320">
        <v>-116.99849399999999</v>
      </c>
      <c r="AO320">
        <v>25</v>
      </c>
      <c r="AP320">
        <v>1700</v>
      </c>
      <c r="AQ320" t="s">
        <v>129</v>
      </c>
      <c r="AR320">
        <v>2</v>
      </c>
      <c r="AS320">
        <v>-108</v>
      </c>
      <c r="AT320">
        <v>1536</v>
      </c>
      <c r="BB320">
        <v>1200</v>
      </c>
      <c r="BC320">
        <v>1</v>
      </c>
      <c r="BD320" t="str">
        <f t="shared" si="100"/>
        <v xml:space="preserve">N887QR  </v>
      </c>
      <c r="BE320">
        <v>1</v>
      </c>
      <c r="BG320">
        <v>0</v>
      </c>
      <c r="BH320">
        <v>0</v>
      </c>
      <c r="BI320">
        <v>0</v>
      </c>
      <c r="BJ320">
        <v>1375</v>
      </c>
      <c r="BK320">
        <v>-325</v>
      </c>
      <c r="BL320" t="s">
        <v>163</v>
      </c>
      <c r="BM320">
        <v>1</v>
      </c>
      <c r="BN320">
        <v>1</v>
      </c>
      <c r="BO320">
        <v>1</v>
      </c>
      <c r="BP320">
        <v>0</v>
      </c>
      <c r="BS320">
        <v>0</v>
      </c>
      <c r="BT320">
        <v>0</v>
      </c>
      <c r="BU320">
        <v>0</v>
      </c>
      <c r="CE320" t="str">
        <f t="shared" si="119"/>
        <v>19:26:32.805</v>
      </c>
      <c r="CF320">
        <v>804655746</v>
      </c>
      <c r="CS320">
        <v>3</v>
      </c>
      <c r="CT320">
        <v>2</v>
      </c>
      <c r="CU320">
        <v>0</v>
      </c>
      <c r="CV320">
        <v>2</v>
      </c>
      <c r="CW320">
        <v>0</v>
      </c>
      <c r="CX320">
        <v>5</v>
      </c>
      <c r="CY320">
        <v>7</v>
      </c>
      <c r="CZ320" t="s">
        <v>131</v>
      </c>
      <c r="DA320">
        <v>286</v>
      </c>
      <c r="DB320">
        <v>0</v>
      </c>
      <c r="DC320" t="s">
        <v>132</v>
      </c>
      <c r="DD320" t="s">
        <v>133</v>
      </c>
      <c r="DG320">
        <v>790272</v>
      </c>
      <c r="DI320">
        <v>0</v>
      </c>
      <c r="DJ320">
        <v>0</v>
      </c>
      <c r="DK320">
        <v>1</v>
      </c>
      <c r="DL320">
        <v>0</v>
      </c>
      <c r="DM320">
        <v>0</v>
      </c>
      <c r="DN320">
        <v>1</v>
      </c>
      <c r="DO320">
        <v>0</v>
      </c>
      <c r="DP320">
        <v>0</v>
      </c>
      <c r="DQ320">
        <v>0</v>
      </c>
      <c r="DR320">
        <v>0</v>
      </c>
      <c r="DS320">
        <v>0</v>
      </c>
    </row>
    <row r="321" spans="1:123" x14ac:dyDescent="0.3">
      <c r="A321" t="str">
        <f t="shared" si="120"/>
        <v>10/04/2022 19:26:33.055</v>
      </c>
      <c r="C321" t="str">
        <f t="shared" si="98"/>
        <v>FFDFD3C0</v>
      </c>
      <c r="D321" t="s">
        <v>134</v>
      </c>
      <c r="E321">
        <v>15</v>
      </c>
      <c r="J321" t="s">
        <v>135</v>
      </c>
      <c r="K321">
        <v>0</v>
      </c>
      <c r="L321">
        <v>3</v>
      </c>
      <c r="M321">
        <v>0</v>
      </c>
      <c r="N321">
        <v>2</v>
      </c>
      <c r="O321">
        <v>0</v>
      </c>
      <c r="P321">
        <v>1</v>
      </c>
      <c r="Q321">
        <v>0</v>
      </c>
      <c r="S321" t="str">
        <f t="shared" si="118"/>
        <v>19:26:32.000</v>
      </c>
      <c r="T321" t="str">
        <f t="shared" si="118"/>
        <v>19:26:32.000</v>
      </c>
      <c r="U321" t="str">
        <f t="shared" si="99"/>
        <v>AC3944</v>
      </c>
      <c r="V321">
        <v>0</v>
      </c>
      <c r="W321">
        <v>0</v>
      </c>
      <c r="X321">
        <v>2</v>
      </c>
      <c r="Y321">
        <v>0</v>
      </c>
      <c r="AA321">
        <v>1</v>
      </c>
      <c r="AB321">
        <v>8</v>
      </c>
      <c r="AC321">
        <v>3</v>
      </c>
      <c r="AD321">
        <v>0</v>
      </c>
      <c r="AE321">
        <v>9</v>
      </c>
      <c r="AF321" t="s">
        <v>138</v>
      </c>
      <c r="AG321">
        <v>0</v>
      </c>
      <c r="AH321">
        <v>3</v>
      </c>
      <c r="AI321">
        <v>1</v>
      </c>
      <c r="AJ321">
        <v>0</v>
      </c>
      <c r="AK321" t="s">
        <v>244</v>
      </c>
      <c r="AL321">
        <v>32.823393000000003</v>
      </c>
      <c r="AM321" t="s">
        <v>245</v>
      </c>
      <c r="AN321">
        <v>-116.99849399999999</v>
      </c>
      <c r="AO321">
        <v>25</v>
      </c>
      <c r="AP321">
        <v>1700</v>
      </c>
      <c r="AQ321" t="s">
        <v>129</v>
      </c>
      <c r="AR321">
        <v>2</v>
      </c>
      <c r="AS321">
        <v>-108</v>
      </c>
      <c r="AT321">
        <v>1536</v>
      </c>
      <c r="BB321">
        <v>1200</v>
      </c>
      <c r="BC321">
        <v>1</v>
      </c>
      <c r="BD321" t="str">
        <f t="shared" si="100"/>
        <v xml:space="preserve">N887QR  </v>
      </c>
      <c r="BE321">
        <v>1</v>
      </c>
      <c r="BG321">
        <v>0</v>
      </c>
      <c r="BH321">
        <v>0</v>
      </c>
      <c r="BI321">
        <v>0</v>
      </c>
      <c r="BJ321">
        <v>1375</v>
      </c>
      <c r="BK321">
        <v>-325</v>
      </c>
      <c r="BL321" t="s">
        <v>163</v>
      </c>
      <c r="BM321">
        <v>1</v>
      </c>
      <c r="BN321">
        <v>1</v>
      </c>
      <c r="BO321">
        <v>1</v>
      </c>
      <c r="BP321">
        <v>0</v>
      </c>
      <c r="BS321">
        <v>0</v>
      </c>
      <c r="BT321">
        <v>0</v>
      </c>
      <c r="BU321">
        <v>0</v>
      </c>
      <c r="CE321" t="str">
        <f t="shared" si="119"/>
        <v>19:26:32.805</v>
      </c>
      <c r="CF321">
        <v>804655746</v>
      </c>
      <c r="CS321">
        <v>3</v>
      </c>
      <c r="CT321">
        <v>2</v>
      </c>
      <c r="CU321">
        <v>0</v>
      </c>
      <c r="CV321">
        <v>2</v>
      </c>
      <c r="CW321">
        <v>0</v>
      </c>
      <c r="CX321">
        <v>5</v>
      </c>
      <c r="CY321">
        <v>7</v>
      </c>
      <c r="CZ321" t="s">
        <v>131</v>
      </c>
      <c r="DA321">
        <v>286</v>
      </c>
      <c r="DB321">
        <v>0</v>
      </c>
      <c r="DC321" t="s">
        <v>132</v>
      </c>
      <c r="DD321" t="s">
        <v>133</v>
      </c>
      <c r="DG321">
        <v>790272</v>
      </c>
      <c r="DI321">
        <v>0</v>
      </c>
      <c r="DJ321">
        <v>0</v>
      </c>
      <c r="DK321">
        <v>1</v>
      </c>
      <c r="DL321">
        <v>0</v>
      </c>
      <c r="DM321">
        <v>0</v>
      </c>
      <c r="DN321">
        <v>1</v>
      </c>
      <c r="DO321">
        <v>0</v>
      </c>
      <c r="DP321">
        <v>0</v>
      </c>
      <c r="DQ321">
        <v>0</v>
      </c>
      <c r="DR321">
        <v>0</v>
      </c>
      <c r="DS321">
        <v>0</v>
      </c>
    </row>
    <row r="322" spans="1:123" x14ac:dyDescent="0.3">
      <c r="A322" t="str">
        <f t="shared" si="120"/>
        <v>10/04/2022 19:26:33.055</v>
      </c>
      <c r="C322" t="str">
        <f t="shared" ref="C322:C385" si="121">"FFDFD3C0"</f>
        <v>FFDFD3C0</v>
      </c>
      <c r="D322" t="s">
        <v>123</v>
      </c>
      <c r="E322">
        <v>7</v>
      </c>
      <c r="F322">
        <v>2007</v>
      </c>
      <c r="G322" t="s">
        <v>124</v>
      </c>
      <c r="J322" t="s">
        <v>125</v>
      </c>
      <c r="K322">
        <v>0</v>
      </c>
      <c r="L322">
        <v>3</v>
      </c>
      <c r="M322">
        <v>0</v>
      </c>
      <c r="N322">
        <v>2</v>
      </c>
      <c r="O322">
        <v>0</v>
      </c>
      <c r="P322">
        <v>1</v>
      </c>
      <c r="Q322">
        <v>0</v>
      </c>
      <c r="S322" t="str">
        <f t="shared" si="118"/>
        <v>19:26:32.000</v>
      </c>
      <c r="T322" t="str">
        <f t="shared" si="118"/>
        <v>19:26:32.000</v>
      </c>
      <c r="U322" t="str">
        <f t="shared" ref="U322:U385" si="122">"AC3944"</f>
        <v>AC3944</v>
      </c>
      <c r="V322">
        <v>0</v>
      </c>
      <c r="W322">
        <v>0</v>
      </c>
      <c r="X322">
        <v>2</v>
      </c>
      <c r="Y322">
        <v>0</v>
      </c>
      <c r="AA322">
        <v>1</v>
      </c>
      <c r="AB322">
        <v>8</v>
      </c>
      <c r="AC322">
        <v>3</v>
      </c>
      <c r="AD322">
        <v>0</v>
      </c>
      <c r="AE322">
        <v>9</v>
      </c>
      <c r="AF322" t="s">
        <v>138</v>
      </c>
      <c r="AG322">
        <v>0</v>
      </c>
      <c r="AH322">
        <v>3</v>
      </c>
      <c r="AI322">
        <v>1</v>
      </c>
      <c r="AJ322">
        <v>0</v>
      </c>
      <c r="AK322" t="s">
        <v>244</v>
      </c>
      <c r="AL322">
        <v>32.823393000000003</v>
      </c>
      <c r="AM322" t="s">
        <v>245</v>
      </c>
      <c r="AN322">
        <v>-116.99849399999999</v>
      </c>
      <c r="AO322">
        <v>25</v>
      </c>
      <c r="AP322">
        <v>1700</v>
      </c>
      <c r="AQ322" t="s">
        <v>129</v>
      </c>
      <c r="AR322">
        <v>2</v>
      </c>
      <c r="AS322">
        <v>-108</v>
      </c>
      <c r="AT322">
        <v>1536</v>
      </c>
      <c r="BB322">
        <v>1200</v>
      </c>
      <c r="BC322">
        <v>1</v>
      </c>
      <c r="BD322" t="str">
        <f t="shared" ref="BD322:BD385" si="123">"N887QR  "</f>
        <v xml:space="preserve">N887QR  </v>
      </c>
      <c r="BE322">
        <v>1</v>
      </c>
      <c r="BG322">
        <v>0</v>
      </c>
      <c r="BH322">
        <v>0</v>
      </c>
      <c r="BI322">
        <v>0</v>
      </c>
      <c r="BJ322">
        <v>1375</v>
      </c>
      <c r="BK322">
        <v>-325</v>
      </c>
      <c r="BL322" t="s">
        <v>163</v>
      </c>
      <c r="BM322">
        <v>1</v>
      </c>
      <c r="BN322">
        <v>1</v>
      </c>
      <c r="BO322">
        <v>1</v>
      </c>
      <c r="BP322">
        <v>0</v>
      </c>
      <c r="BS322">
        <v>0</v>
      </c>
      <c r="BT322">
        <v>0</v>
      </c>
      <c r="BU322">
        <v>0</v>
      </c>
      <c r="CE322" t="str">
        <f t="shared" si="119"/>
        <v>19:26:32.805</v>
      </c>
      <c r="CF322">
        <v>804655746</v>
      </c>
      <c r="CS322">
        <v>3</v>
      </c>
      <c r="CT322">
        <v>2</v>
      </c>
      <c r="CU322">
        <v>0</v>
      </c>
      <c r="CV322">
        <v>2</v>
      </c>
      <c r="CW322">
        <v>0</v>
      </c>
      <c r="CX322">
        <v>5</v>
      </c>
      <c r="CY322">
        <v>7</v>
      </c>
      <c r="CZ322" t="s">
        <v>131</v>
      </c>
      <c r="DA322">
        <v>286</v>
      </c>
      <c r="DB322">
        <v>0</v>
      </c>
      <c r="DC322" t="s">
        <v>132</v>
      </c>
      <c r="DD322" t="s">
        <v>133</v>
      </c>
      <c r="DG322">
        <v>790272</v>
      </c>
      <c r="DI322">
        <v>0</v>
      </c>
      <c r="DJ322">
        <v>0</v>
      </c>
      <c r="DK322">
        <v>1</v>
      </c>
      <c r="DL322">
        <v>0</v>
      </c>
      <c r="DM322">
        <v>0</v>
      </c>
      <c r="DN322">
        <v>1</v>
      </c>
      <c r="DO322">
        <v>0</v>
      </c>
      <c r="DP322">
        <v>0</v>
      </c>
      <c r="DQ322">
        <v>0</v>
      </c>
      <c r="DR322">
        <v>0</v>
      </c>
      <c r="DS322">
        <v>0</v>
      </c>
    </row>
    <row r="323" spans="1:123" x14ac:dyDescent="0.3">
      <c r="A323" t="str">
        <f t="shared" si="120"/>
        <v>10/04/2022 19:26:33.055</v>
      </c>
      <c r="C323" t="str">
        <f t="shared" si="121"/>
        <v>FFDFD3C0</v>
      </c>
      <c r="D323" t="s">
        <v>143</v>
      </c>
      <c r="E323">
        <v>20</v>
      </c>
      <c r="F323">
        <v>1020</v>
      </c>
      <c r="G323" t="s">
        <v>144</v>
      </c>
      <c r="J323" t="s">
        <v>145</v>
      </c>
      <c r="K323">
        <v>0</v>
      </c>
      <c r="L323">
        <v>3</v>
      </c>
      <c r="M323">
        <v>0</v>
      </c>
      <c r="N323">
        <v>2</v>
      </c>
      <c r="O323">
        <v>0</v>
      </c>
      <c r="P323">
        <v>1</v>
      </c>
      <c r="Q323">
        <v>0</v>
      </c>
      <c r="S323" t="str">
        <f t="shared" si="118"/>
        <v>19:26:32.000</v>
      </c>
      <c r="T323" t="str">
        <f t="shared" si="118"/>
        <v>19:26:32.000</v>
      </c>
      <c r="U323" t="str">
        <f t="shared" si="122"/>
        <v>AC3944</v>
      </c>
      <c r="V323">
        <v>0</v>
      </c>
      <c r="W323">
        <v>0</v>
      </c>
      <c r="X323">
        <v>2</v>
      </c>
      <c r="Y323">
        <v>0</v>
      </c>
      <c r="AA323">
        <v>1</v>
      </c>
      <c r="AB323">
        <v>8</v>
      </c>
      <c r="AC323">
        <v>3</v>
      </c>
      <c r="AD323">
        <v>0</v>
      </c>
      <c r="AE323">
        <v>9</v>
      </c>
      <c r="AF323" t="s">
        <v>138</v>
      </c>
      <c r="AG323">
        <v>0</v>
      </c>
      <c r="AH323">
        <v>3</v>
      </c>
      <c r="AI323">
        <v>1</v>
      </c>
      <c r="AJ323">
        <v>0</v>
      </c>
      <c r="AK323" t="s">
        <v>244</v>
      </c>
      <c r="AL323">
        <v>32.823393000000003</v>
      </c>
      <c r="AM323" t="s">
        <v>245</v>
      </c>
      <c r="AN323">
        <v>-116.99849399999999</v>
      </c>
      <c r="AO323">
        <v>25</v>
      </c>
      <c r="AP323">
        <v>1700</v>
      </c>
      <c r="AQ323" t="s">
        <v>129</v>
      </c>
      <c r="AR323">
        <v>2</v>
      </c>
      <c r="AS323">
        <v>-108</v>
      </c>
      <c r="AT323">
        <v>1536</v>
      </c>
      <c r="BB323">
        <v>1200</v>
      </c>
      <c r="BC323">
        <v>1</v>
      </c>
      <c r="BD323" t="str">
        <f t="shared" si="123"/>
        <v xml:space="preserve">N887QR  </v>
      </c>
      <c r="BE323">
        <v>1</v>
      </c>
      <c r="BG323">
        <v>0</v>
      </c>
      <c r="BH323">
        <v>0</v>
      </c>
      <c r="BI323">
        <v>0</v>
      </c>
      <c r="BJ323">
        <v>1375</v>
      </c>
      <c r="BK323">
        <v>-325</v>
      </c>
      <c r="BL323" t="s">
        <v>163</v>
      </c>
      <c r="BM323">
        <v>1</v>
      </c>
      <c r="BN323">
        <v>1</v>
      </c>
      <c r="BO323">
        <v>1</v>
      </c>
      <c r="BP323">
        <v>0</v>
      </c>
      <c r="BS323">
        <v>0</v>
      </c>
      <c r="BT323">
        <v>0</v>
      </c>
      <c r="BU323">
        <v>0</v>
      </c>
      <c r="CE323" t="str">
        <f t="shared" si="119"/>
        <v>19:26:32.805</v>
      </c>
      <c r="CF323">
        <v>804655746</v>
      </c>
      <c r="CS323">
        <v>3</v>
      </c>
      <c r="CT323">
        <v>2</v>
      </c>
      <c r="CU323">
        <v>0</v>
      </c>
      <c r="CV323">
        <v>2</v>
      </c>
      <c r="CW323">
        <v>0</v>
      </c>
      <c r="CX323">
        <v>5</v>
      </c>
      <c r="CY323">
        <v>7</v>
      </c>
      <c r="CZ323" t="s">
        <v>131</v>
      </c>
      <c r="DA323">
        <v>286</v>
      </c>
      <c r="DB323">
        <v>0</v>
      </c>
      <c r="DC323" t="s">
        <v>132</v>
      </c>
      <c r="DD323" t="s">
        <v>133</v>
      </c>
      <c r="DG323">
        <v>790272</v>
      </c>
      <c r="DI323">
        <v>0</v>
      </c>
      <c r="DJ323">
        <v>0</v>
      </c>
      <c r="DK323">
        <v>1</v>
      </c>
      <c r="DL323">
        <v>0</v>
      </c>
      <c r="DM323">
        <v>0</v>
      </c>
      <c r="DN323">
        <v>1</v>
      </c>
      <c r="DO323">
        <v>0</v>
      </c>
      <c r="DP323">
        <v>0</v>
      </c>
      <c r="DQ323">
        <v>0</v>
      </c>
      <c r="DR323">
        <v>0</v>
      </c>
      <c r="DS323">
        <v>0</v>
      </c>
    </row>
    <row r="324" spans="1:123" x14ac:dyDescent="0.3">
      <c r="A324" t="str">
        <f t="shared" ref="A324:A330" si="124">"10/04/2022 19:26:34.650"</f>
        <v>10/04/2022 19:26:34.650</v>
      </c>
      <c r="C324" t="str">
        <f t="shared" si="121"/>
        <v>FFDFD3C0</v>
      </c>
      <c r="D324" t="s">
        <v>141</v>
      </c>
      <c r="E324">
        <v>3</v>
      </c>
      <c r="H324">
        <v>3</v>
      </c>
      <c r="I324" t="s">
        <v>146</v>
      </c>
      <c r="J324" t="s">
        <v>138</v>
      </c>
      <c r="K324">
        <v>0</v>
      </c>
      <c r="L324">
        <v>3</v>
      </c>
      <c r="M324">
        <v>0</v>
      </c>
      <c r="N324">
        <v>2</v>
      </c>
      <c r="O324">
        <v>0</v>
      </c>
      <c r="P324">
        <v>1</v>
      </c>
      <c r="Q324">
        <v>0</v>
      </c>
      <c r="S324" t="str">
        <f t="shared" ref="S324:T337" si="125">"19:26:34.000"</f>
        <v>19:26:34.000</v>
      </c>
      <c r="T324" t="str">
        <f t="shared" si="125"/>
        <v>19:26:34.000</v>
      </c>
      <c r="U324" t="str">
        <f t="shared" si="122"/>
        <v>AC3944</v>
      </c>
      <c r="V324">
        <v>0</v>
      </c>
      <c r="W324">
        <v>0</v>
      </c>
      <c r="X324">
        <v>2</v>
      </c>
      <c r="Y324">
        <v>0</v>
      </c>
      <c r="AA324">
        <v>1</v>
      </c>
      <c r="AB324">
        <v>8</v>
      </c>
      <c r="AC324">
        <v>3</v>
      </c>
      <c r="AD324">
        <v>0</v>
      </c>
      <c r="AE324">
        <v>9</v>
      </c>
      <c r="AF324" t="s">
        <v>138</v>
      </c>
      <c r="AG324">
        <v>0</v>
      </c>
      <c r="AH324">
        <v>3</v>
      </c>
      <c r="AI324">
        <v>1</v>
      </c>
      <c r="AJ324">
        <v>0</v>
      </c>
      <c r="AK324" t="s">
        <v>246</v>
      </c>
      <c r="AL324">
        <v>32.822878000000003</v>
      </c>
      <c r="AM324" t="s">
        <v>247</v>
      </c>
      <c r="AN324">
        <v>-116.99847200000001</v>
      </c>
      <c r="AO324">
        <v>25</v>
      </c>
      <c r="AP324">
        <v>1700</v>
      </c>
      <c r="AQ324" t="s">
        <v>129</v>
      </c>
      <c r="AR324">
        <v>18</v>
      </c>
      <c r="AS324">
        <v>-108</v>
      </c>
      <c r="AT324">
        <v>1536</v>
      </c>
      <c r="BB324">
        <v>1200</v>
      </c>
      <c r="BC324">
        <v>1</v>
      </c>
      <c r="BD324" t="str">
        <f t="shared" si="123"/>
        <v xml:space="preserve">N887QR  </v>
      </c>
      <c r="BE324">
        <v>1</v>
      </c>
      <c r="BG324">
        <v>0</v>
      </c>
      <c r="BH324">
        <v>0</v>
      </c>
      <c r="BI324">
        <v>0</v>
      </c>
      <c r="BJ324">
        <v>1375</v>
      </c>
      <c r="BK324">
        <v>-325</v>
      </c>
      <c r="BL324" t="s">
        <v>163</v>
      </c>
      <c r="BM324">
        <v>1</v>
      </c>
      <c r="BN324">
        <v>1</v>
      </c>
      <c r="BO324">
        <v>1</v>
      </c>
      <c r="BP324">
        <v>0</v>
      </c>
      <c r="BS324">
        <v>0</v>
      </c>
      <c r="BT324">
        <v>0</v>
      </c>
      <c r="BU324">
        <v>0</v>
      </c>
      <c r="CE324" t="str">
        <f t="shared" ref="CE324:CE330" si="126">"19:26:34.442"</f>
        <v>19:26:34.442</v>
      </c>
      <c r="CF324">
        <v>441660635</v>
      </c>
      <c r="CS324">
        <v>3</v>
      </c>
      <c r="CT324">
        <v>2</v>
      </c>
      <c r="CU324">
        <v>0</v>
      </c>
      <c r="CV324">
        <v>2</v>
      </c>
      <c r="CW324">
        <v>0</v>
      </c>
      <c r="CX324">
        <v>5</v>
      </c>
      <c r="CY324">
        <v>7</v>
      </c>
      <c r="CZ324" t="s">
        <v>131</v>
      </c>
      <c r="DA324">
        <v>286</v>
      </c>
      <c r="DB324">
        <v>0</v>
      </c>
      <c r="DC324" t="s">
        <v>132</v>
      </c>
      <c r="DD324" t="s">
        <v>133</v>
      </c>
      <c r="DG324">
        <v>790582</v>
      </c>
      <c r="DI324">
        <v>0</v>
      </c>
      <c r="DJ324">
        <v>0</v>
      </c>
      <c r="DK324">
        <v>0</v>
      </c>
      <c r="DL324">
        <v>0</v>
      </c>
      <c r="DM324">
        <v>0</v>
      </c>
      <c r="DN324">
        <v>1</v>
      </c>
      <c r="DO324">
        <v>0</v>
      </c>
      <c r="DP324">
        <v>0</v>
      </c>
      <c r="DQ324">
        <v>0</v>
      </c>
      <c r="DR324">
        <v>0</v>
      </c>
      <c r="DS324">
        <v>0</v>
      </c>
    </row>
    <row r="325" spans="1:123" x14ac:dyDescent="0.3">
      <c r="A325" t="str">
        <f t="shared" si="124"/>
        <v>10/04/2022 19:26:34.650</v>
      </c>
      <c r="C325" t="str">
        <f t="shared" si="121"/>
        <v>FFDFD3C0</v>
      </c>
      <c r="D325" t="s">
        <v>141</v>
      </c>
      <c r="E325">
        <v>4</v>
      </c>
      <c r="H325">
        <v>4</v>
      </c>
      <c r="I325" t="s">
        <v>142</v>
      </c>
      <c r="J325" t="s">
        <v>138</v>
      </c>
      <c r="K325">
        <v>0</v>
      </c>
      <c r="L325">
        <v>3</v>
      </c>
      <c r="M325">
        <v>0</v>
      </c>
      <c r="N325">
        <v>2</v>
      </c>
      <c r="O325">
        <v>0</v>
      </c>
      <c r="P325">
        <v>1</v>
      </c>
      <c r="Q325">
        <v>0</v>
      </c>
      <c r="S325" t="str">
        <f t="shared" si="125"/>
        <v>19:26:34.000</v>
      </c>
      <c r="T325" t="str">
        <f t="shared" si="125"/>
        <v>19:26:34.000</v>
      </c>
      <c r="U325" t="str">
        <f t="shared" si="122"/>
        <v>AC3944</v>
      </c>
      <c r="V325">
        <v>0</v>
      </c>
      <c r="W325">
        <v>0</v>
      </c>
      <c r="X325">
        <v>2</v>
      </c>
      <c r="Y325">
        <v>0</v>
      </c>
      <c r="AA325">
        <v>1</v>
      </c>
      <c r="AB325">
        <v>8</v>
      </c>
      <c r="AC325">
        <v>3</v>
      </c>
      <c r="AD325">
        <v>0</v>
      </c>
      <c r="AE325">
        <v>9</v>
      </c>
      <c r="AF325" t="s">
        <v>138</v>
      </c>
      <c r="AG325">
        <v>0</v>
      </c>
      <c r="AH325">
        <v>3</v>
      </c>
      <c r="AI325">
        <v>1</v>
      </c>
      <c r="AJ325">
        <v>0</v>
      </c>
      <c r="AK325" t="s">
        <v>246</v>
      </c>
      <c r="AL325">
        <v>32.822878000000003</v>
      </c>
      <c r="AM325" t="s">
        <v>247</v>
      </c>
      <c r="AN325">
        <v>-116.99847200000001</v>
      </c>
      <c r="AO325">
        <v>25</v>
      </c>
      <c r="AP325">
        <v>1700</v>
      </c>
      <c r="AQ325" t="s">
        <v>129</v>
      </c>
      <c r="AR325">
        <v>18</v>
      </c>
      <c r="AS325">
        <v>-108</v>
      </c>
      <c r="AT325">
        <v>1536</v>
      </c>
      <c r="BB325">
        <v>1200</v>
      </c>
      <c r="BC325">
        <v>1</v>
      </c>
      <c r="BD325" t="str">
        <f t="shared" si="123"/>
        <v xml:space="preserve">N887QR  </v>
      </c>
      <c r="BE325">
        <v>1</v>
      </c>
      <c r="BG325">
        <v>0</v>
      </c>
      <c r="BH325">
        <v>0</v>
      </c>
      <c r="BI325">
        <v>0</v>
      </c>
      <c r="BJ325">
        <v>1375</v>
      </c>
      <c r="BK325">
        <v>-325</v>
      </c>
      <c r="BL325" t="s">
        <v>163</v>
      </c>
      <c r="BM325">
        <v>1</v>
      </c>
      <c r="BN325">
        <v>1</v>
      </c>
      <c r="BO325">
        <v>1</v>
      </c>
      <c r="BP325">
        <v>0</v>
      </c>
      <c r="BS325">
        <v>0</v>
      </c>
      <c r="BT325">
        <v>0</v>
      </c>
      <c r="BU325">
        <v>0</v>
      </c>
      <c r="CE325" t="str">
        <f t="shared" si="126"/>
        <v>19:26:34.442</v>
      </c>
      <c r="CF325">
        <v>441660635</v>
      </c>
      <c r="CS325">
        <v>3</v>
      </c>
      <c r="CT325">
        <v>2</v>
      </c>
      <c r="CU325">
        <v>0</v>
      </c>
      <c r="CV325">
        <v>2</v>
      </c>
      <c r="CW325">
        <v>0</v>
      </c>
      <c r="CX325">
        <v>5</v>
      </c>
      <c r="CY325">
        <v>7</v>
      </c>
      <c r="CZ325" t="s">
        <v>131</v>
      </c>
      <c r="DA325">
        <v>286</v>
      </c>
      <c r="DB325">
        <v>0</v>
      </c>
      <c r="DC325" t="s">
        <v>132</v>
      </c>
      <c r="DD325" t="s">
        <v>133</v>
      </c>
      <c r="DG325">
        <v>790582</v>
      </c>
      <c r="DI325">
        <v>0</v>
      </c>
      <c r="DJ325">
        <v>0</v>
      </c>
      <c r="DK325">
        <v>1</v>
      </c>
      <c r="DL325">
        <v>0</v>
      </c>
      <c r="DM325">
        <v>0</v>
      </c>
      <c r="DN325">
        <v>1</v>
      </c>
      <c r="DO325">
        <v>0</v>
      </c>
      <c r="DP325">
        <v>0</v>
      </c>
      <c r="DQ325">
        <v>0</v>
      </c>
      <c r="DR325">
        <v>0</v>
      </c>
      <c r="DS325">
        <v>0</v>
      </c>
    </row>
    <row r="326" spans="1:123" x14ac:dyDescent="0.3">
      <c r="A326" t="str">
        <f t="shared" si="124"/>
        <v>10/04/2022 19:26:34.650</v>
      </c>
      <c r="C326" t="str">
        <f t="shared" si="121"/>
        <v>FFDFD3C0</v>
      </c>
      <c r="D326" t="s">
        <v>136</v>
      </c>
      <c r="E326">
        <v>8</v>
      </c>
      <c r="H326">
        <v>225</v>
      </c>
      <c r="I326" t="s">
        <v>137</v>
      </c>
      <c r="J326" t="s">
        <v>138</v>
      </c>
      <c r="K326">
        <v>0</v>
      </c>
      <c r="L326">
        <v>3</v>
      </c>
      <c r="M326">
        <v>0</v>
      </c>
      <c r="N326">
        <v>2</v>
      </c>
      <c r="O326">
        <v>0</v>
      </c>
      <c r="P326">
        <v>1</v>
      </c>
      <c r="Q326">
        <v>0</v>
      </c>
      <c r="S326" t="str">
        <f t="shared" si="125"/>
        <v>19:26:34.000</v>
      </c>
      <c r="T326" t="str">
        <f t="shared" si="125"/>
        <v>19:26:34.000</v>
      </c>
      <c r="U326" t="str">
        <f t="shared" si="122"/>
        <v>AC3944</v>
      </c>
      <c r="V326">
        <v>0</v>
      </c>
      <c r="W326">
        <v>0</v>
      </c>
      <c r="X326">
        <v>2</v>
      </c>
      <c r="Y326">
        <v>0</v>
      </c>
      <c r="AA326">
        <v>1</v>
      </c>
      <c r="AB326">
        <v>8</v>
      </c>
      <c r="AC326">
        <v>3</v>
      </c>
      <c r="AD326">
        <v>0</v>
      </c>
      <c r="AE326">
        <v>9</v>
      </c>
      <c r="AF326" t="s">
        <v>138</v>
      </c>
      <c r="AG326">
        <v>0</v>
      </c>
      <c r="AH326">
        <v>3</v>
      </c>
      <c r="AI326">
        <v>1</v>
      </c>
      <c r="AJ326">
        <v>0</v>
      </c>
      <c r="AK326" t="s">
        <v>246</v>
      </c>
      <c r="AL326">
        <v>32.822878000000003</v>
      </c>
      <c r="AM326" t="s">
        <v>247</v>
      </c>
      <c r="AN326">
        <v>-116.99847200000001</v>
      </c>
      <c r="AO326">
        <v>25</v>
      </c>
      <c r="AP326">
        <v>1700</v>
      </c>
      <c r="AQ326" t="s">
        <v>129</v>
      </c>
      <c r="AR326">
        <v>18</v>
      </c>
      <c r="AS326">
        <v>-108</v>
      </c>
      <c r="AT326">
        <v>1536</v>
      </c>
      <c r="BB326">
        <v>1200</v>
      </c>
      <c r="BC326">
        <v>1</v>
      </c>
      <c r="BD326" t="str">
        <f t="shared" si="123"/>
        <v xml:space="preserve">N887QR  </v>
      </c>
      <c r="BE326">
        <v>1</v>
      </c>
      <c r="BG326">
        <v>0</v>
      </c>
      <c r="BH326">
        <v>0</v>
      </c>
      <c r="BI326">
        <v>0</v>
      </c>
      <c r="BJ326">
        <v>1375</v>
      </c>
      <c r="BK326">
        <v>-325</v>
      </c>
      <c r="BL326" t="s">
        <v>163</v>
      </c>
      <c r="BM326">
        <v>1</v>
      </c>
      <c r="BN326">
        <v>1</v>
      </c>
      <c r="BO326">
        <v>1</v>
      </c>
      <c r="BP326">
        <v>0</v>
      </c>
      <c r="BS326">
        <v>0</v>
      </c>
      <c r="BT326">
        <v>0</v>
      </c>
      <c r="BU326">
        <v>0</v>
      </c>
      <c r="CE326" t="str">
        <f t="shared" si="126"/>
        <v>19:26:34.442</v>
      </c>
      <c r="CF326">
        <v>441660635</v>
      </c>
      <c r="CS326">
        <v>3</v>
      </c>
      <c r="CT326">
        <v>2</v>
      </c>
      <c r="CU326">
        <v>0</v>
      </c>
      <c r="CV326">
        <v>2</v>
      </c>
      <c r="CW326">
        <v>0</v>
      </c>
      <c r="CX326">
        <v>5</v>
      </c>
      <c r="CY326">
        <v>7</v>
      </c>
      <c r="CZ326" t="s">
        <v>131</v>
      </c>
      <c r="DA326">
        <v>286</v>
      </c>
      <c r="DB326">
        <v>0</v>
      </c>
      <c r="DC326" t="s">
        <v>132</v>
      </c>
      <c r="DD326" t="s">
        <v>133</v>
      </c>
      <c r="DG326">
        <v>790582</v>
      </c>
      <c r="DI326">
        <v>0</v>
      </c>
      <c r="DJ326">
        <v>0</v>
      </c>
      <c r="DK326">
        <v>1</v>
      </c>
      <c r="DL326">
        <v>0</v>
      </c>
      <c r="DM326">
        <v>0</v>
      </c>
      <c r="DN326">
        <v>1</v>
      </c>
      <c r="DO326">
        <v>0</v>
      </c>
      <c r="DP326">
        <v>0</v>
      </c>
      <c r="DQ326">
        <v>0</v>
      </c>
      <c r="DR326">
        <v>0</v>
      </c>
      <c r="DS326">
        <v>0</v>
      </c>
    </row>
    <row r="327" spans="1:123" x14ac:dyDescent="0.3">
      <c r="A327" t="str">
        <f t="shared" si="124"/>
        <v>10/04/2022 19:26:34.650</v>
      </c>
      <c r="C327" t="str">
        <f t="shared" si="121"/>
        <v>FFDFD3C0</v>
      </c>
      <c r="D327" t="s">
        <v>123</v>
      </c>
      <c r="E327">
        <v>7</v>
      </c>
      <c r="F327">
        <v>2007</v>
      </c>
      <c r="G327" t="s">
        <v>124</v>
      </c>
      <c r="J327" t="s">
        <v>125</v>
      </c>
      <c r="K327">
        <v>0</v>
      </c>
      <c r="L327">
        <v>3</v>
      </c>
      <c r="M327">
        <v>0</v>
      </c>
      <c r="N327">
        <v>2</v>
      </c>
      <c r="O327">
        <v>0</v>
      </c>
      <c r="P327">
        <v>1</v>
      </c>
      <c r="Q327">
        <v>0</v>
      </c>
      <c r="S327" t="str">
        <f t="shared" si="125"/>
        <v>19:26:34.000</v>
      </c>
      <c r="T327" t="str">
        <f t="shared" si="125"/>
        <v>19:26:34.000</v>
      </c>
      <c r="U327" t="str">
        <f t="shared" si="122"/>
        <v>AC3944</v>
      </c>
      <c r="V327">
        <v>0</v>
      </c>
      <c r="W327">
        <v>0</v>
      </c>
      <c r="X327">
        <v>2</v>
      </c>
      <c r="Y327">
        <v>0</v>
      </c>
      <c r="AA327">
        <v>1</v>
      </c>
      <c r="AB327">
        <v>8</v>
      </c>
      <c r="AC327">
        <v>3</v>
      </c>
      <c r="AD327">
        <v>0</v>
      </c>
      <c r="AE327">
        <v>9</v>
      </c>
      <c r="AF327" t="s">
        <v>138</v>
      </c>
      <c r="AG327">
        <v>0</v>
      </c>
      <c r="AH327">
        <v>3</v>
      </c>
      <c r="AI327">
        <v>1</v>
      </c>
      <c r="AJ327">
        <v>0</v>
      </c>
      <c r="AK327" t="s">
        <v>246</v>
      </c>
      <c r="AL327">
        <v>32.822878000000003</v>
      </c>
      <c r="AM327" t="s">
        <v>247</v>
      </c>
      <c r="AN327">
        <v>-116.99847200000001</v>
      </c>
      <c r="AO327">
        <v>25</v>
      </c>
      <c r="AP327">
        <v>1700</v>
      </c>
      <c r="AQ327" t="s">
        <v>129</v>
      </c>
      <c r="AR327">
        <v>18</v>
      </c>
      <c r="AS327">
        <v>-108</v>
      </c>
      <c r="AT327">
        <v>1536</v>
      </c>
      <c r="BB327">
        <v>1200</v>
      </c>
      <c r="BC327">
        <v>1</v>
      </c>
      <c r="BD327" t="str">
        <f t="shared" si="123"/>
        <v xml:space="preserve">N887QR  </v>
      </c>
      <c r="BE327">
        <v>1</v>
      </c>
      <c r="BG327">
        <v>0</v>
      </c>
      <c r="BH327">
        <v>0</v>
      </c>
      <c r="BI327">
        <v>0</v>
      </c>
      <c r="BJ327">
        <v>1375</v>
      </c>
      <c r="BK327">
        <v>-325</v>
      </c>
      <c r="BL327" t="s">
        <v>163</v>
      </c>
      <c r="BM327">
        <v>1</v>
      </c>
      <c r="BN327">
        <v>1</v>
      </c>
      <c r="BO327">
        <v>1</v>
      </c>
      <c r="BP327">
        <v>0</v>
      </c>
      <c r="BS327">
        <v>0</v>
      </c>
      <c r="BT327">
        <v>0</v>
      </c>
      <c r="BU327">
        <v>0</v>
      </c>
      <c r="CE327" t="str">
        <f t="shared" si="126"/>
        <v>19:26:34.442</v>
      </c>
      <c r="CF327">
        <v>441660635</v>
      </c>
      <c r="CS327">
        <v>3</v>
      </c>
      <c r="CT327">
        <v>2</v>
      </c>
      <c r="CU327">
        <v>0</v>
      </c>
      <c r="CV327">
        <v>2</v>
      </c>
      <c r="CW327">
        <v>0</v>
      </c>
      <c r="CX327">
        <v>5</v>
      </c>
      <c r="CY327">
        <v>7</v>
      </c>
      <c r="CZ327" t="s">
        <v>131</v>
      </c>
      <c r="DA327">
        <v>286</v>
      </c>
      <c r="DB327">
        <v>0</v>
      </c>
      <c r="DC327" t="s">
        <v>132</v>
      </c>
      <c r="DD327" t="s">
        <v>133</v>
      </c>
      <c r="DG327">
        <v>790582</v>
      </c>
      <c r="DI327">
        <v>0</v>
      </c>
      <c r="DJ327">
        <v>0</v>
      </c>
      <c r="DK327">
        <v>1</v>
      </c>
      <c r="DL327">
        <v>0</v>
      </c>
      <c r="DM327">
        <v>0</v>
      </c>
      <c r="DN327">
        <v>1</v>
      </c>
      <c r="DO327">
        <v>0</v>
      </c>
      <c r="DP327">
        <v>0</v>
      </c>
      <c r="DQ327">
        <v>0</v>
      </c>
      <c r="DR327">
        <v>0</v>
      </c>
      <c r="DS327">
        <v>0</v>
      </c>
    </row>
    <row r="328" spans="1:123" x14ac:dyDescent="0.3">
      <c r="A328" t="str">
        <f t="shared" si="124"/>
        <v>10/04/2022 19:26:34.650</v>
      </c>
      <c r="C328" t="str">
        <f t="shared" si="121"/>
        <v>FFDFD3C0</v>
      </c>
      <c r="D328" t="s">
        <v>147</v>
      </c>
      <c r="E328">
        <v>3</v>
      </c>
      <c r="H328">
        <v>166</v>
      </c>
      <c r="I328" t="s">
        <v>144</v>
      </c>
      <c r="J328" t="s">
        <v>148</v>
      </c>
      <c r="K328">
        <v>0</v>
      </c>
      <c r="L328">
        <v>3</v>
      </c>
      <c r="M328">
        <v>0</v>
      </c>
      <c r="N328">
        <v>2</v>
      </c>
      <c r="O328">
        <v>0</v>
      </c>
      <c r="P328">
        <v>1</v>
      </c>
      <c r="Q328">
        <v>0</v>
      </c>
      <c r="S328" t="str">
        <f t="shared" si="125"/>
        <v>19:26:34.000</v>
      </c>
      <c r="T328" t="str">
        <f t="shared" si="125"/>
        <v>19:26:34.000</v>
      </c>
      <c r="U328" t="str">
        <f t="shared" si="122"/>
        <v>AC3944</v>
      </c>
      <c r="V328">
        <v>0</v>
      </c>
      <c r="W328">
        <v>0</v>
      </c>
      <c r="X328">
        <v>2</v>
      </c>
      <c r="Y328">
        <v>0</v>
      </c>
      <c r="AA328">
        <v>1</v>
      </c>
      <c r="AB328">
        <v>8</v>
      </c>
      <c r="AC328">
        <v>3</v>
      </c>
      <c r="AD328">
        <v>0</v>
      </c>
      <c r="AE328">
        <v>9</v>
      </c>
      <c r="AF328" t="s">
        <v>138</v>
      </c>
      <c r="AG328">
        <v>0</v>
      </c>
      <c r="AH328">
        <v>3</v>
      </c>
      <c r="AI328">
        <v>1</v>
      </c>
      <c r="AJ328">
        <v>0</v>
      </c>
      <c r="AK328" t="s">
        <v>246</v>
      </c>
      <c r="AL328">
        <v>32.822878000000003</v>
      </c>
      <c r="AM328" t="s">
        <v>247</v>
      </c>
      <c r="AN328">
        <v>-116.99847200000001</v>
      </c>
      <c r="AO328">
        <v>25</v>
      </c>
      <c r="AP328">
        <v>1700</v>
      </c>
      <c r="AQ328" t="s">
        <v>129</v>
      </c>
      <c r="AR328">
        <v>18</v>
      </c>
      <c r="AS328">
        <v>-108</v>
      </c>
      <c r="AT328">
        <v>1536</v>
      </c>
      <c r="BB328">
        <v>1200</v>
      </c>
      <c r="BC328">
        <v>1</v>
      </c>
      <c r="BD328" t="str">
        <f t="shared" si="123"/>
        <v xml:space="preserve">N887QR  </v>
      </c>
      <c r="BE328">
        <v>1</v>
      </c>
      <c r="BG328">
        <v>0</v>
      </c>
      <c r="BH328">
        <v>0</v>
      </c>
      <c r="BI328">
        <v>0</v>
      </c>
      <c r="BJ328">
        <v>1375</v>
      </c>
      <c r="BK328">
        <v>-325</v>
      </c>
      <c r="BL328" t="s">
        <v>163</v>
      </c>
      <c r="BM328">
        <v>1</v>
      </c>
      <c r="BN328">
        <v>1</v>
      </c>
      <c r="BO328">
        <v>1</v>
      </c>
      <c r="BP328">
        <v>0</v>
      </c>
      <c r="BS328">
        <v>0</v>
      </c>
      <c r="BT328">
        <v>0</v>
      </c>
      <c r="BU328">
        <v>0</v>
      </c>
      <c r="CE328" t="str">
        <f t="shared" si="126"/>
        <v>19:26:34.442</v>
      </c>
      <c r="CF328">
        <v>441660635</v>
      </c>
      <c r="CS328">
        <v>3</v>
      </c>
      <c r="CT328">
        <v>2</v>
      </c>
      <c r="CU328">
        <v>0</v>
      </c>
      <c r="CV328">
        <v>2</v>
      </c>
      <c r="CW328">
        <v>0</v>
      </c>
      <c r="CX328">
        <v>5</v>
      </c>
      <c r="CY328">
        <v>7</v>
      </c>
      <c r="CZ328" t="s">
        <v>131</v>
      </c>
      <c r="DA328">
        <v>286</v>
      </c>
      <c r="DB328">
        <v>0</v>
      </c>
      <c r="DC328" t="s">
        <v>132</v>
      </c>
      <c r="DD328" t="s">
        <v>133</v>
      </c>
      <c r="DG328">
        <v>790582</v>
      </c>
      <c r="DI328">
        <v>0</v>
      </c>
      <c r="DJ328">
        <v>0</v>
      </c>
      <c r="DK328">
        <v>1</v>
      </c>
      <c r="DL328">
        <v>0</v>
      </c>
      <c r="DM328">
        <v>0</v>
      </c>
      <c r="DN328">
        <v>1</v>
      </c>
      <c r="DO328">
        <v>0</v>
      </c>
      <c r="DP328">
        <v>0</v>
      </c>
      <c r="DQ328">
        <v>0</v>
      </c>
      <c r="DR328">
        <v>0</v>
      </c>
      <c r="DS328">
        <v>0</v>
      </c>
    </row>
    <row r="329" spans="1:123" x14ac:dyDescent="0.3">
      <c r="A329" t="str">
        <f t="shared" si="124"/>
        <v>10/04/2022 19:26:34.650</v>
      </c>
      <c r="C329" t="str">
        <f t="shared" si="121"/>
        <v>FFDFD3C0</v>
      </c>
      <c r="D329" t="s">
        <v>134</v>
      </c>
      <c r="E329">
        <v>15</v>
      </c>
      <c r="J329" t="s">
        <v>135</v>
      </c>
      <c r="K329">
        <v>0</v>
      </c>
      <c r="L329">
        <v>3</v>
      </c>
      <c r="M329">
        <v>0</v>
      </c>
      <c r="N329">
        <v>2</v>
      </c>
      <c r="O329">
        <v>0</v>
      </c>
      <c r="P329">
        <v>1</v>
      </c>
      <c r="Q329">
        <v>0</v>
      </c>
      <c r="S329" t="str">
        <f t="shared" si="125"/>
        <v>19:26:34.000</v>
      </c>
      <c r="T329" t="str">
        <f t="shared" si="125"/>
        <v>19:26:34.000</v>
      </c>
      <c r="U329" t="str">
        <f t="shared" si="122"/>
        <v>AC3944</v>
      </c>
      <c r="V329">
        <v>0</v>
      </c>
      <c r="W329">
        <v>0</v>
      </c>
      <c r="X329">
        <v>2</v>
      </c>
      <c r="Y329">
        <v>0</v>
      </c>
      <c r="AA329">
        <v>1</v>
      </c>
      <c r="AB329">
        <v>8</v>
      </c>
      <c r="AC329">
        <v>3</v>
      </c>
      <c r="AD329">
        <v>0</v>
      </c>
      <c r="AE329">
        <v>9</v>
      </c>
      <c r="AF329" t="s">
        <v>138</v>
      </c>
      <c r="AG329">
        <v>0</v>
      </c>
      <c r="AH329">
        <v>3</v>
      </c>
      <c r="AI329">
        <v>1</v>
      </c>
      <c r="AJ329">
        <v>0</v>
      </c>
      <c r="AK329" t="s">
        <v>246</v>
      </c>
      <c r="AL329">
        <v>32.822878000000003</v>
      </c>
      <c r="AM329" t="s">
        <v>247</v>
      </c>
      <c r="AN329">
        <v>-116.99847200000001</v>
      </c>
      <c r="AO329">
        <v>25</v>
      </c>
      <c r="AP329">
        <v>1700</v>
      </c>
      <c r="AQ329" t="s">
        <v>129</v>
      </c>
      <c r="AR329">
        <v>18</v>
      </c>
      <c r="AS329">
        <v>-108</v>
      </c>
      <c r="AT329">
        <v>1536</v>
      </c>
      <c r="BB329">
        <v>1200</v>
      </c>
      <c r="BC329">
        <v>1</v>
      </c>
      <c r="BD329" t="str">
        <f t="shared" si="123"/>
        <v xml:space="preserve">N887QR  </v>
      </c>
      <c r="BE329">
        <v>1</v>
      </c>
      <c r="BG329">
        <v>0</v>
      </c>
      <c r="BH329">
        <v>0</v>
      </c>
      <c r="BI329">
        <v>0</v>
      </c>
      <c r="BJ329">
        <v>1375</v>
      </c>
      <c r="BK329">
        <v>-325</v>
      </c>
      <c r="BL329" t="s">
        <v>163</v>
      </c>
      <c r="BM329">
        <v>1</v>
      </c>
      <c r="BN329">
        <v>1</v>
      </c>
      <c r="BO329">
        <v>1</v>
      </c>
      <c r="BP329">
        <v>0</v>
      </c>
      <c r="BS329">
        <v>0</v>
      </c>
      <c r="BT329">
        <v>0</v>
      </c>
      <c r="BU329">
        <v>0</v>
      </c>
      <c r="CE329" t="str">
        <f t="shared" si="126"/>
        <v>19:26:34.442</v>
      </c>
      <c r="CF329">
        <v>441660635</v>
      </c>
      <c r="CS329">
        <v>3</v>
      </c>
      <c r="CT329">
        <v>2</v>
      </c>
      <c r="CU329">
        <v>0</v>
      </c>
      <c r="CV329">
        <v>2</v>
      </c>
      <c r="CW329">
        <v>0</v>
      </c>
      <c r="CX329">
        <v>5</v>
      </c>
      <c r="CY329">
        <v>7</v>
      </c>
      <c r="CZ329" t="s">
        <v>131</v>
      </c>
      <c r="DA329">
        <v>286</v>
      </c>
      <c r="DB329">
        <v>0</v>
      </c>
      <c r="DC329" t="s">
        <v>132</v>
      </c>
      <c r="DD329" t="s">
        <v>133</v>
      </c>
      <c r="DG329">
        <v>790582</v>
      </c>
      <c r="DI329">
        <v>0</v>
      </c>
      <c r="DJ329">
        <v>0</v>
      </c>
      <c r="DK329">
        <v>1</v>
      </c>
      <c r="DL329">
        <v>0</v>
      </c>
      <c r="DM329">
        <v>0</v>
      </c>
      <c r="DN329">
        <v>1</v>
      </c>
      <c r="DO329">
        <v>0</v>
      </c>
      <c r="DP329">
        <v>0</v>
      </c>
      <c r="DQ329">
        <v>0</v>
      </c>
      <c r="DR329">
        <v>0</v>
      </c>
      <c r="DS329">
        <v>0</v>
      </c>
    </row>
    <row r="330" spans="1:123" x14ac:dyDescent="0.3">
      <c r="A330" t="str">
        <f t="shared" si="124"/>
        <v>10/04/2022 19:26:34.650</v>
      </c>
      <c r="C330" t="str">
        <f t="shared" si="121"/>
        <v>FFDFD3C0</v>
      </c>
      <c r="D330" t="s">
        <v>143</v>
      </c>
      <c r="E330">
        <v>20</v>
      </c>
      <c r="F330">
        <v>1020</v>
      </c>
      <c r="G330" t="s">
        <v>144</v>
      </c>
      <c r="J330" t="s">
        <v>145</v>
      </c>
      <c r="K330">
        <v>0</v>
      </c>
      <c r="L330">
        <v>3</v>
      </c>
      <c r="M330">
        <v>0</v>
      </c>
      <c r="N330">
        <v>2</v>
      </c>
      <c r="O330">
        <v>0</v>
      </c>
      <c r="P330">
        <v>1</v>
      </c>
      <c r="Q330">
        <v>0</v>
      </c>
      <c r="S330" t="str">
        <f t="shared" si="125"/>
        <v>19:26:34.000</v>
      </c>
      <c r="T330" t="str">
        <f t="shared" si="125"/>
        <v>19:26:34.000</v>
      </c>
      <c r="U330" t="str">
        <f t="shared" si="122"/>
        <v>AC3944</v>
      </c>
      <c r="V330">
        <v>0</v>
      </c>
      <c r="W330">
        <v>0</v>
      </c>
      <c r="X330">
        <v>2</v>
      </c>
      <c r="Y330">
        <v>0</v>
      </c>
      <c r="AA330">
        <v>1</v>
      </c>
      <c r="AB330">
        <v>8</v>
      </c>
      <c r="AC330">
        <v>3</v>
      </c>
      <c r="AD330">
        <v>0</v>
      </c>
      <c r="AE330">
        <v>9</v>
      </c>
      <c r="AF330" t="s">
        <v>138</v>
      </c>
      <c r="AG330">
        <v>0</v>
      </c>
      <c r="AH330">
        <v>3</v>
      </c>
      <c r="AI330">
        <v>1</v>
      </c>
      <c r="AJ330">
        <v>0</v>
      </c>
      <c r="AK330" t="s">
        <v>246</v>
      </c>
      <c r="AL330">
        <v>32.822878000000003</v>
      </c>
      <c r="AM330" t="s">
        <v>247</v>
      </c>
      <c r="AN330">
        <v>-116.99847200000001</v>
      </c>
      <c r="AO330">
        <v>25</v>
      </c>
      <c r="AP330">
        <v>1700</v>
      </c>
      <c r="AQ330" t="s">
        <v>129</v>
      </c>
      <c r="AR330">
        <v>18</v>
      </c>
      <c r="AS330">
        <v>-108</v>
      </c>
      <c r="AT330">
        <v>1536</v>
      </c>
      <c r="BB330">
        <v>1200</v>
      </c>
      <c r="BC330">
        <v>1</v>
      </c>
      <c r="BD330" t="str">
        <f t="shared" si="123"/>
        <v xml:space="preserve">N887QR  </v>
      </c>
      <c r="BE330">
        <v>1</v>
      </c>
      <c r="BG330">
        <v>0</v>
      </c>
      <c r="BH330">
        <v>0</v>
      </c>
      <c r="BI330">
        <v>0</v>
      </c>
      <c r="BJ330">
        <v>1375</v>
      </c>
      <c r="BK330">
        <v>-325</v>
      </c>
      <c r="BL330" t="s">
        <v>163</v>
      </c>
      <c r="BM330">
        <v>1</v>
      </c>
      <c r="BN330">
        <v>1</v>
      </c>
      <c r="BO330">
        <v>1</v>
      </c>
      <c r="BP330">
        <v>0</v>
      </c>
      <c r="BS330">
        <v>0</v>
      </c>
      <c r="BT330">
        <v>0</v>
      </c>
      <c r="BU330">
        <v>0</v>
      </c>
      <c r="CE330" t="str">
        <f t="shared" si="126"/>
        <v>19:26:34.442</v>
      </c>
      <c r="CF330">
        <v>441660635</v>
      </c>
      <c r="CS330">
        <v>3</v>
      </c>
      <c r="CT330">
        <v>2</v>
      </c>
      <c r="CU330">
        <v>0</v>
      </c>
      <c r="CV330">
        <v>2</v>
      </c>
      <c r="CW330">
        <v>0</v>
      </c>
      <c r="CX330">
        <v>5</v>
      </c>
      <c r="CY330">
        <v>7</v>
      </c>
      <c r="CZ330" t="s">
        <v>131</v>
      </c>
      <c r="DA330">
        <v>286</v>
      </c>
      <c r="DB330">
        <v>0</v>
      </c>
      <c r="DC330" t="s">
        <v>132</v>
      </c>
      <c r="DD330" t="s">
        <v>133</v>
      </c>
      <c r="DG330">
        <v>790582</v>
      </c>
      <c r="DI330">
        <v>0</v>
      </c>
      <c r="DJ330">
        <v>0</v>
      </c>
      <c r="DK330">
        <v>1</v>
      </c>
      <c r="DL330">
        <v>0</v>
      </c>
      <c r="DM330">
        <v>0</v>
      </c>
      <c r="DN330">
        <v>1</v>
      </c>
      <c r="DO330">
        <v>0</v>
      </c>
      <c r="DP330">
        <v>0</v>
      </c>
      <c r="DQ330">
        <v>0</v>
      </c>
      <c r="DR330">
        <v>0</v>
      </c>
      <c r="DS330">
        <v>0</v>
      </c>
    </row>
    <row r="331" spans="1:123" x14ac:dyDescent="0.3">
      <c r="A331" t="str">
        <f>"10/04/2022 19:26:35.119"</f>
        <v>10/04/2022 19:26:35.119</v>
      </c>
      <c r="C331" t="str">
        <f t="shared" si="121"/>
        <v>FFDFD3C0</v>
      </c>
      <c r="D331" t="s">
        <v>141</v>
      </c>
      <c r="E331">
        <v>3</v>
      </c>
      <c r="H331">
        <v>3</v>
      </c>
      <c r="I331" t="s">
        <v>146</v>
      </c>
      <c r="J331" t="s">
        <v>138</v>
      </c>
      <c r="K331">
        <v>0</v>
      </c>
      <c r="L331">
        <v>3</v>
      </c>
      <c r="M331">
        <v>0</v>
      </c>
      <c r="N331">
        <v>2</v>
      </c>
      <c r="O331">
        <v>0</v>
      </c>
      <c r="P331">
        <v>1</v>
      </c>
      <c r="Q331">
        <v>0</v>
      </c>
      <c r="S331" t="str">
        <f t="shared" si="125"/>
        <v>19:26:34.000</v>
      </c>
      <c r="T331" t="str">
        <f t="shared" si="125"/>
        <v>19:26:34.000</v>
      </c>
      <c r="U331" t="str">
        <f t="shared" si="122"/>
        <v>AC3944</v>
      </c>
      <c r="V331">
        <v>0</v>
      </c>
      <c r="W331">
        <v>0</v>
      </c>
      <c r="X331">
        <v>2</v>
      </c>
      <c r="Y331">
        <v>0</v>
      </c>
      <c r="AA331">
        <v>1</v>
      </c>
      <c r="AB331">
        <v>8</v>
      </c>
      <c r="AC331">
        <v>3</v>
      </c>
      <c r="AD331">
        <v>0</v>
      </c>
      <c r="AE331">
        <v>9</v>
      </c>
      <c r="AF331" t="s">
        <v>138</v>
      </c>
      <c r="AG331">
        <v>0</v>
      </c>
      <c r="AH331">
        <v>3</v>
      </c>
      <c r="AI331">
        <v>1</v>
      </c>
      <c r="AJ331">
        <v>0</v>
      </c>
      <c r="AK331" t="s">
        <v>248</v>
      </c>
      <c r="AL331">
        <v>32.822277999999997</v>
      </c>
      <c r="AM331" t="s">
        <v>249</v>
      </c>
      <c r="AN331">
        <v>-116.99836500000001</v>
      </c>
      <c r="AO331">
        <v>25</v>
      </c>
      <c r="AP331">
        <v>1700</v>
      </c>
      <c r="AQ331" t="s">
        <v>129</v>
      </c>
      <c r="AR331">
        <v>25</v>
      </c>
      <c r="AS331">
        <v>-107</v>
      </c>
      <c r="AT331">
        <v>1536</v>
      </c>
      <c r="BB331">
        <v>1200</v>
      </c>
      <c r="BC331">
        <v>1</v>
      </c>
      <c r="BD331" t="str">
        <f t="shared" si="123"/>
        <v xml:space="preserve">N887QR  </v>
      </c>
      <c r="BE331">
        <v>1</v>
      </c>
      <c r="BG331">
        <v>0</v>
      </c>
      <c r="BH331">
        <v>0</v>
      </c>
      <c r="BI331">
        <v>0</v>
      </c>
      <c r="BJ331">
        <v>1425</v>
      </c>
      <c r="BK331">
        <v>-275</v>
      </c>
      <c r="BL331" t="s">
        <v>163</v>
      </c>
      <c r="BM331">
        <v>1</v>
      </c>
      <c r="BN331">
        <v>1</v>
      </c>
      <c r="BO331">
        <v>1</v>
      </c>
      <c r="BP331">
        <v>0</v>
      </c>
      <c r="BS331">
        <v>0</v>
      </c>
      <c r="BT331">
        <v>0</v>
      </c>
      <c r="BU331">
        <v>0</v>
      </c>
      <c r="CE331" t="str">
        <f t="shared" ref="CE331:CE337" si="127">"19:26:34.897"</f>
        <v>19:26:34.897</v>
      </c>
      <c r="CF331">
        <v>896911940</v>
      </c>
      <c r="CS331">
        <v>3</v>
      </c>
      <c r="CT331">
        <v>2</v>
      </c>
      <c r="CU331">
        <v>0</v>
      </c>
      <c r="CV331">
        <v>2</v>
      </c>
      <c r="CW331">
        <v>0</v>
      </c>
      <c r="CX331">
        <v>4</v>
      </c>
      <c r="CY331">
        <v>7</v>
      </c>
      <c r="CZ331" t="s">
        <v>131</v>
      </c>
      <c r="DA331">
        <v>286</v>
      </c>
      <c r="DB331">
        <v>0</v>
      </c>
      <c r="DC331" t="s">
        <v>132</v>
      </c>
      <c r="DD331" t="s">
        <v>133</v>
      </c>
      <c r="DG331">
        <v>790679</v>
      </c>
      <c r="DI331">
        <v>0</v>
      </c>
      <c r="DJ331">
        <v>0</v>
      </c>
      <c r="DK331">
        <v>0</v>
      </c>
      <c r="DL331">
        <v>0</v>
      </c>
      <c r="DM331">
        <v>0</v>
      </c>
      <c r="DN331">
        <v>1</v>
      </c>
      <c r="DO331">
        <v>0</v>
      </c>
      <c r="DP331">
        <v>0</v>
      </c>
      <c r="DQ331">
        <v>0</v>
      </c>
      <c r="DR331">
        <v>0</v>
      </c>
      <c r="DS331">
        <v>0</v>
      </c>
    </row>
    <row r="332" spans="1:123" x14ac:dyDescent="0.3">
      <c r="A332" t="str">
        <f>"10/04/2022 19:26:35.134"</f>
        <v>10/04/2022 19:26:35.134</v>
      </c>
      <c r="C332" t="str">
        <f t="shared" si="121"/>
        <v>FFDFD3C0</v>
      </c>
      <c r="D332" t="s">
        <v>143</v>
      </c>
      <c r="E332">
        <v>20</v>
      </c>
      <c r="F332">
        <v>1020</v>
      </c>
      <c r="G332" t="s">
        <v>144</v>
      </c>
      <c r="J332" t="s">
        <v>145</v>
      </c>
      <c r="K332">
        <v>0</v>
      </c>
      <c r="L332">
        <v>3</v>
      </c>
      <c r="M332">
        <v>0</v>
      </c>
      <c r="N332">
        <v>2</v>
      </c>
      <c r="O332">
        <v>0</v>
      </c>
      <c r="P332">
        <v>1</v>
      </c>
      <c r="Q332">
        <v>0</v>
      </c>
      <c r="S332" t="str">
        <f t="shared" si="125"/>
        <v>19:26:34.000</v>
      </c>
      <c r="T332" t="str">
        <f t="shared" si="125"/>
        <v>19:26:34.000</v>
      </c>
      <c r="U332" t="str">
        <f t="shared" si="122"/>
        <v>AC3944</v>
      </c>
      <c r="V332">
        <v>0</v>
      </c>
      <c r="W332">
        <v>0</v>
      </c>
      <c r="X332">
        <v>2</v>
      </c>
      <c r="Y332">
        <v>0</v>
      </c>
      <c r="AA332">
        <v>1</v>
      </c>
      <c r="AB332">
        <v>8</v>
      </c>
      <c r="AC332">
        <v>3</v>
      </c>
      <c r="AD332">
        <v>0</v>
      </c>
      <c r="AE332">
        <v>9</v>
      </c>
      <c r="AF332" t="s">
        <v>138</v>
      </c>
      <c r="AG332">
        <v>0</v>
      </c>
      <c r="AH332">
        <v>3</v>
      </c>
      <c r="AI332">
        <v>1</v>
      </c>
      <c r="AJ332">
        <v>0</v>
      </c>
      <c r="AK332" t="s">
        <v>248</v>
      </c>
      <c r="AL332">
        <v>32.822277999999997</v>
      </c>
      <c r="AM332" t="s">
        <v>249</v>
      </c>
      <c r="AN332">
        <v>-116.99836500000001</v>
      </c>
      <c r="AO332">
        <v>25</v>
      </c>
      <c r="AP332">
        <v>1700</v>
      </c>
      <c r="AQ332" t="s">
        <v>129</v>
      </c>
      <c r="AR332">
        <v>25</v>
      </c>
      <c r="AS332">
        <v>-107</v>
      </c>
      <c r="AT332">
        <v>1536</v>
      </c>
      <c r="BB332">
        <v>1200</v>
      </c>
      <c r="BC332">
        <v>1</v>
      </c>
      <c r="BD332" t="str">
        <f t="shared" si="123"/>
        <v xml:space="preserve">N887QR  </v>
      </c>
      <c r="BE332">
        <v>1</v>
      </c>
      <c r="BG332">
        <v>0</v>
      </c>
      <c r="BH332">
        <v>0</v>
      </c>
      <c r="BI332">
        <v>0</v>
      </c>
      <c r="BJ332">
        <v>1425</v>
      </c>
      <c r="BK332">
        <v>-275</v>
      </c>
      <c r="BL332" t="s">
        <v>163</v>
      </c>
      <c r="BM332">
        <v>1</v>
      </c>
      <c r="BN332">
        <v>1</v>
      </c>
      <c r="BO332">
        <v>1</v>
      </c>
      <c r="BP332">
        <v>0</v>
      </c>
      <c r="BS332">
        <v>0</v>
      </c>
      <c r="BT332">
        <v>0</v>
      </c>
      <c r="BU332">
        <v>0</v>
      </c>
      <c r="CE332" t="str">
        <f t="shared" si="127"/>
        <v>19:26:34.897</v>
      </c>
      <c r="CF332">
        <v>896911940</v>
      </c>
      <c r="CS332">
        <v>3</v>
      </c>
      <c r="CT332">
        <v>2</v>
      </c>
      <c r="CU332">
        <v>0</v>
      </c>
      <c r="CV332">
        <v>2</v>
      </c>
      <c r="CW332">
        <v>0</v>
      </c>
      <c r="CX332">
        <v>4</v>
      </c>
      <c r="CY332">
        <v>7</v>
      </c>
      <c r="CZ332" t="s">
        <v>131</v>
      </c>
      <c r="DA332">
        <v>286</v>
      </c>
      <c r="DB332">
        <v>0</v>
      </c>
      <c r="DC332" t="s">
        <v>132</v>
      </c>
      <c r="DD332" t="s">
        <v>133</v>
      </c>
      <c r="DG332">
        <v>790679</v>
      </c>
      <c r="DI332">
        <v>0</v>
      </c>
      <c r="DJ332">
        <v>0</v>
      </c>
      <c r="DK332">
        <v>1</v>
      </c>
      <c r="DL332">
        <v>0</v>
      </c>
      <c r="DM332">
        <v>0</v>
      </c>
      <c r="DN332">
        <v>1</v>
      </c>
      <c r="DO332">
        <v>0</v>
      </c>
      <c r="DP332">
        <v>0</v>
      </c>
      <c r="DQ332">
        <v>0</v>
      </c>
      <c r="DR332">
        <v>0</v>
      </c>
      <c r="DS332">
        <v>0</v>
      </c>
    </row>
    <row r="333" spans="1:123" x14ac:dyDescent="0.3">
      <c r="A333" t="str">
        <f>"10/04/2022 19:26:35.134"</f>
        <v>10/04/2022 19:26:35.134</v>
      </c>
      <c r="C333" t="str">
        <f t="shared" si="121"/>
        <v>FFDFD3C0</v>
      </c>
      <c r="D333" t="s">
        <v>141</v>
      </c>
      <c r="E333">
        <v>4</v>
      </c>
      <c r="H333">
        <v>4</v>
      </c>
      <c r="I333" t="s">
        <v>142</v>
      </c>
      <c r="J333" t="s">
        <v>138</v>
      </c>
      <c r="K333">
        <v>0</v>
      </c>
      <c r="L333">
        <v>3</v>
      </c>
      <c r="M333">
        <v>0</v>
      </c>
      <c r="N333">
        <v>2</v>
      </c>
      <c r="O333">
        <v>0</v>
      </c>
      <c r="P333">
        <v>1</v>
      </c>
      <c r="Q333">
        <v>0</v>
      </c>
      <c r="S333" t="str">
        <f t="shared" si="125"/>
        <v>19:26:34.000</v>
      </c>
      <c r="T333" t="str">
        <f t="shared" si="125"/>
        <v>19:26:34.000</v>
      </c>
      <c r="U333" t="str">
        <f t="shared" si="122"/>
        <v>AC3944</v>
      </c>
      <c r="V333">
        <v>0</v>
      </c>
      <c r="W333">
        <v>0</v>
      </c>
      <c r="X333">
        <v>2</v>
      </c>
      <c r="Y333">
        <v>0</v>
      </c>
      <c r="AA333">
        <v>1</v>
      </c>
      <c r="AB333">
        <v>8</v>
      </c>
      <c r="AC333">
        <v>3</v>
      </c>
      <c r="AD333">
        <v>0</v>
      </c>
      <c r="AE333">
        <v>9</v>
      </c>
      <c r="AF333" t="s">
        <v>138</v>
      </c>
      <c r="AG333">
        <v>0</v>
      </c>
      <c r="AH333">
        <v>3</v>
      </c>
      <c r="AI333">
        <v>1</v>
      </c>
      <c r="AJ333">
        <v>0</v>
      </c>
      <c r="AK333" t="s">
        <v>248</v>
      </c>
      <c r="AL333">
        <v>32.822277999999997</v>
      </c>
      <c r="AM333" t="s">
        <v>249</v>
      </c>
      <c r="AN333">
        <v>-116.99836500000001</v>
      </c>
      <c r="AO333">
        <v>25</v>
      </c>
      <c r="AP333">
        <v>1700</v>
      </c>
      <c r="AQ333" t="s">
        <v>129</v>
      </c>
      <c r="AR333">
        <v>25</v>
      </c>
      <c r="AS333">
        <v>-107</v>
      </c>
      <c r="AT333">
        <v>1536</v>
      </c>
      <c r="BB333">
        <v>1200</v>
      </c>
      <c r="BC333">
        <v>1</v>
      </c>
      <c r="BD333" t="str">
        <f t="shared" si="123"/>
        <v xml:space="preserve">N887QR  </v>
      </c>
      <c r="BE333">
        <v>1</v>
      </c>
      <c r="BG333">
        <v>0</v>
      </c>
      <c r="BH333">
        <v>0</v>
      </c>
      <c r="BI333">
        <v>0</v>
      </c>
      <c r="BJ333">
        <v>1425</v>
      </c>
      <c r="BK333">
        <v>-275</v>
      </c>
      <c r="BL333" t="s">
        <v>163</v>
      </c>
      <c r="BM333">
        <v>1</v>
      </c>
      <c r="BN333">
        <v>1</v>
      </c>
      <c r="BO333">
        <v>1</v>
      </c>
      <c r="BP333">
        <v>0</v>
      </c>
      <c r="BS333">
        <v>0</v>
      </c>
      <c r="BT333">
        <v>0</v>
      </c>
      <c r="BU333">
        <v>0</v>
      </c>
      <c r="CE333" t="str">
        <f t="shared" si="127"/>
        <v>19:26:34.897</v>
      </c>
      <c r="CF333">
        <v>896911940</v>
      </c>
      <c r="CS333">
        <v>3</v>
      </c>
      <c r="CT333">
        <v>2</v>
      </c>
      <c r="CU333">
        <v>0</v>
      </c>
      <c r="CV333">
        <v>2</v>
      </c>
      <c r="CW333">
        <v>0</v>
      </c>
      <c r="CX333">
        <v>4</v>
      </c>
      <c r="CY333">
        <v>7</v>
      </c>
      <c r="CZ333" t="s">
        <v>131</v>
      </c>
      <c r="DA333">
        <v>286</v>
      </c>
      <c r="DB333">
        <v>0</v>
      </c>
      <c r="DC333" t="s">
        <v>132</v>
      </c>
      <c r="DD333" t="s">
        <v>133</v>
      </c>
      <c r="DG333">
        <v>790679</v>
      </c>
      <c r="DI333">
        <v>0</v>
      </c>
      <c r="DJ333">
        <v>0</v>
      </c>
      <c r="DK333">
        <v>1</v>
      </c>
      <c r="DL333">
        <v>0</v>
      </c>
      <c r="DM333">
        <v>0</v>
      </c>
      <c r="DN333">
        <v>1</v>
      </c>
      <c r="DO333">
        <v>0</v>
      </c>
      <c r="DP333">
        <v>0</v>
      </c>
      <c r="DQ333">
        <v>0</v>
      </c>
      <c r="DR333">
        <v>0</v>
      </c>
      <c r="DS333">
        <v>0</v>
      </c>
    </row>
    <row r="334" spans="1:123" x14ac:dyDescent="0.3">
      <c r="A334" t="str">
        <f>"10/04/2022 19:26:35.134"</f>
        <v>10/04/2022 19:26:35.134</v>
      </c>
      <c r="C334" t="str">
        <f t="shared" si="121"/>
        <v>FFDFD3C0</v>
      </c>
      <c r="D334" t="s">
        <v>136</v>
      </c>
      <c r="E334">
        <v>8</v>
      </c>
      <c r="H334">
        <v>225</v>
      </c>
      <c r="I334" t="s">
        <v>137</v>
      </c>
      <c r="J334" t="s">
        <v>138</v>
      </c>
      <c r="K334">
        <v>0</v>
      </c>
      <c r="L334">
        <v>3</v>
      </c>
      <c r="M334">
        <v>0</v>
      </c>
      <c r="N334">
        <v>2</v>
      </c>
      <c r="O334">
        <v>0</v>
      </c>
      <c r="P334">
        <v>1</v>
      </c>
      <c r="Q334">
        <v>0</v>
      </c>
      <c r="S334" t="str">
        <f t="shared" si="125"/>
        <v>19:26:34.000</v>
      </c>
      <c r="T334" t="str">
        <f t="shared" si="125"/>
        <v>19:26:34.000</v>
      </c>
      <c r="U334" t="str">
        <f t="shared" si="122"/>
        <v>AC3944</v>
      </c>
      <c r="V334">
        <v>0</v>
      </c>
      <c r="W334">
        <v>0</v>
      </c>
      <c r="X334">
        <v>2</v>
      </c>
      <c r="Y334">
        <v>0</v>
      </c>
      <c r="AA334">
        <v>1</v>
      </c>
      <c r="AB334">
        <v>8</v>
      </c>
      <c r="AC334">
        <v>3</v>
      </c>
      <c r="AD334">
        <v>0</v>
      </c>
      <c r="AE334">
        <v>9</v>
      </c>
      <c r="AF334" t="s">
        <v>138</v>
      </c>
      <c r="AG334">
        <v>0</v>
      </c>
      <c r="AH334">
        <v>3</v>
      </c>
      <c r="AI334">
        <v>1</v>
      </c>
      <c r="AJ334">
        <v>0</v>
      </c>
      <c r="AK334" t="s">
        <v>248</v>
      </c>
      <c r="AL334">
        <v>32.822277999999997</v>
      </c>
      <c r="AM334" t="s">
        <v>249</v>
      </c>
      <c r="AN334">
        <v>-116.99836500000001</v>
      </c>
      <c r="AO334">
        <v>25</v>
      </c>
      <c r="AP334">
        <v>1700</v>
      </c>
      <c r="AQ334" t="s">
        <v>129</v>
      </c>
      <c r="AR334">
        <v>25</v>
      </c>
      <c r="AS334">
        <v>-107</v>
      </c>
      <c r="AT334">
        <v>1536</v>
      </c>
      <c r="BB334">
        <v>1200</v>
      </c>
      <c r="BC334">
        <v>1</v>
      </c>
      <c r="BD334" t="str">
        <f t="shared" si="123"/>
        <v xml:space="preserve">N887QR  </v>
      </c>
      <c r="BE334">
        <v>1</v>
      </c>
      <c r="BG334">
        <v>0</v>
      </c>
      <c r="BH334">
        <v>0</v>
      </c>
      <c r="BI334">
        <v>0</v>
      </c>
      <c r="BJ334">
        <v>1425</v>
      </c>
      <c r="BK334">
        <v>-275</v>
      </c>
      <c r="BL334" t="s">
        <v>163</v>
      </c>
      <c r="BM334">
        <v>1</v>
      </c>
      <c r="BN334">
        <v>1</v>
      </c>
      <c r="BO334">
        <v>1</v>
      </c>
      <c r="BP334">
        <v>0</v>
      </c>
      <c r="BS334">
        <v>0</v>
      </c>
      <c r="BT334">
        <v>0</v>
      </c>
      <c r="BU334">
        <v>0</v>
      </c>
      <c r="CE334" t="str">
        <f t="shared" si="127"/>
        <v>19:26:34.897</v>
      </c>
      <c r="CF334">
        <v>896911940</v>
      </c>
      <c r="CS334">
        <v>3</v>
      </c>
      <c r="CT334">
        <v>2</v>
      </c>
      <c r="CU334">
        <v>0</v>
      </c>
      <c r="CV334">
        <v>2</v>
      </c>
      <c r="CW334">
        <v>0</v>
      </c>
      <c r="CX334">
        <v>4</v>
      </c>
      <c r="CY334">
        <v>7</v>
      </c>
      <c r="CZ334" t="s">
        <v>131</v>
      </c>
      <c r="DA334">
        <v>286</v>
      </c>
      <c r="DB334">
        <v>0</v>
      </c>
      <c r="DC334" t="s">
        <v>132</v>
      </c>
      <c r="DD334" t="s">
        <v>133</v>
      </c>
      <c r="DG334">
        <v>790679</v>
      </c>
      <c r="DI334">
        <v>0</v>
      </c>
      <c r="DJ334">
        <v>0</v>
      </c>
      <c r="DK334">
        <v>1</v>
      </c>
      <c r="DL334">
        <v>0</v>
      </c>
      <c r="DM334">
        <v>0</v>
      </c>
      <c r="DN334">
        <v>1</v>
      </c>
      <c r="DO334">
        <v>0</v>
      </c>
      <c r="DP334">
        <v>0</v>
      </c>
      <c r="DQ334">
        <v>0</v>
      </c>
      <c r="DR334">
        <v>0</v>
      </c>
      <c r="DS334">
        <v>0</v>
      </c>
    </row>
    <row r="335" spans="1:123" x14ac:dyDescent="0.3">
      <c r="A335" t="str">
        <f>"10/04/2022 19:26:35.134"</f>
        <v>10/04/2022 19:26:35.134</v>
      </c>
      <c r="C335" t="str">
        <f t="shared" si="121"/>
        <v>FFDFD3C0</v>
      </c>
      <c r="D335" t="s">
        <v>123</v>
      </c>
      <c r="E335">
        <v>7</v>
      </c>
      <c r="F335">
        <v>2007</v>
      </c>
      <c r="G335" t="s">
        <v>124</v>
      </c>
      <c r="J335" t="s">
        <v>125</v>
      </c>
      <c r="K335">
        <v>0</v>
      </c>
      <c r="L335">
        <v>3</v>
      </c>
      <c r="M335">
        <v>0</v>
      </c>
      <c r="N335">
        <v>2</v>
      </c>
      <c r="O335">
        <v>0</v>
      </c>
      <c r="P335">
        <v>1</v>
      </c>
      <c r="Q335">
        <v>0</v>
      </c>
      <c r="S335" t="str">
        <f t="shared" si="125"/>
        <v>19:26:34.000</v>
      </c>
      <c r="T335" t="str">
        <f t="shared" si="125"/>
        <v>19:26:34.000</v>
      </c>
      <c r="U335" t="str">
        <f t="shared" si="122"/>
        <v>AC3944</v>
      </c>
      <c r="V335">
        <v>0</v>
      </c>
      <c r="W335">
        <v>0</v>
      </c>
      <c r="X335">
        <v>2</v>
      </c>
      <c r="Y335">
        <v>0</v>
      </c>
      <c r="AA335">
        <v>1</v>
      </c>
      <c r="AB335">
        <v>8</v>
      </c>
      <c r="AC335">
        <v>3</v>
      </c>
      <c r="AD335">
        <v>0</v>
      </c>
      <c r="AE335">
        <v>9</v>
      </c>
      <c r="AF335" t="s">
        <v>138</v>
      </c>
      <c r="AG335">
        <v>0</v>
      </c>
      <c r="AH335">
        <v>3</v>
      </c>
      <c r="AI335">
        <v>1</v>
      </c>
      <c r="AJ335">
        <v>0</v>
      </c>
      <c r="AK335" t="s">
        <v>248</v>
      </c>
      <c r="AL335">
        <v>32.822277999999997</v>
      </c>
      <c r="AM335" t="s">
        <v>249</v>
      </c>
      <c r="AN335">
        <v>-116.99836500000001</v>
      </c>
      <c r="AO335">
        <v>25</v>
      </c>
      <c r="AP335">
        <v>1700</v>
      </c>
      <c r="AQ335" t="s">
        <v>129</v>
      </c>
      <c r="AR335">
        <v>25</v>
      </c>
      <c r="AS335">
        <v>-107</v>
      </c>
      <c r="AT335">
        <v>1536</v>
      </c>
      <c r="BB335">
        <v>1200</v>
      </c>
      <c r="BC335">
        <v>1</v>
      </c>
      <c r="BD335" t="str">
        <f t="shared" si="123"/>
        <v xml:space="preserve">N887QR  </v>
      </c>
      <c r="BE335">
        <v>1</v>
      </c>
      <c r="BG335">
        <v>0</v>
      </c>
      <c r="BH335">
        <v>0</v>
      </c>
      <c r="BI335">
        <v>0</v>
      </c>
      <c r="BJ335">
        <v>1425</v>
      </c>
      <c r="BK335">
        <v>-275</v>
      </c>
      <c r="BL335" t="s">
        <v>163</v>
      </c>
      <c r="BM335">
        <v>1</v>
      </c>
      <c r="BN335">
        <v>1</v>
      </c>
      <c r="BO335">
        <v>1</v>
      </c>
      <c r="BP335">
        <v>0</v>
      </c>
      <c r="BS335">
        <v>0</v>
      </c>
      <c r="BT335">
        <v>0</v>
      </c>
      <c r="BU335">
        <v>0</v>
      </c>
      <c r="CE335" t="str">
        <f t="shared" si="127"/>
        <v>19:26:34.897</v>
      </c>
      <c r="CF335">
        <v>896911940</v>
      </c>
      <c r="CS335">
        <v>3</v>
      </c>
      <c r="CT335">
        <v>2</v>
      </c>
      <c r="CU335">
        <v>0</v>
      </c>
      <c r="CV335">
        <v>2</v>
      </c>
      <c r="CW335">
        <v>0</v>
      </c>
      <c r="CX335">
        <v>4</v>
      </c>
      <c r="CY335">
        <v>7</v>
      </c>
      <c r="CZ335" t="s">
        <v>131</v>
      </c>
      <c r="DA335">
        <v>286</v>
      </c>
      <c r="DB335">
        <v>0</v>
      </c>
      <c r="DC335" t="s">
        <v>132</v>
      </c>
      <c r="DD335" t="s">
        <v>133</v>
      </c>
      <c r="DG335">
        <v>790679</v>
      </c>
      <c r="DI335">
        <v>0</v>
      </c>
      <c r="DJ335">
        <v>0</v>
      </c>
      <c r="DK335">
        <v>1</v>
      </c>
      <c r="DL335">
        <v>0</v>
      </c>
      <c r="DM335">
        <v>0</v>
      </c>
      <c r="DN335">
        <v>1</v>
      </c>
      <c r="DO335">
        <v>0</v>
      </c>
      <c r="DP335">
        <v>0</v>
      </c>
      <c r="DQ335">
        <v>0</v>
      </c>
      <c r="DR335">
        <v>0</v>
      </c>
      <c r="DS335">
        <v>0</v>
      </c>
    </row>
    <row r="336" spans="1:123" x14ac:dyDescent="0.3">
      <c r="A336" t="str">
        <f>"10/04/2022 19:26:35.166"</f>
        <v>10/04/2022 19:26:35.166</v>
      </c>
      <c r="C336" t="str">
        <f t="shared" si="121"/>
        <v>FFDFD3C0</v>
      </c>
      <c r="D336" t="s">
        <v>147</v>
      </c>
      <c r="E336">
        <v>3</v>
      </c>
      <c r="H336">
        <v>166</v>
      </c>
      <c r="I336" t="s">
        <v>144</v>
      </c>
      <c r="J336" t="s">
        <v>148</v>
      </c>
      <c r="K336">
        <v>0</v>
      </c>
      <c r="L336">
        <v>3</v>
      </c>
      <c r="M336">
        <v>0</v>
      </c>
      <c r="N336">
        <v>2</v>
      </c>
      <c r="O336">
        <v>0</v>
      </c>
      <c r="P336">
        <v>1</v>
      </c>
      <c r="Q336">
        <v>0</v>
      </c>
      <c r="S336" t="str">
        <f t="shared" si="125"/>
        <v>19:26:34.000</v>
      </c>
      <c r="T336" t="str">
        <f t="shared" si="125"/>
        <v>19:26:34.000</v>
      </c>
      <c r="U336" t="str">
        <f t="shared" si="122"/>
        <v>AC3944</v>
      </c>
      <c r="V336">
        <v>0</v>
      </c>
      <c r="W336">
        <v>0</v>
      </c>
      <c r="X336">
        <v>2</v>
      </c>
      <c r="Y336">
        <v>0</v>
      </c>
      <c r="AA336">
        <v>1</v>
      </c>
      <c r="AB336">
        <v>8</v>
      </c>
      <c r="AC336">
        <v>3</v>
      </c>
      <c r="AD336">
        <v>0</v>
      </c>
      <c r="AE336">
        <v>9</v>
      </c>
      <c r="AF336" t="s">
        <v>138</v>
      </c>
      <c r="AG336">
        <v>0</v>
      </c>
      <c r="AH336">
        <v>3</v>
      </c>
      <c r="AI336">
        <v>1</v>
      </c>
      <c r="AJ336">
        <v>0</v>
      </c>
      <c r="AK336" t="s">
        <v>248</v>
      </c>
      <c r="AL336">
        <v>32.822277999999997</v>
      </c>
      <c r="AM336" t="s">
        <v>249</v>
      </c>
      <c r="AN336">
        <v>-116.99836500000001</v>
      </c>
      <c r="AO336">
        <v>25</v>
      </c>
      <c r="AP336">
        <v>1700</v>
      </c>
      <c r="AQ336" t="s">
        <v>129</v>
      </c>
      <c r="AR336">
        <v>25</v>
      </c>
      <c r="AS336">
        <v>-107</v>
      </c>
      <c r="AT336">
        <v>1536</v>
      </c>
      <c r="BB336">
        <v>1200</v>
      </c>
      <c r="BC336">
        <v>1</v>
      </c>
      <c r="BD336" t="str">
        <f t="shared" si="123"/>
        <v xml:space="preserve">N887QR  </v>
      </c>
      <c r="BE336">
        <v>1</v>
      </c>
      <c r="BG336">
        <v>0</v>
      </c>
      <c r="BH336">
        <v>0</v>
      </c>
      <c r="BI336">
        <v>0</v>
      </c>
      <c r="BJ336">
        <v>1425</v>
      </c>
      <c r="BK336">
        <v>-275</v>
      </c>
      <c r="BL336" t="s">
        <v>163</v>
      </c>
      <c r="BM336">
        <v>1</v>
      </c>
      <c r="BN336">
        <v>1</v>
      </c>
      <c r="BO336">
        <v>1</v>
      </c>
      <c r="BP336">
        <v>0</v>
      </c>
      <c r="BS336">
        <v>0</v>
      </c>
      <c r="BT336">
        <v>0</v>
      </c>
      <c r="BU336">
        <v>0</v>
      </c>
      <c r="CE336" t="str">
        <f t="shared" si="127"/>
        <v>19:26:34.897</v>
      </c>
      <c r="CF336">
        <v>896911940</v>
      </c>
      <c r="CS336">
        <v>3</v>
      </c>
      <c r="CT336">
        <v>2</v>
      </c>
      <c r="CU336">
        <v>0</v>
      </c>
      <c r="CV336">
        <v>2</v>
      </c>
      <c r="CW336">
        <v>0</v>
      </c>
      <c r="CX336">
        <v>4</v>
      </c>
      <c r="CY336">
        <v>7</v>
      </c>
      <c r="CZ336" t="s">
        <v>131</v>
      </c>
      <c r="DA336">
        <v>286</v>
      </c>
      <c r="DB336">
        <v>0</v>
      </c>
      <c r="DC336" t="s">
        <v>132</v>
      </c>
      <c r="DD336" t="s">
        <v>133</v>
      </c>
      <c r="DG336">
        <v>790679</v>
      </c>
      <c r="DI336">
        <v>0</v>
      </c>
      <c r="DJ336">
        <v>0</v>
      </c>
      <c r="DK336">
        <v>1</v>
      </c>
      <c r="DL336">
        <v>0</v>
      </c>
      <c r="DM336">
        <v>0</v>
      </c>
      <c r="DN336">
        <v>1</v>
      </c>
      <c r="DO336">
        <v>0</v>
      </c>
      <c r="DP336">
        <v>0</v>
      </c>
      <c r="DQ336">
        <v>0</v>
      </c>
      <c r="DR336">
        <v>0</v>
      </c>
      <c r="DS336">
        <v>0</v>
      </c>
    </row>
    <row r="337" spans="1:123" x14ac:dyDescent="0.3">
      <c r="A337" t="str">
        <f>"10/04/2022 19:26:35.166"</f>
        <v>10/04/2022 19:26:35.166</v>
      </c>
      <c r="C337" t="str">
        <f t="shared" si="121"/>
        <v>FFDFD3C0</v>
      </c>
      <c r="D337" t="s">
        <v>134</v>
      </c>
      <c r="E337">
        <v>15</v>
      </c>
      <c r="J337" t="s">
        <v>135</v>
      </c>
      <c r="K337">
        <v>0</v>
      </c>
      <c r="L337">
        <v>3</v>
      </c>
      <c r="M337">
        <v>0</v>
      </c>
      <c r="N337">
        <v>2</v>
      </c>
      <c r="O337">
        <v>0</v>
      </c>
      <c r="P337">
        <v>1</v>
      </c>
      <c r="Q337">
        <v>0</v>
      </c>
      <c r="S337" t="str">
        <f t="shared" si="125"/>
        <v>19:26:34.000</v>
      </c>
      <c r="T337" t="str">
        <f t="shared" si="125"/>
        <v>19:26:34.000</v>
      </c>
      <c r="U337" t="str">
        <f t="shared" si="122"/>
        <v>AC3944</v>
      </c>
      <c r="V337">
        <v>0</v>
      </c>
      <c r="W337">
        <v>0</v>
      </c>
      <c r="X337">
        <v>2</v>
      </c>
      <c r="Y337">
        <v>0</v>
      </c>
      <c r="AA337">
        <v>1</v>
      </c>
      <c r="AB337">
        <v>8</v>
      </c>
      <c r="AC337">
        <v>3</v>
      </c>
      <c r="AD337">
        <v>0</v>
      </c>
      <c r="AE337">
        <v>9</v>
      </c>
      <c r="AF337" t="s">
        <v>138</v>
      </c>
      <c r="AG337">
        <v>0</v>
      </c>
      <c r="AH337">
        <v>3</v>
      </c>
      <c r="AI337">
        <v>1</v>
      </c>
      <c r="AJ337">
        <v>0</v>
      </c>
      <c r="AK337" t="s">
        <v>248</v>
      </c>
      <c r="AL337">
        <v>32.822277999999997</v>
      </c>
      <c r="AM337" t="s">
        <v>249</v>
      </c>
      <c r="AN337">
        <v>-116.99836500000001</v>
      </c>
      <c r="AO337">
        <v>25</v>
      </c>
      <c r="AP337">
        <v>1700</v>
      </c>
      <c r="AQ337" t="s">
        <v>129</v>
      </c>
      <c r="AR337">
        <v>25</v>
      </c>
      <c r="AS337">
        <v>-107</v>
      </c>
      <c r="AT337">
        <v>1536</v>
      </c>
      <c r="BB337">
        <v>1200</v>
      </c>
      <c r="BC337">
        <v>1</v>
      </c>
      <c r="BD337" t="str">
        <f t="shared" si="123"/>
        <v xml:space="preserve">N887QR  </v>
      </c>
      <c r="BE337">
        <v>1</v>
      </c>
      <c r="BG337">
        <v>0</v>
      </c>
      <c r="BH337">
        <v>0</v>
      </c>
      <c r="BI337">
        <v>0</v>
      </c>
      <c r="BJ337">
        <v>1425</v>
      </c>
      <c r="BK337">
        <v>-275</v>
      </c>
      <c r="BL337" t="s">
        <v>163</v>
      </c>
      <c r="BM337">
        <v>1</v>
      </c>
      <c r="BN337">
        <v>1</v>
      </c>
      <c r="BO337">
        <v>1</v>
      </c>
      <c r="BP337">
        <v>0</v>
      </c>
      <c r="BS337">
        <v>0</v>
      </c>
      <c r="BT337">
        <v>0</v>
      </c>
      <c r="BU337">
        <v>0</v>
      </c>
      <c r="CE337" t="str">
        <f t="shared" si="127"/>
        <v>19:26:34.897</v>
      </c>
      <c r="CF337">
        <v>896911940</v>
      </c>
      <c r="CS337">
        <v>3</v>
      </c>
      <c r="CT337">
        <v>2</v>
      </c>
      <c r="CU337">
        <v>0</v>
      </c>
      <c r="CV337">
        <v>2</v>
      </c>
      <c r="CW337">
        <v>0</v>
      </c>
      <c r="CX337">
        <v>4</v>
      </c>
      <c r="CY337">
        <v>7</v>
      </c>
      <c r="CZ337" t="s">
        <v>131</v>
      </c>
      <c r="DA337">
        <v>286</v>
      </c>
      <c r="DB337">
        <v>0</v>
      </c>
      <c r="DC337" t="s">
        <v>132</v>
      </c>
      <c r="DD337" t="s">
        <v>133</v>
      </c>
      <c r="DG337">
        <v>790679</v>
      </c>
      <c r="DI337">
        <v>0</v>
      </c>
      <c r="DJ337">
        <v>0</v>
      </c>
      <c r="DK337">
        <v>1</v>
      </c>
      <c r="DL337">
        <v>0</v>
      </c>
      <c r="DM337">
        <v>0</v>
      </c>
      <c r="DN337">
        <v>1</v>
      </c>
      <c r="DO337">
        <v>0</v>
      </c>
      <c r="DP337">
        <v>0</v>
      </c>
      <c r="DQ337">
        <v>0</v>
      </c>
      <c r="DR337">
        <v>0</v>
      </c>
      <c r="DS337">
        <v>0</v>
      </c>
    </row>
    <row r="338" spans="1:123" x14ac:dyDescent="0.3">
      <c r="A338" t="str">
        <f>"10/04/2022 19:26:36.134"</f>
        <v>10/04/2022 19:26:36.134</v>
      </c>
      <c r="C338" t="str">
        <f t="shared" si="121"/>
        <v>FFDFD3C0</v>
      </c>
      <c r="D338" t="s">
        <v>141</v>
      </c>
      <c r="E338">
        <v>3</v>
      </c>
      <c r="H338">
        <v>3</v>
      </c>
      <c r="I338" t="s">
        <v>146</v>
      </c>
      <c r="J338" t="s">
        <v>138</v>
      </c>
      <c r="K338">
        <v>0</v>
      </c>
      <c r="L338">
        <v>3</v>
      </c>
      <c r="M338">
        <v>0</v>
      </c>
      <c r="N338">
        <v>2</v>
      </c>
      <c r="O338">
        <v>0</v>
      </c>
      <c r="P338">
        <v>1</v>
      </c>
      <c r="Q338">
        <v>0</v>
      </c>
      <c r="S338" t="str">
        <f t="shared" ref="S338:T344" si="128">"19:26:35.000"</f>
        <v>19:26:35.000</v>
      </c>
      <c r="T338" t="str">
        <f t="shared" si="128"/>
        <v>19:26:35.000</v>
      </c>
      <c r="U338" t="str">
        <f t="shared" si="122"/>
        <v>AC3944</v>
      </c>
      <c r="V338">
        <v>0</v>
      </c>
      <c r="W338">
        <v>0</v>
      </c>
      <c r="X338">
        <v>2</v>
      </c>
      <c r="Y338">
        <v>0</v>
      </c>
      <c r="AA338">
        <v>1</v>
      </c>
      <c r="AB338">
        <v>8</v>
      </c>
      <c r="AC338">
        <v>3</v>
      </c>
      <c r="AD338">
        <v>0</v>
      </c>
      <c r="AE338">
        <v>9</v>
      </c>
      <c r="AF338" t="s">
        <v>138</v>
      </c>
      <c r="AG338">
        <v>0</v>
      </c>
      <c r="AH338">
        <v>3</v>
      </c>
      <c r="AI338">
        <v>1</v>
      </c>
      <c r="AJ338">
        <v>0</v>
      </c>
      <c r="AK338" t="s">
        <v>250</v>
      </c>
      <c r="AL338">
        <v>32.821784000000001</v>
      </c>
      <c r="AM338" t="s">
        <v>251</v>
      </c>
      <c r="AN338">
        <v>-116.998215</v>
      </c>
      <c r="AO338">
        <v>25</v>
      </c>
      <c r="AP338">
        <v>1700</v>
      </c>
      <c r="AQ338" t="s">
        <v>129</v>
      </c>
      <c r="AR338">
        <v>37</v>
      </c>
      <c r="AS338">
        <v>-104</v>
      </c>
      <c r="AT338">
        <v>1536</v>
      </c>
      <c r="BB338">
        <v>1200</v>
      </c>
      <c r="BC338">
        <v>1</v>
      </c>
      <c r="BD338" t="str">
        <f t="shared" si="123"/>
        <v xml:space="preserve">N887QR  </v>
      </c>
      <c r="BE338">
        <v>1</v>
      </c>
      <c r="BG338">
        <v>0</v>
      </c>
      <c r="BH338">
        <v>0</v>
      </c>
      <c r="BI338">
        <v>0</v>
      </c>
      <c r="BJ338">
        <v>1450</v>
      </c>
      <c r="BK338">
        <v>-250</v>
      </c>
      <c r="BL338" t="s">
        <v>163</v>
      </c>
      <c r="BM338">
        <v>1</v>
      </c>
      <c r="BN338">
        <v>1</v>
      </c>
      <c r="BO338">
        <v>1</v>
      </c>
      <c r="BP338">
        <v>0</v>
      </c>
      <c r="BS338">
        <v>0</v>
      </c>
      <c r="BT338">
        <v>0</v>
      </c>
      <c r="BU338">
        <v>0</v>
      </c>
      <c r="CE338" t="str">
        <f t="shared" ref="CE338:CE344" si="129">"19:26:35.937"</f>
        <v>19:26:35.937</v>
      </c>
      <c r="CF338">
        <v>936915031</v>
      </c>
      <c r="CS338">
        <v>3</v>
      </c>
      <c r="CT338">
        <v>2</v>
      </c>
      <c r="CU338">
        <v>0</v>
      </c>
      <c r="CV338">
        <v>2</v>
      </c>
      <c r="CW338">
        <v>0</v>
      </c>
      <c r="CX338">
        <v>4</v>
      </c>
      <c r="CY338">
        <v>7</v>
      </c>
      <c r="CZ338" t="s">
        <v>131</v>
      </c>
      <c r="DA338">
        <v>286</v>
      </c>
      <c r="DB338">
        <v>0</v>
      </c>
      <c r="DC338" t="s">
        <v>132</v>
      </c>
      <c r="DD338" t="s">
        <v>133</v>
      </c>
      <c r="DG338">
        <v>790857</v>
      </c>
      <c r="DI338">
        <v>0</v>
      </c>
      <c r="DJ338">
        <v>0</v>
      </c>
      <c r="DK338">
        <v>0</v>
      </c>
      <c r="DL338">
        <v>0</v>
      </c>
      <c r="DM338">
        <v>0</v>
      </c>
      <c r="DN338">
        <v>1</v>
      </c>
      <c r="DO338">
        <v>0</v>
      </c>
      <c r="DP338">
        <v>0</v>
      </c>
      <c r="DQ338">
        <v>0</v>
      </c>
      <c r="DR338">
        <v>0</v>
      </c>
      <c r="DS338">
        <v>0</v>
      </c>
    </row>
    <row r="339" spans="1:123" x14ac:dyDescent="0.3">
      <c r="A339" t="str">
        <f>"10/04/2022 19:26:36.134"</f>
        <v>10/04/2022 19:26:36.134</v>
      </c>
      <c r="C339" t="str">
        <f t="shared" si="121"/>
        <v>FFDFD3C0</v>
      </c>
      <c r="D339" t="s">
        <v>143</v>
      </c>
      <c r="E339">
        <v>20</v>
      </c>
      <c r="F339">
        <v>1020</v>
      </c>
      <c r="G339" t="s">
        <v>144</v>
      </c>
      <c r="J339" t="s">
        <v>145</v>
      </c>
      <c r="K339">
        <v>0</v>
      </c>
      <c r="L339">
        <v>3</v>
      </c>
      <c r="M339">
        <v>0</v>
      </c>
      <c r="N339">
        <v>2</v>
      </c>
      <c r="O339">
        <v>0</v>
      </c>
      <c r="P339">
        <v>1</v>
      </c>
      <c r="Q339">
        <v>0</v>
      </c>
      <c r="S339" t="str">
        <f t="shared" si="128"/>
        <v>19:26:35.000</v>
      </c>
      <c r="T339" t="str">
        <f t="shared" si="128"/>
        <v>19:26:35.000</v>
      </c>
      <c r="U339" t="str">
        <f t="shared" si="122"/>
        <v>AC3944</v>
      </c>
      <c r="V339">
        <v>0</v>
      </c>
      <c r="W339">
        <v>0</v>
      </c>
      <c r="X339">
        <v>2</v>
      </c>
      <c r="Y339">
        <v>0</v>
      </c>
      <c r="AA339">
        <v>1</v>
      </c>
      <c r="AB339">
        <v>8</v>
      </c>
      <c r="AC339">
        <v>3</v>
      </c>
      <c r="AD339">
        <v>0</v>
      </c>
      <c r="AE339">
        <v>9</v>
      </c>
      <c r="AF339" t="s">
        <v>138</v>
      </c>
      <c r="AG339">
        <v>0</v>
      </c>
      <c r="AH339">
        <v>3</v>
      </c>
      <c r="AI339">
        <v>1</v>
      </c>
      <c r="AJ339">
        <v>0</v>
      </c>
      <c r="AK339" t="s">
        <v>250</v>
      </c>
      <c r="AL339">
        <v>32.821784000000001</v>
      </c>
      <c r="AM339" t="s">
        <v>251</v>
      </c>
      <c r="AN339">
        <v>-116.998215</v>
      </c>
      <c r="AO339">
        <v>25</v>
      </c>
      <c r="AP339">
        <v>1700</v>
      </c>
      <c r="AQ339" t="s">
        <v>129</v>
      </c>
      <c r="AR339">
        <v>37</v>
      </c>
      <c r="AS339">
        <v>-104</v>
      </c>
      <c r="AT339">
        <v>1536</v>
      </c>
      <c r="BB339">
        <v>1200</v>
      </c>
      <c r="BC339">
        <v>1</v>
      </c>
      <c r="BD339" t="str">
        <f t="shared" si="123"/>
        <v xml:space="preserve">N887QR  </v>
      </c>
      <c r="BE339">
        <v>1</v>
      </c>
      <c r="BG339">
        <v>0</v>
      </c>
      <c r="BH339">
        <v>0</v>
      </c>
      <c r="BI339">
        <v>0</v>
      </c>
      <c r="BJ339">
        <v>1450</v>
      </c>
      <c r="BK339">
        <v>-250</v>
      </c>
      <c r="BL339" t="s">
        <v>163</v>
      </c>
      <c r="BM339">
        <v>1</v>
      </c>
      <c r="BN339">
        <v>1</v>
      </c>
      <c r="BO339">
        <v>1</v>
      </c>
      <c r="BP339">
        <v>0</v>
      </c>
      <c r="BS339">
        <v>0</v>
      </c>
      <c r="BT339">
        <v>0</v>
      </c>
      <c r="BU339">
        <v>0</v>
      </c>
      <c r="CE339" t="str">
        <f t="shared" si="129"/>
        <v>19:26:35.937</v>
      </c>
      <c r="CF339">
        <v>936915031</v>
      </c>
      <c r="CS339">
        <v>3</v>
      </c>
      <c r="CT339">
        <v>2</v>
      </c>
      <c r="CU339">
        <v>0</v>
      </c>
      <c r="CV339">
        <v>2</v>
      </c>
      <c r="CW339">
        <v>0</v>
      </c>
      <c r="CX339">
        <v>4</v>
      </c>
      <c r="CY339">
        <v>7</v>
      </c>
      <c r="CZ339" t="s">
        <v>131</v>
      </c>
      <c r="DA339">
        <v>286</v>
      </c>
      <c r="DB339">
        <v>0</v>
      </c>
      <c r="DC339" t="s">
        <v>132</v>
      </c>
      <c r="DD339" t="s">
        <v>133</v>
      </c>
      <c r="DG339">
        <v>790857</v>
      </c>
      <c r="DI339">
        <v>0</v>
      </c>
      <c r="DJ339">
        <v>0</v>
      </c>
      <c r="DK339">
        <v>1</v>
      </c>
      <c r="DL339">
        <v>0</v>
      </c>
      <c r="DM339">
        <v>0</v>
      </c>
      <c r="DN339">
        <v>1</v>
      </c>
      <c r="DO339">
        <v>0</v>
      </c>
      <c r="DP339">
        <v>0</v>
      </c>
      <c r="DQ339">
        <v>0</v>
      </c>
      <c r="DR339">
        <v>0</v>
      </c>
      <c r="DS339">
        <v>0</v>
      </c>
    </row>
    <row r="340" spans="1:123" x14ac:dyDescent="0.3">
      <c r="A340" t="str">
        <f>"10/04/2022 19:26:36.197"</f>
        <v>10/04/2022 19:26:36.197</v>
      </c>
      <c r="C340" t="str">
        <f t="shared" si="121"/>
        <v>FFDFD3C0</v>
      </c>
      <c r="D340" t="s">
        <v>141</v>
      </c>
      <c r="E340">
        <v>4</v>
      </c>
      <c r="H340">
        <v>4</v>
      </c>
      <c r="I340" t="s">
        <v>142</v>
      </c>
      <c r="J340" t="s">
        <v>138</v>
      </c>
      <c r="K340">
        <v>0</v>
      </c>
      <c r="L340">
        <v>3</v>
      </c>
      <c r="M340">
        <v>0</v>
      </c>
      <c r="N340">
        <v>2</v>
      </c>
      <c r="O340">
        <v>0</v>
      </c>
      <c r="P340">
        <v>1</v>
      </c>
      <c r="Q340">
        <v>0</v>
      </c>
      <c r="S340" t="str">
        <f t="shared" si="128"/>
        <v>19:26:35.000</v>
      </c>
      <c r="T340" t="str">
        <f t="shared" si="128"/>
        <v>19:26:35.000</v>
      </c>
      <c r="U340" t="str">
        <f t="shared" si="122"/>
        <v>AC3944</v>
      </c>
      <c r="V340">
        <v>0</v>
      </c>
      <c r="W340">
        <v>0</v>
      </c>
      <c r="X340">
        <v>2</v>
      </c>
      <c r="Y340">
        <v>0</v>
      </c>
      <c r="AA340">
        <v>1</v>
      </c>
      <c r="AB340">
        <v>8</v>
      </c>
      <c r="AC340">
        <v>3</v>
      </c>
      <c r="AD340">
        <v>0</v>
      </c>
      <c r="AE340">
        <v>9</v>
      </c>
      <c r="AF340" t="s">
        <v>138</v>
      </c>
      <c r="AG340">
        <v>0</v>
      </c>
      <c r="AH340">
        <v>3</v>
      </c>
      <c r="AI340">
        <v>1</v>
      </c>
      <c r="AJ340">
        <v>0</v>
      </c>
      <c r="AK340" t="s">
        <v>250</v>
      </c>
      <c r="AL340">
        <v>32.821784000000001</v>
      </c>
      <c r="AM340" t="s">
        <v>251</v>
      </c>
      <c r="AN340">
        <v>-116.998215</v>
      </c>
      <c r="AO340">
        <v>25</v>
      </c>
      <c r="AP340">
        <v>1700</v>
      </c>
      <c r="AQ340" t="s">
        <v>129</v>
      </c>
      <c r="AR340">
        <v>37</v>
      </c>
      <c r="AS340">
        <v>-104</v>
      </c>
      <c r="AT340">
        <v>1536</v>
      </c>
      <c r="BB340">
        <v>1200</v>
      </c>
      <c r="BC340">
        <v>1</v>
      </c>
      <c r="BD340" t="str">
        <f t="shared" si="123"/>
        <v xml:space="preserve">N887QR  </v>
      </c>
      <c r="BE340">
        <v>1</v>
      </c>
      <c r="BG340">
        <v>0</v>
      </c>
      <c r="BH340">
        <v>0</v>
      </c>
      <c r="BI340">
        <v>0</v>
      </c>
      <c r="BJ340">
        <v>1450</v>
      </c>
      <c r="BK340">
        <v>-250</v>
      </c>
      <c r="BL340" t="s">
        <v>163</v>
      </c>
      <c r="BM340">
        <v>1</v>
      </c>
      <c r="BN340">
        <v>1</v>
      </c>
      <c r="BO340">
        <v>1</v>
      </c>
      <c r="BP340">
        <v>0</v>
      </c>
      <c r="BS340">
        <v>0</v>
      </c>
      <c r="BT340">
        <v>0</v>
      </c>
      <c r="BU340">
        <v>0</v>
      </c>
      <c r="CE340" t="str">
        <f t="shared" si="129"/>
        <v>19:26:35.937</v>
      </c>
      <c r="CF340">
        <v>936915031</v>
      </c>
      <c r="CS340">
        <v>3</v>
      </c>
      <c r="CT340">
        <v>2</v>
      </c>
      <c r="CU340">
        <v>0</v>
      </c>
      <c r="CV340">
        <v>2</v>
      </c>
      <c r="CW340">
        <v>0</v>
      </c>
      <c r="CX340">
        <v>4</v>
      </c>
      <c r="CY340">
        <v>7</v>
      </c>
      <c r="CZ340" t="s">
        <v>131</v>
      </c>
      <c r="DA340">
        <v>286</v>
      </c>
      <c r="DB340">
        <v>0</v>
      </c>
      <c r="DC340" t="s">
        <v>132</v>
      </c>
      <c r="DD340" t="s">
        <v>133</v>
      </c>
      <c r="DG340">
        <v>790857</v>
      </c>
      <c r="DI340">
        <v>0</v>
      </c>
      <c r="DJ340">
        <v>0</v>
      </c>
      <c r="DK340">
        <v>1</v>
      </c>
      <c r="DL340">
        <v>0</v>
      </c>
      <c r="DM340">
        <v>0</v>
      </c>
      <c r="DN340">
        <v>1</v>
      </c>
      <c r="DO340">
        <v>0</v>
      </c>
      <c r="DP340">
        <v>0</v>
      </c>
      <c r="DQ340">
        <v>0</v>
      </c>
      <c r="DR340">
        <v>0</v>
      </c>
      <c r="DS340">
        <v>0</v>
      </c>
    </row>
    <row r="341" spans="1:123" x14ac:dyDescent="0.3">
      <c r="A341" t="str">
        <f>"10/04/2022 19:26:36.197"</f>
        <v>10/04/2022 19:26:36.197</v>
      </c>
      <c r="C341" t="str">
        <f t="shared" si="121"/>
        <v>FFDFD3C0</v>
      </c>
      <c r="D341" t="s">
        <v>123</v>
      </c>
      <c r="E341">
        <v>7</v>
      </c>
      <c r="F341">
        <v>2007</v>
      </c>
      <c r="G341" t="s">
        <v>124</v>
      </c>
      <c r="J341" t="s">
        <v>125</v>
      </c>
      <c r="K341">
        <v>0</v>
      </c>
      <c r="L341">
        <v>3</v>
      </c>
      <c r="M341">
        <v>0</v>
      </c>
      <c r="N341">
        <v>2</v>
      </c>
      <c r="O341">
        <v>0</v>
      </c>
      <c r="P341">
        <v>1</v>
      </c>
      <c r="Q341">
        <v>0</v>
      </c>
      <c r="S341" t="str">
        <f t="shared" si="128"/>
        <v>19:26:35.000</v>
      </c>
      <c r="T341" t="str">
        <f t="shared" si="128"/>
        <v>19:26:35.000</v>
      </c>
      <c r="U341" t="str">
        <f t="shared" si="122"/>
        <v>AC3944</v>
      </c>
      <c r="V341">
        <v>0</v>
      </c>
      <c r="W341">
        <v>0</v>
      </c>
      <c r="X341">
        <v>2</v>
      </c>
      <c r="Y341">
        <v>0</v>
      </c>
      <c r="AA341">
        <v>1</v>
      </c>
      <c r="AB341">
        <v>8</v>
      </c>
      <c r="AC341">
        <v>3</v>
      </c>
      <c r="AD341">
        <v>0</v>
      </c>
      <c r="AE341">
        <v>9</v>
      </c>
      <c r="AF341" t="s">
        <v>138</v>
      </c>
      <c r="AG341">
        <v>0</v>
      </c>
      <c r="AH341">
        <v>3</v>
      </c>
      <c r="AI341">
        <v>1</v>
      </c>
      <c r="AJ341">
        <v>0</v>
      </c>
      <c r="AK341" t="s">
        <v>250</v>
      </c>
      <c r="AL341">
        <v>32.821784000000001</v>
      </c>
      <c r="AM341" t="s">
        <v>251</v>
      </c>
      <c r="AN341">
        <v>-116.998215</v>
      </c>
      <c r="AO341">
        <v>25</v>
      </c>
      <c r="AP341">
        <v>1700</v>
      </c>
      <c r="AQ341" t="s">
        <v>129</v>
      </c>
      <c r="AR341">
        <v>37</v>
      </c>
      <c r="AS341">
        <v>-104</v>
      </c>
      <c r="AT341">
        <v>1536</v>
      </c>
      <c r="BB341">
        <v>1200</v>
      </c>
      <c r="BC341">
        <v>1</v>
      </c>
      <c r="BD341" t="str">
        <f t="shared" si="123"/>
        <v xml:space="preserve">N887QR  </v>
      </c>
      <c r="BE341">
        <v>1</v>
      </c>
      <c r="BG341">
        <v>0</v>
      </c>
      <c r="BH341">
        <v>0</v>
      </c>
      <c r="BI341">
        <v>0</v>
      </c>
      <c r="BJ341">
        <v>1450</v>
      </c>
      <c r="BK341">
        <v>-250</v>
      </c>
      <c r="BL341" t="s">
        <v>163</v>
      </c>
      <c r="BM341">
        <v>1</v>
      </c>
      <c r="BN341">
        <v>1</v>
      </c>
      <c r="BO341">
        <v>1</v>
      </c>
      <c r="BP341">
        <v>0</v>
      </c>
      <c r="BS341">
        <v>0</v>
      </c>
      <c r="BT341">
        <v>0</v>
      </c>
      <c r="BU341">
        <v>0</v>
      </c>
      <c r="CE341" t="str">
        <f t="shared" si="129"/>
        <v>19:26:35.937</v>
      </c>
      <c r="CF341">
        <v>936915031</v>
      </c>
      <c r="CS341">
        <v>3</v>
      </c>
      <c r="CT341">
        <v>2</v>
      </c>
      <c r="CU341">
        <v>0</v>
      </c>
      <c r="CV341">
        <v>2</v>
      </c>
      <c r="CW341">
        <v>0</v>
      </c>
      <c r="CX341">
        <v>4</v>
      </c>
      <c r="CY341">
        <v>7</v>
      </c>
      <c r="CZ341" t="s">
        <v>131</v>
      </c>
      <c r="DA341">
        <v>286</v>
      </c>
      <c r="DB341">
        <v>0</v>
      </c>
      <c r="DC341" t="s">
        <v>132</v>
      </c>
      <c r="DD341" t="s">
        <v>133</v>
      </c>
      <c r="DG341">
        <v>790857</v>
      </c>
      <c r="DI341">
        <v>0</v>
      </c>
      <c r="DJ341">
        <v>0</v>
      </c>
      <c r="DK341">
        <v>1</v>
      </c>
      <c r="DL341">
        <v>0</v>
      </c>
      <c r="DM341">
        <v>0</v>
      </c>
      <c r="DN341">
        <v>1</v>
      </c>
      <c r="DO341">
        <v>0</v>
      </c>
      <c r="DP341">
        <v>0</v>
      </c>
      <c r="DQ341">
        <v>0</v>
      </c>
      <c r="DR341">
        <v>0</v>
      </c>
      <c r="DS341">
        <v>0</v>
      </c>
    </row>
    <row r="342" spans="1:123" x14ac:dyDescent="0.3">
      <c r="A342" t="str">
        <f>"10/04/2022 19:26:36.197"</f>
        <v>10/04/2022 19:26:36.197</v>
      </c>
      <c r="C342" t="str">
        <f t="shared" si="121"/>
        <v>FFDFD3C0</v>
      </c>
      <c r="D342" t="s">
        <v>136</v>
      </c>
      <c r="E342">
        <v>8</v>
      </c>
      <c r="H342">
        <v>225</v>
      </c>
      <c r="I342" t="s">
        <v>137</v>
      </c>
      <c r="J342" t="s">
        <v>138</v>
      </c>
      <c r="K342">
        <v>0</v>
      </c>
      <c r="L342">
        <v>3</v>
      </c>
      <c r="M342">
        <v>0</v>
      </c>
      <c r="N342">
        <v>2</v>
      </c>
      <c r="O342">
        <v>0</v>
      </c>
      <c r="P342">
        <v>1</v>
      </c>
      <c r="Q342">
        <v>0</v>
      </c>
      <c r="S342" t="str">
        <f t="shared" si="128"/>
        <v>19:26:35.000</v>
      </c>
      <c r="T342" t="str">
        <f t="shared" si="128"/>
        <v>19:26:35.000</v>
      </c>
      <c r="U342" t="str">
        <f t="shared" si="122"/>
        <v>AC3944</v>
      </c>
      <c r="V342">
        <v>0</v>
      </c>
      <c r="W342">
        <v>0</v>
      </c>
      <c r="X342">
        <v>2</v>
      </c>
      <c r="Y342">
        <v>0</v>
      </c>
      <c r="AA342">
        <v>1</v>
      </c>
      <c r="AB342">
        <v>8</v>
      </c>
      <c r="AC342">
        <v>3</v>
      </c>
      <c r="AD342">
        <v>0</v>
      </c>
      <c r="AE342">
        <v>9</v>
      </c>
      <c r="AF342" t="s">
        <v>138</v>
      </c>
      <c r="AG342">
        <v>0</v>
      </c>
      <c r="AH342">
        <v>3</v>
      </c>
      <c r="AI342">
        <v>1</v>
      </c>
      <c r="AJ342">
        <v>0</v>
      </c>
      <c r="AK342" t="s">
        <v>250</v>
      </c>
      <c r="AL342">
        <v>32.821784000000001</v>
      </c>
      <c r="AM342" t="s">
        <v>251</v>
      </c>
      <c r="AN342">
        <v>-116.998215</v>
      </c>
      <c r="AO342">
        <v>25</v>
      </c>
      <c r="AP342">
        <v>1700</v>
      </c>
      <c r="AQ342" t="s">
        <v>129</v>
      </c>
      <c r="AR342">
        <v>37</v>
      </c>
      <c r="AS342">
        <v>-104</v>
      </c>
      <c r="AT342">
        <v>1536</v>
      </c>
      <c r="BB342">
        <v>1200</v>
      </c>
      <c r="BC342">
        <v>1</v>
      </c>
      <c r="BD342" t="str">
        <f t="shared" si="123"/>
        <v xml:space="preserve">N887QR  </v>
      </c>
      <c r="BE342">
        <v>1</v>
      </c>
      <c r="BG342">
        <v>0</v>
      </c>
      <c r="BH342">
        <v>0</v>
      </c>
      <c r="BI342">
        <v>0</v>
      </c>
      <c r="BJ342">
        <v>1450</v>
      </c>
      <c r="BK342">
        <v>-250</v>
      </c>
      <c r="BL342" t="s">
        <v>163</v>
      </c>
      <c r="BM342">
        <v>1</v>
      </c>
      <c r="BN342">
        <v>1</v>
      </c>
      <c r="BO342">
        <v>1</v>
      </c>
      <c r="BP342">
        <v>0</v>
      </c>
      <c r="BS342">
        <v>0</v>
      </c>
      <c r="BT342">
        <v>0</v>
      </c>
      <c r="BU342">
        <v>0</v>
      </c>
      <c r="CE342" t="str">
        <f t="shared" si="129"/>
        <v>19:26:35.937</v>
      </c>
      <c r="CF342">
        <v>936915031</v>
      </c>
      <c r="CS342">
        <v>3</v>
      </c>
      <c r="CT342">
        <v>2</v>
      </c>
      <c r="CU342">
        <v>0</v>
      </c>
      <c r="CV342">
        <v>2</v>
      </c>
      <c r="CW342">
        <v>0</v>
      </c>
      <c r="CX342">
        <v>4</v>
      </c>
      <c r="CY342">
        <v>7</v>
      </c>
      <c r="CZ342" t="s">
        <v>131</v>
      </c>
      <c r="DA342">
        <v>286</v>
      </c>
      <c r="DB342">
        <v>0</v>
      </c>
      <c r="DC342" t="s">
        <v>132</v>
      </c>
      <c r="DD342" t="s">
        <v>133</v>
      </c>
      <c r="DG342">
        <v>790857</v>
      </c>
      <c r="DI342">
        <v>0</v>
      </c>
      <c r="DJ342">
        <v>0</v>
      </c>
      <c r="DK342">
        <v>1</v>
      </c>
      <c r="DL342">
        <v>0</v>
      </c>
      <c r="DM342">
        <v>0</v>
      </c>
      <c r="DN342">
        <v>1</v>
      </c>
      <c r="DO342">
        <v>0</v>
      </c>
      <c r="DP342">
        <v>0</v>
      </c>
      <c r="DQ342">
        <v>0</v>
      </c>
      <c r="DR342">
        <v>0</v>
      </c>
      <c r="DS342">
        <v>0</v>
      </c>
    </row>
    <row r="343" spans="1:123" x14ac:dyDescent="0.3">
      <c r="A343" t="str">
        <f>"10/04/2022 19:26:36.213"</f>
        <v>10/04/2022 19:26:36.213</v>
      </c>
      <c r="C343" t="str">
        <f t="shared" si="121"/>
        <v>FFDFD3C0</v>
      </c>
      <c r="D343" t="s">
        <v>147</v>
      </c>
      <c r="E343">
        <v>3</v>
      </c>
      <c r="H343">
        <v>166</v>
      </c>
      <c r="I343" t="s">
        <v>144</v>
      </c>
      <c r="J343" t="s">
        <v>148</v>
      </c>
      <c r="K343">
        <v>0</v>
      </c>
      <c r="L343">
        <v>3</v>
      </c>
      <c r="M343">
        <v>0</v>
      </c>
      <c r="N343">
        <v>2</v>
      </c>
      <c r="O343">
        <v>0</v>
      </c>
      <c r="P343">
        <v>1</v>
      </c>
      <c r="Q343">
        <v>0</v>
      </c>
      <c r="S343" t="str">
        <f t="shared" si="128"/>
        <v>19:26:35.000</v>
      </c>
      <c r="T343" t="str">
        <f t="shared" si="128"/>
        <v>19:26:35.000</v>
      </c>
      <c r="U343" t="str">
        <f t="shared" si="122"/>
        <v>AC3944</v>
      </c>
      <c r="V343">
        <v>0</v>
      </c>
      <c r="W343">
        <v>0</v>
      </c>
      <c r="X343">
        <v>2</v>
      </c>
      <c r="Y343">
        <v>0</v>
      </c>
      <c r="AA343">
        <v>1</v>
      </c>
      <c r="AB343">
        <v>8</v>
      </c>
      <c r="AC343">
        <v>3</v>
      </c>
      <c r="AD343">
        <v>0</v>
      </c>
      <c r="AE343">
        <v>9</v>
      </c>
      <c r="AF343" t="s">
        <v>138</v>
      </c>
      <c r="AG343">
        <v>0</v>
      </c>
      <c r="AH343">
        <v>3</v>
      </c>
      <c r="AI343">
        <v>1</v>
      </c>
      <c r="AJ343">
        <v>0</v>
      </c>
      <c r="AK343" t="s">
        <v>250</v>
      </c>
      <c r="AL343">
        <v>32.821784000000001</v>
      </c>
      <c r="AM343" t="s">
        <v>251</v>
      </c>
      <c r="AN343">
        <v>-116.998215</v>
      </c>
      <c r="AO343">
        <v>25</v>
      </c>
      <c r="AP343">
        <v>1700</v>
      </c>
      <c r="AQ343" t="s">
        <v>129</v>
      </c>
      <c r="AR343">
        <v>37</v>
      </c>
      <c r="AS343">
        <v>-104</v>
      </c>
      <c r="AT343">
        <v>1536</v>
      </c>
      <c r="BB343">
        <v>1200</v>
      </c>
      <c r="BC343">
        <v>1</v>
      </c>
      <c r="BD343" t="str">
        <f t="shared" si="123"/>
        <v xml:space="preserve">N887QR  </v>
      </c>
      <c r="BE343">
        <v>1</v>
      </c>
      <c r="BG343">
        <v>0</v>
      </c>
      <c r="BH343">
        <v>0</v>
      </c>
      <c r="BI343">
        <v>0</v>
      </c>
      <c r="BJ343">
        <v>1450</v>
      </c>
      <c r="BK343">
        <v>-250</v>
      </c>
      <c r="BL343" t="s">
        <v>163</v>
      </c>
      <c r="BM343">
        <v>1</v>
      </c>
      <c r="BN343">
        <v>1</v>
      </c>
      <c r="BO343">
        <v>1</v>
      </c>
      <c r="BP343">
        <v>0</v>
      </c>
      <c r="BS343">
        <v>0</v>
      </c>
      <c r="BT343">
        <v>0</v>
      </c>
      <c r="BU343">
        <v>0</v>
      </c>
      <c r="CE343" t="str">
        <f t="shared" si="129"/>
        <v>19:26:35.937</v>
      </c>
      <c r="CF343">
        <v>936915031</v>
      </c>
      <c r="CS343">
        <v>3</v>
      </c>
      <c r="CT343">
        <v>2</v>
      </c>
      <c r="CU343">
        <v>0</v>
      </c>
      <c r="CV343">
        <v>2</v>
      </c>
      <c r="CW343">
        <v>0</v>
      </c>
      <c r="CX343">
        <v>4</v>
      </c>
      <c r="CY343">
        <v>7</v>
      </c>
      <c r="CZ343" t="s">
        <v>131</v>
      </c>
      <c r="DA343">
        <v>286</v>
      </c>
      <c r="DB343">
        <v>0</v>
      </c>
      <c r="DC343" t="s">
        <v>132</v>
      </c>
      <c r="DD343" t="s">
        <v>133</v>
      </c>
      <c r="DG343">
        <v>790857</v>
      </c>
      <c r="DI343">
        <v>0</v>
      </c>
      <c r="DJ343">
        <v>0</v>
      </c>
      <c r="DK343">
        <v>1</v>
      </c>
      <c r="DL343">
        <v>0</v>
      </c>
      <c r="DM343">
        <v>0</v>
      </c>
      <c r="DN343">
        <v>1</v>
      </c>
      <c r="DO343">
        <v>0</v>
      </c>
      <c r="DP343">
        <v>0</v>
      </c>
      <c r="DQ343">
        <v>0</v>
      </c>
      <c r="DR343">
        <v>0</v>
      </c>
      <c r="DS343">
        <v>0</v>
      </c>
    </row>
    <row r="344" spans="1:123" x14ac:dyDescent="0.3">
      <c r="A344" t="str">
        <f>"10/04/2022 19:26:36.213"</f>
        <v>10/04/2022 19:26:36.213</v>
      </c>
      <c r="C344" t="str">
        <f t="shared" si="121"/>
        <v>FFDFD3C0</v>
      </c>
      <c r="D344" t="s">
        <v>134</v>
      </c>
      <c r="E344">
        <v>15</v>
      </c>
      <c r="J344" t="s">
        <v>135</v>
      </c>
      <c r="K344">
        <v>0</v>
      </c>
      <c r="L344">
        <v>3</v>
      </c>
      <c r="M344">
        <v>0</v>
      </c>
      <c r="N344">
        <v>2</v>
      </c>
      <c r="O344">
        <v>0</v>
      </c>
      <c r="P344">
        <v>1</v>
      </c>
      <c r="Q344">
        <v>0</v>
      </c>
      <c r="S344" t="str">
        <f t="shared" si="128"/>
        <v>19:26:35.000</v>
      </c>
      <c r="T344" t="str">
        <f t="shared" si="128"/>
        <v>19:26:35.000</v>
      </c>
      <c r="U344" t="str">
        <f t="shared" si="122"/>
        <v>AC3944</v>
      </c>
      <c r="V344">
        <v>0</v>
      </c>
      <c r="W344">
        <v>0</v>
      </c>
      <c r="X344">
        <v>2</v>
      </c>
      <c r="Y344">
        <v>0</v>
      </c>
      <c r="AA344">
        <v>1</v>
      </c>
      <c r="AB344">
        <v>8</v>
      </c>
      <c r="AC344">
        <v>3</v>
      </c>
      <c r="AD344">
        <v>0</v>
      </c>
      <c r="AE344">
        <v>9</v>
      </c>
      <c r="AF344" t="s">
        <v>138</v>
      </c>
      <c r="AG344">
        <v>0</v>
      </c>
      <c r="AH344">
        <v>3</v>
      </c>
      <c r="AI344">
        <v>1</v>
      </c>
      <c r="AJ344">
        <v>0</v>
      </c>
      <c r="AK344" t="s">
        <v>250</v>
      </c>
      <c r="AL344">
        <v>32.821784000000001</v>
      </c>
      <c r="AM344" t="s">
        <v>251</v>
      </c>
      <c r="AN344">
        <v>-116.998215</v>
      </c>
      <c r="AO344">
        <v>25</v>
      </c>
      <c r="AP344">
        <v>1700</v>
      </c>
      <c r="AQ344" t="s">
        <v>129</v>
      </c>
      <c r="AR344">
        <v>37</v>
      </c>
      <c r="AS344">
        <v>-104</v>
      </c>
      <c r="AT344">
        <v>1536</v>
      </c>
      <c r="BB344">
        <v>1200</v>
      </c>
      <c r="BC344">
        <v>1</v>
      </c>
      <c r="BD344" t="str">
        <f t="shared" si="123"/>
        <v xml:space="preserve">N887QR  </v>
      </c>
      <c r="BE344">
        <v>1</v>
      </c>
      <c r="BG344">
        <v>0</v>
      </c>
      <c r="BH344">
        <v>0</v>
      </c>
      <c r="BI344">
        <v>0</v>
      </c>
      <c r="BJ344">
        <v>1450</v>
      </c>
      <c r="BK344">
        <v>-250</v>
      </c>
      <c r="BL344" t="s">
        <v>163</v>
      </c>
      <c r="BM344">
        <v>1</v>
      </c>
      <c r="BN344">
        <v>1</v>
      </c>
      <c r="BO344">
        <v>1</v>
      </c>
      <c r="BP344">
        <v>0</v>
      </c>
      <c r="BS344">
        <v>0</v>
      </c>
      <c r="BT344">
        <v>0</v>
      </c>
      <c r="BU344">
        <v>0</v>
      </c>
      <c r="CE344" t="str">
        <f t="shared" si="129"/>
        <v>19:26:35.937</v>
      </c>
      <c r="CF344">
        <v>936915031</v>
      </c>
      <c r="CS344">
        <v>3</v>
      </c>
      <c r="CT344">
        <v>2</v>
      </c>
      <c r="CU344">
        <v>0</v>
      </c>
      <c r="CV344">
        <v>2</v>
      </c>
      <c r="CW344">
        <v>0</v>
      </c>
      <c r="CX344">
        <v>4</v>
      </c>
      <c r="CY344">
        <v>7</v>
      </c>
      <c r="CZ344" t="s">
        <v>131</v>
      </c>
      <c r="DA344">
        <v>286</v>
      </c>
      <c r="DB344">
        <v>0</v>
      </c>
      <c r="DC344" t="s">
        <v>132</v>
      </c>
      <c r="DD344" t="s">
        <v>133</v>
      </c>
      <c r="DG344">
        <v>790857</v>
      </c>
      <c r="DI344">
        <v>0</v>
      </c>
      <c r="DJ344">
        <v>0</v>
      </c>
      <c r="DK344">
        <v>1</v>
      </c>
      <c r="DL344">
        <v>0</v>
      </c>
      <c r="DM344">
        <v>0</v>
      </c>
      <c r="DN344">
        <v>1</v>
      </c>
      <c r="DO344">
        <v>0</v>
      </c>
      <c r="DP344">
        <v>0</v>
      </c>
      <c r="DQ344">
        <v>0</v>
      </c>
      <c r="DR344">
        <v>0</v>
      </c>
      <c r="DS344">
        <v>0</v>
      </c>
    </row>
    <row r="345" spans="1:123" x14ac:dyDescent="0.3">
      <c r="A345" t="str">
        <f>"10/04/2022 19:26:37.555"</f>
        <v>10/04/2022 19:26:37.555</v>
      </c>
      <c r="C345" t="str">
        <f t="shared" si="121"/>
        <v>FFDFD3C0</v>
      </c>
      <c r="D345" t="s">
        <v>123</v>
      </c>
      <c r="E345">
        <v>7</v>
      </c>
      <c r="F345">
        <v>2007</v>
      </c>
      <c r="G345" t="s">
        <v>124</v>
      </c>
      <c r="J345" t="s">
        <v>125</v>
      </c>
      <c r="K345">
        <v>0</v>
      </c>
      <c r="L345">
        <v>3</v>
      </c>
      <c r="M345">
        <v>0</v>
      </c>
      <c r="N345">
        <v>2</v>
      </c>
      <c r="O345">
        <v>0</v>
      </c>
      <c r="P345">
        <v>1</v>
      </c>
      <c r="Q345">
        <v>0</v>
      </c>
      <c r="S345" t="str">
        <f t="shared" ref="S345:T351" si="130">"19:26:37.000"</f>
        <v>19:26:37.000</v>
      </c>
      <c r="T345" t="str">
        <f t="shared" si="130"/>
        <v>19:26:37.000</v>
      </c>
      <c r="U345" t="str">
        <f t="shared" si="122"/>
        <v>AC3944</v>
      </c>
      <c r="V345">
        <v>0</v>
      </c>
      <c r="W345">
        <v>0</v>
      </c>
      <c r="X345">
        <v>2</v>
      </c>
      <c r="Y345">
        <v>0</v>
      </c>
      <c r="AA345">
        <v>1</v>
      </c>
      <c r="AB345">
        <v>8</v>
      </c>
      <c r="AC345">
        <v>3</v>
      </c>
      <c r="AD345">
        <v>0</v>
      </c>
      <c r="AE345">
        <v>9</v>
      </c>
      <c r="AF345" t="s">
        <v>138</v>
      </c>
      <c r="AG345">
        <v>0</v>
      </c>
      <c r="AH345">
        <v>3</v>
      </c>
      <c r="AI345">
        <v>1</v>
      </c>
      <c r="AJ345">
        <v>0</v>
      </c>
      <c r="AK345" t="s">
        <v>252</v>
      </c>
      <c r="AL345">
        <v>32.821289999999998</v>
      </c>
      <c r="AM345" t="s">
        <v>253</v>
      </c>
      <c r="AN345">
        <v>-116.998</v>
      </c>
      <c r="AO345">
        <v>25</v>
      </c>
      <c r="AP345">
        <v>1800</v>
      </c>
      <c r="AQ345" t="s">
        <v>129</v>
      </c>
      <c r="AR345">
        <v>52</v>
      </c>
      <c r="AS345">
        <v>-101</v>
      </c>
      <c r="AT345">
        <v>1408</v>
      </c>
      <c r="BB345">
        <v>1200</v>
      </c>
      <c r="BC345">
        <v>1</v>
      </c>
      <c r="BD345" t="str">
        <f t="shared" si="123"/>
        <v xml:space="preserve">N887QR  </v>
      </c>
      <c r="BE345">
        <v>1</v>
      </c>
      <c r="BG345">
        <v>0</v>
      </c>
      <c r="BH345">
        <v>0</v>
      </c>
      <c r="BI345">
        <v>0</v>
      </c>
      <c r="BJ345">
        <v>1375</v>
      </c>
      <c r="BK345">
        <v>-425</v>
      </c>
      <c r="BL345" t="s">
        <v>163</v>
      </c>
      <c r="BM345">
        <v>1</v>
      </c>
      <c r="BN345">
        <v>1</v>
      </c>
      <c r="BO345">
        <v>1</v>
      </c>
      <c r="BP345">
        <v>0</v>
      </c>
      <c r="BS345">
        <v>0</v>
      </c>
      <c r="BT345">
        <v>0</v>
      </c>
      <c r="BU345">
        <v>0</v>
      </c>
      <c r="CE345" t="str">
        <f t="shared" ref="CE345:CE351" si="131">"19:26:37.381"</f>
        <v>19:26:37.381</v>
      </c>
      <c r="CF345">
        <v>381266745</v>
      </c>
      <c r="CS345">
        <v>3</v>
      </c>
      <c r="CT345">
        <v>2</v>
      </c>
      <c r="CU345">
        <v>0</v>
      </c>
      <c r="CV345">
        <v>2</v>
      </c>
      <c r="CW345">
        <v>0</v>
      </c>
      <c r="CX345">
        <v>5</v>
      </c>
      <c r="CY345">
        <v>7</v>
      </c>
      <c r="CZ345" t="s">
        <v>131</v>
      </c>
      <c r="DA345">
        <v>292</v>
      </c>
      <c r="DB345">
        <v>0</v>
      </c>
      <c r="DC345" t="s">
        <v>254</v>
      </c>
      <c r="DD345" t="s">
        <v>255</v>
      </c>
      <c r="DG345">
        <v>3364845</v>
      </c>
      <c r="DI345">
        <v>0</v>
      </c>
      <c r="DJ345">
        <v>0</v>
      </c>
      <c r="DK345">
        <v>0</v>
      </c>
      <c r="DL345">
        <v>0</v>
      </c>
      <c r="DM345">
        <v>0</v>
      </c>
      <c r="DN345">
        <v>1</v>
      </c>
      <c r="DO345">
        <v>0</v>
      </c>
      <c r="DP345">
        <v>0</v>
      </c>
      <c r="DQ345">
        <v>0</v>
      </c>
      <c r="DR345">
        <v>0</v>
      </c>
      <c r="DS345">
        <v>0</v>
      </c>
    </row>
    <row r="346" spans="1:123" x14ac:dyDescent="0.3">
      <c r="A346" t="str">
        <f>"10/04/2022 19:26:37.555"</f>
        <v>10/04/2022 19:26:37.555</v>
      </c>
      <c r="C346" t="str">
        <f t="shared" si="121"/>
        <v>FFDFD3C0</v>
      </c>
      <c r="D346" t="s">
        <v>141</v>
      </c>
      <c r="E346">
        <v>4</v>
      </c>
      <c r="H346">
        <v>4</v>
      </c>
      <c r="I346" t="s">
        <v>142</v>
      </c>
      <c r="J346" t="s">
        <v>138</v>
      </c>
      <c r="K346">
        <v>0</v>
      </c>
      <c r="L346">
        <v>3</v>
      </c>
      <c r="M346">
        <v>0</v>
      </c>
      <c r="N346">
        <v>2</v>
      </c>
      <c r="O346">
        <v>0</v>
      </c>
      <c r="P346">
        <v>1</v>
      </c>
      <c r="Q346">
        <v>0</v>
      </c>
      <c r="S346" t="str">
        <f t="shared" si="130"/>
        <v>19:26:37.000</v>
      </c>
      <c r="T346" t="str">
        <f t="shared" si="130"/>
        <v>19:26:37.000</v>
      </c>
      <c r="U346" t="str">
        <f t="shared" si="122"/>
        <v>AC3944</v>
      </c>
      <c r="V346">
        <v>0</v>
      </c>
      <c r="W346">
        <v>0</v>
      </c>
      <c r="X346">
        <v>2</v>
      </c>
      <c r="Y346">
        <v>0</v>
      </c>
      <c r="AA346">
        <v>1</v>
      </c>
      <c r="AB346">
        <v>8</v>
      </c>
      <c r="AC346">
        <v>3</v>
      </c>
      <c r="AD346">
        <v>0</v>
      </c>
      <c r="AE346">
        <v>9</v>
      </c>
      <c r="AF346" t="s">
        <v>138</v>
      </c>
      <c r="AG346">
        <v>0</v>
      </c>
      <c r="AH346">
        <v>3</v>
      </c>
      <c r="AI346">
        <v>1</v>
      </c>
      <c r="AJ346">
        <v>0</v>
      </c>
      <c r="AK346" t="s">
        <v>252</v>
      </c>
      <c r="AL346">
        <v>32.821289999999998</v>
      </c>
      <c r="AM346" t="s">
        <v>253</v>
      </c>
      <c r="AN346">
        <v>-116.998</v>
      </c>
      <c r="AO346">
        <v>25</v>
      </c>
      <c r="AP346">
        <v>1800</v>
      </c>
      <c r="AQ346" t="s">
        <v>129</v>
      </c>
      <c r="AR346">
        <v>52</v>
      </c>
      <c r="AS346">
        <v>-101</v>
      </c>
      <c r="AT346">
        <v>1408</v>
      </c>
      <c r="BB346">
        <v>1200</v>
      </c>
      <c r="BC346">
        <v>1</v>
      </c>
      <c r="BD346" t="str">
        <f t="shared" si="123"/>
        <v xml:space="preserve">N887QR  </v>
      </c>
      <c r="BE346">
        <v>1</v>
      </c>
      <c r="BG346">
        <v>0</v>
      </c>
      <c r="BH346">
        <v>0</v>
      </c>
      <c r="BI346">
        <v>0</v>
      </c>
      <c r="BJ346">
        <v>1375</v>
      </c>
      <c r="BK346">
        <v>-425</v>
      </c>
      <c r="BL346" t="s">
        <v>163</v>
      </c>
      <c r="BM346">
        <v>1</v>
      </c>
      <c r="BN346">
        <v>1</v>
      </c>
      <c r="BO346">
        <v>1</v>
      </c>
      <c r="BP346">
        <v>0</v>
      </c>
      <c r="BS346">
        <v>0</v>
      </c>
      <c r="BT346">
        <v>0</v>
      </c>
      <c r="BU346">
        <v>0</v>
      </c>
      <c r="CE346" t="str">
        <f t="shared" si="131"/>
        <v>19:26:37.381</v>
      </c>
      <c r="CF346">
        <v>380669331</v>
      </c>
      <c r="CS346">
        <v>3</v>
      </c>
      <c r="CT346">
        <v>2</v>
      </c>
      <c r="CU346">
        <v>0</v>
      </c>
      <c r="CV346">
        <v>2</v>
      </c>
      <c r="CW346">
        <v>0</v>
      </c>
      <c r="CX346">
        <v>3</v>
      </c>
      <c r="CY346">
        <v>7</v>
      </c>
      <c r="CZ346" t="s">
        <v>131</v>
      </c>
      <c r="DA346">
        <v>286</v>
      </c>
      <c r="DB346">
        <v>0</v>
      </c>
      <c r="DC346" t="s">
        <v>132</v>
      </c>
      <c r="DD346" t="s">
        <v>133</v>
      </c>
      <c r="DG346">
        <v>791143</v>
      </c>
      <c r="DI346">
        <v>0</v>
      </c>
      <c r="DJ346">
        <v>0</v>
      </c>
      <c r="DK346">
        <v>1</v>
      </c>
      <c r="DL346">
        <v>0</v>
      </c>
      <c r="DM346">
        <v>0</v>
      </c>
      <c r="DN346">
        <v>1</v>
      </c>
      <c r="DO346">
        <v>0</v>
      </c>
      <c r="DP346">
        <v>0</v>
      </c>
      <c r="DQ346">
        <v>0</v>
      </c>
      <c r="DR346">
        <v>0</v>
      </c>
      <c r="DS346">
        <v>0</v>
      </c>
    </row>
    <row r="347" spans="1:123" x14ac:dyDescent="0.3">
      <c r="A347" t="str">
        <f>"10/04/2022 19:26:37.587"</f>
        <v>10/04/2022 19:26:37.587</v>
      </c>
      <c r="C347" t="str">
        <f t="shared" si="121"/>
        <v>FFDFD3C0</v>
      </c>
      <c r="D347" t="s">
        <v>136</v>
      </c>
      <c r="E347">
        <v>8</v>
      </c>
      <c r="H347">
        <v>225</v>
      </c>
      <c r="I347" t="s">
        <v>137</v>
      </c>
      <c r="J347" t="s">
        <v>138</v>
      </c>
      <c r="K347">
        <v>0</v>
      </c>
      <c r="L347">
        <v>3</v>
      </c>
      <c r="M347">
        <v>0</v>
      </c>
      <c r="N347">
        <v>2</v>
      </c>
      <c r="O347">
        <v>0</v>
      </c>
      <c r="P347">
        <v>1</v>
      </c>
      <c r="Q347">
        <v>0</v>
      </c>
      <c r="S347" t="str">
        <f t="shared" si="130"/>
        <v>19:26:37.000</v>
      </c>
      <c r="T347" t="str">
        <f t="shared" si="130"/>
        <v>19:26:37.000</v>
      </c>
      <c r="U347" t="str">
        <f t="shared" si="122"/>
        <v>AC3944</v>
      </c>
      <c r="V347">
        <v>0</v>
      </c>
      <c r="W347">
        <v>0</v>
      </c>
      <c r="X347">
        <v>2</v>
      </c>
      <c r="Y347">
        <v>0</v>
      </c>
      <c r="AA347">
        <v>1</v>
      </c>
      <c r="AB347">
        <v>8</v>
      </c>
      <c r="AC347">
        <v>3</v>
      </c>
      <c r="AD347">
        <v>0</v>
      </c>
      <c r="AE347">
        <v>9</v>
      </c>
      <c r="AF347" t="s">
        <v>138</v>
      </c>
      <c r="AG347">
        <v>0</v>
      </c>
      <c r="AH347">
        <v>3</v>
      </c>
      <c r="AI347">
        <v>1</v>
      </c>
      <c r="AJ347">
        <v>0</v>
      </c>
      <c r="AK347" t="s">
        <v>252</v>
      </c>
      <c r="AL347">
        <v>32.821289999999998</v>
      </c>
      <c r="AM347" t="s">
        <v>253</v>
      </c>
      <c r="AN347">
        <v>-116.998</v>
      </c>
      <c r="AO347">
        <v>25</v>
      </c>
      <c r="AP347">
        <v>1800</v>
      </c>
      <c r="AQ347" t="s">
        <v>129</v>
      </c>
      <c r="AR347">
        <v>52</v>
      </c>
      <c r="AS347">
        <v>-101</v>
      </c>
      <c r="AT347">
        <v>1408</v>
      </c>
      <c r="BB347">
        <v>1200</v>
      </c>
      <c r="BC347">
        <v>1</v>
      </c>
      <c r="BD347" t="str">
        <f t="shared" si="123"/>
        <v xml:space="preserve">N887QR  </v>
      </c>
      <c r="BE347">
        <v>1</v>
      </c>
      <c r="BG347">
        <v>0</v>
      </c>
      <c r="BH347">
        <v>0</v>
      </c>
      <c r="BI347">
        <v>0</v>
      </c>
      <c r="BJ347">
        <v>1375</v>
      </c>
      <c r="BK347">
        <v>-425</v>
      </c>
      <c r="BL347" t="s">
        <v>163</v>
      </c>
      <c r="BM347">
        <v>1</v>
      </c>
      <c r="BN347">
        <v>1</v>
      </c>
      <c r="BO347">
        <v>1</v>
      </c>
      <c r="BP347">
        <v>0</v>
      </c>
      <c r="BS347">
        <v>0</v>
      </c>
      <c r="BT347">
        <v>0</v>
      </c>
      <c r="BU347">
        <v>0</v>
      </c>
      <c r="CE347" t="str">
        <f t="shared" si="131"/>
        <v>19:26:37.381</v>
      </c>
      <c r="CF347">
        <v>380669331</v>
      </c>
      <c r="CS347">
        <v>3</v>
      </c>
      <c r="CT347">
        <v>2</v>
      </c>
      <c r="CU347">
        <v>0</v>
      </c>
      <c r="CV347">
        <v>2</v>
      </c>
      <c r="CW347">
        <v>0</v>
      </c>
      <c r="CX347">
        <v>3</v>
      </c>
      <c r="CY347">
        <v>7</v>
      </c>
      <c r="CZ347" t="s">
        <v>131</v>
      </c>
      <c r="DA347">
        <v>286</v>
      </c>
      <c r="DB347">
        <v>0</v>
      </c>
      <c r="DC347" t="s">
        <v>132</v>
      </c>
      <c r="DD347" t="s">
        <v>133</v>
      </c>
      <c r="DG347">
        <v>791143</v>
      </c>
      <c r="DI347">
        <v>0</v>
      </c>
      <c r="DJ347">
        <v>0</v>
      </c>
      <c r="DK347">
        <v>1</v>
      </c>
      <c r="DL347">
        <v>0</v>
      </c>
      <c r="DM347">
        <v>0</v>
      </c>
      <c r="DN347">
        <v>1</v>
      </c>
      <c r="DO347">
        <v>0</v>
      </c>
      <c r="DP347">
        <v>0</v>
      </c>
      <c r="DQ347">
        <v>0</v>
      </c>
      <c r="DR347">
        <v>0</v>
      </c>
      <c r="DS347">
        <v>0</v>
      </c>
    </row>
    <row r="348" spans="1:123" x14ac:dyDescent="0.3">
      <c r="A348" t="str">
        <f>"10/04/2022 19:26:37.587"</f>
        <v>10/04/2022 19:26:37.587</v>
      </c>
      <c r="C348" t="str">
        <f t="shared" si="121"/>
        <v>FFDFD3C0</v>
      </c>
      <c r="D348" t="s">
        <v>147</v>
      </c>
      <c r="E348">
        <v>3</v>
      </c>
      <c r="H348">
        <v>166</v>
      </c>
      <c r="I348" t="s">
        <v>144</v>
      </c>
      <c r="J348" t="s">
        <v>148</v>
      </c>
      <c r="K348">
        <v>0</v>
      </c>
      <c r="L348">
        <v>3</v>
      </c>
      <c r="M348">
        <v>0</v>
      </c>
      <c r="N348">
        <v>2</v>
      </c>
      <c r="O348">
        <v>0</v>
      </c>
      <c r="P348">
        <v>1</v>
      </c>
      <c r="Q348">
        <v>0</v>
      </c>
      <c r="S348" t="str">
        <f t="shared" si="130"/>
        <v>19:26:37.000</v>
      </c>
      <c r="T348" t="str">
        <f t="shared" si="130"/>
        <v>19:26:37.000</v>
      </c>
      <c r="U348" t="str">
        <f t="shared" si="122"/>
        <v>AC3944</v>
      </c>
      <c r="V348">
        <v>0</v>
      </c>
      <c r="W348">
        <v>0</v>
      </c>
      <c r="X348">
        <v>2</v>
      </c>
      <c r="Y348">
        <v>0</v>
      </c>
      <c r="AA348">
        <v>1</v>
      </c>
      <c r="AB348">
        <v>8</v>
      </c>
      <c r="AC348">
        <v>3</v>
      </c>
      <c r="AD348">
        <v>0</v>
      </c>
      <c r="AE348">
        <v>9</v>
      </c>
      <c r="AF348" t="s">
        <v>138</v>
      </c>
      <c r="AG348">
        <v>0</v>
      </c>
      <c r="AH348">
        <v>3</v>
      </c>
      <c r="AI348">
        <v>1</v>
      </c>
      <c r="AJ348">
        <v>0</v>
      </c>
      <c r="AK348" t="s">
        <v>252</v>
      </c>
      <c r="AL348">
        <v>32.821289999999998</v>
      </c>
      <c r="AM348" t="s">
        <v>253</v>
      </c>
      <c r="AN348">
        <v>-116.998</v>
      </c>
      <c r="AO348">
        <v>25</v>
      </c>
      <c r="AP348">
        <v>1800</v>
      </c>
      <c r="AQ348" t="s">
        <v>129</v>
      </c>
      <c r="AR348">
        <v>52</v>
      </c>
      <c r="AS348">
        <v>-101</v>
      </c>
      <c r="AT348">
        <v>1408</v>
      </c>
      <c r="BB348">
        <v>1200</v>
      </c>
      <c r="BC348">
        <v>1</v>
      </c>
      <c r="BD348" t="str">
        <f t="shared" si="123"/>
        <v xml:space="preserve">N887QR  </v>
      </c>
      <c r="BE348">
        <v>1</v>
      </c>
      <c r="BG348">
        <v>0</v>
      </c>
      <c r="BH348">
        <v>0</v>
      </c>
      <c r="BI348">
        <v>0</v>
      </c>
      <c r="BJ348">
        <v>1375</v>
      </c>
      <c r="BK348">
        <v>-425</v>
      </c>
      <c r="BL348" t="s">
        <v>163</v>
      </c>
      <c r="BM348">
        <v>1</v>
      </c>
      <c r="BN348">
        <v>1</v>
      </c>
      <c r="BO348">
        <v>1</v>
      </c>
      <c r="BP348">
        <v>0</v>
      </c>
      <c r="BS348">
        <v>0</v>
      </c>
      <c r="BT348">
        <v>0</v>
      </c>
      <c r="BU348">
        <v>0</v>
      </c>
      <c r="CE348" t="str">
        <f t="shared" si="131"/>
        <v>19:26:37.381</v>
      </c>
      <c r="CF348">
        <v>381266745</v>
      </c>
      <c r="CS348">
        <v>3</v>
      </c>
      <c r="CT348">
        <v>2</v>
      </c>
      <c r="CU348">
        <v>0</v>
      </c>
      <c r="CV348">
        <v>2</v>
      </c>
      <c r="CW348">
        <v>0</v>
      </c>
      <c r="CX348">
        <v>5</v>
      </c>
      <c r="CY348">
        <v>7</v>
      </c>
      <c r="CZ348" t="s">
        <v>131</v>
      </c>
      <c r="DA348">
        <v>292</v>
      </c>
      <c r="DB348">
        <v>0</v>
      </c>
      <c r="DC348" t="s">
        <v>254</v>
      </c>
      <c r="DD348" t="s">
        <v>255</v>
      </c>
      <c r="DG348">
        <v>3364845</v>
      </c>
      <c r="DI348">
        <v>0</v>
      </c>
      <c r="DJ348">
        <v>0</v>
      </c>
      <c r="DK348">
        <v>1</v>
      </c>
      <c r="DL348">
        <v>0</v>
      </c>
      <c r="DM348">
        <v>0</v>
      </c>
      <c r="DN348">
        <v>1</v>
      </c>
      <c r="DO348">
        <v>0</v>
      </c>
      <c r="DP348">
        <v>0</v>
      </c>
      <c r="DQ348">
        <v>0</v>
      </c>
      <c r="DR348">
        <v>0</v>
      </c>
      <c r="DS348">
        <v>0</v>
      </c>
    </row>
    <row r="349" spans="1:123" x14ac:dyDescent="0.3">
      <c r="A349" t="str">
        <f>"10/04/2022 19:26:37.602"</f>
        <v>10/04/2022 19:26:37.602</v>
      </c>
      <c r="C349" t="str">
        <f t="shared" si="121"/>
        <v>FFDFD3C0</v>
      </c>
      <c r="D349" t="s">
        <v>134</v>
      </c>
      <c r="E349">
        <v>15</v>
      </c>
      <c r="J349" t="s">
        <v>135</v>
      </c>
      <c r="K349">
        <v>0</v>
      </c>
      <c r="L349">
        <v>3</v>
      </c>
      <c r="M349">
        <v>0</v>
      </c>
      <c r="N349">
        <v>2</v>
      </c>
      <c r="O349">
        <v>0</v>
      </c>
      <c r="P349">
        <v>1</v>
      </c>
      <c r="Q349">
        <v>0</v>
      </c>
      <c r="S349" t="str">
        <f t="shared" si="130"/>
        <v>19:26:37.000</v>
      </c>
      <c r="T349" t="str">
        <f t="shared" si="130"/>
        <v>19:26:37.000</v>
      </c>
      <c r="U349" t="str">
        <f t="shared" si="122"/>
        <v>AC3944</v>
      </c>
      <c r="V349">
        <v>0</v>
      </c>
      <c r="W349">
        <v>0</v>
      </c>
      <c r="X349">
        <v>2</v>
      </c>
      <c r="Y349">
        <v>0</v>
      </c>
      <c r="AA349">
        <v>1</v>
      </c>
      <c r="AB349">
        <v>8</v>
      </c>
      <c r="AC349">
        <v>3</v>
      </c>
      <c r="AD349">
        <v>0</v>
      </c>
      <c r="AE349">
        <v>9</v>
      </c>
      <c r="AF349" t="s">
        <v>138</v>
      </c>
      <c r="AG349">
        <v>0</v>
      </c>
      <c r="AH349">
        <v>3</v>
      </c>
      <c r="AI349">
        <v>1</v>
      </c>
      <c r="AJ349">
        <v>0</v>
      </c>
      <c r="AK349" t="s">
        <v>252</v>
      </c>
      <c r="AL349">
        <v>32.821289999999998</v>
      </c>
      <c r="AM349" t="s">
        <v>253</v>
      </c>
      <c r="AN349">
        <v>-116.998</v>
      </c>
      <c r="AO349">
        <v>25</v>
      </c>
      <c r="AP349">
        <v>1800</v>
      </c>
      <c r="AQ349" t="s">
        <v>129</v>
      </c>
      <c r="AR349">
        <v>52</v>
      </c>
      <c r="AS349">
        <v>-101</v>
      </c>
      <c r="AT349">
        <v>1408</v>
      </c>
      <c r="BB349">
        <v>1200</v>
      </c>
      <c r="BC349">
        <v>1</v>
      </c>
      <c r="BD349" t="str">
        <f t="shared" si="123"/>
        <v xml:space="preserve">N887QR  </v>
      </c>
      <c r="BE349">
        <v>1</v>
      </c>
      <c r="BG349">
        <v>0</v>
      </c>
      <c r="BH349">
        <v>0</v>
      </c>
      <c r="BI349">
        <v>0</v>
      </c>
      <c r="BJ349">
        <v>1375</v>
      </c>
      <c r="BK349">
        <v>-425</v>
      </c>
      <c r="BL349" t="s">
        <v>163</v>
      </c>
      <c r="BM349">
        <v>1</v>
      </c>
      <c r="BN349">
        <v>1</v>
      </c>
      <c r="BO349">
        <v>1</v>
      </c>
      <c r="BP349">
        <v>0</v>
      </c>
      <c r="BS349">
        <v>0</v>
      </c>
      <c r="BT349">
        <v>0</v>
      </c>
      <c r="BU349">
        <v>0</v>
      </c>
      <c r="CE349" t="str">
        <f t="shared" si="131"/>
        <v>19:26:37.381</v>
      </c>
      <c r="CF349">
        <v>381266745</v>
      </c>
      <c r="CS349">
        <v>3</v>
      </c>
      <c r="CT349">
        <v>2</v>
      </c>
      <c r="CU349">
        <v>0</v>
      </c>
      <c r="CV349">
        <v>2</v>
      </c>
      <c r="CW349">
        <v>0</v>
      </c>
      <c r="CX349">
        <v>5</v>
      </c>
      <c r="CY349">
        <v>7</v>
      </c>
      <c r="CZ349" t="s">
        <v>131</v>
      </c>
      <c r="DA349">
        <v>292</v>
      </c>
      <c r="DB349">
        <v>0</v>
      </c>
      <c r="DC349" t="s">
        <v>254</v>
      </c>
      <c r="DD349" t="s">
        <v>255</v>
      </c>
      <c r="DG349">
        <v>3364845</v>
      </c>
      <c r="DI349">
        <v>0</v>
      </c>
      <c r="DJ349">
        <v>0</v>
      </c>
      <c r="DK349">
        <v>1</v>
      </c>
      <c r="DL349">
        <v>0</v>
      </c>
      <c r="DM349">
        <v>0</v>
      </c>
      <c r="DN349">
        <v>1</v>
      </c>
      <c r="DO349">
        <v>0</v>
      </c>
      <c r="DP349">
        <v>0</v>
      </c>
      <c r="DQ349">
        <v>0</v>
      </c>
      <c r="DR349">
        <v>0</v>
      </c>
      <c r="DS349">
        <v>0</v>
      </c>
    </row>
    <row r="350" spans="1:123" x14ac:dyDescent="0.3">
      <c r="A350" t="str">
        <f>"10/04/2022 19:26:37.618"</f>
        <v>10/04/2022 19:26:37.618</v>
      </c>
      <c r="C350" t="str">
        <f t="shared" si="121"/>
        <v>FFDFD3C0</v>
      </c>
      <c r="D350" t="s">
        <v>143</v>
      </c>
      <c r="E350">
        <v>20</v>
      </c>
      <c r="F350">
        <v>1020</v>
      </c>
      <c r="G350" t="s">
        <v>144</v>
      </c>
      <c r="J350" t="s">
        <v>145</v>
      </c>
      <c r="K350">
        <v>0</v>
      </c>
      <c r="L350">
        <v>3</v>
      </c>
      <c r="M350">
        <v>0</v>
      </c>
      <c r="N350">
        <v>2</v>
      </c>
      <c r="O350">
        <v>0</v>
      </c>
      <c r="P350">
        <v>1</v>
      </c>
      <c r="Q350">
        <v>0</v>
      </c>
      <c r="S350" t="str">
        <f t="shared" si="130"/>
        <v>19:26:37.000</v>
      </c>
      <c r="T350" t="str">
        <f t="shared" si="130"/>
        <v>19:26:37.000</v>
      </c>
      <c r="U350" t="str">
        <f t="shared" si="122"/>
        <v>AC3944</v>
      </c>
      <c r="V350">
        <v>0</v>
      </c>
      <c r="W350">
        <v>0</v>
      </c>
      <c r="X350">
        <v>2</v>
      </c>
      <c r="Y350">
        <v>0</v>
      </c>
      <c r="AA350">
        <v>1</v>
      </c>
      <c r="AB350">
        <v>8</v>
      </c>
      <c r="AC350">
        <v>3</v>
      </c>
      <c r="AD350">
        <v>0</v>
      </c>
      <c r="AE350">
        <v>9</v>
      </c>
      <c r="AF350" t="s">
        <v>138</v>
      </c>
      <c r="AG350">
        <v>0</v>
      </c>
      <c r="AH350">
        <v>3</v>
      </c>
      <c r="AI350">
        <v>1</v>
      </c>
      <c r="AJ350">
        <v>0</v>
      </c>
      <c r="AK350" t="s">
        <v>252</v>
      </c>
      <c r="AL350">
        <v>32.821289999999998</v>
      </c>
      <c r="AM350" t="s">
        <v>253</v>
      </c>
      <c r="AN350">
        <v>-116.998</v>
      </c>
      <c r="AO350">
        <v>25</v>
      </c>
      <c r="AP350">
        <v>1800</v>
      </c>
      <c r="AQ350" t="s">
        <v>129</v>
      </c>
      <c r="AR350">
        <v>52</v>
      </c>
      <c r="AS350">
        <v>-101</v>
      </c>
      <c r="AT350">
        <v>1408</v>
      </c>
      <c r="BB350">
        <v>1200</v>
      </c>
      <c r="BC350">
        <v>1</v>
      </c>
      <c r="BD350" t="str">
        <f t="shared" si="123"/>
        <v xml:space="preserve">N887QR  </v>
      </c>
      <c r="BE350">
        <v>1</v>
      </c>
      <c r="BG350">
        <v>0</v>
      </c>
      <c r="BH350">
        <v>0</v>
      </c>
      <c r="BI350">
        <v>0</v>
      </c>
      <c r="BJ350">
        <v>1375</v>
      </c>
      <c r="BK350">
        <v>-425</v>
      </c>
      <c r="BL350" t="s">
        <v>163</v>
      </c>
      <c r="BM350">
        <v>1</v>
      </c>
      <c r="BN350">
        <v>1</v>
      </c>
      <c r="BO350">
        <v>1</v>
      </c>
      <c r="BP350">
        <v>0</v>
      </c>
      <c r="BS350">
        <v>0</v>
      </c>
      <c r="BT350">
        <v>0</v>
      </c>
      <c r="BU350">
        <v>0</v>
      </c>
      <c r="CE350" t="str">
        <f t="shared" si="131"/>
        <v>19:26:37.381</v>
      </c>
      <c r="CF350">
        <v>381266745</v>
      </c>
      <c r="CS350">
        <v>3</v>
      </c>
      <c r="CT350">
        <v>2</v>
      </c>
      <c r="CU350">
        <v>0</v>
      </c>
      <c r="CV350">
        <v>2</v>
      </c>
      <c r="CW350">
        <v>0</v>
      </c>
      <c r="CX350">
        <v>5</v>
      </c>
      <c r="CY350">
        <v>7</v>
      </c>
      <c r="CZ350" t="s">
        <v>131</v>
      </c>
      <c r="DA350">
        <v>292</v>
      </c>
      <c r="DB350">
        <v>0</v>
      </c>
      <c r="DC350" t="s">
        <v>254</v>
      </c>
      <c r="DD350" t="s">
        <v>255</v>
      </c>
      <c r="DG350">
        <v>3364845</v>
      </c>
      <c r="DI350">
        <v>0</v>
      </c>
      <c r="DJ350">
        <v>0</v>
      </c>
      <c r="DK350">
        <v>1</v>
      </c>
      <c r="DL350">
        <v>0</v>
      </c>
      <c r="DM350">
        <v>0</v>
      </c>
      <c r="DN350">
        <v>1</v>
      </c>
      <c r="DO350">
        <v>0</v>
      </c>
      <c r="DP350">
        <v>0</v>
      </c>
      <c r="DQ350">
        <v>0</v>
      </c>
      <c r="DR350">
        <v>0</v>
      </c>
      <c r="DS350">
        <v>0</v>
      </c>
    </row>
    <row r="351" spans="1:123" x14ac:dyDescent="0.3">
      <c r="A351" t="str">
        <f>"10/04/2022 19:26:37.618"</f>
        <v>10/04/2022 19:26:37.618</v>
      </c>
      <c r="C351" t="str">
        <f t="shared" si="121"/>
        <v>FFDFD3C0</v>
      </c>
      <c r="D351" t="s">
        <v>141</v>
      </c>
      <c r="E351">
        <v>3</v>
      </c>
      <c r="H351">
        <v>3</v>
      </c>
      <c r="I351" t="s">
        <v>146</v>
      </c>
      <c r="J351" t="s">
        <v>138</v>
      </c>
      <c r="K351">
        <v>0</v>
      </c>
      <c r="L351">
        <v>3</v>
      </c>
      <c r="M351">
        <v>0</v>
      </c>
      <c r="N351">
        <v>2</v>
      </c>
      <c r="O351">
        <v>0</v>
      </c>
      <c r="P351">
        <v>1</v>
      </c>
      <c r="Q351">
        <v>0</v>
      </c>
      <c r="S351" t="str">
        <f t="shared" si="130"/>
        <v>19:26:37.000</v>
      </c>
      <c r="T351" t="str">
        <f t="shared" si="130"/>
        <v>19:26:37.000</v>
      </c>
      <c r="U351" t="str">
        <f t="shared" si="122"/>
        <v>AC3944</v>
      </c>
      <c r="V351">
        <v>0</v>
      </c>
      <c r="W351">
        <v>0</v>
      </c>
      <c r="X351">
        <v>2</v>
      </c>
      <c r="Y351">
        <v>0</v>
      </c>
      <c r="AA351">
        <v>1</v>
      </c>
      <c r="AB351">
        <v>8</v>
      </c>
      <c r="AC351">
        <v>3</v>
      </c>
      <c r="AD351">
        <v>0</v>
      </c>
      <c r="AE351">
        <v>9</v>
      </c>
      <c r="AF351" t="s">
        <v>138</v>
      </c>
      <c r="AG351">
        <v>0</v>
      </c>
      <c r="AH351">
        <v>3</v>
      </c>
      <c r="AI351">
        <v>1</v>
      </c>
      <c r="AJ351">
        <v>0</v>
      </c>
      <c r="AK351" t="s">
        <v>252</v>
      </c>
      <c r="AL351">
        <v>32.821289999999998</v>
      </c>
      <c r="AM351" t="s">
        <v>253</v>
      </c>
      <c r="AN351">
        <v>-116.998</v>
      </c>
      <c r="AO351">
        <v>25</v>
      </c>
      <c r="AP351">
        <v>1800</v>
      </c>
      <c r="AQ351" t="s">
        <v>129</v>
      </c>
      <c r="AR351">
        <v>52</v>
      </c>
      <c r="AS351">
        <v>-101</v>
      </c>
      <c r="AT351">
        <v>1408</v>
      </c>
      <c r="BB351">
        <v>1200</v>
      </c>
      <c r="BC351">
        <v>1</v>
      </c>
      <c r="BD351" t="str">
        <f t="shared" si="123"/>
        <v xml:space="preserve">N887QR  </v>
      </c>
      <c r="BE351">
        <v>1</v>
      </c>
      <c r="BG351">
        <v>0</v>
      </c>
      <c r="BH351">
        <v>0</v>
      </c>
      <c r="BI351">
        <v>0</v>
      </c>
      <c r="BJ351">
        <v>1375</v>
      </c>
      <c r="BK351">
        <v>-425</v>
      </c>
      <c r="BL351" t="s">
        <v>163</v>
      </c>
      <c r="BM351">
        <v>1</v>
      </c>
      <c r="BN351">
        <v>1</v>
      </c>
      <c r="BO351">
        <v>1</v>
      </c>
      <c r="BP351">
        <v>0</v>
      </c>
      <c r="BS351">
        <v>0</v>
      </c>
      <c r="BT351">
        <v>0</v>
      </c>
      <c r="BU351">
        <v>0</v>
      </c>
      <c r="CE351" t="str">
        <f t="shared" si="131"/>
        <v>19:26:37.381</v>
      </c>
      <c r="CF351">
        <v>380669331</v>
      </c>
      <c r="CS351">
        <v>3</v>
      </c>
      <c r="CT351">
        <v>2</v>
      </c>
      <c r="CU351">
        <v>0</v>
      </c>
      <c r="CV351">
        <v>2</v>
      </c>
      <c r="CW351">
        <v>0</v>
      </c>
      <c r="CX351">
        <v>3</v>
      </c>
      <c r="CY351">
        <v>7</v>
      </c>
      <c r="CZ351" t="s">
        <v>131</v>
      </c>
      <c r="DA351">
        <v>286</v>
      </c>
      <c r="DB351">
        <v>0</v>
      </c>
      <c r="DC351" t="s">
        <v>132</v>
      </c>
      <c r="DD351" t="s">
        <v>133</v>
      </c>
      <c r="DG351">
        <v>791143</v>
      </c>
      <c r="DI351">
        <v>0</v>
      </c>
      <c r="DJ351">
        <v>0</v>
      </c>
      <c r="DK351">
        <v>1</v>
      </c>
      <c r="DL351">
        <v>0</v>
      </c>
      <c r="DM351">
        <v>0</v>
      </c>
      <c r="DN351">
        <v>1</v>
      </c>
      <c r="DO351">
        <v>0</v>
      </c>
      <c r="DP351">
        <v>0</v>
      </c>
      <c r="DQ351">
        <v>0</v>
      </c>
      <c r="DR351">
        <v>0</v>
      </c>
      <c r="DS351">
        <v>0</v>
      </c>
    </row>
    <row r="352" spans="1:123" x14ac:dyDescent="0.3">
      <c r="A352" t="str">
        <f>"10/04/2022 19:26:38.462"</f>
        <v>10/04/2022 19:26:38.462</v>
      </c>
      <c r="C352" t="str">
        <f t="shared" si="121"/>
        <v>FFDFD3C0</v>
      </c>
      <c r="D352" t="s">
        <v>147</v>
      </c>
      <c r="E352">
        <v>3</v>
      </c>
      <c r="H352">
        <v>166</v>
      </c>
      <c r="I352" t="s">
        <v>144</v>
      </c>
      <c r="J352" t="s">
        <v>148</v>
      </c>
      <c r="K352">
        <v>0</v>
      </c>
      <c r="L352">
        <v>3</v>
      </c>
      <c r="M352">
        <v>0</v>
      </c>
      <c r="N352">
        <v>2</v>
      </c>
      <c r="O352">
        <v>0</v>
      </c>
      <c r="P352">
        <v>1</v>
      </c>
      <c r="Q352">
        <v>0</v>
      </c>
      <c r="S352" t="str">
        <f t="shared" ref="S352:T358" si="132">"19:26:38.000"</f>
        <v>19:26:38.000</v>
      </c>
      <c r="T352" t="str">
        <f t="shared" si="132"/>
        <v>19:26:38.000</v>
      </c>
      <c r="U352" t="str">
        <f t="shared" si="122"/>
        <v>AC3944</v>
      </c>
      <c r="V352">
        <v>0</v>
      </c>
      <c r="W352">
        <v>0</v>
      </c>
      <c r="X352">
        <v>2</v>
      </c>
      <c r="Y352">
        <v>0</v>
      </c>
      <c r="AA352">
        <v>1</v>
      </c>
      <c r="AB352">
        <v>8</v>
      </c>
      <c r="AC352">
        <v>3</v>
      </c>
      <c r="AD352">
        <v>0</v>
      </c>
      <c r="AE352">
        <v>9</v>
      </c>
      <c r="AF352" t="s">
        <v>138</v>
      </c>
      <c r="AG352">
        <v>0</v>
      </c>
      <c r="AH352">
        <v>3</v>
      </c>
      <c r="AI352">
        <v>1</v>
      </c>
      <c r="AJ352">
        <v>0</v>
      </c>
      <c r="AK352" t="s">
        <v>256</v>
      </c>
      <c r="AL352">
        <v>32.820818000000003</v>
      </c>
      <c r="AM352" t="s">
        <v>257</v>
      </c>
      <c r="AN352">
        <v>-116.997743</v>
      </c>
      <c r="AO352">
        <v>25</v>
      </c>
      <c r="AP352">
        <v>1800</v>
      </c>
      <c r="AQ352" t="s">
        <v>129</v>
      </c>
      <c r="AR352">
        <v>59</v>
      </c>
      <c r="AS352">
        <v>-99</v>
      </c>
      <c r="AT352">
        <v>1280</v>
      </c>
      <c r="BB352">
        <v>1200</v>
      </c>
      <c r="BC352">
        <v>1</v>
      </c>
      <c r="BD352" t="str">
        <f t="shared" si="123"/>
        <v xml:space="preserve">N887QR  </v>
      </c>
      <c r="BE352">
        <v>1</v>
      </c>
      <c r="BG352">
        <v>0</v>
      </c>
      <c r="BH352">
        <v>0</v>
      </c>
      <c r="BI352">
        <v>0</v>
      </c>
      <c r="BJ352">
        <v>1475</v>
      </c>
      <c r="BK352">
        <v>-325</v>
      </c>
      <c r="BL352" t="s">
        <v>163</v>
      </c>
      <c r="BM352">
        <v>1</v>
      </c>
      <c r="BN352">
        <v>1</v>
      </c>
      <c r="BO352">
        <v>1</v>
      </c>
      <c r="BP352">
        <v>0</v>
      </c>
      <c r="BS352">
        <v>0</v>
      </c>
      <c r="BT352">
        <v>0</v>
      </c>
      <c r="BU352">
        <v>0</v>
      </c>
      <c r="CE352" t="str">
        <f>"19:26:38.227"</f>
        <v>19:26:38.227</v>
      </c>
      <c r="CF352">
        <v>226769558</v>
      </c>
      <c r="CS352">
        <v>3</v>
      </c>
      <c r="CT352">
        <v>2</v>
      </c>
      <c r="CU352">
        <v>0</v>
      </c>
      <c r="CV352">
        <v>2</v>
      </c>
      <c r="CW352">
        <v>0</v>
      </c>
      <c r="CX352">
        <v>5</v>
      </c>
      <c r="CY352">
        <v>7</v>
      </c>
      <c r="CZ352" t="s">
        <v>131</v>
      </c>
      <c r="DA352">
        <v>292</v>
      </c>
      <c r="DB352">
        <v>0</v>
      </c>
      <c r="DC352" t="s">
        <v>254</v>
      </c>
      <c r="DD352" t="s">
        <v>255</v>
      </c>
      <c r="DG352">
        <v>3364943</v>
      </c>
      <c r="DI352">
        <v>0</v>
      </c>
      <c r="DJ352">
        <v>0</v>
      </c>
      <c r="DK352">
        <v>0</v>
      </c>
      <c r="DL352">
        <v>0</v>
      </c>
      <c r="DM352">
        <v>0</v>
      </c>
      <c r="DN352">
        <v>1</v>
      </c>
      <c r="DO352">
        <v>0</v>
      </c>
      <c r="DP352">
        <v>0</v>
      </c>
      <c r="DQ352">
        <v>0</v>
      </c>
      <c r="DR352">
        <v>0</v>
      </c>
      <c r="DS352">
        <v>0</v>
      </c>
    </row>
    <row r="353" spans="1:123" x14ac:dyDescent="0.3">
      <c r="A353" t="str">
        <f>"10/04/2022 19:26:38.462"</f>
        <v>10/04/2022 19:26:38.462</v>
      </c>
      <c r="C353" t="str">
        <f t="shared" si="121"/>
        <v>FFDFD3C0</v>
      </c>
      <c r="D353" t="s">
        <v>143</v>
      </c>
      <c r="E353">
        <v>20</v>
      </c>
      <c r="F353">
        <v>1020</v>
      </c>
      <c r="G353" t="s">
        <v>144</v>
      </c>
      <c r="J353" t="s">
        <v>145</v>
      </c>
      <c r="K353">
        <v>0</v>
      </c>
      <c r="L353">
        <v>3</v>
      </c>
      <c r="M353">
        <v>0</v>
      </c>
      <c r="N353">
        <v>2</v>
      </c>
      <c r="O353">
        <v>0</v>
      </c>
      <c r="P353">
        <v>1</v>
      </c>
      <c r="Q353">
        <v>0</v>
      </c>
      <c r="S353" t="str">
        <f t="shared" si="132"/>
        <v>19:26:38.000</v>
      </c>
      <c r="T353" t="str">
        <f t="shared" si="132"/>
        <v>19:26:38.000</v>
      </c>
      <c r="U353" t="str">
        <f t="shared" si="122"/>
        <v>AC3944</v>
      </c>
      <c r="V353">
        <v>0</v>
      </c>
      <c r="W353">
        <v>0</v>
      </c>
      <c r="X353">
        <v>2</v>
      </c>
      <c r="Y353">
        <v>0</v>
      </c>
      <c r="AA353">
        <v>1</v>
      </c>
      <c r="AB353">
        <v>8</v>
      </c>
      <c r="AC353">
        <v>3</v>
      </c>
      <c r="AD353">
        <v>0</v>
      </c>
      <c r="AE353">
        <v>9</v>
      </c>
      <c r="AF353" t="s">
        <v>138</v>
      </c>
      <c r="AG353">
        <v>0</v>
      </c>
      <c r="AH353">
        <v>3</v>
      </c>
      <c r="AI353">
        <v>1</v>
      </c>
      <c r="AJ353">
        <v>0</v>
      </c>
      <c r="AK353" t="s">
        <v>256</v>
      </c>
      <c r="AL353">
        <v>32.820818000000003</v>
      </c>
      <c r="AM353" t="s">
        <v>257</v>
      </c>
      <c r="AN353">
        <v>-116.997743</v>
      </c>
      <c r="AO353">
        <v>25</v>
      </c>
      <c r="AP353">
        <v>1800</v>
      </c>
      <c r="AQ353" t="s">
        <v>129</v>
      </c>
      <c r="AR353">
        <v>59</v>
      </c>
      <c r="AS353">
        <v>-99</v>
      </c>
      <c r="AT353">
        <v>1280</v>
      </c>
      <c r="BB353">
        <v>1200</v>
      </c>
      <c r="BC353">
        <v>1</v>
      </c>
      <c r="BD353" t="str">
        <f t="shared" si="123"/>
        <v xml:space="preserve">N887QR  </v>
      </c>
      <c r="BE353">
        <v>1</v>
      </c>
      <c r="BG353">
        <v>0</v>
      </c>
      <c r="BH353">
        <v>0</v>
      </c>
      <c r="BI353">
        <v>0</v>
      </c>
      <c r="BJ353">
        <v>1475</v>
      </c>
      <c r="BK353">
        <v>-325</v>
      </c>
      <c r="BL353" t="s">
        <v>163</v>
      </c>
      <c r="BM353">
        <v>1</v>
      </c>
      <c r="BN353">
        <v>1</v>
      </c>
      <c r="BO353">
        <v>1</v>
      </c>
      <c r="BP353">
        <v>0</v>
      </c>
      <c r="BS353">
        <v>0</v>
      </c>
      <c r="BT353">
        <v>0</v>
      </c>
      <c r="BU353">
        <v>0</v>
      </c>
      <c r="CE353" t="str">
        <f>"19:26:38.227"</f>
        <v>19:26:38.227</v>
      </c>
      <c r="CF353">
        <v>226769558</v>
      </c>
      <c r="CS353">
        <v>3</v>
      </c>
      <c r="CT353">
        <v>2</v>
      </c>
      <c r="CU353">
        <v>0</v>
      </c>
      <c r="CV353">
        <v>2</v>
      </c>
      <c r="CW353">
        <v>0</v>
      </c>
      <c r="CX353">
        <v>5</v>
      </c>
      <c r="CY353">
        <v>7</v>
      </c>
      <c r="CZ353" t="s">
        <v>131</v>
      </c>
      <c r="DA353">
        <v>292</v>
      </c>
      <c r="DB353">
        <v>0</v>
      </c>
      <c r="DC353" t="s">
        <v>254</v>
      </c>
      <c r="DD353" t="s">
        <v>255</v>
      </c>
      <c r="DG353">
        <v>3364943</v>
      </c>
      <c r="DI353">
        <v>0</v>
      </c>
      <c r="DJ353">
        <v>0</v>
      </c>
      <c r="DK353">
        <v>1</v>
      </c>
      <c r="DL353">
        <v>0</v>
      </c>
      <c r="DM353">
        <v>0</v>
      </c>
      <c r="DN353">
        <v>1</v>
      </c>
      <c r="DO353">
        <v>0</v>
      </c>
      <c r="DP353">
        <v>0</v>
      </c>
      <c r="DQ353">
        <v>0</v>
      </c>
      <c r="DR353">
        <v>0</v>
      </c>
      <c r="DS353">
        <v>0</v>
      </c>
    </row>
    <row r="354" spans="1:123" x14ac:dyDescent="0.3">
      <c r="A354" t="str">
        <f>"10/04/2022 19:26:38.462"</f>
        <v>10/04/2022 19:26:38.462</v>
      </c>
      <c r="C354" t="str">
        <f t="shared" si="121"/>
        <v>FFDFD3C0</v>
      </c>
      <c r="D354" t="s">
        <v>134</v>
      </c>
      <c r="E354">
        <v>15</v>
      </c>
      <c r="J354" t="s">
        <v>135</v>
      </c>
      <c r="K354">
        <v>0</v>
      </c>
      <c r="L354">
        <v>3</v>
      </c>
      <c r="M354">
        <v>0</v>
      </c>
      <c r="N354">
        <v>2</v>
      </c>
      <c r="O354">
        <v>0</v>
      </c>
      <c r="P354">
        <v>1</v>
      </c>
      <c r="Q354">
        <v>0</v>
      </c>
      <c r="S354" t="str">
        <f t="shared" si="132"/>
        <v>19:26:38.000</v>
      </c>
      <c r="T354" t="str">
        <f t="shared" si="132"/>
        <v>19:26:38.000</v>
      </c>
      <c r="U354" t="str">
        <f t="shared" si="122"/>
        <v>AC3944</v>
      </c>
      <c r="V354">
        <v>0</v>
      </c>
      <c r="W354">
        <v>0</v>
      </c>
      <c r="X354">
        <v>2</v>
      </c>
      <c r="Y354">
        <v>0</v>
      </c>
      <c r="AA354">
        <v>1</v>
      </c>
      <c r="AB354">
        <v>8</v>
      </c>
      <c r="AC354">
        <v>3</v>
      </c>
      <c r="AD354">
        <v>0</v>
      </c>
      <c r="AE354">
        <v>9</v>
      </c>
      <c r="AF354" t="s">
        <v>138</v>
      </c>
      <c r="AG354">
        <v>0</v>
      </c>
      <c r="AH354">
        <v>3</v>
      </c>
      <c r="AI354">
        <v>1</v>
      </c>
      <c r="AJ354">
        <v>0</v>
      </c>
      <c r="AK354" t="s">
        <v>256</v>
      </c>
      <c r="AL354">
        <v>32.820818000000003</v>
      </c>
      <c r="AM354" t="s">
        <v>257</v>
      </c>
      <c r="AN354">
        <v>-116.997743</v>
      </c>
      <c r="AO354">
        <v>25</v>
      </c>
      <c r="AP354">
        <v>1800</v>
      </c>
      <c r="AQ354" t="s">
        <v>129</v>
      </c>
      <c r="AR354">
        <v>59</v>
      </c>
      <c r="AS354">
        <v>-99</v>
      </c>
      <c r="AT354">
        <v>1280</v>
      </c>
      <c r="BB354">
        <v>1200</v>
      </c>
      <c r="BC354">
        <v>1</v>
      </c>
      <c r="BD354" t="str">
        <f t="shared" si="123"/>
        <v xml:space="preserve">N887QR  </v>
      </c>
      <c r="BE354">
        <v>1</v>
      </c>
      <c r="BG354">
        <v>0</v>
      </c>
      <c r="BH354">
        <v>0</v>
      </c>
      <c r="BI354">
        <v>0</v>
      </c>
      <c r="BJ354">
        <v>1475</v>
      </c>
      <c r="BK354">
        <v>-325</v>
      </c>
      <c r="BL354" t="s">
        <v>163</v>
      </c>
      <c r="BM354">
        <v>1</v>
      </c>
      <c r="BN354">
        <v>1</v>
      </c>
      <c r="BO354">
        <v>1</v>
      </c>
      <c r="BP354">
        <v>0</v>
      </c>
      <c r="BS354">
        <v>0</v>
      </c>
      <c r="BT354">
        <v>0</v>
      </c>
      <c r="BU354">
        <v>0</v>
      </c>
      <c r="CE354" t="str">
        <f>"19:26:38.227"</f>
        <v>19:26:38.227</v>
      </c>
      <c r="CF354">
        <v>226769558</v>
      </c>
      <c r="CS354">
        <v>3</v>
      </c>
      <c r="CT354">
        <v>2</v>
      </c>
      <c r="CU354">
        <v>0</v>
      </c>
      <c r="CV354">
        <v>2</v>
      </c>
      <c r="CW354">
        <v>0</v>
      </c>
      <c r="CX354">
        <v>5</v>
      </c>
      <c r="CY354">
        <v>7</v>
      </c>
      <c r="CZ354" t="s">
        <v>131</v>
      </c>
      <c r="DA354">
        <v>292</v>
      </c>
      <c r="DB354">
        <v>0</v>
      </c>
      <c r="DC354" t="s">
        <v>254</v>
      </c>
      <c r="DD354" t="s">
        <v>255</v>
      </c>
      <c r="DG354">
        <v>3364943</v>
      </c>
      <c r="DI354">
        <v>0</v>
      </c>
      <c r="DJ354">
        <v>0</v>
      </c>
      <c r="DK354">
        <v>1</v>
      </c>
      <c r="DL354">
        <v>0</v>
      </c>
      <c r="DM354">
        <v>0</v>
      </c>
      <c r="DN354">
        <v>1</v>
      </c>
      <c r="DO354">
        <v>0</v>
      </c>
      <c r="DP354">
        <v>0</v>
      </c>
      <c r="DQ354">
        <v>0</v>
      </c>
      <c r="DR354">
        <v>0</v>
      </c>
      <c r="DS354">
        <v>0</v>
      </c>
    </row>
    <row r="355" spans="1:123" x14ac:dyDescent="0.3">
      <c r="A355" t="str">
        <f>"10/04/2022 19:26:38.462"</f>
        <v>10/04/2022 19:26:38.462</v>
      </c>
      <c r="C355" t="str">
        <f t="shared" si="121"/>
        <v>FFDFD3C0</v>
      </c>
      <c r="D355" t="s">
        <v>141</v>
      </c>
      <c r="E355">
        <v>3</v>
      </c>
      <c r="H355">
        <v>3</v>
      </c>
      <c r="I355" t="s">
        <v>146</v>
      </c>
      <c r="J355" t="s">
        <v>138</v>
      </c>
      <c r="K355">
        <v>0</v>
      </c>
      <c r="L355">
        <v>3</v>
      </c>
      <c r="M355">
        <v>0</v>
      </c>
      <c r="N355">
        <v>2</v>
      </c>
      <c r="O355">
        <v>0</v>
      </c>
      <c r="P355">
        <v>1</v>
      </c>
      <c r="Q355">
        <v>0</v>
      </c>
      <c r="S355" t="str">
        <f t="shared" si="132"/>
        <v>19:26:38.000</v>
      </c>
      <c r="T355" t="str">
        <f t="shared" si="132"/>
        <v>19:26:38.000</v>
      </c>
      <c r="U355" t="str">
        <f t="shared" si="122"/>
        <v>AC3944</v>
      </c>
      <c r="V355">
        <v>0</v>
      </c>
      <c r="W355">
        <v>0</v>
      </c>
      <c r="X355">
        <v>2</v>
      </c>
      <c r="Y355">
        <v>0</v>
      </c>
      <c r="AA355">
        <v>1</v>
      </c>
      <c r="AB355">
        <v>8</v>
      </c>
      <c r="AC355">
        <v>3</v>
      </c>
      <c r="AD355">
        <v>0</v>
      </c>
      <c r="AE355">
        <v>9</v>
      </c>
      <c r="AF355" t="s">
        <v>138</v>
      </c>
      <c r="AG355">
        <v>0</v>
      </c>
      <c r="AH355">
        <v>3</v>
      </c>
      <c r="AI355">
        <v>1</v>
      </c>
      <c r="AJ355">
        <v>0</v>
      </c>
      <c r="AK355" t="s">
        <v>256</v>
      </c>
      <c r="AL355">
        <v>32.820818000000003</v>
      </c>
      <c r="AM355" t="s">
        <v>257</v>
      </c>
      <c r="AN355">
        <v>-116.997743</v>
      </c>
      <c r="AO355">
        <v>25</v>
      </c>
      <c r="AP355">
        <v>1800</v>
      </c>
      <c r="AQ355" t="s">
        <v>129</v>
      </c>
      <c r="AR355">
        <v>59</v>
      </c>
      <c r="AS355">
        <v>-99</v>
      </c>
      <c r="AT355">
        <v>1280</v>
      </c>
      <c r="BB355">
        <v>1200</v>
      </c>
      <c r="BC355">
        <v>1</v>
      </c>
      <c r="BD355" t="str">
        <f t="shared" si="123"/>
        <v xml:space="preserve">N887QR  </v>
      </c>
      <c r="BE355">
        <v>1</v>
      </c>
      <c r="BG355">
        <v>0</v>
      </c>
      <c r="BH355">
        <v>0</v>
      </c>
      <c r="BI355">
        <v>0</v>
      </c>
      <c r="BJ355">
        <v>1475</v>
      </c>
      <c r="BK355">
        <v>-325</v>
      </c>
      <c r="BL355" t="s">
        <v>163</v>
      </c>
      <c r="BM355">
        <v>1</v>
      </c>
      <c r="BN355">
        <v>1</v>
      </c>
      <c r="BO355">
        <v>1</v>
      </c>
      <c r="BP355">
        <v>0</v>
      </c>
      <c r="BS355">
        <v>0</v>
      </c>
      <c r="BT355">
        <v>0</v>
      </c>
      <c r="BU355">
        <v>0</v>
      </c>
      <c r="CE355" t="str">
        <f>"19:26:38.226"</f>
        <v>19:26:38.226</v>
      </c>
      <c r="CF355">
        <v>226460586</v>
      </c>
      <c r="CS355">
        <v>3</v>
      </c>
      <c r="CT355">
        <v>2</v>
      </c>
      <c r="CU355">
        <v>0</v>
      </c>
      <c r="CV355">
        <v>2</v>
      </c>
      <c r="CW355">
        <v>0</v>
      </c>
      <c r="CX355">
        <v>1</v>
      </c>
      <c r="CY355">
        <v>7</v>
      </c>
      <c r="CZ355" t="s">
        <v>131</v>
      </c>
      <c r="DA355">
        <v>297</v>
      </c>
      <c r="DB355">
        <v>0</v>
      </c>
      <c r="DC355" t="s">
        <v>258</v>
      </c>
      <c r="DD355" t="s">
        <v>259</v>
      </c>
      <c r="DG355">
        <v>16679023</v>
      </c>
      <c r="DI355">
        <v>0</v>
      </c>
      <c r="DJ355">
        <v>0</v>
      </c>
      <c r="DK355">
        <v>1</v>
      </c>
      <c r="DL355">
        <v>0</v>
      </c>
      <c r="DM355">
        <v>0</v>
      </c>
      <c r="DN355">
        <v>1</v>
      </c>
      <c r="DO355">
        <v>0</v>
      </c>
      <c r="DP355">
        <v>0</v>
      </c>
      <c r="DQ355">
        <v>0</v>
      </c>
      <c r="DR355">
        <v>0</v>
      </c>
      <c r="DS355">
        <v>0</v>
      </c>
    </row>
    <row r="356" spans="1:123" x14ac:dyDescent="0.3">
      <c r="A356" t="str">
        <f>"10/04/2022 19:26:38.462"</f>
        <v>10/04/2022 19:26:38.462</v>
      </c>
      <c r="C356" t="str">
        <f t="shared" si="121"/>
        <v>FFDFD3C0</v>
      </c>
      <c r="D356" t="s">
        <v>141</v>
      </c>
      <c r="E356">
        <v>4</v>
      </c>
      <c r="H356">
        <v>4</v>
      </c>
      <c r="I356" t="s">
        <v>142</v>
      </c>
      <c r="J356" t="s">
        <v>138</v>
      </c>
      <c r="K356">
        <v>0</v>
      </c>
      <c r="L356">
        <v>3</v>
      </c>
      <c r="M356">
        <v>0</v>
      </c>
      <c r="N356">
        <v>2</v>
      </c>
      <c r="O356">
        <v>0</v>
      </c>
      <c r="P356">
        <v>1</v>
      </c>
      <c r="Q356">
        <v>0</v>
      </c>
      <c r="S356" t="str">
        <f t="shared" si="132"/>
        <v>19:26:38.000</v>
      </c>
      <c r="T356" t="str">
        <f t="shared" si="132"/>
        <v>19:26:38.000</v>
      </c>
      <c r="U356" t="str">
        <f t="shared" si="122"/>
        <v>AC3944</v>
      </c>
      <c r="V356">
        <v>0</v>
      </c>
      <c r="W356">
        <v>0</v>
      </c>
      <c r="X356">
        <v>2</v>
      </c>
      <c r="Y356">
        <v>0</v>
      </c>
      <c r="AA356">
        <v>1</v>
      </c>
      <c r="AB356">
        <v>8</v>
      </c>
      <c r="AC356">
        <v>3</v>
      </c>
      <c r="AD356">
        <v>0</v>
      </c>
      <c r="AE356">
        <v>9</v>
      </c>
      <c r="AF356" t="s">
        <v>138</v>
      </c>
      <c r="AG356">
        <v>0</v>
      </c>
      <c r="AH356">
        <v>3</v>
      </c>
      <c r="AI356">
        <v>1</v>
      </c>
      <c r="AJ356">
        <v>0</v>
      </c>
      <c r="AK356" t="s">
        <v>256</v>
      </c>
      <c r="AL356">
        <v>32.820818000000003</v>
      </c>
      <c r="AM356" t="s">
        <v>257</v>
      </c>
      <c r="AN356">
        <v>-116.997743</v>
      </c>
      <c r="AO356">
        <v>25</v>
      </c>
      <c r="AP356">
        <v>1800</v>
      </c>
      <c r="AQ356" t="s">
        <v>129</v>
      </c>
      <c r="AR356">
        <v>59</v>
      </c>
      <c r="AS356">
        <v>-99</v>
      </c>
      <c r="AT356">
        <v>1280</v>
      </c>
      <c r="BB356">
        <v>1200</v>
      </c>
      <c r="BC356">
        <v>1</v>
      </c>
      <c r="BD356" t="str">
        <f t="shared" si="123"/>
        <v xml:space="preserve">N887QR  </v>
      </c>
      <c r="BE356">
        <v>1</v>
      </c>
      <c r="BG356">
        <v>0</v>
      </c>
      <c r="BH356">
        <v>0</v>
      </c>
      <c r="BI356">
        <v>0</v>
      </c>
      <c r="BJ356">
        <v>1475</v>
      </c>
      <c r="BK356">
        <v>-325</v>
      </c>
      <c r="BL356" t="s">
        <v>163</v>
      </c>
      <c r="BM356">
        <v>1</v>
      </c>
      <c r="BN356">
        <v>1</v>
      </c>
      <c r="BO356">
        <v>1</v>
      </c>
      <c r="BP356">
        <v>0</v>
      </c>
      <c r="BS356">
        <v>0</v>
      </c>
      <c r="BT356">
        <v>0</v>
      </c>
      <c r="BU356">
        <v>0</v>
      </c>
      <c r="CE356" t="str">
        <f>"19:26:38.226"</f>
        <v>19:26:38.226</v>
      </c>
      <c r="CF356">
        <v>226460586</v>
      </c>
      <c r="CS356">
        <v>3</v>
      </c>
      <c r="CT356">
        <v>2</v>
      </c>
      <c r="CU356">
        <v>0</v>
      </c>
      <c r="CV356">
        <v>2</v>
      </c>
      <c r="CW356">
        <v>0</v>
      </c>
      <c r="CX356">
        <v>1</v>
      </c>
      <c r="CY356">
        <v>7</v>
      </c>
      <c r="CZ356" t="s">
        <v>131</v>
      </c>
      <c r="DA356">
        <v>297</v>
      </c>
      <c r="DB356">
        <v>0</v>
      </c>
      <c r="DC356" t="s">
        <v>258</v>
      </c>
      <c r="DD356" t="s">
        <v>259</v>
      </c>
      <c r="DG356">
        <v>16679023</v>
      </c>
      <c r="DI356">
        <v>0</v>
      </c>
      <c r="DJ356">
        <v>0</v>
      </c>
      <c r="DK356">
        <v>1</v>
      </c>
      <c r="DL356">
        <v>0</v>
      </c>
      <c r="DM356">
        <v>0</v>
      </c>
      <c r="DN356">
        <v>1</v>
      </c>
      <c r="DO356">
        <v>0</v>
      </c>
      <c r="DP356">
        <v>0</v>
      </c>
      <c r="DQ356">
        <v>0</v>
      </c>
      <c r="DR356">
        <v>0</v>
      </c>
      <c r="DS356">
        <v>0</v>
      </c>
    </row>
    <row r="357" spans="1:123" x14ac:dyDescent="0.3">
      <c r="A357" t="str">
        <f>"10/04/2022 19:26:38.477"</f>
        <v>10/04/2022 19:26:38.477</v>
      </c>
      <c r="C357" t="str">
        <f t="shared" si="121"/>
        <v>FFDFD3C0</v>
      </c>
      <c r="D357" t="s">
        <v>123</v>
      </c>
      <c r="E357">
        <v>7</v>
      </c>
      <c r="F357">
        <v>2007</v>
      </c>
      <c r="G357" t="s">
        <v>124</v>
      </c>
      <c r="J357" t="s">
        <v>125</v>
      </c>
      <c r="K357">
        <v>0</v>
      </c>
      <c r="L357">
        <v>3</v>
      </c>
      <c r="M357">
        <v>0</v>
      </c>
      <c r="N357">
        <v>2</v>
      </c>
      <c r="O357">
        <v>0</v>
      </c>
      <c r="P357">
        <v>1</v>
      </c>
      <c r="Q357">
        <v>0</v>
      </c>
      <c r="S357" t="str">
        <f t="shared" si="132"/>
        <v>19:26:38.000</v>
      </c>
      <c r="T357" t="str">
        <f t="shared" si="132"/>
        <v>19:26:38.000</v>
      </c>
      <c r="U357" t="str">
        <f t="shared" si="122"/>
        <v>AC3944</v>
      </c>
      <c r="V357">
        <v>0</v>
      </c>
      <c r="W357">
        <v>0</v>
      </c>
      <c r="X357">
        <v>2</v>
      </c>
      <c r="Y357">
        <v>0</v>
      </c>
      <c r="AA357">
        <v>1</v>
      </c>
      <c r="AB357">
        <v>8</v>
      </c>
      <c r="AC357">
        <v>3</v>
      </c>
      <c r="AD357">
        <v>0</v>
      </c>
      <c r="AE357">
        <v>9</v>
      </c>
      <c r="AF357" t="s">
        <v>138</v>
      </c>
      <c r="AG357">
        <v>0</v>
      </c>
      <c r="AH357">
        <v>3</v>
      </c>
      <c r="AI357">
        <v>1</v>
      </c>
      <c r="AJ357">
        <v>0</v>
      </c>
      <c r="AK357" t="s">
        <v>256</v>
      </c>
      <c r="AL357">
        <v>32.820818000000003</v>
      </c>
      <c r="AM357" t="s">
        <v>257</v>
      </c>
      <c r="AN357">
        <v>-116.997743</v>
      </c>
      <c r="AO357">
        <v>25</v>
      </c>
      <c r="AP357">
        <v>1800</v>
      </c>
      <c r="AQ357" t="s">
        <v>129</v>
      </c>
      <c r="AR357">
        <v>59</v>
      </c>
      <c r="AS357">
        <v>-99</v>
      </c>
      <c r="AT357">
        <v>1280</v>
      </c>
      <c r="BB357">
        <v>1200</v>
      </c>
      <c r="BC357">
        <v>1</v>
      </c>
      <c r="BD357" t="str">
        <f t="shared" si="123"/>
        <v xml:space="preserve">N887QR  </v>
      </c>
      <c r="BE357">
        <v>1</v>
      </c>
      <c r="BG357">
        <v>0</v>
      </c>
      <c r="BH357">
        <v>0</v>
      </c>
      <c r="BI357">
        <v>0</v>
      </c>
      <c r="BJ357">
        <v>1475</v>
      </c>
      <c r="BK357">
        <v>-325</v>
      </c>
      <c r="BL357" t="s">
        <v>163</v>
      </c>
      <c r="BM357">
        <v>1</v>
      </c>
      <c r="BN357">
        <v>1</v>
      </c>
      <c r="BO357">
        <v>1</v>
      </c>
      <c r="BP357">
        <v>0</v>
      </c>
      <c r="BS357">
        <v>0</v>
      </c>
      <c r="BT357">
        <v>0</v>
      </c>
      <c r="BU357">
        <v>0</v>
      </c>
      <c r="CE357" t="str">
        <f>"19:26:38.227"</f>
        <v>19:26:38.227</v>
      </c>
      <c r="CF357">
        <v>226769558</v>
      </c>
      <c r="CS357">
        <v>3</v>
      </c>
      <c r="CT357">
        <v>2</v>
      </c>
      <c r="CU357">
        <v>0</v>
      </c>
      <c r="CV357">
        <v>2</v>
      </c>
      <c r="CW357">
        <v>0</v>
      </c>
      <c r="CX357">
        <v>5</v>
      </c>
      <c r="CY357">
        <v>7</v>
      </c>
      <c r="CZ357" t="s">
        <v>131</v>
      </c>
      <c r="DA357">
        <v>292</v>
      </c>
      <c r="DB357">
        <v>0</v>
      </c>
      <c r="DC357" t="s">
        <v>254</v>
      </c>
      <c r="DD357" t="s">
        <v>255</v>
      </c>
      <c r="DG357">
        <v>3364943</v>
      </c>
      <c r="DI357">
        <v>0</v>
      </c>
      <c r="DJ357">
        <v>0</v>
      </c>
      <c r="DK357">
        <v>1</v>
      </c>
      <c r="DL357">
        <v>0</v>
      </c>
      <c r="DM357">
        <v>0</v>
      </c>
      <c r="DN357">
        <v>1</v>
      </c>
      <c r="DO357">
        <v>0</v>
      </c>
      <c r="DP357">
        <v>0</v>
      </c>
      <c r="DQ357">
        <v>0</v>
      </c>
      <c r="DR357">
        <v>0</v>
      </c>
      <c r="DS357">
        <v>0</v>
      </c>
    </row>
    <row r="358" spans="1:123" x14ac:dyDescent="0.3">
      <c r="A358" t="str">
        <f>"10/04/2022 19:26:38.477"</f>
        <v>10/04/2022 19:26:38.477</v>
      </c>
      <c r="C358" t="str">
        <f t="shared" si="121"/>
        <v>FFDFD3C0</v>
      </c>
      <c r="D358" t="s">
        <v>136</v>
      </c>
      <c r="E358">
        <v>8</v>
      </c>
      <c r="H358">
        <v>225</v>
      </c>
      <c r="I358" t="s">
        <v>137</v>
      </c>
      <c r="J358" t="s">
        <v>138</v>
      </c>
      <c r="K358">
        <v>0</v>
      </c>
      <c r="L358">
        <v>3</v>
      </c>
      <c r="M358">
        <v>0</v>
      </c>
      <c r="N358">
        <v>2</v>
      </c>
      <c r="O358">
        <v>0</v>
      </c>
      <c r="P358">
        <v>1</v>
      </c>
      <c r="Q358">
        <v>0</v>
      </c>
      <c r="S358" t="str">
        <f t="shared" si="132"/>
        <v>19:26:38.000</v>
      </c>
      <c r="T358" t="str">
        <f t="shared" si="132"/>
        <v>19:26:38.000</v>
      </c>
      <c r="U358" t="str">
        <f t="shared" si="122"/>
        <v>AC3944</v>
      </c>
      <c r="V358">
        <v>0</v>
      </c>
      <c r="W358">
        <v>0</v>
      </c>
      <c r="X358">
        <v>2</v>
      </c>
      <c r="Y358">
        <v>0</v>
      </c>
      <c r="AA358">
        <v>1</v>
      </c>
      <c r="AB358">
        <v>8</v>
      </c>
      <c r="AC358">
        <v>3</v>
      </c>
      <c r="AD358">
        <v>0</v>
      </c>
      <c r="AE358">
        <v>9</v>
      </c>
      <c r="AF358" t="s">
        <v>138</v>
      </c>
      <c r="AG358">
        <v>0</v>
      </c>
      <c r="AH358">
        <v>3</v>
      </c>
      <c r="AI358">
        <v>1</v>
      </c>
      <c r="AJ358">
        <v>0</v>
      </c>
      <c r="AK358" t="s">
        <v>256</v>
      </c>
      <c r="AL358">
        <v>32.820818000000003</v>
      </c>
      <c r="AM358" t="s">
        <v>257</v>
      </c>
      <c r="AN358">
        <v>-116.997743</v>
      </c>
      <c r="AO358">
        <v>25</v>
      </c>
      <c r="AP358">
        <v>1800</v>
      </c>
      <c r="AQ358" t="s">
        <v>129</v>
      </c>
      <c r="AR358">
        <v>59</v>
      </c>
      <c r="AS358">
        <v>-99</v>
      </c>
      <c r="AT358">
        <v>1280</v>
      </c>
      <c r="BB358">
        <v>1200</v>
      </c>
      <c r="BC358">
        <v>1</v>
      </c>
      <c r="BD358" t="str">
        <f t="shared" si="123"/>
        <v xml:space="preserve">N887QR  </v>
      </c>
      <c r="BE358">
        <v>1</v>
      </c>
      <c r="BG358">
        <v>0</v>
      </c>
      <c r="BH358">
        <v>0</v>
      </c>
      <c r="BI358">
        <v>0</v>
      </c>
      <c r="BJ358">
        <v>1475</v>
      </c>
      <c r="BK358">
        <v>-325</v>
      </c>
      <c r="BL358" t="s">
        <v>163</v>
      </c>
      <c r="BM358">
        <v>1</v>
      </c>
      <c r="BN358">
        <v>1</v>
      </c>
      <c r="BO358">
        <v>1</v>
      </c>
      <c r="BP358">
        <v>0</v>
      </c>
      <c r="BS358">
        <v>0</v>
      </c>
      <c r="BT358">
        <v>0</v>
      </c>
      <c r="BU358">
        <v>0</v>
      </c>
      <c r="CE358" t="str">
        <f>"19:26:38.226"</f>
        <v>19:26:38.226</v>
      </c>
      <c r="CF358">
        <v>226460586</v>
      </c>
      <c r="CS358">
        <v>3</v>
      </c>
      <c r="CT358">
        <v>2</v>
      </c>
      <c r="CU358">
        <v>0</v>
      </c>
      <c r="CV358">
        <v>2</v>
      </c>
      <c r="CW358">
        <v>0</v>
      </c>
      <c r="CX358">
        <v>1</v>
      </c>
      <c r="CY358">
        <v>7</v>
      </c>
      <c r="CZ358" t="s">
        <v>131</v>
      </c>
      <c r="DA358">
        <v>297</v>
      </c>
      <c r="DB358">
        <v>0</v>
      </c>
      <c r="DC358" t="s">
        <v>258</v>
      </c>
      <c r="DD358" t="s">
        <v>259</v>
      </c>
      <c r="DG358">
        <v>16679023</v>
      </c>
      <c r="DI358">
        <v>0</v>
      </c>
      <c r="DJ358">
        <v>0</v>
      </c>
      <c r="DK358">
        <v>1</v>
      </c>
      <c r="DL358">
        <v>0</v>
      </c>
      <c r="DM358">
        <v>0</v>
      </c>
      <c r="DN358">
        <v>1</v>
      </c>
      <c r="DO358">
        <v>0</v>
      </c>
      <c r="DP358">
        <v>0</v>
      </c>
      <c r="DQ358">
        <v>0</v>
      </c>
      <c r="DR358">
        <v>0</v>
      </c>
      <c r="DS358">
        <v>0</v>
      </c>
    </row>
    <row r="359" spans="1:123" x14ac:dyDescent="0.3">
      <c r="A359" t="str">
        <f>"10/04/2022 19:26:39.274"</f>
        <v>10/04/2022 19:26:39.274</v>
      </c>
      <c r="C359" t="str">
        <f t="shared" si="121"/>
        <v>FFDFD3C0</v>
      </c>
      <c r="D359" t="s">
        <v>143</v>
      </c>
      <c r="E359">
        <v>20</v>
      </c>
      <c r="F359">
        <v>1020</v>
      </c>
      <c r="G359" t="s">
        <v>144</v>
      </c>
      <c r="J359" t="s">
        <v>145</v>
      </c>
      <c r="K359">
        <v>0</v>
      </c>
      <c r="L359">
        <v>3</v>
      </c>
      <c r="M359">
        <v>0</v>
      </c>
      <c r="N359">
        <v>2</v>
      </c>
      <c r="O359">
        <v>0</v>
      </c>
      <c r="P359">
        <v>1</v>
      </c>
      <c r="Q359">
        <v>0</v>
      </c>
      <c r="S359" t="str">
        <f t="shared" ref="S359:T362" si="133">"19:26:39.000"</f>
        <v>19:26:39.000</v>
      </c>
      <c r="T359" t="str">
        <f t="shared" si="133"/>
        <v>19:26:39.000</v>
      </c>
      <c r="U359" t="str">
        <f t="shared" si="122"/>
        <v>AC3944</v>
      </c>
      <c r="V359">
        <v>0</v>
      </c>
      <c r="W359">
        <v>0</v>
      </c>
      <c r="X359">
        <v>2</v>
      </c>
      <c r="Y359">
        <v>0</v>
      </c>
      <c r="AA359">
        <v>1</v>
      </c>
      <c r="AB359">
        <v>8</v>
      </c>
      <c r="AC359">
        <v>3</v>
      </c>
      <c r="AD359">
        <v>0</v>
      </c>
      <c r="AE359">
        <v>9</v>
      </c>
      <c r="AF359" t="s">
        <v>138</v>
      </c>
      <c r="AG359">
        <v>0</v>
      </c>
      <c r="AH359">
        <v>3</v>
      </c>
      <c r="AI359">
        <v>1</v>
      </c>
      <c r="AJ359">
        <v>0</v>
      </c>
      <c r="AK359" t="s">
        <v>260</v>
      </c>
      <c r="AL359">
        <v>32.820368000000002</v>
      </c>
      <c r="AM359" t="s">
        <v>261</v>
      </c>
      <c r="AN359">
        <v>-116.997399</v>
      </c>
      <c r="AO359">
        <v>25</v>
      </c>
      <c r="AP359">
        <v>1800</v>
      </c>
      <c r="AQ359" t="s">
        <v>129</v>
      </c>
      <c r="AR359">
        <v>68</v>
      </c>
      <c r="AS359">
        <v>-95</v>
      </c>
      <c r="AT359">
        <v>1280</v>
      </c>
      <c r="BB359">
        <v>1200</v>
      </c>
      <c r="BC359">
        <v>1</v>
      </c>
      <c r="BD359" t="str">
        <f t="shared" si="123"/>
        <v xml:space="preserve">N887QR  </v>
      </c>
      <c r="BE359">
        <v>1</v>
      </c>
      <c r="BG359">
        <v>0</v>
      </c>
      <c r="BH359">
        <v>0</v>
      </c>
      <c r="BI359">
        <v>0</v>
      </c>
      <c r="BJ359">
        <v>1475</v>
      </c>
      <c r="BK359">
        <v>-325</v>
      </c>
      <c r="BL359" t="s">
        <v>163</v>
      </c>
      <c r="BM359">
        <v>1</v>
      </c>
      <c r="BN359">
        <v>1</v>
      </c>
      <c r="BO359">
        <v>1</v>
      </c>
      <c r="BP359">
        <v>0</v>
      </c>
      <c r="BS359">
        <v>0</v>
      </c>
      <c r="BT359">
        <v>0</v>
      </c>
      <c r="BU359">
        <v>0</v>
      </c>
      <c r="CE359" t="str">
        <f>"19:26:39.060"</f>
        <v>19:26:39.060</v>
      </c>
      <c r="CF359">
        <v>59772329</v>
      </c>
      <c r="CS359">
        <v>3</v>
      </c>
      <c r="CT359">
        <v>2</v>
      </c>
      <c r="CU359">
        <v>0</v>
      </c>
      <c r="CV359">
        <v>2</v>
      </c>
      <c r="CW359">
        <v>0</v>
      </c>
      <c r="CX359">
        <v>5</v>
      </c>
      <c r="CY359">
        <v>7</v>
      </c>
      <c r="CZ359" t="s">
        <v>131</v>
      </c>
      <c r="DA359">
        <v>292</v>
      </c>
      <c r="DB359">
        <v>0</v>
      </c>
      <c r="DC359" t="s">
        <v>254</v>
      </c>
      <c r="DD359" t="s">
        <v>255</v>
      </c>
      <c r="DG359">
        <v>3365044</v>
      </c>
      <c r="DI359">
        <v>0</v>
      </c>
      <c r="DJ359">
        <v>0</v>
      </c>
      <c r="DK359">
        <v>0</v>
      </c>
      <c r="DL359">
        <v>0</v>
      </c>
      <c r="DM359">
        <v>0</v>
      </c>
      <c r="DN359">
        <v>1</v>
      </c>
      <c r="DO359">
        <v>0</v>
      </c>
      <c r="DP359">
        <v>0</v>
      </c>
      <c r="DQ359">
        <v>0</v>
      </c>
      <c r="DR359">
        <v>0</v>
      </c>
      <c r="DS359">
        <v>0</v>
      </c>
    </row>
    <row r="360" spans="1:123" x14ac:dyDescent="0.3">
      <c r="A360" t="str">
        <f>"10/04/2022 19:26:39.274"</f>
        <v>10/04/2022 19:26:39.274</v>
      </c>
      <c r="C360" t="str">
        <f t="shared" si="121"/>
        <v>FFDFD3C0</v>
      </c>
      <c r="D360" t="s">
        <v>134</v>
      </c>
      <c r="E360">
        <v>15</v>
      </c>
      <c r="J360" t="s">
        <v>135</v>
      </c>
      <c r="K360">
        <v>0</v>
      </c>
      <c r="L360">
        <v>3</v>
      </c>
      <c r="M360">
        <v>0</v>
      </c>
      <c r="N360">
        <v>2</v>
      </c>
      <c r="O360">
        <v>0</v>
      </c>
      <c r="P360">
        <v>1</v>
      </c>
      <c r="Q360">
        <v>0</v>
      </c>
      <c r="S360" t="str">
        <f t="shared" si="133"/>
        <v>19:26:39.000</v>
      </c>
      <c r="T360" t="str">
        <f t="shared" si="133"/>
        <v>19:26:39.000</v>
      </c>
      <c r="U360" t="str">
        <f t="shared" si="122"/>
        <v>AC3944</v>
      </c>
      <c r="V360">
        <v>0</v>
      </c>
      <c r="W360">
        <v>0</v>
      </c>
      <c r="X360">
        <v>2</v>
      </c>
      <c r="Y360">
        <v>0</v>
      </c>
      <c r="AA360">
        <v>1</v>
      </c>
      <c r="AB360">
        <v>8</v>
      </c>
      <c r="AC360">
        <v>3</v>
      </c>
      <c r="AD360">
        <v>0</v>
      </c>
      <c r="AE360">
        <v>9</v>
      </c>
      <c r="AF360" t="s">
        <v>138</v>
      </c>
      <c r="AG360">
        <v>0</v>
      </c>
      <c r="AH360">
        <v>3</v>
      </c>
      <c r="AI360">
        <v>1</v>
      </c>
      <c r="AJ360">
        <v>0</v>
      </c>
      <c r="AK360" t="s">
        <v>260</v>
      </c>
      <c r="AL360">
        <v>32.820368000000002</v>
      </c>
      <c r="AM360" t="s">
        <v>261</v>
      </c>
      <c r="AN360">
        <v>-116.997399</v>
      </c>
      <c r="AO360">
        <v>25</v>
      </c>
      <c r="AP360">
        <v>1800</v>
      </c>
      <c r="AQ360" t="s">
        <v>129</v>
      </c>
      <c r="AR360">
        <v>68</v>
      </c>
      <c r="AS360">
        <v>-95</v>
      </c>
      <c r="AT360">
        <v>1280</v>
      </c>
      <c r="BB360">
        <v>1200</v>
      </c>
      <c r="BC360">
        <v>1</v>
      </c>
      <c r="BD360" t="str">
        <f t="shared" si="123"/>
        <v xml:space="preserve">N887QR  </v>
      </c>
      <c r="BE360">
        <v>1</v>
      </c>
      <c r="BG360">
        <v>0</v>
      </c>
      <c r="BH360">
        <v>0</v>
      </c>
      <c r="BI360">
        <v>0</v>
      </c>
      <c r="BJ360">
        <v>1475</v>
      </c>
      <c r="BK360">
        <v>-325</v>
      </c>
      <c r="BL360" t="s">
        <v>163</v>
      </c>
      <c r="BM360">
        <v>1</v>
      </c>
      <c r="BN360">
        <v>1</v>
      </c>
      <c r="BO360">
        <v>1</v>
      </c>
      <c r="BP360">
        <v>0</v>
      </c>
      <c r="BS360">
        <v>0</v>
      </c>
      <c r="BT360">
        <v>0</v>
      </c>
      <c r="BU360">
        <v>0</v>
      </c>
      <c r="CE360" t="str">
        <f>"19:26:39.060"</f>
        <v>19:26:39.060</v>
      </c>
      <c r="CF360">
        <v>59772329</v>
      </c>
      <c r="CS360">
        <v>3</v>
      </c>
      <c r="CT360">
        <v>2</v>
      </c>
      <c r="CU360">
        <v>0</v>
      </c>
      <c r="CV360">
        <v>2</v>
      </c>
      <c r="CW360">
        <v>0</v>
      </c>
      <c r="CX360">
        <v>5</v>
      </c>
      <c r="CY360">
        <v>7</v>
      </c>
      <c r="CZ360" t="s">
        <v>131</v>
      </c>
      <c r="DA360">
        <v>292</v>
      </c>
      <c r="DB360">
        <v>0</v>
      </c>
      <c r="DC360" t="s">
        <v>254</v>
      </c>
      <c r="DD360" t="s">
        <v>255</v>
      </c>
      <c r="DG360">
        <v>3365044</v>
      </c>
      <c r="DI360">
        <v>0</v>
      </c>
      <c r="DJ360">
        <v>0</v>
      </c>
      <c r="DK360">
        <v>1</v>
      </c>
      <c r="DL360">
        <v>0</v>
      </c>
      <c r="DM360">
        <v>0</v>
      </c>
      <c r="DN360">
        <v>1</v>
      </c>
      <c r="DO360">
        <v>0</v>
      </c>
      <c r="DP360">
        <v>0</v>
      </c>
      <c r="DQ360">
        <v>0</v>
      </c>
      <c r="DR360">
        <v>0</v>
      </c>
      <c r="DS360">
        <v>0</v>
      </c>
    </row>
    <row r="361" spans="1:123" x14ac:dyDescent="0.3">
      <c r="A361" t="str">
        <f>"10/04/2022 19:26:39.274"</f>
        <v>10/04/2022 19:26:39.274</v>
      </c>
      <c r="C361" t="str">
        <f t="shared" si="121"/>
        <v>FFDFD3C0</v>
      </c>
      <c r="D361" t="s">
        <v>123</v>
      </c>
      <c r="E361">
        <v>7</v>
      </c>
      <c r="F361">
        <v>2007</v>
      </c>
      <c r="G361" t="s">
        <v>124</v>
      </c>
      <c r="J361" t="s">
        <v>125</v>
      </c>
      <c r="K361">
        <v>0</v>
      </c>
      <c r="L361">
        <v>3</v>
      </c>
      <c r="M361">
        <v>0</v>
      </c>
      <c r="N361">
        <v>2</v>
      </c>
      <c r="O361">
        <v>0</v>
      </c>
      <c r="P361">
        <v>1</v>
      </c>
      <c r="Q361">
        <v>0</v>
      </c>
      <c r="S361" t="str">
        <f t="shared" si="133"/>
        <v>19:26:39.000</v>
      </c>
      <c r="T361" t="str">
        <f t="shared" si="133"/>
        <v>19:26:39.000</v>
      </c>
      <c r="U361" t="str">
        <f t="shared" si="122"/>
        <v>AC3944</v>
      </c>
      <c r="V361">
        <v>0</v>
      </c>
      <c r="W361">
        <v>0</v>
      </c>
      <c r="X361">
        <v>2</v>
      </c>
      <c r="Y361">
        <v>0</v>
      </c>
      <c r="AA361">
        <v>1</v>
      </c>
      <c r="AB361">
        <v>8</v>
      </c>
      <c r="AC361">
        <v>3</v>
      </c>
      <c r="AD361">
        <v>0</v>
      </c>
      <c r="AE361">
        <v>9</v>
      </c>
      <c r="AF361" t="s">
        <v>138</v>
      </c>
      <c r="AG361">
        <v>0</v>
      </c>
      <c r="AH361">
        <v>3</v>
      </c>
      <c r="AI361">
        <v>1</v>
      </c>
      <c r="AJ361">
        <v>0</v>
      </c>
      <c r="AK361" t="s">
        <v>260</v>
      </c>
      <c r="AL361">
        <v>32.820368000000002</v>
      </c>
      <c r="AM361" t="s">
        <v>261</v>
      </c>
      <c r="AN361">
        <v>-116.997399</v>
      </c>
      <c r="AO361">
        <v>25</v>
      </c>
      <c r="AP361">
        <v>1800</v>
      </c>
      <c r="AQ361" t="s">
        <v>129</v>
      </c>
      <c r="AR361">
        <v>68</v>
      </c>
      <c r="AS361">
        <v>-95</v>
      </c>
      <c r="AT361">
        <v>1280</v>
      </c>
      <c r="BB361">
        <v>1200</v>
      </c>
      <c r="BC361">
        <v>1</v>
      </c>
      <c r="BD361" t="str">
        <f t="shared" si="123"/>
        <v xml:space="preserve">N887QR  </v>
      </c>
      <c r="BE361">
        <v>1</v>
      </c>
      <c r="BG361">
        <v>0</v>
      </c>
      <c r="BH361">
        <v>0</v>
      </c>
      <c r="BI361">
        <v>0</v>
      </c>
      <c r="BJ361">
        <v>1475</v>
      </c>
      <c r="BK361">
        <v>-325</v>
      </c>
      <c r="BL361" t="s">
        <v>163</v>
      </c>
      <c r="BM361">
        <v>1</v>
      </c>
      <c r="BN361">
        <v>1</v>
      </c>
      <c r="BO361">
        <v>1</v>
      </c>
      <c r="BP361">
        <v>0</v>
      </c>
      <c r="BS361">
        <v>0</v>
      </c>
      <c r="BT361">
        <v>0</v>
      </c>
      <c r="BU361">
        <v>0</v>
      </c>
      <c r="CE361" t="str">
        <f>"19:26:39.060"</f>
        <v>19:26:39.060</v>
      </c>
      <c r="CF361">
        <v>59772329</v>
      </c>
      <c r="CS361">
        <v>3</v>
      </c>
      <c r="CT361">
        <v>2</v>
      </c>
      <c r="CU361">
        <v>0</v>
      </c>
      <c r="CV361">
        <v>2</v>
      </c>
      <c r="CW361">
        <v>0</v>
      </c>
      <c r="CX361">
        <v>5</v>
      </c>
      <c r="CY361">
        <v>7</v>
      </c>
      <c r="CZ361" t="s">
        <v>131</v>
      </c>
      <c r="DA361">
        <v>292</v>
      </c>
      <c r="DB361">
        <v>0</v>
      </c>
      <c r="DC361" t="s">
        <v>254</v>
      </c>
      <c r="DD361" t="s">
        <v>255</v>
      </c>
      <c r="DG361">
        <v>3365044</v>
      </c>
      <c r="DI361">
        <v>0</v>
      </c>
      <c r="DJ361">
        <v>0</v>
      </c>
      <c r="DK361">
        <v>1</v>
      </c>
      <c r="DL361">
        <v>0</v>
      </c>
      <c r="DM361">
        <v>0</v>
      </c>
      <c r="DN361">
        <v>1</v>
      </c>
      <c r="DO361">
        <v>0</v>
      </c>
      <c r="DP361">
        <v>0</v>
      </c>
      <c r="DQ361">
        <v>0</v>
      </c>
      <c r="DR361">
        <v>0</v>
      </c>
      <c r="DS361">
        <v>0</v>
      </c>
    </row>
    <row r="362" spans="1:123" x14ac:dyDescent="0.3">
      <c r="A362" t="str">
        <f>"10/04/2022 19:26:39.321"</f>
        <v>10/04/2022 19:26:39.321</v>
      </c>
      <c r="C362" t="str">
        <f t="shared" si="121"/>
        <v>FFDFD3C0</v>
      </c>
      <c r="D362" t="s">
        <v>147</v>
      </c>
      <c r="E362">
        <v>3</v>
      </c>
      <c r="H362">
        <v>166</v>
      </c>
      <c r="I362" t="s">
        <v>144</v>
      </c>
      <c r="J362" t="s">
        <v>148</v>
      </c>
      <c r="K362">
        <v>0</v>
      </c>
      <c r="L362">
        <v>3</v>
      </c>
      <c r="M362">
        <v>0</v>
      </c>
      <c r="N362">
        <v>2</v>
      </c>
      <c r="O362">
        <v>0</v>
      </c>
      <c r="P362">
        <v>1</v>
      </c>
      <c r="Q362">
        <v>0</v>
      </c>
      <c r="S362" t="str">
        <f t="shared" si="133"/>
        <v>19:26:39.000</v>
      </c>
      <c r="T362" t="str">
        <f t="shared" si="133"/>
        <v>19:26:39.000</v>
      </c>
      <c r="U362" t="str">
        <f t="shared" si="122"/>
        <v>AC3944</v>
      </c>
      <c r="V362">
        <v>0</v>
      </c>
      <c r="W362">
        <v>0</v>
      </c>
      <c r="X362">
        <v>2</v>
      </c>
      <c r="Y362">
        <v>0</v>
      </c>
      <c r="AA362">
        <v>1</v>
      </c>
      <c r="AB362">
        <v>8</v>
      </c>
      <c r="AC362">
        <v>3</v>
      </c>
      <c r="AD362">
        <v>0</v>
      </c>
      <c r="AE362">
        <v>9</v>
      </c>
      <c r="AF362" t="s">
        <v>138</v>
      </c>
      <c r="AG362">
        <v>0</v>
      </c>
      <c r="AH362">
        <v>3</v>
      </c>
      <c r="AI362">
        <v>1</v>
      </c>
      <c r="AJ362">
        <v>0</v>
      </c>
      <c r="AK362" t="s">
        <v>260</v>
      </c>
      <c r="AL362">
        <v>32.820368000000002</v>
      </c>
      <c r="AM362" t="s">
        <v>261</v>
      </c>
      <c r="AN362">
        <v>-116.997399</v>
      </c>
      <c r="AO362">
        <v>25</v>
      </c>
      <c r="AP362">
        <v>1800</v>
      </c>
      <c r="AQ362" t="s">
        <v>129</v>
      </c>
      <c r="AR362">
        <v>68</v>
      </c>
      <c r="AS362">
        <v>-95</v>
      </c>
      <c r="AT362">
        <v>1280</v>
      </c>
      <c r="BB362">
        <v>1200</v>
      </c>
      <c r="BC362">
        <v>1</v>
      </c>
      <c r="BD362" t="str">
        <f t="shared" si="123"/>
        <v xml:space="preserve">N887QR  </v>
      </c>
      <c r="BE362">
        <v>1</v>
      </c>
      <c r="BG362">
        <v>0</v>
      </c>
      <c r="BH362">
        <v>0</v>
      </c>
      <c r="BI362">
        <v>0</v>
      </c>
      <c r="BJ362">
        <v>1475</v>
      </c>
      <c r="BK362">
        <v>-325</v>
      </c>
      <c r="BL362" t="s">
        <v>163</v>
      </c>
      <c r="BM362">
        <v>1</v>
      </c>
      <c r="BN362">
        <v>1</v>
      </c>
      <c r="BO362">
        <v>1</v>
      </c>
      <c r="BP362">
        <v>0</v>
      </c>
      <c r="BS362">
        <v>0</v>
      </c>
      <c r="BT362">
        <v>0</v>
      </c>
      <c r="BU362">
        <v>0</v>
      </c>
      <c r="CE362" t="str">
        <f>"19:26:39.060"</f>
        <v>19:26:39.060</v>
      </c>
      <c r="CF362">
        <v>59772329</v>
      </c>
      <c r="CS362">
        <v>3</v>
      </c>
      <c r="CT362">
        <v>2</v>
      </c>
      <c r="CU362">
        <v>0</v>
      </c>
      <c r="CV362">
        <v>2</v>
      </c>
      <c r="CW362">
        <v>0</v>
      </c>
      <c r="CX362">
        <v>5</v>
      </c>
      <c r="CY362">
        <v>7</v>
      </c>
      <c r="CZ362" t="s">
        <v>131</v>
      </c>
      <c r="DA362">
        <v>292</v>
      </c>
      <c r="DB362">
        <v>0</v>
      </c>
      <c r="DC362" t="s">
        <v>254</v>
      </c>
      <c r="DD362" t="s">
        <v>255</v>
      </c>
      <c r="DG362">
        <v>3365044</v>
      </c>
      <c r="DI362">
        <v>0</v>
      </c>
      <c r="DJ362">
        <v>0</v>
      </c>
      <c r="DK362">
        <v>1</v>
      </c>
      <c r="DL362">
        <v>0</v>
      </c>
      <c r="DM362">
        <v>0</v>
      </c>
      <c r="DN362">
        <v>1</v>
      </c>
      <c r="DO362">
        <v>0</v>
      </c>
      <c r="DP362">
        <v>0</v>
      </c>
      <c r="DQ362">
        <v>0</v>
      </c>
      <c r="DR362">
        <v>0</v>
      </c>
      <c r="DS362">
        <v>0</v>
      </c>
    </row>
    <row r="363" spans="1:123" x14ac:dyDescent="0.3">
      <c r="A363" t="str">
        <f>"10/04/2022 19:26:40.529"</f>
        <v>10/04/2022 19:26:40.529</v>
      </c>
      <c r="C363" t="str">
        <f t="shared" si="121"/>
        <v>FFDFD3C0</v>
      </c>
      <c r="D363" t="s">
        <v>143</v>
      </c>
      <c r="E363">
        <v>20</v>
      </c>
      <c r="F363">
        <v>1020</v>
      </c>
      <c r="G363" t="s">
        <v>144</v>
      </c>
      <c r="J363" t="s">
        <v>145</v>
      </c>
      <c r="K363">
        <v>0</v>
      </c>
      <c r="L363">
        <v>3</v>
      </c>
      <c r="M363">
        <v>0</v>
      </c>
      <c r="N363">
        <v>2</v>
      </c>
      <c r="O363">
        <v>0</v>
      </c>
      <c r="P363">
        <v>1</v>
      </c>
      <c r="Q363">
        <v>0</v>
      </c>
      <c r="S363" t="str">
        <f t="shared" ref="S363:T369" si="134">"19:26:40.000"</f>
        <v>19:26:40.000</v>
      </c>
      <c r="T363" t="str">
        <f t="shared" si="134"/>
        <v>19:26:40.000</v>
      </c>
      <c r="U363" t="str">
        <f t="shared" si="122"/>
        <v>AC3944</v>
      </c>
      <c r="V363">
        <v>0</v>
      </c>
      <c r="W363">
        <v>0</v>
      </c>
      <c r="X363">
        <v>2</v>
      </c>
      <c r="Y363">
        <v>0</v>
      </c>
      <c r="AA363">
        <v>1</v>
      </c>
      <c r="AB363">
        <v>8</v>
      </c>
      <c r="AC363">
        <v>3</v>
      </c>
      <c r="AD363">
        <v>0</v>
      </c>
      <c r="AE363">
        <v>9</v>
      </c>
      <c r="AF363" t="s">
        <v>138</v>
      </c>
      <c r="AG363">
        <v>0</v>
      </c>
      <c r="AH363">
        <v>3</v>
      </c>
      <c r="AI363">
        <v>1</v>
      </c>
      <c r="AJ363">
        <v>0</v>
      </c>
      <c r="AK363" t="s">
        <v>262</v>
      </c>
      <c r="AL363">
        <v>32.819916999999997</v>
      </c>
      <c r="AM363" t="s">
        <v>263</v>
      </c>
      <c r="AN363">
        <v>-116.997013</v>
      </c>
      <c r="AO363">
        <v>25</v>
      </c>
      <c r="AP363">
        <v>1800</v>
      </c>
      <c r="AQ363" t="s">
        <v>129</v>
      </c>
      <c r="AR363">
        <v>80</v>
      </c>
      <c r="AS363">
        <v>-88</v>
      </c>
      <c r="AT363">
        <v>896</v>
      </c>
      <c r="BB363">
        <v>1200</v>
      </c>
      <c r="BC363">
        <v>1</v>
      </c>
      <c r="BD363" t="str">
        <f t="shared" si="123"/>
        <v xml:space="preserve">N887QR  </v>
      </c>
      <c r="BE363">
        <v>1</v>
      </c>
      <c r="BG363">
        <v>0</v>
      </c>
      <c r="BH363">
        <v>0</v>
      </c>
      <c r="BI363">
        <v>0</v>
      </c>
      <c r="BJ363">
        <v>1475</v>
      </c>
      <c r="BK363">
        <v>-325</v>
      </c>
      <c r="BL363" t="s">
        <v>163</v>
      </c>
      <c r="BM363">
        <v>1</v>
      </c>
      <c r="BN363">
        <v>1</v>
      </c>
      <c r="BO363">
        <v>1</v>
      </c>
      <c r="BP363">
        <v>0</v>
      </c>
      <c r="BS363">
        <v>0</v>
      </c>
      <c r="BT363">
        <v>0</v>
      </c>
      <c r="BU363">
        <v>0</v>
      </c>
      <c r="CE363" t="str">
        <f>"19:26:40.314"</f>
        <v>19:26:40.314</v>
      </c>
      <c r="CF363">
        <v>313776491</v>
      </c>
      <c r="CS363">
        <v>3</v>
      </c>
      <c r="CT363">
        <v>2</v>
      </c>
      <c r="CU363">
        <v>0</v>
      </c>
      <c r="CV363">
        <v>2</v>
      </c>
      <c r="CW363">
        <v>0</v>
      </c>
      <c r="CX363">
        <v>4</v>
      </c>
      <c r="CY363">
        <v>7</v>
      </c>
      <c r="CZ363" t="s">
        <v>131</v>
      </c>
      <c r="DA363">
        <v>292</v>
      </c>
      <c r="DB363">
        <v>0</v>
      </c>
      <c r="DC363" t="s">
        <v>254</v>
      </c>
      <c r="DD363" t="s">
        <v>255</v>
      </c>
      <c r="DG363">
        <v>3365180</v>
      </c>
      <c r="DI363">
        <v>0</v>
      </c>
      <c r="DJ363">
        <v>0</v>
      </c>
      <c r="DK363">
        <v>0</v>
      </c>
      <c r="DL363">
        <v>0</v>
      </c>
      <c r="DM363">
        <v>0</v>
      </c>
      <c r="DN363">
        <v>1</v>
      </c>
      <c r="DO363">
        <v>0</v>
      </c>
      <c r="DP363">
        <v>0</v>
      </c>
      <c r="DQ363">
        <v>0</v>
      </c>
      <c r="DR363">
        <v>0</v>
      </c>
      <c r="DS363">
        <v>0</v>
      </c>
    </row>
    <row r="364" spans="1:123" x14ac:dyDescent="0.3">
      <c r="A364" t="str">
        <f>"10/04/2022 19:26:40.529"</f>
        <v>10/04/2022 19:26:40.529</v>
      </c>
      <c r="C364" t="str">
        <f t="shared" si="121"/>
        <v>FFDFD3C0</v>
      </c>
      <c r="D364" t="s">
        <v>141</v>
      </c>
      <c r="E364">
        <v>4</v>
      </c>
      <c r="H364">
        <v>4</v>
      </c>
      <c r="I364" t="s">
        <v>142</v>
      </c>
      <c r="J364" t="s">
        <v>138</v>
      </c>
      <c r="K364">
        <v>0</v>
      </c>
      <c r="L364">
        <v>3</v>
      </c>
      <c r="M364">
        <v>0</v>
      </c>
      <c r="N364">
        <v>2</v>
      </c>
      <c r="O364">
        <v>0</v>
      </c>
      <c r="P364">
        <v>1</v>
      </c>
      <c r="Q364">
        <v>0</v>
      </c>
      <c r="S364" t="str">
        <f t="shared" si="134"/>
        <v>19:26:40.000</v>
      </c>
      <c r="T364" t="str">
        <f t="shared" si="134"/>
        <v>19:26:40.000</v>
      </c>
      <c r="U364" t="str">
        <f t="shared" si="122"/>
        <v>AC3944</v>
      </c>
      <c r="V364">
        <v>0</v>
      </c>
      <c r="W364">
        <v>0</v>
      </c>
      <c r="X364">
        <v>2</v>
      </c>
      <c r="Y364">
        <v>0</v>
      </c>
      <c r="AA364">
        <v>1</v>
      </c>
      <c r="AB364">
        <v>8</v>
      </c>
      <c r="AC364">
        <v>3</v>
      </c>
      <c r="AD364">
        <v>0</v>
      </c>
      <c r="AE364">
        <v>9</v>
      </c>
      <c r="AF364" t="s">
        <v>138</v>
      </c>
      <c r="AG364">
        <v>0</v>
      </c>
      <c r="AH364">
        <v>3</v>
      </c>
      <c r="AI364">
        <v>1</v>
      </c>
      <c r="AJ364">
        <v>0</v>
      </c>
      <c r="AK364" t="s">
        <v>262</v>
      </c>
      <c r="AL364">
        <v>32.819916999999997</v>
      </c>
      <c r="AM364" t="s">
        <v>263</v>
      </c>
      <c r="AN364">
        <v>-116.997013</v>
      </c>
      <c r="AO364">
        <v>25</v>
      </c>
      <c r="AP364">
        <v>1800</v>
      </c>
      <c r="AQ364" t="s">
        <v>129</v>
      </c>
      <c r="AR364">
        <v>80</v>
      </c>
      <c r="AS364">
        <v>-88</v>
      </c>
      <c r="AT364">
        <v>896</v>
      </c>
      <c r="BB364">
        <v>1200</v>
      </c>
      <c r="BC364">
        <v>1</v>
      </c>
      <c r="BD364" t="str">
        <f t="shared" si="123"/>
        <v xml:space="preserve">N887QR  </v>
      </c>
      <c r="BE364">
        <v>1</v>
      </c>
      <c r="BG364">
        <v>0</v>
      </c>
      <c r="BH364">
        <v>0</v>
      </c>
      <c r="BI364">
        <v>0</v>
      </c>
      <c r="BJ364">
        <v>1475</v>
      </c>
      <c r="BK364">
        <v>-325</v>
      </c>
      <c r="BL364" t="s">
        <v>163</v>
      </c>
      <c r="BM364">
        <v>1</v>
      </c>
      <c r="BN364">
        <v>1</v>
      </c>
      <c r="BO364">
        <v>1</v>
      </c>
      <c r="BP364">
        <v>0</v>
      </c>
      <c r="BS364">
        <v>0</v>
      </c>
      <c r="BT364">
        <v>0</v>
      </c>
      <c r="BU364">
        <v>0</v>
      </c>
      <c r="CE364" t="str">
        <f>"19:26:40.313"</f>
        <v>19:26:40.313</v>
      </c>
      <c r="CF364">
        <v>313178001</v>
      </c>
      <c r="CS364">
        <v>3</v>
      </c>
      <c r="CT364">
        <v>2</v>
      </c>
      <c r="CU364">
        <v>0</v>
      </c>
      <c r="CV364">
        <v>2</v>
      </c>
      <c r="CW364">
        <v>0</v>
      </c>
      <c r="CX364">
        <v>1</v>
      </c>
      <c r="CY364">
        <v>7</v>
      </c>
      <c r="CZ364" t="s">
        <v>131</v>
      </c>
      <c r="DA364">
        <v>286</v>
      </c>
      <c r="DB364">
        <v>0</v>
      </c>
      <c r="DC364" t="s">
        <v>132</v>
      </c>
      <c r="DD364" t="s">
        <v>133</v>
      </c>
      <c r="DG364">
        <v>791728</v>
      </c>
      <c r="DI364">
        <v>0</v>
      </c>
      <c r="DJ364">
        <v>0</v>
      </c>
      <c r="DK364">
        <v>1</v>
      </c>
      <c r="DL364">
        <v>0</v>
      </c>
      <c r="DM364">
        <v>0</v>
      </c>
      <c r="DN364">
        <v>1</v>
      </c>
      <c r="DO364">
        <v>0</v>
      </c>
      <c r="DP364">
        <v>0</v>
      </c>
      <c r="DQ364">
        <v>0</v>
      </c>
      <c r="DR364">
        <v>0</v>
      </c>
      <c r="DS364">
        <v>0</v>
      </c>
    </row>
    <row r="365" spans="1:123" x14ac:dyDescent="0.3">
      <c r="A365" t="str">
        <f>"10/04/2022 19:26:40.529"</f>
        <v>10/04/2022 19:26:40.529</v>
      </c>
      <c r="C365" t="str">
        <f t="shared" si="121"/>
        <v>FFDFD3C0</v>
      </c>
      <c r="D365" t="s">
        <v>141</v>
      </c>
      <c r="E365">
        <v>3</v>
      </c>
      <c r="H365">
        <v>3</v>
      </c>
      <c r="I365" t="s">
        <v>146</v>
      </c>
      <c r="J365" t="s">
        <v>138</v>
      </c>
      <c r="K365">
        <v>0</v>
      </c>
      <c r="L365">
        <v>3</v>
      </c>
      <c r="M365">
        <v>0</v>
      </c>
      <c r="N365">
        <v>2</v>
      </c>
      <c r="O365">
        <v>0</v>
      </c>
      <c r="P365">
        <v>1</v>
      </c>
      <c r="Q365">
        <v>0</v>
      </c>
      <c r="S365" t="str">
        <f t="shared" si="134"/>
        <v>19:26:40.000</v>
      </c>
      <c r="T365" t="str">
        <f t="shared" si="134"/>
        <v>19:26:40.000</v>
      </c>
      <c r="U365" t="str">
        <f t="shared" si="122"/>
        <v>AC3944</v>
      </c>
      <c r="V365">
        <v>0</v>
      </c>
      <c r="W365">
        <v>0</v>
      </c>
      <c r="X365">
        <v>2</v>
      </c>
      <c r="Y365">
        <v>0</v>
      </c>
      <c r="AA365">
        <v>1</v>
      </c>
      <c r="AB365">
        <v>8</v>
      </c>
      <c r="AC365">
        <v>3</v>
      </c>
      <c r="AD365">
        <v>0</v>
      </c>
      <c r="AE365">
        <v>9</v>
      </c>
      <c r="AF365" t="s">
        <v>138</v>
      </c>
      <c r="AG365">
        <v>0</v>
      </c>
      <c r="AH365">
        <v>3</v>
      </c>
      <c r="AI365">
        <v>1</v>
      </c>
      <c r="AJ365">
        <v>0</v>
      </c>
      <c r="AK365" t="s">
        <v>262</v>
      </c>
      <c r="AL365">
        <v>32.819916999999997</v>
      </c>
      <c r="AM365" t="s">
        <v>263</v>
      </c>
      <c r="AN365">
        <v>-116.997013</v>
      </c>
      <c r="AO365">
        <v>25</v>
      </c>
      <c r="AP365">
        <v>1800</v>
      </c>
      <c r="AQ365" t="s">
        <v>129</v>
      </c>
      <c r="AR365">
        <v>80</v>
      </c>
      <c r="AS365">
        <v>-88</v>
      </c>
      <c r="AT365">
        <v>896</v>
      </c>
      <c r="BB365">
        <v>1200</v>
      </c>
      <c r="BC365">
        <v>1</v>
      </c>
      <c r="BD365" t="str">
        <f t="shared" si="123"/>
        <v xml:space="preserve">N887QR  </v>
      </c>
      <c r="BE365">
        <v>1</v>
      </c>
      <c r="BG365">
        <v>0</v>
      </c>
      <c r="BH365">
        <v>0</v>
      </c>
      <c r="BI365">
        <v>0</v>
      </c>
      <c r="BJ365">
        <v>1475</v>
      </c>
      <c r="BK365">
        <v>-325</v>
      </c>
      <c r="BL365" t="s">
        <v>163</v>
      </c>
      <c r="BM365">
        <v>1</v>
      </c>
      <c r="BN365">
        <v>1</v>
      </c>
      <c r="BO365">
        <v>1</v>
      </c>
      <c r="BP365">
        <v>0</v>
      </c>
      <c r="BS365">
        <v>0</v>
      </c>
      <c r="BT365">
        <v>0</v>
      </c>
      <c r="BU365">
        <v>0</v>
      </c>
      <c r="CE365" t="str">
        <f>"19:26:40.313"</f>
        <v>19:26:40.313</v>
      </c>
      <c r="CF365">
        <v>313178001</v>
      </c>
      <c r="CS365">
        <v>3</v>
      </c>
      <c r="CT365">
        <v>2</v>
      </c>
      <c r="CU365">
        <v>0</v>
      </c>
      <c r="CV365">
        <v>2</v>
      </c>
      <c r="CW365">
        <v>0</v>
      </c>
      <c r="CX365">
        <v>1</v>
      </c>
      <c r="CY365">
        <v>7</v>
      </c>
      <c r="CZ365" t="s">
        <v>131</v>
      </c>
      <c r="DA365">
        <v>286</v>
      </c>
      <c r="DB365">
        <v>0</v>
      </c>
      <c r="DC365" t="s">
        <v>132</v>
      </c>
      <c r="DD365" t="s">
        <v>133</v>
      </c>
      <c r="DG365">
        <v>791728</v>
      </c>
      <c r="DI365">
        <v>0</v>
      </c>
      <c r="DJ365">
        <v>0</v>
      </c>
      <c r="DK365">
        <v>1</v>
      </c>
      <c r="DL365">
        <v>0</v>
      </c>
      <c r="DM365">
        <v>0</v>
      </c>
      <c r="DN365">
        <v>1</v>
      </c>
      <c r="DO365">
        <v>0</v>
      </c>
      <c r="DP365">
        <v>0</v>
      </c>
      <c r="DQ365">
        <v>0</v>
      </c>
      <c r="DR365">
        <v>0</v>
      </c>
      <c r="DS365">
        <v>0</v>
      </c>
    </row>
    <row r="366" spans="1:123" x14ac:dyDescent="0.3">
      <c r="A366" t="str">
        <f>"10/04/2022 19:26:40.529"</f>
        <v>10/04/2022 19:26:40.529</v>
      </c>
      <c r="C366" t="str">
        <f t="shared" si="121"/>
        <v>FFDFD3C0</v>
      </c>
      <c r="D366" t="s">
        <v>123</v>
      </c>
      <c r="E366">
        <v>7</v>
      </c>
      <c r="F366">
        <v>2007</v>
      </c>
      <c r="G366" t="s">
        <v>124</v>
      </c>
      <c r="J366" t="s">
        <v>125</v>
      </c>
      <c r="K366">
        <v>0</v>
      </c>
      <c r="L366">
        <v>3</v>
      </c>
      <c r="M366">
        <v>0</v>
      </c>
      <c r="N366">
        <v>2</v>
      </c>
      <c r="O366">
        <v>0</v>
      </c>
      <c r="P366">
        <v>1</v>
      </c>
      <c r="Q366">
        <v>0</v>
      </c>
      <c r="S366" t="str">
        <f t="shared" si="134"/>
        <v>19:26:40.000</v>
      </c>
      <c r="T366" t="str">
        <f t="shared" si="134"/>
        <v>19:26:40.000</v>
      </c>
      <c r="U366" t="str">
        <f t="shared" si="122"/>
        <v>AC3944</v>
      </c>
      <c r="V366">
        <v>0</v>
      </c>
      <c r="W366">
        <v>0</v>
      </c>
      <c r="X366">
        <v>2</v>
      </c>
      <c r="Y366">
        <v>0</v>
      </c>
      <c r="AA366">
        <v>1</v>
      </c>
      <c r="AB366">
        <v>8</v>
      </c>
      <c r="AC366">
        <v>3</v>
      </c>
      <c r="AD366">
        <v>0</v>
      </c>
      <c r="AE366">
        <v>9</v>
      </c>
      <c r="AF366" t="s">
        <v>138</v>
      </c>
      <c r="AG366">
        <v>0</v>
      </c>
      <c r="AH366">
        <v>3</v>
      </c>
      <c r="AI366">
        <v>1</v>
      </c>
      <c r="AJ366">
        <v>0</v>
      </c>
      <c r="AK366" t="s">
        <v>262</v>
      </c>
      <c r="AL366">
        <v>32.819916999999997</v>
      </c>
      <c r="AM366" t="s">
        <v>263</v>
      </c>
      <c r="AN366">
        <v>-116.997013</v>
      </c>
      <c r="AO366">
        <v>25</v>
      </c>
      <c r="AP366">
        <v>1800</v>
      </c>
      <c r="AQ366" t="s">
        <v>129</v>
      </c>
      <c r="AR366">
        <v>80</v>
      </c>
      <c r="AS366">
        <v>-88</v>
      </c>
      <c r="AT366">
        <v>896</v>
      </c>
      <c r="BB366">
        <v>1200</v>
      </c>
      <c r="BC366">
        <v>1</v>
      </c>
      <c r="BD366" t="str">
        <f t="shared" si="123"/>
        <v xml:space="preserve">N887QR  </v>
      </c>
      <c r="BE366">
        <v>1</v>
      </c>
      <c r="BG366">
        <v>0</v>
      </c>
      <c r="BH366">
        <v>0</v>
      </c>
      <c r="BI366">
        <v>0</v>
      </c>
      <c r="BJ366">
        <v>1475</v>
      </c>
      <c r="BK366">
        <v>-325</v>
      </c>
      <c r="BL366" t="s">
        <v>163</v>
      </c>
      <c r="BM366">
        <v>1</v>
      </c>
      <c r="BN366">
        <v>1</v>
      </c>
      <c r="BO366">
        <v>1</v>
      </c>
      <c r="BP366">
        <v>0</v>
      </c>
      <c r="BS366">
        <v>0</v>
      </c>
      <c r="BT366">
        <v>0</v>
      </c>
      <c r="BU366">
        <v>0</v>
      </c>
      <c r="CE366" t="str">
        <f>"19:26:40.314"</f>
        <v>19:26:40.314</v>
      </c>
      <c r="CF366">
        <v>313776491</v>
      </c>
      <c r="CS366">
        <v>3</v>
      </c>
      <c r="CT366">
        <v>2</v>
      </c>
      <c r="CU366">
        <v>0</v>
      </c>
      <c r="CV366">
        <v>2</v>
      </c>
      <c r="CW366">
        <v>0</v>
      </c>
      <c r="CX366">
        <v>4</v>
      </c>
      <c r="CY366">
        <v>7</v>
      </c>
      <c r="CZ366" t="s">
        <v>131</v>
      </c>
      <c r="DA366">
        <v>292</v>
      </c>
      <c r="DB366">
        <v>0</v>
      </c>
      <c r="DC366" t="s">
        <v>254</v>
      </c>
      <c r="DD366" t="s">
        <v>255</v>
      </c>
      <c r="DG366">
        <v>3365180</v>
      </c>
      <c r="DI366">
        <v>0</v>
      </c>
      <c r="DJ366">
        <v>0</v>
      </c>
      <c r="DK366">
        <v>1</v>
      </c>
      <c r="DL366">
        <v>0</v>
      </c>
      <c r="DM366">
        <v>0</v>
      </c>
      <c r="DN366">
        <v>1</v>
      </c>
      <c r="DO366">
        <v>0</v>
      </c>
      <c r="DP366">
        <v>0</v>
      </c>
      <c r="DQ366">
        <v>0</v>
      </c>
      <c r="DR366">
        <v>0</v>
      </c>
      <c r="DS366">
        <v>0</v>
      </c>
    </row>
    <row r="367" spans="1:123" x14ac:dyDescent="0.3">
      <c r="A367" t="str">
        <f>"10/04/2022 19:26:40.529"</f>
        <v>10/04/2022 19:26:40.529</v>
      </c>
      <c r="C367" t="str">
        <f t="shared" si="121"/>
        <v>FFDFD3C0</v>
      </c>
      <c r="D367" t="s">
        <v>134</v>
      </c>
      <c r="E367">
        <v>15</v>
      </c>
      <c r="J367" t="s">
        <v>135</v>
      </c>
      <c r="K367">
        <v>0</v>
      </c>
      <c r="L367">
        <v>3</v>
      </c>
      <c r="M367">
        <v>0</v>
      </c>
      <c r="N367">
        <v>2</v>
      </c>
      <c r="O367">
        <v>0</v>
      </c>
      <c r="P367">
        <v>1</v>
      </c>
      <c r="Q367">
        <v>0</v>
      </c>
      <c r="S367" t="str">
        <f t="shared" si="134"/>
        <v>19:26:40.000</v>
      </c>
      <c r="T367" t="str">
        <f t="shared" si="134"/>
        <v>19:26:40.000</v>
      </c>
      <c r="U367" t="str">
        <f t="shared" si="122"/>
        <v>AC3944</v>
      </c>
      <c r="V367">
        <v>0</v>
      </c>
      <c r="W367">
        <v>0</v>
      </c>
      <c r="X367">
        <v>2</v>
      </c>
      <c r="Y367">
        <v>0</v>
      </c>
      <c r="AA367">
        <v>1</v>
      </c>
      <c r="AB367">
        <v>8</v>
      </c>
      <c r="AC367">
        <v>3</v>
      </c>
      <c r="AD367">
        <v>0</v>
      </c>
      <c r="AE367">
        <v>9</v>
      </c>
      <c r="AF367" t="s">
        <v>138</v>
      </c>
      <c r="AG367">
        <v>0</v>
      </c>
      <c r="AH367">
        <v>3</v>
      </c>
      <c r="AI367">
        <v>1</v>
      </c>
      <c r="AJ367">
        <v>0</v>
      </c>
      <c r="AK367" t="s">
        <v>262</v>
      </c>
      <c r="AL367">
        <v>32.819916999999997</v>
      </c>
      <c r="AM367" t="s">
        <v>263</v>
      </c>
      <c r="AN367">
        <v>-116.997013</v>
      </c>
      <c r="AO367">
        <v>25</v>
      </c>
      <c r="AP367">
        <v>1800</v>
      </c>
      <c r="AQ367" t="s">
        <v>129</v>
      </c>
      <c r="AR367">
        <v>80</v>
      </c>
      <c r="AS367">
        <v>-88</v>
      </c>
      <c r="AT367">
        <v>896</v>
      </c>
      <c r="BB367">
        <v>1200</v>
      </c>
      <c r="BC367">
        <v>1</v>
      </c>
      <c r="BD367" t="str">
        <f t="shared" si="123"/>
        <v xml:space="preserve">N887QR  </v>
      </c>
      <c r="BE367">
        <v>1</v>
      </c>
      <c r="BG367">
        <v>0</v>
      </c>
      <c r="BH367">
        <v>0</v>
      </c>
      <c r="BI367">
        <v>0</v>
      </c>
      <c r="BJ367">
        <v>1475</v>
      </c>
      <c r="BK367">
        <v>-325</v>
      </c>
      <c r="BL367" t="s">
        <v>163</v>
      </c>
      <c r="BM367">
        <v>1</v>
      </c>
      <c r="BN367">
        <v>1</v>
      </c>
      <c r="BO367">
        <v>1</v>
      </c>
      <c r="BP367">
        <v>0</v>
      </c>
      <c r="BS367">
        <v>0</v>
      </c>
      <c r="BT367">
        <v>0</v>
      </c>
      <c r="BU367">
        <v>0</v>
      </c>
      <c r="CE367" t="str">
        <f>"19:26:40.314"</f>
        <v>19:26:40.314</v>
      </c>
      <c r="CF367">
        <v>313776491</v>
      </c>
      <c r="CS367">
        <v>3</v>
      </c>
      <c r="CT367">
        <v>2</v>
      </c>
      <c r="CU367">
        <v>0</v>
      </c>
      <c r="CV367">
        <v>2</v>
      </c>
      <c r="CW367">
        <v>0</v>
      </c>
      <c r="CX367">
        <v>4</v>
      </c>
      <c r="CY367">
        <v>7</v>
      </c>
      <c r="CZ367" t="s">
        <v>131</v>
      </c>
      <c r="DA367">
        <v>292</v>
      </c>
      <c r="DB367">
        <v>0</v>
      </c>
      <c r="DC367" t="s">
        <v>254</v>
      </c>
      <c r="DD367" t="s">
        <v>255</v>
      </c>
      <c r="DG367">
        <v>3365180</v>
      </c>
      <c r="DI367">
        <v>0</v>
      </c>
      <c r="DJ367">
        <v>0</v>
      </c>
      <c r="DK367">
        <v>1</v>
      </c>
      <c r="DL367">
        <v>0</v>
      </c>
      <c r="DM367">
        <v>0</v>
      </c>
      <c r="DN367">
        <v>1</v>
      </c>
      <c r="DO367">
        <v>0</v>
      </c>
      <c r="DP367">
        <v>0</v>
      </c>
      <c r="DQ367">
        <v>0</v>
      </c>
      <c r="DR367">
        <v>0</v>
      </c>
      <c r="DS367">
        <v>0</v>
      </c>
    </row>
    <row r="368" spans="1:123" x14ac:dyDescent="0.3">
      <c r="A368" t="str">
        <f>"10/04/2022 19:26:40.592"</f>
        <v>10/04/2022 19:26:40.592</v>
      </c>
      <c r="C368" t="str">
        <f t="shared" si="121"/>
        <v>FFDFD3C0</v>
      </c>
      <c r="D368" t="s">
        <v>136</v>
      </c>
      <c r="E368">
        <v>8</v>
      </c>
      <c r="H368">
        <v>225</v>
      </c>
      <c r="I368" t="s">
        <v>137</v>
      </c>
      <c r="J368" t="s">
        <v>138</v>
      </c>
      <c r="K368">
        <v>0</v>
      </c>
      <c r="L368">
        <v>3</v>
      </c>
      <c r="M368">
        <v>0</v>
      </c>
      <c r="N368">
        <v>2</v>
      </c>
      <c r="O368">
        <v>0</v>
      </c>
      <c r="P368">
        <v>1</v>
      </c>
      <c r="Q368">
        <v>0</v>
      </c>
      <c r="S368" t="str">
        <f t="shared" si="134"/>
        <v>19:26:40.000</v>
      </c>
      <c r="T368" t="str">
        <f t="shared" si="134"/>
        <v>19:26:40.000</v>
      </c>
      <c r="U368" t="str">
        <f t="shared" si="122"/>
        <v>AC3944</v>
      </c>
      <c r="V368">
        <v>0</v>
      </c>
      <c r="W368">
        <v>0</v>
      </c>
      <c r="X368">
        <v>2</v>
      </c>
      <c r="Y368">
        <v>0</v>
      </c>
      <c r="AA368">
        <v>1</v>
      </c>
      <c r="AB368">
        <v>8</v>
      </c>
      <c r="AC368">
        <v>3</v>
      </c>
      <c r="AD368">
        <v>0</v>
      </c>
      <c r="AE368">
        <v>9</v>
      </c>
      <c r="AF368" t="s">
        <v>138</v>
      </c>
      <c r="AG368">
        <v>0</v>
      </c>
      <c r="AH368">
        <v>3</v>
      </c>
      <c r="AI368">
        <v>1</v>
      </c>
      <c r="AJ368">
        <v>0</v>
      </c>
      <c r="AK368" t="s">
        <v>262</v>
      </c>
      <c r="AL368">
        <v>32.819916999999997</v>
      </c>
      <c r="AM368" t="s">
        <v>263</v>
      </c>
      <c r="AN368">
        <v>-116.997013</v>
      </c>
      <c r="AO368">
        <v>25</v>
      </c>
      <c r="AP368">
        <v>1800</v>
      </c>
      <c r="AQ368" t="s">
        <v>129</v>
      </c>
      <c r="AR368">
        <v>80</v>
      </c>
      <c r="AS368">
        <v>-88</v>
      </c>
      <c r="AT368">
        <v>896</v>
      </c>
      <c r="BB368">
        <v>1200</v>
      </c>
      <c r="BC368">
        <v>1</v>
      </c>
      <c r="BD368" t="str">
        <f t="shared" si="123"/>
        <v xml:space="preserve">N887QR  </v>
      </c>
      <c r="BE368">
        <v>1</v>
      </c>
      <c r="BG368">
        <v>0</v>
      </c>
      <c r="BH368">
        <v>0</v>
      </c>
      <c r="BI368">
        <v>0</v>
      </c>
      <c r="BJ368">
        <v>1475</v>
      </c>
      <c r="BK368">
        <v>-325</v>
      </c>
      <c r="BL368" t="s">
        <v>163</v>
      </c>
      <c r="BM368">
        <v>1</v>
      </c>
      <c r="BN368">
        <v>1</v>
      </c>
      <c r="BO368">
        <v>1</v>
      </c>
      <c r="BP368">
        <v>0</v>
      </c>
      <c r="BS368">
        <v>0</v>
      </c>
      <c r="BT368">
        <v>0</v>
      </c>
      <c r="BU368">
        <v>0</v>
      </c>
      <c r="CE368" t="str">
        <f>"19:26:40.313"</f>
        <v>19:26:40.313</v>
      </c>
      <c r="CF368">
        <v>313178001</v>
      </c>
      <c r="CS368">
        <v>3</v>
      </c>
      <c r="CT368">
        <v>2</v>
      </c>
      <c r="CU368">
        <v>0</v>
      </c>
      <c r="CV368">
        <v>2</v>
      </c>
      <c r="CW368">
        <v>0</v>
      </c>
      <c r="CX368">
        <v>1</v>
      </c>
      <c r="CY368">
        <v>7</v>
      </c>
      <c r="CZ368" t="s">
        <v>131</v>
      </c>
      <c r="DA368">
        <v>286</v>
      </c>
      <c r="DB368">
        <v>0</v>
      </c>
      <c r="DC368" t="s">
        <v>132</v>
      </c>
      <c r="DD368" t="s">
        <v>133</v>
      </c>
      <c r="DG368">
        <v>791728</v>
      </c>
      <c r="DI368">
        <v>0</v>
      </c>
      <c r="DJ368">
        <v>0</v>
      </c>
      <c r="DK368">
        <v>1</v>
      </c>
      <c r="DL368">
        <v>0</v>
      </c>
      <c r="DM368">
        <v>0</v>
      </c>
      <c r="DN368">
        <v>1</v>
      </c>
      <c r="DO368">
        <v>0</v>
      </c>
      <c r="DP368">
        <v>0</v>
      </c>
      <c r="DQ368">
        <v>0</v>
      </c>
      <c r="DR368">
        <v>0</v>
      </c>
      <c r="DS368">
        <v>0</v>
      </c>
    </row>
    <row r="369" spans="1:123" x14ac:dyDescent="0.3">
      <c r="A369" t="str">
        <f>"10/04/2022 19:26:40.592"</f>
        <v>10/04/2022 19:26:40.592</v>
      </c>
      <c r="C369" t="str">
        <f t="shared" si="121"/>
        <v>FFDFD3C0</v>
      </c>
      <c r="D369" t="s">
        <v>147</v>
      </c>
      <c r="E369">
        <v>3</v>
      </c>
      <c r="H369">
        <v>166</v>
      </c>
      <c r="I369" t="s">
        <v>144</v>
      </c>
      <c r="J369" t="s">
        <v>148</v>
      </c>
      <c r="K369">
        <v>0</v>
      </c>
      <c r="L369">
        <v>3</v>
      </c>
      <c r="M369">
        <v>0</v>
      </c>
      <c r="N369">
        <v>2</v>
      </c>
      <c r="O369">
        <v>0</v>
      </c>
      <c r="P369">
        <v>1</v>
      </c>
      <c r="Q369">
        <v>0</v>
      </c>
      <c r="S369" t="str">
        <f t="shared" si="134"/>
        <v>19:26:40.000</v>
      </c>
      <c r="T369" t="str">
        <f t="shared" si="134"/>
        <v>19:26:40.000</v>
      </c>
      <c r="U369" t="str">
        <f t="shared" si="122"/>
        <v>AC3944</v>
      </c>
      <c r="V369">
        <v>0</v>
      </c>
      <c r="W369">
        <v>0</v>
      </c>
      <c r="X369">
        <v>2</v>
      </c>
      <c r="Y369">
        <v>0</v>
      </c>
      <c r="AA369">
        <v>1</v>
      </c>
      <c r="AB369">
        <v>8</v>
      </c>
      <c r="AC369">
        <v>3</v>
      </c>
      <c r="AD369">
        <v>0</v>
      </c>
      <c r="AE369">
        <v>9</v>
      </c>
      <c r="AF369" t="s">
        <v>138</v>
      </c>
      <c r="AG369">
        <v>0</v>
      </c>
      <c r="AH369">
        <v>3</v>
      </c>
      <c r="AI369">
        <v>1</v>
      </c>
      <c r="AJ369">
        <v>0</v>
      </c>
      <c r="AK369" t="s">
        <v>262</v>
      </c>
      <c r="AL369">
        <v>32.819916999999997</v>
      </c>
      <c r="AM369" t="s">
        <v>263</v>
      </c>
      <c r="AN369">
        <v>-116.997013</v>
      </c>
      <c r="AO369">
        <v>25</v>
      </c>
      <c r="AP369">
        <v>1800</v>
      </c>
      <c r="AQ369" t="s">
        <v>129</v>
      </c>
      <c r="AR369">
        <v>80</v>
      </c>
      <c r="AS369">
        <v>-88</v>
      </c>
      <c r="AT369">
        <v>896</v>
      </c>
      <c r="BB369">
        <v>1200</v>
      </c>
      <c r="BC369">
        <v>1</v>
      </c>
      <c r="BD369" t="str">
        <f t="shared" si="123"/>
        <v xml:space="preserve">N887QR  </v>
      </c>
      <c r="BE369">
        <v>1</v>
      </c>
      <c r="BG369">
        <v>0</v>
      </c>
      <c r="BH369">
        <v>0</v>
      </c>
      <c r="BI369">
        <v>0</v>
      </c>
      <c r="BJ369">
        <v>1475</v>
      </c>
      <c r="BK369">
        <v>-325</v>
      </c>
      <c r="BL369" t="s">
        <v>163</v>
      </c>
      <c r="BM369">
        <v>1</v>
      </c>
      <c r="BN369">
        <v>1</v>
      </c>
      <c r="BO369">
        <v>1</v>
      </c>
      <c r="BP369">
        <v>0</v>
      </c>
      <c r="BS369">
        <v>0</v>
      </c>
      <c r="BT369">
        <v>0</v>
      </c>
      <c r="BU369">
        <v>0</v>
      </c>
      <c r="CE369" t="str">
        <f>"19:26:40.314"</f>
        <v>19:26:40.314</v>
      </c>
      <c r="CF369">
        <v>313776491</v>
      </c>
      <c r="CS369">
        <v>3</v>
      </c>
      <c r="CT369">
        <v>2</v>
      </c>
      <c r="CU369">
        <v>0</v>
      </c>
      <c r="CV369">
        <v>2</v>
      </c>
      <c r="CW369">
        <v>0</v>
      </c>
      <c r="CX369">
        <v>4</v>
      </c>
      <c r="CY369">
        <v>7</v>
      </c>
      <c r="CZ369" t="s">
        <v>131</v>
      </c>
      <c r="DA369">
        <v>292</v>
      </c>
      <c r="DB369">
        <v>0</v>
      </c>
      <c r="DC369" t="s">
        <v>254</v>
      </c>
      <c r="DD369" t="s">
        <v>255</v>
      </c>
      <c r="DG369">
        <v>3365180</v>
      </c>
      <c r="DI369">
        <v>0</v>
      </c>
      <c r="DJ369">
        <v>0</v>
      </c>
      <c r="DK369">
        <v>1</v>
      </c>
      <c r="DL369">
        <v>0</v>
      </c>
      <c r="DM369">
        <v>0</v>
      </c>
      <c r="DN369">
        <v>1</v>
      </c>
      <c r="DO369">
        <v>0</v>
      </c>
      <c r="DP369">
        <v>0</v>
      </c>
      <c r="DQ369">
        <v>0</v>
      </c>
      <c r="DR369">
        <v>0</v>
      </c>
      <c r="DS369">
        <v>0</v>
      </c>
    </row>
    <row r="370" spans="1:123" x14ac:dyDescent="0.3">
      <c r="A370" t="str">
        <f>"10/04/2022 19:26:41.337"</f>
        <v>10/04/2022 19:26:41.337</v>
      </c>
      <c r="C370" t="str">
        <f t="shared" si="121"/>
        <v>FFDFD3C0</v>
      </c>
      <c r="D370" t="s">
        <v>123</v>
      </c>
      <c r="E370">
        <v>7</v>
      </c>
      <c r="F370">
        <v>2007</v>
      </c>
      <c r="G370" t="s">
        <v>124</v>
      </c>
      <c r="J370" t="s">
        <v>125</v>
      </c>
      <c r="K370">
        <v>0</v>
      </c>
      <c r="L370">
        <v>3</v>
      </c>
      <c r="M370">
        <v>0</v>
      </c>
      <c r="N370">
        <v>2</v>
      </c>
      <c r="O370">
        <v>0</v>
      </c>
      <c r="P370">
        <v>1</v>
      </c>
      <c r="Q370">
        <v>0</v>
      </c>
      <c r="S370" t="str">
        <f t="shared" ref="S370:T376" si="135">"19:26:41.000"</f>
        <v>19:26:41.000</v>
      </c>
      <c r="T370" t="str">
        <f t="shared" si="135"/>
        <v>19:26:41.000</v>
      </c>
      <c r="U370" t="str">
        <f t="shared" si="122"/>
        <v>AC3944</v>
      </c>
      <c r="V370">
        <v>0</v>
      </c>
      <c r="W370">
        <v>0</v>
      </c>
      <c r="X370">
        <v>2</v>
      </c>
      <c r="Y370">
        <v>0</v>
      </c>
      <c r="AA370">
        <v>1</v>
      </c>
      <c r="AB370">
        <v>8</v>
      </c>
      <c r="AC370">
        <v>3</v>
      </c>
      <c r="AD370">
        <v>0</v>
      </c>
      <c r="AE370">
        <v>9</v>
      </c>
      <c r="AF370" t="s">
        <v>138</v>
      </c>
      <c r="AG370">
        <v>0</v>
      </c>
      <c r="AH370">
        <v>3</v>
      </c>
      <c r="AI370">
        <v>1</v>
      </c>
      <c r="AJ370">
        <v>0</v>
      </c>
      <c r="AK370" t="s">
        <v>264</v>
      </c>
      <c r="AL370">
        <v>32.819595</v>
      </c>
      <c r="AM370" t="s">
        <v>265</v>
      </c>
      <c r="AN370">
        <v>-116.99664799999999</v>
      </c>
      <c r="AO370">
        <v>25</v>
      </c>
      <c r="AP370">
        <v>1800</v>
      </c>
      <c r="AQ370" t="s">
        <v>129</v>
      </c>
      <c r="AR370">
        <v>89</v>
      </c>
      <c r="AS370">
        <v>-82</v>
      </c>
      <c r="AT370">
        <v>896</v>
      </c>
      <c r="BB370">
        <v>1200</v>
      </c>
      <c r="BC370">
        <v>1</v>
      </c>
      <c r="BD370" t="str">
        <f t="shared" si="123"/>
        <v xml:space="preserve">N887QR  </v>
      </c>
      <c r="BE370">
        <v>1</v>
      </c>
      <c r="BG370">
        <v>0</v>
      </c>
      <c r="BH370">
        <v>0</v>
      </c>
      <c r="BI370">
        <v>0</v>
      </c>
      <c r="BJ370">
        <v>1500</v>
      </c>
      <c r="BK370">
        <v>-300</v>
      </c>
      <c r="BL370" t="s">
        <v>163</v>
      </c>
      <c r="BM370">
        <v>1</v>
      </c>
      <c r="BN370">
        <v>1</v>
      </c>
      <c r="BO370">
        <v>1</v>
      </c>
      <c r="BP370">
        <v>0</v>
      </c>
      <c r="BS370">
        <v>0</v>
      </c>
      <c r="BT370">
        <v>0</v>
      </c>
      <c r="BU370">
        <v>0</v>
      </c>
      <c r="CE370" t="str">
        <f t="shared" ref="CE370:CE376" si="136">"19:26:41.137"</f>
        <v>19:26:41.137</v>
      </c>
      <c r="CF370">
        <v>137180548</v>
      </c>
      <c r="CS370">
        <v>3</v>
      </c>
      <c r="CT370">
        <v>2</v>
      </c>
      <c r="CU370">
        <v>0</v>
      </c>
      <c r="CV370">
        <v>2</v>
      </c>
      <c r="CW370">
        <v>0</v>
      </c>
      <c r="CX370">
        <v>3</v>
      </c>
      <c r="CY370">
        <v>7</v>
      </c>
      <c r="CZ370" t="s">
        <v>131</v>
      </c>
      <c r="DA370">
        <v>286</v>
      </c>
      <c r="DB370">
        <v>0</v>
      </c>
      <c r="DC370" t="s">
        <v>132</v>
      </c>
      <c r="DD370" t="s">
        <v>133</v>
      </c>
      <c r="DG370">
        <v>791910</v>
      </c>
      <c r="DI370">
        <v>1</v>
      </c>
      <c r="DJ370">
        <v>0</v>
      </c>
      <c r="DK370">
        <v>0</v>
      </c>
      <c r="DL370">
        <v>0</v>
      </c>
      <c r="DM370">
        <v>0</v>
      </c>
      <c r="DN370">
        <v>1</v>
      </c>
      <c r="DO370">
        <v>0</v>
      </c>
      <c r="DP370">
        <v>0</v>
      </c>
      <c r="DQ370">
        <v>0</v>
      </c>
      <c r="DR370">
        <v>0</v>
      </c>
      <c r="DS370">
        <v>0</v>
      </c>
    </row>
    <row r="371" spans="1:123" x14ac:dyDescent="0.3">
      <c r="A371" t="str">
        <f>"10/04/2022 19:26:41.337"</f>
        <v>10/04/2022 19:26:41.337</v>
      </c>
      <c r="C371" t="str">
        <f t="shared" si="121"/>
        <v>FFDFD3C0</v>
      </c>
      <c r="D371" t="s">
        <v>141</v>
      </c>
      <c r="E371">
        <v>3</v>
      </c>
      <c r="H371">
        <v>3</v>
      </c>
      <c r="I371" t="s">
        <v>146</v>
      </c>
      <c r="J371" t="s">
        <v>138</v>
      </c>
      <c r="K371">
        <v>0</v>
      </c>
      <c r="L371">
        <v>3</v>
      </c>
      <c r="M371">
        <v>0</v>
      </c>
      <c r="N371">
        <v>2</v>
      </c>
      <c r="O371">
        <v>0</v>
      </c>
      <c r="P371">
        <v>1</v>
      </c>
      <c r="Q371">
        <v>0</v>
      </c>
      <c r="S371" t="str">
        <f t="shared" si="135"/>
        <v>19:26:41.000</v>
      </c>
      <c r="T371" t="str">
        <f t="shared" si="135"/>
        <v>19:26:41.000</v>
      </c>
      <c r="U371" t="str">
        <f t="shared" si="122"/>
        <v>AC3944</v>
      </c>
      <c r="V371">
        <v>0</v>
      </c>
      <c r="W371">
        <v>0</v>
      </c>
      <c r="X371">
        <v>2</v>
      </c>
      <c r="Y371">
        <v>0</v>
      </c>
      <c r="AA371">
        <v>1</v>
      </c>
      <c r="AB371">
        <v>8</v>
      </c>
      <c r="AC371">
        <v>3</v>
      </c>
      <c r="AD371">
        <v>0</v>
      </c>
      <c r="AE371">
        <v>9</v>
      </c>
      <c r="AF371" t="s">
        <v>138</v>
      </c>
      <c r="AG371">
        <v>0</v>
      </c>
      <c r="AH371">
        <v>3</v>
      </c>
      <c r="AI371">
        <v>1</v>
      </c>
      <c r="AJ371">
        <v>0</v>
      </c>
      <c r="AK371" t="s">
        <v>264</v>
      </c>
      <c r="AL371">
        <v>32.819595</v>
      </c>
      <c r="AM371" t="s">
        <v>265</v>
      </c>
      <c r="AN371">
        <v>-116.99664799999999</v>
      </c>
      <c r="AO371">
        <v>25</v>
      </c>
      <c r="AP371">
        <v>1800</v>
      </c>
      <c r="AQ371" t="s">
        <v>129</v>
      </c>
      <c r="AR371">
        <v>89</v>
      </c>
      <c r="AS371">
        <v>-82</v>
      </c>
      <c r="AT371">
        <v>896</v>
      </c>
      <c r="BB371">
        <v>1200</v>
      </c>
      <c r="BC371">
        <v>1</v>
      </c>
      <c r="BD371" t="str">
        <f t="shared" si="123"/>
        <v xml:space="preserve">N887QR  </v>
      </c>
      <c r="BE371">
        <v>1</v>
      </c>
      <c r="BG371">
        <v>0</v>
      </c>
      <c r="BH371">
        <v>0</v>
      </c>
      <c r="BI371">
        <v>0</v>
      </c>
      <c r="BJ371">
        <v>1500</v>
      </c>
      <c r="BK371">
        <v>-300</v>
      </c>
      <c r="BL371" t="s">
        <v>163</v>
      </c>
      <c r="BM371">
        <v>1</v>
      </c>
      <c r="BN371">
        <v>1</v>
      </c>
      <c r="BO371">
        <v>1</v>
      </c>
      <c r="BP371">
        <v>0</v>
      </c>
      <c r="BS371">
        <v>0</v>
      </c>
      <c r="BT371">
        <v>0</v>
      </c>
      <c r="BU371">
        <v>0</v>
      </c>
      <c r="CE371" t="str">
        <f t="shared" si="136"/>
        <v>19:26:41.137</v>
      </c>
      <c r="CF371">
        <v>137180548</v>
      </c>
      <c r="CS371">
        <v>3</v>
      </c>
      <c r="CT371">
        <v>2</v>
      </c>
      <c r="CU371">
        <v>0</v>
      </c>
      <c r="CV371">
        <v>2</v>
      </c>
      <c r="CW371">
        <v>0</v>
      </c>
      <c r="CX371">
        <v>3</v>
      </c>
      <c r="CY371">
        <v>7</v>
      </c>
      <c r="CZ371" t="s">
        <v>131</v>
      </c>
      <c r="DA371">
        <v>286</v>
      </c>
      <c r="DB371">
        <v>0</v>
      </c>
      <c r="DC371" t="s">
        <v>132</v>
      </c>
      <c r="DD371" t="s">
        <v>133</v>
      </c>
      <c r="DG371">
        <v>791910</v>
      </c>
      <c r="DI371">
        <v>1</v>
      </c>
      <c r="DJ371">
        <v>0</v>
      </c>
      <c r="DK371">
        <v>1</v>
      </c>
      <c r="DL371">
        <v>0</v>
      </c>
      <c r="DM371">
        <v>0</v>
      </c>
      <c r="DN371">
        <v>1</v>
      </c>
      <c r="DO371">
        <v>0</v>
      </c>
      <c r="DP371">
        <v>0</v>
      </c>
      <c r="DQ371">
        <v>0</v>
      </c>
      <c r="DR371">
        <v>0</v>
      </c>
      <c r="DS371">
        <v>0</v>
      </c>
    </row>
    <row r="372" spans="1:123" x14ac:dyDescent="0.3">
      <c r="A372" t="str">
        <f>"10/04/2022 19:26:41.337"</f>
        <v>10/04/2022 19:26:41.337</v>
      </c>
      <c r="C372" t="str">
        <f t="shared" si="121"/>
        <v>FFDFD3C0</v>
      </c>
      <c r="D372" t="s">
        <v>134</v>
      </c>
      <c r="E372">
        <v>15</v>
      </c>
      <c r="J372" t="s">
        <v>135</v>
      </c>
      <c r="K372">
        <v>0</v>
      </c>
      <c r="L372">
        <v>3</v>
      </c>
      <c r="M372">
        <v>0</v>
      </c>
      <c r="N372">
        <v>2</v>
      </c>
      <c r="O372">
        <v>0</v>
      </c>
      <c r="P372">
        <v>1</v>
      </c>
      <c r="Q372">
        <v>0</v>
      </c>
      <c r="S372" t="str">
        <f t="shared" si="135"/>
        <v>19:26:41.000</v>
      </c>
      <c r="T372" t="str">
        <f t="shared" si="135"/>
        <v>19:26:41.000</v>
      </c>
      <c r="U372" t="str">
        <f t="shared" si="122"/>
        <v>AC3944</v>
      </c>
      <c r="V372">
        <v>0</v>
      </c>
      <c r="W372">
        <v>0</v>
      </c>
      <c r="X372">
        <v>2</v>
      </c>
      <c r="Y372">
        <v>0</v>
      </c>
      <c r="AA372">
        <v>1</v>
      </c>
      <c r="AB372">
        <v>8</v>
      </c>
      <c r="AC372">
        <v>3</v>
      </c>
      <c r="AD372">
        <v>0</v>
      </c>
      <c r="AE372">
        <v>9</v>
      </c>
      <c r="AF372" t="s">
        <v>138</v>
      </c>
      <c r="AG372">
        <v>0</v>
      </c>
      <c r="AH372">
        <v>3</v>
      </c>
      <c r="AI372">
        <v>1</v>
      </c>
      <c r="AJ372">
        <v>0</v>
      </c>
      <c r="AK372" t="s">
        <v>264</v>
      </c>
      <c r="AL372">
        <v>32.819595</v>
      </c>
      <c r="AM372" t="s">
        <v>265</v>
      </c>
      <c r="AN372">
        <v>-116.99664799999999</v>
      </c>
      <c r="AO372">
        <v>25</v>
      </c>
      <c r="AP372">
        <v>1800</v>
      </c>
      <c r="AQ372" t="s">
        <v>129</v>
      </c>
      <c r="AR372">
        <v>89</v>
      </c>
      <c r="AS372">
        <v>-82</v>
      </c>
      <c r="AT372">
        <v>896</v>
      </c>
      <c r="BB372">
        <v>1200</v>
      </c>
      <c r="BC372">
        <v>1</v>
      </c>
      <c r="BD372" t="str">
        <f t="shared" si="123"/>
        <v xml:space="preserve">N887QR  </v>
      </c>
      <c r="BE372">
        <v>1</v>
      </c>
      <c r="BG372">
        <v>0</v>
      </c>
      <c r="BH372">
        <v>0</v>
      </c>
      <c r="BI372">
        <v>0</v>
      </c>
      <c r="BJ372">
        <v>1500</v>
      </c>
      <c r="BK372">
        <v>-300</v>
      </c>
      <c r="BL372" t="s">
        <v>163</v>
      </c>
      <c r="BM372">
        <v>1</v>
      </c>
      <c r="BN372">
        <v>1</v>
      </c>
      <c r="BO372">
        <v>1</v>
      </c>
      <c r="BP372">
        <v>0</v>
      </c>
      <c r="BS372">
        <v>0</v>
      </c>
      <c r="BT372">
        <v>0</v>
      </c>
      <c r="BU372">
        <v>0</v>
      </c>
      <c r="CE372" t="str">
        <f t="shared" si="136"/>
        <v>19:26:41.137</v>
      </c>
      <c r="CF372">
        <v>137180548</v>
      </c>
      <c r="CS372">
        <v>3</v>
      </c>
      <c r="CT372">
        <v>2</v>
      </c>
      <c r="CU372">
        <v>0</v>
      </c>
      <c r="CV372">
        <v>2</v>
      </c>
      <c r="CW372">
        <v>0</v>
      </c>
      <c r="CX372">
        <v>3</v>
      </c>
      <c r="CY372">
        <v>7</v>
      </c>
      <c r="CZ372" t="s">
        <v>131</v>
      </c>
      <c r="DA372">
        <v>286</v>
      </c>
      <c r="DB372">
        <v>0</v>
      </c>
      <c r="DC372" t="s">
        <v>132</v>
      </c>
      <c r="DD372" t="s">
        <v>133</v>
      </c>
      <c r="DG372">
        <v>791910</v>
      </c>
      <c r="DI372">
        <v>1</v>
      </c>
      <c r="DJ372">
        <v>0</v>
      </c>
      <c r="DK372">
        <v>1</v>
      </c>
      <c r="DL372">
        <v>0</v>
      </c>
      <c r="DM372">
        <v>0</v>
      </c>
      <c r="DN372">
        <v>1</v>
      </c>
      <c r="DO372">
        <v>0</v>
      </c>
      <c r="DP372">
        <v>0</v>
      </c>
      <c r="DQ372">
        <v>0</v>
      </c>
      <c r="DR372">
        <v>0</v>
      </c>
      <c r="DS372">
        <v>0</v>
      </c>
    </row>
    <row r="373" spans="1:123" x14ac:dyDescent="0.3">
      <c r="A373" t="str">
        <f>"10/04/2022 19:26:41.384"</f>
        <v>10/04/2022 19:26:41.384</v>
      </c>
      <c r="C373" t="str">
        <f t="shared" si="121"/>
        <v>FFDFD3C0</v>
      </c>
      <c r="D373" t="s">
        <v>136</v>
      </c>
      <c r="E373">
        <v>8</v>
      </c>
      <c r="H373">
        <v>225</v>
      </c>
      <c r="I373" t="s">
        <v>137</v>
      </c>
      <c r="J373" t="s">
        <v>138</v>
      </c>
      <c r="K373">
        <v>0</v>
      </c>
      <c r="L373">
        <v>3</v>
      </c>
      <c r="M373">
        <v>0</v>
      </c>
      <c r="N373">
        <v>2</v>
      </c>
      <c r="O373">
        <v>0</v>
      </c>
      <c r="P373">
        <v>1</v>
      </c>
      <c r="Q373">
        <v>0</v>
      </c>
      <c r="S373" t="str">
        <f t="shared" si="135"/>
        <v>19:26:41.000</v>
      </c>
      <c r="T373" t="str">
        <f t="shared" si="135"/>
        <v>19:26:41.000</v>
      </c>
      <c r="U373" t="str">
        <f t="shared" si="122"/>
        <v>AC3944</v>
      </c>
      <c r="V373">
        <v>0</v>
      </c>
      <c r="W373">
        <v>0</v>
      </c>
      <c r="X373">
        <v>2</v>
      </c>
      <c r="Y373">
        <v>0</v>
      </c>
      <c r="AA373">
        <v>1</v>
      </c>
      <c r="AB373">
        <v>8</v>
      </c>
      <c r="AC373">
        <v>3</v>
      </c>
      <c r="AD373">
        <v>0</v>
      </c>
      <c r="AE373">
        <v>9</v>
      </c>
      <c r="AF373" t="s">
        <v>138</v>
      </c>
      <c r="AG373">
        <v>0</v>
      </c>
      <c r="AH373">
        <v>3</v>
      </c>
      <c r="AI373">
        <v>1</v>
      </c>
      <c r="AJ373">
        <v>0</v>
      </c>
      <c r="AK373" t="s">
        <v>264</v>
      </c>
      <c r="AL373">
        <v>32.819595</v>
      </c>
      <c r="AM373" t="s">
        <v>265</v>
      </c>
      <c r="AN373">
        <v>-116.99664799999999</v>
      </c>
      <c r="AO373">
        <v>25</v>
      </c>
      <c r="AP373">
        <v>1800</v>
      </c>
      <c r="AQ373" t="s">
        <v>129</v>
      </c>
      <c r="AR373">
        <v>89</v>
      </c>
      <c r="AS373">
        <v>-82</v>
      </c>
      <c r="AT373">
        <v>896</v>
      </c>
      <c r="BB373">
        <v>1200</v>
      </c>
      <c r="BC373">
        <v>1</v>
      </c>
      <c r="BD373" t="str">
        <f t="shared" si="123"/>
        <v xml:space="preserve">N887QR  </v>
      </c>
      <c r="BE373">
        <v>1</v>
      </c>
      <c r="BG373">
        <v>0</v>
      </c>
      <c r="BH373">
        <v>0</v>
      </c>
      <c r="BI373">
        <v>0</v>
      </c>
      <c r="BJ373">
        <v>1500</v>
      </c>
      <c r="BK373">
        <v>-300</v>
      </c>
      <c r="BL373" t="s">
        <v>163</v>
      </c>
      <c r="BM373">
        <v>1</v>
      </c>
      <c r="BN373">
        <v>1</v>
      </c>
      <c r="BO373">
        <v>1</v>
      </c>
      <c r="BP373">
        <v>0</v>
      </c>
      <c r="BS373">
        <v>0</v>
      </c>
      <c r="BT373">
        <v>0</v>
      </c>
      <c r="BU373">
        <v>0</v>
      </c>
      <c r="CE373" t="str">
        <f t="shared" si="136"/>
        <v>19:26:41.137</v>
      </c>
      <c r="CF373">
        <v>137180548</v>
      </c>
      <c r="CS373">
        <v>3</v>
      </c>
      <c r="CT373">
        <v>2</v>
      </c>
      <c r="CU373">
        <v>0</v>
      </c>
      <c r="CV373">
        <v>2</v>
      </c>
      <c r="CW373">
        <v>0</v>
      </c>
      <c r="CX373">
        <v>3</v>
      </c>
      <c r="CY373">
        <v>7</v>
      </c>
      <c r="CZ373" t="s">
        <v>131</v>
      </c>
      <c r="DA373">
        <v>286</v>
      </c>
      <c r="DB373">
        <v>0</v>
      </c>
      <c r="DC373" t="s">
        <v>132</v>
      </c>
      <c r="DD373" t="s">
        <v>133</v>
      </c>
      <c r="DG373">
        <v>791910</v>
      </c>
      <c r="DI373">
        <v>1</v>
      </c>
      <c r="DJ373">
        <v>0</v>
      </c>
      <c r="DK373">
        <v>1</v>
      </c>
      <c r="DL373">
        <v>0</v>
      </c>
      <c r="DM373">
        <v>0</v>
      </c>
      <c r="DN373">
        <v>1</v>
      </c>
      <c r="DO373">
        <v>0</v>
      </c>
      <c r="DP373">
        <v>0</v>
      </c>
      <c r="DQ373">
        <v>0</v>
      </c>
      <c r="DR373">
        <v>0</v>
      </c>
      <c r="DS373">
        <v>0</v>
      </c>
    </row>
    <row r="374" spans="1:123" x14ac:dyDescent="0.3">
      <c r="A374" t="str">
        <f>"10/04/2022 19:26:41.384"</f>
        <v>10/04/2022 19:26:41.384</v>
      </c>
      <c r="C374" t="str">
        <f t="shared" si="121"/>
        <v>FFDFD3C0</v>
      </c>
      <c r="D374" t="s">
        <v>147</v>
      </c>
      <c r="E374">
        <v>3</v>
      </c>
      <c r="H374">
        <v>166</v>
      </c>
      <c r="I374" t="s">
        <v>144</v>
      </c>
      <c r="J374" t="s">
        <v>148</v>
      </c>
      <c r="K374">
        <v>0</v>
      </c>
      <c r="L374">
        <v>3</v>
      </c>
      <c r="M374">
        <v>0</v>
      </c>
      <c r="N374">
        <v>2</v>
      </c>
      <c r="O374">
        <v>0</v>
      </c>
      <c r="P374">
        <v>1</v>
      </c>
      <c r="Q374">
        <v>0</v>
      </c>
      <c r="S374" t="str">
        <f t="shared" si="135"/>
        <v>19:26:41.000</v>
      </c>
      <c r="T374" t="str">
        <f t="shared" si="135"/>
        <v>19:26:41.000</v>
      </c>
      <c r="U374" t="str">
        <f t="shared" si="122"/>
        <v>AC3944</v>
      </c>
      <c r="V374">
        <v>0</v>
      </c>
      <c r="W374">
        <v>0</v>
      </c>
      <c r="X374">
        <v>2</v>
      </c>
      <c r="Y374">
        <v>0</v>
      </c>
      <c r="AA374">
        <v>1</v>
      </c>
      <c r="AB374">
        <v>8</v>
      </c>
      <c r="AC374">
        <v>3</v>
      </c>
      <c r="AD374">
        <v>0</v>
      </c>
      <c r="AE374">
        <v>9</v>
      </c>
      <c r="AF374" t="s">
        <v>138</v>
      </c>
      <c r="AG374">
        <v>0</v>
      </c>
      <c r="AH374">
        <v>3</v>
      </c>
      <c r="AI374">
        <v>1</v>
      </c>
      <c r="AJ374">
        <v>0</v>
      </c>
      <c r="AK374" t="s">
        <v>264</v>
      </c>
      <c r="AL374">
        <v>32.819595</v>
      </c>
      <c r="AM374" t="s">
        <v>265</v>
      </c>
      <c r="AN374">
        <v>-116.99664799999999</v>
      </c>
      <c r="AO374">
        <v>25</v>
      </c>
      <c r="AP374">
        <v>1800</v>
      </c>
      <c r="AQ374" t="s">
        <v>129</v>
      </c>
      <c r="AR374">
        <v>89</v>
      </c>
      <c r="AS374">
        <v>-82</v>
      </c>
      <c r="AT374">
        <v>896</v>
      </c>
      <c r="BB374">
        <v>1200</v>
      </c>
      <c r="BC374">
        <v>1</v>
      </c>
      <c r="BD374" t="str">
        <f t="shared" si="123"/>
        <v xml:space="preserve">N887QR  </v>
      </c>
      <c r="BE374">
        <v>1</v>
      </c>
      <c r="BG374">
        <v>0</v>
      </c>
      <c r="BH374">
        <v>0</v>
      </c>
      <c r="BI374">
        <v>0</v>
      </c>
      <c r="BJ374">
        <v>1500</v>
      </c>
      <c r="BK374">
        <v>-300</v>
      </c>
      <c r="BL374" t="s">
        <v>163</v>
      </c>
      <c r="BM374">
        <v>1</v>
      </c>
      <c r="BN374">
        <v>1</v>
      </c>
      <c r="BO374">
        <v>1</v>
      </c>
      <c r="BP374">
        <v>0</v>
      </c>
      <c r="BS374">
        <v>0</v>
      </c>
      <c r="BT374">
        <v>0</v>
      </c>
      <c r="BU374">
        <v>0</v>
      </c>
      <c r="CE374" t="str">
        <f t="shared" si="136"/>
        <v>19:26:41.137</v>
      </c>
      <c r="CF374">
        <v>137180548</v>
      </c>
      <c r="CS374">
        <v>3</v>
      </c>
      <c r="CT374">
        <v>2</v>
      </c>
      <c r="CU374">
        <v>0</v>
      </c>
      <c r="CV374">
        <v>2</v>
      </c>
      <c r="CW374">
        <v>0</v>
      </c>
      <c r="CX374">
        <v>3</v>
      </c>
      <c r="CY374">
        <v>7</v>
      </c>
      <c r="CZ374" t="s">
        <v>131</v>
      </c>
      <c r="DA374">
        <v>286</v>
      </c>
      <c r="DB374">
        <v>0</v>
      </c>
      <c r="DC374" t="s">
        <v>132</v>
      </c>
      <c r="DD374" t="s">
        <v>133</v>
      </c>
      <c r="DG374">
        <v>791910</v>
      </c>
      <c r="DI374">
        <v>1</v>
      </c>
      <c r="DJ374">
        <v>0</v>
      </c>
      <c r="DK374">
        <v>1</v>
      </c>
      <c r="DL374">
        <v>0</v>
      </c>
      <c r="DM374">
        <v>0</v>
      </c>
      <c r="DN374">
        <v>1</v>
      </c>
      <c r="DO374">
        <v>0</v>
      </c>
      <c r="DP374">
        <v>0</v>
      </c>
      <c r="DQ374">
        <v>0</v>
      </c>
      <c r="DR374">
        <v>0</v>
      </c>
      <c r="DS374">
        <v>0</v>
      </c>
    </row>
    <row r="375" spans="1:123" x14ac:dyDescent="0.3">
      <c r="A375" t="str">
        <f>"10/04/2022 19:26:41.384"</f>
        <v>10/04/2022 19:26:41.384</v>
      </c>
      <c r="C375" t="str">
        <f t="shared" si="121"/>
        <v>FFDFD3C0</v>
      </c>
      <c r="D375" t="s">
        <v>143</v>
      </c>
      <c r="E375">
        <v>20</v>
      </c>
      <c r="F375">
        <v>1020</v>
      </c>
      <c r="G375" t="s">
        <v>144</v>
      </c>
      <c r="J375" t="s">
        <v>145</v>
      </c>
      <c r="K375">
        <v>0</v>
      </c>
      <c r="L375">
        <v>3</v>
      </c>
      <c r="M375">
        <v>0</v>
      </c>
      <c r="N375">
        <v>2</v>
      </c>
      <c r="O375">
        <v>0</v>
      </c>
      <c r="P375">
        <v>1</v>
      </c>
      <c r="Q375">
        <v>0</v>
      </c>
      <c r="S375" t="str">
        <f t="shared" si="135"/>
        <v>19:26:41.000</v>
      </c>
      <c r="T375" t="str">
        <f t="shared" si="135"/>
        <v>19:26:41.000</v>
      </c>
      <c r="U375" t="str">
        <f t="shared" si="122"/>
        <v>AC3944</v>
      </c>
      <c r="V375">
        <v>0</v>
      </c>
      <c r="W375">
        <v>0</v>
      </c>
      <c r="X375">
        <v>2</v>
      </c>
      <c r="Y375">
        <v>0</v>
      </c>
      <c r="AA375">
        <v>1</v>
      </c>
      <c r="AB375">
        <v>8</v>
      </c>
      <c r="AC375">
        <v>3</v>
      </c>
      <c r="AD375">
        <v>0</v>
      </c>
      <c r="AE375">
        <v>9</v>
      </c>
      <c r="AF375" t="s">
        <v>138</v>
      </c>
      <c r="AG375">
        <v>0</v>
      </c>
      <c r="AH375">
        <v>3</v>
      </c>
      <c r="AI375">
        <v>1</v>
      </c>
      <c r="AJ375">
        <v>0</v>
      </c>
      <c r="AK375" t="s">
        <v>264</v>
      </c>
      <c r="AL375">
        <v>32.819595</v>
      </c>
      <c r="AM375" t="s">
        <v>265</v>
      </c>
      <c r="AN375">
        <v>-116.99664799999999</v>
      </c>
      <c r="AO375">
        <v>25</v>
      </c>
      <c r="AP375">
        <v>1800</v>
      </c>
      <c r="AQ375" t="s">
        <v>129</v>
      </c>
      <c r="AR375">
        <v>89</v>
      </c>
      <c r="AS375">
        <v>-82</v>
      </c>
      <c r="AT375">
        <v>896</v>
      </c>
      <c r="BB375">
        <v>1200</v>
      </c>
      <c r="BC375">
        <v>1</v>
      </c>
      <c r="BD375" t="str">
        <f t="shared" si="123"/>
        <v xml:space="preserve">N887QR  </v>
      </c>
      <c r="BE375">
        <v>1</v>
      </c>
      <c r="BG375">
        <v>0</v>
      </c>
      <c r="BH375">
        <v>0</v>
      </c>
      <c r="BI375">
        <v>0</v>
      </c>
      <c r="BJ375">
        <v>1500</v>
      </c>
      <c r="BK375">
        <v>-300</v>
      </c>
      <c r="BL375" t="s">
        <v>163</v>
      </c>
      <c r="BM375">
        <v>1</v>
      </c>
      <c r="BN375">
        <v>1</v>
      </c>
      <c r="BO375">
        <v>1</v>
      </c>
      <c r="BP375">
        <v>0</v>
      </c>
      <c r="BS375">
        <v>0</v>
      </c>
      <c r="BT375">
        <v>0</v>
      </c>
      <c r="BU375">
        <v>0</v>
      </c>
      <c r="CE375" t="str">
        <f t="shared" si="136"/>
        <v>19:26:41.137</v>
      </c>
      <c r="CF375">
        <v>137180548</v>
      </c>
      <c r="CS375">
        <v>3</v>
      </c>
      <c r="CT375">
        <v>2</v>
      </c>
      <c r="CU375">
        <v>0</v>
      </c>
      <c r="CV375">
        <v>2</v>
      </c>
      <c r="CW375">
        <v>0</v>
      </c>
      <c r="CX375">
        <v>3</v>
      </c>
      <c r="CY375">
        <v>7</v>
      </c>
      <c r="CZ375" t="s">
        <v>131</v>
      </c>
      <c r="DA375">
        <v>286</v>
      </c>
      <c r="DB375">
        <v>0</v>
      </c>
      <c r="DC375" t="s">
        <v>132</v>
      </c>
      <c r="DD375" t="s">
        <v>133</v>
      </c>
      <c r="DG375">
        <v>791910</v>
      </c>
      <c r="DI375">
        <v>1</v>
      </c>
      <c r="DJ375">
        <v>0</v>
      </c>
      <c r="DK375">
        <v>1</v>
      </c>
      <c r="DL375">
        <v>0</v>
      </c>
      <c r="DM375">
        <v>0</v>
      </c>
      <c r="DN375">
        <v>1</v>
      </c>
      <c r="DO375">
        <v>0</v>
      </c>
      <c r="DP375">
        <v>0</v>
      </c>
      <c r="DQ375">
        <v>0</v>
      </c>
      <c r="DR375">
        <v>0</v>
      </c>
      <c r="DS375">
        <v>0</v>
      </c>
    </row>
    <row r="376" spans="1:123" x14ac:dyDescent="0.3">
      <c r="A376" t="str">
        <f>"10/04/2022 19:26:41.384"</f>
        <v>10/04/2022 19:26:41.384</v>
      </c>
      <c r="C376" t="str">
        <f t="shared" si="121"/>
        <v>FFDFD3C0</v>
      </c>
      <c r="D376" t="s">
        <v>141</v>
      </c>
      <c r="E376">
        <v>4</v>
      </c>
      <c r="H376">
        <v>4</v>
      </c>
      <c r="I376" t="s">
        <v>142</v>
      </c>
      <c r="J376" t="s">
        <v>138</v>
      </c>
      <c r="K376">
        <v>0</v>
      </c>
      <c r="L376">
        <v>3</v>
      </c>
      <c r="M376">
        <v>0</v>
      </c>
      <c r="N376">
        <v>2</v>
      </c>
      <c r="O376">
        <v>0</v>
      </c>
      <c r="P376">
        <v>1</v>
      </c>
      <c r="Q376">
        <v>0</v>
      </c>
      <c r="S376" t="str">
        <f t="shared" si="135"/>
        <v>19:26:41.000</v>
      </c>
      <c r="T376" t="str">
        <f t="shared" si="135"/>
        <v>19:26:41.000</v>
      </c>
      <c r="U376" t="str">
        <f t="shared" si="122"/>
        <v>AC3944</v>
      </c>
      <c r="V376">
        <v>0</v>
      </c>
      <c r="W376">
        <v>0</v>
      </c>
      <c r="X376">
        <v>2</v>
      </c>
      <c r="Y376">
        <v>0</v>
      </c>
      <c r="AA376">
        <v>1</v>
      </c>
      <c r="AB376">
        <v>8</v>
      </c>
      <c r="AC376">
        <v>3</v>
      </c>
      <c r="AD376">
        <v>0</v>
      </c>
      <c r="AE376">
        <v>9</v>
      </c>
      <c r="AF376" t="s">
        <v>138</v>
      </c>
      <c r="AG376">
        <v>0</v>
      </c>
      <c r="AH376">
        <v>3</v>
      </c>
      <c r="AI376">
        <v>1</v>
      </c>
      <c r="AJ376">
        <v>0</v>
      </c>
      <c r="AK376" t="s">
        <v>264</v>
      </c>
      <c r="AL376">
        <v>32.819595</v>
      </c>
      <c r="AM376" t="s">
        <v>265</v>
      </c>
      <c r="AN376">
        <v>-116.99664799999999</v>
      </c>
      <c r="AO376">
        <v>25</v>
      </c>
      <c r="AP376">
        <v>1800</v>
      </c>
      <c r="AQ376" t="s">
        <v>129</v>
      </c>
      <c r="AR376">
        <v>89</v>
      </c>
      <c r="AS376">
        <v>-82</v>
      </c>
      <c r="AT376">
        <v>896</v>
      </c>
      <c r="BB376">
        <v>1200</v>
      </c>
      <c r="BC376">
        <v>1</v>
      </c>
      <c r="BD376" t="str">
        <f t="shared" si="123"/>
        <v xml:space="preserve">N887QR  </v>
      </c>
      <c r="BE376">
        <v>1</v>
      </c>
      <c r="BG376">
        <v>0</v>
      </c>
      <c r="BH376">
        <v>0</v>
      </c>
      <c r="BI376">
        <v>0</v>
      </c>
      <c r="BJ376">
        <v>1500</v>
      </c>
      <c r="BK376">
        <v>-300</v>
      </c>
      <c r="BL376" t="s">
        <v>163</v>
      </c>
      <c r="BM376">
        <v>1</v>
      </c>
      <c r="BN376">
        <v>1</v>
      </c>
      <c r="BO376">
        <v>1</v>
      </c>
      <c r="BP376">
        <v>0</v>
      </c>
      <c r="BS376">
        <v>0</v>
      </c>
      <c r="BT376">
        <v>0</v>
      </c>
      <c r="BU376">
        <v>0</v>
      </c>
      <c r="CE376" t="str">
        <f t="shared" si="136"/>
        <v>19:26:41.137</v>
      </c>
      <c r="CF376">
        <v>137180548</v>
      </c>
      <c r="CS376">
        <v>3</v>
      </c>
      <c r="CT376">
        <v>2</v>
      </c>
      <c r="CU376">
        <v>0</v>
      </c>
      <c r="CV376">
        <v>2</v>
      </c>
      <c r="CW376">
        <v>0</v>
      </c>
      <c r="CX376">
        <v>3</v>
      </c>
      <c r="CY376">
        <v>7</v>
      </c>
      <c r="CZ376" t="s">
        <v>131</v>
      </c>
      <c r="DA376">
        <v>286</v>
      </c>
      <c r="DB376">
        <v>0</v>
      </c>
      <c r="DC376" t="s">
        <v>132</v>
      </c>
      <c r="DD376" t="s">
        <v>133</v>
      </c>
      <c r="DG376">
        <v>791910</v>
      </c>
      <c r="DI376">
        <v>1</v>
      </c>
      <c r="DJ376">
        <v>0</v>
      </c>
      <c r="DK376">
        <v>1</v>
      </c>
      <c r="DL376">
        <v>0</v>
      </c>
      <c r="DM376">
        <v>0</v>
      </c>
      <c r="DN376">
        <v>1</v>
      </c>
      <c r="DO376">
        <v>0</v>
      </c>
      <c r="DP376">
        <v>0</v>
      </c>
      <c r="DQ376">
        <v>0</v>
      </c>
      <c r="DR376">
        <v>0</v>
      </c>
      <c r="DS376">
        <v>0</v>
      </c>
    </row>
    <row r="377" spans="1:123" x14ac:dyDescent="0.3">
      <c r="A377" t="str">
        <f>"10/04/2022 19:26:42.588"</f>
        <v>10/04/2022 19:26:42.588</v>
      </c>
      <c r="C377" t="str">
        <f t="shared" si="121"/>
        <v>FFDFD3C0</v>
      </c>
      <c r="D377" t="s">
        <v>147</v>
      </c>
      <c r="E377">
        <v>3</v>
      </c>
      <c r="H377">
        <v>166</v>
      </c>
      <c r="I377" t="s">
        <v>144</v>
      </c>
      <c r="J377" t="s">
        <v>148</v>
      </c>
      <c r="K377">
        <v>0</v>
      </c>
      <c r="L377">
        <v>3</v>
      </c>
      <c r="M377">
        <v>0</v>
      </c>
      <c r="N377">
        <v>2</v>
      </c>
      <c r="O377">
        <v>0</v>
      </c>
      <c r="P377">
        <v>1</v>
      </c>
      <c r="Q377">
        <v>0</v>
      </c>
      <c r="S377" t="str">
        <f t="shared" ref="S377:T383" si="137">"19:26:42.000"</f>
        <v>19:26:42.000</v>
      </c>
      <c r="T377" t="str">
        <f t="shared" si="137"/>
        <v>19:26:42.000</v>
      </c>
      <c r="U377" t="str">
        <f t="shared" si="122"/>
        <v>AC3944</v>
      </c>
      <c r="V377">
        <v>0</v>
      </c>
      <c r="W377">
        <v>0</v>
      </c>
      <c r="X377">
        <v>2</v>
      </c>
      <c r="Y377">
        <v>0</v>
      </c>
      <c r="AA377">
        <v>1</v>
      </c>
      <c r="AB377">
        <v>8</v>
      </c>
      <c r="AC377">
        <v>3</v>
      </c>
      <c r="AD377">
        <v>0</v>
      </c>
      <c r="AE377">
        <v>9</v>
      </c>
      <c r="AF377" t="s">
        <v>138</v>
      </c>
      <c r="AG377">
        <v>0</v>
      </c>
      <c r="AH377">
        <v>3</v>
      </c>
      <c r="AI377">
        <v>1</v>
      </c>
      <c r="AJ377">
        <v>0</v>
      </c>
      <c r="AK377" t="s">
        <v>266</v>
      </c>
      <c r="AL377">
        <v>32.819209000000001</v>
      </c>
      <c r="AM377" t="s">
        <v>267</v>
      </c>
      <c r="AN377">
        <v>-116.99617600000001</v>
      </c>
      <c r="AO377">
        <v>25</v>
      </c>
      <c r="AP377">
        <v>1800</v>
      </c>
      <c r="AQ377" t="s">
        <v>129</v>
      </c>
      <c r="AR377">
        <v>102</v>
      </c>
      <c r="AS377">
        <v>-69</v>
      </c>
      <c r="AT377">
        <v>448</v>
      </c>
      <c r="BB377">
        <v>1200</v>
      </c>
      <c r="BC377">
        <v>1</v>
      </c>
      <c r="BD377" t="str">
        <f t="shared" si="123"/>
        <v xml:space="preserve">N887QR  </v>
      </c>
      <c r="BE377">
        <v>1</v>
      </c>
      <c r="BG377">
        <v>0</v>
      </c>
      <c r="BH377">
        <v>0</v>
      </c>
      <c r="BI377">
        <v>0</v>
      </c>
      <c r="BJ377">
        <v>1450</v>
      </c>
      <c r="BK377">
        <v>-350</v>
      </c>
      <c r="BL377" t="s">
        <v>163</v>
      </c>
      <c r="BM377">
        <v>1</v>
      </c>
      <c r="BN377">
        <v>1</v>
      </c>
      <c r="BO377">
        <v>1</v>
      </c>
      <c r="BP377">
        <v>0</v>
      </c>
      <c r="BS377">
        <v>0</v>
      </c>
      <c r="BT377">
        <v>0</v>
      </c>
      <c r="BU377">
        <v>0</v>
      </c>
      <c r="CE377" t="str">
        <f t="shared" ref="CE377:CE383" si="138">"19:26:42.401"</f>
        <v>19:26:42.401</v>
      </c>
      <c r="CF377">
        <v>400909458</v>
      </c>
      <c r="CS377">
        <v>3</v>
      </c>
      <c r="CT377">
        <v>2</v>
      </c>
      <c r="CU377">
        <v>0</v>
      </c>
      <c r="CV377">
        <v>2</v>
      </c>
      <c r="CW377">
        <v>0</v>
      </c>
      <c r="CX377">
        <v>3</v>
      </c>
      <c r="CY377">
        <v>7</v>
      </c>
      <c r="CZ377" t="s">
        <v>131</v>
      </c>
      <c r="DA377">
        <v>300</v>
      </c>
      <c r="DB377">
        <v>0</v>
      </c>
      <c r="DC377" t="s">
        <v>176</v>
      </c>
      <c r="DD377" t="s">
        <v>177</v>
      </c>
      <c r="DG377">
        <v>5361421</v>
      </c>
      <c r="DI377">
        <v>1</v>
      </c>
      <c r="DJ377">
        <v>0</v>
      </c>
      <c r="DK377">
        <v>0</v>
      </c>
      <c r="DL377">
        <v>0</v>
      </c>
      <c r="DM377">
        <v>0</v>
      </c>
      <c r="DN377">
        <v>1</v>
      </c>
      <c r="DO377">
        <v>0</v>
      </c>
      <c r="DP377">
        <v>0</v>
      </c>
      <c r="DQ377">
        <v>0</v>
      </c>
      <c r="DR377">
        <v>0</v>
      </c>
      <c r="DS377">
        <v>0</v>
      </c>
    </row>
    <row r="378" spans="1:123" x14ac:dyDescent="0.3">
      <c r="A378" t="str">
        <f>"10/04/2022 19:26:42.588"</f>
        <v>10/04/2022 19:26:42.588</v>
      </c>
      <c r="C378" t="str">
        <f t="shared" si="121"/>
        <v>FFDFD3C0</v>
      </c>
      <c r="D378" t="s">
        <v>143</v>
      </c>
      <c r="E378">
        <v>20</v>
      </c>
      <c r="F378">
        <v>1020</v>
      </c>
      <c r="G378" t="s">
        <v>144</v>
      </c>
      <c r="J378" t="s">
        <v>145</v>
      </c>
      <c r="K378">
        <v>0</v>
      </c>
      <c r="L378">
        <v>3</v>
      </c>
      <c r="M378">
        <v>0</v>
      </c>
      <c r="N378">
        <v>2</v>
      </c>
      <c r="O378">
        <v>0</v>
      </c>
      <c r="P378">
        <v>1</v>
      </c>
      <c r="Q378">
        <v>0</v>
      </c>
      <c r="S378" t="str">
        <f t="shared" si="137"/>
        <v>19:26:42.000</v>
      </c>
      <c r="T378" t="str">
        <f t="shared" si="137"/>
        <v>19:26:42.000</v>
      </c>
      <c r="U378" t="str">
        <f t="shared" si="122"/>
        <v>AC3944</v>
      </c>
      <c r="V378">
        <v>0</v>
      </c>
      <c r="W378">
        <v>0</v>
      </c>
      <c r="X378">
        <v>2</v>
      </c>
      <c r="Y378">
        <v>0</v>
      </c>
      <c r="AA378">
        <v>1</v>
      </c>
      <c r="AB378">
        <v>8</v>
      </c>
      <c r="AC378">
        <v>3</v>
      </c>
      <c r="AD378">
        <v>0</v>
      </c>
      <c r="AE378">
        <v>9</v>
      </c>
      <c r="AF378" t="s">
        <v>138</v>
      </c>
      <c r="AG378">
        <v>0</v>
      </c>
      <c r="AH378">
        <v>3</v>
      </c>
      <c r="AI378">
        <v>1</v>
      </c>
      <c r="AJ378">
        <v>0</v>
      </c>
      <c r="AK378" t="s">
        <v>266</v>
      </c>
      <c r="AL378">
        <v>32.819209000000001</v>
      </c>
      <c r="AM378" t="s">
        <v>267</v>
      </c>
      <c r="AN378">
        <v>-116.99617600000001</v>
      </c>
      <c r="AO378">
        <v>25</v>
      </c>
      <c r="AP378">
        <v>1800</v>
      </c>
      <c r="AQ378" t="s">
        <v>129</v>
      </c>
      <c r="AR378">
        <v>102</v>
      </c>
      <c r="AS378">
        <v>-69</v>
      </c>
      <c r="AT378">
        <v>448</v>
      </c>
      <c r="BB378">
        <v>1200</v>
      </c>
      <c r="BC378">
        <v>1</v>
      </c>
      <c r="BD378" t="str">
        <f t="shared" si="123"/>
        <v xml:space="preserve">N887QR  </v>
      </c>
      <c r="BE378">
        <v>1</v>
      </c>
      <c r="BG378">
        <v>0</v>
      </c>
      <c r="BH378">
        <v>0</v>
      </c>
      <c r="BI378">
        <v>0</v>
      </c>
      <c r="BJ378">
        <v>1450</v>
      </c>
      <c r="BK378">
        <v>-350</v>
      </c>
      <c r="BL378" t="s">
        <v>163</v>
      </c>
      <c r="BM378">
        <v>1</v>
      </c>
      <c r="BN378">
        <v>1</v>
      </c>
      <c r="BO378">
        <v>1</v>
      </c>
      <c r="BP378">
        <v>0</v>
      </c>
      <c r="BS378">
        <v>0</v>
      </c>
      <c r="BT378">
        <v>0</v>
      </c>
      <c r="BU378">
        <v>0</v>
      </c>
      <c r="CE378" t="str">
        <f t="shared" si="138"/>
        <v>19:26:42.401</v>
      </c>
      <c r="CF378">
        <v>400909458</v>
      </c>
      <c r="CS378">
        <v>3</v>
      </c>
      <c r="CT378">
        <v>2</v>
      </c>
      <c r="CU378">
        <v>0</v>
      </c>
      <c r="CV378">
        <v>2</v>
      </c>
      <c r="CW378">
        <v>0</v>
      </c>
      <c r="CX378">
        <v>3</v>
      </c>
      <c r="CY378">
        <v>7</v>
      </c>
      <c r="CZ378" t="s">
        <v>131</v>
      </c>
      <c r="DA378">
        <v>300</v>
      </c>
      <c r="DB378">
        <v>0</v>
      </c>
      <c r="DC378" t="s">
        <v>176</v>
      </c>
      <c r="DD378" t="s">
        <v>177</v>
      </c>
      <c r="DG378">
        <v>5361421</v>
      </c>
      <c r="DI378">
        <v>1</v>
      </c>
      <c r="DJ378">
        <v>0</v>
      </c>
      <c r="DK378">
        <v>1</v>
      </c>
      <c r="DL378">
        <v>0</v>
      </c>
      <c r="DM378">
        <v>0</v>
      </c>
      <c r="DN378">
        <v>1</v>
      </c>
      <c r="DO378">
        <v>0</v>
      </c>
      <c r="DP378">
        <v>0</v>
      </c>
      <c r="DQ378">
        <v>0</v>
      </c>
      <c r="DR378">
        <v>0</v>
      </c>
      <c r="DS378">
        <v>0</v>
      </c>
    </row>
    <row r="379" spans="1:123" x14ac:dyDescent="0.3">
      <c r="A379" t="str">
        <f>"10/04/2022 19:26:42.619"</f>
        <v>10/04/2022 19:26:42.619</v>
      </c>
      <c r="C379" t="str">
        <f t="shared" si="121"/>
        <v>FFDFD3C0</v>
      </c>
      <c r="D379" t="s">
        <v>141</v>
      </c>
      <c r="E379">
        <v>4</v>
      </c>
      <c r="H379">
        <v>4</v>
      </c>
      <c r="I379" t="s">
        <v>142</v>
      </c>
      <c r="J379" t="s">
        <v>138</v>
      </c>
      <c r="K379">
        <v>0</v>
      </c>
      <c r="L379">
        <v>3</v>
      </c>
      <c r="M379">
        <v>0</v>
      </c>
      <c r="N379">
        <v>2</v>
      </c>
      <c r="O379">
        <v>0</v>
      </c>
      <c r="P379">
        <v>1</v>
      </c>
      <c r="Q379">
        <v>0</v>
      </c>
      <c r="S379" t="str">
        <f t="shared" si="137"/>
        <v>19:26:42.000</v>
      </c>
      <c r="T379" t="str">
        <f t="shared" si="137"/>
        <v>19:26:42.000</v>
      </c>
      <c r="U379" t="str">
        <f t="shared" si="122"/>
        <v>AC3944</v>
      </c>
      <c r="V379">
        <v>0</v>
      </c>
      <c r="W379">
        <v>0</v>
      </c>
      <c r="X379">
        <v>2</v>
      </c>
      <c r="Y379">
        <v>0</v>
      </c>
      <c r="AA379">
        <v>1</v>
      </c>
      <c r="AB379">
        <v>8</v>
      </c>
      <c r="AC379">
        <v>3</v>
      </c>
      <c r="AD379">
        <v>0</v>
      </c>
      <c r="AE379">
        <v>9</v>
      </c>
      <c r="AF379" t="s">
        <v>138</v>
      </c>
      <c r="AG379">
        <v>0</v>
      </c>
      <c r="AH379">
        <v>3</v>
      </c>
      <c r="AI379">
        <v>1</v>
      </c>
      <c r="AJ379">
        <v>0</v>
      </c>
      <c r="AK379" t="s">
        <v>266</v>
      </c>
      <c r="AL379">
        <v>32.819209000000001</v>
      </c>
      <c r="AM379" t="s">
        <v>267</v>
      </c>
      <c r="AN379">
        <v>-116.99617600000001</v>
      </c>
      <c r="AO379">
        <v>25</v>
      </c>
      <c r="AP379">
        <v>1800</v>
      </c>
      <c r="AQ379" t="s">
        <v>129</v>
      </c>
      <c r="AR379">
        <v>102</v>
      </c>
      <c r="AS379">
        <v>-69</v>
      </c>
      <c r="AT379">
        <v>448</v>
      </c>
      <c r="BB379">
        <v>1200</v>
      </c>
      <c r="BC379">
        <v>1</v>
      </c>
      <c r="BD379" t="str">
        <f t="shared" si="123"/>
        <v xml:space="preserve">N887QR  </v>
      </c>
      <c r="BE379">
        <v>1</v>
      </c>
      <c r="BG379">
        <v>0</v>
      </c>
      <c r="BH379">
        <v>0</v>
      </c>
      <c r="BI379">
        <v>0</v>
      </c>
      <c r="BJ379">
        <v>1450</v>
      </c>
      <c r="BK379">
        <v>-350</v>
      </c>
      <c r="BL379" t="s">
        <v>163</v>
      </c>
      <c r="BM379">
        <v>1</v>
      </c>
      <c r="BN379">
        <v>1</v>
      </c>
      <c r="BO379">
        <v>1</v>
      </c>
      <c r="BP379">
        <v>0</v>
      </c>
      <c r="BS379">
        <v>0</v>
      </c>
      <c r="BT379">
        <v>0</v>
      </c>
      <c r="BU379">
        <v>0</v>
      </c>
      <c r="CE379" t="str">
        <f t="shared" si="138"/>
        <v>19:26:42.401</v>
      </c>
      <c r="CF379">
        <v>400909458</v>
      </c>
      <c r="CS379">
        <v>3</v>
      </c>
      <c r="CT379">
        <v>2</v>
      </c>
      <c r="CU379">
        <v>0</v>
      </c>
      <c r="CV379">
        <v>2</v>
      </c>
      <c r="CW379">
        <v>0</v>
      </c>
      <c r="CX379">
        <v>3</v>
      </c>
      <c r="CY379">
        <v>7</v>
      </c>
      <c r="CZ379" t="s">
        <v>131</v>
      </c>
      <c r="DA379">
        <v>300</v>
      </c>
      <c r="DB379">
        <v>0</v>
      </c>
      <c r="DC379" t="s">
        <v>176</v>
      </c>
      <c r="DD379" t="s">
        <v>177</v>
      </c>
      <c r="DG379">
        <v>5361421</v>
      </c>
      <c r="DI379">
        <v>1</v>
      </c>
      <c r="DJ379">
        <v>0</v>
      </c>
      <c r="DK379">
        <v>1</v>
      </c>
      <c r="DL379">
        <v>0</v>
      </c>
      <c r="DM379">
        <v>0</v>
      </c>
      <c r="DN379">
        <v>1</v>
      </c>
      <c r="DO379">
        <v>0</v>
      </c>
      <c r="DP379">
        <v>0</v>
      </c>
      <c r="DQ379">
        <v>0</v>
      </c>
      <c r="DR379">
        <v>0</v>
      </c>
      <c r="DS379">
        <v>0</v>
      </c>
    </row>
    <row r="380" spans="1:123" x14ac:dyDescent="0.3">
      <c r="A380" t="str">
        <f>"10/04/2022 19:26:42.619"</f>
        <v>10/04/2022 19:26:42.619</v>
      </c>
      <c r="C380" t="str">
        <f t="shared" si="121"/>
        <v>FFDFD3C0</v>
      </c>
      <c r="D380" t="s">
        <v>123</v>
      </c>
      <c r="E380">
        <v>7</v>
      </c>
      <c r="F380">
        <v>2007</v>
      </c>
      <c r="G380" t="s">
        <v>124</v>
      </c>
      <c r="J380" t="s">
        <v>125</v>
      </c>
      <c r="K380">
        <v>0</v>
      </c>
      <c r="L380">
        <v>3</v>
      </c>
      <c r="M380">
        <v>0</v>
      </c>
      <c r="N380">
        <v>2</v>
      </c>
      <c r="O380">
        <v>0</v>
      </c>
      <c r="P380">
        <v>1</v>
      </c>
      <c r="Q380">
        <v>0</v>
      </c>
      <c r="S380" t="str">
        <f t="shared" si="137"/>
        <v>19:26:42.000</v>
      </c>
      <c r="T380" t="str">
        <f t="shared" si="137"/>
        <v>19:26:42.000</v>
      </c>
      <c r="U380" t="str">
        <f t="shared" si="122"/>
        <v>AC3944</v>
      </c>
      <c r="V380">
        <v>0</v>
      </c>
      <c r="W380">
        <v>0</v>
      </c>
      <c r="X380">
        <v>2</v>
      </c>
      <c r="Y380">
        <v>0</v>
      </c>
      <c r="AA380">
        <v>1</v>
      </c>
      <c r="AB380">
        <v>8</v>
      </c>
      <c r="AC380">
        <v>3</v>
      </c>
      <c r="AD380">
        <v>0</v>
      </c>
      <c r="AE380">
        <v>9</v>
      </c>
      <c r="AF380" t="s">
        <v>138</v>
      </c>
      <c r="AG380">
        <v>0</v>
      </c>
      <c r="AH380">
        <v>3</v>
      </c>
      <c r="AI380">
        <v>1</v>
      </c>
      <c r="AJ380">
        <v>0</v>
      </c>
      <c r="AK380" t="s">
        <v>266</v>
      </c>
      <c r="AL380">
        <v>32.819209000000001</v>
      </c>
      <c r="AM380" t="s">
        <v>267</v>
      </c>
      <c r="AN380">
        <v>-116.99617600000001</v>
      </c>
      <c r="AO380">
        <v>25</v>
      </c>
      <c r="AP380">
        <v>1800</v>
      </c>
      <c r="AQ380" t="s">
        <v>129</v>
      </c>
      <c r="AR380">
        <v>102</v>
      </c>
      <c r="AS380">
        <v>-69</v>
      </c>
      <c r="AT380">
        <v>448</v>
      </c>
      <c r="BB380">
        <v>1200</v>
      </c>
      <c r="BC380">
        <v>1</v>
      </c>
      <c r="BD380" t="str">
        <f t="shared" si="123"/>
        <v xml:space="preserve">N887QR  </v>
      </c>
      <c r="BE380">
        <v>1</v>
      </c>
      <c r="BG380">
        <v>0</v>
      </c>
      <c r="BH380">
        <v>0</v>
      </c>
      <c r="BI380">
        <v>0</v>
      </c>
      <c r="BJ380">
        <v>1450</v>
      </c>
      <c r="BK380">
        <v>-350</v>
      </c>
      <c r="BL380" t="s">
        <v>163</v>
      </c>
      <c r="BM380">
        <v>1</v>
      </c>
      <c r="BN380">
        <v>1</v>
      </c>
      <c r="BO380">
        <v>1</v>
      </c>
      <c r="BP380">
        <v>0</v>
      </c>
      <c r="BS380">
        <v>0</v>
      </c>
      <c r="BT380">
        <v>0</v>
      </c>
      <c r="BU380">
        <v>0</v>
      </c>
      <c r="CE380" t="str">
        <f t="shared" si="138"/>
        <v>19:26:42.401</v>
      </c>
      <c r="CF380">
        <v>400909458</v>
      </c>
      <c r="CS380">
        <v>3</v>
      </c>
      <c r="CT380">
        <v>2</v>
      </c>
      <c r="CU380">
        <v>0</v>
      </c>
      <c r="CV380">
        <v>2</v>
      </c>
      <c r="CW380">
        <v>0</v>
      </c>
      <c r="CX380">
        <v>3</v>
      </c>
      <c r="CY380">
        <v>7</v>
      </c>
      <c r="CZ380" t="s">
        <v>131</v>
      </c>
      <c r="DA380">
        <v>300</v>
      </c>
      <c r="DB380">
        <v>0</v>
      </c>
      <c r="DC380" t="s">
        <v>176</v>
      </c>
      <c r="DD380" t="s">
        <v>177</v>
      </c>
      <c r="DG380">
        <v>5361421</v>
      </c>
      <c r="DI380">
        <v>1</v>
      </c>
      <c r="DJ380">
        <v>0</v>
      </c>
      <c r="DK380">
        <v>1</v>
      </c>
      <c r="DL380">
        <v>0</v>
      </c>
      <c r="DM380">
        <v>0</v>
      </c>
      <c r="DN380">
        <v>1</v>
      </c>
      <c r="DO380">
        <v>0</v>
      </c>
      <c r="DP380">
        <v>0</v>
      </c>
      <c r="DQ380">
        <v>0</v>
      </c>
      <c r="DR380">
        <v>0</v>
      </c>
      <c r="DS380">
        <v>0</v>
      </c>
    </row>
    <row r="381" spans="1:123" x14ac:dyDescent="0.3">
      <c r="A381" t="str">
        <f>"10/04/2022 19:26:42.619"</f>
        <v>10/04/2022 19:26:42.619</v>
      </c>
      <c r="C381" t="str">
        <f t="shared" si="121"/>
        <v>FFDFD3C0</v>
      </c>
      <c r="D381" t="s">
        <v>141</v>
      </c>
      <c r="E381">
        <v>3</v>
      </c>
      <c r="H381">
        <v>3</v>
      </c>
      <c r="I381" t="s">
        <v>146</v>
      </c>
      <c r="J381" t="s">
        <v>138</v>
      </c>
      <c r="K381">
        <v>0</v>
      </c>
      <c r="L381">
        <v>3</v>
      </c>
      <c r="M381">
        <v>0</v>
      </c>
      <c r="N381">
        <v>2</v>
      </c>
      <c r="O381">
        <v>0</v>
      </c>
      <c r="P381">
        <v>1</v>
      </c>
      <c r="Q381">
        <v>0</v>
      </c>
      <c r="S381" t="str">
        <f t="shared" si="137"/>
        <v>19:26:42.000</v>
      </c>
      <c r="T381" t="str">
        <f t="shared" si="137"/>
        <v>19:26:42.000</v>
      </c>
      <c r="U381" t="str">
        <f t="shared" si="122"/>
        <v>AC3944</v>
      </c>
      <c r="V381">
        <v>0</v>
      </c>
      <c r="W381">
        <v>0</v>
      </c>
      <c r="X381">
        <v>2</v>
      </c>
      <c r="Y381">
        <v>0</v>
      </c>
      <c r="AA381">
        <v>1</v>
      </c>
      <c r="AB381">
        <v>8</v>
      </c>
      <c r="AC381">
        <v>3</v>
      </c>
      <c r="AD381">
        <v>0</v>
      </c>
      <c r="AE381">
        <v>9</v>
      </c>
      <c r="AF381" t="s">
        <v>138</v>
      </c>
      <c r="AG381">
        <v>0</v>
      </c>
      <c r="AH381">
        <v>3</v>
      </c>
      <c r="AI381">
        <v>1</v>
      </c>
      <c r="AJ381">
        <v>0</v>
      </c>
      <c r="AK381" t="s">
        <v>266</v>
      </c>
      <c r="AL381">
        <v>32.819209000000001</v>
      </c>
      <c r="AM381" t="s">
        <v>267</v>
      </c>
      <c r="AN381">
        <v>-116.99617600000001</v>
      </c>
      <c r="AO381">
        <v>25</v>
      </c>
      <c r="AP381">
        <v>1800</v>
      </c>
      <c r="AQ381" t="s">
        <v>129</v>
      </c>
      <c r="AR381">
        <v>102</v>
      </c>
      <c r="AS381">
        <v>-69</v>
      </c>
      <c r="AT381">
        <v>448</v>
      </c>
      <c r="BB381">
        <v>1200</v>
      </c>
      <c r="BC381">
        <v>1</v>
      </c>
      <c r="BD381" t="str">
        <f t="shared" si="123"/>
        <v xml:space="preserve">N887QR  </v>
      </c>
      <c r="BE381">
        <v>1</v>
      </c>
      <c r="BG381">
        <v>0</v>
      </c>
      <c r="BH381">
        <v>0</v>
      </c>
      <c r="BI381">
        <v>0</v>
      </c>
      <c r="BJ381">
        <v>1450</v>
      </c>
      <c r="BK381">
        <v>-350</v>
      </c>
      <c r="BL381" t="s">
        <v>163</v>
      </c>
      <c r="BM381">
        <v>1</v>
      </c>
      <c r="BN381">
        <v>1</v>
      </c>
      <c r="BO381">
        <v>1</v>
      </c>
      <c r="BP381">
        <v>0</v>
      </c>
      <c r="BS381">
        <v>0</v>
      </c>
      <c r="BT381">
        <v>0</v>
      </c>
      <c r="BU381">
        <v>0</v>
      </c>
      <c r="CE381" t="str">
        <f t="shared" si="138"/>
        <v>19:26:42.401</v>
      </c>
      <c r="CF381">
        <v>400909458</v>
      </c>
      <c r="CS381">
        <v>3</v>
      </c>
      <c r="CT381">
        <v>2</v>
      </c>
      <c r="CU381">
        <v>0</v>
      </c>
      <c r="CV381">
        <v>2</v>
      </c>
      <c r="CW381">
        <v>0</v>
      </c>
      <c r="CX381">
        <v>3</v>
      </c>
      <c r="CY381">
        <v>7</v>
      </c>
      <c r="CZ381" t="s">
        <v>131</v>
      </c>
      <c r="DA381">
        <v>300</v>
      </c>
      <c r="DB381">
        <v>0</v>
      </c>
      <c r="DC381" t="s">
        <v>176</v>
      </c>
      <c r="DD381" t="s">
        <v>177</v>
      </c>
      <c r="DG381">
        <v>5361421</v>
      </c>
      <c r="DI381">
        <v>1</v>
      </c>
      <c r="DJ381">
        <v>0</v>
      </c>
      <c r="DK381">
        <v>1</v>
      </c>
      <c r="DL381">
        <v>0</v>
      </c>
      <c r="DM381">
        <v>0</v>
      </c>
      <c r="DN381">
        <v>1</v>
      </c>
      <c r="DO381">
        <v>0</v>
      </c>
      <c r="DP381">
        <v>0</v>
      </c>
      <c r="DQ381">
        <v>0</v>
      </c>
      <c r="DR381">
        <v>0</v>
      </c>
      <c r="DS381">
        <v>0</v>
      </c>
    </row>
    <row r="382" spans="1:123" x14ac:dyDescent="0.3">
      <c r="A382" t="str">
        <f>"10/04/2022 19:26:42.619"</f>
        <v>10/04/2022 19:26:42.619</v>
      </c>
      <c r="C382" t="str">
        <f t="shared" si="121"/>
        <v>FFDFD3C0</v>
      </c>
      <c r="D382" t="s">
        <v>134</v>
      </c>
      <c r="E382">
        <v>15</v>
      </c>
      <c r="J382" t="s">
        <v>135</v>
      </c>
      <c r="K382">
        <v>0</v>
      </c>
      <c r="L382">
        <v>3</v>
      </c>
      <c r="M382">
        <v>0</v>
      </c>
      <c r="N382">
        <v>2</v>
      </c>
      <c r="O382">
        <v>0</v>
      </c>
      <c r="P382">
        <v>1</v>
      </c>
      <c r="Q382">
        <v>0</v>
      </c>
      <c r="S382" t="str">
        <f t="shared" si="137"/>
        <v>19:26:42.000</v>
      </c>
      <c r="T382" t="str">
        <f t="shared" si="137"/>
        <v>19:26:42.000</v>
      </c>
      <c r="U382" t="str">
        <f t="shared" si="122"/>
        <v>AC3944</v>
      </c>
      <c r="V382">
        <v>0</v>
      </c>
      <c r="W382">
        <v>0</v>
      </c>
      <c r="X382">
        <v>2</v>
      </c>
      <c r="Y382">
        <v>0</v>
      </c>
      <c r="AA382">
        <v>1</v>
      </c>
      <c r="AB382">
        <v>8</v>
      </c>
      <c r="AC382">
        <v>3</v>
      </c>
      <c r="AD382">
        <v>0</v>
      </c>
      <c r="AE382">
        <v>9</v>
      </c>
      <c r="AF382" t="s">
        <v>138</v>
      </c>
      <c r="AG382">
        <v>0</v>
      </c>
      <c r="AH382">
        <v>3</v>
      </c>
      <c r="AI382">
        <v>1</v>
      </c>
      <c r="AJ382">
        <v>0</v>
      </c>
      <c r="AK382" t="s">
        <v>266</v>
      </c>
      <c r="AL382">
        <v>32.819209000000001</v>
      </c>
      <c r="AM382" t="s">
        <v>267</v>
      </c>
      <c r="AN382">
        <v>-116.99617600000001</v>
      </c>
      <c r="AO382">
        <v>25</v>
      </c>
      <c r="AP382">
        <v>1800</v>
      </c>
      <c r="AQ382" t="s">
        <v>129</v>
      </c>
      <c r="AR382">
        <v>102</v>
      </c>
      <c r="AS382">
        <v>-69</v>
      </c>
      <c r="AT382">
        <v>448</v>
      </c>
      <c r="BB382">
        <v>1200</v>
      </c>
      <c r="BC382">
        <v>1</v>
      </c>
      <c r="BD382" t="str">
        <f t="shared" si="123"/>
        <v xml:space="preserve">N887QR  </v>
      </c>
      <c r="BE382">
        <v>1</v>
      </c>
      <c r="BG382">
        <v>0</v>
      </c>
      <c r="BH382">
        <v>0</v>
      </c>
      <c r="BI382">
        <v>0</v>
      </c>
      <c r="BJ382">
        <v>1450</v>
      </c>
      <c r="BK382">
        <v>-350</v>
      </c>
      <c r="BL382" t="s">
        <v>163</v>
      </c>
      <c r="BM382">
        <v>1</v>
      </c>
      <c r="BN382">
        <v>1</v>
      </c>
      <c r="BO382">
        <v>1</v>
      </c>
      <c r="BP382">
        <v>0</v>
      </c>
      <c r="BS382">
        <v>0</v>
      </c>
      <c r="BT382">
        <v>0</v>
      </c>
      <c r="BU382">
        <v>0</v>
      </c>
      <c r="CE382" t="str">
        <f t="shared" si="138"/>
        <v>19:26:42.401</v>
      </c>
      <c r="CF382">
        <v>400909458</v>
      </c>
      <c r="CS382">
        <v>3</v>
      </c>
      <c r="CT382">
        <v>2</v>
      </c>
      <c r="CU382">
        <v>0</v>
      </c>
      <c r="CV382">
        <v>2</v>
      </c>
      <c r="CW382">
        <v>0</v>
      </c>
      <c r="CX382">
        <v>3</v>
      </c>
      <c r="CY382">
        <v>7</v>
      </c>
      <c r="CZ382" t="s">
        <v>131</v>
      </c>
      <c r="DA382">
        <v>300</v>
      </c>
      <c r="DB382">
        <v>0</v>
      </c>
      <c r="DC382" t="s">
        <v>176</v>
      </c>
      <c r="DD382" t="s">
        <v>177</v>
      </c>
      <c r="DG382">
        <v>5361421</v>
      </c>
      <c r="DI382">
        <v>1</v>
      </c>
      <c r="DJ382">
        <v>0</v>
      </c>
      <c r="DK382">
        <v>1</v>
      </c>
      <c r="DL382">
        <v>0</v>
      </c>
      <c r="DM382">
        <v>0</v>
      </c>
      <c r="DN382">
        <v>1</v>
      </c>
      <c r="DO382">
        <v>0</v>
      </c>
      <c r="DP382">
        <v>0</v>
      </c>
      <c r="DQ382">
        <v>0</v>
      </c>
      <c r="DR382">
        <v>0</v>
      </c>
      <c r="DS382">
        <v>0</v>
      </c>
    </row>
    <row r="383" spans="1:123" x14ac:dyDescent="0.3">
      <c r="A383" t="str">
        <f>"10/04/2022 19:26:42.635"</f>
        <v>10/04/2022 19:26:42.635</v>
      </c>
      <c r="C383" t="str">
        <f t="shared" si="121"/>
        <v>FFDFD3C0</v>
      </c>
      <c r="D383" t="s">
        <v>136</v>
      </c>
      <c r="E383">
        <v>8</v>
      </c>
      <c r="H383">
        <v>225</v>
      </c>
      <c r="I383" t="s">
        <v>137</v>
      </c>
      <c r="J383" t="s">
        <v>138</v>
      </c>
      <c r="K383">
        <v>0</v>
      </c>
      <c r="L383">
        <v>3</v>
      </c>
      <c r="M383">
        <v>0</v>
      </c>
      <c r="N383">
        <v>2</v>
      </c>
      <c r="O383">
        <v>0</v>
      </c>
      <c r="P383">
        <v>1</v>
      </c>
      <c r="Q383">
        <v>0</v>
      </c>
      <c r="S383" t="str">
        <f t="shared" si="137"/>
        <v>19:26:42.000</v>
      </c>
      <c r="T383" t="str">
        <f t="shared" si="137"/>
        <v>19:26:42.000</v>
      </c>
      <c r="U383" t="str">
        <f t="shared" si="122"/>
        <v>AC3944</v>
      </c>
      <c r="V383">
        <v>0</v>
      </c>
      <c r="W383">
        <v>0</v>
      </c>
      <c r="X383">
        <v>2</v>
      </c>
      <c r="Y383">
        <v>0</v>
      </c>
      <c r="AA383">
        <v>1</v>
      </c>
      <c r="AB383">
        <v>8</v>
      </c>
      <c r="AC383">
        <v>3</v>
      </c>
      <c r="AD383">
        <v>0</v>
      </c>
      <c r="AE383">
        <v>9</v>
      </c>
      <c r="AF383" t="s">
        <v>138</v>
      </c>
      <c r="AG383">
        <v>0</v>
      </c>
      <c r="AH383">
        <v>3</v>
      </c>
      <c r="AI383">
        <v>1</v>
      </c>
      <c r="AJ383">
        <v>0</v>
      </c>
      <c r="AK383" t="s">
        <v>266</v>
      </c>
      <c r="AL383">
        <v>32.819209000000001</v>
      </c>
      <c r="AM383" t="s">
        <v>267</v>
      </c>
      <c r="AN383">
        <v>-116.99617600000001</v>
      </c>
      <c r="AO383">
        <v>25</v>
      </c>
      <c r="AP383">
        <v>1800</v>
      </c>
      <c r="AQ383" t="s">
        <v>129</v>
      </c>
      <c r="AR383">
        <v>102</v>
      </c>
      <c r="AS383">
        <v>-69</v>
      </c>
      <c r="AT383">
        <v>448</v>
      </c>
      <c r="BB383">
        <v>1200</v>
      </c>
      <c r="BC383">
        <v>1</v>
      </c>
      <c r="BD383" t="str">
        <f t="shared" si="123"/>
        <v xml:space="preserve">N887QR  </v>
      </c>
      <c r="BE383">
        <v>1</v>
      </c>
      <c r="BG383">
        <v>0</v>
      </c>
      <c r="BH383">
        <v>0</v>
      </c>
      <c r="BI383">
        <v>0</v>
      </c>
      <c r="BJ383">
        <v>1450</v>
      </c>
      <c r="BK383">
        <v>-350</v>
      </c>
      <c r="BL383" t="s">
        <v>163</v>
      </c>
      <c r="BM383">
        <v>1</v>
      </c>
      <c r="BN383">
        <v>1</v>
      </c>
      <c r="BO383">
        <v>1</v>
      </c>
      <c r="BP383">
        <v>0</v>
      </c>
      <c r="BS383">
        <v>0</v>
      </c>
      <c r="BT383">
        <v>0</v>
      </c>
      <c r="BU383">
        <v>0</v>
      </c>
      <c r="CE383" t="str">
        <f t="shared" si="138"/>
        <v>19:26:42.401</v>
      </c>
      <c r="CF383">
        <v>400909458</v>
      </c>
      <c r="CS383">
        <v>3</v>
      </c>
      <c r="CT383">
        <v>2</v>
      </c>
      <c r="CU383">
        <v>0</v>
      </c>
      <c r="CV383">
        <v>2</v>
      </c>
      <c r="CW383">
        <v>0</v>
      </c>
      <c r="CX383">
        <v>3</v>
      </c>
      <c r="CY383">
        <v>7</v>
      </c>
      <c r="CZ383" t="s">
        <v>131</v>
      </c>
      <c r="DA383">
        <v>300</v>
      </c>
      <c r="DB383">
        <v>0</v>
      </c>
      <c r="DC383" t="s">
        <v>176</v>
      </c>
      <c r="DD383" t="s">
        <v>177</v>
      </c>
      <c r="DG383">
        <v>5361421</v>
      </c>
      <c r="DI383">
        <v>1</v>
      </c>
      <c r="DJ383">
        <v>0</v>
      </c>
      <c r="DK383">
        <v>1</v>
      </c>
      <c r="DL383">
        <v>0</v>
      </c>
      <c r="DM383">
        <v>0</v>
      </c>
      <c r="DN383">
        <v>1</v>
      </c>
      <c r="DO383">
        <v>0</v>
      </c>
      <c r="DP383">
        <v>0</v>
      </c>
      <c r="DQ383">
        <v>0</v>
      </c>
      <c r="DR383">
        <v>0</v>
      </c>
      <c r="DS383">
        <v>0</v>
      </c>
    </row>
    <row r="384" spans="1:123" x14ac:dyDescent="0.3">
      <c r="A384" t="str">
        <f>"10/04/2022 19:26:43.213"</f>
        <v>10/04/2022 19:26:43.213</v>
      </c>
      <c r="C384" t="str">
        <f t="shared" si="121"/>
        <v>FFDFD3C0</v>
      </c>
      <c r="D384" t="s">
        <v>141</v>
      </c>
      <c r="E384">
        <v>4</v>
      </c>
      <c r="H384">
        <v>4</v>
      </c>
      <c r="I384" t="s">
        <v>142</v>
      </c>
      <c r="J384" t="s">
        <v>138</v>
      </c>
      <c r="K384">
        <v>0</v>
      </c>
      <c r="L384">
        <v>3</v>
      </c>
      <c r="M384">
        <v>0</v>
      </c>
      <c r="N384">
        <v>2</v>
      </c>
      <c r="O384">
        <v>0</v>
      </c>
      <c r="P384">
        <v>1</v>
      </c>
      <c r="Q384">
        <v>0</v>
      </c>
      <c r="S384" t="str">
        <f t="shared" ref="S384:T390" si="139">"19:26:42.016"</f>
        <v>19:26:42.016</v>
      </c>
      <c r="T384" t="str">
        <f t="shared" si="139"/>
        <v>19:26:42.016</v>
      </c>
      <c r="U384" t="str">
        <f t="shared" si="122"/>
        <v>AC3944</v>
      </c>
      <c r="V384">
        <v>0</v>
      </c>
      <c r="W384">
        <v>0</v>
      </c>
      <c r="X384">
        <v>2</v>
      </c>
      <c r="Y384">
        <v>0</v>
      </c>
      <c r="AA384">
        <v>0</v>
      </c>
      <c r="AB384">
        <v>8</v>
      </c>
      <c r="AC384">
        <v>3</v>
      </c>
      <c r="AD384">
        <v>0</v>
      </c>
      <c r="AE384">
        <v>9</v>
      </c>
      <c r="AF384" t="s">
        <v>138</v>
      </c>
      <c r="AG384">
        <v>0</v>
      </c>
      <c r="AH384">
        <v>3</v>
      </c>
      <c r="AI384">
        <v>1</v>
      </c>
      <c r="AJ384">
        <v>0</v>
      </c>
      <c r="AK384" t="s">
        <v>268</v>
      </c>
      <c r="AL384">
        <v>32.818801000000001</v>
      </c>
      <c r="AM384" t="s">
        <v>269</v>
      </c>
      <c r="AN384">
        <v>-116.99553299999999</v>
      </c>
      <c r="AO384">
        <v>25</v>
      </c>
      <c r="AP384">
        <v>1800</v>
      </c>
      <c r="AQ384" t="s">
        <v>129</v>
      </c>
      <c r="AR384">
        <v>108</v>
      </c>
      <c r="AS384">
        <v>-62</v>
      </c>
      <c r="AT384">
        <v>448</v>
      </c>
      <c r="BB384">
        <v>1200</v>
      </c>
      <c r="BC384">
        <v>1</v>
      </c>
      <c r="BD384" t="str">
        <f t="shared" si="123"/>
        <v xml:space="preserve">N887QR  </v>
      </c>
      <c r="BE384">
        <v>1</v>
      </c>
      <c r="BG384">
        <v>0</v>
      </c>
      <c r="BH384">
        <v>0</v>
      </c>
      <c r="BI384">
        <v>0</v>
      </c>
      <c r="BJ384">
        <v>1475</v>
      </c>
      <c r="BK384">
        <v>-325</v>
      </c>
      <c r="BL384" t="s">
        <v>163</v>
      </c>
      <c r="BM384">
        <v>1</v>
      </c>
      <c r="BN384">
        <v>1</v>
      </c>
      <c r="BO384">
        <v>1</v>
      </c>
      <c r="BP384">
        <v>0</v>
      </c>
      <c r="BS384">
        <v>0</v>
      </c>
      <c r="BT384">
        <v>0</v>
      </c>
      <c r="BU384">
        <v>0</v>
      </c>
      <c r="CE384" t="str">
        <f t="shared" ref="CE384:CE390" si="140">"19:26:43.016"</f>
        <v>19:26:43.016</v>
      </c>
      <c r="CF384">
        <v>1015686150</v>
      </c>
      <c r="CS384">
        <v>3</v>
      </c>
      <c r="CT384">
        <v>2</v>
      </c>
      <c r="CU384">
        <v>0</v>
      </c>
      <c r="CV384">
        <v>2</v>
      </c>
      <c r="CW384">
        <v>0</v>
      </c>
      <c r="CX384">
        <v>3</v>
      </c>
      <c r="CY384">
        <v>7</v>
      </c>
      <c r="CZ384" t="s">
        <v>131</v>
      </c>
      <c r="DA384">
        <v>286</v>
      </c>
      <c r="DB384">
        <v>0</v>
      </c>
      <c r="DC384" t="s">
        <v>132</v>
      </c>
      <c r="DD384" t="s">
        <v>133</v>
      </c>
      <c r="DG384">
        <v>792314</v>
      </c>
      <c r="DI384">
        <v>1</v>
      </c>
      <c r="DJ384">
        <v>0</v>
      </c>
      <c r="DK384">
        <v>0</v>
      </c>
      <c r="DL384">
        <v>0</v>
      </c>
      <c r="DM384">
        <v>0</v>
      </c>
      <c r="DN384">
        <v>1</v>
      </c>
      <c r="DO384">
        <v>0</v>
      </c>
      <c r="DP384">
        <v>0</v>
      </c>
      <c r="DQ384">
        <v>0</v>
      </c>
      <c r="DR384">
        <v>0</v>
      </c>
      <c r="DS384">
        <v>0</v>
      </c>
    </row>
    <row r="385" spans="1:123" x14ac:dyDescent="0.3">
      <c r="A385" t="str">
        <f>"10/04/2022 19:26:43.213"</f>
        <v>10/04/2022 19:26:43.213</v>
      </c>
      <c r="C385" t="str">
        <f t="shared" si="121"/>
        <v>FFDFD3C0</v>
      </c>
      <c r="D385" t="s">
        <v>123</v>
      </c>
      <c r="E385">
        <v>7</v>
      </c>
      <c r="F385">
        <v>2007</v>
      </c>
      <c r="G385" t="s">
        <v>124</v>
      </c>
      <c r="J385" t="s">
        <v>125</v>
      </c>
      <c r="K385">
        <v>0</v>
      </c>
      <c r="L385">
        <v>3</v>
      </c>
      <c r="M385">
        <v>0</v>
      </c>
      <c r="N385">
        <v>2</v>
      </c>
      <c r="O385">
        <v>0</v>
      </c>
      <c r="P385">
        <v>1</v>
      </c>
      <c r="Q385">
        <v>0</v>
      </c>
      <c r="S385" t="str">
        <f t="shared" si="139"/>
        <v>19:26:42.016</v>
      </c>
      <c r="T385" t="str">
        <f t="shared" si="139"/>
        <v>19:26:42.016</v>
      </c>
      <c r="U385" t="str">
        <f t="shared" si="122"/>
        <v>AC3944</v>
      </c>
      <c r="V385">
        <v>0</v>
      </c>
      <c r="W385">
        <v>0</v>
      </c>
      <c r="X385">
        <v>2</v>
      </c>
      <c r="Y385">
        <v>0</v>
      </c>
      <c r="AA385">
        <v>0</v>
      </c>
      <c r="AB385">
        <v>8</v>
      </c>
      <c r="AC385">
        <v>3</v>
      </c>
      <c r="AD385">
        <v>0</v>
      </c>
      <c r="AE385">
        <v>9</v>
      </c>
      <c r="AF385" t="s">
        <v>138</v>
      </c>
      <c r="AG385">
        <v>0</v>
      </c>
      <c r="AH385">
        <v>3</v>
      </c>
      <c r="AI385">
        <v>1</v>
      </c>
      <c r="AJ385">
        <v>0</v>
      </c>
      <c r="AK385" t="s">
        <v>268</v>
      </c>
      <c r="AL385">
        <v>32.818801000000001</v>
      </c>
      <c r="AM385" t="s">
        <v>269</v>
      </c>
      <c r="AN385">
        <v>-116.99553299999999</v>
      </c>
      <c r="AO385">
        <v>25</v>
      </c>
      <c r="AP385">
        <v>1800</v>
      </c>
      <c r="AQ385" t="s">
        <v>129</v>
      </c>
      <c r="AR385">
        <v>108</v>
      </c>
      <c r="AS385">
        <v>-62</v>
      </c>
      <c r="AT385">
        <v>448</v>
      </c>
      <c r="BB385">
        <v>1200</v>
      </c>
      <c r="BC385">
        <v>1</v>
      </c>
      <c r="BD385" t="str">
        <f t="shared" si="123"/>
        <v xml:space="preserve">N887QR  </v>
      </c>
      <c r="BE385">
        <v>1</v>
      </c>
      <c r="BG385">
        <v>0</v>
      </c>
      <c r="BH385">
        <v>0</v>
      </c>
      <c r="BI385">
        <v>0</v>
      </c>
      <c r="BJ385">
        <v>1475</v>
      </c>
      <c r="BK385">
        <v>-325</v>
      </c>
      <c r="BL385" t="s">
        <v>163</v>
      </c>
      <c r="BM385">
        <v>1</v>
      </c>
      <c r="BN385">
        <v>1</v>
      </c>
      <c r="BO385">
        <v>1</v>
      </c>
      <c r="BP385">
        <v>0</v>
      </c>
      <c r="BS385">
        <v>0</v>
      </c>
      <c r="BT385">
        <v>0</v>
      </c>
      <c r="BU385">
        <v>0</v>
      </c>
      <c r="CE385" t="str">
        <f t="shared" si="140"/>
        <v>19:26:43.016</v>
      </c>
      <c r="CF385">
        <v>1015686150</v>
      </c>
      <c r="CS385">
        <v>3</v>
      </c>
      <c r="CT385">
        <v>2</v>
      </c>
      <c r="CU385">
        <v>0</v>
      </c>
      <c r="CV385">
        <v>2</v>
      </c>
      <c r="CW385">
        <v>0</v>
      </c>
      <c r="CX385">
        <v>3</v>
      </c>
      <c r="CY385">
        <v>7</v>
      </c>
      <c r="CZ385" t="s">
        <v>131</v>
      </c>
      <c r="DA385">
        <v>286</v>
      </c>
      <c r="DB385">
        <v>0</v>
      </c>
      <c r="DC385" t="s">
        <v>132</v>
      </c>
      <c r="DD385" t="s">
        <v>133</v>
      </c>
      <c r="DG385">
        <v>792314</v>
      </c>
      <c r="DI385">
        <v>1</v>
      </c>
      <c r="DJ385">
        <v>0</v>
      </c>
      <c r="DK385">
        <v>1</v>
      </c>
      <c r="DL385">
        <v>0</v>
      </c>
      <c r="DM385">
        <v>0</v>
      </c>
      <c r="DN385">
        <v>1</v>
      </c>
      <c r="DO385">
        <v>0</v>
      </c>
      <c r="DP385">
        <v>0</v>
      </c>
      <c r="DQ385">
        <v>0</v>
      </c>
      <c r="DR385">
        <v>0</v>
      </c>
      <c r="DS385">
        <v>0</v>
      </c>
    </row>
    <row r="386" spans="1:123" x14ac:dyDescent="0.3">
      <c r="A386" t="str">
        <f>"10/04/2022 19:26:43.213"</f>
        <v>10/04/2022 19:26:43.213</v>
      </c>
      <c r="C386" t="str">
        <f t="shared" ref="C386:C449" si="141">"FFDFD3C0"</f>
        <v>FFDFD3C0</v>
      </c>
      <c r="D386" t="s">
        <v>141</v>
      </c>
      <c r="E386">
        <v>3</v>
      </c>
      <c r="H386">
        <v>3</v>
      </c>
      <c r="I386" t="s">
        <v>146</v>
      </c>
      <c r="J386" t="s">
        <v>138</v>
      </c>
      <c r="K386">
        <v>0</v>
      </c>
      <c r="L386">
        <v>3</v>
      </c>
      <c r="M386">
        <v>0</v>
      </c>
      <c r="N386">
        <v>2</v>
      </c>
      <c r="O386">
        <v>0</v>
      </c>
      <c r="P386">
        <v>1</v>
      </c>
      <c r="Q386">
        <v>0</v>
      </c>
      <c r="S386" t="str">
        <f t="shared" si="139"/>
        <v>19:26:42.016</v>
      </c>
      <c r="T386" t="str">
        <f t="shared" si="139"/>
        <v>19:26:42.016</v>
      </c>
      <c r="U386" t="str">
        <f t="shared" ref="U386:U449" si="142">"AC3944"</f>
        <v>AC3944</v>
      </c>
      <c r="V386">
        <v>0</v>
      </c>
      <c r="W386">
        <v>0</v>
      </c>
      <c r="X386">
        <v>2</v>
      </c>
      <c r="Y386">
        <v>0</v>
      </c>
      <c r="AA386">
        <v>0</v>
      </c>
      <c r="AB386">
        <v>8</v>
      </c>
      <c r="AC386">
        <v>3</v>
      </c>
      <c r="AD386">
        <v>0</v>
      </c>
      <c r="AE386">
        <v>9</v>
      </c>
      <c r="AF386" t="s">
        <v>138</v>
      </c>
      <c r="AG386">
        <v>0</v>
      </c>
      <c r="AH386">
        <v>3</v>
      </c>
      <c r="AI386">
        <v>1</v>
      </c>
      <c r="AJ386">
        <v>0</v>
      </c>
      <c r="AK386" t="s">
        <v>268</v>
      </c>
      <c r="AL386">
        <v>32.818801000000001</v>
      </c>
      <c r="AM386" t="s">
        <v>269</v>
      </c>
      <c r="AN386">
        <v>-116.99553299999999</v>
      </c>
      <c r="AO386">
        <v>25</v>
      </c>
      <c r="AP386">
        <v>1800</v>
      </c>
      <c r="AQ386" t="s">
        <v>129</v>
      </c>
      <c r="AR386">
        <v>108</v>
      </c>
      <c r="AS386">
        <v>-62</v>
      </c>
      <c r="AT386">
        <v>448</v>
      </c>
      <c r="BB386">
        <v>1200</v>
      </c>
      <c r="BC386">
        <v>1</v>
      </c>
      <c r="BD386" t="str">
        <f t="shared" ref="BD386:BD449" si="143">"N887QR  "</f>
        <v xml:space="preserve">N887QR  </v>
      </c>
      <c r="BE386">
        <v>1</v>
      </c>
      <c r="BG386">
        <v>0</v>
      </c>
      <c r="BH386">
        <v>0</v>
      </c>
      <c r="BI386">
        <v>0</v>
      </c>
      <c r="BJ386">
        <v>1475</v>
      </c>
      <c r="BK386">
        <v>-325</v>
      </c>
      <c r="BL386" t="s">
        <v>163</v>
      </c>
      <c r="BM386">
        <v>1</v>
      </c>
      <c r="BN386">
        <v>1</v>
      </c>
      <c r="BO386">
        <v>1</v>
      </c>
      <c r="BP386">
        <v>0</v>
      </c>
      <c r="BS386">
        <v>0</v>
      </c>
      <c r="BT386">
        <v>0</v>
      </c>
      <c r="BU386">
        <v>0</v>
      </c>
      <c r="CE386" t="str">
        <f t="shared" si="140"/>
        <v>19:26:43.016</v>
      </c>
      <c r="CF386">
        <v>1015686150</v>
      </c>
      <c r="CS386">
        <v>3</v>
      </c>
      <c r="CT386">
        <v>2</v>
      </c>
      <c r="CU386">
        <v>0</v>
      </c>
      <c r="CV386">
        <v>2</v>
      </c>
      <c r="CW386">
        <v>0</v>
      </c>
      <c r="CX386">
        <v>3</v>
      </c>
      <c r="CY386">
        <v>7</v>
      </c>
      <c r="CZ386" t="s">
        <v>131</v>
      </c>
      <c r="DA386">
        <v>286</v>
      </c>
      <c r="DB386">
        <v>0</v>
      </c>
      <c r="DC386" t="s">
        <v>132</v>
      </c>
      <c r="DD386" t="s">
        <v>133</v>
      </c>
      <c r="DG386">
        <v>792314</v>
      </c>
      <c r="DI386">
        <v>1</v>
      </c>
      <c r="DJ386">
        <v>0</v>
      </c>
      <c r="DK386">
        <v>1</v>
      </c>
      <c r="DL386">
        <v>0</v>
      </c>
      <c r="DM386">
        <v>0</v>
      </c>
      <c r="DN386">
        <v>1</v>
      </c>
      <c r="DO386">
        <v>0</v>
      </c>
      <c r="DP386">
        <v>0</v>
      </c>
      <c r="DQ386">
        <v>0</v>
      </c>
      <c r="DR386">
        <v>0</v>
      </c>
      <c r="DS386">
        <v>0</v>
      </c>
    </row>
    <row r="387" spans="1:123" x14ac:dyDescent="0.3">
      <c r="A387" t="str">
        <f>"10/04/2022 19:26:43.229"</f>
        <v>10/04/2022 19:26:43.229</v>
      </c>
      <c r="C387" t="str">
        <f t="shared" si="141"/>
        <v>FFDFD3C0</v>
      </c>
      <c r="D387" t="s">
        <v>134</v>
      </c>
      <c r="E387">
        <v>15</v>
      </c>
      <c r="J387" t="s">
        <v>135</v>
      </c>
      <c r="K387">
        <v>0</v>
      </c>
      <c r="L387">
        <v>3</v>
      </c>
      <c r="M387">
        <v>0</v>
      </c>
      <c r="N387">
        <v>2</v>
      </c>
      <c r="O387">
        <v>0</v>
      </c>
      <c r="P387">
        <v>1</v>
      </c>
      <c r="Q387">
        <v>0</v>
      </c>
      <c r="S387" t="str">
        <f t="shared" si="139"/>
        <v>19:26:42.016</v>
      </c>
      <c r="T387" t="str">
        <f t="shared" si="139"/>
        <v>19:26:42.016</v>
      </c>
      <c r="U387" t="str">
        <f t="shared" si="142"/>
        <v>AC3944</v>
      </c>
      <c r="V387">
        <v>0</v>
      </c>
      <c r="W387">
        <v>0</v>
      </c>
      <c r="X387">
        <v>2</v>
      </c>
      <c r="Y387">
        <v>0</v>
      </c>
      <c r="AA387">
        <v>0</v>
      </c>
      <c r="AB387">
        <v>8</v>
      </c>
      <c r="AC387">
        <v>3</v>
      </c>
      <c r="AD387">
        <v>0</v>
      </c>
      <c r="AE387">
        <v>9</v>
      </c>
      <c r="AF387" t="s">
        <v>138</v>
      </c>
      <c r="AG387">
        <v>0</v>
      </c>
      <c r="AH387">
        <v>3</v>
      </c>
      <c r="AI387">
        <v>1</v>
      </c>
      <c r="AJ387">
        <v>0</v>
      </c>
      <c r="AK387" t="s">
        <v>268</v>
      </c>
      <c r="AL387">
        <v>32.818801000000001</v>
      </c>
      <c r="AM387" t="s">
        <v>269</v>
      </c>
      <c r="AN387">
        <v>-116.99553299999999</v>
      </c>
      <c r="AO387">
        <v>25</v>
      </c>
      <c r="AP387">
        <v>1800</v>
      </c>
      <c r="AQ387" t="s">
        <v>129</v>
      </c>
      <c r="AR387">
        <v>108</v>
      </c>
      <c r="AS387">
        <v>-62</v>
      </c>
      <c r="AT387">
        <v>448</v>
      </c>
      <c r="BB387">
        <v>1200</v>
      </c>
      <c r="BC387">
        <v>1</v>
      </c>
      <c r="BD387" t="str">
        <f t="shared" si="143"/>
        <v xml:space="preserve">N887QR  </v>
      </c>
      <c r="BE387">
        <v>1</v>
      </c>
      <c r="BG387">
        <v>0</v>
      </c>
      <c r="BH387">
        <v>0</v>
      </c>
      <c r="BI387">
        <v>0</v>
      </c>
      <c r="BJ387">
        <v>1475</v>
      </c>
      <c r="BK387">
        <v>-325</v>
      </c>
      <c r="BL387" t="s">
        <v>163</v>
      </c>
      <c r="BM387">
        <v>1</v>
      </c>
      <c r="BN387">
        <v>1</v>
      </c>
      <c r="BO387">
        <v>1</v>
      </c>
      <c r="BP387">
        <v>0</v>
      </c>
      <c r="BS387">
        <v>0</v>
      </c>
      <c r="BT387">
        <v>0</v>
      </c>
      <c r="BU387">
        <v>0</v>
      </c>
      <c r="CE387" t="str">
        <f t="shared" si="140"/>
        <v>19:26:43.016</v>
      </c>
      <c r="CF387">
        <v>1015686150</v>
      </c>
      <c r="CS387">
        <v>3</v>
      </c>
      <c r="CT387">
        <v>2</v>
      </c>
      <c r="CU387">
        <v>0</v>
      </c>
      <c r="CV387">
        <v>2</v>
      </c>
      <c r="CW387">
        <v>0</v>
      </c>
      <c r="CX387">
        <v>3</v>
      </c>
      <c r="CY387">
        <v>7</v>
      </c>
      <c r="CZ387" t="s">
        <v>131</v>
      </c>
      <c r="DA387">
        <v>286</v>
      </c>
      <c r="DB387">
        <v>0</v>
      </c>
      <c r="DC387" t="s">
        <v>132</v>
      </c>
      <c r="DD387" t="s">
        <v>133</v>
      </c>
      <c r="DG387">
        <v>792314</v>
      </c>
      <c r="DI387">
        <v>1</v>
      </c>
      <c r="DJ387">
        <v>0</v>
      </c>
      <c r="DK387">
        <v>1</v>
      </c>
      <c r="DL387">
        <v>0</v>
      </c>
      <c r="DM387">
        <v>0</v>
      </c>
      <c r="DN387">
        <v>1</v>
      </c>
      <c r="DO387">
        <v>0</v>
      </c>
      <c r="DP387">
        <v>0</v>
      </c>
      <c r="DQ387">
        <v>0</v>
      </c>
      <c r="DR387">
        <v>0</v>
      </c>
      <c r="DS387">
        <v>0</v>
      </c>
    </row>
    <row r="388" spans="1:123" x14ac:dyDescent="0.3">
      <c r="A388" t="str">
        <f>"10/04/2022 19:26:43.244"</f>
        <v>10/04/2022 19:26:43.244</v>
      </c>
      <c r="C388" t="str">
        <f t="shared" si="141"/>
        <v>FFDFD3C0</v>
      </c>
      <c r="D388" t="s">
        <v>136</v>
      </c>
      <c r="E388">
        <v>8</v>
      </c>
      <c r="H388">
        <v>225</v>
      </c>
      <c r="I388" t="s">
        <v>137</v>
      </c>
      <c r="J388" t="s">
        <v>138</v>
      </c>
      <c r="K388">
        <v>0</v>
      </c>
      <c r="L388">
        <v>3</v>
      </c>
      <c r="M388">
        <v>0</v>
      </c>
      <c r="N388">
        <v>2</v>
      </c>
      <c r="O388">
        <v>0</v>
      </c>
      <c r="P388">
        <v>1</v>
      </c>
      <c r="Q388">
        <v>0</v>
      </c>
      <c r="S388" t="str">
        <f t="shared" si="139"/>
        <v>19:26:42.016</v>
      </c>
      <c r="T388" t="str">
        <f t="shared" si="139"/>
        <v>19:26:42.016</v>
      </c>
      <c r="U388" t="str">
        <f t="shared" si="142"/>
        <v>AC3944</v>
      </c>
      <c r="V388">
        <v>0</v>
      </c>
      <c r="W388">
        <v>0</v>
      </c>
      <c r="X388">
        <v>2</v>
      </c>
      <c r="Y388">
        <v>0</v>
      </c>
      <c r="AA388">
        <v>0</v>
      </c>
      <c r="AB388">
        <v>8</v>
      </c>
      <c r="AC388">
        <v>3</v>
      </c>
      <c r="AD388">
        <v>0</v>
      </c>
      <c r="AE388">
        <v>9</v>
      </c>
      <c r="AF388" t="s">
        <v>138</v>
      </c>
      <c r="AG388">
        <v>0</v>
      </c>
      <c r="AH388">
        <v>3</v>
      </c>
      <c r="AI388">
        <v>1</v>
      </c>
      <c r="AJ388">
        <v>0</v>
      </c>
      <c r="AK388" t="s">
        <v>268</v>
      </c>
      <c r="AL388">
        <v>32.818801000000001</v>
      </c>
      <c r="AM388" t="s">
        <v>269</v>
      </c>
      <c r="AN388">
        <v>-116.99553299999999</v>
      </c>
      <c r="AO388">
        <v>25</v>
      </c>
      <c r="AP388">
        <v>1800</v>
      </c>
      <c r="AQ388" t="s">
        <v>129</v>
      </c>
      <c r="AR388">
        <v>108</v>
      </c>
      <c r="AS388">
        <v>-62</v>
      </c>
      <c r="AT388">
        <v>448</v>
      </c>
      <c r="BB388">
        <v>1200</v>
      </c>
      <c r="BC388">
        <v>1</v>
      </c>
      <c r="BD388" t="str">
        <f t="shared" si="143"/>
        <v xml:space="preserve">N887QR  </v>
      </c>
      <c r="BE388">
        <v>1</v>
      </c>
      <c r="BG388">
        <v>0</v>
      </c>
      <c r="BH388">
        <v>0</v>
      </c>
      <c r="BI388">
        <v>0</v>
      </c>
      <c r="BJ388">
        <v>1475</v>
      </c>
      <c r="BK388">
        <v>-325</v>
      </c>
      <c r="BL388" t="s">
        <v>163</v>
      </c>
      <c r="BM388">
        <v>1</v>
      </c>
      <c r="BN388">
        <v>1</v>
      </c>
      <c r="BO388">
        <v>1</v>
      </c>
      <c r="BP388">
        <v>0</v>
      </c>
      <c r="BS388">
        <v>0</v>
      </c>
      <c r="BT388">
        <v>0</v>
      </c>
      <c r="BU388">
        <v>0</v>
      </c>
      <c r="CE388" t="str">
        <f t="shared" si="140"/>
        <v>19:26:43.016</v>
      </c>
      <c r="CF388">
        <v>1015686150</v>
      </c>
      <c r="CS388">
        <v>3</v>
      </c>
      <c r="CT388">
        <v>2</v>
      </c>
      <c r="CU388">
        <v>0</v>
      </c>
      <c r="CV388">
        <v>2</v>
      </c>
      <c r="CW388">
        <v>0</v>
      </c>
      <c r="CX388">
        <v>3</v>
      </c>
      <c r="CY388">
        <v>7</v>
      </c>
      <c r="CZ388" t="s">
        <v>131</v>
      </c>
      <c r="DA388">
        <v>286</v>
      </c>
      <c r="DB388">
        <v>0</v>
      </c>
      <c r="DC388" t="s">
        <v>132</v>
      </c>
      <c r="DD388" t="s">
        <v>133</v>
      </c>
      <c r="DG388">
        <v>792314</v>
      </c>
      <c r="DI388">
        <v>1</v>
      </c>
      <c r="DJ388">
        <v>0</v>
      </c>
      <c r="DK388">
        <v>1</v>
      </c>
      <c r="DL388">
        <v>0</v>
      </c>
      <c r="DM388">
        <v>0</v>
      </c>
      <c r="DN388">
        <v>1</v>
      </c>
      <c r="DO388">
        <v>0</v>
      </c>
      <c r="DP388">
        <v>0</v>
      </c>
      <c r="DQ388">
        <v>0</v>
      </c>
      <c r="DR388">
        <v>0</v>
      </c>
      <c r="DS388">
        <v>0</v>
      </c>
    </row>
    <row r="389" spans="1:123" x14ac:dyDescent="0.3">
      <c r="A389" t="str">
        <f>"10/04/2022 19:26:43.244"</f>
        <v>10/04/2022 19:26:43.244</v>
      </c>
      <c r="C389" t="str">
        <f t="shared" si="141"/>
        <v>FFDFD3C0</v>
      </c>
      <c r="D389" t="s">
        <v>147</v>
      </c>
      <c r="E389">
        <v>3</v>
      </c>
      <c r="H389">
        <v>166</v>
      </c>
      <c r="I389" t="s">
        <v>144</v>
      </c>
      <c r="J389" t="s">
        <v>148</v>
      </c>
      <c r="K389">
        <v>0</v>
      </c>
      <c r="L389">
        <v>3</v>
      </c>
      <c r="M389">
        <v>0</v>
      </c>
      <c r="N389">
        <v>2</v>
      </c>
      <c r="O389">
        <v>0</v>
      </c>
      <c r="P389">
        <v>1</v>
      </c>
      <c r="Q389">
        <v>0</v>
      </c>
      <c r="S389" t="str">
        <f t="shared" si="139"/>
        <v>19:26:42.016</v>
      </c>
      <c r="T389" t="str">
        <f t="shared" si="139"/>
        <v>19:26:42.016</v>
      </c>
      <c r="U389" t="str">
        <f t="shared" si="142"/>
        <v>AC3944</v>
      </c>
      <c r="V389">
        <v>0</v>
      </c>
      <c r="W389">
        <v>0</v>
      </c>
      <c r="X389">
        <v>2</v>
      </c>
      <c r="Y389">
        <v>0</v>
      </c>
      <c r="AA389">
        <v>0</v>
      </c>
      <c r="AB389">
        <v>8</v>
      </c>
      <c r="AC389">
        <v>3</v>
      </c>
      <c r="AD389">
        <v>0</v>
      </c>
      <c r="AE389">
        <v>9</v>
      </c>
      <c r="AF389" t="s">
        <v>138</v>
      </c>
      <c r="AG389">
        <v>0</v>
      </c>
      <c r="AH389">
        <v>3</v>
      </c>
      <c r="AI389">
        <v>1</v>
      </c>
      <c r="AJ389">
        <v>0</v>
      </c>
      <c r="AK389" t="s">
        <v>268</v>
      </c>
      <c r="AL389">
        <v>32.818801000000001</v>
      </c>
      <c r="AM389" t="s">
        <v>269</v>
      </c>
      <c r="AN389">
        <v>-116.99553299999999</v>
      </c>
      <c r="AO389">
        <v>25</v>
      </c>
      <c r="AP389">
        <v>1800</v>
      </c>
      <c r="AQ389" t="s">
        <v>129</v>
      </c>
      <c r="AR389">
        <v>108</v>
      </c>
      <c r="AS389">
        <v>-62</v>
      </c>
      <c r="AT389">
        <v>448</v>
      </c>
      <c r="BB389">
        <v>1200</v>
      </c>
      <c r="BC389">
        <v>1</v>
      </c>
      <c r="BD389" t="str">
        <f t="shared" si="143"/>
        <v xml:space="preserve">N887QR  </v>
      </c>
      <c r="BE389">
        <v>1</v>
      </c>
      <c r="BG389">
        <v>0</v>
      </c>
      <c r="BH389">
        <v>0</v>
      </c>
      <c r="BI389">
        <v>0</v>
      </c>
      <c r="BJ389">
        <v>1475</v>
      </c>
      <c r="BK389">
        <v>-325</v>
      </c>
      <c r="BL389" t="s">
        <v>163</v>
      </c>
      <c r="BM389">
        <v>1</v>
      </c>
      <c r="BN389">
        <v>1</v>
      </c>
      <c r="BO389">
        <v>1</v>
      </c>
      <c r="BP389">
        <v>0</v>
      </c>
      <c r="BS389">
        <v>0</v>
      </c>
      <c r="BT389">
        <v>0</v>
      </c>
      <c r="BU389">
        <v>0</v>
      </c>
      <c r="CE389" t="str">
        <f t="shared" si="140"/>
        <v>19:26:43.016</v>
      </c>
      <c r="CF389">
        <v>1015686150</v>
      </c>
      <c r="CS389">
        <v>3</v>
      </c>
      <c r="CT389">
        <v>2</v>
      </c>
      <c r="CU389">
        <v>0</v>
      </c>
      <c r="CV389">
        <v>2</v>
      </c>
      <c r="CW389">
        <v>0</v>
      </c>
      <c r="CX389">
        <v>3</v>
      </c>
      <c r="CY389">
        <v>7</v>
      </c>
      <c r="CZ389" t="s">
        <v>131</v>
      </c>
      <c r="DA389">
        <v>286</v>
      </c>
      <c r="DB389">
        <v>0</v>
      </c>
      <c r="DC389" t="s">
        <v>132</v>
      </c>
      <c r="DD389" t="s">
        <v>133</v>
      </c>
      <c r="DG389">
        <v>792314</v>
      </c>
      <c r="DI389">
        <v>1</v>
      </c>
      <c r="DJ389">
        <v>0</v>
      </c>
      <c r="DK389">
        <v>1</v>
      </c>
      <c r="DL389">
        <v>0</v>
      </c>
      <c r="DM389">
        <v>0</v>
      </c>
      <c r="DN389">
        <v>1</v>
      </c>
      <c r="DO389">
        <v>0</v>
      </c>
      <c r="DP389">
        <v>0</v>
      </c>
      <c r="DQ389">
        <v>0</v>
      </c>
      <c r="DR389">
        <v>0</v>
      </c>
      <c r="DS389">
        <v>0</v>
      </c>
    </row>
    <row r="390" spans="1:123" x14ac:dyDescent="0.3">
      <c r="A390" t="str">
        <f>"10/04/2022 19:26:43.244"</f>
        <v>10/04/2022 19:26:43.244</v>
      </c>
      <c r="C390" t="str">
        <f t="shared" si="141"/>
        <v>FFDFD3C0</v>
      </c>
      <c r="D390" t="s">
        <v>143</v>
      </c>
      <c r="E390">
        <v>20</v>
      </c>
      <c r="F390">
        <v>1020</v>
      </c>
      <c r="G390" t="s">
        <v>144</v>
      </c>
      <c r="J390" t="s">
        <v>145</v>
      </c>
      <c r="K390">
        <v>0</v>
      </c>
      <c r="L390">
        <v>3</v>
      </c>
      <c r="M390">
        <v>0</v>
      </c>
      <c r="N390">
        <v>2</v>
      </c>
      <c r="O390">
        <v>0</v>
      </c>
      <c r="P390">
        <v>1</v>
      </c>
      <c r="Q390">
        <v>0</v>
      </c>
      <c r="S390" t="str">
        <f t="shared" si="139"/>
        <v>19:26:42.016</v>
      </c>
      <c r="T390" t="str">
        <f t="shared" si="139"/>
        <v>19:26:42.016</v>
      </c>
      <c r="U390" t="str">
        <f t="shared" si="142"/>
        <v>AC3944</v>
      </c>
      <c r="V390">
        <v>0</v>
      </c>
      <c r="W390">
        <v>0</v>
      </c>
      <c r="X390">
        <v>2</v>
      </c>
      <c r="Y390">
        <v>0</v>
      </c>
      <c r="AA390">
        <v>0</v>
      </c>
      <c r="AB390">
        <v>8</v>
      </c>
      <c r="AC390">
        <v>3</v>
      </c>
      <c r="AD390">
        <v>0</v>
      </c>
      <c r="AE390">
        <v>9</v>
      </c>
      <c r="AF390" t="s">
        <v>138</v>
      </c>
      <c r="AG390">
        <v>0</v>
      </c>
      <c r="AH390">
        <v>3</v>
      </c>
      <c r="AI390">
        <v>1</v>
      </c>
      <c r="AJ390">
        <v>0</v>
      </c>
      <c r="AK390" t="s">
        <v>268</v>
      </c>
      <c r="AL390">
        <v>32.818801000000001</v>
      </c>
      <c r="AM390" t="s">
        <v>269</v>
      </c>
      <c r="AN390">
        <v>-116.99553299999999</v>
      </c>
      <c r="AO390">
        <v>25</v>
      </c>
      <c r="AP390">
        <v>1800</v>
      </c>
      <c r="AQ390" t="s">
        <v>129</v>
      </c>
      <c r="AR390">
        <v>108</v>
      </c>
      <c r="AS390">
        <v>-62</v>
      </c>
      <c r="AT390">
        <v>448</v>
      </c>
      <c r="BB390">
        <v>1200</v>
      </c>
      <c r="BC390">
        <v>1</v>
      </c>
      <c r="BD390" t="str">
        <f t="shared" si="143"/>
        <v xml:space="preserve">N887QR  </v>
      </c>
      <c r="BE390">
        <v>1</v>
      </c>
      <c r="BG390">
        <v>0</v>
      </c>
      <c r="BH390">
        <v>0</v>
      </c>
      <c r="BI390">
        <v>0</v>
      </c>
      <c r="BJ390">
        <v>1475</v>
      </c>
      <c r="BK390">
        <v>-325</v>
      </c>
      <c r="BL390" t="s">
        <v>163</v>
      </c>
      <c r="BM390">
        <v>1</v>
      </c>
      <c r="BN390">
        <v>1</v>
      </c>
      <c r="BO390">
        <v>1</v>
      </c>
      <c r="BP390">
        <v>0</v>
      </c>
      <c r="BS390">
        <v>0</v>
      </c>
      <c r="BT390">
        <v>0</v>
      </c>
      <c r="BU390">
        <v>0</v>
      </c>
      <c r="CE390" t="str">
        <f t="shared" si="140"/>
        <v>19:26:43.016</v>
      </c>
      <c r="CF390">
        <v>1015686150</v>
      </c>
      <c r="CS390">
        <v>3</v>
      </c>
      <c r="CT390">
        <v>2</v>
      </c>
      <c r="CU390">
        <v>0</v>
      </c>
      <c r="CV390">
        <v>2</v>
      </c>
      <c r="CW390">
        <v>0</v>
      </c>
      <c r="CX390">
        <v>3</v>
      </c>
      <c r="CY390">
        <v>7</v>
      </c>
      <c r="CZ390" t="s">
        <v>131</v>
      </c>
      <c r="DA390">
        <v>286</v>
      </c>
      <c r="DB390">
        <v>0</v>
      </c>
      <c r="DC390" t="s">
        <v>132</v>
      </c>
      <c r="DD390" t="s">
        <v>133</v>
      </c>
      <c r="DG390">
        <v>792314</v>
      </c>
      <c r="DI390">
        <v>1</v>
      </c>
      <c r="DJ390">
        <v>0</v>
      </c>
      <c r="DK390">
        <v>1</v>
      </c>
      <c r="DL390">
        <v>0</v>
      </c>
      <c r="DM390">
        <v>0</v>
      </c>
      <c r="DN390">
        <v>1</v>
      </c>
      <c r="DO390">
        <v>0</v>
      </c>
      <c r="DP390">
        <v>0</v>
      </c>
      <c r="DQ390">
        <v>0</v>
      </c>
      <c r="DR390">
        <v>0</v>
      </c>
      <c r="DS390">
        <v>0</v>
      </c>
    </row>
    <row r="391" spans="1:123" x14ac:dyDescent="0.3">
      <c r="A391" t="str">
        <f>"10/04/2022 19:26:44.104"</f>
        <v>10/04/2022 19:26:44.104</v>
      </c>
      <c r="C391" t="str">
        <f t="shared" si="141"/>
        <v>FFDFD3C0</v>
      </c>
      <c r="D391" t="s">
        <v>134</v>
      </c>
      <c r="E391">
        <v>15</v>
      </c>
      <c r="J391" t="s">
        <v>135</v>
      </c>
      <c r="K391">
        <v>0</v>
      </c>
      <c r="L391">
        <v>3</v>
      </c>
      <c r="M391">
        <v>0</v>
      </c>
      <c r="N391">
        <v>2</v>
      </c>
      <c r="O391">
        <v>0</v>
      </c>
      <c r="P391">
        <v>1</v>
      </c>
      <c r="Q391">
        <v>0</v>
      </c>
      <c r="S391" t="str">
        <f t="shared" ref="S391:T397" si="144">"19:26:42.891"</f>
        <v>19:26:42.891</v>
      </c>
      <c r="T391" t="str">
        <f t="shared" si="144"/>
        <v>19:26:42.891</v>
      </c>
      <c r="U391" t="str">
        <f t="shared" si="142"/>
        <v>AC3944</v>
      </c>
      <c r="V391">
        <v>0</v>
      </c>
      <c r="W391">
        <v>0</v>
      </c>
      <c r="X391">
        <v>2</v>
      </c>
      <c r="Y391">
        <v>0</v>
      </c>
      <c r="AA391">
        <v>0</v>
      </c>
      <c r="AB391">
        <v>8</v>
      </c>
      <c r="AC391">
        <v>3</v>
      </c>
      <c r="AD391">
        <v>0</v>
      </c>
      <c r="AE391">
        <v>9</v>
      </c>
      <c r="AF391" t="s">
        <v>138</v>
      </c>
      <c r="AG391">
        <v>0</v>
      </c>
      <c r="AH391">
        <v>3</v>
      </c>
      <c r="AI391">
        <v>1</v>
      </c>
      <c r="AJ391">
        <v>0</v>
      </c>
      <c r="AK391" t="s">
        <v>270</v>
      </c>
      <c r="AL391">
        <v>32.818500999999998</v>
      </c>
      <c r="AM391" t="s">
        <v>271</v>
      </c>
      <c r="AN391">
        <v>-116.99491</v>
      </c>
      <c r="AO391">
        <v>25</v>
      </c>
      <c r="AP391">
        <v>1800</v>
      </c>
      <c r="AQ391" t="s">
        <v>129</v>
      </c>
      <c r="AR391">
        <v>114</v>
      </c>
      <c r="AS391">
        <v>-53</v>
      </c>
      <c r="AT391">
        <v>448</v>
      </c>
      <c r="BB391">
        <v>1200</v>
      </c>
      <c r="BC391">
        <v>1</v>
      </c>
      <c r="BD391" t="str">
        <f t="shared" si="143"/>
        <v xml:space="preserve">N887QR  </v>
      </c>
      <c r="BE391">
        <v>1</v>
      </c>
      <c r="BG391">
        <v>0</v>
      </c>
      <c r="BH391">
        <v>0</v>
      </c>
      <c r="BI391">
        <v>0</v>
      </c>
      <c r="BJ391">
        <v>1450</v>
      </c>
      <c r="BK391">
        <v>-350</v>
      </c>
      <c r="BL391" t="s">
        <v>163</v>
      </c>
      <c r="BM391">
        <v>1</v>
      </c>
      <c r="BN391">
        <v>1</v>
      </c>
      <c r="BO391">
        <v>1</v>
      </c>
      <c r="BP391">
        <v>0</v>
      </c>
      <c r="BS391">
        <v>0</v>
      </c>
      <c r="BT391">
        <v>0</v>
      </c>
      <c r="BU391">
        <v>0</v>
      </c>
      <c r="CE391" t="str">
        <f t="shared" ref="CE391:CE397" si="145">"19:26:43.894"</f>
        <v>19:26:43.894</v>
      </c>
      <c r="CF391">
        <v>1894164268</v>
      </c>
      <c r="CS391">
        <v>3</v>
      </c>
      <c r="CT391">
        <v>2</v>
      </c>
      <c r="CU391">
        <v>0</v>
      </c>
      <c r="CV391">
        <v>2</v>
      </c>
      <c r="CW391">
        <v>2</v>
      </c>
      <c r="CX391">
        <v>3</v>
      </c>
      <c r="CY391">
        <v>7</v>
      </c>
      <c r="CZ391" t="s">
        <v>131</v>
      </c>
      <c r="DA391">
        <v>300</v>
      </c>
      <c r="DB391">
        <v>0</v>
      </c>
      <c r="DC391" t="s">
        <v>176</v>
      </c>
      <c r="DD391" t="s">
        <v>177</v>
      </c>
      <c r="DG391">
        <v>5361674</v>
      </c>
      <c r="DI391">
        <v>1</v>
      </c>
      <c r="DJ391">
        <v>0</v>
      </c>
      <c r="DK391">
        <v>0</v>
      </c>
      <c r="DL391">
        <v>0</v>
      </c>
      <c r="DM391">
        <v>0</v>
      </c>
      <c r="DN391">
        <v>1</v>
      </c>
      <c r="DO391">
        <v>0</v>
      </c>
      <c r="DP391">
        <v>0</v>
      </c>
      <c r="DQ391">
        <v>0</v>
      </c>
      <c r="DR391">
        <v>0</v>
      </c>
      <c r="DS391">
        <v>0</v>
      </c>
    </row>
    <row r="392" spans="1:123" x14ac:dyDescent="0.3">
      <c r="A392" t="str">
        <f>"10/04/2022 19:26:44.104"</f>
        <v>10/04/2022 19:26:44.104</v>
      </c>
      <c r="C392" t="str">
        <f t="shared" si="141"/>
        <v>FFDFD3C0</v>
      </c>
      <c r="D392" t="s">
        <v>136</v>
      </c>
      <c r="E392">
        <v>8</v>
      </c>
      <c r="H392">
        <v>225</v>
      </c>
      <c r="I392" t="s">
        <v>137</v>
      </c>
      <c r="J392" t="s">
        <v>138</v>
      </c>
      <c r="K392">
        <v>0</v>
      </c>
      <c r="L392">
        <v>3</v>
      </c>
      <c r="M392">
        <v>0</v>
      </c>
      <c r="N392">
        <v>2</v>
      </c>
      <c r="O392">
        <v>0</v>
      </c>
      <c r="P392">
        <v>1</v>
      </c>
      <c r="Q392">
        <v>0</v>
      </c>
      <c r="S392" t="str">
        <f t="shared" si="144"/>
        <v>19:26:42.891</v>
      </c>
      <c r="T392" t="str">
        <f t="shared" si="144"/>
        <v>19:26:42.891</v>
      </c>
      <c r="U392" t="str">
        <f t="shared" si="142"/>
        <v>AC3944</v>
      </c>
      <c r="V392">
        <v>0</v>
      </c>
      <c r="W392">
        <v>0</v>
      </c>
      <c r="X392">
        <v>2</v>
      </c>
      <c r="Y392">
        <v>0</v>
      </c>
      <c r="AA392">
        <v>0</v>
      </c>
      <c r="AB392">
        <v>8</v>
      </c>
      <c r="AC392">
        <v>3</v>
      </c>
      <c r="AD392">
        <v>0</v>
      </c>
      <c r="AE392">
        <v>9</v>
      </c>
      <c r="AF392" t="s">
        <v>138</v>
      </c>
      <c r="AG392">
        <v>0</v>
      </c>
      <c r="AH392">
        <v>3</v>
      </c>
      <c r="AI392">
        <v>1</v>
      </c>
      <c r="AJ392">
        <v>0</v>
      </c>
      <c r="AK392" t="s">
        <v>270</v>
      </c>
      <c r="AL392">
        <v>32.818500999999998</v>
      </c>
      <c r="AM392" t="s">
        <v>271</v>
      </c>
      <c r="AN392">
        <v>-116.99491</v>
      </c>
      <c r="AO392">
        <v>25</v>
      </c>
      <c r="AP392">
        <v>1800</v>
      </c>
      <c r="AQ392" t="s">
        <v>129</v>
      </c>
      <c r="AR392">
        <v>114</v>
      </c>
      <c r="AS392">
        <v>-53</v>
      </c>
      <c r="AT392">
        <v>448</v>
      </c>
      <c r="BB392">
        <v>1200</v>
      </c>
      <c r="BC392">
        <v>1</v>
      </c>
      <c r="BD392" t="str">
        <f t="shared" si="143"/>
        <v xml:space="preserve">N887QR  </v>
      </c>
      <c r="BE392">
        <v>1</v>
      </c>
      <c r="BG392">
        <v>0</v>
      </c>
      <c r="BH392">
        <v>0</v>
      </c>
      <c r="BI392">
        <v>0</v>
      </c>
      <c r="BJ392">
        <v>1450</v>
      </c>
      <c r="BK392">
        <v>-350</v>
      </c>
      <c r="BL392" t="s">
        <v>163</v>
      </c>
      <c r="BM392">
        <v>1</v>
      </c>
      <c r="BN392">
        <v>1</v>
      </c>
      <c r="BO392">
        <v>1</v>
      </c>
      <c r="BP392">
        <v>0</v>
      </c>
      <c r="BS392">
        <v>0</v>
      </c>
      <c r="BT392">
        <v>0</v>
      </c>
      <c r="BU392">
        <v>0</v>
      </c>
      <c r="CE392" t="str">
        <f t="shared" si="145"/>
        <v>19:26:43.894</v>
      </c>
      <c r="CF392">
        <v>1894164268</v>
      </c>
      <c r="CS392">
        <v>3</v>
      </c>
      <c r="CT392">
        <v>2</v>
      </c>
      <c r="CU392">
        <v>0</v>
      </c>
      <c r="CV392">
        <v>2</v>
      </c>
      <c r="CW392">
        <v>2</v>
      </c>
      <c r="CX392">
        <v>3</v>
      </c>
      <c r="CY392">
        <v>7</v>
      </c>
      <c r="CZ392" t="s">
        <v>131</v>
      </c>
      <c r="DA392">
        <v>300</v>
      </c>
      <c r="DB392">
        <v>0</v>
      </c>
      <c r="DC392" t="s">
        <v>176</v>
      </c>
      <c r="DD392" t="s">
        <v>177</v>
      </c>
      <c r="DG392">
        <v>5361674</v>
      </c>
      <c r="DI392">
        <v>1</v>
      </c>
      <c r="DJ392">
        <v>0</v>
      </c>
      <c r="DK392">
        <v>1</v>
      </c>
      <c r="DL392">
        <v>0</v>
      </c>
      <c r="DM392">
        <v>0</v>
      </c>
      <c r="DN392">
        <v>1</v>
      </c>
      <c r="DO392">
        <v>0</v>
      </c>
      <c r="DP392">
        <v>0</v>
      </c>
      <c r="DQ392">
        <v>0</v>
      </c>
      <c r="DR392">
        <v>0</v>
      </c>
      <c r="DS392">
        <v>0</v>
      </c>
    </row>
    <row r="393" spans="1:123" x14ac:dyDescent="0.3">
      <c r="A393" t="str">
        <f>"10/04/2022 19:26:44.104"</f>
        <v>10/04/2022 19:26:44.104</v>
      </c>
      <c r="C393" t="str">
        <f t="shared" si="141"/>
        <v>FFDFD3C0</v>
      </c>
      <c r="D393" t="s">
        <v>147</v>
      </c>
      <c r="E393">
        <v>3</v>
      </c>
      <c r="H393">
        <v>166</v>
      </c>
      <c r="I393" t="s">
        <v>144</v>
      </c>
      <c r="J393" t="s">
        <v>148</v>
      </c>
      <c r="K393">
        <v>0</v>
      </c>
      <c r="L393">
        <v>3</v>
      </c>
      <c r="M393">
        <v>0</v>
      </c>
      <c r="N393">
        <v>2</v>
      </c>
      <c r="O393">
        <v>0</v>
      </c>
      <c r="P393">
        <v>1</v>
      </c>
      <c r="Q393">
        <v>0</v>
      </c>
      <c r="S393" t="str">
        <f t="shared" si="144"/>
        <v>19:26:42.891</v>
      </c>
      <c r="T393" t="str">
        <f t="shared" si="144"/>
        <v>19:26:42.891</v>
      </c>
      <c r="U393" t="str">
        <f t="shared" si="142"/>
        <v>AC3944</v>
      </c>
      <c r="V393">
        <v>0</v>
      </c>
      <c r="W393">
        <v>0</v>
      </c>
      <c r="X393">
        <v>2</v>
      </c>
      <c r="Y393">
        <v>0</v>
      </c>
      <c r="AA393">
        <v>0</v>
      </c>
      <c r="AB393">
        <v>8</v>
      </c>
      <c r="AC393">
        <v>3</v>
      </c>
      <c r="AD393">
        <v>0</v>
      </c>
      <c r="AE393">
        <v>9</v>
      </c>
      <c r="AF393" t="s">
        <v>138</v>
      </c>
      <c r="AG393">
        <v>0</v>
      </c>
      <c r="AH393">
        <v>3</v>
      </c>
      <c r="AI393">
        <v>1</v>
      </c>
      <c r="AJ393">
        <v>0</v>
      </c>
      <c r="AK393" t="s">
        <v>270</v>
      </c>
      <c r="AL393">
        <v>32.818500999999998</v>
      </c>
      <c r="AM393" t="s">
        <v>271</v>
      </c>
      <c r="AN393">
        <v>-116.99491</v>
      </c>
      <c r="AO393">
        <v>25</v>
      </c>
      <c r="AP393">
        <v>1800</v>
      </c>
      <c r="AQ393" t="s">
        <v>129</v>
      </c>
      <c r="AR393">
        <v>114</v>
      </c>
      <c r="AS393">
        <v>-53</v>
      </c>
      <c r="AT393">
        <v>448</v>
      </c>
      <c r="BB393">
        <v>1200</v>
      </c>
      <c r="BC393">
        <v>1</v>
      </c>
      <c r="BD393" t="str">
        <f t="shared" si="143"/>
        <v xml:space="preserve">N887QR  </v>
      </c>
      <c r="BE393">
        <v>1</v>
      </c>
      <c r="BG393">
        <v>0</v>
      </c>
      <c r="BH393">
        <v>0</v>
      </c>
      <c r="BI393">
        <v>0</v>
      </c>
      <c r="BJ393">
        <v>1450</v>
      </c>
      <c r="BK393">
        <v>-350</v>
      </c>
      <c r="BL393" t="s">
        <v>163</v>
      </c>
      <c r="BM393">
        <v>1</v>
      </c>
      <c r="BN393">
        <v>1</v>
      </c>
      <c r="BO393">
        <v>1</v>
      </c>
      <c r="BP393">
        <v>0</v>
      </c>
      <c r="BS393">
        <v>0</v>
      </c>
      <c r="BT393">
        <v>0</v>
      </c>
      <c r="BU393">
        <v>0</v>
      </c>
      <c r="CE393" t="str">
        <f t="shared" si="145"/>
        <v>19:26:43.894</v>
      </c>
      <c r="CF393">
        <v>1894164268</v>
      </c>
      <c r="CS393">
        <v>3</v>
      </c>
      <c r="CT393">
        <v>2</v>
      </c>
      <c r="CU393">
        <v>0</v>
      </c>
      <c r="CV393">
        <v>2</v>
      </c>
      <c r="CW393">
        <v>2</v>
      </c>
      <c r="CX393">
        <v>3</v>
      </c>
      <c r="CY393">
        <v>7</v>
      </c>
      <c r="CZ393" t="s">
        <v>131</v>
      </c>
      <c r="DA393">
        <v>300</v>
      </c>
      <c r="DB393">
        <v>0</v>
      </c>
      <c r="DC393" t="s">
        <v>176</v>
      </c>
      <c r="DD393" t="s">
        <v>177</v>
      </c>
      <c r="DG393">
        <v>5361674</v>
      </c>
      <c r="DI393">
        <v>1</v>
      </c>
      <c r="DJ393">
        <v>0</v>
      </c>
      <c r="DK393">
        <v>1</v>
      </c>
      <c r="DL393">
        <v>0</v>
      </c>
      <c r="DM393">
        <v>0</v>
      </c>
      <c r="DN393">
        <v>1</v>
      </c>
      <c r="DO393">
        <v>0</v>
      </c>
      <c r="DP393">
        <v>0</v>
      </c>
      <c r="DQ393">
        <v>0</v>
      </c>
      <c r="DR393">
        <v>0</v>
      </c>
      <c r="DS393">
        <v>0</v>
      </c>
    </row>
    <row r="394" spans="1:123" x14ac:dyDescent="0.3">
      <c r="A394" t="str">
        <f>"10/04/2022 19:26:44.119"</f>
        <v>10/04/2022 19:26:44.119</v>
      </c>
      <c r="C394" t="str">
        <f t="shared" si="141"/>
        <v>FFDFD3C0</v>
      </c>
      <c r="D394" t="s">
        <v>143</v>
      </c>
      <c r="E394">
        <v>20</v>
      </c>
      <c r="F394">
        <v>1020</v>
      </c>
      <c r="G394" t="s">
        <v>144</v>
      </c>
      <c r="J394" t="s">
        <v>145</v>
      </c>
      <c r="K394">
        <v>0</v>
      </c>
      <c r="L394">
        <v>3</v>
      </c>
      <c r="M394">
        <v>0</v>
      </c>
      <c r="N394">
        <v>2</v>
      </c>
      <c r="O394">
        <v>0</v>
      </c>
      <c r="P394">
        <v>1</v>
      </c>
      <c r="Q394">
        <v>0</v>
      </c>
      <c r="S394" t="str">
        <f t="shared" si="144"/>
        <v>19:26:42.891</v>
      </c>
      <c r="T394" t="str">
        <f t="shared" si="144"/>
        <v>19:26:42.891</v>
      </c>
      <c r="U394" t="str">
        <f t="shared" si="142"/>
        <v>AC3944</v>
      </c>
      <c r="V394">
        <v>0</v>
      </c>
      <c r="W394">
        <v>0</v>
      </c>
      <c r="X394">
        <v>2</v>
      </c>
      <c r="Y394">
        <v>0</v>
      </c>
      <c r="AA394">
        <v>0</v>
      </c>
      <c r="AB394">
        <v>8</v>
      </c>
      <c r="AC394">
        <v>3</v>
      </c>
      <c r="AD394">
        <v>0</v>
      </c>
      <c r="AE394">
        <v>9</v>
      </c>
      <c r="AF394" t="s">
        <v>138</v>
      </c>
      <c r="AG394">
        <v>0</v>
      </c>
      <c r="AH394">
        <v>3</v>
      </c>
      <c r="AI394">
        <v>1</v>
      </c>
      <c r="AJ394">
        <v>0</v>
      </c>
      <c r="AK394" t="s">
        <v>270</v>
      </c>
      <c r="AL394">
        <v>32.818500999999998</v>
      </c>
      <c r="AM394" t="s">
        <v>271</v>
      </c>
      <c r="AN394">
        <v>-116.99491</v>
      </c>
      <c r="AO394">
        <v>25</v>
      </c>
      <c r="AP394">
        <v>1800</v>
      </c>
      <c r="AQ394" t="s">
        <v>129</v>
      </c>
      <c r="AR394">
        <v>114</v>
      </c>
      <c r="AS394">
        <v>-53</v>
      </c>
      <c r="AT394">
        <v>448</v>
      </c>
      <c r="BB394">
        <v>1200</v>
      </c>
      <c r="BC394">
        <v>1</v>
      </c>
      <c r="BD394" t="str">
        <f t="shared" si="143"/>
        <v xml:space="preserve">N887QR  </v>
      </c>
      <c r="BE394">
        <v>1</v>
      </c>
      <c r="BG394">
        <v>0</v>
      </c>
      <c r="BH394">
        <v>0</v>
      </c>
      <c r="BI394">
        <v>0</v>
      </c>
      <c r="BJ394">
        <v>1450</v>
      </c>
      <c r="BK394">
        <v>-350</v>
      </c>
      <c r="BL394" t="s">
        <v>163</v>
      </c>
      <c r="BM394">
        <v>1</v>
      </c>
      <c r="BN394">
        <v>1</v>
      </c>
      <c r="BO394">
        <v>1</v>
      </c>
      <c r="BP394">
        <v>0</v>
      </c>
      <c r="BS394">
        <v>0</v>
      </c>
      <c r="BT394">
        <v>0</v>
      </c>
      <c r="BU394">
        <v>0</v>
      </c>
      <c r="CE394" t="str">
        <f t="shared" si="145"/>
        <v>19:26:43.894</v>
      </c>
      <c r="CF394">
        <v>1894164268</v>
      </c>
      <c r="CS394">
        <v>3</v>
      </c>
      <c r="CT394">
        <v>2</v>
      </c>
      <c r="CU394">
        <v>0</v>
      </c>
      <c r="CV394">
        <v>2</v>
      </c>
      <c r="CW394">
        <v>2</v>
      </c>
      <c r="CX394">
        <v>3</v>
      </c>
      <c r="CY394">
        <v>7</v>
      </c>
      <c r="CZ394" t="s">
        <v>131</v>
      </c>
      <c r="DA394">
        <v>300</v>
      </c>
      <c r="DB394">
        <v>0</v>
      </c>
      <c r="DC394" t="s">
        <v>176</v>
      </c>
      <c r="DD394" t="s">
        <v>177</v>
      </c>
      <c r="DG394">
        <v>5361674</v>
      </c>
      <c r="DI394">
        <v>1</v>
      </c>
      <c r="DJ394">
        <v>0</v>
      </c>
      <c r="DK394">
        <v>1</v>
      </c>
      <c r="DL394">
        <v>0</v>
      </c>
      <c r="DM394">
        <v>0</v>
      </c>
      <c r="DN394">
        <v>1</v>
      </c>
      <c r="DO394">
        <v>0</v>
      </c>
      <c r="DP394">
        <v>0</v>
      </c>
      <c r="DQ394">
        <v>0</v>
      </c>
      <c r="DR394">
        <v>0</v>
      </c>
      <c r="DS394">
        <v>0</v>
      </c>
    </row>
    <row r="395" spans="1:123" x14ac:dyDescent="0.3">
      <c r="A395" t="str">
        <f>"10/04/2022 19:26:44.166"</f>
        <v>10/04/2022 19:26:44.166</v>
      </c>
      <c r="C395" t="str">
        <f t="shared" si="141"/>
        <v>FFDFD3C0</v>
      </c>
      <c r="D395" t="s">
        <v>141</v>
      </c>
      <c r="E395">
        <v>4</v>
      </c>
      <c r="H395">
        <v>4</v>
      </c>
      <c r="I395" t="s">
        <v>142</v>
      </c>
      <c r="J395" t="s">
        <v>138</v>
      </c>
      <c r="K395">
        <v>0</v>
      </c>
      <c r="L395">
        <v>3</v>
      </c>
      <c r="M395">
        <v>0</v>
      </c>
      <c r="N395">
        <v>2</v>
      </c>
      <c r="O395">
        <v>0</v>
      </c>
      <c r="P395">
        <v>1</v>
      </c>
      <c r="Q395">
        <v>0</v>
      </c>
      <c r="S395" t="str">
        <f t="shared" si="144"/>
        <v>19:26:42.891</v>
      </c>
      <c r="T395" t="str">
        <f t="shared" si="144"/>
        <v>19:26:42.891</v>
      </c>
      <c r="U395" t="str">
        <f t="shared" si="142"/>
        <v>AC3944</v>
      </c>
      <c r="V395">
        <v>0</v>
      </c>
      <c r="W395">
        <v>0</v>
      </c>
      <c r="X395">
        <v>2</v>
      </c>
      <c r="Y395">
        <v>0</v>
      </c>
      <c r="AA395">
        <v>0</v>
      </c>
      <c r="AB395">
        <v>8</v>
      </c>
      <c r="AC395">
        <v>3</v>
      </c>
      <c r="AD395">
        <v>0</v>
      </c>
      <c r="AE395">
        <v>9</v>
      </c>
      <c r="AF395" t="s">
        <v>138</v>
      </c>
      <c r="AG395">
        <v>0</v>
      </c>
      <c r="AH395">
        <v>3</v>
      </c>
      <c r="AI395">
        <v>1</v>
      </c>
      <c r="AJ395">
        <v>0</v>
      </c>
      <c r="AK395" t="s">
        <v>270</v>
      </c>
      <c r="AL395">
        <v>32.818500999999998</v>
      </c>
      <c r="AM395" t="s">
        <v>271</v>
      </c>
      <c r="AN395">
        <v>-116.99491</v>
      </c>
      <c r="AO395">
        <v>25</v>
      </c>
      <c r="AP395">
        <v>1800</v>
      </c>
      <c r="AQ395" t="s">
        <v>129</v>
      </c>
      <c r="AR395">
        <v>114</v>
      </c>
      <c r="AS395">
        <v>-53</v>
      </c>
      <c r="AT395">
        <v>448</v>
      </c>
      <c r="BB395">
        <v>1200</v>
      </c>
      <c r="BC395">
        <v>1</v>
      </c>
      <c r="BD395" t="str">
        <f t="shared" si="143"/>
        <v xml:space="preserve">N887QR  </v>
      </c>
      <c r="BE395">
        <v>1</v>
      </c>
      <c r="BG395">
        <v>0</v>
      </c>
      <c r="BH395">
        <v>0</v>
      </c>
      <c r="BI395">
        <v>0</v>
      </c>
      <c r="BJ395">
        <v>1450</v>
      </c>
      <c r="BK395">
        <v>-350</v>
      </c>
      <c r="BL395" t="s">
        <v>163</v>
      </c>
      <c r="BM395">
        <v>1</v>
      </c>
      <c r="BN395">
        <v>1</v>
      </c>
      <c r="BO395">
        <v>1</v>
      </c>
      <c r="BP395">
        <v>0</v>
      </c>
      <c r="BS395">
        <v>0</v>
      </c>
      <c r="BT395">
        <v>0</v>
      </c>
      <c r="BU395">
        <v>0</v>
      </c>
      <c r="CE395" t="str">
        <f t="shared" si="145"/>
        <v>19:26:43.894</v>
      </c>
      <c r="CF395">
        <v>1894164268</v>
      </c>
      <c r="CS395">
        <v>3</v>
      </c>
      <c r="CT395">
        <v>2</v>
      </c>
      <c r="CU395">
        <v>0</v>
      </c>
      <c r="CV395">
        <v>2</v>
      </c>
      <c r="CW395">
        <v>2</v>
      </c>
      <c r="CX395">
        <v>3</v>
      </c>
      <c r="CY395">
        <v>7</v>
      </c>
      <c r="CZ395" t="s">
        <v>131</v>
      </c>
      <c r="DA395">
        <v>300</v>
      </c>
      <c r="DB395">
        <v>0</v>
      </c>
      <c r="DC395" t="s">
        <v>176</v>
      </c>
      <c r="DD395" t="s">
        <v>177</v>
      </c>
      <c r="DG395">
        <v>5361674</v>
      </c>
      <c r="DI395">
        <v>1</v>
      </c>
      <c r="DJ395">
        <v>0</v>
      </c>
      <c r="DK395">
        <v>1</v>
      </c>
      <c r="DL395">
        <v>0</v>
      </c>
      <c r="DM395">
        <v>0</v>
      </c>
      <c r="DN395">
        <v>1</v>
      </c>
      <c r="DO395">
        <v>0</v>
      </c>
      <c r="DP395">
        <v>0</v>
      </c>
      <c r="DQ395">
        <v>0</v>
      </c>
      <c r="DR395">
        <v>0</v>
      </c>
      <c r="DS395">
        <v>0</v>
      </c>
    </row>
    <row r="396" spans="1:123" x14ac:dyDescent="0.3">
      <c r="A396" t="str">
        <f>"10/04/2022 19:26:44.166"</f>
        <v>10/04/2022 19:26:44.166</v>
      </c>
      <c r="C396" t="str">
        <f t="shared" si="141"/>
        <v>FFDFD3C0</v>
      </c>
      <c r="D396" t="s">
        <v>123</v>
      </c>
      <c r="E396">
        <v>7</v>
      </c>
      <c r="F396">
        <v>2007</v>
      </c>
      <c r="G396" t="s">
        <v>124</v>
      </c>
      <c r="J396" t="s">
        <v>125</v>
      </c>
      <c r="K396">
        <v>0</v>
      </c>
      <c r="L396">
        <v>3</v>
      </c>
      <c r="M396">
        <v>0</v>
      </c>
      <c r="N396">
        <v>2</v>
      </c>
      <c r="O396">
        <v>0</v>
      </c>
      <c r="P396">
        <v>1</v>
      </c>
      <c r="Q396">
        <v>0</v>
      </c>
      <c r="S396" t="str">
        <f t="shared" si="144"/>
        <v>19:26:42.891</v>
      </c>
      <c r="T396" t="str">
        <f t="shared" si="144"/>
        <v>19:26:42.891</v>
      </c>
      <c r="U396" t="str">
        <f t="shared" si="142"/>
        <v>AC3944</v>
      </c>
      <c r="V396">
        <v>0</v>
      </c>
      <c r="W396">
        <v>0</v>
      </c>
      <c r="X396">
        <v>2</v>
      </c>
      <c r="Y396">
        <v>0</v>
      </c>
      <c r="AA396">
        <v>0</v>
      </c>
      <c r="AB396">
        <v>8</v>
      </c>
      <c r="AC396">
        <v>3</v>
      </c>
      <c r="AD396">
        <v>0</v>
      </c>
      <c r="AE396">
        <v>9</v>
      </c>
      <c r="AF396" t="s">
        <v>138</v>
      </c>
      <c r="AG396">
        <v>0</v>
      </c>
      <c r="AH396">
        <v>3</v>
      </c>
      <c r="AI396">
        <v>1</v>
      </c>
      <c r="AJ396">
        <v>0</v>
      </c>
      <c r="AK396" t="s">
        <v>270</v>
      </c>
      <c r="AL396">
        <v>32.818500999999998</v>
      </c>
      <c r="AM396" t="s">
        <v>271</v>
      </c>
      <c r="AN396">
        <v>-116.99491</v>
      </c>
      <c r="AO396">
        <v>25</v>
      </c>
      <c r="AP396">
        <v>1800</v>
      </c>
      <c r="AQ396" t="s">
        <v>129</v>
      </c>
      <c r="AR396">
        <v>114</v>
      </c>
      <c r="AS396">
        <v>-53</v>
      </c>
      <c r="AT396">
        <v>448</v>
      </c>
      <c r="BB396">
        <v>1200</v>
      </c>
      <c r="BC396">
        <v>1</v>
      </c>
      <c r="BD396" t="str">
        <f t="shared" si="143"/>
        <v xml:space="preserve">N887QR  </v>
      </c>
      <c r="BE396">
        <v>1</v>
      </c>
      <c r="BG396">
        <v>0</v>
      </c>
      <c r="BH396">
        <v>0</v>
      </c>
      <c r="BI396">
        <v>0</v>
      </c>
      <c r="BJ396">
        <v>1450</v>
      </c>
      <c r="BK396">
        <v>-350</v>
      </c>
      <c r="BL396" t="s">
        <v>163</v>
      </c>
      <c r="BM396">
        <v>1</v>
      </c>
      <c r="BN396">
        <v>1</v>
      </c>
      <c r="BO396">
        <v>1</v>
      </c>
      <c r="BP396">
        <v>0</v>
      </c>
      <c r="BS396">
        <v>0</v>
      </c>
      <c r="BT396">
        <v>0</v>
      </c>
      <c r="BU396">
        <v>0</v>
      </c>
      <c r="CE396" t="str">
        <f t="shared" si="145"/>
        <v>19:26:43.894</v>
      </c>
      <c r="CF396">
        <v>1894164268</v>
      </c>
      <c r="CS396">
        <v>3</v>
      </c>
      <c r="CT396">
        <v>2</v>
      </c>
      <c r="CU396">
        <v>0</v>
      </c>
      <c r="CV396">
        <v>2</v>
      </c>
      <c r="CW396">
        <v>2</v>
      </c>
      <c r="CX396">
        <v>3</v>
      </c>
      <c r="CY396">
        <v>7</v>
      </c>
      <c r="CZ396" t="s">
        <v>131</v>
      </c>
      <c r="DA396">
        <v>300</v>
      </c>
      <c r="DB396">
        <v>0</v>
      </c>
      <c r="DC396" t="s">
        <v>176</v>
      </c>
      <c r="DD396" t="s">
        <v>177</v>
      </c>
      <c r="DG396">
        <v>5361674</v>
      </c>
      <c r="DI396">
        <v>1</v>
      </c>
      <c r="DJ396">
        <v>0</v>
      </c>
      <c r="DK396">
        <v>1</v>
      </c>
      <c r="DL396">
        <v>0</v>
      </c>
      <c r="DM396">
        <v>0</v>
      </c>
      <c r="DN396">
        <v>1</v>
      </c>
      <c r="DO396">
        <v>0</v>
      </c>
      <c r="DP396">
        <v>0</v>
      </c>
      <c r="DQ396">
        <v>0</v>
      </c>
      <c r="DR396">
        <v>0</v>
      </c>
      <c r="DS396">
        <v>0</v>
      </c>
    </row>
    <row r="397" spans="1:123" x14ac:dyDescent="0.3">
      <c r="A397" t="str">
        <f>"10/04/2022 19:26:44.166"</f>
        <v>10/04/2022 19:26:44.166</v>
      </c>
      <c r="C397" t="str">
        <f t="shared" si="141"/>
        <v>FFDFD3C0</v>
      </c>
      <c r="D397" t="s">
        <v>141</v>
      </c>
      <c r="E397">
        <v>3</v>
      </c>
      <c r="H397">
        <v>3</v>
      </c>
      <c r="I397" t="s">
        <v>146</v>
      </c>
      <c r="J397" t="s">
        <v>138</v>
      </c>
      <c r="K397">
        <v>0</v>
      </c>
      <c r="L397">
        <v>3</v>
      </c>
      <c r="M397">
        <v>0</v>
      </c>
      <c r="N397">
        <v>2</v>
      </c>
      <c r="O397">
        <v>0</v>
      </c>
      <c r="P397">
        <v>1</v>
      </c>
      <c r="Q397">
        <v>0</v>
      </c>
      <c r="S397" t="str">
        <f t="shared" si="144"/>
        <v>19:26:42.891</v>
      </c>
      <c r="T397" t="str">
        <f t="shared" si="144"/>
        <v>19:26:42.891</v>
      </c>
      <c r="U397" t="str">
        <f t="shared" si="142"/>
        <v>AC3944</v>
      </c>
      <c r="V397">
        <v>0</v>
      </c>
      <c r="W397">
        <v>0</v>
      </c>
      <c r="X397">
        <v>2</v>
      </c>
      <c r="Y397">
        <v>0</v>
      </c>
      <c r="AA397">
        <v>0</v>
      </c>
      <c r="AB397">
        <v>8</v>
      </c>
      <c r="AC397">
        <v>3</v>
      </c>
      <c r="AD397">
        <v>0</v>
      </c>
      <c r="AE397">
        <v>9</v>
      </c>
      <c r="AF397" t="s">
        <v>138</v>
      </c>
      <c r="AG397">
        <v>0</v>
      </c>
      <c r="AH397">
        <v>3</v>
      </c>
      <c r="AI397">
        <v>1</v>
      </c>
      <c r="AJ397">
        <v>0</v>
      </c>
      <c r="AK397" t="s">
        <v>270</v>
      </c>
      <c r="AL397">
        <v>32.818500999999998</v>
      </c>
      <c r="AM397" t="s">
        <v>271</v>
      </c>
      <c r="AN397">
        <v>-116.99491</v>
      </c>
      <c r="AO397">
        <v>25</v>
      </c>
      <c r="AP397">
        <v>1800</v>
      </c>
      <c r="AQ397" t="s">
        <v>129</v>
      </c>
      <c r="AR397">
        <v>114</v>
      </c>
      <c r="AS397">
        <v>-53</v>
      </c>
      <c r="AT397">
        <v>448</v>
      </c>
      <c r="BB397">
        <v>1200</v>
      </c>
      <c r="BC397">
        <v>1</v>
      </c>
      <c r="BD397" t="str">
        <f t="shared" si="143"/>
        <v xml:space="preserve">N887QR  </v>
      </c>
      <c r="BE397">
        <v>1</v>
      </c>
      <c r="BG397">
        <v>0</v>
      </c>
      <c r="BH397">
        <v>0</v>
      </c>
      <c r="BI397">
        <v>0</v>
      </c>
      <c r="BJ397">
        <v>1450</v>
      </c>
      <c r="BK397">
        <v>-350</v>
      </c>
      <c r="BL397" t="s">
        <v>163</v>
      </c>
      <c r="BM397">
        <v>1</v>
      </c>
      <c r="BN397">
        <v>1</v>
      </c>
      <c r="BO397">
        <v>1</v>
      </c>
      <c r="BP397">
        <v>0</v>
      </c>
      <c r="BS397">
        <v>0</v>
      </c>
      <c r="BT397">
        <v>0</v>
      </c>
      <c r="BU397">
        <v>0</v>
      </c>
      <c r="CE397" t="str">
        <f t="shared" si="145"/>
        <v>19:26:43.894</v>
      </c>
      <c r="CF397">
        <v>1894164268</v>
      </c>
      <c r="CS397">
        <v>3</v>
      </c>
      <c r="CT397">
        <v>2</v>
      </c>
      <c r="CU397">
        <v>0</v>
      </c>
      <c r="CV397">
        <v>2</v>
      </c>
      <c r="CW397">
        <v>2</v>
      </c>
      <c r="CX397">
        <v>3</v>
      </c>
      <c r="CY397">
        <v>7</v>
      </c>
      <c r="CZ397" t="s">
        <v>131</v>
      </c>
      <c r="DA397">
        <v>300</v>
      </c>
      <c r="DB397">
        <v>0</v>
      </c>
      <c r="DC397" t="s">
        <v>176</v>
      </c>
      <c r="DD397" t="s">
        <v>177</v>
      </c>
      <c r="DG397">
        <v>5361674</v>
      </c>
      <c r="DI397">
        <v>1</v>
      </c>
      <c r="DJ397">
        <v>0</v>
      </c>
      <c r="DK397">
        <v>1</v>
      </c>
      <c r="DL397">
        <v>0</v>
      </c>
      <c r="DM397">
        <v>0</v>
      </c>
      <c r="DN397">
        <v>1</v>
      </c>
      <c r="DO397">
        <v>0</v>
      </c>
      <c r="DP397">
        <v>0</v>
      </c>
      <c r="DQ397">
        <v>0</v>
      </c>
      <c r="DR397">
        <v>0</v>
      </c>
      <c r="DS397">
        <v>0</v>
      </c>
    </row>
    <row r="398" spans="1:123" x14ac:dyDescent="0.3">
      <c r="A398" t="str">
        <f>"10/04/2022 19:26:45.745"</f>
        <v>10/04/2022 19:26:45.745</v>
      </c>
      <c r="C398" t="str">
        <f t="shared" si="141"/>
        <v>FFDFD3C0</v>
      </c>
      <c r="D398" t="s">
        <v>123</v>
      </c>
      <c r="E398">
        <v>7</v>
      </c>
      <c r="F398">
        <v>2007</v>
      </c>
      <c r="G398" t="s">
        <v>124</v>
      </c>
      <c r="J398" t="s">
        <v>125</v>
      </c>
      <c r="K398">
        <v>0</v>
      </c>
      <c r="L398">
        <v>3</v>
      </c>
      <c r="M398">
        <v>0</v>
      </c>
      <c r="N398">
        <v>2</v>
      </c>
      <c r="O398">
        <v>0</v>
      </c>
      <c r="P398">
        <v>1</v>
      </c>
      <c r="Q398">
        <v>0</v>
      </c>
      <c r="S398" t="str">
        <f t="shared" ref="S398:T404" si="146">"19:26:44.500"</f>
        <v>19:26:44.500</v>
      </c>
      <c r="T398" t="str">
        <f t="shared" si="146"/>
        <v>19:26:44.500</v>
      </c>
      <c r="U398" t="str">
        <f t="shared" si="142"/>
        <v>AC3944</v>
      </c>
      <c r="V398">
        <v>0</v>
      </c>
      <c r="W398">
        <v>0</v>
      </c>
      <c r="X398">
        <v>2</v>
      </c>
      <c r="Y398">
        <v>0</v>
      </c>
      <c r="AA398">
        <v>0</v>
      </c>
      <c r="AB398">
        <v>8</v>
      </c>
      <c r="AC398">
        <v>3</v>
      </c>
      <c r="AD398">
        <v>0</v>
      </c>
      <c r="AE398">
        <v>9</v>
      </c>
      <c r="AF398" t="s">
        <v>138</v>
      </c>
      <c r="AG398">
        <v>0</v>
      </c>
      <c r="AH398">
        <v>3</v>
      </c>
      <c r="AI398">
        <v>1</v>
      </c>
      <c r="AJ398">
        <v>0</v>
      </c>
      <c r="AK398" t="s">
        <v>272</v>
      </c>
      <c r="AL398">
        <v>32.818264999999997</v>
      </c>
      <c r="AM398" t="s">
        <v>273</v>
      </c>
      <c r="AN398">
        <v>-116.99426699999999</v>
      </c>
      <c r="AO398">
        <v>25</v>
      </c>
      <c r="AP398">
        <v>1800</v>
      </c>
      <c r="AQ398" t="s">
        <v>129</v>
      </c>
      <c r="AR398">
        <v>125</v>
      </c>
      <c r="AS398">
        <v>-37</v>
      </c>
      <c r="AT398">
        <v>-64</v>
      </c>
      <c r="BB398">
        <v>1200</v>
      </c>
      <c r="BC398">
        <v>1</v>
      </c>
      <c r="BD398" t="str">
        <f t="shared" si="143"/>
        <v xml:space="preserve">N887QR  </v>
      </c>
      <c r="BE398">
        <v>1</v>
      </c>
      <c r="BG398">
        <v>0</v>
      </c>
      <c r="BH398">
        <v>0</v>
      </c>
      <c r="BI398">
        <v>0</v>
      </c>
      <c r="BJ398">
        <v>1450</v>
      </c>
      <c r="BK398">
        <v>-350</v>
      </c>
      <c r="BL398" t="s">
        <v>163</v>
      </c>
      <c r="BM398">
        <v>1</v>
      </c>
      <c r="BN398">
        <v>1</v>
      </c>
      <c r="BO398">
        <v>1</v>
      </c>
      <c r="BP398">
        <v>0</v>
      </c>
      <c r="BS398">
        <v>0</v>
      </c>
      <c r="BT398">
        <v>0</v>
      </c>
      <c r="BU398">
        <v>0</v>
      </c>
      <c r="CE398" t="str">
        <f t="shared" ref="CE398:CE404" si="147">"19:26:45.503"</f>
        <v>19:26:45.503</v>
      </c>
      <c r="CF398">
        <v>1502693489</v>
      </c>
      <c r="CS398">
        <v>3</v>
      </c>
      <c r="CT398">
        <v>2</v>
      </c>
      <c r="CU398">
        <v>0</v>
      </c>
      <c r="CV398">
        <v>2</v>
      </c>
      <c r="CW398">
        <v>0</v>
      </c>
      <c r="CX398">
        <v>4</v>
      </c>
      <c r="CY398">
        <v>7</v>
      </c>
      <c r="CZ398" t="s">
        <v>131</v>
      </c>
      <c r="DA398">
        <v>286</v>
      </c>
      <c r="DB398">
        <v>0</v>
      </c>
      <c r="DC398" t="s">
        <v>132</v>
      </c>
      <c r="DD398" t="s">
        <v>133</v>
      </c>
      <c r="DG398">
        <v>792837</v>
      </c>
      <c r="DI398">
        <v>1</v>
      </c>
      <c r="DJ398">
        <v>0</v>
      </c>
      <c r="DK398">
        <v>0</v>
      </c>
      <c r="DL398">
        <v>0</v>
      </c>
      <c r="DM398">
        <v>0</v>
      </c>
      <c r="DN398">
        <v>1</v>
      </c>
      <c r="DO398">
        <v>0</v>
      </c>
      <c r="DP398">
        <v>0</v>
      </c>
      <c r="DQ398">
        <v>0</v>
      </c>
      <c r="DR398">
        <v>0</v>
      </c>
      <c r="DS398">
        <v>0</v>
      </c>
    </row>
    <row r="399" spans="1:123" x14ac:dyDescent="0.3">
      <c r="A399" t="str">
        <f>"10/04/2022 19:26:45.745"</f>
        <v>10/04/2022 19:26:45.745</v>
      </c>
      <c r="C399" t="str">
        <f t="shared" si="141"/>
        <v>FFDFD3C0</v>
      </c>
      <c r="D399" t="s">
        <v>141</v>
      </c>
      <c r="E399">
        <v>3</v>
      </c>
      <c r="H399">
        <v>3</v>
      </c>
      <c r="I399" t="s">
        <v>146</v>
      </c>
      <c r="J399" t="s">
        <v>138</v>
      </c>
      <c r="K399">
        <v>0</v>
      </c>
      <c r="L399">
        <v>3</v>
      </c>
      <c r="M399">
        <v>0</v>
      </c>
      <c r="N399">
        <v>2</v>
      </c>
      <c r="O399">
        <v>0</v>
      </c>
      <c r="P399">
        <v>1</v>
      </c>
      <c r="Q399">
        <v>0</v>
      </c>
      <c r="S399" t="str">
        <f t="shared" si="146"/>
        <v>19:26:44.500</v>
      </c>
      <c r="T399" t="str">
        <f t="shared" si="146"/>
        <v>19:26:44.500</v>
      </c>
      <c r="U399" t="str">
        <f t="shared" si="142"/>
        <v>AC3944</v>
      </c>
      <c r="V399">
        <v>0</v>
      </c>
      <c r="W399">
        <v>0</v>
      </c>
      <c r="X399">
        <v>2</v>
      </c>
      <c r="Y399">
        <v>0</v>
      </c>
      <c r="AA399">
        <v>0</v>
      </c>
      <c r="AB399">
        <v>8</v>
      </c>
      <c r="AC399">
        <v>3</v>
      </c>
      <c r="AD399">
        <v>0</v>
      </c>
      <c r="AE399">
        <v>9</v>
      </c>
      <c r="AF399" t="s">
        <v>138</v>
      </c>
      <c r="AG399">
        <v>0</v>
      </c>
      <c r="AH399">
        <v>3</v>
      </c>
      <c r="AI399">
        <v>1</v>
      </c>
      <c r="AJ399">
        <v>0</v>
      </c>
      <c r="AK399" t="s">
        <v>272</v>
      </c>
      <c r="AL399">
        <v>32.818264999999997</v>
      </c>
      <c r="AM399" t="s">
        <v>273</v>
      </c>
      <c r="AN399">
        <v>-116.99426699999999</v>
      </c>
      <c r="AO399">
        <v>25</v>
      </c>
      <c r="AP399">
        <v>1800</v>
      </c>
      <c r="AQ399" t="s">
        <v>129</v>
      </c>
      <c r="AR399">
        <v>125</v>
      </c>
      <c r="AS399">
        <v>-37</v>
      </c>
      <c r="AT399">
        <v>-64</v>
      </c>
      <c r="BB399">
        <v>1200</v>
      </c>
      <c r="BC399">
        <v>1</v>
      </c>
      <c r="BD399" t="str">
        <f t="shared" si="143"/>
        <v xml:space="preserve">N887QR  </v>
      </c>
      <c r="BE399">
        <v>1</v>
      </c>
      <c r="BG399">
        <v>0</v>
      </c>
      <c r="BH399">
        <v>0</v>
      </c>
      <c r="BI399">
        <v>0</v>
      </c>
      <c r="BJ399">
        <v>1450</v>
      </c>
      <c r="BK399">
        <v>-350</v>
      </c>
      <c r="BL399" t="s">
        <v>163</v>
      </c>
      <c r="BM399">
        <v>1</v>
      </c>
      <c r="BN399">
        <v>1</v>
      </c>
      <c r="BO399">
        <v>1</v>
      </c>
      <c r="BP399">
        <v>0</v>
      </c>
      <c r="BS399">
        <v>0</v>
      </c>
      <c r="BT399">
        <v>0</v>
      </c>
      <c r="BU399">
        <v>0</v>
      </c>
      <c r="CE399" t="str">
        <f t="shared" si="147"/>
        <v>19:26:45.503</v>
      </c>
      <c r="CF399">
        <v>1502693489</v>
      </c>
      <c r="CS399">
        <v>3</v>
      </c>
      <c r="CT399">
        <v>2</v>
      </c>
      <c r="CU399">
        <v>0</v>
      </c>
      <c r="CV399">
        <v>2</v>
      </c>
      <c r="CW399">
        <v>0</v>
      </c>
      <c r="CX399">
        <v>4</v>
      </c>
      <c r="CY399">
        <v>7</v>
      </c>
      <c r="CZ399" t="s">
        <v>131</v>
      </c>
      <c r="DA399">
        <v>286</v>
      </c>
      <c r="DB399">
        <v>0</v>
      </c>
      <c r="DC399" t="s">
        <v>132</v>
      </c>
      <c r="DD399" t="s">
        <v>133</v>
      </c>
      <c r="DG399">
        <v>792837</v>
      </c>
      <c r="DI399">
        <v>1</v>
      </c>
      <c r="DJ399">
        <v>0</v>
      </c>
      <c r="DK399">
        <v>1</v>
      </c>
      <c r="DL399">
        <v>0</v>
      </c>
      <c r="DM399">
        <v>0</v>
      </c>
      <c r="DN399">
        <v>1</v>
      </c>
      <c r="DO399">
        <v>0</v>
      </c>
      <c r="DP399">
        <v>0</v>
      </c>
      <c r="DQ399">
        <v>0</v>
      </c>
      <c r="DR399">
        <v>0</v>
      </c>
      <c r="DS399">
        <v>0</v>
      </c>
    </row>
    <row r="400" spans="1:123" x14ac:dyDescent="0.3">
      <c r="A400" t="str">
        <f>"10/04/2022 19:26:45.761"</f>
        <v>10/04/2022 19:26:45.761</v>
      </c>
      <c r="C400" t="str">
        <f t="shared" si="141"/>
        <v>FFDFD3C0</v>
      </c>
      <c r="D400" t="s">
        <v>136</v>
      </c>
      <c r="E400">
        <v>8</v>
      </c>
      <c r="H400">
        <v>225</v>
      </c>
      <c r="I400" t="s">
        <v>137</v>
      </c>
      <c r="J400" t="s">
        <v>138</v>
      </c>
      <c r="K400">
        <v>0</v>
      </c>
      <c r="L400">
        <v>3</v>
      </c>
      <c r="M400">
        <v>0</v>
      </c>
      <c r="N400">
        <v>2</v>
      </c>
      <c r="O400">
        <v>0</v>
      </c>
      <c r="P400">
        <v>1</v>
      </c>
      <c r="Q400">
        <v>0</v>
      </c>
      <c r="S400" t="str">
        <f t="shared" si="146"/>
        <v>19:26:44.500</v>
      </c>
      <c r="T400" t="str">
        <f t="shared" si="146"/>
        <v>19:26:44.500</v>
      </c>
      <c r="U400" t="str">
        <f t="shared" si="142"/>
        <v>AC3944</v>
      </c>
      <c r="V400">
        <v>0</v>
      </c>
      <c r="W400">
        <v>0</v>
      </c>
      <c r="X400">
        <v>2</v>
      </c>
      <c r="Y400">
        <v>0</v>
      </c>
      <c r="AA400">
        <v>0</v>
      </c>
      <c r="AB400">
        <v>8</v>
      </c>
      <c r="AC400">
        <v>3</v>
      </c>
      <c r="AD400">
        <v>0</v>
      </c>
      <c r="AE400">
        <v>9</v>
      </c>
      <c r="AF400" t="s">
        <v>138</v>
      </c>
      <c r="AG400">
        <v>0</v>
      </c>
      <c r="AH400">
        <v>3</v>
      </c>
      <c r="AI400">
        <v>1</v>
      </c>
      <c r="AJ400">
        <v>0</v>
      </c>
      <c r="AK400" t="s">
        <v>272</v>
      </c>
      <c r="AL400">
        <v>32.818264999999997</v>
      </c>
      <c r="AM400" t="s">
        <v>273</v>
      </c>
      <c r="AN400">
        <v>-116.99426699999999</v>
      </c>
      <c r="AO400">
        <v>25</v>
      </c>
      <c r="AP400">
        <v>1800</v>
      </c>
      <c r="AQ400" t="s">
        <v>129</v>
      </c>
      <c r="AR400">
        <v>125</v>
      </c>
      <c r="AS400">
        <v>-37</v>
      </c>
      <c r="AT400">
        <v>-64</v>
      </c>
      <c r="BB400">
        <v>1200</v>
      </c>
      <c r="BC400">
        <v>1</v>
      </c>
      <c r="BD400" t="str">
        <f t="shared" si="143"/>
        <v xml:space="preserve">N887QR  </v>
      </c>
      <c r="BE400">
        <v>1</v>
      </c>
      <c r="BG400">
        <v>0</v>
      </c>
      <c r="BH400">
        <v>0</v>
      </c>
      <c r="BI400">
        <v>0</v>
      </c>
      <c r="BJ400">
        <v>1450</v>
      </c>
      <c r="BK400">
        <v>-350</v>
      </c>
      <c r="BL400" t="s">
        <v>163</v>
      </c>
      <c r="BM400">
        <v>1</v>
      </c>
      <c r="BN400">
        <v>1</v>
      </c>
      <c r="BO400">
        <v>1</v>
      </c>
      <c r="BP400">
        <v>0</v>
      </c>
      <c r="BS400">
        <v>0</v>
      </c>
      <c r="BT400">
        <v>0</v>
      </c>
      <c r="BU400">
        <v>0</v>
      </c>
      <c r="CE400" t="str">
        <f t="shared" si="147"/>
        <v>19:26:45.503</v>
      </c>
      <c r="CF400">
        <v>1502693489</v>
      </c>
      <c r="CS400">
        <v>3</v>
      </c>
      <c r="CT400">
        <v>2</v>
      </c>
      <c r="CU400">
        <v>0</v>
      </c>
      <c r="CV400">
        <v>2</v>
      </c>
      <c r="CW400">
        <v>0</v>
      </c>
      <c r="CX400">
        <v>4</v>
      </c>
      <c r="CY400">
        <v>7</v>
      </c>
      <c r="CZ400" t="s">
        <v>131</v>
      </c>
      <c r="DA400">
        <v>286</v>
      </c>
      <c r="DB400">
        <v>0</v>
      </c>
      <c r="DC400" t="s">
        <v>132</v>
      </c>
      <c r="DD400" t="s">
        <v>133</v>
      </c>
      <c r="DG400">
        <v>792837</v>
      </c>
      <c r="DI400">
        <v>1</v>
      </c>
      <c r="DJ400">
        <v>0</v>
      </c>
      <c r="DK400">
        <v>1</v>
      </c>
      <c r="DL400">
        <v>0</v>
      </c>
      <c r="DM400">
        <v>0</v>
      </c>
      <c r="DN400">
        <v>1</v>
      </c>
      <c r="DO400">
        <v>0</v>
      </c>
      <c r="DP400">
        <v>0</v>
      </c>
      <c r="DQ400">
        <v>0</v>
      </c>
      <c r="DR400">
        <v>0</v>
      </c>
      <c r="DS400">
        <v>0</v>
      </c>
    </row>
    <row r="401" spans="1:123" x14ac:dyDescent="0.3">
      <c r="A401" t="str">
        <f>"10/04/2022 19:26:45.761"</f>
        <v>10/04/2022 19:26:45.761</v>
      </c>
      <c r="C401" t="str">
        <f t="shared" si="141"/>
        <v>FFDFD3C0</v>
      </c>
      <c r="D401" t="s">
        <v>134</v>
      </c>
      <c r="E401">
        <v>15</v>
      </c>
      <c r="J401" t="s">
        <v>135</v>
      </c>
      <c r="K401">
        <v>0</v>
      </c>
      <c r="L401">
        <v>3</v>
      </c>
      <c r="M401">
        <v>0</v>
      </c>
      <c r="N401">
        <v>2</v>
      </c>
      <c r="O401">
        <v>0</v>
      </c>
      <c r="P401">
        <v>1</v>
      </c>
      <c r="Q401">
        <v>0</v>
      </c>
      <c r="S401" t="str">
        <f t="shared" si="146"/>
        <v>19:26:44.500</v>
      </c>
      <c r="T401" t="str">
        <f t="shared" si="146"/>
        <v>19:26:44.500</v>
      </c>
      <c r="U401" t="str">
        <f t="shared" si="142"/>
        <v>AC3944</v>
      </c>
      <c r="V401">
        <v>0</v>
      </c>
      <c r="W401">
        <v>0</v>
      </c>
      <c r="X401">
        <v>2</v>
      </c>
      <c r="Y401">
        <v>0</v>
      </c>
      <c r="AA401">
        <v>0</v>
      </c>
      <c r="AB401">
        <v>8</v>
      </c>
      <c r="AC401">
        <v>3</v>
      </c>
      <c r="AD401">
        <v>0</v>
      </c>
      <c r="AE401">
        <v>9</v>
      </c>
      <c r="AF401" t="s">
        <v>138</v>
      </c>
      <c r="AG401">
        <v>0</v>
      </c>
      <c r="AH401">
        <v>3</v>
      </c>
      <c r="AI401">
        <v>1</v>
      </c>
      <c r="AJ401">
        <v>0</v>
      </c>
      <c r="AK401" t="s">
        <v>272</v>
      </c>
      <c r="AL401">
        <v>32.818264999999997</v>
      </c>
      <c r="AM401" t="s">
        <v>273</v>
      </c>
      <c r="AN401">
        <v>-116.99426699999999</v>
      </c>
      <c r="AO401">
        <v>25</v>
      </c>
      <c r="AP401">
        <v>1800</v>
      </c>
      <c r="AQ401" t="s">
        <v>129</v>
      </c>
      <c r="AR401">
        <v>125</v>
      </c>
      <c r="AS401">
        <v>-37</v>
      </c>
      <c r="AT401">
        <v>-64</v>
      </c>
      <c r="BB401">
        <v>1200</v>
      </c>
      <c r="BC401">
        <v>1</v>
      </c>
      <c r="BD401" t="str">
        <f t="shared" si="143"/>
        <v xml:space="preserve">N887QR  </v>
      </c>
      <c r="BE401">
        <v>1</v>
      </c>
      <c r="BG401">
        <v>0</v>
      </c>
      <c r="BH401">
        <v>0</v>
      </c>
      <c r="BI401">
        <v>0</v>
      </c>
      <c r="BJ401">
        <v>1450</v>
      </c>
      <c r="BK401">
        <v>-350</v>
      </c>
      <c r="BL401" t="s">
        <v>163</v>
      </c>
      <c r="BM401">
        <v>1</v>
      </c>
      <c r="BN401">
        <v>1</v>
      </c>
      <c r="BO401">
        <v>1</v>
      </c>
      <c r="BP401">
        <v>0</v>
      </c>
      <c r="BS401">
        <v>0</v>
      </c>
      <c r="BT401">
        <v>0</v>
      </c>
      <c r="BU401">
        <v>0</v>
      </c>
      <c r="CE401" t="str">
        <f t="shared" si="147"/>
        <v>19:26:45.503</v>
      </c>
      <c r="CF401">
        <v>1502693489</v>
      </c>
      <c r="CS401">
        <v>3</v>
      </c>
      <c r="CT401">
        <v>2</v>
      </c>
      <c r="CU401">
        <v>0</v>
      </c>
      <c r="CV401">
        <v>2</v>
      </c>
      <c r="CW401">
        <v>0</v>
      </c>
      <c r="CX401">
        <v>4</v>
      </c>
      <c r="CY401">
        <v>7</v>
      </c>
      <c r="CZ401" t="s">
        <v>131</v>
      </c>
      <c r="DA401">
        <v>286</v>
      </c>
      <c r="DB401">
        <v>0</v>
      </c>
      <c r="DC401" t="s">
        <v>132</v>
      </c>
      <c r="DD401" t="s">
        <v>133</v>
      </c>
      <c r="DG401">
        <v>792837</v>
      </c>
      <c r="DI401">
        <v>1</v>
      </c>
      <c r="DJ401">
        <v>0</v>
      </c>
      <c r="DK401">
        <v>1</v>
      </c>
      <c r="DL401">
        <v>0</v>
      </c>
      <c r="DM401">
        <v>0</v>
      </c>
      <c r="DN401">
        <v>1</v>
      </c>
      <c r="DO401">
        <v>0</v>
      </c>
      <c r="DP401">
        <v>0</v>
      </c>
      <c r="DQ401">
        <v>0</v>
      </c>
      <c r="DR401">
        <v>0</v>
      </c>
      <c r="DS401">
        <v>0</v>
      </c>
    </row>
    <row r="402" spans="1:123" x14ac:dyDescent="0.3">
      <c r="A402" t="str">
        <f>"10/04/2022 19:26:45.761"</f>
        <v>10/04/2022 19:26:45.761</v>
      </c>
      <c r="C402" t="str">
        <f t="shared" si="141"/>
        <v>FFDFD3C0</v>
      </c>
      <c r="D402" t="s">
        <v>147</v>
      </c>
      <c r="E402">
        <v>3</v>
      </c>
      <c r="H402">
        <v>166</v>
      </c>
      <c r="I402" t="s">
        <v>144</v>
      </c>
      <c r="J402" t="s">
        <v>148</v>
      </c>
      <c r="K402">
        <v>0</v>
      </c>
      <c r="L402">
        <v>3</v>
      </c>
      <c r="M402">
        <v>0</v>
      </c>
      <c r="N402">
        <v>2</v>
      </c>
      <c r="O402">
        <v>0</v>
      </c>
      <c r="P402">
        <v>1</v>
      </c>
      <c r="Q402">
        <v>0</v>
      </c>
      <c r="S402" t="str">
        <f t="shared" si="146"/>
        <v>19:26:44.500</v>
      </c>
      <c r="T402" t="str">
        <f t="shared" si="146"/>
        <v>19:26:44.500</v>
      </c>
      <c r="U402" t="str">
        <f t="shared" si="142"/>
        <v>AC3944</v>
      </c>
      <c r="V402">
        <v>0</v>
      </c>
      <c r="W402">
        <v>0</v>
      </c>
      <c r="X402">
        <v>2</v>
      </c>
      <c r="Y402">
        <v>0</v>
      </c>
      <c r="AA402">
        <v>0</v>
      </c>
      <c r="AB402">
        <v>8</v>
      </c>
      <c r="AC402">
        <v>3</v>
      </c>
      <c r="AD402">
        <v>0</v>
      </c>
      <c r="AE402">
        <v>9</v>
      </c>
      <c r="AF402" t="s">
        <v>138</v>
      </c>
      <c r="AG402">
        <v>0</v>
      </c>
      <c r="AH402">
        <v>3</v>
      </c>
      <c r="AI402">
        <v>1</v>
      </c>
      <c r="AJ402">
        <v>0</v>
      </c>
      <c r="AK402" t="s">
        <v>272</v>
      </c>
      <c r="AL402">
        <v>32.818264999999997</v>
      </c>
      <c r="AM402" t="s">
        <v>273</v>
      </c>
      <c r="AN402">
        <v>-116.99426699999999</v>
      </c>
      <c r="AO402">
        <v>25</v>
      </c>
      <c r="AP402">
        <v>1800</v>
      </c>
      <c r="AQ402" t="s">
        <v>129</v>
      </c>
      <c r="AR402">
        <v>125</v>
      </c>
      <c r="AS402">
        <v>-37</v>
      </c>
      <c r="AT402">
        <v>-64</v>
      </c>
      <c r="BB402">
        <v>1200</v>
      </c>
      <c r="BC402">
        <v>1</v>
      </c>
      <c r="BD402" t="str">
        <f t="shared" si="143"/>
        <v xml:space="preserve">N887QR  </v>
      </c>
      <c r="BE402">
        <v>1</v>
      </c>
      <c r="BG402">
        <v>0</v>
      </c>
      <c r="BH402">
        <v>0</v>
      </c>
      <c r="BI402">
        <v>0</v>
      </c>
      <c r="BJ402">
        <v>1450</v>
      </c>
      <c r="BK402">
        <v>-350</v>
      </c>
      <c r="BL402" t="s">
        <v>163</v>
      </c>
      <c r="BM402">
        <v>1</v>
      </c>
      <c r="BN402">
        <v>1</v>
      </c>
      <c r="BO402">
        <v>1</v>
      </c>
      <c r="BP402">
        <v>0</v>
      </c>
      <c r="BS402">
        <v>0</v>
      </c>
      <c r="BT402">
        <v>0</v>
      </c>
      <c r="BU402">
        <v>0</v>
      </c>
      <c r="CE402" t="str">
        <f t="shared" si="147"/>
        <v>19:26:45.503</v>
      </c>
      <c r="CF402">
        <v>1502693489</v>
      </c>
      <c r="CS402">
        <v>3</v>
      </c>
      <c r="CT402">
        <v>2</v>
      </c>
      <c r="CU402">
        <v>0</v>
      </c>
      <c r="CV402">
        <v>2</v>
      </c>
      <c r="CW402">
        <v>0</v>
      </c>
      <c r="CX402">
        <v>4</v>
      </c>
      <c r="CY402">
        <v>7</v>
      </c>
      <c r="CZ402" t="s">
        <v>131</v>
      </c>
      <c r="DA402">
        <v>286</v>
      </c>
      <c r="DB402">
        <v>0</v>
      </c>
      <c r="DC402" t="s">
        <v>132</v>
      </c>
      <c r="DD402" t="s">
        <v>133</v>
      </c>
      <c r="DG402">
        <v>792837</v>
      </c>
      <c r="DI402">
        <v>1</v>
      </c>
      <c r="DJ402">
        <v>0</v>
      </c>
      <c r="DK402">
        <v>1</v>
      </c>
      <c r="DL402">
        <v>0</v>
      </c>
      <c r="DM402">
        <v>0</v>
      </c>
      <c r="DN402">
        <v>1</v>
      </c>
      <c r="DO402">
        <v>0</v>
      </c>
      <c r="DP402">
        <v>0</v>
      </c>
      <c r="DQ402">
        <v>0</v>
      </c>
      <c r="DR402">
        <v>0</v>
      </c>
      <c r="DS402">
        <v>0</v>
      </c>
    </row>
    <row r="403" spans="1:123" x14ac:dyDescent="0.3">
      <c r="A403" t="str">
        <f>"10/04/2022 19:26:45.761"</f>
        <v>10/04/2022 19:26:45.761</v>
      </c>
      <c r="C403" t="str">
        <f t="shared" si="141"/>
        <v>FFDFD3C0</v>
      </c>
      <c r="D403" t="s">
        <v>143</v>
      </c>
      <c r="E403">
        <v>20</v>
      </c>
      <c r="F403">
        <v>1020</v>
      </c>
      <c r="G403" t="s">
        <v>144</v>
      </c>
      <c r="J403" t="s">
        <v>145</v>
      </c>
      <c r="K403">
        <v>0</v>
      </c>
      <c r="L403">
        <v>3</v>
      </c>
      <c r="M403">
        <v>0</v>
      </c>
      <c r="N403">
        <v>2</v>
      </c>
      <c r="O403">
        <v>0</v>
      </c>
      <c r="P403">
        <v>1</v>
      </c>
      <c r="Q403">
        <v>0</v>
      </c>
      <c r="S403" t="str">
        <f t="shared" si="146"/>
        <v>19:26:44.500</v>
      </c>
      <c r="T403" t="str">
        <f t="shared" si="146"/>
        <v>19:26:44.500</v>
      </c>
      <c r="U403" t="str">
        <f t="shared" si="142"/>
        <v>AC3944</v>
      </c>
      <c r="V403">
        <v>0</v>
      </c>
      <c r="W403">
        <v>0</v>
      </c>
      <c r="X403">
        <v>2</v>
      </c>
      <c r="Y403">
        <v>0</v>
      </c>
      <c r="AA403">
        <v>0</v>
      </c>
      <c r="AB403">
        <v>8</v>
      </c>
      <c r="AC403">
        <v>3</v>
      </c>
      <c r="AD403">
        <v>0</v>
      </c>
      <c r="AE403">
        <v>9</v>
      </c>
      <c r="AF403" t="s">
        <v>138</v>
      </c>
      <c r="AG403">
        <v>0</v>
      </c>
      <c r="AH403">
        <v>3</v>
      </c>
      <c r="AI403">
        <v>1</v>
      </c>
      <c r="AJ403">
        <v>0</v>
      </c>
      <c r="AK403" t="s">
        <v>272</v>
      </c>
      <c r="AL403">
        <v>32.818264999999997</v>
      </c>
      <c r="AM403" t="s">
        <v>273</v>
      </c>
      <c r="AN403">
        <v>-116.99426699999999</v>
      </c>
      <c r="AO403">
        <v>25</v>
      </c>
      <c r="AP403">
        <v>1800</v>
      </c>
      <c r="AQ403" t="s">
        <v>129</v>
      </c>
      <c r="AR403">
        <v>125</v>
      </c>
      <c r="AS403">
        <v>-37</v>
      </c>
      <c r="AT403">
        <v>-64</v>
      </c>
      <c r="BB403">
        <v>1200</v>
      </c>
      <c r="BC403">
        <v>1</v>
      </c>
      <c r="BD403" t="str">
        <f t="shared" si="143"/>
        <v xml:space="preserve">N887QR  </v>
      </c>
      <c r="BE403">
        <v>1</v>
      </c>
      <c r="BG403">
        <v>0</v>
      </c>
      <c r="BH403">
        <v>0</v>
      </c>
      <c r="BI403">
        <v>0</v>
      </c>
      <c r="BJ403">
        <v>1450</v>
      </c>
      <c r="BK403">
        <v>-350</v>
      </c>
      <c r="BL403" t="s">
        <v>163</v>
      </c>
      <c r="BM403">
        <v>1</v>
      </c>
      <c r="BN403">
        <v>1</v>
      </c>
      <c r="BO403">
        <v>1</v>
      </c>
      <c r="BP403">
        <v>0</v>
      </c>
      <c r="BS403">
        <v>0</v>
      </c>
      <c r="BT403">
        <v>0</v>
      </c>
      <c r="BU403">
        <v>0</v>
      </c>
      <c r="CE403" t="str">
        <f t="shared" si="147"/>
        <v>19:26:45.503</v>
      </c>
      <c r="CF403">
        <v>1502693489</v>
      </c>
      <c r="CS403">
        <v>3</v>
      </c>
      <c r="CT403">
        <v>2</v>
      </c>
      <c r="CU403">
        <v>0</v>
      </c>
      <c r="CV403">
        <v>2</v>
      </c>
      <c r="CW403">
        <v>0</v>
      </c>
      <c r="CX403">
        <v>4</v>
      </c>
      <c r="CY403">
        <v>7</v>
      </c>
      <c r="CZ403" t="s">
        <v>131</v>
      </c>
      <c r="DA403">
        <v>286</v>
      </c>
      <c r="DB403">
        <v>0</v>
      </c>
      <c r="DC403" t="s">
        <v>132</v>
      </c>
      <c r="DD403" t="s">
        <v>133</v>
      </c>
      <c r="DG403">
        <v>792837</v>
      </c>
      <c r="DI403">
        <v>1</v>
      </c>
      <c r="DJ403">
        <v>0</v>
      </c>
      <c r="DK403">
        <v>1</v>
      </c>
      <c r="DL403">
        <v>0</v>
      </c>
      <c r="DM403">
        <v>0</v>
      </c>
      <c r="DN403">
        <v>1</v>
      </c>
      <c r="DO403">
        <v>0</v>
      </c>
      <c r="DP403">
        <v>0</v>
      </c>
      <c r="DQ403">
        <v>0</v>
      </c>
      <c r="DR403">
        <v>0</v>
      </c>
      <c r="DS403">
        <v>0</v>
      </c>
    </row>
    <row r="404" spans="1:123" x14ac:dyDescent="0.3">
      <c r="A404" t="str">
        <f>"10/04/2022 19:26:45.855"</f>
        <v>10/04/2022 19:26:45.855</v>
      </c>
      <c r="C404" t="str">
        <f t="shared" si="141"/>
        <v>FFDFD3C0</v>
      </c>
      <c r="D404" t="s">
        <v>141</v>
      </c>
      <c r="E404">
        <v>4</v>
      </c>
      <c r="H404">
        <v>4</v>
      </c>
      <c r="I404" t="s">
        <v>142</v>
      </c>
      <c r="J404" t="s">
        <v>138</v>
      </c>
      <c r="K404">
        <v>0</v>
      </c>
      <c r="L404">
        <v>3</v>
      </c>
      <c r="M404">
        <v>0</v>
      </c>
      <c r="N404">
        <v>2</v>
      </c>
      <c r="O404">
        <v>0</v>
      </c>
      <c r="P404">
        <v>1</v>
      </c>
      <c r="Q404">
        <v>0</v>
      </c>
      <c r="S404" t="str">
        <f t="shared" si="146"/>
        <v>19:26:44.500</v>
      </c>
      <c r="T404" t="str">
        <f t="shared" si="146"/>
        <v>19:26:44.500</v>
      </c>
      <c r="U404" t="str">
        <f t="shared" si="142"/>
        <v>AC3944</v>
      </c>
      <c r="V404">
        <v>0</v>
      </c>
      <c r="W404">
        <v>0</v>
      </c>
      <c r="X404">
        <v>2</v>
      </c>
      <c r="Y404">
        <v>0</v>
      </c>
      <c r="AA404">
        <v>0</v>
      </c>
      <c r="AB404">
        <v>8</v>
      </c>
      <c r="AC404">
        <v>3</v>
      </c>
      <c r="AD404">
        <v>0</v>
      </c>
      <c r="AE404">
        <v>9</v>
      </c>
      <c r="AF404" t="s">
        <v>138</v>
      </c>
      <c r="AG404">
        <v>0</v>
      </c>
      <c r="AH404">
        <v>3</v>
      </c>
      <c r="AI404">
        <v>1</v>
      </c>
      <c r="AJ404">
        <v>0</v>
      </c>
      <c r="AK404" t="s">
        <v>272</v>
      </c>
      <c r="AL404">
        <v>32.818264999999997</v>
      </c>
      <c r="AM404" t="s">
        <v>273</v>
      </c>
      <c r="AN404">
        <v>-116.99426699999999</v>
      </c>
      <c r="AO404">
        <v>25</v>
      </c>
      <c r="AP404">
        <v>1800</v>
      </c>
      <c r="AQ404" t="s">
        <v>129</v>
      </c>
      <c r="AR404">
        <v>125</v>
      </c>
      <c r="AS404">
        <v>-37</v>
      </c>
      <c r="AT404">
        <v>-64</v>
      </c>
      <c r="BB404">
        <v>1200</v>
      </c>
      <c r="BC404">
        <v>1</v>
      </c>
      <c r="BD404" t="str">
        <f t="shared" si="143"/>
        <v xml:space="preserve">N887QR  </v>
      </c>
      <c r="BE404">
        <v>1</v>
      </c>
      <c r="BG404">
        <v>0</v>
      </c>
      <c r="BH404">
        <v>0</v>
      </c>
      <c r="BI404">
        <v>0</v>
      </c>
      <c r="BJ404">
        <v>1450</v>
      </c>
      <c r="BK404">
        <v>-350</v>
      </c>
      <c r="BL404" t="s">
        <v>163</v>
      </c>
      <c r="BM404">
        <v>1</v>
      </c>
      <c r="BN404">
        <v>1</v>
      </c>
      <c r="BO404">
        <v>1</v>
      </c>
      <c r="BP404">
        <v>0</v>
      </c>
      <c r="BS404">
        <v>0</v>
      </c>
      <c r="BT404">
        <v>0</v>
      </c>
      <c r="BU404">
        <v>0</v>
      </c>
      <c r="CE404" t="str">
        <f t="shared" si="147"/>
        <v>19:26:45.503</v>
      </c>
      <c r="CF404">
        <v>1502693489</v>
      </c>
      <c r="CS404">
        <v>3</v>
      </c>
      <c r="CT404">
        <v>2</v>
      </c>
      <c r="CU404">
        <v>0</v>
      </c>
      <c r="CV404">
        <v>2</v>
      </c>
      <c r="CW404">
        <v>0</v>
      </c>
      <c r="CX404">
        <v>4</v>
      </c>
      <c r="CY404">
        <v>7</v>
      </c>
      <c r="CZ404" t="s">
        <v>131</v>
      </c>
      <c r="DA404">
        <v>286</v>
      </c>
      <c r="DB404">
        <v>0</v>
      </c>
      <c r="DC404" t="s">
        <v>132</v>
      </c>
      <c r="DD404" t="s">
        <v>133</v>
      </c>
      <c r="DG404">
        <v>792837</v>
      </c>
      <c r="DI404">
        <v>1</v>
      </c>
      <c r="DJ404">
        <v>0</v>
      </c>
      <c r="DK404">
        <v>1</v>
      </c>
      <c r="DL404">
        <v>0</v>
      </c>
      <c r="DM404">
        <v>0</v>
      </c>
      <c r="DN404">
        <v>1</v>
      </c>
      <c r="DO404">
        <v>0</v>
      </c>
      <c r="DP404">
        <v>0</v>
      </c>
      <c r="DQ404">
        <v>0</v>
      </c>
      <c r="DR404">
        <v>0</v>
      </c>
      <c r="DS404">
        <v>0</v>
      </c>
    </row>
    <row r="405" spans="1:123" x14ac:dyDescent="0.3">
      <c r="A405" t="str">
        <f t="shared" ref="A405:A410" si="148">"10/04/2022 19:26:46.649"</f>
        <v>10/04/2022 19:26:46.649</v>
      </c>
      <c r="C405" t="str">
        <f t="shared" si="141"/>
        <v>FFDFD3C0</v>
      </c>
      <c r="D405" t="s">
        <v>143</v>
      </c>
      <c r="E405">
        <v>20</v>
      </c>
      <c r="F405">
        <v>1020</v>
      </c>
      <c r="G405" t="s">
        <v>144</v>
      </c>
      <c r="J405" t="s">
        <v>145</v>
      </c>
      <c r="K405">
        <v>0</v>
      </c>
      <c r="L405">
        <v>3</v>
      </c>
      <c r="M405">
        <v>0</v>
      </c>
      <c r="N405">
        <v>2</v>
      </c>
      <c r="O405">
        <v>0</v>
      </c>
      <c r="P405">
        <v>1</v>
      </c>
      <c r="Q405">
        <v>0</v>
      </c>
      <c r="S405" t="str">
        <f t="shared" ref="S405:T411" si="149">"19:26:45.391"</f>
        <v>19:26:45.391</v>
      </c>
      <c r="T405" t="str">
        <f t="shared" si="149"/>
        <v>19:26:45.391</v>
      </c>
      <c r="U405" t="str">
        <f t="shared" si="142"/>
        <v>AC3944</v>
      </c>
      <c r="V405">
        <v>0</v>
      </c>
      <c r="W405">
        <v>0</v>
      </c>
      <c r="X405">
        <v>2</v>
      </c>
      <c r="Y405">
        <v>0</v>
      </c>
      <c r="AA405">
        <v>0</v>
      </c>
      <c r="AB405">
        <v>8</v>
      </c>
      <c r="AC405">
        <v>3</v>
      </c>
      <c r="AD405">
        <v>0</v>
      </c>
      <c r="AE405">
        <v>9</v>
      </c>
      <c r="AF405" t="s">
        <v>138</v>
      </c>
      <c r="AG405">
        <v>0</v>
      </c>
      <c r="AH405">
        <v>3</v>
      </c>
      <c r="AI405">
        <v>1</v>
      </c>
      <c r="AJ405">
        <v>0</v>
      </c>
      <c r="AK405" t="s">
        <v>274</v>
      </c>
      <c r="AL405">
        <v>32.818092999999998</v>
      </c>
      <c r="AM405" t="s">
        <v>275</v>
      </c>
      <c r="AN405">
        <v>-116.993601</v>
      </c>
      <c r="AO405">
        <v>25</v>
      </c>
      <c r="AP405">
        <v>1700</v>
      </c>
      <c r="AQ405" t="s">
        <v>129</v>
      </c>
      <c r="AR405">
        <v>129</v>
      </c>
      <c r="AS405">
        <v>-25</v>
      </c>
      <c r="AT405">
        <v>-640</v>
      </c>
      <c r="BB405">
        <v>1200</v>
      </c>
      <c r="BC405">
        <v>1</v>
      </c>
      <c r="BD405" t="str">
        <f t="shared" si="143"/>
        <v xml:space="preserve">N887QR  </v>
      </c>
      <c r="BE405">
        <v>1</v>
      </c>
      <c r="BG405">
        <v>0</v>
      </c>
      <c r="BH405">
        <v>0</v>
      </c>
      <c r="BI405">
        <v>0</v>
      </c>
      <c r="BJ405">
        <v>1425</v>
      </c>
      <c r="BK405">
        <v>-275</v>
      </c>
      <c r="BL405" t="s">
        <v>163</v>
      </c>
      <c r="BM405">
        <v>1</v>
      </c>
      <c r="BN405">
        <v>1</v>
      </c>
      <c r="BO405">
        <v>1</v>
      </c>
      <c r="BP405">
        <v>0</v>
      </c>
      <c r="BS405">
        <v>0</v>
      </c>
      <c r="BT405">
        <v>0</v>
      </c>
      <c r="BU405">
        <v>0</v>
      </c>
      <c r="CE405" t="str">
        <f t="shared" ref="CE405:CE411" si="150">"19:26:46.396"</f>
        <v>19:26:46.396</v>
      </c>
      <c r="CF405">
        <v>1396446195</v>
      </c>
      <c r="CS405">
        <v>3</v>
      </c>
      <c r="CT405">
        <v>2</v>
      </c>
      <c r="CU405">
        <v>0</v>
      </c>
      <c r="CV405">
        <v>2</v>
      </c>
      <c r="CW405">
        <v>0</v>
      </c>
      <c r="CX405">
        <v>5</v>
      </c>
      <c r="CY405">
        <v>7</v>
      </c>
      <c r="CZ405" t="s">
        <v>131</v>
      </c>
      <c r="DA405">
        <v>286</v>
      </c>
      <c r="DB405">
        <v>0</v>
      </c>
      <c r="DC405" t="s">
        <v>132</v>
      </c>
      <c r="DD405" t="s">
        <v>133</v>
      </c>
      <c r="DG405">
        <v>793025</v>
      </c>
      <c r="DI405">
        <v>1</v>
      </c>
      <c r="DJ405">
        <v>0</v>
      </c>
      <c r="DK405">
        <v>0</v>
      </c>
      <c r="DL405">
        <v>0</v>
      </c>
      <c r="DM405">
        <v>0</v>
      </c>
      <c r="DN405">
        <v>1</v>
      </c>
      <c r="DO405">
        <v>0</v>
      </c>
      <c r="DP405">
        <v>0</v>
      </c>
      <c r="DQ405">
        <v>0</v>
      </c>
      <c r="DR405">
        <v>0</v>
      </c>
      <c r="DS405">
        <v>0</v>
      </c>
    </row>
    <row r="406" spans="1:123" x14ac:dyDescent="0.3">
      <c r="A406" t="str">
        <f t="shared" si="148"/>
        <v>10/04/2022 19:26:46.649</v>
      </c>
      <c r="C406" t="str">
        <f t="shared" si="141"/>
        <v>FFDFD3C0</v>
      </c>
      <c r="D406" t="s">
        <v>136</v>
      </c>
      <c r="E406">
        <v>8</v>
      </c>
      <c r="H406">
        <v>225</v>
      </c>
      <c r="I406" t="s">
        <v>137</v>
      </c>
      <c r="J406" t="s">
        <v>138</v>
      </c>
      <c r="K406">
        <v>0</v>
      </c>
      <c r="L406">
        <v>3</v>
      </c>
      <c r="M406">
        <v>0</v>
      </c>
      <c r="N406">
        <v>2</v>
      </c>
      <c r="O406">
        <v>0</v>
      </c>
      <c r="P406">
        <v>1</v>
      </c>
      <c r="Q406">
        <v>0</v>
      </c>
      <c r="S406" t="str">
        <f t="shared" si="149"/>
        <v>19:26:45.391</v>
      </c>
      <c r="T406" t="str">
        <f t="shared" si="149"/>
        <v>19:26:45.391</v>
      </c>
      <c r="U406" t="str">
        <f t="shared" si="142"/>
        <v>AC3944</v>
      </c>
      <c r="V406">
        <v>0</v>
      </c>
      <c r="W406">
        <v>0</v>
      </c>
      <c r="X406">
        <v>2</v>
      </c>
      <c r="Y406">
        <v>0</v>
      </c>
      <c r="AA406">
        <v>0</v>
      </c>
      <c r="AB406">
        <v>8</v>
      </c>
      <c r="AC406">
        <v>3</v>
      </c>
      <c r="AD406">
        <v>0</v>
      </c>
      <c r="AE406">
        <v>9</v>
      </c>
      <c r="AF406" t="s">
        <v>138</v>
      </c>
      <c r="AG406">
        <v>0</v>
      </c>
      <c r="AH406">
        <v>3</v>
      </c>
      <c r="AI406">
        <v>1</v>
      </c>
      <c r="AJ406">
        <v>0</v>
      </c>
      <c r="AK406" t="s">
        <v>274</v>
      </c>
      <c r="AL406">
        <v>32.818092999999998</v>
      </c>
      <c r="AM406" t="s">
        <v>275</v>
      </c>
      <c r="AN406">
        <v>-116.993601</v>
      </c>
      <c r="AO406">
        <v>25</v>
      </c>
      <c r="AP406">
        <v>1700</v>
      </c>
      <c r="AQ406" t="s">
        <v>129</v>
      </c>
      <c r="AR406">
        <v>129</v>
      </c>
      <c r="AS406">
        <v>-25</v>
      </c>
      <c r="AT406">
        <v>-640</v>
      </c>
      <c r="BB406">
        <v>1200</v>
      </c>
      <c r="BC406">
        <v>1</v>
      </c>
      <c r="BD406" t="str">
        <f t="shared" si="143"/>
        <v xml:space="preserve">N887QR  </v>
      </c>
      <c r="BE406">
        <v>1</v>
      </c>
      <c r="BG406">
        <v>0</v>
      </c>
      <c r="BH406">
        <v>0</v>
      </c>
      <c r="BI406">
        <v>0</v>
      </c>
      <c r="BJ406">
        <v>1425</v>
      </c>
      <c r="BK406">
        <v>-275</v>
      </c>
      <c r="BL406" t="s">
        <v>163</v>
      </c>
      <c r="BM406">
        <v>1</v>
      </c>
      <c r="BN406">
        <v>1</v>
      </c>
      <c r="BO406">
        <v>1</v>
      </c>
      <c r="BP406">
        <v>0</v>
      </c>
      <c r="BS406">
        <v>0</v>
      </c>
      <c r="BT406">
        <v>0</v>
      </c>
      <c r="BU406">
        <v>0</v>
      </c>
      <c r="CE406" t="str">
        <f t="shared" si="150"/>
        <v>19:26:46.396</v>
      </c>
      <c r="CF406">
        <v>1396446195</v>
      </c>
      <c r="CS406">
        <v>3</v>
      </c>
      <c r="CT406">
        <v>2</v>
      </c>
      <c r="CU406">
        <v>0</v>
      </c>
      <c r="CV406">
        <v>2</v>
      </c>
      <c r="CW406">
        <v>0</v>
      </c>
      <c r="CX406">
        <v>5</v>
      </c>
      <c r="CY406">
        <v>7</v>
      </c>
      <c r="CZ406" t="s">
        <v>131</v>
      </c>
      <c r="DA406">
        <v>286</v>
      </c>
      <c r="DB406">
        <v>0</v>
      </c>
      <c r="DC406" t="s">
        <v>132</v>
      </c>
      <c r="DD406" t="s">
        <v>133</v>
      </c>
      <c r="DG406">
        <v>793025</v>
      </c>
      <c r="DI406">
        <v>1</v>
      </c>
      <c r="DJ406">
        <v>0</v>
      </c>
      <c r="DK406">
        <v>1</v>
      </c>
      <c r="DL406">
        <v>0</v>
      </c>
      <c r="DM406">
        <v>0</v>
      </c>
      <c r="DN406">
        <v>1</v>
      </c>
      <c r="DO406">
        <v>0</v>
      </c>
      <c r="DP406">
        <v>0</v>
      </c>
      <c r="DQ406">
        <v>0</v>
      </c>
      <c r="DR406">
        <v>0</v>
      </c>
      <c r="DS406">
        <v>0</v>
      </c>
    </row>
    <row r="407" spans="1:123" x14ac:dyDescent="0.3">
      <c r="A407" t="str">
        <f t="shared" si="148"/>
        <v>10/04/2022 19:26:46.649</v>
      </c>
      <c r="C407" t="str">
        <f t="shared" si="141"/>
        <v>FFDFD3C0</v>
      </c>
      <c r="D407" t="s">
        <v>147</v>
      </c>
      <c r="E407">
        <v>3</v>
      </c>
      <c r="H407">
        <v>166</v>
      </c>
      <c r="I407" t="s">
        <v>144</v>
      </c>
      <c r="J407" t="s">
        <v>148</v>
      </c>
      <c r="K407">
        <v>0</v>
      </c>
      <c r="L407">
        <v>3</v>
      </c>
      <c r="M407">
        <v>0</v>
      </c>
      <c r="N407">
        <v>2</v>
      </c>
      <c r="O407">
        <v>0</v>
      </c>
      <c r="P407">
        <v>1</v>
      </c>
      <c r="Q407">
        <v>0</v>
      </c>
      <c r="S407" t="str">
        <f t="shared" si="149"/>
        <v>19:26:45.391</v>
      </c>
      <c r="T407" t="str">
        <f t="shared" si="149"/>
        <v>19:26:45.391</v>
      </c>
      <c r="U407" t="str">
        <f t="shared" si="142"/>
        <v>AC3944</v>
      </c>
      <c r="V407">
        <v>0</v>
      </c>
      <c r="W407">
        <v>0</v>
      </c>
      <c r="X407">
        <v>2</v>
      </c>
      <c r="Y407">
        <v>0</v>
      </c>
      <c r="AA407">
        <v>0</v>
      </c>
      <c r="AB407">
        <v>8</v>
      </c>
      <c r="AC407">
        <v>3</v>
      </c>
      <c r="AD407">
        <v>0</v>
      </c>
      <c r="AE407">
        <v>9</v>
      </c>
      <c r="AF407" t="s">
        <v>138</v>
      </c>
      <c r="AG407">
        <v>0</v>
      </c>
      <c r="AH407">
        <v>3</v>
      </c>
      <c r="AI407">
        <v>1</v>
      </c>
      <c r="AJ407">
        <v>0</v>
      </c>
      <c r="AK407" t="s">
        <v>274</v>
      </c>
      <c r="AL407">
        <v>32.818092999999998</v>
      </c>
      <c r="AM407" t="s">
        <v>275</v>
      </c>
      <c r="AN407">
        <v>-116.993601</v>
      </c>
      <c r="AO407">
        <v>25</v>
      </c>
      <c r="AP407">
        <v>1700</v>
      </c>
      <c r="AQ407" t="s">
        <v>129</v>
      </c>
      <c r="AR407">
        <v>129</v>
      </c>
      <c r="AS407">
        <v>-25</v>
      </c>
      <c r="AT407">
        <v>-640</v>
      </c>
      <c r="BB407">
        <v>1200</v>
      </c>
      <c r="BC407">
        <v>1</v>
      </c>
      <c r="BD407" t="str">
        <f t="shared" si="143"/>
        <v xml:space="preserve">N887QR  </v>
      </c>
      <c r="BE407">
        <v>1</v>
      </c>
      <c r="BG407">
        <v>0</v>
      </c>
      <c r="BH407">
        <v>0</v>
      </c>
      <c r="BI407">
        <v>0</v>
      </c>
      <c r="BJ407">
        <v>1425</v>
      </c>
      <c r="BK407">
        <v>-275</v>
      </c>
      <c r="BL407" t="s">
        <v>163</v>
      </c>
      <c r="BM407">
        <v>1</v>
      </c>
      <c r="BN407">
        <v>1</v>
      </c>
      <c r="BO407">
        <v>1</v>
      </c>
      <c r="BP407">
        <v>0</v>
      </c>
      <c r="BS407">
        <v>0</v>
      </c>
      <c r="BT407">
        <v>0</v>
      </c>
      <c r="BU407">
        <v>0</v>
      </c>
      <c r="CE407" t="str">
        <f t="shared" si="150"/>
        <v>19:26:46.396</v>
      </c>
      <c r="CF407">
        <v>1396446195</v>
      </c>
      <c r="CS407">
        <v>3</v>
      </c>
      <c r="CT407">
        <v>2</v>
      </c>
      <c r="CU407">
        <v>0</v>
      </c>
      <c r="CV407">
        <v>2</v>
      </c>
      <c r="CW407">
        <v>0</v>
      </c>
      <c r="CX407">
        <v>5</v>
      </c>
      <c r="CY407">
        <v>7</v>
      </c>
      <c r="CZ407" t="s">
        <v>131</v>
      </c>
      <c r="DA407">
        <v>286</v>
      </c>
      <c r="DB407">
        <v>0</v>
      </c>
      <c r="DC407" t="s">
        <v>132</v>
      </c>
      <c r="DD407" t="s">
        <v>133</v>
      </c>
      <c r="DG407">
        <v>793025</v>
      </c>
      <c r="DI407">
        <v>1</v>
      </c>
      <c r="DJ407">
        <v>0</v>
      </c>
      <c r="DK407">
        <v>1</v>
      </c>
      <c r="DL407">
        <v>0</v>
      </c>
      <c r="DM407">
        <v>0</v>
      </c>
      <c r="DN407">
        <v>1</v>
      </c>
      <c r="DO407">
        <v>0</v>
      </c>
      <c r="DP407">
        <v>0</v>
      </c>
      <c r="DQ407">
        <v>0</v>
      </c>
      <c r="DR407">
        <v>0</v>
      </c>
      <c r="DS407">
        <v>0</v>
      </c>
    </row>
    <row r="408" spans="1:123" x14ac:dyDescent="0.3">
      <c r="A408" t="str">
        <f t="shared" si="148"/>
        <v>10/04/2022 19:26:46.649</v>
      </c>
      <c r="C408" t="str">
        <f t="shared" si="141"/>
        <v>FFDFD3C0</v>
      </c>
      <c r="D408" t="s">
        <v>134</v>
      </c>
      <c r="E408">
        <v>15</v>
      </c>
      <c r="J408" t="s">
        <v>135</v>
      </c>
      <c r="K408">
        <v>0</v>
      </c>
      <c r="L408">
        <v>3</v>
      </c>
      <c r="M408">
        <v>0</v>
      </c>
      <c r="N408">
        <v>2</v>
      </c>
      <c r="O408">
        <v>0</v>
      </c>
      <c r="P408">
        <v>1</v>
      </c>
      <c r="Q408">
        <v>0</v>
      </c>
      <c r="S408" t="str">
        <f t="shared" si="149"/>
        <v>19:26:45.391</v>
      </c>
      <c r="T408" t="str">
        <f t="shared" si="149"/>
        <v>19:26:45.391</v>
      </c>
      <c r="U408" t="str">
        <f t="shared" si="142"/>
        <v>AC3944</v>
      </c>
      <c r="V408">
        <v>0</v>
      </c>
      <c r="W408">
        <v>0</v>
      </c>
      <c r="X408">
        <v>2</v>
      </c>
      <c r="Y408">
        <v>0</v>
      </c>
      <c r="AA408">
        <v>0</v>
      </c>
      <c r="AB408">
        <v>8</v>
      </c>
      <c r="AC408">
        <v>3</v>
      </c>
      <c r="AD408">
        <v>0</v>
      </c>
      <c r="AE408">
        <v>9</v>
      </c>
      <c r="AF408" t="s">
        <v>138</v>
      </c>
      <c r="AG408">
        <v>0</v>
      </c>
      <c r="AH408">
        <v>3</v>
      </c>
      <c r="AI408">
        <v>1</v>
      </c>
      <c r="AJ408">
        <v>0</v>
      </c>
      <c r="AK408" t="s">
        <v>274</v>
      </c>
      <c r="AL408">
        <v>32.818092999999998</v>
      </c>
      <c r="AM408" t="s">
        <v>275</v>
      </c>
      <c r="AN408">
        <v>-116.993601</v>
      </c>
      <c r="AO408">
        <v>25</v>
      </c>
      <c r="AP408">
        <v>1700</v>
      </c>
      <c r="AQ408" t="s">
        <v>129</v>
      </c>
      <c r="AR408">
        <v>129</v>
      </c>
      <c r="AS408">
        <v>-25</v>
      </c>
      <c r="AT408">
        <v>-640</v>
      </c>
      <c r="BB408">
        <v>1200</v>
      </c>
      <c r="BC408">
        <v>1</v>
      </c>
      <c r="BD408" t="str">
        <f t="shared" si="143"/>
        <v xml:space="preserve">N887QR  </v>
      </c>
      <c r="BE408">
        <v>1</v>
      </c>
      <c r="BG408">
        <v>0</v>
      </c>
      <c r="BH408">
        <v>0</v>
      </c>
      <c r="BI408">
        <v>0</v>
      </c>
      <c r="BJ408">
        <v>1425</v>
      </c>
      <c r="BK408">
        <v>-275</v>
      </c>
      <c r="BL408" t="s">
        <v>163</v>
      </c>
      <c r="BM408">
        <v>1</v>
      </c>
      <c r="BN408">
        <v>1</v>
      </c>
      <c r="BO408">
        <v>1</v>
      </c>
      <c r="BP408">
        <v>0</v>
      </c>
      <c r="BS408">
        <v>0</v>
      </c>
      <c r="BT408">
        <v>0</v>
      </c>
      <c r="BU408">
        <v>0</v>
      </c>
      <c r="CE408" t="str">
        <f t="shared" si="150"/>
        <v>19:26:46.396</v>
      </c>
      <c r="CF408">
        <v>1396446195</v>
      </c>
      <c r="CS408">
        <v>3</v>
      </c>
      <c r="CT408">
        <v>2</v>
      </c>
      <c r="CU408">
        <v>0</v>
      </c>
      <c r="CV408">
        <v>2</v>
      </c>
      <c r="CW408">
        <v>0</v>
      </c>
      <c r="CX408">
        <v>5</v>
      </c>
      <c r="CY408">
        <v>7</v>
      </c>
      <c r="CZ408" t="s">
        <v>131</v>
      </c>
      <c r="DA408">
        <v>286</v>
      </c>
      <c r="DB408">
        <v>0</v>
      </c>
      <c r="DC408" t="s">
        <v>132</v>
      </c>
      <c r="DD408" t="s">
        <v>133</v>
      </c>
      <c r="DG408">
        <v>793025</v>
      </c>
      <c r="DI408">
        <v>1</v>
      </c>
      <c r="DJ408">
        <v>0</v>
      </c>
      <c r="DK408">
        <v>1</v>
      </c>
      <c r="DL408">
        <v>0</v>
      </c>
      <c r="DM408">
        <v>0</v>
      </c>
      <c r="DN408">
        <v>1</v>
      </c>
      <c r="DO408">
        <v>0</v>
      </c>
      <c r="DP408">
        <v>0</v>
      </c>
      <c r="DQ408">
        <v>0</v>
      </c>
      <c r="DR408">
        <v>0</v>
      </c>
      <c r="DS408">
        <v>0</v>
      </c>
    </row>
    <row r="409" spans="1:123" x14ac:dyDescent="0.3">
      <c r="A409" t="str">
        <f t="shared" si="148"/>
        <v>10/04/2022 19:26:46.649</v>
      </c>
      <c r="C409" t="str">
        <f t="shared" si="141"/>
        <v>FFDFD3C0</v>
      </c>
      <c r="D409" t="s">
        <v>141</v>
      </c>
      <c r="E409">
        <v>4</v>
      </c>
      <c r="H409">
        <v>4</v>
      </c>
      <c r="I409" t="s">
        <v>142</v>
      </c>
      <c r="J409" t="s">
        <v>138</v>
      </c>
      <c r="K409">
        <v>0</v>
      </c>
      <c r="L409">
        <v>3</v>
      </c>
      <c r="M409">
        <v>0</v>
      </c>
      <c r="N409">
        <v>2</v>
      </c>
      <c r="O409">
        <v>0</v>
      </c>
      <c r="P409">
        <v>1</v>
      </c>
      <c r="Q409">
        <v>0</v>
      </c>
      <c r="S409" t="str">
        <f t="shared" si="149"/>
        <v>19:26:45.391</v>
      </c>
      <c r="T409" t="str">
        <f t="shared" si="149"/>
        <v>19:26:45.391</v>
      </c>
      <c r="U409" t="str">
        <f t="shared" si="142"/>
        <v>AC3944</v>
      </c>
      <c r="V409">
        <v>0</v>
      </c>
      <c r="W409">
        <v>0</v>
      </c>
      <c r="X409">
        <v>2</v>
      </c>
      <c r="Y409">
        <v>0</v>
      </c>
      <c r="AA409">
        <v>0</v>
      </c>
      <c r="AB409">
        <v>8</v>
      </c>
      <c r="AC409">
        <v>3</v>
      </c>
      <c r="AD409">
        <v>0</v>
      </c>
      <c r="AE409">
        <v>9</v>
      </c>
      <c r="AF409" t="s">
        <v>138</v>
      </c>
      <c r="AG409">
        <v>0</v>
      </c>
      <c r="AH409">
        <v>3</v>
      </c>
      <c r="AI409">
        <v>1</v>
      </c>
      <c r="AJ409">
        <v>0</v>
      </c>
      <c r="AK409" t="s">
        <v>274</v>
      </c>
      <c r="AL409">
        <v>32.818092999999998</v>
      </c>
      <c r="AM409" t="s">
        <v>275</v>
      </c>
      <c r="AN409">
        <v>-116.993601</v>
      </c>
      <c r="AO409">
        <v>25</v>
      </c>
      <c r="AP409">
        <v>1700</v>
      </c>
      <c r="AQ409" t="s">
        <v>129</v>
      </c>
      <c r="AR409">
        <v>129</v>
      </c>
      <c r="AS409">
        <v>-25</v>
      </c>
      <c r="AT409">
        <v>-640</v>
      </c>
      <c r="BB409">
        <v>1200</v>
      </c>
      <c r="BC409">
        <v>1</v>
      </c>
      <c r="BD409" t="str">
        <f t="shared" si="143"/>
        <v xml:space="preserve">N887QR  </v>
      </c>
      <c r="BE409">
        <v>1</v>
      </c>
      <c r="BG409">
        <v>0</v>
      </c>
      <c r="BH409">
        <v>0</v>
      </c>
      <c r="BI409">
        <v>0</v>
      </c>
      <c r="BJ409">
        <v>1425</v>
      </c>
      <c r="BK409">
        <v>-275</v>
      </c>
      <c r="BL409" t="s">
        <v>163</v>
      </c>
      <c r="BM409">
        <v>1</v>
      </c>
      <c r="BN409">
        <v>1</v>
      </c>
      <c r="BO409">
        <v>1</v>
      </c>
      <c r="BP409">
        <v>0</v>
      </c>
      <c r="BS409">
        <v>0</v>
      </c>
      <c r="BT409">
        <v>0</v>
      </c>
      <c r="BU409">
        <v>0</v>
      </c>
      <c r="CE409" t="str">
        <f t="shared" si="150"/>
        <v>19:26:46.396</v>
      </c>
      <c r="CF409">
        <v>1396446195</v>
      </c>
      <c r="CS409">
        <v>3</v>
      </c>
      <c r="CT409">
        <v>2</v>
      </c>
      <c r="CU409">
        <v>0</v>
      </c>
      <c r="CV409">
        <v>2</v>
      </c>
      <c r="CW409">
        <v>0</v>
      </c>
      <c r="CX409">
        <v>5</v>
      </c>
      <c r="CY409">
        <v>7</v>
      </c>
      <c r="CZ409" t="s">
        <v>131</v>
      </c>
      <c r="DA409">
        <v>286</v>
      </c>
      <c r="DB409">
        <v>0</v>
      </c>
      <c r="DC409" t="s">
        <v>132</v>
      </c>
      <c r="DD409" t="s">
        <v>133</v>
      </c>
      <c r="DG409">
        <v>793025</v>
      </c>
      <c r="DI409">
        <v>1</v>
      </c>
      <c r="DJ409">
        <v>0</v>
      </c>
      <c r="DK409">
        <v>1</v>
      </c>
      <c r="DL409">
        <v>0</v>
      </c>
      <c r="DM409">
        <v>0</v>
      </c>
      <c r="DN409">
        <v>1</v>
      </c>
      <c r="DO409">
        <v>0</v>
      </c>
      <c r="DP409">
        <v>0</v>
      </c>
      <c r="DQ409">
        <v>0</v>
      </c>
      <c r="DR409">
        <v>0</v>
      </c>
      <c r="DS409">
        <v>0</v>
      </c>
    </row>
    <row r="410" spans="1:123" x14ac:dyDescent="0.3">
      <c r="A410" t="str">
        <f t="shared" si="148"/>
        <v>10/04/2022 19:26:46.649</v>
      </c>
      <c r="C410" t="str">
        <f t="shared" si="141"/>
        <v>FFDFD3C0</v>
      </c>
      <c r="D410" t="s">
        <v>123</v>
      </c>
      <c r="E410">
        <v>7</v>
      </c>
      <c r="F410">
        <v>2007</v>
      </c>
      <c r="G410" t="s">
        <v>124</v>
      </c>
      <c r="J410" t="s">
        <v>125</v>
      </c>
      <c r="K410">
        <v>0</v>
      </c>
      <c r="L410">
        <v>3</v>
      </c>
      <c r="M410">
        <v>0</v>
      </c>
      <c r="N410">
        <v>2</v>
      </c>
      <c r="O410">
        <v>0</v>
      </c>
      <c r="P410">
        <v>1</v>
      </c>
      <c r="Q410">
        <v>0</v>
      </c>
      <c r="S410" t="str">
        <f t="shared" si="149"/>
        <v>19:26:45.391</v>
      </c>
      <c r="T410" t="str">
        <f t="shared" si="149"/>
        <v>19:26:45.391</v>
      </c>
      <c r="U410" t="str">
        <f t="shared" si="142"/>
        <v>AC3944</v>
      </c>
      <c r="V410">
        <v>0</v>
      </c>
      <c r="W410">
        <v>0</v>
      </c>
      <c r="X410">
        <v>2</v>
      </c>
      <c r="Y410">
        <v>0</v>
      </c>
      <c r="AA410">
        <v>0</v>
      </c>
      <c r="AB410">
        <v>8</v>
      </c>
      <c r="AC410">
        <v>3</v>
      </c>
      <c r="AD410">
        <v>0</v>
      </c>
      <c r="AE410">
        <v>9</v>
      </c>
      <c r="AF410" t="s">
        <v>138</v>
      </c>
      <c r="AG410">
        <v>0</v>
      </c>
      <c r="AH410">
        <v>3</v>
      </c>
      <c r="AI410">
        <v>1</v>
      </c>
      <c r="AJ410">
        <v>0</v>
      </c>
      <c r="AK410" t="s">
        <v>274</v>
      </c>
      <c r="AL410">
        <v>32.818092999999998</v>
      </c>
      <c r="AM410" t="s">
        <v>275</v>
      </c>
      <c r="AN410">
        <v>-116.993601</v>
      </c>
      <c r="AO410">
        <v>25</v>
      </c>
      <c r="AP410">
        <v>1700</v>
      </c>
      <c r="AQ410" t="s">
        <v>129</v>
      </c>
      <c r="AR410">
        <v>129</v>
      </c>
      <c r="AS410">
        <v>-25</v>
      </c>
      <c r="AT410">
        <v>-640</v>
      </c>
      <c r="BB410">
        <v>1200</v>
      </c>
      <c r="BC410">
        <v>1</v>
      </c>
      <c r="BD410" t="str">
        <f t="shared" si="143"/>
        <v xml:space="preserve">N887QR  </v>
      </c>
      <c r="BE410">
        <v>1</v>
      </c>
      <c r="BG410">
        <v>0</v>
      </c>
      <c r="BH410">
        <v>0</v>
      </c>
      <c r="BI410">
        <v>0</v>
      </c>
      <c r="BJ410">
        <v>1425</v>
      </c>
      <c r="BK410">
        <v>-275</v>
      </c>
      <c r="BL410" t="s">
        <v>163</v>
      </c>
      <c r="BM410">
        <v>1</v>
      </c>
      <c r="BN410">
        <v>1</v>
      </c>
      <c r="BO410">
        <v>1</v>
      </c>
      <c r="BP410">
        <v>0</v>
      </c>
      <c r="BS410">
        <v>0</v>
      </c>
      <c r="BT410">
        <v>0</v>
      </c>
      <c r="BU410">
        <v>0</v>
      </c>
      <c r="CE410" t="str">
        <f t="shared" si="150"/>
        <v>19:26:46.396</v>
      </c>
      <c r="CF410">
        <v>1396446195</v>
      </c>
      <c r="CS410">
        <v>3</v>
      </c>
      <c r="CT410">
        <v>2</v>
      </c>
      <c r="CU410">
        <v>0</v>
      </c>
      <c r="CV410">
        <v>2</v>
      </c>
      <c r="CW410">
        <v>0</v>
      </c>
      <c r="CX410">
        <v>5</v>
      </c>
      <c r="CY410">
        <v>7</v>
      </c>
      <c r="CZ410" t="s">
        <v>131</v>
      </c>
      <c r="DA410">
        <v>286</v>
      </c>
      <c r="DB410">
        <v>0</v>
      </c>
      <c r="DC410" t="s">
        <v>132</v>
      </c>
      <c r="DD410" t="s">
        <v>133</v>
      </c>
      <c r="DG410">
        <v>793025</v>
      </c>
      <c r="DI410">
        <v>1</v>
      </c>
      <c r="DJ410">
        <v>0</v>
      </c>
      <c r="DK410">
        <v>1</v>
      </c>
      <c r="DL410">
        <v>0</v>
      </c>
      <c r="DM410">
        <v>0</v>
      </c>
      <c r="DN410">
        <v>1</v>
      </c>
      <c r="DO410">
        <v>0</v>
      </c>
      <c r="DP410">
        <v>0</v>
      </c>
      <c r="DQ410">
        <v>0</v>
      </c>
      <c r="DR410">
        <v>0</v>
      </c>
      <c r="DS410">
        <v>0</v>
      </c>
    </row>
    <row r="411" spans="1:123" x14ac:dyDescent="0.3">
      <c r="A411" t="str">
        <f>"10/04/2022 19:26:46.680"</f>
        <v>10/04/2022 19:26:46.680</v>
      </c>
      <c r="C411" t="str">
        <f t="shared" si="141"/>
        <v>FFDFD3C0</v>
      </c>
      <c r="D411" t="s">
        <v>141</v>
      </c>
      <c r="E411">
        <v>3</v>
      </c>
      <c r="H411">
        <v>3</v>
      </c>
      <c r="I411" t="s">
        <v>146</v>
      </c>
      <c r="J411" t="s">
        <v>138</v>
      </c>
      <c r="K411">
        <v>0</v>
      </c>
      <c r="L411">
        <v>3</v>
      </c>
      <c r="M411">
        <v>0</v>
      </c>
      <c r="N411">
        <v>2</v>
      </c>
      <c r="O411">
        <v>0</v>
      </c>
      <c r="P411">
        <v>1</v>
      </c>
      <c r="Q411">
        <v>0</v>
      </c>
      <c r="S411" t="str">
        <f t="shared" si="149"/>
        <v>19:26:45.391</v>
      </c>
      <c r="T411" t="str">
        <f t="shared" si="149"/>
        <v>19:26:45.391</v>
      </c>
      <c r="U411" t="str">
        <f t="shared" si="142"/>
        <v>AC3944</v>
      </c>
      <c r="V411">
        <v>0</v>
      </c>
      <c r="W411">
        <v>0</v>
      </c>
      <c r="X411">
        <v>2</v>
      </c>
      <c r="Y411">
        <v>0</v>
      </c>
      <c r="AA411">
        <v>0</v>
      </c>
      <c r="AB411">
        <v>8</v>
      </c>
      <c r="AC411">
        <v>3</v>
      </c>
      <c r="AD411">
        <v>0</v>
      </c>
      <c r="AE411">
        <v>9</v>
      </c>
      <c r="AF411" t="s">
        <v>138</v>
      </c>
      <c r="AG411">
        <v>0</v>
      </c>
      <c r="AH411">
        <v>3</v>
      </c>
      <c r="AI411">
        <v>1</v>
      </c>
      <c r="AJ411">
        <v>0</v>
      </c>
      <c r="AK411" t="s">
        <v>274</v>
      </c>
      <c r="AL411">
        <v>32.818092999999998</v>
      </c>
      <c r="AM411" t="s">
        <v>275</v>
      </c>
      <c r="AN411">
        <v>-116.993601</v>
      </c>
      <c r="AO411">
        <v>25</v>
      </c>
      <c r="AP411">
        <v>1700</v>
      </c>
      <c r="AQ411" t="s">
        <v>129</v>
      </c>
      <c r="AR411">
        <v>129</v>
      </c>
      <c r="AS411">
        <v>-25</v>
      </c>
      <c r="AT411">
        <v>-640</v>
      </c>
      <c r="BB411">
        <v>1200</v>
      </c>
      <c r="BC411">
        <v>1</v>
      </c>
      <c r="BD411" t="str">
        <f t="shared" si="143"/>
        <v xml:space="preserve">N887QR  </v>
      </c>
      <c r="BE411">
        <v>1</v>
      </c>
      <c r="BG411">
        <v>0</v>
      </c>
      <c r="BH411">
        <v>0</v>
      </c>
      <c r="BI411">
        <v>0</v>
      </c>
      <c r="BJ411">
        <v>1425</v>
      </c>
      <c r="BK411">
        <v>-275</v>
      </c>
      <c r="BL411" t="s">
        <v>163</v>
      </c>
      <c r="BM411">
        <v>1</v>
      </c>
      <c r="BN411">
        <v>1</v>
      </c>
      <c r="BO411">
        <v>1</v>
      </c>
      <c r="BP411">
        <v>0</v>
      </c>
      <c r="BS411">
        <v>0</v>
      </c>
      <c r="BT411">
        <v>0</v>
      </c>
      <c r="BU411">
        <v>0</v>
      </c>
      <c r="CE411" t="str">
        <f t="shared" si="150"/>
        <v>19:26:46.396</v>
      </c>
      <c r="CF411">
        <v>1396446195</v>
      </c>
      <c r="CS411">
        <v>3</v>
      </c>
      <c r="CT411">
        <v>2</v>
      </c>
      <c r="CU411">
        <v>0</v>
      </c>
      <c r="CV411">
        <v>2</v>
      </c>
      <c r="CW411">
        <v>0</v>
      </c>
      <c r="CX411">
        <v>5</v>
      </c>
      <c r="CY411">
        <v>7</v>
      </c>
      <c r="CZ411" t="s">
        <v>131</v>
      </c>
      <c r="DA411">
        <v>286</v>
      </c>
      <c r="DB411">
        <v>0</v>
      </c>
      <c r="DC411" t="s">
        <v>132</v>
      </c>
      <c r="DD411" t="s">
        <v>133</v>
      </c>
      <c r="DG411">
        <v>793025</v>
      </c>
      <c r="DI411">
        <v>1</v>
      </c>
      <c r="DJ411">
        <v>0</v>
      </c>
      <c r="DK411">
        <v>1</v>
      </c>
      <c r="DL411">
        <v>0</v>
      </c>
      <c r="DM411">
        <v>0</v>
      </c>
      <c r="DN411">
        <v>1</v>
      </c>
      <c r="DO411">
        <v>0</v>
      </c>
      <c r="DP411">
        <v>0</v>
      </c>
      <c r="DQ411">
        <v>0</v>
      </c>
      <c r="DR411">
        <v>0</v>
      </c>
      <c r="DS411">
        <v>0</v>
      </c>
    </row>
    <row r="412" spans="1:123" x14ac:dyDescent="0.3">
      <c r="A412" t="str">
        <f>"10/04/2022 19:26:47.602"</f>
        <v>10/04/2022 19:26:47.602</v>
      </c>
      <c r="C412" t="str">
        <f t="shared" si="141"/>
        <v>FFDFD3C0</v>
      </c>
      <c r="D412" t="s">
        <v>123</v>
      </c>
      <c r="E412">
        <v>7</v>
      </c>
      <c r="F412">
        <v>2007</v>
      </c>
      <c r="G412" t="s">
        <v>124</v>
      </c>
      <c r="J412" t="s">
        <v>125</v>
      </c>
      <c r="K412">
        <v>0</v>
      </c>
      <c r="L412">
        <v>3</v>
      </c>
      <c r="M412">
        <v>0</v>
      </c>
      <c r="N412">
        <v>2</v>
      </c>
      <c r="O412">
        <v>0</v>
      </c>
      <c r="P412">
        <v>1</v>
      </c>
      <c r="Q412">
        <v>0</v>
      </c>
      <c r="S412" t="str">
        <f t="shared" ref="S412:T418" si="151">"19:26:46.398"</f>
        <v>19:26:46.398</v>
      </c>
      <c r="T412" t="str">
        <f t="shared" si="151"/>
        <v>19:26:46.398</v>
      </c>
      <c r="U412" t="str">
        <f t="shared" si="142"/>
        <v>AC3944</v>
      </c>
      <c r="V412">
        <v>0</v>
      </c>
      <c r="W412">
        <v>0</v>
      </c>
      <c r="X412">
        <v>2</v>
      </c>
      <c r="Y412">
        <v>0</v>
      </c>
      <c r="AA412">
        <v>0</v>
      </c>
      <c r="AB412">
        <v>8</v>
      </c>
      <c r="AC412">
        <v>3</v>
      </c>
      <c r="AD412">
        <v>0</v>
      </c>
      <c r="AE412">
        <v>9</v>
      </c>
      <c r="AF412" t="s">
        <v>138</v>
      </c>
      <c r="AG412">
        <v>0</v>
      </c>
      <c r="AH412">
        <v>3</v>
      </c>
      <c r="AI412">
        <v>1</v>
      </c>
      <c r="AJ412">
        <v>0</v>
      </c>
      <c r="AK412" t="s">
        <v>276</v>
      </c>
      <c r="AL412">
        <v>32.817943</v>
      </c>
      <c r="AM412" t="s">
        <v>277</v>
      </c>
      <c r="AN412">
        <v>-116.992893</v>
      </c>
      <c r="AO412">
        <v>25</v>
      </c>
      <c r="AP412">
        <v>1700</v>
      </c>
      <c r="AQ412" t="s">
        <v>129</v>
      </c>
      <c r="AR412">
        <v>133</v>
      </c>
      <c r="AS412">
        <v>-17</v>
      </c>
      <c r="AT412">
        <v>-640</v>
      </c>
      <c r="BB412">
        <v>1200</v>
      </c>
      <c r="BC412">
        <v>1</v>
      </c>
      <c r="BD412" t="str">
        <f t="shared" si="143"/>
        <v xml:space="preserve">N887QR  </v>
      </c>
      <c r="BE412">
        <v>1</v>
      </c>
      <c r="BG412">
        <v>0</v>
      </c>
      <c r="BH412">
        <v>0</v>
      </c>
      <c r="BI412">
        <v>0</v>
      </c>
      <c r="BJ412">
        <v>1425</v>
      </c>
      <c r="BK412">
        <v>-275</v>
      </c>
      <c r="BL412" t="s">
        <v>163</v>
      </c>
      <c r="BM412">
        <v>1</v>
      </c>
      <c r="BN412">
        <v>1</v>
      </c>
      <c r="BO412">
        <v>1</v>
      </c>
      <c r="BP412">
        <v>0</v>
      </c>
      <c r="BS412">
        <v>0</v>
      </c>
      <c r="BT412">
        <v>0</v>
      </c>
      <c r="BU412">
        <v>0</v>
      </c>
      <c r="CE412" t="str">
        <f t="shared" ref="CE412:CE418" si="152">"19:26:47.401"</f>
        <v>19:26:47.401</v>
      </c>
      <c r="CF412">
        <v>1401199087</v>
      </c>
      <c r="CS412">
        <v>3</v>
      </c>
      <c r="CT412">
        <v>2</v>
      </c>
      <c r="CU412">
        <v>0</v>
      </c>
      <c r="CV412">
        <v>2</v>
      </c>
      <c r="CW412">
        <v>0</v>
      </c>
      <c r="CX412">
        <v>4</v>
      </c>
      <c r="CY412">
        <v>7</v>
      </c>
      <c r="CZ412" t="s">
        <v>131</v>
      </c>
      <c r="DA412">
        <v>286</v>
      </c>
      <c r="DB412">
        <v>0</v>
      </c>
      <c r="DC412" t="s">
        <v>132</v>
      </c>
      <c r="DD412" t="s">
        <v>133</v>
      </c>
      <c r="DG412">
        <v>793223</v>
      </c>
      <c r="DI412">
        <v>1</v>
      </c>
      <c r="DJ412">
        <v>0</v>
      </c>
      <c r="DK412">
        <v>0</v>
      </c>
      <c r="DL412">
        <v>0</v>
      </c>
      <c r="DM412">
        <v>0</v>
      </c>
      <c r="DN412">
        <v>1</v>
      </c>
      <c r="DO412">
        <v>0</v>
      </c>
      <c r="DP412">
        <v>0</v>
      </c>
      <c r="DQ412">
        <v>0</v>
      </c>
      <c r="DR412">
        <v>0</v>
      </c>
      <c r="DS412">
        <v>0</v>
      </c>
    </row>
    <row r="413" spans="1:123" x14ac:dyDescent="0.3">
      <c r="A413" t="str">
        <f>"10/04/2022 19:26:47.602"</f>
        <v>10/04/2022 19:26:47.602</v>
      </c>
      <c r="C413" t="str">
        <f t="shared" si="141"/>
        <v>FFDFD3C0</v>
      </c>
      <c r="D413" t="s">
        <v>134</v>
      </c>
      <c r="E413">
        <v>15</v>
      </c>
      <c r="J413" t="s">
        <v>135</v>
      </c>
      <c r="K413">
        <v>0</v>
      </c>
      <c r="L413">
        <v>3</v>
      </c>
      <c r="M413">
        <v>0</v>
      </c>
      <c r="N413">
        <v>2</v>
      </c>
      <c r="O413">
        <v>0</v>
      </c>
      <c r="P413">
        <v>1</v>
      </c>
      <c r="Q413">
        <v>0</v>
      </c>
      <c r="S413" t="str">
        <f t="shared" si="151"/>
        <v>19:26:46.398</v>
      </c>
      <c r="T413" t="str">
        <f t="shared" si="151"/>
        <v>19:26:46.398</v>
      </c>
      <c r="U413" t="str">
        <f t="shared" si="142"/>
        <v>AC3944</v>
      </c>
      <c r="V413">
        <v>0</v>
      </c>
      <c r="W413">
        <v>0</v>
      </c>
      <c r="X413">
        <v>2</v>
      </c>
      <c r="Y413">
        <v>0</v>
      </c>
      <c r="AA413">
        <v>0</v>
      </c>
      <c r="AB413">
        <v>8</v>
      </c>
      <c r="AC413">
        <v>3</v>
      </c>
      <c r="AD413">
        <v>0</v>
      </c>
      <c r="AE413">
        <v>9</v>
      </c>
      <c r="AF413" t="s">
        <v>138</v>
      </c>
      <c r="AG413">
        <v>0</v>
      </c>
      <c r="AH413">
        <v>3</v>
      </c>
      <c r="AI413">
        <v>1</v>
      </c>
      <c r="AJ413">
        <v>0</v>
      </c>
      <c r="AK413" t="s">
        <v>276</v>
      </c>
      <c r="AL413">
        <v>32.817943</v>
      </c>
      <c r="AM413" t="s">
        <v>277</v>
      </c>
      <c r="AN413">
        <v>-116.992893</v>
      </c>
      <c r="AO413">
        <v>25</v>
      </c>
      <c r="AP413">
        <v>1700</v>
      </c>
      <c r="AQ413" t="s">
        <v>129</v>
      </c>
      <c r="AR413">
        <v>133</v>
      </c>
      <c r="AS413">
        <v>-17</v>
      </c>
      <c r="AT413">
        <v>-640</v>
      </c>
      <c r="BB413">
        <v>1200</v>
      </c>
      <c r="BC413">
        <v>1</v>
      </c>
      <c r="BD413" t="str">
        <f t="shared" si="143"/>
        <v xml:space="preserve">N887QR  </v>
      </c>
      <c r="BE413">
        <v>1</v>
      </c>
      <c r="BG413">
        <v>0</v>
      </c>
      <c r="BH413">
        <v>0</v>
      </c>
      <c r="BI413">
        <v>0</v>
      </c>
      <c r="BJ413">
        <v>1425</v>
      </c>
      <c r="BK413">
        <v>-275</v>
      </c>
      <c r="BL413" t="s">
        <v>163</v>
      </c>
      <c r="BM413">
        <v>1</v>
      </c>
      <c r="BN413">
        <v>1</v>
      </c>
      <c r="BO413">
        <v>1</v>
      </c>
      <c r="BP413">
        <v>0</v>
      </c>
      <c r="BS413">
        <v>0</v>
      </c>
      <c r="BT413">
        <v>0</v>
      </c>
      <c r="BU413">
        <v>0</v>
      </c>
      <c r="CE413" t="str">
        <f t="shared" si="152"/>
        <v>19:26:47.401</v>
      </c>
      <c r="CF413">
        <v>1401199087</v>
      </c>
      <c r="CS413">
        <v>3</v>
      </c>
      <c r="CT413">
        <v>2</v>
      </c>
      <c r="CU413">
        <v>0</v>
      </c>
      <c r="CV413">
        <v>2</v>
      </c>
      <c r="CW413">
        <v>0</v>
      </c>
      <c r="CX413">
        <v>4</v>
      </c>
      <c r="CY413">
        <v>7</v>
      </c>
      <c r="CZ413" t="s">
        <v>131</v>
      </c>
      <c r="DA413">
        <v>286</v>
      </c>
      <c r="DB413">
        <v>0</v>
      </c>
      <c r="DC413" t="s">
        <v>132</v>
      </c>
      <c r="DD413" t="s">
        <v>133</v>
      </c>
      <c r="DG413">
        <v>793223</v>
      </c>
      <c r="DI413">
        <v>1</v>
      </c>
      <c r="DJ413">
        <v>0</v>
      </c>
      <c r="DK413">
        <v>1</v>
      </c>
      <c r="DL413">
        <v>0</v>
      </c>
      <c r="DM413">
        <v>0</v>
      </c>
      <c r="DN413">
        <v>1</v>
      </c>
      <c r="DO413">
        <v>0</v>
      </c>
      <c r="DP413">
        <v>0</v>
      </c>
      <c r="DQ413">
        <v>0</v>
      </c>
      <c r="DR413">
        <v>0</v>
      </c>
      <c r="DS413">
        <v>0</v>
      </c>
    </row>
    <row r="414" spans="1:123" x14ac:dyDescent="0.3">
      <c r="A414" t="str">
        <f>"10/04/2022 19:26:47.633"</f>
        <v>10/04/2022 19:26:47.633</v>
      </c>
      <c r="C414" t="str">
        <f t="shared" si="141"/>
        <v>FFDFD3C0</v>
      </c>
      <c r="D414" t="s">
        <v>141</v>
      </c>
      <c r="E414">
        <v>3</v>
      </c>
      <c r="H414">
        <v>3</v>
      </c>
      <c r="I414" t="s">
        <v>146</v>
      </c>
      <c r="J414" t="s">
        <v>138</v>
      </c>
      <c r="K414">
        <v>0</v>
      </c>
      <c r="L414">
        <v>3</v>
      </c>
      <c r="M414">
        <v>0</v>
      </c>
      <c r="N414">
        <v>2</v>
      </c>
      <c r="O414">
        <v>0</v>
      </c>
      <c r="P414">
        <v>1</v>
      </c>
      <c r="Q414">
        <v>0</v>
      </c>
      <c r="S414" t="str">
        <f t="shared" si="151"/>
        <v>19:26:46.398</v>
      </c>
      <c r="T414" t="str">
        <f t="shared" si="151"/>
        <v>19:26:46.398</v>
      </c>
      <c r="U414" t="str">
        <f t="shared" si="142"/>
        <v>AC3944</v>
      </c>
      <c r="V414">
        <v>0</v>
      </c>
      <c r="W414">
        <v>0</v>
      </c>
      <c r="X414">
        <v>2</v>
      </c>
      <c r="Y414">
        <v>0</v>
      </c>
      <c r="AA414">
        <v>0</v>
      </c>
      <c r="AB414">
        <v>8</v>
      </c>
      <c r="AC414">
        <v>3</v>
      </c>
      <c r="AD414">
        <v>0</v>
      </c>
      <c r="AE414">
        <v>9</v>
      </c>
      <c r="AF414" t="s">
        <v>138</v>
      </c>
      <c r="AG414">
        <v>0</v>
      </c>
      <c r="AH414">
        <v>3</v>
      </c>
      <c r="AI414">
        <v>1</v>
      </c>
      <c r="AJ414">
        <v>0</v>
      </c>
      <c r="AK414" t="s">
        <v>276</v>
      </c>
      <c r="AL414">
        <v>32.817943</v>
      </c>
      <c r="AM414" t="s">
        <v>277</v>
      </c>
      <c r="AN414">
        <v>-116.992893</v>
      </c>
      <c r="AO414">
        <v>25</v>
      </c>
      <c r="AP414">
        <v>1700</v>
      </c>
      <c r="AQ414" t="s">
        <v>129</v>
      </c>
      <c r="AR414">
        <v>133</v>
      </c>
      <c r="AS414">
        <v>-17</v>
      </c>
      <c r="AT414">
        <v>-640</v>
      </c>
      <c r="BB414">
        <v>1200</v>
      </c>
      <c r="BC414">
        <v>1</v>
      </c>
      <c r="BD414" t="str">
        <f t="shared" si="143"/>
        <v xml:space="preserve">N887QR  </v>
      </c>
      <c r="BE414">
        <v>1</v>
      </c>
      <c r="BG414">
        <v>0</v>
      </c>
      <c r="BH414">
        <v>0</v>
      </c>
      <c r="BI414">
        <v>0</v>
      </c>
      <c r="BJ414">
        <v>1425</v>
      </c>
      <c r="BK414">
        <v>-275</v>
      </c>
      <c r="BL414" t="s">
        <v>163</v>
      </c>
      <c r="BM414">
        <v>1</v>
      </c>
      <c r="BN414">
        <v>1</v>
      </c>
      <c r="BO414">
        <v>1</v>
      </c>
      <c r="BP414">
        <v>0</v>
      </c>
      <c r="BS414">
        <v>0</v>
      </c>
      <c r="BT414">
        <v>0</v>
      </c>
      <c r="BU414">
        <v>0</v>
      </c>
      <c r="CE414" t="str">
        <f t="shared" si="152"/>
        <v>19:26:47.401</v>
      </c>
      <c r="CF414">
        <v>1401199087</v>
      </c>
      <c r="CS414">
        <v>3</v>
      </c>
      <c r="CT414">
        <v>2</v>
      </c>
      <c r="CU414">
        <v>0</v>
      </c>
      <c r="CV414">
        <v>2</v>
      </c>
      <c r="CW414">
        <v>0</v>
      </c>
      <c r="CX414">
        <v>4</v>
      </c>
      <c r="CY414">
        <v>7</v>
      </c>
      <c r="CZ414" t="s">
        <v>131</v>
      </c>
      <c r="DA414">
        <v>286</v>
      </c>
      <c r="DB414">
        <v>0</v>
      </c>
      <c r="DC414" t="s">
        <v>132</v>
      </c>
      <c r="DD414" t="s">
        <v>133</v>
      </c>
      <c r="DG414">
        <v>793223</v>
      </c>
      <c r="DI414">
        <v>1</v>
      </c>
      <c r="DJ414">
        <v>0</v>
      </c>
      <c r="DK414">
        <v>1</v>
      </c>
      <c r="DL414">
        <v>0</v>
      </c>
      <c r="DM414">
        <v>0</v>
      </c>
      <c r="DN414">
        <v>1</v>
      </c>
      <c r="DO414">
        <v>0</v>
      </c>
      <c r="DP414">
        <v>0</v>
      </c>
      <c r="DQ414">
        <v>0</v>
      </c>
      <c r="DR414">
        <v>0</v>
      </c>
      <c r="DS414">
        <v>0</v>
      </c>
    </row>
    <row r="415" spans="1:123" x14ac:dyDescent="0.3">
      <c r="A415" t="str">
        <f>"10/04/2022 19:26:47.664"</f>
        <v>10/04/2022 19:26:47.664</v>
      </c>
      <c r="C415" t="str">
        <f t="shared" si="141"/>
        <v>FFDFD3C0</v>
      </c>
      <c r="D415" t="s">
        <v>143</v>
      </c>
      <c r="E415">
        <v>20</v>
      </c>
      <c r="F415">
        <v>1020</v>
      </c>
      <c r="G415" t="s">
        <v>144</v>
      </c>
      <c r="J415" t="s">
        <v>145</v>
      </c>
      <c r="K415">
        <v>0</v>
      </c>
      <c r="L415">
        <v>3</v>
      </c>
      <c r="M415">
        <v>0</v>
      </c>
      <c r="N415">
        <v>2</v>
      </c>
      <c r="O415">
        <v>0</v>
      </c>
      <c r="P415">
        <v>1</v>
      </c>
      <c r="Q415">
        <v>0</v>
      </c>
      <c r="S415" t="str">
        <f t="shared" si="151"/>
        <v>19:26:46.398</v>
      </c>
      <c r="T415" t="str">
        <f t="shared" si="151"/>
        <v>19:26:46.398</v>
      </c>
      <c r="U415" t="str">
        <f t="shared" si="142"/>
        <v>AC3944</v>
      </c>
      <c r="V415">
        <v>0</v>
      </c>
      <c r="W415">
        <v>0</v>
      </c>
      <c r="X415">
        <v>2</v>
      </c>
      <c r="Y415">
        <v>0</v>
      </c>
      <c r="AA415">
        <v>0</v>
      </c>
      <c r="AB415">
        <v>8</v>
      </c>
      <c r="AC415">
        <v>3</v>
      </c>
      <c r="AD415">
        <v>0</v>
      </c>
      <c r="AE415">
        <v>9</v>
      </c>
      <c r="AF415" t="s">
        <v>138</v>
      </c>
      <c r="AG415">
        <v>0</v>
      </c>
      <c r="AH415">
        <v>3</v>
      </c>
      <c r="AI415">
        <v>1</v>
      </c>
      <c r="AJ415">
        <v>0</v>
      </c>
      <c r="AK415" t="s">
        <v>276</v>
      </c>
      <c r="AL415">
        <v>32.817943</v>
      </c>
      <c r="AM415" t="s">
        <v>277</v>
      </c>
      <c r="AN415">
        <v>-116.992893</v>
      </c>
      <c r="AO415">
        <v>25</v>
      </c>
      <c r="AP415">
        <v>1700</v>
      </c>
      <c r="AQ415" t="s">
        <v>129</v>
      </c>
      <c r="AR415">
        <v>133</v>
      </c>
      <c r="AS415">
        <v>-17</v>
      </c>
      <c r="AT415">
        <v>-640</v>
      </c>
      <c r="BB415">
        <v>1200</v>
      </c>
      <c r="BC415">
        <v>1</v>
      </c>
      <c r="BD415" t="str">
        <f t="shared" si="143"/>
        <v xml:space="preserve">N887QR  </v>
      </c>
      <c r="BE415">
        <v>1</v>
      </c>
      <c r="BG415">
        <v>0</v>
      </c>
      <c r="BH415">
        <v>0</v>
      </c>
      <c r="BI415">
        <v>0</v>
      </c>
      <c r="BJ415">
        <v>1425</v>
      </c>
      <c r="BK415">
        <v>-275</v>
      </c>
      <c r="BL415" t="s">
        <v>163</v>
      </c>
      <c r="BM415">
        <v>1</v>
      </c>
      <c r="BN415">
        <v>1</v>
      </c>
      <c r="BO415">
        <v>1</v>
      </c>
      <c r="BP415">
        <v>0</v>
      </c>
      <c r="BS415">
        <v>0</v>
      </c>
      <c r="BT415">
        <v>0</v>
      </c>
      <c r="BU415">
        <v>0</v>
      </c>
      <c r="CE415" t="str">
        <f t="shared" si="152"/>
        <v>19:26:47.401</v>
      </c>
      <c r="CF415">
        <v>1401199087</v>
      </c>
      <c r="CS415">
        <v>3</v>
      </c>
      <c r="CT415">
        <v>2</v>
      </c>
      <c r="CU415">
        <v>0</v>
      </c>
      <c r="CV415">
        <v>2</v>
      </c>
      <c r="CW415">
        <v>0</v>
      </c>
      <c r="CX415">
        <v>4</v>
      </c>
      <c r="CY415">
        <v>7</v>
      </c>
      <c r="CZ415" t="s">
        <v>131</v>
      </c>
      <c r="DA415">
        <v>286</v>
      </c>
      <c r="DB415">
        <v>0</v>
      </c>
      <c r="DC415" t="s">
        <v>132</v>
      </c>
      <c r="DD415" t="s">
        <v>133</v>
      </c>
      <c r="DG415">
        <v>793223</v>
      </c>
      <c r="DI415">
        <v>1</v>
      </c>
      <c r="DJ415">
        <v>0</v>
      </c>
      <c r="DK415">
        <v>1</v>
      </c>
      <c r="DL415">
        <v>0</v>
      </c>
      <c r="DM415">
        <v>0</v>
      </c>
      <c r="DN415">
        <v>1</v>
      </c>
      <c r="DO415">
        <v>0</v>
      </c>
      <c r="DP415">
        <v>0</v>
      </c>
      <c r="DQ415">
        <v>0</v>
      </c>
      <c r="DR415">
        <v>0</v>
      </c>
      <c r="DS415">
        <v>0</v>
      </c>
    </row>
    <row r="416" spans="1:123" x14ac:dyDescent="0.3">
      <c r="A416" t="str">
        <f>"10/04/2022 19:26:47.664"</f>
        <v>10/04/2022 19:26:47.664</v>
      </c>
      <c r="C416" t="str">
        <f t="shared" si="141"/>
        <v>FFDFD3C0</v>
      </c>
      <c r="D416" t="s">
        <v>136</v>
      </c>
      <c r="E416">
        <v>8</v>
      </c>
      <c r="H416">
        <v>225</v>
      </c>
      <c r="I416" t="s">
        <v>137</v>
      </c>
      <c r="J416" t="s">
        <v>138</v>
      </c>
      <c r="K416">
        <v>0</v>
      </c>
      <c r="L416">
        <v>3</v>
      </c>
      <c r="M416">
        <v>0</v>
      </c>
      <c r="N416">
        <v>2</v>
      </c>
      <c r="O416">
        <v>0</v>
      </c>
      <c r="P416">
        <v>1</v>
      </c>
      <c r="Q416">
        <v>0</v>
      </c>
      <c r="S416" t="str">
        <f t="shared" si="151"/>
        <v>19:26:46.398</v>
      </c>
      <c r="T416" t="str">
        <f t="shared" si="151"/>
        <v>19:26:46.398</v>
      </c>
      <c r="U416" t="str">
        <f t="shared" si="142"/>
        <v>AC3944</v>
      </c>
      <c r="V416">
        <v>0</v>
      </c>
      <c r="W416">
        <v>0</v>
      </c>
      <c r="X416">
        <v>2</v>
      </c>
      <c r="Y416">
        <v>0</v>
      </c>
      <c r="AA416">
        <v>0</v>
      </c>
      <c r="AB416">
        <v>8</v>
      </c>
      <c r="AC416">
        <v>3</v>
      </c>
      <c r="AD416">
        <v>0</v>
      </c>
      <c r="AE416">
        <v>9</v>
      </c>
      <c r="AF416" t="s">
        <v>138</v>
      </c>
      <c r="AG416">
        <v>0</v>
      </c>
      <c r="AH416">
        <v>3</v>
      </c>
      <c r="AI416">
        <v>1</v>
      </c>
      <c r="AJ416">
        <v>0</v>
      </c>
      <c r="AK416" t="s">
        <v>276</v>
      </c>
      <c r="AL416">
        <v>32.817943</v>
      </c>
      <c r="AM416" t="s">
        <v>277</v>
      </c>
      <c r="AN416">
        <v>-116.992893</v>
      </c>
      <c r="AO416">
        <v>25</v>
      </c>
      <c r="AP416">
        <v>1700</v>
      </c>
      <c r="AQ416" t="s">
        <v>129</v>
      </c>
      <c r="AR416">
        <v>133</v>
      </c>
      <c r="AS416">
        <v>-17</v>
      </c>
      <c r="AT416">
        <v>-640</v>
      </c>
      <c r="BB416">
        <v>1200</v>
      </c>
      <c r="BC416">
        <v>1</v>
      </c>
      <c r="BD416" t="str">
        <f t="shared" si="143"/>
        <v xml:space="preserve">N887QR  </v>
      </c>
      <c r="BE416">
        <v>1</v>
      </c>
      <c r="BG416">
        <v>0</v>
      </c>
      <c r="BH416">
        <v>0</v>
      </c>
      <c r="BI416">
        <v>0</v>
      </c>
      <c r="BJ416">
        <v>1425</v>
      </c>
      <c r="BK416">
        <v>-275</v>
      </c>
      <c r="BL416" t="s">
        <v>163</v>
      </c>
      <c r="BM416">
        <v>1</v>
      </c>
      <c r="BN416">
        <v>1</v>
      </c>
      <c r="BO416">
        <v>1</v>
      </c>
      <c r="BP416">
        <v>0</v>
      </c>
      <c r="BS416">
        <v>0</v>
      </c>
      <c r="BT416">
        <v>0</v>
      </c>
      <c r="BU416">
        <v>0</v>
      </c>
      <c r="CE416" t="str">
        <f t="shared" si="152"/>
        <v>19:26:47.401</v>
      </c>
      <c r="CF416">
        <v>1401199087</v>
      </c>
      <c r="CS416">
        <v>3</v>
      </c>
      <c r="CT416">
        <v>2</v>
      </c>
      <c r="CU416">
        <v>0</v>
      </c>
      <c r="CV416">
        <v>2</v>
      </c>
      <c r="CW416">
        <v>0</v>
      </c>
      <c r="CX416">
        <v>4</v>
      </c>
      <c r="CY416">
        <v>7</v>
      </c>
      <c r="CZ416" t="s">
        <v>131</v>
      </c>
      <c r="DA416">
        <v>286</v>
      </c>
      <c r="DB416">
        <v>0</v>
      </c>
      <c r="DC416" t="s">
        <v>132</v>
      </c>
      <c r="DD416" t="s">
        <v>133</v>
      </c>
      <c r="DG416">
        <v>793223</v>
      </c>
      <c r="DI416">
        <v>1</v>
      </c>
      <c r="DJ416">
        <v>0</v>
      </c>
      <c r="DK416">
        <v>1</v>
      </c>
      <c r="DL416">
        <v>0</v>
      </c>
      <c r="DM416">
        <v>0</v>
      </c>
      <c r="DN416">
        <v>1</v>
      </c>
      <c r="DO416">
        <v>0</v>
      </c>
      <c r="DP416">
        <v>0</v>
      </c>
      <c r="DQ416">
        <v>0</v>
      </c>
      <c r="DR416">
        <v>0</v>
      </c>
      <c r="DS416">
        <v>0</v>
      </c>
    </row>
    <row r="417" spans="1:123" x14ac:dyDescent="0.3">
      <c r="A417" t="str">
        <f>"10/04/2022 19:26:47.664"</f>
        <v>10/04/2022 19:26:47.664</v>
      </c>
      <c r="C417" t="str">
        <f t="shared" si="141"/>
        <v>FFDFD3C0</v>
      </c>
      <c r="D417" t="s">
        <v>147</v>
      </c>
      <c r="E417">
        <v>3</v>
      </c>
      <c r="H417">
        <v>166</v>
      </c>
      <c r="I417" t="s">
        <v>144</v>
      </c>
      <c r="J417" t="s">
        <v>148</v>
      </c>
      <c r="K417">
        <v>0</v>
      </c>
      <c r="L417">
        <v>3</v>
      </c>
      <c r="M417">
        <v>0</v>
      </c>
      <c r="N417">
        <v>2</v>
      </c>
      <c r="O417">
        <v>0</v>
      </c>
      <c r="P417">
        <v>1</v>
      </c>
      <c r="Q417">
        <v>0</v>
      </c>
      <c r="S417" t="str">
        <f t="shared" si="151"/>
        <v>19:26:46.398</v>
      </c>
      <c r="T417" t="str">
        <f t="shared" si="151"/>
        <v>19:26:46.398</v>
      </c>
      <c r="U417" t="str">
        <f t="shared" si="142"/>
        <v>AC3944</v>
      </c>
      <c r="V417">
        <v>0</v>
      </c>
      <c r="W417">
        <v>0</v>
      </c>
      <c r="X417">
        <v>2</v>
      </c>
      <c r="Y417">
        <v>0</v>
      </c>
      <c r="AA417">
        <v>0</v>
      </c>
      <c r="AB417">
        <v>8</v>
      </c>
      <c r="AC417">
        <v>3</v>
      </c>
      <c r="AD417">
        <v>0</v>
      </c>
      <c r="AE417">
        <v>9</v>
      </c>
      <c r="AF417" t="s">
        <v>138</v>
      </c>
      <c r="AG417">
        <v>0</v>
      </c>
      <c r="AH417">
        <v>3</v>
      </c>
      <c r="AI417">
        <v>1</v>
      </c>
      <c r="AJ417">
        <v>0</v>
      </c>
      <c r="AK417" t="s">
        <v>276</v>
      </c>
      <c r="AL417">
        <v>32.817943</v>
      </c>
      <c r="AM417" t="s">
        <v>277</v>
      </c>
      <c r="AN417">
        <v>-116.992893</v>
      </c>
      <c r="AO417">
        <v>25</v>
      </c>
      <c r="AP417">
        <v>1700</v>
      </c>
      <c r="AQ417" t="s">
        <v>129</v>
      </c>
      <c r="AR417">
        <v>133</v>
      </c>
      <c r="AS417">
        <v>-17</v>
      </c>
      <c r="AT417">
        <v>-640</v>
      </c>
      <c r="BB417">
        <v>1200</v>
      </c>
      <c r="BC417">
        <v>1</v>
      </c>
      <c r="BD417" t="str">
        <f t="shared" si="143"/>
        <v xml:space="preserve">N887QR  </v>
      </c>
      <c r="BE417">
        <v>1</v>
      </c>
      <c r="BG417">
        <v>0</v>
      </c>
      <c r="BH417">
        <v>0</v>
      </c>
      <c r="BI417">
        <v>0</v>
      </c>
      <c r="BJ417">
        <v>1425</v>
      </c>
      <c r="BK417">
        <v>-275</v>
      </c>
      <c r="BL417" t="s">
        <v>163</v>
      </c>
      <c r="BM417">
        <v>1</v>
      </c>
      <c r="BN417">
        <v>1</v>
      </c>
      <c r="BO417">
        <v>1</v>
      </c>
      <c r="BP417">
        <v>0</v>
      </c>
      <c r="BS417">
        <v>0</v>
      </c>
      <c r="BT417">
        <v>0</v>
      </c>
      <c r="BU417">
        <v>0</v>
      </c>
      <c r="CE417" t="str">
        <f t="shared" si="152"/>
        <v>19:26:47.401</v>
      </c>
      <c r="CF417">
        <v>1401199087</v>
      </c>
      <c r="CS417">
        <v>3</v>
      </c>
      <c r="CT417">
        <v>2</v>
      </c>
      <c r="CU417">
        <v>0</v>
      </c>
      <c r="CV417">
        <v>2</v>
      </c>
      <c r="CW417">
        <v>0</v>
      </c>
      <c r="CX417">
        <v>4</v>
      </c>
      <c r="CY417">
        <v>7</v>
      </c>
      <c r="CZ417" t="s">
        <v>131</v>
      </c>
      <c r="DA417">
        <v>286</v>
      </c>
      <c r="DB417">
        <v>0</v>
      </c>
      <c r="DC417" t="s">
        <v>132</v>
      </c>
      <c r="DD417" t="s">
        <v>133</v>
      </c>
      <c r="DG417">
        <v>793223</v>
      </c>
      <c r="DI417">
        <v>1</v>
      </c>
      <c r="DJ417">
        <v>0</v>
      </c>
      <c r="DK417">
        <v>1</v>
      </c>
      <c r="DL417">
        <v>0</v>
      </c>
      <c r="DM417">
        <v>0</v>
      </c>
      <c r="DN417">
        <v>1</v>
      </c>
      <c r="DO417">
        <v>0</v>
      </c>
      <c r="DP417">
        <v>0</v>
      </c>
      <c r="DQ417">
        <v>0</v>
      </c>
      <c r="DR417">
        <v>0</v>
      </c>
      <c r="DS417">
        <v>0</v>
      </c>
    </row>
    <row r="418" spans="1:123" x14ac:dyDescent="0.3">
      <c r="A418" t="str">
        <f>"10/04/2022 19:26:47.664"</f>
        <v>10/04/2022 19:26:47.664</v>
      </c>
      <c r="C418" t="str">
        <f t="shared" si="141"/>
        <v>FFDFD3C0</v>
      </c>
      <c r="D418" t="s">
        <v>141</v>
      </c>
      <c r="E418">
        <v>4</v>
      </c>
      <c r="H418">
        <v>4</v>
      </c>
      <c r="I418" t="s">
        <v>142</v>
      </c>
      <c r="J418" t="s">
        <v>138</v>
      </c>
      <c r="K418">
        <v>0</v>
      </c>
      <c r="L418">
        <v>3</v>
      </c>
      <c r="M418">
        <v>0</v>
      </c>
      <c r="N418">
        <v>2</v>
      </c>
      <c r="O418">
        <v>0</v>
      </c>
      <c r="P418">
        <v>1</v>
      </c>
      <c r="Q418">
        <v>0</v>
      </c>
      <c r="S418" t="str">
        <f t="shared" si="151"/>
        <v>19:26:46.398</v>
      </c>
      <c r="T418" t="str">
        <f t="shared" si="151"/>
        <v>19:26:46.398</v>
      </c>
      <c r="U418" t="str">
        <f t="shared" si="142"/>
        <v>AC3944</v>
      </c>
      <c r="V418">
        <v>0</v>
      </c>
      <c r="W418">
        <v>0</v>
      </c>
      <c r="X418">
        <v>2</v>
      </c>
      <c r="Y418">
        <v>0</v>
      </c>
      <c r="AA418">
        <v>0</v>
      </c>
      <c r="AB418">
        <v>8</v>
      </c>
      <c r="AC418">
        <v>3</v>
      </c>
      <c r="AD418">
        <v>0</v>
      </c>
      <c r="AE418">
        <v>9</v>
      </c>
      <c r="AF418" t="s">
        <v>138</v>
      </c>
      <c r="AG418">
        <v>0</v>
      </c>
      <c r="AH418">
        <v>3</v>
      </c>
      <c r="AI418">
        <v>1</v>
      </c>
      <c r="AJ418">
        <v>0</v>
      </c>
      <c r="AK418" t="s">
        <v>276</v>
      </c>
      <c r="AL418">
        <v>32.817943</v>
      </c>
      <c r="AM418" t="s">
        <v>277</v>
      </c>
      <c r="AN418">
        <v>-116.992893</v>
      </c>
      <c r="AO418">
        <v>25</v>
      </c>
      <c r="AP418">
        <v>1700</v>
      </c>
      <c r="AQ418" t="s">
        <v>129</v>
      </c>
      <c r="AR418">
        <v>133</v>
      </c>
      <c r="AS418">
        <v>-17</v>
      </c>
      <c r="AT418">
        <v>-640</v>
      </c>
      <c r="BB418">
        <v>1200</v>
      </c>
      <c r="BC418">
        <v>1</v>
      </c>
      <c r="BD418" t="str">
        <f t="shared" si="143"/>
        <v xml:space="preserve">N887QR  </v>
      </c>
      <c r="BE418">
        <v>1</v>
      </c>
      <c r="BG418">
        <v>0</v>
      </c>
      <c r="BH418">
        <v>0</v>
      </c>
      <c r="BI418">
        <v>0</v>
      </c>
      <c r="BJ418">
        <v>1425</v>
      </c>
      <c r="BK418">
        <v>-275</v>
      </c>
      <c r="BL418" t="s">
        <v>163</v>
      </c>
      <c r="BM418">
        <v>1</v>
      </c>
      <c r="BN418">
        <v>1</v>
      </c>
      <c r="BO418">
        <v>1</v>
      </c>
      <c r="BP418">
        <v>0</v>
      </c>
      <c r="BS418">
        <v>0</v>
      </c>
      <c r="BT418">
        <v>0</v>
      </c>
      <c r="BU418">
        <v>0</v>
      </c>
      <c r="CE418" t="str">
        <f t="shared" si="152"/>
        <v>19:26:47.401</v>
      </c>
      <c r="CF418">
        <v>1401199087</v>
      </c>
      <c r="CS418">
        <v>3</v>
      </c>
      <c r="CT418">
        <v>2</v>
      </c>
      <c r="CU418">
        <v>0</v>
      </c>
      <c r="CV418">
        <v>2</v>
      </c>
      <c r="CW418">
        <v>0</v>
      </c>
      <c r="CX418">
        <v>4</v>
      </c>
      <c r="CY418">
        <v>7</v>
      </c>
      <c r="CZ418" t="s">
        <v>131</v>
      </c>
      <c r="DA418">
        <v>286</v>
      </c>
      <c r="DB418">
        <v>0</v>
      </c>
      <c r="DC418" t="s">
        <v>132</v>
      </c>
      <c r="DD418" t="s">
        <v>133</v>
      </c>
      <c r="DG418">
        <v>793223</v>
      </c>
      <c r="DI418">
        <v>1</v>
      </c>
      <c r="DJ418">
        <v>0</v>
      </c>
      <c r="DK418">
        <v>1</v>
      </c>
      <c r="DL418">
        <v>0</v>
      </c>
      <c r="DM418">
        <v>0</v>
      </c>
      <c r="DN418">
        <v>1</v>
      </c>
      <c r="DO418">
        <v>0</v>
      </c>
      <c r="DP418">
        <v>0</v>
      </c>
      <c r="DQ418">
        <v>0</v>
      </c>
      <c r="DR418">
        <v>0</v>
      </c>
      <c r="DS418">
        <v>0</v>
      </c>
    </row>
    <row r="419" spans="1:123" x14ac:dyDescent="0.3">
      <c r="A419" t="str">
        <f>"10/04/2022 19:26:48.117"</f>
        <v>10/04/2022 19:26:48.117</v>
      </c>
      <c r="C419" t="str">
        <f t="shared" si="141"/>
        <v>FFDFD3C0</v>
      </c>
      <c r="D419" t="s">
        <v>141</v>
      </c>
      <c r="E419">
        <v>3</v>
      </c>
      <c r="H419">
        <v>3</v>
      </c>
      <c r="I419" t="s">
        <v>146</v>
      </c>
      <c r="J419" t="s">
        <v>138</v>
      </c>
      <c r="K419">
        <v>0</v>
      </c>
      <c r="L419">
        <v>3</v>
      </c>
      <c r="M419">
        <v>0</v>
      </c>
      <c r="N419">
        <v>2</v>
      </c>
      <c r="O419">
        <v>0</v>
      </c>
      <c r="P419">
        <v>1</v>
      </c>
      <c r="Q419">
        <v>0</v>
      </c>
      <c r="S419" t="str">
        <f t="shared" ref="S419:T425" si="153">"19:26:46.906"</f>
        <v>19:26:46.906</v>
      </c>
      <c r="T419" t="str">
        <f t="shared" si="153"/>
        <v>19:26:46.906</v>
      </c>
      <c r="U419" t="str">
        <f t="shared" si="142"/>
        <v>AC3944</v>
      </c>
      <c r="V419">
        <v>0</v>
      </c>
      <c r="W419">
        <v>0</v>
      </c>
      <c r="X419">
        <v>2</v>
      </c>
      <c r="Y419">
        <v>0</v>
      </c>
      <c r="AA419">
        <v>0</v>
      </c>
      <c r="AB419">
        <v>8</v>
      </c>
      <c r="AC419">
        <v>3</v>
      </c>
      <c r="AD419">
        <v>0</v>
      </c>
      <c r="AE419">
        <v>9</v>
      </c>
      <c r="AF419" t="s">
        <v>138</v>
      </c>
      <c r="AG419">
        <v>0</v>
      </c>
      <c r="AH419">
        <v>3</v>
      </c>
      <c r="AI419">
        <v>1</v>
      </c>
      <c r="AJ419">
        <v>0</v>
      </c>
      <c r="AK419" t="s">
        <v>278</v>
      </c>
      <c r="AL419">
        <v>32.817856999999997</v>
      </c>
      <c r="AM419" t="s">
        <v>279</v>
      </c>
      <c r="AN419">
        <v>-116.992164</v>
      </c>
      <c r="AO419">
        <v>25</v>
      </c>
      <c r="AP419">
        <v>1700</v>
      </c>
      <c r="AQ419" t="s">
        <v>129</v>
      </c>
      <c r="AR419">
        <v>135</v>
      </c>
      <c r="AS419">
        <v>-13</v>
      </c>
      <c r="AT419">
        <v>-640</v>
      </c>
      <c r="BB419">
        <v>1200</v>
      </c>
      <c r="BC419">
        <v>1</v>
      </c>
      <c r="BD419" t="str">
        <f t="shared" si="143"/>
        <v xml:space="preserve">N887QR  </v>
      </c>
      <c r="BE419">
        <v>1</v>
      </c>
      <c r="BG419">
        <v>0</v>
      </c>
      <c r="BH419">
        <v>0</v>
      </c>
      <c r="BI419">
        <v>0</v>
      </c>
      <c r="BJ419">
        <v>1425</v>
      </c>
      <c r="BK419">
        <v>-275</v>
      </c>
      <c r="BL419" t="s">
        <v>163</v>
      </c>
      <c r="BM419">
        <v>1</v>
      </c>
      <c r="BN419">
        <v>1</v>
      </c>
      <c r="BO419">
        <v>1</v>
      </c>
      <c r="BP419">
        <v>0</v>
      </c>
      <c r="BS419">
        <v>0</v>
      </c>
      <c r="BT419">
        <v>0</v>
      </c>
      <c r="BU419">
        <v>0</v>
      </c>
      <c r="CE419" t="str">
        <f t="shared" ref="CE419:CE425" si="154">"19:26:47.912"</f>
        <v>19:26:47.912</v>
      </c>
      <c r="CF419">
        <v>1911700620</v>
      </c>
      <c r="CS419">
        <v>3</v>
      </c>
      <c r="CT419">
        <v>2</v>
      </c>
      <c r="CU419">
        <v>0</v>
      </c>
      <c r="CV419">
        <v>2</v>
      </c>
      <c r="CW419">
        <v>0</v>
      </c>
      <c r="CX419">
        <v>5</v>
      </c>
      <c r="CY419">
        <v>7</v>
      </c>
      <c r="CZ419" t="s">
        <v>131</v>
      </c>
      <c r="DA419">
        <v>286</v>
      </c>
      <c r="DB419">
        <v>0</v>
      </c>
      <c r="DC419" t="s">
        <v>132</v>
      </c>
      <c r="DD419" t="s">
        <v>133</v>
      </c>
      <c r="DG419">
        <v>793348</v>
      </c>
      <c r="DI419">
        <v>1</v>
      </c>
      <c r="DJ419">
        <v>0</v>
      </c>
      <c r="DK419">
        <v>0</v>
      </c>
      <c r="DL419">
        <v>0</v>
      </c>
      <c r="DM419">
        <v>0</v>
      </c>
      <c r="DN419">
        <v>1</v>
      </c>
      <c r="DO419">
        <v>0</v>
      </c>
      <c r="DP419">
        <v>0</v>
      </c>
      <c r="DQ419">
        <v>0</v>
      </c>
      <c r="DR419">
        <v>0</v>
      </c>
      <c r="DS419">
        <v>0</v>
      </c>
    </row>
    <row r="420" spans="1:123" x14ac:dyDescent="0.3">
      <c r="A420" t="str">
        <f t="shared" ref="A420:A425" si="155">"10/04/2022 19:26:48.149"</f>
        <v>10/04/2022 19:26:48.149</v>
      </c>
      <c r="C420" t="str">
        <f t="shared" si="141"/>
        <v>FFDFD3C0</v>
      </c>
      <c r="D420" t="s">
        <v>143</v>
      </c>
      <c r="E420">
        <v>20</v>
      </c>
      <c r="F420">
        <v>1020</v>
      </c>
      <c r="G420" t="s">
        <v>144</v>
      </c>
      <c r="J420" t="s">
        <v>145</v>
      </c>
      <c r="K420">
        <v>0</v>
      </c>
      <c r="L420">
        <v>3</v>
      </c>
      <c r="M420">
        <v>0</v>
      </c>
      <c r="N420">
        <v>2</v>
      </c>
      <c r="O420">
        <v>0</v>
      </c>
      <c r="P420">
        <v>1</v>
      </c>
      <c r="Q420">
        <v>0</v>
      </c>
      <c r="S420" t="str">
        <f t="shared" si="153"/>
        <v>19:26:46.906</v>
      </c>
      <c r="T420" t="str">
        <f t="shared" si="153"/>
        <v>19:26:46.906</v>
      </c>
      <c r="U420" t="str">
        <f t="shared" si="142"/>
        <v>AC3944</v>
      </c>
      <c r="V420">
        <v>0</v>
      </c>
      <c r="W420">
        <v>0</v>
      </c>
      <c r="X420">
        <v>2</v>
      </c>
      <c r="Y420">
        <v>0</v>
      </c>
      <c r="AA420">
        <v>0</v>
      </c>
      <c r="AB420">
        <v>8</v>
      </c>
      <c r="AC420">
        <v>3</v>
      </c>
      <c r="AD420">
        <v>0</v>
      </c>
      <c r="AE420">
        <v>9</v>
      </c>
      <c r="AF420" t="s">
        <v>138</v>
      </c>
      <c r="AG420">
        <v>0</v>
      </c>
      <c r="AH420">
        <v>3</v>
      </c>
      <c r="AI420">
        <v>1</v>
      </c>
      <c r="AJ420">
        <v>0</v>
      </c>
      <c r="AK420" t="s">
        <v>278</v>
      </c>
      <c r="AL420">
        <v>32.817856999999997</v>
      </c>
      <c r="AM420" t="s">
        <v>279</v>
      </c>
      <c r="AN420">
        <v>-116.992164</v>
      </c>
      <c r="AO420">
        <v>25</v>
      </c>
      <c r="AP420">
        <v>1700</v>
      </c>
      <c r="AQ420" t="s">
        <v>129</v>
      </c>
      <c r="AR420">
        <v>135</v>
      </c>
      <c r="AS420">
        <v>-13</v>
      </c>
      <c r="AT420">
        <v>-640</v>
      </c>
      <c r="BB420">
        <v>1200</v>
      </c>
      <c r="BC420">
        <v>1</v>
      </c>
      <c r="BD420" t="str">
        <f t="shared" si="143"/>
        <v xml:space="preserve">N887QR  </v>
      </c>
      <c r="BE420">
        <v>1</v>
      </c>
      <c r="BG420">
        <v>0</v>
      </c>
      <c r="BH420">
        <v>0</v>
      </c>
      <c r="BI420">
        <v>0</v>
      </c>
      <c r="BJ420">
        <v>1425</v>
      </c>
      <c r="BK420">
        <v>-275</v>
      </c>
      <c r="BL420" t="s">
        <v>163</v>
      </c>
      <c r="BM420">
        <v>1</v>
      </c>
      <c r="BN420">
        <v>1</v>
      </c>
      <c r="BO420">
        <v>1</v>
      </c>
      <c r="BP420">
        <v>0</v>
      </c>
      <c r="BS420">
        <v>0</v>
      </c>
      <c r="BT420">
        <v>0</v>
      </c>
      <c r="BU420">
        <v>0</v>
      </c>
      <c r="CE420" t="str">
        <f t="shared" si="154"/>
        <v>19:26:47.912</v>
      </c>
      <c r="CF420">
        <v>1911700620</v>
      </c>
      <c r="CS420">
        <v>3</v>
      </c>
      <c r="CT420">
        <v>2</v>
      </c>
      <c r="CU420">
        <v>0</v>
      </c>
      <c r="CV420">
        <v>2</v>
      </c>
      <c r="CW420">
        <v>0</v>
      </c>
      <c r="CX420">
        <v>5</v>
      </c>
      <c r="CY420">
        <v>7</v>
      </c>
      <c r="CZ420" t="s">
        <v>131</v>
      </c>
      <c r="DA420">
        <v>286</v>
      </c>
      <c r="DB420">
        <v>0</v>
      </c>
      <c r="DC420" t="s">
        <v>132</v>
      </c>
      <c r="DD420" t="s">
        <v>133</v>
      </c>
      <c r="DG420">
        <v>793348</v>
      </c>
      <c r="DI420">
        <v>1</v>
      </c>
      <c r="DJ420">
        <v>0</v>
      </c>
      <c r="DK420">
        <v>1</v>
      </c>
      <c r="DL420">
        <v>0</v>
      </c>
      <c r="DM420">
        <v>0</v>
      </c>
      <c r="DN420">
        <v>1</v>
      </c>
      <c r="DO420">
        <v>0</v>
      </c>
      <c r="DP420">
        <v>0</v>
      </c>
      <c r="DQ420">
        <v>0</v>
      </c>
      <c r="DR420">
        <v>0</v>
      </c>
      <c r="DS420">
        <v>0</v>
      </c>
    </row>
    <row r="421" spans="1:123" x14ac:dyDescent="0.3">
      <c r="A421" t="str">
        <f t="shared" si="155"/>
        <v>10/04/2022 19:26:48.149</v>
      </c>
      <c r="C421" t="str">
        <f t="shared" si="141"/>
        <v>FFDFD3C0</v>
      </c>
      <c r="D421" t="s">
        <v>136</v>
      </c>
      <c r="E421">
        <v>8</v>
      </c>
      <c r="H421">
        <v>225</v>
      </c>
      <c r="I421" t="s">
        <v>137</v>
      </c>
      <c r="J421" t="s">
        <v>138</v>
      </c>
      <c r="K421">
        <v>0</v>
      </c>
      <c r="L421">
        <v>3</v>
      </c>
      <c r="M421">
        <v>0</v>
      </c>
      <c r="N421">
        <v>2</v>
      </c>
      <c r="O421">
        <v>0</v>
      </c>
      <c r="P421">
        <v>1</v>
      </c>
      <c r="Q421">
        <v>0</v>
      </c>
      <c r="S421" t="str">
        <f t="shared" si="153"/>
        <v>19:26:46.906</v>
      </c>
      <c r="T421" t="str">
        <f t="shared" si="153"/>
        <v>19:26:46.906</v>
      </c>
      <c r="U421" t="str">
        <f t="shared" si="142"/>
        <v>AC3944</v>
      </c>
      <c r="V421">
        <v>0</v>
      </c>
      <c r="W421">
        <v>0</v>
      </c>
      <c r="X421">
        <v>2</v>
      </c>
      <c r="Y421">
        <v>0</v>
      </c>
      <c r="AA421">
        <v>0</v>
      </c>
      <c r="AB421">
        <v>8</v>
      </c>
      <c r="AC421">
        <v>3</v>
      </c>
      <c r="AD421">
        <v>0</v>
      </c>
      <c r="AE421">
        <v>9</v>
      </c>
      <c r="AF421" t="s">
        <v>138</v>
      </c>
      <c r="AG421">
        <v>0</v>
      </c>
      <c r="AH421">
        <v>3</v>
      </c>
      <c r="AI421">
        <v>1</v>
      </c>
      <c r="AJ421">
        <v>0</v>
      </c>
      <c r="AK421" t="s">
        <v>278</v>
      </c>
      <c r="AL421">
        <v>32.817856999999997</v>
      </c>
      <c r="AM421" t="s">
        <v>279</v>
      </c>
      <c r="AN421">
        <v>-116.992164</v>
      </c>
      <c r="AO421">
        <v>25</v>
      </c>
      <c r="AP421">
        <v>1700</v>
      </c>
      <c r="AQ421" t="s">
        <v>129</v>
      </c>
      <c r="AR421">
        <v>135</v>
      </c>
      <c r="AS421">
        <v>-13</v>
      </c>
      <c r="AT421">
        <v>-640</v>
      </c>
      <c r="BB421">
        <v>1200</v>
      </c>
      <c r="BC421">
        <v>1</v>
      </c>
      <c r="BD421" t="str">
        <f t="shared" si="143"/>
        <v xml:space="preserve">N887QR  </v>
      </c>
      <c r="BE421">
        <v>1</v>
      </c>
      <c r="BG421">
        <v>0</v>
      </c>
      <c r="BH421">
        <v>0</v>
      </c>
      <c r="BI421">
        <v>0</v>
      </c>
      <c r="BJ421">
        <v>1425</v>
      </c>
      <c r="BK421">
        <v>-275</v>
      </c>
      <c r="BL421" t="s">
        <v>163</v>
      </c>
      <c r="BM421">
        <v>1</v>
      </c>
      <c r="BN421">
        <v>1</v>
      </c>
      <c r="BO421">
        <v>1</v>
      </c>
      <c r="BP421">
        <v>0</v>
      </c>
      <c r="BS421">
        <v>0</v>
      </c>
      <c r="BT421">
        <v>0</v>
      </c>
      <c r="BU421">
        <v>0</v>
      </c>
      <c r="CE421" t="str">
        <f t="shared" si="154"/>
        <v>19:26:47.912</v>
      </c>
      <c r="CF421">
        <v>1911700620</v>
      </c>
      <c r="CS421">
        <v>3</v>
      </c>
      <c r="CT421">
        <v>2</v>
      </c>
      <c r="CU421">
        <v>0</v>
      </c>
      <c r="CV421">
        <v>2</v>
      </c>
      <c r="CW421">
        <v>0</v>
      </c>
      <c r="CX421">
        <v>5</v>
      </c>
      <c r="CY421">
        <v>7</v>
      </c>
      <c r="CZ421" t="s">
        <v>131</v>
      </c>
      <c r="DA421">
        <v>286</v>
      </c>
      <c r="DB421">
        <v>0</v>
      </c>
      <c r="DC421" t="s">
        <v>132</v>
      </c>
      <c r="DD421" t="s">
        <v>133</v>
      </c>
      <c r="DG421">
        <v>793348</v>
      </c>
      <c r="DI421">
        <v>1</v>
      </c>
      <c r="DJ421">
        <v>0</v>
      </c>
      <c r="DK421">
        <v>1</v>
      </c>
      <c r="DL421">
        <v>0</v>
      </c>
      <c r="DM421">
        <v>0</v>
      </c>
      <c r="DN421">
        <v>1</v>
      </c>
      <c r="DO421">
        <v>0</v>
      </c>
      <c r="DP421">
        <v>0</v>
      </c>
      <c r="DQ421">
        <v>0</v>
      </c>
      <c r="DR421">
        <v>0</v>
      </c>
      <c r="DS421">
        <v>0</v>
      </c>
    </row>
    <row r="422" spans="1:123" x14ac:dyDescent="0.3">
      <c r="A422" t="str">
        <f t="shared" si="155"/>
        <v>10/04/2022 19:26:48.149</v>
      </c>
      <c r="C422" t="str">
        <f t="shared" si="141"/>
        <v>FFDFD3C0</v>
      </c>
      <c r="D422" t="s">
        <v>141</v>
      </c>
      <c r="E422">
        <v>4</v>
      </c>
      <c r="H422">
        <v>4</v>
      </c>
      <c r="I422" t="s">
        <v>142</v>
      </c>
      <c r="J422" t="s">
        <v>138</v>
      </c>
      <c r="K422">
        <v>0</v>
      </c>
      <c r="L422">
        <v>3</v>
      </c>
      <c r="M422">
        <v>0</v>
      </c>
      <c r="N422">
        <v>2</v>
      </c>
      <c r="O422">
        <v>0</v>
      </c>
      <c r="P422">
        <v>1</v>
      </c>
      <c r="Q422">
        <v>0</v>
      </c>
      <c r="S422" t="str">
        <f t="shared" si="153"/>
        <v>19:26:46.906</v>
      </c>
      <c r="T422" t="str">
        <f t="shared" si="153"/>
        <v>19:26:46.906</v>
      </c>
      <c r="U422" t="str">
        <f t="shared" si="142"/>
        <v>AC3944</v>
      </c>
      <c r="V422">
        <v>0</v>
      </c>
      <c r="W422">
        <v>0</v>
      </c>
      <c r="X422">
        <v>2</v>
      </c>
      <c r="Y422">
        <v>0</v>
      </c>
      <c r="AA422">
        <v>0</v>
      </c>
      <c r="AB422">
        <v>8</v>
      </c>
      <c r="AC422">
        <v>3</v>
      </c>
      <c r="AD422">
        <v>0</v>
      </c>
      <c r="AE422">
        <v>9</v>
      </c>
      <c r="AF422" t="s">
        <v>138</v>
      </c>
      <c r="AG422">
        <v>0</v>
      </c>
      <c r="AH422">
        <v>3</v>
      </c>
      <c r="AI422">
        <v>1</v>
      </c>
      <c r="AJ422">
        <v>0</v>
      </c>
      <c r="AK422" t="s">
        <v>278</v>
      </c>
      <c r="AL422">
        <v>32.817856999999997</v>
      </c>
      <c r="AM422" t="s">
        <v>279</v>
      </c>
      <c r="AN422">
        <v>-116.992164</v>
      </c>
      <c r="AO422">
        <v>25</v>
      </c>
      <c r="AP422">
        <v>1700</v>
      </c>
      <c r="AQ422" t="s">
        <v>129</v>
      </c>
      <c r="AR422">
        <v>135</v>
      </c>
      <c r="AS422">
        <v>-13</v>
      </c>
      <c r="AT422">
        <v>-640</v>
      </c>
      <c r="BB422">
        <v>1200</v>
      </c>
      <c r="BC422">
        <v>1</v>
      </c>
      <c r="BD422" t="str">
        <f t="shared" si="143"/>
        <v xml:space="preserve">N887QR  </v>
      </c>
      <c r="BE422">
        <v>1</v>
      </c>
      <c r="BG422">
        <v>0</v>
      </c>
      <c r="BH422">
        <v>0</v>
      </c>
      <c r="BI422">
        <v>0</v>
      </c>
      <c r="BJ422">
        <v>1425</v>
      </c>
      <c r="BK422">
        <v>-275</v>
      </c>
      <c r="BL422" t="s">
        <v>163</v>
      </c>
      <c r="BM422">
        <v>1</v>
      </c>
      <c r="BN422">
        <v>1</v>
      </c>
      <c r="BO422">
        <v>1</v>
      </c>
      <c r="BP422">
        <v>0</v>
      </c>
      <c r="BS422">
        <v>0</v>
      </c>
      <c r="BT422">
        <v>0</v>
      </c>
      <c r="BU422">
        <v>0</v>
      </c>
      <c r="CE422" t="str">
        <f t="shared" si="154"/>
        <v>19:26:47.912</v>
      </c>
      <c r="CF422">
        <v>1911700620</v>
      </c>
      <c r="CS422">
        <v>3</v>
      </c>
      <c r="CT422">
        <v>2</v>
      </c>
      <c r="CU422">
        <v>0</v>
      </c>
      <c r="CV422">
        <v>2</v>
      </c>
      <c r="CW422">
        <v>0</v>
      </c>
      <c r="CX422">
        <v>5</v>
      </c>
      <c r="CY422">
        <v>7</v>
      </c>
      <c r="CZ422" t="s">
        <v>131</v>
      </c>
      <c r="DA422">
        <v>286</v>
      </c>
      <c r="DB422">
        <v>0</v>
      </c>
      <c r="DC422" t="s">
        <v>132</v>
      </c>
      <c r="DD422" t="s">
        <v>133</v>
      </c>
      <c r="DG422">
        <v>793348</v>
      </c>
      <c r="DI422">
        <v>1</v>
      </c>
      <c r="DJ422">
        <v>0</v>
      </c>
      <c r="DK422">
        <v>1</v>
      </c>
      <c r="DL422">
        <v>0</v>
      </c>
      <c r="DM422">
        <v>0</v>
      </c>
      <c r="DN422">
        <v>1</v>
      </c>
      <c r="DO422">
        <v>0</v>
      </c>
      <c r="DP422">
        <v>0</v>
      </c>
      <c r="DQ422">
        <v>0</v>
      </c>
      <c r="DR422">
        <v>0</v>
      </c>
      <c r="DS422">
        <v>0</v>
      </c>
    </row>
    <row r="423" spans="1:123" x14ac:dyDescent="0.3">
      <c r="A423" t="str">
        <f t="shared" si="155"/>
        <v>10/04/2022 19:26:48.149</v>
      </c>
      <c r="C423" t="str">
        <f t="shared" si="141"/>
        <v>FFDFD3C0</v>
      </c>
      <c r="D423" t="s">
        <v>147</v>
      </c>
      <c r="E423">
        <v>3</v>
      </c>
      <c r="H423">
        <v>166</v>
      </c>
      <c r="I423" t="s">
        <v>144</v>
      </c>
      <c r="J423" t="s">
        <v>148</v>
      </c>
      <c r="K423">
        <v>0</v>
      </c>
      <c r="L423">
        <v>3</v>
      </c>
      <c r="M423">
        <v>0</v>
      </c>
      <c r="N423">
        <v>2</v>
      </c>
      <c r="O423">
        <v>0</v>
      </c>
      <c r="P423">
        <v>1</v>
      </c>
      <c r="Q423">
        <v>0</v>
      </c>
      <c r="S423" t="str">
        <f t="shared" si="153"/>
        <v>19:26:46.906</v>
      </c>
      <c r="T423" t="str">
        <f t="shared" si="153"/>
        <v>19:26:46.906</v>
      </c>
      <c r="U423" t="str">
        <f t="shared" si="142"/>
        <v>AC3944</v>
      </c>
      <c r="V423">
        <v>0</v>
      </c>
      <c r="W423">
        <v>0</v>
      </c>
      <c r="X423">
        <v>2</v>
      </c>
      <c r="Y423">
        <v>0</v>
      </c>
      <c r="AA423">
        <v>0</v>
      </c>
      <c r="AB423">
        <v>8</v>
      </c>
      <c r="AC423">
        <v>3</v>
      </c>
      <c r="AD423">
        <v>0</v>
      </c>
      <c r="AE423">
        <v>9</v>
      </c>
      <c r="AF423" t="s">
        <v>138</v>
      </c>
      <c r="AG423">
        <v>0</v>
      </c>
      <c r="AH423">
        <v>3</v>
      </c>
      <c r="AI423">
        <v>1</v>
      </c>
      <c r="AJ423">
        <v>0</v>
      </c>
      <c r="AK423" t="s">
        <v>278</v>
      </c>
      <c r="AL423">
        <v>32.817856999999997</v>
      </c>
      <c r="AM423" t="s">
        <v>279</v>
      </c>
      <c r="AN423">
        <v>-116.992164</v>
      </c>
      <c r="AO423">
        <v>25</v>
      </c>
      <c r="AP423">
        <v>1700</v>
      </c>
      <c r="AQ423" t="s">
        <v>129</v>
      </c>
      <c r="AR423">
        <v>135</v>
      </c>
      <c r="AS423">
        <v>-13</v>
      </c>
      <c r="AT423">
        <v>-640</v>
      </c>
      <c r="BB423">
        <v>1200</v>
      </c>
      <c r="BC423">
        <v>1</v>
      </c>
      <c r="BD423" t="str">
        <f t="shared" si="143"/>
        <v xml:space="preserve">N887QR  </v>
      </c>
      <c r="BE423">
        <v>1</v>
      </c>
      <c r="BG423">
        <v>0</v>
      </c>
      <c r="BH423">
        <v>0</v>
      </c>
      <c r="BI423">
        <v>0</v>
      </c>
      <c r="BJ423">
        <v>1425</v>
      </c>
      <c r="BK423">
        <v>-275</v>
      </c>
      <c r="BL423" t="s">
        <v>163</v>
      </c>
      <c r="BM423">
        <v>1</v>
      </c>
      <c r="BN423">
        <v>1</v>
      </c>
      <c r="BO423">
        <v>1</v>
      </c>
      <c r="BP423">
        <v>0</v>
      </c>
      <c r="BS423">
        <v>0</v>
      </c>
      <c r="BT423">
        <v>0</v>
      </c>
      <c r="BU423">
        <v>0</v>
      </c>
      <c r="CE423" t="str">
        <f t="shared" si="154"/>
        <v>19:26:47.912</v>
      </c>
      <c r="CF423">
        <v>1911700620</v>
      </c>
      <c r="CS423">
        <v>3</v>
      </c>
      <c r="CT423">
        <v>2</v>
      </c>
      <c r="CU423">
        <v>0</v>
      </c>
      <c r="CV423">
        <v>2</v>
      </c>
      <c r="CW423">
        <v>0</v>
      </c>
      <c r="CX423">
        <v>5</v>
      </c>
      <c r="CY423">
        <v>7</v>
      </c>
      <c r="CZ423" t="s">
        <v>131</v>
      </c>
      <c r="DA423">
        <v>286</v>
      </c>
      <c r="DB423">
        <v>0</v>
      </c>
      <c r="DC423" t="s">
        <v>132</v>
      </c>
      <c r="DD423" t="s">
        <v>133</v>
      </c>
      <c r="DG423">
        <v>793348</v>
      </c>
      <c r="DI423">
        <v>1</v>
      </c>
      <c r="DJ423">
        <v>0</v>
      </c>
      <c r="DK423">
        <v>1</v>
      </c>
      <c r="DL423">
        <v>0</v>
      </c>
      <c r="DM423">
        <v>0</v>
      </c>
      <c r="DN423">
        <v>1</v>
      </c>
      <c r="DO423">
        <v>0</v>
      </c>
      <c r="DP423">
        <v>0</v>
      </c>
      <c r="DQ423">
        <v>0</v>
      </c>
      <c r="DR423">
        <v>0</v>
      </c>
      <c r="DS423">
        <v>0</v>
      </c>
    </row>
    <row r="424" spans="1:123" x14ac:dyDescent="0.3">
      <c r="A424" t="str">
        <f t="shared" si="155"/>
        <v>10/04/2022 19:26:48.149</v>
      </c>
      <c r="C424" t="str">
        <f t="shared" si="141"/>
        <v>FFDFD3C0</v>
      </c>
      <c r="D424" t="s">
        <v>123</v>
      </c>
      <c r="E424">
        <v>7</v>
      </c>
      <c r="F424">
        <v>2007</v>
      </c>
      <c r="G424" t="s">
        <v>124</v>
      </c>
      <c r="J424" t="s">
        <v>125</v>
      </c>
      <c r="K424">
        <v>0</v>
      </c>
      <c r="L424">
        <v>3</v>
      </c>
      <c r="M424">
        <v>0</v>
      </c>
      <c r="N424">
        <v>2</v>
      </c>
      <c r="O424">
        <v>0</v>
      </c>
      <c r="P424">
        <v>1</v>
      </c>
      <c r="Q424">
        <v>0</v>
      </c>
      <c r="S424" t="str">
        <f t="shared" si="153"/>
        <v>19:26:46.906</v>
      </c>
      <c r="T424" t="str">
        <f t="shared" si="153"/>
        <v>19:26:46.906</v>
      </c>
      <c r="U424" t="str">
        <f t="shared" si="142"/>
        <v>AC3944</v>
      </c>
      <c r="V424">
        <v>0</v>
      </c>
      <c r="W424">
        <v>0</v>
      </c>
      <c r="X424">
        <v>2</v>
      </c>
      <c r="Y424">
        <v>0</v>
      </c>
      <c r="AA424">
        <v>0</v>
      </c>
      <c r="AB424">
        <v>8</v>
      </c>
      <c r="AC424">
        <v>3</v>
      </c>
      <c r="AD424">
        <v>0</v>
      </c>
      <c r="AE424">
        <v>9</v>
      </c>
      <c r="AF424" t="s">
        <v>138</v>
      </c>
      <c r="AG424">
        <v>0</v>
      </c>
      <c r="AH424">
        <v>3</v>
      </c>
      <c r="AI424">
        <v>1</v>
      </c>
      <c r="AJ424">
        <v>0</v>
      </c>
      <c r="AK424" t="s">
        <v>278</v>
      </c>
      <c r="AL424">
        <v>32.817856999999997</v>
      </c>
      <c r="AM424" t="s">
        <v>279</v>
      </c>
      <c r="AN424">
        <v>-116.992164</v>
      </c>
      <c r="AO424">
        <v>25</v>
      </c>
      <c r="AP424">
        <v>1700</v>
      </c>
      <c r="AQ424" t="s">
        <v>129</v>
      </c>
      <c r="AR424">
        <v>135</v>
      </c>
      <c r="AS424">
        <v>-13</v>
      </c>
      <c r="AT424">
        <v>-640</v>
      </c>
      <c r="BB424">
        <v>1200</v>
      </c>
      <c r="BC424">
        <v>1</v>
      </c>
      <c r="BD424" t="str">
        <f t="shared" si="143"/>
        <v xml:space="preserve">N887QR  </v>
      </c>
      <c r="BE424">
        <v>1</v>
      </c>
      <c r="BG424">
        <v>0</v>
      </c>
      <c r="BH424">
        <v>0</v>
      </c>
      <c r="BI424">
        <v>0</v>
      </c>
      <c r="BJ424">
        <v>1425</v>
      </c>
      <c r="BK424">
        <v>-275</v>
      </c>
      <c r="BL424" t="s">
        <v>163</v>
      </c>
      <c r="BM424">
        <v>1</v>
      </c>
      <c r="BN424">
        <v>1</v>
      </c>
      <c r="BO424">
        <v>1</v>
      </c>
      <c r="BP424">
        <v>0</v>
      </c>
      <c r="BS424">
        <v>0</v>
      </c>
      <c r="BT424">
        <v>0</v>
      </c>
      <c r="BU424">
        <v>0</v>
      </c>
      <c r="CE424" t="str">
        <f t="shared" si="154"/>
        <v>19:26:47.912</v>
      </c>
      <c r="CF424">
        <v>1911700620</v>
      </c>
      <c r="CS424">
        <v>3</v>
      </c>
      <c r="CT424">
        <v>2</v>
      </c>
      <c r="CU424">
        <v>0</v>
      </c>
      <c r="CV424">
        <v>2</v>
      </c>
      <c r="CW424">
        <v>0</v>
      </c>
      <c r="CX424">
        <v>5</v>
      </c>
      <c r="CY424">
        <v>7</v>
      </c>
      <c r="CZ424" t="s">
        <v>131</v>
      </c>
      <c r="DA424">
        <v>286</v>
      </c>
      <c r="DB424">
        <v>0</v>
      </c>
      <c r="DC424" t="s">
        <v>132</v>
      </c>
      <c r="DD424" t="s">
        <v>133</v>
      </c>
      <c r="DG424">
        <v>793348</v>
      </c>
      <c r="DI424">
        <v>1</v>
      </c>
      <c r="DJ424">
        <v>0</v>
      </c>
      <c r="DK424">
        <v>1</v>
      </c>
      <c r="DL424">
        <v>0</v>
      </c>
      <c r="DM424">
        <v>0</v>
      </c>
      <c r="DN424">
        <v>1</v>
      </c>
      <c r="DO424">
        <v>0</v>
      </c>
      <c r="DP424">
        <v>0</v>
      </c>
      <c r="DQ424">
        <v>0</v>
      </c>
      <c r="DR424">
        <v>0</v>
      </c>
      <c r="DS424">
        <v>0</v>
      </c>
    </row>
    <row r="425" spans="1:123" x14ac:dyDescent="0.3">
      <c r="A425" t="str">
        <f t="shared" si="155"/>
        <v>10/04/2022 19:26:48.149</v>
      </c>
      <c r="C425" t="str">
        <f t="shared" si="141"/>
        <v>FFDFD3C0</v>
      </c>
      <c r="D425" t="s">
        <v>134</v>
      </c>
      <c r="E425">
        <v>15</v>
      </c>
      <c r="J425" t="s">
        <v>135</v>
      </c>
      <c r="K425">
        <v>0</v>
      </c>
      <c r="L425">
        <v>3</v>
      </c>
      <c r="M425">
        <v>0</v>
      </c>
      <c r="N425">
        <v>2</v>
      </c>
      <c r="O425">
        <v>0</v>
      </c>
      <c r="P425">
        <v>1</v>
      </c>
      <c r="Q425">
        <v>0</v>
      </c>
      <c r="S425" t="str">
        <f t="shared" si="153"/>
        <v>19:26:46.906</v>
      </c>
      <c r="T425" t="str">
        <f t="shared" si="153"/>
        <v>19:26:46.906</v>
      </c>
      <c r="U425" t="str">
        <f t="shared" si="142"/>
        <v>AC3944</v>
      </c>
      <c r="V425">
        <v>0</v>
      </c>
      <c r="W425">
        <v>0</v>
      </c>
      <c r="X425">
        <v>2</v>
      </c>
      <c r="Y425">
        <v>0</v>
      </c>
      <c r="AA425">
        <v>0</v>
      </c>
      <c r="AB425">
        <v>8</v>
      </c>
      <c r="AC425">
        <v>3</v>
      </c>
      <c r="AD425">
        <v>0</v>
      </c>
      <c r="AE425">
        <v>9</v>
      </c>
      <c r="AF425" t="s">
        <v>138</v>
      </c>
      <c r="AG425">
        <v>0</v>
      </c>
      <c r="AH425">
        <v>3</v>
      </c>
      <c r="AI425">
        <v>1</v>
      </c>
      <c r="AJ425">
        <v>0</v>
      </c>
      <c r="AK425" t="s">
        <v>278</v>
      </c>
      <c r="AL425">
        <v>32.817856999999997</v>
      </c>
      <c r="AM425" t="s">
        <v>279</v>
      </c>
      <c r="AN425">
        <v>-116.992164</v>
      </c>
      <c r="AO425">
        <v>25</v>
      </c>
      <c r="AP425">
        <v>1700</v>
      </c>
      <c r="AQ425" t="s">
        <v>129</v>
      </c>
      <c r="AR425">
        <v>135</v>
      </c>
      <c r="AS425">
        <v>-13</v>
      </c>
      <c r="AT425">
        <v>-640</v>
      </c>
      <c r="BB425">
        <v>1200</v>
      </c>
      <c r="BC425">
        <v>1</v>
      </c>
      <c r="BD425" t="str">
        <f t="shared" si="143"/>
        <v xml:space="preserve">N887QR  </v>
      </c>
      <c r="BE425">
        <v>1</v>
      </c>
      <c r="BG425">
        <v>0</v>
      </c>
      <c r="BH425">
        <v>0</v>
      </c>
      <c r="BI425">
        <v>0</v>
      </c>
      <c r="BJ425">
        <v>1425</v>
      </c>
      <c r="BK425">
        <v>-275</v>
      </c>
      <c r="BL425" t="s">
        <v>163</v>
      </c>
      <c r="BM425">
        <v>1</v>
      </c>
      <c r="BN425">
        <v>1</v>
      </c>
      <c r="BO425">
        <v>1</v>
      </c>
      <c r="BP425">
        <v>0</v>
      </c>
      <c r="BS425">
        <v>0</v>
      </c>
      <c r="BT425">
        <v>0</v>
      </c>
      <c r="BU425">
        <v>0</v>
      </c>
      <c r="CE425" t="str">
        <f t="shared" si="154"/>
        <v>19:26:47.912</v>
      </c>
      <c r="CF425">
        <v>1911700620</v>
      </c>
      <c r="CS425">
        <v>3</v>
      </c>
      <c r="CT425">
        <v>2</v>
      </c>
      <c r="CU425">
        <v>0</v>
      </c>
      <c r="CV425">
        <v>2</v>
      </c>
      <c r="CW425">
        <v>0</v>
      </c>
      <c r="CX425">
        <v>5</v>
      </c>
      <c r="CY425">
        <v>7</v>
      </c>
      <c r="CZ425" t="s">
        <v>131</v>
      </c>
      <c r="DA425">
        <v>286</v>
      </c>
      <c r="DB425">
        <v>0</v>
      </c>
      <c r="DC425" t="s">
        <v>132</v>
      </c>
      <c r="DD425" t="s">
        <v>133</v>
      </c>
      <c r="DG425">
        <v>793348</v>
      </c>
      <c r="DI425">
        <v>1</v>
      </c>
      <c r="DJ425">
        <v>0</v>
      </c>
      <c r="DK425">
        <v>1</v>
      </c>
      <c r="DL425">
        <v>0</v>
      </c>
      <c r="DM425">
        <v>0</v>
      </c>
      <c r="DN425">
        <v>1</v>
      </c>
      <c r="DO425">
        <v>0</v>
      </c>
      <c r="DP425">
        <v>0</v>
      </c>
      <c r="DQ425">
        <v>0</v>
      </c>
      <c r="DR425">
        <v>0</v>
      </c>
      <c r="DS425">
        <v>0</v>
      </c>
    </row>
    <row r="426" spans="1:123" x14ac:dyDescent="0.3">
      <c r="A426" t="str">
        <f>"10/04/2022 19:26:50.447"</f>
        <v>10/04/2022 19:26:50.447</v>
      </c>
      <c r="C426" t="str">
        <f t="shared" si="141"/>
        <v>FFDFD3C0</v>
      </c>
      <c r="D426" t="s">
        <v>147</v>
      </c>
      <c r="E426">
        <v>3</v>
      </c>
      <c r="H426">
        <v>166</v>
      </c>
      <c r="I426" t="s">
        <v>144</v>
      </c>
      <c r="J426" t="s">
        <v>148</v>
      </c>
      <c r="K426">
        <v>0</v>
      </c>
      <c r="L426">
        <v>3</v>
      </c>
      <c r="M426">
        <v>0</v>
      </c>
      <c r="N426">
        <v>2</v>
      </c>
      <c r="O426">
        <v>0</v>
      </c>
      <c r="P426">
        <v>1</v>
      </c>
      <c r="Q426">
        <v>0</v>
      </c>
      <c r="S426" t="str">
        <f t="shared" ref="S426:T432" si="156">"19:26:49.234"</f>
        <v>19:26:49.234</v>
      </c>
      <c r="T426" t="str">
        <f t="shared" si="156"/>
        <v>19:26:49.234</v>
      </c>
      <c r="U426" t="str">
        <f t="shared" si="142"/>
        <v>AC3944</v>
      </c>
      <c r="V426">
        <v>0</v>
      </c>
      <c r="W426">
        <v>0</v>
      </c>
      <c r="X426">
        <v>2</v>
      </c>
      <c r="Y426">
        <v>0</v>
      </c>
      <c r="AA426">
        <v>0</v>
      </c>
      <c r="AB426">
        <v>8</v>
      </c>
      <c r="AC426">
        <v>3</v>
      </c>
      <c r="AD426">
        <v>0</v>
      </c>
      <c r="AE426">
        <v>9</v>
      </c>
      <c r="AF426" t="s">
        <v>138</v>
      </c>
      <c r="AG426">
        <v>0</v>
      </c>
      <c r="AH426">
        <v>3</v>
      </c>
      <c r="AI426">
        <v>1</v>
      </c>
      <c r="AJ426">
        <v>0</v>
      </c>
      <c r="AK426" t="s">
        <v>280</v>
      </c>
      <c r="AL426">
        <v>32.817793000000002</v>
      </c>
      <c r="AM426" t="s">
        <v>281</v>
      </c>
      <c r="AN426">
        <v>-116.99081200000001</v>
      </c>
      <c r="AO426">
        <v>25</v>
      </c>
      <c r="AP426">
        <v>1700</v>
      </c>
      <c r="AQ426" t="s">
        <v>129</v>
      </c>
      <c r="AR426">
        <v>140</v>
      </c>
      <c r="AS426">
        <v>-1</v>
      </c>
      <c r="AT426">
        <v>-1216</v>
      </c>
      <c r="BB426">
        <v>1200</v>
      </c>
      <c r="BC426">
        <v>1</v>
      </c>
      <c r="BD426" t="str">
        <f t="shared" si="143"/>
        <v xml:space="preserve">N887QR  </v>
      </c>
      <c r="BE426">
        <v>1</v>
      </c>
      <c r="BG426">
        <v>0</v>
      </c>
      <c r="BH426">
        <v>0</v>
      </c>
      <c r="BI426">
        <v>0</v>
      </c>
      <c r="BJ426">
        <v>1450</v>
      </c>
      <c r="BK426">
        <v>-250</v>
      </c>
      <c r="BL426" t="s">
        <v>163</v>
      </c>
      <c r="BM426">
        <v>1</v>
      </c>
      <c r="BN426">
        <v>1</v>
      </c>
      <c r="BO426">
        <v>1</v>
      </c>
      <c r="BP426">
        <v>0</v>
      </c>
      <c r="BS426">
        <v>0</v>
      </c>
      <c r="BT426">
        <v>0</v>
      </c>
      <c r="BU426">
        <v>0</v>
      </c>
      <c r="CE426" t="str">
        <f t="shared" ref="CE426:CE432" si="157">"19:26:50.241"</f>
        <v>19:26:50.241</v>
      </c>
      <c r="CF426">
        <v>1241184184</v>
      </c>
      <c r="CS426">
        <v>3</v>
      </c>
      <c r="CT426">
        <v>2</v>
      </c>
      <c r="CU426">
        <v>0</v>
      </c>
      <c r="CV426">
        <v>2</v>
      </c>
      <c r="CW426">
        <v>1</v>
      </c>
      <c r="CX426">
        <v>5</v>
      </c>
      <c r="CY426">
        <v>7</v>
      </c>
      <c r="CZ426" t="s">
        <v>131</v>
      </c>
      <c r="DA426">
        <v>300</v>
      </c>
      <c r="DB426">
        <v>0</v>
      </c>
      <c r="DC426" t="s">
        <v>176</v>
      </c>
      <c r="DD426" t="s">
        <v>177</v>
      </c>
      <c r="DG426">
        <v>5362687</v>
      </c>
      <c r="DI426">
        <v>1</v>
      </c>
      <c r="DJ426">
        <v>0</v>
      </c>
      <c r="DK426">
        <v>0</v>
      </c>
      <c r="DL426">
        <v>0</v>
      </c>
      <c r="DM426">
        <v>0</v>
      </c>
      <c r="DN426">
        <v>1</v>
      </c>
      <c r="DO426">
        <v>0</v>
      </c>
      <c r="DP426">
        <v>0</v>
      </c>
      <c r="DQ426">
        <v>0</v>
      </c>
      <c r="DR426">
        <v>0</v>
      </c>
      <c r="DS426">
        <v>0</v>
      </c>
    </row>
    <row r="427" spans="1:123" x14ac:dyDescent="0.3">
      <c r="A427" t="str">
        <f>"10/04/2022 19:26:50.447"</f>
        <v>10/04/2022 19:26:50.447</v>
      </c>
      <c r="C427" t="str">
        <f t="shared" si="141"/>
        <v>FFDFD3C0</v>
      </c>
      <c r="D427" t="s">
        <v>134</v>
      </c>
      <c r="E427">
        <v>15</v>
      </c>
      <c r="J427" t="s">
        <v>135</v>
      </c>
      <c r="K427">
        <v>0</v>
      </c>
      <c r="L427">
        <v>3</v>
      </c>
      <c r="M427">
        <v>0</v>
      </c>
      <c r="N427">
        <v>2</v>
      </c>
      <c r="O427">
        <v>0</v>
      </c>
      <c r="P427">
        <v>1</v>
      </c>
      <c r="Q427">
        <v>0</v>
      </c>
      <c r="S427" t="str">
        <f t="shared" si="156"/>
        <v>19:26:49.234</v>
      </c>
      <c r="T427" t="str">
        <f t="shared" si="156"/>
        <v>19:26:49.234</v>
      </c>
      <c r="U427" t="str">
        <f t="shared" si="142"/>
        <v>AC3944</v>
      </c>
      <c r="V427">
        <v>0</v>
      </c>
      <c r="W427">
        <v>0</v>
      </c>
      <c r="X427">
        <v>2</v>
      </c>
      <c r="Y427">
        <v>0</v>
      </c>
      <c r="AA427">
        <v>0</v>
      </c>
      <c r="AB427">
        <v>8</v>
      </c>
      <c r="AC427">
        <v>3</v>
      </c>
      <c r="AD427">
        <v>0</v>
      </c>
      <c r="AE427">
        <v>9</v>
      </c>
      <c r="AF427" t="s">
        <v>138</v>
      </c>
      <c r="AG427">
        <v>0</v>
      </c>
      <c r="AH427">
        <v>3</v>
      </c>
      <c r="AI427">
        <v>1</v>
      </c>
      <c r="AJ427">
        <v>0</v>
      </c>
      <c r="AK427" t="s">
        <v>280</v>
      </c>
      <c r="AL427">
        <v>32.817793000000002</v>
      </c>
      <c r="AM427" t="s">
        <v>281</v>
      </c>
      <c r="AN427">
        <v>-116.99081200000001</v>
      </c>
      <c r="AO427">
        <v>25</v>
      </c>
      <c r="AP427">
        <v>1700</v>
      </c>
      <c r="AQ427" t="s">
        <v>129</v>
      </c>
      <c r="AR427">
        <v>140</v>
      </c>
      <c r="AS427">
        <v>-1</v>
      </c>
      <c r="AT427">
        <v>-1216</v>
      </c>
      <c r="BB427">
        <v>1200</v>
      </c>
      <c r="BC427">
        <v>1</v>
      </c>
      <c r="BD427" t="str">
        <f t="shared" si="143"/>
        <v xml:space="preserve">N887QR  </v>
      </c>
      <c r="BE427">
        <v>1</v>
      </c>
      <c r="BG427">
        <v>0</v>
      </c>
      <c r="BH427">
        <v>0</v>
      </c>
      <c r="BI427">
        <v>0</v>
      </c>
      <c r="BJ427">
        <v>1450</v>
      </c>
      <c r="BK427">
        <v>-250</v>
      </c>
      <c r="BL427" t="s">
        <v>163</v>
      </c>
      <c r="BM427">
        <v>1</v>
      </c>
      <c r="BN427">
        <v>1</v>
      </c>
      <c r="BO427">
        <v>1</v>
      </c>
      <c r="BP427">
        <v>0</v>
      </c>
      <c r="BS427">
        <v>0</v>
      </c>
      <c r="BT427">
        <v>0</v>
      </c>
      <c r="BU427">
        <v>0</v>
      </c>
      <c r="CE427" t="str">
        <f t="shared" si="157"/>
        <v>19:26:50.241</v>
      </c>
      <c r="CF427">
        <v>1241184184</v>
      </c>
      <c r="CS427">
        <v>3</v>
      </c>
      <c r="CT427">
        <v>2</v>
      </c>
      <c r="CU427">
        <v>0</v>
      </c>
      <c r="CV427">
        <v>2</v>
      </c>
      <c r="CW427">
        <v>1</v>
      </c>
      <c r="CX427">
        <v>5</v>
      </c>
      <c r="CY427">
        <v>7</v>
      </c>
      <c r="CZ427" t="s">
        <v>131</v>
      </c>
      <c r="DA427">
        <v>300</v>
      </c>
      <c r="DB427">
        <v>0</v>
      </c>
      <c r="DC427" t="s">
        <v>176</v>
      </c>
      <c r="DD427" t="s">
        <v>177</v>
      </c>
      <c r="DG427">
        <v>5362687</v>
      </c>
      <c r="DI427">
        <v>1</v>
      </c>
      <c r="DJ427">
        <v>0</v>
      </c>
      <c r="DK427">
        <v>1</v>
      </c>
      <c r="DL427">
        <v>0</v>
      </c>
      <c r="DM427">
        <v>0</v>
      </c>
      <c r="DN427">
        <v>1</v>
      </c>
      <c r="DO427">
        <v>0</v>
      </c>
      <c r="DP427">
        <v>0</v>
      </c>
      <c r="DQ427">
        <v>0</v>
      </c>
      <c r="DR427">
        <v>0</v>
      </c>
      <c r="DS427">
        <v>0</v>
      </c>
    </row>
    <row r="428" spans="1:123" x14ac:dyDescent="0.3">
      <c r="A428" t="str">
        <f>"10/04/2022 19:26:50.462"</f>
        <v>10/04/2022 19:26:50.462</v>
      </c>
      <c r="C428" t="str">
        <f t="shared" si="141"/>
        <v>FFDFD3C0</v>
      </c>
      <c r="D428" t="s">
        <v>143</v>
      </c>
      <c r="E428">
        <v>20</v>
      </c>
      <c r="F428">
        <v>1020</v>
      </c>
      <c r="G428" t="s">
        <v>144</v>
      </c>
      <c r="J428" t="s">
        <v>145</v>
      </c>
      <c r="K428">
        <v>0</v>
      </c>
      <c r="L428">
        <v>3</v>
      </c>
      <c r="M428">
        <v>0</v>
      </c>
      <c r="N428">
        <v>2</v>
      </c>
      <c r="O428">
        <v>0</v>
      </c>
      <c r="P428">
        <v>1</v>
      </c>
      <c r="Q428">
        <v>0</v>
      </c>
      <c r="S428" t="str">
        <f t="shared" si="156"/>
        <v>19:26:49.234</v>
      </c>
      <c r="T428" t="str">
        <f t="shared" si="156"/>
        <v>19:26:49.234</v>
      </c>
      <c r="U428" t="str">
        <f t="shared" si="142"/>
        <v>AC3944</v>
      </c>
      <c r="V428">
        <v>0</v>
      </c>
      <c r="W428">
        <v>0</v>
      </c>
      <c r="X428">
        <v>2</v>
      </c>
      <c r="Y428">
        <v>0</v>
      </c>
      <c r="AA428">
        <v>0</v>
      </c>
      <c r="AB428">
        <v>8</v>
      </c>
      <c r="AC428">
        <v>3</v>
      </c>
      <c r="AD428">
        <v>0</v>
      </c>
      <c r="AE428">
        <v>9</v>
      </c>
      <c r="AF428" t="s">
        <v>138</v>
      </c>
      <c r="AG428">
        <v>0</v>
      </c>
      <c r="AH428">
        <v>3</v>
      </c>
      <c r="AI428">
        <v>1</v>
      </c>
      <c r="AJ428">
        <v>0</v>
      </c>
      <c r="AK428" t="s">
        <v>280</v>
      </c>
      <c r="AL428">
        <v>32.817793000000002</v>
      </c>
      <c r="AM428" t="s">
        <v>281</v>
      </c>
      <c r="AN428">
        <v>-116.99081200000001</v>
      </c>
      <c r="AO428">
        <v>25</v>
      </c>
      <c r="AP428">
        <v>1700</v>
      </c>
      <c r="AQ428" t="s">
        <v>129</v>
      </c>
      <c r="AR428">
        <v>140</v>
      </c>
      <c r="AS428">
        <v>-1</v>
      </c>
      <c r="AT428">
        <v>-1216</v>
      </c>
      <c r="BB428">
        <v>1200</v>
      </c>
      <c r="BC428">
        <v>1</v>
      </c>
      <c r="BD428" t="str">
        <f t="shared" si="143"/>
        <v xml:space="preserve">N887QR  </v>
      </c>
      <c r="BE428">
        <v>1</v>
      </c>
      <c r="BG428">
        <v>0</v>
      </c>
      <c r="BH428">
        <v>0</v>
      </c>
      <c r="BI428">
        <v>0</v>
      </c>
      <c r="BJ428">
        <v>1450</v>
      </c>
      <c r="BK428">
        <v>-250</v>
      </c>
      <c r="BL428" t="s">
        <v>163</v>
      </c>
      <c r="BM428">
        <v>1</v>
      </c>
      <c r="BN428">
        <v>1</v>
      </c>
      <c r="BO428">
        <v>1</v>
      </c>
      <c r="BP428">
        <v>0</v>
      </c>
      <c r="BS428">
        <v>0</v>
      </c>
      <c r="BT428">
        <v>0</v>
      </c>
      <c r="BU428">
        <v>0</v>
      </c>
      <c r="CE428" t="str">
        <f t="shared" si="157"/>
        <v>19:26:50.241</v>
      </c>
      <c r="CF428">
        <v>1241184184</v>
      </c>
      <c r="CS428">
        <v>3</v>
      </c>
      <c r="CT428">
        <v>2</v>
      </c>
      <c r="CU428">
        <v>0</v>
      </c>
      <c r="CV428">
        <v>2</v>
      </c>
      <c r="CW428">
        <v>1</v>
      </c>
      <c r="CX428">
        <v>5</v>
      </c>
      <c r="CY428">
        <v>7</v>
      </c>
      <c r="CZ428" t="s">
        <v>131</v>
      </c>
      <c r="DA428">
        <v>300</v>
      </c>
      <c r="DB428">
        <v>0</v>
      </c>
      <c r="DC428" t="s">
        <v>176</v>
      </c>
      <c r="DD428" t="s">
        <v>177</v>
      </c>
      <c r="DG428">
        <v>5362687</v>
      </c>
      <c r="DI428">
        <v>1</v>
      </c>
      <c r="DJ428">
        <v>0</v>
      </c>
      <c r="DK428">
        <v>1</v>
      </c>
      <c r="DL428">
        <v>0</v>
      </c>
      <c r="DM428">
        <v>0</v>
      </c>
      <c r="DN428">
        <v>1</v>
      </c>
      <c r="DO428">
        <v>0</v>
      </c>
      <c r="DP428">
        <v>0</v>
      </c>
      <c r="DQ428">
        <v>0</v>
      </c>
      <c r="DR428">
        <v>0</v>
      </c>
      <c r="DS428">
        <v>0</v>
      </c>
    </row>
    <row r="429" spans="1:123" x14ac:dyDescent="0.3">
      <c r="A429" t="str">
        <f>"10/04/2022 19:26:50.478"</f>
        <v>10/04/2022 19:26:50.478</v>
      </c>
      <c r="C429" t="str">
        <f t="shared" si="141"/>
        <v>FFDFD3C0</v>
      </c>
      <c r="D429" t="s">
        <v>141</v>
      </c>
      <c r="E429">
        <v>3</v>
      </c>
      <c r="H429">
        <v>3</v>
      </c>
      <c r="I429" t="s">
        <v>146</v>
      </c>
      <c r="J429" t="s">
        <v>138</v>
      </c>
      <c r="K429">
        <v>0</v>
      </c>
      <c r="L429">
        <v>3</v>
      </c>
      <c r="M429">
        <v>0</v>
      </c>
      <c r="N429">
        <v>2</v>
      </c>
      <c r="O429">
        <v>0</v>
      </c>
      <c r="P429">
        <v>1</v>
      </c>
      <c r="Q429">
        <v>0</v>
      </c>
      <c r="S429" t="str">
        <f t="shared" si="156"/>
        <v>19:26:49.234</v>
      </c>
      <c r="T429" t="str">
        <f t="shared" si="156"/>
        <v>19:26:49.234</v>
      </c>
      <c r="U429" t="str">
        <f t="shared" si="142"/>
        <v>AC3944</v>
      </c>
      <c r="V429">
        <v>0</v>
      </c>
      <c r="W429">
        <v>0</v>
      </c>
      <c r="X429">
        <v>2</v>
      </c>
      <c r="Y429">
        <v>0</v>
      </c>
      <c r="AA429">
        <v>0</v>
      </c>
      <c r="AB429">
        <v>8</v>
      </c>
      <c r="AC429">
        <v>3</v>
      </c>
      <c r="AD429">
        <v>0</v>
      </c>
      <c r="AE429">
        <v>9</v>
      </c>
      <c r="AF429" t="s">
        <v>138</v>
      </c>
      <c r="AG429">
        <v>0</v>
      </c>
      <c r="AH429">
        <v>3</v>
      </c>
      <c r="AI429">
        <v>1</v>
      </c>
      <c r="AJ429">
        <v>0</v>
      </c>
      <c r="AK429" t="s">
        <v>280</v>
      </c>
      <c r="AL429">
        <v>32.817793000000002</v>
      </c>
      <c r="AM429" t="s">
        <v>281</v>
      </c>
      <c r="AN429">
        <v>-116.99081200000001</v>
      </c>
      <c r="AO429">
        <v>25</v>
      </c>
      <c r="AP429">
        <v>1700</v>
      </c>
      <c r="AQ429" t="s">
        <v>129</v>
      </c>
      <c r="AR429">
        <v>140</v>
      </c>
      <c r="AS429">
        <v>-1</v>
      </c>
      <c r="AT429">
        <v>-1216</v>
      </c>
      <c r="BB429">
        <v>1200</v>
      </c>
      <c r="BC429">
        <v>1</v>
      </c>
      <c r="BD429" t="str">
        <f t="shared" si="143"/>
        <v xml:space="preserve">N887QR  </v>
      </c>
      <c r="BE429">
        <v>1</v>
      </c>
      <c r="BG429">
        <v>0</v>
      </c>
      <c r="BH429">
        <v>0</v>
      </c>
      <c r="BI429">
        <v>0</v>
      </c>
      <c r="BJ429">
        <v>1450</v>
      </c>
      <c r="BK429">
        <v>-250</v>
      </c>
      <c r="BL429" t="s">
        <v>163</v>
      </c>
      <c r="BM429">
        <v>1</v>
      </c>
      <c r="BN429">
        <v>1</v>
      </c>
      <c r="BO429">
        <v>1</v>
      </c>
      <c r="BP429">
        <v>0</v>
      </c>
      <c r="BS429">
        <v>0</v>
      </c>
      <c r="BT429">
        <v>0</v>
      </c>
      <c r="BU429">
        <v>0</v>
      </c>
      <c r="CE429" t="str">
        <f t="shared" si="157"/>
        <v>19:26:50.241</v>
      </c>
      <c r="CF429">
        <v>1241184184</v>
      </c>
      <c r="CS429">
        <v>3</v>
      </c>
      <c r="CT429">
        <v>2</v>
      </c>
      <c r="CU429">
        <v>0</v>
      </c>
      <c r="CV429">
        <v>2</v>
      </c>
      <c r="CW429">
        <v>1</v>
      </c>
      <c r="CX429">
        <v>5</v>
      </c>
      <c r="CY429">
        <v>7</v>
      </c>
      <c r="CZ429" t="s">
        <v>131</v>
      </c>
      <c r="DA429">
        <v>300</v>
      </c>
      <c r="DB429">
        <v>0</v>
      </c>
      <c r="DC429" t="s">
        <v>176</v>
      </c>
      <c r="DD429" t="s">
        <v>177</v>
      </c>
      <c r="DG429">
        <v>5362687</v>
      </c>
      <c r="DI429">
        <v>1</v>
      </c>
      <c r="DJ429">
        <v>0</v>
      </c>
      <c r="DK429">
        <v>1</v>
      </c>
      <c r="DL429">
        <v>0</v>
      </c>
      <c r="DM429">
        <v>0</v>
      </c>
      <c r="DN429">
        <v>1</v>
      </c>
      <c r="DO429">
        <v>0</v>
      </c>
      <c r="DP429">
        <v>0</v>
      </c>
      <c r="DQ429">
        <v>0</v>
      </c>
      <c r="DR429">
        <v>0</v>
      </c>
      <c r="DS429">
        <v>0</v>
      </c>
    </row>
    <row r="430" spans="1:123" x14ac:dyDescent="0.3">
      <c r="A430" t="str">
        <f>"10/04/2022 19:26:50.478"</f>
        <v>10/04/2022 19:26:50.478</v>
      </c>
      <c r="C430" t="str">
        <f t="shared" si="141"/>
        <v>FFDFD3C0</v>
      </c>
      <c r="D430" t="s">
        <v>141</v>
      </c>
      <c r="E430">
        <v>4</v>
      </c>
      <c r="H430">
        <v>4</v>
      </c>
      <c r="I430" t="s">
        <v>142</v>
      </c>
      <c r="J430" t="s">
        <v>138</v>
      </c>
      <c r="K430">
        <v>0</v>
      </c>
      <c r="L430">
        <v>3</v>
      </c>
      <c r="M430">
        <v>0</v>
      </c>
      <c r="N430">
        <v>2</v>
      </c>
      <c r="O430">
        <v>0</v>
      </c>
      <c r="P430">
        <v>1</v>
      </c>
      <c r="Q430">
        <v>0</v>
      </c>
      <c r="S430" t="str">
        <f t="shared" si="156"/>
        <v>19:26:49.234</v>
      </c>
      <c r="T430" t="str">
        <f t="shared" si="156"/>
        <v>19:26:49.234</v>
      </c>
      <c r="U430" t="str">
        <f t="shared" si="142"/>
        <v>AC3944</v>
      </c>
      <c r="V430">
        <v>0</v>
      </c>
      <c r="W430">
        <v>0</v>
      </c>
      <c r="X430">
        <v>2</v>
      </c>
      <c r="Y430">
        <v>0</v>
      </c>
      <c r="AA430">
        <v>0</v>
      </c>
      <c r="AB430">
        <v>8</v>
      </c>
      <c r="AC430">
        <v>3</v>
      </c>
      <c r="AD430">
        <v>0</v>
      </c>
      <c r="AE430">
        <v>9</v>
      </c>
      <c r="AF430" t="s">
        <v>138</v>
      </c>
      <c r="AG430">
        <v>0</v>
      </c>
      <c r="AH430">
        <v>3</v>
      </c>
      <c r="AI430">
        <v>1</v>
      </c>
      <c r="AJ430">
        <v>0</v>
      </c>
      <c r="AK430" t="s">
        <v>280</v>
      </c>
      <c r="AL430">
        <v>32.817793000000002</v>
      </c>
      <c r="AM430" t="s">
        <v>281</v>
      </c>
      <c r="AN430">
        <v>-116.99081200000001</v>
      </c>
      <c r="AO430">
        <v>25</v>
      </c>
      <c r="AP430">
        <v>1700</v>
      </c>
      <c r="AQ430" t="s">
        <v>129</v>
      </c>
      <c r="AR430">
        <v>140</v>
      </c>
      <c r="AS430">
        <v>-1</v>
      </c>
      <c r="AT430">
        <v>-1216</v>
      </c>
      <c r="BB430">
        <v>1200</v>
      </c>
      <c r="BC430">
        <v>1</v>
      </c>
      <c r="BD430" t="str">
        <f t="shared" si="143"/>
        <v xml:space="preserve">N887QR  </v>
      </c>
      <c r="BE430">
        <v>1</v>
      </c>
      <c r="BG430">
        <v>0</v>
      </c>
      <c r="BH430">
        <v>0</v>
      </c>
      <c r="BI430">
        <v>0</v>
      </c>
      <c r="BJ430">
        <v>1450</v>
      </c>
      <c r="BK430">
        <v>-250</v>
      </c>
      <c r="BL430" t="s">
        <v>163</v>
      </c>
      <c r="BM430">
        <v>1</v>
      </c>
      <c r="BN430">
        <v>1</v>
      </c>
      <c r="BO430">
        <v>1</v>
      </c>
      <c r="BP430">
        <v>0</v>
      </c>
      <c r="BS430">
        <v>0</v>
      </c>
      <c r="BT430">
        <v>0</v>
      </c>
      <c r="BU430">
        <v>0</v>
      </c>
      <c r="CE430" t="str">
        <f t="shared" si="157"/>
        <v>19:26:50.241</v>
      </c>
      <c r="CF430">
        <v>1241184184</v>
      </c>
      <c r="CS430">
        <v>3</v>
      </c>
      <c r="CT430">
        <v>2</v>
      </c>
      <c r="CU430">
        <v>0</v>
      </c>
      <c r="CV430">
        <v>2</v>
      </c>
      <c r="CW430">
        <v>1</v>
      </c>
      <c r="CX430">
        <v>5</v>
      </c>
      <c r="CY430">
        <v>7</v>
      </c>
      <c r="CZ430" t="s">
        <v>131</v>
      </c>
      <c r="DA430">
        <v>300</v>
      </c>
      <c r="DB430">
        <v>0</v>
      </c>
      <c r="DC430" t="s">
        <v>176</v>
      </c>
      <c r="DD430" t="s">
        <v>177</v>
      </c>
      <c r="DG430">
        <v>5362687</v>
      </c>
      <c r="DI430">
        <v>1</v>
      </c>
      <c r="DJ430">
        <v>0</v>
      </c>
      <c r="DK430">
        <v>1</v>
      </c>
      <c r="DL430">
        <v>0</v>
      </c>
      <c r="DM430">
        <v>0</v>
      </c>
      <c r="DN430">
        <v>1</v>
      </c>
      <c r="DO430">
        <v>0</v>
      </c>
      <c r="DP430">
        <v>0</v>
      </c>
      <c r="DQ430">
        <v>0</v>
      </c>
      <c r="DR430">
        <v>0</v>
      </c>
      <c r="DS430">
        <v>0</v>
      </c>
    </row>
    <row r="431" spans="1:123" x14ac:dyDescent="0.3">
      <c r="A431" t="str">
        <f>"10/04/2022 19:26:50.478"</f>
        <v>10/04/2022 19:26:50.478</v>
      </c>
      <c r="C431" t="str">
        <f t="shared" si="141"/>
        <v>FFDFD3C0</v>
      </c>
      <c r="D431" t="s">
        <v>136</v>
      </c>
      <c r="E431">
        <v>8</v>
      </c>
      <c r="H431">
        <v>225</v>
      </c>
      <c r="I431" t="s">
        <v>137</v>
      </c>
      <c r="J431" t="s">
        <v>138</v>
      </c>
      <c r="K431">
        <v>0</v>
      </c>
      <c r="L431">
        <v>3</v>
      </c>
      <c r="M431">
        <v>0</v>
      </c>
      <c r="N431">
        <v>2</v>
      </c>
      <c r="O431">
        <v>0</v>
      </c>
      <c r="P431">
        <v>1</v>
      </c>
      <c r="Q431">
        <v>0</v>
      </c>
      <c r="S431" t="str">
        <f t="shared" si="156"/>
        <v>19:26:49.234</v>
      </c>
      <c r="T431" t="str">
        <f t="shared" si="156"/>
        <v>19:26:49.234</v>
      </c>
      <c r="U431" t="str">
        <f t="shared" si="142"/>
        <v>AC3944</v>
      </c>
      <c r="V431">
        <v>0</v>
      </c>
      <c r="W431">
        <v>0</v>
      </c>
      <c r="X431">
        <v>2</v>
      </c>
      <c r="Y431">
        <v>0</v>
      </c>
      <c r="AA431">
        <v>0</v>
      </c>
      <c r="AB431">
        <v>8</v>
      </c>
      <c r="AC431">
        <v>3</v>
      </c>
      <c r="AD431">
        <v>0</v>
      </c>
      <c r="AE431">
        <v>9</v>
      </c>
      <c r="AF431" t="s">
        <v>138</v>
      </c>
      <c r="AG431">
        <v>0</v>
      </c>
      <c r="AH431">
        <v>3</v>
      </c>
      <c r="AI431">
        <v>1</v>
      </c>
      <c r="AJ431">
        <v>0</v>
      </c>
      <c r="AK431" t="s">
        <v>280</v>
      </c>
      <c r="AL431">
        <v>32.817793000000002</v>
      </c>
      <c r="AM431" t="s">
        <v>281</v>
      </c>
      <c r="AN431">
        <v>-116.99081200000001</v>
      </c>
      <c r="AO431">
        <v>25</v>
      </c>
      <c r="AP431">
        <v>1700</v>
      </c>
      <c r="AQ431" t="s">
        <v>129</v>
      </c>
      <c r="AR431">
        <v>140</v>
      </c>
      <c r="AS431">
        <v>-1</v>
      </c>
      <c r="AT431">
        <v>-1216</v>
      </c>
      <c r="BB431">
        <v>1200</v>
      </c>
      <c r="BC431">
        <v>1</v>
      </c>
      <c r="BD431" t="str">
        <f t="shared" si="143"/>
        <v xml:space="preserve">N887QR  </v>
      </c>
      <c r="BE431">
        <v>1</v>
      </c>
      <c r="BG431">
        <v>0</v>
      </c>
      <c r="BH431">
        <v>0</v>
      </c>
      <c r="BI431">
        <v>0</v>
      </c>
      <c r="BJ431">
        <v>1450</v>
      </c>
      <c r="BK431">
        <v>-250</v>
      </c>
      <c r="BL431" t="s">
        <v>163</v>
      </c>
      <c r="BM431">
        <v>1</v>
      </c>
      <c r="BN431">
        <v>1</v>
      </c>
      <c r="BO431">
        <v>1</v>
      </c>
      <c r="BP431">
        <v>0</v>
      </c>
      <c r="BS431">
        <v>0</v>
      </c>
      <c r="BT431">
        <v>0</v>
      </c>
      <c r="BU431">
        <v>0</v>
      </c>
      <c r="CE431" t="str">
        <f t="shared" si="157"/>
        <v>19:26:50.241</v>
      </c>
      <c r="CF431">
        <v>1241184184</v>
      </c>
      <c r="CS431">
        <v>3</v>
      </c>
      <c r="CT431">
        <v>2</v>
      </c>
      <c r="CU431">
        <v>0</v>
      </c>
      <c r="CV431">
        <v>2</v>
      </c>
      <c r="CW431">
        <v>1</v>
      </c>
      <c r="CX431">
        <v>5</v>
      </c>
      <c r="CY431">
        <v>7</v>
      </c>
      <c r="CZ431" t="s">
        <v>131</v>
      </c>
      <c r="DA431">
        <v>300</v>
      </c>
      <c r="DB431">
        <v>0</v>
      </c>
      <c r="DC431" t="s">
        <v>176</v>
      </c>
      <c r="DD431" t="s">
        <v>177</v>
      </c>
      <c r="DG431">
        <v>5362687</v>
      </c>
      <c r="DI431">
        <v>1</v>
      </c>
      <c r="DJ431">
        <v>0</v>
      </c>
      <c r="DK431">
        <v>1</v>
      </c>
      <c r="DL431">
        <v>0</v>
      </c>
      <c r="DM431">
        <v>0</v>
      </c>
      <c r="DN431">
        <v>1</v>
      </c>
      <c r="DO431">
        <v>0</v>
      </c>
      <c r="DP431">
        <v>0</v>
      </c>
      <c r="DQ431">
        <v>0</v>
      </c>
      <c r="DR431">
        <v>0</v>
      </c>
      <c r="DS431">
        <v>0</v>
      </c>
    </row>
    <row r="432" spans="1:123" x14ac:dyDescent="0.3">
      <c r="A432" t="str">
        <f>"10/04/2022 19:26:50.478"</f>
        <v>10/04/2022 19:26:50.478</v>
      </c>
      <c r="C432" t="str">
        <f t="shared" si="141"/>
        <v>FFDFD3C0</v>
      </c>
      <c r="D432" t="s">
        <v>123</v>
      </c>
      <c r="E432">
        <v>7</v>
      </c>
      <c r="F432">
        <v>2007</v>
      </c>
      <c r="G432" t="s">
        <v>124</v>
      </c>
      <c r="J432" t="s">
        <v>125</v>
      </c>
      <c r="K432">
        <v>0</v>
      </c>
      <c r="L432">
        <v>3</v>
      </c>
      <c r="M432">
        <v>0</v>
      </c>
      <c r="N432">
        <v>2</v>
      </c>
      <c r="O432">
        <v>0</v>
      </c>
      <c r="P432">
        <v>1</v>
      </c>
      <c r="Q432">
        <v>0</v>
      </c>
      <c r="S432" t="str">
        <f t="shared" si="156"/>
        <v>19:26:49.234</v>
      </c>
      <c r="T432" t="str">
        <f t="shared" si="156"/>
        <v>19:26:49.234</v>
      </c>
      <c r="U432" t="str">
        <f t="shared" si="142"/>
        <v>AC3944</v>
      </c>
      <c r="V432">
        <v>0</v>
      </c>
      <c r="W432">
        <v>0</v>
      </c>
      <c r="X432">
        <v>2</v>
      </c>
      <c r="Y432">
        <v>0</v>
      </c>
      <c r="AA432">
        <v>0</v>
      </c>
      <c r="AB432">
        <v>8</v>
      </c>
      <c r="AC432">
        <v>3</v>
      </c>
      <c r="AD432">
        <v>0</v>
      </c>
      <c r="AE432">
        <v>9</v>
      </c>
      <c r="AF432" t="s">
        <v>138</v>
      </c>
      <c r="AG432">
        <v>0</v>
      </c>
      <c r="AH432">
        <v>3</v>
      </c>
      <c r="AI432">
        <v>1</v>
      </c>
      <c r="AJ432">
        <v>0</v>
      </c>
      <c r="AK432" t="s">
        <v>280</v>
      </c>
      <c r="AL432">
        <v>32.817793000000002</v>
      </c>
      <c r="AM432" t="s">
        <v>281</v>
      </c>
      <c r="AN432">
        <v>-116.99081200000001</v>
      </c>
      <c r="AO432">
        <v>25</v>
      </c>
      <c r="AP432">
        <v>1700</v>
      </c>
      <c r="AQ432" t="s">
        <v>129</v>
      </c>
      <c r="AR432">
        <v>140</v>
      </c>
      <c r="AS432">
        <v>-1</v>
      </c>
      <c r="AT432">
        <v>-1216</v>
      </c>
      <c r="BB432">
        <v>1200</v>
      </c>
      <c r="BC432">
        <v>1</v>
      </c>
      <c r="BD432" t="str">
        <f t="shared" si="143"/>
        <v xml:space="preserve">N887QR  </v>
      </c>
      <c r="BE432">
        <v>1</v>
      </c>
      <c r="BG432">
        <v>0</v>
      </c>
      <c r="BH432">
        <v>0</v>
      </c>
      <c r="BI432">
        <v>0</v>
      </c>
      <c r="BJ432">
        <v>1450</v>
      </c>
      <c r="BK432">
        <v>-250</v>
      </c>
      <c r="BL432" t="s">
        <v>163</v>
      </c>
      <c r="BM432">
        <v>1</v>
      </c>
      <c r="BN432">
        <v>1</v>
      </c>
      <c r="BO432">
        <v>1</v>
      </c>
      <c r="BP432">
        <v>0</v>
      </c>
      <c r="BS432">
        <v>0</v>
      </c>
      <c r="BT432">
        <v>0</v>
      </c>
      <c r="BU432">
        <v>0</v>
      </c>
      <c r="CE432" t="str">
        <f t="shared" si="157"/>
        <v>19:26:50.241</v>
      </c>
      <c r="CF432">
        <v>1241184184</v>
      </c>
      <c r="CS432">
        <v>3</v>
      </c>
      <c r="CT432">
        <v>2</v>
      </c>
      <c r="CU432">
        <v>0</v>
      </c>
      <c r="CV432">
        <v>2</v>
      </c>
      <c r="CW432">
        <v>1</v>
      </c>
      <c r="CX432">
        <v>5</v>
      </c>
      <c r="CY432">
        <v>7</v>
      </c>
      <c r="CZ432" t="s">
        <v>131</v>
      </c>
      <c r="DA432">
        <v>300</v>
      </c>
      <c r="DB432">
        <v>0</v>
      </c>
      <c r="DC432" t="s">
        <v>176</v>
      </c>
      <c r="DD432" t="s">
        <v>177</v>
      </c>
      <c r="DG432">
        <v>5362687</v>
      </c>
      <c r="DI432">
        <v>1</v>
      </c>
      <c r="DJ432">
        <v>0</v>
      </c>
      <c r="DK432">
        <v>1</v>
      </c>
      <c r="DL432">
        <v>0</v>
      </c>
      <c r="DM432">
        <v>0</v>
      </c>
      <c r="DN432">
        <v>1</v>
      </c>
      <c r="DO432">
        <v>0</v>
      </c>
      <c r="DP432">
        <v>0</v>
      </c>
      <c r="DQ432">
        <v>0</v>
      </c>
      <c r="DR432">
        <v>0</v>
      </c>
      <c r="DS432">
        <v>0</v>
      </c>
    </row>
    <row r="433" spans="1:123" x14ac:dyDescent="0.3">
      <c r="A433" t="str">
        <f>"10/04/2022 19:26:51.228"</f>
        <v>10/04/2022 19:26:51.228</v>
      </c>
      <c r="C433" t="str">
        <f t="shared" si="141"/>
        <v>FFDFD3C0</v>
      </c>
      <c r="D433" t="s">
        <v>141</v>
      </c>
      <c r="E433">
        <v>4</v>
      </c>
      <c r="H433">
        <v>4</v>
      </c>
      <c r="I433" t="s">
        <v>142</v>
      </c>
      <c r="J433" t="s">
        <v>138</v>
      </c>
      <c r="K433">
        <v>0</v>
      </c>
      <c r="L433">
        <v>3</v>
      </c>
      <c r="M433">
        <v>0</v>
      </c>
      <c r="N433">
        <v>2</v>
      </c>
      <c r="O433">
        <v>0</v>
      </c>
      <c r="P433">
        <v>1</v>
      </c>
      <c r="Q433">
        <v>0</v>
      </c>
      <c r="S433" t="str">
        <f t="shared" ref="S433:T439" si="158">"19:26:50.039"</f>
        <v>19:26:50.039</v>
      </c>
      <c r="T433" t="str">
        <f t="shared" si="158"/>
        <v>19:26:50.039</v>
      </c>
      <c r="U433" t="str">
        <f t="shared" si="142"/>
        <v>AC3944</v>
      </c>
      <c r="V433">
        <v>0</v>
      </c>
      <c r="W433">
        <v>0</v>
      </c>
      <c r="X433">
        <v>2</v>
      </c>
      <c r="Y433">
        <v>0</v>
      </c>
      <c r="AA433">
        <v>0</v>
      </c>
      <c r="AB433">
        <v>8</v>
      </c>
      <c r="AC433">
        <v>3</v>
      </c>
      <c r="AD433">
        <v>0</v>
      </c>
      <c r="AE433">
        <v>9</v>
      </c>
      <c r="AF433" t="s">
        <v>138</v>
      </c>
      <c r="AG433">
        <v>0</v>
      </c>
      <c r="AH433">
        <v>3</v>
      </c>
      <c r="AI433">
        <v>1</v>
      </c>
      <c r="AJ433">
        <v>0</v>
      </c>
      <c r="AK433" t="s">
        <v>282</v>
      </c>
      <c r="AL433">
        <v>32.817771</v>
      </c>
      <c r="AM433" t="s">
        <v>283</v>
      </c>
      <c r="AN433">
        <v>-116.989868</v>
      </c>
      <c r="AO433">
        <v>25</v>
      </c>
      <c r="AP433">
        <v>1700</v>
      </c>
      <c r="AQ433" t="s">
        <v>129</v>
      </c>
      <c r="AR433">
        <v>141</v>
      </c>
      <c r="AS433">
        <v>0</v>
      </c>
      <c r="AT433">
        <v>-1216</v>
      </c>
      <c r="BB433">
        <v>1200</v>
      </c>
      <c r="BC433">
        <v>1</v>
      </c>
      <c r="BD433" t="str">
        <f t="shared" si="143"/>
        <v xml:space="preserve">N887QR  </v>
      </c>
      <c r="BE433">
        <v>1</v>
      </c>
      <c r="BG433">
        <v>0</v>
      </c>
      <c r="BH433">
        <v>0</v>
      </c>
      <c r="BI433">
        <v>0</v>
      </c>
      <c r="BJ433">
        <v>1300</v>
      </c>
      <c r="BK433">
        <v>-400</v>
      </c>
      <c r="BL433" t="s">
        <v>163</v>
      </c>
      <c r="BM433">
        <v>1</v>
      </c>
      <c r="BN433">
        <v>1</v>
      </c>
      <c r="BO433">
        <v>1</v>
      </c>
      <c r="BP433">
        <v>0</v>
      </c>
      <c r="BS433">
        <v>0</v>
      </c>
      <c r="BT433">
        <v>0</v>
      </c>
      <c r="BU433">
        <v>0</v>
      </c>
      <c r="CE433" t="str">
        <f t="shared" ref="CE433:CE439" si="159">"19:26:51.044"</f>
        <v>19:26:51.044</v>
      </c>
      <c r="CF433">
        <v>1043936707</v>
      </c>
      <c r="CS433">
        <v>3</v>
      </c>
      <c r="CT433">
        <v>2</v>
      </c>
      <c r="CU433">
        <v>0</v>
      </c>
      <c r="CV433">
        <v>2</v>
      </c>
      <c r="CW433">
        <v>1</v>
      </c>
      <c r="CX433">
        <v>5</v>
      </c>
      <c r="CY433">
        <v>7</v>
      </c>
      <c r="CZ433" t="s">
        <v>131</v>
      </c>
      <c r="DA433">
        <v>300</v>
      </c>
      <c r="DB433">
        <v>0</v>
      </c>
      <c r="DC433" t="s">
        <v>176</v>
      </c>
      <c r="DD433" t="s">
        <v>177</v>
      </c>
      <c r="DG433">
        <v>5362824</v>
      </c>
      <c r="DI433">
        <v>1</v>
      </c>
      <c r="DJ433">
        <v>0</v>
      </c>
      <c r="DK433">
        <v>0</v>
      </c>
      <c r="DL433">
        <v>0</v>
      </c>
      <c r="DM433">
        <v>0</v>
      </c>
      <c r="DN433">
        <v>1</v>
      </c>
      <c r="DO433">
        <v>0</v>
      </c>
      <c r="DP433">
        <v>0</v>
      </c>
      <c r="DQ433">
        <v>0</v>
      </c>
      <c r="DR433">
        <v>0</v>
      </c>
      <c r="DS433">
        <v>0</v>
      </c>
    </row>
    <row r="434" spans="1:123" x14ac:dyDescent="0.3">
      <c r="A434" t="str">
        <f>"10/04/2022 19:26:51.228"</f>
        <v>10/04/2022 19:26:51.228</v>
      </c>
      <c r="C434" t="str">
        <f t="shared" si="141"/>
        <v>FFDFD3C0</v>
      </c>
      <c r="D434" t="s">
        <v>123</v>
      </c>
      <c r="E434">
        <v>7</v>
      </c>
      <c r="F434">
        <v>2007</v>
      </c>
      <c r="G434" t="s">
        <v>124</v>
      </c>
      <c r="J434" t="s">
        <v>125</v>
      </c>
      <c r="K434">
        <v>0</v>
      </c>
      <c r="L434">
        <v>3</v>
      </c>
      <c r="M434">
        <v>0</v>
      </c>
      <c r="N434">
        <v>2</v>
      </c>
      <c r="O434">
        <v>0</v>
      </c>
      <c r="P434">
        <v>1</v>
      </c>
      <c r="Q434">
        <v>0</v>
      </c>
      <c r="S434" t="str">
        <f t="shared" si="158"/>
        <v>19:26:50.039</v>
      </c>
      <c r="T434" t="str">
        <f t="shared" si="158"/>
        <v>19:26:50.039</v>
      </c>
      <c r="U434" t="str">
        <f t="shared" si="142"/>
        <v>AC3944</v>
      </c>
      <c r="V434">
        <v>0</v>
      </c>
      <c r="W434">
        <v>0</v>
      </c>
      <c r="X434">
        <v>2</v>
      </c>
      <c r="Y434">
        <v>0</v>
      </c>
      <c r="AA434">
        <v>0</v>
      </c>
      <c r="AB434">
        <v>8</v>
      </c>
      <c r="AC434">
        <v>3</v>
      </c>
      <c r="AD434">
        <v>0</v>
      </c>
      <c r="AE434">
        <v>9</v>
      </c>
      <c r="AF434" t="s">
        <v>138</v>
      </c>
      <c r="AG434">
        <v>0</v>
      </c>
      <c r="AH434">
        <v>3</v>
      </c>
      <c r="AI434">
        <v>1</v>
      </c>
      <c r="AJ434">
        <v>0</v>
      </c>
      <c r="AK434" t="s">
        <v>282</v>
      </c>
      <c r="AL434">
        <v>32.817771</v>
      </c>
      <c r="AM434" t="s">
        <v>283</v>
      </c>
      <c r="AN434">
        <v>-116.989868</v>
      </c>
      <c r="AO434">
        <v>25</v>
      </c>
      <c r="AP434">
        <v>1700</v>
      </c>
      <c r="AQ434" t="s">
        <v>129</v>
      </c>
      <c r="AR434">
        <v>141</v>
      </c>
      <c r="AS434">
        <v>0</v>
      </c>
      <c r="AT434">
        <v>-1216</v>
      </c>
      <c r="BB434">
        <v>1200</v>
      </c>
      <c r="BC434">
        <v>1</v>
      </c>
      <c r="BD434" t="str">
        <f t="shared" si="143"/>
        <v xml:space="preserve">N887QR  </v>
      </c>
      <c r="BE434">
        <v>1</v>
      </c>
      <c r="BG434">
        <v>0</v>
      </c>
      <c r="BH434">
        <v>0</v>
      </c>
      <c r="BI434">
        <v>0</v>
      </c>
      <c r="BJ434">
        <v>1300</v>
      </c>
      <c r="BK434">
        <v>-400</v>
      </c>
      <c r="BL434" t="s">
        <v>163</v>
      </c>
      <c r="BM434">
        <v>1</v>
      </c>
      <c r="BN434">
        <v>1</v>
      </c>
      <c r="BO434">
        <v>1</v>
      </c>
      <c r="BP434">
        <v>0</v>
      </c>
      <c r="BS434">
        <v>0</v>
      </c>
      <c r="BT434">
        <v>0</v>
      </c>
      <c r="BU434">
        <v>0</v>
      </c>
      <c r="CE434" t="str">
        <f t="shared" si="159"/>
        <v>19:26:51.044</v>
      </c>
      <c r="CF434">
        <v>1043936707</v>
      </c>
      <c r="CS434">
        <v>3</v>
      </c>
      <c r="CT434">
        <v>2</v>
      </c>
      <c r="CU434">
        <v>0</v>
      </c>
      <c r="CV434">
        <v>2</v>
      </c>
      <c r="CW434">
        <v>1</v>
      </c>
      <c r="CX434">
        <v>5</v>
      </c>
      <c r="CY434">
        <v>7</v>
      </c>
      <c r="CZ434" t="s">
        <v>131</v>
      </c>
      <c r="DA434">
        <v>300</v>
      </c>
      <c r="DB434">
        <v>0</v>
      </c>
      <c r="DC434" t="s">
        <v>176</v>
      </c>
      <c r="DD434" t="s">
        <v>177</v>
      </c>
      <c r="DG434">
        <v>5362824</v>
      </c>
      <c r="DI434">
        <v>1</v>
      </c>
      <c r="DJ434">
        <v>0</v>
      </c>
      <c r="DK434">
        <v>1</v>
      </c>
      <c r="DL434">
        <v>0</v>
      </c>
      <c r="DM434">
        <v>0</v>
      </c>
      <c r="DN434">
        <v>1</v>
      </c>
      <c r="DO434">
        <v>0</v>
      </c>
      <c r="DP434">
        <v>0</v>
      </c>
      <c r="DQ434">
        <v>0</v>
      </c>
      <c r="DR434">
        <v>0</v>
      </c>
      <c r="DS434">
        <v>0</v>
      </c>
    </row>
    <row r="435" spans="1:123" x14ac:dyDescent="0.3">
      <c r="A435" t="str">
        <f>"10/04/2022 19:26:51.228"</f>
        <v>10/04/2022 19:26:51.228</v>
      </c>
      <c r="C435" t="str">
        <f t="shared" si="141"/>
        <v>FFDFD3C0</v>
      </c>
      <c r="D435" t="s">
        <v>136</v>
      </c>
      <c r="E435">
        <v>8</v>
      </c>
      <c r="H435">
        <v>225</v>
      </c>
      <c r="I435" t="s">
        <v>137</v>
      </c>
      <c r="J435" t="s">
        <v>138</v>
      </c>
      <c r="K435">
        <v>0</v>
      </c>
      <c r="L435">
        <v>3</v>
      </c>
      <c r="M435">
        <v>0</v>
      </c>
      <c r="N435">
        <v>2</v>
      </c>
      <c r="O435">
        <v>0</v>
      </c>
      <c r="P435">
        <v>1</v>
      </c>
      <c r="Q435">
        <v>0</v>
      </c>
      <c r="S435" t="str">
        <f t="shared" si="158"/>
        <v>19:26:50.039</v>
      </c>
      <c r="T435" t="str">
        <f t="shared" si="158"/>
        <v>19:26:50.039</v>
      </c>
      <c r="U435" t="str">
        <f t="shared" si="142"/>
        <v>AC3944</v>
      </c>
      <c r="V435">
        <v>0</v>
      </c>
      <c r="W435">
        <v>0</v>
      </c>
      <c r="X435">
        <v>2</v>
      </c>
      <c r="Y435">
        <v>0</v>
      </c>
      <c r="AA435">
        <v>0</v>
      </c>
      <c r="AB435">
        <v>8</v>
      </c>
      <c r="AC435">
        <v>3</v>
      </c>
      <c r="AD435">
        <v>0</v>
      </c>
      <c r="AE435">
        <v>9</v>
      </c>
      <c r="AF435" t="s">
        <v>138</v>
      </c>
      <c r="AG435">
        <v>0</v>
      </c>
      <c r="AH435">
        <v>3</v>
      </c>
      <c r="AI435">
        <v>1</v>
      </c>
      <c r="AJ435">
        <v>0</v>
      </c>
      <c r="AK435" t="s">
        <v>282</v>
      </c>
      <c r="AL435">
        <v>32.817771</v>
      </c>
      <c r="AM435" t="s">
        <v>283</v>
      </c>
      <c r="AN435">
        <v>-116.989868</v>
      </c>
      <c r="AO435">
        <v>25</v>
      </c>
      <c r="AP435">
        <v>1700</v>
      </c>
      <c r="AQ435" t="s">
        <v>129</v>
      </c>
      <c r="AR435">
        <v>141</v>
      </c>
      <c r="AS435">
        <v>0</v>
      </c>
      <c r="AT435">
        <v>-1216</v>
      </c>
      <c r="BB435">
        <v>1200</v>
      </c>
      <c r="BC435">
        <v>1</v>
      </c>
      <c r="BD435" t="str">
        <f t="shared" si="143"/>
        <v xml:space="preserve">N887QR  </v>
      </c>
      <c r="BE435">
        <v>1</v>
      </c>
      <c r="BG435">
        <v>0</v>
      </c>
      <c r="BH435">
        <v>0</v>
      </c>
      <c r="BI435">
        <v>0</v>
      </c>
      <c r="BJ435">
        <v>1300</v>
      </c>
      <c r="BK435">
        <v>-400</v>
      </c>
      <c r="BL435" t="s">
        <v>163</v>
      </c>
      <c r="BM435">
        <v>1</v>
      </c>
      <c r="BN435">
        <v>1</v>
      </c>
      <c r="BO435">
        <v>1</v>
      </c>
      <c r="BP435">
        <v>0</v>
      </c>
      <c r="BS435">
        <v>0</v>
      </c>
      <c r="BT435">
        <v>0</v>
      </c>
      <c r="BU435">
        <v>0</v>
      </c>
      <c r="CE435" t="str">
        <f t="shared" si="159"/>
        <v>19:26:51.044</v>
      </c>
      <c r="CF435">
        <v>1043936707</v>
      </c>
      <c r="CS435">
        <v>3</v>
      </c>
      <c r="CT435">
        <v>2</v>
      </c>
      <c r="CU435">
        <v>0</v>
      </c>
      <c r="CV435">
        <v>2</v>
      </c>
      <c r="CW435">
        <v>1</v>
      </c>
      <c r="CX435">
        <v>5</v>
      </c>
      <c r="CY435">
        <v>7</v>
      </c>
      <c r="CZ435" t="s">
        <v>131</v>
      </c>
      <c r="DA435">
        <v>300</v>
      </c>
      <c r="DB435">
        <v>0</v>
      </c>
      <c r="DC435" t="s">
        <v>176</v>
      </c>
      <c r="DD435" t="s">
        <v>177</v>
      </c>
      <c r="DG435">
        <v>5362824</v>
      </c>
      <c r="DI435">
        <v>1</v>
      </c>
      <c r="DJ435">
        <v>0</v>
      </c>
      <c r="DK435">
        <v>1</v>
      </c>
      <c r="DL435">
        <v>0</v>
      </c>
      <c r="DM435">
        <v>0</v>
      </c>
      <c r="DN435">
        <v>1</v>
      </c>
      <c r="DO435">
        <v>0</v>
      </c>
      <c r="DP435">
        <v>0</v>
      </c>
      <c r="DQ435">
        <v>0</v>
      </c>
      <c r="DR435">
        <v>0</v>
      </c>
      <c r="DS435">
        <v>0</v>
      </c>
    </row>
    <row r="436" spans="1:123" x14ac:dyDescent="0.3">
      <c r="A436" t="str">
        <f>"10/04/2022 19:26:51.251"</f>
        <v>10/04/2022 19:26:51.251</v>
      </c>
      <c r="C436" t="str">
        <f t="shared" si="141"/>
        <v>FFDFD3C0</v>
      </c>
      <c r="D436" t="s">
        <v>147</v>
      </c>
      <c r="E436">
        <v>3</v>
      </c>
      <c r="H436">
        <v>166</v>
      </c>
      <c r="I436" t="s">
        <v>144</v>
      </c>
      <c r="J436" t="s">
        <v>148</v>
      </c>
      <c r="K436">
        <v>0</v>
      </c>
      <c r="L436">
        <v>3</v>
      </c>
      <c r="M436">
        <v>0</v>
      </c>
      <c r="N436">
        <v>2</v>
      </c>
      <c r="O436">
        <v>0</v>
      </c>
      <c r="P436">
        <v>1</v>
      </c>
      <c r="Q436">
        <v>0</v>
      </c>
      <c r="S436" t="str">
        <f t="shared" si="158"/>
        <v>19:26:50.039</v>
      </c>
      <c r="T436" t="str">
        <f t="shared" si="158"/>
        <v>19:26:50.039</v>
      </c>
      <c r="U436" t="str">
        <f t="shared" si="142"/>
        <v>AC3944</v>
      </c>
      <c r="V436">
        <v>0</v>
      </c>
      <c r="W436">
        <v>0</v>
      </c>
      <c r="X436">
        <v>2</v>
      </c>
      <c r="Y436">
        <v>0</v>
      </c>
      <c r="AA436">
        <v>0</v>
      </c>
      <c r="AB436">
        <v>8</v>
      </c>
      <c r="AC436">
        <v>3</v>
      </c>
      <c r="AD436">
        <v>0</v>
      </c>
      <c r="AE436">
        <v>9</v>
      </c>
      <c r="AF436" t="s">
        <v>138</v>
      </c>
      <c r="AG436">
        <v>0</v>
      </c>
      <c r="AH436">
        <v>3</v>
      </c>
      <c r="AI436">
        <v>1</v>
      </c>
      <c r="AJ436">
        <v>0</v>
      </c>
      <c r="AK436" t="s">
        <v>282</v>
      </c>
      <c r="AL436">
        <v>32.817771</v>
      </c>
      <c r="AM436" t="s">
        <v>283</v>
      </c>
      <c r="AN436">
        <v>-116.989868</v>
      </c>
      <c r="AO436">
        <v>25</v>
      </c>
      <c r="AP436">
        <v>1700</v>
      </c>
      <c r="AQ436" t="s">
        <v>129</v>
      </c>
      <c r="AR436">
        <v>141</v>
      </c>
      <c r="AS436">
        <v>0</v>
      </c>
      <c r="AT436">
        <v>-1216</v>
      </c>
      <c r="BB436">
        <v>1200</v>
      </c>
      <c r="BC436">
        <v>1</v>
      </c>
      <c r="BD436" t="str">
        <f t="shared" si="143"/>
        <v xml:space="preserve">N887QR  </v>
      </c>
      <c r="BE436">
        <v>1</v>
      </c>
      <c r="BG436">
        <v>0</v>
      </c>
      <c r="BH436">
        <v>0</v>
      </c>
      <c r="BI436">
        <v>0</v>
      </c>
      <c r="BJ436">
        <v>1300</v>
      </c>
      <c r="BK436">
        <v>-400</v>
      </c>
      <c r="BL436" t="s">
        <v>163</v>
      </c>
      <c r="BM436">
        <v>1</v>
      </c>
      <c r="BN436">
        <v>1</v>
      </c>
      <c r="BO436">
        <v>1</v>
      </c>
      <c r="BP436">
        <v>0</v>
      </c>
      <c r="BS436">
        <v>0</v>
      </c>
      <c r="BT436">
        <v>0</v>
      </c>
      <c r="BU436">
        <v>0</v>
      </c>
      <c r="CE436" t="str">
        <f t="shared" si="159"/>
        <v>19:26:51.044</v>
      </c>
      <c r="CF436">
        <v>1043936707</v>
      </c>
      <c r="CS436">
        <v>3</v>
      </c>
      <c r="CT436">
        <v>2</v>
      </c>
      <c r="CU436">
        <v>0</v>
      </c>
      <c r="CV436">
        <v>2</v>
      </c>
      <c r="CW436">
        <v>1</v>
      </c>
      <c r="CX436">
        <v>5</v>
      </c>
      <c r="CY436">
        <v>7</v>
      </c>
      <c r="CZ436" t="s">
        <v>131</v>
      </c>
      <c r="DA436">
        <v>300</v>
      </c>
      <c r="DB436">
        <v>0</v>
      </c>
      <c r="DC436" t="s">
        <v>176</v>
      </c>
      <c r="DD436" t="s">
        <v>177</v>
      </c>
      <c r="DG436">
        <v>5362824</v>
      </c>
      <c r="DI436">
        <v>1</v>
      </c>
      <c r="DJ436">
        <v>0</v>
      </c>
      <c r="DK436">
        <v>1</v>
      </c>
      <c r="DL436">
        <v>0</v>
      </c>
      <c r="DM436">
        <v>0</v>
      </c>
      <c r="DN436">
        <v>1</v>
      </c>
      <c r="DO436">
        <v>0</v>
      </c>
      <c r="DP436">
        <v>0</v>
      </c>
      <c r="DQ436">
        <v>0</v>
      </c>
      <c r="DR436">
        <v>0</v>
      </c>
      <c r="DS436">
        <v>0</v>
      </c>
    </row>
    <row r="437" spans="1:123" x14ac:dyDescent="0.3">
      <c r="A437" t="str">
        <f>"10/04/2022 19:26:51.253"</f>
        <v>10/04/2022 19:26:51.253</v>
      </c>
      <c r="C437" t="str">
        <f t="shared" si="141"/>
        <v>FFDFD3C0</v>
      </c>
      <c r="D437" t="s">
        <v>134</v>
      </c>
      <c r="E437">
        <v>15</v>
      </c>
      <c r="J437" t="s">
        <v>135</v>
      </c>
      <c r="K437">
        <v>0</v>
      </c>
      <c r="L437">
        <v>3</v>
      </c>
      <c r="M437">
        <v>0</v>
      </c>
      <c r="N437">
        <v>2</v>
      </c>
      <c r="O437">
        <v>0</v>
      </c>
      <c r="P437">
        <v>1</v>
      </c>
      <c r="Q437">
        <v>0</v>
      </c>
      <c r="S437" t="str">
        <f t="shared" si="158"/>
        <v>19:26:50.039</v>
      </c>
      <c r="T437" t="str">
        <f t="shared" si="158"/>
        <v>19:26:50.039</v>
      </c>
      <c r="U437" t="str">
        <f t="shared" si="142"/>
        <v>AC3944</v>
      </c>
      <c r="V437">
        <v>0</v>
      </c>
      <c r="W437">
        <v>0</v>
      </c>
      <c r="X437">
        <v>2</v>
      </c>
      <c r="Y437">
        <v>0</v>
      </c>
      <c r="AA437">
        <v>0</v>
      </c>
      <c r="AB437">
        <v>8</v>
      </c>
      <c r="AC437">
        <v>3</v>
      </c>
      <c r="AD437">
        <v>0</v>
      </c>
      <c r="AE437">
        <v>9</v>
      </c>
      <c r="AF437" t="s">
        <v>138</v>
      </c>
      <c r="AG437">
        <v>0</v>
      </c>
      <c r="AH437">
        <v>3</v>
      </c>
      <c r="AI437">
        <v>1</v>
      </c>
      <c r="AJ437">
        <v>0</v>
      </c>
      <c r="AK437" t="s">
        <v>282</v>
      </c>
      <c r="AL437">
        <v>32.817771</v>
      </c>
      <c r="AM437" t="s">
        <v>283</v>
      </c>
      <c r="AN437">
        <v>-116.989868</v>
      </c>
      <c r="AO437">
        <v>25</v>
      </c>
      <c r="AP437">
        <v>1700</v>
      </c>
      <c r="AQ437" t="s">
        <v>129</v>
      </c>
      <c r="AR437">
        <v>141</v>
      </c>
      <c r="AS437">
        <v>0</v>
      </c>
      <c r="AT437">
        <v>-1216</v>
      </c>
      <c r="BB437">
        <v>1200</v>
      </c>
      <c r="BC437">
        <v>1</v>
      </c>
      <c r="BD437" t="str">
        <f t="shared" si="143"/>
        <v xml:space="preserve">N887QR  </v>
      </c>
      <c r="BE437">
        <v>1</v>
      </c>
      <c r="BG437">
        <v>0</v>
      </c>
      <c r="BH437">
        <v>0</v>
      </c>
      <c r="BI437">
        <v>0</v>
      </c>
      <c r="BJ437">
        <v>1300</v>
      </c>
      <c r="BK437">
        <v>-400</v>
      </c>
      <c r="BL437" t="s">
        <v>163</v>
      </c>
      <c r="BM437">
        <v>1</v>
      </c>
      <c r="BN437">
        <v>1</v>
      </c>
      <c r="BO437">
        <v>1</v>
      </c>
      <c r="BP437">
        <v>0</v>
      </c>
      <c r="BS437">
        <v>0</v>
      </c>
      <c r="BT437">
        <v>0</v>
      </c>
      <c r="BU437">
        <v>0</v>
      </c>
      <c r="CE437" t="str">
        <f t="shared" si="159"/>
        <v>19:26:51.044</v>
      </c>
      <c r="CF437">
        <v>1043936707</v>
      </c>
      <c r="CS437">
        <v>3</v>
      </c>
      <c r="CT437">
        <v>2</v>
      </c>
      <c r="CU437">
        <v>0</v>
      </c>
      <c r="CV437">
        <v>2</v>
      </c>
      <c r="CW437">
        <v>1</v>
      </c>
      <c r="CX437">
        <v>5</v>
      </c>
      <c r="CY437">
        <v>7</v>
      </c>
      <c r="CZ437" t="s">
        <v>131</v>
      </c>
      <c r="DA437">
        <v>300</v>
      </c>
      <c r="DB437">
        <v>0</v>
      </c>
      <c r="DC437" t="s">
        <v>176</v>
      </c>
      <c r="DD437" t="s">
        <v>177</v>
      </c>
      <c r="DG437">
        <v>5362824</v>
      </c>
      <c r="DI437">
        <v>1</v>
      </c>
      <c r="DJ437">
        <v>0</v>
      </c>
      <c r="DK437">
        <v>1</v>
      </c>
      <c r="DL437">
        <v>0</v>
      </c>
      <c r="DM437">
        <v>0</v>
      </c>
      <c r="DN437">
        <v>1</v>
      </c>
      <c r="DO437">
        <v>0</v>
      </c>
      <c r="DP437">
        <v>0</v>
      </c>
      <c r="DQ437">
        <v>0</v>
      </c>
      <c r="DR437">
        <v>0</v>
      </c>
      <c r="DS437">
        <v>0</v>
      </c>
    </row>
    <row r="438" spans="1:123" x14ac:dyDescent="0.3">
      <c r="A438" t="str">
        <f>"10/04/2022 19:26:51.257"</f>
        <v>10/04/2022 19:26:51.257</v>
      </c>
      <c r="C438" t="str">
        <f t="shared" si="141"/>
        <v>FFDFD3C0</v>
      </c>
      <c r="D438" t="s">
        <v>143</v>
      </c>
      <c r="E438">
        <v>20</v>
      </c>
      <c r="F438">
        <v>1020</v>
      </c>
      <c r="G438" t="s">
        <v>144</v>
      </c>
      <c r="J438" t="s">
        <v>145</v>
      </c>
      <c r="K438">
        <v>0</v>
      </c>
      <c r="L438">
        <v>3</v>
      </c>
      <c r="M438">
        <v>0</v>
      </c>
      <c r="N438">
        <v>2</v>
      </c>
      <c r="O438">
        <v>0</v>
      </c>
      <c r="P438">
        <v>1</v>
      </c>
      <c r="Q438">
        <v>0</v>
      </c>
      <c r="S438" t="str">
        <f t="shared" si="158"/>
        <v>19:26:50.039</v>
      </c>
      <c r="T438" t="str">
        <f t="shared" si="158"/>
        <v>19:26:50.039</v>
      </c>
      <c r="U438" t="str">
        <f t="shared" si="142"/>
        <v>AC3944</v>
      </c>
      <c r="V438">
        <v>0</v>
      </c>
      <c r="W438">
        <v>0</v>
      </c>
      <c r="X438">
        <v>2</v>
      </c>
      <c r="Y438">
        <v>0</v>
      </c>
      <c r="AA438">
        <v>0</v>
      </c>
      <c r="AB438">
        <v>8</v>
      </c>
      <c r="AC438">
        <v>3</v>
      </c>
      <c r="AD438">
        <v>0</v>
      </c>
      <c r="AE438">
        <v>9</v>
      </c>
      <c r="AF438" t="s">
        <v>138</v>
      </c>
      <c r="AG438">
        <v>0</v>
      </c>
      <c r="AH438">
        <v>3</v>
      </c>
      <c r="AI438">
        <v>1</v>
      </c>
      <c r="AJ438">
        <v>0</v>
      </c>
      <c r="AK438" t="s">
        <v>282</v>
      </c>
      <c r="AL438">
        <v>32.817771</v>
      </c>
      <c r="AM438" t="s">
        <v>283</v>
      </c>
      <c r="AN438">
        <v>-116.989868</v>
      </c>
      <c r="AO438">
        <v>25</v>
      </c>
      <c r="AP438">
        <v>1700</v>
      </c>
      <c r="AQ438" t="s">
        <v>129</v>
      </c>
      <c r="AR438">
        <v>141</v>
      </c>
      <c r="AS438">
        <v>0</v>
      </c>
      <c r="AT438">
        <v>-1216</v>
      </c>
      <c r="BB438">
        <v>1200</v>
      </c>
      <c r="BC438">
        <v>1</v>
      </c>
      <c r="BD438" t="str">
        <f t="shared" si="143"/>
        <v xml:space="preserve">N887QR  </v>
      </c>
      <c r="BE438">
        <v>1</v>
      </c>
      <c r="BG438">
        <v>0</v>
      </c>
      <c r="BH438">
        <v>0</v>
      </c>
      <c r="BI438">
        <v>0</v>
      </c>
      <c r="BJ438">
        <v>1300</v>
      </c>
      <c r="BK438">
        <v>-400</v>
      </c>
      <c r="BL438" t="s">
        <v>163</v>
      </c>
      <c r="BM438">
        <v>1</v>
      </c>
      <c r="BN438">
        <v>1</v>
      </c>
      <c r="BO438">
        <v>1</v>
      </c>
      <c r="BP438">
        <v>0</v>
      </c>
      <c r="BS438">
        <v>0</v>
      </c>
      <c r="BT438">
        <v>0</v>
      </c>
      <c r="BU438">
        <v>0</v>
      </c>
      <c r="CE438" t="str">
        <f t="shared" si="159"/>
        <v>19:26:51.044</v>
      </c>
      <c r="CF438">
        <v>1043936707</v>
      </c>
      <c r="CS438">
        <v>3</v>
      </c>
      <c r="CT438">
        <v>2</v>
      </c>
      <c r="CU438">
        <v>0</v>
      </c>
      <c r="CV438">
        <v>2</v>
      </c>
      <c r="CW438">
        <v>1</v>
      </c>
      <c r="CX438">
        <v>5</v>
      </c>
      <c r="CY438">
        <v>7</v>
      </c>
      <c r="CZ438" t="s">
        <v>131</v>
      </c>
      <c r="DA438">
        <v>300</v>
      </c>
      <c r="DB438">
        <v>0</v>
      </c>
      <c r="DC438" t="s">
        <v>176</v>
      </c>
      <c r="DD438" t="s">
        <v>177</v>
      </c>
      <c r="DG438">
        <v>5362824</v>
      </c>
      <c r="DI438">
        <v>1</v>
      </c>
      <c r="DJ438">
        <v>0</v>
      </c>
      <c r="DK438">
        <v>1</v>
      </c>
      <c r="DL438">
        <v>0</v>
      </c>
      <c r="DM438">
        <v>0</v>
      </c>
      <c r="DN438">
        <v>1</v>
      </c>
      <c r="DO438">
        <v>0</v>
      </c>
      <c r="DP438">
        <v>0</v>
      </c>
      <c r="DQ438">
        <v>0</v>
      </c>
      <c r="DR438">
        <v>0</v>
      </c>
      <c r="DS438">
        <v>0</v>
      </c>
    </row>
    <row r="439" spans="1:123" x14ac:dyDescent="0.3">
      <c r="A439" t="str">
        <f>"10/04/2022 19:26:51.261"</f>
        <v>10/04/2022 19:26:51.261</v>
      </c>
      <c r="C439" t="str">
        <f t="shared" si="141"/>
        <v>FFDFD3C0</v>
      </c>
      <c r="D439" t="s">
        <v>141</v>
      </c>
      <c r="E439">
        <v>3</v>
      </c>
      <c r="H439">
        <v>3</v>
      </c>
      <c r="I439" t="s">
        <v>146</v>
      </c>
      <c r="J439" t="s">
        <v>138</v>
      </c>
      <c r="K439">
        <v>0</v>
      </c>
      <c r="L439">
        <v>3</v>
      </c>
      <c r="M439">
        <v>0</v>
      </c>
      <c r="N439">
        <v>2</v>
      </c>
      <c r="O439">
        <v>0</v>
      </c>
      <c r="P439">
        <v>1</v>
      </c>
      <c r="Q439">
        <v>0</v>
      </c>
      <c r="S439" t="str">
        <f t="shared" si="158"/>
        <v>19:26:50.039</v>
      </c>
      <c r="T439" t="str">
        <f t="shared" si="158"/>
        <v>19:26:50.039</v>
      </c>
      <c r="U439" t="str">
        <f t="shared" si="142"/>
        <v>AC3944</v>
      </c>
      <c r="V439">
        <v>0</v>
      </c>
      <c r="W439">
        <v>0</v>
      </c>
      <c r="X439">
        <v>2</v>
      </c>
      <c r="Y439">
        <v>0</v>
      </c>
      <c r="AA439">
        <v>0</v>
      </c>
      <c r="AB439">
        <v>8</v>
      </c>
      <c r="AC439">
        <v>3</v>
      </c>
      <c r="AD439">
        <v>0</v>
      </c>
      <c r="AE439">
        <v>9</v>
      </c>
      <c r="AF439" t="s">
        <v>138</v>
      </c>
      <c r="AG439">
        <v>0</v>
      </c>
      <c r="AH439">
        <v>3</v>
      </c>
      <c r="AI439">
        <v>1</v>
      </c>
      <c r="AJ439">
        <v>0</v>
      </c>
      <c r="AK439" t="s">
        <v>282</v>
      </c>
      <c r="AL439">
        <v>32.817771</v>
      </c>
      <c r="AM439" t="s">
        <v>283</v>
      </c>
      <c r="AN439">
        <v>-116.989868</v>
      </c>
      <c r="AO439">
        <v>25</v>
      </c>
      <c r="AP439">
        <v>1700</v>
      </c>
      <c r="AQ439" t="s">
        <v>129</v>
      </c>
      <c r="AR439">
        <v>141</v>
      </c>
      <c r="AS439">
        <v>0</v>
      </c>
      <c r="AT439">
        <v>-1216</v>
      </c>
      <c r="BB439">
        <v>1200</v>
      </c>
      <c r="BC439">
        <v>1</v>
      </c>
      <c r="BD439" t="str">
        <f t="shared" si="143"/>
        <v xml:space="preserve">N887QR  </v>
      </c>
      <c r="BE439">
        <v>1</v>
      </c>
      <c r="BG439">
        <v>0</v>
      </c>
      <c r="BH439">
        <v>0</v>
      </c>
      <c r="BI439">
        <v>0</v>
      </c>
      <c r="BJ439">
        <v>1300</v>
      </c>
      <c r="BK439">
        <v>-400</v>
      </c>
      <c r="BL439" t="s">
        <v>163</v>
      </c>
      <c r="BM439">
        <v>1</v>
      </c>
      <c r="BN439">
        <v>1</v>
      </c>
      <c r="BO439">
        <v>1</v>
      </c>
      <c r="BP439">
        <v>0</v>
      </c>
      <c r="BS439">
        <v>0</v>
      </c>
      <c r="BT439">
        <v>0</v>
      </c>
      <c r="BU439">
        <v>0</v>
      </c>
      <c r="CE439" t="str">
        <f t="shared" si="159"/>
        <v>19:26:51.044</v>
      </c>
      <c r="CF439">
        <v>1043936707</v>
      </c>
      <c r="CS439">
        <v>3</v>
      </c>
      <c r="CT439">
        <v>2</v>
      </c>
      <c r="CU439">
        <v>0</v>
      </c>
      <c r="CV439">
        <v>2</v>
      </c>
      <c r="CW439">
        <v>1</v>
      </c>
      <c r="CX439">
        <v>5</v>
      </c>
      <c r="CY439">
        <v>7</v>
      </c>
      <c r="CZ439" t="s">
        <v>131</v>
      </c>
      <c r="DA439">
        <v>300</v>
      </c>
      <c r="DB439">
        <v>0</v>
      </c>
      <c r="DC439" t="s">
        <v>176</v>
      </c>
      <c r="DD439" t="s">
        <v>177</v>
      </c>
      <c r="DG439">
        <v>5362824</v>
      </c>
      <c r="DI439">
        <v>1</v>
      </c>
      <c r="DJ439">
        <v>0</v>
      </c>
      <c r="DK439">
        <v>1</v>
      </c>
      <c r="DL439">
        <v>0</v>
      </c>
      <c r="DM439">
        <v>0</v>
      </c>
      <c r="DN439">
        <v>1</v>
      </c>
      <c r="DO439">
        <v>0</v>
      </c>
      <c r="DP439">
        <v>0</v>
      </c>
      <c r="DQ439">
        <v>0</v>
      </c>
      <c r="DR439">
        <v>0</v>
      </c>
      <c r="DS439">
        <v>0</v>
      </c>
    </row>
    <row r="440" spans="1:123" x14ac:dyDescent="0.3">
      <c r="A440" t="str">
        <f>"10/04/2022 19:26:52.383"</f>
        <v>10/04/2022 19:26:52.383</v>
      </c>
      <c r="C440" t="str">
        <f t="shared" si="141"/>
        <v>FFDFD3C0</v>
      </c>
      <c r="D440" t="s">
        <v>134</v>
      </c>
      <c r="E440">
        <v>15</v>
      </c>
      <c r="J440" t="s">
        <v>135</v>
      </c>
      <c r="K440">
        <v>0</v>
      </c>
      <c r="L440">
        <v>3</v>
      </c>
      <c r="M440">
        <v>0</v>
      </c>
      <c r="N440">
        <v>2</v>
      </c>
      <c r="O440">
        <v>0</v>
      </c>
      <c r="P440">
        <v>1</v>
      </c>
      <c r="Q440">
        <v>0</v>
      </c>
      <c r="S440" t="str">
        <f t="shared" ref="S440:T453" si="160">"19:26:52.000"</f>
        <v>19:26:52.000</v>
      </c>
      <c r="T440" t="str">
        <f t="shared" si="160"/>
        <v>19:26:52.000</v>
      </c>
      <c r="U440" t="str">
        <f t="shared" si="142"/>
        <v>AC3944</v>
      </c>
      <c r="V440">
        <v>0</v>
      </c>
      <c r="W440">
        <v>0</v>
      </c>
      <c r="X440">
        <v>2</v>
      </c>
      <c r="Y440">
        <v>0</v>
      </c>
      <c r="AA440">
        <v>1</v>
      </c>
      <c r="AB440">
        <v>8</v>
      </c>
      <c r="AC440">
        <v>3</v>
      </c>
      <c r="AD440">
        <v>0</v>
      </c>
      <c r="AE440">
        <v>9</v>
      </c>
      <c r="AF440" t="s">
        <v>138</v>
      </c>
      <c r="AG440">
        <v>0</v>
      </c>
      <c r="AH440">
        <v>3</v>
      </c>
      <c r="AI440">
        <v>1</v>
      </c>
      <c r="AJ440">
        <v>0</v>
      </c>
      <c r="AK440" t="s">
        <v>282</v>
      </c>
      <c r="AL440">
        <v>32.817771</v>
      </c>
      <c r="AM440" t="s">
        <v>284</v>
      </c>
      <c r="AN440">
        <v>-116.98909500000001</v>
      </c>
      <c r="AO440">
        <v>25</v>
      </c>
      <c r="AP440">
        <v>1600</v>
      </c>
      <c r="AQ440" t="s">
        <v>129</v>
      </c>
      <c r="AR440">
        <v>144</v>
      </c>
      <c r="AS440">
        <v>3</v>
      </c>
      <c r="AT440">
        <v>-1280</v>
      </c>
      <c r="BB440">
        <v>740</v>
      </c>
      <c r="BC440">
        <v>1</v>
      </c>
      <c r="BD440" t="str">
        <f t="shared" si="143"/>
        <v xml:space="preserve">N887QR  </v>
      </c>
      <c r="BE440">
        <v>1</v>
      </c>
      <c r="BG440">
        <v>0</v>
      </c>
      <c r="BH440">
        <v>0</v>
      </c>
      <c r="BI440">
        <v>0</v>
      </c>
      <c r="BJ440">
        <v>1275</v>
      </c>
      <c r="BK440">
        <v>-325</v>
      </c>
      <c r="BL440" t="s">
        <v>163</v>
      </c>
      <c r="BM440">
        <v>1</v>
      </c>
      <c r="BN440">
        <v>1</v>
      </c>
      <c r="BO440">
        <v>1</v>
      </c>
      <c r="BP440">
        <v>0</v>
      </c>
      <c r="BS440">
        <v>0</v>
      </c>
      <c r="BT440">
        <v>0</v>
      </c>
      <c r="BU440">
        <v>0</v>
      </c>
      <c r="CE440" t="str">
        <f t="shared" ref="CE440:CE446" si="161">"19:26:52.190"</f>
        <v>19:26:52.190</v>
      </c>
      <c r="CF440">
        <v>190190213</v>
      </c>
      <c r="CS440">
        <v>3</v>
      </c>
      <c r="CT440">
        <v>2</v>
      </c>
      <c r="CU440">
        <v>0</v>
      </c>
      <c r="CV440">
        <v>2</v>
      </c>
      <c r="CW440">
        <v>0</v>
      </c>
      <c r="CX440">
        <v>5</v>
      </c>
      <c r="CY440">
        <v>7</v>
      </c>
      <c r="CZ440" t="s">
        <v>131</v>
      </c>
      <c r="DA440">
        <v>300</v>
      </c>
      <c r="DB440">
        <v>0</v>
      </c>
      <c r="DC440" t="s">
        <v>176</v>
      </c>
      <c r="DD440" t="s">
        <v>177</v>
      </c>
      <c r="DG440">
        <v>5362990</v>
      </c>
      <c r="DI440">
        <v>1</v>
      </c>
      <c r="DJ440">
        <v>0</v>
      </c>
      <c r="DK440">
        <v>0</v>
      </c>
      <c r="DL440">
        <v>0</v>
      </c>
      <c r="DM440">
        <v>0</v>
      </c>
      <c r="DN440">
        <v>1</v>
      </c>
      <c r="DO440">
        <v>0</v>
      </c>
      <c r="DP440">
        <v>0</v>
      </c>
      <c r="DQ440">
        <v>0</v>
      </c>
      <c r="DR440">
        <v>0</v>
      </c>
      <c r="DS440">
        <v>0</v>
      </c>
    </row>
    <row r="441" spans="1:123" x14ac:dyDescent="0.3">
      <c r="A441" t="str">
        <f>"10/04/2022 19:26:52.383"</f>
        <v>10/04/2022 19:26:52.383</v>
      </c>
      <c r="C441" t="str">
        <f t="shared" si="141"/>
        <v>FFDFD3C0</v>
      </c>
      <c r="D441" t="s">
        <v>143</v>
      </c>
      <c r="E441">
        <v>20</v>
      </c>
      <c r="F441">
        <v>1020</v>
      </c>
      <c r="G441" t="s">
        <v>144</v>
      </c>
      <c r="J441" t="s">
        <v>145</v>
      </c>
      <c r="K441">
        <v>0</v>
      </c>
      <c r="L441">
        <v>3</v>
      </c>
      <c r="M441">
        <v>0</v>
      </c>
      <c r="N441">
        <v>2</v>
      </c>
      <c r="O441">
        <v>0</v>
      </c>
      <c r="P441">
        <v>1</v>
      </c>
      <c r="Q441">
        <v>0</v>
      </c>
      <c r="S441" t="str">
        <f t="shared" si="160"/>
        <v>19:26:52.000</v>
      </c>
      <c r="T441" t="str">
        <f t="shared" si="160"/>
        <v>19:26:52.000</v>
      </c>
      <c r="U441" t="str">
        <f t="shared" si="142"/>
        <v>AC3944</v>
      </c>
      <c r="V441">
        <v>0</v>
      </c>
      <c r="W441">
        <v>0</v>
      </c>
      <c r="X441">
        <v>2</v>
      </c>
      <c r="Y441">
        <v>0</v>
      </c>
      <c r="AA441">
        <v>1</v>
      </c>
      <c r="AB441">
        <v>8</v>
      </c>
      <c r="AC441">
        <v>3</v>
      </c>
      <c r="AD441">
        <v>0</v>
      </c>
      <c r="AE441">
        <v>9</v>
      </c>
      <c r="AF441" t="s">
        <v>138</v>
      </c>
      <c r="AG441">
        <v>0</v>
      </c>
      <c r="AH441">
        <v>3</v>
      </c>
      <c r="AI441">
        <v>1</v>
      </c>
      <c r="AJ441">
        <v>0</v>
      </c>
      <c r="AK441" t="s">
        <v>282</v>
      </c>
      <c r="AL441">
        <v>32.817771</v>
      </c>
      <c r="AM441" t="s">
        <v>284</v>
      </c>
      <c r="AN441">
        <v>-116.98909500000001</v>
      </c>
      <c r="AO441">
        <v>25</v>
      </c>
      <c r="AP441">
        <v>1600</v>
      </c>
      <c r="AQ441" t="s">
        <v>129</v>
      </c>
      <c r="AR441">
        <v>144</v>
      </c>
      <c r="AS441">
        <v>3</v>
      </c>
      <c r="AT441">
        <v>-1280</v>
      </c>
      <c r="BB441">
        <v>740</v>
      </c>
      <c r="BC441">
        <v>1</v>
      </c>
      <c r="BD441" t="str">
        <f t="shared" si="143"/>
        <v xml:space="preserve">N887QR  </v>
      </c>
      <c r="BE441">
        <v>1</v>
      </c>
      <c r="BG441">
        <v>0</v>
      </c>
      <c r="BH441">
        <v>0</v>
      </c>
      <c r="BI441">
        <v>0</v>
      </c>
      <c r="BJ441">
        <v>1275</v>
      </c>
      <c r="BK441">
        <v>-325</v>
      </c>
      <c r="BL441" t="s">
        <v>163</v>
      </c>
      <c r="BM441">
        <v>1</v>
      </c>
      <c r="BN441">
        <v>1</v>
      </c>
      <c r="BO441">
        <v>1</v>
      </c>
      <c r="BP441">
        <v>0</v>
      </c>
      <c r="BS441">
        <v>0</v>
      </c>
      <c r="BT441">
        <v>0</v>
      </c>
      <c r="BU441">
        <v>0</v>
      </c>
      <c r="CE441" t="str">
        <f t="shared" si="161"/>
        <v>19:26:52.190</v>
      </c>
      <c r="CF441">
        <v>190190213</v>
      </c>
      <c r="CS441">
        <v>3</v>
      </c>
      <c r="CT441">
        <v>2</v>
      </c>
      <c r="CU441">
        <v>0</v>
      </c>
      <c r="CV441">
        <v>2</v>
      </c>
      <c r="CW441">
        <v>0</v>
      </c>
      <c r="CX441">
        <v>5</v>
      </c>
      <c r="CY441">
        <v>7</v>
      </c>
      <c r="CZ441" t="s">
        <v>131</v>
      </c>
      <c r="DA441">
        <v>300</v>
      </c>
      <c r="DB441">
        <v>0</v>
      </c>
      <c r="DC441" t="s">
        <v>176</v>
      </c>
      <c r="DD441" t="s">
        <v>177</v>
      </c>
      <c r="DG441">
        <v>5362990</v>
      </c>
      <c r="DI441">
        <v>1</v>
      </c>
      <c r="DJ441">
        <v>0</v>
      </c>
      <c r="DK441">
        <v>1</v>
      </c>
      <c r="DL441">
        <v>0</v>
      </c>
      <c r="DM441">
        <v>0</v>
      </c>
      <c r="DN441">
        <v>1</v>
      </c>
      <c r="DO441">
        <v>0</v>
      </c>
      <c r="DP441">
        <v>0</v>
      </c>
      <c r="DQ441">
        <v>0</v>
      </c>
      <c r="DR441">
        <v>0</v>
      </c>
      <c r="DS441">
        <v>0</v>
      </c>
    </row>
    <row r="442" spans="1:123" x14ac:dyDescent="0.3">
      <c r="A442" t="str">
        <f>"10/04/2022 19:26:52.383"</f>
        <v>10/04/2022 19:26:52.383</v>
      </c>
      <c r="C442" t="str">
        <f t="shared" si="141"/>
        <v>FFDFD3C0</v>
      </c>
      <c r="D442" t="s">
        <v>141</v>
      </c>
      <c r="E442">
        <v>3</v>
      </c>
      <c r="H442">
        <v>3</v>
      </c>
      <c r="I442" t="s">
        <v>146</v>
      </c>
      <c r="J442" t="s">
        <v>138</v>
      </c>
      <c r="K442">
        <v>0</v>
      </c>
      <c r="L442">
        <v>3</v>
      </c>
      <c r="M442">
        <v>0</v>
      </c>
      <c r="N442">
        <v>2</v>
      </c>
      <c r="O442">
        <v>0</v>
      </c>
      <c r="P442">
        <v>1</v>
      </c>
      <c r="Q442">
        <v>0</v>
      </c>
      <c r="S442" t="str">
        <f t="shared" si="160"/>
        <v>19:26:52.000</v>
      </c>
      <c r="T442" t="str">
        <f t="shared" si="160"/>
        <v>19:26:52.000</v>
      </c>
      <c r="U442" t="str">
        <f t="shared" si="142"/>
        <v>AC3944</v>
      </c>
      <c r="V442">
        <v>0</v>
      </c>
      <c r="W442">
        <v>0</v>
      </c>
      <c r="X442">
        <v>2</v>
      </c>
      <c r="Y442">
        <v>0</v>
      </c>
      <c r="AA442">
        <v>1</v>
      </c>
      <c r="AB442">
        <v>8</v>
      </c>
      <c r="AC442">
        <v>3</v>
      </c>
      <c r="AD442">
        <v>0</v>
      </c>
      <c r="AE442">
        <v>9</v>
      </c>
      <c r="AF442" t="s">
        <v>138</v>
      </c>
      <c r="AG442">
        <v>0</v>
      </c>
      <c r="AH442">
        <v>3</v>
      </c>
      <c r="AI442">
        <v>1</v>
      </c>
      <c r="AJ442">
        <v>0</v>
      </c>
      <c r="AK442" t="s">
        <v>282</v>
      </c>
      <c r="AL442">
        <v>32.817771</v>
      </c>
      <c r="AM442" t="s">
        <v>284</v>
      </c>
      <c r="AN442">
        <v>-116.98909500000001</v>
      </c>
      <c r="AO442">
        <v>25</v>
      </c>
      <c r="AP442">
        <v>1600</v>
      </c>
      <c r="AQ442" t="s">
        <v>129</v>
      </c>
      <c r="AR442">
        <v>144</v>
      </c>
      <c r="AS442">
        <v>3</v>
      </c>
      <c r="AT442">
        <v>-1280</v>
      </c>
      <c r="BB442">
        <v>740</v>
      </c>
      <c r="BC442">
        <v>1</v>
      </c>
      <c r="BD442" t="str">
        <f t="shared" si="143"/>
        <v xml:space="preserve">N887QR  </v>
      </c>
      <c r="BE442">
        <v>1</v>
      </c>
      <c r="BG442">
        <v>0</v>
      </c>
      <c r="BH442">
        <v>0</v>
      </c>
      <c r="BI442">
        <v>0</v>
      </c>
      <c r="BJ442">
        <v>1275</v>
      </c>
      <c r="BK442">
        <v>-325</v>
      </c>
      <c r="BL442" t="s">
        <v>163</v>
      </c>
      <c r="BM442">
        <v>1</v>
      </c>
      <c r="BN442">
        <v>1</v>
      </c>
      <c r="BO442">
        <v>1</v>
      </c>
      <c r="BP442">
        <v>0</v>
      </c>
      <c r="BS442">
        <v>0</v>
      </c>
      <c r="BT442">
        <v>0</v>
      </c>
      <c r="BU442">
        <v>0</v>
      </c>
      <c r="CE442" t="str">
        <f t="shared" si="161"/>
        <v>19:26:52.190</v>
      </c>
      <c r="CF442">
        <v>190190213</v>
      </c>
      <c r="CS442">
        <v>3</v>
      </c>
      <c r="CT442">
        <v>2</v>
      </c>
      <c r="CU442">
        <v>0</v>
      </c>
      <c r="CV442">
        <v>2</v>
      </c>
      <c r="CW442">
        <v>0</v>
      </c>
      <c r="CX442">
        <v>5</v>
      </c>
      <c r="CY442">
        <v>7</v>
      </c>
      <c r="CZ442" t="s">
        <v>131</v>
      </c>
      <c r="DA442">
        <v>300</v>
      </c>
      <c r="DB442">
        <v>0</v>
      </c>
      <c r="DC442" t="s">
        <v>176</v>
      </c>
      <c r="DD442" t="s">
        <v>177</v>
      </c>
      <c r="DG442">
        <v>5362990</v>
      </c>
      <c r="DI442">
        <v>1</v>
      </c>
      <c r="DJ442">
        <v>0</v>
      </c>
      <c r="DK442">
        <v>1</v>
      </c>
      <c r="DL442">
        <v>0</v>
      </c>
      <c r="DM442">
        <v>0</v>
      </c>
      <c r="DN442">
        <v>1</v>
      </c>
      <c r="DO442">
        <v>0</v>
      </c>
      <c r="DP442">
        <v>0</v>
      </c>
      <c r="DQ442">
        <v>0</v>
      </c>
      <c r="DR442">
        <v>0</v>
      </c>
      <c r="DS442">
        <v>0</v>
      </c>
    </row>
    <row r="443" spans="1:123" x14ac:dyDescent="0.3">
      <c r="A443" t="str">
        <f>"10/04/2022 19:26:52.383"</f>
        <v>10/04/2022 19:26:52.383</v>
      </c>
      <c r="C443" t="str">
        <f t="shared" si="141"/>
        <v>FFDFD3C0</v>
      </c>
      <c r="D443" t="s">
        <v>123</v>
      </c>
      <c r="E443">
        <v>7</v>
      </c>
      <c r="F443">
        <v>2007</v>
      </c>
      <c r="G443" t="s">
        <v>124</v>
      </c>
      <c r="J443" t="s">
        <v>125</v>
      </c>
      <c r="K443">
        <v>0</v>
      </c>
      <c r="L443">
        <v>3</v>
      </c>
      <c r="M443">
        <v>0</v>
      </c>
      <c r="N443">
        <v>2</v>
      </c>
      <c r="O443">
        <v>0</v>
      </c>
      <c r="P443">
        <v>1</v>
      </c>
      <c r="Q443">
        <v>0</v>
      </c>
      <c r="S443" t="str">
        <f t="shared" si="160"/>
        <v>19:26:52.000</v>
      </c>
      <c r="T443" t="str">
        <f t="shared" si="160"/>
        <v>19:26:52.000</v>
      </c>
      <c r="U443" t="str">
        <f t="shared" si="142"/>
        <v>AC3944</v>
      </c>
      <c r="V443">
        <v>0</v>
      </c>
      <c r="W443">
        <v>0</v>
      </c>
      <c r="X443">
        <v>2</v>
      </c>
      <c r="Y443">
        <v>0</v>
      </c>
      <c r="AA443">
        <v>1</v>
      </c>
      <c r="AB443">
        <v>8</v>
      </c>
      <c r="AC443">
        <v>3</v>
      </c>
      <c r="AD443">
        <v>0</v>
      </c>
      <c r="AE443">
        <v>9</v>
      </c>
      <c r="AF443" t="s">
        <v>138</v>
      </c>
      <c r="AG443">
        <v>0</v>
      </c>
      <c r="AH443">
        <v>3</v>
      </c>
      <c r="AI443">
        <v>1</v>
      </c>
      <c r="AJ443">
        <v>0</v>
      </c>
      <c r="AK443" t="s">
        <v>282</v>
      </c>
      <c r="AL443">
        <v>32.817771</v>
      </c>
      <c r="AM443" t="s">
        <v>284</v>
      </c>
      <c r="AN443">
        <v>-116.98909500000001</v>
      </c>
      <c r="AO443">
        <v>25</v>
      </c>
      <c r="AP443">
        <v>1600</v>
      </c>
      <c r="AQ443" t="s">
        <v>129</v>
      </c>
      <c r="AR443">
        <v>144</v>
      </c>
      <c r="AS443">
        <v>3</v>
      </c>
      <c r="AT443">
        <v>-1280</v>
      </c>
      <c r="BB443">
        <v>740</v>
      </c>
      <c r="BC443">
        <v>1</v>
      </c>
      <c r="BD443" t="str">
        <f t="shared" si="143"/>
        <v xml:space="preserve">N887QR  </v>
      </c>
      <c r="BE443">
        <v>1</v>
      </c>
      <c r="BG443">
        <v>0</v>
      </c>
      <c r="BH443">
        <v>0</v>
      </c>
      <c r="BI443">
        <v>0</v>
      </c>
      <c r="BJ443">
        <v>1275</v>
      </c>
      <c r="BK443">
        <v>-325</v>
      </c>
      <c r="BL443" t="s">
        <v>163</v>
      </c>
      <c r="BM443">
        <v>1</v>
      </c>
      <c r="BN443">
        <v>1</v>
      </c>
      <c r="BO443">
        <v>1</v>
      </c>
      <c r="BP443">
        <v>0</v>
      </c>
      <c r="BS443">
        <v>0</v>
      </c>
      <c r="BT443">
        <v>0</v>
      </c>
      <c r="BU443">
        <v>0</v>
      </c>
      <c r="CE443" t="str">
        <f t="shared" si="161"/>
        <v>19:26:52.190</v>
      </c>
      <c r="CF443">
        <v>190190213</v>
      </c>
      <c r="CS443">
        <v>3</v>
      </c>
      <c r="CT443">
        <v>2</v>
      </c>
      <c r="CU443">
        <v>0</v>
      </c>
      <c r="CV443">
        <v>2</v>
      </c>
      <c r="CW443">
        <v>0</v>
      </c>
      <c r="CX443">
        <v>5</v>
      </c>
      <c r="CY443">
        <v>7</v>
      </c>
      <c r="CZ443" t="s">
        <v>131</v>
      </c>
      <c r="DA443">
        <v>300</v>
      </c>
      <c r="DB443">
        <v>0</v>
      </c>
      <c r="DC443" t="s">
        <v>176</v>
      </c>
      <c r="DD443" t="s">
        <v>177</v>
      </c>
      <c r="DG443">
        <v>5362990</v>
      </c>
      <c r="DI443">
        <v>1</v>
      </c>
      <c r="DJ443">
        <v>0</v>
      </c>
      <c r="DK443">
        <v>1</v>
      </c>
      <c r="DL443">
        <v>0</v>
      </c>
      <c r="DM443">
        <v>0</v>
      </c>
      <c r="DN443">
        <v>1</v>
      </c>
      <c r="DO443">
        <v>0</v>
      </c>
      <c r="DP443">
        <v>0</v>
      </c>
      <c r="DQ443">
        <v>0</v>
      </c>
      <c r="DR443">
        <v>0</v>
      </c>
      <c r="DS443">
        <v>0</v>
      </c>
    </row>
    <row r="444" spans="1:123" x14ac:dyDescent="0.3">
      <c r="A444" t="str">
        <f>"10/04/2022 19:26:52.383"</f>
        <v>10/04/2022 19:26:52.383</v>
      </c>
      <c r="C444" t="str">
        <f t="shared" si="141"/>
        <v>FFDFD3C0</v>
      </c>
      <c r="D444" t="s">
        <v>141</v>
      </c>
      <c r="E444">
        <v>4</v>
      </c>
      <c r="H444">
        <v>4</v>
      </c>
      <c r="I444" t="s">
        <v>142</v>
      </c>
      <c r="J444" t="s">
        <v>138</v>
      </c>
      <c r="K444">
        <v>0</v>
      </c>
      <c r="L444">
        <v>3</v>
      </c>
      <c r="M444">
        <v>0</v>
      </c>
      <c r="N444">
        <v>2</v>
      </c>
      <c r="O444">
        <v>0</v>
      </c>
      <c r="P444">
        <v>1</v>
      </c>
      <c r="Q444">
        <v>0</v>
      </c>
      <c r="S444" t="str">
        <f t="shared" si="160"/>
        <v>19:26:52.000</v>
      </c>
      <c r="T444" t="str">
        <f t="shared" si="160"/>
        <v>19:26:52.000</v>
      </c>
      <c r="U444" t="str">
        <f t="shared" si="142"/>
        <v>AC3944</v>
      </c>
      <c r="V444">
        <v>0</v>
      </c>
      <c r="W444">
        <v>0</v>
      </c>
      <c r="X444">
        <v>2</v>
      </c>
      <c r="Y444">
        <v>0</v>
      </c>
      <c r="AA444">
        <v>1</v>
      </c>
      <c r="AB444">
        <v>8</v>
      </c>
      <c r="AC444">
        <v>3</v>
      </c>
      <c r="AD444">
        <v>0</v>
      </c>
      <c r="AE444">
        <v>9</v>
      </c>
      <c r="AF444" t="s">
        <v>138</v>
      </c>
      <c r="AG444">
        <v>0</v>
      </c>
      <c r="AH444">
        <v>3</v>
      </c>
      <c r="AI444">
        <v>1</v>
      </c>
      <c r="AJ444">
        <v>0</v>
      </c>
      <c r="AK444" t="s">
        <v>282</v>
      </c>
      <c r="AL444">
        <v>32.817771</v>
      </c>
      <c r="AM444" t="s">
        <v>284</v>
      </c>
      <c r="AN444">
        <v>-116.98909500000001</v>
      </c>
      <c r="AO444">
        <v>25</v>
      </c>
      <c r="AP444">
        <v>1600</v>
      </c>
      <c r="AQ444" t="s">
        <v>129</v>
      </c>
      <c r="AR444">
        <v>144</v>
      </c>
      <c r="AS444">
        <v>3</v>
      </c>
      <c r="AT444">
        <v>-1280</v>
      </c>
      <c r="BB444">
        <v>740</v>
      </c>
      <c r="BC444">
        <v>1</v>
      </c>
      <c r="BD444" t="str">
        <f t="shared" si="143"/>
        <v xml:space="preserve">N887QR  </v>
      </c>
      <c r="BE444">
        <v>1</v>
      </c>
      <c r="BG444">
        <v>0</v>
      </c>
      <c r="BH444">
        <v>0</v>
      </c>
      <c r="BI444">
        <v>0</v>
      </c>
      <c r="BJ444">
        <v>1275</v>
      </c>
      <c r="BK444">
        <v>-325</v>
      </c>
      <c r="BL444" t="s">
        <v>163</v>
      </c>
      <c r="BM444">
        <v>1</v>
      </c>
      <c r="BN444">
        <v>1</v>
      </c>
      <c r="BO444">
        <v>1</v>
      </c>
      <c r="BP444">
        <v>0</v>
      </c>
      <c r="BS444">
        <v>0</v>
      </c>
      <c r="BT444">
        <v>0</v>
      </c>
      <c r="BU444">
        <v>0</v>
      </c>
      <c r="CE444" t="str">
        <f t="shared" si="161"/>
        <v>19:26:52.190</v>
      </c>
      <c r="CF444">
        <v>190190213</v>
      </c>
      <c r="CS444">
        <v>3</v>
      </c>
      <c r="CT444">
        <v>2</v>
      </c>
      <c r="CU444">
        <v>0</v>
      </c>
      <c r="CV444">
        <v>2</v>
      </c>
      <c r="CW444">
        <v>0</v>
      </c>
      <c r="CX444">
        <v>5</v>
      </c>
      <c r="CY444">
        <v>7</v>
      </c>
      <c r="CZ444" t="s">
        <v>131</v>
      </c>
      <c r="DA444">
        <v>300</v>
      </c>
      <c r="DB444">
        <v>0</v>
      </c>
      <c r="DC444" t="s">
        <v>176</v>
      </c>
      <c r="DD444" t="s">
        <v>177</v>
      </c>
      <c r="DG444">
        <v>5362990</v>
      </c>
      <c r="DI444">
        <v>1</v>
      </c>
      <c r="DJ444">
        <v>0</v>
      </c>
      <c r="DK444">
        <v>1</v>
      </c>
      <c r="DL444">
        <v>0</v>
      </c>
      <c r="DM444">
        <v>0</v>
      </c>
      <c r="DN444">
        <v>1</v>
      </c>
      <c r="DO444">
        <v>0</v>
      </c>
      <c r="DP444">
        <v>0</v>
      </c>
      <c r="DQ444">
        <v>0</v>
      </c>
      <c r="DR444">
        <v>0</v>
      </c>
      <c r="DS444">
        <v>0</v>
      </c>
    </row>
    <row r="445" spans="1:123" x14ac:dyDescent="0.3">
      <c r="A445" t="str">
        <f>"10/04/2022 19:26:52.399"</f>
        <v>10/04/2022 19:26:52.399</v>
      </c>
      <c r="C445" t="str">
        <f t="shared" si="141"/>
        <v>FFDFD3C0</v>
      </c>
      <c r="D445" t="s">
        <v>136</v>
      </c>
      <c r="E445">
        <v>8</v>
      </c>
      <c r="H445">
        <v>225</v>
      </c>
      <c r="I445" t="s">
        <v>137</v>
      </c>
      <c r="J445" t="s">
        <v>138</v>
      </c>
      <c r="K445">
        <v>0</v>
      </c>
      <c r="L445">
        <v>3</v>
      </c>
      <c r="M445">
        <v>0</v>
      </c>
      <c r="N445">
        <v>2</v>
      </c>
      <c r="O445">
        <v>0</v>
      </c>
      <c r="P445">
        <v>1</v>
      </c>
      <c r="Q445">
        <v>0</v>
      </c>
      <c r="S445" t="str">
        <f t="shared" si="160"/>
        <v>19:26:52.000</v>
      </c>
      <c r="T445" t="str">
        <f t="shared" si="160"/>
        <v>19:26:52.000</v>
      </c>
      <c r="U445" t="str">
        <f t="shared" si="142"/>
        <v>AC3944</v>
      </c>
      <c r="V445">
        <v>0</v>
      </c>
      <c r="W445">
        <v>0</v>
      </c>
      <c r="X445">
        <v>2</v>
      </c>
      <c r="Y445">
        <v>0</v>
      </c>
      <c r="AA445">
        <v>1</v>
      </c>
      <c r="AB445">
        <v>8</v>
      </c>
      <c r="AC445">
        <v>3</v>
      </c>
      <c r="AD445">
        <v>0</v>
      </c>
      <c r="AE445">
        <v>9</v>
      </c>
      <c r="AF445" t="s">
        <v>138</v>
      </c>
      <c r="AG445">
        <v>0</v>
      </c>
      <c r="AH445">
        <v>3</v>
      </c>
      <c r="AI445">
        <v>1</v>
      </c>
      <c r="AJ445">
        <v>0</v>
      </c>
      <c r="AK445" t="s">
        <v>282</v>
      </c>
      <c r="AL445">
        <v>32.817771</v>
      </c>
      <c r="AM445" t="s">
        <v>284</v>
      </c>
      <c r="AN445">
        <v>-116.98909500000001</v>
      </c>
      <c r="AO445">
        <v>25</v>
      </c>
      <c r="AP445">
        <v>1600</v>
      </c>
      <c r="AQ445" t="s">
        <v>129</v>
      </c>
      <c r="AR445">
        <v>144</v>
      </c>
      <c r="AS445">
        <v>3</v>
      </c>
      <c r="AT445">
        <v>-1280</v>
      </c>
      <c r="BB445">
        <v>740</v>
      </c>
      <c r="BC445">
        <v>1</v>
      </c>
      <c r="BD445" t="str">
        <f t="shared" si="143"/>
        <v xml:space="preserve">N887QR  </v>
      </c>
      <c r="BE445">
        <v>1</v>
      </c>
      <c r="BG445">
        <v>0</v>
      </c>
      <c r="BH445">
        <v>0</v>
      </c>
      <c r="BI445">
        <v>0</v>
      </c>
      <c r="BJ445">
        <v>1275</v>
      </c>
      <c r="BK445">
        <v>-325</v>
      </c>
      <c r="BL445" t="s">
        <v>163</v>
      </c>
      <c r="BM445">
        <v>1</v>
      </c>
      <c r="BN445">
        <v>1</v>
      </c>
      <c r="BO445">
        <v>1</v>
      </c>
      <c r="BP445">
        <v>0</v>
      </c>
      <c r="BS445">
        <v>0</v>
      </c>
      <c r="BT445">
        <v>0</v>
      </c>
      <c r="BU445">
        <v>0</v>
      </c>
      <c r="CE445" t="str">
        <f t="shared" si="161"/>
        <v>19:26:52.190</v>
      </c>
      <c r="CF445">
        <v>190190213</v>
      </c>
      <c r="CS445">
        <v>3</v>
      </c>
      <c r="CT445">
        <v>2</v>
      </c>
      <c r="CU445">
        <v>0</v>
      </c>
      <c r="CV445">
        <v>2</v>
      </c>
      <c r="CW445">
        <v>0</v>
      </c>
      <c r="CX445">
        <v>5</v>
      </c>
      <c r="CY445">
        <v>7</v>
      </c>
      <c r="CZ445" t="s">
        <v>131</v>
      </c>
      <c r="DA445">
        <v>300</v>
      </c>
      <c r="DB445">
        <v>0</v>
      </c>
      <c r="DC445" t="s">
        <v>176</v>
      </c>
      <c r="DD445" t="s">
        <v>177</v>
      </c>
      <c r="DG445">
        <v>5362990</v>
      </c>
      <c r="DI445">
        <v>1</v>
      </c>
      <c r="DJ445">
        <v>0</v>
      </c>
      <c r="DK445">
        <v>1</v>
      </c>
      <c r="DL445">
        <v>0</v>
      </c>
      <c r="DM445">
        <v>0</v>
      </c>
      <c r="DN445">
        <v>1</v>
      </c>
      <c r="DO445">
        <v>0</v>
      </c>
      <c r="DP445">
        <v>0</v>
      </c>
      <c r="DQ445">
        <v>0</v>
      </c>
      <c r="DR445">
        <v>0</v>
      </c>
      <c r="DS445">
        <v>0</v>
      </c>
    </row>
    <row r="446" spans="1:123" x14ac:dyDescent="0.3">
      <c r="A446" t="str">
        <f>"10/04/2022 19:26:52.399"</f>
        <v>10/04/2022 19:26:52.399</v>
      </c>
      <c r="C446" t="str">
        <f t="shared" si="141"/>
        <v>FFDFD3C0</v>
      </c>
      <c r="D446" t="s">
        <v>147</v>
      </c>
      <c r="E446">
        <v>3</v>
      </c>
      <c r="H446">
        <v>166</v>
      </c>
      <c r="I446" t="s">
        <v>144</v>
      </c>
      <c r="J446" t="s">
        <v>148</v>
      </c>
      <c r="K446">
        <v>0</v>
      </c>
      <c r="L446">
        <v>3</v>
      </c>
      <c r="M446">
        <v>0</v>
      </c>
      <c r="N446">
        <v>2</v>
      </c>
      <c r="O446">
        <v>0</v>
      </c>
      <c r="P446">
        <v>1</v>
      </c>
      <c r="Q446">
        <v>0</v>
      </c>
      <c r="S446" t="str">
        <f t="shared" si="160"/>
        <v>19:26:52.000</v>
      </c>
      <c r="T446" t="str">
        <f t="shared" si="160"/>
        <v>19:26:52.000</v>
      </c>
      <c r="U446" t="str">
        <f t="shared" si="142"/>
        <v>AC3944</v>
      </c>
      <c r="V446">
        <v>0</v>
      </c>
      <c r="W446">
        <v>0</v>
      </c>
      <c r="X446">
        <v>2</v>
      </c>
      <c r="Y446">
        <v>0</v>
      </c>
      <c r="AA446">
        <v>1</v>
      </c>
      <c r="AB446">
        <v>8</v>
      </c>
      <c r="AC446">
        <v>3</v>
      </c>
      <c r="AD446">
        <v>0</v>
      </c>
      <c r="AE446">
        <v>9</v>
      </c>
      <c r="AF446" t="s">
        <v>138</v>
      </c>
      <c r="AG446">
        <v>0</v>
      </c>
      <c r="AH446">
        <v>3</v>
      </c>
      <c r="AI446">
        <v>1</v>
      </c>
      <c r="AJ446">
        <v>0</v>
      </c>
      <c r="AK446" t="s">
        <v>282</v>
      </c>
      <c r="AL446">
        <v>32.817771</v>
      </c>
      <c r="AM446" t="s">
        <v>284</v>
      </c>
      <c r="AN446">
        <v>-116.98909500000001</v>
      </c>
      <c r="AO446">
        <v>25</v>
      </c>
      <c r="AP446">
        <v>1600</v>
      </c>
      <c r="AQ446" t="s">
        <v>129</v>
      </c>
      <c r="AR446">
        <v>144</v>
      </c>
      <c r="AS446">
        <v>3</v>
      </c>
      <c r="AT446">
        <v>-1280</v>
      </c>
      <c r="BB446">
        <v>740</v>
      </c>
      <c r="BC446">
        <v>1</v>
      </c>
      <c r="BD446" t="str">
        <f t="shared" si="143"/>
        <v xml:space="preserve">N887QR  </v>
      </c>
      <c r="BE446">
        <v>1</v>
      </c>
      <c r="BG446">
        <v>0</v>
      </c>
      <c r="BH446">
        <v>0</v>
      </c>
      <c r="BI446">
        <v>0</v>
      </c>
      <c r="BJ446">
        <v>1275</v>
      </c>
      <c r="BK446">
        <v>-325</v>
      </c>
      <c r="BL446" t="s">
        <v>163</v>
      </c>
      <c r="BM446">
        <v>1</v>
      </c>
      <c r="BN446">
        <v>1</v>
      </c>
      <c r="BO446">
        <v>1</v>
      </c>
      <c r="BP446">
        <v>0</v>
      </c>
      <c r="BS446">
        <v>0</v>
      </c>
      <c r="BT446">
        <v>0</v>
      </c>
      <c r="BU446">
        <v>0</v>
      </c>
      <c r="CE446" t="str">
        <f t="shared" si="161"/>
        <v>19:26:52.190</v>
      </c>
      <c r="CF446">
        <v>190190213</v>
      </c>
      <c r="CS446">
        <v>3</v>
      </c>
      <c r="CT446">
        <v>2</v>
      </c>
      <c r="CU446">
        <v>0</v>
      </c>
      <c r="CV446">
        <v>2</v>
      </c>
      <c r="CW446">
        <v>0</v>
      </c>
      <c r="CX446">
        <v>5</v>
      </c>
      <c r="CY446">
        <v>7</v>
      </c>
      <c r="CZ446" t="s">
        <v>131</v>
      </c>
      <c r="DA446">
        <v>300</v>
      </c>
      <c r="DB446">
        <v>0</v>
      </c>
      <c r="DC446" t="s">
        <v>176</v>
      </c>
      <c r="DD446" t="s">
        <v>177</v>
      </c>
      <c r="DG446">
        <v>5362990</v>
      </c>
      <c r="DI446">
        <v>1</v>
      </c>
      <c r="DJ446">
        <v>0</v>
      </c>
      <c r="DK446">
        <v>1</v>
      </c>
      <c r="DL446">
        <v>0</v>
      </c>
      <c r="DM446">
        <v>0</v>
      </c>
      <c r="DN446">
        <v>1</v>
      </c>
      <c r="DO446">
        <v>0</v>
      </c>
      <c r="DP446">
        <v>0</v>
      </c>
      <c r="DQ446">
        <v>0</v>
      </c>
      <c r="DR446">
        <v>0</v>
      </c>
      <c r="DS446">
        <v>0</v>
      </c>
    </row>
    <row r="447" spans="1:123" x14ac:dyDescent="0.3">
      <c r="A447" t="str">
        <f>"10/04/2022 19:26:53.180"</f>
        <v>10/04/2022 19:26:53.180</v>
      </c>
      <c r="C447" t="str">
        <f t="shared" si="141"/>
        <v>FFDFD3C0</v>
      </c>
      <c r="D447" t="s">
        <v>134</v>
      </c>
      <c r="E447">
        <v>15</v>
      </c>
      <c r="J447" t="s">
        <v>135</v>
      </c>
      <c r="K447">
        <v>0</v>
      </c>
      <c r="L447">
        <v>3</v>
      </c>
      <c r="M447">
        <v>0</v>
      </c>
      <c r="N447">
        <v>2</v>
      </c>
      <c r="O447">
        <v>0</v>
      </c>
      <c r="P447">
        <v>1</v>
      </c>
      <c r="Q447">
        <v>0</v>
      </c>
      <c r="S447" t="str">
        <f t="shared" si="160"/>
        <v>19:26:52.000</v>
      </c>
      <c r="T447" t="str">
        <f t="shared" si="160"/>
        <v>19:26:52.000</v>
      </c>
      <c r="U447" t="str">
        <f t="shared" si="142"/>
        <v>AC3944</v>
      </c>
      <c r="V447">
        <v>0</v>
      </c>
      <c r="W447">
        <v>0</v>
      </c>
      <c r="X447">
        <v>2</v>
      </c>
      <c r="Y447">
        <v>0</v>
      </c>
      <c r="AA447">
        <v>1</v>
      </c>
      <c r="AB447">
        <v>8</v>
      </c>
      <c r="AC447">
        <v>3</v>
      </c>
      <c r="AD447">
        <v>0</v>
      </c>
      <c r="AE447">
        <v>9</v>
      </c>
      <c r="AF447" t="s">
        <v>138</v>
      </c>
      <c r="AG447">
        <v>0</v>
      </c>
      <c r="AH447">
        <v>3</v>
      </c>
      <c r="AI447">
        <v>1</v>
      </c>
      <c r="AJ447">
        <v>0</v>
      </c>
      <c r="AK447" t="s">
        <v>280</v>
      </c>
      <c r="AL447">
        <v>32.817793000000002</v>
      </c>
      <c r="AM447" t="s">
        <v>285</v>
      </c>
      <c r="AN447">
        <v>-116.98830100000001</v>
      </c>
      <c r="AO447">
        <v>25</v>
      </c>
      <c r="AP447">
        <v>1600</v>
      </c>
      <c r="AQ447" t="s">
        <v>129</v>
      </c>
      <c r="AR447">
        <v>145</v>
      </c>
      <c r="AS447">
        <v>3</v>
      </c>
      <c r="AT447">
        <v>-1280</v>
      </c>
      <c r="BB447">
        <v>740</v>
      </c>
      <c r="BC447">
        <v>1</v>
      </c>
      <c r="BD447" t="str">
        <f t="shared" si="143"/>
        <v xml:space="preserve">N887QR  </v>
      </c>
      <c r="BE447">
        <v>1</v>
      </c>
      <c r="BG447">
        <v>0</v>
      </c>
      <c r="BH447">
        <v>0</v>
      </c>
      <c r="BI447">
        <v>0</v>
      </c>
      <c r="BJ447">
        <v>1250</v>
      </c>
      <c r="BK447">
        <v>-350</v>
      </c>
      <c r="BL447" t="s">
        <v>163</v>
      </c>
      <c r="BM447">
        <v>1</v>
      </c>
      <c r="BN447">
        <v>1</v>
      </c>
      <c r="BO447">
        <v>1</v>
      </c>
      <c r="BP447">
        <v>0</v>
      </c>
      <c r="BS447">
        <v>0</v>
      </c>
      <c r="BT447">
        <v>0</v>
      </c>
      <c r="BU447">
        <v>0</v>
      </c>
      <c r="CE447" t="str">
        <f t="shared" ref="CE447:CE453" si="162">"19:26:52.993"</f>
        <v>19:26:52.993</v>
      </c>
      <c r="CF447">
        <v>993192816</v>
      </c>
      <c r="CS447">
        <v>3</v>
      </c>
      <c r="CT447">
        <v>2</v>
      </c>
      <c r="CU447">
        <v>0</v>
      </c>
      <c r="CV447">
        <v>2</v>
      </c>
      <c r="CW447">
        <v>0</v>
      </c>
      <c r="CX447">
        <v>6</v>
      </c>
      <c r="CY447">
        <v>7</v>
      </c>
      <c r="CZ447" t="s">
        <v>131</v>
      </c>
      <c r="DA447">
        <v>300</v>
      </c>
      <c r="DB447">
        <v>0</v>
      </c>
      <c r="DC447" t="s">
        <v>176</v>
      </c>
      <c r="DD447" t="s">
        <v>177</v>
      </c>
      <c r="DG447">
        <v>5363127</v>
      </c>
      <c r="DI447">
        <v>1</v>
      </c>
      <c r="DJ447">
        <v>0</v>
      </c>
      <c r="DK447">
        <v>0</v>
      </c>
      <c r="DL447">
        <v>0</v>
      </c>
      <c r="DM447">
        <v>0</v>
      </c>
      <c r="DN447">
        <v>1</v>
      </c>
      <c r="DO447">
        <v>0</v>
      </c>
      <c r="DP447">
        <v>0</v>
      </c>
      <c r="DQ447">
        <v>0</v>
      </c>
      <c r="DR447">
        <v>0</v>
      </c>
      <c r="DS447">
        <v>0</v>
      </c>
    </row>
    <row r="448" spans="1:123" x14ac:dyDescent="0.3">
      <c r="A448" t="str">
        <f>"10/04/2022 19:26:53.180"</f>
        <v>10/04/2022 19:26:53.180</v>
      </c>
      <c r="C448" t="str">
        <f t="shared" si="141"/>
        <v>FFDFD3C0</v>
      </c>
      <c r="D448" t="s">
        <v>143</v>
      </c>
      <c r="E448">
        <v>20</v>
      </c>
      <c r="F448">
        <v>1020</v>
      </c>
      <c r="G448" t="s">
        <v>144</v>
      </c>
      <c r="J448" t="s">
        <v>145</v>
      </c>
      <c r="K448">
        <v>0</v>
      </c>
      <c r="L448">
        <v>3</v>
      </c>
      <c r="M448">
        <v>0</v>
      </c>
      <c r="N448">
        <v>2</v>
      </c>
      <c r="O448">
        <v>0</v>
      </c>
      <c r="P448">
        <v>1</v>
      </c>
      <c r="Q448">
        <v>0</v>
      </c>
      <c r="S448" t="str">
        <f t="shared" si="160"/>
        <v>19:26:52.000</v>
      </c>
      <c r="T448" t="str">
        <f t="shared" si="160"/>
        <v>19:26:52.000</v>
      </c>
      <c r="U448" t="str">
        <f t="shared" si="142"/>
        <v>AC3944</v>
      </c>
      <c r="V448">
        <v>0</v>
      </c>
      <c r="W448">
        <v>0</v>
      </c>
      <c r="X448">
        <v>2</v>
      </c>
      <c r="Y448">
        <v>0</v>
      </c>
      <c r="AA448">
        <v>1</v>
      </c>
      <c r="AB448">
        <v>8</v>
      </c>
      <c r="AC448">
        <v>3</v>
      </c>
      <c r="AD448">
        <v>0</v>
      </c>
      <c r="AE448">
        <v>9</v>
      </c>
      <c r="AF448" t="s">
        <v>138</v>
      </c>
      <c r="AG448">
        <v>0</v>
      </c>
      <c r="AH448">
        <v>3</v>
      </c>
      <c r="AI448">
        <v>1</v>
      </c>
      <c r="AJ448">
        <v>0</v>
      </c>
      <c r="AK448" t="s">
        <v>280</v>
      </c>
      <c r="AL448">
        <v>32.817793000000002</v>
      </c>
      <c r="AM448" t="s">
        <v>285</v>
      </c>
      <c r="AN448">
        <v>-116.98830100000001</v>
      </c>
      <c r="AO448">
        <v>25</v>
      </c>
      <c r="AP448">
        <v>1600</v>
      </c>
      <c r="AQ448" t="s">
        <v>129</v>
      </c>
      <c r="AR448">
        <v>145</v>
      </c>
      <c r="AS448">
        <v>3</v>
      </c>
      <c r="AT448">
        <v>-1280</v>
      </c>
      <c r="BB448">
        <v>740</v>
      </c>
      <c r="BC448">
        <v>1</v>
      </c>
      <c r="BD448" t="str">
        <f t="shared" si="143"/>
        <v xml:space="preserve">N887QR  </v>
      </c>
      <c r="BE448">
        <v>1</v>
      </c>
      <c r="BG448">
        <v>0</v>
      </c>
      <c r="BH448">
        <v>0</v>
      </c>
      <c r="BI448">
        <v>0</v>
      </c>
      <c r="BJ448">
        <v>1250</v>
      </c>
      <c r="BK448">
        <v>-350</v>
      </c>
      <c r="BL448" t="s">
        <v>163</v>
      </c>
      <c r="BM448">
        <v>1</v>
      </c>
      <c r="BN448">
        <v>1</v>
      </c>
      <c r="BO448">
        <v>1</v>
      </c>
      <c r="BP448">
        <v>0</v>
      </c>
      <c r="BS448">
        <v>0</v>
      </c>
      <c r="BT448">
        <v>0</v>
      </c>
      <c r="BU448">
        <v>0</v>
      </c>
      <c r="CE448" t="str">
        <f t="shared" si="162"/>
        <v>19:26:52.993</v>
      </c>
      <c r="CF448">
        <v>993192816</v>
      </c>
      <c r="CS448">
        <v>3</v>
      </c>
      <c r="CT448">
        <v>2</v>
      </c>
      <c r="CU448">
        <v>0</v>
      </c>
      <c r="CV448">
        <v>2</v>
      </c>
      <c r="CW448">
        <v>0</v>
      </c>
      <c r="CX448">
        <v>6</v>
      </c>
      <c r="CY448">
        <v>7</v>
      </c>
      <c r="CZ448" t="s">
        <v>131</v>
      </c>
      <c r="DA448">
        <v>300</v>
      </c>
      <c r="DB448">
        <v>0</v>
      </c>
      <c r="DC448" t="s">
        <v>176</v>
      </c>
      <c r="DD448" t="s">
        <v>177</v>
      </c>
      <c r="DG448">
        <v>5363127</v>
      </c>
      <c r="DI448">
        <v>1</v>
      </c>
      <c r="DJ448">
        <v>0</v>
      </c>
      <c r="DK448">
        <v>1</v>
      </c>
      <c r="DL448">
        <v>0</v>
      </c>
      <c r="DM448">
        <v>0</v>
      </c>
      <c r="DN448">
        <v>1</v>
      </c>
      <c r="DO448">
        <v>0</v>
      </c>
      <c r="DP448">
        <v>0</v>
      </c>
      <c r="DQ448">
        <v>0</v>
      </c>
      <c r="DR448">
        <v>0</v>
      </c>
      <c r="DS448">
        <v>0</v>
      </c>
    </row>
    <row r="449" spans="1:123" x14ac:dyDescent="0.3">
      <c r="A449" t="str">
        <f>"10/04/2022 19:26:53.196"</f>
        <v>10/04/2022 19:26:53.196</v>
      </c>
      <c r="C449" t="str">
        <f t="shared" si="141"/>
        <v>FFDFD3C0</v>
      </c>
      <c r="D449" t="s">
        <v>141</v>
      </c>
      <c r="E449">
        <v>3</v>
      </c>
      <c r="H449">
        <v>3</v>
      </c>
      <c r="I449" t="s">
        <v>146</v>
      </c>
      <c r="J449" t="s">
        <v>138</v>
      </c>
      <c r="K449">
        <v>0</v>
      </c>
      <c r="L449">
        <v>3</v>
      </c>
      <c r="M449">
        <v>0</v>
      </c>
      <c r="N449">
        <v>2</v>
      </c>
      <c r="O449">
        <v>0</v>
      </c>
      <c r="P449">
        <v>1</v>
      </c>
      <c r="Q449">
        <v>0</v>
      </c>
      <c r="S449" t="str">
        <f t="shared" si="160"/>
        <v>19:26:52.000</v>
      </c>
      <c r="T449" t="str">
        <f t="shared" si="160"/>
        <v>19:26:52.000</v>
      </c>
      <c r="U449" t="str">
        <f t="shared" si="142"/>
        <v>AC3944</v>
      </c>
      <c r="V449">
        <v>0</v>
      </c>
      <c r="W449">
        <v>0</v>
      </c>
      <c r="X449">
        <v>2</v>
      </c>
      <c r="Y449">
        <v>0</v>
      </c>
      <c r="AA449">
        <v>1</v>
      </c>
      <c r="AB449">
        <v>8</v>
      </c>
      <c r="AC449">
        <v>3</v>
      </c>
      <c r="AD449">
        <v>0</v>
      </c>
      <c r="AE449">
        <v>9</v>
      </c>
      <c r="AF449" t="s">
        <v>138</v>
      </c>
      <c r="AG449">
        <v>0</v>
      </c>
      <c r="AH449">
        <v>3</v>
      </c>
      <c r="AI449">
        <v>1</v>
      </c>
      <c r="AJ449">
        <v>0</v>
      </c>
      <c r="AK449" t="s">
        <v>280</v>
      </c>
      <c r="AL449">
        <v>32.817793000000002</v>
      </c>
      <c r="AM449" t="s">
        <v>285</v>
      </c>
      <c r="AN449">
        <v>-116.98830100000001</v>
      </c>
      <c r="AO449">
        <v>25</v>
      </c>
      <c r="AP449">
        <v>1600</v>
      </c>
      <c r="AQ449" t="s">
        <v>129</v>
      </c>
      <c r="AR449">
        <v>145</v>
      </c>
      <c r="AS449">
        <v>3</v>
      </c>
      <c r="AT449">
        <v>-1280</v>
      </c>
      <c r="BB449">
        <v>740</v>
      </c>
      <c r="BC449">
        <v>1</v>
      </c>
      <c r="BD449" t="str">
        <f t="shared" si="143"/>
        <v xml:space="preserve">N887QR  </v>
      </c>
      <c r="BE449">
        <v>1</v>
      </c>
      <c r="BG449">
        <v>0</v>
      </c>
      <c r="BH449">
        <v>0</v>
      </c>
      <c r="BI449">
        <v>0</v>
      </c>
      <c r="BJ449">
        <v>1250</v>
      </c>
      <c r="BK449">
        <v>-350</v>
      </c>
      <c r="BL449" t="s">
        <v>163</v>
      </c>
      <c r="BM449">
        <v>1</v>
      </c>
      <c r="BN449">
        <v>1</v>
      </c>
      <c r="BO449">
        <v>1</v>
      </c>
      <c r="BP449">
        <v>0</v>
      </c>
      <c r="BS449">
        <v>0</v>
      </c>
      <c r="BT449">
        <v>0</v>
      </c>
      <c r="BU449">
        <v>0</v>
      </c>
      <c r="CE449" t="str">
        <f t="shared" si="162"/>
        <v>19:26:52.993</v>
      </c>
      <c r="CF449">
        <v>993192816</v>
      </c>
      <c r="CS449">
        <v>3</v>
      </c>
      <c r="CT449">
        <v>2</v>
      </c>
      <c r="CU449">
        <v>0</v>
      </c>
      <c r="CV449">
        <v>2</v>
      </c>
      <c r="CW449">
        <v>0</v>
      </c>
      <c r="CX449">
        <v>6</v>
      </c>
      <c r="CY449">
        <v>7</v>
      </c>
      <c r="CZ449" t="s">
        <v>131</v>
      </c>
      <c r="DA449">
        <v>300</v>
      </c>
      <c r="DB449">
        <v>0</v>
      </c>
      <c r="DC449" t="s">
        <v>176</v>
      </c>
      <c r="DD449" t="s">
        <v>177</v>
      </c>
      <c r="DG449">
        <v>5363127</v>
      </c>
      <c r="DI449">
        <v>1</v>
      </c>
      <c r="DJ449">
        <v>0</v>
      </c>
      <c r="DK449">
        <v>1</v>
      </c>
      <c r="DL449">
        <v>0</v>
      </c>
      <c r="DM449">
        <v>0</v>
      </c>
      <c r="DN449">
        <v>1</v>
      </c>
      <c r="DO449">
        <v>0</v>
      </c>
      <c r="DP449">
        <v>0</v>
      </c>
      <c r="DQ449">
        <v>0</v>
      </c>
      <c r="DR449">
        <v>0</v>
      </c>
      <c r="DS449">
        <v>0</v>
      </c>
    </row>
    <row r="450" spans="1:123" x14ac:dyDescent="0.3">
      <c r="A450" t="str">
        <f>"10/04/2022 19:26:53.196"</f>
        <v>10/04/2022 19:26:53.196</v>
      </c>
      <c r="C450" t="str">
        <f t="shared" ref="C450:C513" si="163">"FFDFD3C0"</f>
        <v>FFDFD3C0</v>
      </c>
      <c r="D450" t="s">
        <v>141</v>
      </c>
      <c r="E450">
        <v>4</v>
      </c>
      <c r="H450">
        <v>4</v>
      </c>
      <c r="I450" t="s">
        <v>142</v>
      </c>
      <c r="J450" t="s">
        <v>138</v>
      </c>
      <c r="K450">
        <v>0</v>
      </c>
      <c r="L450">
        <v>3</v>
      </c>
      <c r="M450">
        <v>0</v>
      </c>
      <c r="N450">
        <v>2</v>
      </c>
      <c r="O450">
        <v>0</v>
      </c>
      <c r="P450">
        <v>1</v>
      </c>
      <c r="Q450">
        <v>0</v>
      </c>
      <c r="S450" t="str">
        <f t="shared" si="160"/>
        <v>19:26:52.000</v>
      </c>
      <c r="T450" t="str">
        <f t="shared" si="160"/>
        <v>19:26:52.000</v>
      </c>
      <c r="U450" t="str">
        <f t="shared" ref="U450:U513" si="164">"AC3944"</f>
        <v>AC3944</v>
      </c>
      <c r="V450">
        <v>0</v>
      </c>
      <c r="W450">
        <v>0</v>
      </c>
      <c r="X450">
        <v>2</v>
      </c>
      <c r="Y450">
        <v>0</v>
      </c>
      <c r="AA450">
        <v>1</v>
      </c>
      <c r="AB450">
        <v>8</v>
      </c>
      <c r="AC450">
        <v>3</v>
      </c>
      <c r="AD450">
        <v>0</v>
      </c>
      <c r="AE450">
        <v>9</v>
      </c>
      <c r="AF450" t="s">
        <v>138</v>
      </c>
      <c r="AG450">
        <v>0</v>
      </c>
      <c r="AH450">
        <v>3</v>
      </c>
      <c r="AI450">
        <v>1</v>
      </c>
      <c r="AJ450">
        <v>0</v>
      </c>
      <c r="AK450" t="s">
        <v>280</v>
      </c>
      <c r="AL450">
        <v>32.817793000000002</v>
      </c>
      <c r="AM450" t="s">
        <v>285</v>
      </c>
      <c r="AN450">
        <v>-116.98830100000001</v>
      </c>
      <c r="AO450">
        <v>25</v>
      </c>
      <c r="AP450">
        <v>1600</v>
      </c>
      <c r="AQ450" t="s">
        <v>129</v>
      </c>
      <c r="AR450">
        <v>145</v>
      </c>
      <c r="AS450">
        <v>3</v>
      </c>
      <c r="AT450">
        <v>-1280</v>
      </c>
      <c r="BB450">
        <v>740</v>
      </c>
      <c r="BC450">
        <v>1</v>
      </c>
      <c r="BD450" t="str">
        <f t="shared" ref="BD450:BD513" si="165">"N887QR  "</f>
        <v xml:space="preserve">N887QR  </v>
      </c>
      <c r="BE450">
        <v>1</v>
      </c>
      <c r="BG450">
        <v>0</v>
      </c>
      <c r="BH450">
        <v>0</v>
      </c>
      <c r="BI450">
        <v>0</v>
      </c>
      <c r="BJ450">
        <v>1250</v>
      </c>
      <c r="BK450">
        <v>-350</v>
      </c>
      <c r="BL450" t="s">
        <v>163</v>
      </c>
      <c r="BM450">
        <v>1</v>
      </c>
      <c r="BN450">
        <v>1</v>
      </c>
      <c r="BO450">
        <v>1</v>
      </c>
      <c r="BP450">
        <v>0</v>
      </c>
      <c r="BS450">
        <v>0</v>
      </c>
      <c r="BT450">
        <v>0</v>
      </c>
      <c r="BU450">
        <v>0</v>
      </c>
      <c r="CE450" t="str">
        <f t="shared" si="162"/>
        <v>19:26:52.993</v>
      </c>
      <c r="CF450">
        <v>993192816</v>
      </c>
      <c r="CS450">
        <v>3</v>
      </c>
      <c r="CT450">
        <v>2</v>
      </c>
      <c r="CU450">
        <v>0</v>
      </c>
      <c r="CV450">
        <v>2</v>
      </c>
      <c r="CW450">
        <v>0</v>
      </c>
      <c r="CX450">
        <v>6</v>
      </c>
      <c r="CY450">
        <v>7</v>
      </c>
      <c r="CZ450" t="s">
        <v>131</v>
      </c>
      <c r="DA450">
        <v>300</v>
      </c>
      <c r="DB450">
        <v>0</v>
      </c>
      <c r="DC450" t="s">
        <v>176</v>
      </c>
      <c r="DD450" t="s">
        <v>177</v>
      </c>
      <c r="DG450">
        <v>5363127</v>
      </c>
      <c r="DI450">
        <v>1</v>
      </c>
      <c r="DJ450">
        <v>0</v>
      </c>
      <c r="DK450">
        <v>1</v>
      </c>
      <c r="DL450">
        <v>0</v>
      </c>
      <c r="DM450">
        <v>0</v>
      </c>
      <c r="DN450">
        <v>1</v>
      </c>
      <c r="DO450">
        <v>0</v>
      </c>
      <c r="DP450">
        <v>0</v>
      </c>
      <c r="DQ450">
        <v>0</v>
      </c>
      <c r="DR450">
        <v>0</v>
      </c>
      <c r="DS450">
        <v>0</v>
      </c>
    </row>
    <row r="451" spans="1:123" x14ac:dyDescent="0.3">
      <c r="A451" t="str">
        <f>"10/04/2022 19:26:53.196"</f>
        <v>10/04/2022 19:26:53.196</v>
      </c>
      <c r="C451" t="str">
        <f t="shared" si="163"/>
        <v>FFDFD3C0</v>
      </c>
      <c r="D451" t="s">
        <v>123</v>
      </c>
      <c r="E451">
        <v>7</v>
      </c>
      <c r="F451">
        <v>2007</v>
      </c>
      <c r="G451" t="s">
        <v>124</v>
      </c>
      <c r="J451" t="s">
        <v>125</v>
      </c>
      <c r="K451">
        <v>0</v>
      </c>
      <c r="L451">
        <v>3</v>
      </c>
      <c r="M451">
        <v>0</v>
      </c>
      <c r="N451">
        <v>2</v>
      </c>
      <c r="O451">
        <v>0</v>
      </c>
      <c r="P451">
        <v>1</v>
      </c>
      <c r="Q451">
        <v>0</v>
      </c>
      <c r="S451" t="str">
        <f t="shared" si="160"/>
        <v>19:26:52.000</v>
      </c>
      <c r="T451" t="str">
        <f t="shared" si="160"/>
        <v>19:26:52.000</v>
      </c>
      <c r="U451" t="str">
        <f t="shared" si="164"/>
        <v>AC3944</v>
      </c>
      <c r="V451">
        <v>0</v>
      </c>
      <c r="W451">
        <v>0</v>
      </c>
      <c r="X451">
        <v>2</v>
      </c>
      <c r="Y451">
        <v>0</v>
      </c>
      <c r="AA451">
        <v>1</v>
      </c>
      <c r="AB451">
        <v>8</v>
      </c>
      <c r="AC451">
        <v>3</v>
      </c>
      <c r="AD451">
        <v>0</v>
      </c>
      <c r="AE451">
        <v>9</v>
      </c>
      <c r="AF451" t="s">
        <v>138</v>
      </c>
      <c r="AG451">
        <v>0</v>
      </c>
      <c r="AH451">
        <v>3</v>
      </c>
      <c r="AI451">
        <v>1</v>
      </c>
      <c r="AJ451">
        <v>0</v>
      </c>
      <c r="AK451" t="s">
        <v>280</v>
      </c>
      <c r="AL451">
        <v>32.817793000000002</v>
      </c>
      <c r="AM451" t="s">
        <v>285</v>
      </c>
      <c r="AN451">
        <v>-116.98830100000001</v>
      </c>
      <c r="AO451">
        <v>25</v>
      </c>
      <c r="AP451">
        <v>1600</v>
      </c>
      <c r="AQ451" t="s">
        <v>129</v>
      </c>
      <c r="AR451">
        <v>145</v>
      </c>
      <c r="AS451">
        <v>3</v>
      </c>
      <c r="AT451">
        <v>-1280</v>
      </c>
      <c r="BB451">
        <v>740</v>
      </c>
      <c r="BC451">
        <v>1</v>
      </c>
      <c r="BD451" t="str">
        <f t="shared" si="165"/>
        <v xml:space="preserve">N887QR  </v>
      </c>
      <c r="BE451">
        <v>1</v>
      </c>
      <c r="BG451">
        <v>0</v>
      </c>
      <c r="BH451">
        <v>0</v>
      </c>
      <c r="BI451">
        <v>0</v>
      </c>
      <c r="BJ451">
        <v>1250</v>
      </c>
      <c r="BK451">
        <v>-350</v>
      </c>
      <c r="BL451" t="s">
        <v>163</v>
      </c>
      <c r="BM451">
        <v>1</v>
      </c>
      <c r="BN451">
        <v>1</v>
      </c>
      <c r="BO451">
        <v>1</v>
      </c>
      <c r="BP451">
        <v>0</v>
      </c>
      <c r="BS451">
        <v>0</v>
      </c>
      <c r="BT451">
        <v>0</v>
      </c>
      <c r="BU451">
        <v>0</v>
      </c>
      <c r="CE451" t="str">
        <f t="shared" si="162"/>
        <v>19:26:52.993</v>
      </c>
      <c r="CF451">
        <v>993192816</v>
      </c>
      <c r="CS451">
        <v>3</v>
      </c>
      <c r="CT451">
        <v>2</v>
      </c>
      <c r="CU451">
        <v>0</v>
      </c>
      <c r="CV451">
        <v>2</v>
      </c>
      <c r="CW451">
        <v>0</v>
      </c>
      <c r="CX451">
        <v>6</v>
      </c>
      <c r="CY451">
        <v>7</v>
      </c>
      <c r="CZ451" t="s">
        <v>131</v>
      </c>
      <c r="DA451">
        <v>300</v>
      </c>
      <c r="DB451">
        <v>0</v>
      </c>
      <c r="DC451" t="s">
        <v>176</v>
      </c>
      <c r="DD451" t="s">
        <v>177</v>
      </c>
      <c r="DG451">
        <v>5363127</v>
      </c>
      <c r="DI451">
        <v>1</v>
      </c>
      <c r="DJ451">
        <v>0</v>
      </c>
      <c r="DK451">
        <v>1</v>
      </c>
      <c r="DL451">
        <v>0</v>
      </c>
      <c r="DM451">
        <v>0</v>
      </c>
      <c r="DN451">
        <v>1</v>
      </c>
      <c r="DO451">
        <v>0</v>
      </c>
      <c r="DP451">
        <v>0</v>
      </c>
      <c r="DQ451">
        <v>0</v>
      </c>
      <c r="DR451">
        <v>0</v>
      </c>
      <c r="DS451">
        <v>0</v>
      </c>
    </row>
    <row r="452" spans="1:123" x14ac:dyDescent="0.3">
      <c r="A452" t="str">
        <f>"10/04/2022 19:26:53.196"</f>
        <v>10/04/2022 19:26:53.196</v>
      </c>
      <c r="C452" t="str">
        <f t="shared" si="163"/>
        <v>FFDFD3C0</v>
      </c>
      <c r="D452" t="s">
        <v>136</v>
      </c>
      <c r="E452">
        <v>8</v>
      </c>
      <c r="H452">
        <v>225</v>
      </c>
      <c r="I452" t="s">
        <v>137</v>
      </c>
      <c r="J452" t="s">
        <v>138</v>
      </c>
      <c r="K452">
        <v>0</v>
      </c>
      <c r="L452">
        <v>3</v>
      </c>
      <c r="M452">
        <v>0</v>
      </c>
      <c r="N452">
        <v>2</v>
      </c>
      <c r="O452">
        <v>0</v>
      </c>
      <c r="P452">
        <v>1</v>
      </c>
      <c r="Q452">
        <v>0</v>
      </c>
      <c r="S452" t="str">
        <f t="shared" si="160"/>
        <v>19:26:52.000</v>
      </c>
      <c r="T452" t="str">
        <f t="shared" si="160"/>
        <v>19:26:52.000</v>
      </c>
      <c r="U452" t="str">
        <f t="shared" si="164"/>
        <v>AC3944</v>
      </c>
      <c r="V452">
        <v>0</v>
      </c>
      <c r="W452">
        <v>0</v>
      </c>
      <c r="X452">
        <v>2</v>
      </c>
      <c r="Y452">
        <v>0</v>
      </c>
      <c r="AA452">
        <v>1</v>
      </c>
      <c r="AB452">
        <v>8</v>
      </c>
      <c r="AC452">
        <v>3</v>
      </c>
      <c r="AD452">
        <v>0</v>
      </c>
      <c r="AE452">
        <v>9</v>
      </c>
      <c r="AF452" t="s">
        <v>138</v>
      </c>
      <c r="AG452">
        <v>0</v>
      </c>
      <c r="AH452">
        <v>3</v>
      </c>
      <c r="AI452">
        <v>1</v>
      </c>
      <c r="AJ452">
        <v>0</v>
      </c>
      <c r="AK452" t="s">
        <v>280</v>
      </c>
      <c r="AL452">
        <v>32.817793000000002</v>
      </c>
      <c r="AM452" t="s">
        <v>285</v>
      </c>
      <c r="AN452">
        <v>-116.98830100000001</v>
      </c>
      <c r="AO452">
        <v>25</v>
      </c>
      <c r="AP452">
        <v>1600</v>
      </c>
      <c r="AQ452" t="s">
        <v>129</v>
      </c>
      <c r="AR452">
        <v>145</v>
      </c>
      <c r="AS452">
        <v>3</v>
      </c>
      <c r="AT452">
        <v>-1280</v>
      </c>
      <c r="BB452">
        <v>740</v>
      </c>
      <c r="BC452">
        <v>1</v>
      </c>
      <c r="BD452" t="str">
        <f t="shared" si="165"/>
        <v xml:space="preserve">N887QR  </v>
      </c>
      <c r="BE452">
        <v>1</v>
      </c>
      <c r="BG452">
        <v>0</v>
      </c>
      <c r="BH452">
        <v>0</v>
      </c>
      <c r="BI452">
        <v>0</v>
      </c>
      <c r="BJ452">
        <v>1250</v>
      </c>
      <c r="BK452">
        <v>-350</v>
      </c>
      <c r="BL452" t="s">
        <v>163</v>
      </c>
      <c r="BM452">
        <v>1</v>
      </c>
      <c r="BN452">
        <v>1</v>
      </c>
      <c r="BO452">
        <v>1</v>
      </c>
      <c r="BP452">
        <v>0</v>
      </c>
      <c r="BS452">
        <v>0</v>
      </c>
      <c r="BT452">
        <v>0</v>
      </c>
      <c r="BU452">
        <v>0</v>
      </c>
      <c r="CE452" t="str">
        <f t="shared" si="162"/>
        <v>19:26:52.993</v>
      </c>
      <c r="CF452">
        <v>993192816</v>
      </c>
      <c r="CS452">
        <v>3</v>
      </c>
      <c r="CT452">
        <v>2</v>
      </c>
      <c r="CU452">
        <v>0</v>
      </c>
      <c r="CV452">
        <v>2</v>
      </c>
      <c r="CW452">
        <v>0</v>
      </c>
      <c r="CX452">
        <v>6</v>
      </c>
      <c r="CY452">
        <v>7</v>
      </c>
      <c r="CZ452" t="s">
        <v>131</v>
      </c>
      <c r="DA452">
        <v>300</v>
      </c>
      <c r="DB452">
        <v>0</v>
      </c>
      <c r="DC452" t="s">
        <v>176</v>
      </c>
      <c r="DD452" t="s">
        <v>177</v>
      </c>
      <c r="DG452">
        <v>5363127</v>
      </c>
      <c r="DI452">
        <v>1</v>
      </c>
      <c r="DJ452">
        <v>0</v>
      </c>
      <c r="DK452">
        <v>1</v>
      </c>
      <c r="DL452">
        <v>0</v>
      </c>
      <c r="DM452">
        <v>0</v>
      </c>
      <c r="DN452">
        <v>1</v>
      </c>
      <c r="DO452">
        <v>0</v>
      </c>
      <c r="DP452">
        <v>0</v>
      </c>
      <c r="DQ452">
        <v>0</v>
      </c>
      <c r="DR452">
        <v>0</v>
      </c>
      <c r="DS452">
        <v>0</v>
      </c>
    </row>
    <row r="453" spans="1:123" x14ac:dyDescent="0.3">
      <c r="A453" t="str">
        <f>"10/04/2022 19:26:53.212"</f>
        <v>10/04/2022 19:26:53.212</v>
      </c>
      <c r="C453" t="str">
        <f t="shared" si="163"/>
        <v>FFDFD3C0</v>
      </c>
      <c r="D453" t="s">
        <v>147</v>
      </c>
      <c r="E453">
        <v>3</v>
      </c>
      <c r="H453">
        <v>166</v>
      </c>
      <c r="I453" t="s">
        <v>144</v>
      </c>
      <c r="J453" t="s">
        <v>148</v>
      </c>
      <c r="K453">
        <v>0</v>
      </c>
      <c r="L453">
        <v>3</v>
      </c>
      <c r="M453">
        <v>0</v>
      </c>
      <c r="N453">
        <v>2</v>
      </c>
      <c r="O453">
        <v>0</v>
      </c>
      <c r="P453">
        <v>1</v>
      </c>
      <c r="Q453">
        <v>0</v>
      </c>
      <c r="S453" t="str">
        <f t="shared" si="160"/>
        <v>19:26:52.000</v>
      </c>
      <c r="T453" t="str">
        <f t="shared" si="160"/>
        <v>19:26:52.000</v>
      </c>
      <c r="U453" t="str">
        <f t="shared" si="164"/>
        <v>AC3944</v>
      </c>
      <c r="V453">
        <v>0</v>
      </c>
      <c r="W453">
        <v>0</v>
      </c>
      <c r="X453">
        <v>2</v>
      </c>
      <c r="Y453">
        <v>0</v>
      </c>
      <c r="AA453">
        <v>1</v>
      </c>
      <c r="AB453">
        <v>8</v>
      </c>
      <c r="AC453">
        <v>3</v>
      </c>
      <c r="AD453">
        <v>0</v>
      </c>
      <c r="AE453">
        <v>9</v>
      </c>
      <c r="AF453" t="s">
        <v>138</v>
      </c>
      <c r="AG453">
        <v>0</v>
      </c>
      <c r="AH453">
        <v>3</v>
      </c>
      <c r="AI453">
        <v>1</v>
      </c>
      <c r="AJ453">
        <v>0</v>
      </c>
      <c r="AK453" t="s">
        <v>280</v>
      </c>
      <c r="AL453">
        <v>32.817793000000002</v>
      </c>
      <c r="AM453" t="s">
        <v>285</v>
      </c>
      <c r="AN453">
        <v>-116.98830100000001</v>
      </c>
      <c r="AO453">
        <v>25</v>
      </c>
      <c r="AP453">
        <v>1600</v>
      </c>
      <c r="AQ453" t="s">
        <v>129</v>
      </c>
      <c r="AR453">
        <v>145</v>
      </c>
      <c r="AS453">
        <v>3</v>
      </c>
      <c r="AT453">
        <v>-1280</v>
      </c>
      <c r="BB453">
        <v>740</v>
      </c>
      <c r="BC453">
        <v>1</v>
      </c>
      <c r="BD453" t="str">
        <f t="shared" si="165"/>
        <v xml:space="preserve">N887QR  </v>
      </c>
      <c r="BE453">
        <v>1</v>
      </c>
      <c r="BG453">
        <v>0</v>
      </c>
      <c r="BH453">
        <v>0</v>
      </c>
      <c r="BI453">
        <v>0</v>
      </c>
      <c r="BJ453">
        <v>1250</v>
      </c>
      <c r="BK453">
        <v>-350</v>
      </c>
      <c r="BL453" t="s">
        <v>163</v>
      </c>
      <c r="BM453">
        <v>1</v>
      </c>
      <c r="BN453">
        <v>1</v>
      </c>
      <c r="BO453">
        <v>1</v>
      </c>
      <c r="BP453">
        <v>0</v>
      </c>
      <c r="BS453">
        <v>0</v>
      </c>
      <c r="BT453">
        <v>0</v>
      </c>
      <c r="BU453">
        <v>0</v>
      </c>
      <c r="CE453" t="str">
        <f t="shared" si="162"/>
        <v>19:26:52.993</v>
      </c>
      <c r="CF453">
        <v>993192816</v>
      </c>
      <c r="CS453">
        <v>3</v>
      </c>
      <c r="CT453">
        <v>2</v>
      </c>
      <c r="CU453">
        <v>0</v>
      </c>
      <c r="CV453">
        <v>2</v>
      </c>
      <c r="CW453">
        <v>0</v>
      </c>
      <c r="CX453">
        <v>6</v>
      </c>
      <c r="CY453">
        <v>7</v>
      </c>
      <c r="CZ453" t="s">
        <v>131</v>
      </c>
      <c r="DA453">
        <v>300</v>
      </c>
      <c r="DB453">
        <v>0</v>
      </c>
      <c r="DC453" t="s">
        <v>176</v>
      </c>
      <c r="DD453" t="s">
        <v>177</v>
      </c>
      <c r="DG453">
        <v>5363127</v>
      </c>
      <c r="DI453">
        <v>1</v>
      </c>
      <c r="DJ453">
        <v>0</v>
      </c>
      <c r="DK453">
        <v>1</v>
      </c>
      <c r="DL453">
        <v>0</v>
      </c>
      <c r="DM453">
        <v>0</v>
      </c>
      <c r="DN453">
        <v>1</v>
      </c>
      <c r="DO453">
        <v>0</v>
      </c>
      <c r="DP453">
        <v>0</v>
      </c>
      <c r="DQ453">
        <v>0</v>
      </c>
      <c r="DR453">
        <v>0</v>
      </c>
      <c r="DS453">
        <v>0</v>
      </c>
    </row>
    <row r="454" spans="1:123" x14ac:dyDescent="0.3">
      <c r="A454" t="str">
        <f>"10/04/2022 19:26:54.635"</f>
        <v>10/04/2022 19:26:54.635</v>
      </c>
      <c r="C454" t="str">
        <f t="shared" si="163"/>
        <v>FFDFD3C0</v>
      </c>
      <c r="D454" t="s">
        <v>143</v>
      </c>
      <c r="E454">
        <v>20</v>
      </c>
      <c r="F454">
        <v>1020</v>
      </c>
      <c r="G454" t="s">
        <v>144</v>
      </c>
      <c r="J454" t="s">
        <v>145</v>
      </c>
      <c r="K454">
        <v>0</v>
      </c>
      <c r="L454">
        <v>3</v>
      </c>
      <c r="M454">
        <v>0</v>
      </c>
      <c r="N454">
        <v>2</v>
      </c>
      <c r="O454">
        <v>0</v>
      </c>
      <c r="P454">
        <v>1</v>
      </c>
      <c r="Q454">
        <v>0</v>
      </c>
      <c r="S454" t="str">
        <f t="shared" ref="S454:T460" si="166">"19:26:54.000"</f>
        <v>19:26:54.000</v>
      </c>
      <c r="T454" t="str">
        <f t="shared" si="166"/>
        <v>19:26:54.000</v>
      </c>
      <c r="U454" t="str">
        <f t="shared" si="164"/>
        <v>AC3944</v>
      </c>
      <c r="V454">
        <v>0</v>
      </c>
      <c r="W454">
        <v>0</v>
      </c>
      <c r="X454">
        <v>2</v>
      </c>
      <c r="Y454">
        <v>0</v>
      </c>
      <c r="AA454">
        <v>1</v>
      </c>
      <c r="AB454">
        <v>8</v>
      </c>
      <c r="AC454">
        <v>3</v>
      </c>
      <c r="AD454">
        <v>0</v>
      </c>
      <c r="AE454">
        <v>9</v>
      </c>
      <c r="AF454" t="s">
        <v>138</v>
      </c>
      <c r="AG454">
        <v>0</v>
      </c>
      <c r="AH454">
        <v>3</v>
      </c>
      <c r="AI454">
        <v>1</v>
      </c>
      <c r="AJ454">
        <v>0</v>
      </c>
      <c r="AK454" t="s">
        <v>286</v>
      </c>
      <c r="AL454">
        <v>32.817813999999998</v>
      </c>
      <c r="AM454" t="s">
        <v>287</v>
      </c>
      <c r="AN454">
        <v>-116.987486</v>
      </c>
      <c r="AO454">
        <v>25</v>
      </c>
      <c r="AP454">
        <v>1600</v>
      </c>
      <c r="AQ454" t="s">
        <v>129</v>
      </c>
      <c r="AR454">
        <v>146</v>
      </c>
      <c r="AS454">
        <v>3</v>
      </c>
      <c r="AT454">
        <v>-1216</v>
      </c>
      <c r="BB454">
        <v>740</v>
      </c>
      <c r="BC454">
        <v>1</v>
      </c>
      <c r="BD454" t="str">
        <f t="shared" si="165"/>
        <v xml:space="preserve">N887QR  </v>
      </c>
      <c r="BE454">
        <v>1</v>
      </c>
      <c r="BG454">
        <v>0</v>
      </c>
      <c r="BH454">
        <v>0</v>
      </c>
      <c r="BI454">
        <v>0</v>
      </c>
      <c r="BJ454">
        <v>1225</v>
      </c>
      <c r="BK454">
        <v>-375</v>
      </c>
      <c r="BL454" t="s">
        <v>163</v>
      </c>
      <c r="BM454">
        <v>1</v>
      </c>
      <c r="BN454">
        <v>1</v>
      </c>
      <c r="BO454">
        <v>1</v>
      </c>
      <c r="BP454">
        <v>0</v>
      </c>
      <c r="BS454">
        <v>0</v>
      </c>
      <c r="BT454">
        <v>0</v>
      </c>
      <c r="BU454">
        <v>0</v>
      </c>
      <c r="CE454" t="str">
        <f t="shared" ref="CE454:CE460" si="167">"19:26:54.358"</f>
        <v>19:26:54.358</v>
      </c>
      <c r="CF454">
        <v>358196953</v>
      </c>
      <c r="CS454">
        <v>3</v>
      </c>
      <c r="CT454">
        <v>2</v>
      </c>
      <c r="CU454">
        <v>0</v>
      </c>
      <c r="CV454">
        <v>2</v>
      </c>
      <c r="CW454">
        <v>0</v>
      </c>
      <c r="CX454">
        <v>6</v>
      </c>
      <c r="CY454">
        <v>7</v>
      </c>
      <c r="CZ454" t="s">
        <v>131</v>
      </c>
      <c r="DA454">
        <v>300</v>
      </c>
      <c r="DB454">
        <v>0</v>
      </c>
      <c r="DC454" t="s">
        <v>176</v>
      </c>
      <c r="DD454" t="s">
        <v>177</v>
      </c>
      <c r="DG454">
        <v>5363325</v>
      </c>
      <c r="DI454">
        <v>1</v>
      </c>
      <c r="DJ454">
        <v>0</v>
      </c>
      <c r="DK454">
        <v>0</v>
      </c>
      <c r="DL454">
        <v>0</v>
      </c>
      <c r="DM454">
        <v>0</v>
      </c>
      <c r="DN454">
        <v>1</v>
      </c>
      <c r="DO454">
        <v>0</v>
      </c>
      <c r="DP454">
        <v>0</v>
      </c>
      <c r="DQ454">
        <v>0</v>
      </c>
      <c r="DR454">
        <v>0</v>
      </c>
      <c r="DS454">
        <v>0</v>
      </c>
    </row>
    <row r="455" spans="1:123" x14ac:dyDescent="0.3">
      <c r="A455" t="str">
        <f>"10/04/2022 19:26:54.635"</f>
        <v>10/04/2022 19:26:54.635</v>
      </c>
      <c r="C455" t="str">
        <f t="shared" si="163"/>
        <v>FFDFD3C0</v>
      </c>
      <c r="D455" t="s">
        <v>134</v>
      </c>
      <c r="E455">
        <v>15</v>
      </c>
      <c r="J455" t="s">
        <v>135</v>
      </c>
      <c r="K455">
        <v>0</v>
      </c>
      <c r="L455">
        <v>3</v>
      </c>
      <c r="M455">
        <v>0</v>
      </c>
      <c r="N455">
        <v>2</v>
      </c>
      <c r="O455">
        <v>0</v>
      </c>
      <c r="P455">
        <v>1</v>
      </c>
      <c r="Q455">
        <v>0</v>
      </c>
      <c r="S455" t="str">
        <f t="shared" si="166"/>
        <v>19:26:54.000</v>
      </c>
      <c r="T455" t="str">
        <f t="shared" si="166"/>
        <v>19:26:54.000</v>
      </c>
      <c r="U455" t="str">
        <f t="shared" si="164"/>
        <v>AC3944</v>
      </c>
      <c r="V455">
        <v>0</v>
      </c>
      <c r="W455">
        <v>0</v>
      </c>
      <c r="X455">
        <v>2</v>
      </c>
      <c r="Y455">
        <v>0</v>
      </c>
      <c r="AA455">
        <v>1</v>
      </c>
      <c r="AB455">
        <v>8</v>
      </c>
      <c r="AC455">
        <v>3</v>
      </c>
      <c r="AD455">
        <v>0</v>
      </c>
      <c r="AE455">
        <v>9</v>
      </c>
      <c r="AF455" t="s">
        <v>138</v>
      </c>
      <c r="AG455">
        <v>0</v>
      </c>
      <c r="AH455">
        <v>3</v>
      </c>
      <c r="AI455">
        <v>1</v>
      </c>
      <c r="AJ455">
        <v>0</v>
      </c>
      <c r="AK455" t="s">
        <v>286</v>
      </c>
      <c r="AL455">
        <v>32.817813999999998</v>
      </c>
      <c r="AM455" t="s">
        <v>287</v>
      </c>
      <c r="AN455">
        <v>-116.987486</v>
      </c>
      <c r="AO455">
        <v>25</v>
      </c>
      <c r="AP455">
        <v>1600</v>
      </c>
      <c r="AQ455" t="s">
        <v>129</v>
      </c>
      <c r="AR455">
        <v>146</v>
      </c>
      <c r="AS455">
        <v>3</v>
      </c>
      <c r="AT455">
        <v>-1216</v>
      </c>
      <c r="BB455">
        <v>740</v>
      </c>
      <c r="BC455">
        <v>1</v>
      </c>
      <c r="BD455" t="str">
        <f t="shared" si="165"/>
        <v xml:space="preserve">N887QR  </v>
      </c>
      <c r="BE455">
        <v>1</v>
      </c>
      <c r="BG455">
        <v>0</v>
      </c>
      <c r="BH455">
        <v>0</v>
      </c>
      <c r="BI455">
        <v>0</v>
      </c>
      <c r="BJ455">
        <v>1225</v>
      </c>
      <c r="BK455">
        <v>-375</v>
      </c>
      <c r="BL455" t="s">
        <v>163</v>
      </c>
      <c r="BM455">
        <v>1</v>
      </c>
      <c r="BN455">
        <v>1</v>
      </c>
      <c r="BO455">
        <v>1</v>
      </c>
      <c r="BP455">
        <v>0</v>
      </c>
      <c r="BS455">
        <v>0</v>
      </c>
      <c r="BT455">
        <v>0</v>
      </c>
      <c r="BU455">
        <v>0</v>
      </c>
      <c r="CE455" t="str">
        <f t="shared" si="167"/>
        <v>19:26:54.358</v>
      </c>
      <c r="CF455">
        <v>358196953</v>
      </c>
      <c r="CS455">
        <v>3</v>
      </c>
      <c r="CT455">
        <v>2</v>
      </c>
      <c r="CU455">
        <v>0</v>
      </c>
      <c r="CV455">
        <v>2</v>
      </c>
      <c r="CW455">
        <v>0</v>
      </c>
      <c r="CX455">
        <v>6</v>
      </c>
      <c r="CY455">
        <v>7</v>
      </c>
      <c r="CZ455" t="s">
        <v>131</v>
      </c>
      <c r="DA455">
        <v>300</v>
      </c>
      <c r="DB455">
        <v>0</v>
      </c>
      <c r="DC455" t="s">
        <v>176</v>
      </c>
      <c r="DD455" t="s">
        <v>177</v>
      </c>
      <c r="DG455">
        <v>5363325</v>
      </c>
      <c r="DI455">
        <v>1</v>
      </c>
      <c r="DJ455">
        <v>0</v>
      </c>
      <c r="DK455">
        <v>1</v>
      </c>
      <c r="DL455">
        <v>0</v>
      </c>
      <c r="DM455">
        <v>0</v>
      </c>
      <c r="DN455">
        <v>1</v>
      </c>
      <c r="DO455">
        <v>0</v>
      </c>
      <c r="DP455">
        <v>0</v>
      </c>
      <c r="DQ455">
        <v>0</v>
      </c>
      <c r="DR455">
        <v>0</v>
      </c>
      <c r="DS455">
        <v>0</v>
      </c>
    </row>
    <row r="456" spans="1:123" x14ac:dyDescent="0.3">
      <c r="A456" t="str">
        <f>"10/04/2022 19:26:54.635"</f>
        <v>10/04/2022 19:26:54.635</v>
      </c>
      <c r="C456" t="str">
        <f t="shared" si="163"/>
        <v>FFDFD3C0</v>
      </c>
      <c r="D456" t="s">
        <v>123</v>
      </c>
      <c r="E456">
        <v>7</v>
      </c>
      <c r="F456">
        <v>2007</v>
      </c>
      <c r="G456" t="s">
        <v>124</v>
      </c>
      <c r="J456" t="s">
        <v>125</v>
      </c>
      <c r="K456">
        <v>0</v>
      </c>
      <c r="L456">
        <v>3</v>
      </c>
      <c r="M456">
        <v>0</v>
      </c>
      <c r="N456">
        <v>2</v>
      </c>
      <c r="O456">
        <v>0</v>
      </c>
      <c r="P456">
        <v>1</v>
      </c>
      <c r="Q456">
        <v>0</v>
      </c>
      <c r="S456" t="str">
        <f t="shared" si="166"/>
        <v>19:26:54.000</v>
      </c>
      <c r="T456" t="str">
        <f t="shared" si="166"/>
        <v>19:26:54.000</v>
      </c>
      <c r="U456" t="str">
        <f t="shared" si="164"/>
        <v>AC3944</v>
      </c>
      <c r="V456">
        <v>0</v>
      </c>
      <c r="W456">
        <v>0</v>
      </c>
      <c r="X456">
        <v>2</v>
      </c>
      <c r="Y456">
        <v>0</v>
      </c>
      <c r="AA456">
        <v>1</v>
      </c>
      <c r="AB456">
        <v>8</v>
      </c>
      <c r="AC456">
        <v>3</v>
      </c>
      <c r="AD456">
        <v>0</v>
      </c>
      <c r="AE456">
        <v>9</v>
      </c>
      <c r="AF456" t="s">
        <v>138</v>
      </c>
      <c r="AG456">
        <v>0</v>
      </c>
      <c r="AH456">
        <v>3</v>
      </c>
      <c r="AI456">
        <v>1</v>
      </c>
      <c r="AJ456">
        <v>0</v>
      </c>
      <c r="AK456" t="s">
        <v>286</v>
      </c>
      <c r="AL456">
        <v>32.817813999999998</v>
      </c>
      <c r="AM456" t="s">
        <v>287</v>
      </c>
      <c r="AN456">
        <v>-116.987486</v>
      </c>
      <c r="AO456">
        <v>25</v>
      </c>
      <c r="AP456">
        <v>1600</v>
      </c>
      <c r="AQ456" t="s">
        <v>129</v>
      </c>
      <c r="AR456">
        <v>146</v>
      </c>
      <c r="AS456">
        <v>3</v>
      </c>
      <c r="AT456">
        <v>-1216</v>
      </c>
      <c r="BB456">
        <v>740</v>
      </c>
      <c r="BC456">
        <v>1</v>
      </c>
      <c r="BD456" t="str">
        <f t="shared" si="165"/>
        <v xml:space="preserve">N887QR  </v>
      </c>
      <c r="BE456">
        <v>1</v>
      </c>
      <c r="BG456">
        <v>0</v>
      </c>
      <c r="BH456">
        <v>0</v>
      </c>
      <c r="BI456">
        <v>0</v>
      </c>
      <c r="BJ456">
        <v>1225</v>
      </c>
      <c r="BK456">
        <v>-375</v>
      </c>
      <c r="BL456" t="s">
        <v>163</v>
      </c>
      <c r="BM456">
        <v>1</v>
      </c>
      <c r="BN456">
        <v>1</v>
      </c>
      <c r="BO456">
        <v>1</v>
      </c>
      <c r="BP456">
        <v>0</v>
      </c>
      <c r="BS456">
        <v>0</v>
      </c>
      <c r="BT456">
        <v>0</v>
      </c>
      <c r="BU456">
        <v>0</v>
      </c>
      <c r="CE456" t="str">
        <f t="shared" si="167"/>
        <v>19:26:54.358</v>
      </c>
      <c r="CF456">
        <v>358196953</v>
      </c>
      <c r="CS456">
        <v>3</v>
      </c>
      <c r="CT456">
        <v>2</v>
      </c>
      <c r="CU456">
        <v>0</v>
      </c>
      <c r="CV456">
        <v>2</v>
      </c>
      <c r="CW456">
        <v>0</v>
      </c>
      <c r="CX456">
        <v>6</v>
      </c>
      <c r="CY456">
        <v>7</v>
      </c>
      <c r="CZ456" t="s">
        <v>131</v>
      </c>
      <c r="DA456">
        <v>300</v>
      </c>
      <c r="DB456">
        <v>0</v>
      </c>
      <c r="DC456" t="s">
        <v>176</v>
      </c>
      <c r="DD456" t="s">
        <v>177</v>
      </c>
      <c r="DG456">
        <v>5363325</v>
      </c>
      <c r="DI456">
        <v>1</v>
      </c>
      <c r="DJ456">
        <v>0</v>
      </c>
      <c r="DK456">
        <v>1</v>
      </c>
      <c r="DL456">
        <v>0</v>
      </c>
      <c r="DM456">
        <v>0</v>
      </c>
      <c r="DN456">
        <v>1</v>
      </c>
      <c r="DO456">
        <v>0</v>
      </c>
      <c r="DP456">
        <v>0</v>
      </c>
      <c r="DQ456">
        <v>0</v>
      </c>
      <c r="DR456">
        <v>0</v>
      </c>
      <c r="DS456">
        <v>0</v>
      </c>
    </row>
    <row r="457" spans="1:123" x14ac:dyDescent="0.3">
      <c r="A457" t="str">
        <f>"10/04/2022 19:26:54.635"</f>
        <v>10/04/2022 19:26:54.635</v>
      </c>
      <c r="C457" t="str">
        <f t="shared" si="163"/>
        <v>FFDFD3C0</v>
      </c>
      <c r="D457" t="s">
        <v>141</v>
      </c>
      <c r="E457">
        <v>4</v>
      </c>
      <c r="H457">
        <v>4</v>
      </c>
      <c r="I457" t="s">
        <v>142</v>
      </c>
      <c r="J457" t="s">
        <v>138</v>
      </c>
      <c r="K457">
        <v>0</v>
      </c>
      <c r="L457">
        <v>3</v>
      </c>
      <c r="M457">
        <v>0</v>
      </c>
      <c r="N457">
        <v>2</v>
      </c>
      <c r="O457">
        <v>0</v>
      </c>
      <c r="P457">
        <v>1</v>
      </c>
      <c r="Q457">
        <v>0</v>
      </c>
      <c r="S457" t="str">
        <f t="shared" si="166"/>
        <v>19:26:54.000</v>
      </c>
      <c r="T457" t="str">
        <f t="shared" si="166"/>
        <v>19:26:54.000</v>
      </c>
      <c r="U457" t="str">
        <f t="shared" si="164"/>
        <v>AC3944</v>
      </c>
      <c r="V457">
        <v>0</v>
      </c>
      <c r="W457">
        <v>0</v>
      </c>
      <c r="X457">
        <v>2</v>
      </c>
      <c r="Y457">
        <v>0</v>
      </c>
      <c r="AA457">
        <v>1</v>
      </c>
      <c r="AB457">
        <v>8</v>
      </c>
      <c r="AC457">
        <v>3</v>
      </c>
      <c r="AD457">
        <v>0</v>
      </c>
      <c r="AE457">
        <v>9</v>
      </c>
      <c r="AF457" t="s">
        <v>138</v>
      </c>
      <c r="AG457">
        <v>0</v>
      </c>
      <c r="AH457">
        <v>3</v>
      </c>
      <c r="AI457">
        <v>1</v>
      </c>
      <c r="AJ457">
        <v>0</v>
      </c>
      <c r="AK457" t="s">
        <v>286</v>
      </c>
      <c r="AL457">
        <v>32.817813999999998</v>
      </c>
      <c r="AM457" t="s">
        <v>287</v>
      </c>
      <c r="AN457">
        <v>-116.987486</v>
      </c>
      <c r="AO457">
        <v>25</v>
      </c>
      <c r="AP457">
        <v>1600</v>
      </c>
      <c r="AQ457" t="s">
        <v>129</v>
      </c>
      <c r="AR457">
        <v>146</v>
      </c>
      <c r="AS457">
        <v>3</v>
      </c>
      <c r="AT457">
        <v>-1216</v>
      </c>
      <c r="BB457">
        <v>740</v>
      </c>
      <c r="BC457">
        <v>1</v>
      </c>
      <c r="BD457" t="str">
        <f t="shared" si="165"/>
        <v xml:space="preserve">N887QR  </v>
      </c>
      <c r="BE457">
        <v>1</v>
      </c>
      <c r="BG457">
        <v>0</v>
      </c>
      <c r="BH457">
        <v>0</v>
      </c>
      <c r="BI457">
        <v>0</v>
      </c>
      <c r="BJ457">
        <v>1225</v>
      </c>
      <c r="BK457">
        <v>-375</v>
      </c>
      <c r="BL457" t="s">
        <v>163</v>
      </c>
      <c r="BM457">
        <v>1</v>
      </c>
      <c r="BN457">
        <v>1</v>
      </c>
      <c r="BO457">
        <v>1</v>
      </c>
      <c r="BP457">
        <v>0</v>
      </c>
      <c r="BS457">
        <v>0</v>
      </c>
      <c r="BT457">
        <v>0</v>
      </c>
      <c r="BU457">
        <v>0</v>
      </c>
      <c r="CE457" t="str">
        <f t="shared" si="167"/>
        <v>19:26:54.358</v>
      </c>
      <c r="CF457">
        <v>358196953</v>
      </c>
      <c r="CS457">
        <v>3</v>
      </c>
      <c r="CT457">
        <v>2</v>
      </c>
      <c r="CU457">
        <v>0</v>
      </c>
      <c r="CV457">
        <v>2</v>
      </c>
      <c r="CW457">
        <v>0</v>
      </c>
      <c r="CX457">
        <v>6</v>
      </c>
      <c r="CY457">
        <v>7</v>
      </c>
      <c r="CZ457" t="s">
        <v>131</v>
      </c>
      <c r="DA457">
        <v>300</v>
      </c>
      <c r="DB457">
        <v>0</v>
      </c>
      <c r="DC457" t="s">
        <v>176</v>
      </c>
      <c r="DD457" t="s">
        <v>177</v>
      </c>
      <c r="DG457">
        <v>5363325</v>
      </c>
      <c r="DI457">
        <v>1</v>
      </c>
      <c r="DJ457">
        <v>0</v>
      </c>
      <c r="DK457">
        <v>1</v>
      </c>
      <c r="DL457">
        <v>0</v>
      </c>
      <c r="DM457">
        <v>0</v>
      </c>
      <c r="DN457">
        <v>1</v>
      </c>
      <c r="DO457">
        <v>0</v>
      </c>
      <c r="DP457">
        <v>0</v>
      </c>
      <c r="DQ457">
        <v>0</v>
      </c>
      <c r="DR457">
        <v>0</v>
      </c>
      <c r="DS457">
        <v>0</v>
      </c>
    </row>
    <row r="458" spans="1:123" x14ac:dyDescent="0.3">
      <c r="A458" t="str">
        <f>"10/04/2022 19:26:54.681"</f>
        <v>10/04/2022 19:26:54.681</v>
      </c>
      <c r="C458" t="str">
        <f t="shared" si="163"/>
        <v>FFDFD3C0</v>
      </c>
      <c r="D458" t="s">
        <v>141</v>
      </c>
      <c r="E458">
        <v>3</v>
      </c>
      <c r="H458">
        <v>3</v>
      </c>
      <c r="I458" t="s">
        <v>146</v>
      </c>
      <c r="J458" t="s">
        <v>138</v>
      </c>
      <c r="K458">
        <v>0</v>
      </c>
      <c r="L458">
        <v>3</v>
      </c>
      <c r="M458">
        <v>0</v>
      </c>
      <c r="N458">
        <v>2</v>
      </c>
      <c r="O458">
        <v>0</v>
      </c>
      <c r="P458">
        <v>1</v>
      </c>
      <c r="Q458">
        <v>0</v>
      </c>
      <c r="S458" t="str">
        <f t="shared" si="166"/>
        <v>19:26:54.000</v>
      </c>
      <c r="T458" t="str">
        <f t="shared" si="166"/>
        <v>19:26:54.000</v>
      </c>
      <c r="U458" t="str">
        <f t="shared" si="164"/>
        <v>AC3944</v>
      </c>
      <c r="V458">
        <v>0</v>
      </c>
      <c r="W458">
        <v>0</v>
      </c>
      <c r="X458">
        <v>2</v>
      </c>
      <c r="Y458">
        <v>0</v>
      </c>
      <c r="AA458">
        <v>1</v>
      </c>
      <c r="AB458">
        <v>8</v>
      </c>
      <c r="AC458">
        <v>3</v>
      </c>
      <c r="AD458">
        <v>0</v>
      </c>
      <c r="AE458">
        <v>9</v>
      </c>
      <c r="AF458" t="s">
        <v>138</v>
      </c>
      <c r="AG458">
        <v>0</v>
      </c>
      <c r="AH458">
        <v>3</v>
      </c>
      <c r="AI458">
        <v>1</v>
      </c>
      <c r="AJ458">
        <v>0</v>
      </c>
      <c r="AK458" t="s">
        <v>286</v>
      </c>
      <c r="AL458">
        <v>32.817813999999998</v>
      </c>
      <c r="AM458" t="s">
        <v>287</v>
      </c>
      <c r="AN458">
        <v>-116.987486</v>
      </c>
      <c r="AO458">
        <v>25</v>
      </c>
      <c r="AP458">
        <v>1600</v>
      </c>
      <c r="AQ458" t="s">
        <v>129</v>
      </c>
      <c r="AR458">
        <v>146</v>
      </c>
      <c r="AS458">
        <v>3</v>
      </c>
      <c r="AT458">
        <v>-1216</v>
      </c>
      <c r="BB458">
        <v>740</v>
      </c>
      <c r="BC458">
        <v>1</v>
      </c>
      <c r="BD458" t="str">
        <f t="shared" si="165"/>
        <v xml:space="preserve">N887QR  </v>
      </c>
      <c r="BE458">
        <v>1</v>
      </c>
      <c r="BG458">
        <v>0</v>
      </c>
      <c r="BH458">
        <v>0</v>
      </c>
      <c r="BI458">
        <v>0</v>
      </c>
      <c r="BJ458">
        <v>1225</v>
      </c>
      <c r="BK458">
        <v>-375</v>
      </c>
      <c r="BL458" t="s">
        <v>163</v>
      </c>
      <c r="BM458">
        <v>1</v>
      </c>
      <c r="BN458">
        <v>1</v>
      </c>
      <c r="BO458">
        <v>1</v>
      </c>
      <c r="BP458">
        <v>0</v>
      </c>
      <c r="BS458">
        <v>0</v>
      </c>
      <c r="BT458">
        <v>0</v>
      </c>
      <c r="BU458">
        <v>0</v>
      </c>
      <c r="CE458" t="str">
        <f t="shared" si="167"/>
        <v>19:26:54.358</v>
      </c>
      <c r="CF458">
        <v>358196953</v>
      </c>
      <c r="CS458">
        <v>3</v>
      </c>
      <c r="CT458">
        <v>2</v>
      </c>
      <c r="CU458">
        <v>0</v>
      </c>
      <c r="CV458">
        <v>2</v>
      </c>
      <c r="CW458">
        <v>0</v>
      </c>
      <c r="CX458">
        <v>6</v>
      </c>
      <c r="CY458">
        <v>7</v>
      </c>
      <c r="CZ458" t="s">
        <v>131</v>
      </c>
      <c r="DA458">
        <v>300</v>
      </c>
      <c r="DB458">
        <v>0</v>
      </c>
      <c r="DC458" t="s">
        <v>176</v>
      </c>
      <c r="DD458" t="s">
        <v>177</v>
      </c>
      <c r="DG458">
        <v>5363325</v>
      </c>
      <c r="DI458">
        <v>1</v>
      </c>
      <c r="DJ458">
        <v>0</v>
      </c>
      <c r="DK458">
        <v>1</v>
      </c>
      <c r="DL458">
        <v>0</v>
      </c>
      <c r="DM458">
        <v>0</v>
      </c>
      <c r="DN458">
        <v>1</v>
      </c>
      <c r="DO458">
        <v>0</v>
      </c>
      <c r="DP458">
        <v>0</v>
      </c>
      <c r="DQ458">
        <v>0</v>
      </c>
      <c r="DR458">
        <v>0</v>
      </c>
      <c r="DS458">
        <v>0</v>
      </c>
    </row>
    <row r="459" spans="1:123" x14ac:dyDescent="0.3">
      <c r="A459" t="str">
        <f>"10/04/2022 19:26:54.681"</f>
        <v>10/04/2022 19:26:54.681</v>
      </c>
      <c r="C459" t="str">
        <f t="shared" si="163"/>
        <v>FFDFD3C0</v>
      </c>
      <c r="D459" t="s">
        <v>136</v>
      </c>
      <c r="E459">
        <v>8</v>
      </c>
      <c r="H459">
        <v>225</v>
      </c>
      <c r="I459" t="s">
        <v>137</v>
      </c>
      <c r="J459" t="s">
        <v>138</v>
      </c>
      <c r="K459">
        <v>0</v>
      </c>
      <c r="L459">
        <v>3</v>
      </c>
      <c r="M459">
        <v>0</v>
      </c>
      <c r="N459">
        <v>2</v>
      </c>
      <c r="O459">
        <v>0</v>
      </c>
      <c r="P459">
        <v>1</v>
      </c>
      <c r="Q459">
        <v>0</v>
      </c>
      <c r="S459" t="str">
        <f t="shared" si="166"/>
        <v>19:26:54.000</v>
      </c>
      <c r="T459" t="str">
        <f t="shared" si="166"/>
        <v>19:26:54.000</v>
      </c>
      <c r="U459" t="str">
        <f t="shared" si="164"/>
        <v>AC3944</v>
      </c>
      <c r="V459">
        <v>0</v>
      </c>
      <c r="W459">
        <v>0</v>
      </c>
      <c r="X459">
        <v>2</v>
      </c>
      <c r="Y459">
        <v>0</v>
      </c>
      <c r="AA459">
        <v>1</v>
      </c>
      <c r="AB459">
        <v>8</v>
      </c>
      <c r="AC459">
        <v>3</v>
      </c>
      <c r="AD459">
        <v>0</v>
      </c>
      <c r="AE459">
        <v>9</v>
      </c>
      <c r="AF459" t="s">
        <v>138</v>
      </c>
      <c r="AG459">
        <v>0</v>
      </c>
      <c r="AH459">
        <v>3</v>
      </c>
      <c r="AI459">
        <v>1</v>
      </c>
      <c r="AJ459">
        <v>0</v>
      </c>
      <c r="AK459" t="s">
        <v>286</v>
      </c>
      <c r="AL459">
        <v>32.817813999999998</v>
      </c>
      <c r="AM459" t="s">
        <v>287</v>
      </c>
      <c r="AN459">
        <v>-116.987486</v>
      </c>
      <c r="AO459">
        <v>25</v>
      </c>
      <c r="AP459">
        <v>1600</v>
      </c>
      <c r="AQ459" t="s">
        <v>129</v>
      </c>
      <c r="AR459">
        <v>146</v>
      </c>
      <c r="AS459">
        <v>3</v>
      </c>
      <c r="AT459">
        <v>-1216</v>
      </c>
      <c r="BB459">
        <v>740</v>
      </c>
      <c r="BC459">
        <v>1</v>
      </c>
      <c r="BD459" t="str">
        <f t="shared" si="165"/>
        <v xml:space="preserve">N887QR  </v>
      </c>
      <c r="BE459">
        <v>1</v>
      </c>
      <c r="BG459">
        <v>0</v>
      </c>
      <c r="BH459">
        <v>0</v>
      </c>
      <c r="BI459">
        <v>0</v>
      </c>
      <c r="BJ459">
        <v>1225</v>
      </c>
      <c r="BK459">
        <v>-375</v>
      </c>
      <c r="BL459" t="s">
        <v>163</v>
      </c>
      <c r="BM459">
        <v>1</v>
      </c>
      <c r="BN459">
        <v>1</v>
      </c>
      <c r="BO459">
        <v>1</v>
      </c>
      <c r="BP459">
        <v>0</v>
      </c>
      <c r="BS459">
        <v>0</v>
      </c>
      <c r="BT459">
        <v>0</v>
      </c>
      <c r="BU459">
        <v>0</v>
      </c>
      <c r="CE459" t="str">
        <f t="shared" si="167"/>
        <v>19:26:54.358</v>
      </c>
      <c r="CF459">
        <v>358196953</v>
      </c>
      <c r="CS459">
        <v>3</v>
      </c>
      <c r="CT459">
        <v>2</v>
      </c>
      <c r="CU459">
        <v>0</v>
      </c>
      <c r="CV459">
        <v>2</v>
      </c>
      <c r="CW459">
        <v>0</v>
      </c>
      <c r="CX459">
        <v>6</v>
      </c>
      <c r="CY459">
        <v>7</v>
      </c>
      <c r="CZ459" t="s">
        <v>131</v>
      </c>
      <c r="DA459">
        <v>300</v>
      </c>
      <c r="DB459">
        <v>0</v>
      </c>
      <c r="DC459" t="s">
        <v>176</v>
      </c>
      <c r="DD459" t="s">
        <v>177</v>
      </c>
      <c r="DG459">
        <v>5363325</v>
      </c>
      <c r="DI459">
        <v>1</v>
      </c>
      <c r="DJ459">
        <v>0</v>
      </c>
      <c r="DK459">
        <v>1</v>
      </c>
      <c r="DL459">
        <v>0</v>
      </c>
      <c r="DM459">
        <v>0</v>
      </c>
      <c r="DN459">
        <v>1</v>
      </c>
      <c r="DO459">
        <v>0</v>
      </c>
      <c r="DP459">
        <v>0</v>
      </c>
      <c r="DQ459">
        <v>0</v>
      </c>
      <c r="DR459">
        <v>0</v>
      </c>
      <c r="DS459">
        <v>0</v>
      </c>
    </row>
    <row r="460" spans="1:123" x14ac:dyDescent="0.3">
      <c r="A460" t="str">
        <f>"10/04/2022 19:26:54.681"</f>
        <v>10/04/2022 19:26:54.681</v>
      </c>
      <c r="C460" t="str">
        <f t="shared" si="163"/>
        <v>FFDFD3C0</v>
      </c>
      <c r="D460" t="s">
        <v>147</v>
      </c>
      <c r="E460">
        <v>3</v>
      </c>
      <c r="H460">
        <v>166</v>
      </c>
      <c r="I460" t="s">
        <v>144</v>
      </c>
      <c r="J460" t="s">
        <v>148</v>
      </c>
      <c r="K460">
        <v>0</v>
      </c>
      <c r="L460">
        <v>3</v>
      </c>
      <c r="M460">
        <v>0</v>
      </c>
      <c r="N460">
        <v>2</v>
      </c>
      <c r="O460">
        <v>0</v>
      </c>
      <c r="P460">
        <v>1</v>
      </c>
      <c r="Q460">
        <v>0</v>
      </c>
      <c r="S460" t="str">
        <f t="shared" si="166"/>
        <v>19:26:54.000</v>
      </c>
      <c r="T460" t="str">
        <f t="shared" si="166"/>
        <v>19:26:54.000</v>
      </c>
      <c r="U460" t="str">
        <f t="shared" si="164"/>
        <v>AC3944</v>
      </c>
      <c r="V460">
        <v>0</v>
      </c>
      <c r="W460">
        <v>0</v>
      </c>
      <c r="X460">
        <v>2</v>
      </c>
      <c r="Y460">
        <v>0</v>
      </c>
      <c r="AA460">
        <v>1</v>
      </c>
      <c r="AB460">
        <v>8</v>
      </c>
      <c r="AC460">
        <v>3</v>
      </c>
      <c r="AD460">
        <v>0</v>
      </c>
      <c r="AE460">
        <v>9</v>
      </c>
      <c r="AF460" t="s">
        <v>138</v>
      </c>
      <c r="AG460">
        <v>0</v>
      </c>
      <c r="AH460">
        <v>3</v>
      </c>
      <c r="AI460">
        <v>1</v>
      </c>
      <c r="AJ460">
        <v>0</v>
      </c>
      <c r="AK460" t="s">
        <v>286</v>
      </c>
      <c r="AL460">
        <v>32.817813999999998</v>
      </c>
      <c r="AM460" t="s">
        <v>287</v>
      </c>
      <c r="AN460">
        <v>-116.987486</v>
      </c>
      <c r="AO460">
        <v>25</v>
      </c>
      <c r="AP460">
        <v>1600</v>
      </c>
      <c r="AQ460" t="s">
        <v>129</v>
      </c>
      <c r="AR460">
        <v>146</v>
      </c>
      <c r="AS460">
        <v>3</v>
      </c>
      <c r="AT460">
        <v>-1216</v>
      </c>
      <c r="BB460">
        <v>740</v>
      </c>
      <c r="BC460">
        <v>1</v>
      </c>
      <c r="BD460" t="str">
        <f t="shared" si="165"/>
        <v xml:space="preserve">N887QR  </v>
      </c>
      <c r="BE460">
        <v>1</v>
      </c>
      <c r="BG460">
        <v>0</v>
      </c>
      <c r="BH460">
        <v>0</v>
      </c>
      <c r="BI460">
        <v>0</v>
      </c>
      <c r="BJ460">
        <v>1225</v>
      </c>
      <c r="BK460">
        <v>-375</v>
      </c>
      <c r="BL460" t="s">
        <v>163</v>
      </c>
      <c r="BM460">
        <v>1</v>
      </c>
      <c r="BN460">
        <v>1</v>
      </c>
      <c r="BO460">
        <v>1</v>
      </c>
      <c r="BP460">
        <v>0</v>
      </c>
      <c r="BS460">
        <v>0</v>
      </c>
      <c r="BT460">
        <v>0</v>
      </c>
      <c r="BU460">
        <v>0</v>
      </c>
      <c r="CE460" t="str">
        <f t="shared" si="167"/>
        <v>19:26:54.358</v>
      </c>
      <c r="CF460">
        <v>358196953</v>
      </c>
      <c r="CS460">
        <v>3</v>
      </c>
      <c r="CT460">
        <v>2</v>
      </c>
      <c r="CU460">
        <v>0</v>
      </c>
      <c r="CV460">
        <v>2</v>
      </c>
      <c r="CW460">
        <v>0</v>
      </c>
      <c r="CX460">
        <v>6</v>
      </c>
      <c r="CY460">
        <v>7</v>
      </c>
      <c r="CZ460" t="s">
        <v>131</v>
      </c>
      <c r="DA460">
        <v>300</v>
      </c>
      <c r="DB460">
        <v>0</v>
      </c>
      <c r="DC460" t="s">
        <v>176</v>
      </c>
      <c r="DD460" t="s">
        <v>177</v>
      </c>
      <c r="DG460">
        <v>5363325</v>
      </c>
      <c r="DI460">
        <v>1</v>
      </c>
      <c r="DJ460">
        <v>0</v>
      </c>
      <c r="DK460">
        <v>1</v>
      </c>
      <c r="DL460">
        <v>0</v>
      </c>
      <c r="DM460">
        <v>0</v>
      </c>
      <c r="DN460">
        <v>1</v>
      </c>
      <c r="DO460">
        <v>0</v>
      </c>
      <c r="DP460">
        <v>0</v>
      </c>
      <c r="DQ460">
        <v>0</v>
      </c>
      <c r="DR460">
        <v>0</v>
      </c>
      <c r="DS460">
        <v>0</v>
      </c>
    </row>
    <row r="461" spans="1:123" x14ac:dyDescent="0.3">
      <c r="A461" t="str">
        <f>"10/04/2022 19:26:56.384"</f>
        <v>10/04/2022 19:26:56.384</v>
      </c>
      <c r="C461" t="str">
        <f t="shared" si="163"/>
        <v>FFDFD3C0</v>
      </c>
      <c r="D461" t="s">
        <v>143</v>
      </c>
      <c r="E461">
        <v>20</v>
      </c>
      <c r="F461">
        <v>1020</v>
      </c>
      <c r="G461" t="s">
        <v>144</v>
      </c>
      <c r="J461" t="s">
        <v>145</v>
      </c>
      <c r="K461">
        <v>0</v>
      </c>
      <c r="L461">
        <v>3</v>
      </c>
      <c r="M461">
        <v>0</v>
      </c>
      <c r="N461">
        <v>2</v>
      </c>
      <c r="O461">
        <v>0</v>
      </c>
      <c r="P461">
        <v>1</v>
      </c>
      <c r="Q461">
        <v>0</v>
      </c>
      <c r="S461" t="str">
        <f t="shared" ref="S461:T467" si="168">"19:26:56.000"</f>
        <v>19:26:56.000</v>
      </c>
      <c r="T461" t="str">
        <f t="shared" si="168"/>
        <v>19:26:56.000</v>
      </c>
      <c r="U461" t="str">
        <f t="shared" si="164"/>
        <v>AC3944</v>
      </c>
      <c r="V461">
        <v>0</v>
      </c>
      <c r="W461">
        <v>0</v>
      </c>
      <c r="X461">
        <v>2</v>
      </c>
      <c r="Y461">
        <v>0</v>
      </c>
      <c r="AA461">
        <v>1</v>
      </c>
      <c r="AB461">
        <v>8</v>
      </c>
      <c r="AC461">
        <v>3</v>
      </c>
      <c r="AD461">
        <v>0</v>
      </c>
      <c r="AE461">
        <v>9</v>
      </c>
      <c r="AF461" t="s">
        <v>138</v>
      </c>
      <c r="AG461">
        <v>0</v>
      </c>
      <c r="AH461">
        <v>3</v>
      </c>
      <c r="AI461">
        <v>1</v>
      </c>
      <c r="AJ461">
        <v>0</v>
      </c>
      <c r="AK461" t="s">
        <v>288</v>
      </c>
      <c r="AL461">
        <v>32.817836</v>
      </c>
      <c r="AM461" t="s">
        <v>289</v>
      </c>
      <c r="AN461">
        <v>-116.985877</v>
      </c>
      <c r="AO461">
        <v>25</v>
      </c>
      <c r="AP461">
        <v>1600</v>
      </c>
      <c r="AQ461" t="s">
        <v>129</v>
      </c>
      <c r="AR461">
        <v>147</v>
      </c>
      <c r="AS461">
        <v>1</v>
      </c>
      <c r="AT461">
        <v>-1216</v>
      </c>
      <c r="BB461">
        <v>740</v>
      </c>
      <c r="BC461">
        <v>1</v>
      </c>
      <c r="BD461" t="str">
        <f t="shared" si="165"/>
        <v xml:space="preserve">N887QR  </v>
      </c>
      <c r="BE461">
        <v>1</v>
      </c>
      <c r="BG461">
        <v>0</v>
      </c>
      <c r="BH461">
        <v>0</v>
      </c>
      <c r="BI461">
        <v>0</v>
      </c>
      <c r="BJ461">
        <v>1225</v>
      </c>
      <c r="BK461">
        <v>-375</v>
      </c>
      <c r="BL461" t="s">
        <v>163</v>
      </c>
      <c r="BM461">
        <v>1</v>
      </c>
      <c r="BN461">
        <v>1</v>
      </c>
      <c r="BO461">
        <v>1</v>
      </c>
      <c r="BP461">
        <v>0</v>
      </c>
      <c r="BS461">
        <v>0</v>
      </c>
      <c r="BT461">
        <v>0</v>
      </c>
      <c r="BU461">
        <v>0</v>
      </c>
      <c r="CE461" t="str">
        <f t="shared" ref="CE461:CE467" si="169">"19:26:56.145"</f>
        <v>19:26:56.145</v>
      </c>
      <c r="CF461">
        <v>145452629</v>
      </c>
      <c r="CS461">
        <v>3</v>
      </c>
      <c r="CT461">
        <v>2</v>
      </c>
      <c r="CU461">
        <v>0</v>
      </c>
      <c r="CV461">
        <v>2</v>
      </c>
      <c r="CW461">
        <v>0</v>
      </c>
      <c r="CX461">
        <v>6</v>
      </c>
      <c r="CY461">
        <v>7</v>
      </c>
      <c r="CZ461" t="s">
        <v>131</v>
      </c>
      <c r="DA461">
        <v>300</v>
      </c>
      <c r="DB461">
        <v>0</v>
      </c>
      <c r="DC461" t="s">
        <v>176</v>
      </c>
      <c r="DD461" t="s">
        <v>177</v>
      </c>
      <c r="DG461">
        <v>5363611</v>
      </c>
      <c r="DI461">
        <v>1</v>
      </c>
      <c r="DJ461">
        <v>0</v>
      </c>
      <c r="DK461">
        <v>0</v>
      </c>
      <c r="DL461">
        <v>0</v>
      </c>
      <c r="DM461">
        <v>0</v>
      </c>
      <c r="DN461">
        <v>1</v>
      </c>
      <c r="DO461">
        <v>0</v>
      </c>
      <c r="DP461">
        <v>0</v>
      </c>
      <c r="DQ461">
        <v>0</v>
      </c>
      <c r="DR461">
        <v>0</v>
      </c>
      <c r="DS461">
        <v>0</v>
      </c>
    </row>
    <row r="462" spans="1:123" x14ac:dyDescent="0.3">
      <c r="A462" t="str">
        <f t="shared" ref="A462:A467" si="170">"10/04/2022 19:26:56.399"</f>
        <v>10/04/2022 19:26:56.399</v>
      </c>
      <c r="C462" t="str">
        <f t="shared" si="163"/>
        <v>FFDFD3C0</v>
      </c>
      <c r="D462" t="s">
        <v>123</v>
      </c>
      <c r="E462">
        <v>7</v>
      </c>
      <c r="F462">
        <v>2007</v>
      </c>
      <c r="G462" t="s">
        <v>124</v>
      </c>
      <c r="J462" t="s">
        <v>125</v>
      </c>
      <c r="K462">
        <v>0</v>
      </c>
      <c r="L462">
        <v>3</v>
      </c>
      <c r="M462">
        <v>0</v>
      </c>
      <c r="N462">
        <v>2</v>
      </c>
      <c r="O462">
        <v>0</v>
      </c>
      <c r="P462">
        <v>1</v>
      </c>
      <c r="Q462">
        <v>0</v>
      </c>
      <c r="S462" t="str">
        <f t="shared" si="168"/>
        <v>19:26:56.000</v>
      </c>
      <c r="T462" t="str">
        <f t="shared" si="168"/>
        <v>19:26:56.000</v>
      </c>
      <c r="U462" t="str">
        <f t="shared" si="164"/>
        <v>AC3944</v>
      </c>
      <c r="V462">
        <v>0</v>
      </c>
      <c r="W462">
        <v>0</v>
      </c>
      <c r="X462">
        <v>2</v>
      </c>
      <c r="Y462">
        <v>0</v>
      </c>
      <c r="AA462">
        <v>1</v>
      </c>
      <c r="AB462">
        <v>8</v>
      </c>
      <c r="AC462">
        <v>3</v>
      </c>
      <c r="AD462">
        <v>0</v>
      </c>
      <c r="AE462">
        <v>9</v>
      </c>
      <c r="AF462" t="s">
        <v>138</v>
      </c>
      <c r="AG462">
        <v>0</v>
      </c>
      <c r="AH462">
        <v>3</v>
      </c>
      <c r="AI462">
        <v>1</v>
      </c>
      <c r="AJ462">
        <v>0</v>
      </c>
      <c r="AK462" t="s">
        <v>288</v>
      </c>
      <c r="AL462">
        <v>32.817836</v>
      </c>
      <c r="AM462" t="s">
        <v>289</v>
      </c>
      <c r="AN462">
        <v>-116.985877</v>
      </c>
      <c r="AO462">
        <v>25</v>
      </c>
      <c r="AP462">
        <v>1600</v>
      </c>
      <c r="AQ462" t="s">
        <v>129</v>
      </c>
      <c r="AR462">
        <v>147</v>
      </c>
      <c r="AS462">
        <v>1</v>
      </c>
      <c r="AT462">
        <v>-1216</v>
      </c>
      <c r="BB462">
        <v>740</v>
      </c>
      <c r="BC462">
        <v>1</v>
      </c>
      <c r="BD462" t="str">
        <f t="shared" si="165"/>
        <v xml:space="preserve">N887QR  </v>
      </c>
      <c r="BE462">
        <v>1</v>
      </c>
      <c r="BG462">
        <v>0</v>
      </c>
      <c r="BH462">
        <v>0</v>
      </c>
      <c r="BI462">
        <v>0</v>
      </c>
      <c r="BJ462">
        <v>1225</v>
      </c>
      <c r="BK462">
        <v>-375</v>
      </c>
      <c r="BL462" t="s">
        <v>163</v>
      </c>
      <c r="BM462">
        <v>1</v>
      </c>
      <c r="BN462">
        <v>1</v>
      </c>
      <c r="BO462">
        <v>1</v>
      </c>
      <c r="BP462">
        <v>0</v>
      </c>
      <c r="BS462">
        <v>0</v>
      </c>
      <c r="BT462">
        <v>0</v>
      </c>
      <c r="BU462">
        <v>0</v>
      </c>
      <c r="CE462" t="str">
        <f t="shared" si="169"/>
        <v>19:26:56.145</v>
      </c>
      <c r="CF462">
        <v>145452629</v>
      </c>
      <c r="CS462">
        <v>3</v>
      </c>
      <c r="CT462">
        <v>2</v>
      </c>
      <c r="CU462">
        <v>0</v>
      </c>
      <c r="CV462">
        <v>2</v>
      </c>
      <c r="CW462">
        <v>0</v>
      </c>
      <c r="CX462">
        <v>6</v>
      </c>
      <c r="CY462">
        <v>7</v>
      </c>
      <c r="CZ462" t="s">
        <v>131</v>
      </c>
      <c r="DA462">
        <v>300</v>
      </c>
      <c r="DB462">
        <v>0</v>
      </c>
      <c r="DC462" t="s">
        <v>176</v>
      </c>
      <c r="DD462" t="s">
        <v>177</v>
      </c>
      <c r="DG462">
        <v>5363611</v>
      </c>
      <c r="DI462">
        <v>1</v>
      </c>
      <c r="DJ462">
        <v>0</v>
      </c>
      <c r="DK462">
        <v>1</v>
      </c>
      <c r="DL462">
        <v>0</v>
      </c>
      <c r="DM462">
        <v>0</v>
      </c>
      <c r="DN462">
        <v>1</v>
      </c>
      <c r="DO462">
        <v>0</v>
      </c>
      <c r="DP462">
        <v>0</v>
      </c>
      <c r="DQ462">
        <v>0</v>
      </c>
      <c r="DR462">
        <v>0</v>
      </c>
      <c r="DS462">
        <v>0</v>
      </c>
    </row>
    <row r="463" spans="1:123" x14ac:dyDescent="0.3">
      <c r="A463" t="str">
        <f t="shared" si="170"/>
        <v>10/04/2022 19:26:56.399</v>
      </c>
      <c r="C463" t="str">
        <f t="shared" si="163"/>
        <v>FFDFD3C0</v>
      </c>
      <c r="D463" t="s">
        <v>141</v>
      </c>
      <c r="E463">
        <v>4</v>
      </c>
      <c r="H463">
        <v>4</v>
      </c>
      <c r="I463" t="s">
        <v>142</v>
      </c>
      <c r="J463" t="s">
        <v>138</v>
      </c>
      <c r="K463">
        <v>0</v>
      </c>
      <c r="L463">
        <v>3</v>
      </c>
      <c r="M463">
        <v>0</v>
      </c>
      <c r="N463">
        <v>2</v>
      </c>
      <c r="O463">
        <v>0</v>
      </c>
      <c r="P463">
        <v>1</v>
      </c>
      <c r="Q463">
        <v>0</v>
      </c>
      <c r="S463" t="str">
        <f t="shared" si="168"/>
        <v>19:26:56.000</v>
      </c>
      <c r="T463" t="str">
        <f t="shared" si="168"/>
        <v>19:26:56.000</v>
      </c>
      <c r="U463" t="str">
        <f t="shared" si="164"/>
        <v>AC3944</v>
      </c>
      <c r="V463">
        <v>0</v>
      </c>
      <c r="W463">
        <v>0</v>
      </c>
      <c r="X463">
        <v>2</v>
      </c>
      <c r="Y463">
        <v>0</v>
      </c>
      <c r="AA463">
        <v>1</v>
      </c>
      <c r="AB463">
        <v>8</v>
      </c>
      <c r="AC463">
        <v>3</v>
      </c>
      <c r="AD463">
        <v>0</v>
      </c>
      <c r="AE463">
        <v>9</v>
      </c>
      <c r="AF463" t="s">
        <v>138</v>
      </c>
      <c r="AG463">
        <v>0</v>
      </c>
      <c r="AH463">
        <v>3</v>
      </c>
      <c r="AI463">
        <v>1</v>
      </c>
      <c r="AJ463">
        <v>0</v>
      </c>
      <c r="AK463" t="s">
        <v>288</v>
      </c>
      <c r="AL463">
        <v>32.817836</v>
      </c>
      <c r="AM463" t="s">
        <v>289</v>
      </c>
      <c r="AN463">
        <v>-116.985877</v>
      </c>
      <c r="AO463">
        <v>25</v>
      </c>
      <c r="AP463">
        <v>1600</v>
      </c>
      <c r="AQ463" t="s">
        <v>129</v>
      </c>
      <c r="AR463">
        <v>147</v>
      </c>
      <c r="AS463">
        <v>1</v>
      </c>
      <c r="AT463">
        <v>-1216</v>
      </c>
      <c r="BB463">
        <v>740</v>
      </c>
      <c r="BC463">
        <v>1</v>
      </c>
      <c r="BD463" t="str">
        <f t="shared" si="165"/>
        <v xml:space="preserve">N887QR  </v>
      </c>
      <c r="BE463">
        <v>1</v>
      </c>
      <c r="BG463">
        <v>0</v>
      </c>
      <c r="BH463">
        <v>0</v>
      </c>
      <c r="BI463">
        <v>0</v>
      </c>
      <c r="BJ463">
        <v>1225</v>
      </c>
      <c r="BK463">
        <v>-375</v>
      </c>
      <c r="BL463" t="s">
        <v>163</v>
      </c>
      <c r="BM463">
        <v>1</v>
      </c>
      <c r="BN463">
        <v>1</v>
      </c>
      <c r="BO463">
        <v>1</v>
      </c>
      <c r="BP463">
        <v>0</v>
      </c>
      <c r="BS463">
        <v>0</v>
      </c>
      <c r="BT463">
        <v>0</v>
      </c>
      <c r="BU463">
        <v>0</v>
      </c>
      <c r="CE463" t="str">
        <f t="shared" si="169"/>
        <v>19:26:56.145</v>
      </c>
      <c r="CF463">
        <v>145452629</v>
      </c>
      <c r="CS463">
        <v>3</v>
      </c>
      <c r="CT463">
        <v>2</v>
      </c>
      <c r="CU463">
        <v>0</v>
      </c>
      <c r="CV463">
        <v>2</v>
      </c>
      <c r="CW463">
        <v>0</v>
      </c>
      <c r="CX463">
        <v>6</v>
      </c>
      <c r="CY463">
        <v>7</v>
      </c>
      <c r="CZ463" t="s">
        <v>131</v>
      </c>
      <c r="DA463">
        <v>300</v>
      </c>
      <c r="DB463">
        <v>0</v>
      </c>
      <c r="DC463" t="s">
        <v>176</v>
      </c>
      <c r="DD463" t="s">
        <v>177</v>
      </c>
      <c r="DG463">
        <v>5363611</v>
      </c>
      <c r="DI463">
        <v>1</v>
      </c>
      <c r="DJ463">
        <v>0</v>
      </c>
      <c r="DK463">
        <v>1</v>
      </c>
      <c r="DL463">
        <v>0</v>
      </c>
      <c r="DM463">
        <v>0</v>
      </c>
      <c r="DN463">
        <v>1</v>
      </c>
      <c r="DO463">
        <v>0</v>
      </c>
      <c r="DP463">
        <v>0</v>
      </c>
      <c r="DQ463">
        <v>0</v>
      </c>
      <c r="DR463">
        <v>0</v>
      </c>
      <c r="DS463">
        <v>0</v>
      </c>
    </row>
    <row r="464" spans="1:123" x14ac:dyDescent="0.3">
      <c r="A464" t="str">
        <f t="shared" si="170"/>
        <v>10/04/2022 19:26:56.399</v>
      </c>
      <c r="C464" t="str">
        <f t="shared" si="163"/>
        <v>FFDFD3C0</v>
      </c>
      <c r="D464" t="s">
        <v>134</v>
      </c>
      <c r="E464">
        <v>15</v>
      </c>
      <c r="J464" t="s">
        <v>135</v>
      </c>
      <c r="K464">
        <v>0</v>
      </c>
      <c r="L464">
        <v>3</v>
      </c>
      <c r="M464">
        <v>0</v>
      </c>
      <c r="N464">
        <v>2</v>
      </c>
      <c r="O464">
        <v>0</v>
      </c>
      <c r="P464">
        <v>1</v>
      </c>
      <c r="Q464">
        <v>0</v>
      </c>
      <c r="S464" t="str">
        <f t="shared" si="168"/>
        <v>19:26:56.000</v>
      </c>
      <c r="T464" t="str">
        <f t="shared" si="168"/>
        <v>19:26:56.000</v>
      </c>
      <c r="U464" t="str">
        <f t="shared" si="164"/>
        <v>AC3944</v>
      </c>
      <c r="V464">
        <v>0</v>
      </c>
      <c r="W464">
        <v>0</v>
      </c>
      <c r="X464">
        <v>2</v>
      </c>
      <c r="Y464">
        <v>0</v>
      </c>
      <c r="AA464">
        <v>1</v>
      </c>
      <c r="AB464">
        <v>8</v>
      </c>
      <c r="AC464">
        <v>3</v>
      </c>
      <c r="AD464">
        <v>0</v>
      </c>
      <c r="AE464">
        <v>9</v>
      </c>
      <c r="AF464" t="s">
        <v>138</v>
      </c>
      <c r="AG464">
        <v>0</v>
      </c>
      <c r="AH464">
        <v>3</v>
      </c>
      <c r="AI464">
        <v>1</v>
      </c>
      <c r="AJ464">
        <v>0</v>
      </c>
      <c r="AK464" t="s">
        <v>288</v>
      </c>
      <c r="AL464">
        <v>32.817836</v>
      </c>
      <c r="AM464" t="s">
        <v>289</v>
      </c>
      <c r="AN464">
        <v>-116.985877</v>
      </c>
      <c r="AO464">
        <v>25</v>
      </c>
      <c r="AP464">
        <v>1600</v>
      </c>
      <c r="AQ464" t="s">
        <v>129</v>
      </c>
      <c r="AR464">
        <v>147</v>
      </c>
      <c r="AS464">
        <v>1</v>
      </c>
      <c r="AT464">
        <v>-1216</v>
      </c>
      <c r="BB464">
        <v>740</v>
      </c>
      <c r="BC464">
        <v>1</v>
      </c>
      <c r="BD464" t="str">
        <f t="shared" si="165"/>
        <v xml:space="preserve">N887QR  </v>
      </c>
      <c r="BE464">
        <v>1</v>
      </c>
      <c r="BG464">
        <v>0</v>
      </c>
      <c r="BH464">
        <v>0</v>
      </c>
      <c r="BI464">
        <v>0</v>
      </c>
      <c r="BJ464">
        <v>1225</v>
      </c>
      <c r="BK464">
        <v>-375</v>
      </c>
      <c r="BL464" t="s">
        <v>163</v>
      </c>
      <c r="BM464">
        <v>1</v>
      </c>
      <c r="BN464">
        <v>1</v>
      </c>
      <c r="BO464">
        <v>1</v>
      </c>
      <c r="BP464">
        <v>0</v>
      </c>
      <c r="BS464">
        <v>0</v>
      </c>
      <c r="BT464">
        <v>0</v>
      </c>
      <c r="BU464">
        <v>0</v>
      </c>
      <c r="CE464" t="str">
        <f t="shared" si="169"/>
        <v>19:26:56.145</v>
      </c>
      <c r="CF464">
        <v>145452629</v>
      </c>
      <c r="CS464">
        <v>3</v>
      </c>
      <c r="CT464">
        <v>2</v>
      </c>
      <c r="CU464">
        <v>0</v>
      </c>
      <c r="CV464">
        <v>2</v>
      </c>
      <c r="CW464">
        <v>0</v>
      </c>
      <c r="CX464">
        <v>6</v>
      </c>
      <c r="CY464">
        <v>7</v>
      </c>
      <c r="CZ464" t="s">
        <v>131</v>
      </c>
      <c r="DA464">
        <v>300</v>
      </c>
      <c r="DB464">
        <v>0</v>
      </c>
      <c r="DC464" t="s">
        <v>176</v>
      </c>
      <c r="DD464" t="s">
        <v>177</v>
      </c>
      <c r="DG464">
        <v>5363611</v>
      </c>
      <c r="DI464">
        <v>1</v>
      </c>
      <c r="DJ464">
        <v>0</v>
      </c>
      <c r="DK464">
        <v>1</v>
      </c>
      <c r="DL464">
        <v>0</v>
      </c>
      <c r="DM464">
        <v>0</v>
      </c>
      <c r="DN464">
        <v>1</v>
      </c>
      <c r="DO464">
        <v>0</v>
      </c>
      <c r="DP464">
        <v>0</v>
      </c>
      <c r="DQ464">
        <v>0</v>
      </c>
      <c r="DR464">
        <v>0</v>
      </c>
      <c r="DS464">
        <v>0</v>
      </c>
    </row>
    <row r="465" spans="1:123" x14ac:dyDescent="0.3">
      <c r="A465" t="str">
        <f t="shared" si="170"/>
        <v>10/04/2022 19:26:56.399</v>
      </c>
      <c r="C465" t="str">
        <f t="shared" si="163"/>
        <v>FFDFD3C0</v>
      </c>
      <c r="D465" t="s">
        <v>141</v>
      </c>
      <c r="E465">
        <v>3</v>
      </c>
      <c r="H465">
        <v>3</v>
      </c>
      <c r="I465" t="s">
        <v>146</v>
      </c>
      <c r="J465" t="s">
        <v>138</v>
      </c>
      <c r="K465">
        <v>0</v>
      </c>
      <c r="L465">
        <v>3</v>
      </c>
      <c r="M465">
        <v>0</v>
      </c>
      <c r="N465">
        <v>2</v>
      </c>
      <c r="O465">
        <v>0</v>
      </c>
      <c r="P465">
        <v>1</v>
      </c>
      <c r="Q465">
        <v>0</v>
      </c>
      <c r="S465" t="str">
        <f t="shared" si="168"/>
        <v>19:26:56.000</v>
      </c>
      <c r="T465" t="str">
        <f t="shared" si="168"/>
        <v>19:26:56.000</v>
      </c>
      <c r="U465" t="str">
        <f t="shared" si="164"/>
        <v>AC3944</v>
      </c>
      <c r="V465">
        <v>0</v>
      </c>
      <c r="W465">
        <v>0</v>
      </c>
      <c r="X465">
        <v>2</v>
      </c>
      <c r="Y465">
        <v>0</v>
      </c>
      <c r="AA465">
        <v>1</v>
      </c>
      <c r="AB465">
        <v>8</v>
      </c>
      <c r="AC465">
        <v>3</v>
      </c>
      <c r="AD465">
        <v>0</v>
      </c>
      <c r="AE465">
        <v>9</v>
      </c>
      <c r="AF465" t="s">
        <v>138</v>
      </c>
      <c r="AG465">
        <v>0</v>
      </c>
      <c r="AH465">
        <v>3</v>
      </c>
      <c r="AI465">
        <v>1</v>
      </c>
      <c r="AJ465">
        <v>0</v>
      </c>
      <c r="AK465" t="s">
        <v>288</v>
      </c>
      <c r="AL465">
        <v>32.817836</v>
      </c>
      <c r="AM465" t="s">
        <v>289</v>
      </c>
      <c r="AN465">
        <v>-116.985877</v>
      </c>
      <c r="AO465">
        <v>25</v>
      </c>
      <c r="AP465">
        <v>1600</v>
      </c>
      <c r="AQ465" t="s">
        <v>129</v>
      </c>
      <c r="AR465">
        <v>147</v>
      </c>
      <c r="AS465">
        <v>1</v>
      </c>
      <c r="AT465">
        <v>-1216</v>
      </c>
      <c r="BB465">
        <v>740</v>
      </c>
      <c r="BC465">
        <v>1</v>
      </c>
      <c r="BD465" t="str">
        <f t="shared" si="165"/>
        <v xml:space="preserve">N887QR  </v>
      </c>
      <c r="BE465">
        <v>1</v>
      </c>
      <c r="BG465">
        <v>0</v>
      </c>
      <c r="BH465">
        <v>0</v>
      </c>
      <c r="BI465">
        <v>0</v>
      </c>
      <c r="BJ465">
        <v>1225</v>
      </c>
      <c r="BK465">
        <v>-375</v>
      </c>
      <c r="BL465" t="s">
        <v>163</v>
      </c>
      <c r="BM465">
        <v>1</v>
      </c>
      <c r="BN465">
        <v>1</v>
      </c>
      <c r="BO465">
        <v>1</v>
      </c>
      <c r="BP465">
        <v>0</v>
      </c>
      <c r="BS465">
        <v>0</v>
      </c>
      <c r="BT465">
        <v>0</v>
      </c>
      <c r="BU465">
        <v>0</v>
      </c>
      <c r="CE465" t="str">
        <f t="shared" si="169"/>
        <v>19:26:56.145</v>
      </c>
      <c r="CF465">
        <v>145452629</v>
      </c>
      <c r="CS465">
        <v>3</v>
      </c>
      <c r="CT465">
        <v>2</v>
      </c>
      <c r="CU465">
        <v>0</v>
      </c>
      <c r="CV465">
        <v>2</v>
      </c>
      <c r="CW465">
        <v>0</v>
      </c>
      <c r="CX465">
        <v>6</v>
      </c>
      <c r="CY465">
        <v>7</v>
      </c>
      <c r="CZ465" t="s">
        <v>131</v>
      </c>
      <c r="DA465">
        <v>300</v>
      </c>
      <c r="DB465">
        <v>0</v>
      </c>
      <c r="DC465" t="s">
        <v>176</v>
      </c>
      <c r="DD465" t="s">
        <v>177</v>
      </c>
      <c r="DG465">
        <v>5363611</v>
      </c>
      <c r="DI465">
        <v>1</v>
      </c>
      <c r="DJ465">
        <v>0</v>
      </c>
      <c r="DK465">
        <v>1</v>
      </c>
      <c r="DL465">
        <v>0</v>
      </c>
      <c r="DM465">
        <v>0</v>
      </c>
      <c r="DN465">
        <v>1</v>
      </c>
      <c r="DO465">
        <v>0</v>
      </c>
      <c r="DP465">
        <v>0</v>
      </c>
      <c r="DQ465">
        <v>0</v>
      </c>
      <c r="DR465">
        <v>0</v>
      </c>
      <c r="DS465">
        <v>0</v>
      </c>
    </row>
    <row r="466" spans="1:123" x14ac:dyDescent="0.3">
      <c r="A466" t="str">
        <f t="shared" si="170"/>
        <v>10/04/2022 19:26:56.399</v>
      </c>
      <c r="C466" t="str">
        <f t="shared" si="163"/>
        <v>FFDFD3C0</v>
      </c>
      <c r="D466" t="s">
        <v>136</v>
      </c>
      <c r="E466">
        <v>8</v>
      </c>
      <c r="H466">
        <v>225</v>
      </c>
      <c r="I466" t="s">
        <v>137</v>
      </c>
      <c r="J466" t="s">
        <v>138</v>
      </c>
      <c r="K466">
        <v>0</v>
      </c>
      <c r="L466">
        <v>3</v>
      </c>
      <c r="M466">
        <v>0</v>
      </c>
      <c r="N466">
        <v>2</v>
      </c>
      <c r="O466">
        <v>0</v>
      </c>
      <c r="P466">
        <v>1</v>
      </c>
      <c r="Q466">
        <v>0</v>
      </c>
      <c r="S466" t="str">
        <f t="shared" si="168"/>
        <v>19:26:56.000</v>
      </c>
      <c r="T466" t="str">
        <f t="shared" si="168"/>
        <v>19:26:56.000</v>
      </c>
      <c r="U466" t="str">
        <f t="shared" si="164"/>
        <v>AC3944</v>
      </c>
      <c r="V466">
        <v>0</v>
      </c>
      <c r="W466">
        <v>0</v>
      </c>
      <c r="X466">
        <v>2</v>
      </c>
      <c r="Y466">
        <v>0</v>
      </c>
      <c r="AA466">
        <v>1</v>
      </c>
      <c r="AB466">
        <v>8</v>
      </c>
      <c r="AC466">
        <v>3</v>
      </c>
      <c r="AD466">
        <v>0</v>
      </c>
      <c r="AE466">
        <v>9</v>
      </c>
      <c r="AF466" t="s">
        <v>138</v>
      </c>
      <c r="AG466">
        <v>0</v>
      </c>
      <c r="AH466">
        <v>3</v>
      </c>
      <c r="AI466">
        <v>1</v>
      </c>
      <c r="AJ466">
        <v>0</v>
      </c>
      <c r="AK466" t="s">
        <v>288</v>
      </c>
      <c r="AL466">
        <v>32.817836</v>
      </c>
      <c r="AM466" t="s">
        <v>289</v>
      </c>
      <c r="AN466">
        <v>-116.985877</v>
      </c>
      <c r="AO466">
        <v>25</v>
      </c>
      <c r="AP466">
        <v>1600</v>
      </c>
      <c r="AQ466" t="s">
        <v>129</v>
      </c>
      <c r="AR466">
        <v>147</v>
      </c>
      <c r="AS466">
        <v>1</v>
      </c>
      <c r="AT466">
        <v>-1216</v>
      </c>
      <c r="BB466">
        <v>740</v>
      </c>
      <c r="BC466">
        <v>1</v>
      </c>
      <c r="BD466" t="str">
        <f t="shared" si="165"/>
        <v xml:space="preserve">N887QR  </v>
      </c>
      <c r="BE466">
        <v>1</v>
      </c>
      <c r="BG466">
        <v>0</v>
      </c>
      <c r="BH466">
        <v>0</v>
      </c>
      <c r="BI466">
        <v>0</v>
      </c>
      <c r="BJ466">
        <v>1225</v>
      </c>
      <c r="BK466">
        <v>-375</v>
      </c>
      <c r="BL466" t="s">
        <v>163</v>
      </c>
      <c r="BM466">
        <v>1</v>
      </c>
      <c r="BN466">
        <v>1</v>
      </c>
      <c r="BO466">
        <v>1</v>
      </c>
      <c r="BP466">
        <v>0</v>
      </c>
      <c r="BS466">
        <v>0</v>
      </c>
      <c r="BT466">
        <v>0</v>
      </c>
      <c r="BU466">
        <v>0</v>
      </c>
      <c r="CE466" t="str">
        <f t="shared" si="169"/>
        <v>19:26:56.145</v>
      </c>
      <c r="CF466">
        <v>145452629</v>
      </c>
      <c r="CS466">
        <v>3</v>
      </c>
      <c r="CT466">
        <v>2</v>
      </c>
      <c r="CU466">
        <v>0</v>
      </c>
      <c r="CV466">
        <v>2</v>
      </c>
      <c r="CW466">
        <v>0</v>
      </c>
      <c r="CX466">
        <v>6</v>
      </c>
      <c r="CY466">
        <v>7</v>
      </c>
      <c r="CZ466" t="s">
        <v>131</v>
      </c>
      <c r="DA466">
        <v>300</v>
      </c>
      <c r="DB466">
        <v>0</v>
      </c>
      <c r="DC466" t="s">
        <v>176</v>
      </c>
      <c r="DD466" t="s">
        <v>177</v>
      </c>
      <c r="DG466">
        <v>5363611</v>
      </c>
      <c r="DI466">
        <v>1</v>
      </c>
      <c r="DJ466">
        <v>0</v>
      </c>
      <c r="DK466">
        <v>1</v>
      </c>
      <c r="DL466">
        <v>0</v>
      </c>
      <c r="DM466">
        <v>0</v>
      </c>
      <c r="DN466">
        <v>1</v>
      </c>
      <c r="DO466">
        <v>0</v>
      </c>
      <c r="DP466">
        <v>0</v>
      </c>
      <c r="DQ466">
        <v>0</v>
      </c>
      <c r="DR466">
        <v>0</v>
      </c>
      <c r="DS466">
        <v>0</v>
      </c>
    </row>
    <row r="467" spans="1:123" x14ac:dyDescent="0.3">
      <c r="A467" t="str">
        <f t="shared" si="170"/>
        <v>10/04/2022 19:26:56.399</v>
      </c>
      <c r="C467" t="str">
        <f t="shared" si="163"/>
        <v>FFDFD3C0</v>
      </c>
      <c r="D467" t="s">
        <v>147</v>
      </c>
      <c r="E467">
        <v>3</v>
      </c>
      <c r="H467">
        <v>166</v>
      </c>
      <c r="I467" t="s">
        <v>144</v>
      </c>
      <c r="J467" t="s">
        <v>148</v>
      </c>
      <c r="K467">
        <v>0</v>
      </c>
      <c r="L467">
        <v>3</v>
      </c>
      <c r="M467">
        <v>0</v>
      </c>
      <c r="N467">
        <v>2</v>
      </c>
      <c r="O467">
        <v>0</v>
      </c>
      <c r="P467">
        <v>1</v>
      </c>
      <c r="Q467">
        <v>0</v>
      </c>
      <c r="S467" t="str">
        <f t="shared" si="168"/>
        <v>19:26:56.000</v>
      </c>
      <c r="T467" t="str">
        <f t="shared" si="168"/>
        <v>19:26:56.000</v>
      </c>
      <c r="U467" t="str">
        <f t="shared" si="164"/>
        <v>AC3944</v>
      </c>
      <c r="V467">
        <v>0</v>
      </c>
      <c r="W467">
        <v>0</v>
      </c>
      <c r="X467">
        <v>2</v>
      </c>
      <c r="Y467">
        <v>0</v>
      </c>
      <c r="AA467">
        <v>1</v>
      </c>
      <c r="AB467">
        <v>8</v>
      </c>
      <c r="AC467">
        <v>3</v>
      </c>
      <c r="AD467">
        <v>0</v>
      </c>
      <c r="AE467">
        <v>9</v>
      </c>
      <c r="AF467" t="s">
        <v>138</v>
      </c>
      <c r="AG467">
        <v>0</v>
      </c>
      <c r="AH467">
        <v>3</v>
      </c>
      <c r="AI467">
        <v>1</v>
      </c>
      <c r="AJ467">
        <v>0</v>
      </c>
      <c r="AK467" t="s">
        <v>288</v>
      </c>
      <c r="AL467">
        <v>32.817836</v>
      </c>
      <c r="AM467" t="s">
        <v>289</v>
      </c>
      <c r="AN467">
        <v>-116.985877</v>
      </c>
      <c r="AO467">
        <v>25</v>
      </c>
      <c r="AP467">
        <v>1600</v>
      </c>
      <c r="AQ467" t="s">
        <v>129</v>
      </c>
      <c r="AR467">
        <v>147</v>
      </c>
      <c r="AS467">
        <v>1</v>
      </c>
      <c r="AT467">
        <v>-1216</v>
      </c>
      <c r="BB467">
        <v>740</v>
      </c>
      <c r="BC467">
        <v>1</v>
      </c>
      <c r="BD467" t="str">
        <f t="shared" si="165"/>
        <v xml:space="preserve">N887QR  </v>
      </c>
      <c r="BE467">
        <v>1</v>
      </c>
      <c r="BG467">
        <v>0</v>
      </c>
      <c r="BH467">
        <v>0</v>
      </c>
      <c r="BI467">
        <v>0</v>
      </c>
      <c r="BJ467">
        <v>1225</v>
      </c>
      <c r="BK467">
        <v>-375</v>
      </c>
      <c r="BL467" t="s">
        <v>163</v>
      </c>
      <c r="BM467">
        <v>1</v>
      </c>
      <c r="BN467">
        <v>1</v>
      </c>
      <c r="BO467">
        <v>1</v>
      </c>
      <c r="BP467">
        <v>0</v>
      </c>
      <c r="BS467">
        <v>0</v>
      </c>
      <c r="BT467">
        <v>0</v>
      </c>
      <c r="BU467">
        <v>0</v>
      </c>
      <c r="CE467" t="str">
        <f t="shared" si="169"/>
        <v>19:26:56.145</v>
      </c>
      <c r="CF467">
        <v>145452629</v>
      </c>
      <c r="CS467">
        <v>3</v>
      </c>
      <c r="CT467">
        <v>2</v>
      </c>
      <c r="CU467">
        <v>0</v>
      </c>
      <c r="CV467">
        <v>2</v>
      </c>
      <c r="CW467">
        <v>0</v>
      </c>
      <c r="CX467">
        <v>6</v>
      </c>
      <c r="CY467">
        <v>7</v>
      </c>
      <c r="CZ467" t="s">
        <v>131</v>
      </c>
      <c r="DA467">
        <v>300</v>
      </c>
      <c r="DB467">
        <v>0</v>
      </c>
      <c r="DC467" t="s">
        <v>176</v>
      </c>
      <c r="DD467" t="s">
        <v>177</v>
      </c>
      <c r="DG467">
        <v>5363611</v>
      </c>
      <c r="DI467">
        <v>1</v>
      </c>
      <c r="DJ467">
        <v>0</v>
      </c>
      <c r="DK467">
        <v>1</v>
      </c>
      <c r="DL467">
        <v>0</v>
      </c>
      <c r="DM467">
        <v>0</v>
      </c>
      <c r="DN467">
        <v>1</v>
      </c>
      <c r="DO467">
        <v>0</v>
      </c>
      <c r="DP467">
        <v>0</v>
      </c>
      <c r="DQ467">
        <v>0</v>
      </c>
      <c r="DR467">
        <v>0</v>
      </c>
      <c r="DS467">
        <v>0</v>
      </c>
    </row>
    <row r="468" spans="1:123" x14ac:dyDescent="0.3">
      <c r="A468" t="str">
        <f t="shared" ref="A468:A474" si="171">"10/04/2022 19:26:57.358"</f>
        <v>10/04/2022 19:26:57.358</v>
      </c>
      <c r="C468" t="str">
        <f t="shared" si="163"/>
        <v>FFDFD3C0</v>
      </c>
      <c r="D468" t="s">
        <v>141</v>
      </c>
      <c r="E468">
        <v>4</v>
      </c>
      <c r="H468">
        <v>4</v>
      </c>
      <c r="I468" t="s">
        <v>142</v>
      </c>
      <c r="J468" t="s">
        <v>138</v>
      </c>
      <c r="K468">
        <v>0</v>
      </c>
      <c r="L468">
        <v>3</v>
      </c>
      <c r="M468">
        <v>0</v>
      </c>
      <c r="N468">
        <v>2</v>
      </c>
      <c r="O468">
        <v>0</v>
      </c>
      <c r="P468">
        <v>1</v>
      </c>
      <c r="Q468">
        <v>0</v>
      </c>
      <c r="S468" t="str">
        <f t="shared" ref="S468:T481" si="172">"19:26:57.000"</f>
        <v>19:26:57.000</v>
      </c>
      <c r="T468" t="str">
        <f t="shared" si="172"/>
        <v>19:26:57.000</v>
      </c>
      <c r="U468" t="str">
        <f t="shared" si="164"/>
        <v>AC3944</v>
      </c>
      <c r="V468">
        <v>0</v>
      </c>
      <c r="W468">
        <v>0</v>
      </c>
      <c r="X468">
        <v>2</v>
      </c>
      <c r="Y468">
        <v>0</v>
      </c>
      <c r="AA468">
        <v>1</v>
      </c>
      <c r="AB468">
        <v>8</v>
      </c>
      <c r="AC468">
        <v>3</v>
      </c>
      <c r="AD468">
        <v>0</v>
      </c>
      <c r="AE468">
        <v>9</v>
      </c>
      <c r="AF468" t="s">
        <v>138</v>
      </c>
      <c r="AG468">
        <v>0</v>
      </c>
      <c r="AH468">
        <v>3</v>
      </c>
      <c r="AI468">
        <v>1</v>
      </c>
      <c r="AJ468">
        <v>0</v>
      </c>
      <c r="AK468" t="s">
        <v>278</v>
      </c>
      <c r="AL468">
        <v>32.817856999999997</v>
      </c>
      <c r="AM468" t="s">
        <v>290</v>
      </c>
      <c r="AN468">
        <v>-116.985061</v>
      </c>
      <c r="AO468">
        <v>25</v>
      </c>
      <c r="AP468">
        <v>1600</v>
      </c>
      <c r="AQ468" t="s">
        <v>129</v>
      </c>
      <c r="AR468">
        <v>146</v>
      </c>
      <c r="AS468">
        <v>0</v>
      </c>
      <c r="AT468">
        <v>-960</v>
      </c>
      <c r="BB468">
        <v>740</v>
      </c>
      <c r="BC468">
        <v>1</v>
      </c>
      <c r="BD468" t="str">
        <f t="shared" si="165"/>
        <v xml:space="preserve">N887QR  </v>
      </c>
      <c r="BE468">
        <v>1</v>
      </c>
      <c r="BG468">
        <v>0</v>
      </c>
      <c r="BH468">
        <v>0</v>
      </c>
      <c r="BI468">
        <v>0</v>
      </c>
      <c r="BJ468">
        <v>1225</v>
      </c>
      <c r="BK468">
        <v>-375</v>
      </c>
      <c r="BL468" t="s">
        <v>163</v>
      </c>
      <c r="BM468">
        <v>1</v>
      </c>
      <c r="BN468">
        <v>1</v>
      </c>
      <c r="BO468">
        <v>1</v>
      </c>
      <c r="BP468">
        <v>0</v>
      </c>
      <c r="BS468">
        <v>0</v>
      </c>
      <c r="BT468">
        <v>0</v>
      </c>
      <c r="BU468">
        <v>0</v>
      </c>
      <c r="CE468" t="str">
        <f t="shared" ref="CE468:CE474" si="173">"19:26:57.149"</f>
        <v>19:26:57.149</v>
      </c>
      <c r="CF468">
        <v>149205824</v>
      </c>
      <c r="CS468">
        <v>3</v>
      </c>
      <c r="CT468">
        <v>2</v>
      </c>
      <c r="CU468">
        <v>0</v>
      </c>
      <c r="CV468">
        <v>2</v>
      </c>
      <c r="CW468">
        <v>0</v>
      </c>
      <c r="CX468">
        <v>6</v>
      </c>
      <c r="CY468">
        <v>7</v>
      </c>
      <c r="CZ468" t="s">
        <v>131</v>
      </c>
      <c r="DA468">
        <v>300</v>
      </c>
      <c r="DB468">
        <v>0</v>
      </c>
      <c r="DC468" t="s">
        <v>176</v>
      </c>
      <c r="DD468" t="s">
        <v>177</v>
      </c>
      <c r="DG468">
        <v>5363773</v>
      </c>
      <c r="DI468">
        <v>1</v>
      </c>
      <c r="DJ468">
        <v>0</v>
      </c>
      <c r="DK468">
        <v>0</v>
      </c>
      <c r="DL468">
        <v>0</v>
      </c>
      <c r="DM468">
        <v>0</v>
      </c>
      <c r="DN468">
        <v>1</v>
      </c>
      <c r="DO468">
        <v>0</v>
      </c>
      <c r="DP468">
        <v>0</v>
      </c>
      <c r="DQ468">
        <v>0</v>
      </c>
      <c r="DR468">
        <v>0</v>
      </c>
      <c r="DS468">
        <v>0</v>
      </c>
    </row>
    <row r="469" spans="1:123" x14ac:dyDescent="0.3">
      <c r="A469" t="str">
        <f t="shared" si="171"/>
        <v>10/04/2022 19:26:57.358</v>
      </c>
      <c r="C469" t="str">
        <f t="shared" si="163"/>
        <v>FFDFD3C0</v>
      </c>
      <c r="D469" t="s">
        <v>134</v>
      </c>
      <c r="E469">
        <v>15</v>
      </c>
      <c r="J469" t="s">
        <v>135</v>
      </c>
      <c r="K469">
        <v>0</v>
      </c>
      <c r="L469">
        <v>3</v>
      </c>
      <c r="M469">
        <v>0</v>
      </c>
      <c r="N469">
        <v>2</v>
      </c>
      <c r="O469">
        <v>0</v>
      </c>
      <c r="P469">
        <v>1</v>
      </c>
      <c r="Q469">
        <v>0</v>
      </c>
      <c r="S469" t="str">
        <f t="shared" si="172"/>
        <v>19:26:57.000</v>
      </c>
      <c r="T469" t="str">
        <f t="shared" si="172"/>
        <v>19:26:57.000</v>
      </c>
      <c r="U469" t="str">
        <f t="shared" si="164"/>
        <v>AC3944</v>
      </c>
      <c r="V469">
        <v>0</v>
      </c>
      <c r="W469">
        <v>0</v>
      </c>
      <c r="X469">
        <v>2</v>
      </c>
      <c r="Y469">
        <v>0</v>
      </c>
      <c r="AA469">
        <v>1</v>
      </c>
      <c r="AB469">
        <v>8</v>
      </c>
      <c r="AC469">
        <v>3</v>
      </c>
      <c r="AD469">
        <v>0</v>
      </c>
      <c r="AE469">
        <v>9</v>
      </c>
      <c r="AF469" t="s">
        <v>138</v>
      </c>
      <c r="AG469">
        <v>0</v>
      </c>
      <c r="AH469">
        <v>3</v>
      </c>
      <c r="AI469">
        <v>1</v>
      </c>
      <c r="AJ469">
        <v>0</v>
      </c>
      <c r="AK469" t="s">
        <v>278</v>
      </c>
      <c r="AL469">
        <v>32.817856999999997</v>
      </c>
      <c r="AM469" t="s">
        <v>290</v>
      </c>
      <c r="AN469">
        <v>-116.985061</v>
      </c>
      <c r="AO469">
        <v>25</v>
      </c>
      <c r="AP469">
        <v>1600</v>
      </c>
      <c r="AQ469" t="s">
        <v>129</v>
      </c>
      <c r="AR469">
        <v>146</v>
      </c>
      <c r="AS469">
        <v>0</v>
      </c>
      <c r="AT469">
        <v>-960</v>
      </c>
      <c r="BB469">
        <v>740</v>
      </c>
      <c r="BC469">
        <v>1</v>
      </c>
      <c r="BD469" t="str">
        <f t="shared" si="165"/>
        <v xml:space="preserve">N887QR  </v>
      </c>
      <c r="BE469">
        <v>1</v>
      </c>
      <c r="BG469">
        <v>0</v>
      </c>
      <c r="BH469">
        <v>0</v>
      </c>
      <c r="BI469">
        <v>0</v>
      </c>
      <c r="BJ469">
        <v>1225</v>
      </c>
      <c r="BK469">
        <v>-375</v>
      </c>
      <c r="BL469" t="s">
        <v>163</v>
      </c>
      <c r="BM469">
        <v>1</v>
      </c>
      <c r="BN469">
        <v>1</v>
      </c>
      <c r="BO469">
        <v>1</v>
      </c>
      <c r="BP469">
        <v>0</v>
      </c>
      <c r="BS469">
        <v>0</v>
      </c>
      <c r="BT469">
        <v>0</v>
      </c>
      <c r="BU469">
        <v>0</v>
      </c>
      <c r="CE469" t="str">
        <f t="shared" si="173"/>
        <v>19:26:57.149</v>
      </c>
      <c r="CF469">
        <v>149205824</v>
      </c>
      <c r="CS469">
        <v>3</v>
      </c>
      <c r="CT469">
        <v>2</v>
      </c>
      <c r="CU469">
        <v>0</v>
      </c>
      <c r="CV469">
        <v>2</v>
      </c>
      <c r="CW469">
        <v>0</v>
      </c>
      <c r="CX469">
        <v>6</v>
      </c>
      <c r="CY469">
        <v>7</v>
      </c>
      <c r="CZ469" t="s">
        <v>131</v>
      </c>
      <c r="DA469">
        <v>300</v>
      </c>
      <c r="DB469">
        <v>0</v>
      </c>
      <c r="DC469" t="s">
        <v>176</v>
      </c>
      <c r="DD469" t="s">
        <v>177</v>
      </c>
      <c r="DG469">
        <v>5363773</v>
      </c>
      <c r="DI469">
        <v>1</v>
      </c>
      <c r="DJ469">
        <v>0</v>
      </c>
      <c r="DK469">
        <v>1</v>
      </c>
      <c r="DL469">
        <v>0</v>
      </c>
      <c r="DM469">
        <v>0</v>
      </c>
      <c r="DN469">
        <v>1</v>
      </c>
      <c r="DO469">
        <v>0</v>
      </c>
      <c r="DP469">
        <v>0</v>
      </c>
      <c r="DQ469">
        <v>0</v>
      </c>
      <c r="DR469">
        <v>0</v>
      </c>
      <c r="DS469">
        <v>0</v>
      </c>
    </row>
    <row r="470" spans="1:123" x14ac:dyDescent="0.3">
      <c r="A470" t="str">
        <f t="shared" si="171"/>
        <v>10/04/2022 19:26:57.358</v>
      </c>
      <c r="C470" t="str">
        <f t="shared" si="163"/>
        <v>FFDFD3C0</v>
      </c>
      <c r="D470" t="s">
        <v>141</v>
      </c>
      <c r="E470">
        <v>3</v>
      </c>
      <c r="H470">
        <v>3</v>
      </c>
      <c r="I470" t="s">
        <v>146</v>
      </c>
      <c r="J470" t="s">
        <v>138</v>
      </c>
      <c r="K470">
        <v>0</v>
      </c>
      <c r="L470">
        <v>3</v>
      </c>
      <c r="M470">
        <v>0</v>
      </c>
      <c r="N470">
        <v>2</v>
      </c>
      <c r="O470">
        <v>0</v>
      </c>
      <c r="P470">
        <v>1</v>
      </c>
      <c r="Q470">
        <v>0</v>
      </c>
      <c r="S470" t="str">
        <f t="shared" si="172"/>
        <v>19:26:57.000</v>
      </c>
      <c r="T470" t="str">
        <f t="shared" si="172"/>
        <v>19:26:57.000</v>
      </c>
      <c r="U470" t="str">
        <f t="shared" si="164"/>
        <v>AC3944</v>
      </c>
      <c r="V470">
        <v>0</v>
      </c>
      <c r="W470">
        <v>0</v>
      </c>
      <c r="X470">
        <v>2</v>
      </c>
      <c r="Y470">
        <v>0</v>
      </c>
      <c r="AA470">
        <v>1</v>
      </c>
      <c r="AB470">
        <v>8</v>
      </c>
      <c r="AC470">
        <v>3</v>
      </c>
      <c r="AD470">
        <v>0</v>
      </c>
      <c r="AE470">
        <v>9</v>
      </c>
      <c r="AF470" t="s">
        <v>138</v>
      </c>
      <c r="AG470">
        <v>0</v>
      </c>
      <c r="AH470">
        <v>3</v>
      </c>
      <c r="AI470">
        <v>1</v>
      </c>
      <c r="AJ470">
        <v>0</v>
      </c>
      <c r="AK470" t="s">
        <v>278</v>
      </c>
      <c r="AL470">
        <v>32.817856999999997</v>
      </c>
      <c r="AM470" t="s">
        <v>290</v>
      </c>
      <c r="AN470">
        <v>-116.985061</v>
      </c>
      <c r="AO470">
        <v>25</v>
      </c>
      <c r="AP470">
        <v>1600</v>
      </c>
      <c r="AQ470" t="s">
        <v>129</v>
      </c>
      <c r="AR470">
        <v>146</v>
      </c>
      <c r="AS470">
        <v>0</v>
      </c>
      <c r="AT470">
        <v>-960</v>
      </c>
      <c r="BB470">
        <v>740</v>
      </c>
      <c r="BC470">
        <v>1</v>
      </c>
      <c r="BD470" t="str">
        <f t="shared" si="165"/>
        <v xml:space="preserve">N887QR  </v>
      </c>
      <c r="BE470">
        <v>1</v>
      </c>
      <c r="BG470">
        <v>0</v>
      </c>
      <c r="BH470">
        <v>0</v>
      </c>
      <c r="BI470">
        <v>0</v>
      </c>
      <c r="BJ470">
        <v>1225</v>
      </c>
      <c r="BK470">
        <v>-375</v>
      </c>
      <c r="BL470" t="s">
        <v>163</v>
      </c>
      <c r="BM470">
        <v>1</v>
      </c>
      <c r="BN470">
        <v>1</v>
      </c>
      <c r="BO470">
        <v>1</v>
      </c>
      <c r="BP470">
        <v>0</v>
      </c>
      <c r="BS470">
        <v>0</v>
      </c>
      <c r="BT470">
        <v>0</v>
      </c>
      <c r="BU470">
        <v>0</v>
      </c>
      <c r="CE470" t="str">
        <f t="shared" si="173"/>
        <v>19:26:57.149</v>
      </c>
      <c r="CF470">
        <v>149205824</v>
      </c>
      <c r="CS470">
        <v>3</v>
      </c>
      <c r="CT470">
        <v>2</v>
      </c>
      <c r="CU470">
        <v>0</v>
      </c>
      <c r="CV470">
        <v>2</v>
      </c>
      <c r="CW470">
        <v>0</v>
      </c>
      <c r="CX470">
        <v>6</v>
      </c>
      <c r="CY470">
        <v>7</v>
      </c>
      <c r="CZ470" t="s">
        <v>131</v>
      </c>
      <c r="DA470">
        <v>300</v>
      </c>
      <c r="DB470">
        <v>0</v>
      </c>
      <c r="DC470" t="s">
        <v>176</v>
      </c>
      <c r="DD470" t="s">
        <v>177</v>
      </c>
      <c r="DG470">
        <v>5363773</v>
      </c>
      <c r="DI470">
        <v>1</v>
      </c>
      <c r="DJ470">
        <v>0</v>
      </c>
      <c r="DK470">
        <v>1</v>
      </c>
      <c r="DL470">
        <v>0</v>
      </c>
      <c r="DM470">
        <v>0</v>
      </c>
      <c r="DN470">
        <v>1</v>
      </c>
      <c r="DO470">
        <v>0</v>
      </c>
      <c r="DP470">
        <v>0</v>
      </c>
      <c r="DQ470">
        <v>0</v>
      </c>
      <c r="DR470">
        <v>0</v>
      </c>
      <c r="DS470">
        <v>0</v>
      </c>
    </row>
    <row r="471" spans="1:123" x14ac:dyDescent="0.3">
      <c r="A471" t="str">
        <f t="shared" si="171"/>
        <v>10/04/2022 19:26:57.358</v>
      </c>
      <c r="C471" t="str">
        <f t="shared" si="163"/>
        <v>FFDFD3C0</v>
      </c>
      <c r="D471" t="s">
        <v>136</v>
      </c>
      <c r="E471">
        <v>8</v>
      </c>
      <c r="H471">
        <v>225</v>
      </c>
      <c r="I471" t="s">
        <v>137</v>
      </c>
      <c r="J471" t="s">
        <v>138</v>
      </c>
      <c r="K471">
        <v>0</v>
      </c>
      <c r="L471">
        <v>3</v>
      </c>
      <c r="M471">
        <v>0</v>
      </c>
      <c r="N471">
        <v>2</v>
      </c>
      <c r="O471">
        <v>0</v>
      </c>
      <c r="P471">
        <v>1</v>
      </c>
      <c r="Q471">
        <v>0</v>
      </c>
      <c r="S471" t="str">
        <f t="shared" si="172"/>
        <v>19:26:57.000</v>
      </c>
      <c r="T471" t="str">
        <f t="shared" si="172"/>
        <v>19:26:57.000</v>
      </c>
      <c r="U471" t="str">
        <f t="shared" si="164"/>
        <v>AC3944</v>
      </c>
      <c r="V471">
        <v>0</v>
      </c>
      <c r="W471">
        <v>0</v>
      </c>
      <c r="X471">
        <v>2</v>
      </c>
      <c r="Y471">
        <v>0</v>
      </c>
      <c r="AA471">
        <v>1</v>
      </c>
      <c r="AB471">
        <v>8</v>
      </c>
      <c r="AC471">
        <v>3</v>
      </c>
      <c r="AD471">
        <v>0</v>
      </c>
      <c r="AE471">
        <v>9</v>
      </c>
      <c r="AF471" t="s">
        <v>138</v>
      </c>
      <c r="AG471">
        <v>0</v>
      </c>
      <c r="AH471">
        <v>3</v>
      </c>
      <c r="AI471">
        <v>1</v>
      </c>
      <c r="AJ471">
        <v>0</v>
      </c>
      <c r="AK471" t="s">
        <v>278</v>
      </c>
      <c r="AL471">
        <v>32.817856999999997</v>
      </c>
      <c r="AM471" t="s">
        <v>290</v>
      </c>
      <c r="AN471">
        <v>-116.985061</v>
      </c>
      <c r="AO471">
        <v>25</v>
      </c>
      <c r="AP471">
        <v>1600</v>
      </c>
      <c r="AQ471" t="s">
        <v>129</v>
      </c>
      <c r="AR471">
        <v>146</v>
      </c>
      <c r="AS471">
        <v>0</v>
      </c>
      <c r="AT471">
        <v>-960</v>
      </c>
      <c r="BB471">
        <v>740</v>
      </c>
      <c r="BC471">
        <v>1</v>
      </c>
      <c r="BD471" t="str">
        <f t="shared" si="165"/>
        <v xml:space="preserve">N887QR  </v>
      </c>
      <c r="BE471">
        <v>1</v>
      </c>
      <c r="BG471">
        <v>0</v>
      </c>
      <c r="BH471">
        <v>0</v>
      </c>
      <c r="BI471">
        <v>0</v>
      </c>
      <c r="BJ471">
        <v>1225</v>
      </c>
      <c r="BK471">
        <v>-375</v>
      </c>
      <c r="BL471" t="s">
        <v>163</v>
      </c>
      <c r="BM471">
        <v>1</v>
      </c>
      <c r="BN471">
        <v>1</v>
      </c>
      <c r="BO471">
        <v>1</v>
      </c>
      <c r="BP471">
        <v>0</v>
      </c>
      <c r="BS471">
        <v>0</v>
      </c>
      <c r="BT471">
        <v>0</v>
      </c>
      <c r="BU471">
        <v>0</v>
      </c>
      <c r="CE471" t="str">
        <f t="shared" si="173"/>
        <v>19:26:57.149</v>
      </c>
      <c r="CF471">
        <v>149205824</v>
      </c>
      <c r="CS471">
        <v>3</v>
      </c>
      <c r="CT471">
        <v>2</v>
      </c>
      <c r="CU471">
        <v>0</v>
      </c>
      <c r="CV471">
        <v>2</v>
      </c>
      <c r="CW471">
        <v>0</v>
      </c>
      <c r="CX471">
        <v>6</v>
      </c>
      <c r="CY471">
        <v>7</v>
      </c>
      <c r="CZ471" t="s">
        <v>131</v>
      </c>
      <c r="DA471">
        <v>300</v>
      </c>
      <c r="DB471">
        <v>0</v>
      </c>
      <c r="DC471" t="s">
        <v>176</v>
      </c>
      <c r="DD471" t="s">
        <v>177</v>
      </c>
      <c r="DG471">
        <v>5363773</v>
      </c>
      <c r="DI471">
        <v>1</v>
      </c>
      <c r="DJ471">
        <v>0</v>
      </c>
      <c r="DK471">
        <v>1</v>
      </c>
      <c r="DL471">
        <v>0</v>
      </c>
      <c r="DM471">
        <v>0</v>
      </c>
      <c r="DN471">
        <v>1</v>
      </c>
      <c r="DO471">
        <v>0</v>
      </c>
      <c r="DP471">
        <v>0</v>
      </c>
      <c r="DQ471">
        <v>0</v>
      </c>
      <c r="DR471">
        <v>0</v>
      </c>
      <c r="DS471">
        <v>0</v>
      </c>
    </row>
    <row r="472" spans="1:123" x14ac:dyDescent="0.3">
      <c r="A472" t="str">
        <f t="shared" si="171"/>
        <v>10/04/2022 19:26:57.358</v>
      </c>
      <c r="C472" t="str">
        <f t="shared" si="163"/>
        <v>FFDFD3C0</v>
      </c>
      <c r="D472" t="s">
        <v>147</v>
      </c>
      <c r="E472">
        <v>3</v>
      </c>
      <c r="H472">
        <v>166</v>
      </c>
      <c r="I472" t="s">
        <v>144</v>
      </c>
      <c r="J472" t="s">
        <v>148</v>
      </c>
      <c r="K472">
        <v>0</v>
      </c>
      <c r="L472">
        <v>3</v>
      </c>
      <c r="M472">
        <v>0</v>
      </c>
      <c r="N472">
        <v>2</v>
      </c>
      <c r="O472">
        <v>0</v>
      </c>
      <c r="P472">
        <v>1</v>
      </c>
      <c r="Q472">
        <v>0</v>
      </c>
      <c r="S472" t="str">
        <f t="shared" si="172"/>
        <v>19:26:57.000</v>
      </c>
      <c r="T472" t="str">
        <f t="shared" si="172"/>
        <v>19:26:57.000</v>
      </c>
      <c r="U472" t="str">
        <f t="shared" si="164"/>
        <v>AC3944</v>
      </c>
      <c r="V472">
        <v>0</v>
      </c>
      <c r="W472">
        <v>0</v>
      </c>
      <c r="X472">
        <v>2</v>
      </c>
      <c r="Y472">
        <v>0</v>
      </c>
      <c r="AA472">
        <v>1</v>
      </c>
      <c r="AB472">
        <v>8</v>
      </c>
      <c r="AC472">
        <v>3</v>
      </c>
      <c r="AD472">
        <v>0</v>
      </c>
      <c r="AE472">
        <v>9</v>
      </c>
      <c r="AF472" t="s">
        <v>138</v>
      </c>
      <c r="AG472">
        <v>0</v>
      </c>
      <c r="AH472">
        <v>3</v>
      </c>
      <c r="AI472">
        <v>1</v>
      </c>
      <c r="AJ472">
        <v>0</v>
      </c>
      <c r="AK472" t="s">
        <v>278</v>
      </c>
      <c r="AL472">
        <v>32.817856999999997</v>
      </c>
      <c r="AM472" t="s">
        <v>290</v>
      </c>
      <c r="AN472">
        <v>-116.985061</v>
      </c>
      <c r="AO472">
        <v>25</v>
      </c>
      <c r="AP472">
        <v>1600</v>
      </c>
      <c r="AQ472" t="s">
        <v>129</v>
      </c>
      <c r="AR472">
        <v>146</v>
      </c>
      <c r="AS472">
        <v>0</v>
      </c>
      <c r="AT472">
        <v>-960</v>
      </c>
      <c r="BB472">
        <v>740</v>
      </c>
      <c r="BC472">
        <v>1</v>
      </c>
      <c r="BD472" t="str">
        <f t="shared" si="165"/>
        <v xml:space="preserve">N887QR  </v>
      </c>
      <c r="BE472">
        <v>1</v>
      </c>
      <c r="BG472">
        <v>0</v>
      </c>
      <c r="BH472">
        <v>0</v>
      </c>
      <c r="BI472">
        <v>0</v>
      </c>
      <c r="BJ472">
        <v>1225</v>
      </c>
      <c r="BK472">
        <v>-375</v>
      </c>
      <c r="BL472" t="s">
        <v>163</v>
      </c>
      <c r="BM472">
        <v>1</v>
      </c>
      <c r="BN472">
        <v>1</v>
      </c>
      <c r="BO472">
        <v>1</v>
      </c>
      <c r="BP472">
        <v>0</v>
      </c>
      <c r="BS472">
        <v>0</v>
      </c>
      <c r="BT472">
        <v>0</v>
      </c>
      <c r="BU472">
        <v>0</v>
      </c>
      <c r="CE472" t="str">
        <f t="shared" si="173"/>
        <v>19:26:57.149</v>
      </c>
      <c r="CF472">
        <v>149205824</v>
      </c>
      <c r="CS472">
        <v>3</v>
      </c>
      <c r="CT472">
        <v>2</v>
      </c>
      <c r="CU472">
        <v>0</v>
      </c>
      <c r="CV472">
        <v>2</v>
      </c>
      <c r="CW472">
        <v>0</v>
      </c>
      <c r="CX472">
        <v>6</v>
      </c>
      <c r="CY472">
        <v>7</v>
      </c>
      <c r="CZ472" t="s">
        <v>131</v>
      </c>
      <c r="DA472">
        <v>300</v>
      </c>
      <c r="DB472">
        <v>0</v>
      </c>
      <c r="DC472" t="s">
        <v>176</v>
      </c>
      <c r="DD472" t="s">
        <v>177</v>
      </c>
      <c r="DG472">
        <v>5363773</v>
      </c>
      <c r="DI472">
        <v>1</v>
      </c>
      <c r="DJ472">
        <v>0</v>
      </c>
      <c r="DK472">
        <v>1</v>
      </c>
      <c r="DL472">
        <v>0</v>
      </c>
      <c r="DM472">
        <v>0</v>
      </c>
      <c r="DN472">
        <v>1</v>
      </c>
      <c r="DO472">
        <v>0</v>
      </c>
      <c r="DP472">
        <v>0</v>
      </c>
      <c r="DQ472">
        <v>0</v>
      </c>
      <c r="DR472">
        <v>0</v>
      </c>
      <c r="DS472">
        <v>0</v>
      </c>
    </row>
    <row r="473" spans="1:123" x14ac:dyDescent="0.3">
      <c r="A473" t="str">
        <f t="shared" si="171"/>
        <v>10/04/2022 19:26:57.358</v>
      </c>
      <c r="C473" t="str">
        <f t="shared" si="163"/>
        <v>FFDFD3C0</v>
      </c>
      <c r="D473" t="s">
        <v>143</v>
      </c>
      <c r="E473">
        <v>20</v>
      </c>
      <c r="F473">
        <v>1020</v>
      </c>
      <c r="G473" t="s">
        <v>144</v>
      </c>
      <c r="J473" t="s">
        <v>145</v>
      </c>
      <c r="K473">
        <v>0</v>
      </c>
      <c r="L473">
        <v>3</v>
      </c>
      <c r="M473">
        <v>0</v>
      </c>
      <c r="N473">
        <v>2</v>
      </c>
      <c r="O473">
        <v>0</v>
      </c>
      <c r="P473">
        <v>1</v>
      </c>
      <c r="Q473">
        <v>0</v>
      </c>
      <c r="S473" t="str">
        <f t="shared" si="172"/>
        <v>19:26:57.000</v>
      </c>
      <c r="T473" t="str">
        <f t="shared" si="172"/>
        <v>19:26:57.000</v>
      </c>
      <c r="U473" t="str">
        <f t="shared" si="164"/>
        <v>AC3944</v>
      </c>
      <c r="V473">
        <v>0</v>
      </c>
      <c r="W473">
        <v>0</v>
      </c>
      <c r="X473">
        <v>2</v>
      </c>
      <c r="Y473">
        <v>0</v>
      </c>
      <c r="AA473">
        <v>1</v>
      </c>
      <c r="AB473">
        <v>8</v>
      </c>
      <c r="AC473">
        <v>3</v>
      </c>
      <c r="AD473">
        <v>0</v>
      </c>
      <c r="AE473">
        <v>9</v>
      </c>
      <c r="AF473" t="s">
        <v>138</v>
      </c>
      <c r="AG473">
        <v>0</v>
      </c>
      <c r="AH473">
        <v>3</v>
      </c>
      <c r="AI473">
        <v>1</v>
      </c>
      <c r="AJ473">
        <v>0</v>
      </c>
      <c r="AK473" t="s">
        <v>278</v>
      </c>
      <c r="AL473">
        <v>32.817856999999997</v>
      </c>
      <c r="AM473" t="s">
        <v>290</v>
      </c>
      <c r="AN473">
        <v>-116.985061</v>
      </c>
      <c r="AO473">
        <v>25</v>
      </c>
      <c r="AP473">
        <v>1600</v>
      </c>
      <c r="AQ473" t="s">
        <v>129</v>
      </c>
      <c r="AR473">
        <v>146</v>
      </c>
      <c r="AS473">
        <v>0</v>
      </c>
      <c r="AT473">
        <v>-960</v>
      </c>
      <c r="BB473">
        <v>740</v>
      </c>
      <c r="BC473">
        <v>1</v>
      </c>
      <c r="BD473" t="str">
        <f t="shared" si="165"/>
        <v xml:space="preserve">N887QR  </v>
      </c>
      <c r="BE473">
        <v>1</v>
      </c>
      <c r="BG473">
        <v>0</v>
      </c>
      <c r="BH473">
        <v>0</v>
      </c>
      <c r="BI473">
        <v>0</v>
      </c>
      <c r="BJ473">
        <v>1225</v>
      </c>
      <c r="BK473">
        <v>-375</v>
      </c>
      <c r="BL473" t="s">
        <v>163</v>
      </c>
      <c r="BM473">
        <v>1</v>
      </c>
      <c r="BN473">
        <v>1</v>
      </c>
      <c r="BO473">
        <v>1</v>
      </c>
      <c r="BP473">
        <v>0</v>
      </c>
      <c r="BS473">
        <v>0</v>
      </c>
      <c r="BT473">
        <v>0</v>
      </c>
      <c r="BU473">
        <v>0</v>
      </c>
      <c r="CE473" t="str">
        <f t="shared" si="173"/>
        <v>19:26:57.149</v>
      </c>
      <c r="CF473">
        <v>149205824</v>
      </c>
      <c r="CS473">
        <v>3</v>
      </c>
      <c r="CT473">
        <v>2</v>
      </c>
      <c r="CU473">
        <v>0</v>
      </c>
      <c r="CV473">
        <v>2</v>
      </c>
      <c r="CW473">
        <v>0</v>
      </c>
      <c r="CX473">
        <v>6</v>
      </c>
      <c r="CY473">
        <v>7</v>
      </c>
      <c r="CZ473" t="s">
        <v>131</v>
      </c>
      <c r="DA473">
        <v>300</v>
      </c>
      <c r="DB473">
        <v>0</v>
      </c>
      <c r="DC473" t="s">
        <v>176</v>
      </c>
      <c r="DD473" t="s">
        <v>177</v>
      </c>
      <c r="DG473">
        <v>5363773</v>
      </c>
      <c r="DI473">
        <v>1</v>
      </c>
      <c r="DJ473">
        <v>0</v>
      </c>
      <c r="DK473">
        <v>1</v>
      </c>
      <c r="DL473">
        <v>0</v>
      </c>
      <c r="DM473">
        <v>0</v>
      </c>
      <c r="DN473">
        <v>1</v>
      </c>
      <c r="DO473">
        <v>0</v>
      </c>
      <c r="DP473">
        <v>0</v>
      </c>
      <c r="DQ473">
        <v>0</v>
      </c>
      <c r="DR473">
        <v>0</v>
      </c>
      <c r="DS473">
        <v>0</v>
      </c>
    </row>
    <row r="474" spans="1:123" x14ac:dyDescent="0.3">
      <c r="A474" t="str">
        <f t="shared" si="171"/>
        <v>10/04/2022 19:26:57.358</v>
      </c>
      <c r="C474" t="str">
        <f t="shared" si="163"/>
        <v>FFDFD3C0</v>
      </c>
      <c r="D474" t="s">
        <v>123</v>
      </c>
      <c r="E474">
        <v>7</v>
      </c>
      <c r="F474">
        <v>2007</v>
      </c>
      <c r="G474" t="s">
        <v>124</v>
      </c>
      <c r="J474" t="s">
        <v>125</v>
      </c>
      <c r="K474">
        <v>0</v>
      </c>
      <c r="L474">
        <v>3</v>
      </c>
      <c r="M474">
        <v>0</v>
      </c>
      <c r="N474">
        <v>2</v>
      </c>
      <c r="O474">
        <v>0</v>
      </c>
      <c r="P474">
        <v>1</v>
      </c>
      <c r="Q474">
        <v>0</v>
      </c>
      <c r="S474" t="str">
        <f t="shared" si="172"/>
        <v>19:26:57.000</v>
      </c>
      <c r="T474" t="str">
        <f t="shared" si="172"/>
        <v>19:26:57.000</v>
      </c>
      <c r="U474" t="str">
        <f t="shared" si="164"/>
        <v>AC3944</v>
      </c>
      <c r="V474">
        <v>0</v>
      </c>
      <c r="W474">
        <v>0</v>
      </c>
      <c r="X474">
        <v>2</v>
      </c>
      <c r="Y474">
        <v>0</v>
      </c>
      <c r="AA474">
        <v>1</v>
      </c>
      <c r="AB474">
        <v>8</v>
      </c>
      <c r="AC474">
        <v>3</v>
      </c>
      <c r="AD474">
        <v>0</v>
      </c>
      <c r="AE474">
        <v>9</v>
      </c>
      <c r="AF474" t="s">
        <v>138</v>
      </c>
      <c r="AG474">
        <v>0</v>
      </c>
      <c r="AH474">
        <v>3</v>
      </c>
      <c r="AI474">
        <v>1</v>
      </c>
      <c r="AJ474">
        <v>0</v>
      </c>
      <c r="AK474" t="s">
        <v>278</v>
      </c>
      <c r="AL474">
        <v>32.817856999999997</v>
      </c>
      <c r="AM474" t="s">
        <v>290</v>
      </c>
      <c r="AN474">
        <v>-116.985061</v>
      </c>
      <c r="AO474">
        <v>25</v>
      </c>
      <c r="AP474">
        <v>1600</v>
      </c>
      <c r="AQ474" t="s">
        <v>129</v>
      </c>
      <c r="AR474">
        <v>146</v>
      </c>
      <c r="AS474">
        <v>0</v>
      </c>
      <c r="AT474">
        <v>-960</v>
      </c>
      <c r="BB474">
        <v>740</v>
      </c>
      <c r="BC474">
        <v>1</v>
      </c>
      <c r="BD474" t="str">
        <f t="shared" si="165"/>
        <v xml:space="preserve">N887QR  </v>
      </c>
      <c r="BE474">
        <v>1</v>
      </c>
      <c r="BG474">
        <v>0</v>
      </c>
      <c r="BH474">
        <v>0</v>
      </c>
      <c r="BI474">
        <v>0</v>
      </c>
      <c r="BJ474">
        <v>1225</v>
      </c>
      <c r="BK474">
        <v>-375</v>
      </c>
      <c r="BL474" t="s">
        <v>163</v>
      </c>
      <c r="BM474">
        <v>1</v>
      </c>
      <c r="BN474">
        <v>1</v>
      </c>
      <c r="BO474">
        <v>1</v>
      </c>
      <c r="BP474">
        <v>0</v>
      </c>
      <c r="BS474">
        <v>0</v>
      </c>
      <c r="BT474">
        <v>0</v>
      </c>
      <c r="BU474">
        <v>0</v>
      </c>
      <c r="CE474" t="str">
        <f t="shared" si="173"/>
        <v>19:26:57.149</v>
      </c>
      <c r="CF474">
        <v>149205824</v>
      </c>
      <c r="CS474">
        <v>3</v>
      </c>
      <c r="CT474">
        <v>2</v>
      </c>
      <c r="CU474">
        <v>0</v>
      </c>
      <c r="CV474">
        <v>2</v>
      </c>
      <c r="CW474">
        <v>0</v>
      </c>
      <c r="CX474">
        <v>6</v>
      </c>
      <c r="CY474">
        <v>7</v>
      </c>
      <c r="CZ474" t="s">
        <v>131</v>
      </c>
      <c r="DA474">
        <v>300</v>
      </c>
      <c r="DB474">
        <v>0</v>
      </c>
      <c r="DC474" t="s">
        <v>176</v>
      </c>
      <c r="DD474" t="s">
        <v>177</v>
      </c>
      <c r="DG474">
        <v>5363773</v>
      </c>
      <c r="DI474">
        <v>1</v>
      </c>
      <c r="DJ474">
        <v>0</v>
      </c>
      <c r="DK474">
        <v>1</v>
      </c>
      <c r="DL474">
        <v>0</v>
      </c>
      <c r="DM474">
        <v>0</v>
      </c>
      <c r="DN474">
        <v>1</v>
      </c>
      <c r="DO474">
        <v>0</v>
      </c>
      <c r="DP474">
        <v>0</v>
      </c>
      <c r="DQ474">
        <v>0</v>
      </c>
      <c r="DR474">
        <v>0</v>
      </c>
      <c r="DS474">
        <v>0</v>
      </c>
    </row>
    <row r="475" spans="1:123" x14ac:dyDescent="0.3">
      <c r="A475" t="str">
        <f>"10/04/2022 19:26:57.952"</f>
        <v>10/04/2022 19:26:57.952</v>
      </c>
      <c r="C475" t="str">
        <f t="shared" si="163"/>
        <v>FFDFD3C0</v>
      </c>
      <c r="D475" t="s">
        <v>134</v>
      </c>
      <c r="E475">
        <v>15</v>
      </c>
      <c r="J475" t="s">
        <v>135</v>
      </c>
      <c r="K475">
        <v>0</v>
      </c>
      <c r="L475">
        <v>3</v>
      </c>
      <c r="M475">
        <v>0</v>
      </c>
      <c r="N475">
        <v>2</v>
      </c>
      <c r="O475">
        <v>0</v>
      </c>
      <c r="P475">
        <v>1</v>
      </c>
      <c r="Q475">
        <v>0</v>
      </c>
      <c r="S475" t="str">
        <f t="shared" si="172"/>
        <v>19:26:57.000</v>
      </c>
      <c r="T475" t="str">
        <f t="shared" si="172"/>
        <v>19:26:57.000</v>
      </c>
      <c r="U475" t="str">
        <f t="shared" si="164"/>
        <v>AC3944</v>
      </c>
      <c r="V475">
        <v>0</v>
      </c>
      <c r="W475">
        <v>0</v>
      </c>
      <c r="X475">
        <v>2</v>
      </c>
      <c r="Y475">
        <v>0</v>
      </c>
      <c r="AA475">
        <v>1</v>
      </c>
      <c r="AB475">
        <v>8</v>
      </c>
      <c r="AC475">
        <v>3</v>
      </c>
      <c r="AD475">
        <v>0</v>
      </c>
      <c r="AE475">
        <v>9</v>
      </c>
      <c r="AF475" t="s">
        <v>138</v>
      </c>
      <c r="AG475">
        <v>0</v>
      </c>
      <c r="AH475">
        <v>3</v>
      </c>
      <c r="AI475">
        <v>1</v>
      </c>
      <c r="AJ475">
        <v>0</v>
      </c>
      <c r="AK475" t="s">
        <v>278</v>
      </c>
      <c r="AL475">
        <v>32.817856999999997</v>
      </c>
      <c r="AM475" t="s">
        <v>291</v>
      </c>
      <c r="AN475">
        <v>-116.98441699999999</v>
      </c>
      <c r="AO475">
        <v>25</v>
      </c>
      <c r="AP475">
        <v>1600</v>
      </c>
      <c r="AQ475" t="s">
        <v>129</v>
      </c>
      <c r="AR475">
        <v>146</v>
      </c>
      <c r="AS475">
        <v>-1</v>
      </c>
      <c r="AT475">
        <v>-960</v>
      </c>
      <c r="BB475">
        <v>740</v>
      </c>
      <c r="BC475">
        <v>1</v>
      </c>
      <c r="BD475" t="str">
        <f t="shared" si="165"/>
        <v xml:space="preserve">N887QR  </v>
      </c>
      <c r="BE475">
        <v>1</v>
      </c>
      <c r="BG475">
        <v>0</v>
      </c>
      <c r="BH475">
        <v>0</v>
      </c>
      <c r="BI475">
        <v>0</v>
      </c>
      <c r="BJ475">
        <v>1225</v>
      </c>
      <c r="BK475">
        <v>-375</v>
      </c>
      <c r="BL475" t="s">
        <v>163</v>
      </c>
      <c r="BM475">
        <v>1</v>
      </c>
      <c r="BN475">
        <v>1</v>
      </c>
      <c r="BO475">
        <v>1</v>
      </c>
      <c r="BP475">
        <v>0</v>
      </c>
      <c r="BS475">
        <v>0</v>
      </c>
      <c r="BT475">
        <v>0</v>
      </c>
      <c r="BU475">
        <v>0</v>
      </c>
      <c r="CE475" t="str">
        <f t="shared" ref="CE475:CE481" si="174">"19:26:57.750"</f>
        <v>19:26:57.750</v>
      </c>
      <c r="CF475">
        <v>749957716</v>
      </c>
      <c r="CS475">
        <v>3</v>
      </c>
      <c r="CT475">
        <v>2</v>
      </c>
      <c r="CU475">
        <v>0</v>
      </c>
      <c r="CV475">
        <v>2</v>
      </c>
      <c r="CW475">
        <v>0</v>
      </c>
      <c r="CX475">
        <v>6</v>
      </c>
      <c r="CY475">
        <v>7</v>
      </c>
      <c r="CZ475" t="s">
        <v>131</v>
      </c>
      <c r="DA475">
        <v>300</v>
      </c>
      <c r="DB475">
        <v>0</v>
      </c>
      <c r="DC475" t="s">
        <v>176</v>
      </c>
      <c r="DD475" t="s">
        <v>177</v>
      </c>
      <c r="DG475">
        <v>5363874</v>
      </c>
      <c r="DI475">
        <v>1</v>
      </c>
      <c r="DJ475">
        <v>0</v>
      </c>
      <c r="DK475">
        <v>0</v>
      </c>
      <c r="DL475">
        <v>0</v>
      </c>
      <c r="DM475">
        <v>0</v>
      </c>
      <c r="DN475">
        <v>1</v>
      </c>
      <c r="DO475">
        <v>0</v>
      </c>
      <c r="DP475">
        <v>0</v>
      </c>
      <c r="DQ475">
        <v>0</v>
      </c>
      <c r="DR475">
        <v>0</v>
      </c>
      <c r="DS475">
        <v>0</v>
      </c>
    </row>
    <row r="476" spans="1:123" x14ac:dyDescent="0.3">
      <c r="A476" t="str">
        <f>"10/04/2022 19:26:57.952"</f>
        <v>10/04/2022 19:26:57.952</v>
      </c>
      <c r="C476" t="str">
        <f t="shared" si="163"/>
        <v>FFDFD3C0</v>
      </c>
      <c r="D476" t="s">
        <v>141</v>
      </c>
      <c r="E476">
        <v>3</v>
      </c>
      <c r="H476">
        <v>3</v>
      </c>
      <c r="I476" t="s">
        <v>146</v>
      </c>
      <c r="J476" t="s">
        <v>138</v>
      </c>
      <c r="K476">
        <v>0</v>
      </c>
      <c r="L476">
        <v>3</v>
      </c>
      <c r="M476">
        <v>0</v>
      </c>
      <c r="N476">
        <v>2</v>
      </c>
      <c r="O476">
        <v>0</v>
      </c>
      <c r="P476">
        <v>1</v>
      </c>
      <c r="Q476">
        <v>0</v>
      </c>
      <c r="S476" t="str">
        <f t="shared" si="172"/>
        <v>19:26:57.000</v>
      </c>
      <c r="T476" t="str">
        <f t="shared" si="172"/>
        <v>19:26:57.000</v>
      </c>
      <c r="U476" t="str">
        <f t="shared" si="164"/>
        <v>AC3944</v>
      </c>
      <c r="V476">
        <v>0</v>
      </c>
      <c r="W476">
        <v>0</v>
      </c>
      <c r="X476">
        <v>2</v>
      </c>
      <c r="Y476">
        <v>0</v>
      </c>
      <c r="AA476">
        <v>1</v>
      </c>
      <c r="AB476">
        <v>8</v>
      </c>
      <c r="AC476">
        <v>3</v>
      </c>
      <c r="AD476">
        <v>0</v>
      </c>
      <c r="AE476">
        <v>9</v>
      </c>
      <c r="AF476" t="s">
        <v>138</v>
      </c>
      <c r="AG476">
        <v>0</v>
      </c>
      <c r="AH476">
        <v>3</v>
      </c>
      <c r="AI476">
        <v>1</v>
      </c>
      <c r="AJ476">
        <v>0</v>
      </c>
      <c r="AK476" t="s">
        <v>278</v>
      </c>
      <c r="AL476">
        <v>32.817856999999997</v>
      </c>
      <c r="AM476" t="s">
        <v>291</v>
      </c>
      <c r="AN476">
        <v>-116.98441699999999</v>
      </c>
      <c r="AO476">
        <v>25</v>
      </c>
      <c r="AP476">
        <v>1600</v>
      </c>
      <c r="AQ476" t="s">
        <v>129</v>
      </c>
      <c r="AR476">
        <v>146</v>
      </c>
      <c r="AS476">
        <v>-1</v>
      </c>
      <c r="AT476">
        <v>-960</v>
      </c>
      <c r="BB476">
        <v>740</v>
      </c>
      <c r="BC476">
        <v>1</v>
      </c>
      <c r="BD476" t="str">
        <f t="shared" si="165"/>
        <v xml:space="preserve">N887QR  </v>
      </c>
      <c r="BE476">
        <v>1</v>
      </c>
      <c r="BG476">
        <v>0</v>
      </c>
      <c r="BH476">
        <v>0</v>
      </c>
      <c r="BI476">
        <v>0</v>
      </c>
      <c r="BJ476">
        <v>1225</v>
      </c>
      <c r="BK476">
        <v>-375</v>
      </c>
      <c r="BL476" t="s">
        <v>163</v>
      </c>
      <c r="BM476">
        <v>1</v>
      </c>
      <c r="BN476">
        <v>1</v>
      </c>
      <c r="BO476">
        <v>1</v>
      </c>
      <c r="BP476">
        <v>0</v>
      </c>
      <c r="BS476">
        <v>0</v>
      </c>
      <c r="BT476">
        <v>0</v>
      </c>
      <c r="BU476">
        <v>0</v>
      </c>
      <c r="CE476" t="str">
        <f t="shared" si="174"/>
        <v>19:26:57.750</v>
      </c>
      <c r="CF476">
        <v>749957716</v>
      </c>
      <c r="CS476">
        <v>3</v>
      </c>
      <c r="CT476">
        <v>2</v>
      </c>
      <c r="CU476">
        <v>0</v>
      </c>
      <c r="CV476">
        <v>2</v>
      </c>
      <c r="CW476">
        <v>0</v>
      </c>
      <c r="CX476">
        <v>6</v>
      </c>
      <c r="CY476">
        <v>7</v>
      </c>
      <c r="CZ476" t="s">
        <v>131</v>
      </c>
      <c r="DA476">
        <v>300</v>
      </c>
      <c r="DB476">
        <v>0</v>
      </c>
      <c r="DC476" t="s">
        <v>176</v>
      </c>
      <c r="DD476" t="s">
        <v>177</v>
      </c>
      <c r="DG476">
        <v>5363874</v>
      </c>
      <c r="DI476">
        <v>1</v>
      </c>
      <c r="DJ476">
        <v>0</v>
      </c>
      <c r="DK476">
        <v>1</v>
      </c>
      <c r="DL476">
        <v>0</v>
      </c>
      <c r="DM476">
        <v>0</v>
      </c>
      <c r="DN476">
        <v>1</v>
      </c>
      <c r="DO476">
        <v>0</v>
      </c>
      <c r="DP476">
        <v>0</v>
      </c>
      <c r="DQ476">
        <v>0</v>
      </c>
      <c r="DR476">
        <v>0</v>
      </c>
      <c r="DS476">
        <v>0</v>
      </c>
    </row>
    <row r="477" spans="1:123" x14ac:dyDescent="0.3">
      <c r="A477" t="str">
        <f>"10/04/2022 19:26:57.952"</f>
        <v>10/04/2022 19:26:57.952</v>
      </c>
      <c r="C477" t="str">
        <f t="shared" si="163"/>
        <v>FFDFD3C0</v>
      </c>
      <c r="D477" t="s">
        <v>136</v>
      </c>
      <c r="E477">
        <v>8</v>
      </c>
      <c r="H477">
        <v>225</v>
      </c>
      <c r="I477" t="s">
        <v>137</v>
      </c>
      <c r="J477" t="s">
        <v>138</v>
      </c>
      <c r="K477">
        <v>0</v>
      </c>
      <c r="L477">
        <v>3</v>
      </c>
      <c r="M477">
        <v>0</v>
      </c>
      <c r="N477">
        <v>2</v>
      </c>
      <c r="O477">
        <v>0</v>
      </c>
      <c r="P477">
        <v>1</v>
      </c>
      <c r="Q477">
        <v>0</v>
      </c>
      <c r="S477" t="str">
        <f t="shared" si="172"/>
        <v>19:26:57.000</v>
      </c>
      <c r="T477" t="str">
        <f t="shared" si="172"/>
        <v>19:26:57.000</v>
      </c>
      <c r="U477" t="str">
        <f t="shared" si="164"/>
        <v>AC3944</v>
      </c>
      <c r="V477">
        <v>0</v>
      </c>
      <c r="W477">
        <v>0</v>
      </c>
      <c r="X477">
        <v>2</v>
      </c>
      <c r="Y477">
        <v>0</v>
      </c>
      <c r="AA477">
        <v>1</v>
      </c>
      <c r="AB477">
        <v>8</v>
      </c>
      <c r="AC477">
        <v>3</v>
      </c>
      <c r="AD477">
        <v>0</v>
      </c>
      <c r="AE477">
        <v>9</v>
      </c>
      <c r="AF477" t="s">
        <v>138</v>
      </c>
      <c r="AG477">
        <v>0</v>
      </c>
      <c r="AH477">
        <v>3</v>
      </c>
      <c r="AI477">
        <v>1</v>
      </c>
      <c r="AJ477">
        <v>0</v>
      </c>
      <c r="AK477" t="s">
        <v>278</v>
      </c>
      <c r="AL477">
        <v>32.817856999999997</v>
      </c>
      <c r="AM477" t="s">
        <v>291</v>
      </c>
      <c r="AN477">
        <v>-116.98441699999999</v>
      </c>
      <c r="AO477">
        <v>25</v>
      </c>
      <c r="AP477">
        <v>1600</v>
      </c>
      <c r="AQ477" t="s">
        <v>129</v>
      </c>
      <c r="AR477">
        <v>146</v>
      </c>
      <c r="AS477">
        <v>-1</v>
      </c>
      <c r="AT477">
        <v>-960</v>
      </c>
      <c r="BB477">
        <v>740</v>
      </c>
      <c r="BC477">
        <v>1</v>
      </c>
      <c r="BD477" t="str">
        <f t="shared" si="165"/>
        <v xml:space="preserve">N887QR  </v>
      </c>
      <c r="BE477">
        <v>1</v>
      </c>
      <c r="BG477">
        <v>0</v>
      </c>
      <c r="BH477">
        <v>0</v>
      </c>
      <c r="BI477">
        <v>0</v>
      </c>
      <c r="BJ477">
        <v>1225</v>
      </c>
      <c r="BK477">
        <v>-375</v>
      </c>
      <c r="BL477" t="s">
        <v>163</v>
      </c>
      <c r="BM477">
        <v>1</v>
      </c>
      <c r="BN477">
        <v>1</v>
      </c>
      <c r="BO477">
        <v>1</v>
      </c>
      <c r="BP477">
        <v>0</v>
      </c>
      <c r="BS477">
        <v>0</v>
      </c>
      <c r="BT477">
        <v>0</v>
      </c>
      <c r="BU477">
        <v>0</v>
      </c>
      <c r="CE477" t="str">
        <f t="shared" si="174"/>
        <v>19:26:57.750</v>
      </c>
      <c r="CF477">
        <v>749957716</v>
      </c>
      <c r="CS477">
        <v>3</v>
      </c>
      <c r="CT477">
        <v>2</v>
      </c>
      <c r="CU477">
        <v>0</v>
      </c>
      <c r="CV477">
        <v>2</v>
      </c>
      <c r="CW477">
        <v>0</v>
      </c>
      <c r="CX477">
        <v>6</v>
      </c>
      <c r="CY477">
        <v>7</v>
      </c>
      <c r="CZ477" t="s">
        <v>131</v>
      </c>
      <c r="DA477">
        <v>300</v>
      </c>
      <c r="DB477">
        <v>0</v>
      </c>
      <c r="DC477" t="s">
        <v>176</v>
      </c>
      <c r="DD477" t="s">
        <v>177</v>
      </c>
      <c r="DG477">
        <v>5363874</v>
      </c>
      <c r="DI477">
        <v>1</v>
      </c>
      <c r="DJ477">
        <v>0</v>
      </c>
      <c r="DK477">
        <v>1</v>
      </c>
      <c r="DL477">
        <v>0</v>
      </c>
      <c r="DM477">
        <v>0</v>
      </c>
      <c r="DN477">
        <v>1</v>
      </c>
      <c r="DO477">
        <v>0</v>
      </c>
      <c r="DP477">
        <v>0</v>
      </c>
      <c r="DQ477">
        <v>0</v>
      </c>
      <c r="DR477">
        <v>0</v>
      </c>
      <c r="DS477">
        <v>0</v>
      </c>
    </row>
    <row r="478" spans="1:123" x14ac:dyDescent="0.3">
      <c r="A478" t="str">
        <f>"10/04/2022 19:26:57.983"</f>
        <v>10/04/2022 19:26:57.983</v>
      </c>
      <c r="C478" t="str">
        <f t="shared" si="163"/>
        <v>FFDFD3C0</v>
      </c>
      <c r="D478" t="s">
        <v>147</v>
      </c>
      <c r="E478">
        <v>3</v>
      </c>
      <c r="H478">
        <v>166</v>
      </c>
      <c r="I478" t="s">
        <v>144</v>
      </c>
      <c r="J478" t="s">
        <v>148</v>
      </c>
      <c r="K478">
        <v>0</v>
      </c>
      <c r="L478">
        <v>3</v>
      </c>
      <c r="M478">
        <v>0</v>
      </c>
      <c r="N478">
        <v>2</v>
      </c>
      <c r="O478">
        <v>0</v>
      </c>
      <c r="P478">
        <v>1</v>
      </c>
      <c r="Q478">
        <v>0</v>
      </c>
      <c r="S478" t="str">
        <f t="shared" si="172"/>
        <v>19:26:57.000</v>
      </c>
      <c r="T478" t="str">
        <f t="shared" si="172"/>
        <v>19:26:57.000</v>
      </c>
      <c r="U478" t="str">
        <f t="shared" si="164"/>
        <v>AC3944</v>
      </c>
      <c r="V478">
        <v>0</v>
      </c>
      <c r="W478">
        <v>0</v>
      </c>
      <c r="X478">
        <v>2</v>
      </c>
      <c r="Y478">
        <v>0</v>
      </c>
      <c r="AA478">
        <v>1</v>
      </c>
      <c r="AB478">
        <v>8</v>
      </c>
      <c r="AC478">
        <v>3</v>
      </c>
      <c r="AD478">
        <v>0</v>
      </c>
      <c r="AE478">
        <v>9</v>
      </c>
      <c r="AF478" t="s">
        <v>138</v>
      </c>
      <c r="AG478">
        <v>0</v>
      </c>
      <c r="AH478">
        <v>3</v>
      </c>
      <c r="AI478">
        <v>1</v>
      </c>
      <c r="AJ478">
        <v>0</v>
      </c>
      <c r="AK478" t="s">
        <v>278</v>
      </c>
      <c r="AL478">
        <v>32.817856999999997</v>
      </c>
      <c r="AM478" t="s">
        <v>291</v>
      </c>
      <c r="AN478">
        <v>-116.98441699999999</v>
      </c>
      <c r="AO478">
        <v>25</v>
      </c>
      <c r="AP478">
        <v>1600</v>
      </c>
      <c r="AQ478" t="s">
        <v>129</v>
      </c>
      <c r="AR478">
        <v>146</v>
      </c>
      <c r="AS478">
        <v>-1</v>
      </c>
      <c r="AT478">
        <v>-960</v>
      </c>
      <c r="BB478">
        <v>740</v>
      </c>
      <c r="BC478">
        <v>1</v>
      </c>
      <c r="BD478" t="str">
        <f t="shared" si="165"/>
        <v xml:space="preserve">N887QR  </v>
      </c>
      <c r="BE478">
        <v>1</v>
      </c>
      <c r="BG478">
        <v>0</v>
      </c>
      <c r="BH478">
        <v>0</v>
      </c>
      <c r="BI478">
        <v>0</v>
      </c>
      <c r="BJ478">
        <v>1225</v>
      </c>
      <c r="BK478">
        <v>-375</v>
      </c>
      <c r="BL478" t="s">
        <v>163</v>
      </c>
      <c r="BM478">
        <v>1</v>
      </c>
      <c r="BN478">
        <v>1</v>
      </c>
      <c r="BO478">
        <v>1</v>
      </c>
      <c r="BP478">
        <v>0</v>
      </c>
      <c r="BS478">
        <v>0</v>
      </c>
      <c r="BT478">
        <v>0</v>
      </c>
      <c r="BU478">
        <v>0</v>
      </c>
      <c r="CE478" t="str">
        <f t="shared" si="174"/>
        <v>19:26:57.750</v>
      </c>
      <c r="CF478">
        <v>749957716</v>
      </c>
      <c r="CS478">
        <v>3</v>
      </c>
      <c r="CT478">
        <v>2</v>
      </c>
      <c r="CU478">
        <v>0</v>
      </c>
      <c r="CV478">
        <v>2</v>
      </c>
      <c r="CW478">
        <v>0</v>
      </c>
      <c r="CX478">
        <v>6</v>
      </c>
      <c r="CY478">
        <v>7</v>
      </c>
      <c r="CZ478" t="s">
        <v>131</v>
      </c>
      <c r="DA478">
        <v>300</v>
      </c>
      <c r="DB478">
        <v>0</v>
      </c>
      <c r="DC478" t="s">
        <v>176</v>
      </c>
      <c r="DD478" t="s">
        <v>177</v>
      </c>
      <c r="DG478">
        <v>5363874</v>
      </c>
      <c r="DI478">
        <v>1</v>
      </c>
      <c r="DJ478">
        <v>0</v>
      </c>
      <c r="DK478">
        <v>1</v>
      </c>
      <c r="DL478">
        <v>0</v>
      </c>
      <c r="DM478">
        <v>0</v>
      </c>
      <c r="DN478">
        <v>1</v>
      </c>
      <c r="DO478">
        <v>0</v>
      </c>
      <c r="DP478">
        <v>0</v>
      </c>
      <c r="DQ478">
        <v>0</v>
      </c>
      <c r="DR478">
        <v>0</v>
      </c>
      <c r="DS478">
        <v>0</v>
      </c>
    </row>
    <row r="479" spans="1:123" x14ac:dyDescent="0.3">
      <c r="A479" t="str">
        <f>"10/04/2022 19:26:57.983"</f>
        <v>10/04/2022 19:26:57.983</v>
      </c>
      <c r="C479" t="str">
        <f t="shared" si="163"/>
        <v>FFDFD3C0</v>
      </c>
      <c r="D479" t="s">
        <v>143</v>
      </c>
      <c r="E479">
        <v>20</v>
      </c>
      <c r="F479">
        <v>1020</v>
      </c>
      <c r="G479" t="s">
        <v>144</v>
      </c>
      <c r="J479" t="s">
        <v>145</v>
      </c>
      <c r="K479">
        <v>0</v>
      </c>
      <c r="L479">
        <v>3</v>
      </c>
      <c r="M479">
        <v>0</v>
      </c>
      <c r="N479">
        <v>2</v>
      </c>
      <c r="O479">
        <v>0</v>
      </c>
      <c r="P479">
        <v>1</v>
      </c>
      <c r="Q479">
        <v>0</v>
      </c>
      <c r="S479" t="str">
        <f t="shared" si="172"/>
        <v>19:26:57.000</v>
      </c>
      <c r="T479" t="str">
        <f t="shared" si="172"/>
        <v>19:26:57.000</v>
      </c>
      <c r="U479" t="str">
        <f t="shared" si="164"/>
        <v>AC3944</v>
      </c>
      <c r="V479">
        <v>0</v>
      </c>
      <c r="W479">
        <v>0</v>
      </c>
      <c r="X479">
        <v>2</v>
      </c>
      <c r="Y479">
        <v>0</v>
      </c>
      <c r="AA479">
        <v>1</v>
      </c>
      <c r="AB479">
        <v>8</v>
      </c>
      <c r="AC479">
        <v>3</v>
      </c>
      <c r="AD479">
        <v>0</v>
      </c>
      <c r="AE479">
        <v>9</v>
      </c>
      <c r="AF479" t="s">
        <v>138</v>
      </c>
      <c r="AG479">
        <v>0</v>
      </c>
      <c r="AH479">
        <v>3</v>
      </c>
      <c r="AI479">
        <v>1</v>
      </c>
      <c r="AJ479">
        <v>0</v>
      </c>
      <c r="AK479" t="s">
        <v>278</v>
      </c>
      <c r="AL479">
        <v>32.817856999999997</v>
      </c>
      <c r="AM479" t="s">
        <v>291</v>
      </c>
      <c r="AN479">
        <v>-116.98441699999999</v>
      </c>
      <c r="AO479">
        <v>25</v>
      </c>
      <c r="AP479">
        <v>1600</v>
      </c>
      <c r="AQ479" t="s">
        <v>129</v>
      </c>
      <c r="AR479">
        <v>146</v>
      </c>
      <c r="AS479">
        <v>-1</v>
      </c>
      <c r="AT479">
        <v>-960</v>
      </c>
      <c r="BB479">
        <v>740</v>
      </c>
      <c r="BC479">
        <v>1</v>
      </c>
      <c r="BD479" t="str">
        <f t="shared" si="165"/>
        <v xml:space="preserve">N887QR  </v>
      </c>
      <c r="BE479">
        <v>1</v>
      </c>
      <c r="BG479">
        <v>0</v>
      </c>
      <c r="BH479">
        <v>0</v>
      </c>
      <c r="BI479">
        <v>0</v>
      </c>
      <c r="BJ479">
        <v>1225</v>
      </c>
      <c r="BK479">
        <v>-375</v>
      </c>
      <c r="BL479" t="s">
        <v>163</v>
      </c>
      <c r="BM479">
        <v>1</v>
      </c>
      <c r="BN479">
        <v>1</v>
      </c>
      <c r="BO479">
        <v>1</v>
      </c>
      <c r="BP479">
        <v>0</v>
      </c>
      <c r="BS479">
        <v>0</v>
      </c>
      <c r="BT479">
        <v>0</v>
      </c>
      <c r="BU479">
        <v>0</v>
      </c>
      <c r="CE479" t="str">
        <f t="shared" si="174"/>
        <v>19:26:57.750</v>
      </c>
      <c r="CF479">
        <v>749957716</v>
      </c>
      <c r="CS479">
        <v>3</v>
      </c>
      <c r="CT479">
        <v>2</v>
      </c>
      <c r="CU479">
        <v>0</v>
      </c>
      <c r="CV479">
        <v>2</v>
      </c>
      <c r="CW479">
        <v>0</v>
      </c>
      <c r="CX479">
        <v>6</v>
      </c>
      <c r="CY479">
        <v>7</v>
      </c>
      <c r="CZ479" t="s">
        <v>131</v>
      </c>
      <c r="DA479">
        <v>300</v>
      </c>
      <c r="DB479">
        <v>0</v>
      </c>
      <c r="DC479" t="s">
        <v>176</v>
      </c>
      <c r="DD479" t="s">
        <v>177</v>
      </c>
      <c r="DG479">
        <v>5363874</v>
      </c>
      <c r="DI479">
        <v>1</v>
      </c>
      <c r="DJ479">
        <v>0</v>
      </c>
      <c r="DK479">
        <v>1</v>
      </c>
      <c r="DL479">
        <v>0</v>
      </c>
      <c r="DM479">
        <v>0</v>
      </c>
      <c r="DN479">
        <v>1</v>
      </c>
      <c r="DO479">
        <v>0</v>
      </c>
      <c r="DP479">
        <v>0</v>
      </c>
      <c r="DQ479">
        <v>0</v>
      </c>
      <c r="DR479">
        <v>0</v>
      </c>
      <c r="DS479">
        <v>0</v>
      </c>
    </row>
    <row r="480" spans="1:123" x14ac:dyDescent="0.3">
      <c r="A480" t="str">
        <f>"10/04/2022 19:26:57.998"</f>
        <v>10/04/2022 19:26:57.998</v>
      </c>
      <c r="C480" t="str">
        <f t="shared" si="163"/>
        <v>FFDFD3C0</v>
      </c>
      <c r="D480" t="s">
        <v>123</v>
      </c>
      <c r="E480">
        <v>7</v>
      </c>
      <c r="F480">
        <v>2007</v>
      </c>
      <c r="G480" t="s">
        <v>124</v>
      </c>
      <c r="J480" t="s">
        <v>125</v>
      </c>
      <c r="K480">
        <v>0</v>
      </c>
      <c r="L480">
        <v>3</v>
      </c>
      <c r="M480">
        <v>0</v>
      </c>
      <c r="N480">
        <v>2</v>
      </c>
      <c r="O480">
        <v>0</v>
      </c>
      <c r="P480">
        <v>1</v>
      </c>
      <c r="Q480">
        <v>0</v>
      </c>
      <c r="S480" t="str">
        <f t="shared" si="172"/>
        <v>19:26:57.000</v>
      </c>
      <c r="T480" t="str">
        <f t="shared" si="172"/>
        <v>19:26:57.000</v>
      </c>
      <c r="U480" t="str">
        <f t="shared" si="164"/>
        <v>AC3944</v>
      </c>
      <c r="V480">
        <v>0</v>
      </c>
      <c r="W480">
        <v>0</v>
      </c>
      <c r="X480">
        <v>2</v>
      </c>
      <c r="Y480">
        <v>0</v>
      </c>
      <c r="AA480">
        <v>1</v>
      </c>
      <c r="AB480">
        <v>8</v>
      </c>
      <c r="AC480">
        <v>3</v>
      </c>
      <c r="AD480">
        <v>0</v>
      </c>
      <c r="AE480">
        <v>9</v>
      </c>
      <c r="AF480" t="s">
        <v>138</v>
      </c>
      <c r="AG480">
        <v>0</v>
      </c>
      <c r="AH480">
        <v>3</v>
      </c>
      <c r="AI480">
        <v>1</v>
      </c>
      <c r="AJ480">
        <v>0</v>
      </c>
      <c r="AK480" t="s">
        <v>278</v>
      </c>
      <c r="AL480">
        <v>32.817856999999997</v>
      </c>
      <c r="AM480" t="s">
        <v>291</v>
      </c>
      <c r="AN480">
        <v>-116.98441699999999</v>
      </c>
      <c r="AO480">
        <v>25</v>
      </c>
      <c r="AP480">
        <v>1600</v>
      </c>
      <c r="AQ480" t="s">
        <v>129</v>
      </c>
      <c r="AR480">
        <v>146</v>
      </c>
      <c r="AS480">
        <v>-1</v>
      </c>
      <c r="AT480">
        <v>-960</v>
      </c>
      <c r="BB480">
        <v>740</v>
      </c>
      <c r="BC480">
        <v>1</v>
      </c>
      <c r="BD480" t="str">
        <f t="shared" si="165"/>
        <v xml:space="preserve">N887QR  </v>
      </c>
      <c r="BE480">
        <v>1</v>
      </c>
      <c r="BG480">
        <v>0</v>
      </c>
      <c r="BH480">
        <v>0</v>
      </c>
      <c r="BI480">
        <v>0</v>
      </c>
      <c r="BJ480">
        <v>1225</v>
      </c>
      <c r="BK480">
        <v>-375</v>
      </c>
      <c r="BL480" t="s">
        <v>163</v>
      </c>
      <c r="BM480">
        <v>1</v>
      </c>
      <c r="BN480">
        <v>1</v>
      </c>
      <c r="BO480">
        <v>1</v>
      </c>
      <c r="BP480">
        <v>0</v>
      </c>
      <c r="BS480">
        <v>0</v>
      </c>
      <c r="BT480">
        <v>0</v>
      </c>
      <c r="BU480">
        <v>0</v>
      </c>
      <c r="CE480" t="str">
        <f t="shared" si="174"/>
        <v>19:26:57.750</v>
      </c>
      <c r="CF480">
        <v>749957716</v>
      </c>
      <c r="CS480">
        <v>3</v>
      </c>
      <c r="CT480">
        <v>2</v>
      </c>
      <c r="CU480">
        <v>0</v>
      </c>
      <c r="CV480">
        <v>2</v>
      </c>
      <c r="CW480">
        <v>0</v>
      </c>
      <c r="CX480">
        <v>6</v>
      </c>
      <c r="CY480">
        <v>7</v>
      </c>
      <c r="CZ480" t="s">
        <v>131</v>
      </c>
      <c r="DA480">
        <v>300</v>
      </c>
      <c r="DB480">
        <v>0</v>
      </c>
      <c r="DC480" t="s">
        <v>176</v>
      </c>
      <c r="DD480" t="s">
        <v>177</v>
      </c>
      <c r="DG480">
        <v>5363874</v>
      </c>
      <c r="DI480">
        <v>1</v>
      </c>
      <c r="DJ480">
        <v>0</v>
      </c>
      <c r="DK480">
        <v>1</v>
      </c>
      <c r="DL480">
        <v>0</v>
      </c>
      <c r="DM480">
        <v>0</v>
      </c>
      <c r="DN480">
        <v>1</v>
      </c>
      <c r="DO480">
        <v>0</v>
      </c>
      <c r="DP480">
        <v>0</v>
      </c>
      <c r="DQ480">
        <v>0</v>
      </c>
      <c r="DR480">
        <v>0</v>
      </c>
      <c r="DS480">
        <v>0</v>
      </c>
    </row>
    <row r="481" spans="1:123" x14ac:dyDescent="0.3">
      <c r="A481" t="str">
        <f>"10/04/2022 19:26:57.998"</f>
        <v>10/04/2022 19:26:57.998</v>
      </c>
      <c r="C481" t="str">
        <f t="shared" si="163"/>
        <v>FFDFD3C0</v>
      </c>
      <c r="D481" t="s">
        <v>141</v>
      </c>
      <c r="E481">
        <v>4</v>
      </c>
      <c r="H481">
        <v>4</v>
      </c>
      <c r="I481" t="s">
        <v>142</v>
      </c>
      <c r="J481" t="s">
        <v>138</v>
      </c>
      <c r="K481">
        <v>0</v>
      </c>
      <c r="L481">
        <v>3</v>
      </c>
      <c r="M481">
        <v>0</v>
      </c>
      <c r="N481">
        <v>2</v>
      </c>
      <c r="O481">
        <v>0</v>
      </c>
      <c r="P481">
        <v>1</v>
      </c>
      <c r="Q481">
        <v>0</v>
      </c>
      <c r="S481" t="str">
        <f t="shared" si="172"/>
        <v>19:26:57.000</v>
      </c>
      <c r="T481" t="str">
        <f t="shared" si="172"/>
        <v>19:26:57.000</v>
      </c>
      <c r="U481" t="str">
        <f t="shared" si="164"/>
        <v>AC3944</v>
      </c>
      <c r="V481">
        <v>0</v>
      </c>
      <c r="W481">
        <v>0</v>
      </c>
      <c r="X481">
        <v>2</v>
      </c>
      <c r="Y481">
        <v>0</v>
      </c>
      <c r="AA481">
        <v>1</v>
      </c>
      <c r="AB481">
        <v>8</v>
      </c>
      <c r="AC481">
        <v>3</v>
      </c>
      <c r="AD481">
        <v>0</v>
      </c>
      <c r="AE481">
        <v>9</v>
      </c>
      <c r="AF481" t="s">
        <v>138</v>
      </c>
      <c r="AG481">
        <v>0</v>
      </c>
      <c r="AH481">
        <v>3</v>
      </c>
      <c r="AI481">
        <v>1</v>
      </c>
      <c r="AJ481">
        <v>0</v>
      </c>
      <c r="AK481" t="s">
        <v>278</v>
      </c>
      <c r="AL481">
        <v>32.817856999999997</v>
      </c>
      <c r="AM481" t="s">
        <v>291</v>
      </c>
      <c r="AN481">
        <v>-116.98441699999999</v>
      </c>
      <c r="AO481">
        <v>25</v>
      </c>
      <c r="AP481">
        <v>1600</v>
      </c>
      <c r="AQ481" t="s">
        <v>129</v>
      </c>
      <c r="AR481">
        <v>146</v>
      </c>
      <c r="AS481">
        <v>-1</v>
      </c>
      <c r="AT481">
        <v>-960</v>
      </c>
      <c r="BB481">
        <v>740</v>
      </c>
      <c r="BC481">
        <v>1</v>
      </c>
      <c r="BD481" t="str">
        <f t="shared" si="165"/>
        <v xml:space="preserve">N887QR  </v>
      </c>
      <c r="BE481">
        <v>1</v>
      </c>
      <c r="BG481">
        <v>0</v>
      </c>
      <c r="BH481">
        <v>0</v>
      </c>
      <c r="BI481">
        <v>0</v>
      </c>
      <c r="BJ481">
        <v>1225</v>
      </c>
      <c r="BK481">
        <v>-375</v>
      </c>
      <c r="BL481" t="s">
        <v>163</v>
      </c>
      <c r="BM481">
        <v>1</v>
      </c>
      <c r="BN481">
        <v>1</v>
      </c>
      <c r="BO481">
        <v>1</v>
      </c>
      <c r="BP481">
        <v>0</v>
      </c>
      <c r="BS481">
        <v>0</v>
      </c>
      <c r="BT481">
        <v>0</v>
      </c>
      <c r="BU481">
        <v>0</v>
      </c>
      <c r="CE481" t="str">
        <f t="shared" si="174"/>
        <v>19:26:57.750</v>
      </c>
      <c r="CF481">
        <v>749957716</v>
      </c>
      <c r="CS481">
        <v>3</v>
      </c>
      <c r="CT481">
        <v>2</v>
      </c>
      <c r="CU481">
        <v>0</v>
      </c>
      <c r="CV481">
        <v>2</v>
      </c>
      <c r="CW481">
        <v>0</v>
      </c>
      <c r="CX481">
        <v>6</v>
      </c>
      <c r="CY481">
        <v>7</v>
      </c>
      <c r="CZ481" t="s">
        <v>131</v>
      </c>
      <c r="DA481">
        <v>300</v>
      </c>
      <c r="DB481">
        <v>0</v>
      </c>
      <c r="DC481" t="s">
        <v>176</v>
      </c>
      <c r="DD481" t="s">
        <v>177</v>
      </c>
      <c r="DG481">
        <v>5363874</v>
      </c>
      <c r="DI481">
        <v>1</v>
      </c>
      <c r="DJ481">
        <v>0</v>
      </c>
      <c r="DK481">
        <v>1</v>
      </c>
      <c r="DL481">
        <v>0</v>
      </c>
      <c r="DM481">
        <v>0</v>
      </c>
      <c r="DN481">
        <v>1</v>
      </c>
      <c r="DO481">
        <v>0</v>
      </c>
      <c r="DP481">
        <v>0</v>
      </c>
      <c r="DQ481">
        <v>0</v>
      </c>
      <c r="DR481">
        <v>0</v>
      </c>
      <c r="DS481">
        <v>0</v>
      </c>
    </row>
    <row r="482" spans="1:123" x14ac:dyDescent="0.3">
      <c r="A482" t="str">
        <f t="shared" ref="A482:A487" si="175">"10/04/2022 19:26:59.389"</f>
        <v>10/04/2022 19:26:59.389</v>
      </c>
      <c r="C482" t="str">
        <f t="shared" si="163"/>
        <v>FFDFD3C0</v>
      </c>
      <c r="D482" t="s">
        <v>141</v>
      </c>
      <c r="E482">
        <v>3</v>
      </c>
      <c r="H482">
        <v>3</v>
      </c>
      <c r="I482" t="s">
        <v>146</v>
      </c>
      <c r="J482" t="s">
        <v>138</v>
      </c>
      <c r="K482">
        <v>0</v>
      </c>
      <c r="L482">
        <v>3</v>
      </c>
      <c r="M482">
        <v>0</v>
      </c>
      <c r="N482">
        <v>2</v>
      </c>
      <c r="O482">
        <v>0</v>
      </c>
      <c r="P482">
        <v>1</v>
      </c>
      <c r="Q482">
        <v>0</v>
      </c>
      <c r="S482" t="str">
        <f t="shared" ref="S482:T495" si="176">"19:26:59.000"</f>
        <v>19:26:59.000</v>
      </c>
      <c r="T482" t="str">
        <f t="shared" si="176"/>
        <v>19:26:59.000</v>
      </c>
      <c r="U482" t="str">
        <f t="shared" si="164"/>
        <v>AC3944</v>
      </c>
      <c r="V482">
        <v>0</v>
      </c>
      <c r="W482">
        <v>0</v>
      </c>
      <c r="X482">
        <v>2</v>
      </c>
      <c r="Y482">
        <v>0</v>
      </c>
      <c r="AA482">
        <v>1</v>
      </c>
      <c r="AB482">
        <v>8</v>
      </c>
      <c r="AC482">
        <v>3</v>
      </c>
      <c r="AD482">
        <v>0</v>
      </c>
      <c r="AE482">
        <v>9</v>
      </c>
      <c r="AF482" t="s">
        <v>138</v>
      </c>
      <c r="AG482">
        <v>0</v>
      </c>
      <c r="AH482">
        <v>3</v>
      </c>
      <c r="AI482">
        <v>1</v>
      </c>
      <c r="AJ482">
        <v>0</v>
      </c>
      <c r="AK482" t="s">
        <v>288</v>
      </c>
      <c r="AL482">
        <v>32.817836</v>
      </c>
      <c r="AM482" t="s">
        <v>292</v>
      </c>
      <c r="AN482">
        <v>-116.98362400000001</v>
      </c>
      <c r="AO482">
        <v>25</v>
      </c>
      <c r="AP482">
        <v>1600</v>
      </c>
      <c r="AQ482" t="s">
        <v>129</v>
      </c>
      <c r="AR482">
        <v>145</v>
      </c>
      <c r="AS482">
        <v>-2</v>
      </c>
      <c r="AT482">
        <v>-576</v>
      </c>
      <c r="BB482">
        <v>740</v>
      </c>
      <c r="BC482">
        <v>1</v>
      </c>
      <c r="BD482" t="str">
        <f t="shared" si="165"/>
        <v xml:space="preserve">N887QR  </v>
      </c>
      <c r="BE482">
        <v>1</v>
      </c>
      <c r="BG482">
        <v>0</v>
      </c>
      <c r="BH482">
        <v>0</v>
      </c>
      <c r="BI482">
        <v>0</v>
      </c>
      <c r="BJ482">
        <v>1225</v>
      </c>
      <c r="BK482">
        <v>-375</v>
      </c>
      <c r="BL482" t="s">
        <v>163</v>
      </c>
      <c r="BM482">
        <v>1</v>
      </c>
      <c r="BN482">
        <v>1</v>
      </c>
      <c r="BO482">
        <v>1</v>
      </c>
      <c r="BP482">
        <v>0</v>
      </c>
      <c r="BS482">
        <v>0</v>
      </c>
      <c r="BT482">
        <v>0</v>
      </c>
      <c r="BU482">
        <v>0</v>
      </c>
      <c r="CE482" t="str">
        <f t="shared" ref="CE482:CE488" si="177">"19:26:59.153"</f>
        <v>19:26:59.153</v>
      </c>
      <c r="CF482">
        <v>153462052</v>
      </c>
      <c r="CS482">
        <v>3</v>
      </c>
      <c r="CT482">
        <v>2</v>
      </c>
      <c r="CU482">
        <v>0</v>
      </c>
      <c r="CV482">
        <v>2</v>
      </c>
      <c r="CW482">
        <v>0</v>
      </c>
      <c r="CX482">
        <v>6</v>
      </c>
      <c r="CY482">
        <v>7</v>
      </c>
      <c r="CZ482" t="s">
        <v>131</v>
      </c>
      <c r="DA482">
        <v>300</v>
      </c>
      <c r="DB482">
        <v>0</v>
      </c>
      <c r="DC482" t="s">
        <v>176</v>
      </c>
      <c r="DD482" t="s">
        <v>177</v>
      </c>
      <c r="DG482">
        <v>5364093</v>
      </c>
      <c r="DI482">
        <v>1</v>
      </c>
      <c r="DJ482">
        <v>0</v>
      </c>
      <c r="DK482">
        <v>0</v>
      </c>
      <c r="DL482">
        <v>0</v>
      </c>
      <c r="DM482">
        <v>0</v>
      </c>
      <c r="DN482">
        <v>1</v>
      </c>
      <c r="DO482">
        <v>0</v>
      </c>
      <c r="DP482">
        <v>0</v>
      </c>
      <c r="DQ482">
        <v>0</v>
      </c>
      <c r="DR482">
        <v>0</v>
      </c>
      <c r="DS482">
        <v>0</v>
      </c>
    </row>
    <row r="483" spans="1:123" x14ac:dyDescent="0.3">
      <c r="A483" t="str">
        <f t="shared" si="175"/>
        <v>10/04/2022 19:26:59.389</v>
      </c>
      <c r="C483" t="str">
        <f t="shared" si="163"/>
        <v>FFDFD3C0</v>
      </c>
      <c r="D483" t="s">
        <v>136</v>
      </c>
      <c r="E483">
        <v>8</v>
      </c>
      <c r="H483">
        <v>225</v>
      </c>
      <c r="I483" t="s">
        <v>137</v>
      </c>
      <c r="J483" t="s">
        <v>138</v>
      </c>
      <c r="K483">
        <v>0</v>
      </c>
      <c r="L483">
        <v>3</v>
      </c>
      <c r="M483">
        <v>0</v>
      </c>
      <c r="N483">
        <v>2</v>
      </c>
      <c r="O483">
        <v>0</v>
      </c>
      <c r="P483">
        <v>1</v>
      </c>
      <c r="Q483">
        <v>0</v>
      </c>
      <c r="S483" t="str">
        <f t="shared" si="176"/>
        <v>19:26:59.000</v>
      </c>
      <c r="T483" t="str">
        <f t="shared" si="176"/>
        <v>19:26:59.000</v>
      </c>
      <c r="U483" t="str">
        <f t="shared" si="164"/>
        <v>AC3944</v>
      </c>
      <c r="V483">
        <v>0</v>
      </c>
      <c r="W483">
        <v>0</v>
      </c>
      <c r="X483">
        <v>2</v>
      </c>
      <c r="Y483">
        <v>0</v>
      </c>
      <c r="AA483">
        <v>1</v>
      </c>
      <c r="AB483">
        <v>8</v>
      </c>
      <c r="AC483">
        <v>3</v>
      </c>
      <c r="AD483">
        <v>0</v>
      </c>
      <c r="AE483">
        <v>9</v>
      </c>
      <c r="AF483" t="s">
        <v>138</v>
      </c>
      <c r="AG483">
        <v>0</v>
      </c>
      <c r="AH483">
        <v>3</v>
      </c>
      <c r="AI483">
        <v>1</v>
      </c>
      <c r="AJ483">
        <v>0</v>
      </c>
      <c r="AK483" t="s">
        <v>288</v>
      </c>
      <c r="AL483">
        <v>32.817836</v>
      </c>
      <c r="AM483" t="s">
        <v>292</v>
      </c>
      <c r="AN483">
        <v>-116.98362400000001</v>
      </c>
      <c r="AO483">
        <v>25</v>
      </c>
      <c r="AP483">
        <v>1600</v>
      </c>
      <c r="AQ483" t="s">
        <v>129</v>
      </c>
      <c r="AR483">
        <v>145</v>
      </c>
      <c r="AS483">
        <v>-2</v>
      </c>
      <c r="AT483">
        <v>-576</v>
      </c>
      <c r="BB483">
        <v>740</v>
      </c>
      <c r="BC483">
        <v>1</v>
      </c>
      <c r="BD483" t="str">
        <f t="shared" si="165"/>
        <v xml:space="preserve">N887QR  </v>
      </c>
      <c r="BE483">
        <v>1</v>
      </c>
      <c r="BG483">
        <v>0</v>
      </c>
      <c r="BH483">
        <v>0</v>
      </c>
      <c r="BI483">
        <v>0</v>
      </c>
      <c r="BJ483">
        <v>1225</v>
      </c>
      <c r="BK483">
        <v>-375</v>
      </c>
      <c r="BL483" t="s">
        <v>163</v>
      </c>
      <c r="BM483">
        <v>1</v>
      </c>
      <c r="BN483">
        <v>1</v>
      </c>
      <c r="BO483">
        <v>1</v>
      </c>
      <c r="BP483">
        <v>0</v>
      </c>
      <c r="BS483">
        <v>0</v>
      </c>
      <c r="BT483">
        <v>0</v>
      </c>
      <c r="BU483">
        <v>0</v>
      </c>
      <c r="CE483" t="str">
        <f t="shared" si="177"/>
        <v>19:26:59.153</v>
      </c>
      <c r="CF483">
        <v>153462052</v>
      </c>
      <c r="CS483">
        <v>3</v>
      </c>
      <c r="CT483">
        <v>2</v>
      </c>
      <c r="CU483">
        <v>0</v>
      </c>
      <c r="CV483">
        <v>2</v>
      </c>
      <c r="CW483">
        <v>0</v>
      </c>
      <c r="CX483">
        <v>6</v>
      </c>
      <c r="CY483">
        <v>7</v>
      </c>
      <c r="CZ483" t="s">
        <v>131</v>
      </c>
      <c r="DA483">
        <v>300</v>
      </c>
      <c r="DB483">
        <v>0</v>
      </c>
      <c r="DC483" t="s">
        <v>176</v>
      </c>
      <c r="DD483" t="s">
        <v>177</v>
      </c>
      <c r="DG483">
        <v>5364093</v>
      </c>
      <c r="DI483">
        <v>1</v>
      </c>
      <c r="DJ483">
        <v>0</v>
      </c>
      <c r="DK483">
        <v>1</v>
      </c>
      <c r="DL483">
        <v>0</v>
      </c>
      <c r="DM483">
        <v>0</v>
      </c>
      <c r="DN483">
        <v>1</v>
      </c>
      <c r="DO483">
        <v>0</v>
      </c>
      <c r="DP483">
        <v>0</v>
      </c>
      <c r="DQ483">
        <v>0</v>
      </c>
      <c r="DR483">
        <v>0</v>
      </c>
      <c r="DS483">
        <v>0</v>
      </c>
    </row>
    <row r="484" spans="1:123" x14ac:dyDescent="0.3">
      <c r="A484" t="str">
        <f t="shared" si="175"/>
        <v>10/04/2022 19:26:59.389</v>
      </c>
      <c r="C484" t="str">
        <f t="shared" si="163"/>
        <v>FFDFD3C0</v>
      </c>
      <c r="D484" t="s">
        <v>134</v>
      </c>
      <c r="E484">
        <v>15</v>
      </c>
      <c r="J484" t="s">
        <v>135</v>
      </c>
      <c r="K484">
        <v>0</v>
      </c>
      <c r="L484">
        <v>3</v>
      </c>
      <c r="M484">
        <v>0</v>
      </c>
      <c r="N484">
        <v>2</v>
      </c>
      <c r="O484">
        <v>0</v>
      </c>
      <c r="P484">
        <v>1</v>
      </c>
      <c r="Q484">
        <v>0</v>
      </c>
      <c r="S484" t="str">
        <f t="shared" si="176"/>
        <v>19:26:59.000</v>
      </c>
      <c r="T484" t="str">
        <f t="shared" si="176"/>
        <v>19:26:59.000</v>
      </c>
      <c r="U484" t="str">
        <f t="shared" si="164"/>
        <v>AC3944</v>
      </c>
      <c r="V484">
        <v>0</v>
      </c>
      <c r="W484">
        <v>0</v>
      </c>
      <c r="X484">
        <v>2</v>
      </c>
      <c r="Y484">
        <v>0</v>
      </c>
      <c r="AA484">
        <v>1</v>
      </c>
      <c r="AB484">
        <v>8</v>
      </c>
      <c r="AC484">
        <v>3</v>
      </c>
      <c r="AD484">
        <v>0</v>
      </c>
      <c r="AE484">
        <v>9</v>
      </c>
      <c r="AF484" t="s">
        <v>138</v>
      </c>
      <c r="AG484">
        <v>0</v>
      </c>
      <c r="AH484">
        <v>3</v>
      </c>
      <c r="AI484">
        <v>1</v>
      </c>
      <c r="AJ484">
        <v>0</v>
      </c>
      <c r="AK484" t="s">
        <v>288</v>
      </c>
      <c r="AL484">
        <v>32.817836</v>
      </c>
      <c r="AM484" t="s">
        <v>292</v>
      </c>
      <c r="AN484">
        <v>-116.98362400000001</v>
      </c>
      <c r="AO484">
        <v>25</v>
      </c>
      <c r="AP484">
        <v>1600</v>
      </c>
      <c r="AQ484" t="s">
        <v>129</v>
      </c>
      <c r="AR484">
        <v>145</v>
      </c>
      <c r="AS484">
        <v>-2</v>
      </c>
      <c r="AT484">
        <v>-576</v>
      </c>
      <c r="BB484">
        <v>740</v>
      </c>
      <c r="BC484">
        <v>1</v>
      </c>
      <c r="BD484" t="str">
        <f t="shared" si="165"/>
        <v xml:space="preserve">N887QR  </v>
      </c>
      <c r="BE484">
        <v>1</v>
      </c>
      <c r="BG484">
        <v>0</v>
      </c>
      <c r="BH484">
        <v>0</v>
      </c>
      <c r="BI484">
        <v>0</v>
      </c>
      <c r="BJ484">
        <v>1225</v>
      </c>
      <c r="BK484">
        <v>-375</v>
      </c>
      <c r="BL484" t="s">
        <v>163</v>
      </c>
      <c r="BM484">
        <v>1</v>
      </c>
      <c r="BN484">
        <v>1</v>
      </c>
      <c r="BO484">
        <v>1</v>
      </c>
      <c r="BP484">
        <v>0</v>
      </c>
      <c r="BS484">
        <v>0</v>
      </c>
      <c r="BT484">
        <v>0</v>
      </c>
      <c r="BU484">
        <v>0</v>
      </c>
      <c r="CE484" t="str">
        <f t="shared" si="177"/>
        <v>19:26:59.153</v>
      </c>
      <c r="CF484">
        <v>153462052</v>
      </c>
      <c r="CS484">
        <v>3</v>
      </c>
      <c r="CT484">
        <v>2</v>
      </c>
      <c r="CU484">
        <v>0</v>
      </c>
      <c r="CV484">
        <v>2</v>
      </c>
      <c r="CW484">
        <v>0</v>
      </c>
      <c r="CX484">
        <v>6</v>
      </c>
      <c r="CY484">
        <v>7</v>
      </c>
      <c r="CZ484" t="s">
        <v>131</v>
      </c>
      <c r="DA484">
        <v>300</v>
      </c>
      <c r="DB484">
        <v>0</v>
      </c>
      <c r="DC484" t="s">
        <v>176</v>
      </c>
      <c r="DD484" t="s">
        <v>177</v>
      </c>
      <c r="DG484">
        <v>5364093</v>
      </c>
      <c r="DI484">
        <v>1</v>
      </c>
      <c r="DJ484">
        <v>0</v>
      </c>
      <c r="DK484">
        <v>1</v>
      </c>
      <c r="DL484">
        <v>0</v>
      </c>
      <c r="DM484">
        <v>0</v>
      </c>
      <c r="DN484">
        <v>1</v>
      </c>
      <c r="DO484">
        <v>0</v>
      </c>
      <c r="DP484">
        <v>0</v>
      </c>
      <c r="DQ484">
        <v>0</v>
      </c>
      <c r="DR484">
        <v>0</v>
      </c>
      <c r="DS484">
        <v>0</v>
      </c>
    </row>
    <row r="485" spans="1:123" x14ac:dyDescent="0.3">
      <c r="A485" t="str">
        <f t="shared" si="175"/>
        <v>10/04/2022 19:26:59.389</v>
      </c>
      <c r="C485" t="str">
        <f t="shared" si="163"/>
        <v>FFDFD3C0</v>
      </c>
      <c r="D485" t="s">
        <v>143</v>
      </c>
      <c r="E485">
        <v>20</v>
      </c>
      <c r="F485">
        <v>1020</v>
      </c>
      <c r="G485" t="s">
        <v>144</v>
      </c>
      <c r="J485" t="s">
        <v>145</v>
      </c>
      <c r="K485">
        <v>0</v>
      </c>
      <c r="L485">
        <v>3</v>
      </c>
      <c r="M485">
        <v>0</v>
      </c>
      <c r="N485">
        <v>2</v>
      </c>
      <c r="O485">
        <v>0</v>
      </c>
      <c r="P485">
        <v>1</v>
      </c>
      <c r="Q485">
        <v>0</v>
      </c>
      <c r="S485" t="str">
        <f t="shared" si="176"/>
        <v>19:26:59.000</v>
      </c>
      <c r="T485" t="str">
        <f t="shared" si="176"/>
        <v>19:26:59.000</v>
      </c>
      <c r="U485" t="str">
        <f t="shared" si="164"/>
        <v>AC3944</v>
      </c>
      <c r="V485">
        <v>0</v>
      </c>
      <c r="W485">
        <v>0</v>
      </c>
      <c r="X485">
        <v>2</v>
      </c>
      <c r="Y485">
        <v>0</v>
      </c>
      <c r="AA485">
        <v>1</v>
      </c>
      <c r="AB485">
        <v>8</v>
      </c>
      <c r="AC485">
        <v>3</v>
      </c>
      <c r="AD485">
        <v>0</v>
      </c>
      <c r="AE485">
        <v>9</v>
      </c>
      <c r="AF485" t="s">
        <v>138</v>
      </c>
      <c r="AG485">
        <v>0</v>
      </c>
      <c r="AH485">
        <v>3</v>
      </c>
      <c r="AI485">
        <v>1</v>
      </c>
      <c r="AJ485">
        <v>0</v>
      </c>
      <c r="AK485" t="s">
        <v>288</v>
      </c>
      <c r="AL485">
        <v>32.817836</v>
      </c>
      <c r="AM485" t="s">
        <v>292</v>
      </c>
      <c r="AN485">
        <v>-116.98362400000001</v>
      </c>
      <c r="AO485">
        <v>25</v>
      </c>
      <c r="AP485">
        <v>1600</v>
      </c>
      <c r="AQ485" t="s">
        <v>129</v>
      </c>
      <c r="AR485">
        <v>145</v>
      </c>
      <c r="AS485">
        <v>-2</v>
      </c>
      <c r="AT485">
        <v>-576</v>
      </c>
      <c r="BB485">
        <v>740</v>
      </c>
      <c r="BC485">
        <v>1</v>
      </c>
      <c r="BD485" t="str">
        <f t="shared" si="165"/>
        <v xml:space="preserve">N887QR  </v>
      </c>
      <c r="BE485">
        <v>1</v>
      </c>
      <c r="BG485">
        <v>0</v>
      </c>
      <c r="BH485">
        <v>0</v>
      </c>
      <c r="BI485">
        <v>0</v>
      </c>
      <c r="BJ485">
        <v>1225</v>
      </c>
      <c r="BK485">
        <v>-375</v>
      </c>
      <c r="BL485" t="s">
        <v>163</v>
      </c>
      <c r="BM485">
        <v>1</v>
      </c>
      <c r="BN485">
        <v>1</v>
      </c>
      <c r="BO485">
        <v>1</v>
      </c>
      <c r="BP485">
        <v>0</v>
      </c>
      <c r="BS485">
        <v>0</v>
      </c>
      <c r="BT485">
        <v>0</v>
      </c>
      <c r="BU485">
        <v>0</v>
      </c>
      <c r="CE485" t="str">
        <f t="shared" si="177"/>
        <v>19:26:59.153</v>
      </c>
      <c r="CF485">
        <v>153462052</v>
      </c>
      <c r="CS485">
        <v>3</v>
      </c>
      <c r="CT485">
        <v>2</v>
      </c>
      <c r="CU485">
        <v>0</v>
      </c>
      <c r="CV485">
        <v>2</v>
      </c>
      <c r="CW485">
        <v>0</v>
      </c>
      <c r="CX485">
        <v>6</v>
      </c>
      <c r="CY485">
        <v>7</v>
      </c>
      <c r="CZ485" t="s">
        <v>131</v>
      </c>
      <c r="DA485">
        <v>300</v>
      </c>
      <c r="DB485">
        <v>0</v>
      </c>
      <c r="DC485" t="s">
        <v>176</v>
      </c>
      <c r="DD485" t="s">
        <v>177</v>
      </c>
      <c r="DG485">
        <v>5364093</v>
      </c>
      <c r="DI485">
        <v>1</v>
      </c>
      <c r="DJ485">
        <v>0</v>
      </c>
      <c r="DK485">
        <v>1</v>
      </c>
      <c r="DL485">
        <v>0</v>
      </c>
      <c r="DM485">
        <v>0</v>
      </c>
      <c r="DN485">
        <v>1</v>
      </c>
      <c r="DO485">
        <v>0</v>
      </c>
      <c r="DP485">
        <v>0</v>
      </c>
      <c r="DQ485">
        <v>0</v>
      </c>
      <c r="DR485">
        <v>0</v>
      </c>
      <c r="DS485">
        <v>0</v>
      </c>
    </row>
    <row r="486" spans="1:123" x14ac:dyDescent="0.3">
      <c r="A486" t="str">
        <f t="shared" si="175"/>
        <v>10/04/2022 19:26:59.389</v>
      </c>
      <c r="C486" t="str">
        <f t="shared" si="163"/>
        <v>FFDFD3C0</v>
      </c>
      <c r="D486" t="s">
        <v>147</v>
      </c>
      <c r="E486">
        <v>3</v>
      </c>
      <c r="H486">
        <v>166</v>
      </c>
      <c r="I486" t="s">
        <v>144</v>
      </c>
      <c r="J486" t="s">
        <v>148</v>
      </c>
      <c r="K486">
        <v>0</v>
      </c>
      <c r="L486">
        <v>3</v>
      </c>
      <c r="M486">
        <v>0</v>
      </c>
      <c r="N486">
        <v>2</v>
      </c>
      <c r="O486">
        <v>0</v>
      </c>
      <c r="P486">
        <v>1</v>
      </c>
      <c r="Q486">
        <v>0</v>
      </c>
      <c r="S486" t="str">
        <f t="shared" si="176"/>
        <v>19:26:59.000</v>
      </c>
      <c r="T486" t="str">
        <f t="shared" si="176"/>
        <v>19:26:59.000</v>
      </c>
      <c r="U486" t="str">
        <f t="shared" si="164"/>
        <v>AC3944</v>
      </c>
      <c r="V486">
        <v>0</v>
      </c>
      <c r="W486">
        <v>0</v>
      </c>
      <c r="X486">
        <v>2</v>
      </c>
      <c r="Y486">
        <v>0</v>
      </c>
      <c r="AA486">
        <v>1</v>
      </c>
      <c r="AB486">
        <v>8</v>
      </c>
      <c r="AC486">
        <v>3</v>
      </c>
      <c r="AD486">
        <v>0</v>
      </c>
      <c r="AE486">
        <v>9</v>
      </c>
      <c r="AF486" t="s">
        <v>138</v>
      </c>
      <c r="AG486">
        <v>0</v>
      </c>
      <c r="AH486">
        <v>3</v>
      </c>
      <c r="AI486">
        <v>1</v>
      </c>
      <c r="AJ486">
        <v>0</v>
      </c>
      <c r="AK486" t="s">
        <v>288</v>
      </c>
      <c r="AL486">
        <v>32.817836</v>
      </c>
      <c r="AM486" t="s">
        <v>292</v>
      </c>
      <c r="AN486">
        <v>-116.98362400000001</v>
      </c>
      <c r="AO486">
        <v>25</v>
      </c>
      <c r="AP486">
        <v>1600</v>
      </c>
      <c r="AQ486" t="s">
        <v>129</v>
      </c>
      <c r="AR486">
        <v>145</v>
      </c>
      <c r="AS486">
        <v>-2</v>
      </c>
      <c r="AT486">
        <v>-576</v>
      </c>
      <c r="BB486">
        <v>740</v>
      </c>
      <c r="BC486">
        <v>1</v>
      </c>
      <c r="BD486" t="str">
        <f t="shared" si="165"/>
        <v xml:space="preserve">N887QR  </v>
      </c>
      <c r="BE486">
        <v>1</v>
      </c>
      <c r="BG486">
        <v>0</v>
      </c>
      <c r="BH486">
        <v>0</v>
      </c>
      <c r="BI486">
        <v>0</v>
      </c>
      <c r="BJ486">
        <v>1225</v>
      </c>
      <c r="BK486">
        <v>-375</v>
      </c>
      <c r="BL486" t="s">
        <v>163</v>
      </c>
      <c r="BM486">
        <v>1</v>
      </c>
      <c r="BN486">
        <v>1</v>
      </c>
      <c r="BO486">
        <v>1</v>
      </c>
      <c r="BP486">
        <v>0</v>
      </c>
      <c r="BS486">
        <v>0</v>
      </c>
      <c r="BT486">
        <v>0</v>
      </c>
      <c r="BU486">
        <v>0</v>
      </c>
      <c r="CE486" t="str">
        <f t="shared" si="177"/>
        <v>19:26:59.153</v>
      </c>
      <c r="CF486">
        <v>153462052</v>
      </c>
      <c r="CS486">
        <v>3</v>
      </c>
      <c r="CT486">
        <v>2</v>
      </c>
      <c r="CU486">
        <v>0</v>
      </c>
      <c r="CV486">
        <v>2</v>
      </c>
      <c r="CW486">
        <v>0</v>
      </c>
      <c r="CX486">
        <v>6</v>
      </c>
      <c r="CY486">
        <v>7</v>
      </c>
      <c r="CZ486" t="s">
        <v>131</v>
      </c>
      <c r="DA486">
        <v>300</v>
      </c>
      <c r="DB486">
        <v>0</v>
      </c>
      <c r="DC486" t="s">
        <v>176</v>
      </c>
      <c r="DD486" t="s">
        <v>177</v>
      </c>
      <c r="DG486">
        <v>5364093</v>
      </c>
      <c r="DI486">
        <v>1</v>
      </c>
      <c r="DJ486">
        <v>0</v>
      </c>
      <c r="DK486">
        <v>1</v>
      </c>
      <c r="DL486">
        <v>0</v>
      </c>
      <c r="DM486">
        <v>0</v>
      </c>
      <c r="DN486">
        <v>1</v>
      </c>
      <c r="DO486">
        <v>0</v>
      </c>
      <c r="DP486">
        <v>0</v>
      </c>
      <c r="DQ486">
        <v>0</v>
      </c>
      <c r="DR486">
        <v>0</v>
      </c>
      <c r="DS486">
        <v>0</v>
      </c>
    </row>
    <row r="487" spans="1:123" x14ac:dyDescent="0.3">
      <c r="A487" t="str">
        <f t="shared" si="175"/>
        <v>10/04/2022 19:26:59.389</v>
      </c>
      <c r="C487" t="str">
        <f t="shared" si="163"/>
        <v>FFDFD3C0</v>
      </c>
      <c r="D487" t="s">
        <v>123</v>
      </c>
      <c r="E487">
        <v>7</v>
      </c>
      <c r="F487">
        <v>2007</v>
      </c>
      <c r="G487" t="s">
        <v>124</v>
      </c>
      <c r="J487" t="s">
        <v>125</v>
      </c>
      <c r="K487">
        <v>0</v>
      </c>
      <c r="L487">
        <v>3</v>
      </c>
      <c r="M487">
        <v>0</v>
      </c>
      <c r="N487">
        <v>2</v>
      </c>
      <c r="O487">
        <v>0</v>
      </c>
      <c r="P487">
        <v>1</v>
      </c>
      <c r="Q487">
        <v>0</v>
      </c>
      <c r="S487" t="str">
        <f t="shared" si="176"/>
        <v>19:26:59.000</v>
      </c>
      <c r="T487" t="str">
        <f t="shared" si="176"/>
        <v>19:26:59.000</v>
      </c>
      <c r="U487" t="str">
        <f t="shared" si="164"/>
        <v>AC3944</v>
      </c>
      <c r="V487">
        <v>0</v>
      </c>
      <c r="W487">
        <v>0</v>
      </c>
      <c r="X487">
        <v>2</v>
      </c>
      <c r="Y487">
        <v>0</v>
      </c>
      <c r="AA487">
        <v>1</v>
      </c>
      <c r="AB487">
        <v>8</v>
      </c>
      <c r="AC487">
        <v>3</v>
      </c>
      <c r="AD487">
        <v>0</v>
      </c>
      <c r="AE487">
        <v>9</v>
      </c>
      <c r="AF487" t="s">
        <v>138</v>
      </c>
      <c r="AG487">
        <v>0</v>
      </c>
      <c r="AH487">
        <v>3</v>
      </c>
      <c r="AI487">
        <v>1</v>
      </c>
      <c r="AJ487">
        <v>0</v>
      </c>
      <c r="AK487" t="s">
        <v>288</v>
      </c>
      <c r="AL487">
        <v>32.817836</v>
      </c>
      <c r="AM487" t="s">
        <v>292</v>
      </c>
      <c r="AN487">
        <v>-116.98362400000001</v>
      </c>
      <c r="AO487">
        <v>25</v>
      </c>
      <c r="AP487">
        <v>1600</v>
      </c>
      <c r="AQ487" t="s">
        <v>129</v>
      </c>
      <c r="AR487">
        <v>145</v>
      </c>
      <c r="AS487">
        <v>-2</v>
      </c>
      <c r="AT487">
        <v>-576</v>
      </c>
      <c r="BB487">
        <v>740</v>
      </c>
      <c r="BC487">
        <v>1</v>
      </c>
      <c r="BD487" t="str">
        <f t="shared" si="165"/>
        <v xml:space="preserve">N887QR  </v>
      </c>
      <c r="BE487">
        <v>1</v>
      </c>
      <c r="BG487">
        <v>0</v>
      </c>
      <c r="BH487">
        <v>0</v>
      </c>
      <c r="BI487">
        <v>0</v>
      </c>
      <c r="BJ487">
        <v>1225</v>
      </c>
      <c r="BK487">
        <v>-375</v>
      </c>
      <c r="BL487" t="s">
        <v>163</v>
      </c>
      <c r="BM487">
        <v>1</v>
      </c>
      <c r="BN487">
        <v>1</v>
      </c>
      <c r="BO487">
        <v>1</v>
      </c>
      <c r="BP487">
        <v>0</v>
      </c>
      <c r="BS487">
        <v>0</v>
      </c>
      <c r="BT487">
        <v>0</v>
      </c>
      <c r="BU487">
        <v>0</v>
      </c>
      <c r="CE487" t="str">
        <f t="shared" si="177"/>
        <v>19:26:59.153</v>
      </c>
      <c r="CF487">
        <v>153462052</v>
      </c>
      <c r="CS487">
        <v>3</v>
      </c>
      <c r="CT487">
        <v>2</v>
      </c>
      <c r="CU487">
        <v>0</v>
      </c>
      <c r="CV487">
        <v>2</v>
      </c>
      <c r="CW487">
        <v>0</v>
      </c>
      <c r="CX487">
        <v>6</v>
      </c>
      <c r="CY487">
        <v>7</v>
      </c>
      <c r="CZ487" t="s">
        <v>131</v>
      </c>
      <c r="DA487">
        <v>300</v>
      </c>
      <c r="DB487">
        <v>0</v>
      </c>
      <c r="DC487" t="s">
        <v>176</v>
      </c>
      <c r="DD487" t="s">
        <v>177</v>
      </c>
      <c r="DG487">
        <v>5364093</v>
      </c>
      <c r="DI487">
        <v>1</v>
      </c>
      <c r="DJ487">
        <v>0</v>
      </c>
      <c r="DK487">
        <v>1</v>
      </c>
      <c r="DL487">
        <v>0</v>
      </c>
      <c r="DM487">
        <v>0</v>
      </c>
      <c r="DN487">
        <v>1</v>
      </c>
      <c r="DO487">
        <v>0</v>
      </c>
      <c r="DP487">
        <v>0</v>
      </c>
      <c r="DQ487">
        <v>0</v>
      </c>
      <c r="DR487">
        <v>0</v>
      </c>
      <c r="DS487">
        <v>0</v>
      </c>
    </row>
    <row r="488" spans="1:123" x14ac:dyDescent="0.3">
      <c r="A488" t="str">
        <f>"10/04/2022 19:26:59.420"</f>
        <v>10/04/2022 19:26:59.420</v>
      </c>
      <c r="C488" t="str">
        <f t="shared" si="163"/>
        <v>FFDFD3C0</v>
      </c>
      <c r="D488" t="s">
        <v>141</v>
      </c>
      <c r="E488">
        <v>4</v>
      </c>
      <c r="H488">
        <v>4</v>
      </c>
      <c r="I488" t="s">
        <v>142</v>
      </c>
      <c r="J488" t="s">
        <v>138</v>
      </c>
      <c r="K488">
        <v>0</v>
      </c>
      <c r="L488">
        <v>3</v>
      </c>
      <c r="M488">
        <v>0</v>
      </c>
      <c r="N488">
        <v>2</v>
      </c>
      <c r="O488">
        <v>0</v>
      </c>
      <c r="P488">
        <v>1</v>
      </c>
      <c r="Q488">
        <v>0</v>
      </c>
      <c r="S488" t="str">
        <f t="shared" si="176"/>
        <v>19:26:59.000</v>
      </c>
      <c r="T488" t="str">
        <f t="shared" si="176"/>
        <v>19:26:59.000</v>
      </c>
      <c r="U488" t="str">
        <f t="shared" si="164"/>
        <v>AC3944</v>
      </c>
      <c r="V488">
        <v>0</v>
      </c>
      <c r="W488">
        <v>0</v>
      </c>
      <c r="X488">
        <v>2</v>
      </c>
      <c r="Y488">
        <v>0</v>
      </c>
      <c r="AA488">
        <v>1</v>
      </c>
      <c r="AB488">
        <v>8</v>
      </c>
      <c r="AC488">
        <v>3</v>
      </c>
      <c r="AD488">
        <v>0</v>
      </c>
      <c r="AE488">
        <v>9</v>
      </c>
      <c r="AF488" t="s">
        <v>138</v>
      </c>
      <c r="AG488">
        <v>0</v>
      </c>
      <c r="AH488">
        <v>3</v>
      </c>
      <c r="AI488">
        <v>1</v>
      </c>
      <c r="AJ488">
        <v>0</v>
      </c>
      <c r="AK488" t="s">
        <v>288</v>
      </c>
      <c r="AL488">
        <v>32.817836</v>
      </c>
      <c r="AM488" t="s">
        <v>292</v>
      </c>
      <c r="AN488">
        <v>-116.98362400000001</v>
      </c>
      <c r="AO488">
        <v>25</v>
      </c>
      <c r="AP488">
        <v>1600</v>
      </c>
      <c r="AQ488" t="s">
        <v>129</v>
      </c>
      <c r="AR488">
        <v>145</v>
      </c>
      <c r="AS488">
        <v>-2</v>
      </c>
      <c r="AT488">
        <v>-576</v>
      </c>
      <c r="BB488">
        <v>740</v>
      </c>
      <c r="BC488">
        <v>1</v>
      </c>
      <c r="BD488" t="str">
        <f t="shared" si="165"/>
        <v xml:space="preserve">N887QR  </v>
      </c>
      <c r="BE488">
        <v>1</v>
      </c>
      <c r="BG488">
        <v>0</v>
      </c>
      <c r="BH488">
        <v>0</v>
      </c>
      <c r="BI488">
        <v>0</v>
      </c>
      <c r="BJ488">
        <v>1225</v>
      </c>
      <c r="BK488">
        <v>-375</v>
      </c>
      <c r="BL488" t="s">
        <v>163</v>
      </c>
      <c r="BM488">
        <v>1</v>
      </c>
      <c r="BN488">
        <v>1</v>
      </c>
      <c r="BO488">
        <v>1</v>
      </c>
      <c r="BP488">
        <v>0</v>
      </c>
      <c r="BS488">
        <v>0</v>
      </c>
      <c r="BT488">
        <v>0</v>
      </c>
      <c r="BU488">
        <v>0</v>
      </c>
      <c r="CE488" t="str">
        <f t="shared" si="177"/>
        <v>19:26:59.153</v>
      </c>
      <c r="CF488">
        <v>153462052</v>
      </c>
      <c r="CS488">
        <v>3</v>
      </c>
      <c r="CT488">
        <v>2</v>
      </c>
      <c r="CU488">
        <v>0</v>
      </c>
      <c r="CV488">
        <v>2</v>
      </c>
      <c r="CW488">
        <v>0</v>
      </c>
      <c r="CX488">
        <v>6</v>
      </c>
      <c r="CY488">
        <v>7</v>
      </c>
      <c r="CZ488" t="s">
        <v>131</v>
      </c>
      <c r="DA488">
        <v>300</v>
      </c>
      <c r="DB488">
        <v>0</v>
      </c>
      <c r="DC488" t="s">
        <v>176</v>
      </c>
      <c r="DD488" t="s">
        <v>177</v>
      </c>
      <c r="DG488">
        <v>5364093</v>
      </c>
      <c r="DI488">
        <v>1</v>
      </c>
      <c r="DJ488">
        <v>0</v>
      </c>
      <c r="DK488">
        <v>1</v>
      </c>
      <c r="DL488">
        <v>0</v>
      </c>
      <c r="DM488">
        <v>0</v>
      </c>
      <c r="DN488">
        <v>1</v>
      </c>
      <c r="DO488">
        <v>0</v>
      </c>
      <c r="DP488">
        <v>0</v>
      </c>
      <c r="DQ488">
        <v>0</v>
      </c>
      <c r="DR488">
        <v>0</v>
      </c>
      <c r="DS488">
        <v>0</v>
      </c>
    </row>
    <row r="489" spans="1:123" x14ac:dyDescent="0.3">
      <c r="A489" t="str">
        <f>"10/04/2022 19:27:00.156"</f>
        <v>10/04/2022 19:27:00.156</v>
      </c>
      <c r="C489" t="str">
        <f t="shared" si="163"/>
        <v>FFDFD3C0</v>
      </c>
      <c r="D489" t="s">
        <v>123</v>
      </c>
      <c r="E489">
        <v>7</v>
      </c>
      <c r="F489">
        <v>2007</v>
      </c>
      <c r="G489" t="s">
        <v>124</v>
      </c>
      <c r="J489" t="s">
        <v>125</v>
      </c>
      <c r="K489">
        <v>0</v>
      </c>
      <c r="L489">
        <v>3</v>
      </c>
      <c r="M489">
        <v>0</v>
      </c>
      <c r="N489">
        <v>2</v>
      </c>
      <c r="O489">
        <v>0</v>
      </c>
      <c r="P489">
        <v>1</v>
      </c>
      <c r="Q489">
        <v>0</v>
      </c>
      <c r="S489" t="str">
        <f t="shared" si="176"/>
        <v>19:26:59.000</v>
      </c>
      <c r="T489" t="str">
        <f t="shared" si="176"/>
        <v>19:26:59.000</v>
      </c>
      <c r="U489" t="str">
        <f t="shared" si="164"/>
        <v>AC3944</v>
      </c>
      <c r="V489">
        <v>0</v>
      </c>
      <c r="W489">
        <v>0</v>
      </c>
      <c r="X489">
        <v>2</v>
      </c>
      <c r="Y489">
        <v>0</v>
      </c>
      <c r="AA489">
        <v>1</v>
      </c>
      <c r="AB489">
        <v>8</v>
      </c>
      <c r="AC489">
        <v>3</v>
      </c>
      <c r="AD489">
        <v>0</v>
      </c>
      <c r="AE489">
        <v>9</v>
      </c>
      <c r="AF489" t="s">
        <v>138</v>
      </c>
      <c r="AG489">
        <v>0</v>
      </c>
      <c r="AH489">
        <v>3</v>
      </c>
      <c r="AI489">
        <v>1</v>
      </c>
      <c r="AJ489">
        <v>0</v>
      </c>
      <c r="AK489" t="s">
        <v>288</v>
      </c>
      <c r="AL489">
        <v>32.817836</v>
      </c>
      <c r="AM489" t="s">
        <v>293</v>
      </c>
      <c r="AN489">
        <v>-116.982636</v>
      </c>
      <c r="AO489">
        <v>25</v>
      </c>
      <c r="AP489">
        <v>1600</v>
      </c>
      <c r="AQ489" t="s">
        <v>129</v>
      </c>
      <c r="AR489">
        <v>144</v>
      </c>
      <c r="AS489">
        <v>-2</v>
      </c>
      <c r="AT489">
        <v>-576</v>
      </c>
      <c r="BB489">
        <v>740</v>
      </c>
      <c r="BC489">
        <v>1</v>
      </c>
      <c r="BD489" t="str">
        <f t="shared" si="165"/>
        <v xml:space="preserve">N887QR  </v>
      </c>
      <c r="BE489">
        <v>1</v>
      </c>
      <c r="BG489">
        <v>0</v>
      </c>
      <c r="BH489">
        <v>0</v>
      </c>
      <c r="BI489">
        <v>0</v>
      </c>
      <c r="BJ489">
        <v>1225</v>
      </c>
      <c r="BK489">
        <v>-375</v>
      </c>
      <c r="BL489" t="s">
        <v>163</v>
      </c>
      <c r="BM489">
        <v>1</v>
      </c>
      <c r="BN489">
        <v>1</v>
      </c>
      <c r="BO489">
        <v>1</v>
      </c>
      <c r="BP489">
        <v>0</v>
      </c>
      <c r="BS489">
        <v>0</v>
      </c>
      <c r="BT489">
        <v>0</v>
      </c>
      <c r="BU489">
        <v>0</v>
      </c>
      <c r="CE489" t="str">
        <f t="shared" ref="CE489:CE495" si="178">"19:26:59.975"</f>
        <v>19:26:59.975</v>
      </c>
      <c r="CF489">
        <v>974964660</v>
      </c>
      <c r="CS489">
        <v>3</v>
      </c>
      <c r="CT489">
        <v>2</v>
      </c>
      <c r="CU489">
        <v>0</v>
      </c>
      <c r="CV489">
        <v>2</v>
      </c>
      <c r="CW489">
        <v>0</v>
      </c>
      <c r="CX489">
        <v>5</v>
      </c>
      <c r="CY489">
        <v>7</v>
      </c>
      <c r="CZ489" t="s">
        <v>131</v>
      </c>
      <c r="DA489">
        <v>300</v>
      </c>
      <c r="DB489">
        <v>0</v>
      </c>
      <c r="DC489" t="s">
        <v>176</v>
      </c>
      <c r="DD489" t="s">
        <v>177</v>
      </c>
      <c r="DG489">
        <v>5364213</v>
      </c>
      <c r="DI489">
        <v>1</v>
      </c>
      <c r="DJ489">
        <v>0</v>
      </c>
      <c r="DK489">
        <v>0</v>
      </c>
      <c r="DL489">
        <v>0</v>
      </c>
      <c r="DM489">
        <v>0</v>
      </c>
      <c r="DN489">
        <v>1</v>
      </c>
      <c r="DO489">
        <v>0</v>
      </c>
      <c r="DP489">
        <v>0</v>
      </c>
      <c r="DQ489">
        <v>0</v>
      </c>
      <c r="DR489">
        <v>0</v>
      </c>
      <c r="DS489">
        <v>0</v>
      </c>
    </row>
    <row r="490" spans="1:123" x14ac:dyDescent="0.3">
      <c r="A490" t="str">
        <f>"10/04/2022 19:27:00.172"</f>
        <v>10/04/2022 19:27:00.172</v>
      </c>
      <c r="C490" t="str">
        <f t="shared" si="163"/>
        <v>FFDFD3C0</v>
      </c>
      <c r="D490" t="s">
        <v>141</v>
      </c>
      <c r="E490">
        <v>4</v>
      </c>
      <c r="H490">
        <v>4</v>
      </c>
      <c r="I490" t="s">
        <v>142</v>
      </c>
      <c r="J490" t="s">
        <v>138</v>
      </c>
      <c r="K490">
        <v>0</v>
      </c>
      <c r="L490">
        <v>3</v>
      </c>
      <c r="M490">
        <v>0</v>
      </c>
      <c r="N490">
        <v>2</v>
      </c>
      <c r="O490">
        <v>0</v>
      </c>
      <c r="P490">
        <v>1</v>
      </c>
      <c r="Q490">
        <v>0</v>
      </c>
      <c r="S490" t="str">
        <f t="shared" si="176"/>
        <v>19:26:59.000</v>
      </c>
      <c r="T490" t="str">
        <f t="shared" si="176"/>
        <v>19:26:59.000</v>
      </c>
      <c r="U490" t="str">
        <f t="shared" si="164"/>
        <v>AC3944</v>
      </c>
      <c r="V490">
        <v>0</v>
      </c>
      <c r="W490">
        <v>0</v>
      </c>
      <c r="X490">
        <v>2</v>
      </c>
      <c r="Y490">
        <v>0</v>
      </c>
      <c r="AA490">
        <v>1</v>
      </c>
      <c r="AB490">
        <v>8</v>
      </c>
      <c r="AC490">
        <v>3</v>
      </c>
      <c r="AD490">
        <v>0</v>
      </c>
      <c r="AE490">
        <v>9</v>
      </c>
      <c r="AF490" t="s">
        <v>138</v>
      </c>
      <c r="AG490">
        <v>0</v>
      </c>
      <c r="AH490">
        <v>3</v>
      </c>
      <c r="AI490">
        <v>1</v>
      </c>
      <c r="AJ490">
        <v>0</v>
      </c>
      <c r="AK490" t="s">
        <v>288</v>
      </c>
      <c r="AL490">
        <v>32.817836</v>
      </c>
      <c r="AM490" t="s">
        <v>293</v>
      </c>
      <c r="AN490">
        <v>-116.982636</v>
      </c>
      <c r="AO490">
        <v>25</v>
      </c>
      <c r="AP490">
        <v>1600</v>
      </c>
      <c r="AQ490" t="s">
        <v>129</v>
      </c>
      <c r="AR490">
        <v>144</v>
      </c>
      <c r="AS490">
        <v>-2</v>
      </c>
      <c r="AT490">
        <v>-576</v>
      </c>
      <c r="BB490">
        <v>740</v>
      </c>
      <c r="BC490">
        <v>1</v>
      </c>
      <c r="BD490" t="str">
        <f t="shared" si="165"/>
        <v xml:space="preserve">N887QR  </v>
      </c>
      <c r="BE490">
        <v>1</v>
      </c>
      <c r="BG490">
        <v>0</v>
      </c>
      <c r="BH490">
        <v>0</v>
      </c>
      <c r="BI490">
        <v>0</v>
      </c>
      <c r="BJ490">
        <v>1225</v>
      </c>
      <c r="BK490">
        <v>-375</v>
      </c>
      <c r="BL490" t="s">
        <v>163</v>
      </c>
      <c r="BM490">
        <v>1</v>
      </c>
      <c r="BN490">
        <v>1</v>
      </c>
      <c r="BO490">
        <v>1</v>
      </c>
      <c r="BP490">
        <v>0</v>
      </c>
      <c r="BS490">
        <v>0</v>
      </c>
      <c r="BT490">
        <v>0</v>
      </c>
      <c r="BU490">
        <v>0</v>
      </c>
      <c r="CE490" t="str">
        <f t="shared" si="178"/>
        <v>19:26:59.975</v>
      </c>
      <c r="CF490">
        <v>974964660</v>
      </c>
      <c r="CS490">
        <v>3</v>
      </c>
      <c r="CT490">
        <v>2</v>
      </c>
      <c r="CU490">
        <v>0</v>
      </c>
      <c r="CV490">
        <v>2</v>
      </c>
      <c r="CW490">
        <v>0</v>
      </c>
      <c r="CX490">
        <v>5</v>
      </c>
      <c r="CY490">
        <v>7</v>
      </c>
      <c r="CZ490" t="s">
        <v>131</v>
      </c>
      <c r="DA490">
        <v>300</v>
      </c>
      <c r="DB490">
        <v>0</v>
      </c>
      <c r="DC490" t="s">
        <v>176</v>
      </c>
      <c r="DD490" t="s">
        <v>177</v>
      </c>
      <c r="DG490">
        <v>5364213</v>
      </c>
      <c r="DI490">
        <v>1</v>
      </c>
      <c r="DJ490">
        <v>0</v>
      </c>
      <c r="DK490">
        <v>1</v>
      </c>
      <c r="DL490">
        <v>0</v>
      </c>
      <c r="DM490">
        <v>0</v>
      </c>
      <c r="DN490">
        <v>1</v>
      </c>
      <c r="DO490">
        <v>0</v>
      </c>
      <c r="DP490">
        <v>0</v>
      </c>
      <c r="DQ490">
        <v>0</v>
      </c>
      <c r="DR490">
        <v>0</v>
      </c>
      <c r="DS490">
        <v>0</v>
      </c>
    </row>
    <row r="491" spans="1:123" x14ac:dyDescent="0.3">
      <c r="A491" t="str">
        <f>"10/04/2022 19:27:00.172"</f>
        <v>10/04/2022 19:27:00.172</v>
      </c>
      <c r="C491" t="str">
        <f t="shared" si="163"/>
        <v>FFDFD3C0</v>
      </c>
      <c r="D491" t="s">
        <v>141</v>
      </c>
      <c r="E491">
        <v>3</v>
      </c>
      <c r="H491">
        <v>3</v>
      </c>
      <c r="I491" t="s">
        <v>146</v>
      </c>
      <c r="J491" t="s">
        <v>138</v>
      </c>
      <c r="K491">
        <v>0</v>
      </c>
      <c r="L491">
        <v>3</v>
      </c>
      <c r="M491">
        <v>0</v>
      </c>
      <c r="N491">
        <v>2</v>
      </c>
      <c r="O491">
        <v>0</v>
      </c>
      <c r="P491">
        <v>1</v>
      </c>
      <c r="Q491">
        <v>0</v>
      </c>
      <c r="S491" t="str">
        <f t="shared" si="176"/>
        <v>19:26:59.000</v>
      </c>
      <c r="T491" t="str">
        <f t="shared" si="176"/>
        <v>19:26:59.000</v>
      </c>
      <c r="U491" t="str">
        <f t="shared" si="164"/>
        <v>AC3944</v>
      </c>
      <c r="V491">
        <v>0</v>
      </c>
      <c r="W491">
        <v>0</v>
      </c>
      <c r="X491">
        <v>2</v>
      </c>
      <c r="Y491">
        <v>0</v>
      </c>
      <c r="AA491">
        <v>1</v>
      </c>
      <c r="AB491">
        <v>8</v>
      </c>
      <c r="AC491">
        <v>3</v>
      </c>
      <c r="AD491">
        <v>0</v>
      </c>
      <c r="AE491">
        <v>9</v>
      </c>
      <c r="AF491" t="s">
        <v>138</v>
      </c>
      <c r="AG491">
        <v>0</v>
      </c>
      <c r="AH491">
        <v>3</v>
      </c>
      <c r="AI491">
        <v>1</v>
      </c>
      <c r="AJ491">
        <v>0</v>
      </c>
      <c r="AK491" t="s">
        <v>288</v>
      </c>
      <c r="AL491">
        <v>32.817836</v>
      </c>
      <c r="AM491" t="s">
        <v>293</v>
      </c>
      <c r="AN491">
        <v>-116.982636</v>
      </c>
      <c r="AO491">
        <v>25</v>
      </c>
      <c r="AP491">
        <v>1600</v>
      </c>
      <c r="AQ491" t="s">
        <v>129</v>
      </c>
      <c r="AR491">
        <v>144</v>
      </c>
      <c r="AS491">
        <v>-2</v>
      </c>
      <c r="AT491">
        <v>-576</v>
      </c>
      <c r="BB491">
        <v>740</v>
      </c>
      <c r="BC491">
        <v>1</v>
      </c>
      <c r="BD491" t="str">
        <f t="shared" si="165"/>
        <v xml:space="preserve">N887QR  </v>
      </c>
      <c r="BE491">
        <v>1</v>
      </c>
      <c r="BG491">
        <v>0</v>
      </c>
      <c r="BH491">
        <v>0</v>
      </c>
      <c r="BI491">
        <v>0</v>
      </c>
      <c r="BJ491">
        <v>1225</v>
      </c>
      <c r="BK491">
        <v>-375</v>
      </c>
      <c r="BL491" t="s">
        <v>163</v>
      </c>
      <c r="BM491">
        <v>1</v>
      </c>
      <c r="BN491">
        <v>1</v>
      </c>
      <c r="BO491">
        <v>1</v>
      </c>
      <c r="BP491">
        <v>0</v>
      </c>
      <c r="BS491">
        <v>0</v>
      </c>
      <c r="BT491">
        <v>0</v>
      </c>
      <c r="BU491">
        <v>0</v>
      </c>
      <c r="CE491" t="str">
        <f t="shared" si="178"/>
        <v>19:26:59.975</v>
      </c>
      <c r="CF491">
        <v>974964660</v>
      </c>
      <c r="CS491">
        <v>3</v>
      </c>
      <c r="CT491">
        <v>2</v>
      </c>
      <c r="CU491">
        <v>0</v>
      </c>
      <c r="CV491">
        <v>2</v>
      </c>
      <c r="CW491">
        <v>0</v>
      </c>
      <c r="CX491">
        <v>5</v>
      </c>
      <c r="CY491">
        <v>7</v>
      </c>
      <c r="CZ491" t="s">
        <v>131</v>
      </c>
      <c r="DA491">
        <v>300</v>
      </c>
      <c r="DB491">
        <v>0</v>
      </c>
      <c r="DC491" t="s">
        <v>176</v>
      </c>
      <c r="DD491" t="s">
        <v>177</v>
      </c>
      <c r="DG491">
        <v>5364213</v>
      </c>
      <c r="DI491">
        <v>1</v>
      </c>
      <c r="DJ491">
        <v>0</v>
      </c>
      <c r="DK491">
        <v>1</v>
      </c>
      <c r="DL491">
        <v>0</v>
      </c>
      <c r="DM491">
        <v>0</v>
      </c>
      <c r="DN491">
        <v>1</v>
      </c>
      <c r="DO491">
        <v>0</v>
      </c>
      <c r="DP491">
        <v>0</v>
      </c>
      <c r="DQ491">
        <v>0</v>
      </c>
      <c r="DR491">
        <v>0</v>
      </c>
      <c r="DS491">
        <v>0</v>
      </c>
    </row>
    <row r="492" spans="1:123" x14ac:dyDescent="0.3">
      <c r="A492" t="str">
        <f>"10/04/2022 19:27:00.203"</f>
        <v>10/04/2022 19:27:00.203</v>
      </c>
      <c r="C492" t="str">
        <f t="shared" si="163"/>
        <v>FFDFD3C0</v>
      </c>
      <c r="D492" t="s">
        <v>136</v>
      </c>
      <c r="E492">
        <v>8</v>
      </c>
      <c r="H492">
        <v>225</v>
      </c>
      <c r="I492" t="s">
        <v>137</v>
      </c>
      <c r="J492" t="s">
        <v>138</v>
      </c>
      <c r="K492">
        <v>0</v>
      </c>
      <c r="L492">
        <v>3</v>
      </c>
      <c r="M492">
        <v>0</v>
      </c>
      <c r="N492">
        <v>2</v>
      </c>
      <c r="O492">
        <v>0</v>
      </c>
      <c r="P492">
        <v>1</v>
      </c>
      <c r="Q492">
        <v>0</v>
      </c>
      <c r="S492" t="str">
        <f t="shared" si="176"/>
        <v>19:26:59.000</v>
      </c>
      <c r="T492" t="str">
        <f t="shared" si="176"/>
        <v>19:26:59.000</v>
      </c>
      <c r="U492" t="str">
        <f t="shared" si="164"/>
        <v>AC3944</v>
      </c>
      <c r="V492">
        <v>0</v>
      </c>
      <c r="W492">
        <v>0</v>
      </c>
      <c r="X492">
        <v>2</v>
      </c>
      <c r="Y492">
        <v>0</v>
      </c>
      <c r="AA492">
        <v>1</v>
      </c>
      <c r="AB492">
        <v>8</v>
      </c>
      <c r="AC492">
        <v>3</v>
      </c>
      <c r="AD492">
        <v>0</v>
      </c>
      <c r="AE492">
        <v>9</v>
      </c>
      <c r="AF492" t="s">
        <v>138</v>
      </c>
      <c r="AG492">
        <v>0</v>
      </c>
      <c r="AH492">
        <v>3</v>
      </c>
      <c r="AI492">
        <v>1</v>
      </c>
      <c r="AJ492">
        <v>0</v>
      </c>
      <c r="AK492" t="s">
        <v>288</v>
      </c>
      <c r="AL492">
        <v>32.817836</v>
      </c>
      <c r="AM492" t="s">
        <v>293</v>
      </c>
      <c r="AN492">
        <v>-116.982636</v>
      </c>
      <c r="AO492">
        <v>25</v>
      </c>
      <c r="AP492">
        <v>1600</v>
      </c>
      <c r="AQ492" t="s">
        <v>129</v>
      </c>
      <c r="AR492">
        <v>144</v>
      </c>
      <c r="AS492">
        <v>-2</v>
      </c>
      <c r="AT492">
        <v>-576</v>
      </c>
      <c r="BB492">
        <v>740</v>
      </c>
      <c r="BC492">
        <v>1</v>
      </c>
      <c r="BD492" t="str">
        <f t="shared" si="165"/>
        <v xml:space="preserve">N887QR  </v>
      </c>
      <c r="BE492">
        <v>1</v>
      </c>
      <c r="BG492">
        <v>0</v>
      </c>
      <c r="BH492">
        <v>0</v>
      </c>
      <c r="BI492">
        <v>0</v>
      </c>
      <c r="BJ492">
        <v>1225</v>
      </c>
      <c r="BK492">
        <v>-375</v>
      </c>
      <c r="BL492" t="s">
        <v>163</v>
      </c>
      <c r="BM492">
        <v>1</v>
      </c>
      <c r="BN492">
        <v>1</v>
      </c>
      <c r="BO492">
        <v>1</v>
      </c>
      <c r="BP492">
        <v>0</v>
      </c>
      <c r="BS492">
        <v>0</v>
      </c>
      <c r="BT492">
        <v>0</v>
      </c>
      <c r="BU492">
        <v>0</v>
      </c>
      <c r="CE492" t="str">
        <f t="shared" si="178"/>
        <v>19:26:59.975</v>
      </c>
      <c r="CF492">
        <v>974964660</v>
      </c>
      <c r="CS492">
        <v>3</v>
      </c>
      <c r="CT492">
        <v>2</v>
      </c>
      <c r="CU492">
        <v>0</v>
      </c>
      <c r="CV492">
        <v>2</v>
      </c>
      <c r="CW492">
        <v>0</v>
      </c>
      <c r="CX492">
        <v>5</v>
      </c>
      <c r="CY492">
        <v>7</v>
      </c>
      <c r="CZ492" t="s">
        <v>131</v>
      </c>
      <c r="DA492">
        <v>300</v>
      </c>
      <c r="DB492">
        <v>0</v>
      </c>
      <c r="DC492" t="s">
        <v>176</v>
      </c>
      <c r="DD492" t="s">
        <v>177</v>
      </c>
      <c r="DG492">
        <v>5364213</v>
      </c>
      <c r="DI492">
        <v>1</v>
      </c>
      <c r="DJ492">
        <v>0</v>
      </c>
      <c r="DK492">
        <v>1</v>
      </c>
      <c r="DL492">
        <v>0</v>
      </c>
      <c r="DM492">
        <v>0</v>
      </c>
      <c r="DN492">
        <v>1</v>
      </c>
      <c r="DO492">
        <v>0</v>
      </c>
      <c r="DP492">
        <v>0</v>
      </c>
      <c r="DQ492">
        <v>0</v>
      </c>
      <c r="DR492">
        <v>0</v>
      </c>
      <c r="DS492">
        <v>0</v>
      </c>
    </row>
    <row r="493" spans="1:123" x14ac:dyDescent="0.3">
      <c r="A493" t="str">
        <f>"10/04/2022 19:27:00.203"</f>
        <v>10/04/2022 19:27:00.203</v>
      </c>
      <c r="C493" t="str">
        <f t="shared" si="163"/>
        <v>FFDFD3C0</v>
      </c>
      <c r="D493" t="s">
        <v>134</v>
      </c>
      <c r="E493">
        <v>15</v>
      </c>
      <c r="J493" t="s">
        <v>135</v>
      </c>
      <c r="K493">
        <v>0</v>
      </c>
      <c r="L493">
        <v>3</v>
      </c>
      <c r="M493">
        <v>0</v>
      </c>
      <c r="N493">
        <v>2</v>
      </c>
      <c r="O493">
        <v>0</v>
      </c>
      <c r="P493">
        <v>1</v>
      </c>
      <c r="Q493">
        <v>0</v>
      </c>
      <c r="S493" t="str">
        <f t="shared" si="176"/>
        <v>19:26:59.000</v>
      </c>
      <c r="T493" t="str">
        <f t="shared" si="176"/>
        <v>19:26:59.000</v>
      </c>
      <c r="U493" t="str">
        <f t="shared" si="164"/>
        <v>AC3944</v>
      </c>
      <c r="V493">
        <v>0</v>
      </c>
      <c r="W493">
        <v>0</v>
      </c>
      <c r="X493">
        <v>2</v>
      </c>
      <c r="Y493">
        <v>0</v>
      </c>
      <c r="AA493">
        <v>1</v>
      </c>
      <c r="AB493">
        <v>8</v>
      </c>
      <c r="AC493">
        <v>3</v>
      </c>
      <c r="AD493">
        <v>0</v>
      </c>
      <c r="AE493">
        <v>9</v>
      </c>
      <c r="AF493" t="s">
        <v>138</v>
      </c>
      <c r="AG493">
        <v>0</v>
      </c>
      <c r="AH493">
        <v>3</v>
      </c>
      <c r="AI493">
        <v>1</v>
      </c>
      <c r="AJ493">
        <v>0</v>
      </c>
      <c r="AK493" t="s">
        <v>288</v>
      </c>
      <c r="AL493">
        <v>32.817836</v>
      </c>
      <c r="AM493" t="s">
        <v>293</v>
      </c>
      <c r="AN493">
        <v>-116.982636</v>
      </c>
      <c r="AO493">
        <v>25</v>
      </c>
      <c r="AP493">
        <v>1600</v>
      </c>
      <c r="AQ493" t="s">
        <v>129</v>
      </c>
      <c r="AR493">
        <v>144</v>
      </c>
      <c r="AS493">
        <v>-2</v>
      </c>
      <c r="AT493">
        <v>-576</v>
      </c>
      <c r="BB493">
        <v>740</v>
      </c>
      <c r="BC493">
        <v>1</v>
      </c>
      <c r="BD493" t="str">
        <f t="shared" si="165"/>
        <v xml:space="preserve">N887QR  </v>
      </c>
      <c r="BE493">
        <v>1</v>
      </c>
      <c r="BG493">
        <v>0</v>
      </c>
      <c r="BH493">
        <v>0</v>
      </c>
      <c r="BI493">
        <v>0</v>
      </c>
      <c r="BJ493">
        <v>1225</v>
      </c>
      <c r="BK493">
        <v>-375</v>
      </c>
      <c r="BL493" t="s">
        <v>163</v>
      </c>
      <c r="BM493">
        <v>1</v>
      </c>
      <c r="BN493">
        <v>1</v>
      </c>
      <c r="BO493">
        <v>1</v>
      </c>
      <c r="BP493">
        <v>0</v>
      </c>
      <c r="BS493">
        <v>0</v>
      </c>
      <c r="BT493">
        <v>0</v>
      </c>
      <c r="BU493">
        <v>0</v>
      </c>
      <c r="CE493" t="str">
        <f t="shared" si="178"/>
        <v>19:26:59.975</v>
      </c>
      <c r="CF493">
        <v>974964660</v>
      </c>
      <c r="CS493">
        <v>3</v>
      </c>
      <c r="CT493">
        <v>2</v>
      </c>
      <c r="CU493">
        <v>0</v>
      </c>
      <c r="CV493">
        <v>2</v>
      </c>
      <c r="CW493">
        <v>0</v>
      </c>
      <c r="CX493">
        <v>5</v>
      </c>
      <c r="CY493">
        <v>7</v>
      </c>
      <c r="CZ493" t="s">
        <v>131</v>
      </c>
      <c r="DA493">
        <v>300</v>
      </c>
      <c r="DB493">
        <v>0</v>
      </c>
      <c r="DC493" t="s">
        <v>176</v>
      </c>
      <c r="DD493" t="s">
        <v>177</v>
      </c>
      <c r="DG493">
        <v>5364213</v>
      </c>
      <c r="DI493">
        <v>1</v>
      </c>
      <c r="DJ493">
        <v>0</v>
      </c>
      <c r="DK493">
        <v>1</v>
      </c>
      <c r="DL493">
        <v>0</v>
      </c>
      <c r="DM493">
        <v>0</v>
      </c>
      <c r="DN493">
        <v>1</v>
      </c>
      <c r="DO493">
        <v>0</v>
      </c>
      <c r="DP493">
        <v>0</v>
      </c>
      <c r="DQ493">
        <v>0</v>
      </c>
      <c r="DR493">
        <v>0</v>
      </c>
      <c r="DS493">
        <v>0</v>
      </c>
    </row>
    <row r="494" spans="1:123" x14ac:dyDescent="0.3">
      <c r="A494" t="str">
        <f>"10/04/2022 19:27:00.203"</f>
        <v>10/04/2022 19:27:00.203</v>
      </c>
      <c r="C494" t="str">
        <f t="shared" si="163"/>
        <v>FFDFD3C0</v>
      </c>
      <c r="D494" t="s">
        <v>143</v>
      </c>
      <c r="E494">
        <v>20</v>
      </c>
      <c r="F494">
        <v>1020</v>
      </c>
      <c r="G494" t="s">
        <v>144</v>
      </c>
      <c r="J494" t="s">
        <v>145</v>
      </c>
      <c r="K494">
        <v>0</v>
      </c>
      <c r="L494">
        <v>3</v>
      </c>
      <c r="M494">
        <v>0</v>
      </c>
      <c r="N494">
        <v>2</v>
      </c>
      <c r="O494">
        <v>0</v>
      </c>
      <c r="P494">
        <v>1</v>
      </c>
      <c r="Q494">
        <v>0</v>
      </c>
      <c r="S494" t="str">
        <f t="shared" si="176"/>
        <v>19:26:59.000</v>
      </c>
      <c r="T494" t="str">
        <f t="shared" si="176"/>
        <v>19:26:59.000</v>
      </c>
      <c r="U494" t="str">
        <f t="shared" si="164"/>
        <v>AC3944</v>
      </c>
      <c r="V494">
        <v>0</v>
      </c>
      <c r="W494">
        <v>0</v>
      </c>
      <c r="X494">
        <v>2</v>
      </c>
      <c r="Y494">
        <v>0</v>
      </c>
      <c r="AA494">
        <v>1</v>
      </c>
      <c r="AB494">
        <v>8</v>
      </c>
      <c r="AC494">
        <v>3</v>
      </c>
      <c r="AD494">
        <v>0</v>
      </c>
      <c r="AE494">
        <v>9</v>
      </c>
      <c r="AF494" t="s">
        <v>138</v>
      </c>
      <c r="AG494">
        <v>0</v>
      </c>
      <c r="AH494">
        <v>3</v>
      </c>
      <c r="AI494">
        <v>1</v>
      </c>
      <c r="AJ494">
        <v>0</v>
      </c>
      <c r="AK494" t="s">
        <v>288</v>
      </c>
      <c r="AL494">
        <v>32.817836</v>
      </c>
      <c r="AM494" t="s">
        <v>293</v>
      </c>
      <c r="AN494">
        <v>-116.982636</v>
      </c>
      <c r="AO494">
        <v>25</v>
      </c>
      <c r="AP494">
        <v>1600</v>
      </c>
      <c r="AQ494" t="s">
        <v>129</v>
      </c>
      <c r="AR494">
        <v>144</v>
      </c>
      <c r="AS494">
        <v>-2</v>
      </c>
      <c r="AT494">
        <v>-576</v>
      </c>
      <c r="BB494">
        <v>740</v>
      </c>
      <c r="BC494">
        <v>1</v>
      </c>
      <c r="BD494" t="str">
        <f t="shared" si="165"/>
        <v xml:space="preserve">N887QR  </v>
      </c>
      <c r="BE494">
        <v>1</v>
      </c>
      <c r="BG494">
        <v>0</v>
      </c>
      <c r="BH494">
        <v>0</v>
      </c>
      <c r="BI494">
        <v>0</v>
      </c>
      <c r="BJ494">
        <v>1225</v>
      </c>
      <c r="BK494">
        <v>-375</v>
      </c>
      <c r="BL494" t="s">
        <v>163</v>
      </c>
      <c r="BM494">
        <v>1</v>
      </c>
      <c r="BN494">
        <v>1</v>
      </c>
      <c r="BO494">
        <v>1</v>
      </c>
      <c r="BP494">
        <v>0</v>
      </c>
      <c r="BS494">
        <v>0</v>
      </c>
      <c r="BT494">
        <v>0</v>
      </c>
      <c r="BU494">
        <v>0</v>
      </c>
      <c r="CE494" t="str">
        <f t="shared" si="178"/>
        <v>19:26:59.975</v>
      </c>
      <c r="CF494">
        <v>974964660</v>
      </c>
      <c r="CS494">
        <v>3</v>
      </c>
      <c r="CT494">
        <v>2</v>
      </c>
      <c r="CU494">
        <v>0</v>
      </c>
      <c r="CV494">
        <v>2</v>
      </c>
      <c r="CW494">
        <v>0</v>
      </c>
      <c r="CX494">
        <v>5</v>
      </c>
      <c r="CY494">
        <v>7</v>
      </c>
      <c r="CZ494" t="s">
        <v>131</v>
      </c>
      <c r="DA494">
        <v>300</v>
      </c>
      <c r="DB494">
        <v>0</v>
      </c>
      <c r="DC494" t="s">
        <v>176</v>
      </c>
      <c r="DD494" t="s">
        <v>177</v>
      </c>
      <c r="DG494">
        <v>5364213</v>
      </c>
      <c r="DI494">
        <v>1</v>
      </c>
      <c r="DJ494">
        <v>0</v>
      </c>
      <c r="DK494">
        <v>1</v>
      </c>
      <c r="DL494">
        <v>0</v>
      </c>
      <c r="DM494">
        <v>0</v>
      </c>
      <c r="DN494">
        <v>1</v>
      </c>
      <c r="DO494">
        <v>0</v>
      </c>
      <c r="DP494">
        <v>0</v>
      </c>
      <c r="DQ494">
        <v>0</v>
      </c>
      <c r="DR494">
        <v>0</v>
      </c>
      <c r="DS494">
        <v>0</v>
      </c>
    </row>
    <row r="495" spans="1:123" x14ac:dyDescent="0.3">
      <c r="A495" t="str">
        <f>"10/04/2022 19:27:00.203"</f>
        <v>10/04/2022 19:27:00.203</v>
      </c>
      <c r="C495" t="str">
        <f t="shared" si="163"/>
        <v>FFDFD3C0</v>
      </c>
      <c r="D495" t="s">
        <v>147</v>
      </c>
      <c r="E495">
        <v>3</v>
      </c>
      <c r="H495">
        <v>166</v>
      </c>
      <c r="I495" t="s">
        <v>144</v>
      </c>
      <c r="J495" t="s">
        <v>148</v>
      </c>
      <c r="K495">
        <v>0</v>
      </c>
      <c r="L495">
        <v>3</v>
      </c>
      <c r="M495">
        <v>0</v>
      </c>
      <c r="N495">
        <v>2</v>
      </c>
      <c r="O495">
        <v>0</v>
      </c>
      <c r="P495">
        <v>1</v>
      </c>
      <c r="Q495">
        <v>0</v>
      </c>
      <c r="S495" t="str">
        <f t="shared" si="176"/>
        <v>19:26:59.000</v>
      </c>
      <c r="T495" t="str">
        <f t="shared" si="176"/>
        <v>19:26:59.000</v>
      </c>
      <c r="U495" t="str">
        <f t="shared" si="164"/>
        <v>AC3944</v>
      </c>
      <c r="V495">
        <v>0</v>
      </c>
      <c r="W495">
        <v>0</v>
      </c>
      <c r="X495">
        <v>2</v>
      </c>
      <c r="Y495">
        <v>0</v>
      </c>
      <c r="AA495">
        <v>1</v>
      </c>
      <c r="AB495">
        <v>8</v>
      </c>
      <c r="AC495">
        <v>3</v>
      </c>
      <c r="AD495">
        <v>0</v>
      </c>
      <c r="AE495">
        <v>9</v>
      </c>
      <c r="AF495" t="s">
        <v>138</v>
      </c>
      <c r="AG495">
        <v>0</v>
      </c>
      <c r="AH495">
        <v>3</v>
      </c>
      <c r="AI495">
        <v>1</v>
      </c>
      <c r="AJ495">
        <v>0</v>
      </c>
      <c r="AK495" t="s">
        <v>288</v>
      </c>
      <c r="AL495">
        <v>32.817836</v>
      </c>
      <c r="AM495" t="s">
        <v>293</v>
      </c>
      <c r="AN495">
        <v>-116.982636</v>
      </c>
      <c r="AO495">
        <v>25</v>
      </c>
      <c r="AP495">
        <v>1600</v>
      </c>
      <c r="AQ495" t="s">
        <v>129</v>
      </c>
      <c r="AR495">
        <v>144</v>
      </c>
      <c r="AS495">
        <v>-2</v>
      </c>
      <c r="AT495">
        <v>-576</v>
      </c>
      <c r="BB495">
        <v>740</v>
      </c>
      <c r="BC495">
        <v>1</v>
      </c>
      <c r="BD495" t="str">
        <f t="shared" si="165"/>
        <v xml:space="preserve">N887QR  </v>
      </c>
      <c r="BE495">
        <v>1</v>
      </c>
      <c r="BG495">
        <v>0</v>
      </c>
      <c r="BH495">
        <v>0</v>
      </c>
      <c r="BI495">
        <v>0</v>
      </c>
      <c r="BJ495">
        <v>1225</v>
      </c>
      <c r="BK495">
        <v>-375</v>
      </c>
      <c r="BL495" t="s">
        <v>163</v>
      </c>
      <c r="BM495">
        <v>1</v>
      </c>
      <c r="BN495">
        <v>1</v>
      </c>
      <c r="BO495">
        <v>1</v>
      </c>
      <c r="BP495">
        <v>0</v>
      </c>
      <c r="BS495">
        <v>0</v>
      </c>
      <c r="BT495">
        <v>0</v>
      </c>
      <c r="BU495">
        <v>0</v>
      </c>
      <c r="CE495" t="str">
        <f t="shared" si="178"/>
        <v>19:26:59.975</v>
      </c>
      <c r="CF495">
        <v>974964660</v>
      </c>
      <c r="CS495">
        <v>3</v>
      </c>
      <c r="CT495">
        <v>2</v>
      </c>
      <c r="CU495">
        <v>0</v>
      </c>
      <c r="CV495">
        <v>2</v>
      </c>
      <c r="CW495">
        <v>0</v>
      </c>
      <c r="CX495">
        <v>5</v>
      </c>
      <c r="CY495">
        <v>7</v>
      </c>
      <c r="CZ495" t="s">
        <v>131</v>
      </c>
      <c r="DA495">
        <v>300</v>
      </c>
      <c r="DB495">
        <v>0</v>
      </c>
      <c r="DC495" t="s">
        <v>176</v>
      </c>
      <c r="DD495" t="s">
        <v>177</v>
      </c>
      <c r="DG495">
        <v>5364213</v>
      </c>
      <c r="DI495">
        <v>1</v>
      </c>
      <c r="DJ495">
        <v>0</v>
      </c>
      <c r="DK495">
        <v>1</v>
      </c>
      <c r="DL495">
        <v>0</v>
      </c>
      <c r="DM495">
        <v>0</v>
      </c>
      <c r="DN495">
        <v>1</v>
      </c>
      <c r="DO495">
        <v>0</v>
      </c>
      <c r="DP495">
        <v>0</v>
      </c>
      <c r="DQ495">
        <v>0</v>
      </c>
      <c r="DR495">
        <v>0</v>
      </c>
      <c r="DS495">
        <v>0</v>
      </c>
    </row>
    <row r="496" spans="1:123" x14ac:dyDescent="0.3">
      <c r="A496" t="str">
        <f>"10/04/2022 19:27:01.587"</f>
        <v>10/04/2022 19:27:01.587</v>
      </c>
      <c r="C496" t="str">
        <f t="shared" si="163"/>
        <v>FFDFD3C0</v>
      </c>
      <c r="D496" t="s">
        <v>123</v>
      </c>
      <c r="E496">
        <v>7</v>
      </c>
      <c r="F496">
        <v>2007</v>
      </c>
      <c r="G496" t="s">
        <v>124</v>
      </c>
      <c r="J496" t="s">
        <v>125</v>
      </c>
      <c r="K496">
        <v>0</v>
      </c>
      <c r="L496">
        <v>3</v>
      </c>
      <c r="M496">
        <v>0</v>
      </c>
      <c r="N496">
        <v>2</v>
      </c>
      <c r="O496">
        <v>0</v>
      </c>
      <c r="P496">
        <v>1</v>
      </c>
      <c r="Q496">
        <v>0</v>
      </c>
      <c r="S496" t="str">
        <f t="shared" ref="S496:T509" si="179">"19:27:01.000"</f>
        <v>19:27:01.000</v>
      </c>
      <c r="T496" t="str">
        <f t="shared" si="179"/>
        <v>19:27:01.000</v>
      </c>
      <c r="U496" t="str">
        <f t="shared" si="164"/>
        <v>AC3944</v>
      </c>
      <c r="V496">
        <v>0</v>
      </c>
      <c r="W496">
        <v>0</v>
      </c>
      <c r="X496">
        <v>2</v>
      </c>
      <c r="Y496">
        <v>0</v>
      </c>
      <c r="AA496">
        <v>1</v>
      </c>
      <c r="AB496">
        <v>8</v>
      </c>
      <c r="AC496">
        <v>3</v>
      </c>
      <c r="AD496">
        <v>0</v>
      </c>
      <c r="AE496">
        <v>9</v>
      </c>
      <c r="AF496" t="s">
        <v>138</v>
      </c>
      <c r="AG496">
        <v>0</v>
      </c>
      <c r="AH496">
        <v>3</v>
      </c>
      <c r="AI496">
        <v>1</v>
      </c>
      <c r="AJ496">
        <v>0</v>
      </c>
      <c r="AK496" t="s">
        <v>286</v>
      </c>
      <c r="AL496">
        <v>32.817813999999998</v>
      </c>
      <c r="AM496" t="s">
        <v>294</v>
      </c>
      <c r="AN496">
        <v>-116.981843</v>
      </c>
      <c r="AO496">
        <v>25</v>
      </c>
      <c r="AP496">
        <v>1600</v>
      </c>
      <c r="AQ496" t="s">
        <v>129</v>
      </c>
      <c r="AR496">
        <v>143</v>
      </c>
      <c r="AS496">
        <v>-2</v>
      </c>
      <c r="AT496">
        <v>-128</v>
      </c>
      <c r="BB496">
        <v>740</v>
      </c>
      <c r="BC496">
        <v>1</v>
      </c>
      <c r="BD496" t="str">
        <f t="shared" si="165"/>
        <v xml:space="preserve">N887QR  </v>
      </c>
      <c r="BE496">
        <v>1</v>
      </c>
      <c r="BG496">
        <v>0</v>
      </c>
      <c r="BH496">
        <v>0</v>
      </c>
      <c r="BI496">
        <v>0</v>
      </c>
      <c r="BJ496">
        <v>1225</v>
      </c>
      <c r="BK496">
        <v>-375</v>
      </c>
      <c r="BL496" t="s">
        <v>163</v>
      </c>
      <c r="BM496">
        <v>1</v>
      </c>
      <c r="BN496">
        <v>1</v>
      </c>
      <c r="BO496">
        <v>1</v>
      </c>
      <c r="BP496">
        <v>0</v>
      </c>
      <c r="BS496">
        <v>0</v>
      </c>
      <c r="BT496">
        <v>0</v>
      </c>
      <c r="BU496">
        <v>0</v>
      </c>
      <c r="CE496" t="str">
        <f t="shared" ref="CE496:CE502" si="180">"19:27:01.378"</f>
        <v>19:27:01.378</v>
      </c>
      <c r="CF496">
        <v>378219112</v>
      </c>
      <c r="CS496">
        <v>3</v>
      </c>
      <c r="CT496">
        <v>2</v>
      </c>
      <c r="CU496">
        <v>0</v>
      </c>
      <c r="CV496">
        <v>2</v>
      </c>
      <c r="CW496">
        <v>0</v>
      </c>
      <c r="CX496">
        <v>6</v>
      </c>
      <c r="CY496">
        <v>7</v>
      </c>
      <c r="CZ496" t="s">
        <v>131</v>
      </c>
      <c r="DA496">
        <v>300</v>
      </c>
      <c r="DB496">
        <v>0</v>
      </c>
      <c r="DC496" t="s">
        <v>176</v>
      </c>
      <c r="DD496" t="s">
        <v>177</v>
      </c>
      <c r="DG496">
        <v>5364433</v>
      </c>
      <c r="DI496">
        <v>1</v>
      </c>
      <c r="DJ496">
        <v>0</v>
      </c>
      <c r="DK496">
        <v>0</v>
      </c>
      <c r="DL496">
        <v>0</v>
      </c>
      <c r="DM496">
        <v>0</v>
      </c>
      <c r="DN496">
        <v>1</v>
      </c>
      <c r="DO496">
        <v>0</v>
      </c>
      <c r="DP496">
        <v>0</v>
      </c>
      <c r="DQ496">
        <v>0</v>
      </c>
      <c r="DR496">
        <v>0</v>
      </c>
      <c r="DS496">
        <v>0</v>
      </c>
    </row>
    <row r="497" spans="1:123" x14ac:dyDescent="0.3">
      <c r="A497" t="str">
        <f>"10/04/2022 19:27:01.587"</f>
        <v>10/04/2022 19:27:01.587</v>
      </c>
      <c r="C497" t="str">
        <f t="shared" si="163"/>
        <v>FFDFD3C0</v>
      </c>
      <c r="D497" t="s">
        <v>141</v>
      </c>
      <c r="E497">
        <v>4</v>
      </c>
      <c r="H497">
        <v>4</v>
      </c>
      <c r="I497" t="s">
        <v>142</v>
      </c>
      <c r="J497" t="s">
        <v>138</v>
      </c>
      <c r="K497">
        <v>0</v>
      </c>
      <c r="L497">
        <v>3</v>
      </c>
      <c r="M497">
        <v>0</v>
      </c>
      <c r="N497">
        <v>2</v>
      </c>
      <c r="O497">
        <v>0</v>
      </c>
      <c r="P497">
        <v>1</v>
      </c>
      <c r="Q497">
        <v>0</v>
      </c>
      <c r="S497" t="str">
        <f t="shared" si="179"/>
        <v>19:27:01.000</v>
      </c>
      <c r="T497" t="str">
        <f t="shared" si="179"/>
        <v>19:27:01.000</v>
      </c>
      <c r="U497" t="str">
        <f t="shared" si="164"/>
        <v>AC3944</v>
      </c>
      <c r="V497">
        <v>0</v>
      </c>
      <c r="W497">
        <v>0</v>
      </c>
      <c r="X497">
        <v>2</v>
      </c>
      <c r="Y497">
        <v>0</v>
      </c>
      <c r="AA497">
        <v>1</v>
      </c>
      <c r="AB497">
        <v>8</v>
      </c>
      <c r="AC497">
        <v>3</v>
      </c>
      <c r="AD497">
        <v>0</v>
      </c>
      <c r="AE497">
        <v>9</v>
      </c>
      <c r="AF497" t="s">
        <v>138</v>
      </c>
      <c r="AG497">
        <v>0</v>
      </c>
      <c r="AH497">
        <v>3</v>
      </c>
      <c r="AI497">
        <v>1</v>
      </c>
      <c r="AJ497">
        <v>0</v>
      </c>
      <c r="AK497" t="s">
        <v>286</v>
      </c>
      <c r="AL497">
        <v>32.817813999999998</v>
      </c>
      <c r="AM497" t="s">
        <v>294</v>
      </c>
      <c r="AN497">
        <v>-116.981843</v>
      </c>
      <c r="AO497">
        <v>25</v>
      </c>
      <c r="AP497">
        <v>1600</v>
      </c>
      <c r="AQ497" t="s">
        <v>129</v>
      </c>
      <c r="AR497">
        <v>143</v>
      </c>
      <c r="AS497">
        <v>-2</v>
      </c>
      <c r="AT497">
        <v>-128</v>
      </c>
      <c r="BB497">
        <v>740</v>
      </c>
      <c r="BC497">
        <v>1</v>
      </c>
      <c r="BD497" t="str">
        <f t="shared" si="165"/>
        <v xml:space="preserve">N887QR  </v>
      </c>
      <c r="BE497">
        <v>1</v>
      </c>
      <c r="BG497">
        <v>0</v>
      </c>
      <c r="BH497">
        <v>0</v>
      </c>
      <c r="BI497">
        <v>0</v>
      </c>
      <c r="BJ497">
        <v>1225</v>
      </c>
      <c r="BK497">
        <v>-375</v>
      </c>
      <c r="BL497" t="s">
        <v>163</v>
      </c>
      <c r="BM497">
        <v>1</v>
      </c>
      <c r="BN497">
        <v>1</v>
      </c>
      <c r="BO497">
        <v>1</v>
      </c>
      <c r="BP497">
        <v>0</v>
      </c>
      <c r="BS497">
        <v>0</v>
      </c>
      <c r="BT497">
        <v>0</v>
      </c>
      <c r="BU497">
        <v>0</v>
      </c>
      <c r="CE497" t="str">
        <f t="shared" si="180"/>
        <v>19:27:01.378</v>
      </c>
      <c r="CF497">
        <v>378219112</v>
      </c>
      <c r="CS497">
        <v>3</v>
      </c>
      <c r="CT497">
        <v>2</v>
      </c>
      <c r="CU497">
        <v>0</v>
      </c>
      <c r="CV497">
        <v>2</v>
      </c>
      <c r="CW497">
        <v>0</v>
      </c>
      <c r="CX497">
        <v>6</v>
      </c>
      <c r="CY497">
        <v>7</v>
      </c>
      <c r="CZ497" t="s">
        <v>131</v>
      </c>
      <c r="DA497">
        <v>300</v>
      </c>
      <c r="DB497">
        <v>0</v>
      </c>
      <c r="DC497" t="s">
        <v>176</v>
      </c>
      <c r="DD497" t="s">
        <v>177</v>
      </c>
      <c r="DG497">
        <v>5364433</v>
      </c>
      <c r="DI497">
        <v>1</v>
      </c>
      <c r="DJ497">
        <v>0</v>
      </c>
      <c r="DK497">
        <v>1</v>
      </c>
      <c r="DL497">
        <v>0</v>
      </c>
      <c r="DM497">
        <v>0</v>
      </c>
      <c r="DN497">
        <v>1</v>
      </c>
      <c r="DO497">
        <v>0</v>
      </c>
      <c r="DP497">
        <v>0</v>
      </c>
      <c r="DQ497">
        <v>0</v>
      </c>
      <c r="DR497">
        <v>0</v>
      </c>
      <c r="DS497">
        <v>0</v>
      </c>
    </row>
    <row r="498" spans="1:123" x14ac:dyDescent="0.3">
      <c r="A498" t="str">
        <f>"10/04/2022 19:27:01.587"</f>
        <v>10/04/2022 19:27:01.587</v>
      </c>
      <c r="C498" t="str">
        <f t="shared" si="163"/>
        <v>FFDFD3C0</v>
      </c>
      <c r="D498" t="s">
        <v>141</v>
      </c>
      <c r="E498">
        <v>3</v>
      </c>
      <c r="H498">
        <v>3</v>
      </c>
      <c r="I498" t="s">
        <v>146</v>
      </c>
      <c r="J498" t="s">
        <v>138</v>
      </c>
      <c r="K498">
        <v>0</v>
      </c>
      <c r="L498">
        <v>3</v>
      </c>
      <c r="M498">
        <v>0</v>
      </c>
      <c r="N498">
        <v>2</v>
      </c>
      <c r="O498">
        <v>0</v>
      </c>
      <c r="P498">
        <v>1</v>
      </c>
      <c r="Q498">
        <v>0</v>
      </c>
      <c r="S498" t="str">
        <f t="shared" si="179"/>
        <v>19:27:01.000</v>
      </c>
      <c r="T498" t="str">
        <f t="shared" si="179"/>
        <v>19:27:01.000</v>
      </c>
      <c r="U498" t="str">
        <f t="shared" si="164"/>
        <v>AC3944</v>
      </c>
      <c r="V498">
        <v>0</v>
      </c>
      <c r="W498">
        <v>0</v>
      </c>
      <c r="X498">
        <v>2</v>
      </c>
      <c r="Y498">
        <v>0</v>
      </c>
      <c r="AA498">
        <v>1</v>
      </c>
      <c r="AB498">
        <v>8</v>
      </c>
      <c r="AC498">
        <v>3</v>
      </c>
      <c r="AD498">
        <v>0</v>
      </c>
      <c r="AE498">
        <v>9</v>
      </c>
      <c r="AF498" t="s">
        <v>138</v>
      </c>
      <c r="AG498">
        <v>0</v>
      </c>
      <c r="AH498">
        <v>3</v>
      </c>
      <c r="AI498">
        <v>1</v>
      </c>
      <c r="AJ498">
        <v>0</v>
      </c>
      <c r="AK498" t="s">
        <v>286</v>
      </c>
      <c r="AL498">
        <v>32.817813999999998</v>
      </c>
      <c r="AM498" t="s">
        <v>294</v>
      </c>
      <c r="AN498">
        <v>-116.981843</v>
      </c>
      <c r="AO498">
        <v>25</v>
      </c>
      <c r="AP498">
        <v>1600</v>
      </c>
      <c r="AQ498" t="s">
        <v>129</v>
      </c>
      <c r="AR498">
        <v>143</v>
      </c>
      <c r="AS498">
        <v>-2</v>
      </c>
      <c r="AT498">
        <v>-128</v>
      </c>
      <c r="BB498">
        <v>740</v>
      </c>
      <c r="BC498">
        <v>1</v>
      </c>
      <c r="BD498" t="str">
        <f t="shared" si="165"/>
        <v xml:space="preserve">N887QR  </v>
      </c>
      <c r="BE498">
        <v>1</v>
      </c>
      <c r="BG498">
        <v>0</v>
      </c>
      <c r="BH498">
        <v>0</v>
      </c>
      <c r="BI498">
        <v>0</v>
      </c>
      <c r="BJ498">
        <v>1225</v>
      </c>
      <c r="BK498">
        <v>-375</v>
      </c>
      <c r="BL498" t="s">
        <v>163</v>
      </c>
      <c r="BM498">
        <v>1</v>
      </c>
      <c r="BN498">
        <v>1</v>
      </c>
      <c r="BO498">
        <v>1</v>
      </c>
      <c r="BP498">
        <v>0</v>
      </c>
      <c r="BS498">
        <v>0</v>
      </c>
      <c r="BT498">
        <v>0</v>
      </c>
      <c r="BU498">
        <v>0</v>
      </c>
      <c r="CE498" t="str">
        <f t="shared" si="180"/>
        <v>19:27:01.378</v>
      </c>
      <c r="CF498">
        <v>378219112</v>
      </c>
      <c r="CS498">
        <v>3</v>
      </c>
      <c r="CT498">
        <v>2</v>
      </c>
      <c r="CU498">
        <v>0</v>
      </c>
      <c r="CV498">
        <v>2</v>
      </c>
      <c r="CW498">
        <v>0</v>
      </c>
      <c r="CX498">
        <v>6</v>
      </c>
      <c r="CY498">
        <v>7</v>
      </c>
      <c r="CZ498" t="s">
        <v>131</v>
      </c>
      <c r="DA498">
        <v>300</v>
      </c>
      <c r="DB498">
        <v>0</v>
      </c>
      <c r="DC498" t="s">
        <v>176</v>
      </c>
      <c r="DD498" t="s">
        <v>177</v>
      </c>
      <c r="DG498">
        <v>5364433</v>
      </c>
      <c r="DI498">
        <v>1</v>
      </c>
      <c r="DJ498">
        <v>0</v>
      </c>
      <c r="DK498">
        <v>1</v>
      </c>
      <c r="DL498">
        <v>0</v>
      </c>
      <c r="DM498">
        <v>0</v>
      </c>
      <c r="DN498">
        <v>1</v>
      </c>
      <c r="DO498">
        <v>0</v>
      </c>
      <c r="DP498">
        <v>0</v>
      </c>
      <c r="DQ498">
        <v>0</v>
      </c>
      <c r="DR498">
        <v>0</v>
      </c>
      <c r="DS498">
        <v>0</v>
      </c>
    </row>
    <row r="499" spans="1:123" x14ac:dyDescent="0.3">
      <c r="A499" t="str">
        <f>"10/04/2022 19:27:01.618"</f>
        <v>10/04/2022 19:27:01.618</v>
      </c>
      <c r="C499" t="str">
        <f t="shared" si="163"/>
        <v>FFDFD3C0</v>
      </c>
      <c r="D499" t="s">
        <v>136</v>
      </c>
      <c r="E499">
        <v>8</v>
      </c>
      <c r="H499">
        <v>225</v>
      </c>
      <c r="I499" t="s">
        <v>137</v>
      </c>
      <c r="J499" t="s">
        <v>138</v>
      </c>
      <c r="K499">
        <v>0</v>
      </c>
      <c r="L499">
        <v>3</v>
      </c>
      <c r="M499">
        <v>0</v>
      </c>
      <c r="N499">
        <v>2</v>
      </c>
      <c r="O499">
        <v>0</v>
      </c>
      <c r="P499">
        <v>1</v>
      </c>
      <c r="Q499">
        <v>0</v>
      </c>
      <c r="S499" t="str">
        <f t="shared" si="179"/>
        <v>19:27:01.000</v>
      </c>
      <c r="T499" t="str">
        <f t="shared" si="179"/>
        <v>19:27:01.000</v>
      </c>
      <c r="U499" t="str">
        <f t="shared" si="164"/>
        <v>AC3944</v>
      </c>
      <c r="V499">
        <v>0</v>
      </c>
      <c r="W499">
        <v>0</v>
      </c>
      <c r="X499">
        <v>2</v>
      </c>
      <c r="Y499">
        <v>0</v>
      </c>
      <c r="AA499">
        <v>1</v>
      </c>
      <c r="AB499">
        <v>8</v>
      </c>
      <c r="AC499">
        <v>3</v>
      </c>
      <c r="AD499">
        <v>0</v>
      </c>
      <c r="AE499">
        <v>9</v>
      </c>
      <c r="AF499" t="s">
        <v>138</v>
      </c>
      <c r="AG499">
        <v>0</v>
      </c>
      <c r="AH499">
        <v>3</v>
      </c>
      <c r="AI499">
        <v>1</v>
      </c>
      <c r="AJ499">
        <v>0</v>
      </c>
      <c r="AK499" t="s">
        <v>286</v>
      </c>
      <c r="AL499">
        <v>32.817813999999998</v>
      </c>
      <c r="AM499" t="s">
        <v>294</v>
      </c>
      <c r="AN499">
        <v>-116.981843</v>
      </c>
      <c r="AO499">
        <v>25</v>
      </c>
      <c r="AP499">
        <v>1600</v>
      </c>
      <c r="AQ499" t="s">
        <v>129</v>
      </c>
      <c r="AR499">
        <v>143</v>
      </c>
      <c r="AS499">
        <v>-2</v>
      </c>
      <c r="AT499">
        <v>-128</v>
      </c>
      <c r="BB499">
        <v>740</v>
      </c>
      <c r="BC499">
        <v>1</v>
      </c>
      <c r="BD499" t="str">
        <f t="shared" si="165"/>
        <v xml:space="preserve">N887QR  </v>
      </c>
      <c r="BE499">
        <v>1</v>
      </c>
      <c r="BG499">
        <v>0</v>
      </c>
      <c r="BH499">
        <v>0</v>
      </c>
      <c r="BI499">
        <v>0</v>
      </c>
      <c r="BJ499">
        <v>1225</v>
      </c>
      <c r="BK499">
        <v>-375</v>
      </c>
      <c r="BL499" t="s">
        <v>163</v>
      </c>
      <c r="BM499">
        <v>1</v>
      </c>
      <c r="BN499">
        <v>1</v>
      </c>
      <c r="BO499">
        <v>1</v>
      </c>
      <c r="BP499">
        <v>0</v>
      </c>
      <c r="BS499">
        <v>0</v>
      </c>
      <c r="BT499">
        <v>0</v>
      </c>
      <c r="BU499">
        <v>0</v>
      </c>
      <c r="CE499" t="str">
        <f t="shared" si="180"/>
        <v>19:27:01.378</v>
      </c>
      <c r="CF499">
        <v>378219112</v>
      </c>
      <c r="CS499">
        <v>3</v>
      </c>
      <c r="CT499">
        <v>2</v>
      </c>
      <c r="CU499">
        <v>0</v>
      </c>
      <c r="CV499">
        <v>2</v>
      </c>
      <c r="CW499">
        <v>0</v>
      </c>
      <c r="CX499">
        <v>6</v>
      </c>
      <c r="CY499">
        <v>7</v>
      </c>
      <c r="CZ499" t="s">
        <v>131</v>
      </c>
      <c r="DA499">
        <v>300</v>
      </c>
      <c r="DB499">
        <v>0</v>
      </c>
      <c r="DC499" t="s">
        <v>176</v>
      </c>
      <c r="DD499" t="s">
        <v>177</v>
      </c>
      <c r="DG499">
        <v>5364433</v>
      </c>
      <c r="DI499">
        <v>1</v>
      </c>
      <c r="DJ499">
        <v>0</v>
      </c>
      <c r="DK499">
        <v>1</v>
      </c>
      <c r="DL499">
        <v>0</v>
      </c>
      <c r="DM499">
        <v>0</v>
      </c>
      <c r="DN499">
        <v>1</v>
      </c>
      <c r="DO499">
        <v>0</v>
      </c>
      <c r="DP499">
        <v>0</v>
      </c>
      <c r="DQ499">
        <v>0</v>
      </c>
      <c r="DR499">
        <v>0</v>
      </c>
      <c r="DS499">
        <v>0</v>
      </c>
    </row>
    <row r="500" spans="1:123" x14ac:dyDescent="0.3">
      <c r="A500" t="str">
        <f>"10/04/2022 19:27:01.618"</f>
        <v>10/04/2022 19:27:01.618</v>
      </c>
      <c r="C500" t="str">
        <f t="shared" si="163"/>
        <v>FFDFD3C0</v>
      </c>
      <c r="D500" t="s">
        <v>143</v>
      </c>
      <c r="E500">
        <v>20</v>
      </c>
      <c r="F500">
        <v>1020</v>
      </c>
      <c r="G500" t="s">
        <v>144</v>
      </c>
      <c r="J500" t="s">
        <v>145</v>
      </c>
      <c r="K500">
        <v>0</v>
      </c>
      <c r="L500">
        <v>3</v>
      </c>
      <c r="M500">
        <v>0</v>
      </c>
      <c r="N500">
        <v>2</v>
      </c>
      <c r="O500">
        <v>0</v>
      </c>
      <c r="P500">
        <v>1</v>
      </c>
      <c r="Q500">
        <v>0</v>
      </c>
      <c r="S500" t="str">
        <f t="shared" si="179"/>
        <v>19:27:01.000</v>
      </c>
      <c r="T500" t="str">
        <f t="shared" si="179"/>
        <v>19:27:01.000</v>
      </c>
      <c r="U500" t="str">
        <f t="shared" si="164"/>
        <v>AC3944</v>
      </c>
      <c r="V500">
        <v>0</v>
      </c>
      <c r="W500">
        <v>0</v>
      </c>
      <c r="X500">
        <v>2</v>
      </c>
      <c r="Y500">
        <v>0</v>
      </c>
      <c r="AA500">
        <v>1</v>
      </c>
      <c r="AB500">
        <v>8</v>
      </c>
      <c r="AC500">
        <v>3</v>
      </c>
      <c r="AD500">
        <v>0</v>
      </c>
      <c r="AE500">
        <v>9</v>
      </c>
      <c r="AF500" t="s">
        <v>138</v>
      </c>
      <c r="AG500">
        <v>0</v>
      </c>
      <c r="AH500">
        <v>3</v>
      </c>
      <c r="AI500">
        <v>1</v>
      </c>
      <c r="AJ500">
        <v>0</v>
      </c>
      <c r="AK500" t="s">
        <v>286</v>
      </c>
      <c r="AL500">
        <v>32.817813999999998</v>
      </c>
      <c r="AM500" t="s">
        <v>294</v>
      </c>
      <c r="AN500">
        <v>-116.981843</v>
      </c>
      <c r="AO500">
        <v>25</v>
      </c>
      <c r="AP500">
        <v>1600</v>
      </c>
      <c r="AQ500" t="s">
        <v>129</v>
      </c>
      <c r="AR500">
        <v>143</v>
      </c>
      <c r="AS500">
        <v>-2</v>
      </c>
      <c r="AT500">
        <v>-128</v>
      </c>
      <c r="BB500">
        <v>740</v>
      </c>
      <c r="BC500">
        <v>1</v>
      </c>
      <c r="BD500" t="str">
        <f t="shared" si="165"/>
        <v xml:space="preserve">N887QR  </v>
      </c>
      <c r="BE500">
        <v>1</v>
      </c>
      <c r="BG500">
        <v>0</v>
      </c>
      <c r="BH500">
        <v>0</v>
      </c>
      <c r="BI500">
        <v>0</v>
      </c>
      <c r="BJ500">
        <v>1225</v>
      </c>
      <c r="BK500">
        <v>-375</v>
      </c>
      <c r="BL500" t="s">
        <v>163</v>
      </c>
      <c r="BM500">
        <v>1</v>
      </c>
      <c r="BN500">
        <v>1</v>
      </c>
      <c r="BO500">
        <v>1</v>
      </c>
      <c r="BP500">
        <v>0</v>
      </c>
      <c r="BS500">
        <v>0</v>
      </c>
      <c r="BT500">
        <v>0</v>
      </c>
      <c r="BU500">
        <v>0</v>
      </c>
      <c r="CE500" t="str">
        <f t="shared" si="180"/>
        <v>19:27:01.378</v>
      </c>
      <c r="CF500">
        <v>378219112</v>
      </c>
      <c r="CS500">
        <v>3</v>
      </c>
      <c r="CT500">
        <v>2</v>
      </c>
      <c r="CU500">
        <v>0</v>
      </c>
      <c r="CV500">
        <v>2</v>
      </c>
      <c r="CW500">
        <v>0</v>
      </c>
      <c r="CX500">
        <v>6</v>
      </c>
      <c r="CY500">
        <v>7</v>
      </c>
      <c r="CZ500" t="s">
        <v>131</v>
      </c>
      <c r="DA500">
        <v>300</v>
      </c>
      <c r="DB500">
        <v>0</v>
      </c>
      <c r="DC500" t="s">
        <v>176</v>
      </c>
      <c r="DD500" t="s">
        <v>177</v>
      </c>
      <c r="DG500">
        <v>5364433</v>
      </c>
      <c r="DI500">
        <v>1</v>
      </c>
      <c r="DJ500">
        <v>0</v>
      </c>
      <c r="DK500">
        <v>1</v>
      </c>
      <c r="DL500">
        <v>0</v>
      </c>
      <c r="DM500">
        <v>0</v>
      </c>
      <c r="DN500">
        <v>1</v>
      </c>
      <c r="DO500">
        <v>0</v>
      </c>
      <c r="DP500">
        <v>0</v>
      </c>
      <c r="DQ500">
        <v>0</v>
      </c>
      <c r="DR500">
        <v>0</v>
      </c>
      <c r="DS500">
        <v>0</v>
      </c>
    </row>
    <row r="501" spans="1:123" x14ac:dyDescent="0.3">
      <c r="A501" t="str">
        <f>"10/04/2022 19:27:01.618"</f>
        <v>10/04/2022 19:27:01.618</v>
      </c>
      <c r="C501" t="str">
        <f t="shared" si="163"/>
        <v>FFDFD3C0</v>
      </c>
      <c r="D501" t="s">
        <v>134</v>
      </c>
      <c r="E501">
        <v>15</v>
      </c>
      <c r="J501" t="s">
        <v>135</v>
      </c>
      <c r="K501">
        <v>0</v>
      </c>
      <c r="L501">
        <v>3</v>
      </c>
      <c r="M501">
        <v>0</v>
      </c>
      <c r="N501">
        <v>2</v>
      </c>
      <c r="O501">
        <v>0</v>
      </c>
      <c r="P501">
        <v>1</v>
      </c>
      <c r="Q501">
        <v>0</v>
      </c>
      <c r="S501" t="str">
        <f t="shared" si="179"/>
        <v>19:27:01.000</v>
      </c>
      <c r="T501" t="str">
        <f t="shared" si="179"/>
        <v>19:27:01.000</v>
      </c>
      <c r="U501" t="str">
        <f t="shared" si="164"/>
        <v>AC3944</v>
      </c>
      <c r="V501">
        <v>0</v>
      </c>
      <c r="W501">
        <v>0</v>
      </c>
      <c r="X501">
        <v>2</v>
      </c>
      <c r="Y501">
        <v>0</v>
      </c>
      <c r="AA501">
        <v>1</v>
      </c>
      <c r="AB501">
        <v>8</v>
      </c>
      <c r="AC501">
        <v>3</v>
      </c>
      <c r="AD501">
        <v>0</v>
      </c>
      <c r="AE501">
        <v>9</v>
      </c>
      <c r="AF501" t="s">
        <v>138</v>
      </c>
      <c r="AG501">
        <v>0</v>
      </c>
      <c r="AH501">
        <v>3</v>
      </c>
      <c r="AI501">
        <v>1</v>
      </c>
      <c r="AJ501">
        <v>0</v>
      </c>
      <c r="AK501" t="s">
        <v>286</v>
      </c>
      <c r="AL501">
        <v>32.817813999999998</v>
      </c>
      <c r="AM501" t="s">
        <v>294</v>
      </c>
      <c r="AN501">
        <v>-116.981843</v>
      </c>
      <c r="AO501">
        <v>25</v>
      </c>
      <c r="AP501">
        <v>1600</v>
      </c>
      <c r="AQ501" t="s">
        <v>129</v>
      </c>
      <c r="AR501">
        <v>143</v>
      </c>
      <c r="AS501">
        <v>-2</v>
      </c>
      <c r="AT501">
        <v>-128</v>
      </c>
      <c r="BB501">
        <v>740</v>
      </c>
      <c r="BC501">
        <v>1</v>
      </c>
      <c r="BD501" t="str">
        <f t="shared" si="165"/>
        <v xml:space="preserve">N887QR  </v>
      </c>
      <c r="BE501">
        <v>1</v>
      </c>
      <c r="BG501">
        <v>0</v>
      </c>
      <c r="BH501">
        <v>0</v>
      </c>
      <c r="BI501">
        <v>0</v>
      </c>
      <c r="BJ501">
        <v>1225</v>
      </c>
      <c r="BK501">
        <v>-375</v>
      </c>
      <c r="BL501" t="s">
        <v>163</v>
      </c>
      <c r="BM501">
        <v>1</v>
      </c>
      <c r="BN501">
        <v>1</v>
      </c>
      <c r="BO501">
        <v>1</v>
      </c>
      <c r="BP501">
        <v>0</v>
      </c>
      <c r="BS501">
        <v>0</v>
      </c>
      <c r="BT501">
        <v>0</v>
      </c>
      <c r="BU501">
        <v>0</v>
      </c>
      <c r="CE501" t="str">
        <f t="shared" si="180"/>
        <v>19:27:01.378</v>
      </c>
      <c r="CF501">
        <v>378219112</v>
      </c>
      <c r="CS501">
        <v>3</v>
      </c>
      <c r="CT501">
        <v>2</v>
      </c>
      <c r="CU501">
        <v>0</v>
      </c>
      <c r="CV501">
        <v>2</v>
      </c>
      <c r="CW501">
        <v>0</v>
      </c>
      <c r="CX501">
        <v>6</v>
      </c>
      <c r="CY501">
        <v>7</v>
      </c>
      <c r="CZ501" t="s">
        <v>131</v>
      </c>
      <c r="DA501">
        <v>300</v>
      </c>
      <c r="DB501">
        <v>0</v>
      </c>
      <c r="DC501" t="s">
        <v>176</v>
      </c>
      <c r="DD501" t="s">
        <v>177</v>
      </c>
      <c r="DG501">
        <v>5364433</v>
      </c>
      <c r="DI501">
        <v>1</v>
      </c>
      <c r="DJ501">
        <v>0</v>
      </c>
      <c r="DK501">
        <v>1</v>
      </c>
      <c r="DL501">
        <v>0</v>
      </c>
      <c r="DM501">
        <v>0</v>
      </c>
      <c r="DN501">
        <v>1</v>
      </c>
      <c r="DO501">
        <v>0</v>
      </c>
      <c r="DP501">
        <v>0</v>
      </c>
      <c r="DQ501">
        <v>0</v>
      </c>
      <c r="DR501">
        <v>0</v>
      </c>
      <c r="DS501">
        <v>0</v>
      </c>
    </row>
    <row r="502" spans="1:123" x14ac:dyDescent="0.3">
      <c r="A502" t="str">
        <f>"10/04/2022 19:27:01.618"</f>
        <v>10/04/2022 19:27:01.618</v>
      </c>
      <c r="C502" t="str">
        <f t="shared" si="163"/>
        <v>FFDFD3C0</v>
      </c>
      <c r="D502" t="s">
        <v>147</v>
      </c>
      <c r="E502">
        <v>3</v>
      </c>
      <c r="H502">
        <v>166</v>
      </c>
      <c r="I502" t="s">
        <v>144</v>
      </c>
      <c r="J502" t="s">
        <v>148</v>
      </c>
      <c r="K502">
        <v>0</v>
      </c>
      <c r="L502">
        <v>3</v>
      </c>
      <c r="M502">
        <v>0</v>
      </c>
      <c r="N502">
        <v>2</v>
      </c>
      <c r="O502">
        <v>0</v>
      </c>
      <c r="P502">
        <v>1</v>
      </c>
      <c r="Q502">
        <v>0</v>
      </c>
      <c r="S502" t="str">
        <f t="shared" si="179"/>
        <v>19:27:01.000</v>
      </c>
      <c r="T502" t="str">
        <f t="shared" si="179"/>
        <v>19:27:01.000</v>
      </c>
      <c r="U502" t="str">
        <f t="shared" si="164"/>
        <v>AC3944</v>
      </c>
      <c r="V502">
        <v>0</v>
      </c>
      <c r="W502">
        <v>0</v>
      </c>
      <c r="X502">
        <v>2</v>
      </c>
      <c r="Y502">
        <v>0</v>
      </c>
      <c r="AA502">
        <v>1</v>
      </c>
      <c r="AB502">
        <v>8</v>
      </c>
      <c r="AC502">
        <v>3</v>
      </c>
      <c r="AD502">
        <v>0</v>
      </c>
      <c r="AE502">
        <v>9</v>
      </c>
      <c r="AF502" t="s">
        <v>138</v>
      </c>
      <c r="AG502">
        <v>0</v>
      </c>
      <c r="AH502">
        <v>3</v>
      </c>
      <c r="AI502">
        <v>1</v>
      </c>
      <c r="AJ502">
        <v>0</v>
      </c>
      <c r="AK502" t="s">
        <v>286</v>
      </c>
      <c r="AL502">
        <v>32.817813999999998</v>
      </c>
      <c r="AM502" t="s">
        <v>294</v>
      </c>
      <c r="AN502">
        <v>-116.981843</v>
      </c>
      <c r="AO502">
        <v>25</v>
      </c>
      <c r="AP502">
        <v>1600</v>
      </c>
      <c r="AQ502" t="s">
        <v>129</v>
      </c>
      <c r="AR502">
        <v>143</v>
      </c>
      <c r="AS502">
        <v>-2</v>
      </c>
      <c r="AT502">
        <v>-128</v>
      </c>
      <c r="BB502">
        <v>740</v>
      </c>
      <c r="BC502">
        <v>1</v>
      </c>
      <c r="BD502" t="str">
        <f t="shared" si="165"/>
        <v xml:space="preserve">N887QR  </v>
      </c>
      <c r="BE502">
        <v>1</v>
      </c>
      <c r="BG502">
        <v>0</v>
      </c>
      <c r="BH502">
        <v>0</v>
      </c>
      <c r="BI502">
        <v>0</v>
      </c>
      <c r="BJ502">
        <v>1225</v>
      </c>
      <c r="BK502">
        <v>-375</v>
      </c>
      <c r="BL502" t="s">
        <v>163</v>
      </c>
      <c r="BM502">
        <v>1</v>
      </c>
      <c r="BN502">
        <v>1</v>
      </c>
      <c r="BO502">
        <v>1</v>
      </c>
      <c r="BP502">
        <v>0</v>
      </c>
      <c r="BS502">
        <v>0</v>
      </c>
      <c r="BT502">
        <v>0</v>
      </c>
      <c r="BU502">
        <v>0</v>
      </c>
      <c r="CE502" t="str">
        <f t="shared" si="180"/>
        <v>19:27:01.378</v>
      </c>
      <c r="CF502">
        <v>378219112</v>
      </c>
      <c r="CS502">
        <v>3</v>
      </c>
      <c r="CT502">
        <v>2</v>
      </c>
      <c r="CU502">
        <v>0</v>
      </c>
      <c r="CV502">
        <v>2</v>
      </c>
      <c r="CW502">
        <v>0</v>
      </c>
      <c r="CX502">
        <v>6</v>
      </c>
      <c r="CY502">
        <v>7</v>
      </c>
      <c r="CZ502" t="s">
        <v>131</v>
      </c>
      <c r="DA502">
        <v>300</v>
      </c>
      <c r="DB502">
        <v>0</v>
      </c>
      <c r="DC502" t="s">
        <v>176</v>
      </c>
      <c r="DD502" t="s">
        <v>177</v>
      </c>
      <c r="DG502">
        <v>5364433</v>
      </c>
      <c r="DI502">
        <v>1</v>
      </c>
      <c r="DJ502">
        <v>0</v>
      </c>
      <c r="DK502">
        <v>1</v>
      </c>
      <c r="DL502">
        <v>0</v>
      </c>
      <c r="DM502">
        <v>0</v>
      </c>
      <c r="DN502">
        <v>1</v>
      </c>
      <c r="DO502">
        <v>0</v>
      </c>
      <c r="DP502">
        <v>0</v>
      </c>
      <c r="DQ502">
        <v>0</v>
      </c>
      <c r="DR502">
        <v>0</v>
      </c>
      <c r="DS502">
        <v>0</v>
      </c>
    </row>
    <row r="503" spans="1:123" x14ac:dyDescent="0.3">
      <c r="A503" t="str">
        <f>"10/04/2022 19:27:01.962"</f>
        <v>10/04/2022 19:27:01.962</v>
      </c>
      <c r="C503" t="str">
        <f t="shared" si="163"/>
        <v>FFDFD3C0</v>
      </c>
      <c r="D503" t="s">
        <v>147</v>
      </c>
      <c r="E503">
        <v>3</v>
      </c>
      <c r="H503">
        <v>166</v>
      </c>
      <c r="I503" t="s">
        <v>144</v>
      </c>
      <c r="J503" t="s">
        <v>148</v>
      </c>
      <c r="K503">
        <v>0</v>
      </c>
      <c r="L503">
        <v>3</v>
      </c>
      <c r="M503">
        <v>0</v>
      </c>
      <c r="N503">
        <v>2</v>
      </c>
      <c r="O503">
        <v>0</v>
      </c>
      <c r="P503">
        <v>1</v>
      </c>
      <c r="Q503">
        <v>0</v>
      </c>
      <c r="S503" t="str">
        <f t="shared" si="179"/>
        <v>19:27:01.000</v>
      </c>
      <c r="T503" t="str">
        <f t="shared" si="179"/>
        <v>19:27:01.000</v>
      </c>
      <c r="U503" t="str">
        <f t="shared" si="164"/>
        <v>AC3944</v>
      </c>
      <c r="V503">
        <v>0</v>
      </c>
      <c r="W503">
        <v>0</v>
      </c>
      <c r="X503">
        <v>2</v>
      </c>
      <c r="Y503">
        <v>0</v>
      </c>
      <c r="AA503">
        <v>1</v>
      </c>
      <c r="AB503">
        <v>8</v>
      </c>
      <c r="AC503">
        <v>3</v>
      </c>
      <c r="AD503">
        <v>0</v>
      </c>
      <c r="AE503">
        <v>9</v>
      </c>
      <c r="AF503" t="s">
        <v>138</v>
      </c>
      <c r="AG503">
        <v>0</v>
      </c>
      <c r="AH503">
        <v>3</v>
      </c>
      <c r="AI503">
        <v>1</v>
      </c>
      <c r="AJ503">
        <v>0</v>
      </c>
      <c r="AK503" t="s">
        <v>286</v>
      </c>
      <c r="AL503">
        <v>32.817813999999998</v>
      </c>
      <c r="AM503" t="s">
        <v>295</v>
      </c>
      <c r="AN503">
        <v>-116.98107</v>
      </c>
      <c r="AO503">
        <v>25</v>
      </c>
      <c r="AP503">
        <v>1600</v>
      </c>
      <c r="AQ503" t="s">
        <v>129</v>
      </c>
      <c r="AR503">
        <v>142</v>
      </c>
      <c r="AS503">
        <v>-2</v>
      </c>
      <c r="AT503">
        <v>-128</v>
      </c>
      <c r="BB503">
        <v>740</v>
      </c>
      <c r="BC503">
        <v>1</v>
      </c>
      <c r="BD503" t="str">
        <f t="shared" si="165"/>
        <v xml:space="preserve">N887QR  </v>
      </c>
      <c r="BE503">
        <v>1</v>
      </c>
      <c r="BG503">
        <v>0</v>
      </c>
      <c r="BH503">
        <v>0</v>
      </c>
      <c r="BI503">
        <v>0</v>
      </c>
      <c r="BJ503">
        <v>1225</v>
      </c>
      <c r="BK503">
        <v>-375</v>
      </c>
      <c r="BL503" t="s">
        <v>163</v>
      </c>
      <c r="BM503">
        <v>1</v>
      </c>
      <c r="BN503">
        <v>1</v>
      </c>
      <c r="BO503">
        <v>1</v>
      </c>
      <c r="BP503">
        <v>0</v>
      </c>
      <c r="BS503">
        <v>0</v>
      </c>
      <c r="BT503">
        <v>0</v>
      </c>
      <c r="BU503">
        <v>0</v>
      </c>
      <c r="CE503" t="str">
        <f t="shared" ref="CE503:CE509" si="181">"19:27:01.794"</f>
        <v>19:27:01.794</v>
      </c>
      <c r="CF503">
        <v>793970414</v>
      </c>
      <c r="CS503">
        <v>3</v>
      </c>
      <c r="CT503">
        <v>2</v>
      </c>
      <c r="CU503">
        <v>0</v>
      </c>
      <c r="CV503">
        <v>2</v>
      </c>
      <c r="CW503">
        <v>0</v>
      </c>
      <c r="CX503">
        <v>5</v>
      </c>
      <c r="CY503">
        <v>7</v>
      </c>
      <c r="CZ503" t="s">
        <v>131</v>
      </c>
      <c r="DA503">
        <v>300</v>
      </c>
      <c r="DB503">
        <v>0</v>
      </c>
      <c r="DC503" t="s">
        <v>176</v>
      </c>
      <c r="DD503" t="s">
        <v>177</v>
      </c>
      <c r="DG503">
        <v>5364513</v>
      </c>
      <c r="DI503">
        <v>1</v>
      </c>
      <c r="DJ503">
        <v>0</v>
      </c>
      <c r="DK503">
        <v>0</v>
      </c>
      <c r="DL503">
        <v>0</v>
      </c>
      <c r="DM503">
        <v>0</v>
      </c>
      <c r="DN503">
        <v>1</v>
      </c>
      <c r="DO503">
        <v>0</v>
      </c>
      <c r="DP503">
        <v>0</v>
      </c>
      <c r="DQ503">
        <v>0</v>
      </c>
      <c r="DR503">
        <v>0</v>
      </c>
      <c r="DS503">
        <v>0</v>
      </c>
    </row>
    <row r="504" spans="1:123" x14ac:dyDescent="0.3">
      <c r="A504" t="str">
        <f>"10/04/2022 19:27:01.962"</f>
        <v>10/04/2022 19:27:01.962</v>
      </c>
      <c r="C504" t="str">
        <f t="shared" si="163"/>
        <v>FFDFD3C0</v>
      </c>
      <c r="D504" t="s">
        <v>123</v>
      </c>
      <c r="E504">
        <v>7</v>
      </c>
      <c r="F504">
        <v>2007</v>
      </c>
      <c r="G504" t="s">
        <v>124</v>
      </c>
      <c r="J504" t="s">
        <v>125</v>
      </c>
      <c r="K504">
        <v>0</v>
      </c>
      <c r="L504">
        <v>3</v>
      </c>
      <c r="M504">
        <v>0</v>
      </c>
      <c r="N504">
        <v>2</v>
      </c>
      <c r="O504">
        <v>0</v>
      </c>
      <c r="P504">
        <v>1</v>
      </c>
      <c r="Q504">
        <v>0</v>
      </c>
      <c r="S504" t="str">
        <f t="shared" si="179"/>
        <v>19:27:01.000</v>
      </c>
      <c r="T504" t="str">
        <f t="shared" si="179"/>
        <v>19:27:01.000</v>
      </c>
      <c r="U504" t="str">
        <f t="shared" si="164"/>
        <v>AC3944</v>
      </c>
      <c r="V504">
        <v>0</v>
      </c>
      <c r="W504">
        <v>0</v>
      </c>
      <c r="X504">
        <v>2</v>
      </c>
      <c r="Y504">
        <v>0</v>
      </c>
      <c r="AA504">
        <v>1</v>
      </c>
      <c r="AB504">
        <v>8</v>
      </c>
      <c r="AC504">
        <v>3</v>
      </c>
      <c r="AD504">
        <v>0</v>
      </c>
      <c r="AE504">
        <v>9</v>
      </c>
      <c r="AF504" t="s">
        <v>138</v>
      </c>
      <c r="AG504">
        <v>0</v>
      </c>
      <c r="AH504">
        <v>3</v>
      </c>
      <c r="AI504">
        <v>1</v>
      </c>
      <c r="AJ504">
        <v>0</v>
      </c>
      <c r="AK504" t="s">
        <v>286</v>
      </c>
      <c r="AL504">
        <v>32.817813999999998</v>
      </c>
      <c r="AM504" t="s">
        <v>295</v>
      </c>
      <c r="AN504">
        <v>-116.98107</v>
      </c>
      <c r="AO504">
        <v>25</v>
      </c>
      <c r="AP504">
        <v>1600</v>
      </c>
      <c r="AQ504" t="s">
        <v>129</v>
      </c>
      <c r="AR504">
        <v>142</v>
      </c>
      <c r="AS504">
        <v>-2</v>
      </c>
      <c r="AT504">
        <v>-128</v>
      </c>
      <c r="BB504">
        <v>740</v>
      </c>
      <c r="BC504">
        <v>1</v>
      </c>
      <c r="BD504" t="str">
        <f t="shared" si="165"/>
        <v xml:space="preserve">N887QR  </v>
      </c>
      <c r="BE504">
        <v>1</v>
      </c>
      <c r="BG504">
        <v>0</v>
      </c>
      <c r="BH504">
        <v>0</v>
      </c>
      <c r="BI504">
        <v>0</v>
      </c>
      <c r="BJ504">
        <v>1225</v>
      </c>
      <c r="BK504">
        <v>-375</v>
      </c>
      <c r="BL504" t="s">
        <v>163</v>
      </c>
      <c r="BM504">
        <v>1</v>
      </c>
      <c r="BN504">
        <v>1</v>
      </c>
      <c r="BO504">
        <v>1</v>
      </c>
      <c r="BP504">
        <v>0</v>
      </c>
      <c r="BS504">
        <v>0</v>
      </c>
      <c r="BT504">
        <v>0</v>
      </c>
      <c r="BU504">
        <v>0</v>
      </c>
      <c r="CE504" t="str">
        <f t="shared" si="181"/>
        <v>19:27:01.794</v>
      </c>
      <c r="CF504">
        <v>793970414</v>
      </c>
      <c r="CS504">
        <v>3</v>
      </c>
      <c r="CT504">
        <v>2</v>
      </c>
      <c r="CU504">
        <v>0</v>
      </c>
      <c r="CV504">
        <v>2</v>
      </c>
      <c r="CW504">
        <v>0</v>
      </c>
      <c r="CX504">
        <v>5</v>
      </c>
      <c r="CY504">
        <v>7</v>
      </c>
      <c r="CZ504" t="s">
        <v>131</v>
      </c>
      <c r="DA504">
        <v>300</v>
      </c>
      <c r="DB504">
        <v>0</v>
      </c>
      <c r="DC504" t="s">
        <v>176</v>
      </c>
      <c r="DD504" t="s">
        <v>177</v>
      </c>
      <c r="DG504">
        <v>5364513</v>
      </c>
      <c r="DI504">
        <v>1</v>
      </c>
      <c r="DJ504">
        <v>0</v>
      </c>
      <c r="DK504">
        <v>1</v>
      </c>
      <c r="DL504">
        <v>0</v>
      </c>
      <c r="DM504">
        <v>0</v>
      </c>
      <c r="DN504">
        <v>1</v>
      </c>
      <c r="DO504">
        <v>0</v>
      </c>
      <c r="DP504">
        <v>0</v>
      </c>
      <c r="DQ504">
        <v>0</v>
      </c>
      <c r="DR504">
        <v>0</v>
      </c>
      <c r="DS504">
        <v>0</v>
      </c>
    </row>
    <row r="505" spans="1:123" x14ac:dyDescent="0.3">
      <c r="A505" t="str">
        <f>"10/04/2022 19:27:01.977"</f>
        <v>10/04/2022 19:27:01.977</v>
      </c>
      <c r="C505" t="str">
        <f t="shared" si="163"/>
        <v>FFDFD3C0</v>
      </c>
      <c r="D505" t="s">
        <v>141</v>
      </c>
      <c r="E505">
        <v>4</v>
      </c>
      <c r="H505">
        <v>4</v>
      </c>
      <c r="I505" t="s">
        <v>142</v>
      </c>
      <c r="J505" t="s">
        <v>138</v>
      </c>
      <c r="K505">
        <v>0</v>
      </c>
      <c r="L505">
        <v>3</v>
      </c>
      <c r="M505">
        <v>0</v>
      </c>
      <c r="N505">
        <v>2</v>
      </c>
      <c r="O505">
        <v>0</v>
      </c>
      <c r="P505">
        <v>1</v>
      </c>
      <c r="Q505">
        <v>0</v>
      </c>
      <c r="S505" t="str">
        <f t="shared" si="179"/>
        <v>19:27:01.000</v>
      </c>
      <c r="T505" t="str">
        <f t="shared" si="179"/>
        <v>19:27:01.000</v>
      </c>
      <c r="U505" t="str">
        <f t="shared" si="164"/>
        <v>AC3944</v>
      </c>
      <c r="V505">
        <v>0</v>
      </c>
      <c r="W505">
        <v>0</v>
      </c>
      <c r="X505">
        <v>2</v>
      </c>
      <c r="Y505">
        <v>0</v>
      </c>
      <c r="AA505">
        <v>1</v>
      </c>
      <c r="AB505">
        <v>8</v>
      </c>
      <c r="AC505">
        <v>3</v>
      </c>
      <c r="AD505">
        <v>0</v>
      </c>
      <c r="AE505">
        <v>9</v>
      </c>
      <c r="AF505" t="s">
        <v>138</v>
      </c>
      <c r="AG505">
        <v>0</v>
      </c>
      <c r="AH505">
        <v>3</v>
      </c>
      <c r="AI505">
        <v>1</v>
      </c>
      <c r="AJ505">
        <v>0</v>
      </c>
      <c r="AK505" t="s">
        <v>286</v>
      </c>
      <c r="AL505">
        <v>32.817813999999998</v>
      </c>
      <c r="AM505" t="s">
        <v>295</v>
      </c>
      <c r="AN505">
        <v>-116.98107</v>
      </c>
      <c r="AO505">
        <v>25</v>
      </c>
      <c r="AP505">
        <v>1600</v>
      </c>
      <c r="AQ505" t="s">
        <v>129</v>
      </c>
      <c r="AR505">
        <v>142</v>
      </c>
      <c r="AS505">
        <v>-2</v>
      </c>
      <c r="AT505">
        <v>-128</v>
      </c>
      <c r="BB505">
        <v>740</v>
      </c>
      <c r="BC505">
        <v>1</v>
      </c>
      <c r="BD505" t="str">
        <f t="shared" si="165"/>
        <v xml:space="preserve">N887QR  </v>
      </c>
      <c r="BE505">
        <v>1</v>
      </c>
      <c r="BG505">
        <v>0</v>
      </c>
      <c r="BH505">
        <v>0</v>
      </c>
      <c r="BI505">
        <v>0</v>
      </c>
      <c r="BJ505">
        <v>1225</v>
      </c>
      <c r="BK505">
        <v>-375</v>
      </c>
      <c r="BL505" t="s">
        <v>163</v>
      </c>
      <c r="BM505">
        <v>1</v>
      </c>
      <c r="BN505">
        <v>1</v>
      </c>
      <c r="BO505">
        <v>1</v>
      </c>
      <c r="BP505">
        <v>0</v>
      </c>
      <c r="BS505">
        <v>0</v>
      </c>
      <c r="BT505">
        <v>0</v>
      </c>
      <c r="BU505">
        <v>0</v>
      </c>
      <c r="CE505" t="str">
        <f t="shared" si="181"/>
        <v>19:27:01.794</v>
      </c>
      <c r="CF505">
        <v>793970414</v>
      </c>
      <c r="CS505">
        <v>3</v>
      </c>
      <c r="CT505">
        <v>2</v>
      </c>
      <c r="CU505">
        <v>0</v>
      </c>
      <c r="CV505">
        <v>2</v>
      </c>
      <c r="CW505">
        <v>0</v>
      </c>
      <c r="CX505">
        <v>5</v>
      </c>
      <c r="CY505">
        <v>7</v>
      </c>
      <c r="CZ505" t="s">
        <v>131</v>
      </c>
      <c r="DA505">
        <v>300</v>
      </c>
      <c r="DB505">
        <v>0</v>
      </c>
      <c r="DC505" t="s">
        <v>176</v>
      </c>
      <c r="DD505" t="s">
        <v>177</v>
      </c>
      <c r="DG505">
        <v>5364513</v>
      </c>
      <c r="DI505">
        <v>1</v>
      </c>
      <c r="DJ505">
        <v>0</v>
      </c>
      <c r="DK505">
        <v>1</v>
      </c>
      <c r="DL505">
        <v>0</v>
      </c>
      <c r="DM505">
        <v>0</v>
      </c>
      <c r="DN505">
        <v>1</v>
      </c>
      <c r="DO505">
        <v>0</v>
      </c>
      <c r="DP505">
        <v>0</v>
      </c>
      <c r="DQ505">
        <v>0</v>
      </c>
      <c r="DR505">
        <v>0</v>
      </c>
      <c r="DS505">
        <v>0</v>
      </c>
    </row>
    <row r="506" spans="1:123" x14ac:dyDescent="0.3">
      <c r="A506" t="str">
        <f>"10/04/2022 19:27:02.024"</f>
        <v>10/04/2022 19:27:02.024</v>
      </c>
      <c r="C506" t="str">
        <f t="shared" si="163"/>
        <v>FFDFD3C0</v>
      </c>
      <c r="D506" t="s">
        <v>141</v>
      </c>
      <c r="E506">
        <v>3</v>
      </c>
      <c r="H506">
        <v>3</v>
      </c>
      <c r="I506" t="s">
        <v>146</v>
      </c>
      <c r="J506" t="s">
        <v>138</v>
      </c>
      <c r="K506">
        <v>0</v>
      </c>
      <c r="L506">
        <v>3</v>
      </c>
      <c r="M506">
        <v>0</v>
      </c>
      <c r="N506">
        <v>2</v>
      </c>
      <c r="O506">
        <v>0</v>
      </c>
      <c r="P506">
        <v>1</v>
      </c>
      <c r="Q506">
        <v>0</v>
      </c>
      <c r="S506" t="str">
        <f t="shared" si="179"/>
        <v>19:27:01.000</v>
      </c>
      <c r="T506" t="str">
        <f t="shared" si="179"/>
        <v>19:27:01.000</v>
      </c>
      <c r="U506" t="str">
        <f t="shared" si="164"/>
        <v>AC3944</v>
      </c>
      <c r="V506">
        <v>0</v>
      </c>
      <c r="W506">
        <v>0</v>
      </c>
      <c r="X506">
        <v>2</v>
      </c>
      <c r="Y506">
        <v>0</v>
      </c>
      <c r="AA506">
        <v>1</v>
      </c>
      <c r="AB506">
        <v>8</v>
      </c>
      <c r="AC506">
        <v>3</v>
      </c>
      <c r="AD506">
        <v>0</v>
      </c>
      <c r="AE506">
        <v>9</v>
      </c>
      <c r="AF506" t="s">
        <v>138</v>
      </c>
      <c r="AG506">
        <v>0</v>
      </c>
      <c r="AH506">
        <v>3</v>
      </c>
      <c r="AI506">
        <v>1</v>
      </c>
      <c r="AJ506">
        <v>0</v>
      </c>
      <c r="AK506" t="s">
        <v>286</v>
      </c>
      <c r="AL506">
        <v>32.817813999999998</v>
      </c>
      <c r="AM506" t="s">
        <v>295</v>
      </c>
      <c r="AN506">
        <v>-116.98107</v>
      </c>
      <c r="AO506">
        <v>25</v>
      </c>
      <c r="AP506">
        <v>1600</v>
      </c>
      <c r="AQ506" t="s">
        <v>129</v>
      </c>
      <c r="AR506">
        <v>142</v>
      </c>
      <c r="AS506">
        <v>-2</v>
      </c>
      <c r="AT506">
        <v>-128</v>
      </c>
      <c r="BB506">
        <v>740</v>
      </c>
      <c r="BC506">
        <v>1</v>
      </c>
      <c r="BD506" t="str">
        <f t="shared" si="165"/>
        <v xml:space="preserve">N887QR  </v>
      </c>
      <c r="BE506">
        <v>1</v>
      </c>
      <c r="BG506">
        <v>0</v>
      </c>
      <c r="BH506">
        <v>0</v>
      </c>
      <c r="BI506">
        <v>0</v>
      </c>
      <c r="BJ506">
        <v>1225</v>
      </c>
      <c r="BK506">
        <v>-375</v>
      </c>
      <c r="BL506" t="s">
        <v>163</v>
      </c>
      <c r="BM506">
        <v>1</v>
      </c>
      <c r="BN506">
        <v>1</v>
      </c>
      <c r="BO506">
        <v>1</v>
      </c>
      <c r="BP506">
        <v>0</v>
      </c>
      <c r="BS506">
        <v>0</v>
      </c>
      <c r="BT506">
        <v>0</v>
      </c>
      <c r="BU506">
        <v>0</v>
      </c>
      <c r="CE506" t="str">
        <f t="shared" si="181"/>
        <v>19:27:01.794</v>
      </c>
      <c r="CF506">
        <v>793970414</v>
      </c>
      <c r="CS506">
        <v>3</v>
      </c>
      <c r="CT506">
        <v>2</v>
      </c>
      <c r="CU506">
        <v>0</v>
      </c>
      <c r="CV506">
        <v>2</v>
      </c>
      <c r="CW506">
        <v>0</v>
      </c>
      <c r="CX506">
        <v>5</v>
      </c>
      <c r="CY506">
        <v>7</v>
      </c>
      <c r="CZ506" t="s">
        <v>131</v>
      </c>
      <c r="DA506">
        <v>300</v>
      </c>
      <c r="DB506">
        <v>0</v>
      </c>
      <c r="DC506" t="s">
        <v>176</v>
      </c>
      <c r="DD506" t="s">
        <v>177</v>
      </c>
      <c r="DG506">
        <v>5364513</v>
      </c>
      <c r="DI506">
        <v>1</v>
      </c>
      <c r="DJ506">
        <v>0</v>
      </c>
      <c r="DK506">
        <v>1</v>
      </c>
      <c r="DL506">
        <v>0</v>
      </c>
      <c r="DM506">
        <v>0</v>
      </c>
      <c r="DN506">
        <v>1</v>
      </c>
      <c r="DO506">
        <v>0</v>
      </c>
      <c r="DP506">
        <v>0</v>
      </c>
      <c r="DQ506">
        <v>0</v>
      </c>
      <c r="DR506">
        <v>0</v>
      </c>
      <c r="DS506">
        <v>0</v>
      </c>
    </row>
    <row r="507" spans="1:123" x14ac:dyDescent="0.3">
      <c r="A507" t="str">
        <f>"10/04/2022 19:27:02.024"</f>
        <v>10/04/2022 19:27:02.024</v>
      </c>
      <c r="C507" t="str">
        <f t="shared" si="163"/>
        <v>FFDFD3C0</v>
      </c>
      <c r="D507" t="s">
        <v>136</v>
      </c>
      <c r="E507">
        <v>8</v>
      </c>
      <c r="H507">
        <v>225</v>
      </c>
      <c r="I507" t="s">
        <v>137</v>
      </c>
      <c r="J507" t="s">
        <v>138</v>
      </c>
      <c r="K507">
        <v>0</v>
      </c>
      <c r="L507">
        <v>3</v>
      </c>
      <c r="M507">
        <v>0</v>
      </c>
      <c r="N507">
        <v>2</v>
      </c>
      <c r="O507">
        <v>0</v>
      </c>
      <c r="P507">
        <v>1</v>
      </c>
      <c r="Q507">
        <v>0</v>
      </c>
      <c r="S507" t="str">
        <f t="shared" si="179"/>
        <v>19:27:01.000</v>
      </c>
      <c r="T507" t="str">
        <f t="shared" si="179"/>
        <v>19:27:01.000</v>
      </c>
      <c r="U507" t="str">
        <f t="shared" si="164"/>
        <v>AC3944</v>
      </c>
      <c r="V507">
        <v>0</v>
      </c>
      <c r="W507">
        <v>0</v>
      </c>
      <c r="X507">
        <v>2</v>
      </c>
      <c r="Y507">
        <v>0</v>
      </c>
      <c r="AA507">
        <v>1</v>
      </c>
      <c r="AB507">
        <v>8</v>
      </c>
      <c r="AC507">
        <v>3</v>
      </c>
      <c r="AD507">
        <v>0</v>
      </c>
      <c r="AE507">
        <v>9</v>
      </c>
      <c r="AF507" t="s">
        <v>138</v>
      </c>
      <c r="AG507">
        <v>0</v>
      </c>
      <c r="AH507">
        <v>3</v>
      </c>
      <c r="AI507">
        <v>1</v>
      </c>
      <c r="AJ507">
        <v>0</v>
      </c>
      <c r="AK507" t="s">
        <v>286</v>
      </c>
      <c r="AL507">
        <v>32.817813999999998</v>
      </c>
      <c r="AM507" t="s">
        <v>295</v>
      </c>
      <c r="AN507">
        <v>-116.98107</v>
      </c>
      <c r="AO507">
        <v>25</v>
      </c>
      <c r="AP507">
        <v>1600</v>
      </c>
      <c r="AQ507" t="s">
        <v>129</v>
      </c>
      <c r="AR507">
        <v>142</v>
      </c>
      <c r="AS507">
        <v>-2</v>
      </c>
      <c r="AT507">
        <v>-128</v>
      </c>
      <c r="BB507">
        <v>740</v>
      </c>
      <c r="BC507">
        <v>1</v>
      </c>
      <c r="BD507" t="str">
        <f t="shared" si="165"/>
        <v xml:space="preserve">N887QR  </v>
      </c>
      <c r="BE507">
        <v>1</v>
      </c>
      <c r="BG507">
        <v>0</v>
      </c>
      <c r="BH507">
        <v>0</v>
      </c>
      <c r="BI507">
        <v>0</v>
      </c>
      <c r="BJ507">
        <v>1225</v>
      </c>
      <c r="BK507">
        <v>-375</v>
      </c>
      <c r="BL507" t="s">
        <v>163</v>
      </c>
      <c r="BM507">
        <v>1</v>
      </c>
      <c r="BN507">
        <v>1</v>
      </c>
      <c r="BO507">
        <v>1</v>
      </c>
      <c r="BP507">
        <v>0</v>
      </c>
      <c r="BS507">
        <v>0</v>
      </c>
      <c r="BT507">
        <v>0</v>
      </c>
      <c r="BU507">
        <v>0</v>
      </c>
      <c r="CE507" t="str">
        <f t="shared" si="181"/>
        <v>19:27:01.794</v>
      </c>
      <c r="CF507">
        <v>793970414</v>
      </c>
      <c r="CS507">
        <v>3</v>
      </c>
      <c r="CT507">
        <v>2</v>
      </c>
      <c r="CU507">
        <v>0</v>
      </c>
      <c r="CV507">
        <v>2</v>
      </c>
      <c r="CW507">
        <v>0</v>
      </c>
      <c r="CX507">
        <v>5</v>
      </c>
      <c r="CY507">
        <v>7</v>
      </c>
      <c r="CZ507" t="s">
        <v>131</v>
      </c>
      <c r="DA507">
        <v>300</v>
      </c>
      <c r="DB507">
        <v>0</v>
      </c>
      <c r="DC507" t="s">
        <v>176</v>
      </c>
      <c r="DD507" t="s">
        <v>177</v>
      </c>
      <c r="DG507">
        <v>5364513</v>
      </c>
      <c r="DI507">
        <v>1</v>
      </c>
      <c r="DJ507">
        <v>0</v>
      </c>
      <c r="DK507">
        <v>1</v>
      </c>
      <c r="DL507">
        <v>0</v>
      </c>
      <c r="DM507">
        <v>0</v>
      </c>
      <c r="DN507">
        <v>1</v>
      </c>
      <c r="DO507">
        <v>0</v>
      </c>
      <c r="DP507">
        <v>0</v>
      </c>
      <c r="DQ507">
        <v>0</v>
      </c>
      <c r="DR507">
        <v>0</v>
      </c>
      <c r="DS507">
        <v>0</v>
      </c>
    </row>
    <row r="508" spans="1:123" x14ac:dyDescent="0.3">
      <c r="A508" t="str">
        <f>"10/04/2022 19:27:02.024"</f>
        <v>10/04/2022 19:27:02.024</v>
      </c>
      <c r="C508" t="str">
        <f t="shared" si="163"/>
        <v>FFDFD3C0</v>
      </c>
      <c r="D508" t="s">
        <v>143</v>
      </c>
      <c r="E508">
        <v>20</v>
      </c>
      <c r="F508">
        <v>1020</v>
      </c>
      <c r="G508" t="s">
        <v>144</v>
      </c>
      <c r="J508" t="s">
        <v>145</v>
      </c>
      <c r="K508">
        <v>0</v>
      </c>
      <c r="L508">
        <v>3</v>
      </c>
      <c r="M508">
        <v>0</v>
      </c>
      <c r="N508">
        <v>2</v>
      </c>
      <c r="O508">
        <v>0</v>
      </c>
      <c r="P508">
        <v>1</v>
      </c>
      <c r="Q508">
        <v>0</v>
      </c>
      <c r="S508" t="str">
        <f t="shared" si="179"/>
        <v>19:27:01.000</v>
      </c>
      <c r="T508" t="str">
        <f t="shared" si="179"/>
        <v>19:27:01.000</v>
      </c>
      <c r="U508" t="str">
        <f t="shared" si="164"/>
        <v>AC3944</v>
      </c>
      <c r="V508">
        <v>0</v>
      </c>
      <c r="W508">
        <v>0</v>
      </c>
      <c r="X508">
        <v>2</v>
      </c>
      <c r="Y508">
        <v>0</v>
      </c>
      <c r="AA508">
        <v>1</v>
      </c>
      <c r="AB508">
        <v>8</v>
      </c>
      <c r="AC508">
        <v>3</v>
      </c>
      <c r="AD508">
        <v>0</v>
      </c>
      <c r="AE508">
        <v>9</v>
      </c>
      <c r="AF508" t="s">
        <v>138</v>
      </c>
      <c r="AG508">
        <v>0</v>
      </c>
      <c r="AH508">
        <v>3</v>
      </c>
      <c r="AI508">
        <v>1</v>
      </c>
      <c r="AJ508">
        <v>0</v>
      </c>
      <c r="AK508" t="s">
        <v>286</v>
      </c>
      <c r="AL508">
        <v>32.817813999999998</v>
      </c>
      <c r="AM508" t="s">
        <v>295</v>
      </c>
      <c r="AN508">
        <v>-116.98107</v>
      </c>
      <c r="AO508">
        <v>25</v>
      </c>
      <c r="AP508">
        <v>1600</v>
      </c>
      <c r="AQ508" t="s">
        <v>129</v>
      </c>
      <c r="AR508">
        <v>142</v>
      </c>
      <c r="AS508">
        <v>-2</v>
      </c>
      <c r="AT508">
        <v>-128</v>
      </c>
      <c r="BB508">
        <v>740</v>
      </c>
      <c r="BC508">
        <v>1</v>
      </c>
      <c r="BD508" t="str">
        <f t="shared" si="165"/>
        <v xml:space="preserve">N887QR  </v>
      </c>
      <c r="BE508">
        <v>1</v>
      </c>
      <c r="BG508">
        <v>0</v>
      </c>
      <c r="BH508">
        <v>0</v>
      </c>
      <c r="BI508">
        <v>0</v>
      </c>
      <c r="BJ508">
        <v>1225</v>
      </c>
      <c r="BK508">
        <v>-375</v>
      </c>
      <c r="BL508" t="s">
        <v>163</v>
      </c>
      <c r="BM508">
        <v>1</v>
      </c>
      <c r="BN508">
        <v>1</v>
      </c>
      <c r="BO508">
        <v>1</v>
      </c>
      <c r="BP508">
        <v>0</v>
      </c>
      <c r="BS508">
        <v>0</v>
      </c>
      <c r="BT508">
        <v>0</v>
      </c>
      <c r="BU508">
        <v>0</v>
      </c>
      <c r="CE508" t="str">
        <f t="shared" si="181"/>
        <v>19:27:01.794</v>
      </c>
      <c r="CF508">
        <v>793970414</v>
      </c>
      <c r="CS508">
        <v>3</v>
      </c>
      <c r="CT508">
        <v>2</v>
      </c>
      <c r="CU508">
        <v>0</v>
      </c>
      <c r="CV508">
        <v>2</v>
      </c>
      <c r="CW508">
        <v>0</v>
      </c>
      <c r="CX508">
        <v>5</v>
      </c>
      <c r="CY508">
        <v>7</v>
      </c>
      <c r="CZ508" t="s">
        <v>131</v>
      </c>
      <c r="DA508">
        <v>300</v>
      </c>
      <c r="DB508">
        <v>0</v>
      </c>
      <c r="DC508" t="s">
        <v>176</v>
      </c>
      <c r="DD508" t="s">
        <v>177</v>
      </c>
      <c r="DG508">
        <v>5364513</v>
      </c>
      <c r="DI508">
        <v>1</v>
      </c>
      <c r="DJ508">
        <v>0</v>
      </c>
      <c r="DK508">
        <v>1</v>
      </c>
      <c r="DL508">
        <v>0</v>
      </c>
      <c r="DM508">
        <v>0</v>
      </c>
      <c r="DN508">
        <v>1</v>
      </c>
      <c r="DO508">
        <v>0</v>
      </c>
      <c r="DP508">
        <v>0</v>
      </c>
      <c r="DQ508">
        <v>0</v>
      </c>
      <c r="DR508">
        <v>0</v>
      </c>
      <c r="DS508">
        <v>0</v>
      </c>
    </row>
    <row r="509" spans="1:123" x14ac:dyDescent="0.3">
      <c r="A509" t="str">
        <f>"10/04/2022 19:27:02.024"</f>
        <v>10/04/2022 19:27:02.024</v>
      </c>
      <c r="C509" t="str">
        <f t="shared" si="163"/>
        <v>FFDFD3C0</v>
      </c>
      <c r="D509" t="s">
        <v>134</v>
      </c>
      <c r="E509">
        <v>15</v>
      </c>
      <c r="J509" t="s">
        <v>135</v>
      </c>
      <c r="K509">
        <v>0</v>
      </c>
      <c r="L509">
        <v>3</v>
      </c>
      <c r="M509">
        <v>0</v>
      </c>
      <c r="N509">
        <v>2</v>
      </c>
      <c r="O509">
        <v>0</v>
      </c>
      <c r="P509">
        <v>1</v>
      </c>
      <c r="Q509">
        <v>0</v>
      </c>
      <c r="S509" t="str">
        <f t="shared" si="179"/>
        <v>19:27:01.000</v>
      </c>
      <c r="T509" t="str">
        <f t="shared" si="179"/>
        <v>19:27:01.000</v>
      </c>
      <c r="U509" t="str">
        <f t="shared" si="164"/>
        <v>AC3944</v>
      </c>
      <c r="V509">
        <v>0</v>
      </c>
      <c r="W509">
        <v>0</v>
      </c>
      <c r="X509">
        <v>2</v>
      </c>
      <c r="Y509">
        <v>0</v>
      </c>
      <c r="AA509">
        <v>1</v>
      </c>
      <c r="AB509">
        <v>8</v>
      </c>
      <c r="AC509">
        <v>3</v>
      </c>
      <c r="AD509">
        <v>0</v>
      </c>
      <c r="AE509">
        <v>9</v>
      </c>
      <c r="AF509" t="s">
        <v>138</v>
      </c>
      <c r="AG509">
        <v>0</v>
      </c>
      <c r="AH509">
        <v>3</v>
      </c>
      <c r="AI509">
        <v>1</v>
      </c>
      <c r="AJ509">
        <v>0</v>
      </c>
      <c r="AK509" t="s">
        <v>286</v>
      </c>
      <c r="AL509">
        <v>32.817813999999998</v>
      </c>
      <c r="AM509" t="s">
        <v>295</v>
      </c>
      <c r="AN509">
        <v>-116.98107</v>
      </c>
      <c r="AO509">
        <v>25</v>
      </c>
      <c r="AP509">
        <v>1600</v>
      </c>
      <c r="AQ509" t="s">
        <v>129</v>
      </c>
      <c r="AR509">
        <v>142</v>
      </c>
      <c r="AS509">
        <v>-2</v>
      </c>
      <c r="AT509">
        <v>-128</v>
      </c>
      <c r="BB509">
        <v>740</v>
      </c>
      <c r="BC509">
        <v>1</v>
      </c>
      <c r="BD509" t="str">
        <f t="shared" si="165"/>
        <v xml:space="preserve">N887QR  </v>
      </c>
      <c r="BE509">
        <v>1</v>
      </c>
      <c r="BG509">
        <v>0</v>
      </c>
      <c r="BH509">
        <v>0</v>
      </c>
      <c r="BI509">
        <v>0</v>
      </c>
      <c r="BJ509">
        <v>1225</v>
      </c>
      <c r="BK509">
        <v>-375</v>
      </c>
      <c r="BL509" t="s">
        <v>163</v>
      </c>
      <c r="BM509">
        <v>1</v>
      </c>
      <c r="BN509">
        <v>1</v>
      </c>
      <c r="BO509">
        <v>1</v>
      </c>
      <c r="BP509">
        <v>0</v>
      </c>
      <c r="BS509">
        <v>0</v>
      </c>
      <c r="BT509">
        <v>0</v>
      </c>
      <c r="BU509">
        <v>0</v>
      </c>
      <c r="CE509" t="str">
        <f t="shared" si="181"/>
        <v>19:27:01.794</v>
      </c>
      <c r="CF509">
        <v>793970414</v>
      </c>
      <c r="CS509">
        <v>3</v>
      </c>
      <c r="CT509">
        <v>2</v>
      </c>
      <c r="CU509">
        <v>0</v>
      </c>
      <c r="CV509">
        <v>2</v>
      </c>
      <c r="CW509">
        <v>0</v>
      </c>
      <c r="CX509">
        <v>5</v>
      </c>
      <c r="CY509">
        <v>7</v>
      </c>
      <c r="CZ509" t="s">
        <v>131</v>
      </c>
      <c r="DA509">
        <v>300</v>
      </c>
      <c r="DB509">
        <v>0</v>
      </c>
      <c r="DC509" t="s">
        <v>176</v>
      </c>
      <c r="DD509" t="s">
        <v>177</v>
      </c>
      <c r="DG509">
        <v>5364513</v>
      </c>
      <c r="DI509">
        <v>1</v>
      </c>
      <c r="DJ509">
        <v>0</v>
      </c>
      <c r="DK509">
        <v>1</v>
      </c>
      <c r="DL509">
        <v>0</v>
      </c>
      <c r="DM509">
        <v>0</v>
      </c>
      <c r="DN509">
        <v>1</v>
      </c>
      <c r="DO509">
        <v>0</v>
      </c>
      <c r="DP509">
        <v>0</v>
      </c>
      <c r="DQ509">
        <v>0</v>
      </c>
      <c r="DR509">
        <v>0</v>
      </c>
      <c r="DS509">
        <v>0</v>
      </c>
    </row>
    <row r="510" spans="1:123" x14ac:dyDescent="0.3">
      <c r="A510" t="str">
        <f>"10/04/2022 19:27:03.432"</f>
        <v>10/04/2022 19:27:03.432</v>
      </c>
      <c r="C510" t="str">
        <f t="shared" si="163"/>
        <v>FFDFD3C0</v>
      </c>
      <c r="D510" t="s">
        <v>141</v>
      </c>
      <c r="E510">
        <v>3</v>
      </c>
      <c r="H510">
        <v>3</v>
      </c>
      <c r="I510" t="s">
        <v>146</v>
      </c>
      <c r="J510" t="s">
        <v>138</v>
      </c>
      <c r="K510">
        <v>0</v>
      </c>
      <c r="L510">
        <v>3</v>
      </c>
      <c r="M510">
        <v>0</v>
      </c>
      <c r="N510">
        <v>2</v>
      </c>
      <c r="O510">
        <v>0</v>
      </c>
      <c r="P510">
        <v>1</v>
      </c>
      <c r="Q510">
        <v>0</v>
      </c>
      <c r="S510" t="str">
        <f t="shared" ref="S510:T516" si="182">"19:27:03.000"</f>
        <v>19:27:03.000</v>
      </c>
      <c r="T510" t="str">
        <f t="shared" si="182"/>
        <v>19:27:03.000</v>
      </c>
      <c r="U510" t="str">
        <f t="shared" si="164"/>
        <v>AC3944</v>
      </c>
      <c r="V510">
        <v>0</v>
      </c>
      <c r="W510">
        <v>0</v>
      </c>
      <c r="X510">
        <v>2</v>
      </c>
      <c r="Y510">
        <v>0</v>
      </c>
      <c r="AA510">
        <v>1</v>
      </c>
      <c r="AB510">
        <v>8</v>
      </c>
      <c r="AC510">
        <v>3</v>
      </c>
      <c r="AD510">
        <v>0</v>
      </c>
      <c r="AE510">
        <v>9</v>
      </c>
      <c r="AF510" t="s">
        <v>138</v>
      </c>
      <c r="AG510">
        <v>0</v>
      </c>
      <c r="AH510">
        <v>3</v>
      </c>
      <c r="AI510">
        <v>1</v>
      </c>
      <c r="AJ510">
        <v>0</v>
      </c>
      <c r="AK510" t="s">
        <v>280</v>
      </c>
      <c r="AL510">
        <v>32.817793000000002</v>
      </c>
      <c r="AM510" t="s">
        <v>296</v>
      </c>
      <c r="AN510">
        <v>-116.980276</v>
      </c>
      <c r="AO510">
        <v>25</v>
      </c>
      <c r="AP510">
        <v>1600</v>
      </c>
      <c r="AQ510" t="s">
        <v>129</v>
      </c>
      <c r="AR510">
        <v>141</v>
      </c>
      <c r="AS510">
        <v>-1</v>
      </c>
      <c r="AT510">
        <v>128</v>
      </c>
      <c r="BB510">
        <v>740</v>
      </c>
      <c r="BC510">
        <v>1</v>
      </c>
      <c r="BD510" t="str">
        <f t="shared" si="165"/>
        <v xml:space="preserve">N887QR  </v>
      </c>
      <c r="BE510">
        <v>1</v>
      </c>
      <c r="BG510">
        <v>0</v>
      </c>
      <c r="BH510">
        <v>0</v>
      </c>
      <c r="BI510">
        <v>0</v>
      </c>
      <c r="BJ510">
        <v>1250</v>
      </c>
      <c r="BK510">
        <v>-350</v>
      </c>
      <c r="BL510" t="s">
        <v>163</v>
      </c>
      <c r="BM510">
        <v>1</v>
      </c>
      <c r="BN510">
        <v>1</v>
      </c>
      <c r="BO510">
        <v>1</v>
      </c>
      <c r="BP510">
        <v>0</v>
      </c>
      <c r="BS510">
        <v>0</v>
      </c>
      <c r="BT510">
        <v>0</v>
      </c>
      <c r="BU510">
        <v>0</v>
      </c>
      <c r="CE510" t="str">
        <f t="shared" ref="CE510:CE516" si="183">"19:27:03.197"</f>
        <v>19:27:03.197</v>
      </c>
      <c r="CF510">
        <v>196974792</v>
      </c>
      <c r="CS510">
        <v>3</v>
      </c>
      <c r="CT510">
        <v>2</v>
      </c>
      <c r="CU510">
        <v>0</v>
      </c>
      <c r="CV510">
        <v>2</v>
      </c>
      <c r="CW510">
        <v>0</v>
      </c>
      <c r="CX510">
        <v>5</v>
      </c>
      <c r="CY510">
        <v>7</v>
      </c>
      <c r="CZ510" t="s">
        <v>131</v>
      </c>
      <c r="DA510">
        <v>300</v>
      </c>
      <c r="DB510">
        <v>0</v>
      </c>
      <c r="DC510" t="s">
        <v>176</v>
      </c>
      <c r="DD510" t="s">
        <v>177</v>
      </c>
      <c r="DG510">
        <v>5364731</v>
      </c>
      <c r="DI510">
        <v>1</v>
      </c>
      <c r="DJ510">
        <v>0</v>
      </c>
      <c r="DK510">
        <v>0</v>
      </c>
      <c r="DL510">
        <v>0</v>
      </c>
      <c r="DM510">
        <v>0</v>
      </c>
      <c r="DN510">
        <v>1</v>
      </c>
      <c r="DO510">
        <v>0</v>
      </c>
      <c r="DP510">
        <v>0</v>
      </c>
      <c r="DQ510">
        <v>0</v>
      </c>
      <c r="DR510">
        <v>0</v>
      </c>
      <c r="DS510">
        <v>0</v>
      </c>
    </row>
    <row r="511" spans="1:123" x14ac:dyDescent="0.3">
      <c r="A511" t="str">
        <f>"10/04/2022 19:27:03.432"</f>
        <v>10/04/2022 19:27:03.432</v>
      </c>
      <c r="C511" t="str">
        <f t="shared" si="163"/>
        <v>FFDFD3C0</v>
      </c>
      <c r="D511" t="s">
        <v>143</v>
      </c>
      <c r="E511">
        <v>20</v>
      </c>
      <c r="F511">
        <v>1020</v>
      </c>
      <c r="G511" t="s">
        <v>144</v>
      </c>
      <c r="J511" t="s">
        <v>145</v>
      </c>
      <c r="K511">
        <v>0</v>
      </c>
      <c r="L511">
        <v>3</v>
      </c>
      <c r="M511">
        <v>0</v>
      </c>
      <c r="N511">
        <v>2</v>
      </c>
      <c r="O511">
        <v>0</v>
      </c>
      <c r="P511">
        <v>1</v>
      </c>
      <c r="Q511">
        <v>0</v>
      </c>
      <c r="S511" t="str">
        <f t="shared" si="182"/>
        <v>19:27:03.000</v>
      </c>
      <c r="T511" t="str">
        <f t="shared" si="182"/>
        <v>19:27:03.000</v>
      </c>
      <c r="U511" t="str">
        <f t="shared" si="164"/>
        <v>AC3944</v>
      </c>
      <c r="V511">
        <v>0</v>
      </c>
      <c r="W511">
        <v>0</v>
      </c>
      <c r="X511">
        <v>2</v>
      </c>
      <c r="Y511">
        <v>0</v>
      </c>
      <c r="AA511">
        <v>1</v>
      </c>
      <c r="AB511">
        <v>8</v>
      </c>
      <c r="AC511">
        <v>3</v>
      </c>
      <c r="AD511">
        <v>0</v>
      </c>
      <c r="AE511">
        <v>9</v>
      </c>
      <c r="AF511" t="s">
        <v>138</v>
      </c>
      <c r="AG511">
        <v>0</v>
      </c>
      <c r="AH511">
        <v>3</v>
      </c>
      <c r="AI511">
        <v>1</v>
      </c>
      <c r="AJ511">
        <v>0</v>
      </c>
      <c r="AK511" t="s">
        <v>280</v>
      </c>
      <c r="AL511">
        <v>32.817793000000002</v>
      </c>
      <c r="AM511" t="s">
        <v>296</v>
      </c>
      <c r="AN511">
        <v>-116.980276</v>
      </c>
      <c r="AO511">
        <v>25</v>
      </c>
      <c r="AP511">
        <v>1600</v>
      </c>
      <c r="AQ511" t="s">
        <v>129</v>
      </c>
      <c r="AR511">
        <v>141</v>
      </c>
      <c r="AS511">
        <v>-1</v>
      </c>
      <c r="AT511">
        <v>128</v>
      </c>
      <c r="BB511">
        <v>740</v>
      </c>
      <c r="BC511">
        <v>1</v>
      </c>
      <c r="BD511" t="str">
        <f t="shared" si="165"/>
        <v xml:space="preserve">N887QR  </v>
      </c>
      <c r="BE511">
        <v>1</v>
      </c>
      <c r="BG511">
        <v>0</v>
      </c>
      <c r="BH511">
        <v>0</v>
      </c>
      <c r="BI511">
        <v>0</v>
      </c>
      <c r="BJ511">
        <v>1250</v>
      </c>
      <c r="BK511">
        <v>-350</v>
      </c>
      <c r="BL511" t="s">
        <v>163</v>
      </c>
      <c r="BM511">
        <v>1</v>
      </c>
      <c r="BN511">
        <v>1</v>
      </c>
      <c r="BO511">
        <v>1</v>
      </c>
      <c r="BP511">
        <v>0</v>
      </c>
      <c r="BS511">
        <v>0</v>
      </c>
      <c r="BT511">
        <v>0</v>
      </c>
      <c r="BU511">
        <v>0</v>
      </c>
      <c r="CE511" t="str">
        <f t="shared" si="183"/>
        <v>19:27:03.197</v>
      </c>
      <c r="CF511">
        <v>196974792</v>
      </c>
      <c r="CS511">
        <v>3</v>
      </c>
      <c r="CT511">
        <v>2</v>
      </c>
      <c r="CU511">
        <v>0</v>
      </c>
      <c r="CV511">
        <v>2</v>
      </c>
      <c r="CW511">
        <v>0</v>
      </c>
      <c r="CX511">
        <v>5</v>
      </c>
      <c r="CY511">
        <v>7</v>
      </c>
      <c r="CZ511" t="s">
        <v>131</v>
      </c>
      <c r="DA511">
        <v>300</v>
      </c>
      <c r="DB511">
        <v>0</v>
      </c>
      <c r="DC511" t="s">
        <v>176</v>
      </c>
      <c r="DD511" t="s">
        <v>177</v>
      </c>
      <c r="DG511">
        <v>5364731</v>
      </c>
      <c r="DI511">
        <v>1</v>
      </c>
      <c r="DJ511">
        <v>0</v>
      </c>
      <c r="DK511">
        <v>1</v>
      </c>
      <c r="DL511">
        <v>0</v>
      </c>
      <c r="DM511">
        <v>0</v>
      </c>
      <c r="DN511">
        <v>1</v>
      </c>
      <c r="DO511">
        <v>0</v>
      </c>
      <c r="DP511">
        <v>0</v>
      </c>
      <c r="DQ511">
        <v>0</v>
      </c>
      <c r="DR511">
        <v>0</v>
      </c>
      <c r="DS511">
        <v>0</v>
      </c>
    </row>
    <row r="512" spans="1:123" x14ac:dyDescent="0.3">
      <c r="A512" t="str">
        <f>"10/04/2022 19:27:03.463"</f>
        <v>10/04/2022 19:27:03.463</v>
      </c>
      <c r="C512" t="str">
        <f t="shared" si="163"/>
        <v>FFDFD3C0</v>
      </c>
      <c r="D512" t="s">
        <v>136</v>
      </c>
      <c r="E512">
        <v>8</v>
      </c>
      <c r="H512">
        <v>225</v>
      </c>
      <c r="I512" t="s">
        <v>137</v>
      </c>
      <c r="J512" t="s">
        <v>138</v>
      </c>
      <c r="K512">
        <v>0</v>
      </c>
      <c r="L512">
        <v>3</v>
      </c>
      <c r="M512">
        <v>0</v>
      </c>
      <c r="N512">
        <v>2</v>
      </c>
      <c r="O512">
        <v>0</v>
      </c>
      <c r="P512">
        <v>1</v>
      </c>
      <c r="Q512">
        <v>0</v>
      </c>
      <c r="S512" t="str">
        <f t="shared" si="182"/>
        <v>19:27:03.000</v>
      </c>
      <c r="T512" t="str">
        <f t="shared" si="182"/>
        <v>19:27:03.000</v>
      </c>
      <c r="U512" t="str">
        <f t="shared" si="164"/>
        <v>AC3944</v>
      </c>
      <c r="V512">
        <v>0</v>
      </c>
      <c r="W512">
        <v>0</v>
      </c>
      <c r="X512">
        <v>2</v>
      </c>
      <c r="Y512">
        <v>0</v>
      </c>
      <c r="AA512">
        <v>1</v>
      </c>
      <c r="AB512">
        <v>8</v>
      </c>
      <c r="AC512">
        <v>3</v>
      </c>
      <c r="AD512">
        <v>0</v>
      </c>
      <c r="AE512">
        <v>9</v>
      </c>
      <c r="AF512" t="s">
        <v>138</v>
      </c>
      <c r="AG512">
        <v>0</v>
      </c>
      <c r="AH512">
        <v>3</v>
      </c>
      <c r="AI512">
        <v>1</v>
      </c>
      <c r="AJ512">
        <v>0</v>
      </c>
      <c r="AK512" t="s">
        <v>280</v>
      </c>
      <c r="AL512">
        <v>32.817793000000002</v>
      </c>
      <c r="AM512" t="s">
        <v>296</v>
      </c>
      <c r="AN512">
        <v>-116.980276</v>
      </c>
      <c r="AO512">
        <v>25</v>
      </c>
      <c r="AP512">
        <v>1600</v>
      </c>
      <c r="AQ512" t="s">
        <v>129</v>
      </c>
      <c r="AR512">
        <v>141</v>
      </c>
      <c r="AS512">
        <v>-1</v>
      </c>
      <c r="AT512">
        <v>128</v>
      </c>
      <c r="BB512">
        <v>740</v>
      </c>
      <c r="BC512">
        <v>1</v>
      </c>
      <c r="BD512" t="str">
        <f t="shared" si="165"/>
        <v xml:space="preserve">N887QR  </v>
      </c>
      <c r="BE512">
        <v>1</v>
      </c>
      <c r="BG512">
        <v>0</v>
      </c>
      <c r="BH512">
        <v>0</v>
      </c>
      <c r="BI512">
        <v>0</v>
      </c>
      <c r="BJ512">
        <v>1250</v>
      </c>
      <c r="BK512">
        <v>-350</v>
      </c>
      <c r="BL512" t="s">
        <v>163</v>
      </c>
      <c r="BM512">
        <v>1</v>
      </c>
      <c r="BN512">
        <v>1</v>
      </c>
      <c r="BO512">
        <v>1</v>
      </c>
      <c r="BP512">
        <v>0</v>
      </c>
      <c r="BS512">
        <v>0</v>
      </c>
      <c r="BT512">
        <v>0</v>
      </c>
      <c r="BU512">
        <v>0</v>
      </c>
      <c r="CE512" t="str">
        <f t="shared" si="183"/>
        <v>19:27:03.197</v>
      </c>
      <c r="CF512">
        <v>196974792</v>
      </c>
      <c r="CS512">
        <v>3</v>
      </c>
      <c r="CT512">
        <v>2</v>
      </c>
      <c r="CU512">
        <v>0</v>
      </c>
      <c r="CV512">
        <v>2</v>
      </c>
      <c r="CW512">
        <v>0</v>
      </c>
      <c r="CX512">
        <v>5</v>
      </c>
      <c r="CY512">
        <v>7</v>
      </c>
      <c r="CZ512" t="s">
        <v>131</v>
      </c>
      <c r="DA512">
        <v>300</v>
      </c>
      <c r="DB512">
        <v>0</v>
      </c>
      <c r="DC512" t="s">
        <v>176</v>
      </c>
      <c r="DD512" t="s">
        <v>177</v>
      </c>
      <c r="DG512">
        <v>5364731</v>
      </c>
      <c r="DI512">
        <v>1</v>
      </c>
      <c r="DJ512">
        <v>0</v>
      </c>
      <c r="DK512">
        <v>1</v>
      </c>
      <c r="DL512">
        <v>0</v>
      </c>
      <c r="DM512">
        <v>0</v>
      </c>
      <c r="DN512">
        <v>1</v>
      </c>
      <c r="DO512">
        <v>0</v>
      </c>
      <c r="DP512">
        <v>0</v>
      </c>
      <c r="DQ512">
        <v>0</v>
      </c>
      <c r="DR512">
        <v>0</v>
      </c>
      <c r="DS512">
        <v>0</v>
      </c>
    </row>
    <row r="513" spans="1:123" x14ac:dyDescent="0.3">
      <c r="A513" t="str">
        <f>"10/04/2022 19:27:03.463"</f>
        <v>10/04/2022 19:27:03.463</v>
      </c>
      <c r="C513" t="str">
        <f t="shared" si="163"/>
        <v>FFDFD3C0</v>
      </c>
      <c r="D513" t="s">
        <v>134</v>
      </c>
      <c r="E513">
        <v>15</v>
      </c>
      <c r="J513" t="s">
        <v>135</v>
      </c>
      <c r="K513">
        <v>0</v>
      </c>
      <c r="L513">
        <v>3</v>
      </c>
      <c r="M513">
        <v>0</v>
      </c>
      <c r="N513">
        <v>2</v>
      </c>
      <c r="O513">
        <v>0</v>
      </c>
      <c r="P513">
        <v>1</v>
      </c>
      <c r="Q513">
        <v>0</v>
      </c>
      <c r="S513" t="str">
        <f t="shared" si="182"/>
        <v>19:27:03.000</v>
      </c>
      <c r="T513" t="str">
        <f t="shared" si="182"/>
        <v>19:27:03.000</v>
      </c>
      <c r="U513" t="str">
        <f t="shared" si="164"/>
        <v>AC3944</v>
      </c>
      <c r="V513">
        <v>0</v>
      </c>
      <c r="W513">
        <v>0</v>
      </c>
      <c r="X513">
        <v>2</v>
      </c>
      <c r="Y513">
        <v>0</v>
      </c>
      <c r="AA513">
        <v>1</v>
      </c>
      <c r="AB513">
        <v>8</v>
      </c>
      <c r="AC513">
        <v>3</v>
      </c>
      <c r="AD513">
        <v>0</v>
      </c>
      <c r="AE513">
        <v>9</v>
      </c>
      <c r="AF513" t="s">
        <v>138</v>
      </c>
      <c r="AG513">
        <v>0</v>
      </c>
      <c r="AH513">
        <v>3</v>
      </c>
      <c r="AI513">
        <v>1</v>
      </c>
      <c r="AJ513">
        <v>0</v>
      </c>
      <c r="AK513" t="s">
        <v>280</v>
      </c>
      <c r="AL513">
        <v>32.817793000000002</v>
      </c>
      <c r="AM513" t="s">
        <v>296</v>
      </c>
      <c r="AN513">
        <v>-116.980276</v>
      </c>
      <c r="AO513">
        <v>25</v>
      </c>
      <c r="AP513">
        <v>1600</v>
      </c>
      <c r="AQ513" t="s">
        <v>129</v>
      </c>
      <c r="AR513">
        <v>141</v>
      </c>
      <c r="AS513">
        <v>-1</v>
      </c>
      <c r="AT513">
        <v>128</v>
      </c>
      <c r="BB513">
        <v>740</v>
      </c>
      <c r="BC513">
        <v>1</v>
      </c>
      <c r="BD513" t="str">
        <f t="shared" si="165"/>
        <v xml:space="preserve">N887QR  </v>
      </c>
      <c r="BE513">
        <v>1</v>
      </c>
      <c r="BG513">
        <v>0</v>
      </c>
      <c r="BH513">
        <v>0</v>
      </c>
      <c r="BI513">
        <v>0</v>
      </c>
      <c r="BJ513">
        <v>1250</v>
      </c>
      <c r="BK513">
        <v>-350</v>
      </c>
      <c r="BL513" t="s">
        <v>163</v>
      </c>
      <c r="BM513">
        <v>1</v>
      </c>
      <c r="BN513">
        <v>1</v>
      </c>
      <c r="BO513">
        <v>1</v>
      </c>
      <c r="BP513">
        <v>0</v>
      </c>
      <c r="BS513">
        <v>0</v>
      </c>
      <c r="BT513">
        <v>0</v>
      </c>
      <c r="BU513">
        <v>0</v>
      </c>
      <c r="CE513" t="str">
        <f t="shared" si="183"/>
        <v>19:27:03.197</v>
      </c>
      <c r="CF513">
        <v>196974792</v>
      </c>
      <c r="CS513">
        <v>3</v>
      </c>
      <c r="CT513">
        <v>2</v>
      </c>
      <c r="CU513">
        <v>0</v>
      </c>
      <c r="CV513">
        <v>2</v>
      </c>
      <c r="CW513">
        <v>0</v>
      </c>
      <c r="CX513">
        <v>5</v>
      </c>
      <c r="CY513">
        <v>7</v>
      </c>
      <c r="CZ513" t="s">
        <v>131</v>
      </c>
      <c r="DA513">
        <v>300</v>
      </c>
      <c r="DB513">
        <v>0</v>
      </c>
      <c r="DC513" t="s">
        <v>176</v>
      </c>
      <c r="DD513" t="s">
        <v>177</v>
      </c>
      <c r="DG513">
        <v>5364731</v>
      </c>
      <c r="DI513">
        <v>1</v>
      </c>
      <c r="DJ513">
        <v>0</v>
      </c>
      <c r="DK513">
        <v>1</v>
      </c>
      <c r="DL513">
        <v>0</v>
      </c>
      <c r="DM513">
        <v>0</v>
      </c>
      <c r="DN513">
        <v>1</v>
      </c>
      <c r="DO513">
        <v>0</v>
      </c>
      <c r="DP513">
        <v>0</v>
      </c>
      <c r="DQ513">
        <v>0</v>
      </c>
      <c r="DR513">
        <v>0</v>
      </c>
      <c r="DS513">
        <v>0</v>
      </c>
    </row>
    <row r="514" spans="1:123" x14ac:dyDescent="0.3">
      <c r="A514" t="str">
        <f>"10/04/2022 19:27:03.463"</f>
        <v>10/04/2022 19:27:03.463</v>
      </c>
      <c r="C514" t="str">
        <f t="shared" ref="C514:C562" si="184">"FFDFD3C0"</f>
        <v>FFDFD3C0</v>
      </c>
      <c r="D514" t="s">
        <v>147</v>
      </c>
      <c r="E514">
        <v>3</v>
      </c>
      <c r="H514">
        <v>166</v>
      </c>
      <c r="I514" t="s">
        <v>144</v>
      </c>
      <c r="J514" t="s">
        <v>148</v>
      </c>
      <c r="K514">
        <v>0</v>
      </c>
      <c r="L514">
        <v>3</v>
      </c>
      <c r="M514">
        <v>0</v>
      </c>
      <c r="N514">
        <v>2</v>
      </c>
      <c r="O514">
        <v>0</v>
      </c>
      <c r="P514">
        <v>1</v>
      </c>
      <c r="Q514">
        <v>0</v>
      </c>
      <c r="S514" t="str">
        <f t="shared" si="182"/>
        <v>19:27:03.000</v>
      </c>
      <c r="T514" t="str">
        <f t="shared" si="182"/>
        <v>19:27:03.000</v>
      </c>
      <c r="U514" t="str">
        <f t="shared" ref="U514:U577" si="185">"AC3944"</f>
        <v>AC3944</v>
      </c>
      <c r="V514">
        <v>0</v>
      </c>
      <c r="W514">
        <v>0</v>
      </c>
      <c r="X514">
        <v>2</v>
      </c>
      <c r="Y514">
        <v>0</v>
      </c>
      <c r="AA514">
        <v>1</v>
      </c>
      <c r="AB514">
        <v>8</v>
      </c>
      <c r="AC514">
        <v>3</v>
      </c>
      <c r="AD514">
        <v>0</v>
      </c>
      <c r="AE514">
        <v>9</v>
      </c>
      <c r="AF514" t="s">
        <v>138</v>
      </c>
      <c r="AG514">
        <v>0</v>
      </c>
      <c r="AH514">
        <v>3</v>
      </c>
      <c r="AI514">
        <v>1</v>
      </c>
      <c r="AJ514">
        <v>0</v>
      </c>
      <c r="AK514" t="s">
        <v>280</v>
      </c>
      <c r="AL514">
        <v>32.817793000000002</v>
      </c>
      <c r="AM514" t="s">
        <v>296</v>
      </c>
      <c r="AN514">
        <v>-116.980276</v>
      </c>
      <c r="AO514">
        <v>25</v>
      </c>
      <c r="AP514">
        <v>1600</v>
      </c>
      <c r="AQ514" t="s">
        <v>129</v>
      </c>
      <c r="AR514">
        <v>141</v>
      </c>
      <c r="AS514">
        <v>-1</v>
      </c>
      <c r="AT514">
        <v>128</v>
      </c>
      <c r="BB514">
        <v>740</v>
      </c>
      <c r="BC514">
        <v>1</v>
      </c>
      <c r="BD514" t="str">
        <f t="shared" ref="BD514:BD577" si="186">"N887QR  "</f>
        <v xml:space="preserve">N887QR  </v>
      </c>
      <c r="BE514">
        <v>1</v>
      </c>
      <c r="BG514">
        <v>0</v>
      </c>
      <c r="BH514">
        <v>0</v>
      </c>
      <c r="BI514">
        <v>0</v>
      </c>
      <c r="BJ514">
        <v>1250</v>
      </c>
      <c r="BK514">
        <v>-350</v>
      </c>
      <c r="BL514" t="s">
        <v>163</v>
      </c>
      <c r="BM514">
        <v>1</v>
      </c>
      <c r="BN514">
        <v>1</v>
      </c>
      <c r="BO514">
        <v>1</v>
      </c>
      <c r="BP514">
        <v>0</v>
      </c>
      <c r="BS514">
        <v>0</v>
      </c>
      <c r="BT514">
        <v>0</v>
      </c>
      <c r="BU514">
        <v>0</v>
      </c>
      <c r="CE514" t="str">
        <f t="shared" si="183"/>
        <v>19:27:03.197</v>
      </c>
      <c r="CF514">
        <v>196974792</v>
      </c>
      <c r="CS514">
        <v>3</v>
      </c>
      <c r="CT514">
        <v>2</v>
      </c>
      <c r="CU514">
        <v>0</v>
      </c>
      <c r="CV514">
        <v>2</v>
      </c>
      <c r="CW514">
        <v>0</v>
      </c>
      <c r="CX514">
        <v>5</v>
      </c>
      <c r="CY514">
        <v>7</v>
      </c>
      <c r="CZ514" t="s">
        <v>131</v>
      </c>
      <c r="DA514">
        <v>300</v>
      </c>
      <c r="DB514">
        <v>0</v>
      </c>
      <c r="DC514" t="s">
        <v>176</v>
      </c>
      <c r="DD514" t="s">
        <v>177</v>
      </c>
      <c r="DG514">
        <v>5364731</v>
      </c>
      <c r="DI514">
        <v>1</v>
      </c>
      <c r="DJ514">
        <v>0</v>
      </c>
      <c r="DK514">
        <v>1</v>
      </c>
      <c r="DL514">
        <v>0</v>
      </c>
      <c r="DM514">
        <v>0</v>
      </c>
      <c r="DN514">
        <v>1</v>
      </c>
      <c r="DO514">
        <v>0</v>
      </c>
      <c r="DP514">
        <v>0</v>
      </c>
      <c r="DQ514">
        <v>0</v>
      </c>
      <c r="DR514">
        <v>0</v>
      </c>
      <c r="DS514">
        <v>0</v>
      </c>
    </row>
    <row r="515" spans="1:123" x14ac:dyDescent="0.3">
      <c r="A515" t="str">
        <f>"10/04/2022 19:27:03.463"</f>
        <v>10/04/2022 19:27:03.463</v>
      </c>
      <c r="C515" t="str">
        <f t="shared" si="184"/>
        <v>FFDFD3C0</v>
      </c>
      <c r="D515" t="s">
        <v>123</v>
      </c>
      <c r="E515">
        <v>7</v>
      </c>
      <c r="F515">
        <v>2007</v>
      </c>
      <c r="G515" t="s">
        <v>124</v>
      </c>
      <c r="J515" t="s">
        <v>125</v>
      </c>
      <c r="K515">
        <v>0</v>
      </c>
      <c r="L515">
        <v>3</v>
      </c>
      <c r="M515">
        <v>0</v>
      </c>
      <c r="N515">
        <v>2</v>
      </c>
      <c r="O515">
        <v>0</v>
      </c>
      <c r="P515">
        <v>1</v>
      </c>
      <c r="Q515">
        <v>0</v>
      </c>
      <c r="S515" t="str">
        <f t="shared" si="182"/>
        <v>19:27:03.000</v>
      </c>
      <c r="T515" t="str">
        <f t="shared" si="182"/>
        <v>19:27:03.000</v>
      </c>
      <c r="U515" t="str">
        <f t="shared" si="185"/>
        <v>AC3944</v>
      </c>
      <c r="V515">
        <v>0</v>
      </c>
      <c r="W515">
        <v>0</v>
      </c>
      <c r="X515">
        <v>2</v>
      </c>
      <c r="Y515">
        <v>0</v>
      </c>
      <c r="AA515">
        <v>1</v>
      </c>
      <c r="AB515">
        <v>8</v>
      </c>
      <c r="AC515">
        <v>3</v>
      </c>
      <c r="AD515">
        <v>0</v>
      </c>
      <c r="AE515">
        <v>9</v>
      </c>
      <c r="AF515" t="s">
        <v>138</v>
      </c>
      <c r="AG515">
        <v>0</v>
      </c>
      <c r="AH515">
        <v>3</v>
      </c>
      <c r="AI515">
        <v>1</v>
      </c>
      <c r="AJ515">
        <v>0</v>
      </c>
      <c r="AK515" t="s">
        <v>280</v>
      </c>
      <c r="AL515">
        <v>32.817793000000002</v>
      </c>
      <c r="AM515" t="s">
        <v>296</v>
      </c>
      <c r="AN515">
        <v>-116.980276</v>
      </c>
      <c r="AO515">
        <v>25</v>
      </c>
      <c r="AP515">
        <v>1600</v>
      </c>
      <c r="AQ515" t="s">
        <v>129</v>
      </c>
      <c r="AR515">
        <v>141</v>
      </c>
      <c r="AS515">
        <v>-1</v>
      </c>
      <c r="AT515">
        <v>128</v>
      </c>
      <c r="BB515">
        <v>740</v>
      </c>
      <c r="BC515">
        <v>1</v>
      </c>
      <c r="BD515" t="str">
        <f t="shared" si="186"/>
        <v xml:space="preserve">N887QR  </v>
      </c>
      <c r="BE515">
        <v>1</v>
      </c>
      <c r="BG515">
        <v>0</v>
      </c>
      <c r="BH515">
        <v>0</v>
      </c>
      <c r="BI515">
        <v>0</v>
      </c>
      <c r="BJ515">
        <v>1250</v>
      </c>
      <c r="BK515">
        <v>-350</v>
      </c>
      <c r="BL515" t="s">
        <v>163</v>
      </c>
      <c r="BM515">
        <v>1</v>
      </c>
      <c r="BN515">
        <v>1</v>
      </c>
      <c r="BO515">
        <v>1</v>
      </c>
      <c r="BP515">
        <v>0</v>
      </c>
      <c r="BS515">
        <v>0</v>
      </c>
      <c r="BT515">
        <v>0</v>
      </c>
      <c r="BU515">
        <v>0</v>
      </c>
      <c r="CE515" t="str">
        <f t="shared" si="183"/>
        <v>19:27:03.197</v>
      </c>
      <c r="CF515">
        <v>196974792</v>
      </c>
      <c r="CS515">
        <v>3</v>
      </c>
      <c r="CT515">
        <v>2</v>
      </c>
      <c r="CU515">
        <v>0</v>
      </c>
      <c r="CV515">
        <v>2</v>
      </c>
      <c r="CW515">
        <v>0</v>
      </c>
      <c r="CX515">
        <v>5</v>
      </c>
      <c r="CY515">
        <v>7</v>
      </c>
      <c r="CZ515" t="s">
        <v>131</v>
      </c>
      <c r="DA515">
        <v>300</v>
      </c>
      <c r="DB515">
        <v>0</v>
      </c>
      <c r="DC515" t="s">
        <v>176</v>
      </c>
      <c r="DD515" t="s">
        <v>177</v>
      </c>
      <c r="DG515">
        <v>5364731</v>
      </c>
      <c r="DI515">
        <v>1</v>
      </c>
      <c r="DJ515">
        <v>0</v>
      </c>
      <c r="DK515">
        <v>1</v>
      </c>
      <c r="DL515">
        <v>0</v>
      </c>
      <c r="DM515">
        <v>0</v>
      </c>
      <c r="DN515">
        <v>1</v>
      </c>
      <c r="DO515">
        <v>0</v>
      </c>
      <c r="DP515">
        <v>0</v>
      </c>
      <c r="DQ515">
        <v>0</v>
      </c>
      <c r="DR515">
        <v>0</v>
      </c>
      <c r="DS515">
        <v>0</v>
      </c>
    </row>
    <row r="516" spans="1:123" x14ac:dyDescent="0.3">
      <c r="A516" t="str">
        <f>"10/04/2022 19:27:03.463"</f>
        <v>10/04/2022 19:27:03.463</v>
      </c>
      <c r="C516" t="str">
        <f t="shared" si="184"/>
        <v>FFDFD3C0</v>
      </c>
      <c r="D516" t="s">
        <v>141</v>
      </c>
      <c r="E516">
        <v>4</v>
      </c>
      <c r="H516">
        <v>4</v>
      </c>
      <c r="I516" t="s">
        <v>142</v>
      </c>
      <c r="J516" t="s">
        <v>138</v>
      </c>
      <c r="K516">
        <v>0</v>
      </c>
      <c r="L516">
        <v>3</v>
      </c>
      <c r="M516">
        <v>0</v>
      </c>
      <c r="N516">
        <v>2</v>
      </c>
      <c r="O516">
        <v>0</v>
      </c>
      <c r="P516">
        <v>1</v>
      </c>
      <c r="Q516">
        <v>0</v>
      </c>
      <c r="S516" t="str">
        <f t="shared" si="182"/>
        <v>19:27:03.000</v>
      </c>
      <c r="T516" t="str">
        <f t="shared" si="182"/>
        <v>19:27:03.000</v>
      </c>
      <c r="U516" t="str">
        <f t="shared" si="185"/>
        <v>AC3944</v>
      </c>
      <c r="V516">
        <v>0</v>
      </c>
      <c r="W516">
        <v>0</v>
      </c>
      <c r="X516">
        <v>2</v>
      </c>
      <c r="Y516">
        <v>0</v>
      </c>
      <c r="AA516">
        <v>1</v>
      </c>
      <c r="AB516">
        <v>8</v>
      </c>
      <c r="AC516">
        <v>3</v>
      </c>
      <c r="AD516">
        <v>0</v>
      </c>
      <c r="AE516">
        <v>9</v>
      </c>
      <c r="AF516" t="s">
        <v>138</v>
      </c>
      <c r="AG516">
        <v>0</v>
      </c>
      <c r="AH516">
        <v>3</v>
      </c>
      <c r="AI516">
        <v>1</v>
      </c>
      <c r="AJ516">
        <v>0</v>
      </c>
      <c r="AK516" t="s">
        <v>280</v>
      </c>
      <c r="AL516">
        <v>32.817793000000002</v>
      </c>
      <c r="AM516" t="s">
        <v>296</v>
      </c>
      <c r="AN516">
        <v>-116.980276</v>
      </c>
      <c r="AO516">
        <v>25</v>
      </c>
      <c r="AP516">
        <v>1600</v>
      </c>
      <c r="AQ516" t="s">
        <v>129</v>
      </c>
      <c r="AR516">
        <v>141</v>
      </c>
      <c r="AS516">
        <v>-1</v>
      </c>
      <c r="AT516">
        <v>128</v>
      </c>
      <c r="BB516">
        <v>740</v>
      </c>
      <c r="BC516">
        <v>1</v>
      </c>
      <c r="BD516" t="str">
        <f t="shared" si="186"/>
        <v xml:space="preserve">N887QR  </v>
      </c>
      <c r="BE516">
        <v>1</v>
      </c>
      <c r="BG516">
        <v>0</v>
      </c>
      <c r="BH516">
        <v>0</v>
      </c>
      <c r="BI516">
        <v>0</v>
      </c>
      <c r="BJ516">
        <v>1250</v>
      </c>
      <c r="BK516">
        <v>-350</v>
      </c>
      <c r="BL516" t="s">
        <v>163</v>
      </c>
      <c r="BM516">
        <v>1</v>
      </c>
      <c r="BN516">
        <v>1</v>
      </c>
      <c r="BO516">
        <v>1</v>
      </c>
      <c r="BP516">
        <v>0</v>
      </c>
      <c r="BS516">
        <v>0</v>
      </c>
      <c r="BT516">
        <v>0</v>
      </c>
      <c r="BU516">
        <v>0</v>
      </c>
      <c r="CE516" t="str">
        <f t="shared" si="183"/>
        <v>19:27:03.197</v>
      </c>
      <c r="CF516">
        <v>196974792</v>
      </c>
      <c r="CS516">
        <v>3</v>
      </c>
      <c r="CT516">
        <v>2</v>
      </c>
      <c r="CU516">
        <v>0</v>
      </c>
      <c r="CV516">
        <v>2</v>
      </c>
      <c r="CW516">
        <v>0</v>
      </c>
      <c r="CX516">
        <v>5</v>
      </c>
      <c r="CY516">
        <v>7</v>
      </c>
      <c r="CZ516" t="s">
        <v>131</v>
      </c>
      <c r="DA516">
        <v>300</v>
      </c>
      <c r="DB516">
        <v>0</v>
      </c>
      <c r="DC516" t="s">
        <v>176</v>
      </c>
      <c r="DD516" t="s">
        <v>177</v>
      </c>
      <c r="DG516">
        <v>5364731</v>
      </c>
      <c r="DI516">
        <v>1</v>
      </c>
      <c r="DJ516">
        <v>0</v>
      </c>
      <c r="DK516">
        <v>1</v>
      </c>
      <c r="DL516">
        <v>0</v>
      </c>
      <c r="DM516">
        <v>0</v>
      </c>
      <c r="DN516">
        <v>1</v>
      </c>
      <c r="DO516">
        <v>0</v>
      </c>
      <c r="DP516">
        <v>0</v>
      </c>
      <c r="DQ516">
        <v>0</v>
      </c>
      <c r="DR516">
        <v>0</v>
      </c>
      <c r="DS516">
        <v>0</v>
      </c>
    </row>
    <row r="517" spans="1:123" x14ac:dyDescent="0.3">
      <c r="A517" t="str">
        <f>"10/04/2022 19:27:04.452"</f>
        <v>10/04/2022 19:27:04.452</v>
      </c>
      <c r="C517" t="str">
        <f t="shared" si="184"/>
        <v>FFDFD3C0</v>
      </c>
      <c r="D517" t="s">
        <v>123</v>
      </c>
      <c r="E517">
        <v>7</v>
      </c>
      <c r="F517">
        <v>2007</v>
      </c>
      <c r="G517" t="s">
        <v>124</v>
      </c>
      <c r="J517" t="s">
        <v>125</v>
      </c>
      <c r="K517">
        <v>0</v>
      </c>
      <c r="L517">
        <v>3</v>
      </c>
      <c r="M517">
        <v>0</v>
      </c>
      <c r="N517">
        <v>2</v>
      </c>
      <c r="O517">
        <v>0</v>
      </c>
      <c r="P517">
        <v>1</v>
      </c>
      <c r="Q517">
        <v>0</v>
      </c>
      <c r="S517" t="str">
        <f t="shared" ref="S517:T527" si="187">"19:27:04.000"</f>
        <v>19:27:04.000</v>
      </c>
      <c r="T517" t="str">
        <f t="shared" si="187"/>
        <v>19:27:04.000</v>
      </c>
      <c r="U517" t="str">
        <f t="shared" si="185"/>
        <v>AC3944</v>
      </c>
      <c r="V517">
        <v>0</v>
      </c>
      <c r="W517">
        <v>0</v>
      </c>
      <c r="X517">
        <v>2</v>
      </c>
      <c r="Y517">
        <v>0</v>
      </c>
      <c r="AA517">
        <v>1</v>
      </c>
      <c r="AB517">
        <v>8</v>
      </c>
      <c r="AC517">
        <v>3</v>
      </c>
      <c r="AD517">
        <v>0</v>
      </c>
      <c r="AE517">
        <v>9</v>
      </c>
      <c r="AF517" t="s">
        <v>138</v>
      </c>
      <c r="AG517">
        <v>0</v>
      </c>
      <c r="AH517">
        <v>3</v>
      </c>
      <c r="AI517">
        <v>1</v>
      </c>
      <c r="AJ517">
        <v>0</v>
      </c>
      <c r="AK517" t="s">
        <v>280</v>
      </c>
      <c r="AL517">
        <v>32.817793000000002</v>
      </c>
      <c r="AM517" t="s">
        <v>297</v>
      </c>
      <c r="AN517">
        <v>-116.97950400000001</v>
      </c>
      <c r="AO517">
        <v>25</v>
      </c>
      <c r="AP517">
        <v>1600</v>
      </c>
      <c r="AQ517" t="s">
        <v>129</v>
      </c>
      <c r="AR517">
        <v>140</v>
      </c>
      <c r="AS517">
        <v>0</v>
      </c>
      <c r="AT517">
        <v>448</v>
      </c>
      <c r="BB517">
        <v>740</v>
      </c>
      <c r="BC517">
        <v>1</v>
      </c>
      <c r="BD517" t="str">
        <f t="shared" si="186"/>
        <v xml:space="preserve">N887QR  </v>
      </c>
      <c r="BE517">
        <v>1</v>
      </c>
      <c r="BG517">
        <v>0</v>
      </c>
      <c r="BH517">
        <v>0</v>
      </c>
      <c r="BI517">
        <v>0</v>
      </c>
      <c r="BJ517">
        <v>1225</v>
      </c>
      <c r="BK517">
        <v>-375</v>
      </c>
      <c r="BL517" t="s">
        <v>163</v>
      </c>
      <c r="BM517">
        <v>1</v>
      </c>
      <c r="BN517">
        <v>1</v>
      </c>
      <c r="BO517">
        <v>1</v>
      </c>
      <c r="BP517">
        <v>0</v>
      </c>
      <c r="BS517">
        <v>0</v>
      </c>
      <c r="BT517">
        <v>0</v>
      </c>
      <c r="BU517">
        <v>0</v>
      </c>
      <c r="CE517" t="str">
        <f>"19:27:04.232"</f>
        <v>19:27:04.232</v>
      </c>
      <c r="CF517">
        <v>231606513</v>
      </c>
      <c r="CS517">
        <v>3</v>
      </c>
      <c r="CT517">
        <v>2</v>
      </c>
      <c r="CU517">
        <v>0</v>
      </c>
      <c r="CV517">
        <v>2</v>
      </c>
      <c r="CW517">
        <v>0</v>
      </c>
      <c r="CX517">
        <v>0</v>
      </c>
      <c r="CY517">
        <v>7</v>
      </c>
      <c r="CZ517" t="s">
        <v>131</v>
      </c>
      <c r="DA517">
        <v>292</v>
      </c>
      <c r="DB517">
        <v>0</v>
      </c>
      <c r="DC517" t="s">
        <v>254</v>
      </c>
      <c r="DD517" t="s">
        <v>255</v>
      </c>
      <c r="DG517">
        <v>3368196</v>
      </c>
      <c r="DI517">
        <v>1</v>
      </c>
      <c r="DJ517">
        <v>0</v>
      </c>
      <c r="DK517">
        <v>0</v>
      </c>
      <c r="DL517">
        <v>0</v>
      </c>
      <c r="DM517">
        <v>0</v>
      </c>
      <c r="DN517">
        <v>1</v>
      </c>
      <c r="DO517">
        <v>0</v>
      </c>
      <c r="DP517">
        <v>0</v>
      </c>
      <c r="DQ517">
        <v>0</v>
      </c>
      <c r="DR517">
        <v>0</v>
      </c>
      <c r="DS517">
        <v>0</v>
      </c>
    </row>
    <row r="518" spans="1:123" x14ac:dyDescent="0.3">
      <c r="A518" t="str">
        <f>"10/04/2022 19:27:04.452"</f>
        <v>10/04/2022 19:27:04.452</v>
      </c>
      <c r="C518" t="str">
        <f t="shared" si="184"/>
        <v>FFDFD3C0</v>
      </c>
      <c r="D518" t="s">
        <v>134</v>
      </c>
      <c r="E518">
        <v>15</v>
      </c>
      <c r="J518" t="s">
        <v>135</v>
      </c>
      <c r="K518">
        <v>0</v>
      </c>
      <c r="L518">
        <v>3</v>
      </c>
      <c r="M518">
        <v>0</v>
      </c>
      <c r="N518">
        <v>2</v>
      </c>
      <c r="O518">
        <v>0</v>
      </c>
      <c r="P518">
        <v>1</v>
      </c>
      <c r="Q518">
        <v>0</v>
      </c>
      <c r="S518" t="str">
        <f t="shared" si="187"/>
        <v>19:27:04.000</v>
      </c>
      <c r="T518" t="str">
        <f t="shared" si="187"/>
        <v>19:27:04.000</v>
      </c>
      <c r="U518" t="str">
        <f t="shared" si="185"/>
        <v>AC3944</v>
      </c>
      <c r="V518">
        <v>0</v>
      </c>
      <c r="W518">
        <v>0</v>
      </c>
      <c r="X518">
        <v>2</v>
      </c>
      <c r="Y518">
        <v>0</v>
      </c>
      <c r="AA518">
        <v>1</v>
      </c>
      <c r="AB518">
        <v>8</v>
      </c>
      <c r="AC518">
        <v>3</v>
      </c>
      <c r="AD518">
        <v>0</v>
      </c>
      <c r="AE518">
        <v>9</v>
      </c>
      <c r="AF518" t="s">
        <v>138</v>
      </c>
      <c r="AG518">
        <v>0</v>
      </c>
      <c r="AH518">
        <v>3</v>
      </c>
      <c r="AI518">
        <v>1</v>
      </c>
      <c r="AJ518">
        <v>0</v>
      </c>
      <c r="AK518" t="s">
        <v>280</v>
      </c>
      <c r="AL518">
        <v>32.817793000000002</v>
      </c>
      <c r="AM518" t="s">
        <v>297</v>
      </c>
      <c r="AN518">
        <v>-116.97950400000001</v>
      </c>
      <c r="AO518">
        <v>25</v>
      </c>
      <c r="AP518">
        <v>1600</v>
      </c>
      <c r="AQ518" t="s">
        <v>129</v>
      </c>
      <c r="AR518">
        <v>140</v>
      </c>
      <c r="AS518">
        <v>0</v>
      </c>
      <c r="AT518">
        <v>448</v>
      </c>
      <c r="BB518">
        <v>740</v>
      </c>
      <c r="BC518">
        <v>1</v>
      </c>
      <c r="BD518" t="str">
        <f t="shared" si="186"/>
        <v xml:space="preserve">N887QR  </v>
      </c>
      <c r="BE518">
        <v>1</v>
      </c>
      <c r="BG518">
        <v>0</v>
      </c>
      <c r="BH518">
        <v>0</v>
      </c>
      <c r="BI518">
        <v>0</v>
      </c>
      <c r="BJ518">
        <v>1225</v>
      </c>
      <c r="BK518">
        <v>-375</v>
      </c>
      <c r="BL518" t="s">
        <v>163</v>
      </c>
      <c r="BM518">
        <v>1</v>
      </c>
      <c r="BN518">
        <v>1</v>
      </c>
      <c r="BO518">
        <v>1</v>
      </c>
      <c r="BP518">
        <v>0</v>
      </c>
      <c r="BS518">
        <v>0</v>
      </c>
      <c r="BT518">
        <v>0</v>
      </c>
      <c r="BU518">
        <v>0</v>
      </c>
      <c r="CE518" t="str">
        <f>"19:27:04.232"</f>
        <v>19:27:04.232</v>
      </c>
      <c r="CF518">
        <v>231606513</v>
      </c>
      <c r="CS518">
        <v>3</v>
      </c>
      <c r="CT518">
        <v>2</v>
      </c>
      <c r="CU518">
        <v>0</v>
      </c>
      <c r="CV518">
        <v>2</v>
      </c>
      <c r="CW518">
        <v>0</v>
      </c>
      <c r="CX518">
        <v>0</v>
      </c>
      <c r="CY518">
        <v>7</v>
      </c>
      <c r="CZ518" t="s">
        <v>131</v>
      </c>
      <c r="DA518">
        <v>292</v>
      </c>
      <c r="DB518">
        <v>0</v>
      </c>
      <c r="DC518" t="s">
        <v>254</v>
      </c>
      <c r="DD518" t="s">
        <v>255</v>
      </c>
      <c r="DG518">
        <v>3368196</v>
      </c>
      <c r="DI518">
        <v>1</v>
      </c>
      <c r="DJ518">
        <v>0</v>
      </c>
      <c r="DK518">
        <v>1</v>
      </c>
      <c r="DL518">
        <v>0</v>
      </c>
      <c r="DM518">
        <v>0</v>
      </c>
      <c r="DN518">
        <v>1</v>
      </c>
      <c r="DO518">
        <v>0</v>
      </c>
      <c r="DP518">
        <v>0</v>
      </c>
      <c r="DQ518">
        <v>0</v>
      </c>
      <c r="DR518">
        <v>0</v>
      </c>
      <c r="DS518">
        <v>0</v>
      </c>
    </row>
    <row r="519" spans="1:123" x14ac:dyDescent="0.3">
      <c r="A519" t="str">
        <f>"10/04/2022 19:27:04.452"</f>
        <v>10/04/2022 19:27:04.452</v>
      </c>
      <c r="C519" t="str">
        <f t="shared" si="184"/>
        <v>FFDFD3C0</v>
      </c>
      <c r="D519" t="s">
        <v>147</v>
      </c>
      <c r="E519">
        <v>3</v>
      </c>
      <c r="H519">
        <v>166</v>
      </c>
      <c r="I519" t="s">
        <v>144</v>
      </c>
      <c r="J519" t="s">
        <v>148</v>
      </c>
      <c r="K519">
        <v>0</v>
      </c>
      <c r="L519">
        <v>3</v>
      </c>
      <c r="M519">
        <v>0</v>
      </c>
      <c r="N519">
        <v>2</v>
      </c>
      <c r="O519">
        <v>0</v>
      </c>
      <c r="P519">
        <v>1</v>
      </c>
      <c r="Q519">
        <v>0</v>
      </c>
      <c r="S519" t="str">
        <f t="shared" si="187"/>
        <v>19:27:04.000</v>
      </c>
      <c r="T519" t="str">
        <f t="shared" si="187"/>
        <v>19:27:04.000</v>
      </c>
      <c r="U519" t="str">
        <f t="shared" si="185"/>
        <v>AC3944</v>
      </c>
      <c r="V519">
        <v>0</v>
      </c>
      <c r="W519">
        <v>0</v>
      </c>
      <c r="X519">
        <v>2</v>
      </c>
      <c r="Y519">
        <v>0</v>
      </c>
      <c r="AA519">
        <v>1</v>
      </c>
      <c r="AB519">
        <v>8</v>
      </c>
      <c r="AC519">
        <v>3</v>
      </c>
      <c r="AD519">
        <v>0</v>
      </c>
      <c r="AE519">
        <v>9</v>
      </c>
      <c r="AF519" t="s">
        <v>138</v>
      </c>
      <c r="AG519">
        <v>0</v>
      </c>
      <c r="AH519">
        <v>3</v>
      </c>
      <c r="AI519">
        <v>1</v>
      </c>
      <c r="AJ519">
        <v>0</v>
      </c>
      <c r="AK519" t="s">
        <v>280</v>
      </c>
      <c r="AL519">
        <v>32.817793000000002</v>
      </c>
      <c r="AM519" t="s">
        <v>297</v>
      </c>
      <c r="AN519">
        <v>-116.97950400000001</v>
      </c>
      <c r="AO519">
        <v>25</v>
      </c>
      <c r="AP519">
        <v>1600</v>
      </c>
      <c r="AQ519" t="s">
        <v>129</v>
      </c>
      <c r="AR519">
        <v>140</v>
      </c>
      <c r="AS519">
        <v>0</v>
      </c>
      <c r="AT519">
        <v>448</v>
      </c>
      <c r="BB519">
        <v>740</v>
      </c>
      <c r="BC519">
        <v>1</v>
      </c>
      <c r="BD519" t="str">
        <f t="shared" si="186"/>
        <v xml:space="preserve">N887QR  </v>
      </c>
      <c r="BE519">
        <v>1</v>
      </c>
      <c r="BG519">
        <v>0</v>
      </c>
      <c r="BH519">
        <v>0</v>
      </c>
      <c r="BI519">
        <v>0</v>
      </c>
      <c r="BJ519">
        <v>1225</v>
      </c>
      <c r="BK519">
        <v>-375</v>
      </c>
      <c r="BL519" t="s">
        <v>163</v>
      </c>
      <c r="BM519">
        <v>1</v>
      </c>
      <c r="BN519">
        <v>1</v>
      </c>
      <c r="BO519">
        <v>1</v>
      </c>
      <c r="BP519">
        <v>0</v>
      </c>
      <c r="BS519">
        <v>0</v>
      </c>
      <c r="BT519">
        <v>0</v>
      </c>
      <c r="BU519">
        <v>0</v>
      </c>
      <c r="CE519" t="str">
        <f>"19:27:04.232"</f>
        <v>19:27:04.232</v>
      </c>
      <c r="CF519">
        <v>231606513</v>
      </c>
      <c r="CS519">
        <v>3</v>
      </c>
      <c r="CT519">
        <v>2</v>
      </c>
      <c r="CU519">
        <v>0</v>
      </c>
      <c r="CV519">
        <v>2</v>
      </c>
      <c r="CW519">
        <v>0</v>
      </c>
      <c r="CX519">
        <v>0</v>
      </c>
      <c r="CY519">
        <v>7</v>
      </c>
      <c r="CZ519" t="s">
        <v>131</v>
      </c>
      <c r="DA519">
        <v>292</v>
      </c>
      <c r="DB519">
        <v>0</v>
      </c>
      <c r="DC519" t="s">
        <v>254</v>
      </c>
      <c r="DD519" t="s">
        <v>255</v>
      </c>
      <c r="DG519">
        <v>3368196</v>
      </c>
      <c r="DI519">
        <v>1</v>
      </c>
      <c r="DJ519">
        <v>0</v>
      </c>
      <c r="DK519">
        <v>1</v>
      </c>
      <c r="DL519">
        <v>0</v>
      </c>
      <c r="DM519">
        <v>0</v>
      </c>
      <c r="DN519">
        <v>1</v>
      </c>
      <c r="DO519">
        <v>0</v>
      </c>
      <c r="DP519">
        <v>0</v>
      </c>
      <c r="DQ519">
        <v>0</v>
      </c>
      <c r="DR519">
        <v>0</v>
      </c>
      <c r="DS519">
        <v>0</v>
      </c>
    </row>
    <row r="520" spans="1:123" x14ac:dyDescent="0.3">
      <c r="A520" t="str">
        <f>"10/04/2022 19:27:04.483"</f>
        <v>10/04/2022 19:27:04.483</v>
      </c>
      <c r="C520" t="str">
        <f t="shared" si="184"/>
        <v>FFDFD3C0</v>
      </c>
      <c r="D520" t="s">
        <v>143</v>
      </c>
      <c r="E520">
        <v>20</v>
      </c>
      <c r="F520">
        <v>1020</v>
      </c>
      <c r="G520" t="s">
        <v>144</v>
      </c>
      <c r="J520" t="s">
        <v>145</v>
      </c>
      <c r="K520">
        <v>0</v>
      </c>
      <c r="L520">
        <v>3</v>
      </c>
      <c r="M520">
        <v>0</v>
      </c>
      <c r="N520">
        <v>2</v>
      </c>
      <c r="O520">
        <v>0</v>
      </c>
      <c r="P520">
        <v>1</v>
      </c>
      <c r="Q520">
        <v>0</v>
      </c>
      <c r="S520" t="str">
        <f t="shared" si="187"/>
        <v>19:27:04.000</v>
      </c>
      <c r="T520" t="str">
        <f t="shared" si="187"/>
        <v>19:27:04.000</v>
      </c>
      <c r="U520" t="str">
        <f t="shared" si="185"/>
        <v>AC3944</v>
      </c>
      <c r="V520">
        <v>0</v>
      </c>
      <c r="W520">
        <v>0</v>
      </c>
      <c r="X520">
        <v>2</v>
      </c>
      <c r="Y520">
        <v>0</v>
      </c>
      <c r="AA520">
        <v>1</v>
      </c>
      <c r="AB520">
        <v>8</v>
      </c>
      <c r="AC520">
        <v>3</v>
      </c>
      <c r="AD520">
        <v>0</v>
      </c>
      <c r="AE520">
        <v>9</v>
      </c>
      <c r="AF520" t="s">
        <v>138</v>
      </c>
      <c r="AG520">
        <v>0</v>
      </c>
      <c r="AH520">
        <v>3</v>
      </c>
      <c r="AI520">
        <v>1</v>
      </c>
      <c r="AJ520">
        <v>0</v>
      </c>
      <c r="AK520" t="s">
        <v>280</v>
      </c>
      <c r="AL520">
        <v>32.817793000000002</v>
      </c>
      <c r="AM520" t="s">
        <v>297</v>
      </c>
      <c r="AN520">
        <v>-116.97950400000001</v>
      </c>
      <c r="AO520">
        <v>25</v>
      </c>
      <c r="AP520">
        <v>1600</v>
      </c>
      <c r="AQ520" t="s">
        <v>129</v>
      </c>
      <c r="AR520">
        <v>140</v>
      </c>
      <c r="AS520">
        <v>0</v>
      </c>
      <c r="AT520">
        <v>448</v>
      </c>
      <c r="BB520">
        <v>740</v>
      </c>
      <c r="BC520">
        <v>1</v>
      </c>
      <c r="BD520" t="str">
        <f t="shared" si="186"/>
        <v xml:space="preserve">N887QR  </v>
      </c>
      <c r="BE520">
        <v>1</v>
      </c>
      <c r="BG520">
        <v>0</v>
      </c>
      <c r="BH520">
        <v>0</v>
      </c>
      <c r="BI520">
        <v>0</v>
      </c>
      <c r="BJ520">
        <v>1225</v>
      </c>
      <c r="BK520">
        <v>-375</v>
      </c>
      <c r="BL520" t="s">
        <v>163</v>
      </c>
      <c r="BM520">
        <v>1</v>
      </c>
      <c r="BN520">
        <v>1</v>
      </c>
      <c r="BO520">
        <v>1</v>
      </c>
      <c r="BP520">
        <v>0</v>
      </c>
      <c r="BS520">
        <v>0</v>
      </c>
      <c r="BT520">
        <v>0</v>
      </c>
      <c r="BU520">
        <v>0</v>
      </c>
      <c r="CE520" t="str">
        <f>"19:27:04.232"</f>
        <v>19:27:04.232</v>
      </c>
      <c r="CF520">
        <v>231606513</v>
      </c>
      <c r="CS520">
        <v>3</v>
      </c>
      <c r="CT520">
        <v>2</v>
      </c>
      <c r="CU520">
        <v>0</v>
      </c>
      <c r="CV520">
        <v>2</v>
      </c>
      <c r="CW520">
        <v>0</v>
      </c>
      <c r="CX520">
        <v>0</v>
      </c>
      <c r="CY520">
        <v>7</v>
      </c>
      <c r="CZ520" t="s">
        <v>131</v>
      </c>
      <c r="DA520">
        <v>292</v>
      </c>
      <c r="DB520">
        <v>0</v>
      </c>
      <c r="DC520" t="s">
        <v>254</v>
      </c>
      <c r="DD520" t="s">
        <v>255</v>
      </c>
      <c r="DG520">
        <v>3368196</v>
      </c>
      <c r="DI520">
        <v>1</v>
      </c>
      <c r="DJ520">
        <v>0</v>
      </c>
      <c r="DK520">
        <v>1</v>
      </c>
      <c r="DL520">
        <v>0</v>
      </c>
      <c r="DM520">
        <v>0</v>
      </c>
      <c r="DN520">
        <v>1</v>
      </c>
      <c r="DO520">
        <v>0</v>
      </c>
      <c r="DP520">
        <v>0</v>
      </c>
      <c r="DQ520">
        <v>0</v>
      </c>
      <c r="DR520">
        <v>0</v>
      </c>
      <c r="DS520">
        <v>0</v>
      </c>
    </row>
    <row r="521" spans="1:123" x14ac:dyDescent="0.3">
      <c r="A521" t="str">
        <f>"10/04/2022 19:27:05.031"</f>
        <v>10/04/2022 19:27:05.031</v>
      </c>
      <c r="C521" t="str">
        <f t="shared" si="184"/>
        <v>FFDFD3C0</v>
      </c>
      <c r="D521" t="s">
        <v>143</v>
      </c>
      <c r="E521">
        <v>20</v>
      </c>
      <c r="F521">
        <v>1020</v>
      </c>
      <c r="G521" t="s">
        <v>144</v>
      </c>
      <c r="J521" t="s">
        <v>145</v>
      </c>
      <c r="K521">
        <v>0</v>
      </c>
      <c r="L521">
        <v>3</v>
      </c>
      <c r="M521">
        <v>0</v>
      </c>
      <c r="N521">
        <v>2</v>
      </c>
      <c r="O521">
        <v>0</v>
      </c>
      <c r="P521">
        <v>1</v>
      </c>
      <c r="Q521">
        <v>0</v>
      </c>
      <c r="S521" t="str">
        <f t="shared" si="187"/>
        <v>19:27:04.000</v>
      </c>
      <c r="T521" t="str">
        <f t="shared" si="187"/>
        <v>19:27:04.000</v>
      </c>
      <c r="U521" t="str">
        <f t="shared" si="185"/>
        <v>AC3944</v>
      </c>
      <c r="V521">
        <v>0</v>
      </c>
      <c r="W521">
        <v>0</v>
      </c>
      <c r="X521">
        <v>2</v>
      </c>
      <c r="Y521">
        <v>0</v>
      </c>
      <c r="AA521">
        <v>1</v>
      </c>
      <c r="AB521">
        <v>8</v>
      </c>
      <c r="AC521">
        <v>3</v>
      </c>
      <c r="AD521">
        <v>0</v>
      </c>
      <c r="AE521">
        <v>9</v>
      </c>
      <c r="AF521" t="s">
        <v>138</v>
      </c>
      <c r="AG521">
        <v>0</v>
      </c>
      <c r="AH521">
        <v>3</v>
      </c>
      <c r="AI521">
        <v>1</v>
      </c>
      <c r="AJ521">
        <v>0</v>
      </c>
      <c r="AK521" t="s">
        <v>280</v>
      </c>
      <c r="AL521">
        <v>32.817793000000002</v>
      </c>
      <c r="AM521" t="s">
        <v>298</v>
      </c>
      <c r="AN521">
        <v>-116.978731</v>
      </c>
      <c r="AO521">
        <v>25</v>
      </c>
      <c r="AP521">
        <v>1600</v>
      </c>
      <c r="AQ521" t="s">
        <v>129</v>
      </c>
      <c r="AR521">
        <v>140</v>
      </c>
      <c r="AS521">
        <v>0</v>
      </c>
      <c r="AT521">
        <v>448</v>
      </c>
      <c r="BB521">
        <v>740</v>
      </c>
      <c r="BC521">
        <v>1</v>
      </c>
      <c r="BD521" t="str">
        <f t="shared" si="186"/>
        <v xml:space="preserve">N887QR  </v>
      </c>
      <c r="BE521">
        <v>1</v>
      </c>
      <c r="BG521">
        <v>0</v>
      </c>
      <c r="BH521">
        <v>0</v>
      </c>
      <c r="BI521">
        <v>0</v>
      </c>
      <c r="BJ521">
        <v>1300</v>
      </c>
      <c r="BK521">
        <v>-300</v>
      </c>
      <c r="BL521" t="s">
        <v>163</v>
      </c>
      <c r="BM521">
        <v>1</v>
      </c>
      <c r="BN521">
        <v>1</v>
      </c>
      <c r="BO521">
        <v>1</v>
      </c>
      <c r="BP521">
        <v>0</v>
      </c>
      <c r="BS521">
        <v>0</v>
      </c>
      <c r="BT521">
        <v>0</v>
      </c>
      <c r="BU521">
        <v>0</v>
      </c>
      <c r="CE521" t="str">
        <f t="shared" ref="CE521:CE527" si="188">"19:27:04.834"</f>
        <v>19:27:04.834</v>
      </c>
      <c r="CF521">
        <v>833979916</v>
      </c>
      <c r="CS521">
        <v>3</v>
      </c>
      <c r="CT521">
        <v>2</v>
      </c>
      <c r="CU521">
        <v>0</v>
      </c>
      <c r="CV521">
        <v>2</v>
      </c>
      <c r="CW521">
        <v>0</v>
      </c>
      <c r="CX521">
        <v>5</v>
      </c>
      <c r="CY521">
        <v>7</v>
      </c>
      <c r="CZ521" t="s">
        <v>131</v>
      </c>
      <c r="DA521">
        <v>300</v>
      </c>
      <c r="DB521">
        <v>0</v>
      </c>
      <c r="DC521" t="s">
        <v>176</v>
      </c>
      <c r="DD521" t="s">
        <v>177</v>
      </c>
      <c r="DG521">
        <v>5364975</v>
      </c>
      <c r="DI521">
        <v>1</v>
      </c>
      <c r="DJ521">
        <v>0</v>
      </c>
      <c r="DK521">
        <v>0</v>
      </c>
      <c r="DL521">
        <v>0</v>
      </c>
      <c r="DM521">
        <v>0</v>
      </c>
      <c r="DN521">
        <v>1</v>
      </c>
      <c r="DO521">
        <v>0</v>
      </c>
      <c r="DP521">
        <v>0</v>
      </c>
      <c r="DQ521">
        <v>0</v>
      </c>
      <c r="DR521">
        <v>0</v>
      </c>
      <c r="DS521">
        <v>0</v>
      </c>
    </row>
    <row r="522" spans="1:123" x14ac:dyDescent="0.3">
      <c r="A522" t="str">
        <f>"10/04/2022 19:27:05.031"</f>
        <v>10/04/2022 19:27:05.031</v>
      </c>
      <c r="C522" t="str">
        <f t="shared" si="184"/>
        <v>FFDFD3C0</v>
      </c>
      <c r="D522" t="s">
        <v>141</v>
      </c>
      <c r="E522">
        <v>3</v>
      </c>
      <c r="H522">
        <v>3</v>
      </c>
      <c r="I522" t="s">
        <v>146</v>
      </c>
      <c r="J522" t="s">
        <v>138</v>
      </c>
      <c r="K522">
        <v>0</v>
      </c>
      <c r="L522">
        <v>3</v>
      </c>
      <c r="M522">
        <v>0</v>
      </c>
      <c r="N522">
        <v>2</v>
      </c>
      <c r="O522">
        <v>0</v>
      </c>
      <c r="P522">
        <v>1</v>
      </c>
      <c r="Q522">
        <v>0</v>
      </c>
      <c r="S522" t="str">
        <f t="shared" si="187"/>
        <v>19:27:04.000</v>
      </c>
      <c r="T522" t="str">
        <f t="shared" si="187"/>
        <v>19:27:04.000</v>
      </c>
      <c r="U522" t="str">
        <f t="shared" si="185"/>
        <v>AC3944</v>
      </c>
      <c r="V522">
        <v>0</v>
      </c>
      <c r="W522">
        <v>0</v>
      </c>
      <c r="X522">
        <v>2</v>
      </c>
      <c r="Y522">
        <v>0</v>
      </c>
      <c r="AA522">
        <v>1</v>
      </c>
      <c r="AB522">
        <v>8</v>
      </c>
      <c r="AC522">
        <v>3</v>
      </c>
      <c r="AD522">
        <v>0</v>
      </c>
      <c r="AE522">
        <v>9</v>
      </c>
      <c r="AF522" t="s">
        <v>138</v>
      </c>
      <c r="AG522">
        <v>0</v>
      </c>
      <c r="AH522">
        <v>3</v>
      </c>
      <c r="AI522">
        <v>1</v>
      </c>
      <c r="AJ522">
        <v>0</v>
      </c>
      <c r="AK522" t="s">
        <v>280</v>
      </c>
      <c r="AL522">
        <v>32.817793000000002</v>
      </c>
      <c r="AM522" t="s">
        <v>298</v>
      </c>
      <c r="AN522">
        <v>-116.978731</v>
      </c>
      <c r="AO522">
        <v>25</v>
      </c>
      <c r="AP522">
        <v>1600</v>
      </c>
      <c r="AQ522" t="s">
        <v>129</v>
      </c>
      <c r="AR522">
        <v>140</v>
      </c>
      <c r="AS522">
        <v>0</v>
      </c>
      <c r="AT522">
        <v>448</v>
      </c>
      <c r="BB522">
        <v>740</v>
      </c>
      <c r="BC522">
        <v>1</v>
      </c>
      <c r="BD522" t="str">
        <f t="shared" si="186"/>
        <v xml:space="preserve">N887QR  </v>
      </c>
      <c r="BE522">
        <v>1</v>
      </c>
      <c r="BG522">
        <v>0</v>
      </c>
      <c r="BH522">
        <v>0</v>
      </c>
      <c r="BI522">
        <v>0</v>
      </c>
      <c r="BJ522">
        <v>1300</v>
      </c>
      <c r="BK522">
        <v>-300</v>
      </c>
      <c r="BL522" t="s">
        <v>163</v>
      </c>
      <c r="BM522">
        <v>1</v>
      </c>
      <c r="BN522">
        <v>1</v>
      </c>
      <c r="BO522">
        <v>1</v>
      </c>
      <c r="BP522">
        <v>0</v>
      </c>
      <c r="BS522">
        <v>0</v>
      </c>
      <c r="BT522">
        <v>0</v>
      </c>
      <c r="BU522">
        <v>0</v>
      </c>
      <c r="CE522" t="str">
        <f t="shared" si="188"/>
        <v>19:27:04.834</v>
      </c>
      <c r="CF522">
        <v>833979916</v>
      </c>
      <c r="CS522">
        <v>3</v>
      </c>
      <c r="CT522">
        <v>2</v>
      </c>
      <c r="CU522">
        <v>0</v>
      </c>
      <c r="CV522">
        <v>2</v>
      </c>
      <c r="CW522">
        <v>0</v>
      </c>
      <c r="CX522">
        <v>5</v>
      </c>
      <c r="CY522">
        <v>7</v>
      </c>
      <c r="CZ522" t="s">
        <v>131</v>
      </c>
      <c r="DA522">
        <v>300</v>
      </c>
      <c r="DB522">
        <v>0</v>
      </c>
      <c r="DC522" t="s">
        <v>176</v>
      </c>
      <c r="DD522" t="s">
        <v>177</v>
      </c>
      <c r="DG522">
        <v>5364975</v>
      </c>
      <c r="DI522">
        <v>1</v>
      </c>
      <c r="DJ522">
        <v>0</v>
      </c>
      <c r="DK522">
        <v>1</v>
      </c>
      <c r="DL522">
        <v>0</v>
      </c>
      <c r="DM522">
        <v>0</v>
      </c>
      <c r="DN522">
        <v>1</v>
      </c>
      <c r="DO522">
        <v>0</v>
      </c>
      <c r="DP522">
        <v>0</v>
      </c>
      <c r="DQ522">
        <v>0</v>
      </c>
      <c r="DR522">
        <v>0</v>
      </c>
      <c r="DS522">
        <v>0</v>
      </c>
    </row>
    <row r="523" spans="1:123" x14ac:dyDescent="0.3">
      <c r="A523" t="str">
        <f>"10/04/2022 19:27:05.031"</f>
        <v>10/04/2022 19:27:05.031</v>
      </c>
      <c r="C523" t="str">
        <f t="shared" si="184"/>
        <v>FFDFD3C0</v>
      </c>
      <c r="D523" t="s">
        <v>136</v>
      </c>
      <c r="E523">
        <v>8</v>
      </c>
      <c r="H523">
        <v>225</v>
      </c>
      <c r="I523" t="s">
        <v>137</v>
      </c>
      <c r="J523" t="s">
        <v>138</v>
      </c>
      <c r="K523">
        <v>0</v>
      </c>
      <c r="L523">
        <v>3</v>
      </c>
      <c r="M523">
        <v>0</v>
      </c>
      <c r="N523">
        <v>2</v>
      </c>
      <c r="O523">
        <v>0</v>
      </c>
      <c r="P523">
        <v>1</v>
      </c>
      <c r="Q523">
        <v>0</v>
      </c>
      <c r="S523" t="str">
        <f t="shared" si="187"/>
        <v>19:27:04.000</v>
      </c>
      <c r="T523" t="str">
        <f t="shared" si="187"/>
        <v>19:27:04.000</v>
      </c>
      <c r="U523" t="str">
        <f t="shared" si="185"/>
        <v>AC3944</v>
      </c>
      <c r="V523">
        <v>0</v>
      </c>
      <c r="W523">
        <v>0</v>
      </c>
      <c r="X523">
        <v>2</v>
      </c>
      <c r="Y523">
        <v>0</v>
      </c>
      <c r="AA523">
        <v>1</v>
      </c>
      <c r="AB523">
        <v>8</v>
      </c>
      <c r="AC523">
        <v>3</v>
      </c>
      <c r="AD523">
        <v>0</v>
      </c>
      <c r="AE523">
        <v>9</v>
      </c>
      <c r="AF523" t="s">
        <v>138</v>
      </c>
      <c r="AG523">
        <v>0</v>
      </c>
      <c r="AH523">
        <v>3</v>
      </c>
      <c r="AI523">
        <v>1</v>
      </c>
      <c r="AJ523">
        <v>0</v>
      </c>
      <c r="AK523" t="s">
        <v>280</v>
      </c>
      <c r="AL523">
        <v>32.817793000000002</v>
      </c>
      <c r="AM523" t="s">
        <v>298</v>
      </c>
      <c r="AN523">
        <v>-116.978731</v>
      </c>
      <c r="AO523">
        <v>25</v>
      </c>
      <c r="AP523">
        <v>1600</v>
      </c>
      <c r="AQ523" t="s">
        <v>129</v>
      </c>
      <c r="AR523">
        <v>140</v>
      </c>
      <c r="AS523">
        <v>0</v>
      </c>
      <c r="AT523">
        <v>448</v>
      </c>
      <c r="BB523">
        <v>740</v>
      </c>
      <c r="BC523">
        <v>1</v>
      </c>
      <c r="BD523" t="str">
        <f t="shared" si="186"/>
        <v xml:space="preserve">N887QR  </v>
      </c>
      <c r="BE523">
        <v>1</v>
      </c>
      <c r="BG523">
        <v>0</v>
      </c>
      <c r="BH523">
        <v>0</v>
      </c>
      <c r="BI523">
        <v>0</v>
      </c>
      <c r="BJ523">
        <v>1300</v>
      </c>
      <c r="BK523">
        <v>-300</v>
      </c>
      <c r="BL523" t="s">
        <v>163</v>
      </c>
      <c r="BM523">
        <v>1</v>
      </c>
      <c r="BN523">
        <v>1</v>
      </c>
      <c r="BO523">
        <v>1</v>
      </c>
      <c r="BP523">
        <v>0</v>
      </c>
      <c r="BS523">
        <v>0</v>
      </c>
      <c r="BT523">
        <v>0</v>
      </c>
      <c r="BU523">
        <v>0</v>
      </c>
      <c r="CE523" t="str">
        <f t="shared" si="188"/>
        <v>19:27:04.834</v>
      </c>
      <c r="CF523">
        <v>833979916</v>
      </c>
      <c r="CS523">
        <v>3</v>
      </c>
      <c r="CT523">
        <v>2</v>
      </c>
      <c r="CU523">
        <v>0</v>
      </c>
      <c r="CV523">
        <v>2</v>
      </c>
      <c r="CW523">
        <v>0</v>
      </c>
      <c r="CX523">
        <v>5</v>
      </c>
      <c r="CY523">
        <v>7</v>
      </c>
      <c r="CZ523" t="s">
        <v>131</v>
      </c>
      <c r="DA523">
        <v>300</v>
      </c>
      <c r="DB523">
        <v>0</v>
      </c>
      <c r="DC523" t="s">
        <v>176</v>
      </c>
      <c r="DD523" t="s">
        <v>177</v>
      </c>
      <c r="DG523">
        <v>5364975</v>
      </c>
      <c r="DI523">
        <v>1</v>
      </c>
      <c r="DJ523">
        <v>0</v>
      </c>
      <c r="DK523">
        <v>1</v>
      </c>
      <c r="DL523">
        <v>0</v>
      </c>
      <c r="DM523">
        <v>0</v>
      </c>
      <c r="DN523">
        <v>1</v>
      </c>
      <c r="DO523">
        <v>0</v>
      </c>
      <c r="DP523">
        <v>0</v>
      </c>
      <c r="DQ523">
        <v>0</v>
      </c>
      <c r="DR523">
        <v>0</v>
      </c>
      <c r="DS523">
        <v>0</v>
      </c>
    </row>
    <row r="524" spans="1:123" x14ac:dyDescent="0.3">
      <c r="A524" t="str">
        <f>"10/04/2022 19:27:05.094"</f>
        <v>10/04/2022 19:27:05.094</v>
      </c>
      <c r="C524" t="str">
        <f t="shared" si="184"/>
        <v>FFDFD3C0</v>
      </c>
      <c r="D524" t="s">
        <v>141</v>
      </c>
      <c r="E524">
        <v>4</v>
      </c>
      <c r="H524">
        <v>4</v>
      </c>
      <c r="I524" t="s">
        <v>142</v>
      </c>
      <c r="J524" t="s">
        <v>138</v>
      </c>
      <c r="K524">
        <v>0</v>
      </c>
      <c r="L524">
        <v>3</v>
      </c>
      <c r="M524">
        <v>0</v>
      </c>
      <c r="N524">
        <v>2</v>
      </c>
      <c r="O524">
        <v>0</v>
      </c>
      <c r="P524">
        <v>1</v>
      </c>
      <c r="Q524">
        <v>0</v>
      </c>
      <c r="S524" t="str">
        <f t="shared" si="187"/>
        <v>19:27:04.000</v>
      </c>
      <c r="T524" t="str">
        <f t="shared" si="187"/>
        <v>19:27:04.000</v>
      </c>
      <c r="U524" t="str">
        <f t="shared" si="185"/>
        <v>AC3944</v>
      </c>
      <c r="V524">
        <v>0</v>
      </c>
      <c r="W524">
        <v>0</v>
      </c>
      <c r="X524">
        <v>2</v>
      </c>
      <c r="Y524">
        <v>0</v>
      </c>
      <c r="AA524">
        <v>1</v>
      </c>
      <c r="AB524">
        <v>8</v>
      </c>
      <c r="AC524">
        <v>3</v>
      </c>
      <c r="AD524">
        <v>0</v>
      </c>
      <c r="AE524">
        <v>9</v>
      </c>
      <c r="AF524" t="s">
        <v>138</v>
      </c>
      <c r="AG524">
        <v>0</v>
      </c>
      <c r="AH524">
        <v>3</v>
      </c>
      <c r="AI524">
        <v>1</v>
      </c>
      <c r="AJ524">
        <v>0</v>
      </c>
      <c r="AK524" t="s">
        <v>280</v>
      </c>
      <c r="AL524">
        <v>32.817793000000002</v>
      </c>
      <c r="AM524" t="s">
        <v>298</v>
      </c>
      <c r="AN524">
        <v>-116.978731</v>
      </c>
      <c r="AO524">
        <v>25</v>
      </c>
      <c r="AP524">
        <v>1600</v>
      </c>
      <c r="AQ524" t="s">
        <v>129</v>
      </c>
      <c r="AR524">
        <v>140</v>
      </c>
      <c r="AS524">
        <v>0</v>
      </c>
      <c r="AT524">
        <v>448</v>
      </c>
      <c r="BB524">
        <v>740</v>
      </c>
      <c r="BC524">
        <v>1</v>
      </c>
      <c r="BD524" t="str">
        <f t="shared" si="186"/>
        <v xml:space="preserve">N887QR  </v>
      </c>
      <c r="BE524">
        <v>1</v>
      </c>
      <c r="BG524">
        <v>0</v>
      </c>
      <c r="BH524">
        <v>0</v>
      </c>
      <c r="BI524">
        <v>0</v>
      </c>
      <c r="BJ524">
        <v>1300</v>
      </c>
      <c r="BK524">
        <v>-300</v>
      </c>
      <c r="BL524" t="s">
        <v>163</v>
      </c>
      <c r="BM524">
        <v>1</v>
      </c>
      <c r="BN524">
        <v>1</v>
      </c>
      <c r="BO524">
        <v>1</v>
      </c>
      <c r="BP524">
        <v>0</v>
      </c>
      <c r="BS524">
        <v>0</v>
      </c>
      <c r="BT524">
        <v>0</v>
      </c>
      <c r="BU524">
        <v>0</v>
      </c>
      <c r="CE524" t="str">
        <f t="shared" si="188"/>
        <v>19:27:04.834</v>
      </c>
      <c r="CF524">
        <v>833979916</v>
      </c>
      <c r="CS524">
        <v>3</v>
      </c>
      <c r="CT524">
        <v>2</v>
      </c>
      <c r="CU524">
        <v>0</v>
      </c>
      <c r="CV524">
        <v>2</v>
      </c>
      <c r="CW524">
        <v>0</v>
      </c>
      <c r="CX524">
        <v>5</v>
      </c>
      <c r="CY524">
        <v>7</v>
      </c>
      <c r="CZ524" t="s">
        <v>131</v>
      </c>
      <c r="DA524">
        <v>300</v>
      </c>
      <c r="DB524">
        <v>0</v>
      </c>
      <c r="DC524" t="s">
        <v>176</v>
      </c>
      <c r="DD524" t="s">
        <v>177</v>
      </c>
      <c r="DG524">
        <v>5364975</v>
      </c>
      <c r="DI524">
        <v>1</v>
      </c>
      <c r="DJ524">
        <v>0</v>
      </c>
      <c r="DK524">
        <v>1</v>
      </c>
      <c r="DL524">
        <v>0</v>
      </c>
      <c r="DM524">
        <v>0</v>
      </c>
      <c r="DN524">
        <v>1</v>
      </c>
      <c r="DO524">
        <v>0</v>
      </c>
      <c r="DP524">
        <v>0</v>
      </c>
      <c r="DQ524">
        <v>0</v>
      </c>
      <c r="DR524">
        <v>0</v>
      </c>
      <c r="DS524">
        <v>0</v>
      </c>
    </row>
    <row r="525" spans="1:123" x14ac:dyDescent="0.3">
      <c r="A525" t="str">
        <f>"10/04/2022 19:27:05.094"</f>
        <v>10/04/2022 19:27:05.094</v>
      </c>
      <c r="C525" t="str">
        <f t="shared" si="184"/>
        <v>FFDFD3C0</v>
      </c>
      <c r="D525" t="s">
        <v>123</v>
      </c>
      <c r="E525">
        <v>7</v>
      </c>
      <c r="F525">
        <v>2007</v>
      </c>
      <c r="G525" t="s">
        <v>124</v>
      </c>
      <c r="J525" t="s">
        <v>125</v>
      </c>
      <c r="K525">
        <v>0</v>
      </c>
      <c r="L525">
        <v>3</v>
      </c>
      <c r="M525">
        <v>0</v>
      </c>
      <c r="N525">
        <v>2</v>
      </c>
      <c r="O525">
        <v>0</v>
      </c>
      <c r="P525">
        <v>1</v>
      </c>
      <c r="Q525">
        <v>0</v>
      </c>
      <c r="S525" t="str">
        <f t="shared" si="187"/>
        <v>19:27:04.000</v>
      </c>
      <c r="T525" t="str">
        <f t="shared" si="187"/>
        <v>19:27:04.000</v>
      </c>
      <c r="U525" t="str">
        <f t="shared" si="185"/>
        <v>AC3944</v>
      </c>
      <c r="V525">
        <v>0</v>
      </c>
      <c r="W525">
        <v>0</v>
      </c>
      <c r="X525">
        <v>2</v>
      </c>
      <c r="Y525">
        <v>0</v>
      </c>
      <c r="AA525">
        <v>1</v>
      </c>
      <c r="AB525">
        <v>8</v>
      </c>
      <c r="AC525">
        <v>3</v>
      </c>
      <c r="AD525">
        <v>0</v>
      </c>
      <c r="AE525">
        <v>9</v>
      </c>
      <c r="AF525" t="s">
        <v>138</v>
      </c>
      <c r="AG525">
        <v>0</v>
      </c>
      <c r="AH525">
        <v>3</v>
      </c>
      <c r="AI525">
        <v>1</v>
      </c>
      <c r="AJ525">
        <v>0</v>
      </c>
      <c r="AK525" t="s">
        <v>280</v>
      </c>
      <c r="AL525">
        <v>32.817793000000002</v>
      </c>
      <c r="AM525" t="s">
        <v>298</v>
      </c>
      <c r="AN525">
        <v>-116.978731</v>
      </c>
      <c r="AO525">
        <v>25</v>
      </c>
      <c r="AP525">
        <v>1600</v>
      </c>
      <c r="AQ525" t="s">
        <v>129</v>
      </c>
      <c r="AR525">
        <v>140</v>
      </c>
      <c r="AS525">
        <v>0</v>
      </c>
      <c r="AT525">
        <v>448</v>
      </c>
      <c r="BB525">
        <v>740</v>
      </c>
      <c r="BC525">
        <v>1</v>
      </c>
      <c r="BD525" t="str">
        <f t="shared" si="186"/>
        <v xml:space="preserve">N887QR  </v>
      </c>
      <c r="BE525">
        <v>1</v>
      </c>
      <c r="BG525">
        <v>0</v>
      </c>
      <c r="BH525">
        <v>0</v>
      </c>
      <c r="BI525">
        <v>0</v>
      </c>
      <c r="BJ525">
        <v>1300</v>
      </c>
      <c r="BK525">
        <v>-300</v>
      </c>
      <c r="BL525" t="s">
        <v>163</v>
      </c>
      <c r="BM525">
        <v>1</v>
      </c>
      <c r="BN525">
        <v>1</v>
      </c>
      <c r="BO525">
        <v>1</v>
      </c>
      <c r="BP525">
        <v>0</v>
      </c>
      <c r="BS525">
        <v>0</v>
      </c>
      <c r="BT525">
        <v>0</v>
      </c>
      <c r="BU525">
        <v>0</v>
      </c>
      <c r="CE525" t="str">
        <f t="shared" si="188"/>
        <v>19:27:04.834</v>
      </c>
      <c r="CF525">
        <v>833979916</v>
      </c>
      <c r="CS525">
        <v>3</v>
      </c>
      <c r="CT525">
        <v>2</v>
      </c>
      <c r="CU525">
        <v>0</v>
      </c>
      <c r="CV525">
        <v>2</v>
      </c>
      <c r="CW525">
        <v>0</v>
      </c>
      <c r="CX525">
        <v>5</v>
      </c>
      <c r="CY525">
        <v>7</v>
      </c>
      <c r="CZ525" t="s">
        <v>131</v>
      </c>
      <c r="DA525">
        <v>300</v>
      </c>
      <c r="DB525">
        <v>0</v>
      </c>
      <c r="DC525" t="s">
        <v>176</v>
      </c>
      <c r="DD525" t="s">
        <v>177</v>
      </c>
      <c r="DG525">
        <v>5364975</v>
      </c>
      <c r="DI525">
        <v>1</v>
      </c>
      <c r="DJ525">
        <v>0</v>
      </c>
      <c r="DK525">
        <v>1</v>
      </c>
      <c r="DL525">
        <v>0</v>
      </c>
      <c r="DM525">
        <v>0</v>
      </c>
      <c r="DN525">
        <v>1</v>
      </c>
      <c r="DO525">
        <v>0</v>
      </c>
      <c r="DP525">
        <v>0</v>
      </c>
      <c r="DQ525">
        <v>0</v>
      </c>
      <c r="DR525">
        <v>0</v>
      </c>
      <c r="DS525">
        <v>0</v>
      </c>
    </row>
    <row r="526" spans="1:123" x14ac:dyDescent="0.3">
      <c r="A526" t="str">
        <f>"10/04/2022 19:27:05.094"</f>
        <v>10/04/2022 19:27:05.094</v>
      </c>
      <c r="C526" t="str">
        <f t="shared" si="184"/>
        <v>FFDFD3C0</v>
      </c>
      <c r="D526" t="s">
        <v>134</v>
      </c>
      <c r="E526">
        <v>15</v>
      </c>
      <c r="J526" t="s">
        <v>135</v>
      </c>
      <c r="K526">
        <v>0</v>
      </c>
      <c r="L526">
        <v>3</v>
      </c>
      <c r="M526">
        <v>0</v>
      </c>
      <c r="N526">
        <v>2</v>
      </c>
      <c r="O526">
        <v>0</v>
      </c>
      <c r="P526">
        <v>1</v>
      </c>
      <c r="Q526">
        <v>0</v>
      </c>
      <c r="S526" t="str">
        <f t="shared" si="187"/>
        <v>19:27:04.000</v>
      </c>
      <c r="T526" t="str">
        <f t="shared" si="187"/>
        <v>19:27:04.000</v>
      </c>
      <c r="U526" t="str">
        <f t="shared" si="185"/>
        <v>AC3944</v>
      </c>
      <c r="V526">
        <v>0</v>
      </c>
      <c r="W526">
        <v>0</v>
      </c>
      <c r="X526">
        <v>2</v>
      </c>
      <c r="Y526">
        <v>0</v>
      </c>
      <c r="AA526">
        <v>1</v>
      </c>
      <c r="AB526">
        <v>8</v>
      </c>
      <c r="AC526">
        <v>3</v>
      </c>
      <c r="AD526">
        <v>0</v>
      </c>
      <c r="AE526">
        <v>9</v>
      </c>
      <c r="AF526" t="s">
        <v>138</v>
      </c>
      <c r="AG526">
        <v>0</v>
      </c>
      <c r="AH526">
        <v>3</v>
      </c>
      <c r="AI526">
        <v>1</v>
      </c>
      <c r="AJ526">
        <v>0</v>
      </c>
      <c r="AK526" t="s">
        <v>280</v>
      </c>
      <c r="AL526">
        <v>32.817793000000002</v>
      </c>
      <c r="AM526" t="s">
        <v>298</v>
      </c>
      <c r="AN526">
        <v>-116.978731</v>
      </c>
      <c r="AO526">
        <v>25</v>
      </c>
      <c r="AP526">
        <v>1600</v>
      </c>
      <c r="AQ526" t="s">
        <v>129</v>
      </c>
      <c r="AR526">
        <v>140</v>
      </c>
      <c r="AS526">
        <v>0</v>
      </c>
      <c r="AT526">
        <v>448</v>
      </c>
      <c r="BB526">
        <v>740</v>
      </c>
      <c r="BC526">
        <v>1</v>
      </c>
      <c r="BD526" t="str">
        <f t="shared" si="186"/>
        <v xml:space="preserve">N887QR  </v>
      </c>
      <c r="BE526">
        <v>1</v>
      </c>
      <c r="BG526">
        <v>0</v>
      </c>
      <c r="BH526">
        <v>0</v>
      </c>
      <c r="BI526">
        <v>0</v>
      </c>
      <c r="BJ526">
        <v>1300</v>
      </c>
      <c r="BK526">
        <v>-300</v>
      </c>
      <c r="BL526" t="s">
        <v>163</v>
      </c>
      <c r="BM526">
        <v>1</v>
      </c>
      <c r="BN526">
        <v>1</v>
      </c>
      <c r="BO526">
        <v>1</v>
      </c>
      <c r="BP526">
        <v>0</v>
      </c>
      <c r="BS526">
        <v>0</v>
      </c>
      <c r="BT526">
        <v>0</v>
      </c>
      <c r="BU526">
        <v>0</v>
      </c>
      <c r="CE526" t="str">
        <f t="shared" si="188"/>
        <v>19:27:04.834</v>
      </c>
      <c r="CF526">
        <v>833979916</v>
      </c>
      <c r="CS526">
        <v>3</v>
      </c>
      <c r="CT526">
        <v>2</v>
      </c>
      <c r="CU526">
        <v>0</v>
      </c>
      <c r="CV526">
        <v>2</v>
      </c>
      <c r="CW526">
        <v>0</v>
      </c>
      <c r="CX526">
        <v>5</v>
      </c>
      <c r="CY526">
        <v>7</v>
      </c>
      <c r="CZ526" t="s">
        <v>131</v>
      </c>
      <c r="DA526">
        <v>300</v>
      </c>
      <c r="DB526">
        <v>0</v>
      </c>
      <c r="DC526" t="s">
        <v>176</v>
      </c>
      <c r="DD526" t="s">
        <v>177</v>
      </c>
      <c r="DG526">
        <v>5364975</v>
      </c>
      <c r="DI526">
        <v>1</v>
      </c>
      <c r="DJ526">
        <v>0</v>
      </c>
      <c r="DK526">
        <v>1</v>
      </c>
      <c r="DL526">
        <v>0</v>
      </c>
      <c r="DM526">
        <v>0</v>
      </c>
      <c r="DN526">
        <v>1</v>
      </c>
      <c r="DO526">
        <v>0</v>
      </c>
      <c r="DP526">
        <v>0</v>
      </c>
      <c r="DQ526">
        <v>0</v>
      </c>
      <c r="DR526">
        <v>0</v>
      </c>
      <c r="DS526">
        <v>0</v>
      </c>
    </row>
    <row r="527" spans="1:123" x14ac:dyDescent="0.3">
      <c r="A527" t="str">
        <f>"10/04/2022 19:27:05.094"</f>
        <v>10/04/2022 19:27:05.094</v>
      </c>
      <c r="C527" t="str">
        <f t="shared" si="184"/>
        <v>FFDFD3C0</v>
      </c>
      <c r="D527" t="s">
        <v>147</v>
      </c>
      <c r="E527">
        <v>3</v>
      </c>
      <c r="H527">
        <v>166</v>
      </c>
      <c r="I527" t="s">
        <v>144</v>
      </c>
      <c r="J527" t="s">
        <v>148</v>
      </c>
      <c r="K527">
        <v>0</v>
      </c>
      <c r="L527">
        <v>3</v>
      </c>
      <c r="M527">
        <v>0</v>
      </c>
      <c r="N527">
        <v>2</v>
      </c>
      <c r="O527">
        <v>0</v>
      </c>
      <c r="P527">
        <v>1</v>
      </c>
      <c r="Q527">
        <v>0</v>
      </c>
      <c r="S527" t="str">
        <f t="shared" si="187"/>
        <v>19:27:04.000</v>
      </c>
      <c r="T527" t="str">
        <f t="shared" si="187"/>
        <v>19:27:04.000</v>
      </c>
      <c r="U527" t="str">
        <f t="shared" si="185"/>
        <v>AC3944</v>
      </c>
      <c r="V527">
        <v>0</v>
      </c>
      <c r="W527">
        <v>0</v>
      </c>
      <c r="X527">
        <v>2</v>
      </c>
      <c r="Y527">
        <v>0</v>
      </c>
      <c r="AA527">
        <v>1</v>
      </c>
      <c r="AB527">
        <v>8</v>
      </c>
      <c r="AC527">
        <v>3</v>
      </c>
      <c r="AD527">
        <v>0</v>
      </c>
      <c r="AE527">
        <v>9</v>
      </c>
      <c r="AF527" t="s">
        <v>138</v>
      </c>
      <c r="AG527">
        <v>0</v>
      </c>
      <c r="AH527">
        <v>3</v>
      </c>
      <c r="AI527">
        <v>1</v>
      </c>
      <c r="AJ527">
        <v>0</v>
      </c>
      <c r="AK527" t="s">
        <v>280</v>
      </c>
      <c r="AL527">
        <v>32.817793000000002</v>
      </c>
      <c r="AM527" t="s">
        <v>298</v>
      </c>
      <c r="AN527">
        <v>-116.978731</v>
      </c>
      <c r="AO527">
        <v>25</v>
      </c>
      <c r="AP527">
        <v>1600</v>
      </c>
      <c r="AQ527" t="s">
        <v>129</v>
      </c>
      <c r="AR527">
        <v>140</v>
      </c>
      <c r="AS527">
        <v>0</v>
      </c>
      <c r="AT527">
        <v>448</v>
      </c>
      <c r="BB527">
        <v>740</v>
      </c>
      <c r="BC527">
        <v>1</v>
      </c>
      <c r="BD527" t="str">
        <f t="shared" si="186"/>
        <v xml:space="preserve">N887QR  </v>
      </c>
      <c r="BE527">
        <v>1</v>
      </c>
      <c r="BG527">
        <v>0</v>
      </c>
      <c r="BH527">
        <v>0</v>
      </c>
      <c r="BI527">
        <v>0</v>
      </c>
      <c r="BJ527">
        <v>1300</v>
      </c>
      <c r="BK527">
        <v>-300</v>
      </c>
      <c r="BL527" t="s">
        <v>163</v>
      </c>
      <c r="BM527">
        <v>1</v>
      </c>
      <c r="BN527">
        <v>1</v>
      </c>
      <c r="BO527">
        <v>1</v>
      </c>
      <c r="BP527">
        <v>0</v>
      </c>
      <c r="BS527">
        <v>0</v>
      </c>
      <c r="BT527">
        <v>0</v>
      </c>
      <c r="BU527">
        <v>0</v>
      </c>
      <c r="CE527" t="str">
        <f t="shared" si="188"/>
        <v>19:27:04.834</v>
      </c>
      <c r="CF527">
        <v>833979916</v>
      </c>
      <c r="CS527">
        <v>3</v>
      </c>
      <c r="CT527">
        <v>2</v>
      </c>
      <c r="CU527">
        <v>0</v>
      </c>
      <c r="CV527">
        <v>2</v>
      </c>
      <c r="CW527">
        <v>0</v>
      </c>
      <c r="CX527">
        <v>5</v>
      </c>
      <c r="CY527">
        <v>7</v>
      </c>
      <c r="CZ527" t="s">
        <v>131</v>
      </c>
      <c r="DA527">
        <v>300</v>
      </c>
      <c r="DB527">
        <v>0</v>
      </c>
      <c r="DC527" t="s">
        <v>176</v>
      </c>
      <c r="DD527" t="s">
        <v>177</v>
      </c>
      <c r="DG527">
        <v>5364975</v>
      </c>
      <c r="DI527">
        <v>1</v>
      </c>
      <c r="DJ527">
        <v>0</v>
      </c>
      <c r="DK527">
        <v>1</v>
      </c>
      <c r="DL527">
        <v>0</v>
      </c>
      <c r="DM527">
        <v>0</v>
      </c>
      <c r="DN527">
        <v>1</v>
      </c>
      <c r="DO527">
        <v>0</v>
      </c>
      <c r="DP527">
        <v>0</v>
      </c>
      <c r="DQ527">
        <v>0</v>
      </c>
      <c r="DR527">
        <v>0</v>
      </c>
      <c r="DS527">
        <v>0</v>
      </c>
    </row>
    <row r="528" spans="1:123" x14ac:dyDescent="0.3">
      <c r="A528" t="str">
        <f t="shared" ref="A528:A534" si="189">"10/04/2022 19:27:06.109"</f>
        <v>10/04/2022 19:27:06.109</v>
      </c>
      <c r="C528" t="str">
        <f t="shared" si="184"/>
        <v>FFDFD3C0</v>
      </c>
      <c r="D528" t="s">
        <v>143</v>
      </c>
      <c r="E528">
        <v>20</v>
      </c>
      <c r="F528">
        <v>1020</v>
      </c>
      <c r="G528" t="s">
        <v>144</v>
      </c>
      <c r="J528" t="s">
        <v>145</v>
      </c>
      <c r="K528">
        <v>0</v>
      </c>
      <c r="L528">
        <v>3</v>
      </c>
      <c r="M528">
        <v>0</v>
      </c>
      <c r="N528">
        <v>2</v>
      </c>
      <c r="O528">
        <v>0</v>
      </c>
      <c r="P528">
        <v>1</v>
      </c>
      <c r="Q528">
        <v>0</v>
      </c>
      <c r="S528" t="str">
        <f t="shared" ref="S528:T534" si="190">"19:27:05.000"</f>
        <v>19:27:05.000</v>
      </c>
      <c r="T528" t="str">
        <f t="shared" si="190"/>
        <v>19:27:05.000</v>
      </c>
      <c r="U528" t="str">
        <f t="shared" si="185"/>
        <v>AC3944</v>
      </c>
      <c r="V528">
        <v>0</v>
      </c>
      <c r="W528">
        <v>0</v>
      </c>
      <c r="X528">
        <v>2</v>
      </c>
      <c r="Y528">
        <v>0</v>
      </c>
      <c r="AA528">
        <v>1</v>
      </c>
      <c r="AB528">
        <v>8</v>
      </c>
      <c r="AC528">
        <v>3</v>
      </c>
      <c r="AD528">
        <v>0</v>
      </c>
      <c r="AE528">
        <v>9</v>
      </c>
      <c r="AF528" t="s">
        <v>138</v>
      </c>
      <c r="AG528">
        <v>0</v>
      </c>
      <c r="AH528">
        <v>3</v>
      </c>
      <c r="AI528">
        <v>1</v>
      </c>
      <c r="AJ528">
        <v>0</v>
      </c>
      <c r="AK528" t="s">
        <v>280</v>
      </c>
      <c r="AL528">
        <v>32.817793000000002</v>
      </c>
      <c r="AM528" t="s">
        <v>299</v>
      </c>
      <c r="AN528">
        <v>-116.978109</v>
      </c>
      <c r="AO528">
        <v>25</v>
      </c>
      <c r="AP528">
        <v>1600</v>
      </c>
      <c r="AQ528" t="s">
        <v>129</v>
      </c>
      <c r="AR528">
        <v>139</v>
      </c>
      <c r="AS528">
        <v>2</v>
      </c>
      <c r="AT528">
        <v>448</v>
      </c>
      <c r="BB528">
        <v>740</v>
      </c>
      <c r="BC528">
        <v>1</v>
      </c>
      <c r="BD528" t="str">
        <f t="shared" si="186"/>
        <v xml:space="preserve">N887QR  </v>
      </c>
      <c r="BE528">
        <v>1</v>
      </c>
      <c r="BG528">
        <v>0</v>
      </c>
      <c r="BH528">
        <v>0</v>
      </c>
      <c r="BI528">
        <v>0</v>
      </c>
      <c r="BJ528">
        <v>1300</v>
      </c>
      <c r="BK528">
        <v>-300</v>
      </c>
      <c r="BL528" t="s">
        <v>163</v>
      </c>
      <c r="BM528">
        <v>1</v>
      </c>
      <c r="BN528">
        <v>1</v>
      </c>
      <c r="BO528">
        <v>1</v>
      </c>
      <c r="BP528">
        <v>0</v>
      </c>
      <c r="BS528">
        <v>0</v>
      </c>
      <c r="BT528">
        <v>0</v>
      </c>
      <c r="BU528">
        <v>0</v>
      </c>
      <c r="CE528" t="str">
        <f t="shared" ref="CE528:CE534" si="191">"19:27:05.884"</f>
        <v>19:27:05.884</v>
      </c>
      <c r="CF528">
        <v>884233224</v>
      </c>
      <c r="CS528">
        <v>3</v>
      </c>
      <c r="CT528">
        <v>2</v>
      </c>
      <c r="CU528">
        <v>0</v>
      </c>
      <c r="CV528">
        <v>2</v>
      </c>
      <c r="CW528">
        <v>0</v>
      </c>
      <c r="CX528">
        <v>6</v>
      </c>
      <c r="CY528">
        <v>7</v>
      </c>
      <c r="CZ528" t="s">
        <v>131</v>
      </c>
      <c r="DA528">
        <v>300</v>
      </c>
      <c r="DB528">
        <v>0</v>
      </c>
      <c r="DC528" t="s">
        <v>176</v>
      </c>
      <c r="DD528" t="s">
        <v>177</v>
      </c>
      <c r="DG528">
        <v>5365155</v>
      </c>
      <c r="DI528">
        <v>1</v>
      </c>
      <c r="DJ528">
        <v>0</v>
      </c>
      <c r="DK528">
        <v>0</v>
      </c>
      <c r="DL528">
        <v>0</v>
      </c>
      <c r="DM528">
        <v>0</v>
      </c>
      <c r="DN528">
        <v>1</v>
      </c>
      <c r="DO528">
        <v>0</v>
      </c>
      <c r="DP528">
        <v>0</v>
      </c>
      <c r="DQ528">
        <v>0</v>
      </c>
      <c r="DR528">
        <v>0</v>
      </c>
      <c r="DS528">
        <v>0</v>
      </c>
    </row>
    <row r="529" spans="1:123" x14ac:dyDescent="0.3">
      <c r="A529" t="str">
        <f t="shared" si="189"/>
        <v>10/04/2022 19:27:06.109</v>
      </c>
      <c r="C529" t="str">
        <f t="shared" si="184"/>
        <v>FFDFD3C0</v>
      </c>
      <c r="D529" t="s">
        <v>141</v>
      </c>
      <c r="E529">
        <v>3</v>
      </c>
      <c r="H529">
        <v>3</v>
      </c>
      <c r="I529" t="s">
        <v>146</v>
      </c>
      <c r="J529" t="s">
        <v>138</v>
      </c>
      <c r="K529">
        <v>0</v>
      </c>
      <c r="L529">
        <v>3</v>
      </c>
      <c r="M529">
        <v>0</v>
      </c>
      <c r="N529">
        <v>2</v>
      </c>
      <c r="O529">
        <v>0</v>
      </c>
      <c r="P529">
        <v>1</v>
      </c>
      <c r="Q529">
        <v>0</v>
      </c>
      <c r="S529" t="str">
        <f t="shared" si="190"/>
        <v>19:27:05.000</v>
      </c>
      <c r="T529" t="str">
        <f t="shared" si="190"/>
        <v>19:27:05.000</v>
      </c>
      <c r="U529" t="str">
        <f t="shared" si="185"/>
        <v>AC3944</v>
      </c>
      <c r="V529">
        <v>0</v>
      </c>
      <c r="W529">
        <v>0</v>
      </c>
      <c r="X529">
        <v>2</v>
      </c>
      <c r="Y529">
        <v>0</v>
      </c>
      <c r="AA529">
        <v>1</v>
      </c>
      <c r="AB529">
        <v>8</v>
      </c>
      <c r="AC529">
        <v>3</v>
      </c>
      <c r="AD529">
        <v>0</v>
      </c>
      <c r="AE529">
        <v>9</v>
      </c>
      <c r="AF529" t="s">
        <v>138</v>
      </c>
      <c r="AG529">
        <v>0</v>
      </c>
      <c r="AH529">
        <v>3</v>
      </c>
      <c r="AI529">
        <v>1</v>
      </c>
      <c r="AJ529">
        <v>0</v>
      </c>
      <c r="AK529" t="s">
        <v>280</v>
      </c>
      <c r="AL529">
        <v>32.817793000000002</v>
      </c>
      <c r="AM529" t="s">
        <v>299</v>
      </c>
      <c r="AN529">
        <v>-116.978109</v>
      </c>
      <c r="AO529">
        <v>25</v>
      </c>
      <c r="AP529">
        <v>1600</v>
      </c>
      <c r="AQ529" t="s">
        <v>129</v>
      </c>
      <c r="AR529">
        <v>139</v>
      </c>
      <c r="AS529">
        <v>2</v>
      </c>
      <c r="AT529">
        <v>448</v>
      </c>
      <c r="BB529">
        <v>740</v>
      </c>
      <c r="BC529">
        <v>1</v>
      </c>
      <c r="BD529" t="str">
        <f t="shared" si="186"/>
        <v xml:space="preserve">N887QR  </v>
      </c>
      <c r="BE529">
        <v>1</v>
      </c>
      <c r="BG529">
        <v>0</v>
      </c>
      <c r="BH529">
        <v>0</v>
      </c>
      <c r="BI529">
        <v>0</v>
      </c>
      <c r="BJ529">
        <v>1300</v>
      </c>
      <c r="BK529">
        <v>-300</v>
      </c>
      <c r="BL529" t="s">
        <v>163</v>
      </c>
      <c r="BM529">
        <v>1</v>
      </c>
      <c r="BN529">
        <v>1</v>
      </c>
      <c r="BO529">
        <v>1</v>
      </c>
      <c r="BP529">
        <v>0</v>
      </c>
      <c r="BS529">
        <v>0</v>
      </c>
      <c r="BT529">
        <v>0</v>
      </c>
      <c r="BU529">
        <v>0</v>
      </c>
      <c r="CE529" t="str">
        <f t="shared" si="191"/>
        <v>19:27:05.884</v>
      </c>
      <c r="CF529">
        <v>884233224</v>
      </c>
      <c r="CS529">
        <v>3</v>
      </c>
      <c r="CT529">
        <v>2</v>
      </c>
      <c r="CU529">
        <v>0</v>
      </c>
      <c r="CV529">
        <v>2</v>
      </c>
      <c r="CW529">
        <v>0</v>
      </c>
      <c r="CX529">
        <v>6</v>
      </c>
      <c r="CY529">
        <v>7</v>
      </c>
      <c r="CZ529" t="s">
        <v>131</v>
      </c>
      <c r="DA529">
        <v>300</v>
      </c>
      <c r="DB529">
        <v>0</v>
      </c>
      <c r="DC529" t="s">
        <v>176</v>
      </c>
      <c r="DD529" t="s">
        <v>177</v>
      </c>
      <c r="DG529">
        <v>5365155</v>
      </c>
      <c r="DI529">
        <v>1</v>
      </c>
      <c r="DJ529">
        <v>0</v>
      </c>
      <c r="DK529">
        <v>1</v>
      </c>
      <c r="DL529">
        <v>0</v>
      </c>
      <c r="DM529">
        <v>0</v>
      </c>
      <c r="DN529">
        <v>1</v>
      </c>
      <c r="DO529">
        <v>0</v>
      </c>
      <c r="DP529">
        <v>0</v>
      </c>
      <c r="DQ529">
        <v>0</v>
      </c>
      <c r="DR529">
        <v>0</v>
      </c>
      <c r="DS529">
        <v>0</v>
      </c>
    </row>
    <row r="530" spans="1:123" x14ac:dyDescent="0.3">
      <c r="A530" t="str">
        <f t="shared" si="189"/>
        <v>10/04/2022 19:27:06.109</v>
      </c>
      <c r="C530" t="str">
        <f t="shared" si="184"/>
        <v>FFDFD3C0</v>
      </c>
      <c r="D530" t="s">
        <v>136</v>
      </c>
      <c r="E530">
        <v>8</v>
      </c>
      <c r="H530">
        <v>225</v>
      </c>
      <c r="I530" t="s">
        <v>137</v>
      </c>
      <c r="J530" t="s">
        <v>138</v>
      </c>
      <c r="K530">
        <v>0</v>
      </c>
      <c r="L530">
        <v>3</v>
      </c>
      <c r="M530">
        <v>0</v>
      </c>
      <c r="N530">
        <v>2</v>
      </c>
      <c r="O530">
        <v>0</v>
      </c>
      <c r="P530">
        <v>1</v>
      </c>
      <c r="Q530">
        <v>0</v>
      </c>
      <c r="S530" t="str">
        <f t="shared" si="190"/>
        <v>19:27:05.000</v>
      </c>
      <c r="T530" t="str">
        <f t="shared" si="190"/>
        <v>19:27:05.000</v>
      </c>
      <c r="U530" t="str">
        <f t="shared" si="185"/>
        <v>AC3944</v>
      </c>
      <c r="V530">
        <v>0</v>
      </c>
      <c r="W530">
        <v>0</v>
      </c>
      <c r="X530">
        <v>2</v>
      </c>
      <c r="Y530">
        <v>0</v>
      </c>
      <c r="AA530">
        <v>1</v>
      </c>
      <c r="AB530">
        <v>8</v>
      </c>
      <c r="AC530">
        <v>3</v>
      </c>
      <c r="AD530">
        <v>0</v>
      </c>
      <c r="AE530">
        <v>9</v>
      </c>
      <c r="AF530" t="s">
        <v>138</v>
      </c>
      <c r="AG530">
        <v>0</v>
      </c>
      <c r="AH530">
        <v>3</v>
      </c>
      <c r="AI530">
        <v>1</v>
      </c>
      <c r="AJ530">
        <v>0</v>
      </c>
      <c r="AK530" t="s">
        <v>280</v>
      </c>
      <c r="AL530">
        <v>32.817793000000002</v>
      </c>
      <c r="AM530" t="s">
        <v>299</v>
      </c>
      <c r="AN530">
        <v>-116.978109</v>
      </c>
      <c r="AO530">
        <v>25</v>
      </c>
      <c r="AP530">
        <v>1600</v>
      </c>
      <c r="AQ530" t="s">
        <v>129</v>
      </c>
      <c r="AR530">
        <v>139</v>
      </c>
      <c r="AS530">
        <v>2</v>
      </c>
      <c r="AT530">
        <v>448</v>
      </c>
      <c r="BB530">
        <v>740</v>
      </c>
      <c r="BC530">
        <v>1</v>
      </c>
      <c r="BD530" t="str">
        <f t="shared" si="186"/>
        <v xml:space="preserve">N887QR  </v>
      </c>
      <c r="BE530">
        <v>1</v>
      </c>
      <c r="BG530">
        <v>0</v>
      </c>
      <c r="BH530">
        <v>0</v>
      </c>
      <c r="BI530">
        <v>0</v>
      </c>
      <c r="BJ530">
        <v>1300</v>
      </c>
      <c r="BK530">
        <v>-300</v>
      </c>
      <c r="BL530" t="s">
        <v>163</v>
      </c>
      <c r="BM530">
        <v>1</v>
      </c>
      <c r="BN530">
        <v>1</v>
      </c>
      <c r="BO530">
        <v>1</v>
      </c>
      <c r="BP530">
        <v>0</v>
      </c>
      <c r="BS530">
        <v>0</v>
      </c>
      <c r="BT530">
        <v>0</v>
      </c>
      <c r="BU530">
        <v>0</v>
      </c>
      <c r="CE530" t="str">
        <f t="shared" si="191"/>
        <v>19:27:05.884</v>
      </c>
      <c r="CF530">
        <v>884233224</v>
      </c>
      <c r="CS530">
        <v>3</v>
      </c>
      <c r="CT530">
        <v>2</v>
      </c>
      <c r="CU530">
        <v>0</v>
      </c>
      <c r="CV530">
        <v>2</v>
      </c>
      <c r="CW530">
        <v>0</v>
      </c>
      <c r="CX530">
        <v>6</v>
      </c>
      <c r="CY530">
        <v>7</v>
      </c>
      <c r="CZ530" t="s">
        <v>131</v>
      </c>
      <c r="DA530">
        <v>300</v>
      </c>
      <c r="DB530">
        <v>0</v>
      </c>
      <c r="DC530" t="s">
        <v>176</v>
      </c>
      <c r="DD530" t="s">
        <v>177</v>
      </c>
      <c r="DG530">
        <v>5365155</v>
      </c>
      <c r="DI530">
        <v>1</v>
      </c>
      <c r="DJ530">
        <v>0</v>
      </c>
      <c r="DK530">
        <v>1</v>
      </c>
      <c r="DL530">
        <v>0</v>
      </c>
      <c r="DM530">
        <v>0</v>
      </c>
      <c r="DN530">
        <v>1</v>
      </c>
      <c r="DO530">
        <v>0</v>
      </c>
      <c r="DP530">
        <v>0</v>
      </c>
      <c r="DQ530">
        <v>0</v>
      </c>
      <c r="DR530">
        <v>0</v>
      </c>
      <c r="DS530">
        <v>0</v>
      </c>
    </row>
    <row r="531" spans="1:123" x14ac:dyDescent="0.3">
      <c r="A531" t="str">
        <f t="shared" si="189"/>
        <v>10/04/2022 19:27:06.109</v>
      </c>
      <c r="C531" t="str">
        <f t="shared" si="184"/>
        <v>FFDFD3C0</v>
      </c>
      <c r="D531" t="s">
        <v>123</v>
      </c>
      <c r="E531">
        <v>7</v>
      </c>
      <c r="F531">
        <v>2007</v>
      </c>
      <c r="G531" t="s">
        <v>124</v>
      </c>
      <c r="J531" t="s">
        <v>125</v>
      </c>
      <c r="K531">
        <v>0</v>
      </c>
      <c r="L531">
        <v>3</v>
      </c>
      <c r="M531">
        <v>0</v>
      </c>
      <c r="N531">
        <v>2</v>
      </c>
      <c r="O531">
        <v>0</v>
      </c>
      <c r="P531">
        <v>1</v>
      </c>
      <c r="Q531">
        <v>0</v>
      </c>
      <c r="S531" t="str">
        <f t="shared" si="190"/>
        <v>19:27:05.000</v>
      </c>
      <c r="T531" t="str">
        <f t="shared" si="190"/>
        <v>19:27:05.000</v>
      </c>
      <c r="U531" t="str">
        <f t="shared" si="185"/>
        <v>AC3944</v>
      </c>
      <c r="V531">
        <v>0</v>
      </c>
      <c r="W531">
        <v>0</v>
      </c>
      <c r="X531">
        <v>2</v>
      </c>
      <c r="Y531">
        <v>0</v>
      </c>
      <c r="AA531">
        <v>1</v>
      </c>
      <c r="AB531">
        <v>8</v>
      </c>
      <c r="AC531">
        <v>3</v>
      </c>
      <c r="AD531">
        <v>0</v>
      </c>
      <c r="AE531">
        <v>9</v>
      </c>
      <c r="AF531" t="s">
        <v>138</v>
      </c>
      <c r="AG531">
        <v>0</v>
      </c>
      <c r="AH531">
        <v>3</v>
      </c>
      <c r="AI531">
        <v>1</v>
      </c>
      <c r="AJ531">
        <v>0</v>
      </c>
      <c r="AK531" t="s">
        <v>280</v>
      </c>
      <c r="AL531">
        <v>32.817793000000002</v>
      </c>
      <c r="AM531" t="s">
        <v>299</v>
      </c>
      <c r="AN531">
        <v>-116.978109</v>
      </c>
      <c r="AO531">
        <v>25</v>
      </c>
      <c r="AP531">
        <v>1600</v>
      </c>
      <c r="AQ531" t="s">
        <v>129</v>
      </c>
      <c r="AR531">
        <v>139</v>
      </c>
      <c r="AS531">
        <v>2</v>
      </c>
      <c r="AT531">
        <v>448</v>
      </c>
      <c r="BB531">
        <v>740</v>
      </c>
      <c r="BC531">
        <v>1</v>
      </c>
      <c r="BD531" t="str">
        <f t="shared" si="186"/>
        <v xml:space="preserve">N887QR  </v>
      </c>
      <c r="BE531">
        <v>1</v>
      </c>
      <c r="BG531">
        <v>0</v>
      </c>
      <c r="BH531">
        <v>0</v>
      </c>
      <c r="BI531">
        <v>0</v>
      </c>
      <c r="BJ531">
        <v>1300</v>
      </c>
      <c r="BK531">
        <v>-300</v>
      </c>
      <c r="BL531" t="s">
        <v>163</v>
      </c>
      <c r="BM531">
        <v>1</v>
      </c>
      <c r="BN531">
        <v>1</v>
      </c>
      <c r="BO531">
        <v>1</v>
      </c>
      <c r="BP531">
        <v>0</v>
      </c>
      <c r="BS531">
        <v>0</v>
      </c>
      <c r="BT531">
        <v>0</v>
      </c>
      <c r="BU531">
        <v>0</v>
      </c>
      <c r="CE531" t="str">
        <f t="shared" si="191"/>
        <v>19:27:05.884</v>
      </c>
      <c r="CF531">
        <v>884233224</v>
      </c>
      <c r="CS531">
        <v>3</v>
      </c>
      <c r="CT531">
        <v>2</v>
      </c>
      <c r="CU531">
        <v>0</v>
      </c>
      <c r="CV531">
        <v>2</v>
      </c>
      <c r="CW531">
        <v>0</v>
      </c>
      <c r="CX531">
        <v>6</v>
      </c>
      <c r="CY531">
        <v>7</v>
      </c>
      <c r="CZ531" t="s">
        <v>131</v>
      </c>
      <c r="DA531">
        <v>300</v>
      </c>
      <c r="DB531">
        <v>0</v>
      </c>
      <c r="DC531" t="s">
        <v>176</v>
      </c>
      <c r="DD531" t="s">
        <v>177</v>
      </c>
      <c r="DG531">
        <v>5365155</v>
      </c>
      <c r="DI531">
        <v>1</v>
      </c>
      <c r="DJ531">
        <v>0</v>
      </c>
      <c r="DK531">
        <v>1</v>
      </c>
      <c r="DL531">
        <v>0</v>
      </c>
      <c r="DM531">
        <v>0</v>
      </c>
      <c r="DN531">
        <v>1</v>
      </c>
      <c r="DO531">
        <v>0</v>
      </c>
      <c r="DP531">
        <v>0</v>
      </c>
      <c r="DQ531">
        <v>0</v>
      </c>
      <c r="DR531">
        <v>0</v>
      </c>
      <c r="DS531">
        <v>0</v>
      </c>
    </row>
    <row r="532" spans="1:123" x14ac:dyDescent="0.3">
      <c r="A532" t="str">
        <f t="shared" si="189"/>
        <v>10/04/2022 19:27:06.109</v>
      </c>
      <c r="C532" t="str">
        <f t="shared" si="184"/>
        <v>FFDFD3C0</v>
      </c>
      <c r="D532" t="s">
        <v>141</v>
      </c>
      <c r="E532">
        <v>4</v>
      </c>
      <c r="H532">
        <v>4</v>
      </c>
      <c r="I532" t="s">
        <v>142</v>
      </c>
      <c r="J532" t="s">
        <v>138</v>
      </c>
      <c r="K532">
        <v>0</v>
      </c>
      <c r="L532">
        <v>3</v>
      </c>
      <c r="M532">
        <v>0</v>
      </c>
      <c r="N532">
        <v>2</v>
      </c>
      <c r="O532">
        <v>0</v>
      </c>
      <c r="P532">
        <v>1</v>
      </c>
      <c r="Q532">
        <v>0</v>
      </c>
      <c r="S532" t="str">
        <f t="shared" si="190"/>
        <v>19:27:05.000</v>
      </c>
      <c r="T532" t="str">
        <f t="shared" si="190"/>
        <v>19:27:05.000</v>
      </c>
      <c r="U532" t="str">
        <f t="shared" si="185"/>
        <v>AC3944</v>
      </c>
      <c r="V532">
        <v>0</v>
      </c>
      <c r="W532">
        <v>0</v>
      </c>
      <c r="X532">
        <v>2</v>
      </c>
      <c r="Y532">
        <v>0</v>
      </c>
      <c r="AA532">
        <v>1</v>
      </c>
      <c r="AB532">
        <v>8</v>
      </c>
      <c r="AC532">
        <v>3</v>
      </c>
      <c r="AD532">
        <v>0</v>
      </c>
      <c r="AE532">
        <v>9</v>
      </c>
      <c r="AF532" t="s">
        <v>138</v>
      </c>
      <c r="AG532">
        <v>0</v>
      </c>
      <c r="AH532">
        <v>3</v>
      </c>
      <c r="AI532">
        <v>1</v>
      </c>
      <c r="AJ532">
        <v>0</v>
      </c>
      <c r="AK532" t="s">
        <v>280</v>
      </c>
      <c r="AL532">
        <v>32.817793000000002</v>
      </c>
      <c r="AM532" t="s">
        <v>299</v>
      </c>
      <c r="AN532">
        <v>-116.978109</v>
      </c>
      <c r="AO532">
        <v>25</v>
      </c>
      <c r="AP532">
        <v>1600</v>
      </c>
      <c r="AQ532" t="s">
        <v>129</v>
      </c>
      <c r="AR532">
        <v>139</v>
      </c>
      <c r="AS532">
        <v>2</v>
      </c>
      <c r="AT532">
        <v>448</v>
      </c>
      <c r="BB532">
        <v>740</v>
      </c>
      <c r="BC532">
        <v>1</v>
      </c>
      <c r="BD532" t="str">
        <f t="shared" si="186"/>
        <v xml:space="preserve">N887QR  </v>
      </c>
      <c r="BE532">
        <v>1</v>
      </c>
      <c r="BG532">
        <v>0</v>
      </c>
      <c r="BH532">
        <v>0</v>
      </c>
      <c r="BI532">
        <v>0</v>
      </c>
      <c r="BJ532">
        <v>1300</v>
      </c>
      <c r="BK532">
        <v>-300</v>
      </c>
      <c r="BL532" t="s">
        <v>163</v>
      </c>
      <c r="BM532">
        <v>1</v>
      </c>
      <c r="BN532">
        <v>1</v>
      </c>
      <c r="BO532">
        <v>1</v>
      </c>
      <c r="BP532">
        <v>0</v>
      </c>
      <c r="BS532">
        <v>0</v>
      </c>
      <c r="BT532">
        <v>0</v>
      </c>
      <c r="BU532">
        <v>0</v>
      </c>
      <c r="CE532" t="str">
        <f t="shared" si="191"/>
        <v>19:27:05.884</v>
      </c>
      <c r="CF532">
        <v>884233224</v>
      </c>
      <c r="CS532">
        <v>3</v>
      </c>
      <c r="CT532">
        <v>2</v>
      </c>
      <c r="CU532">
        <v>0</v>
      </c>
      <c r="CV532">
        <v>2</v>
      </c>
      <c r="CW532">
        <v>0</v>
      </c>
      <c r="CX532">
        <v>6</v>
      </c>
      <c r="CY532">
        <v>7</v>
      </c>
      <c r="CZ532" t="s">
        <v>131</v>
      </c>
      <c r="DA532">
        <v>300</v>
      </c>
      <c r="DB532">
        <v>0</v>
      </c>
      <c r="DC532" t="s">
        <v>176</v>
      </c>
      <c r="DD532" t="s">
        <v>177</v>
      </c>
      <c r="DG532">
        <v>5365155</v>
      </c>
      <c r="DI532">
        <v>1</v>
      </c>
      <c r="DJ532">
        <v>0</v>
      </c>
      <c r="DK532">
        <v>1</v>
      </c>
      <c r="DL532">
        <v>0</v>
      </c>
      <c r="DM532">
        <v>0</v>
      </c>
      <c r="DN532">
        <v>1</v>
      </c>
      <c r="DO532">
        <v>0</v>
      </c>
      <c r="DP532">
        <v>0</v>
      </c>
      <c r="DQ532">
        <v>0</v>
      </c>
      <c r="DR532">
        <v>0</v>
      </c>
      <c r="DS532">
        <v>0</v>
      </c>
    </row>
    <row r="533" spans="1:123" x14ac:dyDescent="0.3">
      <c r="A533" t="str">
        <f t="shared" si="189"/>
        <v>10/04/2022 19:27:06.109</v>
      </c>
      <c r="C533" t="str">
        <f t="shared" si="184"/>
        <v>FFDFD3C0</v>
      </c>
      <c r="D533" t="s">
        <v>147</v>
      </c>
      <c r="E533">
        <v>3</v>
      </c>
      <c r="H533">
        <v>166</v>
      </c>
      <c r="I533" t="s">
        <v>144</v>
      </c>
      <c r="J533" t="s">
        <v>148</v>
      </c>
      <c r="K533">
        <v>0</v>
      </c>
      <c r="L533">
        <v>3</v>
      </c>
      <c r="M533">
        <v>0</v>
      </c>
      <c r="N533">
        <v>2</v>
      </c>
      <c r="O533">
        <v>0</v>
      </c>
      <c r="P533">
        <v>1</v>
      </c>
      <c r="Q533">
        <v>0</v>
      </c>
      <c r="S533" t="str">
        <f t="shared" si="190"/>
        <v>19:27:05.000</v>
      </c>
      <c r="T533" t="str">
        <f t="shared" si="190"/>
        <v>19:27:05.000</v>
      </c>
      <c r="U533" t="str">
        <f t="shared" si="185"/>
        <v>AC3944</v>
      </c>
      <c r="V533">
        <v>0</v>
      </c>
      <c r="W533">
        <v>0</v>
      </c>
      <c r="X533">
        <v>2</v>
      </c>
      <c r="Y533">
        <v>0</v>
      </c>
      <c r="AA533">
        <v>1</v>
      </c>
      <c r="AB533">
        <v>8</v>
      </c>
      <c r="AC533">
        <v>3</v>
      </c>
      <c r="AD533">
        <v>0</v>
      </c>
      <c r="AE533">
        <v>9</v>
      </c>
      <c r="AF533" t="s">
        <v>138</v>
      </c>
      <c r="AG533">
        <v>0</v>
      </c>
      <c r="AH533">
        <v>3</v>
      </c>
      <c r="AI533">
        <v>1</v>
      </c>
      <c r="AJ533">
        <v>0</v>
      </c>
      <c r="AK533" t="s">
        <v>280</v>
      </c>
      <c r="AL533">
        <v>32.817793000000002</v>
      </c>
      <c r="AM533" t="s">
        <v>299</v>
      </c>
      <c r="AN533">
        <v>-116.978109</v>
      </c>
      <c r="AO533">
        <v>25</v>
      </c>
      <c r="AP533">
        <v>1600</v>
      </c>
      <c r="AQ533" t="s">
        <v>129</v>
      </c>
      <c r="AR533">
        <v>139</v>
      </c>
      <c r="AS533">
        <v>2</v>
      </c>
      <c r="AT533">
        <v>448</v>
      </c>
      <c r="BB533">
        <v>740</v>
      </c>
      <c r="BC533">
        <v>1</v>
      </c>
      <c r="BD533" t="str">
        <f t="shared" si="186"/>
        <v xml:space="preserve">N887QR  </v>
      </c>
      <c r="BE533">
        <v>1</v>
      </c>
      <c r="BG533">
        <v>0</v>
      </c>
      <c r="BH533">
        <v>0</v>
      </c>
      <c r="BI533">
        <v>0</v>
      </c>
      <c r="BJ533">
        <v>1300</v>
      </c>
      <c r="BK533">
        <v>-300</v>
      </c>
      <c r="BL533" t="s">
        <v>163</v>
      </c>
      <c r="BM533">
        <v>1</v>
      </c>
      <c r="BN533">
        <v>1</v>
      </c>
      <c r="BO533">
        <v>1</v>
      </c>
      <c r="BP533">
        <v>0</v>
      </c>
      <c r="BS533">
        <v>0</v>
      </c>
      <c r="BT533">
        <v>0</v>
      </c>
      <c r="BU533">
        <v>0</v>
      </c>
      <c r="CE533" t="str">
        <f t="shared" si="191"/>
        <v>19:27:05.884</v>
      </c>
      <c r="CF533">
        <v>884233224</v>
      </c>
      <c r="CS533">
        <v>3</v>
      </c>
      <c r="CT533">
        <v>2</v>
      </c>
      <c r="CU533">
        <v>0</v>
      </c>
      <c r="CV533">
        <v>2</v>
      </c>
      <c r="CW533">
        <v>0</v>
      </c>
      <c r="CX533">
        <v>6</v>
      </c>
      <c r="CY533">
        <v>7</v>
      </c>
      <c r="CZ533" t="s">
        <v>131</v>
      </c>
      <c r="DA533">
        <v>300</v>
      </c>
      <c r="DB533">
        <v>0</v>
      </c>
      <c r="DC533" t="s">
        <v>176</v>
      </c>
      <c r="DD533" t="s">
        <v>177</v>
      </c>
      <c r="DG533">
        <v>5365155</v>
      </c>
      <c r="DI533">
        <v>1</v>
      </c>
      <c r="DJ533">
        <v>0</v>
      </c>
      <c r="DK533">
        <v>1</v>
      </c>
      <c r="DL533">
        <v>0</v>
      </c>
      <c r="DM533">
        <v>0</v>
      </c>
      <c r="DN533">
        <v>1</v>
      </c>
      <c r="DO533">
        <v>0</v>
      </c>
      <c r="DP533">
        <v>0</v>
      </c>
      <c r="DQ533">
        <v>0</v>
      </c>
      <c r="DR533">
        <v>0</v>
      </c>
      <c r="DS533">
        <v>0</v>
      </c>
    </row>
    <row r="534" spans="1:123" x14ac:dyDescent="0.3">
      <c r="A534" t="str">
        <f t="shared" si="189"/>
        <v>10/04/2022 19:27:06.109</v>
      </c>
      <c r="C534" t="str">
        <f t="shared" si="184"/>
        <v>FFDFD3C0</v>
      </c>
      <c r="D534" t="s">
        <v>134</v>
      </c>
      <c r="E534">
        <v>15</v>
      </c>
      <c r="J534" t="s">
        <v>135</v>
      </c>
      <c r="K534">
        <v>0</v>
      </c>
      <c r="L534">
        <v>3</v>
      </c>
      <c r="M534">
        <v>0</v>
      </c>
      <c r="N534">
        <v>2</v>
      </c>
      <c r="O534">
        <v>0</v>
      </c>
      <c r="P534">
        <v>1</v>
      </c>
      <c r="Q534">
        <v>0</v>
      </c>
      <c r="S534" t="str">
        <f t="shared" si="190"/>
        <v>19:27:05.000</v>
      </c>
      <c r="T534" t="str">
        <f t="shared" si="190"/>
        <v>19:27:05.000</v>
      </c>
      <c r="U534" t="str">
        <f t="shared" si="185"/>
        <v>AC3944</v>
      </c>
      <c r="V534">
        <v>0</v>
      </c>
      <c r="W534">
        <v>0</v>
      </c>
      <c r="X534">
        <v>2</v>
      </c>
      <c r="Y534">
        <v>0</v>
      </c>
      <c r="AA534">
        <v>1</v>
      </c>
      <c r="AB534">
        <v>8</v>
      </c>
      <c r="AC534">
        <v>3</v>
      </c>
      <c r="AD534">
        <v>0</v>
      </c>
      <c r="AE534">
        <v>9</v>
      </c>
      <c r="AF534" t="s">
        <v>138</v>
      </c>
      <c r="AG534">
        <v>0</v>
      </c>
      <c r="AH534">
        <v>3</v>
      </c>
      <c r="AI534">
        <v>1</v>
      </c>
      <c r="AJ534">
        <v>0</v>
      </c>
      <c r="AK534" t="s">
        <v>280</v>
      </c>
      <c r="AL534">
        <v>32.817793000000002</v>
      </c>
      <c r="AM534" t="s">
        <v>299</v>
      </c>
      <c r="AN534">
        <v>-116.978109</v>
      </c>
      <c r="AO534">
        <v>25</v>
      </c>
      <c r="AP534">
        <v>1600</v>
      </c>
      <c r="AQ534" t="s">
        <v>129</v>
      </c>
      <c r="AR534">
        <v>139</v>
      </c>
      <c r="AS534">
        <v>2</v>
      </c>
      <c r="AT534">
        <v>448</v>
      </c>
      <c r="BB534">
        <v>740</v>
      </c>
      <c r="BC534">
        <v>1</v>
      </c>
      <c r="BD534" t="str">
        <f t="shared" si="186"/>
        <v xml:space="preserve">N887QR  </v>
      </c>
      <c r="BE534">
        <v>1</v>
      </c>
      <c r="BG534">
        <v>0</v>
      </c>
      <c r="BH534">
        <v>0</v>
      </c>
      <c r="BI534">
        <v>0</v>
      </c>
      <c r="BJ534">
        <v>1300</v>
      </c>
      <c r="BK534">
        <v>-300</v>
      </c>
      <c r="BL534" t="s">
        <v>163</v>
      </c>
      <c r="BM534">
        <v>1</v>
      </c>
      <c r="BN534">
        <v>1</v>
      </c>
      <c r="BO534">
        <v>1</v>
      </c>
      <c r="BP534">
        <v>0</v>
      </c>
      <c r="BS534">
        <v>0</v>
      </c>
      <c r="BT534">
        <v>0</v>
      </c>
      <c r="BU534">
        <v>0</v>
      </c>
      <c r="CE534" t="str">
        <f t="shared" si="191"/>
        <v>19:27:05.884</v>
      </c>
      <c r="CF534">
        <v>884233224</v>
      </c>
      <c r="CS534">
        <v>3</v>
      </c>
      <c r="CT534">
        <v>2</v>
      </c>
      <c r="CU534">
        <v>0</v>
      </c>
      <c r="CV534">
        <v>2</v>
      </c>
      <c r="CW534">
        <v>0</v>
      </c>
      <c r="CX534">
        <v>6</v>
      </c>
      <c r="CY534">
        <v>7</v>
      </c>
      <c r="CZ534" t="s">
        <v>131</v>
      </c>
      <c r="DA534">
        <v>300</v>
      </c>
      <c r="DB534">
        <v>0</v>
      </c>
      <c r="DC534" t="s">
        <v>176</v>
      </c>
      <c r="DD534" t="s">
        <v>177</v>
      </c>
      <c r="DG534">
        <v>5365155</v>
      </c>
      <c r="DI534">
        <v>1</v>
      </c>
      <c r="DJ534">
        <v>0</v>
      </c>
      <c r="DK534">
        <v>1</v>
      </c>
      <c r="DL534">
        <v>0</v>
      </c>
      <c r="DM534">
        <v>0</v>
      </c>
      <c r="DN534">
        <v>1</v>
      </c>
      <c r="DO534">
        <v>0</v>
      </c>
      <c r="DP534">
        <v>0</v>
      </c>
      <c r="DQ534">
        <v>0</v>
      </c>
      <c r="DR534">
        <v>0</v>
      </c>
      <c r="DS534">
        <v>0</v>
      </c>
    </row>
    <row r="535" spans="1:123" x14ac:dyDescent="0.3">
      <c r="A535" t="str">
        <f>"10/04/2022 19:27:07.712"</f>
        <v>10/04/2022 19:27:07.712</v>
      </c>
      <c r="C535" t="str">
        <f t="shared" si="184"/>
        <v>FFDFD3C0</v>
      </c>
      <c r="D535" t="s">
        <v>134</v>
      </c>
      <c r="E535">
        <v>15</v>
      </c>
      <c r="J535" t="s">
        <v>135</v>
      </c>
      <c r="K535">
        <v>0</v>
      </c>
      <c r="L535">
        <v>3</v>
      </c>
      <c r="M535">
        <v>0</v>
      </c>
      <c r="N535">
        <v>2</v>
      </c>
      <c r="O535">
        <v>0</v>
      </c>
      <c r="P535">
        <v>1</v>
      </c>
      <c r="Q535">
        <v>0</v>
      </c>
      <c r="S535" t="str">
        <f t="shared" ref="S535:T548" si="192">"19:27:07.000"</f>
        <v>19:27:07.000</v>
      </c>
      <c r="T535" t="str">
        <f t="shared" si="192"/>
        <v>19:27:07.000</v>
      </c>
      <c r="U535" t="str">
        <f t="shared" si="185"/>
        <v>AC3944</v>
      </c>
      <c r="V535">
        <v>0</v>
      </c>
      <c r="W535">
        <v>0</v>
      </c>
      <c r="X535">
        <v>2</v>
      </c>
      <c r="Y535">
        <v>0</v>
      </c>
      <c r="AA535">
        <v>1</v>
      </c>
      <c r="AB535">
        <v>8</v>
      </c>
      <c r="AC535">
        <v>3</v>
      </c>
      <c r="AD535">
        <v>0</v>
      </c>
      <c r="AE535">
        <v>9</v>
      </c>
      <c r="AF535" t="s">
        <v>138</v>
      </c>
      <c r="AG535">
        <v>0</v>
      </c>
      <c r="AH535">
        <v>3</v>
      </c>
      <c r="AI535">
        <v>1</v>
      </c>
      <c r="AJ535">
        <v>0</v>
      </c>
      <c r="AK535" t="s">
        <v>280</v>
      </c>
      <c r="AL535">
        <v>32.817793000000002</v>
      </c>
      <c r="AM535" t="s">
        <v>300</v>
      </c>
      <c r="AN535">
        <v>-116.977358</v>
      </c>
      <c r="AO535">
        <v>25</v>
      </c>
      <c r="AP535">
        <v>1700</v>
      </c>
      <c r="AQ535" t="s">
        <v>129</v>
      </c>
      <c r="AR535">
        <v>137</v>
      </c>
      <c r="AS535">
        <v>1</v>
      </c>
      <c r="AT535">
        <v>640</v>
      </c>
      <c r="BB535">
        <v>740</v>
      </c>
      <c r="BC535">
        <v>1</v>
      </c>
      <c r="BD535" t="str">
        <f t="shared" si="186"/>
        <v xml:space="preserve">N887QR  </v>
      </c>
      <c r="BE535">
        <v>1</v>
      </c>
      <c r="BG535">
        <v>0</v>
      </c>
      <c r="BH535">
        <v>0</v>
      </c>
      <c r="BI535">
        <v>0</v>
      </c>
      <c r="BJ535">
        <v>1300</v>
      </c>
      <c r="BK535">
        <v>-400</v>
      </c>
      <c r="BL535" t="s">
        <v>163</v>
      </c>
      <c r="BM535">
        <v>1</v>
      </c>
      <c r="BN535">
        <v>1</v>
      </c>
      <c r="BO535">
        <v>1</v>
      </c>
      <c r="BP535">
        <v>0</v>
      </c>
      <c r="BS535">
        <v>0</v>
      </c>
      <c r="BT535">
        <v>0</v>
      </c>
      <c r="BU535">
        <v>0</v>
      </c>
      <c r="CE535" t="str">
        <f t="shared" ref="CE535:CE541" si="193">"19:27:07.487"</f>
        <v>19:27:07.487</v>
      </c>
      <c r="CF535">
        <v>487238312</v>
      </c>
      <c r="CS535">
        <v>3</v>
      </c>
      <c r="CT535">
        <v>2</v>
      </c>
      <c r="CU535">
        <v>0</v>
      </c>
      <c r="CV535">
        <v>2</v>
      </c>
      <c r="CW535">
        <v>0</v>
      </c>
      <c r="CX535">
        <v>6</v>
      </c>
      <c r="CY535">
        <v>7</v>
      </c>
      <c r="CZ535" t="s">
        <v>131</v>
      </c>
      <c r="DA535">
        <v>300</v>
      </c>
      <c r="DB535">
        <v>0</v>
      </c>
      <c r="DC535" t="s">
        <v>176</v>
      </c>
      <c r="DD535" t="s">
        <v>177</v>
      </c>
      <c r="DG535">
        <v>5365411</v>
      </c>
      <c r="DI535">
        <v>1</v>
      </c>
      <c r="DJ535">
        <v>0</v>
      </c>
      <c r="DK535">
        <v>0</v>
      </c>
      <c r="DL535">
        <v>0</v>
      </c>
      <c r="DM535">
        <v>0</v>
      </c>
      <c r="DN535">
        <v>1</v>
      </c>
      <c r="DO535">
        <v>0</v>
      </c>
      <c r="DP535">
        <v>0</v>
      </c>
      <c r="DQ535">
        <v>0</v>
      </c>
      <c r="DR535">
        <v>0</v>
      </c>
      <c r="DS535">
        <v>0</v>
      </c>
    </row>
    <row r="536" spans="1:123" x14ac:dyDescent="0.3">
      <c r="A536" t="str">
        <f>"10/04/2022 19:27:07.712"</f>
        <v>10/04/2022 19:27:07.712</v>
      </c>
      <c r="C536" t="str">
        <f t="shared" si="184"/>
        <v>FFDFD3C0</v>
      </c>
      <c r="D536" t="s">
        <v>141</v>
      </c>
      <c r="E536">
        <v>3</v>
      </c>
      <c r="H536">
        <v>3</v>
      </c>
      <c r="I536" t="s">
        <v>146</v>
      </c>
      <c r="J536" t="s">
        <v>138</v>
      </c>
      <c r="K536">
        <v>0</v>
      </c>
      <c r="L536">
        <v>3</v>
      </c>
      <c r="M536">
        <v>0</v>
      </c>
      <c r="N536">
        <v>2</v>
      </c>
      <c r="O536">
        <v>0</v>
      </c>
      <c r="P536">
        <v>1</v>
      </c>
      <c r="Q536">
        <v>0</v>
      </c>
      <c r="S536" t="str">
        <f t="shared" si="192"/>
        <v>19:27:07.000</v>
      </c>
      <c r="T536" t="str">
        <f t="shared" si="192"/>
        <v>19:27:07.000</v>
      </c>
      <c r="U536" t="str">
        <f t="shared" si="185"/>
        <v>AC3944</v>
      </c>
      <c r="V536">
        <v>0</v>
      </c>
      <c r="W536">
        <v>0</v>
      </c>
      <c r="X536">
        <v>2</v>
      </c>
      <c r="Y536">
        <v>0</v>
      </c>
      <c r="AA536">
        <v>1</v>
      </c>
      <c r="AB536">
        <v>8</v>
      </c>
      <c r="AC536">
        <v>3</v>
      </c>
      <c r="AD536">
        <v>0</v>
      </c>
      <c r="AE536">
        <v>9</v>
      </c>
      <c r="AF536" t="s">
        <v>138</v>
      </c>
      <c r="AG536">
        <v>0</v>
      </c>
      <c r="AH536">
        <v>3</v>
      </c>
      <c r="AI536">
        <v>1</v>
      </c>
      <c r="AJ536">
        <v>0</v>
      </c>
      <c r="AK536" t="s">
        <v>280</v>
      </c>
      <c r="AL536">
        <v>32.817793000000002</v>
      </c>
      <c r="AM536" t="s">
        <v>300</v>
      </c>
      <c r="AN536">
        <v>-116.977358</v>
      </c>
      <c r="AO536">
        <v>25</v>
      </c>
      <c r="AP536">
        <v>1700</v>
      </c>
      <c r="AQ536" t="s">
        <v>129</v>
      </c>
      <c r="AR536">
        <v>137</v>
      </c>
      <c r="AS536">
        <v>1</v>
      </c>
      <c r="AT536">
        <v>640</v>
      </c>
      <c r="BB536">
        <v>740</v>
      </c>
      <c r="BC536">
        <v>1</v>
      </c>
      <c r="BD536" t="str">
        <f t="shared" si="186"/>
        <v xml:space="preserve">N887QR  </v>
      </c>
      <c r="BE536">
        <v>1</v>
      </c>
      <c r="BG536">
        <v>0</v>
      </c>
      <c r="BH536">
        <v>0</v>
      </c>
      <c r="BI536">
        <v>0</v>
      </c>
      <c r="BJ536">
        <v>1300</v>
      </c>
      <c r="BK536">
        <v>-400</v>
      </c>
      <c r="BL536" t="s">
        <v>163</v>
      </c>
      <c r="BM536">
        <v>1</v>
      </c>
      <c r="BN536">
        <v>1</v>
      </c>
      <c r="BO536">
        <v>1</v>
      </c>
      <c r="BP536">
        <v>0</v>
      </c>
      <c r="BS536">
        <v>0</v>
      </c>
      <c r="BT536">
        <v>0</v>
      </c>
      <c r="BU536">
        <v>0</v>
      </c>
      <c r="CE536" t="str">
        <f t="shared" si="193"/>
        <v>19:27:07.487</v>
      </c>
      <c r="CF536">
        <v>487238312</v>
      </c>
      <c r="CS536">
        <v>3</v>
      </c>
      <c r="CT536">
        <v>2</v>
      </c>
      <c r="CU536">
        <v>0</v>
      </c>
      <c r="CV536">
        <v>2</v>
      </c>
      <c r="CW536">
        <v>0</v>
      </c>
      <c r="CX536">
        <v>6</v>
      </c>
      <c r="CY536">
        <v>7</v>
      </c>
      <c r="CZ536" t="s">
        <v>131</v>
      </c>
      <c r="DA536">
        <v>300</v>
      </c>
      <c r="DB536">
        <v>0</v>
      </c>
      <c r="DC536" t="s">
        <v>176</v>
      </c>
      <c r="DD536" t="s">
        <v>177</v>
      </c>
      <c r="DG536">
        <v>5365411</v>
      </c>
      <c r="DI536">
        <v>1</v>
      </c>
      <c r="DJ536">
        <v>0</v>
      </c>
      <c r="DK536">
        <v>1</v>
      </c>
      <c r="DL536">
        <v>0</v>
      </c>
      <c r="DM536">
        <v>0</v>
      </c>
      <c r="DN536">
        <v>1</v>
      </c>
      <c r="DO536">
        <v>0</v>
      </c>
      <c r="DP536">
        <v>0</v>
      </c>
      <c r="DQ536">
        <v>0</v>
      </c>
      <c r="DR536">
        <v>0</v>
      </c>
      <c r="DS536">
        <v>0</v>
      </c>
    </row>
    <row r="537" spans="1:123" x14ac:dyDescent="0.3">
      <c r="A537" t="str">
        <f>"10/04/2022 19:27:07.712"</f>
        <v>10/04/2022 19:27:07.712</v>
      </c>
      <c r="C537" t="str">
        <f t="shared" si="184"/>
        <v>FFDFD3C0</v>
      </c>
      <c r="D537" t="s">
        <v>136</v>
      </c>
      <c r="E537">
        <v>8</v>
      </c>
      <c r="H537">
        <v>225</v>
      </c>
      <c r="I537" t="s">
        <v>137</v>
      </c>
      <c r="J537" t="s">
        <v>138</v>
      </c>
      <c r="K537">
        <v>0</v>
      </c>
      <c r="L537">
        <v>3</v>
      </c>
      <c r="M537">
        <v>0</v>
      </c>
      <c r="N537">
        <v>2</v>
      </c>
      <c r="O537">
        <v>0</v>
      </c>
      <c r="P537">
        <v>1</v>
      </c>
      <c r="Q537">
        <v>0</v>
      </c>
      <c r="S537" t="str">
        <f t="shared" si="192"/>
        <v>19:27:07.000</v>
      </c>
      <c r="T537" t="str">
        <f t="shared" si="192"/>
        <v>19:27:07.000</v>
      </c>
      <c r="U537" t="str">
        <f t="shared" si="185"/>
        <v>AC3944</v>
      </c>
      <c r="V537">
        <v>0</v>
      </c>
      <c r="W537">
        <v>0</v>
      </c>
      <c r="X537">
        <v>2</v>
      </c>
      <c r="Y537">
        <v>0</v>
      </c>
      <c r="AA537">
        <v>1</v>
      </c>
      <c r="AB537">
        <v>8</v>
      </c>
      <c r="AC537">
        <v>3</v>
      </c>
      <c r="AD537">
        <v>0</v>
      </c>
      <c r="AE537">
        <v>9</v>
      </c>
      <c r="AF537" t="s">
        <v>138</v>
      </c>
      <c r="AG537">
        <v>0</v>
      </c>
      <c r="AH537">
        <v>3</v>
      </c>
      <c r="AI537">
        <v>1</v>
      </c>
      <c r="AJ537">
        <v>0</v>
      </c>
      <c r="AK537" t="s">
        <v>280</v>
      </c>
      <c r="AL537">
        <v>32.817793000000002</v>
      </c>
      <c r="AM537" t="s">
        <v>300</v>
      </c>
      <c r="AN537">
        <v>-116.977358</v>
      </c>
      <c r="AO537">
        <v>25</v>
      </c>
      <c r="AP537">
        <v>1700</v>
      </c>
      <c r="AQ537" t="s">
        <v>129</v>
      </c>
      <c r="AR537">
        <v>137</v>
      </c>
      <c r="AS537">
        <v>1</v>
      </c>
      <c r="AT537">
        <v>640</v>
      </c>
      <c r="BB537">
        <v>740</v>
      </c>
      <c r="BC537">
        <v>1</v>
      </c>
      <c r="BD537" t="str">
        <f t="shared" si="186"/>
        <v xml:space="preserve">N887QR  </v>
      </c>
      <c r="BE537">
        <v>1</v>
      </c>
      <c r="BG537">
        <v>0</v>
      </c>
      <c r="BH537">
        <v>0</v>
      </c>
      <c r="BI537">
        <v>0</v>
      </c>
      <c r="BJ537">
        <v>1300</v>
      </c>
      <c r="BK537">
        <v>-400</v>
      </c>
      <c r="BL537" t="s">
        <v>163</v>
      </c>
      <c r="BM537">
        <v>1</v>
      </c>
      <c r="BN537">
        <v>1</v>
      </c>
      <c r="BO537">
        <v>1</v>
      </c>
      <c r="BP537">
        <v>0</v>
      </c>
      <c r="BS537">
        <v>0</v>
      </c>
      <c r="BT537">
        <v>0</v>
      </c>
      <c r="BU537">
        <v>0</v>
      </c>
      <c r="CE537" t="str">
        <f t="shared" si="193"/>
        <v>19:27:07.487</v>
      </c>
      <c r="CF537">
        <v>487238312</v>
      </c>
      <c r="CS537">
        <v>3</v>
      </c>
      <c r="CT537">
        <v>2</v>
      </c>
      <c r="CU537">
        <v>0</v>
      </c>
      <c r="CV537">
        <v>2</v>
      </c>
      <c r="CW537">
        <v>0</v>
      </c>
      <c r="CX537">
        <v>6</v>
      </c>
      <c r="CY537">
        <v>7</v>
      </c>
      <c r="CZ537" t="s">
        <v>131</v>
      </c>
      <c r="DA537">
        <v>300</v>
      </c>
      <c r="DB537">
        <v>0</v>
      </c>
      <c r="DC537" t="s">
        <v>176</v>
      </c>
      <c r="DD537" t="s">
        <v>177</v>
      </c>
      <c r="DG537">
        <v>5365411</v>
      </c>
      <c r="DI537">
        <v>1</v>
      </c>
      <c r="DJ537">
        <v>0</v>
      </c>
      <c r="DK537">
        <v>1</v>
      </c>
      <c r="DL537">
        <v>0</v>
      </c>
      <c r="DM537">
        <v>0</v>
      </c>
      <c r="DN537">
        <v>1</v>
      </c>
      <c r="DO537">
        <v>0</v>
      </c>
      <c r="DP537">
        <v>0</v>
      </c>
      <c r="DQ537">
        <v>0</v>
      </c>
      <c r="DR537">
        <v>0</v>
      </c>
      <c r="DS537">
        <v>0</v>
      </c>
    </row>
    <row r="538" spans="1:123" x14ac:dyDescent="0.3">
      <c r="A538" t="str">
        <f>"10/04/2022 19:27:07.743"</f>
        <v>10/04/2022 19:27:07.743</v>
      </c>
      <c r="C538" t="str">
        <f t="shared" si="184"/>
        <v>FFDFD3C0</v>
      </c>
      <c r="D538" t="s">
        <v>123</v>
      </c>
      <c r="E538">
        <v>7</v>
      </c>
      <c r="F538">
        <v>2007</v>
      </c>
      <c r="G538" t="s">
        <v>124</v>
      </c>
      <c r="J538" t="s">
        <v>125</v>
      </c>
      <c r="K538">
        <v>0</v>
      </c>
      <c r="L538">
        <v>3</v>
      </c>
      <c r="M538">
        <v>0</v>
      </c>
      <c r="N538">
        <v>2</v>
      </c>
      <c r="O538">
        <v>0</v>
      </c>
      <c r="P538">
        <v>1</v>
      </c>
      <c r="Q538">
        <v>0</v>
      </c>
      <c r="S538" t="str">
        <f t="shared" si="192"/>
        <v>19:27:07.000</v>
      </c>
      <c r="T538" t="str">
        <f t="shared" si="192"/>
        <v>19:27:07.000</v>
      </c>
      <c r="U538" t="str">
        <f t="shared" si="185"/>
        <v>AC3944</v>
      </c>
      <c r="V538">
        <v>0</v>
      </c>
      <c r="W538">
        <v>0</v>
      </c>
      <c r="X538">
        <v>2</v>
      </c>
      <c r="Y538">
        <v>0</v>
      </c>
      <c r="AA538">
        <v>1</v>
      </c>
      <c r="AB538">
        <v>8</v>
      </c>
      <c r="AC538">
        <v>3</v>
      </c>
      <c r="AD538">
        <v>0</v>
      </c>
      <c r="AE538">
        <v>9</v>
      </c>
      <c r="AF538" t="s">
        <v>138</v>
      </c>
      <c r="AG538">
        <v>0</v>
      </c>
      <c r="AH538">
        <v>3</v>
      </c>
      <c r="AI538">
        <v>1</v>
      </c>
      <c r="AJ538">
        <v>0</v>
      </c>
      <c r="AK538" t="s">
        <v>280</v>
      </c>
      <c r="AL538">
        <v>32.817793000000002</v>
      </c>
      <c r="AM538" t="s">
        <v>300</v>
      </c>
      <c r="AN538">
        <v>-116.977358</v>
      </c>
      <c r="AO538">
        <v>25</v>
      </c>
      <c r="AP538">
        <v>1700</v>
      </c>
      <c r="AQ538" t="s">
        <v>129</v>
      </c>
      <c r="AR538">
        <v>137</v>
      </c>
      <c r="AS538">
        <v>1</v>
      </c>
      <c r="AT538">
        <v>640</v>
      </c>
      <c r="BB538">
        <v>740</v>
      </c>
      <c r="BC538">
        <v>1</v>
      </c>
      <c r="BD538" t="str">
        <f t="shared" si="186"/>
        <v xml:space="preserve">N887QR  </v>
      </c>
      <c r="BE538">
        <v>1</v>
      </c>
      <c r="BG538">
        <v>0</v>
      </c>
      <c r="BH538">
        <v>0</v>
      </c>
      <c r="BI538">
        <v>0</v>
      </c>
      <c r="BJ538">
        <v>1300</v>
      </c>
      <c r="BK538">
        <v>-400</v>
      </c>
      <c r="BL538" t="s">
        <v>163</v>
      </c>
      <c r="BM538">
        <v>1</v>
      </c>
      <c r="BN538">
        <v>1</v>
      </c>
      <c r="BO538">
        <v>1</v>
      </c>
      <c r="BP538">
        <v>0</v>
      </c>
      <c r="BS538">
        <v>0</v>
      </c>
      <c r="BT538">
        <v>0</v>
      </c>
      <c r="BU538">
        <v>0</v>
      </c>
      <c r="CE538" t="str">
        <f t="shared" si="193"/>
        <v>19:27:07.487</v>
      </c>
      <c r="CF538">
        <v>487238312</v>
      </c>
      <c r="CS538">
        <v>3</v>
      </c>
      <c r="CT538">
        <v>2</v>
      </c>
      <c r="CU538">
        <v>0</v>
      </c>
      <c r="CV538">
        <v>2</v>
      </c>
      <c r="CW538">
        <v>0</v>
      </c>
      <c r="CX538">
        <v>6</v>
      </c>
      <c r="CY538">
        <v>7</v>
      </c>
      <c r="CZ538" t="s">
        <v>131</v>
      </c>
      <c r="DA538">
        <v>300</v>
      </c>
      <c r="DB538">
        <v>0</v>
      </c>
      <c r="DC538" t="s">
        <v>176</v>
      </c>
      <c r="DD538" t="s">
        <v>177</v>
      </c>
      <c r="DG538">
        <v>5365411</v>
      </c>
      <c r="DI538">
        <v>1</v>
      </c>
      <c r="DJ538">
        <v>0</v>
      </c>
      <c r="DK538">
        <v>1</v>
      </c>
      <c r="DL538">
        <v>0</v>
      </c>
      <c r="DM538">
        <v>0</v>
      </c>
      <c r="DN538">
        <v>1</v>
      </c>
      <c r="DO538">
        <v>0</v>
      </c>
      <c r="DP538">
        <v>0</v>
      </c>
      <c r="DQ538">
        <v>0</v>
      </c>
      <c r="DR538">
        <v>0</v>
      </c>
      <c r="DS538">
        <v>0</v>
      </c>
    </row>
    <row r="539" spans="1:123" x14ac:dyDescent="0.3">
      <c r="A539" t="str">
        <f>"10/04/2022 19:27:07.743"</f>
        <v>10/04/2022 19:27:07.743</v>
      </c>
      <c r="C539" t="str">
        <f t="shared" si="184"/>
        <v>FFDFD3C0</v>
      </c>
      <c r="D539" t="s">
        <v>141</v>
      </c>
      <c r="E539">
        <v>4</v>
      </c>
      <c r="H539">
        <v>4</v>
      </c>
      <c r="I539" t="s">
        <v>142</v>
      </c>
      <c r="J539" t="s">
        <v>138</v>
      </c>
      <c r="K539">
        <v>0</v>
      </c>
      <c r="L539">
        <v>3</v>
      </c>
      <c r="M539">
        <v>0</v>
      </c>
      <c r="N539">
        <v>2</v>
      </c>
      <c r="O539">
        <v>0</v>
      </c>
      <c r="P539">
        <v>1</v>
      </c>
      <c r="Q539">
        <v>0</v>
      </c>
      <c r="S539" t="str">
        <f t="shared" si="192"/>
        <v>19:27:07.000</v>
      </c>
      <c r="T539" t="str">
        <f t="shared" si="192"/>
        <v>19:27:07.000</v>
      </c>
      <c r="U539" t="str">
        <f t="shared" si="185"/>
        <v>AC3944</v>
      </c>
      <c r="V539">
        <v>0</v>
      </c>
      <c r="W539">
        <v>0</v>
      </c>
      <c r="X539">
        <v>2</v>
      </c>
      <c r="Y539">
        <v>0</v>
      </c>
      <c r="AA539">
        <v>1</v>
      </c>
      <c r="AB539">
        <v>8</v>
      </c>
      <c r="AC539">
        <v>3</v>
      </c>
      <c r="AD539">
        <v>0</v>
      </c>
      <c r="AE539">
        <v>9</v>
      </c>
      <c r="AF539" t="s">
        <v>138</v>
      </c>
      <c r="AG539">
        <v>0</v>
      </c>
      <c r="AH539">
        <v>3</v>
      </c>
      <c r="AI539">
        <v>1</v>
      </c>
      <c r="AJ539">
        <v>0</v>
      </c>
      <c r="AK539" t="s">
        <v>280</v>
      </c>
      <c r="AL539">
        <v>32.817793000000002</v>
      </c>
      <c r="AM539" t="s">
        <v>300</v>
      </c>
      <c r="AN539">
        <v>-116.977358</v>
      </c>
      <c r="AO539">
        <v>25</v>
      </c>
      <c r="AP539">
        <v>1700</v>
      </c>
      <c r="AQ539" t="s">
        <v>129</v>
      </c>
      <c r="AR539">
        <v>137</v>
      </c>
      <c r="AS539">
        <v>1</v>
      </c>
      <c r="AT539">
        <v>640</v>
      </c>
      <c r="BB539">
        <v>740</v>
      </c>
      <c r="BC539">
        <v>1</v>
      </c>
      <c r="BD539" t="str">
        <f t="shared" si="186"/>
        <v xml:space="preserve">N887QR  </v>
      </c>
      <c r="BE539">
        <v>1</v>
      </c>
      <c r="BG539">
        <v>0</v>
      </c>
      <c r="BH539">
        <v>0</v>
      </c>
      <c r="BI539">
        <v>0</v>
      </c>
      <c r="BJ539">
        <v>1300</v>
      </c>
      <c r="BK539">
        <v>-400</v>
      </c>
      <c r="BL539" t="s">
        <v>163</v>
      </c>
      <c r="BM539">
        <v>1</v>
      </c>
      <c r="BN539">
        <v>1</v>
      </c>
      <c r="BO539">
        <v>1</v>
      </c>
      <c r="BP539">
        <v>0</v>
      </c>
      <c r="BS539">
        <v>0</v>
      </c>
      <c r="BT539">
        <v>0</v>
      </c>
      <c r="BU539">
        <v>0</v>
      </c>
      <c r="CE539" t="str">
        <f t="shared" si="193"/>
        <v>19:27:07.487</v>
      </c>
      <c r="CF539">
        <v>487238312</v>
      </c>
      <c r="CS539">
        <v>3</v>
      </c>
      <c r="CT539">
        <v>2</v>
      </c>
      <c r="CU539">
        <v>0</v>
      </c>
      <c r="CV539">
        <v>2</v>
      </c>
      <c r="CW539">
        <v>0</v>
      </c>
      <c r="CX539">
        <v>6</v>
      </c>
      <c r="CY539">
        <v>7</v>
      </c>
      <c r="CZ539" t="s">
        <v>131</v>
      </c>
      <c r="DA539">
        <v>300</v>
      </c>
      <c r="DB539">
        <v>0</v>
      </c>
      <c r="DC539" t="s">
        <v>176</v>
      </c>
      <c r="DD539" t="s">
        <v>177</v>
      </c>
      <c r="DG539">
        <v>5365411</v>
      </c>
      <c r="DI539">
        <v>1</v>
      </c>
      <c r="DJ539">
        <v>0</v>
      </c>
      <c r="DK539">
        <v>1</v>
      </c>
      <c r="DL539">
        <v>0</v>
      </c>
      <c r="DM539">
        <v>0</v>
      </c>
      <c r="DN539">
        <v>1</v>
      </c>
      <c r="DO539">
        <v>0</v>
      </c>
      <c r="DP539">
        <v>0</v>
      </c>
      <c r="DQ539">
        <v>0</v>
      </c>
      <c r="DR539">
        <v>0</v>
      </c>
      <c r="DS539">
        <v>0</v>
      </c>
    </row>
    <row r="540" spans="1:123" x14ac:dyDescent="0.3">
      <c r="A540" t="str">
        <f>"10/04/2022 19:27:07.712"</f>
        <v>10/04/2022 19:27:07.712</v>
      </c>
      <c r="C540" t="str">
        <f t="shared" si="184"/>
        <v>FFDFD3C0</v>
      </c>
      <c r="D540" t="s">
        <v>143</v>
      </c>
      <c r="E540">
        <v>20</v>
      </c>
      <c r="F540">
        <v>1020</v>
      </c>
      <c r="G540" t="s">
        <v>144</v>
      </c>
      <c r="J540" t="s">
        <v>145</v>
      </c>
      <c r="K540">
        <v>0</v>
      </c>
      <c r="L540">
        <v>3</v>
      </c>
      <c r="M540">
        <v>0</v>
      </c>
      <c r="N540">
        <v>2</v>
      </c>
      <c r="O540">
        <v>0</v>
      </c>
      <c r="P540">
        <v>1</v>
      </c>
      <c r="Q540">
        <v>0</v>
      </c>
      <c r="S540" t="str">
        <f t="shared" si="192"/>
        <v>19:27:07.000</v>
      </c>
      <c r="T540" t="str">
        <f t="shared" si="192"/>
        <v>19:27:07.000</v>
      </c>
      <c r="U540" t="str">
        <f t="shared" si="185"/>
        <v>AC3944</v>
      </c>
      <c r="V540">
        <v>0</v>
      </c>
      <c r="W540">
        <v>0</v>
      </c>
      <c r="X540">
        <v>2</v>
      </c>
      <c r="Y540">
        <v>0</v>
      </c>
      <c r="AA540">
        <v>1</v>
      </c>
      <c r="AB540">
        <v>8</v>
      </c>
      <c r="AC540">
        <v>3</v>
      </c>
      <c r="AD540">
        <v>0</v>
      </c>
      <c r="AE540">
        <v>9</v>
      </c>
      <c r="AF540" t="s">
        <v>138</v>
      </c>
      <c r="AG540">
        <v>0</v>
      </c>
      <c r="AH540">
        <v>3</v>
      </c>
      <c r="AI540">
        <v>1</v>
      </c>
      <c r="AJ540">
        <v>0</v>
      </c>
      <c r="AK540" t="s">
        <v>280</v>
      </c>
      <c r="AL540">
        <v>32.817793000000002</v>
      </c>
      <c r="AM540" t="s">
        <v>300</v>
      </c>
      <c r="AN540">
        <v>-116.977358</v>
      </c>
      <c r="AO540">
        <v>25</v>
      </c>
      <c r="AP540">
        <v>1700</v>
      </c>
      <c r="AQ540" t="s">
        <v>129</v>
      </c>
      <c r="AR540">
        <v>137</v>
      </c>
      <c r="AS540">
        <v>1</v>
      </c>
      <c r="AT540">
        <v>640</v>
      </c>
      <c r="BB540">
        <v>740</v>
      </c>
      <c r="BC540">
        <v>1</v>
      </c>
      <c r="BD540" t="str">
        <f t="shared" si="186"/>
        <v xml:space="preserve">N887QR  </v>
      </c>
      <c r="BE540">
        <v>1</v>
      </c>
      <c r="BG540">
        <v>0</v>
      </c>
      <c r="BH540">
        <v>0</v>
      </c>
      <c r="BI540">
        <v>0</v>
      </c>
      <c r="BJ540">
        <v>1300</v>
      </c>
      <c r="BK540">
        <v>-400</v>
      </c>
      <c r="BL540" t="s">
        <v>163</v>
      </c>
      <c r="BM540">
        <v>1</v>
      </c>
      <c r="BN540">
        <v>1</v>
      </c>
      <c r="BO540">
        <v>1</v>
      </c>
      <c r="BP540">
        <v>0</v>
      </c>
      <c r="BS540">
        <v>0</v>
      </c>
      <c r="BT540">
        <v>0</v>
      </c>
      <c r="BU540">
        <v>0</v>
      </c>
      <c r="CE540" t="str">
        <f t="shared" si="193"/>
        <v>19:27:07.487</v>
      </c>
      <c r="CF540">
        <v>487238312</v>
      </c>
      <c r="CS540">
        <v>3</v>
      </c>
      <c r="CT540">
        <v>2</v>
      </c>
      <c r="CU540">
        <v>0</v>
      </c>
      <c r="CV540">
        <v>2</v>
      </c>
      <c r="CW540">
        <v>0</v>
      </c>
      <c r="CX540">
        <v>6</v>
      </c>
      <c r="CY540">
        <v>7</v>
      </c>
      <c r="CZ540" t="s">
        <v>131</v>
      </c>
      <c r="DA540">
        <v>300</v>
      </c>
      <c r="DB540">
        <v>0</v>
      </c>
      <c r="DC540" t="s">
        <v>176</v>
      </c>
      <c r="DD540" t="s">
        <v>177</v>
      </c>
      <c r="DG540">
        <v>5365411</v>
      </c>
      <c r="DI540">
        <v>1</v>
      </c>
      <c r="DJ540">
        <v>0</v>
      </c>
      <c r="DK540">
        <v>1</v>
      </c>
      <c r="DL540">
        <v>0</v>
      </c>
      <c r="DM540">
        <v>0</v>
      </c>
      <c r="DN540">
        <v>1</v>
      </c>
      <c r="DO540">
        <v>0</v>
      </c>
      <c r="DP540">
        <v>0</v>
      </c>
      <c r="DQ540">
        <v>0</v>
      </c>
      <c r="DR540">
        <v>0</v>
      </c>
      <c r="DS540">
        <v>0</v>
      </c>
    </row>
    <row r="541" spans="1:123" x14ac:dyDescent="0.3">
      <c r="A541" t="str">
        <f>"10/04/2022 19:27:07.759"</f>
        <v>10/04/2022 19:27:07.759</v>
      </c>
      <c r="C541" t="str">
        <f t="shared" si="184"/>
        <v>FFDFD3C0</v>
      </c>
      <c r="D541" t="s">
        <v>147</v>
      </c>
      <c r="E541">
        <v>3</v>
      </c>
      <c r="H541">
        <v>166</v>
      </c>
      <c r="I541" t="s">
        <v>144</v>
      </c>
      <c r="J541" t="s">
        <v>148</v>
      </c>
      <c r="K541">
        <v>0</v>
      </c>
      <c r="L541">
        <v>3</v>
      </c>
      <c r="M541">
        <v>0</v>
      </c>
      <c r="N541">
        <v>2</v>
      </c>
      <c r="O541">
        <v>0</v>
      </c>
      <c r="P541">
        <v>1</v>
      </c>
      <c r="Q541">
        <v>0</v>
      </c>
      <c r="S541" t="str">
        <f t="shared" si="192"/>
        <v>19:27:07.000</v>
      </c>
      <c r="T541" t="str">
        <f t="shared" si="192"/>
        <v>19:27:07.000</v>
      </c>
      <c r="U541" t="str">
        <f t="shared" si="185"/>
        <v>AC3944</v>
      </c>
      <c r="V541">
        <v>0</v>
      </c>
      <c r="W541">
        <v>0</v>
      </c>
      <c r="X541">
        <v>2</v>
      </c>
      <c r="Y541">
        <v>0</v>
      </c>
      <c r="AA541">
        <v>1</v>
      </c>
      <c r="AB541">
        <v>8</v>
      </c>
      <c r="AC541">
        <v>3</v>
      </c>
      <c r="AD541">
        <v>0</v>
      </c>
      <c r="AE541">
        <v>9</v>
      </c>
      <c r="AF541" t="s">
        <v>138</v>
      </c>
      <c r="AG541">
        <v>0</v>
      </c>
      <c r="AH541">
        <v>3</v>
      </c>
      <c r="AI541">
        <v>1</v>
      </c>
      <c r="AJ541">
        <v>0</v>
      </c>
      <c r="AK541" t="s">
        <v>280</v>
      </c>
      <c r="AL541">
        <v>32.817793000000002</v>
      </c>
      <c r="AM541" t="s">
        <v>300</v>
      </c>
      <c r="AN541">
        <v>-116.977358</v>
      </c>
      <c r="AO541">
        <v>25</v>
      </c>
      <c r="AP541">
        <v>1700</v>
      </c>
      <c r="AQ541" t="s">
        <v>129</v>
      </c>
      <c r="AR541">
        <v>137</v>
      </c>
      <c r="AS541">
        <v>1</v>
      </c>
      <c r="AT541">
        <v>640</v>
      </c>
      <c r="BB541">
        <v>740</v>
      </c>
      <c r="BC541">
        <v>1</v>
      </c>
      <c r="BD541" t="str">
        <f t="shared" si="186"/>
        <v xml:space="preserve">N887QR  </v>
      </c>
      <c r="BE541">
        <v>1</v>
      </c>
      <c r="BG541">
        <v>0</v>
      </c>
      <c r="BH541">
        <v>0</v>
      </c>
      <c r="BI541">
        <v>0</v>
      </c>
      <c r="BJ541">
        <v>1300</v>
      </c>
      <c r="BK541">
        <v>-400</v>
      </c>
      <c r="BL541" t="s">
        <v>163</v>
      </c>
      <c r="BM541">
        <v>1</v>
      </c>
      <c r="BN541">
        <v>1</v>
      </c>
      <c r="BO541">
        <v>1</v>
      </c>
      <c r="BP541">
        <v>0</v>
      </c>
      <c r="BS541">
        <v>0</v>
      </c>
      <c r="BT541">
        <v>0</v>
      </c>
      <c r="BU541">
        <v>0</v>
      </c>
      <c r="CE541" t="str">
        <f t="shared" si="193"/>
        <v>19:27:07.487</v>
      </c>
      <c r="CF541">
        <v>487238312</v>
      </c>
      <c r="CS541">
        <v>3</v>
      </c>
      <c r="CT541">
        <v>2</v>
      </c>
      <c r="CU541">
        <v>0</v>
      </c>
      <c r="CV541">
        <v>2</v>
      </c>
      <c r="CW541">
        <v>0</v>
      </c>
      <c r="CX541">
        <v>6</v>
      </c>
      <c r="CY541">
        <v>7</v>
      </c>
      <c r="CZ541" t="s">
        <v>131</v>
      </c>
      <c r="DA541">
        <v>300</v>
      </c>
      <c r="DB541">
        <v>0</v>
      </c>
      <c r="DC541" t="s">
        <v>176</v>
      </c>
      <c r="DD541" t="s">
        <v>177</v>
      </c>
      <c r="DG541">
        <v>5365411</v>
      </c>
      <c r="DI541">
        <v>1</v>
      </c>
      <c r="DJ541">
        <v>0</v>
      </c>
      <c r="DK541">
        <v>1</v>
      </c>
      <c r="DL541">
        <v>0</v>
      </c>
      <c r="DM541">
        <v>0</v>
      </c>
      <c r="DN541">
        <v>1</v>
      </c>
      <c r="DO541">
        <v>0</v>
      </c>
      <c r="DP541">
        <v>0</v>
      </c>
      <c r="DQ541">
        <v>0</v>
      </c>
      <c r="DR541">
        <v>0</v>
      </c>
      <c r="DS541">
        <v>0</v>
      </c>
    </row>
    <row r="542" spans="1:123" x14ac:dyDescent="0.3">
      <c r="A542" t="str">
        <f>"10/04/2022 19:27:08.149"</f>
        <v>10/04/2022 19:27:08.149</v>
      </c>
      <c r="C542" t="str">
        <f t="shared" si="184"/>
        <v>FFDFD3C0</v>
      </c>
      <c r="D542" t="s">
        <v>141</v>
      </c>
      <c r="E542">
        <v>4</v>
      </c>
      <c r="H542">
        <v>4</v>
      </c>
      <c r="I542" t="s">
        <v>142</v>
      </c>
      <c r="J542" t="s">
        <v>138</v>
      </c>
      <c r="K542">
        <v>0</v>
      </c>
      <c r="L542">
        <v>3</v>
      </c>
      <c r="M542">
        <v>0</v>
      </c>
      <c r="N542">
        <v>2</v>
      </c>
      <c r="O542">
        <v>0</v>
      </c>
      <c r="P542">
        <v>1</v>
      </c>
      <c r="Q542">
        <v>0</v>
      </c>
      <c r="S542" t="str">
        <f t="shared" si="192"/>
        <v>19:27:07.000</v>
      </c>
      <c r="T542" t="str">
        <f t="shared" si="192"/>
        <v>19:27:07.000</v>
      </c>
      <c r="U542" t="str">
        <f t="shared" si="185"/>
        <v>AC3944</v>
      </c>
      <c r="V542">
        <v>0</v>
      </c>
      <c r="W542">
        <v>0</v>
      </c>
      <c r="X542">
        <v>2</v>
      </c>
      <c r="Y542">
        <v>0</v>
      </c>
      <c r="AA542">
        <v>1</v>
      </c>
      <c r="AB542">
        <v>8</v>
      </c>
      <c r="AC542">
        <v>3</v>
      </c>
      <c r="AD542">
        <v>0</v>
      </c>
      <c r="AE542">
        <v>9</v>
      </c>
      <c r="AF542" t="s">
        <v>138</v>
      </c>
      <c r="AG542">
        <v>0</v>
      </c>
      <c r="AH542">
        <v>3</v>
      </c>
      <c r="AI542">
        <v>1</v>
      </c>
      <c r="AJ542">
        <v>0</v>
      </c>
      <c r="AK542" t="s">
        <v>286</v>
      </c>
      <c r="AL542">
        <v>32.817813999999998</v>
      </c>
      <c r="AM542" t="s">
        <v>301</v>
      </c>
      <c r="AN542">
        <v>-116.976435</v>
      </c>
      <c r="AO542">
        <v>25</v>
      </c>
      <c r="AP542">
        <v>1700</v>
      </c>
      <c r="AQ542" t="s">
        <v>129</v>
      </c>
      <c r="AR542">
        <v>136</v>
      </c>
      <c r="AS542">
        <v>1</v>
      </c>
      <c r="AT542">
        <v>640</v>
      </c>
      <c r="BB542">
        <v>740</v>
      </c>
      <c r="BC542">
        <v>1</v>
      </c>
      <c r="BD542" t="str">
        <f t="shared" si="186"/>
        <v xml:space="preserve">N887QR  </v>
      </c>
      <c r="BE542">
        <v>1</v>
      </c>
      <c r="BG542">
        <v>0</v>
      </c>
      <c r="BH542">
        <v>0</v>
      </c>
      <c r="BI542">
        <v>0</v>
      </c>
      <c r="BJ542">
        <v>1325</v>
      </c>
      <c r="BK542">
        <v>-375</v>
      </c>
      <c r="BL542" t="s">
        <v>163</v>
      </c>
      <c r="BM542">
        <v>1</v>
      </c>
      <c r="BN542">
        <v>1</v>
      </c>
      <c r="BO542">
        <v>1</v>
      </c>
      <c r="BP542">
        <v>0</v>
      </c>
      <c r="BS542">
        <v>0.04</v>
      </c>
      <c r="BT542">
        <v>0</v>
      </c>
      <c r="BU542">
        <v>0</v>
      </c>
      <c r="CE542" t="str">
        <f t="shared" ref="CE542:CE548" si="194">"19:27:07.957"</f>
        <v>19:27:07.957</v>
      </c>
      <c r="CF542">
        <v>956989732</v>
      </c>
      <c r="CS542">
        <v>3</v>
      </c>
      <c r="CT542">
        <v>2</v>
      </c>
      <c r="CU542">
        <v>0</v>
      </c>
      <c r="CV542">
        <v>2</v>
      </c>
      <c r="CW542">
        <v>0</v>
      </c>
      <c r="CX542">
        <v>6</v>
      </c>
      <c r="CY542">
        <v>7</v>
      </c>
      <c r="CZ542" t="s">
        <v>131</v>
      </c>
      <c r="DA542">
        <v>300</v>
      </c>
      <c r="DB542">
        <v>0</v>
      </c>
      <c r="DC542" t="s">
        <v>176</v>
      </c>
      <c r="DD542" t="s">
        <v>177</v>
      </c>
      <c r="DG542">
        <v>5365486</v>
      </c>
      <c r="DI542">
        <v>1</v>
      </c>
      <c r="DJ542">
        <v>0</v>
      </c>
      <c r="DK542">
        <v>0</v>
      </c>
      <c r="DL542">
        <v>0</v>
      </c>
      <c r="DM542">
        <v>0</v>
      </c>
      <c r="DN542">
        <v>1</v>
      </c>
      <c r="DO542">
        <v>0</v>
      </c>
      <c r="DP542">
        <v>0</v>
      </c>
      <c r="DQ542">
        <v>0</v>
      </c>
      <c r="DR542">
        <v>0</v>
      </c>
      <c r="DS542">
        <v>0</v>
      </c>
    </row>
    <row r="543" spans="1:123" x14ac:dyDescent="0.3">
      <c r="A543" t="str">
        <f>"10/04/2022 19:27:08.149"</f>
        <v>10/04/2022 19:27:08.149</v>
      </c>
      <c r="C543" t="str">
        <f t="shared" si="184"/>
        <v>FFDFD3C0</v>
      </c>
      <c r="D543" t="s">
        <v>147</v>
      </c>
      <c r="E543">
        <v>3</v>
      </c>
      <c r="H543">
        <v>166</v>
      </c>
      <c r="I543" t="s">
        <v>144</v>
      </c>
      <c r="J543" t="s">
        <v>148</v>
      </c>
      <c r="K543">
        <v>0</v>
      </c>
      <c r="L543">
        <v>3</v>
      </c>
      <c r="M543">
        <v>0</v>
      </c>
      <c r="N543">
        <v>2</v>
      </c>
      <c r="O543">
        <v>0</v>
      </c>
      <c r="P543">
        <v>1</v>
      </c>
      <c r="Q543">
        <v>0</v>
      </c>
      <c r="S543" t="str">
        <f t="shared" si="192"/>
        <v>19:27:07.000</v>
      </c>
      <c r="T543" t="str">
        <f t="shared" si="192"/>
        <v>19:27:07.000</v>
      </c>
      <c r="U543" t="str">
        <f t="shared" si="185"/>
        <v>AC3944</v>
      </c>
      <c r="V543">
        <v>0</v>
      </c>
      <c r="W543">
        <v>0</v>
      </c>
      <c r="X543">
        <v>2</v>
      </c>
      <c r="Y543">
        <v>0</v>
      </c>
      <c r="AA543">
        <v>1</v>
      </c>
      <c r="AB543">
        <v>8</v>
      </c>
      <c r="AC543">
        <v>3</v>
      </c>
      <c r="AD543">
        <v>0</v>
      </c>
      <c r="AE543">
        <v>9</v>
      </c>
      <c r="AF543" t="s">
        <v>138</v>
      </c>
      <c r="AG543">
        <v>0</v>
      </c>
      <c r="AH543">
        <v>3</v>
      </c>
      <c r="AI543">
        <v>1</v>
      </c>
      <c r="AJ543">
        <v>0</v>
      </c>
      <c r="AK543" t="s">
        <v>286</v>
      </c>
      <c r="AL543">
        <v>32.817813999999998</v>
      </c>
      <c r="AM543" t="s">
        <v>301</v>
      </c>
      <c r="AN543">
        <v>-116.976435</v>
      </c>
      <c r="AO543">
        <v>25</v>
      </c>
      <c r="AP543">
        <v>1700</v>
      </c>
      <c r="AQ543" t="s">
        <v>129</v>
      </c>
      <c r="AR543">
        <v>136</v>
      </c>
      <c r="AS543">
        <v>1</v>
      </c>
      <c r="AT543">
        <v>640</v>
      </c>
      <c r="BB543">
        <v>740</v>
      </c>
      <c r="BC543">
        <v>1</v>
      </c>
      <c r="BD543" t="str">
        <f t="shared" si="186"/>
        <v xml:space="preserve">N887QR  </v>
      </c>
      <c r="BE543">
        <v>1</v>
      </c>
      <c r="BG543">
        <v>0</v>
      </c>
      <c r="BH543">
        <v>0</v>
      </c>
      <c r="BI543">
        <v>0</v>
      </c>
      <c r="BJ543">
        <v>1325</v>
      </c>
      <c r="BK543">
        <v>-375</v>
      </c>
      <c r="BL543" t="s">
        <v>163</v>
      </c>
      <c r="BM543">
        <v>1</v>
      </c>
      <c r="BN543">
        <v>1</v>
      </c>
      <c r="BO543">
        <v>1</v>
      </c>
      <c r="BP543">
        <v>0</v>
      </c>
      <c r="BS543">
        <v>0.04</v>
      </c>
      <c r="BT543">
        <v>0</v>
      </c>
      <c r="BU543">
        <v>0</v>
      </c>
      <c r="CE543" t="str">
        <f t="shared" si="194"/>
        <v>19:27:07.957</v>
      </c>
      <c r="CF543">
        <v>956989732</v>
      </c>
      <c r="CS543">
        <v>3</v>
      </c>
      <c r="CT543">
        <v>2</v>
      </c>
      <c r="CU543">
        <v>0</v>
      </c>
      <c r="CV543">
        <v>2</v>
      </c>
      <c r="CW543">
        <v>0</v>
      </c>
      <c r="CX543">
        <v>6</v>
      </c>
      <c r="CY543">
        <v>7</v>
      </c>
      <c r="CZ543" t="s">
        <v>131</v>
      </c>
      <c r="DA543">
        <v>300</v>
      </c>
      <c r="DB543">
        <v>0</v>
      </c>
      <c r="DC543" t="s">
        <v>176</v>
      </c>
      <c r="DD543" t="s">
        <v>177</v>
      </c>
      <c r="DG543">
        <v>5365486</v>
      </c>
      <c r="DI543">
        <v>1</v>
      </c>
      <c r="DJ543">
        <v>0</v>
      </c>
      <c r="DK543">
        <v>1</v>
      </c>
      <c r="DL543">
        <v>0</v>
      </c>
      <c r="DM543">
        <v>0</v>
      </c>
      <c r="DN543">
        <v>1</v>
      </c>
      <c r="DO543">
        <v>0</v>
      </c>
      <c r="DP543">
        <v>0</v>
      </c>
      <c r="DQ543">
        <v>0</v>
      </c>
      <c r="DR543">
        <v>0</v>
      </c>
      <c r="DS543">
        <v>0</v>
      </c>
    </row>
    <row r="544" spans="1:123" x14ac:dyDescent="0.3">
      <c r="A544" t="str">
        <f>"10/04/2022 19:27:08.165"</f>
        <v>10/04/2022 19:27:08.165</v>
      </c>
      <c r="C544" t="str">
        <f t="shared" si="184"/>
        <v>FFDFD3C0</v>
      </c>
      <c r="D544" t="s">
        <v>134</v>
      </c>
      <c r="E544">
        <v>15</v>
      </c>
      <c r="J544" t="s">
        <v>135</v>
      </c>
      <c r="K544">
        <v>0</v>
      </c>
      <c r="L544">
        <v>3</v>
      </c>
      <c r="M544">
        <v>0</v>
      </c>
      <c r="N544">
        <v>2</v>
      </c>
      <c r="O544">
        <v>0</v>
      </c>
      <c r="P544">
        <v>1</v>
      </c>
      <c r="Q544">
        <v>0</v>
      </c>
      <c r="S544" t="str">
        <f t="shared" si="192"/>
        <v>19:27:07.000</v>
      </c>
      <c r="T544" t="str">
        <f t="shared" si="192"/>
        <v>19:27:07.000</v>
      </c>
      <c r="U544" t="str">
        <f t="shared" si="185"/>
        <v>AC3944</v>
      </c>
      <c r="V544">
        <v>0</v>
      </c>
      <c r="W544">
        <v>0</v>
      </c>
      <c r="X544">
        <v>2</v>
      </c>
      <c r="Y544">
        <v>0</v>
      </c>
      <c r="AA544">
        <v>1</v>
      </c>
      <c r="AB544">
        <v>8</v>
      </c>
      <c r="AC544">
        <v>3</v>
      </c>
      <c r="AD544">
        <v>0</v>
      </c>
      <c r="AE544">
        <v>9</v>
      </c>
      <c r="AF544" t="s">
        <v>138</v>
      </c>
      <c r="AG544">
        <v>0</v>
      </c>
      <c r="AH544">
        <v>3</v>
      </c>
      <c r="AI544">
        <v>1</v>
      </c>
      <c r="AJ544">
        <v>0</v>
      </c>
      <c r="AK544" t="s">
        <v>286</v>
      </c>
      <c r="AL544">
        <v>32.817813999999998</v>
      </c>
      <c r="AM544" t="s">
        <v>301</v>
      </c>
      <c r="AN544">
        <v>-116.976435</v>
      </c>
      <c r="AO544">
        <v>25</v>
      </c>
      <c r="AP544">
        <v>1700</v>
      </c>
      <c r="AQ544" t="s">
        <v>129</v>
      </c>
      <c r="AR544">
        <v>136</v>
      </c>
      <c r="AS544">
        <v>1</v>
      </c>
      <c r="AT544">
        <v>640</v>
      </c>
      <c r="BB544">
        <v>740</v>
      </c>
      <c r="BC544">
        <v>1</v>
      </c>
      <c r="BD544" t="str">
        <f t="shared" si="186"/>
        <v xml:space="preserve">N887QR  </v>
      </c>
      <c r="BE544">
        <v>1</v>
      </c>
      <c r="BG544">
        <v>0</v>
      </c>
      <c r="BH544">
        <v>0</v>
      </c>
      <c r="BI544">
        <v>0</v>
      </c>
      <c r="BJ544">
        <v>1325</v>
      </c>
      <c r="BK544">
        <v>-375</v>
      </c>
      <c r="BL544" t="s">
        <v>163</v>
      </c>
      <c r="BM544">
        <v>1</v>
      </c>
      <c r="BN544">
        <v>1</v>
      </c>
      <c r="BO544">
        <v>1</v>
      </c>
      <c r="BP544">
        <v>0</v>
      </c>
      <c r="BS544">
        <v>0</v>
      </c>
      <c r="BT544">
        <v>0</v>
      </c>
      <c r="BU544">
        <v>0</v>
      </c>
      <c r="CE544" t="str">
        <f t="shared" si="194"/>
        <v>19:27:07.957</v>
      </c>
      <c r="CF544">
        <v>956989732</v>
      </c>
      <c r="CS544">
        <v>3</v>
      </c>
      <c r="CT544">
        <v>2</v>
      </c>
      <c r="CU544">
        <v>0</v>
      </c>
      <c r="CV544">
        <v>2</v>
      </c>
      <c r="CW544">
        <v>0</v>
      </c>
      <c r="CX544">
        <v>6</v>
      </c>
      <c r="CY544">
        <v>7</v>
      </c>
      <c r="CZ544" t="s">
        <v>131</v>
      </c>
      <c r="DA544">
        <v>300</v>
      </c>
      <c r="DB544">
        <v>0</v>
      </c>
      <c r="DC544" t="s">
        <v>176</v>
      </c>
      <c r="DD544" t="s">
        <v>177</v>
      </c>
      <c r="DG544">
        <v>5365486</v>
      </c>
      <c r="DI544">
        <v>1</v>
      </c>
      <c r="DJ544">
        <v>0</v>
      </c>
      <c r="DK544">
        <v>1</v>
      </c>
      <c r="DL544">
        <v>0</v>
      </c>
      <c r="DM544">
        <v>0</v>
      </c>
      <c r="DN544">
        <v>1</v>
      </c>
      <c r="DO544">
        <v>0</v>
      </c>
      <c r="DP544">
        <v>0</v>
      </c>
      <c r="DQ544">
        <v>0</v>
      </c>
      <c r="DR544">
        <v>0</v>
      </c>
      <c r="DS544">
        <v>0</v>
      </c>
    </row>
    <row r="545" spans="1:123" x14ac:dyDescent="0.3">
      <c r="A545" t="str">
        <f>"10/04/2022 19:27:08.165"</f>
        <v>10/04/2022 19:27:08.165</v>
      </c>
      <c r="C545" t="str">
        <f t="shared" si="184"/>
        <v>FFDFD3C0</v>
      </c>
      <c r="D545" t="s">
        <v>143</v>
      </c>
      <c r="E545">
        <v>20</v>
      </c>
      <c r="F545">
        <v>1020</v>
      </c>
      <c r="G545" t="s">
        <v>144</v>
      </c>
      <c r="J545" t="s">
        <v>145</v>
      </c>
      <c r="K545">
        <v>0</v>
      </c>
      <c r="L545">
        <v>3</v>
      </c>
      <c r="M545">
        <v>0</v>
      </c>
      <c r="N545">
        <v>2</v>
      </c>
      <c r="O545">
        <v>0</v>
      </c>
      <c r="P545">
        <v>1</v>
      </c>
      <c r="Q545">
        <v>0</v>
      </c>
      <c r="S545" t="str">
        <f t="shared" si="192"/>
        <v>19:27:07.000</v>
      </c>
      <c r="T545" t="str">
        <f t="shared" si="192"/>
        <v>19:27:07.000</v>
      </c>
      <c r="U545" t="str">
        <f t="shared" si="185"/>
        <v>AC3944</v>
      </c>
      <c r="V545">
        <v>0</v>
      </c>
      <c r="W545">
        <v>0</v>
      </c>
      <c r="X545">
        <v>2</v>
      </c>
      <c r="Y545">
        <v>0</v>
      </c>
      <c r="AA545">
        <v>1</v>
      </c>
      <c r="AB545">
        <v>8</v>
      </c>
      <c r="AC545">
        <v>3</v>
      </c>
      <c r="AD545">
        <v>0</v>
      </c>
      <c r="AE545">
        <v>9</v>
      </c>
      <c r="AF545" t="s">
        <v>138</v>
      </c>
      <c r="AG545">
        <v>0</v>
      </c>
      <c r="AH545">
        <v>3</v>
      </c>
      <c r="AI545">
        <v>1</v>
      </c>
      <c r="AJ545">
        <v>0</v>
      </c>
      <c r="AK545" t="s">
        <v>286</v>
      </c>
      <c r="AL545">
        <v>32.817813999999998</v>
      </c>
      <c r="AM545" t="s">
        <v>301</v>
      </c>
      <c r="AN545">
        <v>-116.976435</v>
      </c>
      <c r="AO545">
        <v>25</v>
      </c>
      <c r="AP545">
        <v>1700</v>
      </c>
      <c r="AQ545" t="s">
        <v>129</v>
      </c>
      <c r="AR545">
        <v>136</v>
      </c>
      <c r="AS545">
        <v>1</v>
      </c>
      <c r="AT545">
        <v>640</v>
      </c>
      <c r="BB545">
        <v>740</v>
      </c>
      <c r="BC545">
        <v>1</v>
      </c>
      <c r="BD545" t="str">
        <f t="shared" si="186"/>
        <v xml:space="preserve">N887QR  </v>
      </c>
      <c r="BE545">
        <v>1</v>
      </c>
      <c r="BG545">
        <v>0</v>
      </c>
      <c r="BH545">
        <v>0</v>
      </c>
      <c r="BI545">
        <v>0</v>
      </c>
      <c r="BJ545">
        <v>1325</v>
      </c>
      <c r="BK545">
        <v>-375</v>
      </c>
      <c r="BL545" t="s">
        <v>163</v>
      </c>
      <c r="BM545">
        <v>1</v>
      </c>
      <c r="BN545">
        <v>1</v>
      </c>
      <c r="BO545">
        <v>1</v>
      </c>
      <c r="BP545">
        <v>0</v>
      </c>
      <c r="BS545">
        <v>0</v>
      </c>
      <c r="BT545">
        <v>0</v>
      </c>
      <c r="BU545">
        <v>0</v>
      </c>
      <c r="CE545" t="str">
        <f t="shared" si="194"/>
        <v>19:27:07.957</v>
      </c>
      <c r="CF545">
        <v>956989732</v>
      </c>
      <c r="CS545">
        <v>3</v>
      </c>
      <c r="CT545">
        <v>2</v>
      </c>
      <c r="CU545">
        <v>0</v>
      </c>
      <c r="CV545">
        <v>2</v>
      </c>
      <c r="CW545">
        <v>0</v>
      </c>
      <c r="CX545">
        <v>6</v>
      </c>
      <c r="CY545">
        <v>7</v>
      </c>
      <c r="CZ545" t="s">
        <v>131</v>
      </c>
      <c r="DA545">
        <v>300</v>
      </c>
      <c r="DB545">
        <v>0</v>
      </c>
      <c r="DC545" t="s">
        <v>176</v>
      </c>
      <c r="DD545" t="s">
        <v>177</v>
      </c>
      <c r="DG545">
        <v>5365486</v>
      </c>
      <c r="DI545">
        <v>1</v>
      </c>
      <c r="DJ545">
        <v>0</v>
      </c>
      <c r="DK545">
        <v>1</v>
      </c>
      <c r="DL545">
        <v>0</v>
      </c>
      <c r="DM545">
        <v>0</v>
      </c>
      <c r="DN545">
        <v>1</v>
      </c>
      <c r="DO545">
        <v>0</v>
      </c>
      <c r="DP545">
        <v>0</v>
      </c>
      <c r="DQ545">
        <v>0</v>
      </c>
      <c r="DR545">
        <v>0</v>
      </c>
      <c r="DS545">
        <v>0</v>
      </c>
    </row>
    <row r="546" spans="1:123" x14ac:dyDescent="0.3">
      <c r="A546" t="str">
        <f>"10/04/2022 19:27:08.165"</f>
        <v>10/04/2022 19:27:08.165</v>
      </c>
      <c r="C546" t="str">
        <f t="shared" si="184"/>
        <v>FFDFD3C0</v>
      </c>
      <c r="D546" t="s">
        <v>141</v>
      </c>
      <c r="E546">
        <v>3</v>
      </c>
      <c r="H546">
        <v>3</v>
      </c>
      <c r="I546" t="s">
        <v>146</v>
      </c>
      <c r="J546" t="s">
        <v>138</v>
      </c>
      <c r="K546">
        <v>0</v>
      </c>
      <c r="L546">
        <v>3</v>
      </c>
      <c r="M546">
        <v>0</v>
      </c>
      <c r="N546">
        <v>2</v>
      </c>
      <c r="O546">
        <v>0</v>
      </c>
      <c r="P546">
        <v>1</v>
      </c>
      <c r="Q546">
        <v>0</v>
      </c>
      <c r="S546" t="str">
        <f t="shared" si="192"/>
        <v>19:27:07.000</v>
      </c>
      <c r="T546" t="str">
        <f t="shared" si="192"/>
        <v>19:27:07.000</v>
      </c>
      <c r="U546" t="str">
        <f t="shared" si="185"/>
        <v>AC3944</v>
      </c>
      <c r="V546">
        <v>0</v>
      </c>
      <c r="W546">
        <v>0</v>
      </c>
      <c r="X546">
        <v>2</v>
      </c>
      <c r="Y546">
        <v>0</v>
      </c>
      <c r="AA546">
        <v>1</v>
      </c>
      <c r="AB546">
        <v>8</v>
      </c>
      <c r="AC546">
        <v>3</v>
      </c>
      <c r="AD546">
        <v>0</v>
      </c>
      <c r="AE546">
        <v>9</v>
      </c>
      <c r="AF546" t="s">
        <v>138</v>
      </c>
      <c r="AG546">
        <v>0</v>
      </c>
      <c r="AH546">
        <v>3</v>
      </c>
      <c r="AI546">
        <v>1</v>
      </c>
      <c r="AJ546">
        <v>0</v>
      </c>
      <c r="AK546" t="s">
        <v>286</v>
      </c>
      <c r="AL546">
        <v>32.817813999999998</v>
      </c>
      <c r="AM546" t="s">
        <v>301</v>
      </c>
      <c r="AN546">
        <v>-116.976435</v>
      </c>
      <c r="AO546">
        <v>25</v>
      </c>
      <c r="AP546">
        <v>1700</v>
      </c>
      <c r="AQ546" t="s">
        <v>129</v>
      </c>
      <c r="AR546">
        <v>136</v>
      </c>
      <c r="AS546">
        <v>1</v>
      </c>
      <c r="AT546">
        <v>640</v>
      </c>
      <c r="BB546">
        <v>740</v>
      </c>
      <c r="BC546">
        <v>1</v>
      </c>
      <c r="BD546" t="str">
        <f t="shared" si="186"/>
        <v xml:space="preserve">N887QR  </v>
      </c>
      <c r="BE546">
        <v>1</v>
      </c>
      <c r="BG546">
        <v>0</v>
      </c>
      <c r="BH546">
        <v>0</v>
      </c>
      <c r="BI546">
        <v>0</v>
      </c>
      <c r="BJ546">
        <v>1325</v>
      </c>
      <c r="BK546">
        <v>-375</v>
      </c>
      <c r="BL546" t="s">
        <v>163</v>
      </c>
      <c r="BM546">
        <v>1</v>
      </c>
      <c r="BN546">
        <v>1</v>
      </c>
      <c r="BO546">
        <v>1</v>
      </c>
      <c r="BP546">
        <v>0</v>
      </c>
      <c r="BS546">
        <v>0.04</v>
      </c>
      <c r="BT546">
        <v>0</v>
      </c>
      <c r="BU546">
        <v>0</v>
      </c>
      <c r="CE546" t="str">
        <f t="shared" si="194"/>
        <v>19:27:07.957</v>
      </c>
      <c r="CF546">
        <v>956989732</v>
      </c>
      <c r="CS546">
        <v>3</v>
      </c>
      <c r="CT546">
        <v>2</v>
      </c>
      <c r="CU546">
        <v>0</v>
      </c>
      <c r="CV546">
        <v>2</v>
      </c>
      <c r="CW546">
        <v>0</v>
      </c>
      <c r="CX546">
        <v>6</v>
      </c>
      <c r="CY546">
        <v>7</v>
      </c>
      <c r="CZ546" t="s">
        <v>131</v>
      </c>
      <c r="DA546">
        <v>300</v>
      </c>
      <c r="DB546">
        <v>0</v>
      </c>
      <c r="DC546" t="s">
        <v>176</v>
      </c>
      <c r="DD546" t="s">
        <v>177</v>
      </c>
      <c r="DG546">
        <v>5365486</v>
      </c>
      <c r="DI546">
        <v>1</v>
      </c>
      <c r="DJ546">
        <v>0</v>
      </c>
      <c r="DK546">
        <v>1</v>
      </c>
      <c r="DL546">
        <v>0</v>
      </c>
      <c r="DM546">
        <v>0</v>
      </c>
      <c r="DN546">
        <v>1</v>
      </c>
      <c r="DO546">
        <v>0</v>
      </c>
      <c r="DP546">
        <v>0</v>
      </c>
      <c r="DQ546">
        <v>0</v>
      </c>
      <c r="DR546">
        <v>0</v>
      </c>
      <c r="DS546">
        <v>0</v>
      </c>
    </row>
    <row r="547" spans="1:123" x14ac:dyDescent="0.3">
      <c r="A547" t="str">
        <f>"10/04/2022 19:27:08.165"</f>
        <v>10/04/2022 19:27:08.165</v>
      </c>
      <c r="C547" t="str">
        <f t="shared" si="184"/>
        <v>FFDFD3C0</v>
      </c>
      <c r="D547" t="s">
        <v>136</v>
      </c>
      <c r="E547">
        <v>8</v>
      </c>
      <c r="H547">
        <v>225</v>
      </c>
      <c r="I547" t="s">
        <v>137</v>
      </c>
      <c r="J547" t="s">
        <v>138</v>
      </c>
      <c r="K547">
        <v>0</v>
      </c>
      <c r="L547">
        <v>3</v>
      </c>
      <c r="M547">
        <v>0</v>
      </c>
      <c r="N547">
        <v>2</v>
      </c>
      <c r="O547">
        <v>0</v>
      </c>
      <c r="P547">
        <v>1</v>
      </c>
      <c r="Q547">
        <v>0</v>
      </c>
      <c r="S547" t="str">
        <f t="shared" si="192"/>
        <v>19:27:07.000</v>
      </c>
      <c r="T547" t="str">
        <f t="shared" si="192"/>
        <v>19:27:07.000</v>
      </c>
      <c r="U547" t="str">
        <f t="shared" si="185"/>
        <v>AC3944</v>
      </c>
      <c r="V547">
        <v>0</v>
      </c>
      <c r="W547">
        <v>0</v>
      </c>
      <c r="X547">
        <v>2</v>
      </c>
      <c r="Y547">
        <v>0</v>
      </c>
      <c r="AA547">
        <v>1</v>
      </c>
      <c r="AB547">
        <v>8</v>
      </c>
      <c r="AC547">
        <v>3</v>
      </c>
      <c r="AD547">
        <v>0</v>
      </c>
      <c r="AE547">
        <v>9</v>
      </c>
      <c r="AF547" t="s">
        <v>138</v>
      </c>
      <c r="AG547">
        <v>0</v>
      </c>
      <c r="AH547">
        <v>3</v>
      </c>
      <c r="AI547">
        <v>1</v>
      </c>
      <c r="AJ547">
        <v>0</v>
      </c>
      <c r="AK547" t="s">
        <v>286</v>
      </c>
      <c r="AL547">
        <v>32.817813999999998</v>
      </c>
      <c r="AM547" t="s">
        <v>301</v>
      </c>
      <c r="AN547">
        <v>-116.976435</v>
      </c>
      <c r="AO547">
        <v>25</v>
      </c>
      <c r="AP547">
        <v>1700</v>
      </c>
      <c r="AQ547" t="s">
        <v>129</v>
      </c>
      <c r="AR547">
        <v>136</v>
      </c>
      <c r="AS547">
        <v>1</v>
      </c>
      <c r="AT547">
        <v>640</v>
      </c>
      <c r="BB547">
        <v>740</v>
      </c>
      <c r="BC547">
        <v>1</v>
      </c>
      <c r="BD547" t="str">
        <f t="shared" si="186"/>
        <v xml:space="preserve">N887QR  </v>
      </c>
      <c r="BE547">
        <v>1</v>
      </c>
      <c r="BG547">
        <v>0</v>
      </c>
      <c r="BH547">
        <v>0</v>
      </c>
      <c r="BI547">
        <v>0</v>
      </c>
      <c r="BJ547">
        <v>1325</v>
      </c>
      <c r="BK547">
        <v>-375</v>
      </c>
      <c r="BL547" t="s">
        <v>163</v>
      </c>
      <c r="BM547">
        <v>1</v>
      </c>
      <c r="BN547">
        <v>1</v>
      </c>
      <c r="BO547">
        <v>1</v>
      </c>
      <c r="BP547">
        <v>0</v>
      </c>
      <c r="BS547">
        <v>0.04</v>
      </c>
      <c r="BT547">
        <v>0</v>
      </c>
      <c r="BU547">
        <v>0</v>
      </c>
      <c r="CE547" t="str">
        <f t="shared" si="194"/>
        <v>19:27:07.957</v>
      </c>
      <c r="CF547">
        <v>956989732</v>
      </c>
      <c r="CS547">
        <v>3</v>
      </c>
      <c r="CT547">
        <v>2</v>
      </c>
      <c r="CU547">
        <v>0</v>
      </c>
      <c r="CV547">
        <v>2</v>
      </c>
      <c r="CW547">
        <v>0</v>
      </c>
      <c r="CX547">
        <v>6</v>
      </c>
      <c r="CY547">
        <v>7</v>
      </c>
      <c r="CZ547" t="s">
        <v>131</v>
      </c>
      <c r="DA547">
        <v>300</v>
      </c>
      <c r="DB547">
        <v>0</v>
      </c>
      <c r="DC547" t="s">
        <v>176</v>
      </c>
      <c r="DD547" t="s">
        <v>177</v>
      </c>
      <c r="DG547">
        <v>5365486</v>
      </c>
      <c r="DI547">
        <v>1</v>
      </c>
      <c r="DJ547">
        <v>0</v>
      </c>
      <c r="DK547">
        <v>1</v>
      </c>
      <c r="DL547">
        <v>0</v>
      </c>
      <c r="DM547">
        <v>0</v>
      </c>
      <c r="DN547">
        <v>1</v>
      </c>
      <c r="DO547">
        <v>0</v>
      </c>
      <c r="DP547">
        <v>0</v>
      </c>
      <c r="DQ547">
        <v>0</v>
      </c>
      <c r="DR547">
        <v>0</v>
      </c>
      <c r="DS547">
        <v>0</v>
      </c>
    </row>
    <row r="548" spans="1:123" x14ac:dyDescent="0.3">
      <c r="A548" t="str">
        <f>"10/04/2022 19:27:08.165"</f>
        <v>10/04/2022 19:27:08.165</v>
      </c>
      <c r="C548" t="str">
        <f t="shared" si="184"/>
        <v>FFDFD3C0</v>
      </c>
      <c r="D548" t="s">
        <v>123</v>
      </c>
      <c r="E548">
        <v>7</v>
      </c>
      <c r="F548">
        <v>2007</v>
      </c>
      <c r="G548" t="s">
        <v>124</v>
      </c>
      <c r="J548" t="s">
        <v>125</v>
      </c>
      <c r="K548">
        <v>0</v>
      </c>
      <c r="L548">
        <v>3</v>
      </c>
      <c r="M548">
        <v>0</v>
      </c>
      <c r="N548">
        <v>2</v>
      </c>
      <c r="O548">
        <v>0</v>
      </c>
      <c r="P548">
        <v>1</v>
      </c>
      <c r="Q548">
        <v>0</v>
      </c>
      <c r="S548" t="str">
        <f t="shared" si="192"/>
        <v>19:27:07.000</v>
      </c>
      <c r="T548" t="str">
        <f t="shared" si="192"/>
        <v>19:27:07.000</v>
      </c>
      <c r="U548" t="str">
        <f t="shared" si="185"/>
        <v>AC3944</v>
      </c>
      <c r="V548">
        <v>0</v>
      </c>
      <c r="W548">
        <v>0</v>
      </c>
      <c r="X548">
        <v>2</v>
      </c>
      <c r="Y548">
        <v>0</v>
      </c>
      <c r="AA548">
        <v>1</v>
      </c>
      <c r="AB548">
        <v>8</v>
      </c>
      <c r="AC548">
        <v>3</v>
      </c>
      <c r="AD548">
        <v>0</v>
      </c>
      <c r="AE548">
        <v>9</v>
      </c>
      <c r="AF548" t="s">
        <v>138</v>
      </c>
      <c r="AG548">
        <v>0</v>
      </c>
      <c r="AH548">
        <v>3</v>
      </c>
      <c r="AI548">
        <v>1</v>
      </c>
      <c r="AJ548">
        <v>0</v>
      </c>
      <c r="AK548" t="s">
        <v>286</v>
      </c>
      <c r="AL548">
        <v>32.817813999999998</v>
      </c>
      <c r="AM548" t="s">
        <v>301</v>
      </c>
      <c r="AN548">
        <v>-116.976435</v>
      </c>
      <c r="AO548">
        <v>25</v>
      </c>
      <c r="AP548">
        <v>1700</v>
      </c>
      <c r="AQ548" t="s">
        <v>129</v>
      </c>
      <c r="AR548">
        <v>136</v>
      </c>
      <c r="AS548">
        <v>1</v>
      </c>
      <c r="AT548">
        <v>640</v>
      </c>
      <c r="BB548">
        <v>740</v>
      </c>
      <c r="BC548">
        <v>1</v>
      </c>
      <c r="BD548" t="str">
        <f t="shared" si="186"/>
        <v xml:space="preserve">N887QR  </v>
      </c>
      <c r="BE548">
        <v>1</v>
      </c>
      <c r="BG548">
        <v>0</v>
      </c>
      <c r="BH548">
        <v>0</v>
      </c>
      <c r="BI548">
        <v>0</v>
      </c>
      <c r="BJ548">
        <v>1325</v>
      </c>
      <c r="BK548">
        <v>-375</v>
      </c>
      <c r="BL548" t="s">
        <v>163</v>
      </c>
      <c r="BM548">
        <v>1</v>
      </c>
      <c r="BN548">
        <v>1</v>
      </c>
      <c r="BO548">
        <v>1</v>
      </c>
      <c r="BP548">
        <v>0</v>
      </c>
      <c r="BS548">
        <v>0</v>
      </c>
      <c r="BT548">
        <v>0</v>
      </c>
      <c r="BU548">
        <v>0</v>
      </c>
      <c r="CE548" t="str">
        <f t="shared" si="194"/>
        <v>19:27:07.957</v>
      </c>
      <c r="CF548">
        <v>956989732</v>
      </c>
      <c r="CS548">
        <v>3</v>
      </c>
      <c r="CT548">
        <v>2</v>
      </c>
      <c r="CU548">
        <v>0</v>
      </c>
      <c r="CV548">
        <v>2</v>
      </c>
      <c r="CW548">
        <v>0</v>
      </c>
      <c r="CX548">
        <v>6</v>
      </c>
      <c r="CY548">
        <v>7</v>
      </c>
      <c r="CZ548" t="s">
        <v>131</v>
      </c>
      <c r="DA548">
        <v>300</v>
      </c>
      <c r="DB548">
        <v>0</v>
      </c>
      <c r="DC548" t="s">
        <v>176</v>
      </c>
      <c r="DD548" t="s">
        <v>177</v>
      </c>
      <c r="DG548">
        <v>5365486</v>
      </c>
      <c r="DI548">
        <v>1</v>
      </c>
      <c r="DJ548">
        <v>0</v>
      </c>
      <c r="DK548">
        <v>1</v>
      </c>
      <c r="DL548">
        <v>0</v>
      </c>
      <c r="DM548">
        <v>0</v>
      </c>
      <c r="DN548">
        <v>1</v>
      </c>
      <c r="DO548">
        <v>0</v>
      </c>
      <c r="DP548">
        <v>0</v>
      </c>
      <c r="DQ548">
        <v>0</v>
      </c>
      <c r="DR548">
        <v>0</v>
      </c>
      <c r="DS548">
        <v>0</v>
      </c>
    </row>
    <row r="549" spans="1:123" x14ac:dyDescent="0.3">
      <c r="A549" t="str">
        <f t="shared" ref="A549:A555" si="195">"10/04/2022 19:27:09.587"</f>
        <v>10/04/2022 19:27:09.587</v>
      </c>
      <c r="C549" t="str">
        <f t="shared" si="184"/>
        <v>FFDFD3C0</v>
      </c>
      <c r="D549" t="s">
        <v>147</v>
      </c>
      <c r="E549">
        <v>3</v>
      </c>
      <c r="H549">
        <v>166</v>
      </c>
      <c r="I549" t="s">
        <v>144</v>
      </c>
      <c r="J549" t="s">
        <v>148</v>
      </c>
      <c r="K549">
        <v>0</v>
      </c>
      <c r="L549">
        <v>3</v>
      </c>
      <c r="M549">
        <v>0</v>
      </c>
      <c r="N549">
        <v>2</v>
      </c>
      <c r="O549">
        <v>0</v>
      </c>
      <c r="P549">
        <v>1</v>
      </c>
      <c r="Q549">
        <v>0</v>
      </c>
      <c r="S549" t="str">
        <f t="shared" ref="S549:T562" si="196">"19:27:09.000"</f>
        <v>19:27:09.000</v>
      </c>
      <c r="T549" t="str">
        <f t="shared" si="196"/>
        <v>19:27:09.000</v>
      </c>
      <c r="U549" t="str">
        <f t="shared" si="185"/>
        <v>AC3944</v>
      </c>
      <c r="V549">
        <v>0</v>
      </c>
      <c r="W549">
        <v>0</v>
      </c>
      <c r="X549">
        <v>2</v>
      </c>
      <c r="Y549">
        <v>0</v>
      </c>
      <c r="AA549">
        <v>1</v>
      </c>
      <c r="AB549">
        <v>8</v>
      </c>
      <c r="AC549">
        <v>3</v>
      </c>
      <c r="AD549">
        <v>0</v>
      </c>
      <c r="AE549">
        <v>9</v>
      </c>
      <c r="AF549" t="s">
        <v>138</v>
      </c>
      <c r="AG549">
        <v>0</v>
      </c>
      <c r="AH549">
        <v>3</v>
      </c>
      <c r="AI549">
        <v>1</v>
      </c>
      <c r="AJ549">
        <v>0</v>
      </c>
      <c r="AK549" t="s">
        <v>286</v>
      </c>
      <c r="AL549">
        <v>32.817813999999998</v>
      </c>
      <c r="AM549" t="s">
        <v>302</v>
      </c>
      <c r="AN549">
        <v>-116.975684</v>
      </c>
      <c r="AO549">
        <v>25</v>
      </c>
      <c r="AP549">
        <v>1700</v>
      </c>
      <c r="AQ549" t="s">
        <v>129</v>
      </c>
      <c r="AR549">
        <v>134</v>
      </c>
      <c r="AS549">
        <v>-1</v>
      </c>
      <c r="AT549">
        <v>832</v>
      </c>
      <c r="BB549">
        <v>740</v>
      </c>
      <c r="BC549">
        <v>1</v>
      </c>
      <c r="BD549" t="str">
        <f t="shared" si="186"/>
        <v xml:space="preserve">N887QR  </v>
      </c>
      <c r="BE549">
        <v>1</v>
      </c>
      <c r="BG549">
        <v>0</v>
      </c>
      <c r="BH549">
        <v>0</v>
      </c>
      <c r="BI549">
        <v>0</v>
      </c>
      <c r="BJ549">
        <v>1325</v>
      </c>
      <c r="BK549">
        <v>-375</v>
      </c>
      <c r="BL549" t="s">
        <v>163</v>
      </c>
      <c r="BM549">
        <v>1</v>
      </c>
      <c r="BN549">
        <v>1</v>
      </c>
      <c r="BO549">
        <v>1</v>
      </c>
      <c r="BP549">
        <v>0</v>
      </c>
      <c r="BS549">
        <v>0.04</v>
      </c>
      <c r="BT549">
        <v>0</v>
      </c>
      <c r="BU549">
        <v>0</v>
      </c>
      <c r="CE549" t="str">
        <f t="shared" ref="CE549:CE555" si="197">"19:27:09.360"</f>
        <v>19:27:09.360</v>
      </c>
      <c r="CF549">
        <v>360244191</v>
      </c>
      <c r="CS549">
        <v>3</v>
      </c>
      <c r="CT549">
        <v>2</v>
      </c>
      <c r="CU549">
        <v>0</v>
      </c>
      <c r="CV549">
        <v>2</v>
      </c>
      <c r="CW549">
        <v>0</v>
      </c>
      <c r="CX549">
        <v>6</v>
      </c>
      <c r="CY549">
        <v>7</v>
      </c>
      <c r="CZ549" t="s">
        <v>131</v>
      </c>
      <c r="DA549">
        <v>300</v>
      </c>
      <c r="DB549">
        <v>0</v>
      </c>
      <c r="DC549" t="s">
        <v>176</v>
      </c>
      <c r="DD549" t="s">
        <v>177</v>
      </c>
      <c r="DG549">
        <v>5365694</v>
      </c>
      <c r="DI549">
        <v>1</v>
      </c>
      <c r="DJ549">
        <v>0</v>
      </c>
      <c r="DK549">
        <v>0</v>
      </c>
      <c r="DL549">
        <v>0</v>
      </c>
      <c r="DM549">
        <v>0</v>
      </c>
      <c r="DN549">
        <v>1</v>
      </c>
      <c r="DO549">
        <v>0</v>
      </c>
      <c r="DP549">
        <v>0</v>
      </c>
      <c r="DQ549">
        <v>0</v>
      </c>
      <c r="DR549">
        <v>0</v>
      </c>
      <c r="DS549">
        <v>0</v>
      </c>
    </row>
    <row r="550" spans="1:123" x14ac:dyDescent="0.3">
      <c r="A550" t="str">
        <f t="shared" si="195"/>
        <v>10/04/2022 19:27:09.587</v>
      </c>
      <c r="C550" t="str">
        <f t="shared" si="184"/>
        <v>FFDFD3C0</v>
      </c>
      <c r="D550" t="s">
        <v>134</v>
      </c>
      <c r="E550">
        <v>15</v>
      </c>
      <c r="J550" t="s">
        <v>135</v>
      </c>
      <c r="K550">
        <v>0</v>
      </c>
      <c r="L550">
        <v>3</v>
      </c>
      <c r="M550">
        <v>0</v>
      </c>
      <c r="N550">
        <v>2</v>
      </c>
      <c r="O550">
        <v>0</v>
      </c>
      <c r="P550">
        <v>1</v>
      </c>
      <c r="Q550">
        <v>0</v>
      </c>
      <c r="S550" t="str">
        <f t="shared" si="196"/>
        <v>19:27:09.000</v>
      </c>
      <c r="T550" t="str">
        <f t="shared" si="196"/>
        <v>19:27:09.000</v>
      </c>
      <c r="U550" t="str">
        <f t="shared" si="185"/>
        <v>AC3944</v>
      </c>
      <c r="V550">
        <v>0</v>
      </c>
      <c r="W550">
        <v>0</v>
      </c>
      <c r="X550">
        <v>2</v>
      </c>
      <c r="Y550">
        <v>0</v>
      </c>
      <c r="AA550">
        <v>1</v>
      </c>
      <c r="AB550">
        <v>8</v>
      </c>
      <c r="AC550">
        <v>3</v>
      </c>
      <c r="AD550">
        <v>0</v>
      </c>
      <c r="AE550">
        <v>9</v>
      </c>
      <c r="AF550" t="s">
        <v>138</v>
      </c>
      <c r="AG550">
        <v>0</v>
      </c>
      <c r="AH550">
        <v>3</v>
      </c>
      <c r="AI550">
        <v>1</v>
      </c>
      <c r="AJ550">
        <v>0</v>
      </c>
      <c r="AK550" t="s">
        <v>286</v>
      </c>
      <c r="AL550">
        <v>32.817813999999998</v>
      </c>
      <c r="AM550" t="s">
        <v>302</v>
      </c>
      <c r="AN550">
        <v>-116.975684</v>
      </c>
      <c r="AO550">
        <v>25</v>
      </c>
      <c r="AP550">
        <v>1700</v>
      </c>
      <c r="AQ550" t="s">
        <v>129</v>
      </c>
      <c r="AR550">
        <v>134</v>
      </c>
      <c r="AS550">
        <v>-1</v>
      </c>
      <c r="AT550">
        <v>832</v>
      </c>
      <c r="BB550">
        <v>740</v>
      </c>
      <c r="BC550">
        <v>1</v>
      </c>
      <c r="BD550" t="str">
        <f t="shared" si="186"/>
        <v xml:space="preserve">N887QR  </v>
      </c>
      <c r="BE550">
        <v>1</v>
      </c>
      <c r="BG550">
        <v>0</v>
      </c>
      <c r="BH550">
        <v>0</v>
      </c>
      <c r="BI550">
        <v>0</v>
      </c>
      <c r="BJ550">
        <v>1325</v>
      </c>
      <c r="BK550">
        <v>-375</v>
      </c>
      <c r="BL550" t="s">
        <v>163</v>
      </c>
      <c r="BM550">
        <v>1</v>
      </c>
      <c r="BN550">
        <v>1</v>
      </c>
      <c r="BO550">
        <v>1</v>
      </c>
      <c r="BP550">
        <v>0</v>
      </c>
      <c r="BS550">
        <v>0</v>
      </c>
      <c r="BT550">
        <v>0</v>
      </c>
      <c r="BU550">
        <v>0</v>
      </c>
      <c r="CE550" t="str">
        <f t="shared" si="197"/>
        <v>19:27:09.360</v>
      </c>
      <c r="CF550">
        <v>360244191</v>
      </c>
      <c r="CS550">
        <v>3</v>
      </c>
      <c r="CT550">
        <v>2</v>
      </c>
      <c r="CU550">
        <v>0</v>
      </c>
      <c r="CV550">
        <v>2</v>
      </c>
      <c r="CW550">
        <v>0</v>
      </c>
      <c r="CX550">
        <v>6</v>
      </c>
      <c r="CY550">
        <v>7</v>
      </c>
      <c r="CZ550" t="s">
        <v>131</v>
      </c>
      <c r="DA550">
        <v>300</v>
      </c>
      <c r="DB550">
        <v>0</v>
      </c>
      <c r="DC550" t="s">
        <v>176</v>
      </c>
      <c r="DD550" t="s">
        <v>177</v>
      </c>
      <c r="DG550">
        <v>5365694</v>
      </c>
      <c r="DI550">
        <v>1</v>
      </c>
      <c r="DJ550">
        <v>0</v>
      </c>
      <c r="DK550">
        <v>1</v>
      </c>
      <c r="DL550">
        <v>0</v>
      </c>
      <c r="DM550">
        <v>0</v>
      </c>
      <c r="DN550">
        <v>1</v>
      </c>
      <c r="DO550">
        <v>0</v>
      </c>
      <c r="DP550">
        <v>0</v>
      </c>
      <c r="DQ550">
        <v>0</v>
      </c>
      <c r="DR550">
        <v>0</v>
      </c>
      <c r="DS550">
        <v>0</v>
      </c>
    </row>
    <row r="551" spans="1:123" x14ac:dyDescent="0.3">
      <c r="A551" t="str">
        <f t="shared" si="195"/>
        <v>10/04/2022 19:27:09.587</v>
      </c>
      <c r="C551" t="str">
        <f t="shared" si="184"/>
        <v>FFDFD3C0</v>
      </c>
      <c r="D551" t="s">
        <v>143</v>
      </c>
      <c r="E551">
        <v>20</v>
      </c>
      <c r="F551">
        <v>1020</v>
      </c>
      <c r="G551" t="s">
        <v>144</v>
      </c>
      <c r="J551" t="s">
        <v>145</v>
      </c>
      <c r="K551">
        <v>0</v>
      </c>
      <c r="L551">
        <v>3</v>
      </c>
      <c r="M551">
        <v>0</v>
      </c>
      <c r="N551">
        <v>2</v>
      </c>
      <c r="O551">
        <v>0</v>
      </c>
      <c r="P551">
        <v>1</v>
      </c>
      <c r="Q551">
        <v>0</v>
      </c>
      <c r="S551" t="str">
        <f t="shared" si="196"/>
        <v>19:27:09.000</v>
      </c>
      <c r="T551" t="str">
        <f t="shared" si="196"/>
        <v>19:27:09.000</v>
      </c>
      <c r="U551" t="str">
        <f t="shared" si="185"/>
        <v>AC3944</v>
      </c>
      <c r="V551">
        <v>0</v>
      </c>
      <c r="W551">
        <v>0</v>
      </c>
      <c r="X551">
        <v>2</v>
      </c>
      <c r="Y551">
        <v>0</v>
      </c>
      <c r="AA551">
        <v>1</v>
      </c>
      <c r="AB551">
        <v>8</v>
      </c>
      <c r="AC551">
        <v>3</v>
      </c>
      <c r="AD551">
        <v>0</v>
      </c>
      <c r="AE551">
        <v>9</v>
      </c>
      <c r="AF551" t="s">
        <v>138</v>
      </c>
      <c r="AG551">
        <v>0</v>
      </c>
      <c r="AH551">
        <v>3</v>
      </c>
      <c r="AI551">
        <v>1</v>
      </c>
      <c r="AJ551">
        <v>0</v>
      </c>
      <c r="AK551" t="s">
        <v>286</v>
      </c>
      <c r="AL551">
        <v>32.817813999999998</v>
      </c>
      <c r="AM551" t="s">
        <v>302</v>
      </c>
      <c r="AN551">
        <v>-116.975684</v>
      </c>
      <c r="AO551">
        <v>25</v>
      </c>
      <c r="AP551">
        <v>1700</v>
      </c>
      <c r="AQ551" t="s">
        <v>129</v>
      </c>
      <c r="AR551">
        <v>134</v>
      </c>
      <c r="AS551">
        <v>-1</v>
      </c>
      <c r="AT551">
        <v>832</v>
      </c>
      <c r="BB551">
        <v>740</v>
      </c>
      <c r="BC551">
        <v>1</v>
      </c>
      <c r="BD551" t="str">
        <f t="shared" si="186"/>
        <v xml:space="preserve">N887QR  </v>
      </c>
      <c r="BE551">
        <v>1</v>
      </c>
      <c r="BG551">
        <v>0</v>
      </c>
      <c r="BH551">
        <v>0</v>
      </c>
      <c r="BI551">
        <v>0</v>
      </c>
      <c r="BJ551">
        <v>1325</v>
      </c>
      <c r="BK551">
        <v>-375</v>
      </c>
      <c r="BL551" t="s">
        <v>163</v>
      </c>
      <c r="BM551">
        <v>1</v>
      </c>
      <c r="BN551">
        <v>1</v>
      </c>
      <c r="BO551">
        <v>1</v>
      </c>
      <c r="BP551">
        <v>0</v>
      </c>
      <c r="BS551">
        <v>0</v>
      </c>
      <c r="BT551">
        <v>0</v>
      </c>
      <c r="BU551">
        <v>0</v>
      </c>
      <c r="CE551" t="str">
        <f t="shared" si="197"/>
        <v>19:27:09.360</v>
      </c>
      <c r="CF551">
        <v>360244191</v>
      </c>
      <c r="CS551">
        <v>3</v>
      </c>
      <c r="CT551">
        <v>2</v>
      </c>
      <c r="CU551">
        <v>0</v>
      </c>
      <c r="CV551">
        <v>2</v>
      </c>
      <c r="CW551">
        <v>0</v>
      </c>
      <c r="CX551">
        <v>6</v>
      </c>
      <c r="CY551">
        <v>7</v>
      </c>
      <c r="CZ551" t="s">
        <v>131</v>
      </c>
      <c r="DA551">
        <v>300</v>
      </c>
      <c r="DB551">
        <v>0</v>
      </c>
      <c r="DC551" t="s">
        <v>176</v>
      </c>
      <c r="DD551" t="s">
        <v>177</v>
      </c>
      <c r="DG551">
        <v>5365694</v>
      </c>
      <c r="DI551">
        <v>1</v>
      </c>
      <c r="DJ551">
        <v>0</v>
      </c>
      <c r="DK551">
        <v>1</v>
      </c>
      <c r="DL551">
        <v>0</v>
      </c>
      <c r="DM551">
        <v>0</v>
      </c>
      <c r="DN551">
        <v>1</v>
      </c>
      <c r="DO551">
        <v>0</v>
      </c>
      <c r="DP551">
        <v>0</v>
      </c>
      <c r="DQ551">
        <v>0</v>
      </c>
      <c r="DR551">
        <v>0</v>
      </c>
      <c r="DS551">
        <v>0</v>
      </c>
    </row>
    <row r="552" spans="1:123" x14ac:dyDescent="0.3">
      <c r="A552" t="str">
        <f t="shared" si="195"/>
        <v>10/04/2022 19:27:09.587</v>
      </c>
      <c r="C552" t="str">
        <f t="shared" si="184"/>
        <v>FFDFD3C0</v>
      </c>
      <c r="D552" t="s">
        <v>123</v>
      </c>
      <c r="E552">
        <v>7</v>
      </c>
      <c r="F552">
        <v>2007</v>
      </c>
      <c r="G552" t="s">
        <v>124</v>
      </c>
      <c r="J552" t="s">
        <v>125</v>
      </c>
      <c r="K552">
        <v>0</v>
      </c>
      <c r="L552">
        <v>3</v>
      </c>
      <c r="M552">
        <v>0</v>
      </c>
      <c r="N552">
        <v>2</v>
      </c>
      <c r="O552">
        <v>0</v>
      </c>
      <c r="P552">
        <v>1</v>
      </c>
      <c r="Q552">
        <v>0</v>
      </c>
      <c r="S552" t="str">
        <f t="shared" si="196"/>
        <v>19:27:09.000</v>
      </c>
      <c r="T552" t="str">
        <f t="shared" si="196"/>
        <v>19:27:09.000</v>
      </c>
      <c r="U552" t="str">
        <f t="shared" si="185"/>
        <v>AC3944</v>
      </c>
      <c r="V552">
        <v>0</v>
      </c>
      <c r="W552">
        <v>0</v>
      </c>
      <c r="X552">
        <v>2</v>
      </c>
      <c r="Y552">
        <v>0</v>
      </c>
      <c r="AA552">
        <v>1</v>
      </c>
      <c r="AB552">
        <v>8</v>
      </c>
      <c r="AC552">
        <v>3</v>
      </c>
      <c r="AD552">
        <v>0</v>
      </c>
      <c r="AE552">
        <v>9</v>
      </c>
      <c r="AF552" t="s">
        <v>138</v>
      </c>
      <c r="AG552">
        <v>0</v>
      </c>
      <c r="AH552">
        <v>3</v>
      </c>
      <c r="AI552">
        <v>1</v>
      </c>
      <c r="AJ552">
        <v>0</v>
      </c>
      <c r="AK552" t="s">
        <v>286</v>
      </c>
      <c r="AL552">
        <v>32.817813999999998</v>
      </c>
      <c r="AM552" t="s">
        <v>302</v>
      </c>
      <c r="AN552">
        <v>-116.975684</v>
      </c>
      <c r="AO552">
        <v>25</v>
      </c>
      <c r="AP552">
        <v>1700</v>
      </c>
      <c r="AQ552" t="s">
        <v>129</v>
      </c>
      <c r="AR552">
        <v>134</v>
      </c>
      <c r="AS552">
        <v>-1</v>
      </c>
      <c r="AT552">
        <v>832</v>
      </c>
      <c r="BB552">
        <v>740</v>
      </c>
      <c r="BC552">
        <v>1</v>
      </c>
      <c r="BD552" t="str">
        <f t="shared" si="186"/>
        <v xml:space="preserve">N887QR  </v>
      </c>
      <c r="BE552">
        <v>1</v>
      </c>
      <c r="BG552">
        <v>0</v>
      </c>
      <c r="BH552">
        <v>0</v>
      </c>
      <c r="BI552">
        <v>0</v>
      </c>
      <c r="BJ552">
        <v>1325</v>
      </c>
      <c r="BK552">
        <v>-375</v>
      </c>
      <c r="BL552" t="s">
        <v>163</v>
      </c>
      <c r="BM552">
        <v>1</v>
      </c>
      <c r="BN552">
        <v>1</v>
      </c>
      <c r="BO552">
        <v>1</v>
      </c>
      <c r="BP552">
        <v>0</v>
      </c>
      <c r="BS552">
        <v>0</v>
      </c>
      <c r="BT552">
        <v>0</v>
      </c>
      <c r="BU552">
        <v>0</v>
      </c>
      <c r="CE552" t="str">
        <f t="shared" si="197"/>
        <v>19:27:09.360</v>
      </c>
      <c r="CF552">
        <v>360244191</v>
      </c>
      <c r="CS552">
        <v>3</v>
      </c>
      <c r="CT552">
        <v>2</v>
      </c>
      <c r="CU552">
        <v>0</v>
      </c>
      <c r="CV552">
        <v>2</v>
      </c>
      <c r="CW552">
        <v>0</v>
      </c>
      <c r="CX552">
        <v>6</v>
      </c>
      <c r="CY552">
        <v>7</v>
      </c>
      <c r="CZ552" t="s">
        <v>131</v>
      </c>
      <c r="DA552">
        <v>300</v>
      </c>
      <c r="DB552">
        <v>0</v>
      </c>
      <c r="DC552" t="s">
        <v>176</v>
      </c>
      <c r="DD552" t="s">
        <v>177</v>
      </c>
      <c r="DG552">
        <v>5365694</v>
      </c>
      <c r="DI552">
        <v>1</v>
      </c>
      <c r="DJ552">
        <v>0</v>
      </c>
      <c r="DK552">
        <v>1</v>
      </c>
      <c r="DL552">
        <v>0</v>
      </c>
      <c r="DM552">
        <v>0</v>
      </c>
      <c r="DN552">
        <v>1</v>
      </c>
      <c r="DO552">
        <v>0</v>
      </c>
      <c r="DP552">
        <v>0</v>
      </c>
      <c r="DQ552">
        <v>0</v>
      </c>
      <c r="DR552">
        <v>0</v>
      </c>
      <c r="DS552">
        <v>0</v>
      </c>
    </row>
    <row r="553" spans="1:123" x14ac:dyDescent="0.3">
      <c r="A553" t="str">
        <f t="shared" si="195"/>
        <v>10/04/2022 19:27:09.587</v>
      </c>
      <c r="C553" t="str">
        <f t="shared" si="184"/>
        <v>FFDFD3C0</v>
      </c>
      <c r="D553" t="s">
        <v>136</v>
      </c>
      <c r="E553">
        <v>8</v>
      </c>
      <c r="H553">
        <v>225</v>
      </c>
      <c r="I553" t="s">
        <v>137</v>
      </c>
      <c r="J553" t="s">
        <v>138</v>
      </c>
      <c r="K553">
        <v>0</v>
      </c>
      <c r="L553">
        <v>3</v>
      </c>
      <c r="M553">
        <v>0</v>
      </c>
      <c r="N553">
        <v>2</v>
      </c>
      <c r="O553">
        <v>0</v>
      </c>
      <c r="P553">
        <v>1</v>
      </c>
      <c r="Q553">
        <v>0</v>
      </c>
      <c r="S553" t="str">
        <f t="shared" si="196"/>
        <v>19:27:09.000</v>
      </c>
      <c r="T553" t="str">
        <f t="shared" si="196"/>
        <v>19:27:09.000</v>
      </c>
      <c r="U553" t="str">
        <f t="shared" si="185"/>
        <v>AC3944</v>
      </c>
      <c r="V553">
        <v>0</v>
      </c>
      <c r="W553">
        <v>0</v>
      </c>
      <c r="X553">
        <v>2</v>
      </c>
      <c r="Y553">
        <v>0</v>
      </c>
      <c r="AA553">
        <v>1</v>
      </c>
      <c r="AB553">
        <v>8</v>
      </c>
      <c r="AC553">
        <v>3</v>
      </c>
      <c r="AD553">
        <v>0</v>
      </c>
      <c r="AE553">
        <v>9</v>
      </c>
      <c r="AF553" t="s">
        <v>138</v>
      </c>
      <c r="AG553">
        <v>0</v>
      </c>
      <c r="AH553">
        <v>3</v>
      </c>
      <c r="AI553">
        <v>1</v>
      </c>
      <c r="AJ553">
        <v>0</v>
      </c>
      <c r="AK553" t="s">
        <v>286</v>
      </c>
      <c r="AL553">
        <v>32.817813999999998</v>
      </c>
      <c r="AM553" t="s">
        <v>302</v>
      </c>
      <c r="AN553">
        <v>-116.975684</v>
      </c>
      <c r="AO553">
        <v>25</v>
      </c>
      <c r="AP553">
        <v>1700</v>
      </c>
      <c r="AQ553" t="s">
        <v>129</v>
      </c>
      <c r="AR553">
        <v>134</v>
      </c>
      <c r="AS553">
        <v>-1</v>
      </c>
      <c r="AT553">
        <v>832</v>
      </c>
      <c r="BB553">
        <v>740</v>
      </c>
      <c r="BC553">
        <v>1</v>
      </c>
      <c r="BD553" t="str">
        <f t="shared" si="186"/>
        <v xml:space="preserve">N887QR  </v>
      </c>
      <c r="BE553">
        <v>1</v>
      </c>
      <c r="BG553">
        <v>0</v>
      </c>
      <c r="BH553">
        <v>0</v>
      </c>
      <c r="BI553">
        <v>0</v>
      </c>
      <c r="BJ553">
        <v>1325</v>
      </c>
      <c r="BK553">
        <v>-375</v>
      </c>
      <c r="BL553" t="s">
        <v>163</v>
      </c>
      <c r="BM553">
        <v>1</v>
      </c>
      <c r="BN553">
        <v>1</v>
      </c>
      <c r="BO553">
        <v>1</v>
      </c>
      <c r="BP553">
        <v>0</v>
      </c>
      <c r="BS553">
        <v>0.04</v>
      </c>
      <c r="BT553">
        <v>0</v>
      </c>
      <c r="BU553">
        <v>0</v>
      </c>
      <c r="CE553" t="str">
        <f t="shared" si="197"/>
        <v>19:27:09.360</v>
      </c>
      <c r="CF553">
        <v>360244191</v>
      </c>
      <c r="CS553">
        <v>3</v>
      </c>
      <c r="CT553">
        <v>2</v>
      </c>
      <c r="CU553">
        <v>0</v>
      </c>
      <c r="CV553">
        <v>2</v>
      </c>
      <c r="CW553">
        <v>0</v>
      </c>
      <c r="CX553">
        <v>6</v>
      </c>
      <c r="CY553">
        <v>7</v>
      </c>
      <c r="CZ553" t="s">
        <v>131</v>
      </c>
      <c r="DA553">
        <v>300</v>
      </c>
      <c r="DB553">
        <v>0</v>
      </c>
      <c r="DC553" t="s">
        <v>176</v>
      </c>
      <c r="DD553" t="s">
        <v>177</v>
      </c>
      <c r="DG553">
        <v>5365694</v>
      </c>
      <c r="DI553">
        <v>1</v>
      </c>
      <c r="DJ553">
        <v>0</v>
      </c>
      <c r="DK553">
        <v>1</v>
      </c>
      <c r="DL553">
        <v>0</v>
      </c>
      <c r="DM553">
        <v>0</v>
      </c>
      <c r="DN553">
        <v>1</v>
      </c>
      <c r="DO553">
        <v>0</v>
      </c>
      <c r="DP553">
        <v>0</v>
      </c>
      <c r="DQ553">
        <v>0</v>
      </c>
      <c r="DR553">
        <v>0</v>
      </c>
      <c r="DS553">
        <v>0</v>
      </c>
    </row>
    <row r="554" spans="1:123" x14ac:dyDescent="0.3">
      <c r="A554" t="str">
        <f t="shared" si="195"/>
        <v>10/04/2022 19:27:09.587</v>
      </c>
      <c r="C554" t="str">
        <f t="shared" si="184"/>
        <v>FFDFD3C0</v>
      </c>
      <c r="D554" t="s">
        <v>141</v>
      </c>
      <c r="E554">
        <v>4</v>
      </c>
      <c r="H554">
        <v>4</v>
      </c>
      <c r="I554" t="s">
        <v>142</v>
      </c>
      <c r="J554" t="s">
        <v>138</v>
      </c>
      <c r="K554">
        <v>0</v>
      </c>
      <c r="L554">
        <v>3</v>
      </c>
      <c r="M554">
        <v>0</v>
      </c>
      <c r="N554">
        <v>2</v>
      </c>
      <c r="O554">
        <v>0</v>
      </c>
      <c r="P554">
        <v>1</v>
      </c>
      <c r="Q554">
        <v>0</v>
      </c>
      <c r="S554" t="str">
        <f t="shared" si="196"/>
        <v>19:27:09.000</v>
      </c>
      <c r="T554" t="str">
        <f t="shared" si="196"/>
        <v>19:27:09.000</v>
      </c>
      <c r="U554" t="str">
        <f t="shared" si="185"/>
        <v>AC3944</v>
      </c>
      <c r="V554">
        <v>0</v>
      </c>
      <c r="W554">
        <v>0</v>
      </c>
      <c r="X554">
        <v>2</v>
      </c>
      <c r="Y554">
        <v>0</v>
      </c>
      <c r="AA554">
        <v>1</v>
      </c>
      <c r="AB554">
        <v>8</v>
      </c>
      <c r="AC554">
        <v>3</v>
      </c>
      <c r="AD554">
        <v>0</v>
      </c>
      <c r="AE554">
        <v>9</v>
      </c>
      <c r="AF554" t="s">
        <v>138</v>
      </c>
      <c r="AG554">
        <v>0</v>
      </c>
      <c r="AH554">
        <v>3</v>
      </c>
      <c r="AI554">
        <v>1</v>
      </c>
      <c r="AJ554">
        <v>0</v>
      </c>
      <c r="AK554" t="s">
        <v>286</v>
      </c>
      <c r="AL554">
        <v>32.817813999999998</v>
      </c>
      <c r="AM554" t="s">
        <v>302</v>
      </c>
      <c r="AN554">
        <v>-116.975684</v>
      </c>
      <c r="AO554">
        <v>25</v>
      </c>
      <c r="AP554">
        <v>1700</v>
      </c>
      <c r="AQ554" t="s">
        <v>129</v>
      </c>
      <c r="AR554">
        <v>134</v>
      </c>
      <c r="AS554">
        <v>-1</v>
      </c>
      <c r="AT554">
        <v>832</v>
      </c>
      <c r="BB554">
        <v>740</v>
      </c>
      <c r="BC554">
        <v>1</v>
      </c>
      <c r="BD554" t="str">
        <f t="shared" si="186"/>
        <v xml:space="preserve">N887QR  </v>
      </c>
      <c r="BE554">
        <v>1</v>
      </c>
      <c r="BG554">
        <v>0</v>
      </c>
      <c r="BH554">
        <v>0</v>
      </c>
      <c r="BI554">
        <v>0</v>
      </c>
      <c r="BJ554">
        <v>1325</v>
      </c>
      <c r="BK554">
        <v>-375</v>
      </c>
      <c r="BL554" t="s">
        <v>163</v>
      </c>
      <c r="BM554">
        <v>1</v>
      </c>
      <c r="BN554">
        <v>1</v>
      </c>
      <c r="BO554">
        <v>1</v>
      </c>
      <c r="BP554">
        <v>0</v>
      </c>
      <c r="BS554">
        <v>0.04</v>
      </c>
      <c r="BT554">
        <v>0</v>
      </c>
      <c r="BU554">
        <v>0</v>
      </c>
      <c r="CE554" t="str">
        <f t="shared" si="197"/>
        <v>19:27:09.360</v>
      </c>
      <c r="CF554">
        <v>360244191</v>
      </c>
      <c r="CS554">
        <v>3</v>
      </c>
      <c r="CT554">
        <v>2</v>
      </c>
      <c r="CU554">
        <v>0</v>
      </c>
      <c r="CV554">
        <v>2</v>
      </c>
      <c r="CW554">
        <v>0</v>
      </c>
      <c r="CX554">
        <v>6</v>
      </c>
      <c r="CY554">
        <v>7</v>
      </c>
      <c r="CZ554" t="s">
        <v>131</v>
      </c>
      <c r="DA554">
        <v>300</v>
      </c>
      <c r="DB554">
        <v>0</v>
      </c>
      <c r="DC554" t="s">
        <v>176</v>
      </c>
      <c r="DD554" t="s">
        <v>177</v>
      </c>
      <c r="DG554">
        <v>5365694</v>
      </c>
      <c r="DI554">
        <v>1</v>
      </c>
      <c r="DJ554">
        <v>0</v>
      </c>
      <c r="DK554">
        <v>1</v>
      </c>
      <c r="DL554">
        <v>0</v>
      </c>
      <c r="DM554">
        <v>0</v>
      </c>
      <c r="DN554">
        <v>1</v>
      </c>
      <c r="DO554">
        <v>0</v>
      </c>
      <c r="DP554">
        <v>0</v>
      </c>
      <c r="DQ554">
        <v>0</v>
      </c>
      <c r="DR554">
        <v>0</v>
      </c>
      <c r="DS554">
        <v>0</v>
      </c>
    </row>
    <row r="555" spans="1:123" x14ac:dyDescent="0.3">
      <c r="A555" t="str">
        <f t="shared" si="195"/>
        <v>10/04/2022 19:27:09.587</v>
      </c>
      <c r="C555" t="str">
        <f t="shared" si="184"/>
        <v>FFDFD3C0</v>
      </c>
      <c r="D555" t="s">
        <v>141</v>
      </c>
      <c r="E555">
        <v>3</v>
      </c>
      <c r="H555">
        <v>3</v>
      </c>
      <c r="I555" t="s">
        <v>146</v>
      </c>
      <c r="J555" t="s">
        <v>138</v>
      </c>
      <c r="K555">
        <v>0</v>
      </c>
      <c r="L555">
        <v>3</v>
      </c>
      <c r="M555">
        <v>0</v>
      </c>
      <c r="N555">
        <v>2</v>
      </c>
      <c r="O555">
        <v>0</v>
      </c>
      <c r="P555">
        <v>1</v>
      </c>
      <c r="Q555">
        <v>0</v>
      </c>
      <c r="S555" t="str">
        <f t="shared" si="196"/>
        <v>19:27:09.000</v>
      </c>
      <c r="T555" t="str">
        <f t="shared" si="196"/>
        <v>19:27:09.000</v>
      </c>
      <c r="U555" t="str">
        <f t="shared" si="185"/>
        <v>AC3944</v>
      </c>
      <c r="V555">
        <v>0</v>
      </c>
      <c r="W555">
        <v>0</v>
      </c>
      <c r="X555">
        <v>2</v>
      </c>
      <c r="Y555">
        <v>0</v>
      </c>
      <c r="AA555">
        <v>1</v>
      </c>
      <c r="AB555">
        <v>8</v>
      </c>
      <c r="AC555">
        <v>3</v>
      </c>
      <c r="AD555">
        <v>0</v>
      </c>
      <c r="AE555">
        <v>9</v>
      </c>
      <c r="AF555" t="s">
        <v>138</v>
      </c>
      <c r="AG555">
        <v>0</v>
      </c>
      <c r="AH555">
        <v>3</v>
      </c>
      <c r="AI555">
        <v>1</v>
      </c>
      <c r="AJ555">
        <v>0</v>
      </c>
      <c r="AK555" t="s">
        <v>286</v>
      </c>
      <c r="AL555">
        <v>32.817813999999998</v>
      </c>
      <c r="AM555" t="s">
        <v>302</v>
      </c>
      <c r="AN555">
        <v>-116.975684</v>
      </c>
      <c r="AO555">
        <v>25</v>
      </c>
      <c r="AP555">
        <v>1700</v>
      </c>
      <c r="AQ555" t="s">
        <v>129</v>
      </c>
      <c r="AR555">
        <v>134</v>
      </c>
      <c r="AS555">
        <v>-1</v>
      </c>
      <c r="AT555">
        <v>832</v>
      </c>
      <c r="BB555">
        <v>740</v>
      </c>
      <c r="BC555">
        <v>1</v>
      </c>
      <c r="BD555" t="str">
        <f t="shared" si="186"/>
        <v xml:space="preserve">N887QR  </v>
      </c>
      <c r="BE555">
        <v>1</v>
      </c>
      <c r="BG555">
        <v>0</v>
      </c>
      <c r="BH555">
        <v>0</v>
      </c>
      <c r="BI555">
        <v>0</v>
      </c>
      <c r="BJ555">
        <v>1325</v>
      </c>
      <c r="BK555">
        <v>-375</v>
      </c>
      <c r="BL555" t="s">
        <v>163</v>
      </c>
      <c r="BM555">
        <v>1</v>
      </c>
      <c r="BN555">
        <v>1</v>
      </c>
      <c r="BO555">
        <v>1</v>
      </c>
      <c r="BP555">
        <v>0</v>
      </c>
      <c r="BS555">
        <v>0.04</v>
      </c>
      <c r="BT555">
        <v>0</v>
      </c>
      <c r="BU555">
        <v>0</v>
      </c>
      <c r="CE555" t="str">
        <f t="shared" si="197"/>
        <v>19:27:09.360</v>
      </c>
      <c r="CF555">
        <v>360244191</v>
      </c>
      <c r="CS555">
        <v>3</v>
      </c>
      <c r="CT555">
        <v>2</v>
      </c>
      <c r="CU555">
        <v>0</v>
      </c>
      <c r="CV555">
        <v>2</v>
      </c>
      <c r="CW555">
        <v>0</v>
      </c>
      <c r="CX555">
        <v>6</v>
      </c>
      <c r="CY555">
        <v>7</v>
      </c>
      <c r="CZ555" t="s">
        <v>131</v>
      </c>
      <c r="DA555">
        <v>300</v>
      </c>
      <c r="DB555">
        <v>0</v>
      </c>
      <c r="DC555" t="s">
        <v>176</v>
      </c>
      <c r="DD555" t="s">
        <v>177</v>
      </c>
      <c r="DG555">
        <v>5365694</v>
      </c>
      <c r="DI555">
        <v>1</v>
      </c>
      <c r="DJ555">
        <v>0</v>
      </c>
      <c r="DK555">
        <v>1</v>
      </c>
      <c r="DL555">
        <v>0</v>
      </c>
      <c r="DM555">
        <v>0</v>
      </c>
      <c r="DN555">
        <v>1</v>
      </c>
      <c r="DO555">
        <v>0</v>
      </c>
      <c r="DP555">
        <v>0</v>
      </c>
      <c r="DQ555">
        <v>0</v>
      </c>
      <c r="DR555">
        <v>0</v>
      </c>
      <c r="DS555">
        <v>0</v>
      </c>
    </row>
    <row r="556" spans="1:123" x14ac:dyDescent="0.3">
      <c r="A556" t="str">
        <f>"10/04/2022 19:27:10.057"</f>
        <v>10/04/2022 19:27:10.057</v>
      </c>
      <c r="C556" t="str">
        <f t="shared" si="184"/>
        <v>FFDFD3C0</v>
      </c>
      <c r="D556" t="s">
        <v>147</v>
      </c>
      <c r="E556">
        <v>3</v>
      </c>
      <c r="H556">
        <v>166</v>
      </c>
      <c r="I556" t="s">
        <v>144</v>
      </c>
      <c r="J556" t="s">
        <v>148</v>
      </c>
      <c r="K556">
        <v>0</v>
      </c>
      <c r="L556">
        <v>3</v>
      </c>
      <c r="M556">
        <v>0</v>
      </c>
      <c r="N556">
        <v>2</v>
      </c>
      <c r="O556">
        <v>0</v>
      </c>
      <c r="P556">
        <v>1</v>
      </c>
      <c r="Q556">
        <v>0</v>
      </c>
      <c r="S556" t="str">
        <f t="shared" si="196"/>
        <v>19:27:09.000</v>
      </c>
      <c r="T556" t="str">
        <f t="shared" si="196"/>
        <v>19:27:09.000</v>
      </c>
      <c r="U556" t="str">
        <f t="shared" si="185"/>
        <v>AC3944</v>
      </c>
      <c r="V556">
        <v>0</v>
      </c>
      <c r="W556">
        <v>0</v>
      </c>
      <c r="X556">
        <v>2</v>
      </c>
      <c r="Y556">
        <v>0</v>
      </c>
      <c r="AA556">
        <v>1</v>
      </c>
      <c r="AB556">
        <v>8</v>
      </c>
      <c r="AC556">
        <v>3</v>
      </c>
      <c r="AD556">
        <v>0</v>
      </c>
      <c r="AE556">
        <v>9</v>
      </c>
      <c r="AF556" t="s">
        <v>138</v>
      </c>
      <c r="AG556">
        <v>0</v>
      </c>
      <c r="AH556">
        <v>3</v>
      </c>
      <c r="AI556">
        <v>1</v>
      </c>
      <c r="AJ556">
        <v>0</v>
      </c>
      <c r="AK556" t="s">
        <v>286</v>
      </c>
      <c r="AL556">
        <v>32.817813999999998</v>
      </c>
      <c r="AM556" t="s">
        <v>303</v>
      </c>
      <c r="AN556">
        <v>-116.97495499999999</v>
      </c>
      <c r="AO556">
        <v>25</v>
      </c>
      <c r="AP556">
        <v>1700</v>
      </c>
      <c r="AQ556" t="s">
        <v>129</v>
      </c>
      <c r="AR556">
        <v>134</v>
      </c>
      <c r="AS556">
        <v>-2</v>
      </c>
      <c r="AT556">
        <v>832</v>
      </c>
      <c r="BB556">
        <v>740</v>
      </c>
      <c r="BC556">
        <v>1</v>
      </c>
      <c r="BD556" t="str">
        <f t="shared" si="186"/>
        <v xml:space="preserve">N887QR  </v>
      </c>
      <c r="BE556">
        <v>1</v>
      </c>
      <c r="BG556">
        <v>0</v>
      </c>
      <c r="BH556">
        <v>0</v>
      </c>
      <c r="BI556">
        <v>0</v>
      </c>
      <c r="BJ556">
        <v>1325</v>
      </c>
      <c r="BK556">
        <v>-375</v>
      </c>
      <c r="BL556" t="s">
        <v>163</v>
      </c>
      <c r="BM556">
        <v>1</v>
      </c>
      <c r="BN556">
        <v>1</v>
      </c>
      <c r="BO556">
        <v>1</v>
      </c>
      <c r="BP556">
        <v>0</v>
      </c>
      <c r="BS556">
        <v>0.04</v>
      </c>
      <c r="BT556">
        <v>0</v>
      </c>
      <c r="BU556">
        <v>0</v>
      </c>
      <c r="CE556" t="str">
        <f t="shared" ref="CE556:CE562" si="198">"19:27:09.847"</f>
        <v>19:27:09.847</v>
      </c>
      <c r="CF556">
        <v>847267312</v>
      </c>
      <c r="CS556">
        <v>3</v>
      </c>
      <c r="CT556">
        <v>2</v>
      </c>
      <c r="CU556">
        <v>0</v>
      </c>
      <c r="CV556">
        <v>2</v>
      </c>
      <c r="CW556">
        <v>0</v>
      </c>
      <c r="CX556">
        <v>2</v>
      </c>
      <c r="CY556">
        <v>7</v>
      </c>
      <c r="CZ556" t="s">
        <v>131</v>
      </c>
      <c r="DA556">
        <v>286</v>
      </c>
      <c r="DB556">
        <v>0</v>
      </c>
      <c r="DC556" t="s">
        <v>132</v>
      </c>
      <c r="DD556" t="s">
        <v>133</v>
      </c>
      <c r="DG556">
        <v>797719</v>
      </c>
      <c r="DI556">
        <v>1</v>
      </c>
      <c r="DJ556">
        <v>0</v>
      </c>
      <c r="DK556">
        <v>0</v>
      </c>
      <c r="DL556">
        <v>0</v>
      </c>
      <c r="DM556">
        <v>0</v>
      </c>
      <c r="DN556">
        <v>1</v>
      </c>
      <c r="DO556">
        <v>0</v>
      </c>
      <c r="DP556">
        <v>0</v>
      </c>
      <c r="DQ556">
        <v>0</v>
      </c>
      <c r="DR556">
        <v>0</v>
      </c>
      <c r="DS556">
        <v>0</v>
      </c>
    </row>
    <row r="557" spans="1:123" x14ac:dyDescent="0.3">
      <c r="A557" t="str">
        <f>"10/04/2022 19:27:10.088"</f>
        <v>10/04/2022 19:27:10.088</v>
      </c>
      <c r="C557" t="str">
        <f t="shared" si="184"/>
        <v>FFDFD3C0</v>
      </c>
      <c r="D557" t="s">
        <v>143</v>
      </c>
      <c r="E557">
        <v>20</v>
      </c>
      <c r="F557">
        <v>1020</v>
      </c>
      <c r="G557" t="s">
        <v>144</v>
      </c>
      <c r="J557" t="s">
        <v>145</v>
      </c>
      <c r="K557">
        <v>0</v>
      </c>
      <c r="L557">
        <v>3</v>
      </c>
      <c r="M557">
        <v>0</v>
      </c>
      <c r="N557">
        <v>2</v>
      </c>
      <c r="O557">
        <v>0</v>
      </c>
      <c r="P557">
        <v>1</v>
      </c>
      <c r="Q557">
        <v>0</v>
      </c>
      <c r="S557" t="str">
        <f t="shared" si="196"/>
        <v>19:27:09.000</v>
      </c>
      <c r="T557" t="str">
        <f t="shared" si="196"/>
        <v>19:27:09.000</v>
      </c>
      <c r="U557" t="str">
        <f t="shared" si="185"/>
        <v>AC3944</v>
      </c>
      <c r="V557">
        <v>0</v>
      </c>
      <c r="W557">
        <v>0</v>
      </c>
      <c r="X557">
        <v>2</v>
      </c>
      <c r="Y557">
        <v>0</v>
      </c>
      <c r="AA557">
        <v>1</v>
      </c>
      <c r="AB557">
        <v>8</v>
      </c>
      <c r="AC557">
        <v>3</v>
      </c>
      <c r="AD557">
        <v>0</v>
      </c>
      <c r="AE557">
        <v>9</v>
      </c>
      <c r="AF557" t="s">
        <v>138</v>
      </c>
      <c r="AG557">
        <v>0</v>
      </c>
      <c r="AH557">
        <v>3</v>
      </c>
      <c r="AI557">
        <v>1</v>
      </c>
      <c r="AJ557">
        <v>0</v>
      </c>
      <c r="AK557" t="s">
        <v>286</v>
      </c>
      <c r="AL557">
        <v>32.817813999999998</v>
      </c>
      <c r="AM557" t="s">
        <v>303</v>
      </c>
      <c r="AN557">
        <v>-116.97495499999999</v>
      </c>
      <c r="AO557">
        <v>25</v>
      </c>
      <c r="AP557">
        <v>1700</v>
      </c>
      <c r="AQ557" t="s">
        <v>129</v>
      </c>
      <c r="AR557">
        <v>134</v>
      </c>
      <c r="AS557">
        <v>-2</v>
      </c>
      <c r="AT557">
        <v>832</v>
      </c>
      <c r="BB557">
        <v>740</v>
      </c>
      <c r="BC557">
        <v>1</v>
      </c>
      <c r="BD557" t="str">
        <f t="shared" si="186"/>
        <v xml:space="preserve">N887QR  </v>
      </c>
      <c r="BE557">
        <v>1</v>
      </c>
      <c r="BG557">
        <v>0</v>
      </c>
      <c r="BH557">
        <v>0</v>
      </c>
      <c r="BI557">
        <v>0</v>
      </c>
      <c r="BJ557">
        <v>1325</v>
      </c>
      <c r="BK557">
        <v>-375</v>
      </c>
      <c r="BL557" t="s">
        <v>163</v>
      </c>
      <c r="BM557">
        <v>1</v>
      </c>
      <c r="BN557">
        <v>1</v>
      </c>
      <c r="BO557">
        <v>1</v>
      </c>
      <c r="BP557">
        <v>0</v>
      </c>
      <c r="BS557">
        <v>0</v>
      </c>
      <c r="BT557">
        <v>0</v>
      </c>
      <c r="BU557">
        <v>0</v>
      </c>
      <c r="CE557" t="str">
        <f t="shared" si="198"/>
        <v>19:27:09.847</v>
      </c>
      <c r="CF557">
        <v>847267312</v>
      </c>
      <c r="CS557">
        <v>3</v>
      </c>
      <c r="CT557">
        <v>2</v>
      </c>
      <c r="CU557">
        <v>0</v>
      </c>
      <c r="CV557">
        <v>2</v>
      </c>
      <c r="CW557">
        <v>0</v>
      </c>
      <c r="CX557">
        <v>2</v>
      </c>
      <c r="CY557">
        <v>7</v>
      </c>
      <c r="CZ557" t="s">
        <v>131</v>
      </c>
      <c r="DA557">
        <v>286</v>
      </c>
      <c r="DB557">
        <v>0</v>
      </c>
      <c r="DC557" t="s">
        <v>132</v>
      </c>
      <c r="DD557" t="s">
        <v>133</v>
      </c>
      <c r="DG557">
        <v>797719</v>
      </c>
      <c r="DI557">
        <v>1</v>
      </c>
      <c r="DJ557">
        <v>0</v>
      </c>
      <c r="DK557">
        <v>1</v>
      </c>
      <c r="DL557">
        <v>0</v>
      </c>
      <c r="DM557">
        <v>0</v>
      </c>
      <c r="DN557">
        <v>1</v>
      </c>
      <c r="DO557">
        <v>0</v>
      </c>
      <c r="DP557">
        <v>0</v>
      </c>
      <c r="DQ557">
        <v>0</v>
      </c>
      <c r="DR557">
        <v>0</v>
      </c>
      <c r="DS557">
        <v>0</v>
      </c>
    </row>
    <row r="558" spans="1:123" x14ac:dyDescent="0.3">
      <c r="A558" t="str">
        <f>"10/04/2022 19:27:10.119"</f>
        <v>10/04/2022 19:27:10.119</v>
      </c>
      <c r="C558" t="str">
        <f t="shared" si="184"/>
        <v>FFDFD3C0</v>
      </c>
      <c r="D558" t="s">
        <v>134</v>
      </c>
      <c r="E558">
        <v>15</v>
      </c>
      <c r="J558" t="s">
        <v>135</v>
      </c>
      <c r="K558">
        <v>0</v>
      </c>
      <c r="L558">
        <v>3</v>
      </c>
      <c r="M558">
        <v>0</v>
      </c>
      <c r="N558">
        <v>2</v>
      </c>
      <c r="O558">
        <v>0</v>
      </c>
      <c r="P558">
        <v>1</v>
      </c>
      <c r="Q558">
        <v>0</v>
      </c>
      <c r="S558" t="str">
        <f t="shared" si="196"/>
        <v>19:27:09.000</v>
      </c>
      <c r="T558" t="str">
        <f t="shared" si="196"/>
        <v>19:27:09.000</v>
      </c>
      <c r="U558" t="str">
        <f t="shared" si="185"/>
        <v>AC3944</v>
      </c>
      <c r="V558">
        <v>0</v>
      </c>
      <c r="W558">
        <v>0</v>
      </c>
      <c r="X558">
        <v>2</v>
      </c>
      <c r="Y558">
        <v>0</v>
      </c>
      <c r="AA558">
        <v>1</v>
      </c>
      <c r="AB558">
        <v>8</v>
      </c>
      <c r="AC558">
        <v>3</v>
      </c>
      <c r="AD558">
        <v>0</v>
      </c>
      <c r="AE558">
        <v>9</v>
      </c>
      <c r="AF558" t="s">
        <v>138</v>
      </c>
      <c r="AG558">
        <v>0</v>
      </c>
      <c r="AH558">
        <v>3</v>
      </c>
      <c r="AI558">
        <v>1</v>
      </c>
      <c r="AJ558">
        <v>0</v>
      </c>
      <c r="AK558" t="s">
        <v>286</v>
      </c>
      <c r="AL558">
        <v>32.817813999999998</v>
      </c>
      <c r="AM558" t="s">
        <v>303</v>
      </c>
      <c r="AN558">
        <v>-116.97495499999999</v>
      </c>
      <c r="AO558">
        <v>25</v>
      </c>
      <c r="AP558">
        <v>1700</v>
      </c>
      <c r="AQ558" t="s">
        <v>129</v>
      </c>
      <c r="AR558">
        <v>134</v>
      </c>
      <c r="AS558">
        <v>-2</v>
      </c>
      <c r="AT558">
        <v>832</v>
      </c>
      <c r="BB558">
        <v>740</v>
      </c>
      <c r="BC558">
        <v>1</v>
      </c>
      <c r="BD558" t="str">
        <f t="shared" si="186"/>
        <v xml:space="preserve">N887QR  </v>
      </c>
      <c r="BE558">
        <v>1</v>
      </c>
      <c r="BG558">
        <v>0</v>
      </c>
      <c r="BH558">
        <v>0</v>
      </c>
      <c r="BI558">
        <v>0</v>
      </c>
      <c r="BJ558">
        <v>1325</v>
      </c>
      <c r="BK558">
        <v>-375</v>
      </c>
      <c r="BL558" t="s">
        <v>163</v>
      </c>
      <c r="BM558">
        <v>1</v>
      </c>
      <c r="BN558">
        <v>1</v>
      </c>
      <c r="BO558">
        <v>1</v>
      </c>
      <c r="BP558">
        <v>0</v>
      </c>
      <c r="BS558">
        <v>0</v>
      </c>
      <c r="BT558">
        <v>0</v>
      </c>
      <c r="BU558">
        <v>0</v>
      </c>
      <c r="CE558" t="str">
        <f t="shared" si="198"/>
        <v>19:27:09.847</v>
      </c>
      <c r="CF558">
        <v>847267312</v>
      </c>
      <c r="CS558">
        <v>3</v>
      </c>
      <c r="CT558">
        <v>2</v>
      </c>
      <c r="CU558">
        <v>0</v>
      </c>
      <c r="CV558">
        <v>2</v>
      </c>
      <c r="CW558">
        <v>0</v>
      </c>
      <c r="CX558">
        <v>2</v>
      </c>
      <c r="CY558">
        <v>7</v>
      </c>
      <c r="CZ558" t="s">
        <v>131</v>
      </c>
      <c r="DA558">
        <v>286</v>
      </c>
      <c r="DB558">
        <v>0</v>
      </c>
      <c r="DC558" t="s">
        <v>132</v>
      </c>
      <c r="DD558" t="s">
        <v>133</v>
      </c>
      <c r="DG558">
        <v>797719</v>
      </c>
      <c r="DI558">
        <v>1</v>
      </c>
      <c r="DJ558">
        <v>0</v>
      </c>
      <c r="DK558">
        <v>1</v>
      </c>
      <c r="DL558">
        <v>0</v>
      </c>
      <c r="DM558">
        <v>0</v>
      </c>
      <c r="DN558">
        <v>1</v>
      </c>
      <c r="DO558">
        <v>0</v>
      </c>
      <c r="DP558">
        <v>0</v>
      </c>
      <c r="DQ558">
        <v>0</v>
      </c>
      <c r="DR558">
        <v>0</v>
      </c>
      <c r="DS558">
        <v>0</v>
      </c>
    </row>
    <row r="559" spans="1:123" x14ac:dyDescent="0.3">
      <c r="A559" t="str">
        <f>"10/04/2022 19:27:10.119"</f>
        <v>10/04/2022 19:27:10.119</v>
      </c>
      <c r="C559" t="str">
        <f t="shared" si="184"/>
        <v>FFDFD3C0</v>
      </c>
      <c r="D559" t="s">
        <v>123</v>
      </c>
      <c r="E559">
        <v>7</v>
      </c>
      <c r="F559">
        <v>2007</v>
      </c>
      <c r="G559" t="s">
        <v>124</v>
      </c>
      <c r="J559" t="s">
        <v>125</v>
      </c>
      <c r="K559">
        <v>0</v>
      </c>
      <c r="L559">
        <v>3</v>
      </c>
      <c r="M559">
        <v>0</v>
      </c>
      <c r="N559">
        <v>2</v>
      </c>
      <c r="O559">
        <v>0</v>
      </c>
      <c r="P559">
        <v>1</v>
      </c>
      <c r="Q559">
        <v>0</v>
      </c>
      <c r="S559" t="str">
        <f t="shared" si="196"/>
        <v>19:27:09.000</v>
      </c>
      <c r="T559" t="str">
        <f t="shared" si="196"/>
        <v>19:27:09.000</v>
      </c>
      <c r="U559" t="str">
        <f t="shared" si="185"/>
        <v>AC3944</v>
      </c>
      <c r="V559">
        <v>0</v>
      </c>
      <c r="W559">
        <v>0</v>
      </c>
      <c r="X559">
        <v>2</v>
      </c>
      <c r="Y559">
        <v>0</v>
      </c>
      <c r="AA559">
        <v>1</v>
      </c>
      <c r="AB559">
        <v>8</v>
      </c>
      <c r="AC559">
        <v>3</v>
      </c>
      <c r="AD559">
        <v>0</v>
      </c>
      <c r="AE559">
        <v>9</v>
      </c>
      <c r="AF559" t="s">
        <v>138</v>
      </c>
      <c r="AG559">
        <v>0</v>
      </c>
      <c r="AH559">
        <v>3</v>
      </c>
      <c r="AI559">
        <v>1</v>
      </c>
      <c r="AJ559">
        <v>0</v>
      </c>
      <c r="AK559" t="s">
        <v>286</v>
      </c>
      <c r="AL559">
        <v>32.817813999999998</v>
      </c>
      <c r="AM559" t="s">
        <v>303</v>
      </c>
      <c r="AN559">
        <v>-116.97495499999999</v>
      </c>
      <c r="AO559">
        <v>25</v>
      </c>
      <c r="AP559">
        <v>1700</v>
      </c>
      <c r="AQ559" t="s">
        <v>129</v>
      </c>
      <c r="AR559">
        <v>134</v>
      </c>
      <c r="AS559">
        <v>-2</v>
      </c>
      <c r="AT559">
        <v>832</v>
      </c>
      <c r="BB559">
        <v>740</v>
      </c>
      <c r="BC559">
        <v>1</v>
      </c>
      <c r="BD559" t="str">
        <f t="shared" si="186"/>
        <v xml:space="preserve">N887QR  </v>
      </c>
      <c r="BE559">
        <v>1</v>
      </c>
      <c r="BG559">
        <v>0</v>
      </c>
      <c r="BH559">
        <v>0</v>
      </c>
      <c r="BI559">
        <v>0</v>
      </c>
      <c r="BJ559">
        <v>1325</v>
      </c>
      <c r="BK559">
        <v>-375</v>
      </c>
      <c r="BL559" t="s">
        <v>163</v>
      </c>
      <c r="BM559">
        <v>1</v>
      </c>
      <c r="BN559">
        <v>1</v>
      </c>
      <c r="BO559">
        <v>1</v>
      </c>
      <c r="BP559">
        <v>0</v>
      </c>
      <c r="BS559">
        <v>0</v>
      </c>
      <c r="BT559">
        <v>0</v>
      </c>
      <c r="BU559">
        <v>0</v>
      </c>
      <c r="CE559" t="str">
        <f t="shared" si="198"/>
        <v>19:27:09.847</v>
      </c>
      <c r="CF559">
        <v>847267312</v>
      </c>
      <c r="CS559">
        <v>3</v>
      </c>
      <c r="CT559">
        <v>2</v>
      </c>
      <c r="CU559">
        <v>0</v>
      </c>
      <c r="CV559">
        <v>2</v>
      </c>
      <c r="CW559">
        <v>0</v>
      </c>
      <c r="CX559">
        <v>2</v>
      </c>
      <c r="CY559">
        <v>7</v>
      </c>
      <c r="CZ559" t="s">
        <v>131</v>
      </c>
      <c r="DA559">
        <v>286</v>
      </c>
      <c r="DB559">
        <v>0</v>
      </c>
      <c r="DC559" t="s">
        <v>132</v>
      </c>
      <c r="DD559" t="s">
        <v>133</v>
      </c>
      <c r="DG559">
        <v>797719</v>
      </c>
      <c r="DI559">
        <v>1</v>
      </c>
      <c r="DJ559">
        <v>0</v>
      </c>
      <c r="DK559">
        <v>1</v>
      </c>
      <c r="DL559">
        <v>0</v>
      </c>
      <c r="DM559">
        <v>0</v>
      </c>
      <c r="DN559">
        <v>1</v>
      </c>
      <c r="DO559">
        <v>0</v>
      </c>
      <c r="DP559">
        <v>0</v>
      </c>
      <c r="DQ559">
        <v>0</v>
      </c>
      <c r="DR559">
        <v>0</v>
      </c>
      <c r="DS559">
        <v>0</v>
      </c>
    </row>
    <row r="560" spans="1:123" x14ac:dyDescent="0.3">
      <c r="A560" t="str">
        <f>"10/04/2022 19:27:10.119"</f>
        <v>10/04/2022 19:27:10.119</v>
      </c>
      <c r="C560" t="str">
        <f t="shared" si="184"/>
        <v>FFDFD3C0</v>
      </c>
      <c r="D560" t="s">
        <v>136</v>
      </c>
      <c r="E560">
        <v>8</v>
      </c>
      <c r="H560">
        <v>225</v>
      </c>
      <c r="I560" t="s">
        <v>137</v>
      </c>
      <c r="J560" t="s">
        <v>138</v>
      </c>
      <c r="K560">
        <v>0</v>
      </c>
      <c r="L560">
        <v>3</v>
      </c>
      <c r="M560">
        <v>0</v>
      </c>
      <c r="N560">
        <v>2</v>
      </c>
      <c r="O560">
        <v>0</v>
      </c>
      <c r="P560">
        <v>1</v>
      </c>
      <c r="Q560">
        <v>0</v>
      </c>
      <c r="S560" t="str">
        <f t="shared" si="196"/>
        <v>19:27:09.000</v>
      </c>
      <c r="T560" t="str">
        <f t="shared" si="196"/>
        <v>19:27:09.000</v>
      </c>
      <c r="U560" t="str">
        <f t="shared" si="185"/>
        <v>AC3944</v>
      </c>
      <c r="V560">
        <v>0</v>
      </c>
      <c r="W560">
        <v>0</v>
      </c>
      <c r="X560">
        <v>2</v>
      </c>
      <c r="Y560">
        <v>0</v>
      </c>
      <c r="AA560">
        <v>1</v>
      </c>
      <c r="AB560">
        <v>8</v>
      </c>
      <c r="AC560">
        <v>3</v>
      </c>
      <c r="AD560">
        <v>0</v>
      </c>
      <c r="AE560">
        <v>9</v>
      </c>
      <c r="AF560" t="s">
        <v>138</v>
      </c>
      <c r="AG560">
        <v>0</v>
      </c>
      <c r="AH560">
        <v>3</v>
      </c>
      <c r="AI560">
        <v>1</v>
      </c>
      <c r="AJ560">
        <v>0</v>
      </c>
      <c r="AK560" t="s">
        <v>286</v>
      </c>
      <c r="AL560">
        <v>32.817813999999998</v>
      </c>
      <c r="AM560" t="s">
        <v>303</v>
      </c>
      <c r="AN560">
        <v>-116.97495499999999</v>
      </c>
      <c r="AO560">
        <v>25</v>
      </c>
      <c r="AP560">
        <v>1700</v>
      </c>
      <c r="AQ560" t="s">
        <v>129</v>
      </c>
      <c r="AR560">
        <v>134</v>
      </c>
      <c r="AS560">
        <v>-2</v>
      </c>
      <c r="AT560">
        <v>832</v>
      </c>
      <c r="BB560">
        <v>740</v>
      </c>
      <c r="BC560">
        <v>1</v>
      </c>
      <c r="BD560" t="str">
        <f t="shared" si="186"/>
        <v xml:space="preserve">N887QR  </v>
      </c>
      <c r="BE560">
        <v>1</v>
      </c>
      <c r="BG560">
        <v>0</v>
      </c>
      <c r="BH560">
        <v>0</v>
      </c>
      <c r="BI560">
        <v>0</v>
      </c>
      <c r="BJ560">
        <v>1325</v>
      </c>
      <c r="BK560">
        <v>-375</v>
      </c>
      <c r="BL560" t="s">
        <v>163</v>
      </c>
      <c r="BM560">
        <v>1</v>
      </c>
      <c r="BN560">
        <v>1</v>
      </c>
      <c r="BO560">
        <v>1</v>
      </c>
      <c r="BP560">
        <v>0</v>
      </c>
      <c r="BS560">
        <v>0.04</v>
      </c>
      <c r="BT560">
        <v>0</v>
      </c>
      <c r="BU560">
        <v>0</v>
      </c>
      <c r="CE560" t="str">
        <f t="shared" si="198"/>
        <v>19:27:09.847</v>
      </c>
      <c r="CF560">
        <v>847267312</v>
      </c>
      <c r="CS560">
        <v>3</v>
      </c>
      <c r="CT560">
        <v>2</v>
      </c>
      <c r="CU560">
        <v>0</v>
      </c>
      <c r="CV560">
        <v>2</v>
      </c>
      <c r="CW560">
        <v>0</v>
      </c>
      <c r="CX560">
        <v>2</v>
      </c>
      <c r="CY560">
        <v>7</v>
      </c>
      <c r="CZ560" t="s">
        <v>131</v>
      </c>
      <c r="DA560">
        <v>286</v>
      </c>
      <c r="DB560">
        <v>0</v>
      </c>
      <c r="DC560" t="s">
        <v>132</v>
      </c>
      <c r="DD560" t="s">
        <v>133</v>
      </c>
      <c r="DG560">
        <v>797719</v>
      </c>
      <c r="DI560">
        <v>1</v>
      </c>
      <c r="DJ560">
        <v>0</v>
      </c>
      <c r="DK560">
        <v>1</v>
      </c>
      <c r="DL560">
        <v>0</v>
      </c>
      <c r="DM560">
        <v>0</v>
      </c>
      <c r="DN560">
        <v>1</v>
      </c>
      <c r="DO560">
        <v>0</v>
      </c>
      <c r="DP560">
        <v>0</v>
      </c>
      <c r="DQ560">
        <v>0</v>
      </c>
      <c r="DR560">
        <v>0</v>
      </c>
      <c r="DS560">
        <v>0</v>
      </c>
    </row>
    <row r="561" spans="1:123" x14ac:dyDescent="0.3">
      <c r="A561" t="str">
        <f>"10/04/2022 19:27:10.119"</f>
        <v>10/04/2022 19:27:10.119</v>
      </c>
      <c r="C561" t="str">
        <f t="shared" si="184"/>
        <v>FFDFD3C0</v>
      </c>
      <c r="D561" t="s">
        <v>141</v>
      </c>
      <c r="E561">
        <v>4</v>
      </c>
      <c r="H561">
        <v>4</v>
      </c>
      <c r="I561" t="s">
        <v>142</v>
      </c>
      <c r="J561" t="s">
        <v>138</v>
      </c>
      <c r="K561">
        <v>0</v>
      </c>
      <c r="L561">
        <v>3</v>
      </c>
      <c r="M561">
        <v>0</v>
      </c>
      <c r="N561">
        <v>2</v>
      </c>
      <c r="O561">
        <v>0</v>
      </c>
      <c r="P561">
        <v>1</v>
      </c>
      <c r="Q561">
        <v>0</v>
      </c>
      <c r="S561" t="str">
        <f t="shared" si="196"/>
        <v>19:27:09.000</v>
      </c>
      <c r="T561" t="str">
        <f t="shared" si="196"/>
        <v>19:27:09.000</v>
      </c>
      <c r="U561" t="str">
        <f t="shared" si="185"/>
        <v>AC3944</v>
      </c>
      <c r="V561">
        <v>0</v>
      </c>
      <c r="W561">
        <v>0</v>
      </c>
      <c r="X561">
        <v>2</v>
      </c>
      <c r="Y561">
        <v>0</v>
      </c>
      <c r="AA561">
        <v>1</v>
      </c>
      <c r="AB561">
        <v>8</v>
      </c>
      <c r="AC561">
        <v>3</v>
      </c>
      <c r="AD561">
        <v>0</v>
      </c>
      <c r="AE561">
        <v>9</v>
      </c>
      <c r="AF561" t="s">
        <v>138</v>
      </c>
      <c r="AG561">
        <v>0</v>
      </c>
      <c r="AH561">
        <v>3</v>
      </c>
      <c r="AI561">
        <v>1</v>
      </c>
      <c r="AJ561">
        <v>0</v>
      </c>
      <c r="AK561" t="s">
        <v>286</v>
      </c>
      <c r="AL561">
        <v>32.817813999999998</v>
      </c>
      <c r="AM561" t="s">
        <v>303</v>
      </c>
      <c r="AN561">
        <v>-116.97495499999999</v>
      </c>
      <c r="AO561">
        <v>25</v>
      </c>
      <c r="AP561">
        <v>1700</v>
      </c>
      <c r="AQ561" t="s">
        <v>129</v>
      </c>
      <c r="AR561">
        <v>134</v>
      </c>
      <c r="AS561">
        <v>-2</v>
      </c>
      <c r="AT561">
        <v>832</v>
      </c>
      <c r="BB561">
        <v>740</v>
      </c>
      <c r="BC561">
        <v>1</v>
      </c>
      <c r="BD561" t="str">
        <f t="shared" si="186"/>
        <v xml:space="preserve">N887QR  </v>
      </c>
      <c r="BE561">
        <v>1</v>
      </c>
      <c r="BG561">
        <v>0</v>
      </c>
      <c r="BH561">
        <v>0</v>
      </c>
      <c r="BI561">
        <v>0</v>
      </c>
      <c r="BJ561">
        <v>1325</v>
      </c>
      <c r="BK561">
        <v>-375</v>
      </c>
      <c r="BL561" t="s">
        <v>163</v>
      </c>
      <c r="BM561">
        <v>1</v>
      </c>
      <c r="BN561">
        <v>1</v>
      </c>
      <c r="BO561">
        <v>1</v>
      </c>
      <c r="BP561">
        <v>0</v>
      </c>
      <c r="BS561">
        <v>0.04</v>
      </c>
      <c r="BT561">
        <v>0</v>
      </c>
      <c r="BU561">
        <v>0</v>
      </c>
      <c r="CE561" t="str">
        <f t="shared" si="198"/>
        <v>19:27:09.847</v>
      </c>
      <c r="CF561">
        <v>847267312</v>
      </c>
      <c r="CS561">
        <v>3</v>
      </c>
      <c r="CT561">
        <v>2</v>
      </c>
      <c r="CU561">
        <v>0</v>
      </c>
      <c r="CV561">
        <v>2</v>
      </c>
      <c r="CW561">
        <v>0</v>
      </c>
      <c r="CX561">
        <v>2</v>
      </c>
      <c r="CY561">
        <v>7</v>
      </c>
      <c r="CZ561" t="s">
        <v>131</v>
      </c>
      <c r="DA561">
        <v>286</v>
      </c>
      <c r="DB561">
        <v>0</v>
      </c>
      <c r="DC561" t="s">
        <v>132</v>
      </c>
      <c r="DD561" t="s">
        <v>133</v>
      </c>
      <c r="DG561">
        <v>797719</v>
      </c>
      <c r="DI561">
        <v>1</v>
      </c>
      <c r="DJ561">
        <v>0</v>
      </c>
      <c r="DK561">
        <v>1</v>
      </c>
      <c r="DL561">
        <v>0</v>
      </c>
      <c r="DM561">
        <v>0</v>
      </c>
      <c r="DN561">
        <v>1</v>
      </c>
      <c r="DO561">
        <v>0</v>
      </c>
      <c r="DP561">
        <v>0</v>
      </c>
      <c r="DQ561">
        <v>0</v>
      </c>
      <c r="DR561">
        <v>0</v>
      </c>
      <c r="DS561">
        <v>0</v>
      </c>
    </row>
    <row r="562" spans="1:123" x14ac:dyDescent="0.3">
      <c r="A562" t="str">
        <f>"10/04/2022 19:27:10.119"</f>
        <v>10/04/2022 19:27:10.119</v>
      </c>
      <c r="C562" t="str">
        <f t="shared" si="184"/>
        <v>FFDFD3C0</v>
      </c>
      <c r="D562" t="s">
        <v>141</v>
      </c>
      <c r="E562">
        <v>3</v>
      </c>
      <c r="H562">
        <v>3</v>
      </c>
      <c r="I562" t="s">
        <v>146</v>
      </c>
      <c r="J562" t="s">
        <v>138</v>
      </c>
      <c r="K562">
        <v>0</v>
      </c>
      <c r="L562">
        <v>3</v>
      </c>
      <c r="M562">
        <v>0</v>
      </c>
      <c r="N562">
        <v>2</v>
      </c>
      <c r="O562">
        <v>0</v>
      </c>
      <c r="P562">
        <v>1</v>
      </c>
      <c r="Q562">
        <v>0</v>
      </c>
      <c r="S562" t="str">
        <f t="shared" si="196"/>
        <v>19:27:09.000</v>
      </c>
      <c r="T562" t="str">
        <f t="shared" si="196"/>
        <v>19:27:09.000</v>
      </c>
      <c r="U562" t="str">
        <f t="shared" si="185"/>
        <v>AC3944</v>
      </c>
      <c r="V562">
        <v>0</v>
      </c>
      <c r="W562">
        <v>0</v>
      </c>
      <c r="X562">
        <v>2</v>
      </c>
      <c r="Y562">
        <v>0</v>
      </c>
      <c r="AA562">
        <v>1</v>
      </c>
      <c r="AB562">
        <v>8</v>
      </c>
      <c r="AC562">
        <v>3</v>
      </c>
      <c r="AD562">
        <v>0</v>
      </c>
      <c r="AE562">
        <v>9</v>
      </c>
      <c r="AF562" t="s">
        <v>138</v>
      </c>
      <c r="AG562">
        <v>0</v>
      </c>
      <c r="AH562">
        <v>3</v>
      </c>
      <c r="AI562">
        <v>1</v>
      </c>
      <c r="AJ562">
        <v>0</v>
      </c>
      <c r="AK562" t="s">
        <v>286</v>
      </c>
      <c r="AL562">
        <v>32.817813999999998</v>
      </c>
      <c r="AM562" t="s">
        <v>303</v>
      </c>
      <c r="AN562">
        <v>-116.97495499999999</v>
      </c>
      <c r="AO562">
        <v>25</v>
      </c>
      <c r="AP562">
        <v>1700</v>
      </c>
      <c r="AQ562" t="s">
        <v>129</v>
      </c>
      <c r="AR562">
        <v>134</v>
      </c>
      <c r="AS562">
        <v>-2</v>
      </c>
      <c r="AT562">
        <v>832</v>
      </c>
      <c r="BB562">
        <v>740</v>
      </c>
      <c r="BC562">
        <v>1</v>
      </c>
      <c r="BD562" t="str">
        <f t="shared" si="186"/>
        <v xml:space="preserve">N887QR  </v>
      </c>
      <c r="BE562">
        <v>1</v>
      </c>
      <c r="BG562">
        <v>0</v>
      </c>
      <c r="BH562">
        <v>0</v>
      </c>
      <c r="BI562">
        <v>0</v>
      </c>
      <c r="BJ562">
        <v>1325</v>
      </c>
      <c r="BK562">
        <v>-375</v>
      </c>
      <c r="BL562" t="s">
        <v>163</v>
      </c>
      <c r="BM562">
        <v>1</v>
      </c>
      <c r="BN562">
        <v>1</v>
      </c>
      <c r="BO562">
        <v>1</v>
      </c>
      <c r="BP562">
        <v>0</v>
      </c>
      <c r="BS562">
        <v>0.04</v>
      </c>
      <c r="BT562">
        <v>0</v>
      </c>
      <c r="BU562">
        <v>0</v>
      </c>
      <c r="CE562" t="str">
        <f t="shared" si="198"/>
        <v>19:27:09.847</v>
      </c>
      <c r="CF562">
        <v>847267312</v>
      </c>
      <c r="CS562">
        <v>3</v>
      </c>
      <c r="CT562">
        <v>2</v>
      </c>
      <c r="CU562">
        <v>0</v>
      </c>
      <c r="CV562">
        <v>2</v>
      </c>
      <c r="CW562">
        <v>0</v>
      </c>
      <c r="CX562">
        <v>2</v>
      </c>
      <c r="CY562">
        <v>7</v>
      </c>
      <c r="CZ562" t="s">
        <v>131</v>
      </c>
      <c r="DA562">
        <v>286</v>
      </c>
      <c r="DB562">
        <v>0</v>
      </c>
      <c r="DC562" t="s">
        <v>132</v>
      </c>
      <c r="DD562" t="s">
        <v>133</v>
      </c>
      <c r="DG562">
        <v>797719</v>
      </c>
      <c r="DI562">
        <v>1</v>
      </c>
      <c r="DJ562">
        <v>0</v>
      </c>
      <c r="DK562">
        <v>1</v>
      </c>
      <c r="DL562">
        <v>0</v>
      </c>
      <c r="DM562">
        <v>0</v>
      </c>
      <c r="DN562">
        <v>1</v>
      </c>
      <c r="DO562">
        <v>0</v>
      </c>
      <c r="DP562">
        <v>0</v>
      </c>
      <c r="DQ562">
        <v>0</v>
      </c>
      <c r="DR562">
        <v>0</v>
      </c>
      <c r="DS562">
        <v>0</v>
      </c>
    </row>
    <row r="563" spans="1:123" x14ac:dyDescent="0.3">
      <c r="A563" t="str">
        <f>"10/04/2022 19:27:11.649"</f>
        <v>10/04/2022 19:27:11.649</v>
      </c>
      <c r="C563" t="str">
        <f t="shared" ref="C563:C597" si="199">"FFDDD3C0"</f>
        <v>FFDDD3C0</v>
      </c>
      <c r="D563" t="s">
        <v>143</v>
      </c>
      <c r="E563">
        <v>20</v>
      </c>
      <c r="F563">
        <v>1020</v>
      </c>
      <c r="G563" t="s">
        <v>144</v>
      </c>
      <c r="J563" t="s">
        <v>145</v>
      </c>
      <c r="K563">
        <v>0</v>
      </c>
      <c r="L563">
        <v>3</v>
      </c>
      <c r="M563">
        <v>0</v>
      </c>
      <c r="N563">
        <v>2</v>
      </c>
      <c r="O563">
        <v>0</v>
      </c>
      <c r="P563">
        <v>1</v>
      </c>
      <c r="Q563">
        <v>0</v>
      </c>
      <c r="S563" t="str">
        <f t="shared" ref="S563:T576" si="200">"19:27:11.000"</f>
        <v>19:27:11.000</v>
      </c>
      <c r="T563" t="str">
        <f t="shared" si="200"/>
        <v>19:27:11.000</v>
      </c>
      <c r="U563" t="str">
        <f t="shared" si="185"/>
        <v>AC3944</v>
      </c>
      <c r="V563">
        <v>0</v>
      </c>
      <c r="W563">
        <v>0</v>
      </c>
      <c r="X563">
        <v>2</v>
      </c>
      <c r="Y563">
        <v>0</v>
      </c>
      <c r="AA563">
        <v>1</v>
      </c>
      <c r="AB563">
        <v>8</v>
      </c>
      <c r="AC563">
        <v>3</v>
      </c>
      <c r="AD563">
        <v>0</v>
      </c>
      <c r="AE563">
        <v>9</v>
      </c>
      <c r="AF563" t="s">
        <v>138</v>
      </c>
      <c r="AG563">
        <v>0</v>
      </c>
      <c r="AH563">
        <v>3</v>
      </c>
      <c r="AI563">
        <v>1</v>
      </c>
      <c r="AJ563">
        <v>0</v>
      </c>
      <c r="AK563" t="s">
        <v>280</v>
      </c>
      <c r="AL563">
        <v>32.817793000000002</v>
      </c>
      <c r="AM563" t="s">
        <v>304</v>
      </c>
      <c r="AN563">
        <v>-116.974204</v>
      </c>
      <c r="AO563">
        <v>25</v>
      </c>
      <c r="AP563">
        <v>1700</v>
      </c>
      <c r="AQ563" t="s">
        <v>129</v>
      </c>
      <c r="AR563">
        <v>131</v>
      </c>
      <c r="AS563">
        <v>-7</v>
      </c>
      <c r="AT563">
        <v>960</v>
      </c>
      <c r="BB563">
        <v>1200</v>
      </c>
      <c r="BC563">
        <v>1</v>
      </c>
      <c r="BD563" t="str">
        <f t="shared" si="186"/>
        <v xml:space="preserve">N887QR  </v>
      </c>
      <c r="BE563">
        <v>1</v>
      </c>
      <c r="BJ563">
        <v>1400</v>
      </c>
      <c r="BK563">
        <v>-300</v>
      </c>
      <c r="BL563" t="s">
        <v>163</v>
      </c>
      <c r="BM563">
        <v>1</v>
      </c>
      <c r="BN563">
        <v>1</v>
      </c>
      <c r="BO563">
        <v>1</v>
      </c>
      <c r="BP563">
        <v>0</v>
      </c>
      <c r="BS563">
        <v>0</v>
      </c>
      <c r="BT563">
        <v>0</v>
      </c>
      <c r="BU563">
        <v>0</v>
      </c>
      <c r="CE563" t="str">
        <f t="shared" ref="CE563:CE569" si="201">"19:27:11.450"</f>
        <v>19:27:11.450</v>
      </c>
      <c r="CF563">
        <v>450250777</v>
      </c>
      <c r="CS563">
        <v>3</v>
      </c>
      <c r="CT563">
        <v>2</v>
      </c>
      <c r="CU563">
        <v>0</v>
      </c>
      <c r="CV563">
        <v>2</v>
      </c>
      <c r="CW563">
        <v>0</v>
      </c>
      <c r="CX563">
        <v>6</v>
      </c>
      <c r="CY563">
        <v>7</v>
      </c>
      <c r="CZ563" t="s">
        <v>131</v>
      </c>
      <c r="DA563">
        <v>300</v>
      </c>
      <c r="DB563">
        <v>0</v>
      </c>
      <c r="DC563" t="s">
        <v>176</v>
      </c>
      <c r="DD563" t="s">
        <v>177</v>
      </c>
      <c r="DG563">
        <v>5366025</v>
      </c>
      <c r="DI563">
        <v>1</v>
      </c>
      <c r="DJ563">
        <v>0</v>
      </c>
      <c r="DK563">
        <v>0</v>
      </c>
      <c r="DL563">
        <v>0</v>
      </c>
      <c r="DM563">
        <v>0</v>
      </c>
      <c r="DN563">
        <v>1</v>
      </c>
      <c r="DO563">
        <v>0</v>
      </c>
      <c r="DP563">
        <v>0</v>
      </c>
      <c r="DQ563">
        <v>0</v>
      </c>
      <c r="DR563">
        <v>0</v>
      </c>
      <c r="DS563">
        <v>0</v>
      </c>
    </row>
    <row r="564" spans="1:123" x14ac:dyDescent="0.3">
      <c r="A564" t="str">
        <f t="shared" ref="A564:A569" si="202">"10/04/2022 19:27:11.665"</f>
        <v>10/04/2022 19:27:11.665</v>
      </c>
      <c r="C564" t="str">
        <f t="shared" si="199"/>
        <v>FFDDD3C0</v>
      </c>
      <c r="D564" t="s">
        <v>134</v>
      </c>
      <c r="E564">
        <v>15</v>
      </c>
      <c r="J564" t="s">
        <v>135</v>
      </c>
      <c r="K564">
        <v>0</v>
      </c>
      <c r="L564">
        <v>3</v>
      </c>
      <c r="M564">
        <v>0</v>
      </c>
      <c r="N564">
        <v>2</v>
      </c>
      <c r="O564">
        <v>0</v>
      </c>
      <c r="P564">
        <v>1</v>
      </c>
      <c r="Q564">
        <v>0</v>
      </c>
      <c r="S564" t="str">
        <f t="shared" si="200"/>
        <v>19:27:11.000</v>
      </c>
      <c r="T564" t="str">
        <f t="shared" si="200"/>
        <v>19:27:11.000</v>
      </c>
      <c r="U564" t="str">
        <f t="shared" si="185"/>
        <v>AC3944</v>
      </c>
      <c r="V564">
        <v>0</v>
      </c>
      <c r="W564">
        <v>0</v>
      </c>
      <c r="X564">
        <v>2</v>
      </c>
      <c r="Y564">
        <v>0</v>
      </c>
      <c r="AA564">
        <v>1</v>
      </c>
      <c r="AB564">
        <v>8</v>
      </c>
      <c r="AC564">
        <v>3</v>
      </c>
      <c r="AD564">
        <v>0</v>
      </c>
      <c r="AE564">
        <v>9</v>
      </c>
      <c r="AF564" t="s">
        <v>138</v>
      </c>
      <c r="AG564">
        <v>0</v>
      </c>
      <c r="AH564">
        <v>3</v>
      </c>
      <c r="AI564">
        <v>1</v>
      </c>
      <c r="AJ564">
        <v>0</v>
      </c>
      <c r="AK564" t="s">
        <v>280</v>
      </c>
      <c r="AL564">
        <v>32.817793000000002</v>
      </c>
      <c r="AM564" t="s">
        <v>304</v>
      </c>
      <c r="AN564">
        <v>-116.974204</v>
      </c>
      <c r="AO564">
        <v>25</v>
      </c>
      <c r="AP564">
        <v>1700</v>
      </c>
      <c r="AQ564" t="s">
        <v>129</v>
      </c>
      <c r="AR564">
        <v>131</v>
      </c>
      <c r="AS564">
        <v>-7</v>
      </c>
      <c r="AT564">
        <v>960</v>
      </c>
      <c r="BB564">
        <v>1200</v>
      </c>
      <c r="BC564">
        <v>1</v>
      </c>
      <c r="BD564" t="str">
        <f t="shared" si="186"/>
        <v xml:space="preserve">N887QR  </v>
      </c>
      <c r="BE564">
        <v>1</v>
      </c>
      <c r="BJ564">
        <v>1400</v>
      </c>
      <c r="BK564">
        <v>-300</v>
      </c>
      <c r="BL564" t="s">
        <v>163</v>
      </c>
      <c r="BM564">
        <v>1</v>
      </c>
      <c r="BN564">
        <v>1</v>
      </c>
      <c r="BO564">
        <v>1</v>
      </c>
      <c r="BP564">
        <v>0</v>
      </c>
      <c r="BS564">
        <v>0</v>
      </c>
      <c r="BT564">
        <v>0</v>
      </c>
      <c r="BU564">
        <v>0</v>
      </c>
      <c r="CE564" t="str">
        <f t="shared" si="201"/>
        <v>19:27:11.450</v>
      </c>
      <c r="CF564">
        <v>450250777</v>
      </c>
      <c r="CS564">
        <v>3</v>
      </c>
      <c r="CT564">
        <v>2</v>
      </c>
      <c r="CU564">
        <v>0</v>
      </c>
      <c r="CV564">
        <v>2</v>
      </c>
      <c r="CW564">
        <v>0</v>
      </c>
      <c r="CX564">
        <v>6</v>
      </c>
      <c r="CY564">
        <v>7</v>
      </c>
      <c r="CZ564" t="s">
        <v>131</v>
      </c>
      <c r="DA564">
        <v>300</v>
      </c>
      <c r="DB564">
        <v>0</v>
      </c>
      <c r="DC564" t="s">
        <v>176</v>
      </c>
      <c r="DD564" t="s">
        <v>177</v>
      </c>
      <c r="DG564">
        <v>5366025</v>
      </c>
      <c r="DI564">
        <v>1</v>
      </c>
      <c r="DJ564">
        <v>0</v>
      </c>
      <c r="DK564">
        <v>1</v>
      </c>
      <c r="DL564">
        <v>0</v>
      </c>
      <c r="DM564">
        <v>0</v>
      </c>
      <c r="DN564">
        <v>1</v>
      </c>
      <c r="DO564">
        <v>0</v>
      </c>
      <c r="DP564">
        <v>0</v>
      </c>
      <c r="DQ564">
        <v>0</v>
      </c>
      <c r="DR564">
        <v>0</v>
      </c>
      <c r="DS564">
        <v>0</v>
      </c>
    </row>
    <row r="565" spans="1:123" x14ac:dyDescent="0.3">
      <c r="A565" t="str">
        <f t="shared" si="202"/>
        <v>10/04/2022 19:27:11.665</v>
      </c>
      <c r="C565" t="str">
        <f t="shared" si="199"/>
        <v>FFDDD3C0</v>
      </c>
      <c r="D565" t="s">
        <v>123</v>
      </c>
      <c r="E565">
        <v>7</v>
      </c>
      <c r="F565">
        <v>2007</v>
      </c>
      <c r="G565" t="s">
        <v>124</v>
      </c>
      <c r="J565" t="s">
        <v>125</v>
      </c>
      <c r="K565">
        <v>0</v>
      </c>
      <c r="L565">
        <v>3</v>
      </c>
      <c r="M565">
        <v>0</v>
      </c>
      <c r="N565">
        <v>2</v>
      </c>
      <c r="O565">
        <v>0</v>
      </c>
      <c r="P565">
        <v>1</v>
      </c>
      <c r="Q565">
        <v>0</v>
      </c>
      <c r="S565" t="str">
        <f t="shared" si="200"/>
        <v>19:27:11.000</v>
      </c>
      <c r="T565" t="str">
        <f t="shared" si="200"/>
        <v>19:27:11.000</v>
      </c>
      <c r="U565" t="str">
        <f t="shared" si="185"/>
        <v>AC3944</v>
      </c>
      <c r="V565">
        <v>0</v>
      </c>
      <c r="W565">
        <v>0</v>
      </c>
      <c r="X565">
        <v>2</v>
      </c>
      <c r="Y565">
        <v>0</v>
      </c>
      <c r="AA565">
        <v>1</v>
      </c>
      <c r="AB565">
        <v>8</v>
      </c>
      <c r="AC565">
        <v>3</v>
      </c>
      <c r="AD565">
        <v>0</v>
      </c>
      <c r="AE565">
        <v>9</v>
      </c>
      <c r="AF565" t="s">
        <v>138</v>
      </c>
      <c r="AG565">
        <v>0</v>
      </c>
      <c r="AH565">
        <v>3</v>
      </c>
      <c r="AI565">
        <v>1</v>
      </c>
      <c r="AJ565">
        <v>0</v>
      </c>
      <c r="AK565" t="s">
        <v>280</v>
      </c>
      <c r="AL565">
        <v>32.817793000000002</v>
      </c>
      <c r="AM565" t="s">
        <v>304</v>
      </c>
      <c r="AN565">
        <v>-116.974204</v>
      </c>
      <c r="AO565">
        <v>25</v>
      </c>
      <c r="AP565">
        <v>1700</v>
      </c>
      <c r="AQ565" t="s">
        <v>129</v>
      </c>
      <c r="AR565">
        <v>131</v>
      </c>
      <c r="AS565">
        <v>-7</v>
      </c>
      <c r="AT565">
        <v>960</v>
      </c>
      <c r="BB565">
        <v>1200</v>
      </c>
      <c r="BC565">
        <v>1</v>
      </c>
      <c r="BD565" t="str">
        <f t="shared" si="186"/>
        <v xml:space="preserve">N887QR  </v>
      </c>
      <c r="BE565">
        <v>1</v>
      </c>
      <c r="BJ565">
        <v>1400</v>
      </c>
      <c r="BK565">
        <v>-300</v>
      </c>
      <c r="BL565" t="s">
        <v>163</v>
      </c>
      <c r="BM565">
        <v>1</v>
      </c>
      <c r="BN565">
        <v>1</v>
      </c>
      <c r="BO565">
        <v>1</v>
      </c>
      <c r="BP565">
        <v>0</v>
      </c>
      <c r="BS565">
        <v>0</v>
      </c>
      <c r="BT565">
        <v>0</v>
      </c>
      <c r="BU565">
        <v>0</v>
      </c>
      <c r="CE565" t="str">
        <f t="shared" si="201"/>
        <v>19:27:11.450</v>
      </c>
      <c r="CF565">
        <v>450250777</v>
      </c>
      <c r="CS565">
        <v>3</v>
      </c>
      <c r="CT565">
        <v>2</v>
      </c>
      <c r="CU565">
        <v>0</v>
      </c>
      <c r="CV565">
        <v>2</v>
      </c>
      <c r="CW565">
        <v>0</v>
      </c>
      <c r="CX565">
        <v>6</v>
      </c>
      <c r="CY565">
        <v>7</v>
      </c>
      <c r="CZ565" t="s">
        <v>131</v>
      </c>
      <c r="DA565">
        <v>300</v>
      </c>
      <c r="DB565">
        <v>0</v>
      </c>
      <c r="DC565" t="s">
        <v>176</v>
      </c>
      <c r="DD565" t="s">
        <v>177</v>
      </c>
      <c r="DG565">
        <v>5366025</v>
      </c>
      <c r="DI565">
        <v>1</v>
      </c>
      <c r="DJ565">
        <v>0</v>
      </c>
      <c r="DK565">
        <v>1</v>
      </c>
      <c r="DL565">
        <v>0</v>
      </c>
      <c r="DM565">
        <v>0</v>
      </c>
      <c r="DN565">
        <v>1</v>
      </c>
      <c r="DO565">
        <v>0</v>
      </c>
      <c r="DP565">
        <v>0</v>
      </c>
      <c r="DQ565">
        <v>0</v>
      </c>
      <c r="DR565">
        <v>0</v>
      </c>
      <c r="DS565">
        <v>0</v>
      </c>
    </row>
    <row r="566" spans="1:123" x14ac:dyDescent="0.3">
      <c r="A566" t="str">
        <f t="shared" si="202"/>
        <v>10/04/2022 19:27:11.665</v>
      </c>
      <c r="C566" t="str">
        <f t="shared" si="199"/>
        <v>FFDDD3C0</v>
      </c>
      <c r="D566" t="s">
        <v>141</v>
      </c>
      <c r="E566">
        <v>4</v>
      </c>
      <c r="H566">
        <v>4</v>
      </c>
      <c r="I566" t="s">
        <v>142</v>
      </c>
      <c r="J566" t="s">
        <v>138</v>
      </c>
      <c r="K566">
        <v>0</v>
      </c>
      <c r="L566">
        <v>3</v>
      </c>
      <c r="M566">
        <v>0</v>
      </c>
      <c r="N566">
        <v>2</v>
      </c>
      <c r="O566">
        <v>0</v>
      </c>
      <c r="P566">
        <v>1</v>
      </c>
      <c r="Q566">
        <v>0</v>
      </c>
      <c r="S566" t="str">
        <f t="shared" si="200"/>
        <v>19:27:11.000</v>
      </c>
      <c r="T566" t="str">
        <f t="shared" si="200"/>
        <v>19:27:11.000</v>
      </c>
      <c r="U566" t="str">
        <f t="shared" si="185"/>
        <v>AC3944</v>
      </c>
      <c r="V566">
        <v>0</v>
      </c>
      <c r="W566">
        <v>0</v>
      </c>
      <c r="X566">
        <v>2</v>
      </c>
      <c r="Y566">
        <v>0</v>
      </c>
      <c r="AA566">
        <v>1</v>
      </c>
      <c r="AB566">
        <v>8</v>
      </c>
      <c r="AC566">
        <v>3</v>
      </c>
      <c r="AD566">
        <v>0</v>
      </c>
      <c r="AE566">
        <v>9</v>
      </c>
      <c r="AF566" t="s">
        <v>138</v>
      </c>
      <c r="AG566">
        <v>0</v>
      </c>
      <c r="AH566">
        <v>3</v>
      </c>
      <c r="AI566">
        <v>1</v>
      </c>
      <c r="AJ566">
        <v>0</v>
      </c>
      <c r="AK566" t="s">
        <v>280</v>
      </c>
      <c r="AL566">
        <v>32.817793000000002</v>
      </c>
      <c r="AM566" t="s">
        <v>304</v>
      </c>
      <c r="AN566">
        <v>-116.974204</v>
      </c>
      <c r="AO566">
        <v>25</v>
      </c>
      <c r="AP566">
        <v>1700</v>
      </c>
      <c r="AQ566" t="s">
        <v>129</v>
      </c>
      <c r="AR566">
        <v>131</v>
      </c>
      <c r="AS566">
        <v>-7</v>
      </c>
      <c r="AT566">
        <v>960</v>
      </c>
      <c r="BB566">
        <v>1200</v>
      </c>
      <c r="BC566">
        <v>1</v>
      </c>
      <c r="BD566" t="str">
        <f t="shared" si="186"/>
        <v xml:space="preserve">N887QR  </v>
      </c>
      <c r="BE566">
        <v>1</v>
      </c>
      <c r="BJ566">
        <v>1400</v>
      </c>
      <c r="BK566">
        <v>-300</v>
      </c>
      <c r="BL566" t="s">
        <v>163</v>
      </c>
      <c r="BM566">
        <v>1</v>
      </c>
      <c r="BN566">
        <v>1</v>
      </c>
      <c r="BO566">
        <v>1</v>
      </c>
      <c r="BP566">
        <v>0</v>
      </c>
      <c r="BS566">
        <v>0</v>
      </c>
      <c r="BT566">
        <v>0</v>
      </c>
      <c r="BU566">
        <v>0</v>
      </c>
      <c r="CE566" t="str">
        <f t="shared" si="201"/>
        <v>19:27:11.450</v>
      </c>
      <c r="CF566">
        <v>450250777</v>
      </c>
      <c r="CS566">
        <v>3</v>
      </c>
      <c r="CT566">
        <v>2</v>
      </c>
      <c r="CU566">
        <v>0</v>
      </c>
      <c r="CV566">
        <v>2</v>
      </c>
      <c r="CW566">
        <v>0</v>
      </c>
      <c r="CX566">
        <v>6</v>
      </c>
      <c r="CY566">
        <v>7</v>
      </c>
      <c r="CZ566" t="s">
        <v>131</v>
      </c>
      <c r="DA566">
        <v>300</v>
      </c>
      <c r="DB566">
        <v>0</v>
      </c>
      <c r="DC566" t="s">
        <v>176</v>
      </c>
      <c r="DD566" t="s">
        <v>177</v>
      </c>
      <c r="DG566">
        <v>5366025</v>
      </c>
      <c r="DI566">
        <v>1</v>
      </c>
      <c r="DJ566">
        <v>0</v>
      </c>
      <c r="DK566">
        <v>1</v>
      </c>
      <c r="DL566">
        <v>0</v>
      </c>
      <c r="DM566">
        <v>0</v>
      </c>
      <c r="DN566">
        <v>1</v>
      </c>
      <c r="DO566">
        <v>0</v>
      </c>
      <c r="DP566">
        <v>0</v>
      </c>
      <c r="DQ566">
        <v>0</v>
      </c>
      <c r="DR566">
        <v>0</v>
      </c>
      <c r="DS566">
        <v>0</v>
      </c>
    </row>
    <row r="567" spans="1:123" x14ac:dyDescent="0.3">
      <c r="A567" t="str">
        <f t="shared" si="202"/>
        <v>10/04/2022 19:27:11.665</v>
      </c>
      <c r="C567" t="str">
        <f t="shared" si="199"/>
        <v>FFDDD3C0</v>
      </c>
      <c r="D567" t="s">
        <v>136</v>
      </c>
      <c r="E567">
        <v>8</v>
      </c>
      <c r="H567">
        <v>225</v>
      </c>
      <c r="I567" t="s">
        <v>137</v>
      </c>
      <c r="J567" t="s">
        <v>138</v>
      </c>
      <c r="K567">
        <v>0</v>
      </c>
      <c r="L567">
        <v>3</v>
      </c>
      <c r="M567">
        <v>0</v>
      </c>
      <c r="N567">
        <v>2</v>
      </c>
      <c r="O567">
        <v>0</v>
      </c>
      <c r="P567">
        <v>1</v>
      </c>
      <c r="Q567">
        <v>0</v>
      </c>
      <c r="S567" t="str">
        <f t="shared" si="200"/>
        <v>19:27:11.000</v>
      </c>
      <c r="T567" t="str">
        <f t="shared" si="200"/>
        <v>19:27:11.000</v>
      </c>
      <c r="U567" t="str">
        <f t="shared" si="185"/>
        <v>AC3944</v>
      </c>
      <c r="V567">
        <v>0</v>
      </c>
      <c r="W567">
        <v>0</v>
      </c>
      <c r="X567">
        <v>2</v>
      </c>
      <c r="Y567">
        <v>0</v>
      </c>
      <c r="AA567">
        <v>1</v>
      </c>
      <c r="AB567">
        <v>8</v>
      </c>
      <c r="AC567">
        <v>3</v>
      </c>
      <c r="AD567">
        <v>0</v>
      </c>
      <c r="AE567">
        <v>9</v>
      </c>
      <c r="AF567" t="s">
        <v>138</v>
      </c>
      <c r="AG567">
        <v>0</v>
      </c>
      <c r="AH567">
        <v>3</v>
      </c>
      <c r="AI567">
        <v>1</v>
      </c>
      <c r="AJ567">
        <v>0</v>
      </c>
      <c r="AK567" t="s">
        <v>280</v>
      </c>
      <c r="AL567">
        <v>32.817793000000002</v>
      </c>
      <c r="AM567" t="s">
        <v>304</v>
      </c>
      <c r="AN567">
        <v>-116.974204</v>
      </c>
      <c r="AO567">
        <v>25</v>
      </c>
      <c r="AP567">
        <v>1700</v>
      </c>
      <c r="AQ567" t="s">
        <v>129</v>
      </c>
      <c r="AR567">
        <v>131</v>
      </c>
      <c r="AS567">
        <v>-7</v>
      </c>
      <c r="AT567">
        <v>960</v>
      </c>
      <c r="BB567">
        <v>1200</v>
      </c>
      <c r="BC567">
        <v>1</v>
      </c>
      <c r="BD567" t="str">
        <f t="shared" si="186"/>
        <v xml:space="preserve">N887QR  </v>
      </c>
      <c r="BE567">
        <v>1</v>
      </c>
      <c r="BJ567">
        <v>1400</v>
      </c>
      <c r="BK567">
        <v>-300</v>
      </c>
      <c r="BL567" t="s">
        <v>163</v>
      </c>
      <c r="BM567">
        <v>1</v>
      </c>
      <c r="BN567">
        <v>1</v>
      </c>
      <c r="BO567">
        <v>1</v>
      </c>
      <c r="BP567">
        <v>0</v>
      </c>
      <c r="BS567">
        <v>0</v>
      </c>
      <c r="BT567">
        <v>0</v>
      </c>
      <c r="BU567">
        <v>0</v>
      </c>
      <c r="CE567" t="str">
        <f t="shared" si="201"/>
        <v>19:27:11.450</v>
      </c>
      <c r="CF567">
        <v>450250777</v>
      </c>
      <c r="CS567">
        <v>3</v>
      </c>
      <c r="CT567">
        <v>2</v>
      </c>
      <c r="CU567">
        <v>0</v>
      </c>
      <c r="CV567">
        <v>2</v>
      </c>
      <c r="CW567">
        <v>0</v>
      </c>
      <c r="CX567">
        <v>6</v>
      </c>
      <c r="CY567">
        <v>7</v>
      </c>
      <c r="CZ567" t="s">
        <v>131</v>
      </c>
      <c r="DA567">
        <v>300</v>
      </c>
      <c r="DB567">
        <v>0</v>
      </c>
      <c r="DC567" t="s">
        <v>176</v>
      </c>
      <c r="DD567" t="s">
        <v>177</v>
      </c>
      <c r="DG567">
        <v>5366025</v>
      </c>
      <c r="DI567">
        <v>1</v>
      </c>
      <c r="DJ567">
        <v>0</v>
      </c>
      <c r="DK567">
        <v>1</v>
      </c>
      <c r="DL567">
        <v>0</v>
      </c>
      <c r="DM567">
        <v>0</v>
      </c>
      <c r="DN567">
        <v>1</v>
      </c>
      <c r="DO567">
        <v>0</v>
      </c>
      <c r="DP567">
        <v>0</v>
      </c>
      <c r="DQ567">
        <v>0</v>
      </c>
      <c r="DR567">
        <v>0</v>
      </c>
      <c r="DS567">
        <v>0</v>
      </c>
    </row>
    <row r="568" spans="1:123" x14ac:dyDescent="0.3">
      <c r="A568" t="str">
        <f t="shared" si="202"/>
        <v>10/04/2022 19:27:11.665</v>
      </c>
      <c r="C568" t="str">
        <f t="shared" si="199"/>
        <v>FFDDD3C0</v>
      </c>
      <c r="D568" t="s">
        <v>141</v>
      </c>
      <c r="E568">
        <v>3</v>
      </c>
      <c r="H568">
        <v>3</v>
      </c>
      <c r="I568" t="s">
        <v>146</v>
      </c>
      <c r="J568" t="s">
        <v>138</v>
      </c>
      <c r="K568">
        <v>0</v>
      </c>
      <c r="L568">
        <v>3</v>
      </c>
      <c r="M568">
        <v>0</v>
      </c>
      <c r="N568">
        <v>2</v>
      </c>
      <c r="O568">
        <v>0</v>
      </c>
      <c r="P568">
        <v>1</v>
      </c>
      <c r="Q568">
        <v>0</v>
      </c>
      <c r="S568" t="str">
        <f t="shared" si="200"/>
        <v>19:27:11.000</v>
      </c>
      <c r="T568" t="str">
        <f t="shared" si="200"/>
        <v>19:27:11.000</v>
      </c>
      <c r="U568" t="str">
        <f t="shared" si="185"/>
        <v>AC3944</v>
      </c>
      <c r="V568">
        <v>0</v>
      </c>
      <c r="W568">
        <v>0</v>
      </c>
      <c r="X568">
        <v>2</v>
      </c>
      <c r="Y568">
        <v>0</v>
      </c>
      <c r="AA568">
        <v>1</v>
      </c>
      <c r="AB568">
        <v>8</v>
      </c>
      <c r="AC568">
        <v>3</v>
      </c>
      <c r="AD568">
        <v>0</v>
      </c>
      <c r="AE568">
        <v>9</v>
      </c>
      <c r="AF568" t="s">
        <v>138</v>
      </c>
      <c r="AG568">
        <v>0</v>
      </c>
      <c r="AH568">
        <v>3</v>
      </c>
      <c r="AI568">
        <v>1</v>
      </c>
      <c r="AJ568">
        <v>0</v>
      </c>
      <c r="AK568" t="s">
        <v>280</v>
      </c>
      <c r="AL568">
        <v>32.817793000000002</v>
      </c>
      <c r="AM568" t="s">
        <v>304</v>
      </c>
      <c r="AN568">
        <v>-116.974204</v>
      </c>
      <c r="AO568">
        <v>25</v>
      </c>
      <c r="AP568">
        <v>1700</v>
      </c>
      <c r="AQ568" t="s">
        <v>129</v>
      </c>
      <c r="AR568">
        <v>131</v>
      </c>
      <c r="AS568">
        <v>-7</v>
      </c>
      <c r="AT568">
        <v>960</v>
      </c>
      <c r="BB568">
        <v>1200</v>
      </c>
      <c r="BC568">
        <v>1</v>
      </c>
      <c r="BD568" t="str">
        <f t="shared" si="186"/>
        <v xml:space="preserve">N887QR  </v>
      </c>
      <c r="BE568">
        <v>1</v>
      </c>
      <c r="BJ568">
        <v>1400</v>
      </c>
      <c r="BK568">
        <v>-300</v>
      </c>
      <c r="BL568" t="s">
        <v>163</v>
      </c>
      <c r="BM568">
        <v>1</v>
      </c>
      <c r="BN568">
        <v>1</v>
      </c>
      <c r="BO568">
        <v>1</v>
      </c>
      <c r="BP568">
        <v>0</v>
      </c>
      <c r="BS568">
        <v>0</v>
      </c>
      <c r="BT568">
        <v>0</v>
      </c>
      <c r="BU568">
        <v>0</v>
      </c>
      <c r="CE568" t="str">
        <f t="shared" si="201"/>
        <v>19:27:11.450</v>
      </c>
      <c r="CF568">
        <v>450250777</v>
      </c>
      <c r="CS568">
        <v>3</v>
      </c>
      <c r="CT568">
        <v>2</v>
      </c>
      <c r="CU568">
        <v>0</v>
      </c>
      <c r="CV568">
        <v>2</v>
      </c>
      <c r="CW568">
        <v>0</v>
      </c>
      <c r="CX568">
        <v>6</v>
      </c>
      <c r="CY568">
        <v>7</v>
      </c>
      <c r="CZ568" t="s">
        <v>131</v>
      </c>
      <c r="DA568">
        <v>300</v>
      </c>
      <c r="DB568">
        <v>0</v>
      </c>
      <c r="DC568" t="s">
        <v>176</v>
      </c>
      <c r="DD568" t="s">
        <v>177</v>
      </c>
      <c r="DG568">
        <v>5366025</v>
      </c>
      <c r="DI568">
        <v>1</v>
      </c>
      <c r="DJ568">
        <v>0</v>
      </c>
      <c r="DK568">
        <v>1</v>
      </c>
      <c r="DL568">
        <v>0</v>
      </c>
      <c r="DM568">
        <v>0</v>
      </c>
      <c r="DN568">
        <v>1</v>
      </c>
      <c r="DO568">
        <v>0</v>
      </c>
      <c r="DP568">
        <v>0</v>
      </c>
      <c r="DQ568">
        <v>0</v>
      </c>
      <c r="DR568">
        <v>0</v>
      </c>
      <c r="DS568">
        <v>0</v>
      </c>
    </row>
    <row r="569" spans="1:123" x14ac:dyDescent="0.3">
      <c r="A569" t="str">
        <f t="shared" si="202"/>
        <v>10/04/2022 19:27:11.665</v>
      </c>
      <c r="C569" t="str">
        <f t="shared" si="199"/>
        <v>FFDDD3C0</v>
      </c>
      <c r="D569" t="s">
        <v>147</v>
      </c>
      <c r="E569">
        <v>3</v>
      </c>
      <c r="H569">
        <v>166</v>
      </c>
      <c r="I569" t="s">
        <v>144</v>
      </c>
      <c r="J569" t="s">
        <v>148</v>
      </c>
      <c r="K569">
        <v>0</v>
      </c>
      <c r="L569">
        <v>3</v>
      </c>
      <c r="M569">
        <v>0</v>
      </c>
      <c r="N569">
        <v>2</v>
      </c>
      <c r="O569">
        <v>0</v>
      </c>
      <c r="P569">
        <v>1</v>
      </c>
      <c r="Q569">
        <v>0</v>
      </c>
      <c r="S569" t="str">
        <f t="shared" si="200"/>
        <v>19:27:11.000</v>
      </c>
      <c r="T569" t="str">
        <f t="shared" si="200"/>
        <v>19:27:11.000</v>
      </c>
      <c r="U569" t="str">
        <f t="shared" si="185"/>
        <v>AC3944</v>
      </c>
      <c r="V569">
        <v>0</v>
      </c>
      <c r="W569">
        <v>0</v>
      </c>
      <c r="X569">
        <v>2</v>
      </c>
      <c r="Y569">
        <v>0</v>
      </c>
      <c r="AA569">
        <v>1</v>
      </c>
      <c r="AB569">
        <v>8</v>
      </c>
      <c r="AC569">
        <v>3</v>
      </c>
      <c r="AD569">
        <v>0</v>
      </c>
      <c r="AE569">
        <v>9</v>
      </c>
      <c r="AF569" t="s">
        <v>138</v>
      </c>
      <c r="AG569">
        <v>0</v>
      </c>
      <c r="AH569">
        <v>3</v>
      </c>
      <c r="AI569">
        <v>1</v>
      </c>
      <c r="AJ569">
        <v>0</v>
      </c>
      <c r="AK569" t="s">
        <v>280</v>
      </c>
      <c r="AL569">
        <v>32.817793000000002</v>
      </c>
      <c r="AM569" t="s">
        <v>304</v>
      </c>
      <c r="AN569">
        <v>-116.974204</v>
      </c>
      <c r="AO569">
        <v>25</v>
      </c>
      <c r="AP569">
        <v>1700</v>
      </c>
      <c r="AQ569" t="s">
        <v>129</v>
      </c>
      <c r="AR569">
        <v>131</v>
      </c>
      <c r="AS569">
        <v>-7</v>
      </c>
      <c r="AT569">
        <v>960</v>
      </c>
      <c r="BB569">
        <v>1200</v>
      </c>
      <c r="BC569">
        <v>1</v>
      </c>
      <c r="BD569" t="str">
        <f t="shared" si="186"/>
        <v xml:space="preserve">N887QR  </v>
      </c>
      <c r="BE569">
        <v>1</v>
      </c>
      <c r="BJ569">
        <v>1400</v>
      </c>
      <c r="BK569">
        <v>-300</v>
      </c>
      <c r="BL569" t="s">
        <v>163</v>
      </c>
      <c r="BM569">
        <v>1</v>
      </c>
      <c r="BN569">
        <v>1</v>
      </c>
      <c r="BO569">
        <v>1</v>
      </c>
      <c r="BP569">
        <v>0</v>
      </c>
      <c r="BS569">
        <v>0</v>
      </c>
      <c r="BT569">
        <v>0</v>
      </c>
      <c r="BU569">
        <v>0</v>
      </c>
      <c r="CE569" t="str">
        <f t="shared" si="201"/>
        <v>19:27:11.450</v>
      </c>
      <c r="CF569">
        <v>450250777</v>
      </c>
      <c r="CS569">
        <v>3</v>
      </c>
      <c r="CT569">
        <v>2</v>
      </c>
      <c r="CU569">
        <v>0</v>
      </c>
      <c r="CV569">
        <v>2</v>
      </c>
      <c r="CW569">
        <v>0</v>
      </c>
      <c r="CX569">
        <v>6</v>
      </c>
      <c r="CY569">
        <v>7</v>
      </c>
      <c r="CZ569" t="s">
        <v>131</v>
      </c>
      <c r="DA569">
        <v>300</v>
      </c>
      <c r="DB569">
        <v>0</v>
      </c>
      <c r="DC569" t="s">
        <v>176</v>
      </c>
      <c r="DD569" t="s">
        <v>177</v>
      </c>
      <c r="DG569">
        <v>5366025</v>
      </c>
      <c r="DI569">
        <v>1</v>
      </c>
      <c r="DJ569">
        <v>0</v>
      </c>
      <c r="DK569">
        <v>1</v>
      </c>
      <c r="DL569">
        <v>0</v>
      </c>
      <c r="DM569">
        <v>0</v>
      </c>
      <c r="DN569">
        <v>1</v>
      </c>
      <c r="DO569">
        <v>0</v>
      </c>
      <c r="DP569">
        <v>0</v>
      </c>
      <c r="DQ569">
        <v>0</v>
      </c>
      <c r="DR569">
        <v>0</v>
      </c>
      <c r="DS569">
        <v>0</v>
      </c>
    </row>
    <row r="570" spans="1:123" x14ac:dyDescent="0.3">
      <c r="A570" t="str">
        <f>"10/04/2022 19:27:12.135"</f>
        <v>10/04/2022 19:27:12.135</v>
      </c>
      <c r="C570" t="str">
        <f t="shared" si="199"/>
        <v>FFDDD3C0</v>
      </c>
      <c r="D570" t="s">
        <v>141</v>
      </c>
      <c r="E570">
        <v>3</v>
      </c>
      <c r="H570">
        <v>3</v>
      </c>
      <c r="I570" t="s">
        <v>146</v>
      </c>
      <c r="J570" t="s">
        <v>138</v>
      </c>
      <c r="K570">
        <v>0</v>
      </c>
      <c r="L570">
        <v>3</v>
      </c>
      <c r="M570">
        <v>0</v>
      </c>
      <c r="N570">
        <v>2</v>
      </c>
      <c r="O570">
        <v>0</v>
      </c>
      <c r="P570">
        <v>1</v>
      </c>
      <c r="Q570">
        <v>0</v>
      </c>
      <c r="S570" t="str">
        <f t="shared" si="200"/>
        <v>19:27:11.000</v>
      </c>
      <c r="T570" t="str">
        <f t="shared" si="200"/>
        <v>19:27:11.000</v>
      </c>
      <c r="U570" t="str">
        <f t="shared" si="185"/>
        <v>AC3944</v>
      </c>
      <c r="V570">
        <v>0</v>
      </c>
      <c r="W570">
        <v>0</v>
      </c>
      <c r="X570">
        <v>2</v>
      </c>
      <c r="Y570">
        <v>0</v>
      </c>
      <c r="AA570">
        <v>1</v>
      </c>
      <c r="AB570">
        <v>8</v>
      </c>
      <c r="AC570">
        <v>3</v>
      </c>
      <c r="AD570">
        <v>0</v>
      </c>
      <c r="AE570">
        <v>9</v>
      </c>
      <c r="AF570" t="s">
        <v>138</v>
      </c>
      <c r="AG570">
        <v>0</v>
      </c>
      <c r="AH570">
        <v>3</v>
      </c>
      <c r="AI570">
        <v>1</v>
      </c>
      <c r="AJ570">
        <v>0</v>
      </c>
      <c r="AK570" t="s">
        <v>282</v>
      </c>
      <c r="AL570">
        <v>32.817771</v>
      </c>
      <c r="AM570" t="s">
        <v>305</v>
      </c>
      <c r="AN570">
        <v>-116.973495</v>
      </c>
      <c r="AO570">
        <v>25</v>
      </c>
      <c r="AP570">
        <v>1800</v>
      </c>
      <c r="AQ570" t="s">
        <v>129</v>
      </c>
      <c r="AR570">
        <v>130</v>
      </c>
      <c r="AS570">
        <v>-9</v>
      </c>
      <c r="AT570">
        <v>960</v>
      </c>
      <c r="BB570">
        <v>1200</v>
      </c>
      <c r="BC570">
        <v>1</v>
      </c>
      <c r="BD570" t="str">
        <f t="shared" si="186"/>
        <v xml:space="preserve">N887QR  </v>
      </c>
      <c r="BE570">
        <v>1</v>
      </c>
      <c r="BJ570">
        <v>1425</v>
      </c>
      <c r="BK570">
        <v>-375</v>
      </c>
      <c r="BL570" t="s">
        <v>163</v>
      </c>
      <c r="BM570">
        <v>1</v>
      </c>
      <c r="BN570">
        <v>1</v>
      </c>
      <c r="BO570">
        <v>1</v>
      </c>
      <c r="BP570">
        <v>0</v>
      </c>
      <c r="BS570">
        <v>0.04</v>
      </c>
      <c r="BT570">
        <v>0</v>
      </c>
      <c r="BU570">
        <v>0</v>
      </c>
      <c r="CE570" t="str">
        <f t="shared" ref="CE570:CE576" si="203">"19:27:11.954"</f>
        <v>19:27:11.954</v>
      </c>
      <c r="CF570">
        <v>954252395</v>
      </c>
      <c r="CS570">
        <v>3</v>
      </c>
      <c r="CT570">
        <v>2</v>
      </c>
      <c r="CU570">
        <v>0</v>
      </c>
      <c r="CV570">
        <v>2</v>
      </c>
      <c r="CW570">
        <v>0</v>
      </c>
      <c r="CX570">
        <v>6</v>
      </c>
      <c r="CY570">
        <v>7</v>
      </c>
      <c r="CZ570" t="s">
        <v>131</v>
      </c>
      <c r="DA570">
        <v>300</v>
      </c>
      <c r="DB570">
        <v>0</v>
      </c>
      <c r="DC570" t="s">
        <v>176</v>
      </c>
      <c r="DD570" t="s">
        <v>177</v>
      </c>
      <c r="DG570">
        <v>5366102</v>
      </c>
      <c r="DI570">
        <v>1</v>
      </c>
      <c r="DJ570">
        <v>0</v>
      </c>
      <c r="DK570">
        <v>0</v>
      </c>
      <c r="DL570">
        <v>0</v>
      </c>
      <c r="DM570">
        <v>0</v>
      </c>
      <c r="DN570">
        <v>1</v>
      </c>
      <c r="DO570">
        <v>0</v>
      </c>
      <c r="DP570">
        <v>0</v>
      </c>
      <c r="DQ570">
        <v>0</v>
      </c>
      <c r="DR570">
        <v>0</v>
      </c>
      <c r="DS570">
        <v>0</v>
      </c>
    </row>
    <row r="571" spans="1:123" x14ac:dyDescent="0.3">
      <c r="A571" t="str">
        <f>"10/04/2022 19:27:12.135"</f>
        <v>10/04/2022 19:27:12.135</v>
      </c>
      <c r="C571" t="str">
        <f t="shared" si="199"/>
        <v>FFDDD3C0</v>
      </c>
      <c r="D571" t="s">
        <v>147</v>
      </c>
      <c r="E571">
        <v>3</v>
      </c>
      <c r="H571">
        <v>166</v>
      </c>
      <c r="I571" t="s">
        <v>144</v>
      </c>
      <c r="J571" t="s">
        <v>148</v>
      </c>
      <c r="K571">
        <v>0</v>
      </c>
      <c r="L571">
        <v>3</v>
      </c>
      <c r="M571">
        <v>0</v>
      </c>
      <c r="N571">
        <v>2</v>
      </c>
      <c r="O571">
        <v>0</v>
      </c>
      <c r="P571">
        <v>1</v>
      </c>
      <c r="Q571">
        <v>0</v>
      </c>
      <c r="S571" t="str">
        <f t="shared" si="200"/>
        <v>19:27:11.000</v>
      </c>
      <c r="T571" t="str">
        <f t="shared" si="200"/>
        <v>19:27:11.000</v>
      </c>
      <c r="U571" t="str">
        <f t="shared" si="185"/>
        <v>AC3944</v>
      </c>
      <c r="V571">
        <v>0</v>
      </c>
      <c r="W571">
        <v>0</v>
      </c>
      <c r="X571">
        <v>2</v>
      </c>
      <c r="Y571">
        <v>0</v>
      </c>
      <c r="AA571">
        <v>1</v>
      </c>
      <c r="AB571">
        <v>8</v>
      </c>
      <c r="AC571">
        <v>3</v>
      </c>
      <c r="AD571">
        <v>0</v>
      </c>
      <c r="AE571">
        <v>9</v>
      </c>
      <c r="AF571" t="s">
        <v>138</v>
      </c>
      <c r="AG571">
        <v>0</v>
      </c>
      <c r="AH571">
        <v>3</v>
      </c>
      <c r="AI571">
        <v>1</v>
      </c>
      <c r="AJ571">
        <v>0</v>
      </c>
      <c r="AK571" t="s">
        <v>282</v>
      </c>
      <c r="AL571">
        <v>32.817771</v>
      </c>
      <c r="AM571" t="s">
        <v>305</v>
      </c>
      <c r="AN571">
        <v>-116.973495</v>
      </c>
      <c r="AO571">
        <v>25</v>
      </c>
      <c r="AP571">
        <v>1800</v>
      </c>
      <c r="AQ571" t="s">
        <v>129</v>
      </c>
      <c r="AR571">
        <v>130</v>
      </c>
      <c r="AS571">
        <v>-9</v>
      </c>
      <c r="AT571">
        <v>960</v>
      </c>
      <c r="BB571">
        <v>1200</v>
      </c>
      <c r="BC571">
        <v>1</v>
      </c>
      <c r="BD571" t="str">
        <f t="shared" si="186"/>
        <v xml:space="preserve">N887QR  </v>
      </c>
      <c r="BE571">
        <v>1</v>
      </c>
      <c r="BJ571">
        <v>1425</v>
      </c>
      <c r="BK571">
        <v>-375</v>
      </c>
      <c r="BL571" t="s">
        <v>163</v>
      </c>
      <c r="BM571">
        <v>1</v>
      </c>
      <c r="BN571">
        <v>1</v>
      </c>
      <c r="BO571">
        <v>1</v>
      </c>
      <c r="BP571">
        <v>0</v>
      </c>
      <c r="BS571">
        <v>0.04</v>
      </c>
      <c r="BT571">
        <v>0</v>
      </c>
      <c r="BU571">
        <v>0</v>
      </c>
      <c r="CE571" t="str">
        <f t="shared" si="203"/>
        <v>19:27:11.954</v>
      </c>
      <c r="CF571">
        <v>954252395</v>
      </c>
      <c r="CS571">
        <v>3</v>
      </c>
      <c r="CT571">
        <v>2</v>
      </c>
      <c r="CU571">
        <v>0</v>
      </c>
      <c r="CV571">
        <v>2</v>
      </c>
      <c r="CW571">
        <v>0</v>
      </c>
      <c r="CX571">
        <v>6</v>
      </c>
      <c r="CY571">
        <v>7</v>
      </c>
      <c r="CZ571" t="s">
        <v>131</v>
      </c>
      <c r="DA571">
        <v>300</v>
      </c>
      <c r="DB571">
        <v>0</v>
      </c>
      <c r="DC571" t="s">
        <v>176</v>
      </c>
      <c r="DD571" t="s">
        <v>177</v>
      </c>
      <c r="DG571">
        <v>5366102</v>
      </c>
      <c r="DI571">
        <v>1</v>
      </c>
      <c r="DJ571">
        <v>0</v>
      </c>
      <c r="DK571">
        <v>1</v>
      </c>
      <c r="DL571">
        <v>0</v>
      </c>
      <c r="DM571">
        <v>0</v>
      </c>
      <c r="DN571">
        <v>1</v>
      </c>
      <c r="DO571">
        <v>0</v>
      </c>
      <c r="DP571">
        <v>0</v>
      </c>
      <c r="DQ571">
        <v>0</v>
      </c>
      <c r="DR571">
        <v>0</v>
      </c>
      <c r="DS571">
        <v>0</v>
      </c>
    </row>
    <row r="572" spans="1:123" x14ac:dyDescent="0.3">
      <c r="A572" t="str">
        <f>"10/04/2022 19:27:12.182"</f>
        <v>10/04/2022 19:27:12.182</v>
      </c>
      <c r="C572" t="str">
        <f t="shared" si="199"/>
        <v>FFDDD3C0</v>
      </c>
      <c r="D572" t="s">
        <v>143</v>
      </c>
      <c r="E572">
        <v>20</v>
      </c>
      <c r="F572">
        <v>1020</v>
      </c>
      <c r="G572" t="s">
        <v>144</v>
      </c>
      <c r="J572" t="s">
        <v>145</v>
      </c>
      <c r="K572">
        <v>0</v>
      </c>
      <c r="L572">
        <v>3</v>
      </c>
      <c r="M572">
        <v>0</v>
      </c>
      <c r="N572">
        <v>2</v>
      </c>
      <c r="O572">
        <v>0</v>
      </c>
      <c r="P572">
        <v>1</v>
      </c>
      <c r="Q572">
        <v>0</v>
      </c>
      <c r="S572" t="str">
        <f t="shared" si="200"/>
        <v>19:27:11.000</v>
      </c>
      <c r="T572" t="str">
        <f t="shared" si="200"/>
        <v>19:27:11.000</v>
      </c>
      <c r="U572" t="str">
        <f t="shared" si="185"/>
        <v>AC3944</v>
      </c>
      <c r="V572">
        <v>0</v>
      </c>
      <c r="W572">
        <v>0</v>
      </c>
      <c r="X572">
        <v>2</v>
      </c>
      <c r="Y572">
        <v>0</v>
      </c>
      <c r="AA572">
        <v>1</v>
      </c>
      <c r="AB572">
        <v>8</v>
      </c>
      <c r="AC572">
        <v>3</v>
      </c>
      <c r="AD572">
        <v>0</v>
      </c>
      <c r="AE572">
        <v>9</v>
      </c>
      <c r="AF572" t="s">
        <v>138</v>
      </c>
      <c r="AG572">
        <v>0</v>
      </c>
      <c r="AH572">
        <v>3</v>
      </c>
      <c r="AI572">
        <v>1</v>
      </c>
      <c r="AJ572">
        <v>0</v>
      </c>
      <c r="AK572" t="s">
        <v>282</v>
      </c>
      <c r="AL572">
        <v>32.817771</v>
      </c>
      <c r="AM572" t="s">
        <v>305</v>
      </c>
      <c r="AN572">
        <v>-116.973495</v>
      </c>
      <c r="AO572">
        <v>25</v>
      </c>
      <c r="AP572">
        <v>1800</v>
      </c>
      <c r="AQ572" t="s">
        <v>129</v>
      </c>
      <c r="AR572">
        <v>130</v>
      </c>
      <c r="AS572">
        <v>-9</v>
      </c>
      <c r="AT572">
        <v>960</v>
      </c>
      <c r="BB572">
        <v>1200</v>
      </c>
      <c r="BC572">
        <v>1</v>
      </c>
      <c r="BD572" t="str">
        <f t="shared" si="186"/>
        <v xml:space="preserve">N887QR  </v>
      </c>
      <c r="BE572">
        <v>1</v>
      </c>
      <c r="BJ572">
        <v>1425</v>
      </c>
      <c r="BK572">
        <v>-375</v>
      </c>
      <c r="BL572" t="s">
        <v>163</v>
      </c>
      <c r="BM572">
        <v>1</v>
      </c>
      <c r="BN572">
        <v>1</v>
      </c>
      <c r="BO572">
        <v>1</v>
      </c>
      <c r="BP572">
        <v>0</v>
      </c>
      <c r="BS572">
        <v>0</v>
      </c>
      <c r="BT572">
        <v>0</v>
      </c>
      <c r="BU572">
        <v>0</v>
      </c>
      <c r="CE572" t="str">
        <f t="shared" si="203"/>
        <v>19:27:11.954</v>
      </c>
      <c r="CF572">
        <v>954252395</v>
      </c>
      <c r="CS572">
        <v>3</v>
      </c>
      <c r="CT572">
        <v>2</v>
      </c>
      <c r="CU572">
        <v>0</v>
      </c>
      <c r="CV572">
        <v>2</v>
      </c>
      <c r="CW572">
        <v>0</v>
      </c>
      <c r="CX572">
        <v>6</v>
      </c>
      <c r="CY572">
        <v>7</v>
      </c>
      <c r="CZ572" t="s">
        <v>131</v>
      </c>
      <c r="DA572">
        <v>300</v>
      </c>
      <c r="DB572">
        <v>0</v>
      </c>
      <c r="DC572" t="s">
        <v>176</v>
      </c>
      <c r="DD572" t="s">
        <v>177</v>
      </c>
      <c r="DG572">
        <v>5366102</v>
      </c>
      <c r="DI572">
        <v>1</v>
      </c>
      <c r="DJ572">
        <v>0</v>
      </c>
      <c r="DK572">
        <v>1</v>
      </c>
      <c r="DL572">
        <v>0</v>
      </c>
      <c r="DM572">
        <v>0</v>
      </c>
      <c r="DN572">
        <v>1</v>
      </c>
      <c r="DO572">
        <v>0</v>
      </c>
      <c r="DP572">
        <v>0</v>
      </c>
      <c r="DQ572">
        <v>0</v>
      </c>
      <c r="DR572">
        <v>0</v>
      </c>
      <c r="DS572">
        <v>0</v>
      </c>
    </row>
    <row r="573" spans="1:123" x14ac:dyDescent="0.3">
      <c r="A573" t="str">
        <f>"10/04/2022 19:27:12.182"</f>
        <v>10/04/2022 19:27:12.182</v>
      </c>
      <c r="C573" t="str">
        <f t="shared" si="199"/>
        <v>FFDDD3C0</v>
      </c>
      <c r="D573" t="s">
        <v>134</v>
      </c>
      <c r="E573">
        <v>15</v>
      </c>
      <c r="J573" t="s">
        <v>135</v>
      </c>
      <c r="K573">
        <v>0</v>
      </c>
      <c r="L573">
        <v>3</v>
      </c>
      <c r="M573">
        <v>0</v>
      </c>
      <c r="N573">
        <v>2</v>
      </c>
      <c r="O573">
        <v>0</v>
      </c>
      <c r="P573">
        <v>1</v>
      </c>
      <c r="Q573">
        <v>0</v>
      </c>
      <c r="S573" t="str">
        <f t="shared" si="200"/>
        <v>19:27:11.000</v>
      </c>
      <c r="T573" t="str">
        <f t="shared" si="200"/>
        <v>19:27:11.000</v>
      </c>
      <c r="U573" t="str">
        <f t="shared" si="185"/>
        <v>AC3944</v>
      </c>
      <c r="V573">
        <v>0</v>
      </c>
      <c r="W573">
        <v>0</v>
      </c>
      <c r="X573">
        <v>2</v>
      </c>
      <c r="Y573">
        <v>0</v>
      </c>
      <c r="AA573">
        <v>1</v>
      </c>
      <c r="AB573">
        <v>8</v>
      </c>
      <c r="AC573">
        <v>3</v>
      </c>
      <c r="AD573">
        <v>0</v>
      </c>
      <c r="AE573">
        <v>9</v>
      </c>
      <c r="AF573" t="s">
        <v>138</v>
      </c>
      <c r="AG573">
        <v>0</v>
      </c>
      <c r="AH573">
        <v>3</v>
      </c>
      <c r="AI573">
        <v>1</v>
      </c>
      <c r="AJ573">
        <v>0</v>
      </c>
      <c r="AK573" t="s">
        <v>282</v>
      </c>
      <c r="AL573">
        <v>32.817771</v>
      </c>
      <c r="AM573" t="s">
        <v>305</v>
      </c>
      <c r="AN573">
        <v>-116.973495</v>
      </c>
      <c r="AO573">
        <v>25</v>
      </c>
      <c r="AP573">
        <v>1800</v>
      </c>
      <c r="AQ573" t="s">
        <v>129</v>
      </c>
      <c r="AR573">
        <v>130</v>
      </c>
      <c r="AS573">
        <v>-9</v>
      </c>
      <c r="AT573">
        <v>960</v>
      </c>
      <c r="BB573">
        <v>1200</v>
      </c>
      <c r="BC573">
        <v>1</v>
      </c>
      <c r="BD573" t="str">
        <f t="shared" si="186"/>
        <v xml:space="preserve">N887QR  </v>
      </c>
      <c r="BE573">
        <v>1</v>
      </c>
      <c r="BJ573">
        <v>1425</v>
      </c>
      <c r="BK573">
        <v>-375</v>
      </c>
      <c r="BL573" t="s">
        <v>163</v>
      </c>
      <c r="BM573">
        <v>1</v>
      </c>
      <c r="BN573">
        <v>1</v>
      </c>
      <c r="BO573">
        <v>1</v>
      </c>
      <c r="BP573">
        <v>0</v>
      </c>
      <c r="BS573">
        <v>0</v>
      </c>
      <c r="BT573">
        <v>0</v>
      </c>
      <c r="BU573">
        <v>0</v>
      </c>
      <c r="CE573" t="str">
        <f t="shared" si="203"/>
        <v>19:27:11.954</v>
      </c>
      <c r="CF573">
        <v>954252395</v>
      </c>
      <c r="CS573">
        <v>3</v>
      </c>
      <c r="CT573">
        <v>2</v>
      </c>
      <c r="CU573">
        <v>0</v>
      </c>
      <c r="CV573">
        <v>2</v>
      </c>
      <c r="CW573">
        <v>0</v>
      </c>
      <c r="CX573">
        <v>6</v>
      </c>
      <c r="CY573">
        <v>7</v>
      </c>
      <c r="CZ573" t="s">
        <v>131</v>
      </c>
      <c r="DA573">
        <v>300</v>
      </c>
      <c r="DB573">
        <v>0</v>
      </c>
      <c r="DC573" t="s">
        <v>176</v>
      </c>
      <c r="DD573" t="s">
        <v>177</v>
      </c>
      <c r="DG573">
        <v>5366102</v>
      </c>
      <c r="DI573">
        <v>1</v>
      </c>
      <c r="DJ573">
        <v>0</v>
      </c>
      <c r="DK573">
        <v>1</v>
      </c>
      <c r="DL573">
        <v>0</v>
      </c>
      <c r="DM573">
        <v>0</v>
      </c>
      <c r="DN573">
        <v>1</v>
      </c>
      <c r="DO573">
        <v>0</v>
      </c>
      <c r="DP573">
        <v>0</v>
      </c>
      <c r="DQ573">
        <v>0</v>
      </c>
      <c r="DR573">
        <v>0</v>
      </c>
      <c r="DS573">
        <v>0</v>
      </c>
    </row>
    <row r="574" spans="1:123" x14ac:dyDescent="0.3">
      <c r="A574" t="str">
        <f>"10/04/2022 19:27:12.182"</f>
        <v>10/04/2022 19:27:12.182</v>
      </c>
      <c r="C574" t="str">
        <f t="shared" si="199"/>
        <v>FFDDD3C0</v>
      </c>
      <c r="D574" t="s">
        <v>123</v>
      </c>
      <c r="E574">
        <v>7</v>
      </c>
      <c r="F574">
        <v>2007</v>
      </c>
      <c r="G574" t="s">
        <v>124</v>
      </c>
      <c r="J574" t="s">
        <v>125</v>
      </c>
      <c r="K574">
        <v>0</v>
      </c>
      <c r="L574">
        <v>3</v>
      </c>
      <c r="M574">
        <v>0</v>
      </c>
      <c r="N574">
        <v>2</v>
      </c>
      <c r="O574">
        <v>0</v>
      </c>
      <c r="P574">
        <v>1</v>
      </c>
      <c r="Q574">
        <v>0</v>
      </c>
      <c r="S574" t="str">
        <f t="shared" si="200"/>
        <v>19:27:11.000</v>
      </c>
      <c r="T574" t="str">
        <f t="shared" si="200"/>
        <v>19:27:11.000</v>
      </c>
      <c r="U574" t="str">
        <f t="shared" si="185"/>
        <v>AC3944</v>
      </c>
      <c r="V574">
        <v>0</v>
      </c>
      <c r="W574">
        <v>0</v>
      </c>
      <c r="X574">
        <v>2</v>
      </c>
      <c r="Y574">
        <v>0</v>
      </c>
      <c r="AA574">
        <v>1</v>
      </c>
      <c r="AB574">
        <v>8</v>
      </c>
      <c r="AC574">
        <v>3</v>
      </c>
      <c r="AD574">
        <v>0</v>
      </c>
      <c r="AE574">
        <v>9</v>
      </c>
      <c r="AF574" t="s">
        <v>138</v>
      </c>
      <c r="AG574">
        <v>0</v>
      </c>
      <c r="AH574">
        <v>3</v>
      </c>
      <c r="AI574">
        <v>1</v>
      </c>
      <c r="AJ574">
        <v>0</v>
      </c>
      <c r="AK574" t="s">
        <v>282</v>
      </c>
      <c r="AL574">
        <v>32.817771</v>
      </c>
      <c r="AM574" t="s">
        <v>305</v>
      </c>
      <c r="AN574">
        <v>-116.973495</v>
      </c>
      <c r="AO574">
        <v>25</v>
      </c>
      <c r="AP574">
        <v>1800</v>
      </c>
      <c r="AQ574" t="s">
        <v>129</v>
      </c>
      <c r="AR574">
        <v>130</v>
      </c>
      <c r="AS574">
        <v>-9</v>
      </c>
      <c r="AT574">
        <v>960</v>
      </c>
      <c r="BB574">
        <v>1200</v>
      </c>
      <c r="BC574">
        <v>1</v>
      </c>
      <c r="BD574" t="str">
        <f t="shared" si="186"/>
        <v xml:space="preserve">N887QR  </v>
      </c>
      <c r="BE574">
        <v>1</v>
      </c>
      <c r="BJ574">
        <v>1425</v>
      </c>
      <c r="BK574">
        <v>-375</v>
      </c>
      <c r="BL574" t="s">
        <v>163</v>
      </c>
      <c r="BM574">
        <v>1</v>
      </c>
      <c r="BN574">
        <v>1</v>
      </c>
      <c r="BO574">
        <v>1</v>
      </c>
      <c r="BP574">
        <v>0</v>
      </c>
      <c r="BS574">
        <v>0</v>
      </c>
      <c r="BT574">
        <v>0</v>
      </c>
      <c r="BU574">
        <v>0</v>
      </c>
      <c r="CE574" t="str">
        <f t="shared" si="203"/>
        <v>19:27:11.954</v>
      </c>
      <c r="CF574">
        <v>954252395</v>
      </c>
      <c r="CS574">
        <v>3</v>
      </c>
      <c r="CT574">
        <v>2</v>
      </c>
      <c r="CU574">
        <v>0</v>
      </c>
      <c r="CV574">
        <v>2</v>
      </c>
      <c r="CW574">
        <v>0</v>
      </c>
      <c r="CX574">
        <v>6</v>
      </c>
      <c r="CY574">
        <v>7</v>
      </c>
      <c r="CZ574" t="s">
        <v>131</v>
      </c>
      <c r="DA574">
        <v>300</v>
      </c>
      <c r="DB574">
        <v>0</v>
      </c>
      <c r="DC574" t="s">
        <v>176</v>
      </c>
      <c r="DD574" t="s">
        <v>177</v>
      </c>
      <c r="DG574">
        <v>5366102</v>
      </c>
      <c r="DI574">
        <v>1</v>
      </c>
      <c r="DJ574">
        <v>0</v>
      </c>
      <c r="DK574">
        <v>1</v>
      </c>
      <c r="DL574">
        <v>0</v>
      </c>
      <c r="DM574">
        <v>0</v>
      </c>
      <c r="DN574">
        <v>1</v>
      </c>
      <c r="DO574">
        <v>0</v>
      </c>
      <c r="DP574">
        <v>0</v>
      </c>
      <c r="DQ574">
        <v>0</v>
      </c>
      <c r="DR574">
        <v>0</v>
      </c>
      <c r="DS574">
        <v>0</v>
      </c>
    </row>
    <row r="575" spans="1:123" x14ac:dyDescent="0.3">
      <c r="A575" t="str">
        <f>"10/04/2022 19:27:12.182"</f>
        <v>10/04/2022 19:27:12.182</v>
      </c>
      <c r="C575" t="str">
        <f t="shared" si="199"/>
        <v>FFDDD3C0</v>
      </c>
      <c r="D575" t="s">
        <v>141</v>
      </c>
      <c r="E575">
        <v>4</v>
      </c>
      <c r="H575">
        <v>4</v>
      </c>
      <c r="I575" t="s">
        <v>142</v>
      </c>
      <c r="J575" t="s">
        <v>138</v>
      </c>
      <c r="K575">
        <v>0</v>
      </c>
      <c r="L575">
        <v>3</v>
      </c>
      <c r="M575">
        <v>0</v>
      </c>
      <c r="N575">
        <v>2</v>
      </c>
      <c r="O575">
        <v>0</v>
      </c>
      <c r="P575">
        <v>1</v>
      </c>
      <c r="Q575">
        <v>0</v>
      </c>
      <c r="S575" t="str">
        <f t="shared" si="200"/>
        <v>19:27:11.000</v>
      </c>
      <c r="T575" t="str">
        <f t="shared" si="200"/>
        <v>19:27:11.000</v>
      </c>
      <c r="U575" t="str">
        <f t="shared" si="185"/>
        <v>AC3944</v>
      </c>
      <c r="V575">
        <v>0</v>
      </c>
      <c r="W575">
        <v>0</v>
      </c>
      <c r="X575">
        <v>2</v>
      </c>
      <c r="Y575">
        <v>0</v>
      </c>
      <c r="AA575">
        <v>1</v>
      </c>
      <c r="AB575">
        <v>8</v>
      </c>
      <c r="AC575">
        <v>3</v>
      </c>
      <c r="AD575">
        <v>0</v>
      </c>
      <c r="AE575">
        <v>9</v>
      </c>
      <c r="AF575" t="s">
        <v>138</v>
      </c>
      <c r="AG575">
        <v>0</v>
      </c>
      <c r="AH575">
        <v>3</v>
      </c>
      <c r="AI575">
        <v>1</v>
      </c>
      <c r="AJ575">
        <v>0</v>
      </c>
      <c r="AK575" t="s">
        <v>282</v>
      </c>
      <c r="AL575">
        <v>32.817771</v>
      </c>
      <c r="AM575" t="s">
        <v>305</v>
      </c>
      <c r="AN575">
        <v>-116.973495</v>
      </c>
      <c r="AO575">
        <v>25</v>
      </c>
      <c r="AP575">
        <v>1800</v>
      </c>
      <c r="AQ575" t="s">
        <v>129</v>
      </c>
      <c r="AR575">
        <v>130</v>
      </c>
      <c r="AS575">
        <v>-9</v>
      </c>
      <c r="AT575">
        <v>960</v>
      </c>
      <c r="BB575">
        <v>1200</v>
      </c>
      <c r="BC575">
        <v>1</v>
      </c>
      <c r="BD575" t="str">
        <f t="shared" si="186"/>
        <v xml:space="preserve">N887QR  </v>
      </c>
      <c r="BE575">
        <v>1</v>
      </c>
      <c r="BJ575">
        <v>1425</v>
      </c>
      <c r="BK575">
        <v>-375</v>
      </c>
      <c r="BL575" t="s">
        <v>163</v>
      </c>
      <c r="BM575">
        <v>1</v>
      </c>
      <c r="BN575">
        <v>1</v>
      </c>
      <c r="BO575">
        <v>1</v>
      </c>
      <c r="BP575">
        <v>0</v>
      </c>
      <c r="BS575">
        <v>0.04</v>
      </c>
      <c r="BT575">
        <v>0</v>
      </c>
      <c r="BU575">
        <v>0</v>
      </c>
      <c r="CE575" t="str">
        <f t="shared" si="203"/>
        <v>19:27:11.954</v>
      </c>
      <c r="CF575">
        <v>954252395</v>
      </c>
      <c r="CS575">
        <v>3</v>
      </c>
      <c r="CT575">
        <v>2</v>
      </c>
      <c r="CU575">
        <v>0</v>
      </c>
      <c r="CV575">
        <v>2</v>
      </c>
      <c r="CW575">
        <v>0</v>
      </c>
      <c r="CX575">
        <v>6</v>
      </c>
      <c r="CY575">
        <v>7</v>
      </c>
      <c r="CZ575" t="s">
        <v>131</v>
      </c>
      <c r="DA575">
        <v>300</v>
      </c>
      <c r="DB575">
        <v>0</v>
      </c>
      <c r="DC575" t="s">
        <v>176</v>
      </c>
      <c r="DD575" t="s">
        <v>177</v>
      </c>
      <c r="DG575">
        <v>5366102</v>
      </c>
      <c r="DI575">
        <v>1</v>
      </c>
      <c r="DJ575">
        <v>0</v>
      </c>
      <c r="DK575">
        <v>1</v>
      </c>
      <c r="DL575">
        <v>0</v>
      </c>
      <c r="DM575">
        <v>0</v>
      </c>
      <c r="DN575">
        <v>1</v>
      </c>
      <c r="DO575">
        <v>0</v>
      </c>
      <c r="DP575">
        <v>0</v>
      </c>
      <c r="DQ575">
        <v>0</v>
      </c>
      <c r="DR575">
        <v>0</v>
      </c>
      <c r="DS575">
        <v>0</v>
      </c>
    </row>
    <row r="576" spans="1:123" x14ac:dyDescent="0.3">
      <c r="A576" t="str">
        <f>"10/04/2022 19:27:12.182"</f>
        <v>10/04/2022 19:27:12.182</v>
      </c>
      <c r="C576" t="str">
        <f t="shared" si="199"/>
        <v>FFDDD3C0</v>
      </c>
      <c r="D576" t="s">
        <v>136</v>
      </c>
      <c r="E576">
        <v>8</v>
      </c>
      <c r="H576">
        <v>225</v>
      </c>
      <c r="I576" t="s">
        <v>137</v>
      </c>
      <c r="J576" t="s">
        <v>138</v>
      </c>
      <c r="K576">
        <v>0</v>
      </c>
      <c r="L576">
        <v>3</v>
      </c>
      <c r="M576">
        <v>0</v>
      </c>
      <c r="N576">
        <v>2</v>
      </c>
      <c r="O576">
        <v>0</v>
      </c>
      <c r="P576">
        <v>1</v>
      </c>
      <c r="Q576">
        <v>0</v>
      </c>
      <c r="S576" t="str">
        <f t="shared" si="200"/>
        <v>19:27:11.000</v>
      </c>
      <c r="T576" t="str">
        <f t="shared" si="200"/>
        <v>19:27:11.000</v>
      </c>
      <c r="U576" t="str">
        <f t="shared" si="185"/>
        <v>AC3944</v>
      </c>
      <c r="V576">
        <v>0</v>
      </c>
      <c r="W576">
        <v>0</v>
      </c>
      <c r="X576">
        <v>2</v>
      </c>
      <c r="Y576">
        <v>0</v>
      </c>
      <c r="AA576">
        <v>1</v>
      </c>
      <c r="AB576">
        <v>8</v>
      </c>
      <c r="AC576">
        <v>3</v>
      </c>
      <c r="AD576">
        <v>0</v>
      </c>
      <c r="AE576">
        <v>9</v>
      </c>
      <c r="AF576" t="s">
        <v>138</v>
      </c>
      <c r="AG576">
        <v>0</v>
      </c>
      <c r="AH576">
        <v>3</v>
      </c>
      <c r="AI576">
        <v>1</v>
      </c>
      <c r="AJ576">
        <v>0</v>
      </c>
      <c r="AK576" t="s">
        <v>282</v>
      </c>
      <c r="AL576">
        <v>32.817771</v>
      </c>
      <c r="AM576" t="s">
        <v>305</v>
      </c>
      <c r="AN576">
        <v>-116.973495</v>
      </c>
      <c r="AO576">
        <v>25</v>
      </c>
      <c r="AP576">
        <v>1800</v>
      </c>
      <c r="AQ576" t="s">
        <v>129</v>
      </c>
      <c r="AR576">
        <v>130</v>
      </c>
      <c r="AS576">
        <v>-9</v>
      </c>
      <c r="AT576">
        <v>960</v>
      </c>
      <c r="BB576">
        <v>1200</v>
      </c>
      <c r="BC576">
        <v>1</v>
      </c>
      <c r="BD576" t="str">
        <f t="shared" si="186"/>
        <v xml:space="preserve">N887QR  </v>
      </c>
      <c r="BE576">
        <v>1</v>
      </c>
      <c r="BJ576">
        <v>1425</v>
      </c>
      <c r="BK576">
        <v>-375</v>
      </c>
      <c r="BL576" t="s">
        <v>163</v>
      </c>
      <c r="BM576">
        <v>1</v>
      </c>
      <c r="BN576">
        <v>1</v>
      </c>
      <c r="BO576">
        <v>1</v>
      </c>
      <c r="BP576">
        <v>0</v>
      </c>
      <c r="BS576">
        <v>0.04</v>
      </c>
      <c r="BT576">
        <v>0</v>
      </c>
      <c r="BU576">
        <v>0</v>
      </c>
      <c r="CE576" t="str">
        <f t="shared" si="203"/>
        <v>19:27:11.954</v>
      </c>
      <c r="CF576">
        <v>954252395</v>
      </c>
      <c r="CS576">
        <v>3</v>
      </c>
      <c r="CT576">
        <v>2</v>
      </c>
      <c r="CU576">
        <v>0</v>
      </c>
      <c r="CV576">
        <v>2</v>
      </c>
      <c r="CW576">
        <v>0</v>
      </c>
      <c r="CX576">
        <v>6</v>
      </c>
      <c r="CY576">
        <v>7</v>
      </c>
      <c r="CZ576" t="s">
        <v>131</v>
      </c>
      <c r="DA576">
        <v>300</v>
      </c>
      <c r="DB576">
        <v>0</v>
      </c>
      <c r="DC576" t="s">
        <v>176</v>
      </c>
      <c r="DD576" t="s">
        <v>177</v>
      </c>
      <c r="DG576">
        <v>5366102</v>
      </c>
      <c r="DI576">
        <v>1</v>
      </c>
      <c r="DJ576">
        <v>0</v>
      </c>
      <c r="DK576">
        <v>1</v>
      </c>
      <c r="DL576">
        <v>0</v>
      </c>
      <c r="DM576">
        <v>0</v>
      </c>
      <c r="DN576">
        <v>1</v>
      </c>
      <c r="DO576">
        <v>0</v>
      </c>
      <c r="DP576">
        <v>0</v>
      </c>
      <c r="DQ576">
        <v>0</v>
      </c>
      <c r="DR576">
        <v>0</v>
      </c>
      <c r="DS576">
        <v>0</v>
      </c>
    </row>
    <row r="577" spans="1:123" x14ac:dyDescent="0.3">
      <c r="A577" t="str">
        <f>"10/04/2022 19:27:12.932"</f>
        <v>10/04/2022 19:27:12.932</v>
      </c>
      <c r="C577" t="str">
        <f t="shared" si="199"/>
        <v>FFDDD3C0</v>
      </c>
      <c r="D577" t="s">
        <v>141</v>
      </c>
      <c r="E577">
        <v>3</v>
      </c>
      <c r="H577">
        <v>3</v>
      </c>
      <c r="I577" t="s">
        <v>146</v>
      </c>
      <c r="J577" t="s">
        <v>138</v>
      </c>
      <c r="K577">
        <v>0</v>
      </c>
      <c r="L577">
        <v>3</v>
      </c>
      <c r="M577">
        <v>0</v>
      </c>
      <c r="N577">
        <v>2</v>
      </c>
      <c r="O577">
        <v>0</v>
      </c>
      <c r="P577">
        <v>1</v>
      </c>
      <c r="Q577">
        <v>0</v>
      </c>
      <c r="S577" t="str">
        <f t="shared" ref="S577:T583" si="204">"19:27:12.000"</f>
        <v>19:27:12.000</v>
      </c>
      <c r="T577" t="str">
        <f t="shared" si="204"/>
        <v>19:27:12.000</v>
      </c>
      <c r="U577" t="str">
        <f t="shared" si="185"/>
        <v>AC3944</v>
      </c>
      <c r="V577">
        <v>0</v>
      </c>
      <c r="W577">
        <v>0</v>
      </c>
      <c r="X577">
        <v>2</v>
      </c>
      <c r="Y577">
        <v>0</v>
      </c>
      <c r="AA577">
        <v>1</v>
      </c>
      <c r="AB577">
        <v>8</v>
      </c>
      <c r="AC577">
        <v>3</v>
      </c>
      <c r="AD577">
        <v>0</v>
      </c>
      <c r="AE577">
        <v>9</v>
      </c>
      <c r="AF577" t="s">
        <v>138</v>
      </c>
      <c r="AG577">
        <v>0</v>
      </c>
      <c r="AH577">
        <v>3</v>
      </c>
      <c r="AI577">
        <v>1</v>
      </c>
      <c r="AJ577">
        <v>0</v>
      </c>
      <c r="AK577" t="s">
        <v>306</v>
      </c>
      <c r="AL577">
        <v>32.817729</v>
      </c>
      <c r="AM577" t="s">
        <v>307</v>
      </c>
      <c r="AN577">
        <v>-116.97276599999999</v>
      </c>
      <c r="AO577">
        <v>25</v>
      </c>
      <c r="AP577">
        <v>1800</v>
      </c>
      <c r="AQ577" t="s">
        <v>129</v>
      </c>
      <c r="AR577">
        <v>128</v>
      </c>
      <c r="AS577">
        <v>-12</v>
      </c>
      <c r="AT577">
        <v>1088</v>
      </c>
      <c r="BB577">
        <v>1200</v>
      </c>
      <c r="BC577">
        <v>1</v>
      </c>
      <c r="BD577" t="str">
        <f t="shared" si="186"/>
        <v xml:space="preserve">N887QR  </v>
      </c>
      <c r="BE577">
        <v>1</v>
      </c>
      <c r="BJ577">
        <v>1450</v>
      </c>
      <c r="BK577">
        <v>-350</v>
      </c>
      <c r="BL577" t="s">
        <v>163</v>
      </c>
      <c r="BM577">
        <v>1</v>
      </c>
      <c r="BN577">
        <v>1</v>
      </c>
      <c r="BO577">
        <v>1</v>
      </c>
      <c r="BP577">
        <v>0</v>
      </c>
      <c r="BS577">
        <v>0.04</v>
      </c>
      <c r="BT577">
        <v>0</v>
      </c>
      <c r="BU577">
        <v>0</v>
      </c>
      <c r="CE577" t="str">
        <f t="shared" ref="CE577:CE583" si="205">"19:27:12.757"</f>
        <v>19:27:12.757</v>
      </c>
      <c r="CF577">
        <v>756504914</v>
      </c>
      <c r="CS577">
        <v>3</v>
      </c>
      <c r="CT577">
        <v>2</v>
      </c>
      <c r="CU577">
        <v>0</v>
      </c>
      <c r="CV577">
        <v>2</v>
      </c>
      <c r="CW577">
        <v>0</v>
      </c>
      <c r="CX577">
        <v>6</v>
      </c>
      <c r="CY577">
        <v>7</v>
      </c>
      <c r="CZ577" t="s">
        <v>131</v>
      </c>
      <c r="DA577">
        <v>300</v>
      </c>
      <c r="DB577">
        <v>0</v>
      </c>
      <c r="DC577" t="s">
        <v>176</v>
      </c>
      <c r="DD577" t="s">
        <v>177</v>
      </c>
      <c r="DG577">
        <v>5366227</v>
      </c>
      <c r="DI577">
        <v>1</v>
      </c>
      <c r="DJ577">
        <v>0</v>
      </c>
      <c r="DK577">
        <v>0</v>
      </c>
      <c r="DL577">
        <v>0</v>
      </c>
      <c r="DM577">
        <v>0</v>
      </c>
      <c r="DN577">
        <v>1</v>
      </c>
      <c r="DO577">
        <v>0</v>
      </c>
      <c r="DP577">
        <v>0</v>
      </c>
      <c r="DQ577">
        <v>0</v>
      </c>
      <c r="DR577">
        <v>0</v>
      </c>
      <c r="DS577">
        <v>0</v>
      </c>
    </row>
    <row r="578" spans="1:123" x14ac:dyDescent="0.3">
      <c r="A578" t="str">
        <f>"10/04/2022 19:27:12.932"</f>
        <v>10/04/2022 19:27:12.932</v>
      </c>
      <c r="C578" t="str">
        <f t="shared" si="199"/>
        <v>FFDDD3C0</v>
      </c>
      <c r="D578" t="s">
        <v>147</v>
      </c>
      <c r="E578">
        <v>3</v>
      </c>
      <c r="H578">
        <v>166</v>
      </c>
      <c r="I578" t="s">
        <v>144</v>
      </c>
      <c r="J578" t="s">
        <v>148</v>
      </c>
      <c r="K578">
        <v>0</v>
      </c>
      <c r="L578">
        <v>3</v>
      </c>
      <c r="M578">
        <v>0</v>
      </c>
      <c r="N578">
        <v>2</v>
      </c>
      <c r="O578">
        <v>0</v>
      </c>
      <c r="P578">
        <v>1</v>
      </c>
      <c r="Q578">
        <v>0</v>
      </c>
      <c r="S578" t="str">
        <f t="shared" si="204"/>
        <v>19:27:12.000</v>
      </c>
      <c r="T578" t="str">
        <f t="shared" si="204"/>
        <v>19:27:12.000</v>
      </c>
      <c r="U578" t="str">
        <f t="shared" ref="U578:U641" si="206">"AC3944"</f>
        <v>AC3944</v>
      </c>
      <c r="V578">
        <v>0</v>
      </c>
      <c r="W578">
        <v>0</v>
      </c>
      <c r="X578">
        <v>2</v>
      </c>
      <c r="Y578">
        <v>0</v>
      </c>
      <c r="AA578">
        <v>1</v>
      </c>
      <c r="AB578">
        <v>8</v>
      </c>
      <c r="AC578">
        <v>3</v>
      </c>
      <c r="AD578">
        <v>0</v>
      </c>
      <c r="AE578">
        <v>9</v>
      </c>
      <c r="AF578" t="s">
        <v>138</v>
      </c>
      <c r="AG578">
        <v>0</v>
      </c>
      <c r="AH578">
        <v>3</v>
      </c>
      <c r="AI578">
        <v>1</v>
      </c>
      <c r="AJ578">
        <v>0</v>
      </c>
      <c r="AK578" t="s">
        <v>306</v>
      </c>
      <c r="AL578">
        <v>32.817729</v>
      </c>
      <c r="AM578" t="s">
        <v>307</v>
      </c>
      <c r="AN578">
        <v>-116.97276599999999</v>
      </c>
      <c r="AO578">
        <v>25</v>
      </c>
      <c r="AP578">
        <v>1800</v>
      </c>
      <c r="AQ578" t="s">
        <v>129</v>
      </c>
      <c r="AR578">
        <v>128</v>
      </c>
      <c r="AS578">
        <v>-12</v>
      </c>
      <c r="AT578">
        <v>1088</v>
      </c>
      <c r="BB578">
        <v>1200</v>
      </c>
      <c r="BC578">
        <v>1</v>
      </c>
      <c r="BD578" t="str">
        <f t="shared" ref="BD578:BD641" si="207">"N887QR  "</f>
        <v xml:space="preserve">N887QR  </v>
      </c>
      <c r="BE578">
        <v>1</v>
      </c>
      <c r="BJ578">
        <v>1450</v>
      </c>
      <c r="BK578">
        <v>-350</v>
      </c>
      <c r="BL578" t="s">
        <v>163</v>
      </c>
      <c r="BM578">
        <v>1</v>
      </c>
      <c r="BN578">
        <v>1</v>
      </c>
      <c r="BO578">
        <v>1</v>
      </c>
      <c r="BP578">
        <v>0</v>
      </c>
      <c r="BS578">
        <v>0.04</v>
      </c>
      <c r="BT578">
        <v>0</v>
      </c>
      <c r="BU578">
        <v>0</v>
      </c>
      <c r="CE578" t="str">
        <f t="shared" si="205"/>
        <v>19:27:12.757</v>
      </c>
      <c r="CF578">
        <v>756504914</v>
      </c>
      <c r="CS578">
        <v>3</v>
      </c>
      <c r="CT578">
        <v>2</v>
      </c>
      <c r="CU578">
        <v>0</v>
      </c>
      <c r="CV578">
        <v>2</v>
      </c>
      <c r="CW578">
        <v>0</v>
      </c>
      <c r="CX578">
        <v>6</v>
      </c>
      <c r="CY578">
        <v>7</v>
      </c>
      <c r="CZ578" t="s">
        <v>131</v>
      </c>
      <c r="DA578">
        <v>300</v>
      </c>
      <c r="DB578">
        <v>0</v>
      </c>
      <c r="DC578" t="s">
        <v>176</v>
      </c>
      <c r="DD578" t="s">
        <v>177</v>
      </c>
      <c r="DG578">
        <v>5366227</v>
      </c>
      <c r="DI578">
        <v>1</v>
      </c>
      <c r="DJ578">
        <v>0</v>
      </c>
      <c r="DK578">
        <v>1</v>
      </c>
      <c r="DL578">
        <v>0</v>
      </c>
      <c r="DM578">
        <v>0</v>
      </c>
      <c r="DN578">
        <v>1</v>
      </c>
      <c r="DO578">
        <v>0</v>
      </c>
      <c r="DP578">
        <v>0</v>
      </c>
      <c r="DQ578">
        <v>0</v>
      </c>
      <c r="DR578">
        <v>0</v>
      </c>
      <c r="DS578">
        <v>0</v>
      </c>
    </row>
    <row r="579" spans="1:123" x14ac:dyDescent="0.3">
      <c r="A579" t="str">
        <f>"10/04/2022 19:27:12.963"</f>
        <v>10/04/2022 19:27:12.963</v>
      </c>
      <c r="C579" t="str">
        <f t="shared" si="199"/>
        <v>FFDDD3C0</v>
      </c>
      <c r="D579" t="s">
        <v>143</v>
      </c>
      <c r="E579">
        <v>20</v>
      </c>
      <c r="F579">
        <v>1020</v>
      </c>
      <c r="G579" t="s">
        <v>144</v>
      </c>
      <c r="J579" t="s">
        <v>145</v>
      </c>
      <c r="K579">
        <v>0</v>
      </c>
      <c r="L579">
        <v>3</v>
      </c>
      <c r="M579">
        <v>0</v>
      </c>
      <c r="N579">
        <v>2</v>
      </c>
      <c r="O579">
        <v>0</v>
      </c>
      <c r="P579">
        <v>1</v>
      </c>
      <c r="Q579">
        <v>0</v>
      </c>
      <c r="S579" t="str">
        <f t="shared" si="204"/>
        <v>19:27:12.000</v>
      </c>
      <c r="T579" t="str">
        <f t="shared" si="204"/>
        <v>19:27:12.000</v>
      </c>
      <c r="U579" t="str">
        <f t="shared" si="206"/>
        <v>AC3944</v>
      </c>
      <c r="V579">
        <v>0</v>
      </c>
      <c r="W579">
        <v>0</v>
      </c>
      <c r="X579">
        <v>2</v>
      </c>
      <c r="Y579">
        <v>0</v>
      </c>
      <c r="AA579">
        <v>1</v>
      </c>
      <c r="AB579">
        <v>8</v>
      </c>
      <c r="AC579">
        <v>3</v>
      </c>
      <c r="AD579">
        <v>0</v>
      </c>
      <c r="AE579">
        <v>9</v>
      </c>
      <c r="AF579" t="s">
        <v>138</v>
      </c>
      <c r="AG579">
        <v>0</v>
      </c>
      <c r="AH579">
        <v>3</v>
      </c>
      <c r="AI579">
        <v>1</v>
      </c>
      <c r="AJ579">
        <v>0</v>
      </c>
      <c r="AK579" t="s">
        <v>306</v>
      </c>
      <c r="AL579">
        <v>32.817729</v>
      </c>
      <c r="AM579" t="s">
        <v>307</v>
      </c>
      <c r="AN579">
        <v>-116.97276599999999</v>
      </c>
      <c r="AO579">
        <v>25</v>
      </c>
      <c r="AP579">
        <v>1800</v>
      </c>
      <c r="AQ579" t="s">
        <v>129</v>
      </c>
      <c r="AR579">
        <v>128</v>
      </c>
      <c r="AS579">
        <v>-12</v>
      </c>
      <c r="AT579">
        <v>1088</v>
      </c>
      <c r="BB579">
        <v>1200</v>
      </c>
      <c r="BC579">
        <v>1</v>
      </c>
      <c r="BD579" t="str">
        <f t="shared" si="207"/>
        <v xml:space="preserve">N887QR  </v>
      </c>
      <c r="BE579">
        <v>1</v>
      </c>
      <c r="BJ579">
        <v>1450</v>
      </c>
      <c r="BK579">
        <v>-350</v>
      </c>
      <c r="BL579" t="s">
        <v>163</v>
      </c>
      <c r="BM579">
        <v>1</v>
      </c>
      <c r="BN579">
        <v>1</v>
      </c>
      <c r="BO579">
        <v>1</v>
      </c>
      <c r="BP579">
        <v>0</v>
      </c>
      <c r="BS579">
        <v>0</v>
      </c>
      <c r="BT579">
        <v>0</v>
      </c>
      <c r="BU579">
        <v>0</v>
      </c>
      <c r="CE579" t="str">
        <f t="shared" si="205"/>
        <v>19:27:12.757</v>
      </c>
      <c r="CF579">
        <v>756504914</v>
      </c>
      <c r="CS579">
        <v>3</v>
      </c>
      <c r="CT579">
        <v>2</v>
      </c>
      <c r="CU579">
        <v>0</v>
      </c>
      <c r="CV579">
        <v>2</v>
      </c>
      <c r="CW579">
        <v>0</v>
      </c>
      <c r="CX579">
        <v>6</v>
      </c>
      <c r="CY579">
        <v>7</v>
      </c>
      <c r="CZ579" t="s">
        <v>131</v>
      </c>
      <c r="DA579">
        <v>300</v>
      </c>
      <c r="DB579">
        <v>0</v>
      </c>
      <c r="DC579" t="s">
        <v>176</v>
      </c>
      <c r="DD579" t="s">
        <v>177</v>
      </c>
      <c r="DG579">
        <v>5366227</v>
      </c>
      <c r="DI579">
        <v>1</v>
      </c>
      <c r="DJ579">
        <v>0</v>
      </c>
      <c r="DK579">
        <v>1</v>
      </c>
      <c r="DL579">
        <v>0</v>
      </c>
      <c r="DM579">
        <v>0</v>
      </c>
      <c r="DN579">
        <v>1</v>
      </c>
      <c r="DO579">
        <v>0</v>
      </c>
      <c r="DP579">
        <v>0</v>
      </c>
      <c r="DQ579">
        <v>0</v>
      </c>
      <c r="DR579">
        <v>0</v>
      </c>
      <c r="DS579">
        <v>0</v>
      </c>
    </row>
    <row r="580" spans="1:123" x14ac:dyDescent="0.3">
      <c r="A580" t="str">
        <f>"10/04/2022 19:27:12.963"</f>
        <v>10/04/2022 19:27:12.963</v>
      </c>
      <c r="C580" t="str">
        <f t="shared" si="199"/>
        <v>FFDDD3C0</v>
      </c>
      <c r="D580" t="s">
        <v>134</v>
      </c>
      <c r="E580">
        <v>15</v>
      </c>
      <c r="J580" t="s">
        <v>135</v>
      </c>
      <c r="K580">
        <v>0</v>
      </c>
      <c r="L580">
        <v>3</v>
      </c>
      <c r="M580">
        <v>0</v>
      </c>
      <c r="N580">
        <v>2</v>
      </c>
      <c r="O580">
        <v>0</v>
      </c>
      <c r="P580">
        <v>1</v>
      </c>
      <c r="Q580">
        <v>0</v>
      </c>
      <c r="S580" t="str">
        <f t="shared" si="204"/>
        <v>19:27:12.000</v>
      </c>
      <c r="T580" t="str">
        <f t="shared" si="204"/>
        <v>19:27:12.000</v>
      </c>
      <c r="U580" t="str">
        <f t="shared" si="206"/>
        <v>AC3944</v>
      </c>
      <c r="V580">
        <v>0</v>
      </c>
      <c r="W580">
        <v>0</v>
      </c>
      <c r="X580">
        <v>2</v>
      </c>
      <c r="Y580">
        <v>0</v>
      </c>
      <c r="AA580">
        <v>1</v>
      </c>
      <c r="AB580">
        <v>8</v>
      </c>
      <c r="AC580">
        <v>3</v>
      </c>
      <c r="AD580">
        <v>0</v>
      </c>
      <c r="AE580">
        <v>9</v>
      </c>
      <c r="AF580" t="s">
        <v>138</v>
      </c>
      <c r="AG580">
        <v>0</v>
      </c>
      <c r="AH580">
        <v>3</v>
      </c>
      <c r="AI580">
        <v>1</v>
      </c>
      <c r="AJ580">
        <v>0</v>
      </c>
      <c r="AK580" t="s">
        <v>306</v>
      </c>
      <c r="AL580">
        <v>32.817729</v>
      </c>
      <c r="AM580" t="s">
        <v>307</v>
      </c>
      <c r="AN580">
        <v>-116.97276599999999</v>
      </c>
      <c r="AO580">
        <v>25</v>
      </c>
      <c r="AP580">
        <v>1800</v>
      </c>
      <c r="AQ580" t="s">
        <v>129</v>
      </c>
      <c r="AR580">
        <v>128</v>
      </c>
      <c r="AS580">
        <v>-12</v>
      </c>
      <c r="AT580">
        <v>1088</v>
      </c>
      <c r="BB580">
        <v>1200</v>
      </c>
      <c r="BC580">
        <v>1</v>
      </c>
      <c r="BD580" t="str">
        <f t="shared" si="207"/>
        <v xml:space="preserve">N887QR  </v>
      </c>
      <c r="BE580">
        <v>1</v>
      </c>
      <c r="BJ580">
        <v>1450</v>
      </c>
      <c r="BK580">
        <v>-350</v>
      </c>
      <c r="BL580" t="s">
        <v>163</v>
      </c>
      <c r="BM580">
        <v>1</v>
      </c>
      <c r="BN580">
        <v>1</v>
      </c>
      <c r="BO580">
        <v>1</v>
      </c>
      <c r="BP580">
        <v>0</v>
      </c>
      <c r="BS580">
        <v>0</v>
      </c>
      <c r="BT580">
        <v>0</v>
      </c>
      <c r="BU580">
        <v>0</v>
      </c>
      <c r="CE580" t="str">
        <f t="shared" si="205"/>
        <v>19:27:12.757</v>
      </c>
      <c r="CF580">
        <v>756504914</v>
      </c>
      <c r="CS580">
        <v>3</v>
      </c>
      <c r="CT580">
        <v>2</v>
      </c>
      <c r="CU580">
        <v>0</v>
      </c>
      <c r="CV580">
        <v>2</v>
      </c>
      <c r="CW580">
        <v>0</v>
      </c>
      <c r="CX580">
        <v>6</v>
      </c>
      <c r="CY580">
        <v>7</v>
      </c>
      <c r="CZ580" t="s">
        <v>131</v>
      </c>
      <c r="DA580">
        <v>300</v>
      </c>
      <c r="DB580">
        <v>0</v>
      </c>
      <c r="DC580" t="s">
        <v>176</v>
      </c>
      <c r="DD580" t="s">
        <v>177</v>
      </c>
      <c r="DG580">
        <v>5366227</v>
      </c>
      <c r="DI580">
        <v>1</v>
      </c>
      <c r="DJ580">
        <v>0</v>
      </c>
      <c r="DK580">
        <v>1</v>
      </c>
      <c r="DL580">
        <v>0</v>
      </c>
      <c r="DM580">
        <v>0</v>
      </c>
      <c r="DN580">
        <v>1</v>
      </c>
      <c r="DO580">
        <v>0</v>
      </c>
      <c r="DP580">
        <v>0</v>
      </c>
      <c r="DQ580">
        <v>0</v>
      </c>
      <c r="DR580">
        <v>0</v>
      </c>
      <c r="DS580">
        <v>0</v>
      </c>
    </row>
    <row r="581" spans="1:123" x14ac:dyDescent="0.3">
      <c r="A581" t="str">
        <f>"10/04/2022 19:27:12.963"</f>
        <v>10/04/2022 19:27:12.963</v>
      </c>
      <c r="C581" t="str">
        <f t="shared" si="199"/>
        <v>FFDDD3C0</v>
      </c>
      <c r="D581" t="s">
        <v>123</v>
      </c>
      <c r="E581">
        <v>7</v>
      </c>
      <c r="F581">
        <v>2007</v>
      </c>
      <c r="G581" t="s">
        <v>124</v>
      </c>
      <c r="J581" t="s">
        <v>125</v>
      </c>
      <c r="K581">
        <v>0</v>
      </c>
      <c r="L581">
        <v>3</v>
      </c>
      <c r="M581">
        <v>0</v>
      </c>
      <c r="N581">
        <v>2</v>
      </c>
      <c r="O581">
        <v>0</v>
      </c>
      <c r="P581">
        <v>1</v>
      </c>
      <c r="Q581">
        <v>0</v>
      </c>
      <c r="S581" t="str">
        <f t="shared" si="204"/>
        <v>19:27:12.000</v>
      </c>
      <c r="T581" t="str">
        <f t="shared" si="204"/>
        <v>19:27:12.000</v>
      </c>
      <c r="U581" t="str">
        <f t="shared" si="206"/>
        <v>AC3944</v>
      </c>
      <c r="V581">
        <v>0</v>
      </c>
      <c r="W581">
        <v>0</v>
      </c>
      <c r="X581">
        <v>2</v>
      </c>
      <c r="Y581">
        <v>0</v>
      </c>
      <c r="AA581">
        <v>1</v>
      </c>
      <c r="AB581">
        <v>8</v>
      </c>
      <c r="AC581">
        <v>3</v>
      </c>
      <c r="AD581">
        <v>0</v>
      </c>
      <c r="AE581">
        <v>9</v>
      </c>
      <c r="AF581" t="s">
        <v>138</v>
      </c>
      <c r="AG581">
        <v>0</v>
      </c>
      <c r="AH581">
        <v>3</v>
      </c>
      <c r="AI581">
        <v>1</v>
      </c>
      <c r="AJ581">
        <v>0</v>
      </c>
      <c r="AK581" t="s">
        <v>306</v>
      </c>
      <c r="AL581">
        <v>32.817729</v>
      </c>
      <c r="AM581" t="s">
        <v>307</v>
      </c>
      <c r="AN581">
        <v>-116.97276599999999</v>
      </c>
      <c r="AO581">
        <v>25</v>
      </c>
      <c r="AP581">
        <v>1800</v>
      </c>
      <c r="AQ581" t="s">
        <v>129</v>
      </c>
      <c r="AR581">
        <v>128</v>
      </c>
      <c r="AS581">
        <v>-12</v>
      </c>
      <c r="AT581">
        <v>1088</v>
      </c>
      <c r="BB581">
        <v>1200</v>
      </c>
      <c r="BC581">
        <v>1</v>
      </c>
      <c r="BD581" t="str">
        <f t="shared" si="207"/>
        <v xml:space="preserve">N887QR  </v>
      </c>
      <c r="BE581">
        <v>1</v>
      </c>
      <c r="BJ581">
        <v>1450</v>
      </c>
      <c r="BK581">
        <v>-350</v>
      </c>
      <c r="BL581" t="s">
        <v>163</v>
      </c>
      <c r="BM581">
        <v>1</v>
      </c>
      <c r="BN581">
        <v>1</v>
      </c>
      <c r="BO581">
        <v>1</v>
      </c>
      <c r="BP581">
        <v>0</v>
      </c>
      <c r="BS581">
        <v>0</v>
      </c>
      <c r="BT581">
        <v>0</v>
      </c>
      <c r="BU581">
        <v>0</v>
      </c>
      <c r="CE581" t="str">
        <f t="shared" si="205"/>
        <v>19:27:12.757</v>
      </c>
      <c r="CF581">
        <v>756504914</v>
      </c>
      <c r="CS581">
        <v>3</v>
      </c>
      <c r="CT581">
        <v>2</v>
      </c>
      <c r="CU581">
        <v>0</v>
      </c>
      <c r="CV581">
        <v>2</v>
      </c>
      <c r="CW581">
        <v>0</v>
      </c>
      <c r="CX581">
        <v>6</v>
      </c>
      <c r="CY581">
        <v>7</v>
      </c>
      <c r="CZ581" t="s">
        <v>131</v>
      </c>
      <c r="DA581">
        <v>300</v>
      </c>
      <c r="DB581">
        <v>0</v>
      </c>
      <c r="DC581" t="s">
        <v>176</v>
      </c>
      <c r="DD581" t="s">
        <v>177</v>
      </c>
      <c r="DG581">
        <v>5366227</v>
      </c>
      <c r="DI581">
        <v>1</v>
      </c>
      <c r="DJ581">
        <v>0</v>
      </c>
      <c r="DK581">
        <v>1</v>
      </c>
      <c r="DL581">
        <v>0</v>
      </c>
      <c r="DM581">
        <v>0</v>
      </c>
      <c r="DN581">
        <v>1</v>
      </c>
      <c r="DO581">
        <v>0</v>
      </c>
      <c r="DP581">
        <v>0</v>
      </c>
      <c r="DQ581">
        <v>0</v>
      </c>
      <c r="DR581">
        <v>0</v>
      </c>
      <c r="DS581">
        <v>0</v>
      </c>
    </row>
    <row r="582" spans="1:123" x14ac:dyDescent="0.3">
      <c r="A582" t="str">
        <f>"10/04/2022 19:27:12.979"</f>
        <v>10/04/2022 19:27:12.979</v>
      </c>
      <c r="C582" t="str">
        <f t="shared" si="199"/>
        <v>FFDDD3C0</v>
      </c>
      <c r="D582" t="s">
        <v>141</v>
      </c>
      <c r="E582">
        <v>4</v>
      </c>
      <c r="H582">
        <v>4</v>
      </c>
      <c r="I582" t="s">
        <v>142</v>
      </c>
      <c r="J582" t="s">
        <v>138</v>
      </c>
      <c r="K582">
        <v>0</v>
      </c>
      <c r="L582">
        <v>3</v>
      </c>
      <c r="M582">
        <v>0</v>
      </c>
      <c r="N582">
        <v>2</v>
      </c>
      <c r="O582">
        <v>0</v>
      </c>
      <c r="P582">
        <v>1</v>
      </c>
      <c r="Q582">
        <v>0</v>
      </c>
      <c r="S582" t="str">
        <f t="shared" si="204"/>
        <v>19:27:12.000</v>
      </c>
      <c r="T582" t="str">
        <f t="shared" si="204"/>
        <v>19:27:12.000</v>
      </c>
      <c r="U582" t="str">
        <f t="shared" si="206"/>
        <v>AC3944</v>
      </c>
      <c r="V582">
        <v>0</v>
      </c>
      <c r="W582">
        <v>0</v>
      </c>
      <c r="X582">
        <v>2</v>
      </c>
      <c r="Y582">
        <v>0</v>
      </c>
      <c r="AA582">
        <v>1</v>
      </c>
      <c r="AB582">
        <v>8</v>
      </c>
      <c r="AC582">
        <v>3</v>
      </c>
      <c r="AD582">
        <v>0</v>
      </c>
      <c r="AE582">
        <v>9</v>
      </c>
      <c r="AF582" t="s">
        <v>138</v>
      </c>
      <c r="AG582">
        <v>0</v>
      </c>
      <c r="AH582">
        <v>3</v>
      </c>
      <c r="AI582">
        <v>1</v>
      </c>
      <c r="AJ582">
        <v>0</v>
      </c>
      <c r="AK582" t="s">
        <v>306</v>
      </c>
      <c r="AL582">
        <v>32.817729</v>
      </c>
      <c r="AM582" t="s">
        <v>307</v>
      </c>
      <c r="AN582">
        <v>-116.97276599999999</v>
      </c>
      <c r="AO582">
        <v>25</v>
      </c>
      <c r="AP582">
        <v>1800</v>
      </c>
      <c r="AQ582" t="s">
        <v>129</v>
      </c>
      <c r="AR582">
        <v>128</v>
      </c>
      <c r="AS582">
        <v>-12</v>
      </c>
      <c r="AT582">
        <v>1088</v>
      </c>
      <c r="BB582">
        <v>1200</v>
      </c>
      <c r="BC582">
        <v>1</v>
      </c>
      <c r="BD582" t="str">
        <f t="shared" si="207"/>
        <v xml:space="preserve">N887QR  </v>
      </c>
      <c r="BE582">
        <v>1</v>
      </c>
      <c r="BJ582">
        <v>1450</v>
      </c>
      <c r="BK582">
        <v>-350</v>
      </c>
      <c r="BL582" t="s">
        <v>163</v>
      </c>
      <c r="BM582">
        <v>1</v>
      </c>
      <c r="BN582">
        <v>1</v>
      </c>
      <c r="BO582">
        <v>1</v>
      </c>
      <c r="BP582">
        <v>0</v>
      </c>
      <c r="BS582">
        <v>0.04</v>
      </c>
      <c r="BT582">
        <v>0</v>
      </c>
      <c r="BU582">
        <v>0</v>
      </c>
      <c r="CE582" t="str">
        <f t="shared" si="205"/>
        <v>19:27:12.757</v>
      </c>
      <c r="CF582">
        <v>756504914</v>
      </c>
      <c r="CS582">
        <v>3</v>
      </c>
      <c r="CT582">
        <v>2</v>
      </c>
      <c r="CU582">
        <v>0</v>
      </c>
      <c r="CV582">
        <v>2</v>
      </c>
      <c r="CW582">
        <v>0</v>
      </c>
      <c r="CX582">
        <v>6</v>
      </c>
      <c r="CY582">
        <v>7</v>
      </c>
      <c r="CZ582" t="s">
        <v>131</v>
      </c>
      <c r="DA582">
        <v>300</v>
      </c>
      <c r="DB582">
        <v>0</v>
      </c>
      <c r="DC582" t="s">
        <v>176</v>
      </c>
      <c r="DD582" t="s">
        <v>177</v>
      </c>
      <c r="DG582">
        <v>5366227</v>
      </c>
      <c r="DI582">
        <v>1</v>
      </c>
      <c r="DJ582">
        <v>0</v>
      </c>
      <c r="DK582">
        <v>1</v>
      </c>
      <c r="DL582">
        <v>0</v>
      </c>
      <c r="DM582">
        <v>0</v>
      </c>
      <c r="DN582">
        <v>1</v>
      </c>
      <c r="DO582">
        <v>0</v>
      </c>
      <c r="DP582">
        <v>0</v>
      </c>
      <c r="DQ582">
        <v>0</v>
      </c>
      <c r="DR582">
        <v>0</v>
      </c>
      <c r="DS582">
        <v>0</v>
      </c>
    </row>
    <row r="583" spans="1:123" x14ac:dyDescent="0.3">
      <c r="A583" t="str">
        <f>"10/04/2022 19:27:12.979"</f>
        <v>10/04/2022 19:27:12.979</v>
      </c>
      <c r="C583" t="str">
        <f t="shared" si="199"/>
        <v>FFDDD3C0</v>
      </c>
      <c r="D583" t="s">
        <v>136</v>
      </c>
      <c r="E583">
        <v>8</v>
      </c>
      <c r="H583">
        <v>225</v>
      </c>
      <c r="I583" t="s">
        <v>137</v>
      </c>
      <c r="J583" t="s">
        <v>138</v>
      </c>
      <c r="K583">
        <v>0</v>
      </c>
      <c r="L583">
        <v>3</v>
      </c>
      <c r="M583">
        <v>0</v>
      </c>
      <c r="N583">
        <v>2</v>
      </c>
      <c r="O583">
        <v>0</v>
      </c>
      <c r="P583">
        <v>1</v>
      </c>
      <c r="Q583">
        <v>0</v>
      </c>
      <c r="S583" t="str">
        <f t="shared" si="204"/>
        <v>19:27:12.000</v>
      </c>
      <c r="T583" t="str">
        <f t="shared" si="204"/>
        <v>19:27:12.000</v>
      </c>
      <c r="U583" t="str">
        <f t="shared" si="206"/>
        <v>AC3944</v>
      </c>
      <c r="V583">
        <v>0</v>
      </c>
      <c r="W583">
        <v>0</v>
      </c>
      <c r="X583">
        <v>2</v>
      </c>
      <c r="Y583">
        <v>0</v>
      </c>
      <c r="AA583">
        <v>1</v>
      </c>
      <c r="AB583">
        <v>8</v>
      </c>
      <c r="AC583">
        <v>3</v>
      </c>
      <c r="AD583">
        <v>0</v>
      </c>
      <c r="AE583">
        <v>9</v>
      </c>
      <c r="AF583" t="s">
        <v>138</v>
      </c>
      <c r="AG583">
        <v>0</v>
      </c>
      <c r="AH583">
        <v>3</v>
      </c>
      <c r="AI583">
        <v>1</v>
      </c>
      <c r="AJ583">
        <v>0</v>
      </c>
      <c r="AK583" t="s">
        <v>306</v>
      </c>
      <c r="AL583">
        <v>32.817729</v>
      </c>
      <c r="AM583" t="s">
        <v>307</v>
      </c>
      <c r="AN583">
        <v>-116.97276599999999</v>
      </c>
      <c r="AO583">
        <v>25</v>
      </c>
      <c r="AP583">
        <v>1800</v>
      </c>
      <c r="AQ583" t="s">
        <v>129</v>
      </c>
      <c r="AR583">
        <v>128</v>
      </c>
      <c r="AS583">
        <v>-12</v>
      </c>
      <c r="AT583">
        <v>1088</v>
      </c>
      <c r="BB583">
        <v>1200</v>
      </c>
      <c r="BC583">
        <v>1</v>
      </c>
      <c r="BD583" t="str">
        <f t="shared" si="207"/>
        <v xml:space="preserve">N887QR  </v>
      </c>
      <c r="BE583">
        <v>1</v>
      </c>
      <c r="BJ583">
        <v>1450</v>
      </c>
      <c r="BK583">
        <v>-350</v>
      </c>
      <c r="BL583" t="s">
        <v>163</v>
      </c>
      <c r="BM583">
        <v>1</v>
      </c>
      <c r="BN583">
        <v>1</v>
      </c>
      <c r="BO583">
        <v>1</v>
      </c>
      <c r="BP583">
        <v>0</v>
      </c>
      <c r="BS583">
        <v>0.04</v>
      </c>
      <c r="BT583">
        <v>0</v>
      </c>
      <c r="BU583">
        <v>0</v>
      </c>
      <c r="CE583" t="str">
        <f t="shared" si="205"/>
        <v>19:27:12.757</v>
      </c>
      <c r="CF583">
        <v>756504914</v>
      </c>
      <c r="CS583">
        <v>3</v>
      </c>
      <c r="CT583">
        <v>2</v>
      </c>
      <c r="CU583">
        <v>0</v>
      </c>
      <c r="CV583">
        <v>2</v>
      </c>
      <c r="CW583">
        <v>0</v>
      </c>
      <c r="CX583">
        <v>6</v>
      </c>
      <c r="CY583">
        <v>7</v>
      </c>
      <c r="CZ583" t="s">
        <v>131</v>
      </c>
      <c r="DA583">
        <v>300</v>
      </c>
      <c r="DB583">
        <v>0</v>
      </c>
      <c r="DC583" t="s">
        <v>176</v>
      </c>
      <c r="DD583" t="s">
        <v>177</v>
      </c>
      <c r="DG583">
        <v>5366227</v>
      </c>
      <c r="DI583">
        <v>1</v>
      </c>
      <c r="DJ583">
        <v>0</v>
      </c>
      <c r="DK583">
        <v>1</v>
      </c>
      <c r="DL583">
        <v>0</v>
      </c>
      <c r="DM583">
        <v>0</v>
      </c>
      <c r="DN583">
        <v>1</v>
      </c>
      <c r="DO583">
        <v>0</v>
      </c>
      <c r="DP583">
        <v>0</v>
      </c>
      <c r="DQ583">
        <v>0</v>
      </c>
      <c r="DR583">
        <v>0</v>
      </c>
      <c r="DS583">
        <v>0</v>
      </c>
    </row>
    <row r="584" spans="1:123" x14ac:dyDescent="0.3">
      <c r="A584" t="str">
        <f>"10/04/2022 19:27:14.494"</f>
        <v>10/04/2022 19:27:14.494</v>
      </c>
      <c r="C584" t="str">
        <f t="shared" si="199"/>
        <v>FFDDD3C0</v>
      </c>
      <c r="D584" t="s">
        <v>141</v>
      </c>
      <c r="E584">
        <v>4</v>
      </c>
      <c r="H584">
        <v>4</v>
      </c>
      <c r="I584" t="s">
        <v>142</v>
      </c>
      <c r="J584" t="s">
        <v>138</v>
      </c>
      <c r="K584">
        <v>0</v>
      </c>
      <c r="L584">
        <v>3</v>
      </c>
      <c r="M584">
        <v>0</v>
      </c>
      <c r="N584">
        <v>2</v>
      </c>
      <c r="O584">
        <v>0</v>
      </c>
      <c r="P584">
        <v>1</v>
      </c>
      <c r="Q584">
        <v>0</v>
      </c>
      <c r="S584" t="str">
        <f t="shared" ref="S584:T590" si="208">"19:27:14.000"</f>
        <v>19:27:14.000</v>
      </c>
      <c r="T584" t="str">
        <f t="shared" si="208"/>
        <v>19:27:14.000</v>
      </c>
      <c r="U584" t="str">
        <f t="shared" si="206"/>
        <v>AC3944</v>
      </c>
      <c r="V584">
        <v>0</v>
      </c>
      <c r="W584">
        <v>0</v>
      </c>
      <c r="X584">
        <v>2</v>
      </c>
      <c r="Y584">
        <v>0</v>
      </c>
      <c r="AA584">
        <v>1</v>
      </c>
      <c r="AB584">
        <v>8</v>
      </c>
      <c r="AC584">
        <v>3</v>
      </c>
      <c r="AD584">
        <v>0</v>
      </c>
      <c r="AE584">
        <v>9</v>
      </c>
      <c r="AF584" t="s">
        <v>138</v>
      </c>
      <c r="AG584">
        <v>0</v>
      </c>
      <c r="AH584">
        <v>3</v>
      </c>
      <c r="AI584">
        <v>1</v>
      </c>
      <c r="AJ584">
        <v>0</v>
      </c>
      <c r="AK584" t="s">
        <v>308</v>
      </c>
      <c r="AL584">
        <v>32.817664000000001</v>
      </c>
      <c r="AM584" t="s">
        <v>309</v>
      </c>
      <c r="AN584">
        <v>-116.97220799999999</v>
      </c>
      <c r="AO584">
        <v>25</v>
      </c>
      <c r="AP584">
        <v>1800</v>
      </c>
      <c r="AQ584" t="s">
        <v>129</v>
      </c>
      <c r="AR584">
        <v>125</v>
      </c>
      <c r="AS584">
        <v>-14</v>
      </c>
      <c r="AT584">
        <v>1216</v>
      </c>
      <c r="BB584">
        <v>1200</v>
      </c>
      <c r="BC584">
        <v>1</v>
      </c>
      <c r="BD584" t="str">
        <f t="shared" si="207"/>
        <v xml:space="preserve">N887QR  </v>
      </c>
      <c r="BE584">
        <v>1</v>
      </c>
      <c r="BJ584">
        <v>1450</v>
      </c>
      <c r="BK584">
        <v>-350</v>
      </c>
      <c r="BL584" t="s">
        <v>163</v>
      </c>
      <c r="BM584">
        <v>1</v>
      </c>
      <c r="BN584">
        <v>1</v>
      </c>
      <c r="BO584">
        <v>1</v>
      </c>
      <c r="BP584">
        <v>0</v>
      </c>
      <c r="BS584">
        <v>0</v>
      </c>
      <c r="BT584">
        <v>0</v>
      </c>
      <c r="BU584">
        <v>0</v>
      </c>
      <c r="CE584" t="str">
        <f t="shared" ref="CE584:CE590" si="209">"19:27:14.276"</f>
        <v>19:27:14.276</v>
      </c>
      <c r="CF584">
        <v>275509766</v>
      </c>
      <c r="CS584">
        <v>3</v>
      </c>
      <c r="CT584">
        <v>2</v>
      </c>
      <c r="CU584">
        <v>0</v>
      </c>
      <c r="CV584">
        <v>2</v>
      </c>
      <c r="CW584">
        <v>0</v>
      </c>
      <c r="CX584">
        <v>6</v>
      </c>
      <c r="CY584">
        <v>7</v>
      </c>
      <c r="CZ584" t="s">
        <v>131</v>
      </c>
      <c r="DA584">
        <v>300</v>
      </c>
      <c r="DB584">
        <v>0</v>
      </c>
      <c r="DC584" t="s">
        <v>176</v>
      </c>
      <c r="DD584" t="s">
        <v>177</v>
      </c>
      <c r="DG584">
        <v>5366481</v>
      </c>
      <c r="DI584">
        <v>1</v>
      </c>
      <c r="DJ584">
        <v>0</v>
      </c>
      <c r="DK584">
        <v>0</v>
      </c>
      <c r="DL584">
        <v>0</v>
      </c>
      <c r="DM584">
        <v>0</v>
      </c>
      <c r="DN584">
        <v>1</v>
      </c>
      <c r="DO584">
        <v>0</v>
      </c>
      <c r="DP584">
        <v>0</v>
      </c>
      <c r="DQ584">
        <v>0</v>
      </c>
      <c r="DR584">
        <v>0</v>
      </c>
      <c r="DS584">
        <v>0</v>
      </c>
    </row>
    <row r="585" spans="1:123" x14ac:dyDescent="0.3">
      <c r="A585" t="str">
        <f>"10/04/2022 19:27:14.494"</f>
        <v>10/04/2022 19:27:14.494</v>
      </c>
      <c r="C585" t="str">
        <f t="shared" si="199"/>
        <v>FFDDD3C0</v>
      </c>
      <c r="D585" t="s">
        <v>136</v>
      </c>
      <c r="E585">
        <v>8</v>
      </c>
      <c r="H585">
        <v>225</v>
      </c>
      <c r="I585" t="s">
        <v>137</v>
      </c>
      <c r="J585" t="s">
        <v>138</v>
      </c>
      <c r="K585">
        <v>0</v>
      </c>
      <c r="L585">
        <v>3</v>
      </c>
      <c r="M585">
        <v>0</v>
      </c>
      <c r="N585">
        <v>2</v>
      </c>
      <c r="O585">
        <v>0</v>
      </c>
      <c r="P585">
        <v>1</v>
      </c>
      <c r="Q585">
        <v>0</v>
      </c>
      <c r="S585" t="str">
        <f t="shared" si="208"/>
        <v>19:27:14.000</v>
      </c>
      <c r="T585" t="str">
        <f t="shared" si="208"/>
        <v>19:27:14.000</v>
      </c>
      <c r="U585" t="str">
        <f t="shared" si="206"/>
        <v>AC3944</v>
      </c>
      <c r="V585">
        <v>0</v>
      </c>
      <c r="W585">
        <v>0</v>
      </c>
      <c r="X585">
        <v>2</v>
      </c>
      <c r="Y585">
        <v>0</v>
      </c>
      <c r="AA585">
        <v>1</v>
      </c>
      <c r="AB585">
        <v>8</v>
      </c>
      <c r="AC585">
        <v>3</v>
      </c>
      <c r="AD585">
        <v>0</v>
      </c>
      <c r="AE585">
        <v>9</v>
      </c>
      <c r="AF585" t="s">
        <v>138</v>
      </c>
      <c r="AG585">
        <v>0</v>
      </c>
      <c r="AH585">
        <v>3</v>
      </c>
      <c r="AI585">
        <v>1</v>
      </c>
      <c r="AJ585">
        <v>0</v>
      </c>
      <c r="AK585" t="s">
        <v>308</v>
      </c>
      <c r="AL585">
        <v>32.817664000000001</v>
      </c>
      <c r="AM585" t="s">
        <v>309</v>
      </c>
      <c r="AN585">
        <v>-116.97220799999999</v>
      </c>
      <c r="AO585">
        <v>25</v>
      </c>
      <c r="AP585">
        <v>1800</v>
      </c>
      <c r="AQ585" t="s">
        <v>129</v>
      </c>
      <c r="AR585">
        <v>125</v>
      </c>
      <c r="AS585">
        <v>-14</v>
      </c>
      <c r="AT585">
        <v>1216</v>
      </c>
      <c r="BB585">
        <v>1200</v>
      </c>
      <c r="BC585">
        <v>1</v>
      </c>
      <c r="BD585" t="str">
        <f t="shared" si="207"/>
        <v xml:space="preserve">N887QR  </v>
      </c>
      <c r="BE585">
        <v>1</v>
      </c>
      <c r="BJ585">
        <v>1450</v>
      </c>
      <c r="BK585">
        <v>-350</v>
      </c>
      <c r="BL585" t="s">
        <v>163</v>
      </c>
      <c r="BM585">
        <v>1</v>
      </c>
      <c r="BN585">
        <v>1</v>
      </c>
      <c r="BO585">
        <v>1</v>
      </c>
      <c r="BP585">
        <v>0</v>
      </c>
      <c r="BS585">
        <v>0</v>
      </c>
      <c r="BT585">
        <v>0</v>
      </c>
      <c r="BU585">
        <v>0</v>
      </c>
      <c r="CE585" t="str">
        <f t="shared" si="209"/>
        <v>19:27:14.276</v>
      </c>
      <c r="CF585">
        <v>275509766</v>
      </c>
      <c r="CS585">
        <v>3</v>
      </c>
      <c r="CT585">
        <v>2</v>
      </c>
      <c r="CU585">
        <v>0</v>
      </c>
      <c r="CV585">
        <v>2</v>
      </c>
      <c r="CW585">
        <v>0</v>
      </c>
      <c r="CX585">
        <v>6</v>
      </c>
      <c r="CY585">
        <v>7</v>
      </c>
      <c r="CZ585" t="s">
        <v>131</v>
      </c>
      <c r="DA585">
        <v>300</v>
      </c>
      <c r="DB585">
        <v>0</v>
      </c>
      <c r="DC585" t="s">
        <v>176</v>
      </c>
      <c r="DD585" t="s">
        <v>177</v>
      </c>
      <c r="DG585">
        <v>5366481</v>
      </c>
      <c r="DI585">
        <v>1</v>
      </c>
      <c r="DJ585">
        <v>0</v>
      </c>
      <c r="DK585">
        <v>1</v>
      </c>
      <c r="DL585">
        <v>0</v>
      </c>
      <c r="DM585">
        <v>0</v>
      </c>
      <c r="DN585">
        <v>1</v>
      </c>
      <c r="DO585">
        <v>0</v>
      </c>
      <c r="DP585">
        <v>0</v>
      </c>
      <c r="DQ585">
        <v>0</v>
      </c>
      <c r="DR585">
        <v>0</v>
      </c>
      <c r="DS585">
        <v>0</v>
      </c>
    </row>
    <row r="586" spans="1:123" x14ac:dyDescent="0.3">
      <c r="A586" t="str">
        <f>"10/04/2022 19:27:14.510"</f>
        <v>10/04/2022 19:27:14.510</v>
      </c>
      <c r="C586" t="str">
        <f t="shared" si="199"/>
        <v>FFDDD3C0</v>
      </c>
      <c r="D586" t="s">
        <v>141</v>
      </c>
      <c r="E586">
        <v>3</v>
      </c>
      <c r="H586">
        <v>3</v>
      </c>
      <c r="I586" t="s">
        <v>146</v>
      </c>
      <c r="J586" t="s">
        <v>138</v>
      </c>
      <c r="K586">
        <v>0</v>
      </c>
      <c r="L586">
        <v>3</v>
      </c>
      <c r="M586">
        <v>0</v>
      </c>
      <c r="N586">
        <v>2</v>
      </c>
      <c r="O586">
        <v>0</v>
      </c>
      <c r="P586">
        <v>1</v>
      </c>
      <c r="Q586">
        <v>0</v>
      </c>
      <c r="S586" t="str">
        <f t="shared" si="208"/>
        <v>19:27:14.000</v>
      </c>
      <c r="T586" t="str">
        <f t="shared" si="208"/>
        <v>19:27:14.000</v>
      </c>
      <c r="U586" t="str">
        <f t="shared" si="206"/>
        <v>AC3944</v>
      </c>
      <c r="V586">
        <v>0</v>
      </c>
      <c r="W586">
        <v>0</v>
      </c>
      <c r="X586">
        <v>2</v>
      </c>
      <c r="Y586">
        <v>0</v>
      </c>
      <c r="AA586">
        <v>1</v>
      </c>
      <c r="AB586">
        <v>8</v>
      </c>
      <c r="AC586">
        <v>3</v>
      </c>
      <c r="AD586">
        <v>0</v>
      </c>
      <c r="AE586">
        <v>9</v>
      </c>
      <c r="AF586" t="s">
        <v>138</v>
      </c>
      <c r="AG586">
        <v>0</v>
      </c>
      <c r="AH586">
        <v>3</v>
      </c>
      <c r="AI586">
        <v>1</v>
      </c>
      <c r="AJ586">
        <v>0</v>
      </c>
      <c r="AK586" t="s">
        <v>308</v>
      </c>
      <c r="AL586">
        <v>32.817664000000001</v>
      </c>
      <c r="AM586" t="s">
        <v>309</v>
      </c>
      <c r="AN586">
        <v>-116.97220799999999</v>
      </c>
      <c r="AO586">
        <v>25</v>
      </c>
      <c r="AP586">
        <v>1800</v>
      </c>
      <c r="AQ586" t="s">
        <v>129</v>
      </c>
      <c r="AR586">
        <v>125</v>
      </c>
      <c r="AS586">
        <v>-14</v>
      </c>
      <c r="AT586">
        <v>1216</v>
      </c>
      <c r="BB586">
        <v>1200</v>
      </c>
      <c r="BC586">
        <v>1</v>
      </c>
      <c r="BD586" t="str">
        <f t="shared" si="207"/>
        <v xml:space="preserve">N887QR  </v>
      </c>
      <c r="BE586">
        <v>1</v>
      </c>
      <c r="BJ586">
        <v>1450</v>
      </c>
      <c r="BK586">
        <v>-350</v>
      </c>
      <c r="BL586" t="s">
        <v>163</v>
      </c>
      <c r="BM586">
        <v>1</v>
      </c>
      <c r="BN586">
        <v>1</v>
      </c>
      <c r="BO586">
        <v>1</v>
      </c>
      <c r="BP586">
        <v>0</v>
      </c>
      <c r="BS586">
        <v>0</v>
      </c>
      <c r="BT586">
        <v>0</v>
      </c>
      <c r="BU586">
        <v>0</v>
      </c>
      <c r="CE586" t="str">
        <f t="shared" si="209"/>
        <v>19:27:14.276</v>
      </c>
      <c r="CF586">
        <v>275509766</v>
      </c>
      <c r="CS586">
        <v>3</v>
      </c>
      <c r="CT586">
        <v>2</v>
      </c>
      <c r="CU586">
        <v>0</v>
      </c>
      <c r="CV586">
        <v>2</v>
      </c>
      <c r="CW586">
        <v>0</v>
      </c>
      <c r="CX586">
        <v>6</v>
      </c>
      <c r="CY586">
        <v>7</v>
      </c>
      <c r="CZ586" t="s">
        <v>131</v>
      </c>
      <c r="DA586">
        <v>300</v>
      </c>
      <c r="DB586">
        <v>0</v>
      </c>
      <c r="DC586" t="s">
        <v>176</v>
      </c>
      <c r="DD586" t="s">
        <v>177</v>
      </c>
      <c r="DG586">
        <v>5366481</v>
      </c>
      <c r="DI586">
        <v>1</v>
      </c>
      <c r="DJ586">
        <v>0</v>
      </c>
      <c r="DK586">
        <v>1</v>
      </c>
      <c r="DL586">
        <v>0</v>
      </c>
      <c r="DM586">
        <v>0</v>
      </c>
      <c r="DN586">
        <v>1</v>
      </c>
      <c r="DO586">
        <v>0</v>
      </c>
      <c r="DP586">
        <v>0</v>
      </c>
      <c r="DQ586">
        <v>0</v>
      </c>
      <c r="DR586">
        <v>0</v>
      </c>
      <c r="DS586">
        <v>0</v>
      </c>
    </row>
    <row r="587" spans="1:123" x14ac:dyDescent="0.3">
      <c r="A587" t="str">
        <f>"10/04/2022 19:27:14.510"</f>
        <v>10/04/2022 19:27:14.510</v>
      </c>
      <c r="C587" t="str">
        <f t="shared" si="199"/>
        <v>FFDDD3C0</v>
      </c>
      <c r="D587" t="s">
        <v>147</v>
      </c>
      <c r="E587">
        <v>3</v>
      </c>
      <c r="H587">
        <v>166</v>
      </c>
      <c r="I587" t="s">
        <v>144</v>
      </c>
      <c r="J587" t="s">
        <v>148</v>
      </c>
      <c r="K587">
        <v>0</v>
      </c>
      <c r="L587">
        <v>3</v>
      </c>
      <c r="M587">
        <v>0</v>
      </c>
      <c r="N587">
        <v>2</v>
      </c>
      <c r="O587">
        <v>0</v>
      </c>
      <c r="P587">
        <v>1</v>
      </c>
      <c r="Q587">
        <v>0</v>
      </c>
      <c r="S587" t="str">
        <f t="shared" si="208"/>
        <v>19:27:14.000</v>
      </c>
      <c r="T587" t="str">
        <f t="shared" si="208"/>
        <v>19:27:14.000</v>
      </c>
      <c r="U587" t="str">
        <f t="shared" si="206"/>
        <v>AC3944</v>
      </c>
      <c r="V587">
        <v>0</v>
      </c>
      <c r="W587">
        <v>0</v>
      </c>
      <c r="X587">
        <v>2</v>
      </c>
      <c r="Y587">
        <v>0</v>
      </c>
      <c r="AA587">
        <v>1</v>
      </c>
      <c r="AB587">
        <v>8</v>
      </c>
      <c r="AC587">
        <v>3</v>
      </c>
      <c r="AD587">
        <v>0</v>
      </c>
      <c r="AE587">
        <v>9</v>
      </c>
      <c r="AF587" t="s">
        <v>138</v>
      </c>
      <c r="AG587">
        <v>0</v>
      </c>
      <c r="AH587">
        <v>3</v>
      </c>
      <c r="AI587">
        <v>1</v>
      </c>
      <c r="AJ587">
        <v>0</v>
      </c>
      <c r="AK587" t="s">
        <v>308</v>
      </c>
      <c r="AL587">
        <v>32.817664000000001</v>
      </c>
      <c r="AM587" t="s">
        <v>309</v>
      </c>
      <c r="AN587">
        <v>-116.97220799999999</v>
      </c>
      <c r="AO587">
        <v>25</v>
      </c>
      <c r="AP587">
        <v>1800</v>
      </c>
      <c r="AQ587" t="s">
        <v>129</v>
      </c>
      <c r="AR587">
        <v>125</v>
      </c>
      <c r="AS587">
        <v>-14</v>
      </c>
      <c r="AT587">
        <v>1216</v>
      </c>
      <c r="BB587">
        <v>1200</v>
      </c>
      <c r="BC587">
        <v>1</v>
      </c>
      <c r="BD587" t="str">
        <f t="shared" si="207"/>
        <v xml:space="preserve">N887QR  </v>
      </c>
      <c r="BE587">
        <v>1</v>
      </c>
      <c r="BJ587">
        <v>1450</v>
      </c>
      <c r="BK587">
        <v>-350</v>
      </c>
      <c r="BL587" t="s">
        <v>163</v>
      </c>
      <c r="BM587">
        <v>1</v>
      </c>
      <c r="BN587">
        <v>1</v>
      </c>
      <c r="BO587">
        <v>1</v>
      </c>
      <c r="BP587">
        <v>0</v>
      </c>
      <c r="BS587">
        <v>0</v>
      </c>
      <c r="BT587">
        <v>0</v>
      </c>
      <c r="BU587">
        <v>0</v>
      </c>
      <c r="CE587" t="str">
        <f t="shared" si="209"/>
        <v>19:27:14.276</v>
      </c>
      <c r="CF587">
        <v>275509766</v>
      </c>
      <c r="CS587">
        <v>3</v>
      </c>
      <c r="CT587">
        <v>2</v>
      </c>
      <c r="CU587">
        <v>0</v>
      </c>
      <c r="CV587">
        <v>2</v>
      </c>
      <c r="CW587">
        <v>0</v>
      </c>
      <c r="CX587">
        <v>6</v>
      </c>
      <c r="CY587">
        <v>7</v>
      </c>
      <c r="CZ587" t="s">
        <v>131</v>
      </c>
      <c r="DA587">
        <v>300</v>
      </c>
      <c r="DB587">
        <v>0</v>
      </c>
      <c r="DC587" t="s">
        <v>176</v>
      </c>
      <c r="DD587" t="s">
        <v>177</v>
      </c>
      <c r="DG587">
        <v>5366481</v>
      </c>
      <c r="DI587">
        <v>1</v>
      </c>
      <c r="DJ587">
        <v>0</v>
      </c>
      <c r="DK587">
        <v>1</v>
      </c>
      <c r="DL587">
        <v>0</v>
      </c>
      <c r="DM587">
        <v>0</v>
      </c>
      <c r="DN587">
        <v>1</v>
      </c>
      <c r="DO587">
        <v>0</v>
      </c>
      <c r="DP587">
        <v>0</v>
      </c>
      <c r="DQ587">
        <v>0</v>
      </c>
      <c r="DR587">
        <v>0</v>
      </c>
      <c r="DS587">
        <v>0</v>
      </c>
    </row>
    <row r="588" spans="1:123" x14ac:dyDescent="0.3">
      <c r="A588" t="str">
        <f>"10/04/2022 19:27:14.494"</f>
        <v>10/04/2022 19:27:14.494</v>
      </c>
      <c r="C588" t="str">
        <f t="shared" si="199"/>
        <v>FFDDD3C0</v>
      </c>
      <c r="D588" t="s">
        <v>134</v>
      </c>
      <c r="E588">
        <v>15</v>
      </c>
      <c r="J588" t="s">
        <v>135</v>
      </c>
      <c r="K588">
        <v>0</v>
      </c>
      <c r="L588">
        <v>3</v>
      </c>
      <c r="M588">
        <v>0</v>
      </c>
      <c r="N588">
        <v>2</v>
      </c>
      <c r="O588">
        <v>0</v>
      </c>
      <c r="P588">
        <v>1</v>
      </c>
      <c r="Q588">
        <v>0</v>
      </c>
      <c r="S588" t="str">
        <f t="shared" si="208"/>
        <v>19:27:14.000</v>
      </c>
      <c r="T588" t="str">
        <f t="shared" si="208"/>
        <v>19:27:14.000</v>
      </c>
      <c r="U588" t="str">
        <f t="shared" si="206"/>
        <v>AC3944</v>
      </c>
      <c r="V588">
        <v>0</v>
      </c>
      <c r="W588">
        <v>0</v>
      </c>
      <c r="X588">
        <v>2</v>
      </c>
      <c r="Y588">
        <v>0</v>
      </c>
      <c r="AA588">
        <v>1</v>
      </c>
      <c r="AB588">
        <v>8</v>
      </c>
      <c r="AC588">
        <v>3</v>
      </c>
      <c r="AD588">
        <v>0</v>
      </c>
      <c r="AE588">
        <v>9</v>
      </c>
      <c r="AF588" t="s">
        <v>138</v>
      </c>
      <c r="AG588">
        <v>0</v>
      </c>
      <c r="AH588">
        <v>3</v>
      </c>
      <c r="AI588">
        <v>1</v>
      </c>
      <c r="AJ588">
        <v>0</v>
      </c>
      <c r="AK588" t="s">
        <v>308</v>
      </c>
      <c r="AL588">
        <v>32.817664000000001</v>
      </c>
      <c r="AM588" t="s">
        <v>309</v>
      </c>
      <c r="AN588">
        <v>-116.97220799999999</v>
      </c>
      <c r="AO588">
        <v>25</v>
      </c>
      <c r="AP588">
        <v>1800</v>
      </c>
      <c r="AQ588" t="s">
        <v>129</v>
      </c>
      <c r="AR588">
        <v>125</v>
      </c>
      <c r="AS588">
        <v>-14</v>
      </c>
      <c r="AT588">
        <v>1216</v>
      </c>
      <c r="BB588">
        <v>1200</v>
      </c>
      <c r="BC588">
        <v>1</v>
      </c>
      <c r="BD588" t="str">
        <f t="shared" si="207"/>
        <v xml:space="preserve">N887QR  </v>
      </c>
      <c r="BE588">
        <v>1</v>
      </c>
      <c r="BJ588">
        <v>1450</v>
      </c>
      <c r="BK588">
        <v>-350</v>
      </c>
      <c r="BL588" t="s">
        <v>163</v>
      </c>
      <c r="BM588">
        <v>1</v>
      </c>
      <c r="BN588">
        <v>1</v>
      </c>
      <c r="BO588">
        <v>1</v>
      </c>
      <c r="BP588">
        <v>0</v>
      </c>
      <c r="BS588">
        <v>0</v>
      </c>
      <c r="BT588">
        <v>0</v>
      </c>
      <c r="BU588">
        <v>0</v>
      </c>
      <c r="CE588" t="str">
        <f t="shared" si="209"/>
        <v>19:27:14.276</v>
      </c>
      <c r="CF588">
        <v>275509766</v>
      </c>
      <c r="CS588">
        <v>3</v>
      </c>
      <c r="CT588">
        <v>2</v>
      </c>
      <c r="CU588">
        <v>0</v>
      </c>
      <c r="CV588">
        <v>2</v>
      </c>
      <c r="CW588">
        <v>0</v>
      </c>
      <c r="CX588">
        <v>6</v>
      </c>
      <c r="CY588">
        <v>7</v>
      </c>
      <c r="CZ588" t="s">
        <v>131</v>
      </c>
      <c r="DA588">
        <v>300</v>
      </c>
      <c r="DB588">
        <v>0</v>
      </c>
      <c r="DC588" t="s">
        <v>176</v>
      </c>
      <c r="DD588" t="s">
        <v>177</v>
      </c>
      <c r="DG588">
        <v>5366481</v>
      </c>
      <c r="DI588">
        <v>1</v>
      </c>
      <c r="DJ588">
        <v>0</v>
      </c>
      <c r="DK588">
        <v>1</v>
      </c>
      <c r="DL588">
        <v>0</v>
      </c>
      <c r="DM588">
        <v>0</v>
      </c>
      <c r="DN588">
        <v>1</v>
      </c>
      <c r="DO588">
        <v>0</v>
      </c>
      <c r="DP588">
        <v>0</v>
      </c>
      <c r="DQ588">
        <v>0</v>
      </c>
      <c r="DR588">
        <v>0</v>
      </c>
      <c r="DS588">
        <v>0</v>
      </c>
    </row>
    <row r="589" spans="1:123" x14ac:dyDescent="0.3">
      <c r="A589" t="str">
        <f>"10/04/2022 19:27:14.526"</f>
        <v>10/04/2022 19:27:14.526</v>
      </c>
      <c r="C589" t="str">
        <f t="shared" si="199"/>
        <v>FFDDD3C0</v>
      </c>
      <c r="D589" t="s">
        <v>143</v>
      </c>
      <c r="E589">
        <v>20</v>
      </c>
      <c r="F589">
        <v>1020</v>
      </c>
      <c r="G589" t="s">
        <v>144</v>
      </c>
      <c r="J589" t="s">
        <v>145</v>
      </c>
      <c r="K589">
        <v>0</v>
      </c>
      <c r="L589">
        <v>3</v>
      </c>
      <c r="M589">
        <v>0</v>
      </c>
      <c r="N589">
        <v>2</v>
      </c>
      <c r="O589">
        <v>0</v>
      </c>
      <c r="P589">
        <v>1</v>
      </c>
      <c r="Q589">
        <v>0</v>
      </c>
      <c r="S589" t="str">
        <f t="shared" si="208"/>
        <v>19:27:14.000</v>
      </c>
      <c r="T589" t="str">
        <f t="shared" si="208"/>
        <v>19:27:14.000</v>
      </c>
      <c r="U589" t="str">
        <f t="shared" si="206"/>
        <v>AC3944</v>
      </c>
      <c r="V589">
        <v>0</v>
      </c>
      <c r="W589">
        <v>0</v>
      </c>
      <c r="X589">
        <v>2</v>
      </c>
      <c r="Y589">
        <v>0</v>
      </c>
      <c r="AA589">
        <v>1</v>
      </c>
      <c r="AB589">
        <v>8</v>
      </c>
      <c r="AC589">
        <v>3</v>
      </c>
      <c r="AD589">
        <v>0</v>
      </c>
      <c r="AE589">
        <v>9</v>
      </c>
      <c r="AF589" t="s">
        <v>138</v>
      </c>
      <c r="AG589">
        <v>0</v>
      </c>
      <c r="AH589">
        <v>3</v>
      </c>
      <c r="AI589">
        <v>1</v>
      </c>
      <c r="AJ589">
        <v>0</v>
      </c>
      <c r="AK589" t="s">
        <v>308</v>
      </c>
      <c r="AL589">
        <v>32.817664000000001</v>
      </c>
      <c r="AM589" t="s">
        <v>309</v>
      </c>
      <c r="AN589">
        <v>-116.97220799999999</v>
      </c>
      <c r="AO589">
        <v>25</v>
      </c>
      <c r="AP589">
        <v>1800</v>
      </c>
      <c r="AQ589" t="s">
        <v>129</v>
      </c>
      <c r="AR589">
        <v>125</v>
      </c>
      <c r="AS589">
        <v>-14</v>
      </c>
      <c r="AT589">
        <v>1216</v>
      </c>
      <c r="BB589">
        <v>1200</v>
      </c>
      <c r="BC589">
        <v>1</v>
      </c>
      <c r="BD589" t="str">
        <f t="shared" si="207"/>
        <v xml:space="preserve">N887QR  </v>
      </c>
      <c r="BE589">
        <v>1</v>
      </c>
      <c r="BJ589">
        <v>1450</v>
      </c>
      <c r="BK589">
        <v>-350</v>
      </c>
      <c r="BL589" t="s">
        <v>163</v>
      </c>
      <c r="BM589">
        <v>1</v>
      </c>
      <c r="BN589">
        <v>1</v>
      </c>
      <c r="BO589">
        <v>1</v>
      </c>
      <c r="BP589">
        <v>0</v>
      </c>
      <c r="BS589">
        <v>0</v>
      </c>
      <c r="BT589">
        <v>0</v>
      </c>
      <c r="BU589">
        <v>0</v>
      </c>
      <c r="CE589" t="str">
        <f t="shared" si="209"/>
        <v>19:27:14.276</v>
      </c>
      <c r="CF589">
        <v>275509766</v>
      </c>
      <c r="CS589">
        <v>3</v>
      </c>
      <c r="CT589">
        <v>2</v>
      </c>
      <c r="CU589">
        <v>0</v>
      </c>
      <c r="CV589">
        <v>2</v>
      </c>
      <c r="CW589">
        <v>0</v>
      </c>
      <c r="CX589">
        <v>6</v>
      </c>
      <c r="CY589">
        <v>7</v>
      </c>
      <c r="CZ589" t="s">
        <v>131</v>
      </c>
      <c r="DA589">
        <v>300</v>
      </c>
      <c r="DB589">
        <v>0</v>
      </c>
      <c r="DC589" t="s">
        <v>176</v>
      </c>
      <c r="DD589" t="s">
        <v>177</v>
      </c>
      <c r="DG589">
        <v>5366481</v>
      </c>
      <c r="DI589">
        <v>1</v>
      </c>
      <c r="DJ589">
        <v>0</v>
      </c>
      <c r="DK589">
        <v>1</v>
      </c>
      <c r="DL589">
        <v>0</v>
      </c>
      <c r="DM589">
        <v>0</v>
      </c>
      <c r="DN589">
        <v>1</v>
      </c>
      <c r="DO589">
        <v>0</v>
      </c>
      <c r="DP589">
        <v>0</v>
      </c>
      <c r="DQ589">
        <v>0</v>
      </c>
      <c r="DR589">
        <v>0</v>
      </c>
      <c r="DS589">
        <v>0</v>
      </c>
    </row>
    <row r="590" spans="1:123" x14ac:dyDescent="0.3">
      <c r="A590" t="str">
        <f>"10/04/2022 19:27:14.526"</f>
        <v>10/04/2022 19:27:14.526</v>
      </c>
      <c r="C590" t="str">
        <f t="shared" si="199"/>
        <v>FFDDD3C0</v>
      </c>
      <c r="D590" t="s">
        <v>123</v>
      </c>
      <c r="E590">
        <v>7</v>
      </c>
      <c r="F590">
        <v>2007</v>
      </c>
      <c r="G590" t="s">
        <v>124</v>
      </c>
      <c r="J590" t="s">
        <v>125</v>
      </c>
      <c r="K590">
        <v>0</v>
      </c>
      <c r="L590">
        <v>3</v>
      </c>
      <c r="M590">
        <v>0</v>
      </c>
      <c r="N590">
        <v>2</v>
      </c>
      <c r="O590">
        <v>0</v>
      </c>
      <c r="P590">
        <v>1</v>
      </c>
      <c r="Q590">
        <v>0</v>
      </c>
      <c r="S590" t="str">
        <f t="shared" si="208"/>
        <v>19:27:14.000</v>
      </c>
      <c r="T590" t="str">
        <f t="shared" si="208"/>
        <v>19:27:14.000</v>
      </c>
      <c r="U590" t="str">
        <f t="shared" si="206"/>
        <v>AC3944</v>
      </c>
      <c r="V590">
        <v>0</v>
      </c>
      <c r="W590">
        <v>0</v>
      </c>
      <c r="X590">
        <v>2</v>
      </c>
      <c r="Y590">
        <v>0</v>
      </c>
      <c r="AA590">
        <v>1</v>
      </c>
      <c r="AB590">
        <v>8</v>
      </c>
      <c r="AC590">
        <v>3</v>
      </c>
      <c r="AD590">
        <v>0</v>
      </c>
      <c r="AE590">
        <v>9</v>
      </c>
      <c r="AF590" t="s">
        <v>138</v>
      </c>
      <c r="AG590">
        <v>0</v>
      </c>
      <c r="AH590">
        <v>3</v>
      </c>
      <c r="AI590">
        <v>1</v>
      </c>
      <c r="AJ590">
        <v>0</v>
      </c>
      <c r="AK590" t="s">
        <v>308</v>
      </c>
      <c r="AL590">
        <v>32.817664000000001</v>
      </c>
      <c r="AM590" t="s">
        <v>309</v>
      </c>
      <c r="AN590">
        <v>-116.97220799999999</v>
      </c>
      <c r="AO590">
        <v>25</v>
      </c>
      <c r="AP590">
        <v>1800</v>
      </c>
      <c r="AQ590" t="s">
        <v>129</v>
      </c>
      <c r="AR590">
        <v>125</v>
      </c>
      <c r="AS590">
        <v>-14</v>
      </c>
      <c r="AT590">
        <v>1216</v>
      </c>
      <c r="BB590">
        <v>1200</v>
      </c>
      <c r="BC590">
        <v>1</v>
      </c>
      <c r="BD590" t="str">
        <f t="shared" si="207"/>
        <v xml:space="preserve">N887QR  </v>
      </c>
      <c r="BE590">
        <v>1</v>
      </c>
      <c r="BJ590">
        <v>1450</v>
      </c>
      <c r="BK590">
        <v>-350</v>
      </c>
      <c r="BL590" t="s">
        <v>163</v>
      </c>
      <c r="BM590">
        <v>1</v>
      </c>
      <c r="BN590">
        <v>1</v>
      </c>
      <c r="BO590">
        <v>1</v>
      </c>
      <c r="BP590">
        <v>0</v>
      </c>
      <c r="BS590">
        <v>0</v>
      </c>
      <c r="BT590">
        <v>0</v>
      </c>
      <c r="BU590">
        <v>0</v>
      </c>
      <c r="CE590" t="str">
        <f t="shared" si="209"/>
        <v>19:27:14.276</v>
      </c>
      <c r="CF590">
        <v>275509766</v>
      </c>
      <c r="CS590">
        <v>3</v>
      </c>
      <c r="CT590">
        <v>2</v>
      </c>
      <c r="CU590">
        <v>0</v>
      </c>
      <c r="CV590">
        <v>2</v>
      </c>
      <c r="CW590">
        <v>0</v>
      </c>
      <c r="CX590">
        <v>6</v>
      </c>
      <c r="CY590">
        <v>7</v>
      </c>
      <c r="CZ590" t="s">
        <v>131</v>
      </c>
      <c r="DA590">
        <v>300</v>
      </c>
      <c r="DB590">
        <v>0</v>
      </c>
      <c r="DC590" t="s">
        <v>176</v>
      </c>
      <c r="DD590" t="s">
        <v>177</v>
      </c>
      <c r="DG590">
        <v>5366481</v>
      </c>
      <c r="DI590">
        <v>1</v>
      </c>
      <c r="DJ590">
        <v>0</v>
      </c>
      <c r="DK590">
        <v>0</v>
      </c>
      <c r="DL590">
        <v>0</v>
      </c>
      <c r="DM590">
        <v>0</v>
      </c>
      <c r="DN590">
        <v>1</v>
      </c>
      <c r="DO590">
        <v>0</v>
      </c>
      <c r="DP590">
        <v>0</v>
      </c>
      <c r="DQ590">
        <v>0</v>
      </c>
      <c r="DR590">
        <v>0</v>
      </c>
      <c r="DS590">
        <v>0</v>
      </c>
    </row>
    <row r="591" spans="1:123" x14ac:dyDescent="0.3">
      <c r="A591" t="str">
        <f>"10/04/2022 19:27:15.511"</f>
        <v>10/04/2022 19:27:15.511</v>
      </c>
      <c r="C591" t="str">
        <f t="shared" si="199"/>
        <v>FFDDD3C0</v>
      </c>
      <c r="D591" t="s">
        <v>123</v>
      </c>
      <c r="E591">
        <v>7</v>
      </c>
      <c r="F591">
        <v>2007</v>
      </c>
      <c r="G591" t="s">
        <v>124</v>
      </c>
      <c r="J591" t="s">
        <v>125</v>
      </c>
      <c r="K591">
        <v>0</v>
      </c>
      <c r="L591">
        <v>3</v>
      </c>
      <c r="M591">
        <v>0</v>
      </c>
      <c r="N591">
        <v>2</v>
      </c>
      <c r="O591">
        <v>0</v>
      </c>
      <c r="P591">
        <v>1</v>
      </c>
      <c r="Q591">
        <v>0</v>
      </c>
      <c r="S591" t="str">
        <f t="shared" ref="S591:T604" si="210">"19:27:15.000"</f>
        <v>19:27:15.000</v>
      </c>
      <c r="T591" t="str">
        <f t="shared" si="210"/>
        <v>19:27:15.000</v>
      </c>
      <c r="U591" t="str">
        <f t="shared" si="206"/>
        <v>AC3944</v>
      </c>
      <c r="V591">
        <v>0</v>
      </c>
      <c r="W591">
        <v>0</v>
      </c>
      <c r="X591">
        <v>2</v>
      </c>
      <c r="Y591">
        <v>0</v>
      </c>
      <c r="AA591">
        <v>1</v>
      </c>
      <c r="AB591">
        <v>8</v>
      </c>
      <c r="AC591">
        <v>3</v>
      </c>
      <c r="AD591">
        <v>0</v>
      </c>
      <c r="AE591">
        <v>9</v>
      </c>
      <c r="AF591" t="s">
        <v>138</v>
      </c>
      <c r="AG591">
        <v>0</v>
      </c>
      <c r="AH591">
        <v>3</v>
      </c>
      <c r="AI591">
        <v>1</v>
      </c>
      <c r="AJ591">
        <v>0</v>
      </c>
      <c r="AK591" t="s">
        <v>310</v>
      </c>
      <c r="AL591">
        <v>32.817599999999999</v>
      </c>
      <c r="AM591" t="s">
        <v>311</v>
      </c>
      <c r="AN591">
        <v>-116.971521</v>
      </c>
      <c r="AO591">
        <v>25</v>
      </c>
      <c r="AP591">
        <v>1800</v>
      </c>
      <c r="AQ591" t="s">
        <v>129</v>
      </c>
      <c r="AR591">
        <v>124</v>
      </c>
      <c r="AS591">
        <v>-14</v>
      </c>
      <c r="AT591">
        <v>1216</v>
      </c>
      <c r="BB591">
        <v>1200</v>
      </c>
      <c r="BC591">
        <v>1</v>
      </c>
      <c r="BD591" t="str">
        <f t="shared" si="207"/>
        <v xml:space="preserve">N887QR  </v>
      </c>
      <c r="BE591">
        <v>1</v>
      </c>
      <c r="BJ591">
        <v>1475</v>
      </c>
      <c r="BK591">
        <v>-325</v>
      </c>
      <c r="BL591" t="s">
        <v>163</v>
      </c>
      <c r="BM591">
        <v>1</v>
      </c>
      <c r="BN591">
        <v>1</v>
      </c>
      <c r="BO591">
        <v>1</v>
      </c>
      <c r="BP591">
        <v>0</v>
      </c>
      <c r="BS591">
        <v>0</v>
      </c>
      <c r="BT591">
        <v>0</v>
      </c>
      <c r="BU591">
        <v>0</v>
      </c>
      <c r="CE591" t="str">
        <f t="shared" ref="CE591:CE597" si="211">"19:27:15.276"</f>
        <v>19:27:15.276</v>
      </c>
      <c r="CF591">
        <v>276262924</v>
      </c>
      <c r="CS591">
        <v>3</v>
      </c>
      <c r="CT591">
        <v>2</v>
      </c>
      <c r="CU591">
        <v>0</v>
      </c>
      <c r="CV591">
        <v>2</v>
      </c>
      <c r="CW591">
        <v>3</v>
      </c>
      <c r="CX591">
        <v>5</v>
      </c>
      <c r="CY591">
        <v>7</v>
      </c>
      <c r="CZ591" t="s">
        <v>131</v>
      </c>
      <c r="DA591">
        <v>300</v>
      </c>
      <c r="DB591">
        <v>0</v>
      </c>
      <c r="DC591" t="s">
        <v>176</v>
      </c>
      <c r="DD591" t="s">
        <v>177</v>
      </c>
      <c r="DG591">
        <v>5366637</v>
      </c>
      <c r="DI591">
        <v>1</v>
      </c>
      <c r="DJ591">
        <v>0</v>
      </c>
      <c r="DK591">
        <v>0</v>
      </c>
      <c r="DL591">
        <v>0</v>
      </c>
      <c r="DM591">
        <v>0</v>
      </c>
      <c r="DN591">
        <v>1</v>
      </c>
      <c r="DO591">
        <v>0</v>
      </c>
      <c r="DP591">
        <v>0</v>
      </c>
      <c r="DQ591">
        <v>0</v>
      </c>
      <c r="DR591">
        <v>0</v>
      </c>
      <c r="DS591">
        <v>0</v>
      </c>
    </row>
    <row r="592" spans="1:123" x14ac:dyDescent="0.3">
      <c r="A592" t="str">
        <f>"10/04/2022 19:27:15.511"</f>
        <v>10/04/2022 19:27:15.511</v>
      </c>
      <c r="C592" t="str">
        <f t="shared" si="199"/>
        <v>FFDDD3C0</v>
      </c>
      <c r="D592" t="s">
        <v>141</v>
      </c>
      <c r="E592">
        <v>4</v>
      </c>
      <c r="H592">
        <v>4</v>
      </c>
      <c r="I592" t="s">
        <v>142</v>
      </c>
      <c r="J592" t="s">
        <v>138</v>
      </c>
      <c r="K592">
        <v>0</v>
      </c>
      <c r="L592">
        <v>3</v>
      </c>
      <c r="M592">
        <v>0</v>
      </c>
      <c r="N592">
        <v>2</v>
      </c>
      <c r="O592">
        <v>0</v>
      </c>
      <c r="P592">
        <v>1</v>
      </c>
      <c r="Q592">
        <v>0</v>
      </c>
      <c r="S592" t="str">
        <f t="shared" si="210"/>
        <v>19:27:15.000</v>
      </c>
      <c r="T592" t="str">
        <f t="shared" si="210"/>
        <v>19:27:15.000</v>
      </c>
      <c r="U592" t="str">
        <f t="shared" si="206"/>
        <v>AC3944</v>
      </c>
      <c r="V592">
        <v>0</v>
      </c>
      <c r="W592">
        <v>0</v>
      </c>
      <c r="X592">
        <v>2</v>
      </c>
      <c r="Y592">
        <v>0</v>
      </c>
      <c r="AA592">
        <v>1</v>
      </c>
      <c r="AB592">
        <v>8</v>
      </c>
      <c r="AC592">
        <v>3</v>
      </c>
      <c r="AD592">
        <v>0</v>
      </c>
      <c r="AE592">
        <v>9</v>
      </c>
      <c r="AF592" t="s">
        <v>138</v>
      </c>
      <c r="AG592">
        <v>0</v>
      </c>
      <c r="AH592">
        <v>3</v>
      </c>
      <c r="AI592">
        <v>1</v>
      </c>
      <c r="AJ592">
        <v>0</v>
      </c>
      <c r="AK592" t="s">
        <v>310</v>
      </c>
      <c r="AL592">
        <v>32.817599999999999</v>
      </c>
      <c r="AM592" t="s">
        <v>311</v>
      </c>
      <c r="AN592">
        <v>-116.971521</v>
      </c>
      <c r="AO592">
        <v>25</v>
      </c>
      <c r="AP592">
        <v>1800</v>
      </c>
      <c r="AQ592" t="s">
        <v>129</v>
      </c>
      <c r="AR592">
        <v>124</v>
      </c>
      <c r="AS592">
        <v>-14</v>
      </c>
      <c r="AT592">
        <v>1216</v>
      </c>
      <c r="BB592">
        <v>1200</v>
      </c>
      <c r="BC592">
        <v>1</v>
      </c>
      <c r="BD592" t="str">
        <f t="shared" si="207"/>
        <v xml:space="preserve">N887QR  </v>
      </c>
      <c r="BE592">
        <v>1</v>
      </c>
      <c r="BJ592">
        <v>1475</v>
      </c>
      <c r="BK592">
        <v>-325</v>
      </c>
      <c r="BL592" t="s">
        <v>163</v>
      </c>
      <c r="BM592">
        <v>1</v>
      </c>
      <c r="BN592">
        <v>1</v>
      </c>
      <c r="BO592">
        <v>1</v>
      </c>
      <c r="BP592">
        <v>0</v>
      </c>
      <c r="BS592">
        <v>0</v>
      </c>
      <c r="BT592">
        <v>0</v>
      </c>
      <c r="BU592">
        <v>0</v>
      </c>
      <c r="CE592" t="str">
        <f t="shared" si="211"/>
        <v>19:27:15.276</v>
      </c>
      <c r="CF592">
        <v>276262924</v>
      </c>
      <c r="CS592">
        <v>3</v>
      </c>
      <c r="CT592">
        <v>2</v>
      </c>
      <c r="CU592">
        <v>0</v>
      </c>
      <c r="CV592">
        <v>2</v>
      </c>
      <c r="CW592">
        <v>3</v>
      </c>
      <c r="CX592">
        <v>5</v>
      </c>
      <c r="CY592">
        <v>7</v>
      </c>
      <c r="CZ592" t="s">
        <v>131</v>
      </c>
      <c r="DA592">
        <v>300</v>
      </c>
      <c r="DB592">
        <v>0</v>
      </c>
      <c r="DC592" t="s">
        <v>176</v>
      </c>
      <c r="DD592" t="s">
        <v>177</v>
      </c>
      <c r="DG592">
        <v>5366637</v>
      </c>
      <c r="DI592">
        <v>1</v>
      </c>
      <c r="DJ592">
        <v>0</v>
      </c>
      <c r="DK592">
        <v>1</v>
      </c>
      <c r="DL592">
        <v>0</v>
      </c>
      <c r="DM592">
        <v>0</v>
      </c>
      <c r="DN592">
        <v>1</v>
      </c>
      <c r="DO592">
        <v>0</v>
      </c>
      <c r="DP592">
        <v>0</v>
      </c>
      <c r="DQ592">
        <v>0</v>
      </c>
      <c r="DR592">
        <v>0</v>
      </c>
      <c r="DS592">
        <v>0</v>
      </c>
    </row>
    <row r="593" spans="1:123" x14ac:dyDescent="0.3">
      <c r="A593" t="str">
        <f>"10/04/2022 19:27:15.558"</f>
        <v>10/04/2022 19:27:15.558</v>
      </c>
      <c r="C593" t="str">
        <f t="shared" si="199"/>
        <v>FFDDD3C0</v>
      </c>
      <c r="D593" t="s">
        <v>134</v>
      </c>
      <c r="E593">
        <v>15</v>
      </c>
      <c r="J593" t="s">
        <v>135</v>
      </c>
      <c r="K593">
        <v>0</v>
      </c>
      <c r="L593">
        <v>3</v>
      </c>
      <c r="M593">
        <v>0</v>
      </c>
      <c r="N593">
        <v>2</v>
      </c>
      <c r="O593">
        <v>0</v>
      </c>
      <c r="P593">
        <v>1</v>
      </c>
      <c r="Q593">
        <v>0</v>
      </c>
      <c r="S593" t="str">
        <f t="shared" si="210"/>
        <v>19:27:15.000</v>
      </c>
      <c r="T593" t="str">
        <f t="shared" si="210"/>
        <v>19:27:15.000</v>
      </c>
      <c r="U593" t="str">
        <f t="shared" si="206"/>
        <v>AC3944</v>
      </c>
      <c r="V593">
        <v>0</v>
      </c>
      <c r="W593">
        <v>0</v>
      </c>
      <c r="X593">
        <v>2</v>
      </c>
      <c r="Y593">
        <v>0</v>
      </c>
      <c r="AA593">
        <v>1</v>
      </c>
      <c r="AB593">
        <v>8</v>
      </c>
      <c r="AC593">
        <v>3</v>
      </c>
      <c r="AD593">
        <v>0</v>
      </c>
      <c r="AE593">
        <v>9</v>
      </c>
      <c r="AF593" t="s">
        <v>138</v>
      </c>
      <c r="AG593">
        <v>0</v>
      </c>
      <c r="AH593">
        <v>3</v>
      </c>
      <c r="AI593">
        <v>1</v>
      </c>
      <c r="AJ593">
        <v>0</v>
      </c>
      <c r="AK593" t="s">
        <v>310</v>
      </c>
      <c r="AL593">
        <v>32.817599999999999</v>
      </c>
      <c r="AM593" t="s">
        <v>311</v>
      </c>
      <c r="AN593">
        <v>-116.971521</v>
      </c>
      <c r="AO593">
        <v>25</v>
      </c>
      <c r="AP593">
        <v>1800</v>
      </c>
      <c r="AQ593" t="s">
        <v>129</v>
      </c>
      <c r="AR593">
        <v>124</v>
      </c>
      <c r="AS593">
        <v>-14</v>
      </c>
      <c r="AT593">
        <v>1216</v>
      </c>
      <c r="BB593">
        <v>1200</v>
      </c>
      <c r="BC593">
        <v>1</v>
      </c>
      <c r="BD593" t="str">
        <f t="shared" si="207"/>
        <v xml:space="preserve">N887QR  </v>
      </c>
      <c r="BE593">
        <v>1</v>
      </c>
      <c r="BJ593">
        <v>1475</v>
      </c>
      <c r="BK593">
        <v>-325</v>
      </c>
      <c r="BL593" t="s">
        <v>163</v>
      </c>
      <c r="BM593">
        <v>1</v>
      </c>
      <c r="BN593">
        <v>1</v>
      </c>
      <c r="BO593">
        <v>1</v>
      </c>
      <c r="BP593">
        <v>0</v>
      </c>
      <c r="BS593">
        <v>0</v>
      </c>
      <c r="BT593">
        <v>0</v>
      </c>
      <c r="BU593">
        <v>0</v>
      </c>
      <c r="CE593" t="str">
        <f t="shared" si="211"/>
        <v>19:27:15.276</v>
      </c>
      <c r="CF593">
        <v>276262924</v>
      </c>
      <c r="CS593">
        <v>3</v>
      </c>
      <c r="CT593">
        <v>2</v>
      </c>
      <c r="CU593">
        <v>0</v>
      </c>
      <c r="CV593">
        <v>2</v>
      </c>
      <c r="CW593">
        <v>3</v>
      </c>
      <c r="CX593">
        <v>5</v>
      </c>
      <c r="CY593">
        <v>7</v>
      </c>
      <c r="CZ593" t="s">
        <v>131</v>
      </c>
      <c r="DA593">
        <v>300</v>
      </c>
      <c r="DB593">
        <v>0</v>
      </c>
      <c r="DC593" t="s">
        <v>176</v>
      </c>
      <c r="DD593" t="s">
        <v>177</v>
      </c>
      <c r="DG593">
        <v>5366637</v>
      </c>
      <c r="DI593">
        <v>1</v>
      </c>
      <c r="DJ593">
        <v>0</v>
      </c>
      <c r="DK593">
        <v>1</v>
      </c>
      <c r="DL593">
        <v>0</v>
      </c>
      <c r="DM593">
        <v>0</v>
      </c>
      <c r="DN593">
        <v>1</v>
      </c>
      <c r="DO593">
        <v>0</v>
      </c>
      <c r="DP593">
        <v>0</v>
      </c>
      <c r="DQ593">
        <v>0</v>
      </c>
      <c r="DR593">
        <v>0</v>
      </c>
      <c r="DS593">
        <v>0</v>
      </c>
    </row>
    <row r="594" spans="1:123" x14ac:dyDescent="0.3">
      <c r="A594" t="str">
        <f>"10/04/2022 19:27:15.605"</f>
        <v>10/04/2022 19:27:15.605</v>
      </c>
      <c r="C594" t="str">
        <f t="shared" si="199"/>
        <v>FFDDD3C0</v>
      </c>
      <c r="D594" t="s">
        <v>136</v>
      </c>
      <c r="E594">
        <v>8</v>
      </c>
      <c r="H594">
        <v>225</v>
      </c>
      <c r="I594" t="s">
        <v>137</v>
      </c>
      <c r="J594" t="s">
        <v>138</v>
      </c>
      <c r="K594">
        <v>0</v>
      </c>
      <c r="L594">
        <v>3</v>
      </c>
      <c r="M594">
        <v>0</v>
      </c>
      <c r="N594">
        <v>2</v>
      </c>
      <c r="O594">
        <v>0</v>
      </c>
      <c r="P594">
        <v>1</v>
      </c>
      <c r="Q594">
        <v>0</v>
      </c>
      <c r="S594" t="str">
        <f t="shared" si="210"/>
        <v>19:27:15.000</v>
      </c>
      <c r="T594" t="str">
        <f t="shared" si="210"/>
        <v>19:27:15.000</v>
      </c>
      <c r="U594" t="str">
        <f t="shared" si="206"/>
        <v>AC3944</v>
      </c>
      <c r="V594">
        <v>0</v>
      </c>
      <c r="W594">
        <v>0</v>
      </c>
      <c r="X594">
        <v>2</v>
      </c>
      <c r="Y594">
        <v>0</v>
      </c>
      <c r="AA594">
        <v>1</v>
      </c>
      <c r="AB594">
        <v>8</v>
      </c>
      <c r="AC594">
        <v>3</v>
      </c>
      <c r="AD594">
        <v>0</v>
      </c>
      <c r="AE594">
        <v>9</v>
      </c>
      <c r="AF594" t="s">
        <v>138</v>
      </c>
      <c r="AG594">
        <v>0</v>
      </c>
      <c r="AH594">
        <v>3</v>
      </c>
      <c r="AI594">
        <v>1</v>
      </c>
      <c r="AJ594">
        <v>0</v>
      </c>
      <c r="AK594" t="s">
        <v>310</v>
      </c>
      <c r="AL594">
        <v>32.817599999999999</v>
      </c>
      <c r="AM594" t="s">
        <v>311</v>
      </c>
      <c r="AN594">
        <v>-116.971521</v>
      </c>
      <c r="AO594">
        <v>25</v>
      </c>
      <c r="AP594">
        <v>1800</v>
      </c>
      <c r="AQ594" t="s">
        <v>129</v>
      </c>
      <c r="AR594">
        <v>124</v>
      </c>
      <c r="AS594">
        <v>-14</v>
      </c>
      <c r="AT594">
        <v>1216</v>
      </c>
      <c r="BB594">
        <v>1200</v>
      </c>
      <c r="BC594">
        <v>1</v>
      </c>
      <c r="BD594" t="str">
        <f t="shared" si="207"/>
        <v xml:space="preserve">N887QR  </v>
      </c>
      <c r="BE594">
        <v>1</v>
      </c>
      <c r="BJ594">
        <v>1475</v>
      </c>
      <c r="BK594">
        <v>-325</v>
      </c>
      <c r="BL594" t="s">
        <v>163</v>
      </c>
      <c r="BM594">
        <v>1</v>
      </c>
      <c r="BN594">
        <v>1</v>
      </c>
      <c r="BO594">
        <v>1</v>
      </c>
      <c r="BP594">
        <v>0</v>
      </c>
      <c r="BS594">
        <v>0</v>
      </c>
      <c r="BT594">
        <v>0</v>
      </c>
      <c r="BU594">
        <v>0</v>
      </c>
      <c r="CE594" t="str">
        <f t="shared" si="211"/>
        <v>19:27:15.276</v>
      </c>
      <c r="CF594">
        <v>276262924</v>
      </c>
      <c r="CS594">
        <v>3</v>
      </c>
      <c r="CT594">
        <v>2</v>
      </c>
      <c r="CU594">
        <v>0</v>
      </c>
      <c r="CV594">
        <v>2</v>
      </c>
      <c r="CW594">
        <v>3</v>
      </c>
      <c r="CX594">
        <v>5</v>
      </c>
      <c r="CY594">
        <v>7</v>
      </c>
      <c r="CZ594" t="s">
        <v>131</v>
      </c>
      <c r="DA594">
        <v>300</v>
      </c>
      <c r="DB594">
        <v>0</v>
      </c>
      <c r="DC594" t="s">
        <v>176</v>
      </c>
      <c r="DD594" t="s">
        <v>177</v>
      </c>
      <c r="DG594">
        <v>5366637</v>
      </c>
      <c r="DI594">
        <v>1</v>
      </c>
      <c r="DJ594">
        <v>0</v>
      </c>
      <c r="DK594">
        <v>1</v>
      </c>
      <c r="DL594">
        <v>0</v>
      </c>
      <c r="DM594">
        <v>0</v>
      </c>
      <c r="DN594">
        <v>1</v>
      </c>
      <c r="DO594">
        <v>0</v>
      </c>
      <c r="DP594">
        <v>0</v>
      </c>
      <c r="DQ594">
        <v>0</v>
      </c>
      <c r="DR594">
        <v>0</v>
      </c>
      <c r="DS594">
        <v>0</v>
      </c>
    </row>
    <row r="595" spans="1:123" x14ac:dyDescent="0.3">
      <c r="A595" t="str">
        <f>"10/04/2022 19:27:15.605"</f>
        <v>10/04/2022 19:27:15.605</v>
      </c>
      <c r="C595" t="str">
        <f t="shared" si="199"/>
        <v>FFDDD3C0</v>
      </c>
      <c r="D595" t="s">
        <v>141</v>
      </c>
      <c r="E595">
        <v>3</v>
      </c>
      <c r="H595">
        <v>3</v>
      </c>
      <c r="I595" t="s">
        <v>146</v>
      </c>
      <c r="J595" t="s">
        <v>138</v>
      </c>
      <c r="K595">
        <v>0</v>
      </c>
      <c r="L595">
        <v>3</v>
      </c>
      <c r="M595">
        <v>0</v>
      </c>
      <c r="N595">
        <v>2</v>
      </c>
      <c r="O595">
        <v>0</v>
      </c>
      <c r="P595">
        <v>1</v>
      </c>
      <c r="Q595">
        <v>0</v>
      </c>
      <c r="S595" t="str">
        <f t="shared" si="210"/>
        <v>19:27:15.000</v>
      </c>
      <c r="T595" t="str">
        <f t="shared" si="210"/>
        <v>19:27:15.000</v>
      </c>
      <c r="U595" t="str">
        <f t="shared" si="206"/>
        <v>AC3944</v>
      </c>
      <c r="V595">
        <v>0</v>
      </c>
      <c r="W595">
        <v>0</v>
      </c>
      <c r="X595">
        <v>2</v>
      </c>
      <c r="Y595">
        <v>0</v>
      </c>
      <c r="AA595">
        <v>1</v>
      </c>
      <c r="AB595">
        <v>8</v>
      </c>
      <c r="AC595">
        <v>3</v>
      </c>
      <c r="AD595">
        <v>0</v>
      </c>
      <c r="AE595">
        <v>9</v>
      </c>
      <c r="AF595" t="s">
        <v>138</v>
      </c>
      <c r="AG595">
        <v>0</v>
      </c>
      <c r="AH595">
        <v>3</v>
      </c>
      <c r="AI595">
        <v>1</v>
      </c>
      <c r="AJ595">
        <v>0</v>
      </c>
      <c r="AK595" t="s">
        <v>310</v>
      </c>
      <c r="AL595">
        <v>32.817599999999999</v>
      </c>
      <c r="AM595" t="s">
        <v>311</v>
      </c>
      <c r="AN595">
        <v>-116.971521</v>
      </c>
      <c r="AO595">
        <v>25</v>
      </c>
      <c r="AP595">
        <v>1800</v>
      </c>
      <c r="AQ595" t="s">
        <v>129</v>
      </c>
      <c r="AR595">
        <v>124</v>
      </c>
      <c r="AS595">
        <v>-14</v>
      </c>
      <c r="AT595">
        <v>1216</v>
      </c>
      <c r="BB595">
        <v>1200</v>
      </c>
      <c r="BC595">
        <v>1</v>
      </c>
      <c r="BD595" t="str">
        <f t="shared" si="207"/>
        <v xml:space="preserve">N887QR  </v>
      </c>
      <c r="BE595">
        <v>1</v>
      </c>
      <c r="BJ595">
        <v>1475</v>
      </c>
      <c r="BK595">
        <v>-325</v>
      </c>
      <c r="BL595" t="s">
        <v>163</v>
      </c>
      <c r="BM595">
        <v>1</v>
      </c>
      <c r="BN595">
        <v>1</v>
      </c>
      <c r="BO595">
        <v>1</v>
      </c>
      <c r="BP595">
        <v>0</v>
      </c>
      <c r="BS595">
        <v>0</v>
      </c>
      <c r="BT595">
        <v>0</v>
      </c>
      <c r="BU595">
        <v>0</v>
      </c>
      <c r="CE595" t="str">
        <f t="shared" si="211"/>
        <v>19:27:15.276</v>
      </c>
      <c r="CF595">
        <v>276262924</v>
      </c>
      <c r="CS595">
        <v>3</v>
      </c>
      <c r="CT595">
        <v>2</v>
      </c>
      <c r="CU595">
        <v>0</v>
      </c>
      <c r="CV595">
        <v>2</v>
      </c>
      <c r="CW595">
        <v>3</v>
      </c>
      <c r="CX595">
        <v>5</v>
      </c>
      <c r="CY595">
        <v>7</v>
      </c>
      <c r="CZ595" t="s">
        <v>131</v>
      </c>
      <c r="DA595">
        <v>300</v>
      </c>
      <c r="DB595">
        <v>0</v>
      </c>
      <c r="DC595" t="s">
        <v>176</v>
      </c>
      <c r="DD595" t="s">
        <v>177</v>
      </c>
      <c r="DG595">
        <v>5366637</v>
      </c>
      <c r="DI595">
        <v>1</v>
      </c>
      <c r="DJ595">
        <v>0</v>
      </c>
      <c r="DK595">
        <v>1</v>
      </c>
      <c r="DL595">
        <v>0</v>
      </c>
      <c r="DM595">
        <v>0</v>
      </c>
      <c r="DN595">
        <v>1</v>
      </c>
      <c r="DO595">
        <v>0</v>
      </c>
      <c r="DP595">
        <v>0</v>
      </c>
      <c r="DQ595">
        <v>0</v>
      </c>
      <c r="DR595">
        <v>0</v>
      </c>
      <c r="DS595">
        <v>0</v>
      </c>
    </row>
    <row r="596" spans="1:123" x14ac:dyDescent="0.3">
      <c r="A596" t="str">
        <f>"10/04/2022 19:27:15.605"</f>
        <v>10/04/2022 19:27:15.605</v>
      </c>
      <c r="C596" t="str">
        <f t="shared" si="199"/>
        <v>FFDDD3C0</v>
      </c>
      <c r="D596" t="s">
        <v>147</v>
      </c>
      <c r="E596">
        <v>3</v>
      </c>
      <c r="H596">
        <v>166</v>
      </c>
      <c r="I596" t="s">
        <v>144</v>
      </c>
      <c r="J596" t="s">
        <v>148</v>
      </c>
      <c r="K596">
        <v>0</v>
      </c>
      <c r="L596">
        <v>3</v>
      </c>
      <c r="M596">
        <v>0</v>
      </c>
      <c r="N596">
        <v>2</v>
      </c>
      <c r="O596">
        <v>0</v>
      </c>
      <c r="P596">
        <v>1</v>
      </c>
      <c r="Q596">
        <v>0</v>
      </c>
      <c r="S596" t="str">
        <f t="shared" si="210"/>
        <v>19:27:15.000</v>
      </c>
      <c r="T596" t="str">
        <f t="shared" si="210"/>
        <v>19:27:15.000</v>
      </c>
      <c r="U596" t="str">
        <f t="shared" si="206"/>
        <v>AC3944</v>
      </c>
      <c r="V596">
        <v>0</v>
      </c>
      <c r="W596">
        <v>0</v>
      </c>
      <c r="X596">
        <v>2</v>
      </c>
      <c r="Y596">
        <v>0</v>
      </c>
      <c r="AA596">
        <v>1</v>
      </c>
      <c r="AB596">
        <v>8</v>
      </c>
      <c r="AC596">
        <v>3</v>
      </c>
      <c r="AD596">
        <v>0</v>
      </c>
      <c r="AE596">
        <v>9</v>
      </c>
      <c r="AF596" t="s">
        <v>138</v>
      </c>
      <c r="AG596">
        <v>0</v>
      </c>
      <c r="AH596">
        <v>3</v>
      </c>
      <c r="AI596">
        <v>1</v>
      </c>
      <c r="AJ596">
        <v>0</v>
      </c>
      <c r="AK596" t="s">
        <v>310</v>
      </c>
      <c r="AL596">
        <v>32.817599999999999</v>
      </c>
      <c r="AM596" t="s">
        <v>311</v>
      </c>
      <c r="AN596">
        <v>-116.971521</v>
      </c>
      <c r="AO596">
        <v>25</v>
      </c>
      <c r="AP596">
        <v>1800</v>
      </c>
      <c r="AQ596" t="s">
        <v>129</v>
      </c>
      <c r="AR596">
        <v>124</v>
      </c>
      <c r="AS596">
        <v>-14</v>
      </c>
      <c r="AT596">
        <v>1216</v>
      </c>
      <c r="BB596">
        <v>1200</v>
      </c>
      <c r="BC596">
        <v>1</v>
      </c>
      <c r="BD596" t="str">
        <f t="shared" si="207"/>
        <v xml:space="preserve">N887QR  </v>
      </c>
      <c r="BE596">
        <v>1</v>
      </c>
      <c r="BJ596">
        <v>1475</v>
      </c>
      <c r="BK596">
        <v>-325</v>
      </c>
      <c r="BL596" t="s">
        <v>163</v>
      </c>
      <c r="BM596">
        <v>1</v>
      </c>
      <c r="BN596">
        <v>1</v>
      </c>
      <c r="BO596">
        <v>1</v>
      </c>
      <c r="BP596">
        <v>0</v>
      </c>
      <c r="BS596">
        <v>0</v>
      </c>
      <c r="BT596">
        <v>0</v>
      </c>
      <c r="BU596">
        <v>0</v>
      </c>
      <c r="CE596" t="str">
        <f t="shared" si="211"/>
        <v>19:27:15.276</v>
      </c>
      <c r="CF596">
        <v>276262924</v>
      </c>
      <c r="CS596">
        <v>3</v>
      </c>
      <c r="CT596">
        <v>2</v>
      </c>
      <c r="CU596">
        <v>0</v>
      </c>
      <c r="CV596">
        <v>2</v>
      </c>
      <c r="CW596">
        <v>3</v>
      </c>
      <c r="CX596">
        <v>5</v>
      </c>
      <c r="CY596">
        <v>7</v>
      </c>
      <c r="CZ596" t="s">
        <v>131</v>
      </c>
      <c r="DA596">
        <v>300</v>
      </c>
      <c r="DB596">
        <v>0</v>
      </c>
      <c r="DC596" t="s">
        <v>176</v>
      </c>
      <c r="DD596" t="s">
        <v>177</v>
      </c>
      <c r="DG596">
        <v>5366637</v>
      </c>
      <c r="DI596">
        <v>1</v>
      </c>
      <c r="DJ596">
        <v>0</v>
      </c>
      <c r="DK596">
        <v>1</v>
      </c>
      <c r="DL596">
        <v>0</v>
      </c>
      <c r="DM596">
        <v>0</v>
      </c>
      <c r="DN596">
        <v>1</v>
      </c>
      <c r="DO596">
        <v>0</v>
      </c>
      <c r="DP596">
        <v>0</v>
      </c>
      <c r="DQ596">
        <v>0</v>
      </c>
      <c r="DR596">
        <v>0</v>
      </c>
      <c r="DS596">
        <v>0</v>
      </c>
    </row>
    <row r="597" spans="1:123" x14ac:dyDescent="0.3">
      <c r="A597" t="str">
        <f>"10/04/2022 19:27:15.605"</f>
        <v>10/04/2022 19:27:15.605</v>
      </c>
      <c r="C597" t="str">
        <f t="shared" si="199"/>
        <v>FFDDD3C0</v>
      </c>
      <c r="D597" t="s">
        <v>143</v>
      </c>
      <c r="E597">
        <v>20</v>
      </c>
      <c r="F597">
        <v>1020</v>
      </c>
      <c r="G597" t="s">
        <v>144</v>
      </c>
      <c r="J597" t="s">
        <v>145</v>
      </c>
      <c r="K597">
        <v>0</v>
      </c>
      <c r="L597">
        <v>3</v>
      </c>
      <c r="M597">
        <v>0</v>
      </c>
      <c r="N597">
        <v>2</v>
      </c>
      <c r="O597">
        <v>0</v>
      </c>
      <c r="P597">
        <v>1</v>
      </c>
      <c r="Q597">
        <v>0</v>
      </c>
      <c r="S597" t="str">
        <f t="shared" si="210"/>
        <v>19:27:15.000</v>
      </c>
      <c r="T597" t="str">
        <f t="shared" si="210"/>
        <v>19:27:15.000</v>
      </c>
      <c r="U597" t="str">
        <f t="shared" si="206"/>
        <v>AC3944</v>
      </c>
      <c r="V597">
        <v>0</v>
      </c>
      <c r="W597">
        <v>0</v>
      </c>
      <c r="X597">
        <v>2</v>
      </c>
      <c r="Y597">
        <v>0</v>
      </c>
      <c r="AA597">
        <v>1</v>
      </c>
      <c r="AB597">
        <v>8</v>
      </c>
      <c r="AC597">
        <v>3</v>
      </c>
      <c r="AD597">
        <v>0</v>
      </c>
      <c r="AE597">
        <v>9</v>
      </c>
      <c r="AF597" t="s">
        <v>138</v>
      </c>
      <c r="AG597">
        <v>0</v>
      </c>
      <c r="AH597">
        <v>3</v>
      </c>
      <c r="AI597">
        <v>1</v>
      </c>
      <c r="AJ597">
        <v>0</v>
      </c>
      <c r="AK597" t="s">
        <v>310</v>
      </c>
      <c r="AL597">
        <v>32.817599999999999</v>
      </c>
      <c r="AM597" t="s">
        <v>311</v>
      </c>
      <c r="AN597">
        <v>-116.971521</v>
      </c>
      <c r="AO597">
        <v>25</v>
      </c>
      <c r="AP597">
        <v>1800</v>
      </c>
      <c r="AQ597" t="s">
        <v>129</v>
      </c>
      <c r="AR597">
        <v>124</v>
      </c>
      <c r="AS597">
        <v>-14</v>
      </c>
      <c r="AT597">
        <v>1216</v>
      </c>
      <c r="BB597">
        <v>1200</v>
      </c>
      <c r="BC597">
        <v>1</v>
      </c>
      <c r="BD597" t="str">
        <f t="shared" si="207"/>
        <v xml:space="preserve">N887QR  </v>
      </c>
      <c r="BE597">
        <v>1</v>
      </c>
      <c r="BJ597">
        <v>1475</v>
      </c>
      <c r="BK597">
        <v>-325</v>
      </c>
      <c r="BL597" t="s">
        <v>163</v>
      </c>
      <c r="BM597">
        <v>1</v>
      </c>
      <c r="BN597">
        <v>1</v>
      </c>
      <c r="BO597">
        <v>1</v>
      </c>
      <c r="BP597">
        <v>0</v>
      </c>
      <c r="BS597">
        <v>0</v>
      </c>
      <c r="BT597">
        <v>0</v>
      </c>
      <c r="BU597">
        <v>0</v>
      </c>
      <c r="CE597" t="str">
        <f t="shared" si="211"/>
        <v>19:27:15.276</v>
      </c>
      <c r="CF597">
        <v>276262924</v>
      </c>
      <c r="CS597">
        <v>3</v>
      </c>
      <c r="CT597">
        <v>2</v>
      </c>
      <c r="CU597">
        <v>0</v>
      </c>
      <c r="CV597">
        <v>2</v>
      </c>
      <c r="CW597">
        <v>3</v>
      </c>
      <c r="CX597">
        <v>5</v>
      </c>
      <c r="CY597">
        <v>7</v>
      </c>
      <c r="CZ597" t="s">
        <v>131</v>
      </c>
      <c r="DA597">
        <v>300</v>
      </c>
      <c r="DB597">
        <v>0</v>
      </c>
      <c r="DC597" t="s">
        <v>176</v>
      </c>
      <c r="DD597" t="s">
        <v>177</v>
      </c>
      <c r="DG597">
        <v>5366637</v>
      </c>
      <c r="DI597">
        <v>1</v>
      </c>
      <c r="DJ597">
        <v>0</v>
      </c>
      <c r="DK597">
        <v>1</v>
      </c>
      <c r="DL597">
        <v>0</v>
      </c>
      <c r="DM597">
        <v>0</v>
      </c>
      <c r="DN597">
        <v>1</v>
      </c>
      <c r="DO597">
        <v>0</v>
      </c>
      <c r="DP597">
        <v>0</v>
      </c>
      <c r="DQ597">
        <v>0</v>
      </c>
      <c r="DR597">
        <v>0</v>
      </c>
      <c r="DS597">
        <v>0</v>
      </c>
    </row>
    <row r="598" spans="1:123" x14ac:dyDescent="0.3">
      <c r="A598" t="str">
        <f>"10/04/2022 19:27:16.011"</f>
        <v>10/04/2022 19:27:16.011</v>
      </c>
      <c r="C598" t="str">
        <f t="shared" ref="C598:C629" si="212">"FFDFD3C0"</f>
        <v>FFDFD3C0</v>
      </c>
      <c r="D598" t="s">
        <v>141</v>
      </c>
      <c r="E598">
        <v>4</v>
      </c>
      <c r="H598">
        <v>4</v>
      </c>
      <c r="I598" t="s">
        <v>142</v>
      </c>
      <c r="J598" t="s">
        <v>138</v>
      </c>
      <c r="K598">
        <v>0</v>
      </c>
      <c r="L598">
        <v>3</v>
      </c>
      <c r="M598">
        <v>0</v>
      </c>
      <c r="N598">
        <v>2</v>
      </c>
      <c r="O598">
        <v>0</v>
      </c>
      <c r="P598">
        <v>1</v>
      </c>
      <c r="Q598">
        <v>0</v>
      </c>
      <c r="S598" t="str">
        <f t="shared" si="210"/>
        <v>19:27:15.000</v>
      </c>
      <c r="T598" t="str">
        <f t="shared" si="210"/>
        <v>19:27:15.000</v>
      </c>
      <c r="U598" t="str">
        <f t="shared" si="206"/>
        <v>AC3944</v>
      </c>
      <c r="V598">
        <v>0</v>
      </c>
      <c r="W598">
        <v>0</v>
      </c>
      <c r="X598">
        <v>2</v>
      </c>
      <c r="Y598">
        <v>0</v>
      </c>
      <c r="AA598">
        <v>1</v>
      </c>
      <c r="AB598">
        <v>8</v>
      </c>
      <c r="AC598">
        <v>3</v>
      </c>
      <c r="AD598">
        <v>0</v>
      </c>
      <c r="AE598">
        <v>9</v>
      </c>
      <c r="AF598" t="s">
        <v>138</v>
      </c>
      <c r="AG598">
        <v>0</v>
      </c>
      <c r="AH598">
        <v>3</v>
      </c>
      <c r="AI598">
        <v>1</v>
      </c>
      <c r="AJ598">
        <v>0</v>
      </c>
      <c r="AK598" t="s">
        <v>312</v>
      </c>
      <c r="AL598">
        <v>32.817534999999999</v>
      </c>
      <c r="AM598" t="s">
        <v>313</v>
      </c>
      <c r="AN598">
        <v>-116.97083499999999</v>
      </c>
      <c r="AO598">
        <v>25</v>
      </c>
      <c r="AP598">
        <v>1800</v>
      </c>
      <c r="AQ598" t="s">
        <v>129</v>
      </c>
      <c r="AR598">
        <v>123</v>
      </c>
      <c r="AS598">
        <v>-14</v>
      </c>
      <c r="AT598">
        <v>1216</v>
      </c>
      <c r="BB598">
        <v>1200</v>
      </c>
      <c r="BC598">
        <v>1</v>
      </c>
      <c r="BD598" t="str">
        <f t="shared" si="207"/>
        <v xml:space="preserve">N887QR  </v>
      </c>
      <c r="BE598">
        <v>1</v>
      </c>
      <c r="BG598">
        <v>0</v>
      </c>
      <c r="BH598">
        <v>0</v>
      </c>
      <c r="BI598">
        <v>0</v>
      </c>
      <c r="BJ598">
        <v>1500</v>
      </c>
      <c r="BK598">
        <v>-300</v>
      </c>
      <c r="BL598" t="s">
        <v>163</v>
      </c>
      <c r="BM598">
        <v>1</v>
      </c>
      <c r="BN598">
        <v>1</v>
      </c>
      <c r="BO598">
        <v>1</v>
      </c>
      <c r="BP598">
        <v>0</v>
      </c>
      <c r="BS598">
        <v>0</v>
      </c>
      <c r="BT598">
        <v>0</v>
      </c>
      <c r="BU598">
        <v>0</v>
      </c>
      <c r="CE598" t="str">
        <f t="shared" ref="CE598:CE604" si="213">"19:27:15.811"</f>
        <v>19:27:15.811</v>
      </c>
      <c r="CF598">
        <v>811285366</v>
      </c>
      <c r="CS598">
        <v>3</v>
      </c>
      <c r="CT598">
        <v>2</v>
      </c>
      <c r="CU598">
        <v>0</v>
      </c>
      <c r="CV598">
        <v>2</v>
      </c>
      <c r="CW598">
        <v>3</v>
      </c>
      <c r="CX598">
        <v>3</v>
      </c>
      <c r="CY598">
        <v>7</v>
      </c>
      <c r="CZ598" t="s">
        <v>131</v>
      </c>
      <c r="DA598">
        <v>286</v>
      </c>
      <c r="DB598">
        <v>0</v>
      </c>
      <c r="DC598" t="s">
        <v>132</v>
      </c>
      <c r="DD598" t="s">
        <v>133</v>
      </c>
      <c r="DG598">
        <v>798772</v>
      </c>
      <c r="DI598">
        <v>1</v>
      </c>
      <c r="DJ598">
        <v>0</v>
      </c>
      <c r="DK598">
        <v>0</v>
      </c>
      <c r="DL598">
        <v>0</v>
      </c>
      <c r="DM598">
        <v>0</v>
      </c>
      <c r="DN598">
        <v>1</v>
      </c>
      <c r="DO598">
        <v>0</v>
      </c>
      <c r="DP598">
        <v>0</v>
      </c>
      <c r="DQ598">
        <v>0</v>
      </c>
      <c r="DR598">
        <v>0</v>
      </c>
      <c r="DS598">
        <v>0</v>
      </c>
    </row>
    <row r="599" spans="1:123" x14ac:dyDescent="0.3">
      <c r="A599" t="str">
        <f>"10/04/2022 19:27:16.011"</f>
        <v>10/04/2022 19:27:16.011</v>
      </c>
      <c r="C599" t="str">
        <f t="shared" si="212"/>
        <v>FFDFD3C0</v>
      </c>
      <c r="D599" t="s">
        <v>134</v>
      </c>
      <c r="E599">
        <v>15</v>
      </c>
      <c r="J599" t="s">
        <v>135</v>
      </c>
      <c r="K599">
        <v>0</v>
      </c>
      <c r="L599">
        <v>3</v>
      </c>
      <c r="M599">
        <v>0</v>
      </c>
      <c r="N599">
        <v>2</v>
      </c>
      <c r="O599">
        <v>0</v>
      </c>
      <c r="P599">
        <v>1</v>
      </c>
      <c r="Q599">
        <v>0</v>
      </c>
      <c r="S599" t="str">
        <f t="shared" si="210"/>
        <v>19:27:15.000</v>
      </c>
      <c r="T599" t="str">
        <f t="shared" si="210"/>
        <v>19:27:15.000</v>
      </c>
      <c r="U599" t="str">
        <f t="shared" si="206"/>
        <v>AC3944</v>
      </c>
      <c r="V599">
        <v>0</v>
      </c>
      <c r="W599">
        <v>0</v>
      </c>
      <c r="X599">
        <v>2</v>
      </c>
      <c r="Y599">
        <v>0</v>
      </c>
      <c r="AA599">
        <v>1</v>
      </c>
      <c r="AB599">
        <v>8</v>
      </c>
      <c r="AC599">
        <v>3</v>
      </c>
      <c r="AD599">
        <v>0</v>
      </c>
      <c r="AE599">
        <v>9</v>
      </c>
      <c r="AF599" t="s">
        <v>138</v>
      </c>
      <c r="AG599">
        <v>0</v>
      </c>
      <c r="AH599">
        <v>3</v>
      </c>
      <c r="AI599">
        <v>1</v>
      </c>
      <c r="AJ599">
        <v>0</v>
      </c>
      <c r="AK599" t="s">
        <v>312</v>
      </c>
      <c r="AL599">
        <v>32.817534999999999</v>
      </c>
      <c r="AM599" t="s">
        <v>313</v>
      </c>
      <c r="AN599">
        <v>-116.97083499999999</v>
      </c>
      <c r="AO599">
        <v>25</v>
      </c>
      <c r="AP599">
        <v>1800</v>
      </c>
      <c r="AQ599" t="s">
        <v>129</v>
      </c>
      <c r="AR599">
        <v>123</v>
      </c>
      <c r="AS599">
        <v>-14</v>
      </c>
      <c r="AT599">
        <v>1216</v>
      </c>
      <c r="BB599">
        <v>1200</v>
      </c>
      <c r="BC599">
        <v>1</v>
      </c>
      <c r="BD599" t="str">
        <f t="shared" si="207"/>
        <v xml:space="preserve">N887QR  </v>
      </c>
      <c r="BE599">
        <v>1</v>
      </c>
      <c r="BG599">
        <v>0</v>
      </c>
      <c r="BH599">
        <v>0</v>
      </c>
      <c r="BI599">
        <v>0</v>
      </c>
      <c r="BJ599">
        <v>1500</v>
      </c>
      <c r="BK599">
        <v>-300</v>
      </c>
      <c r="BL599" t="s">
        <v>163</v>
      </c>
      <c r="BM599">
        <v>1</v>
      </c>
      <c r="BN599">
        <v>1</v>
      </c>
      <c r="BO599">
        <v>1</v>
      </c>
      <c r="BP599">
        <v>0</v>
      </c>
      <c r="BS599">
        <v>0</v>
      </c>
      <c r="BT599">
        <v>0</v>
      </c>
      <c r="BU599">
        <v>0</v>
      </c>
      <c r="CE599" t="str">
        <f t="shared" si="213"/>
        <v>19:27:15.811</v>
      </c>
      <c r="CF599">
        <v>811285366</v>
      </c>
      <c r="CS599">
        <v>3</v>
      </c>
      <c r="CT599">
        <v>2</v>
      </c>
      <c r="CU599">
        <v>0</v>
      </c>
      <c r="CV599">
        <v>2</v>
      </c>
      <c r="CW599">
        <v>3</v>
      </c>
      <c r="CX599">
        <v>3</v>
      </c>
      <c r="CY599">
        <v>7</v>
      </c>
      <c r="CZ599" t="s">
        <v>131</v>
      </c>
      <c r="DA599">
        <v>286</v>
      </c>
      <c r="DB599">
        <v>0</v>
      </c>
      <c r="DC599" t="s">
        <v>132</v>
      </c>
      <c r="DD599" t="s">
        <v>133</v>
      </c>
      <c r="DG599">
        <v>798772</v>
      </c>
      <c r="DI599">
        <v>1</v>
      </c>
      <c r="DJ599">
        <v>0</v>
      </c>
      <c r="DK599">
        <v>1</v>
      </c>
      <c r="DL599">
        <v>0</v>
      </c>
      <c r="DM599">
        <v>0</v>
      </c>
      <c r="DN599">
        <v>1</v>
      </c>
      <c r="DO599">
        <v>0</v>
      </c>
      <c r="DP599">
        <v>0</v>
      </c>
      <c r="DQ599">
        <v>0</v>
      </c>
      <c r="DR599">
        <v>0</v>
      </c>
      <c r="DS599">
        <v>0</v>
      </c>
    </row>
    <row r="600" spans="1:123" x14ac:dyDescent="0.3">
      <c r="A600" t="str">
        <f>"10/04/2022 19:27:16.011"</f>
        <v>10/04/2022 19:27:16.011</v>
      </c>
      <c r="C600" t="str">
        <f t="shared" si="212"/>
        <v>FFDFD3C0</v>
      </c>
      <c r="D600" t="s">
        <v>136</v>
      </c>
      <c r="E600">
        <v>8</v>
      </c>
      <c r="H600">
        <v>225</v>
      </c>
      <c r="I600" t="s">
        <v>137</v>
      </c>
      <c r="J600" t="s">
        <v>138</v>
      </c>
      <c r="K600">
        <v>0</v>
      </c>
      <c r="L600">
        <v>3</v>
      </c>
      <c r="M600">
        <v>0</v>
      </c>
      <c r="N600">
        <v>2</v>
      </c>
      <c r="O600">
        <v>0</v>
      </c>
      <c r="P600">
        <v>1</v>
      </c>
      <c r="Q600">
        <v>0</v>
      </c>
      <c r="S600" t="str">
        <f t="shared" si="210"/>
        <v>19:27:15.000</v>
      </c>
      <c r="T600" t="str">
        <f t="shared" si="210"/>
        <v>19:27:15.000</v>
      </c>
      <c r="U600" t="str">
        <f t="shared" si="206"/>
        <v>AC3944</v>
      </c>
      <c r="V600">
        <v>0</v>
      </c>
      <c r="W600">
        <v>0</v>
      </c>
      <c r="X600">
        <v>2</v>
      </c>
      <c r="Y600">
        <v>0</v>
      </c>
      <c r="AA600">
        <v>1</v>
      </c>
      <c r="AB600">
        <v>8</v>
      </c>
      <c r="AC600">
        <v>3</v>
      </c>
      <c r="AD600">
        <v>0</v>
      </c>
      <c r="AE600">
        <v>9</v>
      </c>
      <c r="AF600" t="s">
        <v>138</v>
      </c>
      <c r="AG600">
        <v>0</v>
      </c>
      <c r="AH600">
        <v>3</v>
      </c>
      <c r="AI600">
        <v>1</v>
      </c>
      <c r="AJ600">
        <v>0</v>
      </c>
      <c r="AK600" t="s">
        <v>312</v>
      </c>
      <c r="AL600">
        <v>32.817534999999999</v>
      </c>
      <c r="AM600" t="s">
        <v>313</v>
      </c>
      <c r="AN600">
        <v>-116.97083499999999</v>
      </c>
      <c r="AO600">
        <v>25</v>
      </c>
      <c r="AP600">
        <v>1800</v>
      </c>
      <c r="AQ600" t="s">
        <v>129</v>
      </c>
      <c r="AR600">
        <v>123</v>
      </c>
      <c r="AS600">
        <v>-14</v>
      </c>
      <c r="AT600">
        <v>1216</v>
      </c>
      <c r="BB600">
        <v>1200</v>
      </c>
      <c r="BC600">
        <v>1</v>
      </c>
      <c r="BD600" t="str">
        <f t="shared" si="207"/>
        <v xml:space="preserve">N887QR  </v>
      </c>
      <c r="BE600">
        <v>1</v>
      </c>
      <c r="BG600">
        <v>0</v>
      </c>
      <c r="BH600">
        <v>0</v>
      </c>
      <c r="BI600">
        <v>0</v>
      </c>
      <c r="BJ600">
        <v>1500</v>
      </c>
      <c r="BK600">
        <v>-300</v>
      </c>
      <c r="BL600" t="s">
        <v>163</v>
      </c>
      <c r="BM600">
        <v>1</v>
      </c>
      <c r="BN600">
        <v>1</v>
      </c>
      <c r="BO600">
        <v>1</v>
      </c>
      <c r="BP600">
        <v>0</v>
      </c>
      <c r="BS600">
        <v>0</v>
      </c>
      <c r="BT600">
        <v>0</v>
      </c>
      <c r="BU600">
        <v>0</v>
      </c>
      <c r="CE600" t="str">
        <f t="shared" si="213"/>
        <v>19:27:15.811</v>
      </c>
      <c r="CF600">
        <v>811285366</v>
      </c>
      <c r="CS600">
        <v>3</v>
      </c>
      <c r="CT600">
        <v>2</v>
      </c>
      <c r="CU600">
        <v>0</v>
      </c>
      <c r="CV600">
        <v>2</v>
      </c>
      <c r="CW600">
        <v>3</v>
      </c>
      <c r="CX600">
        <v>3</v>
      </c>
      <c r="CY600">
        <v>7</v>
      </c>
      <c r="CZ600" t="s">
        <v>131</v>
      </c>
      <c r="DA600">
        <v>286</v>
      </c>
      <c r="DB600">
        <v>0</v>
      </c>
      <c r="DC600" t="s">
        <v>132</v>
      </c>
      <c r="DD600" t="s">
        <v>133</v>
      </c>
      <c r="DG600">
        <v>798772</v>
      </c>
      <c r="DI600">
        <v>1</v>
      </c>
      <c r="DJ600">
        <v>0</v>
      </c>
      <c r="DK600">
        <v>1</v>
      </c>
      <c r="DL600">
        <v>0</v>
      </c>
      <c r="DM600">
        <v>0</v>
      </c>
      <c r="DN600">
        <v>1</v>
      </c>
      <c r="DO600">
        <v>0</v>
      </c>
      <c r="DP600">
        <v>0</v>
      </c>
      <c r="DQ600">
        <v>0</v>
      </c>
      <c r="DR600">
        <v>0</v>
      </c>
      <c r="DS600">
        <v>0</v>
      </c>
    </row>
    <row r="601" spans="1:123" x14ac:dyDescent="0.3">
      <c r="A601" t="str">
        <f>"10/04/2022 19:27:16.011"</f>
        <v>10/04/2022 19:27:16.011</v>
      </c>
      <c r="C601" t="str">
        <f t="shared" si="212"/>
        <v>FFDFD3C0</v>
      </c>
      <c r="D601" t="s">
        <v>141</v>
      </c>
      <c r="E601">
        <v>3</v>
      </c>
      <c r="H601">
        <v>3</v>
      </c>
      <c r="I601" t="s">
        <v>146</v>
      </c>
      <c r="J601" t="s">
        <v>138</v>
      </c>
      <c r="K601">
        <v>0</v>
      </c>
      <c r="L601">
        <v>3</v>
      </c>
      <c r="M601">
        <v>0</v>
      </c>
      <c r="N601">
        <v>2</v>
      </c>
      <c r="O601">
        <v>0</v>
      </c>
      <c r="P601">
        <v>1</v>
      </c>
      <c r="Q601">
        <v>0</v>
      </c>
      <c r="S601" t="str">
        <f t="shared" si="210"/>
        <v>19:27:15.000</v>
      </c>
      <c r="T601" t="str">
        <f t="shared" si="210"/>
        <v>19:27:15.000</v>
      </c>
      <c r="U601" t="str">
        <f t="shared" si="206"/>
        <v>AC3944</v>
      </c>
      <c r="V601">
        <v>0</v>
      </c>
      <c r="W601">
        <v>0</v>
      </c>
      <c r="X601">
        <v>2</v>
      </c>
      <c r="Y601">
        <v>0</v>
      </c>
      <c r="AA601">
        <v>1</v>
      </c>
      <c r="AB601">
        <v>8</v>
      </c>
      <c r="AC601">
        <v>3</v>
      </c>
      <c r="AD601">
        <v>0</v>
      </c>
      <c r="AE601">
        <v>9</v>
      </c>
      <c r="AF601" t="s">
        <v>138</v>
      </c>
      <c r="AG601">
        <v>0</v>
      </c>
      <c r="AH601">
        <v>3</v>
      </c>
      <c r="AI601">
        <v>1</v>
      </c>
      <c r="AJ601">
        <v>0</v>
      </c>
      <c r="AK601" t="s">
        <v>312</v>
      </c>
      <c r="AL601">
        <v>32.817534999999999</v>
      </c>
      <c r="AM601" t="s">
        <v>313</v>
      </c>
      <c r="AN601">
        <v>-116.97083499999999</v>
      </c>
      <c r="AO601">
        <v>25</v>
      </c>
      <c r="AP601">
        <v>1800</v>
      </c>
      <c r="AQ601" t="s">
        <v>129</v>
      </c>
      <c r="AR601">
        <v>123</v>
      </c>
      <c r="AS601">
        <v>-14</v>
      </c>
      <c r="AT601">
        <v>1216</v>
      </c>
      <c r="BB601">
        <v>1200</v>
      </c>
      <c r="BC601">
        <v>1</v>
      </c>
      <c r="BD601" t="str">
        <f t="shared" si="207"/>
        <v xml:space="preserve">N887QR  </v>
      </c>
      <c r="BE601">
        <v>1</v>
      </c>
      <c r="BG601">
        <v>0</v>
      </c>
      <c r="BH601">
        <v>0</v>
      </c>
      <c r="BI601">
        <v>0</v>
      </c>
      <c r="BJ601">
        <v>1500</v>
      </c>
      <c r="BK601">
        <v>-300</v>
      </c>
      <c r="BL601" t="s">
        <v>163</v>
      </c>
      <c r="BM601">
        <v>1</v>
      </c>
      <c r="BN601">
        <v>1</v>
      </c>
      <c r="BO601">
        <v>1</v>
      </c>
      <c r="BP601">
        <v>0</v>
      </c>
      <c r="BS601">
        <v>0</v>
      </c>
      <c r="BT601">
        <v>0</v>
      </c>
      <c r="BU601">
        <v>0</v>
      </c>
      <c r="CE601" t="str">
        <f t="shared" si="213"/>
        <v>19:27:15.811</v>
      </c>
      <c r="CF601">
        <v>811285366</v>
      </c>
      <c r="CS601">
        <v>3</v>
      </c>
      <c r="CT601">
        <v>2</v>
      </c>
      <c r="CU601">
        <v>0</v>
      </c>
      <c r="CV601">
        <v>2</v>
      </c>
      <c r="CW601">
        <v>3</v>
      </c>
      <c r="CX601">
        <v>3</v>
      </c>
      <c r="CY601">
        <v>7</v>
      </c>
      <c r="CZ601" t="s">
        <v>131</v>
      </c>
      <c r="DA601">
        <v>286</v>
      </c>
      <c r="DB601">
        <v>0</v>
      </c>
      <c r="DC601" t="s">
        <v>132</v>
      </c>
      <c r="DD601" t="s">
        <v>133</v>
      </c>
      <c r="DG601">
        <v>798772</v>
      </c>
      <c r="DI601">
        <v>1</v>
      </c>
      <c r="DJ601">
        <v>0</v>
      </c>
      <c r="DK601">
        <v>1</v>
      </c>
      <c r="DL601">
        <v>0</v>
      </c>
      <c r="DM601">
        <v>0</v>
      </c>
      <c r="DN601">
        <v>1</v>
      </c>
      <c r="DO601">
        <v>0</v>
      </c>
      <c r="DP601">
        <v>0</v>
      </c>
      <c r="DQ601">
        <v>0</v>
      </c>
      <c r="DR601">
        <v>0</v>
      </c>
      <c r="DS601">
        <v>0</v>
      </c>
    </row>
    <row r="602" spans="1:123" x14ac:dyDescent="0.3">
      <c r="A602" t="str">
        <f>"10/04/2022 19:27:16.027"</f>
        <v>10/04/2022 19:27:16.027</v>
      </c>
      <c r="C602" t="str">
        <f t="shared" si="212"/>
        <v>FFDFD3C0</v>
      </c>
      <c r="D602" t="s">
        <v>147</v>
      </c>
      <c r="E602">
        <v>3</v>
      </c>
      <c r="H602">
        <v>166</v>
      </c>
      <c r="I602" t="s">
        <v>144</v>
      </c>
      <c r="J602" t="s">
        <v>148</v>
      </c>
      <c r="K602">
        <v>0</v>
      </c>
      <c r="L602">
        <v>3</v>
      </c>
      <c r="M602">
        <v>0</v>
      </c>
      <c r="N602">
        <v>2</v>
      </c>
      <c r="O602">
        <v>0</v>
      </c>
      <c r="P602">
        <v>1</v>
      </c>
      <c r="Q602">
        <v>0</v>
      </c>
      <c r="S602" t="str">
        <f t="shared" si="210"/>
        <v>19:27:15.000</v>
      </c>
      <c r="T602" t="str">
        <f t="shared" si="210"/>
        <v>19:27:15.000</v>
      </c>
      <c r="U602" t="str">
        <f t="shared" si="206"/>
        <v>AC3944</v>
      </c>
      <c r="V602">
        <v>0</v>
      </c>
      <c r="W602">
        <v>0</v>
      </c>
      <c r="X602">
        <v>2</v>
      </c>
      <c r="Y602">
        <v>0</v>
      </c>
      <c r="AA602">
        <v>1</v>
      </c>
      <c r="AB602">
        <v>8</v>
      </c>
      <c r="AC602">
        <v>3</v>
      </c>
      <c r="AD602">
        <v>0</v>
      </c>
      <c r="AE602">
        <v>9</v>
      </c>
      <c r="AF602" t="s">
        <v>138</v>
      </c>
      <c r="AG602">
        <v>0</v>
      </c>
      <c r="AH602">
        <v>3</v>
      </c>
      <c r="AI602">
        <v>1</v>
      </c>
      <c r="AJ602">
        <v>0</v>
      </c>
      <c r="AK602" t="s">
        <v>312</v>
      </c>
      <c r="AL602">
        <v>32.817534999999999</v>
      </c>
      <c r="AM602" t="s">
        <v>313</v>
      </c>
      <c r="AN602">
        <v>-116.97083499999999</v>
      </c>
      <c r="AO602">
        <v>25</v>
      </c>
      <c r="AP602">
        <v>1800</v>
      </c>
      <c r="AQ602" t="s">
        <v>129</v>
      </c>
      <c r="AR602">
        <v>123</v>
      </c>
      <c r="AS602">
        <v>-14</v>
      </c>
      <c r="AT602">
        <v>1216</v>
      </c>
      <c r="BB602">
        <v>1200</v>
      </c>
      <c r="BC602">
        <v>1</v>
      </c>
      <c r="BD602" t="str">
        <f t="shared" si="207"/>
        <v xml:space="preserve">N887QR  </v>
      </c>
      <c r="BE602">
        <v>1</v>
      </c>
      <c r="BG602">
        <v>0</v>
      </c>
      <c r="BH602">
        <v>0</v>
      </c>
      <c r="BI602">
        <v>0</v>
      </c>
      <c r="BJ602">
        <v>1500</v>
      </c>
      <c r="BK602">
        <v>-300</v>
      </c>
      <c r="BL602" t="s">
        <v>163</v>
      </c>
      <c r="BM602">
        <v>1</v>
      </c>
      <c r="BN602">
        <v>1</v>
      </c>
      <c r="BO602">
        <v>1</v>
      </c>
      <c r="BP602">
        <v>0</v>
      </c>
      <c r="BS602">
        <v>0</v>
      </c>
      <c r="BT602">
        <v>0</v>
      </c>
      <c r="BU602">
        <v>0</v>
      </c>
      <c r="CE602" t="str">
        <f t="shared" si="213"/>
        <v>19:27:15.811</v>
      </c>
      <c r="CF602">
        <v>811285366</v>
      </c>
      <c r="CS602">
        <v>3</v>
      </c>
      <c r="CT602">
        <v>2</v>
      </c>
      <c r="CU602">
        <v>0</v>
      </c>
      <c r="CV602">
        <v>2</v>
      </c>
      <c r="CW602">
        <v>3</v>
      </c>
      <c r="CX602">
        <v>3</v>
      </c>
      <c r="CY602">
        <v>7</v>
      </c>
      <c r="CZ602" t="s">
        <v>131</v>
      </c>
      <c r="DA602">
        <v>286</v>
      </c>
      <c r="DB602">
        <v>0</v>
      </c>
      <c r="DC602" t="s">
        <v>132</v>
      </c>
      <c r="DD602" t="s">
        <v>133</v>
      </c>
      <c r="DG602">
        <v>798772</v>
      </c>
      <c r="DI602">
        <v>1</v>
      </c>
      <c r="DJ602">
        <v>0</v>
      </c>
      <c r="DK602">
        <v>1</v>
      </c>
      <c r="DL602">
        <v>0</v>
      </c>
      <c r="DM602">
        <v>0</v>
      </c>
      <c r="DN602">
        <v>1</v>
      </c>
      <c r="DO602">
        <v>0</v>
      </c>
      <c r="DP602">
        <v>0</v>
      </c>
      <c r="DQ602">
        <v>0</v>
      </c>
      <c r="DR602">
        <v>0</v>
      </c>
      <c r="DS602">
        <v>0</v>
      </c>
    </row>
    <row r="603" spans="1:123" x14ac:dyDescent="0.3">
      <c r="A603" t="str">
        <f>"10/04/2022 19:27:16.027"</f>
        <v>10/04/2022 19:27:16.027</v>
      </c>
      <c r="C603" t="str">
        <f t="shared" si="212"/>
        <v>FFDFD3C0</v>
      </c>
      <c r="D603" t="s">
        <v>143</v>
      </c>
      <c r="E603">
        <v>20</v>
      </c>
      <c r="F603">
        <v>1020</v>
      </c>
      <c r="G603" t="s">
        <v>144</v>
      </c>
      <c r="J603" t="s">
        <v>145</v>
      </c>
      <c r="K603">
        <v>0</v>
      </c>
      <c r="L603">
        <v>3</v>
      </c>
      <c r="M603">
        <v>0</v>
      </c>
      <c r="N603">
        <v>2</v>
      </c>
      <c r="O603">
        <v>0</v>
      </c>
      <c r="P603">
        <v>1</v>
      </c>
      <c r="Q603">
        <v>0</v>
      </c>
      <c r="S603" t="str">
        <f t="shared" si="210"/>
        <v>19:27:15.000</v>
      </c>
      <c r="T603" t="str">
        <f t="shared" si="210"/>
        <v>19:27:15.000</v>
      </c>
      <c r="U603" t="str">
        <f t="shared" si="206"/>
        <v>AC3944</v>
      </c>
      <c r="V603">
        <v>0</v>
      </c>
      <c r="W603">
        <v>0</v>
      </c>
      <c r="X603">
        <v>2</v>
      </c>
      <c r="Y603">
        <v>0</v>
      </c>
      <c r="AA603">
        <v>1</v>
      </c>
      <c r="AB603">
        <v>8</v>
      </c>
      <c r="AC603">
        <v>3</v>
      </c>
      <c r="AD603">
        <v>0</v>
      </c>
      <c r="AE603">
        <v>9</v>
      </c>
      <c r="AF603" t="s">
        <v>138</v>
      </c>
      <c r="AG603">
        <v>0</v>
      </c>
      <c r="AH603">
        <v>3</v>
      </c>
      <c r="AI603">
        <v>1</v>
      </c>
      <c r="AJ603">
        <v>0</v>
      </c>
      <c r="AK603" t="s">
        <v>312</v>
      </c>
      <c r="AL603">
        <v>32.817534999999999</v>
      </c>
      <c r="AM603" t="s">
        <v>313</v>
      </c>
      <c r="AN603">
        <v>-116.97083499999999</v>
      </c>
      <c r="AO603">
        <v>25</v>
      </c>
      <c r="AP603">
        <v>1800</v>
      </c>
      <c r="AQ603" t="s">
        <v>129</v>
      </c>
      <c r="AR603">
        <v>123</v>
      </c>
      <c r="AS603">
        <v>-14</v>
      </c>
      <c r="AT603">
        <v>1216</v>
      </c>
      <c r="BB603">
        <v>1200</v>
      </c>
      <c r="BC603">
        <v>1</v>
      </c>
      <c r="BD603" t="str">
        <f t="shared" si="207"/>
        <v xml:space="preserve">N887QR  </v>
      </c>
      <c r="BE603">
        <v>1</v>
      </c>
      <c r="BG603">
        <v>0</v>
      </c>
      <c r="BH603">
        <v>0</v>
      </c>
      <c r="BI603">
        <v>0</v>
      </c>
      <c r="BJ603">
        <v>1500</v>
      </c>
      <c r="BK603">
        <v>-300</v>
      </c>
      <c r="BL603" t="s">
        <v>163</v>
      </c>
      <c r="BM603">
        <v>1</v>
      </c>
      <c r="BN603">
        <v>1</v>
      </c>
      <c r="BO603">
        <v>1</v>
      </c>
      <c r="BP603">
        <v>0</v>
      </c>
      <c r="BS603">
        <v>0</v>
      </c>
      <c r="BT603">
        <v>0</v>
      </c>
      <c r="BU603">
        <v>0</v>
      </c>
      <c r="CE603" t="str">
        <f t="shared" si="213"/>
        <v>19:27:15.811</v>
      </c>
      <c r="CF603">
        <v>811285366</v>
      </c>
      <c r="CS603">
        <v>3</v>
      </c>
      <c r="CT603">
        <v>2</v>
      </c>
      <c r="CU603">
        <v>0</v>
      </c>
      <c r="CV603">
        <v>2</v>
      </c>
      <c r="CW603">
        <v>3</v>
      </c>
      <c r="CX603">
        <v>3</v>
      </c>
      <c r="CY603">
        <v>7</v>
      </c>
      <c r="CZ603" t="s">
        <v>131</v>
      </c>
      <c r="DA603">
        <v>286</v>
      </c>
      <c r="DB603">
        <v>0</v>
      </c>
      <c r="DC603" t="s">
        <v>132</v>
      </c>
      <c r="DD603" t="s">
        <v>133</v>
      </c>
      <c r="DG603">
        <v>798772</v>
      </c>
      <c r="DI603">
        <v>1</v>
      </c>
      <c r="DJ603">
        <v>0</v>
      </c>
      <c r="DK603">
        <v>1</v>
      </c>
      <c r="DL603">
        <v>0</v>
      </c>
      <c r="DM603">
        <v>0</v>
      </c>
      <c r="DN603">
        <v>1</v>
      </c>
      <c r="DO603">
        <v>0</v>
      </c>
      <c r="DP603">
        <v>0</v>
      </c>
      <c r="DQ603">
        <v>0</v>
      </c>
      <c r="DR603">
        <v>0</v>
      </c>
      <c r="DS603">
        <v>0</v>
      </c>
    </row>
    <row r="604" spans="1:123" x14ac:dyDescent="0.3">
      <c r="A604" t="str">
        <f>"10/04/2022 19:27:16.105"</f>
        <v>10/04/2022 19:27:16.105</v>
      </c>
      <c r="C604" t="str">
        <f t="shared" si="212"/>
        <v>FFDFD3C0</v>
      </c>
      <c r="D604" t="s">
        <v>123</v>
      </c>
      <c r="E604">
        <v>7</v>
      </c>
      <c r="F604">
        <v>2007</v>
      </c>
      <c r="G604" t="s">
        <v>124</v>
      </c>
      <c r="J604" t="s">
        <v>125</v>
      </c>
      <c r="K604">
        <v>0</v>
      </c>
      <c r="L604">
        <v>3</v>
      </c>
      <c r="M604">
        <v>0</v>
      </c>
      <c r="N604">
        <v>2</v>
      </c>
      <c r="O604">
        <v>0</v>
      </c>
      <c r="P604">
        <v>1</v>
      </c>
      <c r="Q604">
        <v>0</v>
      </c>
      <c r="S604" t="str">
        <f t="shared" si="210"/>
        <v>19:27:15.000</v>
      </c>
      <c r="T604" t="str">
        <f t="shared" si="210"/>
        <v>19:27:15.000</v>
      </c>
      <c r="U604" t="str">
        <f t="shared" si="206"/>
        <v>AC3944</v>
      </c>
      <c r="V604">
        <v>0</v>
      </c>
      <c r="W604">
        <v>0</v>
      </c>
      <c r="X604">
        <v>2</v>
      </c>
      <c r="Y604">
        <v>0</v>
      </c>
      <c r="AA604">
        <v>1</v>
      </c>
      <c r="AB604">
        <v>8</v>
      </c>
      <c r="AC604">
        <v>3</v>
      </c>
      <c r="AD604">
        <v>0</v>
      </c>
      <c r="AE604">
        <v>9</v>
      </c>
      <c r="AF604" t="s">
        <v>138</v>
      </c>
      <c r="AG604">
        <v>0</v>
      </c>
      <c r="AH604">
        <v>3</v>
      </c>
      <c r="AI604">
        <v>1</v>
      </c>
      <c r="AJ604">
        <v>0</v>
      </c>
      <c r="AK604" t="s">
        <v>312</v>
      </c>
      <c r="AL604">
        <v>32.817534999999999</v>
      </c>
      <c r="AM604" t="s">
        <v>313</v>
      </c>
      <c r="AN604">
        <v>-116.97083499999999</v>
      </c>
      <c r="AO604">
        <v>25</v>
      </c>
      <c r="AP604">
        <v>1800</v>
      </c>
      <c r="AQ604" t="s">
        <v>129</v>
      </c>
      <c r="AR604">
        <v>123</v>
      </c>
      <c r="AS604">
        <v>-14</v>
      </c>
      <c r="AT604">
        <v>1216</v>
      </c>
      <c r="BB604">
        <v>1200</v>
      </c>
      <c r="BC604">
        <v>1</v>
      </c>
      <c r="BD604" t="str">
        <f t="shared" si="207"/>
        <v xml:space="preserve">N887QR  </v>
      </c>
      <c r="BE604">
        <v>1</v>
      </c>
      <c r="BG604">
        <v>0</v>
      </c>
      <c r="BH604">
        <v>0</v>
      </c>
      <c r="BI604">
        <v>0</v>
      </c>
      <c r="BJ604">
        <v>1500</v>
      </c>
      <c r="BK604">
        <v>-300</v>
      </c>
      <c r="BL604" t="s">
        <v>163</v>
      </c>
      <c r="BM604">
        <v>1</v>
      </c>
      <c r="BN604">
        <v>1</v>
      </c>
      <c r="BO604">
        <v>1</v>
      </c>
      <c r="BP604">
        <v>0</v>
      </c>
      <c r="BS604">
        <v>0</v>
      </c>
      <c r="BT604">
        <v>0</v>
      </c>
      <c r="BU604">
        <v>0</v>
      </c>
      <c r="CE604" t="str">
        <f t="shared" si="213"/>
        <v>19:27:15.811</v>
      </c>
      <c r="CF604">
        <v>811285366</v>
      </c>
      <c r="CS604">
        <v>3</v>
      </c>
      <c r="CT604">
        <v>2</v>
      </c>
      <c r="CU604">
        <v>0</v>
      </c>
      <c r="CV604">
        <v>2</v>
      </c>
      <c r="CW604">
        <v>3</v>
      </c>
      <c r="CX604">
        <v>3</v>
      </c>
      <c r="CY604">
        <v>7</v>
      </c>
      <c r="CZ604" t="s">
        <v>131</v>
      </c>
      <c r="DA604">
        <v>286</v>
      </c>
      <c r="DB604">
        <v>0</v>
      </c>
      <c r="DC604" t="s">
        <v>132</v>
      </c>
      <c r="DD604" t="s">
        <v>133</v>
      </c>
      <c r="DG604">
        <v>798772</v>
      </c>
      <c r="DI604">
        <v>1</v>
      </c>
      <c r="DJ604">
        <v>0</v>
      </c>
      <c r="DK604">
        <v>1</v>
      </c>
      <c r="DL604">
        <v>0</v>
      </c>
      <c r="DM604">
        <v>0</v>
      </c>
      <c r="DN604">
        <v>1</v>
      </c>
      <c r="DO604">
        <v>0</v>
      </c>
      <c r="DP604">
        <v>0</v>
      </c>
      <c r="DQ604">
        <v>0</v>
      </c>
      <c r="DR604">
        <v>0</v>
      </c>
      <c r="DS604">
        <v>0</v>
      </c>
    </row>
    <row r="605" spans="1:123" x14ac:dyDescent="0.3">
      <c r="A605" t="str">
        <f>"10/04/2022 19:27:17.586"</f>
        <v>10/04/2022 19:27:17.586</v>
      </c>
      <c r="C605" t="str">
        <f t="shared" si="212"/>
        <v>FFDFD3C0</v>
      </c>
      <c r="D605" t="s">
        <v>141</v>
      </c>
      <c r="E605">
        <v>3</v>
      </c>
      <c r="H605">
        <v>3</v>
      </c>
      <c r="I605" t="s">
        <v>146</v>
      </c>
      <c r="J605" t="s">
        <v>138</v>
      </c>
      <c r="K605">
        <v>0</v>
      </c>
      <c r="L605">
        <v>3</v>
      </c>
      <c r="M605">
        <v>0</v>
      </c>
      <c r="N605">
        <v>2</v>
      </c>
      <c r="O605">
        <v>0</v>
      </c>
      <c r="P605">
        <v>1</v>
      </c>
      <c r="Q605">
        <v>0</v>
      </c>
      <c r="S605" t="str">
        <f t="shared" ref="S605:T611" si="214">"19:27:17.000"</f>
        <v>19:27:17.000</v>
      </c>
      <c r="T605" t="str">
        <f t="shared" si="214"/>
        <v>19:27:17.000</v>
      </c>
      <c r="U605" t="str">
        <f t="shared" si="206"/>
        <v>AC3944</v>
      </c>
      <c r="V605">
        <v>0</v>
      </c>
      <c r="W605">
        <v>0</v>
      </c>
      <c r="X605">
        <v>2</v>
      </c>
      <c r="Y605">
        <v>0</v>
      </c>
      <c r="AA605">
        <v>1</v>
      </c>
      <c r="AB605">
        <v>8</v>
      </c>
      <c r="AC605">
        <v>3</v>
      </c>
      <c r="AD605">
        <v>0</v>
      </c>
      <c r="AE605">
        <v>9</v>
      </c>
      <c r="AF605" t="s">
        <v>138</v>
      </c>
      <c r="AG605">
        <v>0</v>
      </c>
      <c r="AH605">
        <v>3</v>
      </c>
      <c r="AI605">
        <v>1</v>
      </c>
      <c r="AJ605">
        <v>0</v>
      </c>
      <c r="AK605" t="s">
        <v>314</v>
      </c>
      <c r="AL605">
        <v>32.817470999999998</v>
      </c>
      <c r="AM605" t="s">
        <v>315</v>
      </c>
      <c r="AN605">
        <v>-116.969998</v>
      </c>
      <c r="AO605">
        <v>25</v>
      </c>
      <c r="AP605">
        <v>1800</v>
      </c>
      <c r="AQ605" t="s">
        <v>129</v>
      </c>
      <c r="AR605">
        <v>123</v>
      </c>
      <c r="AS605">
        <v>-11</v>
      </c>
      <c r="AT605">
        <v>1216</v>
      </c>
      <c r="BB605">
        <v>1200</v>
      </c>
      <c r="BC605">
        <v>1</v>
      </c>
      <c r="BD605" t="str">
        <f t="shared" si="207"/>
        <v xml:space="preserve">N887QR  </v>
      </c>
      <c r="BE605">
        <v>1</v>
      </c>
      <c r="BG605">
        <v>0</v>
      </c>
      <c r="BH605">
        <v>0</v>
      </c>
      <c r="BI605">
        <v>0</v>
      </c>
      <c r="BJ605">
        <v>1525</v>
      </c>
      <c r="BK605">
        <v>-275</v>
      </c>
      <c r="BL605" t="s">
        <v>163</v>
      </c>
      <c r="BM605">
        <v>1</v>
      </c>
      <c r="BN605">
        <v>1</v>
      </c>
      <c r="BO605">
        <v>1</v>
      </c>
      <c r="BP605">
        <v>0</v>
      </c>
      <c r="BS605">
        <v>0</v>
      </c>
      <c r="BT605">
        <v>0</v>
      </c>
      <c r="BU605">
        <v>0</v>
      </c>
      <c r="CE605" t="str">
        <f t="shared" ref="CE605:CE611" si="215">"19:27:17.411"</f>
        <v>19:27:17.411</v>
      </c>
      <c r="CF605">
        <v>410519744</v>
      </c>
      <c r="CS605">
        <v>3</v>
      </c>
      <c r="CT605">
        <v>2</v>
      </c>
      <c r="CU605">
        <v>0</v>
      </c>
      <c r="CV605">
        <v>2</v>
      </c>
      <c r="CW605">
        <v>0</v>
      </c>
      <c r="CX605">
        <v>5</v>
      </c>
      <c r="CY605">
        <v>7</v>
      </c>
      <c r="CZ605" t="s">
        <v>131</v>
      </c>
      <c r="DA605">
        <v>300</v>
      </c>
      <c r="DB605">
        <v>0</v>
      </c>
      <c r="DC605" t="s">
        <v>176</v>
      </c>
      <c r="DD605" t="s">
        <v>177</v>
      </c>
      <c r="DG605">
        <v>5366973</v>
      </c>
      <c r="DI605">
        <v>1</v>
      </c>
      <c r="DJ605">
        <v>0</v>
      </c>
      <c r="DK605">
        <v>0</v>
      </c>
      <c r="DL605">
        <v>0</v>
      </c>
      <c r="DM605">
        <v>0</v>
      </c>
      <c r="DN605">
        <v>1</v>
      </c>
      <c r="DO605">
        <v>0</v>
      </c>
      <c r="DP605">
        <v>0</v>
      </c>
      <c r="DQ605">
        <v>0</v>
      </c>
      <c r="DR605">
        <v>0</v>
      </c>
      <c r="DS605">
        <v>0</v>
      </c>
    </row>
    <row r="606" spans="1:123" x14ac:dyDescent="0.3">
      <c r="A606" t="str">
        <f>"10/04/2022 19:27:17.586"</f>
        <v>10/04/2022 19:27:17.586</v>
      </c>
      <c r="C606" t="str">
        <f t="shared" si="212"/>
        <v>FFDFD3C0</v>
      </c>
      <c r="D606" t="s">
        <v>147</v>
      </c>
      <c r="E606">
        <v>3</v>
      </c>
      <c r="H606">
        <v>166</v>
      </c>
      <c r="I606" t="s">
        <v>144</v>
      </c>
      <c r="J606" t="s">
        <v>148</v>
      </c>
      <c r="K606">
        <v>0</v>
      </c>
      <c r="L606">
        <v>3</v>
      </c>
      <c r="M606">
        <v>0</v>
      </c>
      <c r="N606">
        <v>2</v>
      </c>
      <c r="O606">
        <v>0</v>
      </c>
      <c r="P606">
        <v>1</v>
      </c>
      <c r="Q606">
        <v>0</v>
      </c>
      <c r="S606" t="str">
        <f t="shared" si="214"/>
        <v>19:27:17.000</v>
      </c>
      <c r="T606" t="str">
        <f t="shared" si="214"/>
        <v>19:27:17.000</v>
      </c>
      <c r="U606" t="str">
        <f t="shared" si="206"/>
        <v>AC3944</v>
      </c>
      <c r="V606">
        <v>0</v>
      </c>
      <c r="W606">
        <v>0</v>
      </c>
      <c r="X606">
        <v>2</v>
      </c>
      <c r="Y606">
        <v>0</v>
      </c>
      <c r="AA606">
        <v>1</v>
      </c>
      <c r="AB606">
        <v>8</v>
      </c>
      <c r="AC606">
        <v>3</v>
      </c>
      <c r="AD606">
        <v>0</v>
      </c>
      <c r="AE606">
        <v>9</v>
      </c>
      <c r="AF606" t="s">
        <v>138</v>
      </c>
      <c r="AG606">
        <v>0</v>
      </c>
      <c r="AH606">
        <v>3</v>
      </c>
      <c r="AI606">
        <v>1</v>
      </c>
      <c r="AJ606">
        <v>0</v>
      </c>
      <c r="AK606" t="s">
        <v>314</v>
      </c>
      <c r="AL606">
        <v>32.817470999999998</v>
      </c>
      <c r="AM606" t="s">
        <v>315</v>
      </c>
      <c r="AN606">
        <v>-116.969998</v>
      </c>
      <c r="AO606">
        <v>25</v>
      </c>
      <c r="AP606">
        <v>1800</v>
      </c>
      <c r="AQ606" t="s">
        <v>129</v>
      </c>
      <c r="AR606">
        <v>123</v>
      </c>
      <c r="AS606">
        <v>-11</v>
      </c>
      <c r="AT606">
        <v>1216</v>
      </c>
      <c r="BB606">
        <v>1200</v>
      </c>
      <c r="BC606">
        <v>1</v>
      </c>
      <c r="BD606" t="str">
        <f t="shared" si="207"/>
        <v xml:space="preserve">N887QR  </v>
      </c>
      <c r="BE606">
        <v>1</v>
      </c>
      <c r="BG606">
        <v>0</v>
      </c>
      <c r="BH606">
        <v>0</v>
      </c>
      <c r="BI606">
        <v>0</v>
      </c>
      <c r="BJ606">
        <v>1525</v>
      </c>
      <c r="BK606">
        <v>-275</v>
      </c>
      <c r="BL606" t="s">
        <v>163</v>
      </c>
      <c r="BM606">
        <v>1</v>
      </c>
      <c r="BN606">
        <v>1</v>
      </c>
      <c r="BO606">
        <v>1</v>
      </c>
      <c r="BP606">
        <v>0</v>
      </c>
      <c r="BS606">
        <v>0</v>
      </c>
      <c r="BT606">
        <v>0</v>
      </c>
      <c r="BU606">
        <v>0</v>
      </c>
      <c r="CE606" t="str">
        <f t="shared" si="215"/>
        <v>19:27:17.411</v>
      </c>
      <c r="CF606">
        <v>410519744</v>
      </c>
      <c r="CS606">
        <v>3</v>
      </c>
      <c r="CT606">
        <v>2</v>
      </c>
      <c r="CU606">
        <v>0</v>
      </c>
      <c r="CV606">
        <v>2</v>
      </c>
      <c r="CW606">
        <v>0</v>
      </c>
      <c r="CX606">
        <v>5</v>
      </c>
      <c r="CY606">
        <v>7</v>
      </c>
      <c r="CZ606" t="s">
        <v>131</v>
      </c>
      <c r="DA606">
        <v>300</v>
      </c>
      <c r="DB606">
        <v>0</v>
      </c>
      <c r="DC606" t="s">
        <v>176</v>
      </c>
      <c r="DD606" t="s">
        <v>177</v>
      </c>
      <c r="DG606">
        <v>5366973</v>
      </c>
      <c r="DI606">
        <v>1</v>
      </c>
      <c r="DJ606">
        <v>0</v>
      </c>
      <c r="DK606">
        <v>1</v>
      </c>
      <c r="DL606">
        <v>0</v>
      </c>
      <c r="DM606">
        <v>0</v>
      </c>
      <c r="DN606">
        <v>1</v>
      </c>
      <c r="DO606">
        <v>0</v>
      </c>
      <c r="DP606">
        <v>0</v>
      </c>
      <c r="DQ606">
        <v>0</v>
      </c>
      <c r="DR606">
        <v>0</v>
      </c>
      <c r="DS606">
        <v>0</v>
      </c>
    </row>
    <row r="607" spans="1:123" x14ac:dyDescent="0.3">
      <c r="A607" t="str">
        <f>"10/04/2022 19:27:17.586"</f>
        <v>10/04/2022 19:27:17.586</v>
      </c>
      <c r="C607" t="str">
        <f t="shared" si="212"/>
        <v>FFDFD3C0</v>
      </c>
      <c r="D607" t="s">
        <v>143</v>
      </c>
      <c r="E607">
        <v>20</v>
      </c>
      <c r="F607">
        <v>1020</v>
      </c>
      <c r="G607" t="s">
        <v>144</v>
      </c>
      <c r="J607" t="s">
        <v>145</v>
      </c>
      <c r="K607">
        <v>0</v>
      </c>
      <c r="L607">
        <v>3</v>
      </c>
      <c r="M607">
        <v>0</v>
      </c>
      <c r="N607">
        <v>2</v>
      </c>
      <c r="O607">
        <v>0</v>
      </c>
      <c r="P607">
        <v>1</v>
      </c>
      <c r="Q607">
        <v>0</v>
      </c>
      <c r="S607" t="str">
        <f t="shared" si="214"/>
        <v>19:27:17.000</v>
      </c>
      <c r="T607" t="str">
        <f t="shared" si="214"/>
        <v>19:27:17.000</v>
      </c>
      <c r="U607" t="str">
        <f t="shared" si="206"/>
        <v>AC3944</v>
      </c>
      <c r="V607">
        <v>0</v>
      </c>
      <c r="W607">
        <v>0</v>
      </c>
      <c r="X607">
        <v>2</v>
      </c>
      <c r="Y607">
        <v>0</v>
      </c>
      <c r="AA607">
        <v>1</v>
      </c>
      <c r="AB607">
        <v>8</v>
      </c>
      <c r="AC607">
        <v>3</v>
      </c>
      <c r="AD607">
        <v>0</v>
      </c>
      <c r="AE607">
        <v>9</v>
      </c>
      <c r="AF607" t="s">
        <v>138</v>
      </c>
      <c r="AG607">
        <v>0</v>
      </c>
      <c r="AH607">
        <v>3</v>
      </c>
      <c r="AI607">
        <v>1</v>
      </c>
      <c r="AJ607">
        <v>0</v>
      </c>
      <c r="AK607" t="s">
        <v>314</v>
      </c>
      <c r="AL607">
        <v>32.817470999999998</v>
      </c>
      <c r="AM607" t="s">
        <v>315</v>
      </c>
      <c r="AN607">
        <v>-116.969998</v>
      </c>
      <c r="AO607">
        <v>25</v>
      </c>
      <c r="AP607">
        <v>1800</v>
      </c>
      <c r="AQ607" t="s">
        <v>129</v>
      </c>
      <c r="AR607">
        <v>123</v>
      </c>
      <c r="AS607">
        <v>-11</v>
      </c>
      <c r="AT607">
        <v>1216</v>
      </c>
      <c r="BB607">
        <v>1200</v>
      </c>
      <c r="BC607">
        <v>1</v>
      </c>
      <c r="BD607" t="str">
        <f t="shared" si="207"/>
        <v xml:space="preserve">N887QR  </v>
      </c>
      <c r="BE607">
        <v>1</v>
      </c>
      <c r="BG607">
        <v>0</v>
      </c>
      <c r="BH607">
        <v>0</v>
      </c>
      <c r="BI607">
        <v>0</v>
      </c>
      <c r="BJ607">
        <v>1525</v>
      </c>
      <c r="BK607">
        <v>-275</v>
      </c>
      <c r="BL607" t="s">
        <v>163</v>
      </c>
      <c r="BM607">
        <v>1</v>
      </c>
      <c r="BN607">
        <v>1</v>
      </c>
      <c r="BO607">
        <v>1</v>
      </c>
      <c r="BP607">
        <v>0</v>
      </c>
      <c r="BS607">
        <v>0</v>
      </c>
      <c r="BT607">
        <v>0</v>
      </c>
      <c r="BU607">
        <v>0</v>
      </c>
      <c r="CE607" t="str">
        <f t="shared" si="215"/>
        <v>19:27:17.411</v>
      </c>
      <c r="CF607">
        <v>410519744</v>
      </c>
      <c r="CS607">
        <v>3</v>
      </c>
      <c r="CT607">
        <v>2</v>
      </c>
      <c r="CU607">
        <v>0</v>
      </c>
      <c r="CV607">
        <v>2</v>
      </c>
      <c r="CW607">
        <v>0</v>
      </c>
      <c r="CX607">
        <v>5</v>
      </c>
      <c r="CY607">
        <v>7</v>
      </c>
      <c r="CZ607" t="s">
        <v>131</v>
      </c>
      <c r="DA607">
        <v>300</v>
      </c>
      <c r="DB607">
        <v>0</v>
      </c>
      <c r="DC607" t="s">
        <v>176</v>
      </c>
      <c r="DD607" t="s">
        <v>177</v>
      </c>
      <c r="DG607">
        <v>5366973</v>
      </c>
      <c r="DI607">
        <v>1</v>
      </c>
      <c r="DJ607">
        <v>0</v>
      </c>
      <c r="DK607">
        <v>1</v>
      </c>
      <c r="DL607">
        <v>0</v>
      </c>
      <c r="DM607">
        <v>0</v>
      </c>
      <c r="DN607">
        <v>1</v>
      </c>
      <c r="DO607">
        <v>0</v>
      </c>
      <c r="DP607">
        <v>0</v>
      </c>
      <c r="DQ607">
        <v>0</v>
      </c>
      <c r="DR607">
        <v>0</v>
      </c>
      <c r="DS607">
        <v>0</v>
      </c>
    </row>
    <row r="608" spans="1:123" x14ac:dyDescent="0.3">
      <c r="A608" t="str">
        <f>"10/04/2022 19:27:17.633"</f>
        <v>10/04/2022 19:27:17.633</v>
      </c>
      <c r="C608" t="str">
        <f t="shared" si="212"/>
        <v>FFDFD3C0</v>
      </c>
      <c r="D608" t="s">
        <v>123</v>
      </c>
      <c r="E608">
        <v>7</v>
      </c>
      <c r="F608">
        <v>2007</v>
      </c>
      <c r="G608" t="s">
        <v>124</v>
      </c>
      <c r="J608" t="s">
        <v>125</v>
      </c>
      <c r="K608">
        <v>0</v>
      </c>
      <c r="L608">
        <v>3</v>
      </c>
      <c r="M608">
        <v>0</v>
      </c>
      <c r="N608">
        <v>2</v>
      </c>
      <c r="O608">
        <v>0</v>
      </c>
      <c r="P608">
        <v>1</v>
      </c>
      <c r="Q608">
        <v>0</v>
      </c>
      <c r="S608" t="str">
        <f t="shared" si="214"/>
        <v>19:27:17.000</v>
      </c>
      <c r="T608" t="str">
        <f t="shared" si="214"/>
        <v>19:27:17.000</v>
      </c>
      <c r="U608" t="str">
        <f t="shared" si="206"/>
        <v>AC3944</v>
      </c>
      <c r="V608">
        <v>0</v>
      </c>
      <c r="W608">
        <v>0</v>
      </c>
      <c r="X608">
        <v>2</v>
      </c>
      <c r="Y608">
        <v>0</v>
      </c>
      <c r="AA608">
        <v>1</v>
      </c>
      <c r="AB608">
        <v>8</v>
      </c>
      <c r="AC608">
        <v>3</v>
      </c>
      <c r="AD608">
        <v>0</v>
      </c>
      <c r="AE608">
        <v>9</v>
      </c>
      <c r="AF608" t="s">
        <v>138</v>
      </c>
      <c r="AG608">
        <v>0</v>
      </c>
      <c r="AH608">
        <v>3</v>
      </c>
      <c r="AI608">
        <v>1</v>
      </c>
      <c r="AJ608">
        <v>0</v>
      </c>
      <c r="AK608" t="s">
        <v>314</v>
      </c>
      <c r="AL608">
        <v>32.817470999999998</v>
      </c>
      <c r="AM608" t="s">
        <v>315</v>
      </c>
      <c r="AN608">
        <v>-116.969998</v>
      </c>
      <c r="AO608">
        <v>25</v>
      </c>
      <c r="AP608">
        <v>1800</v>
      </c>
      <c r="AQ608" t="s">
        <v>129</v>
      </c>
      <c r="AR608">
        <v>123</v>
      </c>
      <c r="AS608">
        <v>-11</v>
      </c>
      <c r="AT608">
        <v>1216</v>
      </c>
      <c r="BB608">
        <v>1200</v>
      </c>
      <c r="BC608">
        <v>1</v>
      </c>
      <c r="BD608" t="str">
        <f t="shared" si="207"/>
        <v xml:space="preserve">N887QR  </v>
      </c>
      <c r="BE608">
        <v>1</v>
      </c>
      <c r="BG608">
        <v>0</v>
      </c>
      <c r="BH608">
        <v>0</v>
      </c>
      <c r="BI608">
        <v>0</v>
      </c>
      <c r="BJ608">
        <v>1525</v>
      </c>
      <c r="BK608">
        <v>-275</v>
      </c>
      <c r="BL608" t="s">
        <v>163</v>
      </c>
      <c r="BM608">
        <v>1</v>
      </c>
      <c r="BN608">
        <v>1</v>
      </c>
      <c r="BO608">
        <v>1</v>
      </c>
      <c r="BP608">
        <v>0</v>
      </c>
      <c r="BS608">
        <v>0</v>
      </c>
      <c r="BT608">
        <v>0</v>
      </c>
      <c r="BU608">
        <v>0</v>
      </c>
      <c r="CE608" t="str">
        <f t="shared" si="215"/>
        <v>19:27:17.411</v>
      </c>
      <c r="CF608">
        <v>410519744</v>
      </c>
      <c r="CS608">
        <v>3</v>
      </c>
      <c r="CT608">
        <v>2</v>
      </c>
      <c r="CU608">
        <v>0</v>
      </c>
      <c r="CV608">
        <v>2</v>
      </c>
      <c r="CW608">
        <v>0</v>
      </c>
      <c r="CX608">
        <v>5</v>
      </c>
      <c r="CY608">
        <v>7</v>
      </c>
      <c r="CZ608" t="s">
        <v>131</v>
      </c>
      <c r="DA608">
        <v>300</v>
      </c>
      <c r="DB608">
        <v>0</v>
      </c>
      <c r="DC608" t="s">
        <v>176</v>
      </c>
      <c r="DD608" t="s">
        <v>177</v>
      </c>
      <c r="DG608">
        <v>5366973</v>
      </c>
      <c r="DI608">
        <v>1</v>
      </c>
      <c r="DJ608">
        <v>0</v>
      </c>
      <c r="DK608">
        <v>1</v>
      </c>
      <c r="DL608">
        <v>0</v>
      </c>
      <c r="DM608">
        <v>0</v>
      </c>
      <c r="DN608">
        <v>1</v>
      </c>
      <c r="DO608">
        <v>0</v>
      </c>
      <c r="DP608">
        <v>0</v>
      </c>
      <c r="DQ608">
        <v>0</v>
      </c>
      <c r="DR608">
        <v>0</v>
      </c>
      <c r="DS608">
        <v>0</v>
      </c>
    </row>
    <row r="609" spans="1:123" x14ac:dyDescent="0.3">
      <c r="A609" t="str">
        <f>"10/04/2022 19:27:17.633"</f>
        <v>10/04/2022 19:27:17.633</v>
      </c>
      <c r="C609" t="str">
        <f t="shared" si="212"/>
        <v>FFDFD3C0</v>
      </c>
      <c r="D609" t="s">
        <v>141</v>
      </c>
      <c r="E609">
        <v>4</v>
      </c>
      <c r="H609">
        <v>4</v>
      </c>
      <c r="I609" t="s">
        <v>142</v>
      </c>
      <c r="J609" t="s">
        <v>138</v>
      </c>
      <c r="K609">
        <v>0</v>
      </c>
      <c r="L609">
        <v>3</v>
      </c>
      <c r="M609">
        <v>0</v>
      </c>
      <c r="N609">
        <v>2</v>
      </c>
      <c r="O609">
        <v>0</v>
      </c>
      <c r="P609">
        <v>1</v>
      </c>
      <c r="Q609">
        <v>0</v>
      </c>
      <c r="S609" t="str">
        <f t="shared" si="214"/>
        <v>19:27:17.000</v>
      </c>
      <c r="T609" t="str">
        <f t="shared" si="214"/>
        <v>19:27:17.000</v>
      </c>
      <c r="U609" t="str">
        <f t="shared" si="206"/>
        <v>AC3944</v>
      </c>
      <c r="V609">
        <v>0</v>
      </c>
      <c r="W609">
        <v>0</v>
      </c>
      <c r="X609">
        <v>2</v>
      </c>
      <c r="Y609">
        <v>0</v>
      </c>
      <c r="AA609">
        <v>1</v>
      </c>
      <c r="AB609">
        <v>8</v>
      </c>
      <c r="AC609">
        <v>3</v>
      </c>
      <c r="AD609">
        <v>0</v>
      </c>
      <c r="AE609">
        <v>9</v>
      </c>
      <c r="AF609" t="s">
        <v>138</v>
      </c>
      <c r="AG609">
        <v>0</v>
      </c>
      <c r="AH609">
        <v>3</v>
      </c>
      <c r="AI609">
        <v>1</v>
      </c>
      <c r="AJ609">
        <v>0</v>
      </c>
      <c r="AK609" t="s">
        <v>314</v>
      </c>
      <c r="AL609">
        <v>32.817470999999998</v>
      </c>
      <c r="AM609" t="s">
        <v>315</v>
      </c>
      <c r="AN609">
        <v>-116.969998</v>
      </c>
      <c r="AO609">
        <v>25</v>
      </c>
      <c r="AP609">
        <v>1800</v>
      </c>
      <c r="AQ609" t="s">
        <v>129</v>
      </c>
      <c r="AR609">
        <v>123</v>
      </c>
      <c r="AS609">
        <v>-11</v>
      </c>
      <c r="AT609">
        <v>1216</v>
      </c>
      <c r="BB609">
        <v>1200</v>
      </c>
      <c r="BC609">
        <v>1</v>
      </c>
      <c r="BD609" t="str">
        <f t="shared" si="207"/>
        <v xml:space="preserve">N887QR  </v>
      </c>
      <c r="BE609">
        <v>1</v>
      </c>
      <c r="BG609">
        <v>0</v>
      </c>
      <c r="BH609">
        <v>0</v>
      </c>
      <c r="BI609">
        <v>0</v>
      </c>
      <c r="BJ609">
        <v>1525</v>
      </c>
      <c r="BK609">
        <v>-275</v>
      </c>
      <c r="BL609" t="s">
        <v>163</v>
      </c>
      <c r="BM609">
        <v>1</v>
      </c>
      <c r="BN609">
        <v>1</v>
      </c>
      <c r="BO609">
        <v>1</v>
      </c>
      <c r="BP609">
        <v>0</v>
      </c>
      <c r="BS609">
        <v>0</v>
      </c>
      <c r="BT609">
        <v>0</v>
      </c>
      <c r="BU609">
        <v>0</v>
      </c>
      <c r="CE609" t="str">
        <f t="shared" si="215"/>
        <v>19:27:17.411</v>
      </c>
      <c r="CF609">
        <v>410519744</v>
      </c>
      <c r="CS609">
        <v>3</v>
      </c>
      <c r="CT609">
        <v>2</v>
      </c>
      <c r="CU609">
        <v>0</v>
      </c>
      <c r="CV609">
        <v>2</v>
      </c>
      <c r="CW609">
        <v>0</v>
      </c>
      <c r="CX609">
        <v>5</v>
      </c>
      <c r="CY609">
        <v>7</v>
      </c>
      <c r="CZ609" t="s">
        <v>131</v>
      </c>
      <c r="DA609">
        <v>300</v>
      </c>
      <c r="DB609">
        <v>0</v>
      </c>
      <c r="DC609" t="s">
        <v>176</v>
      </c>
      <c r="DD609" t="s">
        <v>177</v>
      </c>
      <c r="DG609">
        <v>5366973</v>
      </c>
      <c r="DI609">
        <v>1</v>
      </c>
      <c r="DJ609">
        <v>0</v>
      </c>
      <c r="DK609">
        <v>1</v>
      </c>
      <c r="DL609">
        <v>0</v>
      </c>
      <c r="DM609">
        <v>0</v>
      </c>
      <c r="DN609">
        <v>1</v>
      </c>
      <c r="DO609">
        <v>0</v>
      </c>
      <c r="DP609">
        <v>0</v>
      </c>
      <c r="DQ609">
        <v>0</v>
      </c>
      <c r="DR609">
        <v>0</v>
      </c>
      <c r="DS609">
        <v>0</v>
      </c>
    </row>
    <row r="610" spans="1:123" x14ac:dyDescent="0.3">
      <c r="A610" t="str">
        <f>"10/04/2022 19:27:17.633"</f>
        <v>10/04/2022 19:27:17.633</v>
      </c>
      <c r="C610" t="str">
        <f t="shared" si="212"/>
        <v>FFDFD3C0</v>
      </c>
      <c r="D610" t="s">
        <v>136</v>
      </c>
      <c r="E610">
        <v>8</v>
      </c>
      <c r="H610">
        <v>225</v>
      </c>
      <c r="I610" t="s">
        <v>137</v>
      </c>
      <c r="J610" t="s">
        <v>138</v>
      </c>
      <c r="K610">
        <v>0</v>
      </c>
      <c r="L610">
        <v>3</v>
      </c>
      <c r="M610">
        <v>0</v>
      </c>
      <c r="N610">
        <v>2</v>
      </c>
      <c r="O610">
        <v>0</v>
      </c>
      <c r="P610">
        <v>1</v>
      </c>
      <c r="Q610">
        <v>0</v>
      </c>
      <c r="S610" t="str">
        <f t="shared" si="214"/>
        <v>19:27:17.000</v>
      </c>
      <c r="T610" t="str">
        <f t="shared" si="214"/>
        <v>19:27:17.000</v>
      </c>
      <c r="U610" t="str">
        <f t="shared" si="206"/>
        <v>AC3944</v>
      </c>
      <c r="V610">
        <v>0</v>
      </c>
      <c r="W610">
        <v>0</v>
      </c>
      <c r="X610">
        <v>2</v>
      </c>
      <c r="Y610">
        <v>0</v>
      </c>
      <c r="AA610">
        <v>1</v>
      </c>
      <c r="AB610">
        <v>8</v>
      </c>
      <c r="AC610">
        <v>3</v>
      </c>
      <c r="AD610">
        <v>0</v>
      </c>
      <c r="AE610">
        <v>9</v>
      </c>
      <c r="AF610" t="s">
        <v>138</v>
      </c>
      <c r="AG610">
        <v>0</v>
      </c>
      <c r="AH610">
        <v>3</v>
      </c>
      <c r="AI610">
        <v>1</v>
      </c>
      <c r="AJ610">
        <v>0</v>
      </c>
      <c r="AK610" t="s">
        <v>314</v>
      </c>
      <c r="AL610">
        <v>32.817470999999998</v>
      </c>
      <c r="AM610" t="s">
        <v>315</v>
      </c>
      <c r="AN610">
        <v>-116.969998</v>
      </c>
      <c r="AO610">
        <v>25</v>
      </c>
      <c r="AP610">
        <v>1800</v>
      </c>
      <c r="AQ610" t="s">
        <v>129</v>
      </c>
      <c r="AR610">
        <v>123</v>
      </c>
      <c r="AS610">
        <v>-11</v>
      </c>
      <c r="AT610">
        <v>1216</v>
      </c>
      <c r="BB610">
        <v>1200</v>
      </c>
      <c r="BC610">
        <v>1</v>
      </c>
      <c r="BD610" t="str">
        <f t="shared" si="207"/>
        <v xml:space="preserve">N887QR  </v>
      </c>
      <c r="BE610">
        <v>1</v>
      </c>
      <c r="BG610">
        <v>0</v>
      </c>
      <c r="BH610">
        <v>0</v>
      </c>
      <c r="BI610">
        <v>0</v>
      </c>
      <c r="BJ610">
        <v>1525</v>
      </c>
      <c r="BK610">
        <v>-275</v>
      </c>
      <c r="BL610" t="s">
        <v>163</v>
      </c>
      <c r="BM610">
        <v>1</v>
      </c>
      <c r="BN610">
        <v>1</v>
      </c>
      <c r="BO610">
        <v>1</v>
      </c>
      <c r="BP610">
        <v>0</v>
      </c>
      <c r="BS610">
        <v>0</v>
      </c>
      <c r="BT610">
        <v>0</v>
      </c>
      <c r="BU610">
        <v>0</v>
      </c>
      <c r="CE610" t="str">
        <f t="shared" si="215"/>
        <v>19:27:17.411</v>
      </c>
      <c r="CF610">
        <v>410519744</v>
      </c>
      <c r="CS610">
        <v>3</v>
      </c>
      <c r="CT610">
        <v>2</v>
      </c>
      <c r="CU610">
        <v>0</v>
      </c>
      <c r="CV610">
        <v>2</v>
      </c>
      <c r="CW610">
        <v>0</v>
      </c>
      <c r="CX610">
        <v>5</v>
      </c>
      <c r="CY610">
        <v>7</v>
      </c>
      <c r="CZ610" t="s">
        <v>131</v>
      </c>
      <c r="DA610">
        <v>300</v>
      </c>
      <c r="DB610">
        <v>0</v>
      </c>
      <c r="DC610" t="s">
        <v>176</v>
      </c>
      <c r="DD610" t="s">
        <v>177</v>
      </c>
      <c r="DG610">
        <v>5366973</v>
      </c>
      <c r="DI610">
        <v>1</v>
      </c>
      <c r="DJ610">
        <v>0</v>
      </c>
      <c r="DK610">
        <v>1</v>
      </c>
      <c r="DL610">
        <v>0</v>
      </c>
      <c r="DM610">
        <v>0</v>
      </c>
      <c r="DN610">
        <v>1</v>
      </c>
      <c r="DO610">
        <v>0</v>
      </c>
      <c r="DP610">
        <v>0</v>
      </c>
      <c r="DQ610">
        <v>0</v>
      </c>
      <c r="DR610">
        <v>0</v>
      </c>
      <c r="DS610">
        <v>0</v>
      </c>
    </row>
    <row r="611" spans="1:123" x14ac:dyDescent="0.3">
      <c r="A611" t="str">
        <f>"10/04/2022 19:27:17.633"</f>
        <v>10/04/2022 19:27:17.633</v>
      </c>
      <c r="C611" t="str">
        <f t="shared" si="212"/>
        <v>FFDFD3C0</v>
      </c>
      <c r="D611" t="s">
        <v>134</v>
      </c>
      <c r="E611">
        <v>15</v>
      </c>
      <c r="J611" t="s">
        <v>135</v>
      </c>
      <c r="K611">
        <v>0</v>
      </c>
      <c r="L611">
        <v>3</v>
      </c>
      <c r="M611">
        <v>0</v>
      </c>
      <c r="N611">
        <v>2</v>
      </c>
      <c r="O611">
        <v>0</v>
      </c>
      <c r="P611">
        <v>1</v>
      </c>
      <c r="Q611">
        <v>0</v>
      </c>
      <c r="S611" t="str">
        <f t="shared" si="214"/>
        <v>19:27:17.000</v>
      </c>
      <c r="T611" t="str">
        <f t="shared" si="214"/>
        <v>19:27:17.000</v>
      </c>
      <c r="U611" t="str">
        <f t="shared" si="206"/>
        <v>AC3944</v>
      </c>
      <c r="V611">
        <v>0</v>
      </c>
      <c r="W611">
        <v>0</v>
      </c>
      <c r="X611">
        <v>2</v>
      </c>
      <c r="Y611">
        <v>0</v>
      </c>
      <c r="AA611">
        <v>1</v>
      </c>
      <c r="AB611">
        <v>8</v>
      </c>
      <c r="AC611">
        <v>3</v>
      </c>
      <c r="AD611">
        <v>0</v>
      </c>
      <c r="AE611">
        <v>9</v>
      </c>
      <c r="AF611" t="s">
        <v>138</v>
      </c>
      <c r="AG611">
        <v>0</v>
      </c>
      <c r="AH611">
        <v>3</v>
      </c>
      <c r="AI611">
        <v>1</v>
      </c>
      <c r="AJ611">
        <v>0</v>
      </c>
      <c r="AK611" t="s">
        <v>314</v>
      </c>
      <c r="AL611">
        <v>32.817470999999998</v>
      </c>
      <c r="AM611" t="s">
        <v>315</v>
      </c>
      <c r="AN611">
        <v>-116.969998</v>
      </c>
      <c r="AO611">
        <v>25</v>
      </c>
      <c r="AP611">
        <v>1800</v>
      </c>
      <c r="AQ611" t="s">
        <v>129</v>
      </c>
      <c r="AR611">
        <v>123</v>
      </c>
      <c r="AS611">
        <v>-11</v>
      </c>
      <c r="AT611">
        <v>1216</v>
      </c>
      <c r="BB611">
        <v>1200</v>
      </c>
      <c r="BC611">
        <v>1</v>
      </c>
      <c r="BD611" t="str">
        <f t="shared" si="207"/>
        <v xml:space="preserve">N887QR  </v>
      </c>
      <c r="BE611">
        <v>1</v>
      </c>
      <c r="BG611">
        <v>0</v>
      </c>
      <c r="BH611">
        <v>0</v>
      </c>
      <c r="BI611">
        <v>0</v>
      </c>
      <c r="BJ611">
        <v>1525</v>
      </c>
      <c r="BK611">
        <v>-275</v>
      </c>
      <c r="BL611" t="s">
        <v>163</v>
      </c>
      <c r="BM611">
        <v>1</v>
      </c>
      <c r="BN611">
        <v>1</v>
      </c>
      <c r="BO611">
        <v>1</v>
      </c>
      <c r="BP611">
        <v>0</v>
      </c>
      <c r="BS611">
        <v>0</v>
      </c>
      <c r="BT611">
        <v>0</v>
      </c>
      <c r="BU611">
        <v>0</v>
      </c>
      <c r="CE611" t="str">
        <f t="shared" si="215"/>
        <v>19:27:17.411</v>
      </c>
      <c r="CF611">
        <v>410519744</v>
      </c>
      <c r="CS611">
        <v>3</v>
      </c>
      <c r="CT611">
        <v>2</v>
      </c>
      <c r="CU611">
        <v>0</v>
      </c>
      <c r="CV611">
        <v>2</v>
      </c>
      <c r="CW611">
        <v>0</v>
      </c>
      <c r="CX611">
        <v>5</v>
      </c>
      <c r="CY611">
        <v>7</v>
      </c>
      <c r="CZ611" t="s">
        <v>131</v>
      </c>
      <c r="DA611">
        <v>300</v>
      </c>
      <c r="DB611">
        <v>0</v>
      </c>
      <c r="DC611" t="s">
        <v>176</v>
      </c>
      <c r="DD611" t="s">
        <v>177</v>
      </c>
      <c r="DG611">
        <v>5366973</v>
      </c>
      <c r="DI611">
        <v>1</v>
      </c>
      <c r="DJ611">
        <v>0</v>
      </c>
      <c r="DK611">
        <v>1</v>
      </c>
      <c r="DL611">
        <v>0</v>
      </c>
      <c r="DM611">
        <v>0</v>
      </c>
      <c r="DN611">
        <v>1</v>
      </c>
      <c r="DO611">
        <v>0</v>
      </c>
      <c r="DP611">
        <v>0</v>
      </c>
      <c r="DQ611">
        <v>0</v>
      </c>
      <c r="DR611">
        <v>0</v>
      </c>
      <c r="DS611">
        <v>0</v>
      </c>
    </row>
    <row r="612" spans="1:123" x14ac:dyDescent="0.3">
      <c r="A612" t="str">
        <f>"10/04/2022 19:27:18.930"</f>
        <v>10/04/2022 19:27:18.930</v>
      </c>
      <c r="C612" t="str">
        <f t="shared" si="212"/>
        <v>FFDFD3C0</v>
      </c>
      <c r="D612" t="s">
        <v>136</v>
      </c>
      <c r="E612">
        <v>8</v>
      </c>
      <c r="H612">
        <v>225</v>
      </c>
      <c r="I612" t="s">
        <v>137</v>
      </c>
      <c r="J612" t="s">
        <v>138</v>
      </c>
      <c r="K612">
        <v>0</v>
      </c>
      <c r="L612">
        <v>3</v>
      </c>
      <c r="M612">
        <v>0</v>
      </c>
      <c r="N612">
        <v>2</v>
      </c>
      <c r="O612">
        <v>0</v>
      </c>
      <c r="P612">
        <v>1</v>
      </c>
      <c r="Q612">
        <v>0</v>
      </c>
      <c r="S612" t="str">
        <f t="shared" ref="S612:T618" si="216">"19:27:17.758"</f>
        <v>19:27:17.758</v>
      </c>
      <c r="T612" t="str">
        <f t="shared" si="216"/>
        <v>19:27:17.758</v>
      </c>
      <c r="U612" t="str">
        <f t="shared" si="206"/>
        <v>AC3944</v>
      </c>
      <c r="V612">
        <v>0</v>
      </c>
      <c r="W612">
        <v>0</v>
      </c>
      <c r="X612">
        <v>2</v>
      </c>
      <c r="Y612">
        <v>0</v>
      </c>
      <c r="AA612">
        <v>0</v>
      </c>
      <c r="AB612">
        <v>8</v>
      </c>
      <c r="AC612">
        <v>3</v>
      </c>
      <c r="AD612">
        <v>0</v>
      </c>
      <c r="AE612">
        <v>9</v>
      </c>
      <c r="AF612" t="s">
        <v>138</v>
      </c>
      <c r="AG612">
        <v>0</v>
      </c>
      <c r="AH612">
        <v>3</v>
      </c>
      <c r="AI612">
        <v>1</v>
      </c>
      <c r="AJ612">
        <v>0</v>
      </c>
      <c r="AK612" t="s">
        <v>316</v>
      </c>
      <c r="AL612">
        <v>32.817363999999998</v>
      </c>
      <c r="AM612" t="s">
        <v>317</v>
      </c>
      <c r="AN612">
        <v>-116.96864600000001</v>
      </c>
      <c r="AO612">
        <v>25</v>
      </c>
      <c r="AP612">
        <v>1800</v>
      </c>
      <c r="AQ612" t="s">
        <v>129</v>
      </c>
      <c r="AR612">
        <v>124</v>
      </c>
      <c r="AS612">
        <v>-7</v>
      </c>
      <c r="AT612">
        <v>960</v>
      </c>
      <c r="BB612">
        <v>1200</v>
      </c>
      <c r="BC612">
        <v>1</v>
      </c>
      <c r="BD612" t="str">
        <f t="shared" si="207"/>
        <v xml:space="preserve">N887QR  </v>
      </c>
      <c r="BE612">
        <v>1</v>
      </c>
      <c r="BG612">
        <v>0</v>
      </c>
      <c r="BH612">
        <v>0</v>
      </c>
      <c r="BI612">
        <v>0</v>
      </c>
      <c r="BJ612">
        <v>1525</v>
      </c>
      <c r="BK612">
        <v>-275</v>
      </c>
      <c r="BL612" t="s">
        <v>163</v>
      </c>
      <c r="BM612">
        <v>1</v>
      </c>
      <c r="BN612">
        <v>1</v>
      </c>
      <c r="BO612">
        <v>1</v>
      </c>
      <c r="BP612">
        <v>0</v>
      </c>
      <c r="BS612">
        <v>0</v>
      </c>
      <c r="BT612">
        <v>0</v>
      </c>
      <c r="BU612">
        <v>0</v>
      </c>
      <c r="CE612" t="str">
        <f t="shared" ref="CE612:CE618" si="217">"19:27:18.761"</f>
        <v>19:27:18.761</v>
      </c>
      <c r="CF612">
        <v>1761024046</v>
      </c>
      <c r="CS612">
        <v>3</v>
      </c>
      <c r="CT612">
        <v>2</v>
      </c>
      <c r="CU612">
        <v>0</v>
      </c>
      <c r="CV612">
        <v>2</v>
      </c>
      <c r="CW612">
        <v>0</v>
      </c>
      <c r="CX612">
        <v>5</v>
      </c>
      <c r="CY612">
        <v>7</v>
      </c>
      <c r="CZ612" t="s">
        <v>131</v>
      </c>
      <c r="DA612">
        <v>300</v>
      </c>
      <c r="DB612">
        <v>0</v>
      </c>
      <c r="DC612" t="s">
        <v>176</v>
      </c>
      <c r="DD612" t="s">
        <v>177</v>
      </c>
      <c r="DG612">
        <v>5367204</v>
      </c>
      <c r="DI612">
        <v>1</v>
      </c>
      <c r="DJ612">
        <v>0</v>
      </c>
      <c r="DK612">
        <v>0</v>
      </c>
      <c r="DL612">
        <v>0</v>
      </c>
      <c r="DM612">
        <v>0</v>
      </c>
      <c r="DN612">
        <v>1</v>
      </c>
      <c r="DO612">
        <v>0</v>
      </c>
      <c r="DP612">
        <v>0</v>
      </c>
      <c r="DQ612">
        <v>0</v>
      </c>
      <c r="DR612">
        <v>0</v>
      </c>
      <c r="DS612">
        <v>0</v>
      </c>
    </row>
    <row r="613" spans="1:123" x14ac:dyDescent="0.3">
      <c r="A613" t="str">
        <f>"10/04/2022 19:27:18.946"</f>
        <v>10/04/2022 19:27:18.946</v>
      </c>
      <c r="C613" t="str">
        <f t="shared" si="212"/>
        <v>FFDFD3C0</v>
      </c>
      <c r="D613" t="s">
        <v>147</v>
      </c>
      <c r="E613">
        <v>3</v>
      </c>
      <c r="H613">
        <v>166</v>
      </c>
      <c r="I613" t="s">
        <v>144</v>
      </c>
      <c r="J613" t="s">
        <v>148</v>
      </c>
      <c r="K613">
        <v>0</v>
      </c>
      <c r="L613">
        <v>3</v>
      </c>
      <c r="M613">
        <v>0</v>
      </c>
      <c r="N613">
        <v>2</v>
      </c>
      <c r="O613">
        <v>0</v>
      </c>
      <c r="P613">
        <v>1</v>
      </c>
      <c r="Q613">
        <v>0</v>
      </c>
      <c r="S613" t="str">
        <f t="shared" si="216"/>
        <v>19:27:17.758</v>
      </c>
      <c r="T613" t="str">
        <f t="shared" si="216"/>
        <v>19:27:17.758</v>
      </c>
      <c r="U613" t="str">
        <f t="shared" si="206"/>
        <v>AC3944</v>
      </c>
      <c r="V613">
        <v>0</v>
      </c>
      <c r="W613">
        <v>0</v>
      </c>
      <c r="X613">
        <v>2</v>
      </c>
      <c r="Y613">
        <v>0</v>
      </c>
      <c r="AA613">
        <v>0</v>
      </c>
      <c r="AB613">
        <v>8</v>
      </c>
      <c r="AC613">
        <v>3</v>
      </c>
      <c r="AD613">
        <v>0</v>
      </c>
      <c r="AE613">
        <v>9</v>
      </c>
      <c r="AF613" t="s">
        <v>138</v>
      </c>
      <c r="AG613">
        <v>0</v>
      </c>
      <c r="AH613">
        <v>3</v>
      </c>
      <c r="AI613">
        <v>1</v>
      </c>
      <c r="AJ613">
        <v>0</v>
      </c>
      <c r="AK613" t="s">
        <v>316</v>
      </c>
      <c r="AL613">
        <v>32.817363999999998</v>
      </c>
      <c r="AM613" t="s">
        <v>317</v>
      </c>
      <c r="AN613">
        <v>-116.96864600000001</v>
      </c>
      <c r="AO613">
        <v>25</v>
      </c>
      <c r="AP613">
        <v>1800</v>
      </c>
      <c r="AQ613" t="s">
        <v>129</v>
      </c>
      <c r="AR613">
        <v>124</v>
      </c>
      <c r="AS613">
        <v>-7</v>
      </c>
      <c r="AT613">
        <v>960</v>
      </c>
      <c r="BB613">
        <v>1200</v>
      </c>
      <c r="BC613">
        <v>1</v>
      </c>
      <c r="BD613" t="str">
        <f t="shared" si="207"/>
        <v xml:space="preserve">N887QR  </v>
      </c>
      <c r="BE613">
        <v>1</v>
      </c>
      <c r="BG613">
        <v>0</v>
      </c>
      <c r="BH613">
        <v>0</v>
      </c>
      <c r="BI613">
        <v>0</v>
      </c>
      <c r="BJ613">
        <v>1525</v>
      </c>
      <c r="BK613">
        <v>-275</v>
      </c>
      <c r="BL613" t="s">
        <v>163</v>
      </c>
      <c r="BM613">
        <v>1</v>
      </c>
      <c r="BN613">
        <v>1</v>
      </c>
      <c r="BO613">
        <v>1</v>
      </c>
      <c r="BP613">
        <v>0</v>
      </c>
      <c r="BS613">
        <v>0</v>
      </c>
      <c r="BT613">
        <v>0</v>
      </c>
      <c r="BU613">
        <v>0</v>
      </c>
      <c r="CE613" t="str">
        <f t="shared" si="217"/>
        <v>19:27:18.761</v>
      </c>
      <c r="CF613">
        <v>1761024046</v>
      </c>
      <c r="CS613">
        <v>3</v>
      </c>
      <c r="CT613">
        <v>2</v>
      </c>
      <c r="CU613">
        <v>0</v>
      </c>
      <c r="CV613">
        <v>2</v>
      </c>
      <c r="CW613">
        <v>0</v>
      </c>
      <c r="CX613">
        <v>5</v>
      </c>
      <c r="CY613">
        <v>7</v>
      </c>
      <c r="CZ613" t="s">
        <v>131</v>
      </c>
      <c r="DA613">
        <v>300</v>
      </c>
      <c r="DB613">
        <v>0</v>
      </c>
      <c r="DC613" t="s">
        <v>176</v>
      </c>
      <c r="DD613" t="s">
        <v>177</v>
      </c>
      <c r="DG613">
        <v>5367204</v>
      </c>
      <c r="DI613">
        <v>1</v>
      </c>
      <c r="DJ613">
        <v>0</v>
      </c>
      <c r="DK613">
        <v>1</v>
      </c>
      <c r="DL613">
        <v>0</v>
      </c>
      <c r="DM613">
        <v>0</v>
      </c>
      <c r="DN613">
        <v>1</v>
      </c>
      <c r="DO613">
        <v>0</v>
      </c>
      <c r="DP613">
        <v>0</v>
      </c>
      <c r="DQ613">
        <v>0</v>
      </c>
      <c r="DR613">
        <v>0</v>
      </c>
      <c r="DS613">
        <v>0</v>
      </c>
    </row>
    <row r="614" spans="1:123" x14ac:dyDescent="0.3">
      <c r="A614" t="str">
        <f>"10/04/2022 19:27:18.946"</f>
        <v>10/04/2022 19:27:18.946</v>
      </c>
      <c r="C614" t="str">
        <f t="shared" si="212"/>
        <v>FFDFD3C0</v>
      </c>
      <c r="D614" t="s">
        <v>134</v>
      </c>
      <c r="E614">
        <v>15</v>
      </c>
      <c r="J614" t="s">
        <v>135</v>
      </c>
      <c r="K614">
        <v>0</v>
      </c>
      <c r="L614">
        <v>3</v>
      </c>
      <c r="M614">
        <v>0</v>
      </c>
      <c r="N614">
        <v>2</v>
      </c>
      <c r="O614">
        <v>0</v>
      </c>
      <c r="P614">
        <v>1</v>
      </c>
      <c r="Q614">
        <v>0</v>
      </c>
      <c r="S614" t="str">
        <f t="shared" si="216"/>
        <v>19:27:17.758</v>
      </c>
      <c r="T614" t="str">
        <f t="shared" si="216"/>
        <v>19:27:17.758</v>
      </c>
      <c r="U614" t="str">
        <f t="shared" si="206"/>
        <v>AC3944</v>
      </c>
      <c r="V614">
        <v>0</v>
      </c>
      <c r="W614">
        <v>0</v>
      </c>
      <c r="X614">
        <v>2</v>
      </c>
      <c r="Y614">
        <v>0</v>
      </c>
      <c r="AA614">
        <v>0</v>
      </c>
      <c r="AB614">
        <v>8</v>
      </c>
      <c r="AC614">
        <v>3</v>
      </c>
      <c r="AD614">
        <v>0</v>
      </c>
      <c r="AE614">
        <v>9</v>
      </c>
      <c r="AF614" t="s">
        <v>138</v>
      </c>
      <c r="AG614">
        <v>0</v>
      </c>
      <c r="AH614">
        <v>3</v>
      </c>
      <c r="AI614">
        <v>1</v>
      </c>
      <c r="AJ614">
        <v>0</v>
      </c>
      <c r="AK614" t="s">
        <v>316</v>
      </c>
      <c r="AL614">
        <v>32.817363999999998</v>
      </c>
      <c r="AM614" t="s">
        <v>317</v>
      </c>
      <c r="AN614">
        <v>-116.96864600000001</v>
      </c>
      <c r="AO614">
        <v>25</v>
      </c>
      <c r="AP614">
        <v>1800</v>
      </c>
      <c r="AQ614" t="s">
        <v>129</v>
      </c>
      <c r="AR614">
        <v>124</v>
      </c>
      <c r="AS614">
        <v>-7</v>
      </c>
      <c r="AT614">
        <v>960</v>
      </c>
      <c r="BB614">
        <v>1200</v>
      </c>
      <c r="BC614">
        <v>1</v>
      </c>
      <c r="BD614" t="str">
        <f t="shared" si="207"/>
        <v xml:space="preserve">N887QR  </v>
      </c>
      <c r="BE614">
        <v>1</v>
      </c>
      <c r="BG614">
        <v>0</v>
      </c>
      <c r="BH614">
        <v>0</v>
      </c>
      <c r="BI614">
        <v>0</v>
      </c>
      <c r="BJ614">
        <v>1525</v>
      </c>
      <c r="BK614">
        <v>-275</v>
      </c>
      <c r="BL614" t="s">
        <v>163</v>
      </c>
      <c r="BM614">
        <v>1</v>
      </c>
      <c r="BN614">
        <v>1</v>
      </c>
      <c r="BO614">
        <v>1</v>
      </c>
      <c r="BP614">
        <v>0</v>
      </c>
      <c r="BS614">
        <v>0</v>
      </c>
      <c r="BT614">
        <v>0</v>
      </c>
      <c r="BU614">
        <v>0</v>
      </c>
      <c r="CE614" t="str">
        <f t="shared" si="217"/>
        <v>19:27:18.761</v>
      </c>
      <c r="CF614">
        <v>1761024046</v>
      </c>
      <c r="CS614">
        <v>3</v>
      </c>
      <c r="CT614">
        <v>2</v>
      </c>
      <c r="CU614">
        <v>0</v>
      </c>
      <c r="CV614">
        <v>2</v>
      </c>
      <c r="CW614">
        <v>0</v>
      </c>
      <c r="CX614">
        <v>5</v>
      </c>
      <c r="CY614">
        <v>7</v>
      </c>
      <c r="CZ614" t="s">
        <v>131</v>
      </c>
      <c r="DA614">
        <v>300</v>
      </c>
      <c r="DB614">
        <v>0</v>
      </c>
      <c r="DC614" t="s">
        <v>176</v>
      </c>
      <c r="DD614" t="s">
        <v>177</v>
      </c>
      <c r="DG614">
        <v>5367204</v>
      </c>
      <c r="DI614">
        <v>1</v>
      </c>
      <c r="DJ614">
        <v>0</v>
      </c>
      <c r="DK614">
        <v>1</v>
      </c>
      <c r="DL614">
        <v>0</v>
      </c>
      <c r="DM614">
        <v>0</v>
      </c>
      <c r="DN614">
        <v>1</v>
      </c>
      <c r="DO614">
        <v>0</v>
      </c>
      <c r="DP614">
        <v>0</v>
      </c>
      <c r="DQ614">
        <v>0</v>
      </c>
      <c r="DR614">
        <v>0</v>
      </c>
      <c r="DS614">
        <v>0</v>
      </c>
    </row>
    <row r="615" spans="1:123" x14ac:dyDescent="0.3">
      <c r="A615" t="str">
        <f>"10/04/2022 19:27:18.946"</f>
        <v>10/04/2022 19:27:18.946</v>
      </c>
      <c r="C615" t="str">
        <f t="shared" si="212"/>
        <v>FFDFD3C0</v>
      </c>
      <c r="D615" t="s">
        <v>141</v>
      </c>
      <c r="E615">
        <v>3</v>
      </c>
      <c r="H615">
        <v>3</v>
      </c>
      <c r="I615" t="s">
        <v>146</v>
      </c>
      <c r="J615" t="s">
        <v>138</v>
      </c>
      <c r="K615">
        <v>0</v>
      </c>
      <c r="L615">
        <v>3</v>
      </c>
      <c r="M615">
        <v>0</v>
      </c>
      <c r="N615">
        <v>2</v>
      </c>
      <c r="O615">
        <v>0</v>
      </c>
      <c r="P615">
        <v>1</v>
      </c>
      <c r="Q615">
        <v>0</v>
      </c>
      <c r="S615" t="str">
        <f t="shared" si="216"/>
        <v>19:27:17.758</v>
      </c>
      <c r="T615" t="str">
        <f t="shared" si="216"/>
        <v>19:27:17.758</v>
      </c>
      <c r="U615" t="str">
        <f t="shared" si="206"/>
        <v>AC3944</v>
      </c>
      <c r="V615">
        <v>0</v>
      </c>
      <c r="W615">
        <v>0</v>
      </c>
      <c r="X615">
        <v>2</v>
      </c>
      <c r="Y615">
        <v>0</v>
      </c>
      <c r="AA615">
        <v>0</v>
      </c>
      <c r="AB615">
        <v>8</v>
      </c>
      <c r="AC615">
        <v>3</v>
      </c>
      <c r="AD615">
        <v>0</v>
      </c>
      <c r="AE615">
        <v>9</v>
      </c>
      <c r="AF615" t="s">
        <v>138</v>
      </c>
      <c r="AG615">
        <v>0</v>
      </c>
      <c r="AH615">
        <v>3</v>
      </c>
      <c r="AI615">
        <v>1</v>
      </c>
      <c r="AJ615">
        <v>0</v>
      </c>
      <c r="AK615" t="s">
        <v>316</v>
      </c>
      <c r="AL615">
        <v>32.817363999999998</v>
      </c>
      <c r="AM615" t="s">
        <v>317</v>
      </c>
      <c r="AN615">
        <v>-116.96864600000001</v>
      </c>
      <c r="AO615">
        <v>25</v>
      </c>
      <c r="AP615">
        <v>1800</v>
      </c>
      <c r="AQ615" t="s">
        <v>129</v>
      </c>
      <c r="AR615">
        <v>124</v>
      </c>
      <c r="AS615">
        <v>-7</v>
      </c>
      <c r="AT615">
        <v>960</v>
      </c>
      <c r="BB615">
        <v>1200</v>
      </c>
      <c r="BC615">
        <v>1</v>
      </c>
      <c r="BD615" t="str">
        <f t="shared" si="207"/>
        <v xml:space="preserve">N887QR  </v>
      </c>
      <c r="BE615">
        <v>1</v>
      </c>
      <c r="BG615">
        <v>0</v>
      </c>
      <c r="BH615">
        <v>0</v>
      </c>
      <c r="BI615">
        <v>0</v>
      </c>
      <c r="BJ615">
        <v>1525</v>
      </c>
      <c r="BK615">
        <v>-275</v>
      </c>
      <c r="BL615" t="s">
        <v>163</v>
      </c>
      <c r="BM615">
        <v>1</v>
      </c>
      <c r="BN615">
        <v>1</v>
      </c>
      <c r="BO615">
        <v>1</v>
      </c>
      <c r="BP615">
        <v>0</v>
      </c>
      <c r="BS615">
        <v>0</v>
      </c>
      <c r="BT615">
        <v>0</v>
      </c>
      <c r="BU615">
        <v>0</v>
      </c>
      <c r="CE615" t="str">
        <f t="shared" si="217"/>
        <v>19:27:18.761</v>
      </c>
      <c r="CF615">
        <v>1761024046</v>
      </c>
      <c r="CS615">
        <v>3</v>
      </c>
      <c r="CT615">
        <v>2</v>
      </c>
      <c r="CU615">
        <v>0</v>
      </c>
      <c r="CV615">
        <v>2</v>
      </c>
      <c r="CW615">
        <v>0</v>
      </c>
      <c r="CX615">
        <v>5</v>
      </c>
      <c r="CY615">
        <v>7</v>
      </c>
      <c r="CZ615" t="s">
        <v>131</v>
      </c>
      <c r="DA615">
        <v>300</v>
      </c>
      <c r="DB615">
        <v>0</v>
      </c>
      <c r="DC615" t="s">
        <v>176</v>
      </c>
      <c r="DD615" t="s">
        <v>177</v>
      </c>
      <c r="DG615">
        <v>5367204</v>
      </c>
      <c r="DI615">
        <v>1</v>
      </c>
      <c r="DJ615">
        <v>0</v>
      </c>
      <c r="DK615">
        <v>1</v>
      </c>
      <c r="DL615">
        <v>0</v>
      </c>
      <c r="DM615">
        <v>0</v>
      </c>
      <c r="DN615">
        <v>1</v>
      </c>
      <c r="DO615">
        <v>0</v>
      </c>
      <c r="DP615">
        <v>0</v>
      </c>
      <c r="DQ615">
        <v>0</v>
      </c>
      <c r="DR615">
        <v>0</v>
      </c>
      <c r="DS615">
        <v>0</v>
      </c>
    </row>
    <row r="616" spans="1:123" x14ac:dyDescent="0.3">
      <c r="A616" t="str">
        <f>"10/04/2022 19:27:18.977"</f>
        <v>10/04/2022 19:27:18.977</v>
      </c>
      <c r="C616" t="str">
        <f t="shared" si="212"/>
        <v>FFDFD3C0</v>
      </c>
      <c r="D616" t="s">
        <v>143</v>
      </c>
      <c r="E616">
        <v>20</v>
      </c>
      <c r="F616">
        <v>1020</v>
      </c>
      <c r="G616" t="s">
        <v>144</v>
      </c>
      <c r="J616" t="s">
        <v>145</v>
      </c>
      <c r="K616">
        <v>0</v>
      </c>
      <c r="L616">
        <v>3</v>
      </c>
      <c r="M616">
        <v>0</v>
      </c>
      <c r="N616">
        <v>2</v>
      </c>
      <c r="O616">
        <v>0</v>
      </c>
      <c r="P616">
        <v>1</v>
      </c>
      <c r="Q616">
        <v>0</v>
      </c>
      <c r="S616" t="str">
        <f t="shared" si="216"/>
        <v>19:27:17.758</v>
      </c>
      <c r="T616" t="str">
        <f t="shared" si="216"/>
        <v>19:27:17.758</v>
      </c>
      <c r="U616" t="str">
        <f t="shared" si="206"/>
        <v>AC3944</v>
      </c>
      <c r="V616">
        <v>0</v>
      </c>
      <c r="W616">
        <v>0</v>
      </c>
      <c r="X616">
        <v>2</v>
      </c>
      <c r="Y616">
        <v>0</v>
      </c>
      <c r="AA616">
        <v>0</v>
      </c>
      <c r="AB616">
        <v>8</v>
      </c>
      <c r="AC616">
        <v>3</v>
      </c>
      <c r="AD616">
        <v>0</v>
      </c>
      <c r="AE616">
        <v>9</v>
      </c>
      <c r="AF616" t="s">
        <v>138</v>
      </c>
      <c r="AG616">
        <v>0</v>
      </c>
      <c r="AH616">
        <v>3</v>
      </c>
      <c r="AI616">
        <v>1</v>
      </c>
      <c r="AJ616">
        <v>0</v>
      </c>
      <c r="AK616" t="s">
        <v>316</v>
      </c>
      <c r="AL616">
        <v>32.817363999999998</v>
      </c>
      <c r="AM616" t="s">
        <v>317</v>
      </c>
      <c r="AN616">
        <v>-116.96864600000001</v>
      </c>
      <c r="AO616">
        <v>25</v>
      </c>
      <c r="AP616">
        <v>1800</v>
      </c>
      <c r="AQ616" t="s">
        <v>129</v>
      </c>
      <c r="AR616">
        <v>124</v>
      </c>
      <c r="AS616">
        <v>-7</v>
      </c>
      <c r="AT616">
        <v>960</v>
      </c>
      <c r="BB616">
        <v>1200</v>
      </c>
      <c r="BC616">
        <v>1</v>
      </c>
      <c r="BD616" t="str">
        <f t="shared" si="207"/>
        <v xml:space="preserve">N887QR  </v>
      </c>
      <c r="BE616">
        <v>1</v>
      </c>
      <c r="BG616">
        <v>0</v>
      </c>
      <c r="BH616">
        <v>0</v>
      </c>
      <c r="BI616">
        <v>0</v>
      </c>
      <c r="BJ616">
        <v>1525</v>
      </c>
      <c r="BK616">
        <v>-275</v>
      </c>
      <c r="BL616" t="s">
        <v>163</v>
      </c>
      <c r="BM616">
        <v>1</v>
      </c>
      <c r="BN616">
        <v>1</v>
      </c>
      <c r="BO616">
        <v>1</v>
      </c>
      <c r="BP616">
        <v>0</v>
      </c>
      <c r="BS616">
        <v>0</v>
      </c>
      <c r="BT616">
        <v>0</v>
      </c>
      <c r="BU616">
        <v>0</v>
      </c>
      <c r="CE616" t="str">
        <f t="shared" si="217"/>
        <v>19:27:18.761</v>
      </c>
      <c r="CF616">
        <v>1761024046</v>
      </c>
      <c r="CS616">
        <v>3</v>
      </c>
      <c r="CT616">
        <v>2</v>
      </c>
      <c r="CU616">
        <v>0</v>
      </c>
      <c r="CV616">
        <v>2</v>
      </c>
      <c r="CW616">
        <v>0</v>
      </c>
      <c r="CX616">
        <v>5</v>
      </c>
      <c r="CY616">
        <v>7</v>
      </c>
      <c r="CZ616" t="s">
        <v>131</v>
      </c>
      <c r="DA616">
        <v>300</v>
      </c>
      <c r="DB616">
        <v>0</v>
      </c>
      <c r="DC616" t="s">
        <v>176</v>
      </c>
      <c r="DD616" t="s">
        <v>177</v>
      </c>
      <c r="DG616">
        <v>5367204</v>
      </c>
      <c r="DI616">
        <v>1</v>
      </c>
      <c r="DJ616">
        <v>0</v>
      </c>
      <c r="DK616">
        <v>1</v>
      </c>
      <c r="DL616">
        <v>0</v>
      </c>
      <c r="DM616">
        <v>0</v>
      </c>
      <c r="DN616">
        <v>1</v>
      </c>
      <c r="DO616">
        <v>0</v>
      </c>
      <c r="DP616">
        <v>0</v>
      </c>
      <c r="DQ616">
        <v>0</v>
      </c>
      <c r="DR616">
        <v>0</v>
      </c>
      <c r="DS616">
        <v>0</v>
      </c>
    </row>
    <row r="617" spans="1:123" x14ac:dyDescent="0.3">
      <c r="A617" t="str">
        <f>"10/04/2022 19:27:18.977"</f>
        <v>10/04/2022 19:27:18.977</v>
      </c>
      <c r="C617" t="str">
        <f t="shared" si="212"/>
        <v>FFDFD3C0</v>
      </c>
      <c r="D617" t="s">
        <v>123</v>
      </c>
      <c r="E617">
        <v>7</v>
      </c>
      <c r="F617">
        <v>2007</v>
      </c>
      <c r="G617" t="s">
        <v>124</v>
      </c>
      <c r="J617" t="s">
        <v>125</v>
      </c>
      <c r="K617">
        <v>0</v>
      </c>
      <c r="L617">
        <v>3</v>
      </c>
      <c r="M617">
        <v>0</v>
      </c>
      <c r="N617">
        <v>2</v>
      </c>
      <c r="O617">
        <v>0</v>
      </c>
      <c r="P617">
        <v>1</v>
      </c>
      <c r="Q617">
        <v>0</v>
      </c>
      <c r="S617" t="str">
        <f t="shared" si="216"/>
        <v>19:27:17.758</v>
      </c>
      <c r="T617" t="str">
        <f t="shared" si="216"/>
        <v>19:27:17.758</v>
      </c>
      <c r="U617" t="str">
        <f t="shared" si="206"/>
        <v>AC3944</v>
      </c>
      <c r="V617">
        <v>0</v>
      </c>
      <c r="W617">
        <v>0</v>
      </c>
      <c r="X617">
        <v>2</v>
      </c>
      <c r="Y617">
        <v>0</v>
      </c>
      <c r="AA617">
        <v>0</v>
      </c>
      <c r="AB617">
        <v>8</v>
      </c>
      <c r="AC617">
        <v>3</v>
      </c>
      <c r="AD617">
        <v>0</v>
      </c>
      <c r="AE617">
        <v>9</v>
      </c>
      <c r="AF617" t="s">
        <v>138</v>
      </c>
      <c r="AG617">
        <v>0</v>
      </c>
      <c r="AH617">
        <v>3</v>
      </c>
      <c r="AI617">
        <v>1</v>
      </c>
      <c r="AJ617">
        <v>0</v>
      </c>
      <c r="AK617" t="s">
        <v>316</v>
      </c>
      <c r="AL617">
        <v>32.817363999999998</v>
      </c>
      <c r="AM617" t="s">
        <v>317</v>
      </c>
      <c r="AN617">
        <v>-116.96864600000001</v>
      </c>
      <c r="AO617">
        <v>25</v>
      </c>
      <c r="AP617">
        <v>1800</v>
      </c>
      <c r="AQ617" t="s">
        <v>129</v>
      </c>
      <c r="AR617">
        <v>124</v>
      </c>
      <c r="AS617">
        <v>-7</v>
      </c>
      <c r="AT617">
        <v>960</v>
      </c>
      <c r="BB617">
        <v>1200</v>
      </c>
      <c r="BC617">
        <v>1</v>
      </c>
      <c r="BD617" t="str">
        <f t="shared" si="207"/>
        <v xml:space="preserve">N887QR  </v>
      </c>
      <c r="BE617">
        <v>1</v>
      </c>
      <c r="BG617">
        <v>0</v>
      </c>
      <c r="BH617">
        <v>0</v>
      </c>
      <c r="BI617">
        <v>0</v>
      </c>
      <c r="BJ617">
        <v>1525</v>
      </c>
      <c r="BK617">
        <v>-275</v>
      </c>
      <c r="BL617" t="s">
        <v>163</v>
      </c>
      <c r="BM617">
        <v>1</v>
      </c>
      <c r="BN617">
        <v>1</v>
      </c>
      <c r="BO617">
        <v>1</v>
      </c>
      <c r="BP617">
        <v>0</v>
      </c>
      <c r="BS617">
        <v>0</v>
      </c>
      <c r="BT617">
        <v>0</v>
      </c>
      <c r="BU617">
        <v>0</v>
      </c>
      <c r="CE617" t="str">
        <f t="shared" si="217"/>
        <v>19:27:18.761</v>
      </c>
      <c r="CF617">
        <v>1761024046</v>
      </c>
      <c r="CS617">
        <v>3</v>
      </c>
      <c r="CT617">
        <v>2</v>
      </c>
      <c r="CU617">
        <v>0</v>
      </c>
      <c r="CV617">
        <v>2</v>
      </c>
      <c r="CW617">
        <v>0</v>
      </c>
      <c r="CX617">
        <v>5</v>
      </c>
      <c r="CY617">
        <v>7</v>
      </c>
      <c r="CZ617" t="s">
        <v>131</v>
      </c>
      <c r="DA617">
        <v>300</v>
      </c>
      <c r="DB617">
        <v>0</v>
      </c>
      <c r="DC617" t="s">
        <v>176</v>
      </c>
      <c r="DD617" t="s">
        <v>177</v>
      </c>
      <c r="DG617">
        <v>5367204</v>
      </c>
      <c r="DI617">
        <v>1</v>
      </c>
      <c r="DJ617">
        <v>0</v>
      </c>
      <c r="DK617">
        <v>1</v>
      </c>
      <c r="DL617">
        <v>0</v>
      </c>
      <c r="DM617">
        <v>0</v>
      </c>
      <c r="DN617">
        <v>1</v>
      </c>
      <c r="DO617">
        <v>0</v>
      </c>
      <c r="DP617">
        <v>0</v>
      </c>
      <c r="DQ617">
        <v>0</v>
      </c>
      <c r="DR617">
        <v>0</v>
      </c>
      <c r="DS617">
        <v>0</v>
      </c>
    </row>
    <row r="618" spans="1:123" x14ac:dyDescent="0.3">
      <c r="A618" t="str">
        <f>"10/04/2022 19:27:18.977"</f>
        <v>10/04/2022 19:27:18.977</v>
      </c>
      <c r="C618" t="str">
        <f t="shared" si="212"/>
        <v>FFDFD3C0</v>
      </c>
      <c r="D618" t="s">
        <v>141</v>
      </c>
      <c r="E618">
        <v>4</v>
      </c>
      <c r="H618">
        <v>4</v>
      </c>
      <c r="I618" t="s">
        <v>142</v>
      </c>
      <c r="J618" t="s">
        <v>138</v>
      </c>
      <c r="K618">
        <v>0</v>
      </c>
      <c r="L618">
        <v>3</v>
      </c>
      <c r="M618">
        <v>0</v>
      </c>
      <c r="N618">
        <v>2</v>
      </c>
      <c r="O618">
        <v>0</v>
      </c>
      <c r="P618">
        <v>1</v>
      </c>
      <c r="Q618">
        <v>0</v>
      </c>
      <c r="S618" t="str">
        <f t="shared" si="216"/>
        <v>19:27:17.758</v>
      </c>
      <c r="T618" t="str">
        <f t="shared" si="216"/>
        <v>19:27:17.758</v>
      </c>
      <c r="U618" t="str">
        <f t="shared" si="206"/>
        <v>AC3944</v>
      </c>
      <c r="V618">
        <v>0</v>
      </c>
      <c r="W618">
        <v>0</v>
      </c>
      <c r="X618">
        <v>2</v>
      </c>
      <c r="Y618">
        <v>0</v>
      </c>
      <c r="AA618">
        <v>0</v>
      </c>
      <c r="AB618">
        <v>8</v>
      </c>
      <c r="AC618">
        <v>3</v>
      </c>
      <c r="AD618">
        <v>0</v>
      </c>
      <c r="AE618">
        <v>9</v>
      </c>
      <c r="AF618" t="s">
        <v>138</v>
      </c>
      <c r="AG618">
        <v>0</v>
      </c>
      <c r="AH618">
        <v>3</v>
      </c>
      <c r="AI618">
        <v>1</v>
      </c>
      <c r="AJ618">
        <v>0</v>
      </c>
      <c r="AK618" t="s">
        <v>316</v>
      </c>
      <c r="AL618">
        <v>32.817363999999998</v>
      </c>
      <c r="AM618" t="s">
        <v>317</v>
      </c>
      <c r="AN618">
        <v>-116.96864600000001</v>
      </c>
      <c r="AO618">
        <v>25</v>
      </c>
      <c r="AP618">
        <v>1800</v>
      </c>
      <c r="AQ618" t="s">
        <v>129</v>
      </c>
      <c r="AR618">
        <v>124</v>
      </c>
      <c r="AS618">
        <v>-7</v>
      </c>
      <c r="AT618">
        <v>960</v>
      </c>
      <c r="BB618">
        <v>1200</v>
      </c>
      <c r="BC618">
        <v>1</v>
      </c>
      <c r="BD618" t="str">
        <f t="shared" si="207"/>
        <v xml:space="preserve">N887QR  </v>
      </c>
      <c r="BE618">
        <v>1</v>
      </c>
      <c r="BG618">
        <v>0</v>
      </c>
      <c r="BH618">
        <v>0</v>
      </c>
      <c r="BI618">
        <v>0</v>
      </c>
      <c r="BJ618">
        <v>1525</v>
      </c>
      <c r="BK618">
        <v>-275</v>
      </c>
      <c r="BL618" t="s">
        <v>163</v>
      </c>
      <c r="BM618">
        <v>1</v>
      </c>
      <c r="BN618">
        <v>1</v>
      </c>
      <c r="BO618">
        <v>1</v>
      </c>
      <c r="BP618">
        <v>0</v>
      </c>
      <c r="BS618">
        <v>0</v>
      </c>
      <c r="BT618">
        <v>0</v>
      </c>
      <c r="BU618">
        <v>0</v>
      </c>
      <c r="CE618" t="str">
        <f t="shared" si="217"/>
        <v>19:27:18.761</v>
      </c>
      <c r="CF618">
        <v>1761024046</v>
      </c>
      <c r="CS618">
        <v>3</v>
      </c>
      <c r="CT618">
        <v>2</v>
      </c>
      <c r="CU618">
        <v>0</v>
      </c>
      <c r="CV618">
        <v>2</v>
      </c>
      <c r="CW618">
        <v>0</v>
      </c>
      <c r="CX618">
        <v>5</v>
      </c>
      <c r="CY618">
        <v>7</v>
      </c>
      <c r="CZ618" t="s">
        <v>131</v>
      </c>
      <c r="DA618">
        <v>300</v>
      </c>
      <c r="DB618">
        <v>0</v>
      </c>
      <c r="DC618" t="s">
        <v>176</v>
      </c>
      <c r="DD618" t="s">
        <v>177</v>
      </c>
      <c r="DG618">
        <v>5367204</v>
      </c>
      <c r="DI618">
        <v>1</v>
      </c>
      <c r="DJ618">
        <v>0</v>
      </c>
      <c r="DK618">
        <v>1</v>
      </c>
      <c r="DL618">
        <v>0</v>
      </c>
      <c r="DM618">
        <v>0</v>
      </c>
      <c r="DN618">
        <v>1</v>
      </c>
      <c r="DO618">
        <v>0</v>
      </c>
      <c r="DP618">
        <v>0</v>
      </c>
      <c r="DQ618">
        <v>0</v>
      </c>
      <c r="DR618">
        <v>0</v>
      </c>
      <c r="DS618">
        <v>0</v>
      </c>
    </row>
    <row r="619" spans="1:123" x14ac:dyDescent="0.3">
      <c r="A619" t="str">
        <f t="shared" ref="A619:A624" si="218">"10/04/2022 19:27:20.134"</f>
        <v>10/04/2022 19:27:20.134</v>
      </c>
      <c r="C619" t="str">
        <f t="shared" si="212"/>
        <v>FFDFD3C0</v>
      </c>
      <c r="D619" t="s">
        <v>147</v>
      </c>
      <c r="E619">
        <v>3</v>
      </c>
      <c r="H619">
        <v>166</v>
      </c>
      <c r="I619" t="s">
        <v>144</v>
      </c>
      <c r="J619" t="s">
        <v>148</v>
      </c>
      <c r="K619">
        <v>0</v>
      </c>
      <c r="L619">
        <v>3</v>
      </c>
      <c r="M619">
        <v>0</v>
      </c>
      <c r="N619">
        <v>2</v>
      </c>
      <c r="O619">
        <v>0</v>
      </c>
      <c r="P619">
        <v>1</v>
      </c>
      <c r="Q619">
        <v>0</v>
      </c>
      <c r="S619" t="str">
        <f t="shared" ref="S619:T625" si="219">"19:27:18.922"</f>
        <v>19:27:18.922</v>
      </c>
      <c r="T619" t="str">
        <f t="shared" si="219"/>
        <v>19:27:18.922</v>
      </c>
      <c r="U619" t="str">
        <f t="shared" si="206"/>
        <v>AC3944</v>
      </c>
      <c r="V619">
        <v>0</v>
      </c>
      <c r="W619">
        <v>0</v>
      </c>
      <c r="X619">
        <v>2</v>
      </c>
      <c r="Y619">
        <v>0</v>
      </c>
      <c r="AA619">
        <v>0</v>
      </c>
      <c r="AB619">
        <v>8</v>
      </c>
      <c r="AC619">
        <v>3</v>
      </c>
      <c r="AD619">
        <v>0</v>
      </c>
      <c r="AE619">
        <v>9</v>
      </c>
      <c r="AF619" t="s">
        <v>138</v>
      </c>
      <c r="AG619">
        <v>0</v>
      </c>
      <c r="AH619">
        <v>3</v>
      </c>
      <c r="AI619">
        <v>1</v>
      </c>
      <c r="AJ619">
        <v>0</v>
      </c>
      <c r="AK619" t="s">
        <v>318</v>
      </c>
      <c r="AL619">
        <v>32.817341999999996</v>
      </c>
      <c r="AM619" t="s">
        <v>319</v>
      </c>
      <c r="AN619">
        <v>-116.96798099999999</v>
      </c>
      <c r="AO619">
        <v>25</v>
      </c>
      <c r="AP619">
        <v>1800</v>
      </c>
      <c r="AQ619" t="s">
        <v>129</v>
      </c>
      <c r="AR619">
        <v>124</v>
      </c>
      <c r="AS619">
        <v>-3</v>
      </c>
      <c r="AT619">
        <v>960</v>
      </c>
      <c r="BB619">
        <v>1200</v>
      </c>
      <c r="BC619">
        <v>1</v>
      </c>
      <c r="BD619" t="str">
        <f t="shared" si="207"/>
        <v xml:space="preserve">N887QR  </v>
      </c>
      <c r="BE619">
        <v>1</v>
      </c>
      <c r="BG619">
        <v>0</v>
      </c>
      <c r="BH619">
        <v>0</v>
      </c>
      <c r="BI619">
        <v>0</v>
      </c>
      <c r="BJ619">
        <v>1550</v>
      </c>
      <c r="BK619">
        <v>-250</v>
      </c>
      <c r="BL619" t="s">
        <v>163</v>
      </c>
      <c r="BM619">
        <v>1</v>
      </c>
      <c r="BN619">
        <v>1</v>
      </c>
      <c r="BO619">
        <v>1</v>
      </c>
      <c r="BP619">
        <v>0</v>
      </c>
      <c r="BS619">
        <v>0</v>
      </c>
      <c r="BT619">
        <v>0</v>
      </c>
      <c r="BU619">
        <v>0</v>
      </c>
      <c r="CE619" t="str">
        <f t="shared" ref="CE619:CE625" si="220">"19:27:19.929"</f>
        <v>19:27:19.929</v>
      </c>
      <c r="CF619">
        <v>1929277712</v>
      </c>
      <c r="CS619">
        <v>3</v>
      </c>
      <c r="CT619">
        <v>2</v>
      </c>
      <c r="CU619">
        <v>0</v>
      </c>
      <c r="CV619">
        <v>2</v>
      </c>
      <c r="CW619">
        <v>0</v>
      </c>
      <c r="CX619">
        <v>5</v>
      </c>
      <c r="CY619">
        <v>7</v>
      </c>
      <c r="CZ619" t="s">
        <v>131</v>
      </c>
      <c r="DA619">
        <v>300</v>
      </c>
      <c r="DB619">
        <v>0</v>
      </c>
      <c r="DC619" t="s">
        <v>176</v>
      </c>
      <c r="DD619" t="s">
        <v>177</v>
      </c>
      <c r="DG619">
        <v>5367368</v>
      </c>
      <c r="DI619">
        <v>1</v>
      </c>
      <c r="DJ619">
        <v>0</v>
      </c>
      <c r="DK619">
        <v>0</v>
      </c>
      <c r="DL619">
        <v>0</v>
      </c>
      <c r="DM619">
        <v>0</v>
      </c>
      <c r="DN619">
        <v>1</v>
      </c>
      <c r="DO619">
        <v>0</v>
      </c>
      <c r="DP619">
        <v>0</v>
      </c>
      <c r="DQ619">
        <v>0</v>
      </c>
      <c r="DR619">
        <v>0</v>
      </c>
      <c r="DS619">
        <v>0</v>
      </c>
    </row>
    <row r="620" spans="1:123" x14ac:dyDescent="0.3">
      <c r="A620" t="str">
        <f t="shared" si="218"/>
        <v>10/04/2022 19:27:20.134</v>
      </c>
      <c r="C620" t="str">
        <f t="shared" si="212"/>
        <v>FFDFD3C0</v>
      </c>
      <c r="D620" t="s">
        <v>141</v>
      </c>
      <c r="E620">
        <v>3</v>
      </c>
      <c r="H620">
        <v>3</v>
      </c>
      <c r="I620" t="s">
        <v>146</v>
      </c>
      <c r="J620" t="s">
        <v>138</v>
      </c>
      <c r="K620">
        <v>0</v>
      </c>
      <c r="L620">
        <v>3</v>
      </c>
      <c r="M620">
        <v>0</v>
      </c>
      <c r="N620">
        <v>2</v>
      </c>
      <c r="O620">
        <v>0</v>
      </c>
      <c r="P620">
        <v>1</v>
      </c>
      <c r="Q620">
        <v>0</v>
      </c>
      <c r="S620" t="str">
        <f t="shared" si="219"/>
        <v>19:27:18.922</v>
      </c>
      <c r="T620" t="str">
        <f t="shared" si="219"/>
        <v>19:27:18.922</v>
      </c>
      <c r="U620" t="str">
        <f t="shared" si="206"/>
        <v>AC3944</v>
      </c>
      <c r="V620">
        <v>0</v>
      </c>
      <c r="W620">
        <v>0</v>
      </c>
      <c r="X620">
        <v>2</v>
      </c>
      <c r="Y620">
        <v>0</v>
      </c>
      <c r="AA620">
        <v>0</v>
      </c>
      <c r="AB620">
        <v>8</v>
      </c>
      <c r="AC620">
        <v>3</v>
      </c>
      <c r="AD620">
        <v>0</v>
      </c>
      <c r="AE620">
        <v>9</v>
      </c>
      <c r="AF620" t="s">
        <v>138</v>
      </c>
      <c r="AG620">
        <v>0</v>
      </c>
      <c r="AH620">
        <v>3</v>
      </c>
      <c r="AI620">
        <v>1</v>
      </c>
      <c r="AJ620">
        <v>0</v>
      </c>
      <c r="AK620" t="s">
        <v>318</v>
      </c>
      <c r="AL620">
        <v>32.817341999999996</v>
      </c>
      <c r="AM620" t="s">
        <v>319</v>
      </c>
      <c r="AN620">
        <v>-116.96798099999999</v>
      </c>
      <c r="AO620">
        <v>25</v>
      </c>
      <c r="AP620">
        <v>1800</v>
      </c>
      <c r="AQ620" t="s">
        <v>129</v>
      </c>
      <c r="AR620">
        <v>124</v>
      </c>
      <c r="AS620">
        <v>-3</v>
      </c>
      <c r="AT620">
        <v>960</v>
      </c>
      <c r="BB620">
        <v>1200</v>
      </c>
      <c r="BC620">
        <v>1</v>
      </c>
      <c r="BD620" t="str">
        <f t="shared" si="207"/>
        <v xml:space="preserve">N887QR  </v>
      </c>
      <c r="BE620">
        <v>1</v>
      </c>
      <c r="BG620">
        <v>0</v>
      </c>
      <c r="BH620">
        <v>0</v>
      </c>
      <c r="BI620">
        <v>0</v>
      </c>
      <c r="BJ620">
        <v>1550</v>
      </c>
      <c r="BK620">
        <v>-250</v>
      </c>
      <c r="BL620" t="s">
        <v>163</v>
      </c>
      <c r="BM620">
        <v>1</v>
      </c>
      <c r="BN620">
        <v>1</v>
      </c>
      <c r="BO620">
        <v>1</v>
      </c>
      <c r="BP620">
        <v>0</v>
      </c>
      <c r="BS620">
        <v>0</v>
      </c>
      <c r="BT620">
        <v>0</v>
      </c>
      <c r="BU620">
        <v>0</v>
      </c>
      <c r="CE620" t="str">
        <f t="shared" si="220"/>
        <v>19:27:19.929</v>
      </c>
      <c r="CF620">
        <v>1929277712</v>
      </c>
      <c r="CS620">
        <v>3</v>
      </c>
      <c r="CT620">
        <v>2</v>
      </c>
      <c r="CU620">
        <v>0</v>
      </c>
      <c r="CV620">
        <v>2</v>
      </c>
      <c r="CW620">
        <v>0</v>
      </c>
      <c r="CX620">
        <v>5</v>
      </c>
      <c r="CY620">
        <v>7</v>
      </c>
      <c r="CZ620" t="s">
        <v>131</v>
      </c>
      <c r="DA620">
        <v>300</v>
      </c>
      <c r="DB620">
        <v>0</v>
      </c>
      <c r="DC620" t="s">
        <v>176</v>
      </c>
      <c r="DD620" t="s">
        <v>177</v>
      </c>
      <c r="DG620">
        <v>5367368</v>
      </c>
      <c r="DI620">
        <v>1</v>
      </c>
      <c r="DJ620">
        <v>0</v>
      </c>
      <c r="DK620">
        <v>1</v>
      </c>
      <c r="DL620">
        <v>0</v>
      </c>
      <c r="DM620">
        <v>0</v>
      </c>
      <c r="DN620">
        <v>1</v>
      </c>
      <c r="DO620">
        <v>0</v>
      </c>
      <c r="DP620">
        <v>0</v>
      </c>
      <c r="DQ620">
        <v>0</v>
      </c>
      <c r="DR620">
        <v>0</v>
      </c>
      <c r="DS620">
        <v>0</v>
      </c>
    </row>
    <row r="621" spans="1:123" x14ac:dyDescent="0.3">
      <c r="A621" t="str">
        <f t="shared" si="218"/>
        <v>10/04/2022 19:27:20.134</v>
      </c>
      <c r="C621" t="str">
        <f t="shared" si="212"/>
        <v>FFDFD3C0</v>
      </c>
      <c r="D621" t="s">
        <v>143</v>
      </c>
      <c r="E621">
        <v>20</v>
      </c>
      <c r="F621">
        <v>1020</v>
      </c>
      <c r="G621" t="s">
        <v>144</v>
      </c>
      <c r="J621" t="s">
        <v>145</v>
      </c>
      <c r="K621">
        <v>0</v>
      </c>
      <c r="L621">
        <v>3</v>
      </c>
      <c r="M621">
        <v>0</v>
      </c>
      <c r="N621">
        <v>2</v>
      </c>
      <c r="O621">
        <v>0</v>
      </c>
      <c r="P621">
        <v>1</v>
      </c>
      <c r="Q621">
        <v>0</v>
      </c>
      <c r="S621" t="str">
        <f t="shared" si="219"/>
        <v>19:27:18.922</v>
      </c>
      <c r="T621" t="str">
        <f t="shared" si="219"/>
        <v>19:27:18.922</v>
      </c>
      <c r="U621" t="str">
        <f t="shared" si="206"/>
        <v>AC3944</v>
      </c>
      <c r="V621">
        <v>0</v>
      </c>
      <c r="W621">
        <v>0</v>
      </c>
      <c r="X621">
        <v>2</v>
      </c>
      <c r="Y621">
        <v>0</v>
      </c>
      <c r="AA621">
        <v>0</v>
      </c>
      <c r="AB621">
        <v>8</v>
      </c>
      <c r="AC621">
        <v>3</v>
      </c>
      <c r="AD621">
        <v>0</v>
      </c>
      <c r="AE621">
        <v>9</v>
      </c>
      <c r="AF621" t="s">
        <v>138</v>
      </c>
      <c r="AG621">
        <v>0</v>
      </c>
      <c r="AH621">
        <v>3</v>
      </c>
      <c r="AI621">
        <v>1</v>
      </c>
      <c r="AJ621">
        <v>0</v>
      </c>
      <c r="AK621" t="s">
        <v>318</v>
      </c>
      <c r="AL621">
        <v>32.817341999999996</v>
      </c>
      <c r="AM621" t="s">
        <v>319</v>
      </c>
      <c r="AN621">
        <v>-116.96798099999999</v>
      </c>
      <c r="AO621">
        <v>25</v>
      </c>
      <c r="AP621">
        <v>1800</v>
      </c>
      <c r="AQ621" t="s">
        <v>129</v>
      </c>
      <c r="AR621">
        <v>124</v>
      </c>
      <c r="AS621">
        <v>-3</v>
      </c>
      <c r="AT621">
        <v>960</v>
      </c>
      <c r="BB621">
        <v>1200</v>
      </c>
      <c r="BC621">
        <v>1</v>
      </c>
      <c r="BD621" t="str">
        <f t="shared" si="207"/>
        <v xml:space="preserve">N887QR  </v>
      </c>
      <c r="BE621">
        <v>1</v>
      </c>
      <c r="BG621">
        <v>0</v>
      </c>
      <c r="BH621">
        <v>0</v>
      </c>
      <c r="BI621">
        <v>0</v>
      </c>
      <c r="BJ621">
        <v>1550</v>
      </c>
      <c r="BK621">
        <v>-250</v>
      </c>
      <c r="BL621" t="s">
        <v>163</v>
      </c>
      <c r="BM621">
        <v>1</v>
      </c>
      <c r="BN621">
        <v>1</v>
      </c>
      <c r="BO621">
        <v>1</v>
      </c>
      <c r="BP621">
        <v>0</v>
      </c>
      <c r="BS621">
        <v>0</v>
      </c>
      <c r="BT621">
        <v>0</v>
      </c>
      <c r="BU621">
        <v>0</v>
      </c>
      <c r="CE621" t="str">
        <f t="shared" si="220"/>
        <v>19:27:19.929</v>
      </c>
      <c r="CF621">
        <v>1929277712</v>
      </c>
      <c r="CS621">
        <v>3</v>
      </c>
      <c r="CT621">
        <v>2</v>
      </c>
      <c r="CU621">
        <v>0</v>
      </c>
      <c r="CV621">
        <v>2</v>
      </c>
      <c r="CW621">
        <v>0</v>
      </c>
      <c r="CX621">
        <v>5</v>
      </c>
      <c r="CY621">
        <v>7</v>
      </c>
      <c r="CZ621" t="s">
        <v>131</v>
      </c>
      <c r="DA621">
        <v>300</v>
      </c>
      <c r="DB621">
        <v>0</v>
      </c>
      <c r="DC621" t="s">
        <v>176</v>
      </c>
      <c r="DD621" t="s">
        <v>177</v>
      </c>
      <c r="DG621">
        <v>5367368</v>
      </c>
      <c r="DI621">
        <v>1</v>
      </c>
      <c r="DJ621">
        <v>0</v>
      </c>
      <c r="DK621">
        <v>1</v>
      </c>
      <c r="DL621">
        <v>0</v>
      </c>
      <c r="DM621">
        <v>0</v>
      </c>
      <c r="DN621">
        <v>1</v>
      </c>
      <c r="DO621">
        <v>0</v>
      </c>
      <c r="DP621">
        <v>0</v>
      </c>
      <c r="DQ621">
        <v>0</v>
      </c>
      <c r="DR621">
        <v>0</v>
      </c>
      <c r="DS621">
        <v>0</v>
      </c>
    </row>
    <row r="622" spans="1:123" x14ac:dyDescent="0.3">
      <c r="A622" t="str">
        <f t="shared" si="218"/>
        <v>10/04/2022 19:27:20.134</v>
      </c>
      <c r="C622" t="str">
        <f t="shared" si="212"/>
        <v>FFDFD3C0</v>
      </c>
      <c r="D622" t="s">
        <v>134</v>
      </c>
      <c r="E622">
        <v>15</v>
      </c>
      <c r="J622" t="s">
        <v>135</v>
      </c>
      <c r="K622">
        <v>0</v>
      </c>
      <c r="L622">
        <v>3</v>
      </c>
      <c r="M622">
        <v>0</v>
      </c>
      <c r="N622">
        <v>2</v>
      </c>
      <c r="O622">
        <v>0</v>
      </c>
      <c r="P622">
        <v>1</v>
      </c>
      <c r="Q622">
        <v>0</v>
      </c>
      <c r="S622" t="str">
        <f t="shared" si="219"/>
        <v>19:27:18.922</v>
      </c>
      <c r="T622" t="str">
        <f t="shared" si="219"/>
        <v>19:27:18.922</v>
      </c>
      <c r="U622" t="str">
        <f t="shared" si="206"/>
        <v>AC3944</v>
      </c>
      <c r="V622">
        <v>0</v>
      </c>
      <c r="W622">
        <v>0</v>
      </c>
      <c r="X622">
        <v>2</v>
      </c>
      <c r="Y622">
        <v>0</v>
      </c>
      <c r="AA622">
        <v>0</v>
      </c>
      <c r="AB622">
        <v>8</v>
      </c>
      <c r="AC622">
        <v>3</v>
      </c>
      <c r="AD622">
        <v>0</v>
      </c>
      <c r="AE622">
        <v>9</v>
      </c>
      <c r="AF622" t="s">
        <v>138</v>
      </c>
      <c r="AG622">
        <v>0</v>
      </c>
      <c r="AH622">
        <v>3</v>
      </c>
      <c r="AI622">
        <v>1</v>
      </c>
      <c r="AJ622">
        <v>0</v>
      </c>
      <c r="AK622" t="s">
        <v>318</v>
      </c>
      <c r="AL622">
        <v>32.817341999999996</v>
      </c>
      <c r="AM622" t="s">
        <v>319</v>
      </c>
      <c r="AN622">
        <v>-116.96798099999999</v>
      </c>
      <c r="AO622">
        <v>25</v>
      </c>
      <c r="AP622">
        <v>1800</v>
      </c>
      <c r="AQ622" t="s">
        <v>129</v>
      </c>
      <c r="AR622">
        <v>124</v>
      </c>
      <c r="AS622">
        <v>-3</v>
      </c>
      <c r="AT622">
        <v>960</v>
      </c>
      <c r="BB622">
        <v>1200</v>
      </c>
      <c r="BC622">
        <v>1</v>
      </c>
      <c r="BD622" t="str">
        <f t="shared" si="207"/>
        <v xml:space="preserve">N887QR  </v>
      </c>
      <c r="BE622">
        <v>1</v>
      </c>
      <c r="BG622">
        <v>0</v>
      </c>
      <c r="BH622">
        <v>0</v>
      </c>
      <c r="BI622">
        <v>0</v>
      </c>
      <c r="BJ622">
        <v>1550</v>
      </c>
      <c r="BK622">
        <v>-250</v>
      </c>
      <c r="BL622" t="s">
        <v>163</v>
      </c>
      <c r="BM622">
        <v>1</v>
      </c>
      <c r="BN622">
        <v>1</v>
      </c>
      <c r="BO622">
        <v>1</v>
      </c>
      <c r="BP622">
        <v>0</v>
      </c>
      <c r="BS622">
        <v>0</v>
      </c>
      <c r="BT622">
        <v>0</v>
      </c>
      <c r="BU622">
        <v>0</v>
      </c>
      <c r="CE622" t="str">
        <f t="shared" si="220"/>
        <v>19:27:19.929</v>
      </c>
      <c r="CF622">
        <v>1929277712</v>
      </c>
      <c r="CS622">
        <v>3</v>
      </c>
      <c r="CT622">
        <v>2</v>
      </c>
      <c r="CU622">
        <v>0</v>
      </c>
      <c r="CV622">
        <v>2</v>
      </c>
      <c r="CW622">
        <v>0</v>
      </c>
      <c r="CX622">
        <v>5</v>
      </c>
      <c r="CY622">
        <v>7</v>
      </c>
      <c r="CZ622" t="s">
        <v>131</v>
      </c>
      <c r="DA622">
        <v>300</v>
      </c>
      <c r="DB622">
        <v>0</v>
      </c>
      <c r="DC622" t="s">
        <v>176</v>
      </c>
      <c r="DD622" t="s">
        <v>177</v>
      </c>
      <c r="DG622">
        <v>5367368</v>
      </c>
      <c r="DI622">
        <v>1</v>
      </c>
      <c r="DJ622">
        <v>0</v>
      </c>
      <c r="DK622">
        <v>1</v>
      </c>
      <c r="DL622">
        <v>0</v>
      </c>
      <c r="DM622">
        <v>0</v>
      </c>
      <c r="DN622">
        <v>1</v>
      </c>
      <c r="DO622">
        <v>0</v>
      </c>
      <c r="DP622">
        <v>0</v>
      </c>
      <c r="DQ622">
        <v>0</v>
      </c>
      <c r="DR622">
        <v>0</v>
      </c>
      <c r="DS622">
        <v>0</v>
      </c>
    </row>
    <row r="623" spans="1:123" x14ac:dyDescent="0.3">
      <c r="A623" t="str">
        <f t="shared" si="218"/>
        <v>10/04/2022 19:27:20.134</v>
      </c>
      <c r="C623" t="str">
        <f t="shared" si="212"/>
        <v>FFDFD3C0</v>
      </c>
      <c r="D623" t="s">
        <v>123</v>
      </c>
      <c r="E623">
        <v>7</v>
      </c>
      <c r="F623">
        <v>2007</v>
      </c>
      <c r="G623" t="s">
        <v>124</v>
      </c>
      <c r="J623" t="s">
        <v>125</v>
      </c>
      <c r="K623">
        <v>0</v>
      </c>
      <c r="L623">
        <v>3</v>
      </c>
      <c r="M623">
        <v>0</v>
      </c>
      <c r="N623">
        <v>2</v>
      </c>
      <c r="O623">
        <v>0</v>
      </c>
      <c r="P623">
        <v>1</v>
      </c>
      <c r="Q623">
        <v>0</v>
      </c>
      <c r="S623" t="str">
        <f t="shared" si="219"/>
        <v>19:27:18.922</v>
      </c>
      <c r="T623" t="str">
        <f t="shared" si="219"/>
        <v>19:27:18.922</v>
      </c>
      <c r="U623" t="str">
        <f t="shared" si="206"/>
        <v>AC3944</v>
      </c>
      <c r="V623">
        <v>0</v>
      </c>
      <c r="W623">
        <v>0</v>
      </c>
      <c r="X623">
        <v>2</v>
      </c>
      <c r="Y623">
        <v>0</v>
      </c>
      <c r="AA623">
        <v>0</v>
      </c>
      <c r="AB623">
        <v>8</v>
      </c>
      <c r="AC623">
        <v>3</v>
      </c>
      <c r="AD623">
        <v>0</v>
      </c>
      <c r="AE623">
        <v>9</v>
      </c>
      <c r="AF623" t="s">
        <v>138</v>
      </c>
      <c r="AG623">
        <v>0</v>
      </c>
      <c r="AH623">
        <v>3</v>
      </c>
      <c r="AI623">
        <v>1</v>
      </c>
      <c r="AJ623">
        <v>0</v>
      </c>
      <c r="AK623" t="s">
        <v>318</v>
      </c>
      <c r="AL623">
        <v>32.817341999999996</v>
      </c>
      <c r="AM623" t="s">
        <v>319</v>
      </c>
      <c r="AN623">
        <v>-116.96798099999999</v>
      </c>
      <c r="AO623">
        <v>25</v>
      </c>
      <c r="AP623">
        <v>1800</v>
      </c>
      <c r="AQ623" t="s">
        <v>129</v>
      </c>
      <c r="AR623">
        <v>124</v>
      </c>
      <c r="AS623">
        <v>-3</v>
      </c>
      <c r="AT623">
        <v>960</v>
      </c>
      <c r="BB623">
        <v>1200</v>
      </c>
      <c r="BC623">
        <v>1</v>
      </c>
      <c r="BD623" t="str">
        <f t="shared" si="207"/>
        <v xml:space="preserve">N887QR  </v>
      </c>
      <c r="BE623">
        <v>1</v>
      </c>
      <c r="BG623">
        <v>0</v>
      </c>
      <c r="BH623">
        <v>0</v>
      </c>
      <c r="BI623">
        <v>0</v>
      </c>
      <c r="BJ623">
        <v>1550</v>
      </c>
      <c r="BK623">
        <v>-250</v>
      </c>
      <c r="BL623" t="s">
        <v>163</v>
      </c>
      <c r="BM623">
        <v>1</v>
      </c>
      <c r="BN623">
        <v>1</v>
      </c>
      <c r="BO623">
        <v>1</v>
      </c>
      <c r="BP623">
        <v>0</v>
      </c>
      <c r="BS623">
        <v>0</v>
      </c>
      <c r="BT623">
        <v>0</v>
      </c>
      <c r="BU623">
        <v>0</v>
      </c>
      <c r="CE623" t="str">
        <f t="shared" si="220"/>
        <v>19:27:19.929</v>
      </c>
      <c r="CF623">
        <v>1929277712</v>
      </c>
      <c r="CS623">
        <v>3</v>
      </c>
      <c r="CT623">
        <v>2</v>
      </c>
      <c r="CU623">
        <v>0</v>
      </c>
      <c r="CV623">
        <v>2</v>
      </c>
      <c r="CW623">
        <v>0</v>
      </c>
      <c r="CX623">
        <v>5</v>
      </c>
      <c r="CY623">
        <v>7</v>
      </c>
      <c r="CZ623" t="s">
        <v>131</v>
      </c>
      <c r="DA623">
        <v>300</v>
      </c>
      <c r="DB623">
        <v>0</v>
      </c>
      <c r="DC623" t="s">
        <v>176</v>
      </c>
      <c r="DD623" t="s">
        <v>177</v>
      </c>
      <c r="DG623">
        <v>5367368</v>
      </c>
      <c r="DI623">
        <v>1</v>
      </c>
      <c r="DJ623">
        <v>0</v>
      </c>
      <c r="DK623">
        <v>1</v>
      </c>
      <c r="DL623">
        <v>0</v>
      </c>
      <c r="DM623">
        <v>0</v>
      </c>
      <c r="DN623">
        <v>1</v>
      </c>
      <c r="DO623">
        <v>0</v>
      </c>
      <c r="DP623">
        <v>0</v>
      </c>
      <c r="DQ623">
        <v>0</v>
      </c>
      <c r="DR623">
        <v>0</v>
      </c>
      <c r="DS623">
        <v>0</v>
      </c>
    </row>
    <row r="624" spans="1:123" x14ac:dyDescent="0.3">
      <c r="A624" t="str">
        <f t="shared" si="218"/>
        <v>10/04/2022 19:27:20.134</v>
      </c>
      <c r="C624" t="str">
        <f t="shared" si="212"/>
        <v>FFDFD3C0</v>
      </c>
      <c r="D624" t="s">
        <v>141</v>
      </c>
      <c r="E624">
        <v>4</v>
      </c>
      <c r="H624">
        <v>4</v>
      </c>
      <c r="I624" t="s">
        <v>142</v>
      </c>
      <c r="J624" t="s">
        <v>138</v>
      </c>
      <c r="K624">
        <v>0</v>
      </c>
      <c r="L624">
        <v>3</v>
      </c>
      <c r="M624">
        <v>0</v>
      </c>
      <c r="N624">
        <v>2</v>
      </c>
      <c r="O624">
        <v>0</v>
      </c>
      <c r="P624">
        <v>1</v>
      </c>
      <c r="Q624">
        <v>0</v>
      </c>
      <c r="S624" t="str">
        <f t="shared" si="219"/>
        <v>19:27:18.922</v>
      </c>
      <c r="T624" t="str">
        <f t="shared" si="219"/>
        <v>19:27:18.922</v>
      </c>
      <c r="U624" t="str">
        <f t="shared" si="206"/>
        <v>AC3944</v>
      </c>
      <c r="V624">
        <v>0</v>
      </c>
      <c r="W624">
        <v>0</v>
      </c>
      <c r="X624">
        <v>2</v>
      </c>
      <c r="Y624">
        <v>0</v>
      </c>
      <c r="AA624">
        <v>0</v>
      </c>
      <c r="AB624">
        <v>8</v>
      </c>
      <c r="AC624">
        <v>3</v>
      </c>
      <c r="AD624">
        <v>0</v>
      </c>
      <c r="AE624">
        <v>9</v>
      </c>
      <c r="AF624" t="s">
        <v>138</v>
      </c>
      <c r="AG624">
        <v>0</v>
      </c>
      <c r="AH624">
        <v>3</v>
      </c>
      <c r="AI624">
        <v>1</v>
      </c>
      <c r="AJ624">
        <v>0</v>
      </c>
      <c r="AK624" t="s">
        <v>318</v>
      </c>
      <c r="AL624">
        <v>32.817341999999996</v>
      </c>
      <c r="AM624" t="s">
        <v>319</v>
      </c>
      <c r="AN624">
        <v>-116.96798099999999</v>
      </c>
      <c r="AO624">
        <v>25</v>
      </c>
      <c r="AP624">
        <v>1800</v>
      </c>
      <c r="AQ624" t="s">
        <v>129</v>
      </c>
      <c r="AR624">
        <v>124</v>
      </c>
      <c r="AS624">
        <v>-3</v>
      </c>
      <c r="AT624">
        <v>960</v>
      </c>
      <c r="BB624">
        <v>1200</v>
      </c>
      <c r="BC624">
        <v>1</v>
      </c>
      <c r="BD624" t="str">
        <f t="shared" si="207"/>
        <v xml:space="preserve">N887QR  </v>
      </c>
      <c r="BE624">
        <v>1</v>
      </c>
      <c r="BG624">
        <v>0</v>
      </c>
      <c r="BH624">
        <v>0</v>
      </c>
      <c r="BI624">
        <v>0</v>
      </c>
      <c r="BJ624">
        <v>1550</v>
      </c>
      <c r="BK624">
        <v>-250</v>
      </c>
      <c r="BL624" t="s">
        <v>163</v>
      </c>
      <c r="BM624">
        <v>1</v>
      </c>
      <c r="BN624">
        <v>1</v>
      </c>
      <c r="BO624">
        <v>1</v>
      </c>
      <c r="BP624">
        <v>0</v>
      </c>
      <c r="BS624">
        <v>0</v>
      </c>
      <c r="BT624">
        <v>0</v>
      </c>
      <c r="BU624">
        <v>0</v>
      </c>
      <c r="CE624" t="str">
        <f t="shared" si="220"/>
        <v>19:27:19.929</v>
      </c>
      <c r="CF624">
        <v>1929277712</v>
      </c>
      <c r="CS624">
        <v>3</v>
      </c>
      <c r="CT624">
        <v>2</v>
      </c>
      <c r="CU624">
        <v>0</v>
      </c>
      <c r="CV624">
        <v>2</v>
      </c>
      <c r="CW624">
        <v>0</v>
      </c>
      <c r="CX624">
        <v>5</v>
      </c>
      <c r="CY624">
        <v>7</v>
      </c>
      <c r="CZ624" t="s">
        <v>131</v>
      </c>
      <c r="DA624">
        <v>300</v>
      </c>
      <c r="DB624">
        <v>0</v>
      </c>
      <c r="DC624" t="s">
        <v>176</v>
      </c>
      <c r="DD624" t="s">
        <v>177</v>
      </c>
      <c r="DG624">
        <v>5367368</v>
      </c>
      <c r="DI624">
        <v>1</v>
      </c>
      <c r="DJ624">
        <v>0</v>
      </c>
      <c r="DK624">
        <v>1</v>
      </c>
      <c r="DL624">
        <v>0</v>
      </c>
      <c r="DM624">
        <v>0</v>
      </c>
      <c r="DN624">
        <v>1</v>
      </c>
      <c r="DO624">
        <v>0</v>
      </c>
      <c r="DP624">
        <v>0</v>
      </c>
      <c r="DQ624">
        <v>0</v>
      </c>
      <c r="DR624">
        <v>0</v>
      </c>
      <c r="DS624">
        <v>0</v>
      </c>
    </row>
    <row r="625" spans="1:123" x14ac:dyDescent="0.3">
      <c r="A625" t="str">
        <f>"10/04/2022 19:27:20.197"</f>
        <v>10/04/2022 19:27:20.197</v>
      </c>
      <c r="C625" t="str">
        <f t="shared" si="212"/>
        <v>FFDFD3C0</v>
      </c>
      <c r="D625" t="s">
        <v>136</v>
      </c>
      <c r="E625">
        <v>8</v>
      </c>
      <c r="H625">
        <v>225</v>
      </c>
      <c r="I625" t="s">
        <v>137</v>
      </c>
      <c r="J625" t="s">
        <v>138</v>
      </c>
      <c r="K625">
        <v>0</v>
      </c>
      <c r="L625">
        <v>3</v>
      </c>
      <c r="M625">
        <v>0</v>
      </c>
      <c r="N625">
        <v>2</v>
      </c>
      <c r="O625">
        <v>0</v>
      </c>
      <c r="P625">
        <v>1</v>
      </c>
      <c r="Q625">
        <v>0</v>
      </c>
      <c r="S625" t="str">
        <f t="shared" si="219"/>
        <v>19:27:18.922</v>
      </c>
      <c r="T625" t="str">
        <f t="shared" si="219"/>
        <v>19:27:18.922</v>
      </c>
      <c r="U625" t="str">
        <f t="shared" si="206"/>
        <v>AC3944</v>
      </c>
      <c r="V625">
        <v>0</v>
      </c>
      <c r="W625">
        <v>0</v>
      </c>
      <c r="X625">
        <v>2</v>
      </c>
      <c r="Y625">
        <v>0</v>
      </c>
      <c r="AA625">
        <v>0</v>
      </c>
      <c r="AB625">
        <v>8</v>
      </c>
      <c r="AC625">
        <v>3</v>
      </c>
      <c r="AD625">
        <v>0</v>
      </c>
      <c r="AE625">
        <v>9</v>
      </c>
      <c r="AF625" t="s">
        <v>138</v>
      </c>
      <c r="AG625">
        <v>0</v>
      </c>
      <c r="AH625">
        <v>3</v>
      </c>
      <c r="AI625">
        <v>1</v>
      </c>
      <c r="AJ625">
        <v>0</v>
      </c>
      <c r="AK625" t="s">
        <v>318</v>
      </c>
      <c r="AL625">
        <v>32.817341999999996</v>
      </c>
      <c r="AM625" t="s">
        <v>319</v>
      </c>
      <c r="AN625">
        <v>-116.96798099999999</v>
      </c>
      <c r="AO625">
        <v>25</v>
      </c>
      <c r="AP625">
        <v>1800</v>
      </c>
      <c r="AQ625" t="s">
        <v>129</v>
      </c>
      <c r="AR625">
        <v>124</v>
      </c>
      <c r="AS625">
        <v>-3</v>
      </c>
      <c r="AT625">
        <v>960</v>
      </c>
      <c r="BB625">
        <v>1200</v>
      </c>
      <c r="BC625">
        <v>1</v>
      </c>
      <c r="BD625" t="str">
        <f t="shared" si="207"/>
        <v xml:space="preserve">N887QR  </v>
      </c>
      <c r="BE625">
        <v>1</v>
      </c>
      <c r="BG625">
        <v>0</v>
      </c>
      <c r="BH625">
        <v>0</v>
      </c>
      <c r="BI625">
        <v>0</v>
      </c>
      <c r="BJ625">
        <v>1550</v>
      </c>
      <c r="BK625">
        <v>-250</v>
      </c>
      <c r="BL625" t="s">
        <v>163</v>
      </c>
      <c r="BM625">
        <v>1</v>
      </c>
      <c r="BN625">
        <v>1</v>
      </c>
      <c r="BO625">
        <v>1</v>
      </c>
      <c r="BP625">
        <v>0</v>
      </c>
      <c r="BS625">
        <v>0</v>
      </c>
      <c r="BT625">
        <v>0</v>
      </c>
      <c r="BU625">
        <v>0</v>
      </c>
      <c r="CE625" t="str">
        <f t="shared" si="220"/>
        <v>19:27:19.929</v>
      </c>
      <c r="CF625">
        <v>1929277712</v>
      </c>
      <c r="CS625">
        <v>3</v>
      </c>
      <c r="CT625">
        <v>2</v>
      </c>
      <c r="CU625">
        <v>0</v>
      </c>
      <c r="CV625">
        <v>2</v>
      </c>
      <c r="CW625">
        <v>0</v>
      </c>
      <c r="CX625">
        <v>5</v>
      </c>
      <c r="CY625">
        <v>7</v>
      </c>
      <c r="CZ625" t="s">
        <v>131</v>
      </c>
      <c r="DA625">
        <v>300</v>
      </c>
      <c r="DB625">
        <v>0</v>
      </c>
      <c r="DC625" t="s">
        <v>176</v>
      </c>
      <c r="DD625" t="s">
        <v>177</v>
      </c>
      <c r="DG625">
        <v>5367368</v>
      </c>
      <c r="DI625">
        <v>1</v>
      </c>
      <c r="DJ625">
        <v>0</v>
      </c>
      <c r="DK625">
        <v>1</v>
      </c>
      <c r="DL625">
        <v>0</v>
      </c>
      <c r="DM625">
        <v>0</v>
      </c>
      <c r="DN625">
        <v>1</v>
      </c>
      <c r="DO625">
        <v>0</v>
      </c>
      <c r="DP625">
        <v>0</v>
      </c>
      <c r="DQ625">
        <v>0</v>
      </c>
      <c r="DR625">
        <v>0</v>
      </c>
      <c r="DS625">
        <v>0</v>
      </c>
    </row>
    <row r="626" spans="1:123" x14ac:dyDescent="0.3">
      <c r="A626" t="str">
        <f t="shared" ref="A626:A631" si="221">"10/04/2022 19:27:21.743"</f>
        <v>10/04/2022 19:27:21.743</v>
      </c>
      <c r="C626" t="str">
        <f t="shared" si="212"/>
        <v>FFDFD3C0</v>
      </c>
      <c r="D626" t="s">
        <v>136</v>
      </c>
      <c r="E626">
        <v>8</v>
      </c>
      <c r="H626">
        <v>225</v>
      </c>
      <c r="I626" t="s">
        <v>137</v>
      </c>
      <c r="J626" t="s">
        <v>138</v>
      </c>
      <c r="K626">
        <v>0</v>
      </c>
      <c r="L626">
        <v>3</v>
      </c>
      <c r="M626">
        <v>0</v>
      </c>
      <c r="N626">
        <v>2</v>
      </c>
      <c r="O626">
        <v>0</v>
      </c>
      <c r="P626">
        <v>1</v>
      </c>
      <c r="Q626">
        <v>0</v>
      </c>
      <c r="S626" t="str">
        <f t="shared" ref="S626:T632" si="222">"19:27:20.523"</f>
        <v>19:27:20.523</v>
      </c>
      <c r="T626" t="str">
        <f t="shared" si="222"/>
        <v>19:27:20.523</v>
      </c>
      <c r="U626" t="str">
        <f t="shared" si="206"/>
        <v>AC3944</v>
      </c>
      <c r="V626">
        <v>0</v>
      </c>
      <c r="W626">
        <v>0</v>
      </c>
      <c r="X626">
        <v>2</v>
      </c>
      <c r="Y626">
        <v>0</v>
      </c>
      <c r="AA626">
        <v>0</v>
      </c>
      <c r="AB626">
        <v>8</v>
      </c>
      <c r="AC626">
        <v>3</v>
      </c>
      <c r="AD626">
        <v>0</v>
      </c>
      <c r="AE626">
        <v>9</v>
      </c>
      <c r="AF626" t="s">
        <v>138</v>
      </c>
      <c r="AG626">
        <v>0</v>
      </c>
      <c r="AH626">
        <v>3</v>
      </c>
      <c r="AI626">
        <v>1</v>
      </c>
      <c r="AJ626">
        <v>0</v>
      </c>
      <c r="AK626" t="s">
        <v>320</v>
      </c>
      <c r="AL626">
        <v>32.817321</v>
      </c>
      <c r="AM626" t="s">
        <v>321</v>
      </c>
      <c r="AN626">
        <v>-116.96727300000001</v>
      </c>
      <c r="AO626">
        <v>25</v>
      </c>
      <c r="AP626">
        <v>1800</v>
      </c>
      <c r="AQ626" t="s">
        <v>129</v>
      </c>
      <c r="AR626">
        <v>125</v>
      </c>
      <c r="AS626">
        <v>0</v>
      </c>
      <c r="AT626">
        <v>640</v>
      </c>
      <c r="BB626">
        <v>1200</v>
      </c>
      <c r="BC626">
        <v>1</v>
      </c>
      <c r="BD626" t="str">
        <f t="shared" si="207"/>
        <v xml:space="preserve">N887QR  </v>
      </c>
      <c r="BE626">
        <v>1</v>
      </c>
      <c r="BG626">
        <v>0</v>
      </c>
      <c r="BH626">
        <v>0</v>
      </c>
      <c r="BI626">
        <v>0</v>
      </c>
      <c r="BJ626">
        <v>1550</v>
      </c>
      <c r="BK626">
        <v>-250</v>
      </c>
      <c r="BL626" t="s">
        <v>163</v>
      </c>
      <c r="BM626">
        <v>1</v>
      </c>
      <c r="BN626">
        <v>1</v>
      </c>
      <c r="BO626">
        <v>1</v>
      </c>
      <c r="BP626">
        <v>0</v>
      </c>
      <c r="BS626">
        <v>0</v>
      </c>
      <c r="BT626">
        <v>0</v>
      </c>
      <c r="BU626">
        <v>0</v>
      </c>
      <c r="CE626" t="str">
        <f t="shared" ref="CE626:CE632" si="223">"19:27:21.527"</f>
        <v>19:27:21.527</v>
      </c>
      <c r="CF626">
        <v>1526782800</v>
      </c>
      <c r="CS626">
        <v>3</v>
      </c>
      <c r="CT626">
        <v>2</v>
      </c>
      <c r="CU626">
        <v>0</v>
      </c>
      <c r="CV626">
        <v>2</v>
      </c>
      <c r="CW626">
        <v>0</v>
      </c>
      <c r="CX626">
        <v>5</v>
      </c>
      <c r="CY626">
        <v>7</v>
      </c>
      <c r="CZ626" t="s">
        <v>131</v>
      </c>
      <c r="DA626">
        <v>300</v>
      </c>
      <c r="DB626">
        <v>0</v>
      </c>
      <c r="DC626" t="s">
        <v>176</v>
      </c>
      <c r="DD626" t="s">
        <v>177</v>
      </c>
      <c r="DG626">
        <v>5367615</v>
      </c>
      <c r="DI626">
        <v>1</v>
      </c>
      <c r="DJ626">
        <v>0</v>
      </c>
      <c r="DK626">
        <v>0</v>
      </c>
      <c r="DL626">
        <v>0</v>
      </c>
      <c r="DM626">
        <v>0</v>
      </c>
      <c r="DN626">
        <v>1</v>
      </c>
      <c r="DO626">
        <v>0</v>
      </c>
      <c r="DP626">
        <v>0</v>
      </c>
      <c r="DQ626">
        <v>0</v>
      </c>
      <c r="DR626">
        <v>0</v>
      </c>
      <c r="DS626">
        <v>0</v>
      </c>
    </row>
    <row r="627" spans="1:123" x14ac:dyDescent="0.3">
      <c r="A627" t="str">
        <f t="shared" si="221"/>
        <v>10/04/2022 19:27:21.743</v>
      </c>
      <c r="C627" t="str">
        <f t="shared" si="212"/>
        <v>FFDFD3C0</v>
      </c>
      <c r="D627" t="s">
        <v>143</v>
      </c>
      <c r="E627">
        <v>20</v>
      </c>
      <c r="F627">
        <v>1020</v>
      </c>
      <c r="G627" t="s">
        <v>144</v>
      </c>
      <c r="J627" t="s">
        <v>145</v>
      </c>
      <c r="K627">
        <v>0</v>
      </c>
      <c r="L627">
        <v>3</v>
      </c>
      <c r="M627">
        <v>0</v>
      </c>
      <c r="N627">
        <v>2</v>
      </c>
      <c r="O627">
        <v>0</v>
      </c>
      <c r="P627">
        <v>1</v>
      </c>
      <c r="Q627">
        <v>0</v>
      </c>
      <c r="S627" t="str">
        <f t="shared" si="222"/>
        <v>19:27:20.523</v>
      </c>
      <c r="T627" t="str">
        <f t="shared" si="222"/>
        <v>19:27:20.523</v>
      </c>
      <c r="U627" t="str">
        <f t="shared" si="206"/>
        <v>AC3944</v>
      </c>
      <c r="V627">
        <v>0</v>
      </c>
      <c r="W627">
        <v>0</v>
      </c>
      <c r="X627">
        <v>2</v>
      </c>
      <c r="Y627">
        <v>0</v>
      </c>
      <c r="AA627">
        <v>0</v>
      </c>
      <c r="AB627">
        <v>8</v>
      </c>
      <c r="AC627">
        <v>3</v>
      </c>
      <c r="AD627">
        <v>0</v>
      </c>
      <c r="AE627">
        <v>9</v>
      </c>
      <c r="AF627" t="s">
        <v>138</v>
      </c>
      <c r="AG627">
        <v>0</v>
      </c>
      <c r="AH627">
        <v>3</v>
      </c>
      <c r="AI627">
        <v>1</v>
      </c>
      <c r="AJ627">
        <v>0</v>
      </c>
      <c r="AK627" t="s">
        <v>320</v>
      </c>
      <c r="AL627">
        <v>32.817321</v>
      </c>
      <c r="AM627" t="s">
        <v>321</v>
      </c>
      <c r="AN627">
        <v>-116.96727300000001</v>
      </c>
      <c r="AO627">
        <v>25</v>
      </c>
      <c r="AP627">
        <v>1800</v>
      </c>
      <c r="AQ627" t="s">
        <v>129</v>
      </c>
      <c r="AR627">
        <v>125</v>
      </c>
      <c r="AS627">
        <v>0</v>
      </c>
      <c r="AT627">
        <v>640</v>
      </c>
      <c r="BB627">
        <v>1200</v>
      </c>
      <c r="BC627">
        <v>1</v>
      </c>
      <c r="BD627" t="str">
        <f t="shared" si="207"/>
        <v xml:space="preserve">N887QR  </v>
      </c>
      <c r="BE627">
        <v>1</v>
      </c>
      <c r="BG627">
        <v>0</v>
      </c>
      <c r="BH627">
        <v>0</v>
      </c>
      <c r="BI627">
        <v>0</v>
      </c>
      <c r="BJ627">
        <v>1550</v>
      </c>
      <c r="BK627">
        <v>-250</v>
      </c>
      <c r="BL627" t="s">
        <v>163</v>
      </c>
      <c r="BM627">
        <v>1</v>
      </c>
      <c r="BN627">
        <v>1</v>
      </c>
      <c r="BO627">
        <v>1</v>
      </c>
      <c r="BP627">
        <v>0</v>
      </c>
      <c r="BS627">
        <v>0</v>
      </c>
      <c r="BT627">
        <v>0</v>
      </c>
      <c r="BU627">
        <v>0</v>
      </c>
      <c r="CE627" t="str">
        <f t="shared" si="223"/>
        <v>19:27:21.527</v>
      </c>
      <c r="CF627">
        <v>1526782800</v>
      </c>
      <c r="CS627">
        <v>3</v>
      </c>
      <c r="CT627">
        <v>2</v>
      </c>
      <c r="CU627">
        <v>0</v>
      </c>
      <c r="CV627">
        <v>2</v>
      </c>
      <c r="CW627">
        <v>0</v>
      </c>
      <c r="CX627">
        <v>5</v>
      </c>
      <c r="CY627">
        <v>7</v>
      </c>
      <c r="CZ627" t="s">
        <v>131</v>
      </c>
      <c r="DA627">
        <v>300</v>
      </c>
      <c r="DB627">
        <v>0</v>
      </c>
      <c r="DC627" t="s">
        <v>176</v>
      </c>
      <c r="DD627" t="s">
        <v>177</v>
      </c>
      <c r="DG627">
        <v>5367615</v>
      </c>
      <c r="DI627">
        <v>1</v>
      </c>
      <c r="DJ627">
        <v>0</v>
      </c>
      <c r="DK627">
        <v>1</v>
      </c>
      <c r="DL627">
        <v>0</v>
      </c>
      <c r="DM627">
        <v>0</v>
      </c>
      <c r="DN627">
        <v>1</v>
      </c>
      <c r="DO627">
        <v>0</v>
      </c>
      <c r="DP627">
        <v>0</v>
      </c>
      <c r="DQ627">
        <v>0</v>
      </c>
      <c r="DR627">
        <v>0</v>
      </c>
      <c r="DS627">
        <v>0</v>
      </c>
    </row>
    <row r="628" spans="1:123" x14ac:dyDescent="0.3">
      <c r="A628" t="str">
        <f t="shared" si="221"/>
        <v>10/04/2022 19:27:21.743</v>
      </c>
      <c r="C628" t="str">
        <f t="shared" si="212"/>
        <v>FFDFD3C0</v>
      </c>
      <c r="D628" t="s">
        <v>147</v>
      </c>
      <c r="E628">
        <v>3</v>
      </c>
      <c r="H628">
        <v>166</v>
      </c>
      <c r="I628" t="s">
        <v>144</v>
      </c>
      <c r="J628" t="s">
        <v>148</v>
      </c>
      <c r="K628">
        <v>0</v>
      </c>
      <c r="L628">
        <v>3</v>
      </c>
      <c r="M628">
        <v>0</v>
      </c>
      <c r="N628">
        <v>2</v>
      </c>
      <c r="O628">
        <v>0</v>
      </c>
      <c r="P628">
        <v>1</v>
      </c>
      <c r="Q628">
        <v>0</v>
      </c>
      <c r="S628" t="str">
        <f t="shared" si="222"/>
        <v>19:27:20.523</v>
      </c>
      <c r="T628" t="str">
        <f t="shared" si="222"/>
        <v>19:27:20.523</v>
      </c>
      <c r="U628" t="str">
        <f t="shared" si="206"/>
        <v>AC3944</v>
      </c>
      <c r="V628">
        <v>0</v>
      </c>
      <c r="W628">
        <v>0</v>
      </c>
      <c r="X628">
        <v>2</v>
      </c>
      <c r="Y628">
        <v>0</v>
      </c>
      <c r="AA628">
        <v>0</v>
      </c>
      <c r="AB628">
        <v>8</v>
      </c>
      <c r="AC628">
        <v>3</v>
      </c>
      <c r="AD628">
        <v>0</v>
      </c>
      <c r="AE628">
        <v>9</v>
      </c>
      <c r="AF628" t="s">
        <v>138</v>
      </c>
      <c r="AG628">
        <v>0</v>
      </c>
      <c r="AH628">
        <v>3</v>
      </c>
      <c r="AI628">
        <v>1</v>
      </c>
      <c r="AJ628">
        <v>0</v>
      </c>
      <c r="AK628" t="s">
        <v>320</v>
      </c>
      <c r="AL628">
        <v>32.817321</v>
      </c>
      <c r="AM628" t="s">
        <v>321</v>
      </c>
      <c r="AN628">
        <v>-116.96727300000001</v>
      </c>
      <c r="AO628">
        <v>25</v>
      </c>
      <c r="AP628">
        <v>1800</v>
      </c>
      <c r="AQ628" t="s">
        <v>129</v>
      </c>
      <c r="AR628">
        <v>125</v>
      </c>
      <c r="AS628">
        <v>0</v>
      </c>
      <c r="AT628">
        <v>640</v>
      </c>
      <c r="BB628">
        <v>1200</v>
      </c>
      <c r="BC628">
        <v>1</v>
      </c>
      <c r="BD628" t="str">
        <f t="shared" si="207"/>
        <v xml:space="preserve">N887QR  </v>
      </c>
      <c r="BE628">
        <v>1</v>
      </c>
      <c r="BG628">
        <v>0</v>
      </c>
      <c r="BH628">
        <v>0</v>
      </c>
      <c r="BI628">
        <v>0</v>
      </c>
      <c r="BJ628">
        <v>1550</v>
      </c>
      <c r="BK628">
        <v>-250</v>
      </c>
      <c r="BL628" t="s">
        <v>163</v>
      </c>
      <c r="BM628">
        <v>1</v>
      </c>
      <c r="BN628">
        <v>1</v>
      </c>
      <c r="BO628">
        <v>1</v>
      </c>
      <c r="BP628">
        <v>0</v>
      </c>
      <c r="BS628">
        <v>0</v>
      </c>
      <c r="BT628">
        <v>0</v>
      </c>
      <c r="BU628">
        <v>0</v>
      </c>
      <c r="CE628" t="str">
        <f t="shared" si="223"/>
        <v>19:27:21.527</v>
      </c>
      <c r="CF628">
        <v>1526782800</v>
      </c>
      <c r="CS628">
        <v>3</v>
      </c>
      <c r="CT628">
        <v>2</v>
      </c>
      <c r="CU628">
        <v>0</v>
      </c>
      <c r="CV628">
        <v>2</v>
      </c>
      <c r="CW628">
        <v>0</v>
      </c>
      <c r="CX628">
        <v>5</v>
      </c>
      <c r="CY628">
        <v>7</v>
      </c>
      <c r="CZ628" t="s">
        <v>131</v>
      </c>
      <c r="DA628">
        <v>300</v>
      </c>
      <c r="DB628">
        <v>0</v>
      </c>
      <c r="DC628" t="s">
        <v>176</v>
      </c>
      <c r="DD628" t="s">
        <v>177</v>
      </c>
      <c r="DG628">
        <v>5367615</v>
      </c>
      <c r="DI628">
        <v>1</v>
      </c>
      <c r="DJ628">
        <v>0</v>
      </c>
      <c r="DK628">
        <v>1</v>
      </c>
      <c r="DL628">
        <v>0</v>
      </c>
      <c r="DM628">
        <v>0</v>
      </c>
      <c r="DN628">
        <v>1</v>
      </c>
      <c r="DO628">
        <v>0</v>
      </c>
      <c r="DP628">
        <v>0</v>
      </c>
      <c r="DQ628">
        <v>0</v>
      </c>
      <c r="DR628">
        <v>0</v>
      </c>
      <c r="DS628">
        <v>0</v>
      </c>
    </row>
    <row r="629" spans="1:123" x14ac:dyDescent="0.3">
      <c r="A629" t="str">
        <f t="shared" si="221"/>
        <v>10/04/2022 19:27:21.743</v>
      </c>
      <c r="C629" t="str">
        <f t="shared" si="212"/>
        <v>FFDFD3C0</v>
      </c>
      <c r="D629" t="s">
        <v>141</v>
      </c>
      <c r="E629">
        <v>3</v>
      </c>
      <c r="H629">
        <v>3</v>
      </c>
      <c r="I629" t="s">
        <v>146</v>
      </c>
      <c r="J629" t="s">
        <v>138</v>
      </c>
      <c r="K629">
        <v>0</v>
      </c>
      <c r="L629">
        <v>3</v>
      </c>
      <c r="M629">
        <v>0</v>
      </c>
      <c r="N629">
        <v>2</v>
      </c>
      <c r="O629">
        <v>0</v>
      </c>
      <c r="P629">
        <v>1</v>
      </c>
      <c r="Q629">
        <v>0</v>
      </c>
      <c r="S629" t="str">
        <f t="shared" si="222"/>
        <v>19:27:20.523</v>
      </c>
      <c r="T629" t="str">
        <f t="shared" si="222"/>
        <v>19:27:20.523</v>
      </c>
      <c r="U629" t="str">
        <f t="shared" si="206"/>
        <v>AC3944</v>
      </c>
      <c r="V629">
        <v>0</v>
      </c>
      <c r="W629">
        <v>0</v>
      </c>
      <c r="X629">
        <v>2</v>
      </c>
      <c r="Y629">
        <v>0</v>
      </c>
      <c r="AA629">
        <v>0</v>
      </c>
      <c r="AB629">
        <v>8</v>
      </c>
      <c r="AC629">
        <v>3</v>
      </c>
      <c r="AD629">
        <v>0</v>
      </c>
      <c r="AE629">
        <v>9</v>
      </c>
      <c r="AF629" t="s">
        <v>138</v>
      </c>
      <c r="AG629">
        <v>0</v>
      </c>
      <c r="AH629">
        <v>3</v>
      </c>
      <c r="AI629">
        <v>1</v>
      </c>
      <c r="AJ629">
        <v>0</v>
      </c>
      <c r="AK629" t="s">
        <v>320</v>
      </c>
      <c r="AL629">
        <v>32.817321</v>
      </c>
      <c r="AM629" t="s">
        <v>321</v>
      </c>
      <c r="AN629">
        <v>-116.96727300000001</v>
      </c>
      <c r="AO629">
        <v>25</v>
      </c>
      <c r="AP629">
        <v>1800</v>
      </c>
      <c r="AQ629" t="s">
        <v>129</v>
      </c>
      <c r="AR629">
        <v>125</v>
      </c>
      <c r="AS629">
        <v>0</v>
      </c>
      <c r="AT629">
        <v>640</v>
      </c>
      <c r="BB629">
        <v>1200</v>
      </c>
      <c r="BC629">
        <v>1</v>
      </c>
      <c r="BD629" t="str">
        <f t="shared" si="207"/>
        <v xml:space="preserve">N887QR  </v>
      </c>
      <c r="BE629">
        <v>1</v>
      </c>
      <c r="BG629">
        <v>0</v>
      </c>
      <c r="BH629">
        <v>0</v>
      </c>
      <c r="BI629">
        <v>0</v>
      </c>
      <c r="BJ629">
        <v>1550</v>
      </c>
      <c r="BK629">
        <v>-250</v>
      </c>
      <c r="BL629" t="s">
        <v>163</v>
      </c>
      <c r="BM629">
        <v>1</v>
      </c>
      <c r="BN629">
        <v>1</v>
      </c>
      <c r="BO629">
        <v>1</v>
      </c>
      <c r="BP629">
        <v>0</v>
      </c>
      <c r="BS629">
        <v>0</v>
      </c>
      <c r="BT629">
        <v>0</v>
      </c>
      <c r="BU629">
        <v>0</v>
      </c>
      <c r="CE629" t="str">
        <f t="shared" si="223"/>
        <v>19:27:21.527</v>
      </c>
      <c r="CF629">
        <v>1526782800</v>
      </c>
      <c r="CS629">
        <v>3</v>
      </c>
      <c r="CT629">
        <v>2</v>
      </c>
      <c r="CU629">
        <v>0</v>
      </c>
      <c r="CV629">
        <v>2</v>
      </c>
      <c r="CW629">
        <v>0</v>
      </c>
      <c r="CX629">
        <v>5</v>
      </c>
      <c r="CY629">
        <v>7</v>
      </c>
      <c r="CZ629" t="s">
        <v>131</v>
      </c>
      <c r="DA629">
        <v>300</v>
      </c>
      <c r="DB629">
        <v>0</v>
      </c>
      <c r="DC629" t="s">
        <v>176</v>
      </c>
      <c r="DD629" t="s">
        <v>177</v>
      </c>
      <c r="DG629">
        <v>5367615</v>
      </c>
      <c r="DI629">
        <v>1</v>
      </c>
      <c r="DJ629">
        <v>0</v>
      </c>
      <c r="DK629">
        <v>1</v>
      </c>
      <c r="DL629">
        <v>0</v>
      </c>
      <c r="DM629">
        <v>0</v>
      </c>
      <c r="DN629">
        <v>1</v>
      </c>
      <c r="DO629">
        <v>0</v>
      </c>
      <c r="DP629">
        <v>0</v>
      </c>
      <c r="DQ629">
        <v>0</v>
      </c>
      <c r="DR629">
        <v>0</v>
      </c>
      <c r="DS629">
        <v>0</v>
      </c>
    </row>
    <row r="630" spans="1:123" x14ac:dyDescent="0.3">
      <c r="A630" t="str">
        <f t="shared" si="221"/>
        <v>10/04/2022 19:27:21.743</v>
      </c>
      <c r="C630" t="str">
        <f t="shared" ref="C630:C661" si="224">"FFDFD3C0"</f>
        <v>FFDFD3C0</v>
      </c>
      <c r="D630" t="s">
        <v>123</v>
      </c>
      <c r="E630">
        <v>7</v>
      </c>
      <c r="F630">
        <v>2007</v>
      </c>
      <c r="G630" t="s">
        <v>124</v>
      </c>
      <c r="J630" t="s">
        <v>125</v>
      </c>
      <c r="K630">
        <v>0</v>
      </c>
      <c r="L630">
        <v>3</v>
      </c>
      <c r="M630">
        <v>0</v>
      </c>
      <c r="N630">
        <v>2</v>
      </c>
      <c r="O630">
        <v>0</v>
      </c>
      <c r="P630">
        <v>1</v>
      </c>
      <c r="Q630">
        <v>0</v>
      </c>
      <c r="S630" t="str">
        <f t="shared" si="222"/>
        <v>19:27:20.523</v>
      </c>
      <c r="T630" t="str">
        <f t="shared" si="222"/>
        <v>19:27:20.523</v>
      </c>
      <c r="U630" t="str">
        <f t="shared" si="206"/>
        <v>AC3944</v>
      </c>
      <c r="V630">
        <v>0</v>
      </c>
      <c r="W630">
        <v>0</v>
      </c>
      <c r="X630">
        <v>2</v>
      </c>
      <c r="Y630">
        <v>0</v>
      </c>
      <c r="AA630">
        <v>0</v>
      </c>
      <c r="AB630">
        <v>8</v>
      </c>
      <c r="AC630">
        <v>3</v>
      </c>
      <c r="AD630">
        <v>0</v>
      </c>
      <c r="AE630">
        <v>9</v>
      </c>
      <c r="AF630" t="s">
        <v>138</v>
      </c>
      <c r="AG630">
        <v>0</v>
      </c>
      <c r="AH630">
        <v>3</v>
      </c>
      <c r="AI630">
        <v>1</v>
      </c>
      <c r="AJ630">
        <v>0</v>
      </c>
      <c r="AK630" t="s">
        <v>320</v>
      </c>
      <c r="AL630">
        <v>32.817321</v>
      </c>
      <c r="AM630" t="s">
        <v>321</v>
      </c>
      <c r="AN630">
        <v>-116.96727300000001</v>
      </c>
      <c r="AO630">
        <v>25</v>
      </c>
      <c r="AP630">
        <v>1800</v>
      </c>
      <c r="AQ630" t="s">
        <v>129</v>
      </c>
      <c r="AR630">
        <v>125</v>
      </c>
      <c r="AS630">
        <v>0</v>
      </c>
      <c r="AT630">
        <v>640</v>
      </c>
      <c r="BB630">
        <v>1200</v>
      </c>
      <c r="BC630">
        <v>1</v>
      </c>
      <c r="BD630" t="str">
        <f t="shared" si="207"/>
        <v xml:space="preserve">N887QR  </v>
      </c>
      <c r="BE630">
        <v>1</v>
      </c>
      <c r="BG630">
        <v>0</v>
      </c>
      <c r="BH630">
        <v>0</v>
      </c>
      <c r="BI630">
        <v>0</v>
      </c>
      <c r="BJ630">
        <v>1550</v>
      </c>
      <c r="BK630">
        <v>-250</v>
      </c>
      <c r="BL630" t="s">
        <v>163</v>
      </c>
      <c r="BM630">
        <v>1</v>
      </c>
      <c r="BN630">
        <v>1</v>
      </c>
      <c r="BO630">
        <v>1</v>
      </c>
      <c r="BP630">
        <v>0</v>
      </c>
      <c r="BS630">
        <v>0</v>
      </c>
      <c r="BT630">
        <v>0</v>
      </c>
      <c r="BU630">
        <v>0</v>
      </c>
      <c r="CE630" t="str">
        <f t="shared" si="223"/>
        <v>19:27:21.527</v>
      </c>
      <c r="CF630">
        <v>1526782800</v>
      </c>
      <c r="CS630">
        <v>3</v>
      </c>
      <c r="CT630">
        <v>2</v>
      </c>
      <c r="CU630">
        <v>0</v>
      </c>
      <c r="CV630">
        <v>2</v>
      </c>
      <c r="CW630">
        <v>0</v>
      </c>
      <c r="CX630">
        <v>5</v>
      </c>
      <c r="CY630">
        <v>7</v>
      </c>
      <c r="CZ630" t="s">
        <v>131</v>
      </c>
      <c r="DA630">
        <v>300</v>
      </c>
      <c r="DB630">
        <v>0</v>
      </c>
      <c r="DC630" t="s">
        <v>176</v>
      </c>
      <c r="DD630" t="s">
        <v>177</v>
      </c>
      <c r="DG630">
        <v>5367615</v>
      </c>
      <c r="DI630">
        <v>1</v>
      </c>
      <c r="DJ630">
        <v>0</v>
      </c>
      <c r="DK630">
        <v>1</v>
      </c>
      <c r="DL630">
        <v>0</v>
      </c>
      <c r="DM630">
        <v>0</v>
      </c>
      <c r="DN630">
        <v>1</v>
      </c>
      <c r="DO630">
        <v>0</v>
      </c>
      <c r="DP630">
        <v>0</v>
      </c>
      <c r="DQ630">
        <v>0</v>
      </c>
      <c r="DR630">
        <v>0</v>
      </c>
      <c r="DS630">
        <v>0</v>
      </c>
    </row>
    <row r="631" spans="1:123" x14ac:dyDescent="0.3">
      <c r="A631" t="str">
        <f t="shared" si="221"/>
        <v>10/04/2022 19:27:21.743</v>
      </c>
      <c r="C631" t="str">
        <f t="shared" si="224"/>
        <v>FFDFD3C0</v>
      </c>
      <c r="D631" t="s">
        <v>134</v>
      </c>
      <c r="E631">
        <v>15</v>
      </c>
      <c r="J631" t="s">
        <v>135</v>
      </c>
      <c r="K631">
        <v>0</v>
      </c>
      <c r="L631">
        <v>3</v>
      </c>
      <c r="M631">
        <v>0</v>
      </c>
      <c r="N631">
        <v>2</v>
      </c>
      <c r="O631">
        <v>0</v>
      </c>
      <c r="P631">
        <v>1</v>
      </c>
      <c r="Q631">
        <v>0</v>
      </c>
      <c r="S631" t="str">
        <f t="shared" si="222"/>
        <v>19:27:20.523</v>
      </c>
      <c r="T631" t="str">
        <f t="shared" si="222"/>
        <v>19:27:20.523</v>
      </c>
      <c r="U631" t="str">
        <f t="shared" si="206"/>
        <v>AC3944</v>
      </c>
      <c r="V631">
        <v>0</v>
      </c>
      <c r="W631">
        <v>0</v>
      </c>
      <c r="X631">
        <v>2</v>
      </c>
      <c r="Y631">
        <v>0</v>
      </c>
      <c r="AA631">
        <v>0</v>
      </c>
      <c r="AB631">
        <v>8</v>
      </c>
      <c r="AC631">
        <v>3</v>
      </c>
      <c r="AD631">
        <v>0</v>
      </c>
      <c r="AE631">
        <v>9</v>
      </c>
      <c r="AF631" t="s">
        <v>138</v>
      </c>
      <c r="AG631">
        <v>0</v>
      </c>
      <c r="AH631">
        <v>3</v>
      </c>
      <c r="AI631">
        <v>1</v>
      </c>
      <c r="AJ631">
        <v>0</v>
      </c>
      <c r="AK631" t="s">
        <v>320</v>
      </c>
      <c r="AL631">
        <v>32.817321</v>
      </c>
      <c r="AM631" t="s">
        <v>321</v>
      </c>
      <c r="AN631">
        <v>-116.96727300000001</v>
      </c>
      <c r="AO631">
        <v>25</v>
      </c>
      <c r="AP631">
        <v>1800</v>
      </c>
      <c r="AQ631" t="s">
        <v>129</v>
      </c>
      <c r="AR631">
        <v>125</v>
      </c>
      <c r="AS631">
        <v>0</v>
      </c>
      <c r="AT631">
        <v>640</v>
      </c>
      <c r="BB631">
        <v>1200</v>
      </c>
      <c r="BC631">
        <v>1</v>
      </c>
      <c r="BD631" t="str">
        <f t="shared" si="207"/>
        <v xml:space="preserve">N887QR  </v>
      </c>
      <c r="BE631">
        <v>1</v>
      </c>
      <c r="BG631">
        <v>0</v>
      </c>
      <c r="BH631">
        <v>0</v>
      </c>
      <c r="BI631">
        <v>0</v>
      </c>
      <c r="BJ631">
        <v>1550</v>
      </c>
      <c r="BK631">
        <v>-250</v>
      </c>
      <c r="BL631" t="s">
        <v>163</v>
      </c>
      <c r="BM631">
        <v>1</v>
      </c>
      <c r="BN631">
        <v>1</v>
      </c>
      <c r="BO631">
        <v>1</v>
      </c>
      <c r="BP631">
        <v>0</v>
      </c>
      <c r="BS631">
        <v>0</v>
      </c>
      <c r="BT631">
        <v>0</v>
      </c>
      <c r="BU631">
        <v>0</v>
      </c>
      <c r="CE631" t="str">
        <f t="shared" si="223"/>
        <v>19:27:21.527</v>
      </c>
      <c r="CF631">
        <v>1526782800</v>
      </c>
      <c r="CS631">
        <v>3</v>
      </c>
      <c r="CT631">
        <v>2</v>
      </c>
      <c r="CU631">
        <v>0</v>
      </c>
      <c r="CV631">
        <v>2</v>
      </c>
      <c r="CW631">
        <v>0</v>
      </c>
      <c r="CX631">
        <v>5</v>
      </c>
      <c r="CY631">
        <v>7</v>
      </c>
      <c r="CZ631" t="s">
        <v>131</v>
      </c>
      <c r="DA631">
        <v>300</v>
      </c>
      <c r="DB631">
        <v>0</v>
      </c>
      <c r="DC631" t="s">
        <v>176</v>
      </c>
      <c r="DD631" t="s">
        <v>177</v>
      </c>
      <c r="DG631">
        <v>5367615</v>
      </c>
      <c r="DI631">
        <v>1</v>
      </c>
      <c r="DJ631">
        <v>0</v>
      </c>
      <c r="DK631">
        <v>1</v>
      </c>
      <c r="DL631">
        <v>0</v>
      </c>
      <c r="DM631">
        <v>0</v>
      </c>
      <c r="DN631">
        <v>1</v>
      </c>
      <c r="DO631">
        <v>0</v>
      </c>
      <c r="DP631">
        <v>0</v>
      </c>
      <c r="DQ631">
        <v>0</v>
      </c>
      <c r="DR631">
        <v>0</v>
      </c>
      <c r="DS631">
        <v>0</v>
      </c>
    </row>
    <row r="632" spans="1:123" x14ac:dyDescent="0.3">
      <c r="A632" t="str">
        <f>"10/04/2022 19:27:21.758"</f>
        <v>10/04/2022 19:27:21.758</v>
      </c>
      <c r="C632" t="str">
        <f t="shared" si="224"/>
        <v>FFDFD3C0</v>
      </c>
      <c r="D632" t="s">
        <v>141</v>
      </c>
      <c r="E632">
        <v>4</v>
      </c>
      <c r="H632">
        <v>4</v>
      </c>
      <c r="I632" t="s">
        <v>142</v>
      </c>
      <c r="J632" t="s">
        <v>138</v>
      </c>
      <c r="K632">
        <v>0</v>
      </c>
      <c r="L632">
        <v>3</v>
      </c>
      <c r="M632">
        <v>0</v>
      </c>
      <c r="N632">
        <v>2</v>
      </c>
      <c r="O632">
        <v>0</v>
      </c>
      <c r="P632">
        <v>1</v>
      </c>
      <c r="Q632">
        <v>0</v>
      </c>
      <c r="S632" t="str">
        <f t="shared" si="222"/>
        <v>19:27:20.523</v>
      </c>
      <c r="T632" t="str">
        <f t="shared" si="222"/>
        <v>19:27:20.523</v>
      </c>
      <c r="U632" t="str">
        <f t="shared" si="206"/>
        <v>AC3944</v>
      </c>
      <c r="V632">
        <v>0</v>
      </c>
      <c r="W632">
        <v>0</v>
      </c>
      <c r="X632">
        <v>2</v>
      </c>
      <c r="Y632">
        <v>0</v>
      </c>
      <c r="AA632">
        <v>0</v>
      </c>
      <c r="AB632">
        <v>8</v>
      </c>
      <c r="AC632">
        <v>3</v>
      </c>
      <c r="AD632">
        <v>0</v>
      </c>
      <c r="AE632">
        <v>9</v>
      </c>
      <c r="AF632" t="s">
        <v>138</v>
      </c>
      <c r="AG632">
        <v>0</v>
      </c>
      <c r="AH632">
        <v>3</v>
      </c>
      <c r="AI632">
        <v>1</v>
      </c>
      <c r="AJ632">
        <v>0</v>
      </c>
      <c r="AK632" t="s">
        <v>320</v>
      </c>
      <c r="AL632">
        <v>32.817321</v>
      </c>
      <c r="AM632" t="s">
        <v>321</v>
      </c>
      <c r="AN632">
        <v>-116.96727300000001</v>
      </c>
      <c r="AO632">
        <v>25</v>
      </c>
      <c r="AP632">
        <v>1800</v>
      </c>
      <c r="AQ632" t="s">
        <v>129</v>
      </c>
      <c r="AR632">
        <v>125</v>
      </c>
      <c r="AS632">
        <v>0</v>
      </c>
      <c r="AT632">
        <v>640</v>
      </c>
      <c r="BB632">
        <v>1200</v>
      </c>
      <c r="BC632">
        <v>1</v>
      </c>
      <c r="BD632" t="str">
        <f t="shared" si="207"/>
        <v xml:space="preserve">N887QR  </v>
      </c>
      <c r="BE632">
        <v>1</v>
      </c>
      <c r="BG632">
        <v>0</v>
      </c>
      <c r="BH632">
        <v>0</v>
      </c>
      <c r="BI632">
        <v>0</v>
      </c>
      <c r="BJ632">
        <v>1550</v>
      </c>
      <c r="BK632">
        <v>-250</v>
      </c>
      <c r="BL632" t="s">
        <v>163</v>
      </c>
      <c r="BM632">
        <v>1</v>
      </c>
      <c r="BN632">
        <v>1</v>
      </c>
      <c r="BO632">
        <v>1</v>
      </c>
      <c r="BP632">
        <v>0</v>
      </c>
      <c r="BS632">
        <v>0</v>
      </c>
      <c r="BT632">
        <v>0</v>
      </c>
      <c r="BU632">
        <v>0</v>
      </c>
      <c r="CE632" t="str">
        <f t="shared" si="223"/>
        <v>19:27:21.527</v>
      </c>
      <c r="CF632">
        <v>1526782800</v>
      </c>
      <c r="CS632">
        <v>3</v>
      </c>
      <c r="CT632">
        <v>2</v>
      </c>
      <c r="CU632">
        <v>0</v>
      </c>
      <c r="CV632">
        <v>2</v>
      </c>
      <c r="CW632">
        <v>0</v>
      </c>
      <c r="CX632">
        <v>5</v>
      </c>
      <c r="CY632">
        <v>7</v>
      </c>
      <c r="CZ632" t="s">
        <v>131</v>
      </c>
      <c r="DA632">
        <v>300</v>
      </c>
      <c r="DB632">
        <v>0</v>
      </c>
      <c r="DC632" t="s">
        <v>176</v>
      </c>
      <c r="DD632" t="s">
        <v>177</v>
      </c>
      <c r="DG632">
        <v>5367615</v>
      </c>
      <c r="DI632">
        <v>1</v>
      </c>
      <c r="DJ632">
        <v>0</v>
      </c>
      <c r="DK632">
        <v>1</v>
      </c>
      <c r="DL632">
        <v>0</v>
      </c>
      <c r="DM632">
        <v>0</v>
      </c>
      <c r="DN632">
        <v>1</v>
      </c>
      <c r="DO632">
        <v>0</v>
      </c>
      <c r="DP632">
        <v>0</v>
      </c>
      <c r="DQ632">
        <v>0</v>
      </c>
      <c r="DR632">
        <v>0</v>
      </c>
      <c r="DS632">
        <v>0</v>
      </c>
    </row>
    <row r="633" spans="1:123" x14ac:dyDescent="0.3">
      <c r="A633" t="str">
        <f>"10/04/2022 19:27:22.743"</f>
        <v>10/04/2022 19:27:22.743</v>
      </c>
      <c r="C633" t="str">
        <f t="shared" si="224"/>
        <v>FFDFD3C0</v>
      </c>
      <c r="D633" t="s">
        <v>136</v>
      </c>
      <c r="E633">
        <v>8</v>
      </c>
      <c r="H633">
        <v>225</v>
      </c>
      <c r="I633" t="s">
        <v>137</v>
      </c>
      <c r="J633" t="s">
        <v>138</v>
      </c>
      <c r="K633">
        <v>0</v>
      </c>
      <c r="L633">
        <v>3</v>
      </c>
      <c r="M633">
        <v>0</v>
      </c>
      <c r="N633">
        <v>2</v>
      </c>
      <c r="O633">
        <v>0</v>
      </c>
      <c r="P633">
        <v>1</v>
      </c>
      <c r="Q633">
        <v>0</v>
      </c>
      <c r="S633" t="str">
        <f t="shared" ref="S633:T639" si="225">"19:27:21.508"</f>
        <v>19:27:21.508</v>
      </c>
      <c r="T633" t="str">
        <f t="shared" si="225"/>
        <v>19:27:21.508</v>
      </c>
      <c r="U633" t="str">
        <f t="shared" si="206"/>
        <v>AC3944</v>
      </c>
      <c r="V633">
        <v>0</v>
      </c>
      <c r="W633">
        <v>0</v>
      </c>
      <c r="X633">
        <v>2</v>
      </c>
      <c r="Y633">
        <v>0</v>
      </c>
      <c r="AA633">
        <v>0</v>
      </c>
      <c r="AB633">
        <v>8</v>
      </c>
      <c r="AC633">
        <v>3</v>
      </c>
      <c r="AD633">
        <v>0</v>
      </c>
      <c r="AE633">
        <v>9</v>
      </c>
      <c r="AF633" t="s">
        <v>138</v>
      </c>
      <c r="AG633">
        <v>0</v>
      </c>
      <c r="AH633">
        <v>3</v>
      </c>
      <c r="AI633">
        <v>1</v>
      </c>
      <c r="AJ633">
        <v>0</v>
      </c>
      <c r="AK633" t="s">
        <v>322</v>
      </c>
      <c r="AL633">
        <v>32.817298999999998</v>
      </c>
      <c r="AM633" t="s">
        <v>323</v>
      </c>
      <c r="AN633">
        <v>-116.96658600000001</v>
      </c>
      <c r="AO633">
        <v>25</v>
      </c>
      <c r="AP633">
        <v>1800</v>
      </c>
      <c r="AQ633" t="s">
        <v>129</v>
      </c>
      <c r="AR633">
        <v>125</v>
      </c>
      <c r="AS633">
        <v>0</v>
      </c>
      <c r="AT633">
        <v>320</v>
      </c>
      <c r="BB633">
        <v>1200</v>
      </c>
      <c r="BC633">
        <v>1</v>
      </c>
      <c r="BD633" t="str">
        <f t="shared" si="207"/>
        <v xml:space="preserve">N887QR  </v>
      </c>
      <c r="BE633">
        <v>1</v>
      </c>
      <c r="BG633">
        <v>0</v>
      </c>
      <c r="BH633">
        <v>0</v>
      </c>
      <c r="BI633">
        <v>0</v>
      </c>
      <c r="BJ633">
        <v>1525</v>
      </c>
      <c r="BK633">
        <v>-275</v>
      </c>
      <c r="BL633" t="s">
        <v>163</v>
      </c>
      <c r="BM633">
        <v>1</v>
      </c>
      <c r="BN633">
        <v>1</v>
      </c>
      <c r="BO633">
        <v>1</v>
      </c>
      <c r="BP633">
        <v>0</v>
      </c>
      <c r="BS633">
        <v>0</v>
      </c>
      <c r="BT633">
        <v>0</v>
      </c>
      <c r="BU633">
        <v>0</v>
      </c>
      <c r="CE633" t="str">
        <f t="shared" ref="CE633:CE639" si="226">"19:27:22.511"</f>
        <v>19:27:22.511</v>
      </c>
      <c r="CF633">
        <v>1511285914</v>
      </c>
      <c r="CS633">
        <v>3</v>
      </c>
      <c r="CT633">
        <v>2</v>
      </c>
      <c r="CU633">
        <v>0</v>
      </c>
      <c r="CV633">
        <v>2</v>
      </c>
      <c r="CW633">
        <v>0</v>
      </c>
      <c r="CX633">
        <v>5</v>
      </c>
      <c r="CY633">
        <v>7</v>
      </c>
      <c r="CZ633" t="s">
        <v>131</v>
      </c>
      <c r="DA633">
        <v>300</v>
      </c>
      <c r="DB633">
        <v>0</v>
      </c>
      <c r="DC633" t="s">
        <v>176</v>
      </c>
      <c r="DD633" t="s">
        <v>177</v>
      </c>
      <c r="DG633">
        <v>5367763</v>
      </c>
      <c r="DI633">
        <v>1</v>
      </c>
      <c r="DJ633">
        <v>0</v>
      </c>
      <c r="DK633">
        <v>0</v>
      </c>
      <c r="DL633">
        <v>0</v>
      </c>
      <c r="DM633">
        <v>0</v>
      </c>
      <c r="DN633">
        <v>1</v>
      </c>
      <c r="DO633">
        <v>0</v>
      </c>
      <c r="DP633">
        <v>0</v>
      </c>
      <c r="DQ633">
        <v>0</v>
      </c>
      <c r="DR633">
        <v>0</v>
      </c>
      <c r="DS633">
        <v>0</v>
      </c>
    </row>
    <row r="634" spans="1:123" x14ac:dyDescent="0.3">
      <c r="A634" t="str">
        <f t="shared" ref="A634:A639" si="227">"10/04/2022 19:27:22.774"</f>
        <v>10/04/2022 19:27:22.774</v>
      </c>
      <c r="C634" t="str">
        <f t="shared" si="224"/>
        <v>FFDFD3C0</v>
      </c>
      <c r="D634" t="s">
        <v>143</v>
      </c>
      <c r="E634">
        <v>20</v>
      </c>
      <c r="F634">
        <v>1020</v>
      </c>
      <c r="G634" t="s">
        <v>144</v>
      </c>
      <c r="J634" t="s">
        <v>145</v>
      </c>
      <c r="K634">
        <v>0</v>
      </c>
      <c r="L634">
        <v>3</v>
      </c>
      <c r="M634">
        <v>0</v>
      </c>
      <c r="N634">
        <v>2</v>
      </c>
      <c r="O634">
        <v>0</v>
      </c>
      <c r="P634">
        <v>1</v>
      </c>
      <c r="Q634">
        <v>0</v>
      </c>
      <c r="S634" t="str">
        <f t="shared" si="225"/>
        <v>19:27:21.508</v>
      </c>
      <c r="T634" t="str">
        <f t="shared" si="225"/>
        <v>19:27:21.508</v>
      </c>
      <c r="U634" t="str">
        <f t="shared" si="206"/>
        <v>AC3944</v>
      </c>
      <c r="V634">
        <v>0</v>
      </c>
      <c r="W634">
        <v>0</v>
      </c>
      <c r="X634">
        <v>2</v>
      </c>
      <c r="Y634">
        <v>0</v>
      </c>
      <c r="AA634">
        <v>0</v>
      </c>
      <c r="AB634">
        <v>8</v>
      </c>
      <c r="AC634">
        <v>3</v>
      </c>
      <c r="AD634">
        <v>0</v>
      </c>
      <c r="AE634">
        <v>9</v>
      </c>
      <c r="AF634" t="s">
        <v>138</v>
      </c>
      <c r="AG634">
        <v>0</v>
      </c>
      <c r="AH634">
        <v>3</v>
      </c>
      <c r="AI634">
        <v>1</v>
      </c>
      <c r="AJ634">
        <v>0</v>
      </c>
      <c r="AK634" t="s">
        <v>322</v>
      </c>
      <c r="AL634">
        <v>32.817298999999998</v>
      </c>
      <c r="AM634" t="s">
        <v>323</v>
      </c>
      <c r="AN634">
        <v>-116.96658600000001</v>
      </c>
      <c r="AO634">
        <v>25</v>
      </c>
      <c r="AP634">
        <v>1800</v>
      </c>
      <c r="AQ634" t="s">
        <v>129</v>
      </c>
      <c r="AR634">
        <v>125</v>
      </c>
      <c r="AS634">
        <v>0</v>
      </c>
      <c r="AT634">
        <v>320</v>
      </c>
      <c r="BB634">
        <v>1200</v>
      </c>
      <c r="BC634">
        <v>1</v>
      </c>
      <c r="BD634" t="str">
        <f t="shared" si="207"/>
        <v xml:space="preserve">N887QR  </v>
      </c>
      <c r="BE634">
        <v>1</v>
      </c>
      <c r="BG634">
        <v>0</v>
      </c>
      <c r="BH634">
        <v>0</v>
      </c>
      <c r="BI634">
        <v>0</v>
      </c>
      <c r="BJ634">
        <v>1525</v>
      </c>
      <c r="BK634">
        <v>-275</v>
      </c>
      <c r="BL634" t="s">
        <v>163</v>
      </c>
      <c r="BM634">
        <v>1</v>
      </c>
      <c r="BN634">
        <v>1</v>
      </c>
      <c r="BO634">
        <v>1</v>
      </c>
      <c r="BP634">
        <v>0</v>
      </c>
      <c r="BS634">
        <v>0</v>
      </c>
      <c r="BT634">
        <v>0</v>
      </c>
      <c r="BU634">
        <v>0</v>
      </c>
      <c r="CE634" t="str">
        <f t="shared" si="226"/>
        <v>19:27:22.511</v>
      </c>
      <c r="CF634">
        <v>1511285914</v>
      </c>
      <c r="CS634">
        <v>3</v>
      </c>
      <c r="CT634">
        <v>2</v>
      </c>
      <c r="CU634">
        <v>0</v>
      </c>
      <c r="CV634">
        <v>2</v>
      </c>
      <c r="CW634">
        <v>0</v>
      </c>
      <c r="CX634">
        <v>5</v>
      </c>
      <c r="CY634">
        <v>7</v>
      </c>
      <c r="CZ634" t="s">
        <v>131</v>
      </c>
      <c r="DA634">
        <v>300</v>
      </c>
      <c r="DB634">
        <v>0</v>
      </c>
      <c r="DC634" t="s">
        <v>176</v>
      </c>
      <c r="DD634" t="s">
        <v>177</v>
      </c>
      <c r="DG634">
        <v>5367763</v>
      </c>
      <c r="DI634">
        <v>1</v>
      </c>
      <c r="DJ634">
        <v>0</v>
      </c>
      <c r="DK634">
        <v>1</v>
      </c>
      <c r="DL634">
        <v>0</v>
      </c>
      <c r="DM634">
        <v>0</v>
      </c>
      <c r="DN634">
        <v>1</v>
      </c>
      <c r="DO634">
        <v>0</v>
      </c>
      <c r="DP634">
        <v>0</v>
      </c>
      <c r="DQ634">
        <v>0</v>
      </c>
      <c r="DR634">
        <v>0</v>
      </c>
      <c r="DS634">
        <v>0</v>
      </c>
    </row>
    <row r="635" spans="1:123" x14ac:dyDescent="0.3">
      <c r="A635" t="str">
        <f t="shared" si="227"/>
        <v>10/04/2022 19:27:22.774</v>
      </c>
      <c r="C635" t="str">
        <f t="shared" si="224"/>
        <v>FFDFD3C0</v>
      </c>
      <c r="D635" t="s">
        <v>141</v>
      </c>
      <c r="E635">
        <v>3</v>
      </c>
      <c r="H635">
        <v>3</v>
      </c>
      <c r="I635" t="s">
        <v>146</v>
      </c>
      <c r="J635" t="s">
        <v>138</v>
      </c>
      <c r="K635">
        <v>0</v>
      </c>
      <c r="L635">
        <v>3</v>
      </c>
      <c r="M635">
        <v>0</v>
      </c>
      <c r="N635">
        <v>2</v>
      </c>
      <c r="O635">
        <v>0</v>
      </c>
      <c r="P635">
        <v>1</v>
      </c>
      <c r="Q635">
        <v>0</v>
      </c>
      <c r="S635" t="str">
        <f t="shared" si="225"/>
        <v>19:27:21.508</v>
      </c>
      <c r="T635" t="str">
        <f t="shared" si="225"/>
        <v>19:27:21.508</v>
      </c>
      <c r="U635" t="str">
        <f t="shared" si="206"/>
        <v>AC3944</v>
      </c>
      <c r="V635">
        <v>0</v>
      </c>
      <c r="W635">
        <v>0</v>
      </c>
      <c r="X635">
        <v>2</v>
      </c>
      <c r="Y635">
        <v>0</v>
      </c>
      <c r="AA635">
        <v>0</v>
      </c>
      <c r="AB635">
        <v>8</v>
      </c>
      <c r="AC635">
        <v>3</v>
      </c>
      <c r="AD635">
        <v>0</v>
      </c>
      <c r="AE635">
        <v>9</v>
      </c>
      <c r="AF635" t="s">
        <v>138</v>
      </c>
      <c r="AG635">
        <v>0</v>
      </c>
      <c r="AH635">
        <v>3</v>
      </c>
      <c r="AI635">
        <v>1</v>
      </c>
      <c r="AJ635">
        <v>0</v>
      </c>
      <c r="AK635" t="s">
        <v>322</v>
      </c>
      <c r="AL635">
        <v>32.817298999999998</v>
      </c>
      <c r="AM635" t="s">
        <v>323</v>
      </c>
      <c r="AN635">
        <v>-116.96658600000001</v>
      </c>
      <c r="AO635">
        <v>25</v>
      </c>
      <c r="AP635">
        <v>1800</v>
      </c>
      <c r="AQ635" t="s">
        <v>129</v>
      </c>
      <c r="AR635">
        <v>125</v>
      </c>
      <c r="AS635">
        <v>0</v>
      </c>
      <c r="AT635">
        <v>320</v>
      </c>
      <c r="BB635">
        <v>1200</v>
      </c>
      <c r="BC635">
        <v>1</v>
      </c>
      <c r="BD635" t="str">
        <f t="shared" si="207"/>
        <v xml:space="preserve">N887QR  </v>
      </c>
      <c r="BE635">
        <v>1</v>
      </c>
      <c r="BG635">
        <v>0</v>
      </c>
      <c r="BH635">
        <v>0</v>
      </c>
      <c r="BI635">
        <v>0</v>
      </c>
      <c r="BJ635">
        <v>1525</v>
      </c>
      <c r="BK635">
        <v>-275</v>
      </c>
      <c r="BL635" t="s">
        <v>163</v>
      </c>
      <c r="BM635">
        <v>1</v>
      </c>
      <c r="BN635">
        <v>1</v>
      </c>
      <c r="BO635">
        <v>1</v>
      </c>
      <c r="BP635">
        <v>0</v>
      </c>
      <c r="BS635">
        <v>0</v>
      </c>
      <c r="BT635">
        <v>0</v>
      </c>
      <c r="BU635">
        <v>0</v>
      </c>
      <c r="CE635" t="str">
        <f t="shared" si="226"/>
        <v>19:27:22.511</v>
      </c>
      <c r="CF635">
        <v>1511285914</v>
      </c>
      <c r="CS635">
        <v>3</v>
      </c>
      <c r="CT635">
        <v>2</v>
      </c>
      <c r="CU635">
        <v>0</v>
      </c>
      <c r="CV635">
        <v>2</v>
      </c>
      <c r="CW635">
        <v>0</v>
      </c>
      <c r="CX635">
        <v>5</v>
      </c>
      <c r="CY635">
        <v>7</v>
      </c>
      <c r="CZ635" t="s">
        <v>131</v>
      </c>
      <c r="DA635">
        <v>300</v>
      </c>
      <c r="DB635">
        <v>0</v>
      </c>
      <c r="DC635" t="s">
        <v>176</v>
      </c>
      <c r="DD635" t="s">
        <v>177</v>
      </c>
      <c r="DG635">
        <v>5367763</v>
      </c>
      <c r="DI635">
        <v>1</v>
      </c>
      <c r="DJ635">
        <v>0</v>
      </c>
      <c r="DK635">
        <v>1</v>
      </c>
      <c r="DL635">
        <v>0</v>
      </c>
      <c r="DM635">
        <v>0</v>
      </c>
      <c r="DN635">
        <v>1</v>
      </c>
      <c r="DO635">
        <v>0</v>
      </c>
      <c r="DP635">
        <v>0</v>
      </c>
      <c r="DQ635">
        <v>0</v>
      </c>
      <c r="DR635">
        <v>0</v>
      </c>
      <c r="DS635">
        <v>0</v>
      </c>
    </row>
    <row r="636" spans="1:123" x14ac:dyDescent="0.3">
      <c r="A636" t="str">
        <f t="shared" si="227"/>
        <v>10/04/2022 19:27:22.774</v>
      </c>
      <c r="C636" t="str">
        <f t="shared" si="224"/>
        <v>FFDFD3C0</v>
      </c>
      <c r="D636" t="s">
        <v>147</v>
      </c>
      <c r="E636">
        <v>3</v>
      </c>
      <c r="H636">
        <v>166</v>
      </c>
      <c r="I636" t="s">
        <v>144</v>
      </c>
      <c r="J636" t="s">
        <v>148</v>
      </c>
      <c r="K636">
        <v>0</v>
      </c>
      <c r="L636">
        <v>3</v>
      </c>
      <c r="M636">
        <v>0</v>
      </c>
      <c r="N636">
        <v>2</v>
      </c>
      <c r="O636">
        <v>0</v>
      </c>
      <c r="P636">
        <v>1</v>
      </c>
      <c r="Q636">
        <v>0</v>
      </c>
      <c r="S636" t="str">
        <f t="shared" si="225"/>
        <v>19:27:21.508</v>
      </c>
      <c r="T636" t="str">
        <f t="shared" si="225"/>
        <v>19:27:21.508</v>
      </c>
      <c r="U636" t="str">
        <f t="shared" si="206"/>
        <v>AC3944</v>
      </c>
      <c r="V636">
        <v>0</v>
      </c>
      <c r="W636">
        <v>0</v>
      </c>
      <c r="X636">
        <v>2</v>
      </c>
      <c r="Y636">
        <v>0</v>
      </c>
      <c r="AA636">
        <v>0</v>
      </c>
      <c r="AB636">
        <v>8</v>
      </c>
      <c r="AC636">
        <v>3</v>
      </c>
      <c r="AD636">
        <v>0</v>
      </c>
      <c r="AE636">
        <v>9</v>
      </c>
      <c r="AF636" t="s">
        <v>138</v>
      </c>
      <c r="AG636">
        <v>0</v>
      </c>
      <c r="AH636">
        <v>3</v>
      </c>
      <c r="AI636">
        <v>1</v>
      </c>
      <c r="AJ636">
        <v>0</v>
      </c>
      <c r="AK636" t="s">
        <v>322</v>
      </c>
      <c r="AL636">
        <v>32.817298999999998</v>
      </c>
      <c r="AM636" t="s">
        <v>323</v>
      </c>
      <c r="AN636">
        <v>-116.96658600000001</v>
      </c>
      <c r="AO636">
        <v>25</v>
      </c>
      <c r="AP636">
        <v>1800</v>
      </c>
      <c r="AQ636" t="s">
        <v>129</v>
      </c>
      <c r="AR636">
        <v>125</v>
      </c>
      <c r="AS636">
        <v>0</v>
      </c>
      <c r="AT636">
        <v>320</v>
      </c>
      <c r="BB636">
        <v>1200</v>
      </c>
      <c r="BC636">
        <v>1</v>
      </c>
      <c r="BD636" t="str">
        <f t="shared" si="207"/>
        <v xml:space="preserve">N887QR  </v>
      </c>
      <c r="BE636">
        <v>1</v>
      </c>
      <c r="BG636">
        <v>0</v>
      </c>
      <c r="BH636">
        <v>0</v>
      </c>
      <c r="BI636">
        <v>0</v>
      </c>
      <c r="BJ636">
        <v>1525</v>
      </c>
      <c r="BK636">
        <v>-275</v>
      </c>
      <c r="BL636" t="s">
        <v>163</v>
      </c>
      <c r="BM636">
        <v>1</v>
      </c>
      <c r="BN636">
        <v>1</v>
      </c>
      <c r="BO636">
        <v>1</v>
      </c>
      <c r="BP636">
        <v>0</v>
      </c>
      <c r="BS636">
        <v>0</v>
      </c>
      <c r="BT636">
        <v>0</v>
      </c>
      <c r="BU636">
        <v>0</v>
      </c>
      <c r="CE636" t="str">
        <f t="shared" si="226"/>
        <v>19:27:22.511</v>
      </c>
      <c r="CF636">
        <v>1511285914</v>
      </c>
      <c r="CS636">
        <v>3</v>
      </c>
      <c r="CT636">
        <v>2</v>
      </c>
      <c r="CU636">
        <v>0</v>
      </c>
      <c r="CV636">
        <v>2</v>
      </c>
      <c r="CW636">
        <v>0</v>
      </c>
      <c r="CX636">
        <v>5</v>
      </c>
      <c r="CY636">
        <v>7</v>
      </c>
      <c r="CZ636" t="s">
        <v>131</v>
      </c>
      <c r="DA636">
        <v>300</v>
      </c>
      <c r="DB636">
        <v>0</v>
      </c>
      <c r="DC636" t="s">
        <v>176</v>
      </c>
      <c r="DD636" t="s">
        <v>177</v>
      </c>
      <c r="DG636">
        <v>5367763</v>
      </c>
      <c r="DI636">
        <v>1</v>
      </c>
      <c r="DJ636">
        <v>0</v>
      </c>
      <c r="DK636">
        <v>1</v>
      </c>
      <c r="DL636">
        <v>0</v>
      </c>
      <c r="DM636">
        <v>0</v>
      </c>
      <c r="DN636">
        <v>1</v>
      </c>
      <c r="DO636">
        <v>0</v>
      </c>
      <c r="DP636">
        <v>0</v>
      </c>
      <c r="DQ636">
        <v>0</v>
      </c>
      <c r="DR636">
        <v>0</v>
      </c>
      <c r="DS636">
        <v>0</v>
      </c>
    </row>
    <row r="637" spans="1:123" x14ac:dyDescent="0.3">
      <c r="A637" t="str">
        <f t="shared" si="227"/>
        <v>10/04/2022 19:27:22.774</v>
      </c>
      <c r="C637" t="str">
        <f t="shared" si="224"/>
        <v>FFDFD3C0</v>
      </c>
      <c r="D637" t="s">
        <v>123</v>
      </c>
      <c r="E637">
        <v>7</v>
      </c>
      <c r="F637">
        <v>2007</v>
      </c>
      <c r="G637" t="s">
        <v>124</v>
      </c>
      <c r="J637" t="s">
        <v>125</v>
      </c>
      <c r="K637">
        <v>0</v>
      </c>
      <c r="L637">
        <v>3</v>
      </c>
      <c r="M637">
        <v>0</v>
      </c>
      <c r="N637">
        <v>2</v>
      </c>
      <c r="O637">
        <v>0</v>
      </c>
      <c r="P637">
        <v>1</v>
      </c>
      <c r="Q637">
        <v>0</v>
      </c>
      <c r="S637" t="str">
        <f t="shared" si="225"/>
        <v>19:27:21.508</v>
      </c>
      <c r="T637" t="str">
        <f t="shared" si="225"/>
        <v>19:27:21.508</v>
      </c>
      <c r="U637" t="str">
        <f t="shared" si="206"/>
        <v>AC3944</v>
      </c>
      <c r="V637">
        <v>0</v>
      </c>
      <c r="W637">
        <v>0</v>
      </c>
      <c r="X637">
        <v>2</v>
      </c>
      <c r="Y637">
        <v>0</v>
      </c>
      <c r="AA637">
        <v>0</v>
      </c>
      <c r="AB637">
        <v>8</v>
      </c>
      <c r="AC637">
        <v>3</v>
      </c>
      <c r="AD637">
        <v>0</v>
      </c>
      <c r="AE637">
        <v>9</v>
      </c>
      <c r="AF637" t="s">
        <v>138</v>
      </c>
      <c r="AG637">
        <v>0</v>
      </c>
      <c r="AH637">
        <v>3</v>
      </c>
      <c r="AI637">
        <v>1</v>
      </c>
      <c r="AJ637">
        <v>0</v>
      </c>
      <c r="AK637" t="s">
        <v>322</v>
      </c>
      <c r="AL637">
        <v>32.817298999999998</v>
      </c>
      <c r="AM637" t="s">
        <v>323</v>
      </c>
      <c r="AN637">
        <v>-116.96658600000001</v>
      </c>
      <c r="AO637">
        <v>25</v>
      </c>
      <c r="AP637">
        <v>1800</v>
      </c>
      <c r="AQ637" t="s">
        <v>129</v>
      </c>
      <c r="AR637">
        <v>125</v>
      </c>
      <c r="AS637">
        <v>0</v>
      </c>
      <c r="AT637">
        <v>320</v>
      </c>
      <c r="BB637">
        <v>1200</v>
      </c>
      <c r="BC637">
        <v>1</v>
      </c>
      <c r="BD637" t="str">
        <f t="shared" si="207"/>
        <v xml:space="preserve">N887QR  </v>
      </c>
      <c r="BE637">
        <v>1</v>
      </c>
      <c r="BG637">
        <v>0</v>
      </c>
      <c r="BH637">
        <v>0</v>
      </c>
      <c r="BI637">
        <v>0</v>
      </c>
      <c r="BJ637">
        <v>1525</v>
      </c>
      <c r="BK637">
        <v>-275</v>
      </c>
      <c r="BL637" t="s">
        <v>163</v>
      </c>
      <c r="BM637">
        <v>1</v>
      </c>
      <c r="BN637">
        <v>1</v>
      </c>
      <c r="BO637">
        <v>1</v>
      </c>
      <c r="BP637">
        <v>0</v>
      </c>
      <c r="BS637">
        <v>0</v>
      </c>
      <c r="BT637">
        <v>0</v>
      </c>
      <c r="BU637">
        <v>0</v>
      </c>
      <c r="CE637" t="str">
        <f t="shared" si="226"/>
        <v>19:27:22.511</v>
      </c>
      <c r="CF637">
        <v>1511285914</v>
      </c>
      <c r="CS637">
        <v>3</v>
      </c>
      <c r="CT637">
        <v>2</v>
      </c>
      <c r="CU637">
        <v>0</v>
      </c>
      <c r="CV637">
        <v>2</v>
      </c>
      <c r="CW637">
        <v>0</v>
      </c>
      <c r="CX637">
        <v>5</v>
      </c>
      <c r="CY637">
        <v>7</v>
      </c>
      <c r="CZ637" t="s">
        <v>131</v>
      </c>
      <c r="DA637">
        <v>300</v>
      </c>
      <c r="DB637">
        <v>0</v>
      </c>
      <c r="DC637" t="s">
        <v>176</v>
      </c>
      <c r="DD637" t="s">
        <v>177</v>
      </c>
      <c r="DG637">
        <v>5367763</v>
      </c>
      <c r="DI637">
        <v>1</v>
      </c>
      <c r="DJ637">
        <v>0</v>
      </c>
      <c r="DK637">
        <v>1</v>
      </c>
      <c r="DL637">
        <v>0</v>
      </c>
      <c r="DM637">
        <v>0</v>
      </c>
      <c r="DN637">
        <v>1</v>
      </c>
      <c r="DO637">
        <v>0</v>
      </c>
      <c r="DP637">
        <v>0</v>
      </c>
      <c r="DQ637">
        <v>0</v>
      </c>
      <c r="DR637">
        <v>0</v>
      </c>
      <c r="DS637">
        <v>0</v>
      </c>
    </row>
    <row r="638" spans="1:123" x14ac:dyDescent="0.3">
      <c r="A638" t="str">
        <f t="shared" si="227"/>
        <v>10/04/2022 19:27:22.774</v>
      </c>
      <c r="C638" t="str">
        <f t="shared" si="224"/>
        <v>FFDFD3C0</v>
      </c>
      <c r="D638" t="s">
        <v>134</v>
      </c>
      <c r="E638">
        <v>15</v>
      </c>
      <c r="J638" t="s">
        <v>135</v>
      </c>
      <c r="K638">
        <v>0</v>
      </c>
      <c r="L638">
        <v>3</v>
      </c>
      <c r="M638">
        <v>0</v>
      </c>
      <c r="N638">
        <v>2</v>
      </c>
      <c r="O638">
        <v>0</v>
      </c>
      <c r="P638">
        <v>1</v>
      </c>
      <c r="Q638">
        <v>0</v>
      </c>
      <c r="S638" t="str">
        <f t="shared" si="225"/>
        <v>19:27:21.508</v>
      </c>
      <c r="T638" t="str">
        <f t="shared" si="225"/>
        <v>19:27:21.508</v>
      </c>
      <c r="U638" t="str">
        <f t="shared" si="206"/>
        <v>AC3944</v>
      </c>
      <c r="V638">
        <v>0</v>
      </c>
      <c r="W638">
        <v>0</v>
      </c>
      <c r="X638">
        <v>2</v>
      </c>
      <c r="Y638">
        <v>0</v>
      </c>
      <c r="AA638">
        <v>0</v>
      </c>
      <c r="AB638">
        <v>8</v>
      </c>
      <c r="AC638">
        <v>3</v>
      </c>
      <c r="AD638">
        <v>0</v>
      </c>
      <c r="AE638">
        <v>9</v>
      </c>
      <c r="AF638" t="s">
        <v>138</v>
      </c>
      <c r="AG638">
        <v>0</v>
      </c>
      <c r="AH638">
        <v>3</v>
      </c>
      <c r="AI638">
        <v>1</v>
      </c>
      <c r="AJ638">
        <v>0</v>
      </c>
      <c r="AK638" t="s">
        <v>322</v>
      </c>
      <c r="AL638">
        <v>32.817298999999998</v>
      </c>
      <c r="AM638" t="s">
        <v>323</v>
      </c>
      <c r="AN638">
        <v>-116.96658600000001</v>
      </c>
      <c r="AO638">
        <v>25</v>
      </c>
      <c r="AP638">
        <v>1800</v>
      </c>
      <c r="AQ638" t="s">
        <v>129</v>
      </c>
      <c r="AR638">
        <v>125</v>
      </c>
      <c r="AS638">
        <v>0</v>
      </c>
      <c r="AT638">
        <v>320</v>
      </c>
      <c r="BB638">
        <v>1200</v>
      </c>
      <c r="BC638">
        <v>1</v>
      </c>
      <c r="BD638" t="str">
        <f t="shared" si="207"/>
        <v xml:space="preserve">N887QR  </v>
      </c>
      <c r="BE638">
        <v>1</v>
      </c>
      <c r="BG638">
        <v>0</v>
      </c>
      <c r="BH638">
        <v>0</v>
      </c>
      <c r="BI638">
        <v>0</v>
      </c>
      <c r="BJ638">
        <v>1525</v>
      </c>
      <c r="BK638">
        <v>-275</v>
      </c>
      <c r="BL638" t="s">
        <v>163</v>
      </c>
      <c r="BM638">
        <v>1</v>
      </c>
      <c r="BN638">
        <v>1</v>
      </c>
      <c r="BO638">
        <v>1</v>
      </c>
      <c r="BP638">
        <v>0</v>
      </c>
      <c r="BS638">
        <v>0</v>
      </c>
      <c r="BT638">
        <v>0</v>
      </c>
      <c r="BU638">
        <v>0</v>
      </c>
      <c r="CE638" t="str">
        <f t="shared" si="226"/>
        <v>19:27:22.511</v>
      </c>
      <c r="CF638">
        <v>1511285914</v>
      </c>
      <c r="CS638">
        <v>3</v>
      </c>
      <c r="CT638">
        <v>2</v>
      </c>
      <c r="CU638">
        <v>0</v>
      </c>
      <c r="CV638">
        <v>2</v>
      </c>
      <c r="CW638">
        <v>0</v>
      </c>
      <c r="CX638">
        <v>5</v>
      </c>
      <c r="CY638">
        <v>7</v>
      </c>
      <c r="CZ638" t="s">
        <v>131</v>
      </c>
      <c r="DA638">
        <v>300</v>
      </c>
      <c r="DB638">
        <v>0</v>
      </c>
      <c r="DC638" t="s">
        <v>176</v>
      </c>
      <c r="DD638" t="s">
        <v>177</v>
      </c>
      <c r="DG638">
        <v>5367763</v>
      </c>
      <c r="DI638">
        <v>1</v>
      </c>
      <c r="DJ638">
        <v>0</v>
      </c>
      <c r="DK638">
        <v>1</v>
      </c>
      <c r="DL638">
        <v>0</v>
      </c>
      <c r="DM638">
        <v>0</v>
      </c>
      <c r="DN638">
        <v>1</v>
      </c>
      <c r="DO638">
        <v>0</v>
      </c>
      <c r="DP638">
        <v>0</v>
      </c>
      <c r="DQ638">
        <v>0</v>
      </c>
      <c r="DR638">
        <v>0</v>
      </c>
      <c r="DS638">
        <v>0</v>
      </c>
    </row>
    <row r="639" spans="1:123" x14ac:dyDescent="0.3">
      <c r="A639" t="str">
        <f t="shared" si="227"/>
        <v>10/04/2022 19:27:22.774</v>
      </c>
      <c r="C639" t="str">
        <f t="shared" si="224"/>
        <v>FFDFD3C0</v>
      </c>
      <c r="D639" t="s">
        <v>141</v>
      </c>
      <c r="E639">
        <v>4</v>
      </c>
      <c r="H639">
        <v>4</v>
      </c>
      <c r="I639" t="s">
        <v>142</v>
      </c>
      <c r="J639" t="s">
        <v>138</v>
      </c>
      <c r="K639">
        <v>0</v>
      </c>
      <c r="L639">
        <v>3</v>
      </c>
      <c r="M639">
        <v>0</v>
      </c>
      <c r="N639">
        <v>2</v>
      </c>
      <c r="O639">
        <v>0</v>
      </c>
      <c r="P639">
        <v>1</v>
      </c>
      <c r="Q639">
        <v>0</v>
      </c>
      <c r="S639" t="str">
        <f t="shared" si="225"/>
        <v>19:27:21.508</v>
      </c>
      <c r="T639" t="str">
        <f t="shared" si="225"/>
        <v>19:27:21.508</v>
      </c>
      <c r="U639" t="str">
        <f t="shared" si="206"/>
        <v>AC3944</v>
      </c>
      <c r="V639">
        <v>0</v>
      </c>
      <c r="W639">
        <v>0</v>
      </c>
      <c r="X639">
        <v>2</v>
      </c>
      <c r="Y639">
        <v>0</v>
      </c>
      <c r="AA639">
        <v>0</v>
      </c>
      <c r="AB639">
        <v>8</v>
      </c>
      <c r="AC639">
        <v>3</v>
      </c>
      <c r="AD639">
        <v>0</v>
      </c>
      <c r="AE639">
        <v>9</v>
      </c>
      <c r="AF639" t="s">
        <v>138</v>
      </c>
      <c r="AG639">
        <v>0</v>
      </c>
      <c r="AH639">
        <v>3</v>
      </c>
      <c r="AI639">
        <v>1</v>
      </c>
      <c r="AJ639">
        <v>0</v>
      </c>
      <c r="AK639" t="s">
        <v>322</v>
      </c>
      <c r="AL639">
        <v>32.817298999999998</v>
      </c>
      <c r="AM639" t="s">
        <v>323</v>
      </c>
      <c r="AN639">
        <v>-116.96658600000001</v>
      </c>
      <c r="AO639">
        <v>25</v>
      </c>
      <c r="AP639">
        <v>1800</v>
      </c>
      <c r="AQ639" t="s">
        <v>129</v>
      </c>
      <c r="AR639">
        <v>125</v>
      </c>
      <c r="AS639">
        <v>0</v>
      </c>
      <c r="AT639">
        <v>320</v>
      </c>
      <c r="BB639">
        <v>1200</v>
      </c>
      <c r="BC639">
        <v>1</v>
      </c>
      <c r="BD639" t="str">
        <f t="shared" si="207"/>
        <v xml:space="preserve">N887QR  </v>
      </c>
      <c r="BE639">
        <v>1</v>
      </c>
      <c r="BG639">
        <v>0</v>
      </c>
      <c r="BH639">
        <v>0</v>
      </c>
      <c r="BI639">
        <v>0</v>
      </c>
      <c r="BJ639">
        <v>1525</v>
      </c>
      <c r="BK639">
        <v>-275</v>
      </c>
      <c r="BL639" t="s">
        <v>163</v>
      </c>
      <c r="BM639">
        <v>1</v>
      </c>
      <c r="BN639">
        <v>1</v>
      </c>
      <c r="BO639">
        <v>1</v>
      </c>
      <c r="BP639">
        <v>0</v>
      </c>
      <c r="BS639">
        <v>0</v>
      </c>
      <c r="BT639">
        <v>0</v>
      </c>
      <c r="BU639">
        <v>0</v>
      </c>
      <c r="CE639" t="str">
        <f t="shared" si="226"/>
        <v>19:27:22.511</v>
      </c>
      <c r="CF639">
        <v>1511285914</v>
      </c>
      <c r="CS639">
        <v>3</v>
      </c>
      <c r="CT639">
        <v>2</v>
      </c>
      <c r="CU639">
        <v>0</v>
      </c>
      <c r="CV639">
        <v>2</v>
      </c>
      <c r="CW639">
        <v>0</v>
      </c>
      <c r="CX639">
        <v>5</v>
      </c>
      <c r="CY639">
        <v>7</v>
      </c>
      <c r="CZ639" t="s">
        <v>131</v>
      </c>
      <c r="DA639">
        <v>300</v>
      </c>
      <c r="DB639">
        <v>0</v>
      </c>
      <c r="DC639" t="s">
        <v>176</v>
      </c>
      <c r="DD639" t="s">
        <v>177</v>
      </c>
      <c r="DG639">
        <v>5367763</v>
      </c>
      <c r="DI639">
        <v>1</v>
      </c>
      <c r="DJ639">
        <v>0</v>
      </c>
      <c r="DK639">
        <v>1</v>
      </c>
      <c r="DL639">
        <v>0</v>
      </c>
      <c r="DM639">
        <v>0</v>
      </c>
      <c r="DN639">
        <v>1</v>
      </c>
      <c r="DO639">
        <v>0</v>
      </c>
      <c r="DP639">
        <v>0</v>
      </c>
      <c r="DQ639">
        <v>0</v>
      </c>
      <c r="DR639">
        <v>0</v>
      </c>
      <c r="DS639">
        <v>0</v>
      </c>
    </row>
    <row r="640" spans="1:123" x14ac:dyDescent="0.3">
      <c r="A640" t="str">
        <f>"10/04/2022 19:27:23.524"</f>
        <v>10/04/2022 19:27:23.524</v>
      </c>
      <c r="C640" t="str">
        <f t="shared" si="224"/>
        <v>FFDFD3C0</v>
      </c>
      <c r="D640" t="s">
        <v>141</v>
      </c>
      <c r="E640">
        <v>4</v>
      </c>
      <c r="H640">
        <v>4</v>
      </c>
      <c r="I640" t="s">
        <v>142</v>
      </c>
      <c r="J640" t="s">
        <v>138</v>
      </c>
      <c r="K640">
        <v>0</v>
      </c>
      <c r="L640">
        <v>3</v>
      </c>
      <c r="M640">
        <v>0</v>
      </c>
      <c r="N640">
        <v>2</v>
      </c>
      <c r="O640">
        <v>0</v>
      </c>
      <c r="P640">
        <v>1</v>
      </c>
      <c r="Q640">
        <v>0</v>
      </c>
      <c r="S640" t="str">
        <f t="shared" ref="S640:T646" si="228">"19:27:23.000"</f>
        <v>19:27:23.000</v>
      </c>
      <c r="T640" t="str">
        <f t="shared" si="228"/>
        <v>19:27:23.000</v>
      </c>
      <c r="U640" t="str">
        <f t="shared" si="206"/>
        <v>AC3944</v>
      </c>
      <c r="V640">
        <v>0</v>
      </c>
      <c r="W640">
        <v>0</v>
      </c>
      <c r="X640">
        <v>2</v>
      </c>
      <c r="Y640">
        <v>0</v>
      </c>
      <c r="AA640">
        <v>1</v>
      </c>
      <c r="AB640">
        <v>8</v>
      </c>
      <c r="AC640">
        <v>3</v>
      </c>
      <c r="AD640">
        <v>0</v>
      </c>
      <c r="AE640">
        <v>9</v>
      </c>
      <c r="AF640" t="s">
        <v>138</v>
      </c>
      <c r="AG640">
        <v>0</v>
      </c>
      <c r="AH640">
        <v>3</v>
      </c>
      <c r="AI640">
        <v>1</v>
      </c>
      <c r="AJ640">
        <v>0</v>
      </c>
      <c r="AK640" t="s">
        <v>322</v>
      </c>
      <c r="AL640">
        <v>32.817298999999998</v>
      </c>
      <c r="AM640" t="s">
        <v>324</v>
      </c>
      <c r="AN640">
        <v>-116.96605</v>
      </c>
      <c r="AO640">
        <v>25</v>
      </c>
      <c r="AP640">
        <v>1800</v>
      </c>
      <c r="AQ640" t="s">
        <v>129</v>
      </c>
      <c r="AR640">
        <v>126</v>
      </c>
      <c r="AS640">
        <v>0</v>
      </c>
      <c r="AT640">
        <v>320</v>
      </c>
      <c r="BB640">
        <v>1200</v>
      </c>
      <c r="BC640">
        <v>1</v>
      </c>
      <c r="BD640" t="str">
        <f t="shared" si="207"/>
        <v xml:space="preserve">N887QR  </v>
      </c>
      <c r="BE640">
        <v>1</v>
      </c>
      <c r="BG640">
        <v>0</v>
      </c>
      <c r="BH640">
        <v>0</v>
      </c>
      <c r="BI640">
        <v>0</v>
      </c>
      <c r="BJ640">
        <v>1525</v>
      </c>
      <c r="BK640">
        <v>-275</v>
      </c>
      <c r="BL640" t="s">
        <v>163</v>
      </c>
      <c r="BM640">
        <v>1</v>
      </c>
      <c r="BN640">
        <v>1</v>
      </c>
      <c r="BO640">
        <v>1</v>
      </c>
      <c r="BP640">
        <v>0</v>
      </c>
      <c r="BS640">
        <v>0</v>
      </c>
      <c r="BT640">
        <v>0</v>
      </c>
      <c r="BU640">
        <v>0</v>
      </c>
      <c r="CE640" t="str">
        <f t="shared" ref="CE640:CE646" si="229">"19:27:23.309"</f>
        <v>19:27:23.309</v>
      </c>
      <c r="CF640">
        <v>308538395</v>
      </c>
      <c r="CS640">
        <v>3</v>
      </c>
      <c r="CT640">
        <v>2</v>
      </c>
      <c r="CU640">
        <v>0</v>
      </c>
      <c r="CV640">
        <v>2</v>
      </c>
      <c r="CW640">
        <v>0</v>
      </c>
      <c r="CX640">
        <v>6</v>
      </c>
      <c r="CY640">
        <v>7</v>
      </c>
      <c r="CZ640" t="s">
        <v>131</v>
      </c>
      <c r="DA640">
        <v>300</v>
      </c>
      <c r="DB640">
        <v>0</v>
      </c>
      <c r="DC640" t="s">
        <v>176</v>
      </c>
      <c r="DD640" t="s">
        <v>177</v>
      </c>
      <c r="DG640">
        <v>5367897</v>
      </c>
      <c r="DI640">
        <v>1</v>
      </c>
      <c r="DJ640">
        <v>0</v>
      </c>
      <c r="DK640">
        <v>0</v>
      </c>
      <c r="DL640">
        <v>0</v>
      </c>
      <c r="DM640">
        <v>0</v>
      </c>
      <c r="DN640">
        <v>1</v>
      </c>
      <c r="DO640">
        <v>0</v>
      </c>
      <c r="DP640">
        <v>0</v>
      </c>
      <c r="DQ640">
        <v>0</v>
      </c>
      <c r="DR640">
        <v>0</v>
      </c>
      <c r="DS640">
        <v>0</v>
      </c>
    </row>
    <row r="641" spans="1:123" x14ac:dyDescent="0.3">
      <c r="A641" t="str">
        <f>"10/04/2022 19:27:23.524"</f>
        <v>10/04/2022 19:27:23.524</v>
      </c>
      <c r="C641" t="str">
        <f t="shared" si="224"/>
        <v>FFDFD3C0</v>
      </c>
      <c r="D641" t="s">
        <v>134</v>
      </c>
      <c r="E641">
        <v>15</v>
      </c>
      <c r="J641" t="s">
        <v>135</v>
      </c>
      <c r="K641">
        <v>0</v>
      </c>
      <c r="L641">
        <v>3</v>
      </c>
      <c r="M641">
        <v>0</v>
      </c>
      <c r="N641">
        <v>2</v>
      </c>
      <c r="O641">
        <v>0</v>
      </c>
      <c r="P641">
        <v>1</v>
      </c>
      <c r="Q641">
        <v>0</v>
      </c>
      <c r="S641" t="str">
        <f t="shared" si="228"/>
        <v>19:27:23.000</v>
      </c>
      <c r="T641" t="str">
        <f t="shared" si="228"/>
        <v>19:27:23.000</v>
      </c>
      <c r="U641" t="str">
        <f t="shared" si="206"/>
        <v>AC3944</v>
      </c>
      <c r="V641">
        <v>0</v>
      </c>
      <c r="W641">
        <v>0</v>
      </c>
      <c r="X641">
        <v>2</v>
      </c>
      <c r="Y641">
        <v>0</v>
      </c>
      <c r="AA641">
        <v>1</v>
      </c>
      <c r="AB641">
        <v>8</v>
      </c>
      <c r="AC641">
        <v>3</v>
      </c>
      <c r="AD641">
        <v>0</v>
      </c>
      <c r="AE641">
        <v>9</v>
      </c>
      <c r="AF641" t="s">
        <v>138</v>
      </c>
      <c r="AG641">
        <v>0</v>
      </c>
      <c r="AH641">
        <v>3</v>
      </c>
      <c r="AI641">
        <v>1</v>
      </c>
      <c r="AJ641">
        <v>0</v>
      </c>
      <c r="AK641" t="s">
        <v>322</v>
      </c>
      <c r="AL641">
        <v>32.817298999999998</v>
      </c>
      <c r="AM641" t="s">
        <v>324</v>
      </c>
      <c r="AN641">
        <v>-116.96605</v>
      </c>
      <c r="AO641">
        <v>25</v>
      </c>
      <c r="AP641">
        <v>1800</v>
      </c>
      <c r="AQ641" t="s">
        <v>129</v>
      </c>
      <c r="AR641">
        <v>126</v>
      </c>
      <c r="AS641">
        <v>0</v>
      </c>
      <c r="AT641">
        <v>320</v>
      </c>
      <c r="BB641">
        <v>1200</v>
      </c>
      <c r="BC641">
        <v>1</v>
      </c>
      <c r="BD641" t="str">
        <f t="shared" si="207"/>
        <v xml:space="preserve">N887QR  </v>
      </c>
      <c r="BE641">
        <v>1</v>
      </c>
      <c r="BG641">
        <v>0</v>
      </c>
      <c r="BH641">
        <v>0</v>
      </c>
      <c r="BI641">
        <v>0</v>
      </c>
      <c r="BJ641">
        <v>1525</v>
      </c>
      <c r="BK641">
        <v>-275</v>
      </c>
      <c r="BL641" t="s">
        <v>163</v>
      </c>
      <c r="BM641">
        <v>1</v>
      </c>
      <c r="BN641">
        <v>1</v>
      </c>
      <c r="BO641">
        <v>1</v>
      </c>
      <c r="BP641">
        <v>0</v>
      </c>
      <c r="BS641">
        <v>0</v>
      </c>
      <c r="BT641">
        <v>0</v>
      </c>
      <c r="BU641">
        <v>0</v>
      </c>
      <c r="CE641" t="str">
        <f t="shared" si="229"/>
        <v>19:27:23.309</v>
      </c>
      <c r="CF641">
        <v>308538395</v>
      </c>
      <c r="CS641">
        <v>3</v>
      </c>
      <c r="CT641">
        <v>2</v>
      </c>
      <c r="CU641">
        <v>0</v>
      </c>
      <c r="CV641">
        <v>2</v>
      </c>
      <c r="CW641">
        <v>0</v>
      </c>
      <c r="CX641">
        <v>6</v>
      </c>
      <c r="CY641">
        <v>7</v>
      </c>
      <c r="CZ641" t="s">
        <v>131</v>
      </c>
      <c r="DA641">
        <v>300</v>
      </c>
      <c r="DB641">
        <v>0</v>
      </c>
      <c r="DC641" t="s">
        <v>176</v>
      </c>
      <c r="DD641" t="s">
        <v>177</v>
      </c>
      <c r="DG641">
        <v>5367897</v>
      </c>
      <c r="DI641">
        <v>1</v>
      </c>
      <c r="DJ641">
        <v>0</v>
      </c>
      <c r="DK641">
        <v>1</v>
      </c>
      <c r="DL641">
        <v>0</v>
      </c>
      <c r="DM641">
        <v>0</v>
      </c>
      <c r="DN641">
        <v>1</v>
      </c>
      <c r="DO641">
        <v>0</v>
      </c>
      <c r="DP641">
        <v>0</v>
      </c>
      <c r="DQ641">
        <v>0</v>
      </c>
      <c r="DR641">
        <v>0</v>
      </c>
      <c r="DS641">
        <v>0</v>
      </c>
    </row>
    <row r="642" spans="1:123" x14ac:dyDescent="0.3">
      <c r="A642" t="str">
        <f>"10/04/2022 19:27:23.555"</f>
        <v>10/04/2022 19:27:23.555</v>
      </c>
      <c r="C642" t="str">
        <f t="shared" si="224"/>
        <v>FFDFD3C0</v>
      </c>
      <c r="D642" t="s">
        <v>143</v>
      </c>
      <c r="E642">
        <v>20</v>
      </c>
      <c r="F642">
        <v>1020</v>
      </c>
      <c r="G642" t="s">
        <v>144</v>
      </c>
      <c r="J642" t="s">
        <v>145</v>
      </c>
      <c r="K642">
        <v>0</v>
      </c>
      <c r="L642">
        <v>3</v>
      </c>
      <c r="M642">
        <v>0</v>
      </c>
      <c r="N642">
        <v>2</v>
      </c>
      <c r="O642">
        <v>0</v>
      </c>
      <c r="P642">
        <v>1</v>
      </c>
      <c r="Q642">
        <v>0</v>
      </c>
      <c r="S642" t="str">
        <f t="shared" si="228"/>
        <v>19:27:23.000</v>
      </c>
      <c r="T642" t="str">
        <f t="shared" si="228"/>
        <v>19:27:23.000</v>
      </c>
      <c r="U642" t="str">
        <f t="shared" ref="U642:U705" si="230">"AC3944"</f>
        <v>AC3944</v>
      </c>
      <c r="V642">
        <v>0</v>
      </c>
      <c r="W642">
        <v>0</v>
      </c>
      <c r="X642">
        <v>2</v>
      </c>
      <c r="Y642">
        <v>0</v>
      </c>
      <c r="AA642">
        <v>1</v>
      </c>
      <c r="AB642">
        <v>8</v>
      </c>
      <c r="AC642">
        <v>3</v>
      </c>
      <c r="AD642">
        <v>0</v>
      </c>
      <c r="AE642">
        <v>9</v>
      </c>
      <c r="AF642" t="s">
        <v>138</v>
      </c>
      <c r="AG642">
        <v>0</v>
      </c>
      <c r="AH642">
        <v>3</v>
      </c>
      <c r="AI642">
        <v>1</v>
      </c>
      <c r="AJ642">
        <v>0</v>
      </c>
      <c r="AK642" t="s">
        <v>322</v>
      </c>
      <c r="AL642">
        <v>32.817298999999998</v>
      </c>
      <c r="AM642" t="s">
        <v>324</v>
      </c>
      <c r="AN642">
        <v>-116.96605</v>
      </c>
      <c r="AO642">
        <v>25</v>
      </c>
      <c r="AP642">
        <v>1800</v>
      </c>
      <c r="AQ642" t="s">
        <v>129</v>
      </c>
      <c r="AR642">
        <v>126</v>
      </c>
      <c r="AS642">
        <v>0</v>
      </c>
      <c r="AT642">
        <v>320</v>
      </c>
      <c r="BB642">
        <v>1200</v>
      </c>
      <c r="BC642">
        <v>1</v>
      </c>
      <c r="BD642" t="str">
        <f t="shared" ref="BD642:BD705" si="231">"N887QR  "</f>
        <v xml:space="preserve">N887QR  </v>
      </c>
      <c r="BE642">
        <v>1</v>
      </c>
      <c r="BG642">
        <v>0</v>
      </c>
      <c r="BH642">
        <v>0</v>
      </c>
      <c r="BI642">
        <v>0</v>
      </c>
      <c r="BJ642">
        <v>1525</v>
      </c>
      <c r="BK642">
        <v>-275</v>
      </c>
      <c r="BL642" t="s">
        <v>163</v>
      </c>
      <c r="BM642">
        <v>1</v>
      </c>
      <c r="BN642">
        <v>1</v>
      </c>
      <c r="BO642">
        <v>1</v>
      </c>
      <c r="BP642">
        <v>0</v>
      </c>
      <c r="BS642">
        <v>0</v>
      </c>
      <c r="BT642">
        <v>0</v>
      </c>
      <c r="BU642">
        <v>0</v>
      </c>
      <c r="CE642" t="str">
        <f t="shared" si="229"/>
        <v>19:27:23.309</v>
      </c>
      <c r="CF642">
        <v>308538395</v>
      </c>
      <c r="CS642">
        <v>3</v>
      </c>
      <c r="CT642">
        <v>2</v>
      </c>
      <c r="CU642">
        <v>0</v>
      </c>
      <c r="CV642">
        <v>2</v>
      </c>
      <c r="CW642">
        <v>0</v>
      </c>
      <c r="CX642">
        <v>6</v>
      </c>
      <c r="CY642">
        <v>7</v>
      </c>
      <c r="CZ642" t="s">
        <v>131</v>
      </c>
      <c r="DA642">
        <v>300</v>
      </c>
      <c r="DB642">
        <v>0</v>
      </c>
      <c r="DC642" t="s">
        <v>176</v>
      </c>
      <c r="DD642" t="s">
        <v>177</v>
      </c>
      <c r="DG642">
        <v>5367897</v>
      </c>
      <c r="DI642">
        <v>1</v>
      </c>
      <c r="DJ642">
        <v>0</v>
      </c>
      <c r="DK642">
        <v>1</v>
      </c>
      <c r="DL642">
        <v>0</v>
      </c>
      <c r="DM642">
        <v>0</v>
      </c>
      <c r="DN642">
        <v>1</v>
      </c>
      <c r="DO642">
        <v>0</v>
      </c>
      <c r="DP642">
        <v>0</v>
      </c>
      <c r="DQ642">
        <v>0</v>
      </c>
      <c r="DR642">
        <v>0</v>
      </c>
      <c r="DS642">
        <v>0</v>
      </c>
    </row>
    <row r="643" spans="1:123" x14ac:dyDescent="0.3">
      <c r="A643" t="str">
        <f>"10/04/2022 19:27:23.555"</f>
        <v>10/04/2022 19:27:23.555</v>
      </c>
      <c r="C643" t="str">
        <f t="shared" si="224"/>
        <v>FFDFD3C0</v>
      </c>
      <c r="D643" t="s">
        <v>136</v>
      </c>
      <c r="E643">
        <v>8</v>
      </c>
      <c r="H643">
        <v>225</v>
      </c>
      <c r="I643" t="s">
        <v>137</v>
      </c>
      <c r="J643" t="s">
        <v>138</v>
      </c>
      <c r="K643">
        <v>0</v>
      </c>
      <c r="L643">
        <v>3</v>
      </c>
      <c r="M643">
        <v>0</v>
      </c>
      <c r="N643">
        <v>2</v>
      </c>
      <c r="O643">
        <v>0</v>
      </c>
      <c r="P643">
        <v>1</v>
      </c>
      <c r="Q643">
        <v>0</v>
      </c>
      <c r="S643" t="str">
        <f t="shared" si="228"/>
        <v>19:27:23.000</v>
      </c>
      <c r="T643" t="str">
        <f t="shared" si="228"/>
        <v>19:27:23.000</v>
      </c>
      <c r="U643" t="str">
        <f t="shared" si="230"/>
        <v>AC3944</v>
      </c>
      <c r="V643">
        <v>0</v>
      </c>
      <c r="W643">
        <v>0</v>
      </c>
      <c r="X643">
        <v>2</v>
      </c>
      <c r="Y643">
        <v>0</v>
      </c>
      <c r="AA643">
        <v>1</v>
      </c>
      <c r="AB643">
        <v>8</v>
      </c>
      <c r="AC643">
        <v>3</v>
      </c>
      <c r="AD643">
        <v>0</v>
      </c>
      <c r="AE643">
        <v>9</v>
      </c>
      <c r="AF643" t="s">
        <v>138</v>
      </c>
      <c r="AG643">
        <v>0</v>
      </c>
      <c r="AH643">
        <v>3</v>
      </c>
      <c r="AI643">
        <v>1</v>
      </c>
      <c r="AJ643">
        <v>0</v>
      </c>
      <c r="AK643" t="s">
        <v>322</v>
      </c>
      <c r="AL643">
        <v>32.817298999999998</v>
      </c>
      <c r="AM643" t="s">
        <v>324</v>
      </c>
      <c r="AN643">
        <v>-116.96605</v>
      </c>
      <c r="AO643">
        <v>25</v>
      </c>
      <c r="AP643">
        <v>1800</v>
      </c>
      <c r="AQ643" t="s">
        <v>129</v>
      </c>
      <c r="AR643">
        <v>126</v>
      </c>
      <c r="AS643">
        <v>0</v>
      </c>
      <c r="AT643">
        <v>320</v>
      </c>
      <c r="BB643">
        <v>1200</v>
      </c>
      <c r="BC643">
        <v>1</v>
      </c>
      <c r="BD643" t="str">
        <f t="shared" si="231"/>
        <v xml:space="preserve">N887QR  </v>
      </c>
      <c r="BE643">
        <v>1</v>
      </c>
      <c r="BG643">
        <v>0</v>
      </c>
      <c r="BH643">
        <v>0</v>
      </c>
      <c r="BI643">
        <v>0</v>
      </c>
      <c r="BJ643">
        <v>1525</v>
      </c>
      <c r="BK643">
        <v>-275</v>
      </c>
      <c r="BL643" t="s">
        <v>163</v>
      </c>
      <c r="BM643">
        <v>1</v>
      </c>
      <c r="BN643">
        <v>1</v>
      </c>
      <c r="BO643">
        <v>1</v>
      </c>
      <c r="BP643">
        <v>0</v>
      </c>
      <c r="BS643">
        <v>0</v>
      </c>
      <c r="BT643">
        <v>0</v>
      </c>
      <c r="BU643">
        <v>0</v>
      </c>
      <c r="CE643" t="str">
        <f t="shared" si="229"/>
        <v>19:27:23.309</v>
      </c>
      <c r="CF643">
        <v>308538395</v>
      </c>
      <c r="CS643">
        <v>3</v>
      </c>
      <c r="CT643">
        <v>2</v>
      </c>
      <c r="CU643">
        <v>0</v>
      </c>
      <c r="CV643">
        <v>2</v>
      </c>
      <c r="CW643">
        <v>0</v>
      </c>
      <c r="CX643">
        <v>6</v>
      </c>
      <c r="CY643">
        <v>7</v>
      </c>
      <c r="CZ643" t="s">
        <v>131</v>
      </c>
      <c r="DA643">
        <v>300</v>
      </c>
      <c r="DB643">
        <v>0</v>
      </c>
      <c r="DC643" t="s">
        <v>176</v>
      </c>
      <c r="DD643" t="s">
        <v>177</v>
      </c>
      <c r="DG643">
        <v>5367897</v>
      </c>
      <c r="DI643">
        <v>1</v>
      </c>
      <c r="DJ643">
        <v>0</v>
      </c>
      <c r="DK643">
        <v>1</v>
      </c>
      <c r="DL643">
        <v>0</v>
      </c>
      <c r="DM643">
        <v>0</v>
      </c>
      <c r="DN643">
        <v>1</v>
      </c>
      <c r="DO643">
        <v>0</v>
      </c>
      <c r="DP643">
        <v>0</v>
      </c>
      <c r="DQ643">
        <v>0</v>
      </c>
      <c r="DR643">
        <v>0</v>
      </c>
      <c r="DS643">
        <v>0</v>
      </c>
    </row>
    <row r="644" spans="1:123" x14ac:dyDescent="0.3">
      <c r="A644" t="str">
        <f>"10/04/2022 19:27:23.555"</f>
        <v>10/04/2022 19:27:23.555</v>
      </c>
      <c r="C644" t="str">
        <f t="shared" si="224"/>
        <v>FFDFD3C0</v>
      </c>
      <c r="D644" t="s">
        <v>141</v>
      </c>
      <c r="E644">
        <v>3</v>
      </c>
      <c r="H644">
        <v>3</v>
      </c>
      <c r="I644" t="s">
        <v>146</v>
      </c>
      <c r="J644" t="s">
        <v>138</v>
      </c>
      <c r="K644">
        <v>0</v>
      </c>
      <c r="L644">
        <v>3</v>
      </c>
      <c r="M644">
        <v>0</v>
      </c>
      <c r="N644">
        <v>2</v>
      </c>
      <c r="O644">
        <v>0</v>
      </c>
      <c r="P644">
        <v>1</v>
      </c>
      <c r="Q644">
        <v>0</v>
      </c>
      <c r="S644" t="str">
        <f t="shared" si="228"/>
        <v>19:27:23.000</v>
      </c>
      <c r="T644" t="str">
        <f t="shared" si="228"/>
        <v>19:27:23.000</v>
      </c>
      <c r="U644" t="str">
        <f t="shared" si="230"/>
        <v>AC3944</v>
      </c>
      <c r="V644">
        <v>0</v>
      </c>
      <c r="W644">
        <v>0</v>
      </c>
      <c r="X644">
        <v>2</v>
      </c>
      <c r="Y644">
        <v>0</v>
      </c>
      <c r="AA644">
        <v>1</v>
      </c>
      <c r="AB644">
        <v>8</v>
      </c>
      <c r="AC644">
        <v>3</v>
      </c>
      <c r="AD644">
        <v>0</v>
      </c>
      <c r="AE644">
        <v>9</v>
      </c>
      <c r="AF644" t="s">
        <v>138</v>
      </c>
      <c r="AG644">
        <v>0</v>
      </c>
      <c r="AH644">
        <v>3</v>
      </c>
      <c r="AI644">
        <v>1</v>
      </c>
      <c r="AJ644">
        <v>0</v>
      </c>
      <c r="AK644" t="s">
        <v>322</v>
      </c>
      <c r="AL644">
        <v>32.817298999999998</v>
      </c>
      <c r="AM644" t="s">
        <v>324</v>
      </c>
      <c r="AN644">
        <v>-116.96605</v>
      </c>
      <c r="AO644">
        <v>25</v>
      </c>
      <c r="AP644">
        <v>1800</v>
      </c>
      <c r="AQ644" t="s">
        <v>129</v>
      </c>
      <c r="AR644">
        <v>126</v>
      </c>
      <c r="AS644">
        <v>0</v>
      </c>
      <c r="AT644">
        <v>320</v>
      </c>
      <c r="BB644">
        <v>1200</v>
      </c>
      <c r="BC644">
        <v>1</v>
      </c>
      <c r="BD644" t="str">
        <f t="shared" si="231"/>
        <v xml:space="preserve">N887QR  </v>
      </c>
      <c r="BE644">
        <v>1</v>
      </c>
      <c r="BG644">
        <v>0</v>
      </c>
      <c r="BH644">
        <v>0</v>
      </c>
      <c r="BI644">
        <v>0</v>
      </c>
      <c r="BJ644">
        <v>1525</v>
      </c>
      <c r="BK644">
        <v>-275</v>
      </c>
      <c r="BL644" t="s">
        <v>163</v>
      </c>
      <c r="BM644">
        <v>1</v>
      </c>
      <c r="BN644">
        <v>1</v>
      </c>
      <c r="BO644">
        <v>1</v>
      </c>
      <c r="BP644">
        <v>0</v>
      </c>
      <c r="BS644">
        <v>0</v>
      </c>
      <c r="BT644">
        <v>0</v>
      </c>
      <c r="BU644">
        <v>0</v>
      </c>
      <c r="CE644" t="str">
        <f t="shared" si="229"/>
        <v>19:27:23.309</v>
      </c>
      <c r="CF644">
        <v>308538395</v>
      </c>
      <c r="CS644">
        <v>3</v>
      </c>
      <c r="CT644">
        <v>2</v>
      </c>
      <c r="CU644">
        <v>0</v>
      </c>
      <c r="CV644">
        <v>2</v>
      </c>
      <c r="CW644">
        <v>0</v>
      </c>
      <c r="CX644">
        <v>6</v>
      </c>
      <c r="CY644">
        <v>7</v>
      </c>
      <c r="CZ644" t="s">
        <v>131</v>
      </c>
      <c r="DA644">
        <v>300</v>
      </c>
      <c r="DB644">
        <v>0</v>
      </c>
      <c r="DC644" t="s">
        <v>176</v>
      </c>
      <c r="DD644" t="s">
        <v>177</v>
      </c>
      <c r="DG644">
        <v>5367897</v>
      </c>
      <c r="DI644">
        <v>1</v>
      </c>
      <c r="DJ644">
        <v>0</v>
      </c>
      <c r="DK644">
        <v>1</v>
      </c>
      <c r="DL644">
        <v>0</v>
      </c>
      <c r="DM644">
        <v>0</v>
      </c>
      <c r="DN644">
        <v>1</v>
      </c>
      <c r="DO644">
        <v>0</v>
      </c>
      <c r="DP644">
        <v>0</v>
      </c>
      <c r="DQ644">
        <v>0</v>
      </c>
      <c r="DR644">
        <v>0</v>
      </c>
      <c r="DS644">
        <v>0</v>
      </c>
    </row>
    <row r="645" spans="1:123" x14ac:dyDescent="0.3">
      <c r="A645" t="str">
        <f>"10/04/2022 19:27:23.555"</f>
        <v>10/04/2022 19:27:23.555</v>
      </c>
      <c r="C645" t="str">
        <f t="shared" si="224"/>
        <v>FFDFD3C0</v>
      </c>
      <c r="D645" t="s">
        <v>123</v>
      </c>
      <c r="E645">
        <v>7</v>
      </c>
      <c r="F645">
        <v>2007</v>
      </c>
      <c r="G645" t="s">
        <v>124</v>
      </c>
      <c r="J645" t="s">
        <v>125</v>
      </c>
      <c r="K645">
        <v>0</v>
      </c>
      <c r="L645">
        <v>3</v>
      </c>
      <c r="M645">
        <v>0</v>
      </c>
      <c r="N645">
        <v>2</v>
      </c>
      <c r="O645">
        <v>0</v>
      </c>
      <c r="P645">
        <v>1</v>
      </c>
      <c r="Q645">
        <v>0</v>
      </c>
      <c r="S645" t="str">
        <f t="shared" si="228"/>
        <v>19:27:23.000</v>
      </c>
      <c r="T645" t="str">
        <f t="shared" si="228"/>
        <v>19:27:23.000</v>
      </c>
      <c r="U645" t="str">
        <f t="shared" si="230"/>
        <v>AC3944</v>
      </c>
      <c r="V645">
        <v>0</v>
      </c>
      <c r="W645">
        <v>0</v>
      </c>
      <c r="X645">
        <v>2</v>
      </c>
      <c r="Y645">
        <v>0</v>
      </c>
      <c r="AA645">
        <v>1</v>
      </c>
      <c r="AB645">
        <v>8</v>
      </c>
      <c r="AC645">
        <v>3</v>
      </c>
      <c r="AD645">
        <v>0</v>
      </c>
      <c r="AE645">
        <v>9</v>
      </c>
      <c r="AF645" t="s">
        <v>138</v>
      </c>
      <c r="AG645">
        <v>0</v>
      </c>
      <c r="AH645">
        <v>3</v>
      </c>
      <c r="AI645">
        <v>1</v>
      </c>
      <c r="AJ645">
        <v>0</v>
      </c>
      <c r="AK645" t="s">
        <v>322</v>
      </c>
      <c r="AL645">
        <v>32.817298999999998</v>
      </c>
      <c r="AM645" t="s">
        <v>324</v>
      </c>
      <c r="AN645">
        <v>-116.96605</v>
      </c>
      <c r="AO645">
        <v>25</v>
      </c>
      <c r="AP645">
        <v>1800</v>
      </c>
      <c r="AQ645" t="s">
        <v>129</v>
      </c>
      <c r="AR645">
        <v>126</v>
      </c>
      <c r="AS645">
        <v>0</v>
      </c>
      <c r="AT645">
        <v>320</v>
      </c>
      <c r="BB645">
        <v>1200</v>
      </c>
      <c r="BC645">
        <v>1</v>
      </c>
      <c r="BD645" t="str">
        <f t="shared" si="231"/>
        <v xml:space="preserve">N887QR  </v>
      </c>
      <c r="BE645">
        <v>1</v>
      </c>
      <c r="BG645">
        <v>0</v>
      </c>
      <c r="BH645">
        <v>0</v>
      </c>
      <c r="BI645">
        <v>0</v>
      </c>
      <c r="BJ645">
        <v>1525</v>
      </c>
      <c r="BK645">
        <v>-275</v>
      </c>
      <c r="BL645" t="s">
        <v>163</v>
      </c>
      <c r="BM645">
        <v>1</v>
      </c>
      <c r="BN645">
        <v>1</v>
      </c>
      <c r="BO645">
        <v>1</v>
      </c>
      <c r="BP645">
        <v>0</v>
      </c>
      <c r="BS645">
        <v>0</v>
      </c>
      <c r="BT645">
        <v>0</v>
      </c>
      <c r="BU645">
        <v>0</v>
      </c>
      <c r="CE645" t="str">
        <f t="shared" si="229"/>
        <v>19:27:23.309</v>
      </c>
      <c r="CF645">
        <v>308538395</v>
      </c>
      <c r="CS645">
        <v>3</v>
      </c>
      <c r="CT645">
        <v>2</v>
      </c>
      <c r="CU645">
        <v>0</v>
      </c>
      <c r="CV645">
        <v>2</v>
      </c>
      <c r="CW645">
        <v>0</v>
      </c>
      <c r="CX645">
        <v>6</v>
      </c>
      <c r="CY645">
        <v>7</v>
      </c>
      <c r="CZ645" t="s">
        <v>131</v>
      </c>
      <c r="DA645">
        <v>300</v>
      </c>
      <c r="DB645">
        <v>0</v>
      </c>
      <c r="DC645" t="s">
        <v>176</v>
      </c>
      <c r="DD645" t="s">
        <v>177</v>
      </c>
      <c r="DG645">
        <v>5367897</v>
      </c>
      <c r="DI645">
        <v>1</v>
      </c>
      <c r="DJ645">
        <v>0</v>
      </c>
      <c r="DK645">
        <v>1</v>
      </c>
      <c r="DL645">
        <v>0</v>
      </c>
      <c r="DM645">
        <v>0</v>
      </c>
      <c r="DN645">
        <v>1</v>
      </c>
      <c r="DO645">
        <v>0</v>
      </c>
      <c r="DP645">
        <v>0</v>
      </c>
      <c r="DQ645">
        <v>0</v>
      </c>
      <c r="DR645">
        <v>0</v>
      </c>
      <c r="DS645">
        <v>0</v>
      </c>
    </row>
    <row r="646" spans="1:123" x14ac:dyDescent="0.3">
      <c r="A646" t="str">
        <f>"10/04/2022 19:27:23.555"</f>
        <v>10/04/2022 19:27:23.555</v>
      </c>
      <c r="C646" t="str">
        <f t="shared" si="224"/>
        <v>FFDFD3C0</v>
      </c>
      <c r="D646" t="s">
        <v>147</v>
      </c>
      <c r="E646">
        <v>3</v>
      </c>
      <c r="H646">
        <v>166</v>
      </c>
      <c r="I646" t="s">
        <v>144</v>
      </c>
      <c r="J646" t="s">
        <v>148</v>
      </c>
      <c r="K646">
        <v>0</v>
      </c>
      <c r="L646">
        <v>3</v>
      </c>
      <c r="M646">
        <v>0</v>
      </c>
      <c r="N646">
        <v>2</v>
      </c>
      <c r="O646">
        <v>0</v>
      </c>
      <c r="P646">
        <v>1</v>
      </c>
      <c r="Q646">
        <v>0</v>
      </c>
      <c r="S646" t="str">
        <f t="shared" si="228"/>
        <v>19:27:23.000</v>
      </c>
      <c r="T646" t="str">
        <f t="shared" si="228"/>
        <v>19:27:23.000</v>
      </c>
      <c r="U646" t="str">
        <f t="shared" si="230"/>
        <v>AC3944</v>
      </c>
      <c r="V646">
        <v>0</v>
      </c>
      <c r="W646">
        <v>0</v>
      </c>
      <c r="X646">
        <v>2</v>
      </c>
      <c r="Y646">
        <v>0</v>
      </c>
      <c r="AA646">
        <v>1</v>
      </c>
      <c r="AB646">
        <v>8</v>
      </c>
      <c r="AC646">
        <v>3</v>
      </c>
      <c r="AD646">
        <v>0</v>
      </c>
      <c r="AE646">
        <v>9</v>
      </c>
      <c r="AF646" t="s">
        <v>138</v>
      </c>
      <c r="AG646">
        <v>0</v>
      </c>
      <c r="AH646">
        <v>3</v>
      </c>
      <c r="AI646">
        <v>1</v>
      </c>
      <c r="AJ646">
        <v>0</v>
      </c>
      <c r="AK646" t="s">
        <v>322</v>
      </c>
      <c r="AL646">
        <v>32.817298999999998</v>
      </c>
      <c r="AM646" t="s">
        <v>324</v>
      </c>
      <c r="AN646">
        <v>-116.96605</v>
      </c>
      <c r="AO646">
        <v>25</v>
      </c>
      <c r="AP646">
        <v>1800</v>
      </c>
      <c r="AQ646" t="s">
        <v>129</v>
      </c>
      <c r="AR646">
        <v>126</v>
      </c>
      <c r="AS646">
        <v>0</v>
      </c>
      <c r="AT646">
        <v>320</v>
      </c>
      <c r="BB646">
        <v>1200</v>
      </c>
      <c r="BC646">
        <v>1</v>
      </c>
      <c r="BD646" t="str">
        <f t="shared" si="231"/>
        <v xml:space="preserve">N887QR  </v>
      </c>
      <c r="BE646">
        <v>1</v>
      </c>
      <c r="BG646">
        <v>0</v>
      </c>
      <c r="BH646">
        <v>0</v>
      </c>
      <c r="BI646">
        <v>0</v>
      </c>
      <c r="BJ646">
        <v>1525</v>
      </c>
      <c r="BK646">
        <v>-275</v>
      </c>
      <c r="BL646" t="s">
        <v>163</v>
      </c>
      <c r="BM646">
        <v>1</v>
      </c>
      <c r="BN646">
        <v>1</v>
      </c>
      <c r="BO646">
        <v>1</v>
      </c>
      <c r="BP646">
        <v>0</v>
      </c>
      <c r="BS646">
        <v>0</v>
      </c>
      <c r="BT646">
        <v>0</v>
      </c>
      <c r="BU646">
        <v>0</v>
      </c>
      <c r="CE646" t="str">
        <f t="shared" si="229"/>
        <v>19:27:23.309</v>
      </c>
      <c r="CF646">
        <v>308538395</v>
      </c>
      <c r="CS646">
        <v>3</v>
      </c>
      <c r="CT646">
        <v>2</v>
      </c>
      <c r="CU646">
        <v>0</v>
      </c>
      <c r="CV646">
        <v>2</v>
      </c>
      <c r="CW646">
        <v>0</v>
      </c>
      <c r="CX646">
        <v>6</v>
      </c>
      <c r="CY646">
        <v>7</v>
      </c>
      <c r="CZ646" t="s">
        <v>131</v>
      </c>
      <c r="DA646">
        <v>300</v>
      </c>
      <c r="DB646">
        <v>0</v>
      </c>
      <c r="DC646" t="s">
        <v>176</v>
      </c>
      <c r="DD646" t="s">
        <v>177</v>
      </c>
      <c r="DG646">
        <v>5367897</v>
      </c>
      <c r="DI646">
        <v>1</v>
      </c>
      <c r="DJ646">
        <v>0</v>
      </c>
      <c r="DK646">
        <v>1</v>
      </c>
      <c r="DL646">
        <v>0</v>
      </c>
      <c r="DM646">
        <v>0</v>
      </c>
      <c r="DN646">
        <v>1</v>
      </c>
      <c r="DO646">
        <v>0</v>
      </c>
      <c r="DP646">
        <v>0</v>
      </c>
      <c r="DQ646">
        <v>0</v>
      </c>
      <c r="DR646">
        <v>0</v>
      </c>
      <c r="DS646">
        <v>0</v>
      </c>
    </row>
    <row r="647" spans="1:123" x14ac:dyDescent="0.3">
      <c r="A647" t="str">
        <f>"10/04/2022 19:27:24.306"</f>
        <v>10/04/2022 19:27:24.306</v>
      </c>
      <c r="C647" t="str">
        <f t="shared" si="224"/>
        <v>FFDFD3C0</v>
      </c>
      <c r="D647" t="s">
        <v>136</v>
      </c>
      <c r="E647">
        <v>8</v>
      </c>
      <c r="H647">
        <v>225</v>
      </c>
      <c r="I647" t="s">
        <v>137</v>
      </c>
      <c r="J647" t="s">
        <v>138</v>
      </c>
      <c r="K647">
        <v>0</v>
      </c>
      <c r="L647">
        <v>3</v>
      </c>
      <c r="M647">
        <v>0</v>
      </c>
      <c r="N647">
        <v>2</v>
      </c>
      <c r="O647">
        <v>0</v>
      </c>
      <c r="P647">
        <v>1</v>
      </c>
      <c r="Q647">
        <v>0</v>
      </c>
      <c r="S647" t="str">
        <f t="shared" ref="S647:T653" si="232">"19:27:24.000"</f>
        <v>19:27:24.000</v>
      </c>
      <c r="T647" t="str">
        <f t="shared" si="232"/>
        <v>19:27:24.000</v>
      </c>
      <c r="U647" t="str">
        <f t="shared" si="230"/>
        <v>AC3944</v>
      </c>
      <c r="V647">
        <v>0</v>
      </c>
      <c r="W647">
        <v>0</v>
      </c>
      <c r="X647">
        <v>2</v>
      </c>
      <c r="Y647">
        <v>0</v>
      </c>
      <c r="AA647">
        <v>1</v>
      </c>
      <c r="AB647">
        <v>8</v>
      </c>
      <c r="AC647">
        <v>3</v>
      </c>
      <c r="AD647">
        <v>0</v>
      </c>
      <c r="AE647">
        <v>9</v>
      </c>
      <c r="AF647" t="s">
        <v>138</v>
      </c>
      <c r="AG647">
        <v>0</v>
      </c>
      <c r="AH647">
        <v>3</v>
      </c>
      <c r="AI647">
        <v>1</v>
      </c>
      <c r="AJ647">
        <v>0</v>
      </c>
      <c r="AK647" t="s">
        <v>320</v>
      </c>
      <c r="AL647">
        <v>32.817321</v>
      </c>
      <c r="AM647" t="s">
        <v>325</v>
      </c>
      <c r="AN647">
        <v>-116.96534200000001</v>
      </c>
      <c r="AO647">
        <v>25</v>
      </c>
      <c r="AP647">
        <v>1800</v>
      </c>
      <c r="AQ647" t="s">
        <v>129</v>
      </c>
      <c r="AR647">
        <v>126</v>
      </c>
      <c r="AS647">
        <v>1</v>
      </c>
      <c r="AT647">
        <v>320</v>
      </c>
      <c r="BB647">
        <v>1200</v>
      </c>
      <c r="BC647">
        <v>1</v>
      </c>
      <c r="BD647" t="str">
        <f t="shared" si="231"/>
        <v xml:space="preserve">N887QR  </v>
      </c>
      <c r="BE647">
        <v>1</v>
      </c>
      <c r="BG647">
        <v>0</v>
      </c>
      <c r="BH647">
        <v>0</v>
      </c>
      <c r="BI647">
        <v>0</v>
      </c>
      <c r="BJ647">
        <v>1525</v>
      </c>
      <c r="BK647">
        <v>-275</v>
      </c>
      <c r="BL647" t="s">
        <v>163</v>
      </c>
      <c r="BM647">
        <v>1</v>
      </c>
      <c r="BN647">
        <v>1</v>
      </c>
      <c r="BO647">
        <v>1</v>
      </c>
      <c r="BP647">
        <v>0</v>
      </c>
      <c r="BS647">
        <v>0</v>
      </c>
      <c r="BT647">
        <v>0</v>
      </c>
      <c r="BU647">
        <v>0</v>
      </c>
      <c r="CE647" t="str">
        <f t="shared" ref="CE647:CE653" si="233">"19:27:24.108"</f>
        <v>19:27:24.108</v>
      </c>
      <c r="CF647">
        <v>107540918</v>
      </c>
      <c r="CS647">
        <v>3</v>
      </c>
      <c r="CT647">
        <v>2</v>
      </c>
      <c r="CU647">
        <v>0</v>
      </c>
      <c r="CV647">
        <v>2</v>
      </c>
      <c r="CW647">
        <v>0</v>
      </c>
      <c r="CX647">
        <v>6</v>
      </c>
      <c r="CY647">
        <v>7</v>
      </c>
      <c r="CZ647" t="s">
        <v>131</v>
      </c>
      <c r="DA647">
        <v>300</v>
      </c>
      <c r="DB647">
        <v>0</v>
      </c>
      <c r="DC647" t="s">
        <v>176</v>
      </c>
      <c r="DD647" t="s">
        <v>177</v>
      </c>
      <c r="DG647">
        <v>5368035</v>
      </c>
      <c r="DI647">
        <v>1</v>
      </c>
      <c r="DJ647">
        <v>0</v>
      </c>
      <c r="DK647">
        <v>0</v>
      </c>
      <c r="DL647">
        <v>0</v>
      </c>
      <c r="DM647">
        <v>0</v>
      </c>
      <c r="DN647">
        <v>1</v>
      </c>
      <c r="DO647">
        <v>0</v>
      </c>
      <c r="DP647">
        <v>0</v>
      </c>
      <c r="DQ647">
        <v>0</v>
      </c>
      <c r="DR647">
        <v>0</v>
      </c>
      <c r="DS647">
        <v>0</v>
      </c>
    </row>
    <row r="648" spans="1:123" x14ac:dyDescent="0.3">
      <c r="A648" t="str">
        <f>"10/04/2022 19:27:24.337"</f>
        <v>10/04/2022 19:27:24.337</v>
      </c>
      <c r="C648" t="str">
        <f t="shared" si="224"/>
        <v>FFDFD3C0</v>
      </c>
      <c r="D648" t="s">
        <v>123</v>
      </c>
      <c r="E648">
        <v>7</v>
      </c>
      <c r="F648">
        <v>2007</v>
      </c>
      <c r="G648" t="s">
        <v>124</v>
      </c>
      <c r="J648" t="s">
        <v>125</v>
      </c>
      <c r="K648">
        <v>0</v>
      </c>
      <c r="L648">
        <v>3</v>
      </c>
      <c r="M648">
        <v>0</v>
      </c>
      <c r="N648">
        <v>2</v>
      </c>
      <c r="O648">
        <v>0</v>
      </c>
      <c r="P648">
        <v>1</v>
      </c>
      <c r="Q648">
        <v>0</v>
      </c>
      <c r="S648" t="str">
        <f t="shared" si="232"/>
        <v>19:27:24.000</v>
      </c>
      <c r="T648" t="str">
        <f t="shared" si="232"/>
        <v>19:27:24.000</v>
      </c>
      <c r="U648" t="str">
        <f t="shared" si="230"/>
        <v>AC3944</v>
      </c>
      <c r="V648">
        <v>0</v>
      </c>
      <c r="W648">
        <v>0</v>
      </c>
      <c r="X648">
        <v>2</v>
      </c>
      <c r="Y648">
        <v>0</v>
      </c>
      <c r="AA648">
        <v>1</v>
      </c>
      <c r="AB648">
        <v>8</v>
      </c>
      <c r="AC648">
        <v>3</v>
      </c>
      <c r="AD648">
        <v>0</v>
      </c>
      <c r="AE648">
        <v>9</v>
      </c>
      <c r="AF648" t="s">
        <v>138</v>
      </c>
      <c r="AG648">
        <v>0</v>
      </c>
      <c r="AH648">
        <v>3</v>
      </c>
      <c r="AI648">
        <v>1</v>
      </c>
      <c r="AJ648">
        <v>0</v>
      </c>
      <c r="AK648" t="s">
        <v>320</v>
      </c>
      <c r="AL648">
        <v>32.817321</v>
      </c>
      <c r="AM648" t="s">
        <v>325</v>
      </c>
      <c r="AN648">
        <v>-116.96534200000001</v>
      </c>
      <c r="AO648">
        <v>25</v>
      </c>
      <c r="AP648">
        <v>1800</v>
      </c>
      <c r="AQ648" t="s">
        <v>129</v>
      </c>
      <c r="AR648">
        <v>126</v>
      </c>
      <c r="AS648">
        <v>1</v>
      </c>
      <c r="AT648">
        <v>320</v>
      </c>
      <c r="BB648">
        <v>1200</v>
      </c>
      <c r="BC648">
        <v>1</v>
      </c>
      <c r="BD648" t="str">
        <f t="shared" si="231"/>
        <v xml:space="preserve">N887QR  </v>
      </c>
      <c r="BE648">
        <v>1</v>
      </c>
      <c r="BG648">
        <v>0</v>
      </c>
      <c r="BH648">
        <v>0</v>
      </c>
      <c r="BI648">
        <v>0</v>
      </c>
      <c r="BJ648">
        <v>1525</v>
      </c>
      <c r="BK648">
        <v>-275</v>
      </c>
      <c r="BL648" t="s">
        <v>163</v>
      </c>
      <c r="BM648">
        <v>1</v>
      </c>
      <c r="BN648">
        <v>1</v>
      </c>
      <c r="BO648">
        <v>1</v>
      </c>
      <c r="BP648">
        <v>0</v>
      </c>
      <c r="BS648">
        <v>0</v>
      </c>
      <c r="BT648">
        <v>0</v>
      </c>
      <c r="BU648">
        <v>0</v>
      </c>
      <c r="CE648" t="str">
        <f t="shared" si="233"/>
        <v>19:27:24.108</v>
      </c>
      <c r="CF648">
        <v>107540918</v>
      </c>
      <c r="CS648">
        <v>3</v>
      </c>
      <c r="CT648">
        <v>2</v>
      </c>
      <c r="CU648">
        <v>0</v>
      </c>
      <c r="CV648">
        <v>2</v>
      </c>
      <c r="CW648">
        <v>0</v>
      </c>
      <c r="CX648">
        <v>6</v>
      </c>
      <c r="CY648">
        <v>7</v>
      </c>
      <c r="CZ648" t="s">
        <v>131</v>
      </c>
      <c r="DA648">
        <v>300</v>
      </c>
      <c r="DB648">
        <v>0</v>
      </c>
      <c r="DC648" t="s">
        <v>176</v>
      </c>
      <c r="DD648" t="s">
        <v>177</v>
      </c>
      <c r="DG648">
        <v>5368035</v>
      </c>
      <c r="DI648">
        <v>1</v>
      </c>
      <c r="DJ648">
        <v>0</v>
      </c>
      <c r="DK648">
        <v>1</v>
      </c>
      <c r="DL648">
        <v>0</v>
      </c>
      <c r="DM648">
        <v>0</v>
      </c>
      <c r="DN648">
        <v>1</v>
      </c>
      <c r="DO648">
        <v>0</v>
      </c>
      <c r="DP648">
        <v>0</v>
      </c>
      <c r="DQ648">
        <v>0</v>
      </c>
      <c r="DR648">
        <v>0</v>
      </c>
      <c r="DS648">
        <v>0</v>
      </c>
    </row>
    <row r="649" spans="1:123" x14ac:dyDescent="0.3">
      <c r="A649" t="str">
        <f>"10/04/2022 19:27:24.337"</f>
        <v>10/04/2022 19:27:24.337</v>
      </c>
      <c r="C649" t="str">
        <f t="shared" si="224"/>
        <v>FFDFD3C0</v>
      </c>
      <c r="D649" t="s">
        <v>141</v>
      </c>
      <c r="E649">
        <v>3</v>
      </c>
      <c r="H649">
        <v>3</v>
      </c>
      <c r="I649" t="s">
        <v>146</v>
      </c>
      <c r="J649" t="s">
        <v>138</v>
      </c>
      <c r="K649">
        <v>0</v>
      </c>
      <c r="L649">
        <v>3</v>
      </c>
      <c r="M649">
        <v>0</v>
      </c>
      <c r="N649">
        <v>2</v>
      </c>
      <c r="O649">
        <v>0</v>
      </c>
      <c r="P649">
        <v>1</v>
      </c>
      <c r="Q649">
        <v>0</v>
      </c>
      <c r="S649" t="str">
        <f t="shared" si="232"/>
        <v>19:27:24.000</v>
      </c>
      <c r="T649" t="str">
        <f t="shared" si="232"/>
        <v>19:27:24.000</v>
      </c>
      <c r="U649" t="str">
        <f t="shared" si="230"/>
        <v>AC3944</v>
      </c>
      <c r="V649">
        <v>0</v>
      </c>
      <c r="W649">
        <v>0</v>
      </c>
      <c r="X649">
        <v>2</v>
      </c>
      <c r="Y649">
        <v>0</v>
      </c>
      <c r="AA649">
        <v>1</v>
      </c>
      <c r="AB649">
        <v>8</v>
      </c>
      <c r="AC649">
        <v>3</v>
      </c>
      <c r="AD649">
        <v>0</v>
      </c>
      <c r="AE649">
        <v>9</v>
      </c>
      <c r="AF649" t="s">
        <v>138</v>
      </c>
      <c r="AG649">
        <v>0</v>
      </c>
      <c r="AH649">
        <v>3</v>
      </c>
      <c r="AI649">
        <v>1</v>
      </c>
      <c r="AJ649">
        <v>0</v>
      </c>
      <c r="AK649" t="s">
        <v>320</v>
      </c>
      <c r="AL649">
        <v>32.817321</v>
      </c>
      <c r="AM649" t="s">
        <v>325</v>
      </c>
      <c r="AN649">
        <v>-116.96534200000001</v>
      </c>
      <c r="AO649">
        <v>25</v>
      </c>
      <c r="AP649">
        <v>1800</v>
      </c>
      <c r="AQ649" t="s">
        <v>129</v>
      </c>
      <c r="AR649">
        <v>126</v>
      </c>
      <c r="AS649">
        <v>1</v>
      </c>
      <c r="AT649">
        <v>320</v>
      </c>
      <c r="BB649">
        <v>1200</v>
      </c>
      <c r="BC649">
        <v>1</v>
      </c>
      <c r="BD649" t="str">
        <f t="shared" si="231"/>
        <v xml:space="preserve">N887QR  </v>
      </c>
      <c r="BE649">
        <v>1</v>
      </c>
      <c r="BG649">
        <v>0</v>
      </c>
      <c r="BH649">
        <v>0</v>
      </c>
      <c r="BI649">
        <v>0</v>
      </c>
      <c r="BJ649">
        <v>1525</v>
      </c>
      <c r="BK649">
        <v>-275</v>
      </c>
      <c r="BL649" t="s">
        <v>163</v>
      </c>
      <c r="BM649">
        <v>1</v>
      </c>
      <c r="BN649">
        <v>1</v>
      </c>
      <c r="BO649">
        <v>1</v>
      </c>
      <c r="BP649">
        <v>0</v>
      </c>
      <c r="BS649">
        <v>0</v>
      </c>
      <c r="BT649">
        <v>0</v>
      </c>
      <c r="BU649">
        <v>0</v>
      </c>
      <c r="CE649" t="str">
        <f t="shared" si="233"/>
        <v>19:27:24.108</v>
      </c>
      <c r="CF649">
        <v>107540918</v>
      </c>
      <c r="CS649">
        <v>3</v>
      </c>
      <c r="CT649">
        <v>2</v>
      </c>
      <c r="CU649">
        <v>0</v>
      </c>
      <c r="CV649">
        <v>2</v>
      </c>
      <c r="CW649">
        <v>0</v>
      </c>
      <c r="CX649">
        <v>6</v>
      </c>
      <c r="CY649">
        <v>7</v>
      </c>
      <c r="CZ649" t="s">
        <v>131</v>
      </c>
      <c r="DA649">
        <v>300</v>
      </c>
      <c r="DB649">
        <v>0</v>
      </c>
      <c r="DC649" t="s">
        <v>176</v>
      </c>
      <c r="DD649" t="s">
        <v>177</v>
      </c>
      <c r="DG649">
        <v>5368035</v>
      </c>
      <c r="DI649">
        <v>1</v>
      </c>
      <c r="DJ649">
        <v>0</v>
      </c>
      <c r="DK649">
        <v>1</v>
      </c>
      <c r="DL649">
        <v>0</v>
      </c>
      <c r="DM649">
        <v>0</v>
      </c>
      <c r="DN649">
        <v>1</v>
      </c>
      <c r="DO649">
        <v>0</v>
      </c>
      <c r="DP649">
        <v>0</v>
      </c>
      <c r="DQ649">
        <v>0</v>
      </c>
      <c r="DR649">
        <v>0</v>
      </c>
      <c r="DS649">
        <v>0</v>
      </c>
    </row>
    <row r="650" spans="1:123" x14ac:dyDescent="0.3">
      <c r="A650" t="str">
        <f>"10/04/2022 19:27:24.337"</f>
        <v>10/04/2022 19:27:24.337</v>
      </c>
      <c r="C650" t="str">
        <f t="shared" si="224"/>
        <v>FFDFD3C0</v>
      </c>
      <c r="D650" t="s">
        <v>147</v>
      </c>
      <c r="E650">
        <v>3</v>
      </c>
      <c r="H650">
        <v>166</v>
      </c>
      <c r="I650" t="s">
        <v>144</v>
      </c>
      <c r="J650" t="s">
        <v>148</v>
      </c>
      <c r="K650">
        <v>0</v>
      </c>
      <c r="L650">
        <v>3</v>
      </c>
      <c r="M650">
        <v>0</v>
      </c>
      <c r="N650">
        <v>2</v>
      </c>
      <c r="O650">
        <v>0</v>
      </c>
      <c r="P650">
        <v>1</v>
      </c>
      <c r="Q650">
        <v>0</v>
      </c>
      <c r="S650" t="str">
        <f t="shared" si="232"/>
        <v>19:27:24.000</v>
      </c>
      <c r="T650" t="str">
        <f t="shared" si="232"/>
        <v>19:27:24.000</v>
      </c>
      <c r="U650" t="str">
        <f t="shared" si="230"/>
        <v>AC3944</v>
      </c>
      <c r="V650">
        <v>0</v>
      </c>
      <c r="W650">
        <v>0</v>
      </c>
      <c r="X650">
        <v>2</v>
      </c>
      <c r="Y650">
        <v>0</v>
      </c>
      <c r="AA650">
        <v>1</v>
      </c>
      <c r="AB650">
        <v>8</v>
      </c>
      <c r="AC650">
        <v>3</v>
      </c>
      <c r="AD650">
        <v>0</v>
      </c>
      <c r="AE650">
        <v>9</v>
      </c>
      <c r="AF650" t="s">
        <v>138</v>
      </c>
      <c r="AG650">
        <v>0</v>
      </c>
      <c r="AH650">
        <v>3</v>
      </c>
      <c r="AI650">
        <v>1</v>
      </c>
      <c r="AJ650">
        <v>0</v>
      </c>
      <c r="AK650" t="s">
        <v>320</v>
      </c>
      <c r="AL650">
        <v>32.817321</v>
      </c>
      <c r="AM650" t="s">
        <v>325</v>
      </c>
      <c r="AN650">
        <v>-116.96534200000001</v>
      </c>
      <c r="AO650">
        <v>25</v>
      </c>
      <c r="AP650">
        <v>1800</v>
      </c>
      <c r="AQ650" t="s">
        <v>129</v>
      </c>
      <c r="AR650">
        <v>126</v>
      </c>
      <c r="AS650">
        <v>1</v>
      </c>
      <c r="AT650">
        <v>320</v>
      </c>
      <c r="BB650">
        <v>1200</v>
      </c>
      <c r="BC650">
        <v>1</v>
      </c>
      <c r="BD650" t="str">
        <f t="shared" si="231"/>
        <v xml:space="preserve">N887QR  </v>
      </c>
      <c r="BE650">
        <v>1</v>
      </c>
      <c r="BG650">
        <v>0</v>
      </c>
      <c r="BH650">
        <v>0</v>
      </c>
      <c r="BI650">
        <v>0</v>
      </c>
      <c r="BJ650">
        <v>1525</v>
      </c>
      <c r="BK650">
        <v>-275</v>
      </c>
      <c r="BL650" t="s">
        <v>163</v>
      </c>
      <c r="BM650">
        <v>1</v>
      </c>
      <c r="BN650">
        <v>1</v>
      </c>
      <c r="BO650">
        <v>1</v>
      </c>
      <c r="BP650">
        <v>0</v>
      </c>
      <c r="BS650">
        <v>0</v>
      </c>
      <c r="BT650">
        <v>0</v>
      </c>
      <c r="BU650">
        <v>0</v>
      </c>
      <c r="CE650" t="str">
        <f t="shared" si="233"/>
        <v>19:27:24.108</v>
      </c>
      <c r="CF650">
        <v>107540918</v>
      </c>
      <c r="CS650">
        <v>3</v>
      </c>
      <c r="CT650">
        <v>2</v>
      </c>
      <c r="CU650">
        <v>0</v>
      </c>
      <c r="CV650">
        <v>2</v>
      </c>
      <c r="CW650">
        <v>0</v>
      </c>
      <c r="CX650">
        <v>6</v>
      </c>
      <c r="CY650">
        <v>7</v>
      </c>
      <c r="CZ650" t="s">
        <v>131</v>
      </c>
      <c r="DA650">
        <v>300</v>
      </c>
      <c r="DB650">
        <v>0</v>
      </c>
      <c r="DC650" t="s">
        <v>176</v>
      </c>
      <c r="DD650" t="s">
        <v>177</v>
      </c>
      <c r="DG650">
        <v>5368035</v>
      </c>
      <c r="DI650">
        <v>1</v>
      </c>
      <c r="DJ650">
        <v>0</v>
      </c>
      <c r="DK650">
        <v>1</v>
      </c>
      <c r="DL650">
        <v>0</v>
      </c>
      <c r="DM650">
        <v>0</v>
      </c>
      <c r="DN650">
        <v>1</v>
      </c>
      <c r="DO650">
        <v>0</v>
      </c>
      <c r="DP650">
        <v>0</v>
      </c>
      <c r="DQ650">
        <v>0</v>
      </c>
      <c r="DR650">
        <v>0</v>
      </c>
      <c r="DS650">
        <v>0</v>
      </c>
    </row>
    <row r="651" spans="1:123" x14ac:dyDescent="0.3">
      <c r="A651" t="str">
        <f>"10/04/2022 19:27:24.368"</f>
        <v>10/04/2022 19:27:24.368</v>
      </c>
      <c r="C651" t="str">
        <f t="shared" si="224"/>
        <v>FFDFD3C0</v>
      </c>
      <c r="D651" t="s">
        <v>141</v>
      </c>
      <c r="E651">
        <v>4</v>
      </c>
      <c r="H651">
        <v>4</v>
      </c>
      <c r="I651" t="s">
        <v>142</v>
      </c>
      <c r="J651" t="s">
        <v>138</v>
      </c>
      <c r="K651">
        <v>0</v>
      </c>
      <c r="L651">
        <v>3</v>
      </c>
      <c r="M651">
        <v>0</v>
      </c>
      <c r="N651">
        <v>2</v>
      </c>
      <c r="O651">
        <v>0</v>
      </c>
      <c r="P651">
        <v>1</v>
      </c>
      <c r="Q651">
        <v>0</v>
      </c>
      <c r="S651" t="str">
        <f t="shared" si="232"/>
        <v>19:27:24.000</v>
      </c>
      <c r="T651" t="str">
        <f t="shared" si="232"/>
        <v>19:27:24.000</v>
      </c>
      <c r="U651" t="str">
        <f t="shared" si="230"/>
        <v>AC3944</v>
      </c>
      <c r="V651">
        <v>0</v>
      </c>
      <c r="W651">
        <v>0</v>
      </c>
      <c r="X651">
        <v>2</v>
      </c>
      <c r="Y651">
        <v>0</v>
      </c>
      <c r="AA651">
        <v>1</v>
      </c>
      <c r="AB651">
        <v>8</v>
      </c>
      <c r="AC651">
        <v>3</v>
      </c>
      <c r="AD651">
        <v>0</v>
      </c>
      <c r="AE651">
        <v>9</v>
      </c>
      <c r="AF651" t="s">
        <v>138</v>
      </c>
      <c r="AG651">
        <v>0</v>
      </c>
      <c r="AH651">
        <v>3</v>
      </c>
      <c r="AI651">
        <v>1</v>
      </c>
      <c r="AJ651">
        <v>0</v>
      </c>
      <c r="AK651" t="s">
        <v>320</v>
      </c>
      <c r="AL651">
        <v>32.817321</v>
      </c>
      <c r="AM651" t="s">
        <v>325</v>
      </c>
      <c r="AN651">
        <v>-116.96534200000001</v>
      </c>
      <c r="AO651">
        <v>25</v>
      </c>
      <c r="AP651">
        <v>1800</v>
      </c>
      <c r="AQ651" t="s">
        <v>129</v>
      </c>
      <c r="AR651">
        <v>126</v>
      </c>
      <c r="AS651">
        <v>1</v>
      </c>
      <c r="AT651">
        <v>320</v>
      </c>
      <c r="BB651">
        <v>1200</v>
      </c>
      <c r="BC651">
        <v>1</v>
      </c>
      <c r="BD651" t="str">
        <f t="shared" si="231"/>
        <v xml:space="preserve">N887QR  </v>
      </c>
      <c r="BE651">
        <v>1</v>
      </c>
      <c r="BG651">
        <v>0</v>
      </c>
      <c r="BH651">
        <v>0</v>
      </c>
      <c r="BI651">
        <v>0</v>
      </c>
      <c r="BJ651">
        <v>1525</v>
      </c>
      <c r="BK651">
        <v>-275</v>
      </c>
      <c r="BL651" t="s">
        <v>163</v>
      </c>
      <c r="BM651">
        <v>1</v>
      </c>
      <c r="BN651">
        <v>1</v>
      </c>
      <c r="BO651">
        <v>1</v>
      </c>
      <c r="BP651">
        <v>0</v>
      </c>
      <c r="BS651">
        <v>0</v>
      </c>
      <c r="BT651">
        <v>0</v>
      </c>
      <c r="BU651">
        <v>0</v>
      </c>
      <c r="CE651" t="str">
        <f t="shared" si="233"/>
        <v>19:27:24.108</v>
      </c>
      <c r="CF651">
        <v>107540918</v>
      </c>
      <c r="CS651">
        <v>3</v>
      </c>
      <c r="CT651">
        <v>2</v>
      </c>
      <c r="CU651">
        <v>0</v>
      </c>
      <c r="CV651">
        <v>2</v>
      </c>
      <c r="CW651">
        <v>0</v>
      </c>
      <c r="CX651">
        <v>6</v>
      </c>
      <c r="CY651">
        <v>7</v>
      </c>
      <c r="CZ651" t="s">
        <v>131</v>
      </c>
      <c r="DA651">
        <v>300</v>
      </c>
      <c r="DB651">
        <v>0</v>
      </c>
      <c r="DC651" t="s">
        <v>176</v>
      </c>
      <c r="DD651" t="s">
        <v>177</v>
      </c>
      <c r="DG651">
        <v>5368035</v>
      </c>
      <c r="DI651">
        <v>1</v>
      </c>
      <c r="DJ651">
        <v>0</v>
      </c>
      <c r="DK651">
        <v>1</v>
      </c>
      <c r="DL651">
        <v>0</v>
      </c>
      <c r="DM651">
        <v>0</v>
      </c>
      <c r="DN651">
        <v>1</v>
      </c>
      <c r="DO651">
        <v>0</v>
      </c>
      <c r="DP651">
        <v>0</v>
      </c>
      <c r="DQ651">
        <v>0</v>
      </c>
      <c r="DR651">
        <v>0</v>
      </c>
      <c r="DS651">
        <v>0</v>
      </c>
    </row>
    <row r="652" spans="1:123" x14ac:dyDescent="0.3">
      <c r="A652" t="str">
        <f>"10/04/2022 19:27:24.368"</f>
        <v>10/04/2022 19:27:24.368</v>
      </c>
      <c r="C652" t="str">
        <f t="shared" si="224"/>
        <v>FFDFD3C0</v>
      </c>
      <c r="D652" t="s">
        <v>134</v>
      </c>
      <c r="E652">
        <v>15</v>
      </c>
      <c r="J652" t="s">
        <v>135</v>
      </c>
      <c r="K652">
        <v>0</v>
      </c>
      <c r="L652">
        <v>3</v>
      </c>
      <c r="M652">
        <v>0</v>
      </c>
      <c r="N652">
        <v>2</v>
      </c>
      <c r="O652">
        <v>0</v>
      </c>
      <c r="P652">
        <v>1</v>
      </c>
      <c r="Q652">
        <v>0</v>
      </c>
      <c r="S652" t="str">
        <f t="shared" si="232"/>
        <v>19:27:24.000</v>
      </c>
      <c r="T652" t="str">
        <f t="shared" si="232"/>
        <v>19:27:24.000</v>
      </c>
      <c r="U652" t="str">
        <f t="shared" si="230"/>
        <v>AC3944</v>
      </c>
      <c r="V652">
        <v>0</v>
      </c>
      <c r="W652">
        <v>0</v>
      </c>
      <c r="X652">
        <v>2</v>
      </c>
      <c r="Y652">
        <v>0</v>
      </c>
      <c r="AA652">
        <v>1</v>
      </c>
      <c r="AB652">
        <v>8</v>
      </c>
      <c r="AC652">
        <v>3</v>
      </c>
      <c r="AD652">
        <v>0</v>
      </c>
      <c r="AE652">
        <v>9</v>
      </c>
      <c r="AF652" t="s">
        <v>138</v>
      </c>
      <c r="AG652">
        <v>0</v>
      </c>
      <c r="AH652">
        <v>3</v>
      </c>
      <c r="AI652">
        <v>1</v>
      </c>
      <c r="AJ652">
        <v>0</v>
      </c>
      <c r="AK652" t="s">
        <v>320</v>
      </c>
      <c r="AL652">
        <v>32.817321</v>
      </c>
      <c r="AM652" t="s">
        <v>325</v>
      </c>
      <c r="AN652">
        <v>-116.96534200000001</v>
      </c>
      <c r="AO652">
        <v>25</v>
      </c>
      <c r="AP652">
        <v>1800</v>
      </c>
      <c r="AQ652" t="s">
        <v>129</v>
      </c>
      <c r="AR652">
        <v>126</v>
      </c>
      <c r="AS652">
        <v>1</v>
      </c>
      <c r="AT652">
        <v>320</v>
      </c>
      <c r="BB652">
        <v>1200</v>
      </c>
      <c r="BC652">
        <v>1</v>
      </c>
      <c r="BD652" t="str">
        <f t="shared" si="231"/>
        <v xml:space="preserve">N887QR  </v>
      </c>
      <c r="BE652">
        <v>1</v>
      </c>
      <c r="BG652">
        <v>0</v>
      </c>
      <c r="BH652">
        <v>0</v>
      </c>
      <c r="BI652">
        <v>0</v>
      </c>
      <c r="BJ652">
        <v>1525</v>
      </c>
      <c r="BK652">
        <v>-275</v>
      </c>
      <c r="BL652" t="s">
        <v>163</v>
      </c>
      <c r="BM652">
        <v>1</v>
      </c>
      <c r="BN652">
        <v>1</v>
      </c>
      <c r="BO652">
        <v>1</v>
      </c>
      <c r="BP652">
        <v>0</v>
      </c>
      <c r="BS652">
        <v>0</v>
      </c>
      <c r="BT652">
        <v>0</v>
      </c>
      <c r="BU652">
        <v>0</v>
      </c>
      <c r="CE652" t="str">
        <f t="shared" si="233"/>
        <v>19:27:24.108</v>
      </c>
      <c r="CF652">
        <v>107540918</v>
      </c>
      <c r="CS652">
        <v>3</v>
      </c>
      <c r="CT652">
        <v>2</v>
      </c>
      <c r="CU652">
        <v>0</v>
      </c>
      <c r="CV652">
        <v>2</v>
      </c>
      <c r="CW652">
        <v>0</v>
      </c>
      <c r="CX652">
        <v>6</v>
      </c>
      <c r="CY652">
        <v>7</v>
      </c>
      <c r="CZ652" t="s">
        <v>131</v>
      </c>
      <c r="DA652">
        <v>300</v>
      </c>
      <c r="DB652">
        <v>0</v>
      </c>
      <c r="DC652" t="s">
        <v>176</v>
      </c>
      <c r="DD652" t="s">
        <v>177</v>
      </c>
      <c r="DG652">
        <v>5368035</v>
      </c>
      <c r="DI652">
        <v>1</v>
      </c>
      <c r="DJ652">
        <v>0</v>
      </c>
      <c r="DK652">
        <v>1</v>
      </c>
      <c r="DL652">
        <v>0</v>
      </c>
      <c r="DM652">
        <v>0</v>
      </c>
      <c r="DN652">
        <v>1</v>
      </c>
      <c r="DO652">
        <v>0</v>
      </c>
      <c r="DP652">
        <v>0</v>
      </c>
      <c r="DQ652">
        <v>0</v>
      </c>
      <c r="DR652">
        <v>0</v>
      </c>
      <c r="DS652">
        <v>0</v>
      </c>
    </row>
    <row r="653" spans="1:123" x14ac:dyDescent="0.3">
      <c r="A653" t="str">
        <f>"10/04/2022 19:27:24.368"</f>
        <v>10/04/2022 19:27:24.368</v>
      </c>
      <c r="C653" t="str">
        <f t="shared" si="224"/>
        <v>FFDFD3C0</v>
      </c>
      <c r="D653" t="s">
        <v>143</v>
      </c>
      <c r="E653">
        <v>20</v>
      </c>
      <c r="F653">
        <v>1020</v>
      </c>
      <c r="G653" t="s">
        <v>144</v>
      </c>
      <c r="J653" t="s">
        <v>145</v>
      </c>
      <c r="K653">
        <v>0</v>
      </c>
      <c r="L653">
        <v>3</v>
      </c>
      <c r="M653">
        <v>0</v>
      </c>
      <c r="N653">
        <v>2</v>
      </c>
      <c r="O653">
        <v>0</v>
      </c>
      <c r="P653">
        <v>1</v>
      </c>
      <c r="Q653">
        <v>0</v>
      </c>
      <c r="S653" t="str">
        <f t="shared" si="232"/>
        <v>19:27:24.000</v>
      </c>
      <c r="T653" t="str">
        <f t="shared" si="232"/>
        <v>19:27:24.000</v>
      </c>
      <c r="U653" t="str">
        <f t="shared" si="230"/>
        <v>AC3944</v>
      </c>
      <c r="V653">
        <v>0</v>
      </c>
      <c r="W653">
        <v>0</v>
      </c>
      <c r="X653">
        <v>2</v>
      </c>
      <c r="Y653">
        <v>0</v>
      </c>
      <c r="AA653">
        <v>1</v>
      </c>
      <c r="AB653">
        <v>8</v>
      </c>
      <c r="AC653">
        <v>3</v>
      </c>
      <c r="AD653">
        <v>0</v>
      </c>
      <c r="AE653">
        <v>9</v>
      </c>
      <c r="AF653" t="s">
        <v>138</v>
      </c>
      <c r="AG653">
        <v>0</v>
      </c>
      <c r="AH653">
        <v>3</v>
      </c>
      <c r="AI653">
        <v>1</v>
      </c>
      <c r="AJ653">
        <v>0</v>
      </c>
      <c r="AK653" t="s">
        <v>320</v>
      </c>
      <c r="AL653">
        <v>32.817321</v>
      </c>
      <c r="AM653" t="s">
        <v>325</v>
      </c>
      <c r="AN653">
        <v>-116.96534200000001</v>
      </c>
      <c r="AO653">
        <v>25</v>
      </c>
      <c r="AP653">
        <v>1800</v>
      </c>
      <c r="AQ653" t="s">
        <v>129</v>
      </c>
      <c r="AR653">
        <v>126</v>
      </c>
      <c r="AS653">
        <v>1</v>
      </c>
      <c r="AT653">
        <v>320</v>
      </c>
      <c r="BB653">
        <v>1200</v>
      </c>
      <c r="BC653">
        <v>1</v>
      </c>
      <c r="BD653" t="str">
        <f t="shared" si="231"/>
        <v xml:space="preserve">N887QR  </v>
      </c>
      <c r="BE653">
        <v>1</v>
      </c>
      <c r="BG653">
        <v>0</v>
      </c>
      <c r="BH653">
        <v>0</v>
      </c>
      <c r="BI653">
        <v>0</v>
      </c>
      <c r="BJ653">
        <v>1525</v>
      </c>
      <c r="BK653">
        <v>-275</v>
      </c>
      <c r="BL653" t="s">
        <v>163</v>
      </c>
      <c r="BM653">
        <v>1</v>
      </c>
      <c r="BN653">
        <v>1</v>
      </c>
      <c r="BO653">
        <v>1</v>
      </c>
      <c r="BP653">
        <v>0</v>
      </c>
      <c r="BS653">
        <v>0</v>
      </c>
      <c r="BT653">
        <v>0</v>
      </c>
      <c r="BU653">
        <v>0</v>
      </c>
      <c r="CE653" t="str">
        <f t="shared" si="233"/>
        <v>19:27:24.108</v>
      </c>
      <c r="CF653">
        <v>107540918</v>
      </c>
      <c r="CS653">
        <v>3</v>
      </c>
      <c r="CT653">
        <v>2</v>
      </c>
      <c r="CU653">
        <v>0</v>
      </c>
      <c r="CV653">
        <v>2</v>
      </c>
      <c r="CW653">
        <v>0</v>
      </c>
      <c r="CX653">
        <v>6</v>
      </c>
      <c r="CY653">
        <v>7</v>
      </c>
      <c r="CZ653" t="s">
        <v>131</v>
      </c>
      <c r="DA653">
        <v>300</v>
      </c>
      <c r="DB653">
        <v>0</v>
      </c>
      <c r="DC653" t="s">
        <v>176</v>
      </c>
      <c r="DD653" t="s">
        <v>177</v>
      </c>
      <c r="DG653">
        <v>5368035</v>
      </c>
      <c r="DI653">
        <v>1</v>
      </c>
      <c r="DJ653">
        <v>0</v>
      </c>
      <c r="DK653">
        <v>1</v>
      </c>
      <c r="DL653">
        <v>0</v>
      </c>
      <c r="DM653">
        <v>0</v>
      </c>
      <c r="DN653">
        <v>1</v>
      </c>
      <c r="DO653">
        <v>0</v>
      </c>
      <c r="DP653">
        <v>0</v>
      </c>
      <c r="DQ653">
        <v>0</v>
      </c>
      <c r="DR653">
        <v>0</v>
      </c>
      <c r="DS653">
        <v>0</v>
      </c>
    </row>
    <row r="654" spans="1:123" x14ac:dyDescent="0.3">
      <c r="A654" t="str">
        <f>"10/04/2022 19:27:26.509"</f>
        <v>10/04/2022 19:27:26.509</v>
      </c>
      <c r="C654" t="str">
        <f t="shared" si="224"/>
        <v>FFDFD3C0</v>
      </c>
      <c r="D654" t="s">
        <v>147</v>
      </c>
      <c r="E654">
        <v>3</v>
      </c>
      <c r="H654">
        <v>166</v>
      </c>
      <c r="I654" t="s">
        <v>144</v>
      </c>
      <c r="J654" t="s">
        <v>148</v>
      </c>
      <c r="K654">
        <v>0</v>
      </c>
      <c r="L654">
        <v>3</v>
      </c>
      <c r="M654">
        <v>0</v>
      </c>
      <c r="N654">
        <v>2</v>
      </c>
      <c r="O654">
        <v>0</v>
      </c>
      <c r="P654">
        <v>1</v>
      </c>
      <c r="Q654">
        <v>0</v>
      </c>
      <c r="S654" t="str">
        <f t="shared" ref="S654:T660" si="234">"19:27:26.000"</f>
        <v>19:27:26.000</v>
      </c>
      <c r="T654" t="str">
        <f t="shared" si="234"/>
        <v>19:27:26.000</v>
      </c>
      <c r="U654" t="str">
        <f t="shared" si="230"/>
        <v>AC3944</v>
      </c>
      <c r="V654">
        <v>0</v>
      </c>
      <c r="W654">
        <v>0</v>
      </c>
      <c r="X654">
        <v>2</v>
      </c>
      <c r="Y654">
        <v>0</v>
      </c>
      <c r="AA654">
        <v>1</v>
      </c>
      <c r="AB654">
        <v>8</v>
      </c>
      <c r="AC654">
        <v>3</v>
      </c>
      <c r="AD654">
        <v>0</v>
      </c>
      <c r="AE654">
        <v>9</v>
      </c>
      <c r="AF654" t="s">
        <v>138</v>
      </c>
      <c r="AG654">
        <v>0</v>
      </c>
      <c r="AH654">
        <v>3</v>
      </c>
      <c r="AI654">
        <v>1</v>
      </c>
      <c r="AJ654">
        <v>0</v>
      </c>
      <c r="AK654" t="s">
        <v>320</v>
      </c>
      <c r="AL654">
        <v>32.817321</v>
      </c>
      <c r="AM654" t="s">
        <v>326</v>
      </c>
      <c r="AN654">
        <v>-116.963818</v>
      </c>
      <c r="AO654">
        <v>25</v>
      </c>
      <c r="AP654">
        <v>1800</v>
      </c>
      <c r="AQ654" t="s">
        <v>129</v>
      </c>
      <c r="AR654">
        <v>127</v>
      </c>
      <c r="AS654">
        <v>0</v>
      </c>
      <c r="AT654">
        <v>0</v>
      </c>
      <c r="BB654">
        <v>1200</v>
      </c>
      <c r="BC654">
        <v>1</v>
      </c>
      <c r="BD654" t="str">
        <f t="shared" si="231"/>
        <v xml:space="preserve">N887QR  </v>
      </c>
      <c r="BE654">
        <v>1</v>
      </c>
      <c r="BG654">
        <v>0</v>
      </c>
      <c r="BH654">
        <v>0</v>
      </c>
      <c r="BI654">
        <v>0</v>
      </c>
      <c r="BJ654">
        <v>1525</v>
      </c>
      <c r="BK654">
        <v>-275</v>
      </c>
      <c r="BL654" t="s">
        <v>163</v>
      </c>
      <c r="BM654">
        <v>1</v>
      </c>
      <c r="BN654">
        <v>1</v>
      </c>
      <c r="BO654">
        <v>1</v>
      </c>
      <c r="BP654">
        <v>0</v>
      </c>
      <c r="BS654">
        <v>0</v>
      </c>
      <c r="BT654">
        <v>0</v>
      </c>
      <c r="BU654">
        <v>0</v>
      </c>
      <c r="CE654" t="str">
        <f t="shared" ref="CE654:CE660" si="235">"19:27:26.322"</f>
        <v>19:27:26.322</v>
      </c>
      <c r="CF654">
        <v>321797940</v>
      </c>
      <c r="CS654">
        <v>3</v>
      </c>
      <c r="CT654">
        <v>2</v>
      </c>
      <c r="CU654">
        <v>0</v>
      </c>
      <c r="CV654">
        <v>2</v>
      </c>
      <c r="CW654">
        <v>0</v>
      </c>
      <c r="CX654">
        <v>6</v>
      </c>
      <c r="CY654">
        <v>7</v>
      </c>
      <c r="CZ654" t="s">
        <v>131</v>
      </c>
      <c r="DA654">
        <v>300</v>
      </c>
      <c r="DB654">
        <v>0</v>
      </c>
      <c r="DC654" t="s">
        <v>176</v>
      </c>
      <c r="DD654" t="s">
        <v>177</v>
      </c>
      <c r="DG654">
        <v>5368375</v>
      </c>
      <c r="DI654">
        <v>1</v>
      </c>
      <c r="DJ654">
        <v>0</v>
      </c>
      <c r="DK654">
        <v>0</v>
      </c>
      <c r="DL654">
        <v>0</v>
      </c>
      <c r="DM654">
        <v>0</v>
      </c>
      <c r="DN654">
        <v>1</v>
      </c>
      <c r="DO654">
        <v>0</v>
      </c>
      <c r="DP654">
        <v>0</v>
      </c>
      <c r="DQ654">
        <v>0</v>
      </c>
      <c r="DR654">
        <v>0</v>
      </c>
      <c r="DS654">
        <v>0</v>
      </c>
    </row>
    <row r="655" spans="1:123" x14ac:dyDescent="0.3">
      <c r="A655" t="str">
        <f>"10/04/2022 19:27:26.509"</f>
        <v>10/04/2022 19:27:26.509</v>
      </c>
      <c r="C655" t="str">
        <f t="shared" si="224"/>
        <v>FFDFD3C0</v>
      </c>
      <c r="D655" t="s">
        <v>141</v>
      </c>
      <c r="E655">
        <v>3</v>
      </c>
      <c r="H655">
        <v>3</v>
      </c>
      <c r="I655" t="s">
        <v>146</v>
      </c>
      <c r="J655" t="s">
        <v>138</v>
      </c>
      <c r="K655">
        <v>0</v>
      </c>
      <c r="L655">
        <v>3</v>
      </c>
      <c r="M655">
        <v>0</v>
      </c>
      <c r="N655">
        <v>2</v>
      </c>
      <c r="O655">
        <v>0</v>
      </c>
      <c r="P655">
        <v>1</v>
      </c>
      <c r="Q655">
        <v>0</v>
      </c>
      <c r="S655" t="str">
        <f t="shared" si="234"/>
        <v>19:27:26.000</v>
      </c>
      <c r="T655" t="str">
        <f t="shared" si="234"/>
        <v>19:27:26.000</v>
      </c>
      <c r="U655" t="str">
        <f t="shared" si="230"/>
        <v>AC3944</v>
      </c>
      <c r="V655">
        <v>0</v>
      </c>
      <c r="W655">
        <v>0</v>
      </c>
      <c r="X655">
        <v>2</v>
      </c>
      <c r="Y655">
        <v>0</v>
      </c>
      <c r="AA655">
        <v>1</v>
      </c>
      <c r="AB655">
        <v>8</v>
      </c>
      <c r="AC655">
        <v>3</v>
      </c>
      <c r="AD655">
        <v>0</v>
      </c>
      <c r="AE655">
        <v>9</v>
      </c>
      <c r="AF655" t="s">
        <v>138</v>
      </c>
      <c r="AG655">
        <v>0</v>
      </c>
      <c r="AH655">
        <v>3</v>
      </c>
      <c r="AI655">
        <v>1</v>
      </c>
      <c r="AJ655">
        <v>0</v>
      </c>
      <c r="AK655" t="s">
        <v>320</v>
      </c>
      <c r="AL655">
        <v>32.817321</v>
      </c>
      <c r="AM655" t="s">
        <v>326</v>
      </c>
      <c r="AN655">
        <v>-116.963818</v>
      </c>
      <c r="AO655">
        <v>25</v>
      </c>
      <c r="AP655">
        <v>1800</v>
      </c>
      <c r="AQ655" t="s">
        <v>129</v>
      </c>
      <c r="AR655">
        <v>127</v>
      </c>
      <c r="AS655">
        <v>0</v>
      </c>
      <c r="AT655">
        <v>0</v>
      </c>
      <c r="BB655">
        <v>1200</v>
      </c>
      <c r="BC655">
        <v>1</v>
      </c>
      <c r="BD655" t="str">
        <f t="shared" si="231"/>
        <v xml:space="preserve">N887QR  </v>
      </c>
      <c r="BE655">
        <v>1</v>
      </c>
      <c r="BG655">
        <v>0</v>
      </c>
      <c r="BH655">
        <v>0</v>
      </c>
      <c r="BI655">
        <v>0</v>
      </c>
      <c r="BJ655">
        <v>1525</v>
      </c>
      <c r="BK655">
        <v>-275</v>
      </c>
      <c r="BL655" t="s">
        <v>163</v>
      </c>
      <c r="BM655">
        <v>1</v>
      </c>
      <c r="BN655">
        <v>1</v>
      </c>
      <c r="BO655">
        <v>1</v>
      </c>
      <c r="BP655">
        <v>0</v>
      </c>
      <c r="BS655">
        <v>0</v>
      </c>
      <c r="BT655">
        <v>0</v>
      </c>
      <c r="BU655">
        <v>0</v>
      </c>
      <c r="CE655" t="str">
        <f t="shared" si="235"/>
        <v>19:27:26.322</v>
      </c>
      <c r="CF655">
        <v>321797940</v>
      </c>
      <c r="CS655">
        <v>3</v>
      </c>
      <c r="CT655">
        <v>2</v>
      </c>
      <c r="CU655">
        <v>0</v>
      </c>
      <c r="CV655">
        <v>2</v>
      </c>
      <c r="CW655">
        <v>0</v>
      </c>
      <c r="CX655">
        <v>6</v>
      </c>
      <c r="CY655">
        <v>7</v>
      </c>
      <c r="CZ655" t="s">
        <v>131</v>
      </c>
      <c r="DA655">
        <v>300</v>
      </c>
      <c r="DB655">
        <v>0</v>
      </c>
      <c r="DC655" t="s">
        <v>176</v>
      </c>
      <c r="DD655" t="s">
        <v>177</v>
      </c>
      <c r="DG655">
        <v>5368375</v>
      </c>
      <c r="DI655">
        <v>1</v>
      </c>
      <c r="DJ655">
        <v>0</v>
      </c>
      <c r="DK655">
        <v>1</v>
      </c>
      <c r="DL655">
        <v>0</v>
      </c>
      <c r="DM655">
        <v>0</v>
      </c>
      <c r="DN655">
        <v>1</v>
      </c>
      <c r="DO655">
        <v>0</v>
      </c>
      <c r="DP655">
        <v>0</v>
      </c>
      <c r="DQ655">
        <v>0</v>
      </c>
      <c r="DR655">
        <v>0</v>
      </c>
      <c r="DS655">
        <v>0</v>
      </c>
    </row>
    <row r="656" spans="1:123" x14ac:dyDescent="0.3">
      <c r="A656" t="str">
        <f>"10/04/2022 19:27:26.509"</f>
        <v>10/04/2022 19:27:26.509</v>
      </c>
      <c r="C656" t="str">
        <f t="shared" si="224"/>
        <v>FFDFD3C0</v>
      </c>
      <c r="D656" t="s">
        <v>141</v>
      </c>
      <c r="E656">
        <v>4</v>
      </c>
      <c r="H656">
        <v>4</v>
      </c>
      <c r="I656" t="s">
        <v>142</v>
      </c>
      <c r="J656" t="s">
        <v>138</v>
      </c>
      <c r="K656">
        <v>0</v>
      </c>
      <c r="L656">
        <v>3</v>
      </c>
      <c r="M656">
        <v>0</v>
      </c>
      <c r="N656">
        <v>2</v>
      </c>
      <c r="O656">
        <v>0</v>
      </c>
      <c r="P656">
        <v>1</v>
      </c>
      <c r="Q656">
        <v>0</v>
      </c>
      <c r="S656" t="str">
        <f t="shared" si="234"/>
        <v>19:27:26.000</v>
      </c>
      <c r="T656" t="str">
        <f t="shared" si="234"/>
        <v>19:27:26.000</v>
      </c>
      <c r="U656" t="str">
        <f t="shared" si="230"/>
        <v>AC3944</v>
      </c>
      <c r="V656">
        <v>0</v>
      </c>
      <c r="W656">
        <v>0</v>
      </c>
      <c r="X656">
        <v>2</v>
      </c>
      <c r="Y656">
        <v>0</v>
      </c>
      <c r="AA656">
        <v>1</v>
      </c>
      <c r="AB656">
        <v>8</v>
      </c>
      <c r="AC656">
        <v>3</v>
      </c>
      <c r="AD656">
        <v>0</v>
      </c>
      <c r="AE656">
        <v>9</v>
      </c>
      <c r="AF656" t="s">
        <v>138</v>
      </c>
      <c r="AG656">
        <v>0</v>
      </c>
      <c r="AH656">
        <v>3</v>
      </c>
      <c r="AI656">
        <v>1</v>
      </c>
      <c r="AJ656">
        <v>0</v>
      </c>
      <c r="AK656" t="s">
        <v>320</v>
      </c>
      <c r="AL656">
        <v>32.817321</v>
      </c>
      <c r="AM656" t="s">
        <v>326</v>
      </c>
      <c r="AN656">
        <v>-116.963818</v>
      </c>
      <c r="AO656">
        <v>25</v>
      </c>
      <c r="AP656">
        <v>1800</v>
      </c>
      <c r="AQ656" t="s">
        <v>129</v>
      </c>
      <c r="AR656">
        <v>127</v>
      </c>
      <c r="AS656">
        <v>0</v>
      </c>
      <c r="AT656">
        <v>0</v>
      </c>
      <c r="BB656">
        <v>1200</v>
      </c>
      <c r="BC656">
        <v>1</v>
      </c>
      <c r="BD656" t="str">
        <f t="shared" si="231"/>
        <v xml:space="preserve">N887QR  </v>
      </c>
      <c r="BE656">
        <v>1</v>
      </c>
      <c r="BG656">
        <v>0</v>
      </c>
      <c r="BH656">
        <v>0</v>
      </c>
      <c r="BI656">
        <v>0</v>
      </c>
      <c r="BJ656">
        <v>1525</v>
      </c>
      <c r="BK656">
        <v>-275</v>
      </c>
      <c r="BL656" t="s">
        <v>163</v>
      </c>
      <c r="BM656">
        <v>1</v>
      </c>
      <c r="BN656">
        <v>1</v>
      </c>
      <c r="BO656">
        <v>1</v>
      </c>
      <c r="BP656">
        <v>0</v>
      </c>
      <c r="BS656">
        <v>0</v>
      </c>
      <c r="BT656">
        <v>0</v>
      </c>
      <c r="BU656">
        <v>0</v>
      </c>
      <c r="CE656" t="str">
        <f t="shared" si="235"/>
        <v>19:27:26.322</v>
      </c>
      <c r="CF656">
        <v>321797940</v>
      </c>
      <c r="CS656">
        <v>3</v>
      </c>
      <c r="CT656">
        <v>2</v>
      </c>
      <c r="CU656">
        <v>0</v>
      </c>
      <c r="CV656">
        <v>2</v>
      </c>
      <c r="CW656">
        <v>0</v>
      </c>
      <c r="CX656">
        <v>6</v>
      </c>
      <c r="CY656">
        <v>7</v>
      </c>
      <c r="CZ656" t="s">
        <v>131</v>
      </c>
      <c r="DA656">
        <v>300</v>
      </c>
      <c r="DB656">
        <v>0</v>
      </c>
      <c r="DC656" t="s">
        <v>176</v>
      </c>
      <c r="DD656" t="s">
        <v>177</v>
      </c>
      <c r="DG656">
        <v>5368375</v>
      </c>
      <c r="DI656">
        <v>1</v>
      </c>
      <c r="DJ656">
        <v>0</v>
      </c>
      <c r="DK656">
        <v>1</v>
      </c>
      <c r="DL656">
        <v>0</v>
      </c>
      <c r="DM656">
        <v>0</v>
      </c>
      <c r="DN656">
        <v>1</v>
      </c>
      <c r="DO656">
        <v>0</v>
      </c>
      <c r="DP656">
        <v>0</v>
      </c>
      <c r="DQ656">
        <v>0</v>
      </c>
      <c r="DR656">
        <v>0</v>
      </c>
      <c r="DS656">
        <v>0</v>
      </c>
    </row>
    <row r="657" spans="1:123" x14ac:dyDescent="0.3">
      <c r="A657" t="str">
        <f>"10/04/2022 19:27:26.509"</f>
        <v>10/04/2022 19:27:26.509</v>
      </c>
      <c r="C657" t="str">
        <f t="shared" si="224"/>
        <v>FFDFD3C0</v>
      </c>
      <c r="D657" t="s">
        <v>134</v>
      </c>
      <c r="E657">
        <v>15</v>
      </c>
      <c r="J657" t="s">
        <v>135</v>
      </c>
      <c r="K657">
        <v>0</v>
      </c>
      <c r="L657">
        <v>3</v>
      </c>
      <c r="M657">
        <v>0</v>
      </c>
      <c r="N657">
        <v>2</v>
      </c>
      <c r="O657">
        <v>0</v>
      </c>
      <c r="P657">
        <v>1</v>
      </c>
      <c r="Q657">
        <v>0</v>
      </c>
      <c r="S657" t="str">
        <f t="shared" si="234"/>
        <v>19:27:26.000</v>
      </c>
      <c r="T657" t="str">
        <f t="shared" si="234"/>
        <v>19:27:26.000</v>
      </c>
      <c r="U657" t="str">
        <f t="shared" si="230"/>
        <v>AC3944</v>
      </c>
      <c r="V657">
        <v>0</v>
      </c>
      <c r="W657">
        <v>0</v>
      </c>
      <c r="X657">
        <v>2</v>
      </c>
      <c r="Y657">
        <v>0</v>
      </c>
      <c r="AA657">
        <v>1</v>
      </c>
      <c r="AB657">
        <v>8</v>
      </c>
      <c r="AC657">
        <v>3</v>
      </c>
      <c r="AD657">
        <v>0</v>
      </c>
      <c r="AE657">
        <v>9</v>
      </c>
      <c r="AF657" t="s">
        <v>138</v>
      </c>
      <c r="AG657">
        <v>0</v>
      </c>
      <c r="AH657">
        <v>3</v>
      </c>
      <c r="AI657">
        <v>1</v>
      </c>
      <c r="AJ657">
        <v>0</v>
      </c>
      <c r="AK657" t="s">
        <v>320</v>
      </c>
      <c r="AL657">
        <v>32.817321</v>
      </c>
      <c r="AM657" t="s">
        <v>326</v>
      </c>
      <c r="AN657">
        <v>-116.963818</v>
      </c>
      <c r="AO657">
        <v>25</v>
      </c>
      <c r="AP657">
        <v>1800</v>
      </c>
      <c r="AQ657" t="s">
        <v>129</v>
      </c>
      <c r="AR657">
        <v>127</v>
      </c>
      <c r="AS657">
        <v>0</v>
      </c>
      <c r="AT657">
        <v>0</v>
      </c>
      <c r="BB657">
        <v>1200</v>
      </c>
      <c r="BC657">
        <v>1</v>
      </c>
      <c r="BD657" t="str">
        <f t="shared" si="231"/>
        <v xml:space="preserve">N887QR  </v>
      </c>
      <c r="BE657">
        <v>1</v>
      </c>
      <c r="BG657">
        <v>0</v>
      </c>
      <c r="BH657">
        <v>0</v>
      </c>
      <c r="BI657">
        <v>0</v>
      </c>
      <c r="BJ657">
        <v>1525</v>
      </c>
      <c r="BK657">
        <v>-275</v>
      </c>
      <c r="BL657" t="s">
        <v>163</v>
      </c>
      <c r="BM657">
        <v>1</v>
      </c>
      <c r="BN657">
        <v>1</v>
      </c>
      <c r="BO657">
        <v>1</v>
      </c>
      <c r="BP657">
        <v>0</v>
      </c>
      <c r="BS657">
        <v>0</v>
      </c>
      <c r="BT657">
        <v>0</v>
      </c>
      <c r="BU657">
        <v>0</v>
      </c>
      <c r="CE657" t="str">
        <f t="shared" si="235"/>
        <v>19:27:26.322</v>
      </c>
      <c r="CF657">
        <v>321797940</v>
      </c>
      <c r="CS657">
        <v>3</v>
      </c>
      <c r="CT657">
        <v>2</v>
      </c>
      <c r="CU657">
        <v>0</v>
      </c>
      <c r="CV657">
        <v>2</v>
      </c>
      <c r="CW657">
        <v>0</v>
      </c>
      <c r="CX657">
        <v>6</v>
      </c>
      <c r="CY657">
        <v>7</v>
      </c>
      <c r="CZ657" t="s">
        <v>131</v>
      </c>
      <c r="DA657">
        <v>300</v>
      </c>
      <c r="DB657">
        <v>0</v>
      </c>
      <c r="DC657" t="s">
        <v>176</v>
      </c>
      <c r="DD657" t="s">
        <v>177</v>
      </c>
      <c r="DG657">
        <v>5368375</v>
      </c>
      <c r="DI657">
        <v>1</v>
      </c>
      <c r="DJ657">
        <v>0</v>
      </c>
      <c r="DK657">
        <v>1</v>
      </c>
      <c r="DL657">
        <v>0</v>
      </c>
      <c r="DM657">
        <v>0</v>
      </c>
      <c r="DN657">
        <v>1</v>
      </c>
      <c r="DO657">
        <v>0</v>
      </c>
      <c r="DP657">
        <v>0</v>
      </c>
      <c r="DQ657">
        <v>0</v>
      </c>
      <c r="DR657">
        <v>0</v>
      </c>
      <c r="DS657">
        <v>0</v>
      </c>
    </row>
    <row r="658" spans="1:123" x14ac:dyDescent="0.3">
      <c r="A658" t="str">
        <f>"10/04/2022 19:27:26.524"</f>
        <v>10/04/2022 19:27:26.524</v>
      </c>
      <c r="C658" t="str">
        <f t="shared" si="224"/>
        <v>FFDFD3C0</v>
      </c>
      <c r="D658" t="s">
        <v>143</v>
      </c>
      <c r="E658">
        <v>20</v>
      </c>
      <c r="F658">
        <v>1020</v>
      </c>
      <c r="G658" t="s">
        <v>144</v>
      </c>
      <c r="J658" t="s">
        <v>145</v>
      </c>
      <c r="K658">
        <v>0</v>
      </c>
      <c r="L658">
        <v>3</v>
      </c>
      <c r="M658">
        <v>0</v>
      </c>
      <c r="N658">
        <v>2</v>
      </c>
      <c r="O658">
        <v>0</v>
      </c>
      <c r="P658">
        <v>1</v>
      </c>
      <c r="Q658">
        <v>0</v>
      </c>
      <c r="S658" t="str">
        <f t="shared" si="234"/>
        <v>19:27:26.000</v>
      </c>
      <c r="T658" t="str">
        <f t="shared" si="234"/>
        <v>19:27:26.000</v>
      </c>
      <c r="U658" t="str">
        <f t="shared" si="230"/>
        <v>AC3944</v>
      </c>
      <c r="V658">
        <v>0</v>
      </c>
      <c r="W658">
        <v>0</v>
      </c>
      <c r="X658">
        <v>2</v>
      </c>
      <c r="Y658">
        <v>0</v>
      </c>
      <c r="AA658">
        <v>1</v>
      </c>
      <c r="AB658">
        <v>8</v>
      </c>
      <c r="AC658">
        <v>3</v>
      </c>
      <c r="AD658">
        <v>0</v>
      </c>
      <c r="AE658">
        <v>9</v>
      </c>
      <c r="AF658" t="s">
        <v>138</v>
      </c>
      <c r="AG658">
        <v>0</v>
      </c>
      <c r="AH658">
        <v>3</v>
      </c>
      <c r="AI658">
        <v>1</v>
      </c>
      <c r="AJ658">
        <v>0</v>
      </c>
      <c r="AK658" t="s">
        <v>320</v>
      </c>
      <c r="AL658">
        <v>32.817321</v>
      </c>
      <c r="AM658" t="s">
        <v>326</v>
      </c>
      <c r="AN658">
        <v>-116.963818</v>
      </c>
      <c r="AO658">
        <v>25</v>
      </c>
      <c r="AP658">
        <v>1800</v>
      </c>
      <c r="AQ658" t="s">
        <v>129</v>
      </c>
      <c r="AR658">
        <v>127</v>
      </c>
      <c r="AS658">
        <v>0</v>
      </c>
      <c r="AT658">
        <v>0</v>
      </c>
      <c r="BB658">
        <v>1200</v>
      </c>
      <c r="BC658">
        <v>1</v>
      </c>
      <c r="BD658" t="str">
        <f t="shared" si="231"/>
        <v xml:space="preserve">N887QR  </v>
      </c>
      <c r="BE658">
        <v>1</v>
      </c>
      <c r="BG658">
        <v>0</v>
      </c>
      <c r="BH658">
        <v>0</v>
      </c>
      <c r="BI658">
        <v>0</v>
      </c>
      <c r="BJ658">
        <v>1525</v>
      </c>
      <c r="BK658">
        <v>-275</v>
      </c>
      <c r="BL658" t="s">
        <v>163</v>
      </c>
      <c r="BM658">
        <v>1</v>
      </c>
      <c r="BN658">
        <v>1</v>
      </c>
      <c r="BO658">
        <v>1</v>
      </c>
      <c r="BP658">
        <v>0</v>
      </c>
      <c r="BS658">
        <v>0</v>
      </c>
      <c r="BT658">
        <v>0</v>
      </c>
      <c r="BU658">
        <v>0</v>
      </c>
      <c r="CE658" t="str">
        <f t="shared" si="235"/>
        <v>19:27:26.322</v>
      </c>
      <c r="CF658">
        <v>321797940</v>
      </c>
      <c r="CS658">
        <v>3</v>
      </c>
      <c r="CT658">
        <v>2</v>
      </c>
      <c r="CU658">
        <v>0</v>
      </c>
      <c r="CV658">
        <v>2</v>
      </c>
      <c r="CW658">
        <v>0</v>
      </c>
      <c r="CX658">
        <v>6</v>
      </c>
      <c r="CY658">
        <v>7</v>
      </c>
      <c r="CZ658" t="s">
        <v>131</v>
      </c>
      <c r="DA658">
        <v>300</v>
      </c>
      <c r="DB658">
        <v>0</v>
      </c>
      <c r="DC658" t="s">
        <v>176</v>
      </c>
      <c r="DD658" t="s">
        <v>177</v>
      </c>
      <c r="DG658">
        <v>5368375</v>
      </c>
      <c r="DI658">
        <v>1</v>
      </c>
      <c r="DJ658">
        <v>0</v>
      </c>
      <c r="DK658">
        <v>1</v>
      </c>
      <c r="DL658">
        <v>0</v>
      </c>
      <c r="DM658">
        <v>0</v>
      </c>
      <c r="DN658">
        <v>1</v>
      </c>
      <c r="DO658">
        <v>0</v>
      </c>
      <c r="DP658">
        <v>0</v>
      </c>
      <c r="DQ658">
        <v>0</v>
      </c>
      <c r="DR658">
        <v>0</v>
      </c>
      <c r="DS658">
        <v>0</v>
      </c>
    </row>
    <row r="659" spans="1:123" x14ac:dyDescent="0.3">
      <c r="A659" t="str">
        <f>"10/04/2022 19:27:26.524"</f>
        <v>10/04/2022 19:27:26.524</v>
      </c>
      <c r="C659" t="str">
        <f t="shared" si="224"/>
        <v>FFDFD3C0</v>
      </c>
      <c r="D659" t="s">
        <v>136</v>
      </c>
      <c r="E659">
        <v>8</v>
      </c>
      <c r="H659">
        <v>225</v>
      </c>
      <c r="I659" t="s">
        <v>137</v>
      </c>
      <c r="J659" t="s">
        <v>138</v>
      </c>
      <c r="K659">
        <v>0</v>
      </c>
      <c r="L659">
        <v>3</v>
      </c>
      <c r="M659">
        <v>0</v>
      </c>
      <c r="N659">
        <v>2</v>
      </c>
      <c r="O659">
        <v>0</v>
      </c>
      <c r="P659">
        <v>1</v>
      </c>
      <c r="Q659">
        <v>0</v>
      </c>
      <c r="S659" t="str">
        <f t="shared" si="234"/>
        <v>19:27:26.000</v>
      </c>
      <c r="T659" t="str">
        <f t="shared" si="234"/>
        <v>19:27:26.000</v>
      </c>
      <c r="U659" t="str">
        <f t="shared" si="230"/>
        <v>AC3944</v>
      </c>
      <c r="V659">
        <v>0</v>
      </c>
      <c r="W659">
        <v>0</v>
      </c>
      <c r="X659">
        <v>2</v>
      </c>
      <c r="Y659">
        <v>0</v>
      </c>
      <c r="AA659">
        <v>1</v>
      </c>
      <c r="AB659">
        <v>8</v>
      </c>
      <c r="AC659">
        <v>3</v>
      </c>
      <c r="AD659">
        <v>0</v>
      </c>
      <c r="AE659">
        <v>9</v>
      </c>
      <c r="AF659" t="s">
        <v>138</v>
      </c>
      <c r="AG659">
        <v>0</v>
      </c>
      <c r="AH659">
        <v>3</v>
      </c>
      <c r="AI659">
        <v>1</v>
      </c>
      <c r="AJ659">
        <v>0</v>
      </c>
      <c r="AK659" t="s">
        <v>320</v>
      </c>
      <c r="AL659">
        <v>32.817321</v>
      </c>
      <c r="AM659" t="s">
        <v>326</v>
      </c>
      <c r="AN659">
        <v>-116.963818</v>
      </c>
      <c r="AO659">
        <v>25</v>
      </c>
      <c r="AP659">
        <v>1800</v>
      </c>
      <c r="AQ659" t="s">
        <v>129</v>
      </c>
      <c r="AR659">
        <v>127</v>
      </c>
      <c r="AS659">
        <v>0</v>
      </c>
      <c r="AT659">
        <v>0</v>
      </c>
      <c r="BB659">
        <v>1200</v>
      </c>
      <c r="BC659">
        <v>1</v>
      </c>
      <c r="BD659" t="str">
        <f t="shared" si="231"/>
        <v xml:space="preserve">N887QR  </v>
      </c>
      <c r="BE659">
        <v>1</v>
      </c>
      <c r="BG659">
        <v>0</v>
      </c>
      <c r="BH659">
        <v>0</v>
      </c>
      <c r="BI659">
        <v>0</v>
      </c>
      <c r="BJ659">
        <v>1525</v>
      </c>
      <c r="BK659">
        <v>-275</v>
      </c>
      <c r="BL659" t="s">
        <v>163</v>
      </c>
      <c r="BM659">
        <v>1</v>
      </c>
      <c r="BN659">
        <v>1</v>
      </c>
      <c r="BO659">
        <v>1</v>
      </c>
      <c r="BP659">
        <v>0</v>
      </c>
      <c r="BS659">
        <v>0</v>
      </c>
      <c r="BT659">
        <v>0</v>
      </c>
      <c r="BU659">
        <v>0</v>
      </c>
      <c r="CE659" t="str">
        <f t="shared" si="235"/>
        <v>19:27:26.322</v>
      </c>
      <c r="CF659">
        <v>321797940</v>
      </c>
      <c r="CS659">
        <v>3</v>
      </c>
      <c r="CT659">
        <v>2</v>
      </c>
      <c r="CU659">
        <v>0</v>
      </c>
      <c r="CV659">
        <v>2</v>
      </c>
      <c r="CW659">
        <v>0</v>
      </c>
      <c r="CX659">
        <v>6</v>
      </c>
      <c r="CY659">
        <v>7</v>
      </c>
      <c r="CZ659" t="s">
        <v>131</v>
      </c>
      <c r="DA659">
        <v>300</v>
      </c>
      <c r="DB659">
        <v>0</v>
      </c>
      <c r="DC659" t="s">
        <v>176</v>
      </c>
      <c r="DD659" t="s">
        <v>177</v>
      </c>
      <c r="DG659">
        <v>5368375</v>
      </c>
      <c r="DI659">
        <v>1</v>
      </c>
      <c r="DJ659">
        <v>0</v>
      </c>
      <c r="DK659">
        <v>1</v>
      </c>
      <c r="DL659">
        <v>0</v>
      </c>
      <c r="DM659">
        <v>0</v>
      </c>
      <c r="DN659">
        <v>1</v>
      </c>
      <c r="DO659">
        <v>0</v>
      </c>
      <c r="DP659">
        <v>0</v>
      </c>
      <c r="DQ659">
        <v>0</v>
      </c>
      <c r="DR659">
        <v>0</v>
      </c>
      <c r="DS659">
        <v>0</v>
      </c>
    </row>
    <row r="660" spans="1:123" x14ac:dyDescent="0.3">
      <c r="A660" t="str">
        <f>"10/04/2022 19:27:26.556"</f>
        <v>10/04/2022 19:27:26.556</v>
      </c>
      <c r="C660" t="str">
        <f t="shared" si="224"/>
        <v>FFDFD3C0</v>
      </c>
      <c r="D660" t="s">
        <v>123</v>
      </c>
      <c r="E660">
        <v>7</v>
      </c>
      <c r="F660">
        <v>2007</v>
      </c>
      <c r="G660" t="s">
        <v>124</v>
      </c>
      <c r="J660" t="s">
        <v>125</v>
      </c>
      <c r="K660">
        <v>0</v>
      </c>
      <c r="L660">
        <v>3</v>
      </c>
      <c r="M660">
        <v>0</v>
      </c>
      <c r="N660">
        <v>2</v>
      </c>
      <c r="O660">
        <v>0</v>
      </c>
      <c r="P660">
        <v>1</v>
      </c>
      <c r="Q660">
        <v>0</v>
      </c>
      <c r="S660" t="str">
        <f t="shared" si="234"/>
        <v>19:27:26.000</v>
      </c>
      <c r="T660" t="str">
        <f t="shared" si="234"/>
        <v>19:27:26.000</v>
      </c>
      <c r="U660" t="str">
        <f t="shared" si="230"/>
        <v>AC3944</v>
      </c>
      <c r="V660">
        <v>0</v>
      </c>
      <c r="W660">
        <v>0</v>
      </c>
      <c r="X660">
        <v>2</v>
      </c>
      <c r="Y660">
        <v>0</v>
      </c>
      <c r="AA660">
        <v>1</v>
      </c>
      <c r="AB660">
        <v>8</v>
      </c>
      <c r="AC660">
        <v>3</v>
      </c>
      <c r="AD660">
        <v>0</v>
      </c>
      <c r="AE660">
        <v>9</v>
      </c>
      <c r="AF660" t="s">
        <v>138</v>
      </c>
      <c r="AG660">
        <v>0</v>
      </c>
      <c r="AH660">
        <v>3</v>
      </c>
      <c r="AI660">
        <v>1</v>
      </c>
      <c r="AJ660">
        <v>0</v>
      </c>
      <c r="AK660" t="s">
        <v>320</v>
      </c>
      <c r="AL660">
        <v>32.817321</v>
      </c>
      <c r="AM660" t="s">
        <v>326</v>
      </c>
      <c r="AN660">
        <v>-116.963818</v>
      </c>
      <c r="AO660">
        <v>25</v>
      </c>
      <c r="AP660">
        <v>1800</v>
      </c>
      <c r="AQ660" t="s">
        <v>129</v>
      </c>
      <c r="AR660">
        <v>127</v>
      </c>
      <c r="AS660">
        <v>0</v>
      </c>
      <c r="AT660">
        <v>0</v>
      </c>
      <c r="BB660">
        <v>1200</v>
      </c>
      <c r="BC660">
        <v>1</v>
      </c>
      <c r="BD660" t="str">
        <f t="shared" si="231"/>
        <v xml:space="preserve">N887QR  </v>
      </c>
      <c r="BE660">
        <v>1</v>
      </c>
      <c r="BG660">
        <v>0</v>
      </c>
      <c r="BH660">
        <v>0</v>
      </c>
      <c r="BI660">
        <v>0</v>
      </c>
      <c r="BJ660">
        <v>1525</v>
      </c>
      <c r="BK660">
        <v>-275</v>
      </c>
      <c r="BL660" t="s">
        <v>163</v>
      </c>
      <c r="BM660">
        <v>1</v>
      </c>
      <c r="BN660">
        <v>1</v>
      </c>
      <c r="BO660">
        <v>1</v>
      </c>
      <c r="BP660">
        <v>0</v>
      </c>
      <c r="BS660">
        <v>0</v>
      </c>
      <c r="BT660">
        <v>0</v>
      </c>
      <c r="BU660">
        <v>0</v>
      </c>
      <c r="CE660" t="str">
        <f t="shared" si="235"/>
        <v>19:27:26.322</v>
      </c>
      <c r="CF660">
        <v>321797940</v>
      </c>
      <c r="CS660">
        <v>3</v>
      </c>
      <c r="CT660">
        <v>2</v>
      </c>
      <c r="CU660">
        <v>0</v>
      </c>
      <c r="CV660">
        <v>2</v>
      </c>
      <c r="CW660">
        <v>0</v>
      </c>
      <c r="CX660">
        <v>6</v>
      </c>
      <c r="CY660">
        <v>7</v>
      </c>
      <c r="CZ660" t="s">
        <v>131</v>
      </c>
      <c r="DA660">
        <v>300</v>
      </c>
      <c r="DB660">
        <v>0</v>
      </c>
      <c r="DC660" t="s">
        <v>176</v>
      </c>
      <c r="DD660" t="s">
        <v>177</v>
      </c>
      <c r="DG660">
        <v>5368375</v>
      </c>
      <c r="DI660">
        <v>1</v>
      </c>
      <c r="DJ660">
        <v>0</v>
      </c>
      <c r="DK660">
        <v>1</v>
      </c>
      <c r="DL660">
        <v>0</v>
      </c>
      <c r="DM660">
        <v>0</v>
      </c>
      <c r="DN660">
        <v>1</v>
      </c>
      <c r="DO660">
        <v>0</v>
      </c>
      <c r="DP660">
        <v>0</v>
      </c>
      <c r="DQ660">
        <v>0</v>
      </c>
      <c r="DR660">
        <v>0</v>
      </c>
      <c r="DS660">
        <v>0</v>
      </c>
    </row>
    <row r="661" spans="1:123" x14ac:dyDescent="0.3">
      <c r="A661" t="str">
        <f>"10/04/2022 19:27:27.696"</f>
        <v>10/04/2022 19:27:27.696</v>
      </c>
      <c r="C661" t="str">
        <f t="shared" si="224"/>
        <v>FFDFD3C0</v>
      </c>
      <c r="D661" t="s">
        <v>136</v>
      </c>
      <c r="E661">
        <v>8</v>
      </c>
      <c r="H661">
        <v>225</v>
      </c>
      <c r="I661" t="s">
        <v>137</v>
      </c>
      <c r="J661" t="s">
        <v>138</v>
      </c>
      <c r="K661">
        <v>0</v>
      </c>
      <c r="L661">
        <v>3</v>
      </c>
      <c r="M661">
        <v>0</v>
      </c>
      <c r="N661">
        <v>2</v>
      </c>
      <c r="O661">
        <v>0</v>
      </c>
      <c r="P661">
        <v>1</v>
      </c>
      <c r="Q661">
        <v>0</v>
      </c>
      <c r="S661" t="str">
        <f t="shared" ref="S661:T667" si="236">"19:27:27.000"</f>
        <v>19:27:27.000</v>
      </c>
      <c r="T661" t="str">
        <f t="shared" si="236"/>
        <v>19:27:27.000</v>
      </c>
      <c r="U661" t="str">
        <f t="shared" si="230"/>
        <v>AC3944</v>
      </c>
      <c r="V661">
        <v>0</v>
      </c>
      <c r="W661">
        <v>0</v>
      </c>
      <c r="X661">
        <v>2</v>
      </c>
      <c r="Y661">
        <v>0</v>
      </c>
      <c r="AA661">
        <v>1</v>
      </c>
      <c r="AB661">
        <v>8</v>
      </c>
      <c r="AC661">
        <v>3</v>
      </c>
      <c r="AD661">
        <v>0</v>
      </c>
      <c r="AE661">
        <v>9</v>
      </c>
      <c r="AF661" t="s">
        <v>138</v>
      </c>
      <c r="AG661">
        <v>0</v>
      </c>
      <c r="AH661">
        <v>3</v>
      </c>
      <c r="AI661">
        <v>1</v>
      </c>
      <c r="AJ661">
        <v>0</v>
      </c>
      <c r="AK661" t="s">
        <v>318</v>
      </c>
      <c r="AL661">
        <v>32.817341999999996</v>
      </c>
      <c r="AM661" t="s">
        <v>327</v>
      </c>
      <c r="AN661">
        <v>-116.963131</v>
      </c>
      <c r="AO661">
        <v>25</v>
      </c>
      <c r="AP661">
        <v>1800</v>
      </c>
      <c r="AQ661" t="s">
        <v>129</v>
      </c>
      <c r="AR661">
        <v>127</v>
      </c>
      <c r="AS661">
        <v>0</v>
      </c>
      <c r="AT661">
        <v>0</v>
      </c>
      <c r="BB661">
        <v>1200</v>
      </c>
      <c r="BC661">
        <v>1</v>
      </c>
      <c r="BD661" t="str">
        <f t="shared" si="231"/>
        <v xml:space="preserve">N887QR  </v>
      </c>
      <c r="BE661">
        <v>1</v>
      </c>
      <c r="BG661">
        <v>0</v>
      </c>
      <c r="BH661">
        <v>0</v>
      </c>
      <c r="BI661">
        <v>0</v>
      </c>
      <c r="BJ661">
        <v>1525</v>
      </c>
      <c r="BK661">
        <v>-275</v>
      </c>
      <c r="BL661" t="s">
        <v>163</v>
      </c>
      <c r="BM661">
        <v>1</v>
      </c>
      <c r="BN661">
        <v>1</v>
      </c>
      <c r="BO661">
        <v>1</v>
      </c>
      <c r="BP661">
        <v>0</v>
      </c>
      <c r="BS661">
        <v>0</v>
      </c>
      <c r="BT661">
        <v>0</v>
      </c>
      <c r="BU661">
        <v>0</v>
      </c>
      <c r="CE661" t="str">
        <f t="shared" ref="CE661:CE667" si="237">"19:27:27.520"</f>
        <v>19:27:27.520</v>
      </c>
      <c r="CF661">
        <v>519551723</v>
      </c>
      <c r="CS661">
        <v>3</v>
      </c>
      <c r="CT661">
        <v>2</v>
      </c>
      <c r="CU661">
        <v>0</v>
      </c>
      <c r="CV661">
        <v>2</v>
      </c>
      <c r="CW661">
        <v>0</v>
      </c>
      <c r="CX661">
        <v>6</v>
      </c>
      <c r="CY661">
        <v>7</v>
      </c>
      <c r="CZ661" t="s">
        <v>131</v>
      </c>
      <c r="DA661">
        <v>300</v>
      </c>
      <c r="DB661">
        <v>0</v>
      </c>
      <c r="DC661" t="s">
        <v>176</v>
      </c>
      <c r="DD661" t="s">
        <v>177</v>
      </c>
      <c r="DG661">
        <v>5368560</v>
      </c>
      <c r="DI661">
        <v>1</v>
      </c>
      <c r="DJ661">
        <v>0</v>
      </c>
      <c r="DK661">
        <v>0</v>
      </c>
      <c r="DL661">
        <v>0</v>
      </c>
      <c r="DM661">
        <v>0</v>
      </c>
      <c r="DN661">
        <v>1</v>
      </c>
      <c r="DO661">
        <v>0</v>
      </c>
      <c r="DP661">
        <v>0</v>
      </c>
      <c r="DQ661">
        <v>0</v>
      </c>
      <c r="DR661">
        <v>0</v>
      </c>
      <c r="DS661">
        <v>0</v>
      </c>
    </row>
    <row r="662" spans="1:123" x14ac:dyDescent="0.3">
      <c r="A662" t="str">
        <f>"10/04/2022 19:27:27.696"</f>
        <v>10/04/2022 19:27:27.696</v>
      </c>
      <c r="C662" t="str">
        <f t="shared" ref="C662:C693" si="238">"FFDFD3C0"</f>
        <v>FFDFD3C0</v>
      </c>
      <c r="D662" t="s">
        <v>123</v>
      </c>
      <c r="E662">
        <v>7</v>
      </c>
      <c r="F662">
        <v>2007</v>
      </c>
      <c r="G662" t="s">
        <v>124</v>
      </c>
      <c r="J662" t="s">
        <v>125</v>
      </c>
      <c r="K662">
        <v>0</v>
      </c>
      <c r="L662">
        <v>3</v>
      </c>
      <c r="M662">
        <v>0</v>
      </c>
      <c r="N662">
        <v>2</v>
      </c>
      <c r="O662">
        <v>0</v>
      </c>
      <c r="P662">
        <v>1</v>
      </c>
      <c r="Q662">
        <v>0</v>
      </c>
      <c r="S662" t="str">
        <f t="shared" si="236"/>
        <v>19:27:27.000</v>
      </c>
      <c r="T662" t="str">
        <f t="shared" si="236"/>
        <v>19:27:27.000</v>
      </c>
      <c r="U662" t="str">
        <f t="shared" si="230"/>
        <v>AC3944</v>
      </c>
      <c r="V662">
        <v>0</v>
      </c>
      <c r="W662">
        <v>0</v>
      </c>
      <c r="X662">
        <v>2</v>
      </c>
      <c r="Y662">
        <v>0</v>
      </c>
      <c r="AA662">
        <v>1</v>
      </c>
      <c r="AB662">
        <v>8</v>
      </c>
      <c r="AC662">
        <v>3</v>
      </c>
      <c r="AD662">
        <v>0</v>
      </c>
      <c r="AE662">
        <v>9</v>
      </c>
      <c r="AF662" t="s">
        <v>138</v>
      </c>
      <c r="AG662">
        <v>0</v>
      </c>
      <c r="AH662">
        <v>3</v>
      </c>
      <c r="AI662">
        <v>1</v>
      </c>
      <c r="AJ662">
        <v>0</v>
      </c>
      <c r="AK662" t="s">
        <v>318</v>
      </c>
      <c r="AL662">
        <v>32.817341999999996</v>
      </c>
      <c r="AM662" t="s">
        <v>327</v>
      </c>
      <c r="AN662">
        <v>-116.963131</v>
      </c>
      <c r="AO662">
        <v>25</v>
      </c>
      <c r="AP662">
        <v>1800</v>
      </c>
      <c r="AQ662" t="s">
        <v>129</v>
      </c>
      <c r="AR662">
        <v>127</v>
      </c>
      <c r="AS662">
        <v>0</v>
      </c>
      <c r="AT662">
        <v>0</v>
      </c>
      <c r="BB662">
        <v>1200</v>
      </c>
      <c r="BC662">
        <v>1</v>
      </c>
      <c r="BD662" t="str">
        <f t="shared" si="231"/>
        <v xml:space="preserve">N887QR  </v>
      </c>
      <c r="BE662">
        <v>1</v>
      </c>
      <c r="BG662">
        <v>0</v>
      </c>
      <c r="BH662">
        <v>0</v>
      </c>
      <c r="BI662">
        <v>0</v>
      </c>
      <c r="BJ662">
        <v>1525</v>
      </c>
      <c r="BK662">
        <v>-275</v>
      </c>
      <c r="BL662" t="s">
        <v>163</v>
      </c>
      <c r="BM662">
        <v>1</v>
      </c>
      <c r="BN662">
        <v>1</v>
      </c>
      <c r="BO662">
        <v>1</v>
      </c>
      <c r="BP662">
        <v>0</v>
      </c>
      <c r="BS662">
        <v>0</v>
      </c>
      <c r="BT662">
        <v>0</v>
      </c>
      <c r="BU662">
        <v>0</v>
      </c>
      <c r="CE662" t="str">
        <f t="shared" si="237"/>
        <v>19:27:27.520</v>
      </c>
      <c r="CF662">
        <v>519551723</v>
      </c>
      <c r="CS662">
        <v>3</v>
      </c>
      <c r="CT662">
        <v>2</v>
      </c>
      <c r="CU662">
        <v>0</v>
      </c>
      <c r="CV662">
        <v>2</v>
      </c>
      <c r="CW662">
        <v>0</v>
      </c>
      <c r="CX662">
        <v>6</v>
      </c>
      <c r="CY662">
        <v>7</v>
      </c>
      <c r="CZ662" t="s">
        <v>131</v>
      </c>
      <c r="DA662">
        <v>300</v>
      </c>
      <c r="DB662">
        <v>0</v>
      </c>
      <c r="DC662" t="s">
        <v>176</v>
      </c>
      <c r="DD662" t="s">
        <v>177</v>
      </c>
      <c r="DG662">
        <v>5368560</v>
      </c>
      <c r="DI662">
        <v>1</v>
      </c>
      <c r="DJ662">
        <v>0</v>
      </c>
      <c r="DK662">
        <v>1</v>
      </c>
      <c r="DL662">
        <v>0</v>
      </c>
      <c r="DM662">
        <v>0</v>
      </c>
      <c r="DN662">
        <v>1</v>
      </c>
      <c r="DO662">
        <v>0</v>
      </c>
      <c r="DP662">
        <v>0</v>
      </c>
      <c r="DQ662">
        <v>0</v>
      </c>
      <c r="DR662">
        <v>0</v>
      </c>
      <c r="DS662">
        <v>0</v>
      </c>
    </row>
    <row r="663" spans="1:123" x14ac:dyDescent="0.3">
      <c r="A663" t="str">
        <f>"10/04/2022 19:27:27.727"</f>
        <v>10/04/2022 19:27:27.727</v>
      </c>
      <c r="C663" t="str">
        <f t="shared" si="238"/>
        <v>FFDFD3C0</v>
      </c>
      <c r="D663" t="s">
        <v>147</v>
      </c>
      <c r="E663">
        <v>3</v>
      </c>
      <c r="H663">
        <v>166</v>
      </c>
      <c r="I663" t="s">
        <v>144</v>
      </c>
      <c r="J663" t="s">
        <v>148</v>
      </c>
      <c r="K663">
        <v>0</v>
      </c>
      <c r="L663">
        <v>3</v>
      </c>
      <c r="M663">
        <v>0</v>
      </c>
      <c r="N663">
        <v>2</v>
      </c>
      <c r="O663">
        <v>0</v>
      </c>
      <c r="P663">
        <v>1</v>
      </c>
      <c r="Q663">
        <v>0</v>
      </c>
      <c r="S663" t="str">
        <f t="shared" si="236"/>
        <v>19:27:27.000</v>
      </c>
      <c r="T663" t="str">
        <f t="shared" si="236"/>
        <v>19:27:27.000</v>
      </c>
      <c r="U663" t="str">
        <f t="shared" si="230"/>
        <v>AC3944</v>
      </c>
      <c r="V663">
        <v>0</v>
      </c>
      <c r="W663">
        <v>0</v>
      </c>
      <c r="X663">
        <v>2</v>
      </c>
      <c r="Y663">
        <v>0</v>
      </c>
      <c r="AA663">
        <v>1</v>
      </c>
      <c r="AB663">
        <v>8</v>
      </c>
      <c r="AC663">
        <v>3</v>
      </c>
      <c r="AD663">
        <v>0</v>
      </c>
      <c r="AE663">
        <v>9</v>
      </c>
      <c r="AF663" t="s">
        <v>138</v>
      </c>
      <c r="AG663">
        <v>0</v>
      </c>
      <c r="AH663">
        <v>3</v>
      </c>
      <c r="AI663">
        <v>1</v>
      </c>
      <c r="AJ663">
        <v>0</v>
      </c>
      <c r="AK663" t="s">
        <v>318</v>
      </c>
      <c r="AL663">
        <v>32.817341999999996</v>
      </c>
      <c r="AM663" t="s">
        <v>327</v>
      </c>
      <c r="AN663">
        <v>-116.963131</v>
      </c>
      <c r="AO663">
        <v>25</v>
      </c>
      <c r="AP663">
        <v>1800</v>
      </c>
      <c r="AQ663" t="s">
        <v>129</v>
      </c>
      <c r="AR663">
        <v>127</v>
      </c>
      <c r="AS663">
        <v>0</v>
      </c>
      <c r="AT663">
        <v>0</v>
      </c>
      <c r="BB663">
        <v>1200</v>
      </c>
      <c r="BC663">
        <v>1</v>
      </c>
      <c r="BD663" t="str">
        <f t="shared" si="231"/>
        <v xml:space="preserve">N887QR  </v>
      </c>
      <c r="BE663">
        <v>1</v>
      </c>
      <c r="BG663">
        <v>0</v>
      </c>
      <c r="BH663">
        <v>0</v>
      </c>
      <c r="BI663">
        <v>0</v>
      </c>
      <c r="BJ663">
        <v>1525</v>
      </c>
      <c r="BK663">
        <v>-275</v>
      </c>
      <c r="BL663" t="s">
        <v>163</v>
      </c>
      <c r="BM663">
        <v>1</v>
      </c>
      <c r="BN663">
        <v>1</v>
      </c>
      <c r="BO663">
        <v>1</v>
      </c>
      <c r="BP663">
        <v>0</v>
      </c>
      <c r="BS663">
        <v>0</v>
      </c>
      <c r="BT663">
        <v>0</v>
      </c>
      <c r="BU663">
        <v>0</v>
      </c>
      <c r="CE663" t="str">
        <f t="shared" si="237"/>
        <v>19:27:27.520</v>
      </c>
      <c r="CF663">
        <v>519551723</v>
      </c>
      <c r="CS663">
        <v>3</v>
      </c>
      <c r="CT663">
        <v>2</v>
      </c>
      <c r="CU663">
        <v>0</v>
      </c>
      <c r="CV663">
        <v>2</v>
      </c>
      <c r="CW663">
        <v>0</v>
      </c>
      <c r="CX663">
        <v>6</v>
      </c>
      <c r="CY663">
        <v>7</v>
      </c>
      <c r="CZ663" t="s">
        <v>131</v>
      </c>
      <c r="DA663">
        <v>300</v>
      </c>
      <c r="DB663">
        <v>0</v>
      </c>
      <c r="DC663" t="s">
        <v>176</v>
      </c>
      <c r="DD663" t="s">
        <v>177</v>
      </c>
      <c r="DG663">
        <v>5368560</v>
      </c>
      <c r="DI663">
        <v>1</v>
      </c>
      <c r="DJ663">
        <v>0</v>
      </c>
      <c r="DK663">
        <v>1</v>
      </c>
      <c r="DL663">
        <v>0</v>
      </c>
      <c r="DM663">
        <v>0</v>
      </c>
      <c r="DN663">
        <v>1</v>
      </c>
      <c r="DO663">
        <v>0</v>
      </c>
      <c r="DP663">
        <v>0</v>
      </c>
      <c r="DQ663">
        <v>0</v>
      </c>
      <c r="DR663">
        <v>0</v>
      </c>
      <c r="DS663">
        <v>0</v>
      </c>
    </row>
    <row r="664" spans="1:123" x14ac:dyDescent="0.3">
      <c r="A664" t="str">
        <f>"10/04/2022 19:27:27.727"</f>
        <v>10/04/2022 19:27:27.727</v>
      </c>
      <c r="C664" t="str">
        <f t="shared" si="238"/>
        <v>FFDFD3C0</v>
      </c>
      <c r="D664" t="s">
        <v>141</v>
      </c>
      <c r="E664">
        <v>3</v>
      </c>
      <c r="H664">
        <v>3</v>
      </c>
      <c r="I664" t="s">
        <v>146</v>
      </c>
      <c r="J664" t="s">
        <v>138</v>
      </c>
      <c r="K664">
        <v>0</v>
      </c>
      <c r="L664">
        <v>3</v>
      </c>
      <c r="M664">
        <v>0</v>
      </c>
      <c r="N664">
        <v>2</v>
      </c>
      <c r="O664">
        <v>0</v>
      </c>
      <c r="P664">
        <v>1</v>
      </c>
      <c r="Q664">
        <v>0</v>
      </c>
      <c r="S664" t="str">
        <f t="shared" si="236"/>
        <v>19:27:27.000</v>
      </c>
      <c r="T664" t="str">
        <f t="shared" si="236"/>
        <v>19:27:27.000</v>
      </c>
      <c r="U664" t="str">
        <f t="shared" si="230"/>
        <v>AC3944</v>
      </c>
      <c r="V664">
        <v>0</v>
      </c>
      <c r="W664">
        <v>0</v>
      </c>
      <c r="X664">
        <v>2</v>
      </c>
      <c r="Y664">
        <v>0</v>
      </c>
      <c r="AA664">
        <v>1</v>
      </c>
      <c r="AB664">
        <v>8</v>
      </c>
      <c r="AC664">
        <v>3</v>
      </c>
      <c r="AD664">
        <v>0</v>
      </c>
      <c r="AE664">
        <v>9</v>
      </c>
      <c r="AF664" t="s">
        <v>138</v>
      </c>
      <c r="AG664">
        <v>0</v>
      </c>
      <c r="AH664">
        <v>3</v>
      </c>
      <c r="AI664">
        <v>1</v>
      </c>
      <c r="AJ664">
        <v>0</v>
      </c>
      <c r="AK664" t="s">
        <v>318</v>
      </c>
      <c r="AL664">
        <v>32.817341999999996</v>
      </c>
      <c r="AM664" t="s">
        <v>327</v>
      </c>
      <c r="AN664">
        <v>-116.963131</v>
      </c>
      <c r="AO664">
        <v>25</v>
      </c>
      <c r="AP664">
        <v>1800</v>
      </c>
      <c r="AQ664" t="s">
        <v>129</v>
      </c>
      <c r="AR664">
        <v>127</v>
      </c>
      <c r="AS664">
        <v>0</v>
      </c>
      <c r="AT664">
        <v>0</v>
      </c>
      <c r="BB664">
        <v>1200</v>
      </c>
      <c r="BC664">
        <v>1</v>
      </c>
      <c r="BD664" t="str">
        <f t="shared" si="231"/>
        <v xml:space="preserve">N887QR  </v>
      </c>
      <c r="BE664">
        <v>1</v>
      </c>
      <c r="BG664">
        <v>0</v>
      </c>
      <c r="BH664">
        <v>0</v>
      </c>
      <c r="BI664">
        <v>0</v>
      </c>
      <c r="BJ664">
        <v>1525</v>
      </c>
      <c r="BK664">
        <v>-275</v>
      </c>
      <c r="BL664" t="s">
        <v>163</v>
      </c>
      <c r="BM664">
        <v>1</v>
      </c>
      <c r="BN664">
        <v>1</v>
      </c>
      <c r="BO664">
        <v>1</v>
      </c>
      <c r="BP664">
        <v>0</v>
      </c>
      <c r="BS664">
        <v>0</v>
      </c>
      <c r="BT664">
        <v>0</v>
      </c>
      <c r="BU664">
        <v>0</v>
      </c>
      <c r="CE664" t="str">
        <f t="shared" si="237"/>
        <v>19:27:27.520</v>
      </c>
      <c r="CF664">
        <v>519551723</v>
      </c>
      <c r="CS664">
        <v>3</v>
      </c>
      <c r="CT664">
        <v>2</v>
      </c>
      <c r="CU664">
        <v>0</v>
      </c>
      <c r="CV664">
        <v>2</v>
      </c>
      <c r="CW664">
        <v>0</v>
      </c>
      <c r="CX664">
        <v>6</v>
      </c>
      <c r="CY664">
        <v>7</v>
      </c>
      <c r="CZ664" t="s">
        <v>131</v>
      </c>
      <c r="DA664">
        <v>300</v>
      </c>
      <c r="DB664">
        <v>0</v>
      </c>
      <c r="DC664" t="s">
        <v>176</v>
      </c>
      <c r="DD664" t="s">
        <v>177</v>
      </c>
      <c r="DG664">
        <v>5368560</v>
      </c>
      <c r="DI664">
        <v>1</v>
      </c>
      <c r="DJ664">
        <v>0</v>
      </c>
      <c r="DK664">
        <v>1</v>
      </c>
      <c r="DL664">
        <v>0</v>
      </c>
      <c r="DM664">
        <v>0</v>
      </c>
      <c r="DN664">
        <v>1</v>
      </c>
      <c r="DO664">
        <v>0</v>
      </c>
      <c r="DP664">
        <v>0</v>
      </c>
      <c r="DQ664">
        <v>0</v>
      </c>
      <c r="DR664">
        <v>0</v>
      </c>
      <c r="DS664">
        <v>0</v>
      </c>
    </row>
    <row r="665" spans="1:123" x14ac:dyDescent="0.3">
      <c r="A665" t="str">
        <f>"10/04/2022 19:27:27.727"</f>
        <v>10/04/2022 19:27:27.727</v>
      </c>
      <c r="C665" t="str">
        <f t="shared" si="238"/>
        <v>FFDFD3C0</v>
      </c>
      <c r="D665" t="s">
        <v>141</v>
      </c>
      <c r="E665">
        <v>4</v>
      </c>
      <c r="H665">
        <v>4</v>
      </c>
      <c r="I665" t="s">
        <v>142</v>
      </c>
      <c r="J665" t="s">
        <v>138</v>
      </c>
      <c r="K665">
        <v>0</v>
      </c>
      <c r="L665">
        <v>3</v>
      </c>
      <c r="M665">
        <v>0</v>
      </c>
      <c r="N665">
        <v>2</v>
      </c>
      <c r="O665">
        <v>0</v>
      </c>
      <c r="P665">
        <v>1</v>
      </c>
      <c r="Q665">
        <v>0</v>
      </c>
      <c r="S665" t="str">
        <f t="shared" si="236"/>
        <v>19:27:27.000</v>
      </c>
      <c r="T665" t="str">
        <f t="shared" si="236"/>
        <v>19:27:27.000</v>
      </c>
      <c r="U665" t="str">
        <f t="shared" si="230"/>
        <v>AC3944</v>
      </c>
      <c r="V665">
        <v>0</v>
      </c>
      <c r="W665">
        <v>0</v>
      </c>
      <c r="X665">
        <v>2</v>
      </c>
      <c r="Y665">
        <v>0</v>
      </c>
      <c r="AA665">
        <v>1</v>
      </c>
      <c r="AB665">
        <v>8</v>
      </c>
      <c r="AC665">
        <v>3</v>
      </c>
      <c r="AD665">
        <v>0</v>
      </c>
      <c r="AE665">
        <v>9</v>
      </c>
      <c r="AF665" t="s">
        <v>138</v>
      </c>
      <c r="AG665">
        <v>0</v>
      </c>
      <c r="AH665">
        <v>3</v>
      </c>
      <c r="AI665">
        <v>1</v>
      </c>
      <c r="AJ665">
        <v>0</v>
      </c>
      <c r="AK665" t="s">
        <v>318</v>
      </c>
      <c r="AL665">
        <v>32.817341999999996</v>
      </c>
      <c r="AM665" t="s">
        <v>327</v>
      </c>
      <c r="AN665">
        <v>-116.963131</v>
      </c>
      <c r="AO665">
        <v>25</v>
      </c>
      <c r="AP665">
        <v>1800</v>
      </c>
      <c r="AQ665" t="s">
        <v>129</v>
      </c>
      <c r="AR665">
        <v>127</v>
      </c>
      <c r="AS665">
        <v>0</v>
      </c>
      <c r="AT665">
        <v>0</v>
      </c>
      <c r="BB665">
        <v>1200</v>
      </c>
      <c r="BC665">
        <v>1</v>
      </c>
      <c r="BD665" t="str">
        <f t="shared" si="231"/>
        <v xml:space="preserve">N887QR  </v>
      </c>
      <c r="BE665">
        <v>1</v>
      </c>
      <c r="BG665">
        <v>0</v>
      </c>
      <c r="BH665">
        <v>0</v>
      </c>
      <c r="BI665">
        <v>0</v>
      </c>
      <c r="BJ665">
        <v>1525</v>
      </c>
      <c r="BK665">
        <v>-275</v>
      </c>
      <c r="BL665" t="s">
        <v>163</v>
      </c>
      <c r="BM665">
        <v>1</v>
      </c>
      <c r="BN665">
        <v>1</v>
      </c>
      <c r="BO665">
        <v>1</v>
      </c>
      <c r="BP665">
        <v>0</v>
      </c>
      <c r="BS665">
        <v>0</v>
      </c>
      <c r="BT665">
        <v>0</v>
      </c>
      <c r="BU665">
        <v>0</v>
      </c>
      <c r="CE665" t="str">
        <f t="shared" si="237"/>
        <v>19:27:27.520</v>
      </c>
      <c r="CF665">
        <v>519551723</v>
      </c>
      <c r="CS665">
        <v>3</v>
      </c>
      <c r="CT665">
        <v>2</v>
      </c>
      <c r="CU665">
        <v>0</v>
      </c>
      <c r="CV665">
        <v>2</v>
      </c>
      <c r="CW665">
        <v>0</v>
      </c>
      <c r="CX665">
        <v>6</v>
      </c>
      <c r="CY665">
        <v>7</v>
      </c>
      <c r="CZ665" t="s">
        <v>131</v>
      </c>
      <c r="DA665">
        <v>300</v>
      </c>
      <c r="DB665">
        <v>0</v>
      </c>
      <c r="DC665" t="s">
        <v>176</v>
      </c>
      <c r="DD665" t="s">
        <v>177</v>
      </c>
      <c r="DG665">
        <v>5368560</v>
      </c>
      <c r="DI665">
        <v>1</v>
      </c>
      <c r="DJ665">
        <v>0</v>
      </c>
      <c r="DK665">
        <v>1</v>
      </c>
      <c r="DL665">
        <v>0</v>
      </c>
      <c r="DM665">
        <v>0</v>
      </c>
      <c r="DN665">
        <v>1</v>
      </c>
      <c r="DO665">
        <v>0</v>
      </c>
      <c r="DP665">
        <v>0</v>
      </c>
      <c r="DQ665">
        <v>0</v>
      </c>
      <c r="DR665">
        <v>0</v>
      </c>
      <c r="DS665">
        <v>0</v>
      </c>
    </row>
    <row r="666" spans="1:123" x14ac:dyDescent="0.3">
      <c r="A666" t="str">
        <f>"10/04/2022 19:27:27.743"</f>
        <v>10/04/2022 19:27:27.743</v>
      </c>
      <c r="C666" t="str">
        <f t="shared" si="238"/>
        <v>FFDFD3C0</v>
      </c>
      <c r="D666" t="s">
        <v>134</v>
      </c>
      <c r="E666">
        <v>15</v>
      </c>
      <c r="J666" t="s">
        <v>135</v>
      </c>
      <c r="K666">
        <v>0</v>
      </c>
      <c r="L666">
        <v>3</v>
      </c>
      <c r="M666">
        <v>0</v>
      </c>
      <c r="N666">
        <v>2</v>
      </c>
      <c r="O666">
        <v>0</v>
      </c>
      <c r="P666">
        <v>1</v>
      </c>
      <c r="Q666">
        <v>0</v>
      </c>
      <c r="S666" t="str">
        <f t="shared" si="236"/>
        <v>19:27:27.000</v>
      </c>
      <c r="T666" t="str">
        <f t="shared" si="236"/>
        <v>19:27:27.000</v>
      </c>
      <c r="U666" t="str">
        <f t="shared" si="230"/>
        <v>AC3944</v>
      </c>
      <c r="V666">
        <v>0</v>
      </c>
      <c r="W666">
        <v>0</v>
      </c>
      <c r="X666">
        <v>2</v>
      </c>
      <c r="Y666">
        <v>0</v>
      </c>
      <c r="AA666">
        <v>1</v>
      </c>
      <c r="AB666">
        <v>8</v>
      </c>
      <c r="AC666">
        <v>3</v>
      </c>
      <c r="AD666">
        <v>0</v>
      </c>
      <c r="AE666">
        <v>9</v>
      </c>
      <c r="AF666" t="s">
        <v>138</v>
      </c>
      <c r="AG666">
        <v>0</v>
      </c>
      <c r="AH666">
        <v>3</v>
      </c>
      <c r="AI666">
        <v>1</v>
      </c>
      <c r="AJ666">
        <v>0</v>
      </c>
      <c r="AK666" t="s">
        <v>318</v>
      </c>
      <c r="AL666">
        <v>32.817341999999996</v>
      </c>
      <c r="AM666" t="s">
        <v>327</v>
      </c>
      <c r="AN666">
        <v>-116.963131</v>
      </c>
      <c r="AO666">
        <v>25</v>
      </c>
      <c r="AP666">
        <v>1800</v>
      </c>
      <c r="AQ666" t="s">
        <v>129</v>
      </c>
      <c r="AR666">
        <v>127</v>
      </c>
      <c r="AS666">
        <v>0</v>
      </c>
      <c r="AT666">
        <v>0</v>
      </c>
      <c r="BB666">
        <v>1200</v>
      </c>
      <c r="BC666">
        <v>1</v>
      </c>
      <c r="BD666" t="str">
        <f t="shared" si="231"/>
        <v xml:space="preserve">N887QR  </v>
      </c>
      <c r="BE666">
        <v>1</v>
      </c>
      <c r="BG666">
        <v>0</v>
      </c>
      <c r="BH666">
        <v>0</v>
      </c>
      <c r="BI666">
        <v>0</v>
      </c>
      <c r="BJ666">
        <v>1525</v>
      </c>
      <c r="BK666">
        <v>-275</v>
      </c>
      <c r="BL666" t="s">
        <v>163</v>
      </c>
      <c r="BM666">
        <v>1</v>
      </c>
      <c r="BN666">
        <v>1</v>
      </c>
      <c r="BO666">
        <v>1</v>
      </c>
      <c r="BP666">
        <v>0</v>
      </c>
      <c r="BS666">
        <v>0</v>
      </c>
      <c r="BT666">
        <v>0</v>
      </c>
      <c r="BU666">
        <v>0</v>
      </c>
      <c r="CE666" t="str">
        <f t="shared" si="237"/>
        <v>19:27:27.520</v>
      </c>
      <c r="CF666">
        <v>519551723</v>
      </c>
      <c r="CS666">
        <v>3</v>
      </c>
      <c r="CT666">
        <v>2</v>
      </c>
      <c r="CU666">
        <v>0</v>
      </c>
      <c r="CV666">
        <v>2</v>
      </c>
      <c r="CW666">
        <v>0</v>
      </c>
      <c r="CX666">
        <v>6</v>
      </c>
      <c r="CY666">
        <v>7</v>
      </c>
      <c r="CZ666" t="s">
        <v>131</v>
      </c>
      <c r="DA666">
        <v>300</v>
      </c>
      <c r="DB666">
        <v>0</v>
      </c>
      <c r="DC666" t="s">
        <v>176</v>
      </c>
      <c r="DD666" t="s">
        <v>177</v>
      </c>
      <c r="DG666">
        <v>5368560</v>
      </c>
      <c r="DI666">
        <v>1</v>
      </c>
      <c r="DJ666">
        <v>0</v>
      </c>
      <c r="DK666">
        <v>1</v>
      </c>
      <c r="DL666">
        <v>0</v>
      </c>
      <c r="DM666">
        <v>0</v>
      </c>
      <c r="DN666">
        <v>1</v>
      </c>
      <c r="DO666">
        <v>0</v>
      </c>
      <c r="DP666">
        <v>0</v>
      </c>
      <c r="DQ666">
        <v>0</v>
      </c>
      <c r="DR666">
        <v>0</v>
      </c>
      <c r="DS666">
        <v>0</v>
      </c>
    </row>
    <row r="667" spans="1:123" x14ac:dyDescent="0.3">
      <c r="A667" t="str">
        <f>"10/04/2022 19:27:27.743"</f>
        <v>10/04/2022 19:27:27.743</v>
      </c>
      <c r="C667" t="str">
        <f t="shared" si="238"/>
        <v>FFDFD3C0</v>
      </c>
      <c r="D667" t="s">
        <v>143</v>
      </c>
      <c r="E667">
        <v>20</v>
      </c>
      <c r="F667">
        <v>1020</v>
      </c>
      <c r="G667" t="s">
        <v>144</v>
      </c>
      <c r="J667" t="s">
        <v>145</v>
      </c>
      <c r="K667">
        <v>0</v>
      </c>
      <c r="L667">
        <v>3</v>
      </c>
      <c r="M667">
        <v>0</v>
      </c>
      <c r="N667">
        <v>2</v>
      </c>
      <c r="O667">
        <v>0</v>
      </c>
      <c r="P667">
        <v>1</v>
      </c>
      <c r="Q667">
        <v>0</v>
      </c>
      <c r="S667" t="str">
        <f t="shared" si="236"/>
        <v>19:27:27.000</v>
      </c>
      <c r="T667" t="str">
        <f t="shared" si="236"/>
        <v>19:27:27.000</v>
      </c>
      <c r="U667" t="str">
        <f t="shared" si="230"/>
        <v>AC3944</v>
      </c>
      <c r="V667">
        <v>0</v>
      </c>
      <c r="W667">
        <v>0</v>
      </c>
      <c r="X667">
        <v>2</v>
      </c>
      <c r="Y667">
        <v>0</v>
      </c>
      <c r="AA667">
        <v>1</v>
      </c>
      <c r="AB667">
        <v>8</v>
      </c>
      <c r="AC667">
        <v>3</v>
      </c>
      <c r="AD667">
        <v>0</v>
      </c>
      <c r="AE667">
        <v>9</v>
      </c>
      <c r="AF667" t="s">
        <v>138</v>
      </c>
      <c r="AG667">
        <v>0</v>
      </c>
      <c r="AH667">
        <v>3</v>
      </c>
      <c r="AI667">
        <v>1</v>
      </c>
      <c r="AJ667">
        <v>0</v>
      </c>
      <c r="AK667" t="s">
        <v>318</v>
      </c>
      <c r="AL667">
        <v>32.817341999999996</v>
      </c>
      <c r="AM667" t="s">
        <v>327</v>
      </c>
      <c r="AN667">
        <v>-116.963131</v>
      </c>
      <c r="AO667">
        <v>25</v>
      </c>
      <c r="AP667">
        <v>1800</v>
      </c>
      <c r="AQ667" t="s">
        <v>129</v>
      </c>
      <c r="AR667">
        <v>127</v>
      </c>
      <c r="AS667">
        <v>0</v>
      </c>
      <c r="AT667">
        <v>0</v>
      </c>
      <c r="BB667">
        <v>1200</v>
      </c>
      <c r="BC667">
        <v>1</v>
      </c>
      <c r="BD667" t="str">
        <f t="shared" si="231"/>
        <v xml:space="preserve">N887QR  </v>
      </c>
      <c r="BE667">
        <v>1</v>
      </c>
      <c r="BG667">
        <v>0</v>
      </c>
      <c r="BH667">
        <v>0</v>
      </c>
      <c r="BI667">
        <v>0</v>
      </c>
      <c r="BJ667">
        <v>1525</v>
      </c>
      <c r="BK667">
        <v>-275</v>
      </c>
      <c r="BL667" t="s">
        <v>163</v>
      </c>
      <c r="BM667">
        <v>1</v>
      </c>
      <c r="BN667">
        <v>1</v>
      </c>
      <c r="BO667">
        <v>1</v>
      </c>
      <c r="BP667">
        <v>0</v>
      </c>
      <c r="BS667">
        <v>0</v>
      </c>
      <c r="BT667">
        <v>0</v>
      </c>
      <c r="BU667">
        <v>0</v>
      </c>
      <c r="CE667" t="str">
        <f t="shared" si="237"/>
        <v>19:27:27.520</v>
      </c>
      <c r="CF667">
        <v>519551723</v>
      </c>
      <c r="CS667">
        <v>3</v>
      </c>
      <c r="CT667">
        <v>2</v>
      </c>
      <c r="CU667">
        <v>0</v>
      </c>
      <c r="CV667">
        <v>2</v>
      </c>
      <c r="CW667">
        <v>0</v>
      </c>
      <c r="CX667">
        <v>6</v>
      </c>
      <c r="CY667">
        <v>7</v>
      </c>
      <c r="CZ667" t="s">
        <v>131</v>
      </c>
      <c r="DA667">
        <v>300</v>
      </c>
      <c r="DB667">
        <v>0</v>
      </c>
      <c r="DC667" t="s">
        <v>176</v>
      </c>
      <c r="DD667" t="s">
        <v>177</v>
      </c>
      <c r="DG667">
        <v>5368560</v>
      </c>
      <c r="DI667">
        <v>1</v>
      </c>
      <c r="DJ667">
        <v>0</v>
      </c>
      <c r="DK667">
        <v>1</v>
      </c>
      <c r="DL667">
        <v>0</v>
      </c>
      <c r="DM667">
        <v>0</v>
      </c>
      <c r="DN667">
        <v>1</v>
      </c>
      <c r="DO667">
        <v>0</v>
      </c>
      <c r="DP667">
        <v>0</v>
      </c>
      <c r="DQ667">
        <v>0</v>
      </c>
      <c r="DR667">
        <v>0</v>
      </c>
      <c r="DS667">
        <v>0</v>
      </c>
    </row>
    <row r="668" spans="1:123" x14ac:dyDescent="0.3">
      <c r="A668" t="str">
        <f>"10/04/2022 19:27:28.524"</f>
        <v>10/04/2022 19:27:28.524</v>
      </c>
      <c r="C668" t="str">
        <f t="shared" si="238"/>
        <v>FFDFD3C0</v>
      </c>
      <c r="D668" t="s">
        <v>143</v>
      </c>
      <c r="E668">
        <v>20</v>
      </c>
      <c r="F668">
        <v>1020</v>
      </c>
      <c r="G668" t="s">
        <v>144</v>
      </c>
      <c r="J668" t="s">
        <v>145</v>
      </c>
      <c r="K668">
        <v>0</v>
      </c>
      <c r="L668">
        <v>3</v>
      </c>
      <c r="M668">
        <v>0</v>
      </c>
      <c r="N668">
        <v>2</v>
      </c>
      <c r="O668">
        <v>0</v>
      </c>
      <c r="P668">
        <v>1</v>
      </c>
      <c r="Q668">
        <v>0</v>
      </c>
      <c r="S668" t="str">
        <f t="shared" ref="S668:T674" si="239">"19:27:28.000"</f>
        <v>19:27:28.000</v>
      </c>
      <c r="T668" t="str">
        <f t="shared" si="239"/>
        <v>19:27:28.000</v>
      </c>
      <c r="U668" t="str">
        <f t="shared" si="230"/>
        <v>AC3944</v>
      </c>
      <c r="V668">
        <v>0</v>
      </c>
      <c r="W668">
        <v>0</v>
      </c>
      <c r="X668">
        <v>2</v>
      </c>
      <c r="Y668">
        <v>0</v>
      </c>
      <c r="AA668">
        <v>1</v>
      </c>
      <c r="AB668">
        <v>8</v>
      </c>
      <c r="AC668">
        <v>3</v>
      </c>
      <c r="AD668">
        <v>0</v>
      </c>
      <c r="AE668">
        <v>9</v>
      </c>
      <c r="AF668" t="s">
        <v>138</v>
      </c>
      <c r="AG668">
        <v>0</v>
      </c>
      <c r="AH668">
        <v>3</v>
      </c>
      <c r="AI668">
        <v>1</v>
      </c>
      <c r="AJ668">
        <v>0</v>
      </c>
      <c r="AK668" t="s">
        <v>318</v>
      </c>
      <c r="AL668">
        <v>32.817341999999996</v>
      </c>
      <c r="AM668" t="s">
        <v>328</v>
      </c>
      <c r="AN668">
        <v>-116.962423</v>
      </c>
      <c r="AO668">
        <v>25</v>
      </c>
      <c r="AP668">
        <v>1800</v>
      </c>
      <c r="AQ668" t="s">
        <v>129</v>
      </c>
      <c r="AR668">
        <v>127</v>
      </c>
      <c r="AS668">
        <v>-2</v>
      </c>
      <c r="AT668">
        <v>0</v>
      </c>
      <c r="BB668">
        <v>1200</v>
      </c>
      <c r="BC668">
        <v>1</v>
      </c>
      <c r="BD668" t="str">
        <f t="shared" si="231"/>
        <v xml:space="preserve">N887QR  </v>
      </c>
      <c r="BE668">
        <v>1</v>
      </c>
      <c r="BG668">
        <v>0</v>
      </c>
      <c r="BH668">
        <v>0</v>
      </c>
      <c r="BI668">
        <v>0</v>
      </c>
      <c r="BJ668">
        <v>1525</v>
      </c>
      <c r="BK668">
        <v>-275</v>
      </c>
      <c r="BL668" t="s">
        <v>163</v>
      </c>
      <c r="BM668">
        <v>1</v>
      </c>
      <c r="BN668">
        <v>1</v>
      </c>
      <c r="BO668">
        <v>1</v>
      </c>
      <c r="BP668">
        <v>0</v>
      </c>
      <c r="BS668">
        <v>0</v>
      </c>
      <c r="BT668">
        <v>0</v>
      </c>
      <c r="BU668">
        <v>0</v>
      </c>
      <c r="CE668" t="str">
        <f t="shared" ref="CE668:CE674" si="240">"19:27:28.353"</f>
        <v>19:27:28.353</v>
      </c>
      <c r="CF668">
        <v>352554370</v>
      </c>
      <c r="CS668">
        <v>3</v>
      </c>
      <c r="CT668">
        <v>2</v>
      </c>
      <c r="CU668">
        <v>0</v>
      </c>
      <c r="CV668">
        <v>2</v>
      </c>
      <c r="CW668">
        <v>0</v>
      </c>
      <c r="CX668">
        <v>6</v>
      </c>
      <c r="CY668">
        <v>7</v>
      </c>
      <c r="CZ668" t="s">
        <v>131</v>
      </c>
      <c r="DA668">
        <v>300</v>
      </c>
      <c r="DB668">
        <v>0</v>
      </c>
      <c r="DC668" t="s">
        <v>176</v>
      </c>
      <c r="DD668" t="s">
        <v>177</v>
      </c>
      <c r="DG668">
        <v>5368671</v>
      </c>
      <c r="DI668">
        <v>1</v>
      </c>
      <c r="DJ668">
        <v>0</v>
      </c>
      <c r="DK668">
        <v>0</v>
      </c>
      <c r="DL668">
        <v>0</v>
      </c>
      <c r="DM668">
        <v>0</v>
      </c>
      <c r="DN668">
        <v>1</v>
      </c>
      <c r="DO668">
        <v>0</v>
      </c>
      <c r="DP668">
        <v>0</v>
      </c>
      <c r="DQ668">
        <v>0</v>
      </c>
      <c r="DR668">
        <v>0</v>
      </c>
      <c r="DS668">
        <v>0</v>
      </c>
    </row>
    <row r="669" spans="1:123" x14ac:dyDescent="0.3">
      <c r="A669" t="str">
        <f>"10/04/2022 19:27:28.555"</f>
        <v>10/04/2022 19:27:28.555</v>
      </c>
      <c r="C669" t="str">
        <f t="shared" si="238"/>
        <v>FFDFD3C0</v>
      </c>
      <c r="D669" t="s">
        <v>134</v>
      </c>
      <c r="E669">
        <v>15</v>
      </c>
      <c r="J669" t="s">
        <v>135</v>
      </c>
      <c r="K669">
        <v>0</v>
      </c>
      <c r="L669">
        <v>3</v>
      </c>
      <c r="M669">
        <v>0</v>
      </c>
      <c r="N669">
        <v>2</v>
      </c>
      <c r="O669">
        <v>0</v>
      </c>
      <c r="P669">
        <v>1</v>
      </c>
      <c r="Q669">
        <v>0</v>
      </c>
      <c r="S669" t="str">
        <f t="shared" si="239"/>
        <v>19:27:28.000</v>
      </c>
      <c r="T669" t="str">
        <f t="shared" si="239"/>
        <v>19:27:28.000</v>
      </c>
      <c r="U669" t="str">
        <f t="shared" si="230"/>
        <v>AC3944</v>
      </c>
      <c r="V669">
        <v>0</v>
      </c>
      <c r="W669">
        <v>0</v>
      </c>
      <c r="X669">
        <v>2</v>
      </c>
      <c r="Y669">
        <v>0</v>
      </c>
      <c r="AA669">
        <v>1</v>
      </c>
      <c r="AB669">
        <v>8</v>
      </c>
      <c r="AC669">
        <v>3</v>
      </c>
      <c r="AD669">
        <v>0</v>
      </c>
      <c r="AE669">
        <v>9</v>
      </c>
      <c r="AF669" t="s">
        <v>138</v>
      </c>
      <c r="AG669">
        <v>0</v>
      </c>
      <c r="AH669">
        <v>3</v>
      </c>
      <c r="AI669">
        <v>1</v>
      </c>
      <c r="AJ669">
        <v>0</v>
      </c>
      <c r="AK669" t="s">
        <v>318</v>
      </c>
      <c r="AL669">
        <v>32.817341999999996</v>
      </c>
      <c r="AM669" t="s">
        <v>328</v>
      </c>
      <c r="AN669">
        <v>-116.962423</v>
      </c>
      <c r="AO669">
        <v>25</v>
      </c>
      <c r="AP669">
        <v>1800</v>
      </c>
      <c r="AQ669" t="s">
        <v>129</v>
      </c>
      <c r="AR669">
        <v>127</v>
      </c>
      <c r="AS669">
        <v>-2</v>
      </c>
      <c r="AT669">
        <v>0</v>
      </c>
      <c r="BB669">
        <v>1200</v>
      </c>
      <c r="BC669">
        <v>1</v>
      </c>
      <c r="BD669" t="str">
        <f t="shared" si="231"/>
        <v xml:space="preserve">N887QR  </v>
      </c>
      <c r="BE669">
        <v>1</v>
      </c>
      <c r="BG669">
        <v>0</v>
      </c>
      <c r="BH669">
        <v>0</v>
      </c>
      <c r="BI669">
        <v>0</v>
      </c>
      <c r="BJ669">
        <v>1525</v>
      </c>
      <c r="BK669">
        <v>-275</v>
      </c>
      <c r="BL669" t="s">
        <v>163</v>
      </c>
      <c r="BM669">
        <v>1</v>
      </c>
      <c r="BN669">
        <v>1</v>
      </c>
      <c r="BO669">
        <v>1</v>
      </c>
      <c r="BP669">
        <v>0</v>
      </c>
      <c r="BS669">
        <v>0</v>
      </c>
      <c r="BT669">
        <v>0</v>
      </c>
      <c r="BU669">
        <v>0</v>
      </c>
      <c r="CE669" t="str">
        <f t="shared" si="240"/>
        <v>19:27:28.353</v>
      </c>
      <c r="CF669">
        <v>352554370</v>
      </c>
      <c r="CS669">
        <v>3</v>
      </c>
      <c r="CT669">
        <v>2</v>
      </c>
      <c r="CU669">
        <v>0</v>
      </c>
      <c r="CV669">
        <v>2</v>
      </c>
      <c r="CW669">
        <v>0</v>
      </c>
      <c r="CX669">
        <v>6</v>
      </c>
      <c r="CY669">
        <v>7</v>
      </c>
      <c r="CZ669" t="s">
        <v>131</v>
      </c>
      <c r="DA669">
        <v>300</v>
      </c>
      <c r="DB669">
        <v>0</v>
      </c>
      <c r="DC669" t="s">
        <v>176</v>
      </c>
      <c r="DD669" t="s">
        <v>177</v>
      </c>
      <c r="DG669">
        <v>5368671</v>
      </c>
      <c r="DI669">
        <v>1</v>
      </c>
      <c r="DJ669">
        <v>0</v>
      </c>
      <c r="DK669">
        <v>1</v>
      </c>
      <c r="DL669">
        <v>0</v>
      </c>
      <c r="DM669">
        <v>0</v>
      </c>
      <c r="DN669">
        <v>1</v>
      </c>
      <c r="DO669">
        <v>0</v>
      </c>
      <c r="DP669">
        <v>0</v>
      </c>
      <c r="DQ669">
        <v>0</v>
      </c>
      <c r="DR669">
        <v>0</v>
      </c>
      <c r="DS669">
        <v>0</v>
      </c>
    </row>
    <row r="670" spans="1:123" x14ac:dyDescent="0.3">
      <c r="A670" t="str">
        <f>"10/04/2022 19:27:28.571"</f>
        <v>10/04/2022 19:27:28.571</v>
      </c>
      <c r="C670" t="str">
        <f t="shared" si="238"/>
        <v>FFDFD3C0</v>
      </c>
      <c r="D670" t="s">
        <v>123</v>
      </c>
      <c r="E670">
        <v>7</v>
      </c>
      <c r="F670">
        <v>2007</v>
      </c>
      <c r="G670" t="s">
        <v>124</v>
      </c>
      <c r="J670" t="s">
        <v>125</v>
      </c>
      <c r="K670">
        <v>0</v>
      </c>
      <c r="L670">
        <v>3</v>
      </c>
      <c r="M670">
        <v>0</v>
      </c>
      <c r="N670">
        <v>2</v>
      </c>
      <c r="O670">
        <v>0</v>
      </c>
      <c r="P670">
        <v>1</v>
      </c>
      <c r="Q670">
        <v>0</v>
      </c>
      <c r="S670" t="str">
        <f t="shared" si="239"/>
        <v>19:27:28.000</v>
      </c>
      <c r="T670" t="str">
        <f t="shared" si="239"/>
        <v>19:27:28.000</v>
      </c>
      <c r="U670" t="str">
        <f t="shared" si="230"/>
        <v>AC3944</v>
      </c>
      <c r="V670">
        <v>0</v>
      </c>
      <c r="W670">
        <v>0</v>
      </c>
      <c r="X670">
        <v>2</v>
      </c>
      <c r="Y670">
        <v>0</v>
      </c>
      <c r="AA670">
        <v>1</v>
      </c>
      <c r="AB670">
        <v>8</v>
      </c>
      <c r="AC670">
        <v>3</v>
      </c>
      <c r="AD670">
        <v>0</v>
      </c>
      <c r="AE670">
        <v>9</v>
      </c>
      <c r="AF670" t="s">
        <v>138</v>
      </c>
      <c r="AG670">
        <v>0</v>
      </c>
      <c r="AH670">
        <v>3</v>
      </c>
      <c r="AI670">
        <v>1</v>
      </c>
      <c r="AJ670">
        <v>0</v>
      </c>
      <c r="AK670" t="s">
        <v>318</v>
      </c>
      <c r="AL670">
        <v>32.817341999999996</v>
      </c>
      <c r="AM670" t="s">
        <v>328</v>
      </c>
      <c r="AN670">
        <v>-116.962423</v>
      </c>
      <c r="AO670">
        <v>25</v>
      </c>
      <c r="AP670">
        <v>1800</v>
      </c>
      <c r="AQ670" t="s">
        <v>129</v>
      </c>
      <c r="AR670">
        <v>127</v>
      </c>
      <c r="AS670">
        <v>-2</v>
      </c>
      <c r="AT670">
        <v>0</v>
      </c>
      <c r="BB670">
        <v>1200</v>
      </c>
      <c r="BC670">
        <v>1</v>
      </c>
      <c r="BD670" t="str">
        <f t="shared" si="231"/>
        <v xml:space="preserve">N887QR  </v>
      </c>
      <c r="BE670">
        <v>1</v>
      </c>
      <c r="BG670">
        <v>0</v>
      </c>
      <c r="BH670">
        <v>0</v>
      </c>
      <c r="BI670">
        <v>0</v>
      </c>
      <c r="BJ670">
        <v>1525</v>
      </c>
      <c r="BK670">
        <v>-275</v>
      </c>
      <c r="BL670" t="s">
        <v>163</v>
      </c>
      <c r="BM670">
        <v>1</v>
      </c>
      <c r="BN670">
        <v>1</v>
      </c>
      <c r="BO670">
        <v>1</v>
      </c>
      <c r="BP670">
        <v>0</v>
      </c>
      <c r="BS670">
        <v>0</v>
      </c>
      <c r="BT670">
        <v>0</v>
      </c>
      <c r="BU670">
        <v>0</v>
      </c>
      <c r="CE670" t="str">
        <f t="shared" si="240"/>
        <v>19:27:28.353</v>
      </c>
      <c r="CF670">
        <v>352554370</v>
      </c>
      <c r="CS670">
        <v>3</v>
      </c>
      <c r="CT670">
        <v>2</v>
      </c>
      <c r="CU670">
        <v>0</v>
      </c>
      <c r="CV670">
        <v>2</v>
      </c>
      <c r="CW670">
        <v>0</v>
      </c>
      <c r="CX670">
        <v>6</v>
      </c>
      <c r="CY670">
        <v>7</v>
      </c>
      <c r="CZ670" t="s">
        <v>131</v>
      </c>
      <c r="DA670">
        <v>300</v>
      </c>
      <c r="DB670">
        <v>0</v>
      </c>
      <c r="DC670" t="s">
        <v>176</v>
      </c>
      <c r="DD670" t="s">
        <v>177</v>
      </c>
      <c r="DG670">
        <v>5368671</v>
      </c>
      <c r="DI670">
        <v>1</v>
      </c>
      <c r="DJ670">
        <v>0</v>
      </c>
      <c r="DK670">
        <v>1</v>
      </c>
      <c r="DL670">
        <v>0</v>
      </c>
      <c r="DM670">
        <v>0</v>
      </c>
      <c r="DN670">
        <v>1</v>
      </c>
      <c r="DO670">
        <v>0</v>
      </c>
      <c r="DP670">
        <v>0</v>
      </c>
      <c r="DQ670">
        <v>0</v>
      </c>
      <c r="DR670">
        <v>0</v>
      </c>
      <c r="DS670">
        <v>0</v>
      </c>
    </row>
    <row r="671" spans="1:123" x14ac:dyDescent="0.3">
      <c r="A671" t="str">
        <f>"10/04/2022 19:27:28.571"</f>
        <v>10/04/2022 19:27:28.571</v>
      </c>
      <c r="C671" t="str">
        <f t="shared" si="238"/>
        <v>FFDFD3C0</v>
      </c>
      <c r="D671" t="s">
        <v>136</v>
      </c>
      <c r="E671">
        <v>8</v>
      </c>
      <c r="H671">
        <v>225</v>
      </c>
      <c r="I671" t="s">
        <v>137</v>
      </c>
      <c r="J671" t="s">
        <v>138</v>
      </c>
      <c r="K671">
        <v>0</v>
      </c>
      <c r="L671">
        <v>3</v>
      </c>
      <c r="M671">
        <v>0</v>
      </c>
      <c r="N671">
        <v>2</v>
      </c>
      <c r="O671">
        <v>0</v>
      </c>
      <c r="P671">
        <v>1</v>
      </c>
      <c r="Q671">
        <v>0</v>
      </c>
      <c r="S671" t="str">
        <f t="shared" si="239"/>
        <v>19:27:28.000</v>
      </c>
      <c r="T671" t="str">
        <f t="shared" si="239"/>
        <v>19:27:28.000</v>
      </c>
      <c r="U671" t="str">
        <f t="shared" si="230"/>
        <v>AC3944</v>
      </c>
      <c r="V671">
        <v>0</v>
      </c>
      <c r="W671">
        <v>0</v>
      </c>
      <c r="X671">
        <v>2</v>
      </c>
      <c r="Y671">
        <v>0</v>
      </c>
      <c r="AA671">
        <v>1</v>
      </c>
      <c r="AB671">
        <v>8</v>
      </c>
      <c r="AC671">
        <v>3</v>
      </c>
      <c r="AD671">
        <v>0</v>
      </c>
      <c r="AE671">
        <v>9</v>
      </c>
      <c r="AF671" t="s">
        <v>138</v>
      </c>
      <c r="AG671">
        <v>0</v>
      </c>
      <c r="AH671">
        <v>3</v>
      </c>
      <c r="AI671">
        <v>1</v>
      </c>
      <c r="AJ671">
        <v>0</v>
      </c>
      <c r="AK671" t="s">
        <v>318</v>
      </c>
      <c r="AL671">
        <v>32.817341999999996</v>
      </c>
      <c r="AM671" t="s">
        <v>328</v>
      </c>
      <c r="AN671">
        <v>-116.962423</v>
      </c>
      <c r="AO671">
        <v>25</v>
      </c>
      <c r="AP671">
        <v>1800</v>
      </c>
      <c r="AQ671" t="s">
        <v>129</v>
      </c>
      <c r="AR671">
        <v>127</v>
      </c>
      <c r="AS671">
        <v>-2</v>
      </c>
      <c r="AT671">
        <v>0</v>
      </c>
      <c r="BB671">
        <v>1200</v>
      </c>
      <c r="BC671">
        <v>1</v>
      </c>
      <c r="BD671" t="str">
        <f t="shared" si="231"/>
        <v xml:space="preserve">N887QR  </v>
      </c>
      <c r="BE671">
        <v>1</v>
      </c>
      <c r="BG671">
        <v>0</v>
      </c>
      <c r="BH671">
        <v>0</v>
      </c>
      <c r="BI671">
        <v>0</v>
      </c>
      <c r="BJ671">
        <v>1525</v>
      </c>
      <c r="BK671">
        <v>-275</v>
      </c>
      <c r="BL671" t="s">
        <v>163</v>
      </c>
      <c r="BM671">
        <v>1</v>
      </c>
      <c r="BN671">
        <v>1</v>
      </c>
      <c r="BO671">
        <v>1</v>
      </c>
      <c r="BP671">
        <v>0</v>
      </c>
      <c r="BS671">
        <v>0</v>
      </c>
      <c r="BT671">
        <v>0</v>
      </c>
      <c r="BU671">
        <v>0</v>
      </c>
      <c r="CE671" t="str">
        <f t="shared" si="240"/>
        <v>19:27:28.353</v>
      </c>
      <c r="CF671">
        <v>352554370</v>
      </c>
      <c r="CS671">
        <v>3</v>
      </c>
      <c r="CT671">
        <v>2</v>
      </c>
      <c r="CU671">
        <v>0</v>
      </c>
      <c r="CV671">
        <v>2</v>
      </c>
      <c r="CW671">
        <v>0</v>
      </c>
      <c r="CX671">
        <v>6</v>
      </c>
      <c r="CY671">
        <v>7</v>
      </c>
      <c r="CZ671" t="s">
        <v>131</v>
      </c>
      <c r="DA671">
        <v>300</v>
      </c>
      <c r="DB671">
        <v>0</v>
      </c>
      <c r="DC671" t="s">
        <v>176</v>
      </c>
      <c r="DD671" t="s">
        <v>177</v>
      </c>
      <c r="DG671">
        <v>5368671</v>
      </c>
      <c r="DI671">
        <v>1</v>
      </c>
      <c r="DJ671">
        <v>0</v>
      </c>
      <c r="DK671">
        <v>1</v>
      </c>
      <c r="DL671">
        <v>0</v>
      </c>
      <c r="DM671">
        <v>0</v>
      </c>
      <c r="DN671">
        <v>1</v>
      </c>
      <c r="DO671">
        <v>0</v>
      </c>
      <c r="DP671">
        <v>0</v>
      </c>
      <c r="DQ671">
        <v>0</v>
      </c>
      <c r="DR671">
        <v>0</v>
      </c>
      <c r="DS671">
        <v>0</v>
      </c>
    </row>
    <row r="672" spans="1:123" x14ac:dyDescent="0.3">
      <c r="A672" t="str">
        <f>"10/04/2022 19:27:28.571"</f>
        <v>10/04/2022 19:27:28.571</v>
      </c>
      <c r="C672" t="str">
        <f t="shared" si="238"/>
        <v>FFDFD3C0</v>
      </c>
      <c r="D672" t="s">
        <v>147</v>
      </c>
      <c r="E672">
        <v>3</v>
      </c>
      <c r="H672">
        <v>166</v>
      </c>
      <c r="I672" t="s">
        <v>144</v>
      </c>
      <c r="J672" t="s">
        <v>148</v>
      </c>
      <c r="K672">
        <v>0</v>
      </c>
      <c r="L672">
        <v>3</v>
      </c>
      <c r="M672">
        <v>0</v>
      </c>
      <c r="N672">
        <v>2</v>
      </c>
      <c r="O672">
        <v>0</v>
      </c>
      <c r="P672">
        <v>1</v>
      </c>
      <c r="Q672">
        <v>0</v>
      </c>
      <c r="S672" t="str">
        <f t="shared" si="239"/>
        <v>19:27:28.000</v>
      </c>
      <c r="T672" t="str">
        <f t="shared" si="239"/>
        <v>19:27:28.000</v>
      </c>
      <c r="U672" t="str">
        <f t="shared" si="230"/>
        <v>AC3944</v>
      </c>
      <c r="V672">
        <v>0</v>
      </c>
      <c r="W672">
        <v>0</v>
      </c>
      <c r="X672">
        <v>2</v>
      </c>
      <c r="Y672">
        <v>0</v>
      </c>
      <c r="AA672">
        <v>1</v>
      </c>
      <c r="AB672">
        <v>8</v>
      </c>
      <c r="AC672">
        <v>3</v>
      </c>
      <c r="AD672">
        <v>0</v>
      </c>
      <c r="AE672">
        <v>9</v>
      </c>
      <c r="AF672" t="s">
        <v>138</v>
      </c>
      <c r="AG672">
        <v>0</v>
      </c>
      <c r="AH672">
        <v>3</v>
      </c>
      <c r="AI672">
        <v>1</v>
      </c>
      <c r="AJ672">
        <v>0</v>
      </c>
      <c r="AK672" t="s">
        <v>318</v>
      </c>
      <c r="AL672">
        <v>32.817341999999996</v>
      </c>
      <c r="AM672" t="s">
        <v>328</v>
      </c>
      <c r="AN672">
        <v>-116.962423</v>
      </c>
      <c r="AO672">
        <v>25</v>
      </c>
      <c r="AP672">
        <v>1800</v>
      </c>
      <c r="AQ672" t="s">
        <v>129</v>
      </c>
      <c r="AR672">
        <v>127</v>
      </c>
      <c r="AS672">
        <v>-2</v>
      </c>
      <c r="AT672">
        <v>0</v>
      </c>
      <c r="BB672">
        <v>1200</v>
      </c>
      <c r="BC672">
        <v>1</v>
      </c>
      <c r="BD672" t="str">
        <f t="shared" si="231"/>
        <v xml:space="preserve">N887QR  </v>
      </c>
      <c r="BE672">
        <v>1</v>
      </c>
      <c r="BG672">
        <v>0</v>
      </c>
      <c r="BH672">
        <v>0</v>
      </c>
      <c r="BI672">
        <v>0</v>
      </c>
      <c r="BJ672">
        <v>1525</v>
      </c>
      <c r="BK672">
        <v>-275</v>
      </c>
      <c r="BL672" t="s">
        <v>163</v>
      </c>
      <c r="BM672">
        <v>1</v>
      </c>
      <c r="BN672">
        <v>1</v>
      </c>
      <c r="BO672">
        <v>1</v>
      </c>
      <c r="BP672">
        <v>0</v>
      </c>
      <c r="BS672">
        <v>0</v>
      </c>
      <c r="BT672">
        <v>0</v>
      </c>
      <c r="BU672">
        <v>0</v>
      </c>
      <c r="CE672" t="str">
        <f t="shared" si="240"/>
        <v>19:27:28.353</v>
      </c>
      <c r="CF672">
        <v>352554370</v>
      </c>
      <c r="CS672">
        <v>3</v>
      </c>
      <c r="CT672">
        <v>2</v>
      </c>
      <c r="CU672">
        <v>0</v>
      </c>
      <c r="CV672">
        <v>2</v>
      </c>
      <c r="CW672">
        <v>0</v>
      </c>
      <c r="CX672">
        <v>6</v>
      </c>
      <c r="CY672">
        <v>7</v>
      </c>
      <c r="CZ672" t="s">
        <v>131</v>
      </c>
      <c r="DA672">
        <v>300</v>
      </c>
      <c r="DB672">
        <v>0</v>
      </c>
      <c r="DC672" t="s">
        <v>176</v>
      </c>
      <c r="DD672" t="s">
        <v>177</v>
      </c>
      <c r="DG672">
        <v>5368671</v>
      </c>
      <c r="DI672">
        <v>1</v>
      </c>
      <c r="DJ672">
        <v>0</v>
      </c>
      <c r="DK672">
        <v>1</v>
      </c>
      <c r="DL672">
        <v>0</v>
      </c>
      <c r="DM672">
        <v>0</v>
      </c>
      <c r="DN672">
        <v>1</v>
      </c>
      <c r="DO672">
        <v>0</v>
      </c>
      <c r="DP672">
        <v>0</v>
      </c>
      <c r="DQ672">
        <v>0</v>
      </c>
      <c r="DR672">
        <v>0</v>
      </c>
      <c r="DS672">
        <v>0</v>
      </c>
    </row>
    <row r="673" spans="1:123" x14ac:dyDescent="0.3">
      <c r="A673" t="str">
        <f>"10/04/2022 19:27:28.571"</f>
        <v>10/04/2022 19:27:28.571</v>
      </c>
      <c r="C673" t="str">
        <f t="shared" si="238"/>
        <v>FFDFD3C0</v>
      </c>
      <c r="D673" t="s">
        <v>141</v>
      </c>
      <c r="E673">
        <v>3</v>
      </c>
      <c r="H673">
        <v>3</v>
      </c>
      <c r="I673" t="s">
        <v>146</v>
      </c>
      <c r="J673" t="s">
        <v>138</v>
      </c>
      <c r="K673">
        <v>0</v>
      </c>
      <c r="L673">
        <v>3</v>
      </c>
      <c r="M673">
        <v>0</v>
      </c>
      <c r="N673">
        <v>2</v>
      </c>
      <c r="O673">
        <v>0</v>
      </c>
      <c r="P673">
        <v>1</v>
      </c>
      <c r="Q673">
        <v>0</v>
      </c>
      <c r="S673" t="str">
        <f t="shared" si="239"/>
        <v>19:27:28.000</v>
      </c>
      <c r="T673" t="str">
        <f t="shared" si="239"/>
        <v>19:27:28.000</v>
      </c>
      <c r="U673" t="str">
        <f t="shared" si="230"/>
        <v>AC3944</v>
      </c>
      <c r="V673">
        <v>0</v>
      </c>
      <c r="W673">
        <v>0</v>
      </c>
      <c r="X673">
        <v>2</v>
      </c>
      <c r="Y673">
        <v>0</v>
      </c>
      <c r="AA673">
        <v>1</v>
      </c>
      <c r="AB673">
        <v>8</v>
      </c>
      <c r="AC673">
        <v>3</v>
      </c>
      <c r="AD673">
        <v>0</v>
      </c>
      <c r="AE673">
        <v>9</v>
      </c>
      <c r="AF673" t="s">
        <v>138</v>
      </c>
      <c r="AG673">
        <v>0</v>
      </c>
      <c r="AH673">
        <v>3</v>
      </c>
      <c r="AI673">
        <v>1</v>
      </c>
      <c r="AJ673">
        <v>0</v>
      </c>
      <c r="AK673" t="s">
        <v>318</v>
      </c>
      <c r="AL673">
        <v>32.817341999999996</v>
      </c>
      <c r="AM673" t="s">
        <v>328</v>
      </c>
      <c r="AN673">
        <v>-116.962423</v>
      </c>
      <c r="AO673">
        <v>25</v>
      </c>
      <c r="AP673">
        <v>1800</v>
      </c>
      <c r="AQ673" t="s">
        <v>129</v>
      </c>
      <c r="AR673">
        <v>127</v>
      </c>
      <c r="AS673">
        <v>-2</v>
      </c>
      <c r="AT673">
        <v>0</v>
      </c>
      <c r="BB673">
        <v>1200</v>
      </c>
      <c r="BC673">
        <v>1</v>
      </c>
      <c r="BD673" t="str">
        <f t="shared" si="231"/>
        <v xml:space="preserve">N887QR  </v>
      </c>
      <c r="BE673">
        <v>1</v>
      </c>
      <c r="BG673">
        <v>0</v>
      </c>
      <c r="BH673">
        <v>0</v>
      </c>
      <c r="BI673">
        <v>0</v>
      </c>
      <c r="BJ673">
        <v>1525</v>
      </c>
      <c r="BK673">
        <v>-275</v>
      </c>
      <c r="BL673" t="s">
        <v>163</v>
      </c>
      <c r="BM673">
        <v>1</v>
      </c>
      <c r="BN673">
        <v>1</v>
      </c>
      <c r="BO673">
        <v>1</v>
      </c>
      <c r="BP673">
        <v>0</v>
      </c>
      <c r="BS673">
        <v>0</v>
      </c>
      <c r="BT673">
        <v>0</v>
      </c>
      <c r="BU673">
        <v>0</v>
      </c>
      <c r="CE673" t="str">
        <f t="shared" si="240"/>
        <v>19:27:28.353</v>
      </c>
      <c r="CF673">
        <v>352554370</v>
      </c>
      <c r="CS673">
        <v>3</v>
      </c>
      <c r="CT673">
        <v>2</v>
      </c>
      <c r="CU673">
        <v>0</v>
      </c>
      <c r="CV673">
        <v>2</v>
      </c>
      <c r="CW673">
        <v>0</v>
      </c>
      <c r="CX673">
        <v>6</v>
      </c>
      <c r="CY673">
        <v>7</v>
      </c>
      <c r="CZ673" t="s">
        <v>131</v>
      </c>
      <c r="DA673">
        <v>300</v>
      </c>
      <c r="DB673">
        <v>0</v>
      </c>
      <c r="DC673" t="s">
        <v>176</v>
      </c>
      <c r="DD673" t="s">
        <v>177</v>
      </c>
      <c r="DG673">
        <v>5368671</v>
      </c>
      <c r="DI673">
        <v>1</v>
      </c>
      <c r="DJ673">
        <v>0</v>
      </c>
      <c r="DK673">
        <v>1</v>
      </c>
      <c r="DL673">
        <v>0</v>
      </c>
      <c r="DM673">
        <v>0</v>
      </c>
      <c r="DN673">
        <v>1</v>
      </c>
      <c r="DO673">
        <v>0</v>
      </c>
      <c r="DP673">
        <v>0</v>
      </c>
      <c r="DQ673">
        <v>0</v>
      </c>
      <c r="DR673">
        <v>0</v>
      </c>
      <c r="DS673">
        <v>0</v>
      </c>
    </row>
    <row r="674" spans="1:123" x14ac:dyDescent="0.3">
      <c r="A674" t="str">
        <f>"10/04/2022 19:27:28.571"</f>
        <v>10/04/2022 19:27:28.571</v>
      </c>
      <c r="C674" t="str">
        <f t="shared" si="238"/>
        <v>FFDFD3C0</v>
      </c>
      <c r="D674" t="s">
        <v>141</v>
      </c>
      <c r="E674">
        <v>4</v>
      </c>
      <c r="H674">
        <v>4</v>
      </c>
      <c r="I674" t="s">
        <v>142</v>
      </c>
      <c r="J674" t="s">
        <v>138</v>
      </c>
      <c r="K674">
        <v>0</v>
      </c>
      <c r="L674">
        <v>3</v>
      </c>
      <c r="M674">
        <v>0</v>
      </c>
      <c r="N674">
        <v>2</v>
      </c>
      <c r="O674">
        <v>0</v>
      </c>
      <c r="P674">
        <v>1</v>
      </c>
      <c r="Q674">
        <v>0</v>
      </c>
      <c r="S674" t="str">
        <f t="shared" si="239"/>
        <v>19:27:28.000</v>
      </c>
      <c r="T674" t="str">
        <f t="shared" si="239"/>
        <v>19:27:28.000</v>
      </c>
      <c r="U674" t="str">
        <f t="shared" si="230"/>
        <v>AC3944</v>
      </c>
      <c r="V674">
        <v>0</v>
      </c>
      <c r="W674">
        <v>0</v>
      </c>
      <c r="X674">
        <v>2</v>
      </c>
      <c r="Y674">
        <v>0</v>
      </c>
      <c r="AA674">
        <v>1</v>
      </c>
      <c r="AB674">
        <v>8</v>
      </c>
      <c r="AC674">
        <v>3</v>
      </c>
      <c r="AD674">
        <v>0</v>
      </c>
      <c r="AE674">
        <v>9</v>
      </c>
      <c r="AF674" t="s">
        <v>138</v>
      </c>
      <c r="AG674">
        <v>0</v>
      </c>
      <c r="AH674">
        <v>3</v>
      </c>
      <c r="AI674">
        <v>1</v>
      </c>
      <c r="AJ674">
        <v>0</v>
      </c>
      <c r="AK674" t="s">
        <v>318</v>
      </c>
      <c r="AL674">
        <v>32.817341999999996</v>
      </c>
      <c r="AM674" t="s">
        <v>328</v>
      </c>
      <c r="AN674">
        <v>-116.962423</v>
      </c>
      <c r="AO674">
        <v>25</v>
      </c>
      <c r="AP674">
        <v>1800</v>
      </c>
      <c r="AQ674" t="s">
        <v>129</v>
      </c>
      <c r="AR674">
        <v>127</v>
      </c>
      <c r="AS674">
        <v>-2</v>
      </c>
      <c r="AT674">
        <v>0</v>
      </c>
      <c r="BB674">
        <v>1200</v>
      </c>
      <c r="BC674">
        <v>1</v>
      </c>
      <c r="BD674" t="str">
        <f t="shared" si="231"/>
        <v xml:space="preserve">N887QR  </v>
      </c>
      <c r="BE674">
        <v>1</v>
      </c>
      <c r="BG674">
        <v>0</v>
      </c>
      <c r="BH674">
        <v>0</v>
      </c>
      <c r="BI674">
        <v>0</v>
      </c>
      <c r="BJ674">
        <v>1525</v>
      </c>
      <c r="BK674">
        <v>-275</v>
      </c>
      <c r="BL674" t="s">
        <v>163</v>
      </c>
      <c r="BM674">
        <v>1</v>
      </c>
      <c r="BN674">
        <v>1</v>
      </c>
      <c r="BO674">
        <v>1</v>
      </c>
      <c r="BP674">
        <v>0</v>
      </c>
      <c r="BS674">
        <v>0</v>
      </c>
      <c r="BT674">
        <v>0</v>
      </c>
      <c r="BU674">
        <v>0</v>
      </c>
      <c r="CE674" t="str">
        <f t="shared" si="240"/>
        <v>19:27:28.353</v>
      </c>
      <c r="CF674">
        <v>352554370</v>
      </c>
      <c r="CS674">
        <v>3</v>
      </c>
      <c r="CT674">
        <v>2</v>
      </c>
      <c r="CU674">
        <v>0</v>
      </c>
      <c r="CV674">
        <v>2</v>
      </c>
      <c r="CW674">
        <v>0</v>
      </c>
      <c r="CX674">
        <v>6</v>
      </c>
      <c r="CY674">
        <v>7</v>
      </c>
      <c r="CZ674" t="s">
        <v>131</v>
      </c>
      <c r="DA674">
        <v>300</v>
      </c>
      <c r="DB674">
        <v>0</v>
      </c>
      <c r="DC674" t="s">
        <v>176</v>
      </c>
      <c r="DD674" t="s">
        <v>177</v>
      </c>
      <c r="DG674">
        <v>5368671</v>
      </c>
      <c r="DI674">
        <v>1</v>
      </c>
      <c r="DJ674">
        <v>0</v>
      </c>
      <c r="DK674">
        <v>1</v>
      </c>
      <c r="DL674">
        <v>0</v>
      </c>
      <c r="DM674">
        <v>0</v>
      </c>
      <c r="DN674">
        <v>1</v>
      </c>
      <c r="DO674">
        <v>0</v>
      </c>
      <c r="DP674">
        <v>0</v>
      </c>
      <c r="DQ674">
        <v>0</v>
      </c>
      <c r="DR674">
        <v>0</v>
      </c>
      <c r="DS674">
        <v>0</v>
      </c>
    </row>
    <row r="675" spans="1:123" x14ac:dyDescent="0.3">
      <c r="A675" t="str">
        <f>"10/04/2022 19:27:29.540"</f>
        <v>10/04/2022 19:27:29.540</v>
      </c>
      <c r="C675" t="str">
        <f t="shared" si="238"/>
        <v>FFDFD3C0</v>
      </c>
      <c r="D675" t="s">
        <v>147</v>
      </c>
      <c r="E675">
        <v>3</v>
      </c>
      <c r="H675">
        <v>166</v>
      </c>
      <c r="I675" t="s">
        <v>144</v>
      </c>
      <c r="J675" t="s">
        <v>148</v>
      </c>
      <c r="K675">
        <v>0</v>
      </c>
      <c r="L675">
        <v>3</v>
      </c>
      <c r="M675">
        <v>0</v>
      </c>
      <c r="N675">
        <v>2</v>
      </c>
      <c r="O675">
        <v>0</v>
      </c>
      <c r="P675">
        <v>1</v>
      </c>
      <c r="Q675">
        <v>0</v>
      </c>
      <c r="S675" t="str">
        <f t="shared" ref="S675:T688" si="241">"19:27:29.000"</f>
        <v>19:27:29.000</v>
      </c>
      <c r="T675" t="str">
        <f t="shared" si="241"/>
        <v>19:27:29.000</v>
      </c>
      <c r="U675" t="str">
        <f t="shared" si="230"/>
        <v>AC3944</v>
      </c>
      <c r="V675">
        <v>0</v>
      </c>
      <c r="W675">
        <v>0</v>
      </c>
      <c r="X675">
        <v>2</v>
      </c>
      <c r="Y675">
        <v>0</v>
      </c>
      <c r="AA675">
        <v>1</v>
      </c>
      <c r="AB675">
        <v>8</v>
      </c>
      <c r="AC675">
        <v>3</v>
      </c>
      <c r="AD675">
        <v>0</v>
      </c>
      <c r="AE675">
        <v>9</v>
      </c>
      <c r="AF675" t="s">
        <v>138</v>
      </c>
      <c r="AG675">
        <v>0</v>
      </c>
      <c r="AH675">
        <v>3</v>
      </c>
      <c r="AI675">
        <v>1</v>
      </c>
      <c r="AJ675">
        <v>0</v>
      </c>
      <c r="AK675" t="s">
        <v>320</v>
      </c>
      <c r="AL675">
        <v>32.817321</v>
      </c>
      <c r="AM675" t="s">
        <v>329</v>
      </c>
      <c r="AN675">
        <v>-116.961715</v>
      </c>
      <c r="AO675">
        <v>25</v>
      </c>
      <c r="AP675">
        <v>1800</v>
      </c>
      <c r="AQ675" t="s">
        <v>129</v>
      </c>
      <c r="AR675">
        <v>128</v>
      </c>
      <c r="AS675">
        <v>-4</v>
      </c>
      <c r="AT675">
        <v>0</v>
      </c>
      <c r="BB675">
        <v>1200</v>
      </c>
      <c r="BC675">
        <v>1</v>
      </c>
      <c r="BD675" t="str">
        <f t="shared" si="231"/>
        <v xml:space="preserve">N887QR  </v>
      </c>
      <c r="BE675">
        <v>1</v>
      </c>
      <c r="BG675">
        <v>0</v>
      </c>
      <c r="BH675">
        <v>0</v>
      </c>
      <c r="BI675">
        <v>0</v>
      </c>
      <c r="BJ675">
        <v>1525</v>
      </c>
      <c r="BK675">
        <v>-275</v>
      </c>
      <c r="BL675" t="s">
        <v>163</v>
      </c>
      <c r="BM675">
        <v>1</v>
      </c>
      <c r="BN675">
        <v>1</v>
      </c>
      <c r="BO675">
        <v>1</v>
      </c>
      <c r="BP675">
        <v>0</v>
      </c>
      <c r="BS675">
        <v>0</v>
      </c>
      <c r="BT675">
        <v>0</v>
      </c>
      <c r="BU675">
        <v>0</v>
      </c>
      <c r="CE675" t="str">
        <f t="shared" ref="CE675:CE681" si="242">"19:27:29.350"</f>
        <v>19:27:29.350</v>
      </c>
      <c r="CF675">
        <v>350057564</v>
      </c>
      <c r="CS675">
        <v>3</v>
      </c>
      <c r="CT675">
        <v>2</v>
      </c>
      <c r="CU675">
        <v>0</v>
      </c>
      <c r="CV675">
        <v>2</v>
      </c>
      <c r="CW675">
        <v>0</v>
      </c>
      <c r="CX675">
        <v>6</v>
      </c>
      <c r="CY675">
        <v>7</v>
      </c>
      <c r="CZ675" t="s">
        <v>131</v>
      </c>
      <c r="DA675">
        <v>300</v>
      </c>
      <c r="DB675">
        <v>0</v>
      </c>
      <c r="DC675" t="s">
        <v>176</v>
      </c>
      <c r="DD675" t="s">
        <v>177</v>
      </c>
      <c r="DG675">
        <v>5368829</v>
      </c>
      <c r="DI675">
        <v>1</v>
      </c>
      <c r="DJ675">
        <v>0</v>
      </c>
      <c r="DK675">
        <v>0</v>
      </c>
      <c r="DL675">
        <v>0</v>
      </c>
      <c r="DM675">
        <v>0</v>
      </c>
      <c r="DN675">
        <v>1</v>
      </c>
      <c r="DO675">
        <v>0</v>
      </c>
      <c r="DP675">
        <v>0</v>
      </c>
      <c r="DQ675">
        <v>0</v>
      </c>
      <c r="DR675">
        <v>0</v>
      </c>
      <c r="DS675">
        <v>0</v>
      </c>
    </row>
    <row r="676" spans="1:123" x14ac:dyDescent="0.3">
      <c r="A676" t="str">
        <f>"10/04/2022 19:27:29.540"</f>
        <v>10/04/2022 19:27:29.540</v>
      </c>
      <c r="C676" t="str">
        <f t="shared" si="238"/>
        <v>FFDFD3C0</v>
      </c>
      <c r="D676" t="s">
        <v>141</v>
      </c>
      <c r="E676">
        <v>4</v>
      </c>
      <c r="H676">
        <v>4</v>
      </c>
      <c r="I676" t="s">
        <v>142</v>
      </c>
      <c r="J676" t="s">
        <v>138</v>
      </c>
      <c r="K676">
        <v>0</v>
      </c>
      <c r="L676">
        <v>3</v>
      </c>
      <c r="M676">
        <v>0</v>
      </c>
      <c r="N676">
        <v>2</v>
      </c>
      <c r="O676">
        <v>0</v>
      </c>
      <c r="P676">
        <v>1</v>
      </c>
      <c r="Q676">
        <v>0</v>
      </c>
      <c r="S676" t="str">
        <f t="shared" si="241"/>
        <v>19:27:29.000</v>
      </c>
      <c r="T676" t="str">
        <f t="shared" si="241"/>
        <v>19:27:29.000</v>
      </c>
      <c r="U676" t="str">
        <f t="shared" si="230"/>
        <v>AC3944</v>
      </c>
      <c r="V676">
        <v>0</v>
      </c>
      <c r="W676">
        <v>0</v>
      </c>
      <c r="X676">
        <v>2</v>
      </c>
      <c r="Y676">
        <v>0</v>
      </c>
      <c r="AA676">
        <v>1</v>
      </c>
      <c r="AB676">
        <v>8</v>
      </c>
      <c r="AC676">
        <v>3</v>
      </c>
      <c r="AD676">
        <v>0</v>
      </c>
      <c r="AE676">
        <v>9</v>
      </c>
      <c r="AF676" t="s">
        <v>138</v>
      </c>
      <c r="AG676">
        <v>0</v>
      </c>
      <c r="AH676">
        <v>3</v>
      </c>
      <c r="AI676">
        <v>1</v>
      </c>
      <c r="AJ676">
        <v>0</v>
      </c>
      <c r="AK676" t="s">
        <v>320</v>
      </c>
      <c r="AL676">
        <v>32.817321</v>
      </c>
      <c r="AM676" t="s">
        <v>329</v>
      </c>
      <c r="AN676">
        <v>-116.961715</v>
      </c>
      <c r="AO676">
        <v>25</v>
      </c>
      <c r="AP676">
        <v>1800</v>
      </c>
      <c r="AQ676" t="s">
        <v>129</v>
      </c>
      <c r="AR676">
        <v>128</v>
      </c>
      <c r="AS676">
        <v>-4</v>
      </c>
      <c r="AT676">
        <v>0</v>
      </c>
      <c r="BB676">
        <v>1200</v>
      </c>
      <c r="BC676">
        <v>1</v>
      </c>
      <c r="BD676" t="str">
        <f t="shared" si="231"/>
        <v xml:space="preserve">N887QR  </v>
      </c>
      <c r="BE676">
        <v>1</v>
      </c>
      <c r="BG676">
        <v>0</v>
      </c>
      <c r="BH676">
        <v>0</v>
      </c>
      <c r="BI676">
        <v>0</v>
      </c>
      <c r="BJ676">
        <v>1525</v>
      </c>
      <c r="BK676">
        <v>-275</v>
      </c>
      <c r="BL676" t="s">
        <v>163</v>
      </c>
      <c r="BM676">
        <v>1</v>
      </c>
      <c r="BN676">
        <v>1</v>
      </c>
      <c r="BO676">
        <v>1</v>
      </c>
      <c r="BP676">
        <v>0</v>
      </c>
      <c r="BS676">
        <v>0</v>
      </c>
      <c r="BT676">
        <v>0</v>
      </c>
      <c r="BU676">
        <v>0</v>
      </c>
      <c r="CE676" t="str">
        <f t="shared" si="242"/>
        <v>19:27:29.350</v>
      </c>
      <c r="CF676">
        <v>350057564</v>
      </c>
      <c r="CS676">
        <v>3</v>
      </c>
      <c r="CT676">
        <v>2</v>
      </c>
      <c r="CU676">
        <v>0</v>
      </c>
      <c r="CV676">
        <v>2</v>
      </c>
      <c r="CW676">
        <v>0</v>
      </c>
      <c r="CX676">
        <v>6</v>
      </c>
      <c r="CY676">
        <v>7</v>
      </c>
      <c r="CZ676" t="s">
        <v>131</v>
      </c>
      <c r="DA676">
        <v>300</v>
      </c>
      <c r="DB676">
        <v>0</v>
      </c>
      <c r="DC676" t="s">
        <v>176</v>
      </c>
      <c r="DD676" t="s">
        <v>177</v>
      </c>
      <c r="DG676">
        <v>5368829</v>
      </c>
      <c r="DI676">
        <v>1</v>
      </c>
      <c r="DJ676">
        <v>0</v>
      </c>
      <c r="DK676">
        <v>1</v>
      </c>
      <c r="DL676">
        <v>0</v>
      </c>
      <c r="DM676">
        <v>0</v>
      </c>
      <c r="DN676">
        <v>1</v>
      </c>
      <c r="DO676">
        <v>0</v>
      </c>
      <c r="DP676">
        <v>0</v>
      </c>
      <c r="DQ676">
        <v>0</v>
      </c>
      <c r="DR676">
        <v>0</v>
      </c>
      <c r="DS676">
        <v>0</v>
      </c>
    </row>
    <row r="677" spans="1:123" x14ac:dyDescent="0.3">
      <c r="A677" t="str">
        <f>"10/04/2022 19:27:29.540"</f>
        <v>10/04/2022 19:27:29.540</v>
      </c>
      <c r="C677" t="str">
        <f t="shared" si="238"/>
        <v>FFDFD3C0</v>
      </c>
      <c r="D677" t="s">
        <v>141</v>
      </c>
      <c r="E677">
        <v>3</v>
      </c>
      <c r="H677">
        <v>3</v>
      </c>
      <c r="I677" t="s">
        <v>146</v>
      </c>
      <c r="J677" t="s">
        <v>138</v>
      </c>
      <c r="K677">
        <v>0</v>
      </c>
      <c r="L677">
        <v>3</v>
      </c>
      <c r="M677">
        <v>0</v>
      </c>
      <c r="N677">
        <v>2</v>
      </c>
      <c r="O677">
        <v>0</v>
      </c>
      <c r="P677">
        <v>1</v>
      </c>
      <c r="Q677">
        <v>0</v>
      </c>
      <c r="S677" t="str">
        <f t="shared" si="241"/>
        <v>19:27:29.000</v>
      </c>
      <c r="T677" t="str">
        <f t="shared" si="241"/>
        <v>19:27:29.000</v>
      </c>
      <c r="U677" t="str">
        <f t="shared" si="230"/>
        <v>AC3944</v>
      </c>
      <c r="V677">
        <v>0</v>
      </c>
      <c r="W677">
        <v>0</v>
      </c>
      <c r="X677">
        <v>2</v>
      </c>
      <c r="Y677">
        <v>0</v>
      </c>
      <c r="AA677">
        <v>1</v>
      </c>
      <c r="AB677">
        <v>8</v>
      </c>
      <c r="AC677">
        <v>3</v>
      </c>
      <c r="AD677">
        <v>0</v>
      </c>
      <c r="AE677">
        <v>9</v>
      </c>
      <c r="AF677" t="s">
        <v>138</v>
      </c>
      <c r="AG677">
        <v>0</v>
      </c>
      <c r="AH677">
        <v>3</v>
      </c>
      <c r="AI677">
        <v>1</v>
      </c>
      <c r="AJ677">
        <v>0</v>
      </c>
      <c r="AK677" t="s">
        <v>320</v>
      </c>
      <c r="AL677">
        <v>32.817321</v>
      </c>
      <c r="AM677" t="s">
        <v>329</v>
      </c>
      <c r="AN677">
        <v>-116.961715</v>
      </c>
      <c r="AO677">
        <v>25</v>
      </c>
      <c r="AP677">
        <v>1800</v>
      </c>
      <c r="AQ677" t="s">
        <v>129</v>
      </c>
      <c r="AR677">
        <v>128</v>
      </c>
      <c r="AS677">
        <v>-4</v>
      </c>
      <c r="AT677">
        <v>0</v>
      </c>
      <c r="BB677">
        <v>1200</v>
      </c>
      <c r="BC677">
        <v>1</v>
      </c>
      <c r="BD677" t="str">
        <f t="shared" si="231"/>
        <v xml:space="preserve">N887QR  </v>
      </c>
      <c r="BE677">
        <v>1</v>
      </c>
      <c r="BG677">
        <v>0</v>
      </c>
      <c r="BH677">
        <v>0</v>
      </c>
      <c r="BI677">
        <v>0</v>
      </c>
      <c r="BJ677">
        <v>1525</v>
      </c>
      <c r="BK677">
        <v>-275</v>
      </c>
      <c r="BL677" t="s">
        <v>163</v>
      </c>
      <c r="BM677">
        <v>1</v>
      </c>
      <c r="BN677">
        <v>1</v>
      </c>
      <c r="BO677">
        <v>1</v>
      </c>
      <c r="BP677">
        <v>0</v>
      </c>
      <c r="BS677">
        <v>0</v>
      </c>
      <c r="BT677">
        <v>0</v>
      </c>
      <c r="BU677">
        <v>0</v>
      </c>
      <c r="CE677" t="str">
        <f t="shared" si="242"/>
        <v>19:27:29.350</v>
      </c>
      <c r="CF677">
        <v>350057564</v>
      </c>
      <c r="CS677">
        <v>3</v>
      </c>
      <c r="CT677">
        <v>2</v>
      </c>
      <c r="CU677">
        <v>0</v>
      </c>
      <c r="CV677">
        <v>2</v>
      </c>
      <c r="CW677">
        <v>0</v>
      </c>
      <c r="CX677">
        <v>6</v>
      </c>
      <c r="CY677">
        <v>7</v>
      </c>
      <c r="CZ677" t="s">
        <v>131</v>
      </c>
      <c r="DA677">
        <v>300</v>
      </c>
      <c r="DB677">
        <v>0</v>
      </c>
      <c r="DC677" t="s">
        <v>176</v>
      </c>
      <c r="DD677" t="s">
        <v>177</v>
      </c>
      <c r="DG677">
        <v>5368829</v>
      </c>
      <c r="DI677">
        <v>1</v>
      </c>
      <c r="DJ677">
        <v>0</v>
      </c>
      <c r="DK677">
        <v>1</v>
      </c>
      <c r="DL677">
        <v>0</v>
      </c>
      <c r="DM677">
        <v>0</v>
      </c>
      <c r="DN677">
        <v>1</v>
      </c>
      <c r="DO677">
        <v>0</v>
      </c>
      <c r="DP677">
        <v>0</v>
      </c>
      <c r="DQ677">
        <v>0</v>
      </c>
      <c r="DR677">
        <v>0</v>
      </c>
      <c r="DS677">
        <v>0</v>
      </c>
    </row>
    <row r="678" spans="1:123" x14ac:dyDescent="0.3">
      <c r="A678" t="str">
        <f>"10/04/2022 19:27:29.571"</f>
        <v>10/04/2022 19:27:29.571</v>
      </c>
      <c r="C678" t="str">
        <f t="shared" si="238"/>
        <v>FFDFD3C0</v>
      </c>
      <c r="D678" t="s">
        <v>143</v>
      </c>
      <c r="E678">
        <v>20</v>
      </c>
      <c r="F678">
        <v>1020</v>
      </c>
      <c r="G678" t="s">
        <v>144</v>
      </c>
      <c r="J678" t="s">
        <v>145</v>
      </c>
      <c r="K678">
        <v>0</v>
      </c>
      <c r="L678">
        <v>3</v>
      </c>
      <c r="M678">
        <v>0</v>
      </c>
      <c r="N678">
        <v>2</v>
      </c>
      <c r="O678">
        <v>0</v>
      </c>
      <c r="P678">
        <v>1</v>
      </c>
      <c r="Q678">
        <v>0</v>
      </c>
      <c r="S678" t="str">
        <f t="shared" si="241"/>
        <v>19:27:29.000</v>
      </c>
      <c r="T678" t="str">
        <f t="shared" si="241"/>
        <v>19:27:29.000</v>
      </c>
      <c r="U678" t="str">
        <f t="shared" si="230"/>
        <v>AC3944</v>
      </c>
      <c r="V678">
        <v>0</v>
      </c>
      <c r="W678">
        <v>0</v>
      </c>
      <c r="X678">
        <v>2</v>
      </c>
      <c r="Y678">
        <v>0</v>
      </c>
      <c r="AA678">
        <v>1</v>
      </c>
      <c r="AB678">
        <v>8</v>
      </c>
      <c r="AC678">
        <v>3</v>
      </c>
      <c r="AD678">
        <v>0</v>
      </c>
      <c r="AE678">
        <v>9</v>
      </c>
      <c r="AF678" t="s">
        <v>138</v>
      </c>
      <c r="AG678">
        <v>0</v>
      </c>
      <c r="AH678">
        <v>3</v>
      </c>
      <c r="AI678">
        <v>1</v>
      </c>
      <c r="AJ678">
        <v>0</v>
      </c>
      <c r="AK678" t="s">
        <v>320</v>
      </c>
      <c r="AL678">
        <v>32.817321</v>
      </c>
      <c r="AM678" t="s">
        <v>329</v>
      </c>
      <c r="AN678">
        <v>-116.961715</v>
      </c>
      <c r="AO678">
        <v>25</v>
      </c>
      <c r="AP678">
        <v>1800</v>
      </c>
      <c r="AQ678" t="s">
        <v>129</v>
      </c>
      <c r="AR678">
        <v>128</v>
      </c>
      <c r="AS678">
        <v>-4</v>
      </c>
      <c r="AT678">
        <v>0</v>
      </c>
      <c r="BB678">
        <v>1200</v>
      </c>
      <c r="BC678">
        <v>1</v>
      </c>
      <c r="BD678" t="str">
        <f t="shared" si="231"/>
        <v xml:space="preserve">N887QR  </v>
      </c>
      <c r="BE678">
        <v>1</v>
      </c>
      <c r="BG678">
        <v>0</v>
      </c>
      <c r="BH678">
        <v>0</v>
      </c>
      <c r="BI678">
        <v>0</v>
      </c>
      <c r="BJ678">
        <v>1525</v>
      </c>
      <c r="BK678">
        <v>-275</v>
      </c>
      <c r="BL678" t="s">
        <v>163</v>
      </c>
      <c r="BM678">
        <v>1</v>
      </c>
      <c r="BN678">
        <v>1</v>
      </c>
      <c r="BO678">
        <v>1</v>
      </c>
      <c r="BP678">
        <v>0</v>
      </c>
      <c r="BS678">
        <v>0</v>
      </c>
      <c r="BT678">
        <v>0</v>
      </c>
      <c r="BU678">
        <v>0</v>
      </c>
      <c r="CE678" t="str">
        <f t="shared" si="242"/>
        <v>19:27:29.350</v>
      </c>
      <c r="CF678">
        <v>350057564</v>
      </c>
      <c r="CS678">
        <v>3</v>
      </c>
      <c r="CT678">
        <v>2</v>
      </c>
      <c r="CU678">
        <v>0</v>
      </c>
      <c r="CV678">
        <v>2</v>
      </c>
      <c r="CW678">
        <v>0</v>
      </c>
      <c r="CX678">
        <v>6</v>
      </c>
      <c r="CY678">
        <v>7</v>
      </c>
      <c r="CZ678" t="s">
        <v>131</v>
      </c>
      <c r="DA678">
        <v>300</v>
      </c>
      <c r="DB678">
        <v>0</v>
      </c>
      <c r="DC678" t="s">
        <v>176</v>
      </c>
      <c r="DD678" t="s">
        <v>177</v>
      </c>
      <c r="DG678">
        <v>5368829</v>
      </c>
      <c r="DI678">
        <v>1</v>
      </c>
      <c r="DJ678">
        <v>0</v>
      </c>
      <c r="DK678">
        <v>1</v>
      </c>
      <c r="DL678">
        <v>0</v>
      </c>
      <c r="DM678">
        <v>0</v>
      </c>
      <c r="DN678">
        <v>1</v>
      </c>
      <c r="DO678">
        <v>0</v>
      </c>
      <c r="DP678">
        <v>0</v>
      </c>
      <c r="DQ678">
        <v>0</v>
      </c>
      <c r="DR678">
        <v>0</v>
      </c>
      <c r="DS678">
        <v>0</v>
      </c>
    </row>
    <row r="679" spans="1:123" x14ac:dyDescent="0.3">
      <c r="A679" t="str">
        <f>"10/04/2022 19:27:29.571"</f>
        <v>10/04/2022 19:27:29.571</v>
      </c>
      <c r="C679" t="str">
        <f t="shared" si="238"/>
        <v>FFDFD3C0</v>
      </c>
      <c r="D679" t="s">
        <v>134</v>
      </c>
      <c r="E679">
        <v>15</v>
      </c>
      <c r="J679" t="s">
        <v>135</v>
      </c>
      <c r="K679">
        <v>0</v>
      </c>
      <c r="L679">
        <v>3</v>
      </c>
      <c r="M679">
        <v>0</v>
      </c>
      <c r="N679">
        <v>2</v>
      </c>
      <c r="O679">
        <v>0</v>
      </c>
      <c r="P679">
        <v>1</v>
      </c>
      <c r="Q679">
        <v>0</v>
      </c>
      <c r="S679" t="str">
        <f t="shared" si="241"/>
        <v>19:27:29.000</v>
      </c>
      <c r="T679" t="str">
        <f t="shared" si="241"/>
        <v>19:27:29.000</v>
      </c>
      <c r="U679" t="str">
        <f t="shared" si="230"/>
        <v>AC3944</v>
      </c>
      <c r="V679">
        <v>0</v>
      </c>
      <c r="W679">
        <v>0</v>
      </c>
      <c r="X679">
        <v>2</v>
      </c>
      <c r="Y679">
        <v>0</v>
      </c>
      <c r="AA679">
        <v>1</v>
      </c>
      <c r="AB679">
        <v>8</v>
      </c>
      <c r="AC679">
        <v>3</v>
      </c>
      <c r="AD679">
        <v>0</v>
      </c>
      <c r="AE679">
        <v>9</v>
      </c>
      <c r="AF679" t="s">
        <v>138</v>
      </c>
      <c r="AG679">
        <v>0</v>
      </c>
      <c r="AH679">
        <v>3</v>
      </c>
      <c r="AI679">
        <v>1</v>
      </c>
      <c r="AJ679">
        <v>0</v>
      </c>
      <c r="AK679" t="s">
        <v>320</v>
      </c>
      <c r="AL679">
        <v>32.817321</v>
      </c>
      <c r="AM679" t="s">
        <v>329</v>
      </c>
      <c r="AN679">
        <v>-116.961715</v>
      </c>
      <c r="AO679">
        <v>25</v>
      </c>
      <c r="AP679">
        <v>1800</v>
      </c>
      <c r="AQ679" t="s">
        <v>129</v>
      </c>
      <c r="AR679">
        <v>128</v>
      </c>
      <c r="AS679">
        <v>-4</v>
      </c>
      <c r="AT679">
        <v>0</v>
      </c>
      <c r="BB679">
        <v>1200</v>
      </c>
      <c r="BC679">
        <v>1</v>
      </c>
      <c r="BD679" t="str">
        <f t="shared" si="231"/>
        <v xml:space="preserve">N887QR  </v>
      </c>
      <c r="BE679">
        <v>1</v>
      </c>
      <c r="BG679">
        <v>0</v>
      </c>
      <c r="BH679">
        <v>0</v>
      </c>
      <c r="BI679">
        <v>0</v>
      </c>
      <c r="BJ679">
        <v>1525</v>
      </c>
      <c r="BK679">
        <v>-275</v>
      </c>
      <c r="BL679" t="s">
        <v>163</v>
      </c>
      <c r="BM679">
        <v>1</v>
      </c>
      <c r="BN679">
        <v>1</v>
      </c>
      <c r="BO679">
        <v>1</v>
      </c>
      <c r="BP679">
        <v>0</v>
      </c>
      <c r="BS679">
        <v>0</v>
      </c>
      <c r="BT679">
        <v>0</v>
      </c>
      <c r="BU679">
        <v>0</v>
      </c>
      <c r="CE679" t="str">
        <f t="shared" si="242"/>
        <v>19:27:29.350</v>
      </c>
      <c r="CF679">
        <v>350057564</v>
      </c>
      <c r="CS679">
        <v>3</v>
      </c>
      <c r="CT679">
        <v>2</v>
      </c>
      <c r="CU679">
        <v>0</v>
      </c>
      <c r="CV679">
        <v>2</v>
      </c>
      <c r="CW679">
        <v>0</v>
      </c>
      <c r="CX679">
        <v>6</v>
      </c>
      <c r="CY679">
        <v>7</v>
      </c>
      <c r="CZ679" t="s">
        <v>131</v>
      </c>
      <c r="DA679">
        <v>300</v>
      </c>
      <c r="DB679">
        <v>0</v>
      </c>
      <c r="DC679" t="s">
        <v>176</v>
      </c>
      <c r="DD679" t="s">
        <v>177</v>
      </c>
      <c r="DG679">
        <v>5368829</v>
      </c>
      <c r="DI679">
        <v>1</v>
      </c>
      <c r="DJ679">
        <v>0</v>
      </c>
      <c r="DK679">
        <v>1</v>
      </c>
      <c r="DL679">
        <v>0</v>
      </c>
      <c r="DM679">
        <v>0</v>
      </c>
      <c r="DN679">
        <v>1</v>
      </c>
      <c r="DO679">
        <v>0</v>
      </c>
      <c r="DP679">
        <v>0</v>
      </c>
      <c r="DQ679">
        <v>0</v>
      </c>
      <c r="DR679">
        <v>0</v>
      </c>
      <c r="DS679">
        <v>0</v>
      </c>
    </row>
    <row r="680" spans="1:123" x14ac:dyDescent="0.3">
      <c r="A680" t="str">
        <f>"10/04/2022 19:27:29.571"</f>
        <v>10/04/2022 19:27:29.571</v>
      </c>
      <c r="C680" t="str">
        <f t="shared" si="238"/>
        <v>FFDFD3C0</v>
      </c>
      <c r="D680" t="s">
        <v>123</v>
      </c>
      <c r="E680">
        <v>7</v>
      </c>
      <c r="F680">
        <v>2007</v>
      </c>
      <c r="G680" t="s">
        <v>124</v>
      </c>
      <c r="J680" t="s">
        <v>125</v>
      </c>
      <c r="K680">
        <v>0</v>
      </c>
      <c r="L680">
        <v>3</v>
      </c>
      <c r="M680">
        <v>0</v>
      </c>
      <c r="N680">
        <v>2</v>
      </c>
      <c r="O680">
        <v>0</v>
      </c>
      <c r="P680">
        <v>1</v>
      </c>
      <c r="Q680">
        <v>0</v>
      </c>
      <c r="S680" t="str">
        <f t="shared" si="241"/>
        <v>19:27:29.000</v>
      </c>
      <c r="T680" t="str">
        <f t="shared" si="241"/>
        <v>19:27:29.000</v>
      </c>
      <c r="U680" t="str">
        <f t="shared" si="230"/>
        <v>AC3944</v>
      </c>
      <c r="V680">
        <v>0</v>
      </c>
      <c r="W680">
        <v>0</v>
      </c>
      <c r="X680">
        <v>2</v>
      </c>
      <c r="Y680">
        <v>0</v>
      </c>
      <c r="AA680">
        <v>1</v>
      </c>
      <c r="AB680">
        <v>8</v>
      </c>
      <c r="AC680">
        <v>3</v>
      </c>
      <c r="AD680">
        <v>0</v>
      </c>
      <c r="AE680">
        <v>9</v>
      </c>
      <c r="AF680" t="s">
        <v>138</v>
      </c>
      <c r="AG680">
        <v>0</v>
      </c>
      <c r="AH680">
        <v>3</v>
      </c>
      <c r="AI680">
        <v>1</v>
      </c>
      <c r="AJ680">
        <v>0</v>
      </c>
      <c r="AK680" t="s">
        <v>320</v>
      </c>
      <c r="AL680">
        <v>32.817321</v>
      </c>
      <c r="AM680" t="s">
        <v>329</v>
      </c>
      <c r="AN680">
        <v>-116.961715</v>
      </c>
      <c r="AO680">
        <v>25</v>
      </c>
      <c r="AP680">
        <v>1800</v>
      </c>
      <c r="AQ680" t="s">
        <v>129</v>
      </c>
      <c r="AR680">
        <v>128</v>
      </c>
      <c r="AS680">
        <v>-4</v>
      </c>
      <c r="AT680">
        <v>0</v>
      </c>
      <c r="BB680">
        <v>1200</v>
      </c>
      <c r="BC680">
        <v>1</v>
      </c>
      <c r="BD680" t="str">
        <f t="shared" si="231"/>
        <v xml:space="preserve">N887QR  </v>
      </c>
      <c r="BE680">
        <v>1</v>
      </c>
      <c r="BG680">
        <v>0</v>
      </c>
      <c r="BH680">
        <v>0</v>
      </c>
      <c r="BI680">
        <v>0</v>
      </c>
      <c r="BJ680">
        <v>1525</v>
      </c>
      <c r="BK680">
        <v>-275</v>
      </c>
      <c r="BL680" t="s">
        <v>163</v>
      </c>
      <c r="BM680">
        <v>1</v>
      </c>
      <c r="BN680">
        <v>1</v>
      </c>
      <c r="BO680">
        <v>1</v>
      </c>
      <c r="BP680">
        <v>0</v>
      </c>
      <c r="BS680">
        <v>0</v>
      </c>
      <c r="BT680">
        <v>0</v>
      </c>
      <c r="BU680">
        <v>0</v>
      </c>
      <c r="CE680" t="str">
        <f t="shared" si="242"/>
        <v>19:27:29.350</v>
      </c>
      <c r="CF680">
        <v>350057564</v>
      </c>
      <c r="CS680">
        <v>3</v>
      </c>
      <c r="CT680">
        <v>2</v>
      </c>
      <c r="CU680">
        <v>0</v>
      </c>
      <c r="CV680">
        <v>2</v>
      </c>
      <c r="CW680">
        <v>0</v>
      </c>
      <c r="CX680">
        <v>6</v>
      </c>
      <c r="CY680">
        <v>7</v>
      </c>
      <c r="CZ680" t="s">
        <v>131</v>
      </c>
      <c r="DA680">
        <v>300</v>
      </c>
      <c r="DB680">
        <v>0</v>
      </c>
      <c r="DC680" t="s">
        <v>176</v>
      </c>
      <c r="DD680" t="s">
        <v>177</v>
      </c>
      <c r="DG680">
        <v>5368829</v>
      </c>
      <c r="DI680">
        <v>1</v>
      </c>
      <c r="DJ680">
        <v>0</v>
      </c>
      <c r="DK680">
        <v>1</v>
      </c>
      <c r="DL680">
        <v>0</v>
      </c>
      <c r="DM680">
        <v>0</v>
      </c>
      <c r="DN680">
        <v>1</v>
      </c>
      <c r="DO680">
        <v>0</v>
      </c>
      <c r="DP680">
        <v>0</v>
      </c>
      <c r="DQ680">
        <v>0</v>
      </c>
      <c r="DR680">
        <v>0</v>
      </c>
      <c r="DS680">
        <v>0</v>
      </c>
    </row>
    <row r="681" spans="1:123" x14ac:dyDescent="0.3">
      <c r="A681" t="str">
        <f>"10/04/2022 19:27:29.571"</f>
        <v>10/04/2022 19:27:29.571</v>
      </c>
      <c r="C681" t="str">
        <f t="shared" si="238"/>
        <v>FFDFD3C0</v>
      </c>
      <c r="D681" t="s">
        <v>136</v>
      </c>
      <c r="E681">
        <v>8</v>
      </c>
      <c r="H681">
        <v>225</v>
      </c>
      <c r="I681" t="s">
        <v>137</v>
      </c>
      <c r="J681" t="s">
        <v>138</v>
      </c>
      <c r="K681">
        <v>0</v>
      </c>
      <c r="L681">
        <v>3</v>
      </c>
      <c r="M681">
        <v>0</v>
      </c>
      <c r="N681">
        <v>2</v>
      </c>
      <c r="O681">
        <v>0</v>
      </c>
      <c r="P681">
        <v>1</v>
      </c>
      <c r="Q681">
        <v>0</v>
      </c>
      <c r="S681" t="str">
        <f t="shared" si="241"/>
        <v>19:27:29.000</v>
      </c>
      <c r="T681" t="str">
        <f t="shared" si="241"/>
        <v>19:27:29.000</v>
      </c>
      <c r="U681" t="str">
        <f t="shared" si="230"/>
        <v>AC3944</v>
      </c>
      <c r="V681">
        <v>0</v>
      </c>
      <c r="W681">
        <v>0</v>
      </c>
      <c r="X681">
        <v>2</v>
      </c>
      <c r="Y681">
        <v>0</v>
      </c>
      <c r="AA681">
        <v>1</v>
      </c>
      <c r="AB681">
        <v>8</v>
      </c>
      <c r="AC681">
        <v>3</v>
      </c>
      <c r="AD681">
        <v>0</v>
      </c>
      <c r="AE681">
        <v>9</v>
      </c>
      <c r="AF681" t="s">
        <v>138</v>
      </c>
      <c r="AG681">
        <v>0</v>
      </c>
      <c r="AH681">
        <v>3</v>
      </c>
      <c r="AI681">
        <v>1</v>
      </c>
      <c r="AJ681">
        <v>0</v>
      </c>
      <c r="AK681" t="s">
        <v>320</v>
      </c>
      <c r="AL681">
        <v>32.817321</v>
      </c>
      <c r="AM681" t="s">
        <v>329</v>
      </c>
      <c r="AN681">
        <v>-116.961715</v>
      </c>
      <c r="AO681">
        <v>25</v>
      </c>
      <c r="AP681">
        <v>1800</v>
      </c>
      <c r="AQ681" t="s">
        <v>129</v>
      </c>
      <c r="AR681">
        <v>128</v>
      </c>
      <c r="AS681">
        <v>-4</v>
      </c>
      <c r="AT681">
        <v>0</v>
      </c>
      <c r="BB681">
        <v>1200</v>
      </c>
      <c r="BC681">
        <v>1</v>
      </c>
      <c r="BD681" t="str">
        <f t="shared" si="231"/>
        <v xml:space="preserve">N887QR  </v>
      </c>
      <c r="BE681">
        <v>1</v>
      </c>
      <c r="BG681">
        <v>0</v>
      </c>
      <c r="BH681">
        <v>0</v>
      </c>
      <c r="BI681">
        <v>0</v>
      </c>
      <c r="BJ681">
        <v>1525</v>
      </c>
      <c r="BK681">
        <v>-275</v>
      </c>
      <c r="BL681" t="s">
        <v>163</v>
      </c>
      <c r="BM681">
        <v>1</v>
      </c>
      <c r="BN681">
        <v>1</v>
      </c>
      <c r="BO681">
        <v>1</v>
      </c>
      <c r="BP681">
        <v>0</v>
      </c>
      <c r="BS681">
        <v>0</v>
      </c>
      <c r="BT681">
        <v>0</v>
      </c>
      <c r="BU681">
        <v>0</v>
      </c>
      <c r="CE681" t="str">
        <f t="shared" si="242"/>
        <v>19:27:29.350</v>
      </c>
      <c r="CF681">
        <v>350057564</v>
      </c>
      <c r="CS681">
        <v>3</v>
      </c>
      <c r="CT681">
        <v>2</v>
      </c>
      <c r="CU681">
        <v>0</v>
      </c>
      <c r="CV681">
        <v>2</v>
      </c>
      <c r="CW681">
        <v>0</v>
      </c>
      <c r="CX681">
        <v>6</v>
      </c>
      <c r="CY681">
        <v>7</v>
      </c>
      <c r="CZ681" t="s">
        <v>131</v>
      </c>
      <c r="DA681">
        <v>300</v>
      </c>
      <c r="DB681">
        <v>0</v>
      </c>
      <c r="DC681" t="s">
        <v>176</v>
      </c>
      <c r="DD681" t="s">
        <v>177</v>
      </c>
      <c r="DG681">
        <v>5368829</v>
      </c>
      <c r="DI681">
        <v>1</v>
      </c>
      <c r="DJ681">
        <v>0</v>
      </c>
      <c r="DK681">
        <v>1</v>
      </c>
      <c r="DL681">
        <v>0</v>
      </c>
      <c r="DM681">
        <v>0</v>
      </c>
      <c r="DN681">
        <v>1</v>
      </c>
      <c r="DO681">
        <v>0</v>
      </c>
      <c r="DP681">
        <v>0</v>
      </c>
      <c r="DQ681">
        <v>0</v>
      </c>
      <c r="DR681">
        <v>0</v>
      </c>
      <c r="DS681">
        <v>0</v>
      </c>
    </row>
    <row r="682" spans="1:123" x14ac:dyDescent="0.3">
      <c r="A682" t="str">
        <f t="shared" ref="A682:A687" si="243">"10/04/2022 19:27:30.025"</f>
        <v>10/04/2022 19:27:30.025</v>
      </c>
      <c r="C682" t="str">
        <f t="shared" si="238"/>
        <v>FFDFD3C0</v>
      </c>
      <c r="D682" t="s">
        <v>123</v>
      </c>
      <c r="E682">
        <v>7</v>
      </c>
      <c r="F682">
        <v>2007</v>
      </c>
      <c r="G682" t="s">
        <v>124</v>
      </c>
      <c r="J682" t="s">
        <v>125</v>
      </c>
      <c r="K682">
        <v>0</v>
      </c>
      <c r="L682">
        <v>3</v>
      </c>
      <c r="M682">
        <v>0</v>
      </c>
      <c r="N682">
        <v>2</v>
      </c>
      <c r="O682">
        <v>0</v>
      </c>
      <c r="P682">
        <v>1</v>
      </c>
      <c r="Q682">
        <v>0</v>
      </c>
      <c r="S682" t="str">
        <f t="shared" si="241"/>
        <v>19:27:29.000</v>
      </c>
      <c r="T682" t="str">
        <f t="shared" si="241"/>
        <v>19:27:29.000</v>
      </c>
      <c r="U682" t="str">
        <f t="shared" si="230"/>
        <v>AC3944</v>
      </c>
      <c r="V682">
        <v>0</v>
      </c>
      <c r="W682">
        <v>0</v>
      </c>
      <c r="X682">
        <v>2</v>
      </c>
      <c r="Y682">
        <v>0</v>
      </c>
      <c r="AA682">
        <v>1</v>
      </c>
      <c r="AB682">
        <v>8</v>
      </c>
      <c r="AC682">
        <v>3</v>
      </c>
      <c r="AD682">
        <v>0</v>
      </c>
      <c r="AE682">
        <v>9</v>
      </c>
      <c r="AF682" t="s">
        <v>138</v>
      </c>
      <c r="AG682">
        <v>0</v>
      </c>
      <c r="AH682">
        <v>3</v>
      </c>
      <c r="AI682">
        <v>1</v>
      </c>
      <c r="AJ682">
        <v>0</v>
      </c>
      <c r="AK682" t="s">
        <v>320</v>
      </c>
      <c r="AL682">
        <v>32.817321</v>
      </c>
      <c r="AM682" t="s">
        <v>330</v>
      </c>
      <c r="AN682">
        <v>-116.961029</v>
      </c>
      <c r="AO682">
        <v>25</v>
      </c>
      <c r="AP682">
        <v>1800</v>
      </c>
      <c r="AQ682" t="s">
        <v>129</v>
      </c>
      <c r="AR682">
        <v>128</v>
      </c>
      <c r="AS682">
        <v>-5</v>
      </c>
      <c r="AT682">
        <v>0</v>
      </c>
      <c r="BB682">
        <v>1200</v>
      </c>
      <c r="BC682">
        <v>1</v>
      </c>
      <c r="BD682" t="str">
        <f t="shared" si="231"/>
        <v xml:space="preserve">N887QR  </v>
      </c>
      <c r="BE682">
        <v>1</v>
      </c>
      <c r="BG682">
        <v>0</v>
      </c>
      <c r="BH682">
        <v>0</v>
      </c>
      <c r="BI682">
        <v>0</v>
      </c>
      <c r="BJ682">
        <v>1525</v>
      </c>
      <c r="BK682">
        <v>-275</v>
      </c>
      <c r="BL682" t="s">
        <v>163</v>
      </c>
      <c r="BM682">
        <v>1</v>
      </c>
      <c r="BN682">
        <v>1</v>
      </c>
      <c r="BO682">
        <v>1</v>
      </c>
      <c r="BP682">
        <v>0</v>
      </c>
      <c r="BS682">
        <v>0.04</v>
      </c>
      <c r="BT682">
        <v>0</v>
      </c>
      <c r="BU682">
        <v>0</v>
      </c>
      <c r="CE682" t="str">
        <f>"19:27:29.800"</f>
        <v>19:27:29.800</v>
      </c>
      <c r="CF682">
        <v>799941402</v>
      </c>
      <c r="CS682">
        <v>3</v>
      </c>
      <c r="CT682">
        <v>2</v>
      </c>
      <c r="CU682">
        <v>0</v>
      </c>
      <c r="CV682">
        <v>2</v>
      </c>
      <c r="CW682">
        <v>0</v>
      </c>
      <c r="CX682">
        <v>3</v>
      </c>
      <c r="CY682">
        <v>7</v>
      </c>
      <c r="CZ682" t="s">
        <v>131</v>
      </c>
      <c r="DA682">
        <v>292</v>
      </c>
      <c r="DB682">
        <v>0</v>
      </c>
      <c r="DC682" t="s">
        <v>254</v>
      </c>
      <c r="DD682" t="s">
        <v>255</v>
      </c>
      <c r="DG682">
        <v>3370831</v>
      </c>
      <c r="DI682">
        <v>1</v>
      </c>
      <c r="DJ682">
        <v>0</v>
      </c>
      <c r="DK682">
        <v>0</v>
      </c>
      <c r="DL682">
        <v>0</v>
      </c>
      <c r="DM682">
        <v>0</v>
      </c>
      <c r="DN682">
        <v>1</v>
      </c>
      <c r="DO682">
        <v>0</v>
      </c>
      <c r="DP682">
        <v>0</v>
      </c>
      <c r="DQ682">
        <v>0</v>
      </c>
      <c r="DR682">
        <v>0</v>
      </c>
      <c r="DS682">
        <v>0</v>
      </c>
    </row>
    <row r="683" spans="1:123" x14ac:dyDescent="0.3">
      <c r="A683" t="str">
        <f t="shared" si="243"/>
        <v>10/04/2022 19:27:30.025</v>
      </c>
      <c r="C683" t="str">
        <f t="shared" si="238"/>
        <v>FFDFD3C0</v>
      </c>
      <c r="D683" t="s">
        <v>134</v>
      </c>
      <c r="E683">
        <v>15</v>
      </c>
      <c r="J683" t="s">
        <v>135</v>
      </c>
      <c r="K683">
        <v>0</v>
      </c>
      <c r="L683">
        <v>3</v>
      </c>
      <c r="M683">
        <v>0</v>
      </c>
      <c r="N683">
        <v>2</v>
      </c>
      <c r="O683">
        <v>0</v>
      </c>
      <c r="P683">
        <v>1</v>
      </c>
      <c r="Q683">
        <v>0</v>
      </c>
      <c r="S683" t="str">
        <f t="shared" si="241"/>
        <v>19:27:29.000</v>
      </c>
      <c r="T683" t="str">
        <f t="shared" si="241"/>
        <v>19:27:29.000</v>
      </c>
      <c r="U683" t="str">
        <f t="shared" si="230"/>
        <v>AC3944</v>
      </c>
      <c r="V683">
        <v>0</v>
      </c>
      <c r="W683">
        <v>0</v>
      </c>
      <c r="X683">
        <v>2</v>
      </c>
      <c r="Y683">
        <v>0</v>
      </c>
      <c r="AA683">
        <v>1</v>
      </c>
      <c r="AB683">
        <v>8</v>
      </c>
      <c r="AC683">
        <v>3</v>
      </c>
      <c r="AD683">
        <v>0</v>
      </c>
      <c r="AE683">
        <v>9</v>
      </c>
      <c r="AF683" t="s">
        <v>138</v>
      </c>
      <c r="AG683">
        <v>0</v>
      </c>
      <c r="AH683">
        <v>3</v>
      </c>
      <c r="AI683">
        <v>1</v>
      </c>
      <c r="AJ683">
        <v>0</v>
      </c>
      <c r="AK683" t="s">
        <v>320</v>
      </c>
      <c r="AL683">
        <v>32.817321</v>
      </c>
      <c r="AM683" t="s">
        <v>330</v>
      </c>
      <c r="AN683">
        <v>-116.961029</v>
      </c>
      <c r="AO683">
        <v>25</v>
      </c>
      <c r="AP683">
        <v>1800</v>
      </c>
      <c r="AQ683" t="s">
        <v>129</v>
      </c>
      <c r="AR683">
        <v>128</v>
      </c>
      <c r="AS683">
        <v>-5</v>
      </c>
      <c r="AT683">
        <v>0</v>
      </c>
      <c r="BB683">
        <v>1200</v>
      </c>
      <c r="BC683">
        <v>1</v>
      </c>
      <c r="BD683" t="str">
        <f t="shared" si="231"/>
        <v xml:space="preserve">N887QR  </v>
      </c>
      <c r="BE683">
        <v>1</v>
      </c>
      <c r="BG683">
        <v>0</v>
      </c>
      <c r="BH683">
        <v>0</v>
      </c>
      <c r="BI683">
        <v>0</v>
      </c>
      <c r="BJ683">
        <v>1525</v>
      </c>
      <c r="BK683">
        <v>-275</v>
      </c>
      <c r="BL683" t="s">
        <v>163</v>
      </c>
      <c r="BM683">
        <v>1</v>
      </c>
      <c r="BN683">
        <v>1</v>
      </c>
      <c r="BO683">
        <v>1</v>
      </c>
      <c r="BP683">
        <v>0</v>
      </c>
      <c r="BS683">
        <v>0.04</v>
      </c>
      <c r="BT683">
        <v>0</v>
      </c>
      <c r="BU683">
        <v>0</v>
      </c>
      <c r="CE683" t="str">
        <f>"19:27:29.800"</f>
        <v>19:27:29.800</v>
      </c>
      <c r="CF683">
        <v>799941402</v>
      </c>
      <c r="CS683">
        <v>3</v>
      </c>
      <c r="CT683">
        <v>2</v>
      </c>
      <c r="CU683">
        <v>0</v>
      </c>
      <c r="CV683">
        <v>2</v>
      </c>
      <c r="CW683">
        <v>0</v>
      </c>
      <c r="CX683">
        <v>3</v>
      </c>
      <c r="CY683">
        <v>7</v>
      </c>
      <c r="CZ683" t="s">
        <v>131</v>
      </c>
      <c r="DA683">
        <v>292</v>
      </c>
      <c r="DB683">
        <v>0</v>
      </c>
      <c r="DC683" t="s">
        <v>254</v>
      </c>
      <c r="DD683" t="s">
        <v>255</v>
      </c>
      <c r="DG683">
        <v>3370831</v>
      </c>
      <c r="DI683">
        <v>1</v>
      </c>
      <c r="DJ683">
        <v>0</v>
      </c>
      <c r="DK683">
        <v>1</v>
      </c>
      <c r="DL683">
        <v>0</v>
      </c>
      <c r="DM683">
        <v>0</v>
      </c>
      <c r="DN683">
        <v>1</v>
      </c>
      <c r="DO683">
        <v>0</v>
      </c>
      <c r="DP683">
        <v>0</v>
      </c>
      <c r="DQ683">
        <v>0</v>
      </c>
      <c r="DR683">
        <v>0</v>
      </c>
      <c r="DS683">
        <v>0</v>
      </c>
    </row>
    <row r="684" spans="1:123" x14ac:dyDescent="0.3">
      <c r="A684" t="str">
        <f t="shared" si="243"/>
        <v>10/04/2022 19:27:30.025</v>
      </c>
      <c r="C684" t="str">
        <f t="shared" si="238"/>
        <v>FFDFD3C0</v>
      </c>
      <c r="D684" t="s">
        <v>136</v>
      </c>
      <c r="E684">
        <v>8</v>
      </c>
      <c r="H684">
        <v>225</v>
      </c>
      <c r="I684" t="s">
        <v>137</v>
      </c>
      <c r="J684" t="s">
        <v>138</v>
      </c>
      <c r="K684">
        <v>0</v>
      </c>
      <c r="L684">
        <v>3</v>
      </c>
      <c r="M684">
        <v>0</v>
      </c>
      <c r="N684">
        <v>2</v>
      </c>
      <c r="O684">
        <v>0</v>
      </c>
      <c r="P684">
        <v>1</v>
      </c>
      <c r="Q684">
        <v>0</v>
      </c>
      <c r="S684" t="str">
        <f t="shared" si="241"/>
        <v>19:27:29.000</v>
      </c>
      <c r="T684" t="str">
        <f t="shared" si="241"/>
        <v>19:27:29.000</v>
      </c>
      <c r="U684" t="str">
        <f t="shared" si="230"/>
        <v>AC3944</v>
      </c>
      <c r="V684">
        <v>0</v>
      </c>
      <c r="W684">
        <v>0</v>
      </c>
      <c r="X684">
        <v>2</v>
      </c>
      <c r="Y684">
        <v>0</v>
      </c>
      <c r="AA684">
        <v>1</v>
      </c>
      <c r="AB684">
        <v>8</v>
      </c>
      <c r="AC684">
        <v>3</v>
      </c>
      <c r="AD684">
        <v>0</v>
      </c>
      <c r="AE684">
        <v>9</v>
      </c>
      <c r="AF684" t="s">
        <v>138</v>
      </c>
      <c r="AG684">
        <v>0</v>
      </c>
      <c r="AH684">
        <v>3</v>
      </c>
      <c r="AI684">
        <v>1</v>
      </c>
      <c r="AJ684">
        <v>0</v>
      </c>
      <c r="AK684" t="s">
        <v>320</v>
      </c>
      <c r="AL684">
        <v>32.817321</v>
      </c>
      <c r="AM684" t="s">
        <v>330</v>
      </c>
      <c r="AN684">
        <v>-116.961029</v>
      </c>
      <c r="AO684">
        <v>25</v>
      </c>
      <c r="AP684">
        <v>1800</v>
      </c>
      <c r="AQ684" t="s">
        <v>129</v>
      </c>
      <c r="AR684">
        <v>128</v>
      </c>
      <c r="AS684">
        <v>-5</v>
      </c>
      <c r="AT684">
        <v>0</v>
      </c>
      <c r="BB684">
        <v>1200</v>
      </c>
      <c r="BC684">
        <v>1</v>
      </c>
      <c r="BD684" t="str">
        <f t="shared" si="231"/>
        <v xml:space="preserve">N887QR  </v>
      </c>
      <c r="BE684">
        <v>1</v>
      </c>
      <c r="BG684">
        <v>0</v>
      </c>
      <c r="BH684">
        <v>0</v>
      </c>
      <c r="BI684">
        <v>0</v>
      </c>
      <c r="BJ684">
        <v>1525</v>
      </c>
      <c r="BK684">
        <v>-275</v>
      </c>
      <c r="BL684" t="s">
        <v>163</v>
      </c>
      <c r="BM684">
        <v>1</v>
      </c>
      <c r="BN684">
        <v>1</v>
      </c>
      <c r="BO684">
        <v>1</v>
      </c>
      <c r="BP684">
        <v>0</v>
      </c>
      <c r="BS684">
        <v>0.04</v>
      </c>
      <c r="BT684">
        <v>0</v>
      </c>
      <c r="BU684">
        <v>0</v>
      </c>
      <c r="CE684" t="str">
        <f>"19:27:29.799"</f>
        <v>19:27:29.799</v>
      </c>
      <c r="CF684">
        <v>799328196</v>
      </c>
      <c r="CS684">
        <v>3</v>
      </c>
      <c r="CT684">
        <v>2</v>
      </c>
      <c r="CU684">
        <v>0</v>
      </c>
      <c r="CV684">
        <v>2</v>
      </c>
      <c r="CW684">
        <v>0</v>
      </c>
      <c r="CX684">
        <v>2</v>
      </c>
      <c r="CY684">
        <v>7</v>
      </c>
      <c r="CZ684" t="s">
        <v>131</v>
      </c>
      <c r="DA684">
        <v>286</v>
      </c>
      <c r="DB684">
        <v>0</v>
      </c>
      <c r="DC684" t="s">
        <v>132</v>
      </c>
      <c r="DD684" t="s">
        <v>133</v>
      </c>
      <c r="DG684">
        <v>801143</v>
      </c>
      <c r="DI684">
        <v>1</v>
      </c>
      <c r="DJ684">
        <v>0</v>
      </c>
      <c r="DK684">
        <v>1</v>
      </c>
      <c r="DL684">
        <v>0</v>
      </c>
      <c r="DM684">
        <v>0</v>
      </c>
      <c r="DN684">
        <v>1</v>
      </c>
      <c r="DO684">
        <v>0</v>
      </c>
      <c r="DP684">
        <v>0</v>
      </c>
      <c r="DQ684">
        <v>0</v>
      </c>
      <c r="DR684">
        <v>0</v>
      </c>
      <c r="DS684">
        <v>0</v>
      </c>
    </row>
    <row r="685" spans="1:123" x14ac:dyDescent="0.3">
      <c r="A685" t="str">
        <f t="shared" si="243"/>
        <v>10/04/2022 19:27:30.025</v>
      </c>
      <c r="C685" t="str">
        <f t="shared" si="238"/>
        <v>FFDFD3C0</v>
      </c>
      <c r="D685" t="s">
        <v>147</v>
      </c>
      <c r="E685">
        <v>3</v>
      </c>
      <c r="H685">
        <v>166</v>
      </c>
      <c r="I685" t="s">
        <v>144</v>
      </c>
      <c r="J685" t="s">
        <v>148</v>
      </c>
      <c r="K685">
        <v>0</v>
      </c>
      <c r="L685">
        <v>3</v>
      </c>
      <c r="M685">
        <v>0</v>
      </c>
      <c r="N685">
        <v>2</v>
      </c>
      <c r="O685">
        <v>0</v>
      </c>
      <c r="P685">
        <v>1</v>
      </c>
      <c r="Q685">
        <v>0</v>
      </c>
      <c r="S685" t="str">
        <f t="shared" si="241"/>
        <v>19:27:29.000</v>
      </c>
      <c r="T685" t="str">
        <f t="shared" si="241"/>
        <v>19:27:29.000</v>
      </c>
      <c r="U685" t="str">
        <f t="shared" si="230"/>
        <v>AC3944</v>
      </c>
      <c r="V685">
        <v>0</v>
      </c>
      <c r="W685">
        <v>0</v>
      </c>
      <c r="X685">
        <v>2</v>
      </c>
      <c r="Y685">
        <v>0</v>
      </c>
      <c r="AA685">
        <v>1</v>
      </c>
      <c r="AB685">
        <v>8</v>
      </c>
      <c r="AC685">
        <v>3</v>
      </c>
      <c r="AD685">
        <v>0</v>
      </c>
      <c r="AE685">
        <v>9</v>
      </c>
      <c r="AF685" t="s">
        <v>138</v>
      </c>
      <c r="AG685">
        <v>0</v>
      </c>
      <c r="AH685">
        <v>3</v>
      </c>
      <c r="AI685">
        <v>1</v>
      </c>
      <c r="AJ685">
        <v>0</v>
      </c>
      <c r="AK685" t="s">
        <v>320</v>
      </c>
      <c r="AL685">
        <v>32.817321</v>
      </c>
      <c r="AM685" t="s">
        <v>330</v>
      </c>
      <c r="AN685">
        <v>-116.961029</v>
      </c>
      <c r="AO685">
        <v>25</v>
      </c>
      <c r="AP685">
        <v>1800</v>
      </c>
      <c r="AQ685" t="s">
        <v>129</v>
      </c>
      <c r="AR685">
        <v>128</v>
      </c>
      <c r="AS685">
        <v>-5</v>
      </c>
      <c r="AT685">
        <v>0</v>
      </c>
      <c r="BB685">
        <v>1200</v>
      </c>
      <c r="BC685">
        <v>1</v>
      </c>
      <c r="BD685" t="str">
        <f t="shared" si="231"/>
        <v xml:space="preserve">N887QR  </v>
      </c>
      <c r="BE685">
        <v>1</v>
      </c>
      <c r="BG685">
        <v>0</v>
      </c>
      <c r="BH685">
        <v>0</v>
      </c>
      <c r="BI685">
        <v>0</v>
      </c>
      <c r="BJ685">
        <v>1525</v>
      </c>
      <c r="BK685">
        <v>-275</v>
      </c>
      <c r="BL685" t="s">
        <v>163</v>
      </c>
      <c r="BM685">
        <v>1</v>
      </c>
      <c r="BN685">
        <v>1</v>
      </c>
      <c r="BO685">
        <v>1</v>
      </c>
      <c r="BP685">
        <v>0</v>
      </c>
      <c r="BS685">
        <v>0.04</v>
      </c>
      <c r="BT685">
        <v>0</v>
      </c>
      <c r="BU685">
        <v>0</v>
      </c>
      <c r="CE685" t="str">
        <f>"19:27:29.800"</f>
        <v>19:27:29.800</v>
      </c>
      <c r="CF685">
        <v>799941402</v>
      </c>
      <c r="CS685">
        <v>3</v>
      </c>
      <c r="CT685">
        <v>2</v>
      </c>
      <c r="CU685">
        <v>0</v>
      </c>
      <c r="CV685">
        <v>2</v>
      </c>
      <c r="CW685">
        <v>0</v>
      </c>
      <c r="CX685">
        <v>3</v>
      </c>
      <c r="CY685">
        <v>7</v>
      </c>
      <c r="CZ685" t="s">
        <v>131</v>
      </c>
      <c r="DA685">
        <v>292</v>
      </c>
      <c r="DB685">
        <v>0</v>
      </c>
      <c r="DC685" t="s">
        <v>254</v>
      </c>
      <c r="DD685" t="s">
        <v>255</v>
      </c>
      <c r="DG685">
        <v>3370831</v>
      </c>
      <c r="DI685">
        <v>1</v>
      </c>
      <c r="DJ685">
        <v>0</v>
      </c>
      <c r="DK685">
        <v>1</v>
      </c>
      <c r="DL685">
        <v>0</v>
      </c>
      <c r="DM685">
        <v>0</v>
      </c>
      <c r="DN685">
        <v>1</v>
      </c>
      <c r="DO685">
        <v>0</v>
      </c>
      <c r="DP685">
        <v>0</v>
      </c>
      <c r="DQ685">
        <v>0</v>
      </c>
      <c r="DR685">
        <v>0</v>
      </c>
      <c r="DS685">
        <v>0</v>
      </c>
    </row>
    <row r="686" spans="1:123" x14ac:dyDescent="0.3">
      <c r="A686" t="str">
        <f t="shared" si="243"/>
        <v>10/04/2022 19:27:30.025</v>
      </c>
      <c r="C686" t="str">
        <f t="shared" si="238"/>
        <v>FFDFD3C0</v>
      </c>
      <c r="D686" t="s">
        <v>141</v>
      </c>
      <c r="E686">
        <v>4</v>
      </c>
      <c r="H686">
        <v>4</v>
      </c>
      <c r="I686" t="s">
        <v>142</v>
      </c>
      <c r="J686" t="s">
        <v>138</v>
      </c>
      <c r="K686">
        <v>0</v>
      </c>
      <c r="L686">
        <v>3</v>
      </c>
      <c r="M686">
        <v>0</v>
      </c>
      <c r="N686">
        <v>2</v>
      </c>
      <c r="O686">
        <v>0</v>
      </c>
      <c r="P686">
        <v>1</v>
      </c>
      <c r="Q686">
        <v>0</v>
      </c>
      <c r="S686" t="str">
        <f t="shared" si="241"/>
        <v>19:27:29.000</v>
      </c>
      <c r="T686" t="str">
        <f t="shared" si="241"/>
        <v>19:27:29.000</v>
      </c>
      <c r="U686" t="str">
        <f t="shared" si="230"/>
        <v>AC3944</v>
      </c>
      <c r="V686">
        <v>0</v>
      </c>
      <c r="W686">
        <v>0</v>
      </c>
      <c r="X686">
        <v>2</v>
      </c>
      <c r="Y686">
        <v>0</v>
      </c>
      <c r="AA686">
        <v>1</v>
      </c>
      <c r="AB686">
        <v>8</v>
      </c>
      <c r="AC686">
        <v>3</v>
      </c>
      <c r="AD686">
        <v>0</v>
      </c>
      <c r="AE686">
        <v>9</v>
      </c>
      <c r="AF686" t="s">
        <v>138</v>
      </c>
      <c r="AG686">
        <v>0</v>
      </c>
      <c r="AH686">
        <v>3</v>
      </c>
      <c r="AI686">
        <v>1</v>
      </c>
      <c r="AJ686">
        <v>0</v>
      </c>
      <c r="AK686" t="s">
        <v>320</v>
      </c>
      <c r="AL686">
        <v>32.817321</v>
      </c>
      <c r="AM686" t="s">
        <v>330</v>
      </c>
      <c r="AN686">
        <v>-116.961029</v>
      </c>
      <c r="AO686">
        <v>25</v>
      </c>
      <c r="AP686">
        <v>1800</v>
      </c>
      <c r="AQ686" t="s">
        <v>129</v>
      </c>
      <c r="AR686">
        <v>128</v>
      </c>
      <c r="AS686">
        <v>-5</v>
      </c>
      <c r="AT686">
        <v>0</v>
      </c>
      <c r="BB686">
        <v>1200</v>
      </c>
      <c r="BC686">
        <v>1</v>
      </c>
      <c r="BD686" t="str">
        <f t="shared" si="231"/>
        <v xml:space="preserve">N887QR  </v>
      </c>
      <c r="BE686">
        <v>1</v>
      </c>
      <c r="BG686">
        <v>0</v>
      </c>
      <c r="BH686">
        <v>0</v>
      </c>
      <c r="BI686">
        <v>0</v>
      </c>
      <c r="BJ686">
        <v>1525</v>
      </c>
      <c r="BK686">
        <v>-275</v>
      </c>
      <c r="BL686" t="s">
        <v>163</v>
      </c>
      <c r="BM686">
        <v>1</v>
      </c>
      <c r="BN686">
        <v>1</v>
      </c>
      <c r="BO686">
        <v>1</v>
      </c>
      <c r="BP686">
        <v>0</v>
      </c>
      <c r="BS686">
        <v>0.04</v>
      </c>
      <c r="BT686">
        <v>0</v>
      </c>
      <c r="BU686">
        <v>0</v>
      </c>
      <c r="CE686" t="str">
        <f>"19:27:29.799"</f>
        <v>19:27:29.799</v>
      </c>
      <c r="CF686">
        <v>799328196</v>
      </c>
      <c r="CS686">
        <v>3</v>
      </c>
      <c r="CT686">
        <v>2</v>
      </c>
      <c r="CU686">
        <v>0</v>
      </c>
      <c r="CV686">
        <v>2</v>
      </c>
      <c r="CW686">
        <v>0</v>
      </c>
      <c r="CX686">
        <v>2</v>
      </c>
      <c r="CY686">
        <v>7</v>
      </c>
      <c r="CZ686" t="s">
        <v>131</v>
      </c>
      <c r="DA686">
        <v>286</v>
      </c>
      <c r="DB686">
        <v>0</v>
      </c>
      <c r="DC686" t="s">
        <v>132</v>
      </c>
      <c r="DD686" t="s">
        <v>133</v>
      </c>
      <c r="DG686">
        <v>801143</v>
      </c>
      <c r="DI686">
        <v>1</v>
      </c>
      <c r="DJ686">
        <v>0</v>
      </c>
      <c r="DK686">
        <v>1</v>
      </c>
      <c r="DL686">
        <v>0</v>
      </c>
      <c r="DM686">
        <v>0</v>
      </c>
      <c r="DN686">
        <v>1</v>
      </c>
      <c r="DO686">
        <v>0</v>
      </c>
      <c r="DP686">
        <v>0</v>
      </c>
      <c r="DQ686">
        <v>0</v>
      </c>
      <c r="DR686">
        <v>0</v>
      </c>
      <c r="DS686">
        <v>0</v>
      </c>
    </row>
    <row r="687" spans="1:123" x14ac:dyDescent="0.3">
      <c r="A687" t="str">
        <f t="shared" si="243"/>
        <v>10/04/2022 19:27:30.025</v>
      </c>
      <c r="C687" t="str">
        <f t="shared" si="238"/>
        <v>FFDFD3C0</v>
      </c>
      <c r="D687" t="s">
        <v>141</v>
      </c>
      <c r="E687">
        <v>3</v>
      </c>
      <c r="H687">
        <v>3</v>
      </c>
      <c r="I687" t="s">
        <v>146</v>
      </c>
      <c r="J687" t="s">
        <v>138</v>
      </c>
      <c r="K687">
        <v>0</v>
      </c>
      <c r="L687">
        <v>3</v>
      </c>
      <c r="M687">
        <v>0</v>
      </c>
      <c r="N687">
        <v>2</v>
      </c>
      <c r="O687">
        <v>0</v>
      </c>
      <c r="P687">
        <v>1</v>
      </c>
      <c r="Q687">
        <v>0</v>
      </c>
      <c r="S687" t="str">
        <f t="shared" si="241"/>
        <v>19:27:29.000</v>
      </c>
      <c r="T687" t="str">
        <f t="shared" si="241"/>
        <v>19:27:29.000</v>
      </c>
      <c r="U687" t="str">
        <f t="shared" si="230"/>
        <v>AC3944</v>
      </c>
      <c r="V687">
        <v>0</v>
      </c>
      <c r="W687">
        <v>0</v>
      </c>
      <c r="X687">
        <v>2</v>
      </c>
      <c r="Y687">
        <v>0</v>
      </c>
      <c r="AA687">
        <v>1</v>
      </c>
      <c r="AB687">
        <v>8</v>
      </c>
      <c r="AC687">
        <v>3</v>
      </c>
      <c r="AD687">
        <v>0</v>
      </c>
      <c r="AE687">
        <v>9</v>
      </c>
      <c r="AF687" t="s">
        <v>138</v>
      </c>
      <c r="AG687">
        <v>0</v>
      </c>
      <c r="AH687">
        <v>3</v>
      </c>
      <c r="AI687">
        <v>1</v>
      </c>
      <c r="AJ687">
        <v>0</v>
      </c>
      <c r="AK687" t="s">
        <v>320</v>
      </c>
      <c r="AL687">
        <v>32.817321</v>
      </c>
      <c r="AM687" t="s">
        <v>330</v>
      </c>
      <c r="AN687">
        <v>-116.961029</v>
      </c>
      <c r="AO687">
        <v>25</v>
      </c>
      <c r="AP687">
        <v>1800</v>
      </c>
      <c r="AQ687" t="s">
        <v>129</v>
      </c>
      <c r="AR687">
        <v>128</v>
      </c>
      <c r="AS687">
        <v>-5</v>
      </c>
      <c r="AT687">
        <v>0</v>
      </c>
      <c r="BB687">
        <v>1200</v>
      </c>
      <c r="BC687">
        <v>1</v>
      </c>
      <c r="BD687" t="str">
        <f t="shared" si="231"/>
        <v xml:space="preserve">N887QR  </v>
      </c>
      <c r="BE687">
        <v>1</v>
      </c>
      <c r="BG687">
        <v>0</v>
      </c>
      <c r="BH687">
        <v>0</v>
      </c>
      <c r="BI687">
        <v>0</v>
      </c>
      <c r="BJ687">
        <v>1525</v>
      </c>
      <c r="BK687">
        <v>-275</v>
      </c>
      <c r="BL687" t="s">
        <v>163</v>
      </c>
      <c r="BM687">
        <v>1</v>
      </c>
      <c r="BN687">
        <v>1</v>
      </c>
      <c r="BO687">
        <v>1</v>
      </c>
      <c r="BP687">
        <v>0</v>
      </c>
      <c r="BS687">
        <v>0.04</v>
      </c>
      <c r="BT687">
        <v>0</v>
      </c>
      <c r="BU687">
        <v>0</v>
      </c>
      <c r="CE687" t="str">
        <f>"19:27:29.799"</f>
        <v>19:27:29.799</v>
      </c>
      <c r="CF687">
        <v>799328196</v>
      </c>
      <c r="CS687">
        <v>3</v>
      </c>
      <c r="CT687">
        <v>2</v>
      </c>
      <c r="CU687">
        <v>0</v>
      </c>
      <c r="CV687">
        <v>2</v>
      </c>
      <c r="CW687">
        <v>0</v>
      </c>
      <c r="CX687">
        <v>2</v>
      </c>
      <c r="CY687">
        <v>7</v>
      </c>
      <c r="CZ687" t="s">
        <v>131</v>
      </c>
      <c r="DA687">
        <v>286</v>
      </c>
      <c r="DB687">
        <v>0</v>
      </c>
      <c r="DC687" t="s">
        <v>132</v>
      </c>
      <c r="DD687" t="s">
        <v>133</v>
      </c>
      <c r="DG687">
        <v>801143</v>
      </c>
      <c r="DI687">
        <v>1</v>
      </c>
      <c r="DJ687">
        <v>0</v>
      </c>
      <c r="DK687">
        <v>1</v>
      </c>
      <c r="DL687">
        <v>0</v>
      </c>
      <c r="DM687">
        <v>0</v>
      </c>
      <c r="DN687">
        <v>1</v>
      </c>
      <c r="DO687">
        <v>0</v>
      </c>
      <c r="DP687">
        <v>0</v>
      </c>
      <c r="DQ687">
        <v>0</v>
      </c>
      <c r="DR687">
        <v>0</v>
      </c>
      <c r="DS687">
        <v>0</v>
      </c>
    </row>
    <row r="688" spans="1:123" x14ac:dyDescent="0.3">
      <c r="A688" t="str">
        <f>"10/04/2022 19:27:30.041"</f>
        <v>10/04/2022 19:27:30.041</v>
      </c>
      <c r="C688" t="str">
        <f t="shared" si="238"/>
        <v>FFDFD3C0</v>
      </c>
      <c r="D688" t="s">
        <v>143</v>
      </c>
      <c r="E688">
        <v>20</v>
      </c>
      <c r="F688">
        <v>1020</v>
      </c>
      <c r="G688" t="s">
        <v>144</v>
      </c>
      <c r="J688" t="s">
        <v>145</v>
      </c>
      <c r="K688">
        <v>0</v>
      </c>
      <c r="L688">
        <v>3</v>
      </c>
      <c r="M688">
        <v>0</v>
      </c>
      <c r="N688">
        <v>2</v>
      </c>
      <c r="O688">
        <v>0</v>
      </c>
      <c r="P688">
        <v>1</v>
      </c>
      <c r="Q688">
        <v>0</v>
      </c>
      <c r="S688" t="str">
        <f t="shared" si="241"/>
        <v>19:27:29.000</v>
      </c>
      <c r="T688" t="str">
        <f t="shared" si="241"/>
        <v>19:27:29.000</v>
      </c>
      <c r="U688" t="str">
        <f t="shared" si="230"/>
        <v>AC3944</v>
      </c>
      <c r="V688">
        <v>0</v>
      </c>
      <c r="W688">
        <v>0</v>
      </c>
      <c r="X688">
        <v>2</v>
      </c>
      <c r="Y688">
        <v>0</v>
      </c>
      <c r="AA688">
        <v>1</v>
      </c>
      <c r="AB688">
        <v>8</v>
      </c>
      <c r="AC688">
        <v>3</v>
      </c>
      <c r="AD688">
        <v>0</v>
      </c>
      <c r="AE688">
        <v>9</v>
      </c>
      <c r="AF688" t="s">
        <v>138</v>
      </c>
      <c r="AG688">
        <v>0</v>
      </c>
      <c r="AH688">
        <v>3</v>
      </c>
      <c r="AI688">
        <v>1</v>
      </c>
      <c r="AJ688">
        <v>0</v>
      </c>
      <c r="AK688" t="s">
        <v>320</v>
      </c>
      <c r="AL688">
        <v>32.817321</v>
      </c>
      <c r="AM688" t="s">
        <v>330</v>
      </c>
      <c r="AN688">
        <v>-116.961029</v>
      </c>
      <c r="AO688">
        <v>25</v>
      </c>
      <c r="AP688">
        <v>1800</v>
      </c>
      <c r="AQ688" t="s">
        <v>129</v>
      </c>
      <c r="AR688">
        <v>128</v>
      </c>
      <c r="AS688">
        <v>-5</v>
      </c>
      <c r="AT688">
        <v>0</v>
      </c>
      <c r="BB688">
        <v>1200</v>
      </c>
      <c r="BC688">
        <v>1</v>
      </c>
      <c r="BD688" t="str">
        <f t="shared" si="231"/>
        <v xml:space="preserve">N887QR  </v>
      </c>
      <c r="BE688">
        <v>1</v>
      </c>
      <c r="BG688">
        <v>0</v>
      </c>
      <c r="BH688">
        <v>0</v>
      </c>
      <c r="BI688">
        <v>0</v>
      </c>
      <c r="BJ688">
        <v>1525</v>
      </c>
      <c r="BK688">
        <v>-275</v>
      </c>
      <c r="BL688" t="s">
        <v>163</v>
      </c>
      <c r="BM688">
        <v>1</v>
      </c>
      <c r="BN688">
        <v>1</v>
      </c>
      <c r="BO688">
        <v>1</v>
      </c>
      <c r="BP688">
        <v>0</v>
      </c>
      <c r="BS688">
        <v>0.04</v>
      </c>
      <c r="BT688">
        <v>0</v>
      </c>
      <c r="BU688">
        <v>0</v>
      </c>
      <c r="CE688" t="str">
        <f>"19:27:29.800"</f>
        <v>19:27:29.800</v>
      </c>
      <c r="CF688">
        <v>799941402</v>
      </c>
      <c r="CS688">
        <v>3</v>
      </c>
      <c r="CT688">
        <v>2</v>
      </c>
      <c r="CU688">
        <v>0</v>
      </c>
      <c r="CV688">
        <v>2</v>
      </c>
      <c r="CW688">
        <v>0</v>
      </c>
      <c r="CX688">
        <v>3</v>
      </c>
      <c r="CY688">
        <v>7</v>
      </c>
      <c r="CZ688" t="s">
        <v>131</v>
      </c>
      <c r="DA688">
        <v>292</v>
      </c>
      <c r="DB688">
        <v>0</v>
      </c>
      <c r="DC688" t="s">
        <v>254</v>
      </c>
      <c r="DD688" t="s">
        <v>255</v>
      </c>
      <c r="DG688">
        <v>3370831</v>
      </c>
      <c r="DI688">
        <v>1</v>
      </c>
      <c r="DJ688">
        <v>0</v>
      </c>
      <c r="DK688">
        <v>1</v>
      </c>
      <c r="DL688">
        <v>0</v>
      </c>
      <c r="DM688">
        <v>0</v>
      </c>
      <c r="DN688">
        <v>1</v>
      </c>
      <c r="DO688">
        <v>0</v>
      </c>
      <c r="DP688">
        <v>0</v>
      </c>
      <c r="DQ688">
        <v>0</v>
      </c>
      <c r="DR688">
        <v>0</v>
      </c>
      <c r="DS688">
        <v>0</v>
      </c>
    </row>
    <row r="689" spans="1:123" x14ac:dyDescent="0.3">
      <c r="A689" t="str">
        <f>"10/04/2022 19:27:31.602"</f>
        <v>10/04/2022 19:27:31.602</v>
      </c>
      <c r="C689" t="str">
        <f t="shared" si="238"/>
        <v>FFDFD3C0</v>
      </c>
      <c r="D689" t="s">
        <v>141</v>
      </c>
      <c r="E689">
        <v>4</v>
      </c>
      <c r="H689">
        <v>4</v>
      </c>
      <c r="I689" t="s">
        <v>142</v>
      </c>
      <c r="J689" t="s">
        <v>138</v>
      </c>
      <c r="K689">
        <v>0</v>
      </c>
      <c r="L689">
        <v>3</v>
      </c>
      <c r="M689">
        <v>0</v>
      </c>
      <c r="N689">
        <v>2</v>
      </c>
      <c r="O689">
        <v>0</v>
      </c>
      <c r="P689">
        <v>1</v>
      </c>
      <c r="Q689">
        <v>0</v>
      </c>
      <c r="S689" t="str">
        <f t="shared" ref="S689:T695" si="244">"19:27:31.000"</f>
        <v>19:27:31.000</v>
      </c>
      <c r="T689" t="str">
        <f t="shared" si="244"/>
        <v>19:27:31.000</v>
      </c>
      <c r="U689" t="str">
        <f t="shared" si="230"/>
        <v>AC3944</v>
      </c>
      <c r="V689">
        <v>0</v>
      </c>
      <c r="W689">
        <v>0</v>
      </c>
      <c r="X689">
        <v>2</v>
      </c>
      <c r="Y689">
        <v>0</v>
      </c>
      <c r="AA689">
        <v>1</v>
      </c>
      <c r="AB689">
        <v>8</v>
      </c>
      <c r="AC689">
        <v>3</v>
      </c>
      <c r="AD689">
        <v>0</v>
      </c>
      <c r="AE689">
        <v>9</v>
      </c>
      <c r="AF689" t="s">
        <v>138</v>
      </c>
      <c r="AG689">
        <v>0</v>
      </c>
      <c r="AH689">
        <v>3</v>
      </c>
      <c r="AI689">
        <v>1</v>
      </c>
      <c r="AJ689">
        <v>0</v>
      </c>
      <c r="AK689" t="s">
        <v>331</v>
      </c>
      <c r="AL689">
        <v>32.817278000000002</v>
      </c>
      <c r="AM689" t="s">
        <v>332</v>
      </c>
      <c r="AN689">
        <v>-116.960449</v>
      </c>
      <c r="AO689">
        <v>25</v>
      </c>
      <c r="AP689">
        <v>1800</v>
      </c>
      <c r="AQ689" t="s">
        <v>129</v>
      </c>
      <c r="AR689">
        <v>127</v>
      </c>
      <c r="AS689">
        <v>-10</v>
      </c>
      <c r="AT689">
        <v>-64</v>
      </c>
      <c r="BB689">
        <v>1200</v>
      </c>
      <c r="BC689">
        <v>1</v>
      </c>
      <c r="BD689" t="str">
        <f t="shared" si="231"/>
        <v xml:space="preserve">N887QR  </v>
      </c>
      <c r="BE689">
        <v>1</v>
      </c>
      <c r="BG689">
        <v>0</v>
      </c>
      <c r="BH689">
        <v>0</v>
      </c>
      <c r="BI689">
        <v>0</v>
      </c>
      <c r="BJ689">
        <v>1525</v>
      </c>
      <c r="BK689">
        <v>-275</v>
      </c>
      <c r="BL689" t="s">
        <v>163</v>
      </c>
      <c r="BM689">
        <v>1</v>
      </c>
      <c r="BN689">
        <v>1</v>
      </c>
      <c r="BO689">
        <v>1</v>
      </c>
      <c r="BP689">
        <v>0</v>
      </c>
      <c r="BS689">
        <v>0.04</v>
      </c>
      <c r="BT689">
        <v>0</v>
      </c>
      <c r="BU689">
        <v>0</v>
      </c>
      <c r="CE689" t="str">
        <f t="shared" ref="CE689:CE695" si="245">"19:27:31.396"</f>
        <v>19:27:31.396</v>
      </c>
      <c r="CF689">
        <v>396314032</v>
      </c>
      <c r="CS689">
        <v>3</v>
      </c>
      <c r="CT689">
        <v>2</v>
      </c>
      <c r="CU689">
        <v>0</v>
      </c>
      <c r="CV689">
        <v>2</v>
      </c>
      <c r="CW689">
        <v>0</v>
      </c>
      <c r="CX689">
        <v>6</v>
      </c>
      <c r="CY689">
        <v>7</v>
      </c>
      <c r="CZ689" t="s">
        <v>131</v>
      </c>
      <c r="DA689">
        <v>300</v>
      </c>
      <c r="DB689">
        <v>0</v>
      </c>
      <c r="DC689" t="s">
        <v>176</v>
      </c>
      <c r="DD689" t="s">
        <v>177</v>
      </c>
      <c r="DG689">
        <v>5369152</v>
      </c>
      <c r="DI689">
        <v>1</v>
      </c>
      <c r="DJ689">
        <v>0</v>
      </c>
      <c r="DK689">
        <v>0</v>
      </c>
      <c r="DL689">
        <v>0</v>
      </c>
      <c r="DM689">
        <v>0</v>
      </c>
      <c r="DN689">
        <v>1</v>
      </c>
      <c r="DO689">
        <v>0</v>
      </c>
      <c r="DP689">
        <v>0</v>
      </c>
      <c r="DQ689">
        <v>0</v>
      </c>
      <c r="DR689">
        <v>0</v>
      </c>
      <c r="DS689">
        <v>0</v>
      </c>
    </row>
    <row r="690" spans="1:123" x14ac:dyDescent="0.3">
      <c r="A690" t="str">
        <f>"10/04/2022 19:27:31.602"</f>
        <v>10/04/2022 19:27:31.602</v>
      </c>
      <c r="C690" t="str">
        <f t="shared" si="238"/>
        <v>FFDFD3C0</v>
      </c>
      <c r="D690" t="s">
        <v>147</v>
      </c>
      <c r="E690">
        <v>3</v>
      </c>
      <c r="H690">
        <v>166</v>
      </c>
      <c r="I690" t="s">
        <v>144</v>
      </c>
      <c r="J690" t="s">
        <v>148</v>
      </c>
      <c r="K690">
        <v>0</v>
      </c>
      <c r="L690">
        <v>3</v>
      </c>
      <c r="M690">
        <v>0</v>
      </c>
      <c r="N690">
        <v>2</v>
      </c>
      <c r="O690">
        <v>0</v>
      </c>
      <c r="P690">
        <v>1</v>
      </c>
      <c r="Q690">
        <v>0</v>
      </c>
      <c r="S690" t="str">
        <f t="shared" si="244"/>
        <v>19:27:31.000</v>
      </c>
      <c r="T690" t="str">
        <f t="shared" si="244"/>
        <v>19:27:31.000</v>
      </c>
      <c r="U690" t="str">
        <f t="shared" si="230"/>
        <v>AC3944</v>
      </c>
      <c r="V690">
        <v>0</v>
      </c>
      <c r="W690">
        <v>0</v>
      </c>
      <c r="X690">
        <v>2</v>
      </c>
      <c r="Y690">
        <v>0</v>
      </c>
      <c r="AA690">
        <v>1</v>
      </c>
      <c r="AB690">
        <v>8</v>
      </c>
      <c r="AC690">
        <v>3</v>
      </c>
      <c r="AD690">
        <v>0</v>
      </c>
      <c r="AE690">
        <v>9</v>
      </c>
      <c r="AF690" t="s">
        <v>138</v>
      </c>
      <c r="AG690">
        <v>0</v>
      </c>
      <c r="AH690">
        <v>3</v>
      </c>
      <c r="AI690">
        <v>1</v>
      </c>
      <c r="AJ690">
        <v>0</v>
      </c>
      <c r="AK690" t="s">
        <v>331</v>
      </c>
      <c r="AL690">
        <v>32.817278000000002</v>
      </c>
      <c r="AM690" t="s">
        <v>332</v>
      </c>
      <c r="AN690">
        <v>-116.960449</v>
      </c>
      <c r="AO690">
        <v>25</v>
      </c>
      <c r="AP690">
        <v>1800</v>
      </c>
      <c r="AQ690" t="s">
        <v>129</v>
      </c>
      <c r="AR690">
        <v>127</v>
      </c>
      <c r="AS690">
        <v>-10</v>
      </c>
      <c r="AT690">
        <v>-64</v>
      </c>
      <c r="BB690">
        <v>1200</v>
      </c>
      <c r="BC690">
        <v>1</v>
      </c>
      <c r="BD690" t="str">
        <f t="shared" si="231"/>
        <v xml:space="preserve">N887QR  </v>
      </c>
      <c r="BE690">
        <v>1</v>
      </c>
      <c r="BG690">
        <v>0</v>
      </c>
      <c r="BH690">
        <v>0</v>
      </c>
      <c r="BI690">
        <v>0</v>
      </c>
      <c r="BJ690">
        <v>1525</v>
      </c>
      <c r="BK690">
        <v>-275</v>
      </c>
      <c r="BL690" t="s">
        <v>163</v>
      </c>
      <c r="BM690">
        <v>1</v>
      </c>
      <c r="BN690">
        <v>1</v>
      </c>
      <c r="BO690">
        <v>1</v>
      </c>
      <c r="BP690">
        <v>0</v>
      </c>
      <c r="BS690">
        <v>0.04</v>
      </c>
      <c r="BT690">
        <v>0</v>
      </c>
      <c r="BU690">
        <v>0</v>
      </c>
      <c r="CE690" t="str">
        <f t="shared" si="245"/>
        <v>19:27:31.396</v>
      </c>
      <c r="CF690">
        <v>396314032</v>
      </c>
      <c r="CS690">
        <v>3</v>
      </c>
      <c r="CT690">
        <v>2</v>
      </c>
      <c r="CU690">
        <v>0</v>
      </c>
      <c r="CV690">
        <v>2</v>
      </c>
      <c r="CW690">
        <v>0</v>
      </c>
      <c r="CX690">
        <v>6</v>
      </c>
      <c r="CY690">
        <v>7</v>
      </c>
      <c r="CZ690" t="s">
        <v>131</v>
      </c>
      <c r="DA690">
        <v>300</v>
      </c>
      <c r="DB690">
        <v>0</v>
      </c>
      <c r="DC690" t="s">
        <v>176</v>
      </c>
      <c r="DD690" t="s">
        <v>177</v>
      </c>
      <c r="DG690">
        <v>5369152</v>
      </c>
      <c r="DI690">
        <v>1</v>
      </c>
      <c r="DJ690">
        <v>0</v>
      </c>
      <c r="DK690">
        <v>1</v>
      </c>
      <c r="DL690">
        <v>0</v>
      </c>
      <c r="DM690">
        <v>0</v>
      </c>
      <c r="DN690">
        <v>1</v>
      </c>
      <c r="DO690">
        <v>0</v>
      </c>
      <c r="DP690">
        <v>0</v>
      </c>
      <c r="DQ690">
        <v>0</v>
      </c>
      <c r="DR690">
        <v>0</v>
      </c>
      <c r="DS690">
        <v>0</v>
      </c>
    </row>
    <row r="691" spans="1:123" x14ac:dyDescent="0.3">
      <c r="A691" t="str">
        <f>"10/04/2022 19:27:31.602"</f>
        <v>10/04/2022 19:27:31.602</v>
      </c>
      <c r="C691" t="str">
        <f t="shared" si="238"/>
        <v>FFDFD3C0</v>
      </c>
      <c r="D691" t="s">
        <v>141</v>
      </c>
      <c r="E691">
        <v>3</v>
      </c>
      <c r="H691">
        <v>3</v>
      </c>
      <c r="I691" t="s">
        <v>146</v>
      </c>
      <c r="J691" t="s">
        <v>138</v>
      </c>
      <c r="K691">
        <v>0</v>
      </c>
      <c r="L691">
        <v>3</v>
      </c>
      <c r="M691">
        <v>0</v>
      </c>
      <c r="N691">
        <v>2</v>
      </c>
      <c r="O691">
        <v>0</v>
      </c>
      <c r="P691">
        <v>1</v>
      </c>
      <c r="Q691">
        <v>0</v>
      </c>
      <c r="S691" t="str">
        <f t="shared" si="244"/>
        <v>19:27:31.000</v>
      </c>
      <c r="T691" t="str">
        <f t="shared" si="244"/>
        <v>19:27:31.000</v>
      </c>
      <c r="U691" t="str">
        <f t="shared" si="230"/>
        <v>AC3944</v>
      </c>
      <c r="V691">
        <v>0</v>
      </c>
      <c r="W691">
        <v>0</v>
      </c>
      <c r="X691">
        <v>2</v>
      </c>
      <c r="Y691">
        <v>0</v>
      </c>
      <c r="AA691">
        <v>1</v>
      </c>
      <c r="AB691">
        <v>8</v>
      </c>
      <c r="AC691">
        <v>3</v>
      </c>
      <c r="AD691">
        <v>0</v>
      </c>
      <c r="AE691">
        <v>9</v>
      </c>
      <c r="AF691" t="s">
        <v>138</v>
      </c>
      <c r="AG691">
        <v>0</v>
      </c>
      <c r="AH691">
        <v>3</v>
      </c>
      <c r="AI691">
        <v>1</v>
      </c>
      <c r="AJ691">
        <v>0</v>
      </c>
      <c r="AK691" t="s">
        <v>331</v>
      </c>
      <c r="AL691">
        <v>32.817278000000002</v>
      </c>
      <c r="AM691" t="s">
        <v>332</v>
      </c>
      <c r="AN691">
        <v>-116.960449</v>
      </c>
      <c r="AO691">
        <v>25</v>
      </c>
      <c r="AP691">
        <v>1800</v>
      </c>
      <c r="AQ691" t="s">
        <v>129</v>
      </c>
      <c r="AR691">
        <v>127</v>
      </c>
      <c r="AS691">
        <v>-10</v>
      </c>
      <c r="AT691">
        <v>-64</v>
      </c>
      <c r="BB691">
        <v>1200</v>
      </c>
      <c r="BC691">
        <v>1</v>
      </c>
      <c r="BD691" t="str">
        <f t="shared" si="231"/>
        <v xml:space="preserve">N887QR  </v>
      </c>
      <c r="BE691">
        <v>1</v>
      </c>
      <c r="BG691">
        <v>0</v>
      </c>
      <c r="BH691">
        <v>0</v>
      </c>
      <c r="BI691">
        <v>0</v>
      </c>
      <c r="BJ691">
        <v>1525</v>
      </c>
      <c r="BK691">
        <v>-275</v>
      </c>
      <c r="BL691" t="s">
        <v>163</v>
      </c>
      <c r="BM691">
        <v>1</v>
      </c>
      <c r="BN691">
        <v>1</v>
      </c>
      <c r="BO691">
        <v>1</v>
      </c>
      <c r="BP691">
        <v>0</v>
      </c>
      <c r="BS691">
        <v>0.04</v>
      </c>
      <c r="BT691">
        <v>0</v>
      </c>
      <c r="BU691">
        <v>0</v>
      </c>
      <c r="CE691" t="str">
        <f t="shared" si="245"/>
        <v>19:27:31.396</v>
      </c>
      <c r="CF691">
        <v>396314032</v>
      </c>
      <c r="CS691">
        <v>3</v>
      </c>
      <c r="CT691">
        <v>2</v>
      </c>
      <c r="CU691">
        <v>0</v>
      </c>
      <c r="CV691">
        <v>2</v>
      </c>
      <c r="CW691">
        <v>0</v>
      </c>
      <c r="CX691">
        <v>6</v>
      </c>
      <c r="CY691">
        <v>7</v>
      </c>
      <c r="CZ691" t="s">
        <v>131</v>
      </c>
      <c r="DA691">
        <v>300</v>
      </c>
      <c r="DB691">
        <v>0</v>
      </c>
      <c r="DC691" t="s">
        <v>176</v>
      </c>
      <c r="DD691" t="s">
        <v>177</v>
      </c>
      <c r="DG691">
        <v>5369152</v>
      </c>
      <c r="DI691">
        <v>1</v>
      </c>
      <c r="DJ691">
        <v>0</v>
      </c>
      <c r="DK691">
        <v>1</v>
      </c>
      <c r="DL691">
        <v>0</v>
      </c>
      <c r="DM691">
        <v>0</v>
      </c>
      <c r="DN691">
        <v>1</v>
      </c>
      <c r="DO691">
        <v>0</v>
      </c>
      <c r="DP691">
        <v>0</v>
      </c>
      <c r="DQ691">
        <v>0</v>
      </c>
      <c r="DR691">
        <v>0</v>
      </c>
      <c r="DS691">
        <v>0</v>
      </c>
    </row>
    <row r="692" spans="1:123" x14ac:dyDescent="0.3">
      <c r="A692" t="str">
        <f>"10/04/2022 19:27:31.618"</f>
        <v>10/04/2022 19:27:31.618</v>
      </c>
      <c r="C692" t="str">
        <f t="shared" si="238"/>
        <v>FFDFD3C0</v>
      </c>
      <c r="D692" t="s">
        <v>143</v>
      </c>
      <c r="E692">
        <v>20</v>
      </c>
      <c r="F692">
        <v>1020</v>
      </c>
      <c r="G692" t="s">
        <v>144</v>
      </c>
      <c r="J692" t="s">
        <v>145</v>
      </c>
      <c r="K692">
        <v>0</v>
      </c>
      <c r="L692">
        <v>3</v>
      </c>
      <c r="M692">
        <v>0</v>
      </c>
      <c r="N692">
        <v>2</v>
      </c>
      <c r="O692">
        <v>0</v>
      </c>
      <c r="P692">
        <v>1</v>
      </c>
      <c r="Q692">
        <v>0</v>
      </c>
      <c r="S692" t="str">
        <f t="shared" si="244"/>
        <v>19:27:31.000</v>
      </c>
      <c r="T692" t="str">
        <f t="shared" si="244"/>
        <v>19:27:31.000</v>
      </c>
      <c r="U692" t="str">
        <f t="shared" si="230"/>
        <v>AC3944</v>
      </c>
      <c r="V692">
        <v>0</v>
      </c>
      <c r="W692">
        <v>0</v>
      </c>
      <c r="X692">
        <v>2</v>
      </c>
      <c r="Y692">
        <v>0</v>
      </c>
      <c r="AA692">
        <v>1</v>
      </c>
      <c r="AB692">
        <v>8</v>
      </c>
      <c r="AC692">
        <v>3</v>
      </c>
      <c r="AD692">
        <v>0</v>
      </c>
      <c r="AE692">
        <v>9</v>
      </c>
      <c r="AF692" t="s">
        <v>138</v>
      </c>
      <c r="AG692">
        <v>0</v>
      </c>
      <c r="AH692">
        <v>3</v>
      </c>
      <c r="AI692">
        <v>1</v>
      </c>
      <c r="AJ692">
        <v>0</v>
      </c>
      <c r="AK692" t="s">
        <v>331</v>
      </c>
      <c r="AL692">
        <v>32.817278000000002</v>
      </c>
      <c r="AM692" t="s">
        <v>332</v>
      </c>
      <c r="AN692">
        <v>-116.960449</v>
      </c>
      <c r="AO692">
        <v>25</v>
      </c>
      <c r="AP692">
        <v>1800</v>
      </c>
      <c r="AQ692" t="s">
        <v>129</v>
      </c>
      <c r="AR692">
        <v>127</v>
      </c>
      <c r="AS692">
        <v>-10</v>
      </c>
      <c r="AT692">
        <v>-64</v>
      </c>
      <c r="BB692">
        <v>1200</v>
      </c>
      <c r="BC692">
        <v>1</v>
      </c>
      <c r="BD692" t="str">
        <f t="shared" si="231"/>
        <v xml:space="preserve">N887QR  </v>
      </c>
      <c r="BE692">
        <v>1</v>
      </c>
      <c r="BG692">
        <v>0</v>
      </c>
      <c r="BH692">
        <v>0</v>
      </c>
      <c r="BI692">
        <v>0</v>
      </c>
      <c r="BJ692">
        <v>1525</v>
      </c>
      <c r="BK692">
        <v>-275</v>
      </c>
      <c r="BL692" t="s">
        <v>163</v>
      </c>
      <c r="BM692">
        <v>1</v>
      </c>
      <c r="BN692">
        <v>1</v>
      </c>
      <c r="BO692">
        <v>1</v>
      </c>
      <c r="BP692">
        <v>0</v>
      </c>
      <c r="BS692">
        <v>0.04</v>
      </c>
      <c r="BT692">
        <v>0</v>
      </c>
      <c r="BU692">
        <v>0</v>
      </c>
      <c r="CE692" t="str">
        <f t="shared" si="245"/>
        <v>19:27:31.396</v>
      </c>
      <c r="CF692">
        <v>396314032</v>
      </c>
      <c r="CS692">
        <v>3</v>
      </c>
      <c r="CT692">
        <v>2</v>
      </c>
      <c r="CU692">
        <v>0</v>
      </c>
      <c r="CV692">
        <v>2</v>
      </c>
      <c r="CW692">
        <v>0</v>
      </c>
      <c r="CX692">
        <v>6</v>
      </c>
      <c r="CY692">
        <v>7</v>
      </c>
      <c r="CZ692" t="s">
        <v>131</v>
      </c>
      <c r="DA692">
        <v>300</v>
      </c>
      <c r="DB692">
        <v>0</v>
      </c>
      <c r="DC692" t="s">
        <v>176</v>
      </c>
      <c r="DD692" t="s">
        <v>177</v>
      </c>
      <c r="DG692">
        <v>5369152</v>
      </c>
      <c r="DI692">
        <v>1</v>
      </c>
      <c r="DJ692">
        <v>0</v>
      </c>
      <c r="DK692">
        <v>1</v>
      </c>
      <c r="DL692">
        <v>0</v>
      </c>
      <c r="DM692">
        <v>0</v>
      </c>
      <c r="DN692">
        <v>1</v>
      </c>
      <c r="DO692">
        <v>0</v>
      </c>
      <c r="DP692">
        <v>0</v>
      </c>
      <c r="DQ692">
        <v>0</v>
      </c>
      <c r="DR692">
        <v>0</v>
      </c>
      <c r="DS692">
        <v>0</v>
      </c>
    </row>
    <row r="693" spans="1:123" x14ac:dyDescent="0.3">
      <c r="A693" t="str">
        <f>"10/04/2022 19:27:31.649"</f>
        <v>10/04/2022 19:27:31.649</v>
      </c>
      <c r="C693" t="str">
        <f t="shared" si="238"/>
        <v>FFDFD3C0</v>
      </c>
      <c r="D693" t="s">
        <v>123</v>
      </c>
      <c r="E693">
        <v>7</v>
      </c>
      <c r="F693">
        <v>2007</v>
      </c>
      <c r="G693" t="s">
        <v>124</v>
      </c>
      <c r="J693" t="s">
        <v>125</v>
      </c>
      <c r="K693">
        <v>0</v>
      </c>
      <c r="L693">
        <v>3</v>
      </c>
      <c r="M693">
        <v>0</v>
      </c>
      <c r="N693">
        <v>2</v>
      </c>
      <c r="O693">
        <v>0</v>
      </c>
      <c r="P693">
        <v>1</v>
      </c>
      <c r="Q693">
        <v>0</v>
      </c>
      <c r="S693" t="str">
        <f t="shared" si="244"/>
        <v>19:27:31.000</v>
      </c>
      <c r="T693" t="str">
        <f t="shared" si="244"/>
        <v>19:27:31.000</v>
      </c>
      <c r="U693" t="str">
        <f t="shared" si="230"/>
        <v>AC3944</v>
      </c>
      <c r="V693">
        <v>0</v>
      </c>
      <c r="W693">
        <v>0</v>
      </c>
      <c r="X693">
        <v>2</v>
      </c>
      <c r="Y693">
        <v>0</v>
      </c>
      <c r="AA693">
        <v>1</v>
      </c>
      <c r="AB693">
        <v>8</v>
      </c>
      <c r="AC693">
        <v>3</v>
      </c>
      <c r="AD693">
        <v>0</v>
      </c>
      <c r="AE693">
        <v>9</v>
      </c>
      <c r="AF693" t="s">
        <v>138</v>
      </c>
      <c r="AG693">
        <v>0</v>
      </c>
      <c r="AH693">
        <v>3</v>
      </c>
      <c r="AI693">
        <v>1</v>
      </c>
      <c r="AJ693">
        <v>0</v>
      </c>
      <c r="AK693" t="s">
        <v>331</v>
      </c>
      <c r="AL693">
        <v>32.817278000000002</v>
      </c>
      <c r="AM693" t="s">
        <v>332</v>
      </c>
      <c r="AN693">
        <v>-116.960449</v>
      </c>
      <c r="AO693">
        <v>25</v>
      </c>
      <c r="AP693">
        <v>1800</v>
      </c>
      <c r="AQ693" t="s">
        <v>129</v>
      </c>
      <c r="AR693">
        <v>127</v>
      </c>
      <c r="AS693">
        <v>-10</v>
      </c>
      <c r="AT693">
        <v>-64</v>
      </c>
      <c r="BB693">
        <v>1200</v>
      </c>
      <c r="BC693">
        <v>1</v>
      </c>
      <c r="BD693" t="str">
        <f t="shared" si="231"/>
        <v xml:space="preserve">N887QR  </v>
      </c>
      <c r="BE693">
        <v>1</v>
      </c>
      <c r="BG693">
        <v>0</v>
      </c>
      <c r="BH693">
        <v>0</v>
      </c>
      <c r="BI693">
        <v>0</v>
      </c>
      <c r="BJ693">
        <v>1525</v>
      </c>
      <c r="BK693">
        <v>-275</v>
      </c>
      <c r="BL693" t="s">
        <v>163</v>
      </c>
      <c r="BM693">
        <v>1</v>
      </c>
      <c r="BN693">
        <v>1</v>
      </c>
      <c r="BO693">
        <v>1</v>
      </c>
      <c r="BP693">
        <v>0</v>
      </c>
      <c r="BS693">
        <v>0.04</v>
      </c>
      <c r="BT693">
        <v>0</v>
      </c>
      <c r="BU693">
        <v>0</v>
      </c>
      <c r="CE693" t="str">
        <f t="shared" si="245"/>
        <v>19:27:31.396</v>
      </c>
      <c r="CF693">
        <v>396314032</v>
      </c>
      <c r="CS693">
        <v>3</v>
      </c>
      <c r="CT693">
        <v>2</v>
      </c>
      <c r="CU693">
        <v>0</v>
      </c>
      <c r="CV693">
        <v>2</v>
      </c>
      <c r="CW693">
        <v>0</v>
      </c>
      <c r="CX693">
        <v>6</v>
      </c>
      <c r="CY693">
        <v>7</v>
      </c>
      <c r="CZ693" t="s">
        <v>131</v>
      </c>
      <c r="DA693">
        <v>300</v>
      </c>
      <c r="DB693">
        <v>0</v>
      </c>
      <c r="DC693" t="s">
        <v>176</v>
      </c>
      <c r="DD693" t="s">
        <v>177</v>
      </c>
      <c r="DG693">
        <v>5369152</v>
      </c>
      <c r="DI693">
        <v>1</v>
      </c>
      <c r="DJ693">
        <v>0</v>
      </c>
      <c r="DK693">
        <v>1</v>
      </c>
      <c r="DL693">
        <v>0</v>
      </c>
      <c r="DM693">
        <v>0</v>
      </c>
      <c r="DN693">
        <v>1</v>
      </c>
      <c r="DO693">
        <v>0</v>
      </c>
      <c r="DP693">
        <v>0</v>
      </c>
      <c r="DQ693">
        <v>0</v>
      </c>
      <c r="DR693">
        <v>0</v>
      </c>
      <c r="DS693">
        <v>0</v>
      </c>
    </row>
    <row r="694" spans="1:123" x14ac:dyDescent="0.3">
      <c r="A694" t="str">
        <f>"10/04/2022 19:27:31.649"</f>
        <v>10/04/2022 19:27:31.649</v>
      </c>
      <c r="C694" t="str">
        <f t="shared" ref="C694:C725" si="246">"FFDFD3C0"</f>
        <v>FFDFD3C0</v>
      </c>
      <c r="D694" t="s">
        <v>134</v>
      </c>
      <c r="E694">
        <v>15</v>
      </c>
      <c r="J694" t="s">
        <v>135</v>
      </c>
      <c r="K694">
        <v>0</v>
      </c>
      <c r="L694">
        <v>3</v>
      </c>
      <c r="M694">
        <v>0</v>
      </c>
      <c r="N694">
        <v>2</v>
      </c>
      <c r="O694">
        <v>0</v>
      </c>
      <c r="P694">
        <v>1</v>
      </c>
      <c r="Q694">
        <v>0</v>
      </c>
      <c r="S694" t="str">
        <f t="shared" si="244"/>
        <v>19:27:31.000</v>
      </c>
      <c r="T694" t="str">
        <f t="shared" si="244"/>
        <v>19:27:31.000</v>
      </c>
      <c r="U694" t="str">
        <f t="shared" si="230"/>
        <v>AC3944</v>
      </c>
      <c r="V694">
        <v>0</v>
      </c>
      <c r="W694">
        <v>0</v>
      </c>
      <c r="X694">
        <v>2</v>
      </c>
      <c r="Y694">
        <v>0</v>
      </c>
      <c r="AA694">
        <v>1</v>
      </c>
      <c r="AB694">
        <v>8</v>
      </c>
      <c r="AC694">
        <v>3</v>
      </c>
      <c r="AD694">
        <v>0</v>
      </c>
      <c r="AE694">
        <v>9</v>
      </c>
      <c r="AF694" t="s">
        <v>138</v>
      </c>
      <c r="AG694">
        <v>0</v>
      </c>
      <c r="AH694">
        <v>3</v>
      </c>
      <c r="AI694">
        <v>1</v>
      </c>
      <c r="AJ694">
        <v>0</v>
      </c>
      <c r="AK694" t="s">
        <v>331</v>
      </c>
      <c r="AL694">
        <v>32.817278000000002</v>
      </c>
      <c r="AM694" t="s">
        <v>332</v>
      </c>
      <c r="AN694">
        <v>-116.960449</v>
      </c>
      <c r="AO694">
        <v>25</v>
      </c>
      <c r="AP694">
        <v>1800</v>
      </c>
      <c r="AQ694" t="s">
        <v>129</v>
      </c>
      <c r="AR694">
        <v>127</v>
      </c>
      <c r="AS694">
        <v>-10</v>
      </c>
      <c r="AT694">
        <v>-64</v>
      </c>
      <c r="BB694">
        <v>1200</v>
      </c>
      <c r="BC694">
        <v>1</v>
      </c>
      <c r="BD694" t="str">
        <f t="shared" si="231"/>
        <v xml:space="preserve">N887QR  </v>
      </c>
      <c r="BE694">
        <v>1</v>
      </c>
      <c r="BG694">
        <v>0</v>
      </c>
      <c r="BH694">
        <v>0</v>
      </c>
      <c r="BI694">
        <v>0</v>
      </c>
      <c r="BJ694">
        <v>1525</v>
      </c>
      <c r="BK694">
        <v>-275</v>
      </c>
      <c r="BL694" t="s">
        <v>163</v>
      </c>
      <c r="BM694">
        <v>1</v>
      </c>
      <c r="BN694">
        <v>1</v>
      </c>
      <c r="BO694">
        <v>1</v>
      </c>
      <c r="BP694">
        <v>0</v>
      </c>
      <c r="BS694">
        <v>0.04</v>
      </c>
      <c r="BT694">
        <v>0</v>
      </c>
      <c r="BU694">
        <v>0</v>
      </c>
      <c r="CE694" t="str">
        <f t="shared" si="245"/>
        <v>19:27:31.396</v>
      </c>
      <c r="CF694">
        <v>396314032</v>
      </c>
      <c r="CS694">
        <v>3</v>
      </c>
      <c r="CT694">
        <v>2</v>
      </c>
      <c r="CU694">
        <v>0</v>
      </c>
      <c r="CV694">
        <v>2</v>
      </c>
      <c r="CW694">
        <v>0</v>
      </c>
      <c r="CX694">
        <v>6</v>
      </c>
      <c r="CY694">
        <v>7</v>
      </c>
      <c r="CZ694" t="s">
        <v>131</v>
      </c>
      <c r="DA694">
        <v>300</v>
      </c>
      <c r="DB694">
        <v>0</v>
      </c>
      <c r="DC694" t="s">
        <v>176</v>
      </c>
      <c r="DD694" t="s">
        <v>177</v>
      </c>
      <c r="DG694">
        <v>5369152</v>
      </c>
      <c r="DI694">
        <v>1</v>
      </c>
      <c r="DJ694">
        <v>0</v>
      </c>
      <c r="DK694">
        <v>1</v>
      </c>
      <c r="DL694">
        <v>0</v>
      </c>
      <c r="DM694">
        <v>0</v>
      </c>
      <c r="DN694">
        <v>1</v>
      </c>
      <c r="DO694">
        <v>0</v>
      </c>
      <c r="DP694">
        <v>0</v>
      </c>
      <c r="DQ694">
        <v>0</v>
      </c>
      <c r="DR694">
        <v>0</v>
      </c>
      <c r="DS694">
        <v>0</v>
      </c>
    </row>
    <row r="695" spans="1:123" x14ac:dyDescent="0.3">
      <c r="A695" t="str">
        <f>"10/04/2022 19:27:31.649"</f>
        <v>10/04/2022 19:27:31.649</v>
      </c>
      <c r="C695" t="str">
        <f t="shared" si="246"/>
        <v>FFDFD3C0</v>
      </c>
      <c r="D695" t="s">
        <v>136</v>
      </c>
      <c r="E695">
        <v>8</v>
      </c>
      <c r="H695">
        <v>225</v>
      </c>
      <c r="I695" t="s">
        <v>137</v>
      </c>
      <c r="J695" t="s">
        <v>138</v>
      </c>
      <c r="K695">
        <v>0</v>
      </c>
      <c r="L695">
        <v>3</v>
      </c>
      <c r="M695">
        <v>0</v>
      </c>
      <c r="N695">
        <v>2</v>
      </c>
      <c r="O695">
        <v>0</v>
      </c>
      <c r="P695">
        <v>1</v>
      </c>
      <c r="Q695">
        <v>0</v>
      </c>
      <c r="S695" t="str">
        <f t="shared" si="244"/>
        <v>19:27:31.000</v>
      </c>
      <c r="T695" t="str">
        <f t="shared" si="244"/>
        <v>19:27:31.000</v>
      </c>
      <c r="U695" t="str">
        <f t="shared" si="230"/>
        <v>AC3944</v>
      </c>
      <c r="V695">
        <v>0</v>
      </c>
      <c r="W695">
        <v>0</v>
      </c>
      <c r="X695">
        <v>2</v>
      </c>
      <c r="Y695">
        <v>0</v>
      </c>
      <c r="AA695">
        <v>1</v>
      </c>
      <c r="AB695">
        <v>8</v>
      </c>
      <c r="AC695">
        <v>3</v>
      </c>
      <c r="AD695">
        <v>0</v>
      </c>
      <c r="AE695">
        <v>9</v>
      </c>
      <c r="AF695" t="s">
        <v>138</v>
      </c>
      <c r="AG695">
        <v>0</v>
      </c>
      <c r="AH695">
        <v>3</v>
      </c>
      <c r="AI695">
        <v>1</v>
      </c>
      <c r="AJ695">
        <v>0</v>
      </c>
      <c r="AK695" t="s">
        <v>331</v>
      </c>
      <c r="AL695">
        <v>32.817278000000002</v>
      </c>
      <c r="AM695" t="s">
        <v>332</v>
      </c>
      <c r="AN695">
        <v>-116.960449</v>
      </c>
      <c r="AO695">
        <v>25</v>
      </c>
      <c r="AP695">
        <v>1800</v>
      </c>
      <c r="AQ695" t="s">
        <v>129</v>
      </c>
      <c r="AR695">
        <v>127</v>
      </c>
      <c r="AS695">
        <v>-10</v>
      </c>
      <c r="AT695">
        <v>-64</v>
      </c>
      <c r="BB695">
        <v>1200</v>
      </c>
      <c r="BC695">
        <v>1</v>
      </c>
      <c r="BD695" t="str">
        <f t="shared" si="231"/>
        <v xml:space="preserve">N887QR  </v>
      </c>
      <c r="BE695">
        <v>1</v>
      </c>
      <c r="BG695">
        <v>0</v>
      </c>
      <c r="BH695">
        <v>0</v>
      </c>
      <c r="BI695">
        <v>0</v>
      </c>
      <c r="BJ695">
        <v>1525</v>
      </c>
      <c r="BK695">
        <v>-275</v>
      </c>
      <c r="BL695" t="s">
        <v>163</v>
      </c>
      <c r="BM695">
        <v>1</v>
      </c>
      <c r="BN695">
        <v>1</v>
      </c>
      <c r="BO695">
        <v>1</v>
      </c>
      <c r="BP695">
        <v>0</v>
      </c>
      <c r="BS695">
        <v>0.04</v>
      </c>
      <c r="BT695">
        <v>0</v>
      </c>
      <c r="BU695">
        <v>0</v>
      </c>
      <c r="CE695" t="str">
        <f t="shared" si="245"/>
        <v>19:27:31.396</v>
      </c>
      <c r="CF695">
        <v>396314032</v>
      </c>
      <c r="CS695">
        <v>3</v>
      </c>
      <c r="CT695">
        <v>2</v>
      </c>
      <c r="CU695">
        <v>0</v>
      </c>
      <c r="CV695">
        <v>2</v>
      </c>
      <c r="CW695">
        <v>0</v>
      </c>
      <c r="CX695">
        <v>6</v>
      </c>
      <c r="CY695">
        <v>7</v>
      </c>
      <c r="CZ695" t="s">
        <v>131</v>
      </c>
      <c r="DA695">
        <v>300</v>
      </c>
      <c r="DB695">
        <v>0</v>
      </c>
      <c r="DC695" t="s">
        <v>176</v>
      </c>
      <c r="DD695" t="s">
        <v>177</v>
      </c>
      <c r="DG695">
        <v>5369152</v>
      </c>
      <c r="DI695">
        <v>1</v>
      </c>
      <c r="DJ695">
        <v>0</v>
      </c>
      <c r="DK695">
        <v>1</v>
      </c>
      <c r="DL695">
        <v>0</v>
      </c>
      <c r="DM695">
        <v>0</v>
      </c>
      <c r="DN695">
        <v>1</v>
      </c>
      <c r="DO695">
        <v>0</v>
      </c>
      <c r="DP695">
        <v>0</v>
      </c>
      <c r="DQ695">
        <v>0</v>
      </c>
      <c r="DR695">
        <v>0</v>
      </c>
      <c r="DS695">
        <v>0</v>
      </c>
    </row>
    <row r="696" spans="1:123" x14ac:dyDescent="0.3">
      <c r="A696" t="str">
        <f t="shared" ref="A696:A701" si="247">"10/04/2022 19:27:32.274"</f>
        <v>10/04/2022 19:27:32.274</v>
      </c>
      <c r="C696" t="str">
        <f t="shared" si="246"/>
        <v>FFDFD3C0</v>
      </c>
      <c r="D696" t="s">
        <v>123</v>
      </c>
      <c r="E696">
        <v>7</v>
      </c>
      <c r="F696">
        <v>2007</v>
      </c>
      <c r="G696" t="s">
        <v>124</v>
      </c>
      <c r="J696" t="s">
        <v>125</v>
      </c>
      <c r="K696">
        <v>0</v>
      </c>
      <c r="L696">
        <v>3</v>
      </c>
      <c r="M696">
        <v>0</v>
      </c>
      <c r="N696">
        <v>2</v>
      </c>
      <c r="O696">
        <v>0</v>
      </c>
      <c r="P696">
        <v>1</v>
      </c>
      <c r="Q696">
        <v>0</v>
      </c>
      <c r="S696" t="str">
        <f t="shared" ref="S696:T709" si="248">"19:27:32.000"</f>
        <v>19:27:32.000</v>
      </c>
      <c r="T696" t="str">
        <f t="shared" si="248"/>
        <v>19:27:32.000</v>
      </c>
      <c r="U696" t="str">
        <f t="shared" si="230"/>
        <v>AC3944</v>
      </c>
      <c r="V696">
        <v>0</v>
      </c>
      <c r="W696">
        <v>0</v>
      </c>
      <c r="X696">
        <v>2</v>
      </c>
      <c r="Y696">
        <v>0</v>
      </c>
      <c r="AA696">
        <v>1</v>
      </c>
      <c r="AB696">
        <v>8</v>
      </c>
      <c r="AC696">
        <v>3</v>
      </c>
      <c r="AD696">
        <v>0</v>
      </c>
      <c r="AE696">
        <v>9</v>
      </c>
      <c r="AF696" t="s">
        <v>138</v>
      </c>
      <c r="AG696">
        <v>0</v>
      </c>
      <c r="AH696">
        <v>3</v>
      </c>
      <c r="AI696">
        <v>1</v>
      </c>
      <c r="AJ696">
        <v>0</v>
      </c>
      <c r="AK696" t="s">
        <v>333</v>
      </c>
      <c r="AL696">
        <v>32.817256</v>
      </c>
      <c r="AM696" t="s">
        <v>334</v>
      </c>
      <c r="AN696">
        <v>-116.959763</v>
      </c>
      <c r="AO696">
        <v>25</v>
      </c>
      <c r="AP696">
        <v>1800</v>
      </c>
      <c r="AQ696" t="s">
        <v>129</v>
      </c>
      <c r="AR696">
        <v>128</v>
      </c>
      <c r="AS696">
        <v>-11</v>
      </c>
      <c r="AT696">
        <v>-64</v>
      </c>
      <c r="BB696">
        <v>1200</v>
      </c>
      <c r="BC696">
        <v>1</v>
      </c>
      <c r="BD696" t="str">
        <f t="shared" si="231"/>
        <v xml:space="preserve">N887QR  </v>
      </c>
      <c r="BE696">
        <v>1</v>
      </c>
      <c r="BG696">
        <v>0</v>
      </c>
      <c r="BH696">
        <v>0</v>
      </c>
      <c r="BI696">
        <v>0</v>
      </c>
      <c r="BJ696">
        <v>1525</v>
      </c>
      <c r="BK696">
        <v>-275</v>
      </c>
      <c r="BL696" t="s">
        <v>163</v>
      </c>
      <c r="BM696">
        <v>1</v>
      </c>
      <c r="BN696">
        <v>1</v>
      </c>
      <c r="BO696">
        <v>1</v>
      </c>
      <c r="BP696">
        <v>0</v>
      </c>
      <c r="BS696">
        <v>0.04</v>
      </c>
      <c r="BT696">
        <v>0</v>
      </c>
      <c r="BU696">
        <v>0</v>
      </c>
      <c r="CE696" t="str">
        <f t="shared" ref="CE696:CE702" si="249">"19:27:32.060"</f>
        <v>19:27:32.060</v>
      </c>
      <c r="CF696">
        <v>60316162</v>
      </c>
      <c r="CS696">
        <v>3</v>
      </c>
      <c r="CT696">
        <v>2</v>
      </c>
      <c r="CU696">
        <v>0</v>
      </c>
      <c r="CV696">
        <v>2</v>
      </c>
      <c r="CW696">
        <v>0</v>
      </c>
      <c r="CX696">
        <v>6</v>
      </c>
      <c r="CY696">
        <v>7</v>
      </c>
      <c r="CZ696" t="s">
        <v>131</v>
      </c>
      <c r="DA696">
        <v>300</v>
      </c>
      <c r="DB696">
        <v>0</v>
      </c>
      <c r="DC696" t="s">
        <v>176</v>
      </c>
      <c r="DD696" t="s">
        <v>177</v>
      </c>
      <c r="DG696">
        <v>5369256</v>
      </c>
      <c r="DI696">
        <v>1</v>
      </c>
      <c r="DJ696">
        <v>0</v>
      </c>
      <c r="DK696">
        <v>0</v>
      </c>
      <c r="DL696">
        <v>0</v>
      </c>
      <c r="DM696">
        <v>0</v>
      </c>
      <c r="DN696">
        <v>1</v>
      </c>
      <c r="DO696">
        <v>0</v>
      </c>
      <c r="DP696">
        <v>0</v>
      </c>
      <c r="DQ696">
        <v>0</v>
      </c>
      <c r="DR696">
        <v>0</v>
      </c>
      <c r="DS696">
        <v>0</v>
      </c>
    </row>
    <row r="697" spans="1:123" x14ac:dyDescent="0.3">
      <c r="A697" t="str">
        <f t="shared" si="247"/>
        <v>10/04/2022 19:27:32.274</v>
      </c>
      <c r="C697" t="str">
        <f t="shared" si="246"/>
        <v>FFDFD3C0</v>
      </c>
      <c r="D697" t="s">
        <v>134</v>
      </c>
      <c r="E697">
        <v>15</v>
      </c>
      <c r="J697" t="s">
        <v>135</v>
      </c>
      <c r="K697">
        <v>0</v>
      </c>
      <c r="L697">
        <v>3</v>
      </c>
      <c r="M697">
        <v>0</v>
      </c>
      <c r="N697">
        <v>2</v>
      </c>
      <c r="O697">
        <v>0</v>
      </c>
      <c r="P697">
        <v>1</v>
      </c>
      <c r="Q697">
        <v>0</v>
      </c>
      <c r="S697" t="str">
        <f t="shared" si="248"/>
        <v>19:27:32.000</v>
      </c>
      <c r="T697" t="str">
        <f t="shared" si="248"/>
        <v>19:27:32.000</v>
      </c>
      <c r="U697" t="str">
        <f t="shared" si="230"/>
        <v>AC3944</v>
      </c>
      <c r="V697">
        <v>0</v>
      </c>
      <c r="W697">
        <v>0</v>
      </c>
      <c r="X697">
        <v>2</v>
      </c>
      <c r="Y697">
        <v>0</v>
      </c>
      <c r="AA697">
        <v>1</v>
      </c>
      <c r="AB697">
        <v>8</v>
      </c>
      <c r="AC697">
        <v>3</v>
      </c>
      <c r="AD697">
        <v>0</v>
      </c>
      <c r="AE697">
        <v>9</v>
      </c>
      <c r="AF697" t="s">
        <v>138</v>
      </c>
      <c r="AG697">
        <v>0</v>
      </c>
      <c r="AH697">
        <v>3</v>
      </c>
      <c r="AI697">
        <v>1</v>
      </c>
      <c r="AJ697">
        <v>0</v>
      </c>
      <c r="AK697" t="s">
        <v>333</v>
      </c>
      <c r="AL697">
        <v>32.817256</v>
      </c>
      <c r="AM697" t="s">
        <v>334</v>
      </c>
      <c r="AN697">
        <v>-116.959763</v>
      </c>
      <c r="AO697">
        <v>25</v>
      </c>
      <c r="AP697">
        <v>1800</v>
      </c>
      <c r="AQ697" t="s">
        <v>129</v>
      </c>
      <c r="AR697">
        <v>128</v>
      </c>
      <c r="AS697">
        <v>-11</v>
      </c>
      <c r="AT697">
        <v>-64</v>
      </c>
      <c r="BB697">
        <v>1200</v>
      </c>
      <c r="BC697">
        <v>1</v>
      </c>
      <c r="BD697" t="str">
        <f t="shared" si="231"/>
        <v xml:space="preserve">N887QR  </v>
      </c>
      <c r="BE697">
        <v>1</v>
      </c>
      <c r="BG697">
        <v>0</v>
      </c>
      <c r="BH697">
        <v>0</v>
      </c>
      <c r="BI697">
        <v>0</v>
      </c>
      <c r="BJ697">
        <v>1525</v>
      </c>
      <c r="BK697">
        <v>-275</v>
      </c>
      <c r="BL697" t="s">
        <v>163</v>
      </c>
      <c r="BM697">
        <v>1</v>
      </c>
      <c r="BN697">
        <v>1</v>
      </c>
      <c r="BO697">
        <v>1</v>
      </c>
      <c r="BP697">
        <v>0</v>
      </c>
      <c r="BS697">
        <v>0.04</v>
      </c>
      <c r="BT697">
        <v>0</v>
      </c>
      <c r="BU697">
        <v>0</v>
      </c>
      <c r="CE697" t="str">
        <f t="shared" si="249"/>
        <v>19:27:32.060</v>
      </c>
      <c r="CF697">
        <v>60316162</v>
      </c>
      <c r="CS697">
        <v>3</v>
      </c>
      <c r="CT697">
        <v>2</v>
      </c>
      <c r="CU697">
        <v>0</v>
      </c>
      <c r="CV697">
        <v>2</v>
      </c>
      <c r="CW697">
        <v>0</v>
      </c>
      <c r="CX697">
        <v>6</v>
      </c>
      <c r="CY697">
        <v>7</v>
      </c>
      <c r="CZ697" t="s">
        <v>131</v>
      </c>
      <c r="DA697">
        <v>300</v>
      </c>
      <c r="DB697">
        <v>0</v>
      </c>
      <c r="DC697" t="s">
        <v>176</v>
      </c>
      <c r="DD697" t="s">
        <v>177</v>
      </c>
      <c r="DG697">
        <v>5369256</v>
      </c>
      <c r="DI697">
        <v>1</v>
      </c>
      <c r="DJ697">
        <v>0</v>
      </c>
      <c r="DK697">
        <v>1</v>
      </c>
      <c r="DL697">
        <v>0</v>
      </c>
      <c r="DM697">
        <v>0</v>
      </c>
      <c r="DN697">
        <v>1</v>
      </c>
      <c r="DO697">
        <v>0</v>
      </c>
      <c r="DP697">
        <v>0</v>
      </c>
      <c r="DQ697">
        <v>0</v>
      </c>
      <c r="DR697">
        <v>0</v>
      </c>
      <c r="DS697">
        <v>0</v>
      </c>
    </row>
    <row r="698" spans="1:123" x14ac:dyDescent="0.3">
      <c r="A698" t="str">
        <f t="shared" si="247"/>
        <v>10/04/2022 19:27:32.274</v>
      </c>
      <c r="C698" t="str">
        <f t="shared" si="246"/>
        <v>FFDFD3C0</v>
      </c>
      <c r="D698" t="s">
        <v>136</v>
      </c>
      <c r="E698">
        <v>8</v>
      </c>
      <c r="H698">
        <v>225</v>
      </c>
      <c r="I698" t="s">
        <v>137</v>
      </c>
      <c r="J698" t="s">
        <v>138</v>
      </c>
      <c r="K698">
        <v>0</v>
      </c>
      <c r="L698">
        <v>3</v>
      </c>
      <c r="M698">
        <v>0</v>
      </c>
      <c r="N698">
        <v>2</v>
      </c>
      <c r="O698">
        <v>0</v>
      </c>
      <c r="P698">
        <v>1</v>
      </c>
      <c r="Q698">
        <v>0</v>
      </c>
      <c r="S698" t="str">
        <f t="shared" si="248"/>
        <v>19:27:32.000</v>
      </c>
      <c r="T698" t="str">
        <f t="shared" si="248"/>
        <v>19:27:32.000</v>
      </c>
      <c r="U698" t="str">
        <f t="shared" si="230"/>
        <v>AC3944</v>
      </c>
      <c r="V698">
        <v>0</v>
      </c>
      <c r="W698">
        <v>0</v>
      </c>
      <c r="X698">
        <v>2</v>
      </c>
      <c r="Y698">
        <v>0</v>
      </c>
      <c r="AA698">
        <v>1</v>
      </c>
      <c r="AB698">
        <v>8</v>
      </c>
      <c r="AC698">
        <v>3</v>
      </c>
      <c r="AD698">
        <v>0</v>
      </c>
      <c r="AE698">
        <v>9</v>
      </c>
      <c r="AF698" t="s">
        <v>138</v>
      </c>
      <c r="AG698">
        <v>0</v>
      </c>
      <c r="AH698">
        <v>3</v>
      </c>
      <c r="AI698">
        <v>1</v>
      </c>
      <c r="AJ698">
        <v>0</v>
      </c>
      <c r="AK698" t="s">
        <v>333</v>
      </c>
      <c r="AL698">
        <v>32.817256</v>
      </c>
      <c r="AM698" t="s">
        <v>334</v>
      </c>
      <c r="AN698">
        <v>-116.959763</v>
      </c>
      <c r="AO698">
        <v>25</v>
      </c>
      <c r="AP698">
        <v>1800</v>
      </c>
      <c r="AQ698" t="s">
        <v>129</v>
      </c>
      <c r="AR698">
        <v>128</v>
      </c>
      <c r="AS698">
        <v>-11</v>
      </c>
      <c r="AT698">
        <v>-64</v>
      </c>
      <c r="BB698">
        <v>1200</v>
      </c>
      <c r="BC698">
        <v>1</v>
      </c>
      <c r="BD698" t="str">
        <f t="shared" si="231"/>
        <v xml:space="preserve">N887QR  </v>
      </c>
      <c r="BE698">
        <v>1</v>
      </c>
      <c r="BG698">
        <v>0</v>
      </c>
      <c r="BH698">
        <v>0</v>
      </c>
      <c r="BI698">
        <v>0</v>
      </c>
      <c r="BJ698">
        <v>1525</v>
      </c>
      <c r="BK698">
        <v>-275</v>
      </c>
      <c r="BL698" t="s">
        <v>163</v>
      </c>
      <c r="BM698">
        <v>1</v>
      </c>
      <c r="BN698">
        <v>1</v>
      </c>
      <c r="BO698">
        <v>1</v>
      </c>
      <c r="BP698">
        <v>0</v>
      </c>
      <c r="BS698">
        <v>0.04</v>
      </c>
      <c r="BT698">
        <v>0</v>
      </c>
      <c r="BU698">
        <v>0</v>
      </c>
      <c r="CE698" t="str">
        <f t="shared" si="249"/>
        <v>19:27:32.060</v>
      </c>
      <c r="CF698">
        <v>60316162</v>
      </c>
      <c r="CS698">
        <v>3</v>
      </c>
      <c r="CT698">
        <v>2</v>
      </c>
      <c r="CU698">
        <v>0</v>
      </c>
      <c r="CV698">
        <v>2</v>
      </c>
      <c r="CW698">
        <v>0</v>
      </c>
      <c r="CX698">
        <v>6</v>
      </c>
      <c r="CY698">
        <v>7</v>
      </c>
      <c r="CZ698" t="s">
        <v>131</v>
      </c>
      <c r="DA698">
        <v>300</v>
      </c>
      <c r="DB698">
        <v>0</v>
      </c>
      <c r="DC698" t="s">
        <v>176</v>
      </c>
      <c r="DD698" t="s">
        <v>177</v>
      </c>
      <c r="DG698">
        <v>5369256</v>
      </c>
      <c r="DI698">
        <v>1</v>
      </c>
      <c r="DJ698">
        <v>0</v>
      </c>
      <c r="DK698">
        <v>1</v>
      </c>
      <c r="DL698">
        <v>0</v>
      </c>
      <c r="DM698">
        <v>0</v>
      </c>
      <c r="DN698">
        <v>1</v>
      </c>
      <c r="DO698">
        <v>0</v>
      </c>
      <c r="DP698">
        <v>0</v>
      </c>
      <c r="DQ698">
        <v>0</v>
      </c>
      <c r="DR698">
        <v>0</v>
      </c>
      <c r="DS698">
        <v>0</v>
      </c>
    </row>
    <row r="699" spans="1:123" x14ac:dyDescent="0.3">
      <c r="A699" t="str">
        <f t="shared" si="247"/>
        <v>10/04/2022 19:27:32.274</v>
      </c>
      <c r="C699" t="str">
        <f t="shared" si="246"/>
        <v>FFDFD3C0</v>
      </c>
      <c r="D699" t="s">
        <v>141</v>
      </c>
      <c r="E699">
        <v>4</v>
      </c>
      <c r="H699">
        <v>4</v>
      </c>
      <c r="I699" t="s">
        <v>142</v>
      </c>
      <c r="J699" t="s">
        <v>138</v>
      </c>
      <c r="K699">
        <v>0</v>
      </c>
      <c r="L699">
        <v>3</v>
      </c>
      <c r="M699">
        <v>0</v>
      </c>
      <c r="N699">
        <v>2</v>
      </c>
      <c r="O699">
        <v>0</v>
      </c>
      <c r="P699">
        <v>1</v>
      </c>
      <c r="Q699">
        <v>0</v>
      </c>
      <c r="S699" t="str">
        <f t="shared" si="248"/>
        <v>19:27:32.000</v>
      </c>
      <c r="T699" t="str">
        <f t="shared" si="248"/>
        <v>19:27:32.000</v>
      </c>
      <c r="U699" t="str">
        <f t="shared" si="230"/>
        <v>AC3944</v>
      </c>
      <c r="V699">
        <v>0</v>
      </c>
      <c r="W699">
        <v>0</v>
      </c>
      <c r="X699">
        <v>2</v>
      </c>
      <c r="Y699">
        <v>0</v>
      </c>
      <c r="AA699">
        <v>1</v>
      </c>
      <c r="AB699">
        <v>8</v>
      </c>
      <c r="AC699">
        <v>3</v>
      </c>
      <c r="AD699">
        <v>0</v>
      </c>
      <c r="AE699">
        <v>9</v>
      </c>
      <c r="AF699" t="s">
        <v>138</v>
      </c>
      <c r="AG699">
        <v>0</v>
      </c>
      <c r="AH699">
        <v>3</v>
      </c>
      <c r="AI699">
        <v>1</v>
      </c>
      <c r="AJ699">
        <v>0</v>
      </c>
      <c r="AK699" t="s">
        <v>333</v>
      </c>
      <c r="AL699">
        <v>32.817256</v>
      </c>
      <c r="AM699" t="s">
        <v>334</v>
      </c>
      <c r="AN699">
        <v>-116.959763</v>
      </c>
      <c r="AO699">
        <v>25</v>
      </c>
      <c r="AP699">
        <v>1800</v>
      </c>
      <c r="AQ699" t="s">
        <v>129</v>
      </c>
      <c r="AR699">
        <v>128</v>
      </c>
      <c r="AS699">
        <v>-11</v>
      </c>
      <c r="AT699">
        <v>-64</v>
      </c>
      <c r="BB699">
        <v>1200</v>
      </c>
      <c r="BC699">
        <v>1</v>
      </c>
      <c r="BD699" t="str">
        <f t="shared" si="231"/>
        <v xml:space="preserve">N887QR  </v>
      </c>
      <c r="BE699">
        <v>1</v>
      </c>
      <c r="BG699">
        <v>0</v>
      </c>
      <c r="BH699">
        <v>0</v>
      </c>
      <c r="BI699">
        <v>0</v>
      </c>
      <c r="BJ699">
        <v>1525</v>
      </c>
      <c r="BK699">
        <v>-275</v>
      </c>
      <c r="BL699" t="s">
        <v>163</v>
      </c>
      <c r="BM699">
        <v>1</v>
      </c>
      <c r="BN699">
        <v>1</v>
      </c>
      <c r="BO699">
        <v>1</v>
      </c>
      <c r="BP699">
        <v>0</v>
      </c>
      <c r="BS699">
        <v>0.04</v>
      </c>
      <c r="BT699">
        <v>0</v>
      </c>
      <c r="BU699">
        <v>0</v>
      </c>
      <c r="CE699" t="str">
        <f t="shared" si="249"/>
        <v>19:27:32.060</v>
      </c>
      <c r="CF699">
        <v>60316162</v>
      </c>
      <c r="CS699">
        <v>3</v>
      </c>
      <c r="CT699">
        <v>2</v>
      </c>
      <c r="CU699">
        <v>0</v>
      </c>
      <c r="CV699">
        <v>2</v>
      </c>
      <c r="CW699">
        <v>0</v>
      </c>
      <c r="CX699">
        <v>6</v>
      </c>
      <c r="CY699">
        <v>7</v>
      </c>
      <c r="CZ699" t="s">
        <v>131</v>
      </c>
      <c r="DA699">
        <v>300</v>
      </c>
      <c r="DB699">
        <v>0</v>
      </c>
      <c r="DC699" t="s">
        <v>176</v>
      </c>
      <c r="DD699" t="s">
        <v>177</v>
      </c>
      <c r="DG699">
        <v>5369256</v>
      </c>
      <c r="DI699">
        <v>1</v>
      </c>
      <c r="DJ699">
        <v>0</v>
      </c>
      <c r="DK699">
        <v>1</v>
      </c>
      <c r="DL699">
        <v>0</v>
      </c>
      <c r="DM699">
        <v>0</v>
      </c>
      <c r="DN699">
        <v>1</v>
      </c>
      <c r="DO699">
        <v>0</v>
      </c>
      <c r="DP699">
        <v>0</v>
      </c>
      <c r="DQ699">
        <v>0</v>
      </c>
      <c r="DR699">
        <v>0</v>
      </c>
      <c r="DS699">
        <v>0</v>
      </c>
    </row>
    <row r="700" spans="1:123" x14ac:dyDescent="0.3">
      <c r="A700" t="str">
        <f t="shared" si="247"/>
        <v>10/04/2022 19:27:32.274</v>
      </c>
      <c r="C700" t="str">
        <f t="shared" si="246"/>
        <v>FFDFD3C0</v>
      </c>
      <c r="D700" t="s">
        <v>147</v>
      </c>
      <c r="E700">
        <v>3</v>
      </c>
      <c r="H700">
        <v>166</v>
      </c>
      <c r="I700" t="s">
        <v>144</v>
      </c>
      <c r="J700" t="s">
        <v>148</v>
      </c>
      <c r="K700">
        <v>0</v>
      </c>
      <c r="L700">
        <v>3</v>
      </c>
      <c r="M700">
        <v>0</v>
      </c>
      <c r="N700">
        <v>2</v>
      </c>
      <c r="O700">
        <v>0</v>
      </c>
      <c r="P700">
        <v>1</v>
      </c>
      <c r="Q700">
        <v>0</v>
      </c>
      <c r="S700" t="str">
        <f t="shared" si="248"/>
        <v>19:27:32.000</v>
      </c>
      <c r="T700" t="str">
        <f t="shared" si="248"/>
        <v>19:27:32.000</v>
      </c>
      <c r="U700" t="str">
        <f t="shared" si="230"/>
        <v>AC3944</v>
      </c>
      <c r="V700">
        <v>0</v>
      </c>
      <c r="W700">
        <v>0</v>
      </c>
      <c r="X700">
        <v>2</v>
      </c>
      <c r="Y700">
        <v>0</v>
      </c>
      <c r="AA700">
        <v>1</v>
      </c>
      <c r="AB700">
        <v>8</v>
      </c>
      <c r="AC700">
        <v>3</v>
      </c>
      <c r="AD700">
        <v>0</v>
      </c>
      <c r="AE700">
        <v>9</v>
      </c>
      <c r="AF700" t="s">
        <v>138</v>
      </c>
      <c r="AG700">
        <v>0</v>
      </c>
      <c r="AH700">
        <v>3</v>
      </c>
      <c r="AI700">
        <v>1</v>
      </c>
      <c r="AJ700">
        <v>0</v>
      </c>
      <c r="AK700" t="s">
        <v>333</v>
      </c>
      <c r="AL700">
        <v>32.817256</v>
      </c>
      <c r="AM700" t="s">
        <v>334</v>
      </c>
      <c r="AN700">
        <v>-116.959763</v>
      </c>
      <c r="AO700">
        <v>25</v>
      </c>
      <c r="AP700">
        <v>1800</v>
      </c>
      <c r="AQ700" t="s">
        <v>129</v>
      </c>
      <c r="AR700">
        <v>128</v>
      </c>
      <c r="AS700">
        <v>-11</v>
      </c>
      <c r="AT700">
        <v>-64</v>
      </c>
      <c r="BB700">
        <v>1200</v>
      </c>
      <c r="BC700">
        <v>1</v>
      </c>
      <c r="BD700" t="str">
        <f t="shared" si="231"/>
        <v xml:space="preserve">N887QR  </v>
      </c>
      <c r="BE700">
        <v>1</v>
      </c>
      <c r="BG700">
        <v>0</v>
      </c>
      <c r="BH700">
        <v>0</v>
      </c>
      <c r="BI700">
        <v>0</v>
      </c>
      <c r="BJ700">
        <v>1525</v>
      </c>
      <c r="BK700">
        <v>-275</v>
      </c>
      <c r="BL700" t="s">
        <v>163</v>
      </c>
      <c r="BM700">
        <v>1</v>
      </c>
      <c r="BN700">
        <v>1</v>
      </c>
      <c r="BO700">
        <v>1</v>
      </c>
      <c r="BP700">
        <v>0</v>
      </c>
      <c r="BS700">
        <v>0.04</v>
      </c>
      <c r="BT700">
        <v>0</v>
      </c>
      <c r="BU700">
        <v>0</v>
      </c>
      <c r="CE700" t="str">
        <f t="shared" si="249"/>
        <v>19:27:32.060</v>
      </c>
      <c r="CF700">
        <v>60316162</v>
      </c>
      <c r="CS700">
        <v>3</v>
      </c>
      <c r="CT700">
        <v>2</v>
      </c>
      <c r="CU700">
        <v>0</v>
      </c>
      <c r="CV700">
        <v>2</v>
      </c>
      <c r="CW700">
        <v>0</v>
      </c>
      <c r="CX700">
        <v>6</v>
      </c>
      <c r="CY700">
        <v>7</v>
      </c>
      <c r="CZ700" t="s">
        <v>131</v>
      </c>
      <c r="DA700">
        <v>300</v>
      </c>
      <c r="DB700">
        <v>0</v>
      </c>
      <c r="DC700" t="s">
        <v>176</v>
      </c>
      <c r="DD700" t="s">
        <v>177</v>
      </c>
      <c r="DG700">
        <v>5369256</v>
      </c>
      <c r="DI700">
        <v>1</v>
      </c>
      <c r="DJ700">
        <v>0</v>
      </c>
      <c r="DK700">
        <v>1</v>
      </c>
      <c r="DL700">
        <v>0</v>
      </c>
      <c r="DM700">
        <v>0</v>
      </c>
      <c r="DN700">
        <v>1</v>
      </c>
      <c r="DO700">
        <v>0</v>
      </c>
      <c r="DP700">
        <v>0</v>
      </c>
      <c r="DQ700">
        <v>0</v>
      </c>
      <c r="DR700">
        <v>0</v>
      </c>
      <c r="DS700">
        <v>0</v>
      </c>
    </row>
    <row r="701" spans="1:123" x14ac:dyDescent="0.3">
      <c r="A701" t="str">
        <f t="shared" si="247"/>
        <v>10/04/2022 19:27:32.274</v>
      </c>
      <c r="C701" t="str">
        <f t="shared" si="246"/>
        <v>FFDFD3C0</v>
      </c>
      <c r="D701" t="s">
        <v>141</v>
      </c>
      <c r="E701">
        <v>3</v>
      </c>
      <c r="H701">
        <v>3</v>
      </c>
      <c r="I701" t="s">
        <v>146</v>
      </c>
      <c r="J701" t="s">
        <v>138</v>
      </c>
      <c r="K701">
        <v>0</v>
      </c>
      <c r="L701">
        <v>3</v>
      </c>
      <c r="M701">
        <v>0</v>
      </c>
      <c r="N701">
        <v>2</v>
      </c>
      <c r="O701">
        <v>0</v>
      </c>
      <c r="P701">
        <v>1</v>
      </c>
      <c r="Q701">
        <v>0</v>
      </c>
      <c r="S701" t="str">
        <f t="shared" si="248"/>
        <v>19:27:32.000</v>
      </c>
      <c r="T701" t="str">
        <f t="shared" si="248"/>
        <v>19:27:32.000</v>
      </c>
      <c r="U701" t="str">
        <f t="shared" si="230"/>
        <v>AC3944</v>
      </c>
      <c r="V701">
        <v>0</v>
      </c>
      <c r="W701">
        <v>0</v>
      </c>
      <c r="X701">
        <v>2</v>
      </c>
      <c r="Y701">
        <v>0</v>
      </c>
      <c r="AA701">
        <v>1</v>
      </c>
      <c r="AB701">
        <v>8</v>
      </c>
      <c r="AC701">
        <v>3</v>
      </c>
      <c r="AD701">
        <v>0</v>
      </c>
      <c r="AE701">
        <v>9</v>
      </c>
      <c r="AF701" t="s">
        <v>138</v>
      </c>
      <c r="AG701">
        <v>0</v>
      </c>
      <c r="AH701">
        <v>3</v>
      </c>
      <c r="AI701">
        <v>1</v>
      </c>
      <c r="AJ701">
        <v>0</v>
      </c>
      <c r="AK701" t="s">
        <v>333</v>
      </c>
      <c r="AL701">
        <v>32.817256</v>
      </c>
      <c r="AM701" t="s">
        <v>334</v>
      </c>
      <c r="AN701">
        <v>-116.959763</v>
      </c>
      <c r="AO701">
        <v>25</v>
      </c>
      <c r="AP701">
        <v>1800</v>
      </c>
      <c r="AQ701" t="s">
        <v>129</v>
      </c>
      <c r="AR701">
        <v>128</v>
      </c>
      <c r="AS701">
        <v>-11</v>
      </c>
      <c r="AT701">
        <v>-64</v>
      </c>
      <c r="BB701">
        <v>1200</v>
      </c>
      <c r="BC701">
        <v>1</v>
      </c>
      <c r="BD701" t="str">
        <f t="shared" si="231"/>
        <v xml:space="preserve">N887QR  </v>
      </c>
      <c r="BE701">
        <v>1</v>
      </c>
      <c r="BG701">
        <v>0</v>
      </c>
      <c r="BH701">
        <v>0</v>
      </c>
      <c r="BI701">
        <v>0</v>
      </c>
      <c r="BJ701">
        <v>1525</v>
      </c>
      <c r="BK701">
        <v>-275</v>
      </c>
      <c r="BL701" t="s">
        <v>163</v>
      </c>
      <c r="BM701">
        <v>1</v>
      </c>
      <c r="BN701">
        <v>1</v>
      </c>
      <c r="BO701">
        <v>1</v>
      </c>
      <c r="BP701">
        <v>0</v>
      </c>
      <c r="BS701">
        <v>0.04</v>
      </c>
      <c r="BT701">
        <v>0</v>
      </c>
      <c r="BU701">
        <v>0</v>
      </c>
      <c r="CE701" t="str">
        <f t="shared" si="249"/>
        <v>19:27:32.060</v>
      </c>
      <c r="CF701">
        <v>60316162</v>
      </c>
      <c r="CS701">
        <v>3</v>
      </c>
      <c r="CT701">
        <v>2</v>
      </c>
      <c r="CU701">
        <v>0</v>
      </c>
      <c r="CV701">
        <v>2</v>
      </c>
      <c r="CW701">
        <v>0</v>
      </c>
      <c r="CX701">
        <v>6</v>
      </c>
      <c r="CY701">
        <v>7</v>
      </c>
      <c r="CZ701" t="s">
        <v>131</v>
      </c>
      <c r="DA701">
        <v>300</v>
      </c>
      <c r="DB701">
        <v>0</v>
      </c>
      <c r="DC701" t="s">
        <v>176</v>
      </c>
      <c r="DD701" t="s">
        <v>177</v>
      </c>
      <c r="DG701">
        <v>5369256</v>
      </c>
      <c r="DI701">
        <v>1</v>
      </c>
      <c r="DJ701">
        <v>0</v>
      </c>
      <c r="DK701">
        <v>1</v>
      </c>
      <c r="DL701">
        <v>0</v>
      </c>
      <c r="DM701">
        <v>0</v>
      </c>
      <c r="DN701">
        <v>1</v>
      </c>
      <c r="DO701">
        <v>0</v>
      </c>
      <c r="DP701">
        <v>0</v>
      </c>
      <c r="DQ701">
        <v>0</v>
      </c>
      <c r="DR701">
        <v>0</v>
      </c>
      <c r="DS701">
        <v>0</v>
      </c>
    </row>
    <row r="702" spans="1:123" x14ac:dyDescent="0.3">
      <c r="A702" t="str">
        <f>"10/04/2022 19:27:32.305"</f>
        <v>10/04/2022 19:27:32.305</v>
      </c>
      <c r="C702" t="str">
        <f t="shared" si="246"/>
        <v>FFDFD3C0</v>
      </c>
      <c r="D702" t="s">
        <v>143</v>
      </c>
      <c r="E702">
        <v>20</v>
      </c>
      <c r="F702">
        <v>1020</v>
      </c>
      <c r="G702" t="s">
        <v>144</v>
      </c>
      <c r="J702" t="s">
        <v>145</v>
      </c>
      <c r="K702">
        <v>0</v>
      </c>
      <c r="L702">
        <v>3</v>
      </c>
      <c r="M702">
        <v>0</v>
      </c>
      <c r="N702">
        <v>2</v>
      </c>
      <c r="O702">
        <v>0</v>
      </c>
      <c r="P702">
        <v>1</v>
      </c>
      <c r="Q702">
        <v>0</v>
      </c>
      <c r="S702" t="str">
        <f t="shared" si="248"/>
        <v>19:27:32.000</v>
      </c>
      <c r="T702" t="str">
        <f t="shared" si="248"/>
        <v>19:27:32.000</v>
      </c>
      <c r="U702" t="str">
        <f t="shared" si="230"/>
        <v>AC3944</v>
      </c>
      <c r="V702">
        <v>0</v>
      </c>
      <c r="W702">
        <v>0</v>
      </c>
      <c r="X702">
        <v>2</v>
      </c>
      <c r="Y702">
        <v>0</v>
      </c>
      <c r="AA702">
        <v>1</v>
      </c>
      <c r="AB702">
        <v>8</v>
      </c>
      <c r="AC702">
        <v>3</v>
      </c>
      <c r="AD702">
        <v>0</v>
      </c>
      <c r="AE702">
        <v>9</v>
      </c>
      <c r="AF702" t="s">
        <v>138</v>
      </c>
      <c r="AG702">
        <v>0</v>
      </c>
      <c r="AH702">
        <v>3</v>
      </c>
      <c r="AI702">
        <v>1</v>
      </c>
      <c r="AJ702">
        <v>0</v>
      </c>
      <c r="AK702" t="s">
        <v>333</v>
      </c>
      <c r="AL702">
        <v>32.817256</v>
      </c>
      <c r="AM702" t="s">
        <v>334</v>
      </c>
      <c r="AN702">
        <v>-116.959763</v>
      </c>
      <c r="AO702">
        <v>25</v>
      </c>
      <c r="AP702">
        <v>1800</v>
      </c>
      <c r="AQ702" t="s">
        <v>129</v>
      </c>
      <c r="AR702">
        <v>128</v>
      </c>
      <c r="AS702">
        <v>-11</v>
      </c>
      <c r="AT702">
        <v>-64</v>
      </c>
      <c r="BB702">
        <v>1200</v>
      </c>
      <c r="BC702">
        <v>1</v>
      </c>
      <c r="BD702" t="str">
        <f t="shared" si="231"/>
        <v xml:space="preserve">N887QR  </v>
      </c>
      <c r="BE702">
        <v>1</v>
      </c>
      <c r="BG702">
        <v>0</v>
      </c>
      <c r="BH702">
        <v>0</v>
      </c>
      <c r="BI702">
        <v>0</v>
      </c>
      <c r="BJ702">
        <v>1525</v>
      </c>
      <c r="BK702">
        <v>-275</v>
      </c>
      <c r="BL702" t="s">
        <v>163</v>
      </c>
      <c r="BM702">
        <v>1</v>
      </c>
      <c r="BN702">
        <v>1</v>
      </c>
      <c r="BO702">
        <v>1</v>
      </c>
      <c r="BP702">
        <v>0</v>
      </c>
      <c r="BS702">
        <v>0.04</v>
      </c>
      <c r="BT702">
        <v>0</v>
      </c>
      <c r="BU702">
        <v>0</v>
      </c>
      <c r="CE702" t="str">
        <f t="shared" si="249"/>
        <v>19:27:32.060</v>
      </c>
      <c r="CF702">
        <v>60316162</v>
      </c>
      <c r="CS702">
        <v>3</v>
      </c>
      <c r="CT702">
        <v>2</v>
      </c>
      <c r="CU702">
        <v>0</v>
      </c>
      <c r="CV702">
        <v>2</v>
      </c>
      <c r="CW702">
        <v>0</v>
      </c>
      <c r="CX702">
        <v>6</v>
      </c>
      <c r="CY702">
        <v>7</v>
      </c>
      <c r="CZ702" t="s">
        <v>131</v>
      </c>
      <c r="DA702">
        <v>300</v>
      </c>
      <c r="DB702">
        <v>0</v>
      </c>
      <c r="DC702" t="s">
        <v>176</v>
      </c>
      <c r="DD702" t="s">
        <v>177</v>
      </c>
      <c r="DG702">
        <v>5369256</v>
      </c>
      <c r="DI702">
        <v>1</v>
      </c>
      <c r="DJ702">
        <v>0</v>
      </c>
      <c r="DK702">
        <v>1</v>
      </c>
      <c r="DL702">
        <v>0</v>
      </c>
      <c r="DM702">
        <v>0</v>
      </c>
      <c r="DN702">
        <v>1</v>
      </c>
      <c r="DO702">
        <v>0</v>
      </c>
      <c r="DP702">
        <v>0</v>
      </c>
      <c r="DQ702">
        <v>0</v>
      </c>
      <c r="DR702">
        <v>0</v>
      </c>
      <c r="DS702">
        <v>0</v>
      </c>
    </row>
    <row r="703" spans="1:123" x14ac:dyDescent="0.3">
      <c r="A703" t="str">
        <f>"10/04/2022 19:27:33.071"</f>
        <v>10/04/2022 19:27:33.071</v>
      </c>
      <c r="C703" t="str">
        <f t="shared" si="246"/>
        <v>FFDFD3C0</v>
      </c>
      <c r="D703" t="s">
        <v>141</v>
      </c>
      <c r="E703">
        <v>3</v>
      </c>
      <c r="H703">
        <v>3</v>
      </c>
      <c r="I703" t="s">
        <v>146</v>
      </c>
      <c r="J703" t="s">
        <v>138</v>
      </c>
      <c r="K703">
        <v>0</v>
      </c>
      <c r="L703">
        <v>3</v>
      </c>
      <c r="M703">
        <v>0</v>
      </c>
      <c r="N703">
        <v>2</v>
      </c>
      <c r="O703">
        <v>0</v>
      </c>
      <c r="P703">
        <v>1</v>
      </c>
      <c r="Q703">
        <v>0</v>
      </c>
      <c r="S703" t="str">
        <f t="shared" si="248"/>
        <v>19:27:32.000</v>
      </c>
      <c r="T703" t="str">
        <f t="shared" si="248"/>
        <v>19:27:32.000</v>
      </c>
      <c r="U703" t="str">
        <f t="shared" si="230"/>
        <v>AC3944</v>
      </c>
      <c r="V703">
        <v>0</v>
      </c>
      <c r="W703">
        <v>0</v>
      </c>
      <c r="X703">
        <v>2</v>
      </c>
      <c r="Y703">
        <v>0</v>
      </c>
      <c r="AA703">
        <v>1</v>
      </c>
      <c r="AB703">
        <v>8</v>
      </c>
      <c r="AC703">
        <v>3</v>
      </c>
      <c r="AD703">
        <v>0</v>
      </c>
      <c r="AE703">
        <v>9</v>
      </c>
      <c r="AF703" t="s">
        <v>138</v>
      </c>
      <c r="AG703">
        <v>0</v>
      </c>
      <c r="AH703">
        <v>3</v>
      </c>
      <c r="AI703">
        <v>1</v>
      </c>
      <c r="AJ703">
        <v>0</v>
      </c>
      <c r="AK703" t="s">
        <v>335</v>
      </c>
      <c r="AL703">
        <v>32.817191999999999</v>
      </c>
      <c r="AM703" t="s">
        <v>336</v>
      </c>
      <c r="AN703">
        <v>-116.95903300000001</v>
      </c>
      <c r="AO703">
        <v>25</v>
      </c>
      <c r="AP703">
        <v>1800</v>
      </c>
      <c r="AQ703" t="s">
        <v>129</v>
      </c>
      <c r="AR703">
        <v>127</v>
      </c>
      <c r="AS703">
        <v>-14</v>
      </c>
      <c r="AT703">
        <v>-64</v>
      </c>
      <c r="BB703">
        <v>1200</v>
      </c>
      <c r="BC703">
        <v>1</v>
      </c>
      <c r="BD703" t="str">
        <f t="shared" si="231"/>
        <v xml:space="preserve">N887QR  </v>
      </c>
      <c r="BE703">
        <v>1</v>
      </c>
      <c r="BG703">
        <v>0</v>
      </c>
      <c r="BH703">
        <v>0</v>
      </c>
      <c r="BI703">
        <v>0</v>
      </c>
      <c r="BJ703">
        <v>1525</v>
      </c>
      <c r="BK703">
        <v>-275</v>
      </c>
      <c r="BL703" t="s">
        <v>163</v>
      </c>
      <c r="BM703">
        <v>1</v>
      </c>
      <c r="BN703">
        <v>1</v>
      </c>
      <c r="BO703">
        <v>1</v>
      </c>
      <c r="BP703">
        <v>0</v>
      </c>
      <c r="BS703">
        <v>0.04</v>
      </c>
      <c r="BT703">
        <v>0</v>
      </c>
      <c r="BU703">
        <v>0</v>
      </c>
      <c r="CE703" t="str">
        <f t="shared" ref="CE703:CE709" si="250">"19:27:32.856"</f>
        <v>19:27:32.856</v>
      </c>
      <c r="CF703">
        <v>856318687</v>
      </c>
      <c r="CS703">
        <v>3</v>
      </c>
      <c r="CT703">
        <v>2</v>
      </c>
      <c r="CU703">
        <v>0</v>
      </c>
      <c r="CV703">
        <v>2</v>
      </c>
      <c r="CW703">
        <v>0</v>
      </c>
      <c r="CX703">
        <v>6</v>
      </c>
      <c r="CY703">
        <v>7</v>
      </c>
      <c r="CZ703" t="s">
        <v>131</v>
      </c>
      <c r="DA703">
        <v>300</v>
      </c>
      <c r="DB703">
        <v>0</v>
      </c>
      <c r="DC703" t="s">
        <v>176</v>
      </c>
      <c r="DD703" t="s">
        <v>177</v>
      </c>
      <c r="DG703">
        <v>5369388</v>
      </c>
      <c r="DI703">
        <v>1</v>
      </c>
      <c r="DJ703">
        <v>0</v>
      </c>
      <c r="DK703">
        <v>0</v>
      </c>
      <c r="DL703">
        <v>0</v>
      </c>
      <c r="DM703">
        <v>0</v>
      </c>
      <c r="DN703">
        <v>1</v>
      </c>
      <c r="DO703">
        <v>0</v>
      </c>
      <c r="DP703">
        <v>0</v>
      </c>
      <c r="DQ703">
        <v>0</v>
      </c>
      <c r="DR703">
        <v>0</v>
      </c>
      <c r="DS703">
        <v>0</v>
      </c>
    </row>
    <row r="704" spans="1:123" x14ac:dyDescent="0.3">
      <c r="A704" t="str">
        <f>"10/04/2022 19:27:33.071"</f>
        <v>10/04/2022 19:27:33.071</v>
      </c>
      <c r="C704" t="str">
        <f t="shared" si="246"/>
        <v>FFDFD3C0</v>
      </c>
      <c r="D704" t="s">
        <v>143</v>
      </c>
      <c r="E704">
        <v>20</v>
      </c>
      <c r="F704">
        <v>1020</v>
      </c>
      <c r="G704" t="s">
        <v>144</v>
      </c>
      <c r="J704" t="s">
        <v>145</v>
      </c>
      <c r="K704">
        <v>0</v>
      </c>
      <c r="L704">
        <v>3</v>
      </c>
      <c r="M704">
        <v>0</v>
      </c>
      <c r="N704">
        <v>2</v>
      </c>
      <c r="O704">
        <v>0</v>
      </c>
      <c r="P704">
        <v>1</v>
      </c>
      <c r="Q704">
        <v>0</v>
      </c>
      <c r="S704" t="str">
        <f t="shared" si="248"/>
        <v>19:27:32.000</v>
      </c>
      <c r="T704" t="str">
        <f t="shared" si="248"/>
        <v>19:27:32.000</v>
      </c>
      <c r="U704" t="str">
        <f t="shared" si="230"/>
        <v>AC3944</v>
      </c>
      <c r="V704">
        <v>0</v>
      </c>
      <c r="W704">
        <v>0</v>
      </c>
      <c r="X704">
        <v>2</v>
      </c>
      <c r="Y704">
        <v>0</v>
      </c>
      <c r="AA704">
        <v>1</v>
      </c>
      <c r="AB704">
        <v>8</v>
      </c>
      <c r="AC704">
        <v>3</v>
      </c>
      <c r="AD704">
        <v>0</v>
      </c>
      <c r="AE704">
        <v>9</v>
      </c>
      <c r="AF704" t="s">
        <v>138</v>
      </c>
      <c r="AG704">
        <v>0</v>
      </c>
      <c r="AH704">
        <v>3</v>
      </c>
      <c r="AI704">
        <v>1</v>
      </c>
      <c r="AJ704">
        <v>0</v>
      </c>
      <c r="AK704" t="s">
        <v>335</v>
      </c>
      <c r="AL704">
        <v>32.817191999999999</v>
      </c>
      <c r="AM704" t="s">
        <v>336</v>
      </c>
      <c r="AN704">
        <v>-116.95903300000001</v>
      </c>
      <c r="AO704">
        <v>25</v>
      </c>
      <c r="AP704">
        <v>1800</v>
      </c>
      <c r="AQ704" t="s">
        <v>129</v>
      </c>
      <c r="AR704">
        <v>127</v>
      </c>
      <c r="AS704">
        <v>-14</v>
      </c>
      <c r="AT704">
        <v>-64</v>
      </c>
      <c r="BB704">
        <v>1200</v>
      </c>
      <c r="BC704">
        <v>1</v>
      </c>
      <c r="BD704" t="str">
        <f t="shared" si="231"/>
        <v xml:space="preserve">N887QR  </v>
      </c>
      <c r="BE704">
        <v>1</v>
      </c>
      <c r="BG704">
        <v>0</v>
      </c>
      <c r="BH704">
        <v>0</v>
      </c>
      <c r="BI704">
        <v>0</v>
      </c>
      <c r="BJ704">
        <v>1525</v>
      </c>
      <c r="BK704">
        <v>-275</v>
      </c>
      <c r="BL704" t="s">
        <v>163</v>
      </c>
      <c r="BM704">
        <v>1</v>
      </c>
      <c r="BN704">
        <v>1</v>
      </c>
      <c r="BO704">
        <v>1</v>
      </c>
      <c r="BP704">
        <v>0</v>
      </c>
      <c r="BS704">
        <v>0.04</v>
      </c>
      <c r="BT704">
        <v>0</v>
      </c>
      <c r="BU704">
        <v>0</v>
      </c>
      <c r="CE704" t="str">
        <f t="shared" si="250"/>
        <v>19:27:32.856</v>
      </c>
      <c r="CF704">
        <v>856318687</v>
      </c>
      <c r="CS704">
        <v>3</v>
      </c>
      <c r="CT704">
        <v>2</v>
      </c>
      <c r="CU704">
        <v>0</v>
      </c>
      <c r="CV704">
        <v>2</v>
      </c>
      <c r="CW704">
        <v>0</v>
      </c>
      <c r="CX704">
        <v>6</v>
      </c>
      <c r="CY704">
        <v>7</v>
      </c>
      <c r="CZ704" t="s">
        <v>131</v>
      </c>
      <c r="DA704">
        <v>300</v>
      </c>
      <c r="DB704">
        <v>0</v>
      </c>
      <c r="DC704" t="s">
        <v>176</v>
      </c>
      <c r="DD704" t="s">
        <v>177</v>
      </c>
      <c r="DG704">
        <v>5369388</v>
      </c>
      <c r="DI704">
        <v>1</v>
      </c>
      <c r="DJ704">
        <v>0</v>
      </c>
      <c r="DK704">
        <v>1</v>
      </c>
      <c r="DL704">
        <v>0</v>
      </c>
      <c r="DM704">
        <v>0</v>
      </c>
      <c r="DN704">
        <v>1</v>
      </c>
      <c r="DO704">
        <v>0</v>
      </c>
      <c r="DP704">
        <v>0</v>
      </c>
      <c r="DQ704">
        <v>0</v>
      </c>
      <c r="DR704">
        <v>0</v>
      </c>
      <c r="DS704">
        <v>0</v>
      </c>
    </row>
    <row r="705" spans="1:123" x14ac:dyDescent="0.3">
      <c r="A705" t="str">
        <f>"10/04/2022 19:27:33.118"</f>
        <v>10/04/2022 19:27:33.118</v>
      </c>
      <c r="C705" t="str">
        <f t="shared" si="246"/>
        <v>FFDFD3C0</v>
      </c>
      <c r="D705" t="s">
        <v>123</v>
      </c>
      <c r="E705">
        <v>7</v>
      </c>
      <c r="F705">
        <v>2007</v>
      </c>
      <c r="G705" t="s">
        <v>124</v>
      </c>
      <c r="J705" t="s">
        <v>125</v>
      </c>
      <c r="K705">
        <v>0</v>
      </c>
      <c r="L705">
        <v>3</v>
      </c>
      <c r="M705">
        <v>0</v>
      </c>
      <c r="N705">
        <v>2</v>
      </c>
      <c r="O705">
        <v>0</v>
      </c>
      <c r="P705">
        <v>1</v>
      </c>
      <c r="Q705">
        <v>0</v>
      </c>
      <c r="S705" t="str">
        <f t="shared" si="248"/>
        <v>19:27:32.000</v>
      </c>
      <c r="T705" t="str">
        <f t="shared" si="248"/>
        <v>19:27:32.000</v>
      </c>
      <c r="U705" t="str">
        <f t="shared" si="230"/>
        <v>AC3944</v>
      </c>
      <c r="V705">
        <v>0</v>
      </c>
      <c r="W705">
        <v>0</v>
      </c>
      <c r="X705">
        <v>2</v>
      </c>
      <c r="Y705">
        <v>0</v>
      </c>
      <c r="AA705">
        <v>1</v>
      </c>
      <c r="AB705">
        <v>8</v>
      </c>
      <c r="AC705">
        <v>3</v>
      </c>
      <c r="AD705">
        <v>0</v>
      </c>
      <c r="AE705">
        <v>9</v>
      </c>
      <c r="AF705" t="s">
        <v>138</v>
      </c>
      <c r="AG705">
        <v>0</v>
      </c>
      <c r="AH705">
        <v>3</v>
      </c>
      <c r="AI705">
        <v>1</v>
      </c>
      <c r="AJ705">
        <v>0</v>
      </c>
      <c r="AK705" t="s">
        <v>335</v>
      </c>
      <c r="AL705">
        <v>32.817191999999999</v>
      </c>
      <c r="AM705" t="s">
        <v>336</v>
      </c>
      <c r="AN705">
        <v>-116.95903300000001</v>
      </c>
      <c r="AO705">
        <v>25</v>
      </c>
      <c r="AP705">
        <v>1800</v>
      </c>
      <c r="AQ705" t="s">
        <v>129</v>
      </c>
      <c r="AR705">
        <v>127</v>
      </c>
      <c r="AS705">
        <v>-14</v>
      </c>
      <c r="AT705">
        <v>-64</v>
      </c>
      <c r="BB705">
        <v>1200</v>
      </c>
      <c r="BC705">
        <v>1</v>
      </c>
      <c r="BD705" t="str">
        <f t="shared" si="231"/>
        <v xml:space="preserve">N887QR  </v>
      </c>
      <c r="BE705">
        <v>1</v>
      </c>
      <c r="BG705">
        <v>0</v>
      </c>
      <c r="BH705">
        <v>0</v>
      </c>
      <c r="BI705">
        <v>0</v>
      </c>
      <c r="BJ705">
        <v>1525</v>
      </c>
      <c r="BK705">
        <v>-275</v>
      </c>
      <c r="BL705" t="s">
        <v>163</v>
      </c>
      <c r="BM705">
        <v>1</v>
      </c>
      <c r="BN705">
        <v>1</v>
      </c>
      <c r="BO705">
        <v>1</v>
      </c>
      <c r="BP705">
        <v>0</v>
      </c>
      <c r="BS705">
        <v>0.04</v>
      </c>
      <c r="BT705">
        <v>0</v>
      </c>
      <c r="BU705">
        <v>0</v>
      </c>
      <c r="CE705" t="str">
        <f t="shared" si="250"/>
        <v>19:27:32.856</v>
      </c>
      <c r="CF705">
        <v>856318687</v>
      </c>
      <c r="CS705">
        <v>3</v>
      </c>
      <c r="CT705">
        <v>2</v>
      </c>
      <c r="CU705">
        <v>0</v>
      </c>
      <c r="CV705">
        <v>2</v>
      </c>
      <c r="CW705">
        <v>0</v>
      </c>
      <c r="CX705">
        <v>6</v>
      </c>
      <c r="CY705">
        <v>7</v>
      </c>
      <c r="CZ705" t="s">
        <v>131</v>
      </c>
      <c r="DA705">
        <v>300</v>
      </c>
      <c r="DB705">
        <v>0</v>
      </c>
      <c r="DC705" t="s">
        <v>176</v>
      </c>
      <c r="DD705" t="s">
        <v>177</v>
      </c>
      <c r="DG705">
        <v>5369388</v>
      </c>
      <c r="DI705">
        <v>1</v>
      </c>
      <c r="DJ705">
        <v>0</v>
      </c>
      <c r="DK705">
        <v>1</v>
      </c>
      <c r="DL705">
        <v>0</v>
      </c>
      <c r="DM705">
        <v>0</v>
      </c>
      <c r="DN705">
        <v>1</v>
      </c>
      <c r="DO705">
        <v>0</v>
      </c>
      <c r="DP705">
        <v>0</v>
      </c>
      <c r="DQ705">
        <v>0</v>
      </c>
      <c r="DR705">
        <v>0</v>
      </c>
      <c r="DS705">
        <v>0</v>
      </c>
    </row>
    <row r="706" spans="1:123" x14ac:dyDescent="0.3">
      <c r="A706" t="str">
        <f>"10/04/2022 19:27:33.149"</f>
        <v>10/04/2022 19:27:33.149</v>
      </c>
      <c r="C706" t="str">
        <f t="shared" si="246"/>
        <v>FFDFD3C0</v>
      </c>
      <c r="D706" t="s">
        <v>136</v>
      </c>
      <c r="E706">
        <v>8</v>
      </c>
      <c r="H706">
        <v>225</v>
      </c>
      <c r="I706" t="s">
        <v>137</v>
      </c>
      <c r="J706" t="s">
        <v>138</v>
      </c>
      <c r="K706">
        <v>0</v>
      </c>
      <c r="L706">
        <v>3</v>
      </c>
      <c r="M706">
        <v>0</v>
      </c>
      <c r="N706">
        <v>2</v>
      </c>
      <c r="O706">
        <v>0</v>
      </c>
      <c r="P706">
        <v>1</v>
      </c>
      <c r="Q706">
        <v>0</v>
      </c>
      <c r="S706" t="str">
        <f t="shared" si="248"/>
        <v>19:27:32.000</v>
      </c>
      <c r="T706" t="str">
        <f t="shared" si="248"/>
        <v>19:27:32.000</v>
      </c>
      <c r="U706" t="str">
        <f t="shared" ref="U706:U769" si="251">"AC3944"</f>
        <v>AC3944</v>
      </c>
      <c r="V706">
        <v>0</v>
      </c>
      <c r="W706">
        <v>0</v>
      </c>
      <c r="X706">
        <v>2</v>
      </c>
      <c r="Y706">
        <v>0</v>
      </c>
      <c r="AA706">
        <v>1</v>
      </c>
      <c r="AB706">
        <v>8</v>
      </c>
      <c r="AC706">
        <v>3</v>
      </c>
      <c r="AD706">
        <v>0</v>
      </c>
      <c r="AE706">
        <v>9</v>
      </c>
      <c r="AF706" t="s">
        <v>138</v>
      </c>
      <c r="AG706">
        <v>0</v>
      </c>
      <c r="AH706">
        <v>3</v>
      </c>
      <c r="AI706">
        <v>1</v>
      </c>
      <c r="AJ706">
        <v>0</v>
      </c>
      <c r="AK706" t="s">
        <v>335</v>
      </c>
      <c r="AL706">
        <v>32.817191999999999</v>
      </c>
      <c r="AM706" t="s">
        <v>336</v>
      </c>
      <c r="AN706">
        <v>-116.95903300000001</v>
      </c>
      <c r="AO706">
        <v>25</v>
      </c>
      <c r="AP706">
        <v>1800</v>
      </c>
      <c r="AQ706" t="s">
        <v>129</v>
      </c>
      <c r="AR706">
        <v>127</v>
      </c>
      <c r="AS706">
        <v>-14</v>
      </c>
      <c r="AT706">
        <v>-64</v>
      </c>
      <c r="BB706">
        <v>1200</v>
      </c>
      <c r="BC706">
        <v>1</v>
      </c>
      <c r="BD706" t="str">
        <f t="shared" ref="BD706:BD769" si="252">"N887QR  "</f>
        <v xml:space="preserve">N887QR  </v>
      </c>
      <c r="BE706">
        <v>1</v>
      </c>
      <c r="BG706">
        <v>0</v>
      </c>
      <c r="BH706">
        <v>0</v>
      </c>
      <c r="BI706">
        <v>0</v>
      </c>
      <c r="BJ706">
        <v>1525</v>
      </c>
      <c r="BK706">
        <v>-275</v>
      </c>
      <c r="BL706" t="s">
        <v>163</v>
      </c>
      <c r="BM706">
        <v>1</v>
      </c>
      <c r="BN706">
        <v>1</v>
      </c>
      <c r="BO706">
        <v>1</v>
      </c>
      <c r="BP706">
        <v>0</v>
      </c>
      <c r="BS706">
        <v>0.04</v>
      </c>
      <c r="BT706">
        <v>0</v>
      </c>
      <c r="BU706">
        <v>0</v>
      </c>
      <c r="CE706" t="str">
        <f t="shared" si="250"/>
        <v>19:27:32.856</v>
      </c>
      <c r="CF706">
        <v>856318687</v>
      </c>
      <c r="CS706">
        <v>3</v>
      </c>
      <c r="CT706">
        <v>2</v>
      </c>
      <c r="CU706">
        <v>0</v>
      </c>
      <c r="CV706">
        <v>2</v>
      </c>
      <c r="CW706">
        <v>0</v>
      </c>
      <c r="CX706">
        <v>6</v>
      </c>
      <c r="CY706">
        <v>7</v>
      </c>
      <c r="CZ706" t="s">
        <v>131</v>
      </c>
      <c r="DA706">
        <v>300</v>
      </c>
      <c r="DB706">
        <v>0</v>
      </c>
      <c r="DC706" t="s">
        <v>176</v>
      </c>
      <c r="DD706" t="s">
        <v>177</v>
      </c>
      <c r="DG706">
        <v>5369388</v>
      </c>
      <c r="DI706">
        <v>1</v>
      </c>
      <c r="DJ706">
        <v>0</v>
      </c>
      <c r="DK706">
        <v>1</v>
      </c>
      <c r="DL706">
        <v>0</v>
      </c>
      <c r="DM706">
        <v>0</v>
      </c>
      <c r="DN706">
        <v>1</v>
      </c>
      <c r="DO706">
        <v>0</v>
      </c>
      <c r="DP706">
        <v>0</v>
      </c>
      <c r="DQ706">
        <v>0</v>
      </c>
      <c r="DR706">
        <v>0</v>
      </c>
      <c r="DS706">
        <v>0</v>
      </c>
    </row>
    <row r="707" spans="1:123" x14ac:dyDescent="0.3">
      <c r="A707" t="str">
        <f>"10/04/2022 19:27:33.149"</f>
        <v>10/04/2022 19:27:33.149</v>
      </c>
      <c r="C707" t="str">
        <f t="shared" si="246"/>
        <v>FFDFD3C0</v>
      </c>
      <c r="D707" t="s">
        <v>141</v>
      </c>
      <c r="E707">
        <v>4</v>
      </c>
      <c r="H707">
        <v>4</v>
      </c>
      <c r="I707" t="s">
        <v>142</v>
      </c>
      <c r="J707" t="s">
        <v>138</v>
      </c>
      <c r="K707">
        <v>0</v>
      </c>
      <c r="L707">
        <v>3</v>
      </c>
      <c r="M707">
        <v>0</v>
      </c>
      <c r="N707">
        <v>2</v>
      </c>
      <c r="O707">
        <v>0</v>
      </c>
      <c r="P707">
        <v>1</v>
      </c>
      <c r="Q707">
        <v>0</v>
      </c>
      <c r="S707" t="str">
        <f t="shared" si="248"/>
        <v>19:27:32.000</v>
      </c>
      <c r="T707" t="str">
        <f t="shared" si="248"/>
        <v>19:27:32.000</v>
      </c>
      <c r="U707" t="str">
        <f t="shared" si="251"/>
        <v>AC3944</v>
      </c>
      <c r="V707">
        <v>0</v>
      </c>
      <c r="W707">
        <v>0</v>
      </c>
      <c r="X707">
        <v>2</v>
      </c>
      <c r="Y707">
        <v>0</v>
      </c>
      <c r="AA707">
        <v>1</v>
      </c>
      <c r="AB707">
        <v>8</v>
      </c>
      <c r="AC707">
        <v>3</v>
      </c>
      <c r="AD707">
        <v>0</v>
      </c>
      <c r="AE707">
        <v>9</v>
      </c>
      <c r="AF707" t="s">
        <v>138</v>
      </c>
      <c r="AG707">
        <v>0</v>
      </c>
      <c r="AH707">
        <v>3</v>
      </c>
      <c r="AI707">
        <v>1</v>
      </c>
      <c r="AJ707">
        <v>0</v>
      </c>
      <c r="AK707" t="s">
        <v>335</v>
      </c>
      <c r="AL707">
        <v>32.817191999999999</v>
      </c>
      <c r="AM707" t="s">
        <v>336</v>
      </c>
      <c r="AN707">
        <v>-116.95903300000001</v>
      </c>
      <c r="AO707">
        <v>25</v>
      </c>
      <c r="AP707">
        <v>1800</v>
      </c>
      <c r="AQ707" t="s">
        <v>129</v>
      </c>
      <c r="AR707">
        <v>127</v>
      </c>
      <c r="AS707">
        <v>-14</v>
      </c>
      <c r="AT707">
        <v>-64</v>
      </c>
      <c r="BB707">
        <v>1200</v>
      </c>
      <c r="BC707">
        <v>1</v>
      </c>
      <c r="BD707" t="str">
        <f t="shared" si="252"/>
        <v xml:space="preserve">N887QR  </v>
      </c>
      <c r="BE707">
        <v>1</v>
      </c>
      <c r="BG707">
        <v>0</v>
      </c>
      <c r="BH707">
        <v>0</v>
      </c>
      <c r="BI707">
        <v>0</v>
      </c>
      <c r="BJ707">
        <v>1525</v>
      </c>
      <c r="BK707">
        <v>-275</v>
      </c>
      <c r="BL707" t="s">
        <v>163</v>
      </c>
      <c r="BM707">
        <v>1</v>
      </c>
      <c r="BN707">
        <v>1</v>
      </c>
      <c r="BO707">
        <v>1</v>
      </c>
      <c r="BP707">
        <v>0</v>
      </c>
      <c r="BS707">
        <v>0.04</v>
      </c>
      <c r="BT707">
        <v>0</v>
      </c>
      <c r="BU707">
        <v>0</v>
      </c>
      <c r="CE707" t="str">
        <f t="shared" si="250"/>
        <v>19:27:32.856</v>
      </c>
      <c r="CF707">
        <v>856318687</v>
      </c>
      <c r="CS707">
        <v>3</v>
      </c>
      <c r="CT707">
        <v>2</v>
      </c>
      <c r="CU707">
        <v>0</v>
      </c>
      <c r="CV707">
        <v>2</v>
      </c>
      <c r="CW707">
        <v>0</v>
      </c>
      <c r="CX707">
        <v>6</v>
      </c>
      <c r="CY707">
        <v>7</v>
      </c>
      <c r="CZ707" t="s">
        <v>131</v>
      </c>
      <c r="DA707">
        <v>300</v>
      </c>
      <c r="DB707">
        <v>0</v>
      </c>
      <c r="DC707" t="s">
        <v>176</v>
      </c>
      <c r="DD707" t="s">
        <v>177</v>
      </c>
      <c r="DG707">
        <v>5369388</v>
      </c>
      <c r="DI707">
        <v>1</v>
      </c>
      <c r="DJ707">
        <v>0</v>
      </c>
      <c r="DK707">
        <v>1</v>
      </c>
      <c r="DL707">
        <v>0</v>
      </c>
      <c r="DM707">
        <v>0</v>
      </c>
      <c r="DN707">
        <v>1</v>
      </c>
      <c r="DO707">
        <v>0</v>
      </c>
      <c r="DP707">
        <v>0</v>
      </c>
      <c r="DQ707">
        <v>0</v>
      </c>
      <c r="DR707">
        <v>0</v>
      </c>
      <c r="DS707">
        <v>0</v>
      </c>
    </row>
    <row r="708" spans="1:123" x14ac:dyDescent="0.3">
      <c r="A708" t="str">
        <f>"10/04/2022 19:27:33.149"</f>
        <v>10/04/2022 19:27:33.149</v>
      </c>
      <c r="C708" t="str">
        <f t="shared" si="246"/>
        <v>FFDFD3C0</v>
      </c>
      <c r="D708" t="s">
        <v>147</v>
      </c>
      <c r="E708">
        <v>3</v>
      </c>
      <c r="H708">
        <v>166</v>
      </c>
      <c r="I708" t="s">
        <v>144</v>
      </c>
      <c r="J708" t="s">
        <v>148</v>
      </c>
      <c r="K708">
        <v>0</v>
      </c>
      <c r="L708">
        <v>3</v>
      </c>
      <c r="M708">
        <v>0</v>
      </c>
      <c r="N708">
        <v>2</v>
      </c>
      <c r="O708">
        <v>0</v>
      </c>
      <c r="P708">
        <v>1</v>
      </c>
      <c r="Q708">
        <v>0</v>
      </c>
      <c r="S708" t="str">
        <f t="shared" si="248"/>
        <v>19:27:32.000</v>
      </c>
      <c r="T708" t="str">
        <f t="shared" si="248"/>
        <v>19:27:32.000</v>
      </c>
      <c r="U708" t="str">
        <f t="shared" si="251"/>
        <v>AC3944</v>
      </c>
      <c r="V708">
        <v>0</v>
      </c>
      <c r="W708">
        <v>0</v>
      </c>
      <c r="X708">
        <v>2</v>
      </c>
      <c r="Y708">
        <v>0</v>
      </c>
      <c r="AA708">
        <v>1</v>
      </c>
      <c r="AB708">
        <v>8</v>
      </c>
      <c r="AC708">
        <v>3</v>
      </c>
      <c r="AD708">
        <v>0</v>
      </c>
      <c r="AE708">
        <v>9</v>
      </c>
      <c r="AF708" t="s">
        <v>138</v>
      </c>
      <c r="AG708">
        <v>0</v>
      </c>
      <c r="AH708">
        <v>3</v>
      </c>
      <c r="AI708">
        <v>1</v>
      </c>
      <c r="AJ708">
        <v>0</v>
      </c>
      <c r="AK708" t="s">
        <v>335</v>
      </c>
      <c r="AL708">
        <v>32.817191999999999</v>
      </c>
      <c r="AM708" t="s">
        <v>336</v>
      </c>
      <c r="AN708">
        <v>-116.95903300000001</v>
      </c>
      <c r="AO708">
        <v>25</v>
      </c>
      <c r="AP708">
        <v>1800</v>
      </c>
      <c r="AQ708" t="s">
        <v>129</v>
      </c>
      <c r="AR708">
        <v>127</v>
      </c>
      <c r="AS708">
        <v>-14</v>
      </c>
      <c r="AT708">
        <v>-64</v>
      </c>
      <c r="BB708">
        <v>1200</v>
      </c>
      <c r="BC708">
        <v>1</v>
      </c>
      <c r="BD708" t="str">
        <f t="shared" si="252"/>
        <v xml:space="preserve">N887QR  </v>
      </c>
      <c r="BE708">
        <v>1</v>
      </c>
      <c r="BG708">
        <v>0</v>
      </c>
      <c r="BH708">
        <v>0</v>
      </c>
      <c r="BI708">
        <v>0</v>
      </c>
      <c r="BJ708">
        <v>1525</v>
      </c>
      <c r="BK708">
        <v>-275</v>
      </c>
      <c r="BL708" t="s">
        <v>163</v>
      </c>
      <c r="BM708">
        <v>1</v>
      </c>
      <c r="BN708">
        <v>1</v>
      </c>
      <c r="BO708">
        <v>1</v>
      </c>
      <c r="BP708">
        <v>0</v>
      </c>
      <c r="BS708">
        <v>0.04</v>
      </c>
      <c r="BT708">
        <v>0</v>
      </c>
      <c r="BU708">
        <v>0</v>
      </c>
      <c r="CE708" t="str">
        <f t="shared" si="250"/>
        <v>19:27:32.856</v>
      </c>
      <c r="CF708">
        <v>856318687</v>
      </c>
      <c r="CS708">
        <v>3</v>
      </c>
      <c r="CT708">
        <v>2</v>
      </c>
      <c r="CU708">
        <v>0</v>
      </c>
      <c r="CV708">
        <v>2</v>
      </c>
      <c r="CW708">
        <v>0</v>
      </c>
      <c r="CX708">
        <v>6</v>
      </c>
      <c r="CY708">
        <v>7</v>
      </c>
      <c r="CZ708" t="s">
        <v>131</v>
      </c>
      <c r="DA708">
        <v>300</v>
      </c>
      <c r="DB708">
        <v>0</v>
      </c>
      <c r="DC708" t="s">
        <v>176</v>
      </c>
      <c r="DD708" t="s">
        <v>177</v>
      </c>
      <c r="DG708">
        <v>5369388</v>
      </c>
      <c r="DI708">
        <v>1</v>
      </c>
      <c r="DJ708">
        <v>0</v>
      </c>
      <c r="DK708">
        <v>1</v>
      </c>
      <c r="DL708">
        <v>0</v>
      </c>
      <c r="DM708">
        <v>0</v>
      </c>
      <c r="DN708">
        <v>1</v>
      </c>
      <c r="DO708">
        <v>0</v>
      </c>
      <c r="DP708">
        <v>0</v>
      </c>
      <c r="DQ708">
        <v>0</v>
      </c>
      <c r="DR708">
        <v>0</v>
      </c>
      <c r="DS708">
        <v>0</v>
      </c>
    </row>
    <row r="709" spans="1:123" x14ac:dyDescent="0.3">
      <c r="A709" t="str">
        <f>"10/04/2022 19:27:33.149"</f>
        <v>10/04/2022 19:27:33.149</v>
      </c>
      <c r="C709" t="str">
        <f t="shared" si="246"/>
        <v>FFDFD3C0</v>
      </c>
      <c r="D709" t="s">
        <v>134</v>
      </c>
      <c r="E709">
        <v>15</v>
      </c>
      <c r="J709" t="s">
        <v>135</v>
      </c>
      <c r="K709">
        <v>0</v>
      </c>
      <c r="L709">
        <v>3</v>
      </c>
      <c r="M709">
        <v>0</v>
      </c>
      <c r="N709">
        <v>2</v>
      </c>
      <c r="O709">
        <v>0</v>
      </c>
      <c r="P709">
        <v>1</v>
      </c>
      <c r="Q709">
        <v>0</v>
      </c>
      <c r="S709" t="str">
        <f t="shared" si="248"/>
        <v>19:27:32.000</v>
      </c>
      <c r="T709" t="str">
        <f t="shared" si="248"/>
        <v>19:27:32.000</v>
      </c>
      <c r="U709" t="str">
        <f t="shared" si="251"/>
        <v>AC3944</v>
      </c>
      <c r="V709">
        <v>0</v>
      </c>
      <c r="W709">
        <v>0</v>
      </c>
      <c r="X709">
        <v>2</v>
      </c>
      <c r="Y709">
        <v>0</v>
      </c>
      <c r="AA709">
        <v>1</v>
      </c>
      <c r="AB709">
        <v>8</v>
      </c>
      <c r="AC709">
        <v>3</v>
      </c>
      <c r="AD709">
        <v>0</v>
      </c>
      <c r="AE709">
        <v>9</v>
      </c>
      <c r="AF709" t="s">
        <v>138</v>
      </c>
      <c r="AG709">
        <v>0</v>
      </c>
      <c r="AH709">
        <v>3</v>
      </c>
      <c r="AI709">
        <v>1</v>
      </c>
      <c r="AJ709">
        <v>0</v>
      </c>
      <c r="AK709" t="s">
        <v>335</v>
      </c>
      <c r="AL709">
        <v>32.817191999999999</v>
      </c>
      <c r="AM709" t="s">
        <v>336</v>
      </c>
      <c r="AN709">
        <v>-116.95903300000001</v>
      </c>
      <c r="AO709">
        <v>25</v>
      </c>
      <c r="AP709">
        <v>1800</v>
      </c>
      <c r="AQ709" t="s">
        <v>129</v>
      </c>
      <c r="AR709">
        <v>127</v>
      </c>
      <c r="AS709">
        <v>-14</v>
      </c>
      <c r="AT709">
        <v>-64</v>
      </c>
      <c r="BB709">
        <v>1200</v>
      </c>
      <c r="BC709">
        <v>1</v>
      </c>
      <c r="BD709" t="str">
        <f t="shared" si="252"/>
        <v xml:space="preserve">N887QR  </v>
      </c>
      <c r="BE709">
        <v>1</v>
      </c>
      <c r="BG709">
        <v>0</v>
      </c>
      <c r="BH709">
        <v>0</v>
      </c>
      <c r="BI709">
        <v>0</v>
      </c>
      <c r="BJ709">
        <v>1525</v>
      </c>
      <c r="BK709">
        <v>-275</v>
      </c>
      <c r="BL709" t="s">
        <v>163</v>
      </c>
      <c r="BM709">
        <v>1</v>
      </c>
      <c r="BN709">
        <v>1</v>
      </c>
      <c r="BO709">
        <v>1</v>
      </c>
      <c r="BP709">
        <v>0</v>
      </c>
      <c r="BS709">
        <v>0.04</v>
      </c>
      <c r="BT709">
        <v>0</v>
      </c>
      <c r="BU709">
        <v>0</v>
      </c>
      <c r="CE709" t="str">
        <f t="shared" si="250"/>
        <v>19:27:32.856</v>
      </c>
      <c r="CF709">
        <v>856318687</v>
      </c>
      <c r="CS709">
        <v>3</v>
      </c>
      <c r="CT709">
        <v>2</v>
      </c>
      <c r="CU709">
        <v>0</v>
      </c>
      <c r="CV709">
        <v>2</v>
      </c>
      <c r="CW709">
        <v>0</v>
      </c>
      <c r="CX709">
        <v>6</v>
      </c>
      <c r="CY709">
        <v>7</v>
      </c>
      <c r="CZ709" t="s">
        <v>131</v>
      </c>
      <c r="DA709">
        <v>300</v>
      </c>
      <c r="DB709">
        <v>0</v>
      </c>
      <c r="DC709" t="s">
        <v>176</v>
      </c>
      <c r="DD709" t="s">
        <v>177</v>
      </c>
      <c r="DG709">
        <v>5369388</v>
      </c>
      <c r="DI709">
        <v>1</v>
      </c>
      <c r="DJ709">
        <v>0</v>
      </c>
      <c r="DK709">
        <v>1</v>
      </c>
      <c r="DL709">
        <v>0</v>
      </c>
      <c r="DM709">
        <v>0</v>
      </c>
      <c r="DN709">
        <v>1</v>
      </c>
      <c r="DO709">
        <v>0</v>
      </c>
      <c r="DP709">
        <v>0</v>
      </c>
      <c r="DQ709">
        <v>0</v>
      </c>
      <c r="DR709">
        <v>0</v>
      </c>
      <c r="DS709">
        <v>0</v>
      </c>
    </row>
    <row r="710" spans="1:123" x14ac:dyDescent="0.3">
      <c r="A710" t="str">
        <f>"10/04/2022 19:27:34.524"</f>
        <v>10/04/2022 19:27:34.524</v>
      </c>
      <c r="C710" t="str">
        <f t="shared" si="246"/>
        <v>FFDFD3C0</v>
      </c>
      <c r="D710" t="s">
        <v>141</v>
      </c>
      <c r="E710">
        <v>4</v>
      </c>
      <c r="H710">
        <v>4</v>
      </c>
      <c r="I710" t="s">
        <v>142</v>
      </c>
      <c r="J710" t="s">
        <v>138</v>
      </c>
      <c r="K710">
        <v>0</v>
      </c>
      <c r="L710">
        <v>3</v>
      </c>
      <c r="M710">
        <v>0</v>
      </c>
      <c r="N710">
        <v>2</v>
      </c>
      <c r="O710">
        <v>0</v>
      </c>
      <c r="P710">
        <v>1</v>
      </c>
      <c r="Q710">
        <v>0</v>
      </c>
      <c r="S710" t="str">
        <f t="shared" ref="S710:T716" si="253">"19:27:34.000"</f>
        <v>19:27:34.000</v>
      </c>
      <c r="T710" t="str">
        <f t="shared" si="253"/>
        <v>19:27:34.000</v>
      </c>
      <c r="U710" t="str">
        <f t="shared" si="251"/>
        <v>AC3944</v>
      </c>
      <c r="V710">
        <v>0</v>
      </c>
      <c r="W710">
        <v>0</v>
      </c>
      <c r="X710">
        <v>2</v>
      </c>
      <c r="Y710">
        <v>0</v>
      </c>
      <c r="AA710">
        <v>1</v>
      </c>
      <c r="AB710">
        <v>8</v>
      </c>
      <c r="AC710">
        <v>3</v>
      </c>
      <c r="AD710">
        <v>0</v>
      </c>
      <c r="AE710">
        <v>9</v>
      </c>
      <c r="AF710" t="s">
        <v>138</v>
      </c>
      <c r="AG710">
        <v>0</v>
      </c>
      <c r="AH710">
        <v>3</v>
      </c>
      <c r="AI710">
        <v>1</v>
      </c>
      <c r="AJ710">
        <v>0</v>
      </c>
      <c r="AK710" t="s">
        <v>337</v>
      </c>
      <c r="AL710">
        <v>32.817106000000003</v>
      </c>
      <c r="AM710" t="s">
        <v>338</v>
      </c>
      <c r="AN710">
        <v>-116.958196</v>
      </c>
      <c r="AO710">
        <v>25</v>
      </c>
      <c r="AP710">
        <v>1800</v>
      </c>
      <c r="AQ710" t="s">
        <v>129</v>
      </c>
      <c r="AR710">
        <v>127</v>
      </c>
      <c r="AS710">
        <v>-19</v>
      </c>
      <c r="AT710">
        <v>0</v>
      </c>
      <c r="BB710">
        <v>1200</v>
      </c>
      <c r="BC710">
        <v>1</v>
      </c>
      <c r="BD710" t="str">
        <f t="shared" si="252"/>
        <v xml:space="preserve">N887QR  </v>
      </c>
      <c r="BE710">
        <v>1</v>
      </c>
      <c r="BG710">
        <v>0</v>
      </c>
      <c r="BH710">
        <v>0</v>
      </c>
      <c r="BI710">
        <v>0</v>
      </c>
      <c r="BJ710">
        <v>1525</v>
      </c>
      <c r="BK710">
        <v>-275</v>
      </c>
      <c r="BL710" t="s">
        <v>163</v>
      </c>
      <c r="BM710">
        <v>1</v>
      </c>
      <c r="BN710">
        <v>1</v>
      </c>
      <c r="BO710">
        <v>1</v>
      </c>
      <c r="BP710">
        <v>0</v>
      </c>
      <c r="BS710">
        <v>0.04</v>
      </c>
      <c r="BT710">
        <v>0</v>
      </c>
      <c r="BU710">
        <v>0</v>
      </c>
      <c r="CE710" t="str">
        <f t="shared" ref="CE710:CE716" si="254">"19:27:34.339"</f>
        <v>19:27:34.339</v>
      </c>
      <c r="CF710">
        <v>338573418</v>
      </c>
      <c r="CS710">
        <v>3</v>
      </c>
      <c r="CT710">
        <v>2</v>
      </c>
      <c r="CU710">
        <v>0</v>
      </c>
      <c r="CV710">
        <v>2</v>
      </c>
      <c r="CW710">
        <v>0</v>
      </c>
      <c r="CX710">
        <v>6</v>
      </c>
      <c r="CY710">
        <v>7</v>
      </c>
      <c r="CZ710" t="s">
        <v>131</v>
      </c>
      <c r="DA710">
        <v>300</v>
      </c>
      <c r="DB710">
        <v>0</v>
      </c>
      <c r="DC710" t="s">
        <v>176</v>
      </c>
      <c r="DD710" t="s">
        <v>177</v>
      </c>
      <c r="DG710">
        <v>5369650</v>
      </c>
      <c r="DI710">
        <v>1</v>
      </c>
      <c r="DJ710">
        <v>0</v>
      </c>
      <c r="DK710">
        <v>0</v>
      </c>
      <c r="DL710">
        <v>0</v>
      </c>
      <c r="DM710">
        <v>0</v>
      </c>
      <c r="DN710">
        <v>1</v>
      </c>
      <c r="DO710">
        <v>0</v>
      </c>
      <c r="DP710">
        <v>0</v>
      </c>
      <c r="DQ710">
        <v>0</v>
      </c>
      <c r="DR710">
        <v>0</v>
      </c>
      <c r="DS710">
        <v>0</v>
      </c>
    </row>
    <row r="711" spans="1:123" x14ac:dyDescent="0.3">
      <c r="A711" t="str">
        <f>"10/04/2022 19:27:34.524"</f>
        <v>10/04/2022 19:27:34.524</v>
      </c>
      <c r="C711" t="str">
        <f t="shared" si="246"/>
        <v>FFDFD3C0</v>
      </c>
      <c r="D711" t="s">
        <v>136</v>
      </c>
      <c r="E711">
        <v>8</v>
      </c>
      <c r="H711">
        <v>225</v>
      </c>
      <c r="I711" t="s">
        <v>137</v>
      </c>
      <c r="J711" t="s">
        <v>138</v>
      </c>
      <c r="K711">
        <v>0</v>
      </c>
      <c r="L711">
        <v>3</v>
      </c>
      <c r="M711">
        <v>0</v>
      </c>
      <c r="N711">
        <v>2</v>
      </c>
      <c r="O711">
        <v>0</v>
      </c>
      <c r="P711">
        <v>1</v>
      </c>
      <c r="Q711">
        <v>0</v>
      </c>
      <c r="S711" t="str">
        <f t="shared" si="253"/>
        <v>19:27:34.000</v>
      </c>
      <c r="T711" t="str">
        <f t="shared" si="253"/>
        <v>19:27:34.000</v>
      </c>
      <c r="U711" t="str">
        <f t="shared" si="251"/>
        <v>AC3944</v>
      </c>
      <c r="V711">
        <v>0</v>
      </c>
      <c r="W711">
        <v>0</v>
      </c>
      <c r="X711">
        <v>2</v>
      </c>
      <c r="Y711">
        <v>0</v>
      </c>
      <c r="AA711">
        <v>1</v>
      </c>
      <c r="AB711">
        <v>8</v>
      </c>
      <c r="AC711">
        <v>3</v>
      </c>
      <c r="AD711">
        <v>0</v>
      </c>
      <c r="AE711">
        <v>9</v>
      </c>
      <c r="AF711" t="s">
        <v>138</v>
      </c>
      <c r="AG711">
        <v>0</v>
      </c>
      <c r="AH711">
        <v>3</v>
      </c>
      <c r="AI711">
        <v>1</v>
      </c>
      <c r="AJ711">
        <v>0</v>
      </c>
      <c r="AK711" t="s">
        <v>337</v>
      </c>
      <c r="AL711">
        <v>32.817106000000003</v>
      </c>
      <c r="AM711" t="s">
        <v>338</v>
      </c>
      <c r="AN711">
        <v>-116.958196</v>
      </c>
      <c r="AO711">
        <v>25</v>
      </c>
      <c r="AP711">
        <v>1800</v>
      </c>
      <c r="AQ711" t="s">
        <v>129</v>
      </c>
      <c r="AR711">
        <v>127</v>
      </c>
      <c r="AS711">
        <v>-19</v>
      </c>
      <c r="AT711">
        <v>0</v>
      </c>
      <c r="BB711">
        <v>1200</v>
      </c>
      <c r="BC711">
        <v>1</v>
      </c>
      <c r="BD711" t="str">
        <f t="shared" si="252"/>
        <v xml:space="preserve">N887QR  </v>
      </c>
      <c r="BE711">
        <v>1</v>
      </c>
      <c r="BG711">
        <v>0</v>
      </c>
      <c r="BH711">
        <v>0</v>
      </c>
      <c r="BI711">
        <v>0</v>
      </c>
      <c r="BJ711">
        <v>1525</v>
      </c>
      <c r="BK711">
        <v>-275</v>
      </c>
      <c r="BL711" t="s">
        <v>163</v>
      </c>
      <c r="BM711">
        <v>1</v>
      </c>
      <c r="BN711">
        <v>1</v>
      </c>
      <c r="BO711">
        <v>1</v>
      </c>
      <c r="BP711">
        <v>0</v>
      </c>
      <c r="BS711">
        <v>0.04</v>
      </c>
      <c r="BT711">
        <v>0</v>
      </c>
      <c r="BU711">
        <v>0</v>
      </c>
      <c r="CE711" t="str">
        <f t="shared" si="254"/>
        <v>19:27:34.339</v>
      </c>
      <c r="CF711">
        <v>338573418</v>
      </c>
      <c r="CS711">
        <v>3</v>
      </c>
      <c r="CT711">
        <v>2</v>
      </c>
      <c r="CU711">
        <v>0</v>
      </c>
      <c r="CV711">
        <v>2</v>
      </c>
      <c r="CW711">
        <v>0</v>
      </c>
      <c r="CX711">
        <v>6</v>
      </c>
      <c r="CY711">
        <v>7</v>
      </c>
      <c r="CZ711" t="s">
        <v>131</v>
      </c>
      <c r="DA711">
        <v>300</v>
      </c>
      <c r="DB711">
        <v>0</v>
      </c>
      <c r="DC711" t="s">
        <v>176</v>
      </c>
      <c r="DD711" t="s">
        <v>177</v>
      </c>
      <c r="DG711">
        <v>5369650</v>
      </c>
      <c r="DI711">
        <v>1</v>
      </c>
      <c r="DJ711">
        <v>0</v>
      </c>
      <c r="DK711">
        <v>1</v>
      </c>
      <c r="DL711">
        <v>0</v>
      </c>
      <c r="DM711">
        <v>0</v>
      </c>
      <c r="DN711">
        <v>1</v>
      </c>
      <c r="DO711">
        <v>0</v>
      </c>
      <c r="DP711">
        <v>0</v>
      </c>
      <c r="DQ711">
        <v>0</v>
      </c>
      <c r="DR711">
        <v>0</v>
      </c>
      <c r="DS711">
        <v>0</v>
      </c>
    </row>
    <row r="712" spans="1:123" x14ac:dyDescent="0.3">
      <c r="A712" t="str">
        <f>"10/04/2022 19:27:34.524"</f>
        <v>10/04/2022 19:27:34.524</v>
      </c>
      <c r="C712" t="str">
        <f t="shared" si="246"/>
        <v>FFDFD3C0</v>
      </c>
      <c r="D712" t="s">
        <v>147</v>
      </c>
      <c r="E712">
        <v>3</v>
      </c>
      <c r="H712">
        <v>166</v>
      </c>
      <c r="I712" t="s">
        <v>144</v>
      </c>
      <c r="J712" t="s">
        <v>148</v>
      </c>
      <c r="K712">
        <v>0</v>
      </c>
      <c r="L712">
        <v>3</v>
      </c>
      <c r="M712">
        <v>0</v>
      </c>
      <c r="N712">
        <v>2</v>
      </c>
      <c r="O712">
        <v>0</v>
      </c>
      <c r="P712">
        <v>1</v>
      </c>
      <c r="Q712">
        <v>0</v>
      </c>
      <c r="S712" t="str">
        <f t="shared" si="253"/>
        <v>19:27:34.000</v>
      </c>
      <c r="T712" t="str">
        <f t="shared" si="253"/>
        <v>19:27:34.000</v>
      </c>
      <c r="U712" t="str">
        <f t="shared" si="251"/>
        <v>AC3944</v>
      </c>
      <c r="V712">
        <v>0</v>
      </c>
      <c r="W712">
        <v>0</v>
      </c>
      <c r="X712">
        <v>2</v>
      </c>
      <c r="Y712">
        <v>0</v>
      </c>
      <c r="AA712">
        <v>1</v>
      </c>
      <c r="AB712">
        <v>8</v>
      </c>
      <c r="AC712">
        <v>3</v>
      </c>
      <c r="AD712">
        <v>0</v>
      </c>
      <c r="AE712">
        <v>9</v>
      </c>
      <c r="AF712" t="s">
        <v>138</v>
      </c>
      <c r="AG712">
        <v>0</v>
      </c>
      <c r="AH712">
        <v>3</v>
      </c>
      <c r="AI712">
        <v>1</v>
      </c>
      <c r="AJ712">
        <v>0</v>
      </c>
      <c r="AK712" t="s">
        <v>337</v>
      </c>
      <c r="AL712">
        <v>32.817106000000003</v>
      </c>
      <c r="AM712" t="s">
        <v>338</v>
      </c>
      <c r="AN712">
        <v>-116.958196</v>
      </c>
      <c r="AO712">
        <v>25</v>
      </c>
      <c r="AP712">
        <v>1800</v>
      </c>
      <c r="AQ712" t="s">
        <v>129</v>
      </c>
      <c r="AR712">
        <v>127</v>
      </c>
      <c r="AS712">
        <v>-19</v>
      </c>
      <c r="AT712">
        <v>0</v>
      </c>
      <c r="BB712">
        <v>1200</v>
      </c>
      <c r="BC712">
        <v>1</v>
      </c>
      <c r="BD712" t="str">
        <f t="shared" si="252"/>
        <v xml:space="preserve">N887QR  </v>
      </c>
      <c r="BE712">
        <v>1</v>
      </c>
      <c r="BG712">
        <v>0</v>
      </c>
      <c r="BH712">
        <v>0</v>
      </c>
      <c r="BI712">
        <v>0</v>
      </c>
      <c r="BJ712">
        <v>1525</v>
      </c>
      <c r="BK712">
        <v>-275</v>
      </c>
      <c r="BL712" t="s">
        <v>163</v>
      </c>
      <c r="BM712">
        <v>1</v>
      </c>
      <c r="BN712">
        <v>1</v>
      </c>
      <c r="BO712">
        <v>1</v>
      </c>
      <c r="BP712">
        <v>0</v>
      </c>
      <c r="BS712">
        <v>0.04</v>
      </c>
      <c r="BT712">
        <v>0</v>
      </c>
      <c r="BU712">
        <v>0</v>
      </c>
      <c r="CE712" t="str">
        <f t="shared" si="254"/>
        <v>19:27:34.339</v>
      </c>
      <c r="CF712">
        <v>338573418</v>
      </c>
      <c r="CS712">
        <v>3</v>
      </c>
      <c r="CT712">
        <v>2</v>
      </c>
      <c r="CU712">
        <v>0</v>
      </c>
      <c r="CV712">
        <v>2</v>
      </c>
      <c r="CW712">
        <v>0</v>
      </c>
      <c r="CX712">
        <v>6</v>
      </c>
      <c r="CY712">
        <v>7</v>
      </c>
      <c r="CZ712" t="s">
        <v>131</v>
      </c>
      <c r="DA712">
        <v>300</v>
      </c>
      <c r="DB712">
        <v>0</v>
      </c>
      <c r="DC712" t="s">
        <v>176</v>
      </c>
      <c r="DD712" t="s">
        <v>177</v>
      </c>
      <c r="DG712">
        <v>5369650</v>
      </c>
      <c r="DI712">
        <v>1</v>
      </c>
      <c r="DJ712">
        <v>0</v>
      </c>
      <c r="DK712">
        <v>1</v>
      </c>
      <c r="DL712">
        <v>0</v>
      </c>
      <c r="DM712">
        <v>0</v>
      </c>
      <c r="DN712">
        <v>1</v>
      </c>
      <c r="DO712">
        <v>0</v>
      </c>
      <c r="DP712">
        <v>0</v>
      </c>
      <c r="DQ712">
        <v>0</v>
      </c>
      <c r="DR712">
        <v>0</v>
      </c>
      <c r="DS712">
        <v>0</v>
      </c>
    </row>
    <row r="713" spans="1:123" x14ac:dyDescent="0.3">
      <c r="A713" t="str">
        <f>"10/04/2022 19:27:34.524"</f>
        <v>10/04/2022 19:27:34.524</v>
      </c>
      <c r="C713" t="str">
        <f t="shared" si="246"/>
        <v>FFDFD3C0</v>
      </c>
      <c r="D713" t="s">
        <v>134</v>
      </c>
      <c r="E713">
        <v>15</v>
      </c>
      <c r="J713" t="s">
        <v>135</v>
      </c>
      <c r="K713">
        <v>0</v>
      </c>
      <c r="L713">
        <v>3</v>
      </c>
      <c r="M713">
        <v>0</v>
      </c>
      <c r="N713">
        <v>2</v>
      </c>
      <c r="O713">
        <v>0</v>
      </c>
      <c r="P713">
        <v>1</v>
      </c>
      <c r="Q713">
        <v>0</v>
      </c>
      <c r="S713" t="str">
        <f t="shared" si="253"/>
        <v>19:27:34.000</v>
      </c>
      <c r="T713" t="str">
        <f t="shared" si="253"/>
        <v>19:27:34.000</v>
      </c>
      <c r="U713" t="str">
        <f t="shared" si="251"/>
        <v>AC3944</v>
      </c>
      <c r="V713">
        <v>0</v>
      </c>
      <c r="W713">
        <v>0</v>
      </c>
      <c r="X713">
        <v>2</v>
      </c>
      <c r="Y713">
        <v>0</v>
      </c>
      <c r="AA713">
        <v>1</v>
      </c>
      <c r="AB713">
        <v>8</v>
      </c>
      <c r="AC713">
        <v>3</v>
      </c>
      <c r="AD713">
        <v>0</v>
      </c>
      <c r="AE713">
        <v>9</v>
      </c>
      <c r="AF713" t="s">
        <v>138</v>
      </c>
      <c r="AG713">
        <v>0</v>
      </c>
      <c r="AH713">
        <v>3</v>
      </c>
      <c r="AI713">
        <v>1</v>
      </c>
      <c r="AJ713">
        <v>0</v>
      </c>
      <c r="AK713" t="s">
        <v>337</v>
      </c>
      <c r="AL713">
        <v>32.817106000000003</v>
      </c>
      <c r="AM713" t="s">
        <v>338</v>
      </c>
      <c r="AN713">
        <v>-116.958196</v>
      </c>
      <c r="AO713">
        <v>25</v>
      </c>
      <c r="AP713">
        <v>1800</v>
      </c>
      <c r="AQ713" t="s">
        <v>129</v>
      </c>
      <c r="AR713">
        <v>127</v>
      </c>
      <c r="AS713">
        <v>-19</v>
      </c>
      <c r="AT713">
        <v>0</v>
      </c>
      <c r="BB713">
        <v>1200</v>
      </c>
      <c r="BC713">
        <v>1</v>
      </c>
      <c r="BD713" t="str">
        <f t="shared" si="252"/>
        <v xml:space="preserve">N887QR  </v>
      </c>
      <c r="BE713">
        <v>1</v>
      </c>
      <c r="BG713">
        <v>0</v>
      </c>
      <c r="BH713">
        <v>0</v>
      </c>
      <c r="BI713">
        <v>0</v>
      </c>
      <c r="BJ713">
        <v>1525</v>
      </c>
      <c r="BK713">
        <v>-275</v>
      </c>
      <c r="BL713" t="s">
        <v>163</v>
      </c>
      <c r="BM713">
        <v>1</v>
      </c>
      <c r="BN713">
        <v>1</v>
      </c>
      <c r="BO713">
        <v>1</v>
      </c>
      <c r="BP713">
        <v>0</v>
      </c>
      <c r="BS713">
        <v>0.04</v>
      </c>
      <c r="BT713">
        <v>0</v>
      </c>
      <c r="BU713">
        <v>0</v>
      </c>
      <c r="CE713" t="str">
        <f t="shared" si="254"/>
        <v>19:27:34.339</v>
      </c>
      <c r="CF713">
        <v>338573418</v>
      </c>
      <c r="CS713">
        <v>3</v>
      </c>
      <c r="CT713">
        <v>2</v>
      </c>
      <c r="CU713">
        <v>0</v>
      </c>
      <c r="CV713">
        <v>2</v>
      </c>
      <c r="CW713">
        <v>0</v>
      </c>
      <c r="CX713">
        <v>6</v>
      </c>
      <c r="CY713">
        <v>7</v>
      </c>
      <c r="CZ713" t="s">
        <v>131</v>
      </c>
      <c r="DA713">
        <v>300</v>
      </c>
      <c r="DB713">
        <v>0</v>
      </c>
      <c r="DC713" t="s">
        <v>176</v>
      </c>
      <c r="DD713" t="s">
        <v>177</v>
      </c>
      <c r="DG713">
        <v>5369650</v>
      </c>
      <c r="DI713">
        <v>1</v>
      </c>
      <c r="DJ713">
        <v>0</v>
      </c>
      <c r="DK713">
        <v>1</v>
      </c>
      <c r="DL713">
        <v>0</v>
      </c>
      <c r="DM713">
        <v>0</v>
      </c>
      <c r="DN713">
        <v>1</v>
      </c>
      <c r="DO713">
        <v>0</v>
      </c>
      <c r="DP713">
        <v>0</v>
      </c>
      <c r="DQ713">
        <v>0</v>
      </c>
      <c r="DR713">
        <v>0</v>
      </c>
      <c r="DS713">
        <v>0</v>
      </c>
    </row>
    <row r="714" spans="1:123" x14ac:dyDescent="0.3">
      <c r="A714" t="str">
        <f>"10/04/2022 19:27:34.556"</f>
        <v>10/04/2022 19:27:34.556</v>
      </c>
      <c r="C714" t="str">
        <f t="shared" si="246"/>
        <v>FFDFD3C0</v>
      </c>
      <c r="D714" t="s">
        <v>143</v>
      </c>
      <c r="E714">
        <v>20</v>
      </c>
      <c r="F714">
        <v>1020</v>
      </c>
      <c r="G714" t="s">
        <v>144</v>
      </c>
      <c r="J714" t="s">
        <v>145</v>
      </c>
      <c r="K714">
        <v>0</v>
      </c>
      <c r="L714">
        <v>3</v>
      </c>
      <c r="M714">
        <v>0</v>
      </c>
      <c r="N714">
        <v>2</v>
      </c>
      <c r="O714">
        <v>0</v>
      </c>
      <c r="P714">
        <v>1</v>
      </c>
      <c r="Q714">
        <v>0</v>
      </c>
      <c r="S714" t="str">
        <f t="shared" si="253"/>
        <v>19:27:34.000</v>
      </c>
      <c r="T714" t="str">
        <f t="shared" si="253"/>
        <v>19:27:34.000</v>
      </c>
      <c r="U714" t="str">
        <f t="shared" si="251"/>
        <v>AC3944</v>
      </c>
      <c r="V714">
        <v>0</v>
      </c>
      <c r="W714">
        <v>0</v>
      </c>
      <c r="X714">
        <v>2</v>
      </c>
      <c r="Y714">
        <v>0</v>
      </c>
      <c r="AA714">
        <v>1</v>
      </c>
      <c r="AB714">
        <v>8</v>
      </c>
      <c r="AC714">
        <v>3</v>
      </c>
      <c r="AD714">
        <v>0</v>
      </c>
      <c r="AE714">
        <v>9</v>
      </c>
      <c r="AF714" t="s">
        <v>138</v>
      </c>
      <c r="AG714">
        <v>0</v>
      </c>
      <c r="AH714">
        <v>3</v>
      </c>
      <c r="AI714">
        <v>1</v>
      </c>
      <c r="AJ714">
        <v>0</v>
      </c>
      <c r="AK714" t="s">
        <v>337</v>
      </c>
      <c r="AL714">
        <v>32.817106000000003</v>
      </c>
      <c r="AM714" t="s">
        <v>338</v>
      </c>
      <c r="AN714">
        <v>-116.958196</v>
      </c>
      <c r="AO714">
        <v>25</v>
      </c>
      <c r="AP714">
        <v>1800</v>
      </c>
      <c r="AQ714" t="s">
        <v>129</v>
      </c>
      <c r="AR714">
        <v>127</v>
      </c>
      <c r="AS714">
        <v>-19</v>
      </c>
      <c r="AT714">
        <v>0</v>
      </c>
      <c r="BB714">
        <v>1200</v>
      </c>
      <c r="BC714">
        <v>1</v>
      </c>
      <c r="BD714" t="str">
        <f t="shared" si="252"/>
        <v xml:space="preserve">N887QR  </v>
      </c>
      <c r="BE714">
        <v>1</v>
      </c>
      <c r="BG714">
        <v>0</v>
      </c>
      <c r="BH714">
        <v>0</v>
      </c>
      <c r="BI714">
        <v>0</v>
      </c>
      <c r="BJ714">
        <v>1525</v>
      </c>
      <c r="BK714">
        <v>-275</v>
      </c>
      <c r="BL714" t="s">
        <v>163</v>
      </c>
      <c r="BM714">
        <v>1</v>
      </c>
      <c r="BN714">
        <v>1</v>
      </c>
      <c r="BO714">
        <v>1</v>
      </c>
      <c r="BP714">
        <v>0</v>
      </c>
      <c r="BS714">
        <v>0.04</v>
      </c>
      <c r="BT714">
        <v>0</v>
      </c>
      <c r="BU714">
        <v>0</v>
      </c>
      <c r="CE714" t="str">
        <f t="shared" si="254"/>
        <v>19:27:34.339</v>
      </c>
      <c r="CF714">
        <v>338573418</v>
      </c>
      <c r="CS714">
        <v>3</v>
      </c>
      <c r="CT714">
        <v>2</v>
      </c>
      <c r="CU714">
        <v>0</v>
      </c>
      <c r="CV714">
        <v>2</v>
      </c>
      <c r="CW714">
        <v>0</v>
      </c>
      <c r="CX714">
        <v>6</v>
      </c>
      <c r="CY714">
        <v>7</v>
      </c>
      <c r="CZ714" t="s">
        <v>131</v>
      </c>
      <c r="DA714">
        <v>300</v>
      </c>
      <c r="DB714">
        <v>0</v>
      </c>
      <c r="DC714" t="s">
        <v>176</v>
      </c>
      <c r="DD714" t="s">
        <v>177</v>
      </c>
      <c r="DG714">
        <v>5369650</v>
      </c>
      <c r="DI714">
        <v>1</v>
      </c>
      <c r="DJ714">
        <v>0</v>
      </c>
      <c r="DK714">
        <v>1</v>
      </c>
      <c r="DL714">
        <v>0</v>
      </c>
      <c r="DM714">
        <v>0</v>
      </c>
      <c r="DN714">
        <v>1</v>
      </c>
      <c r="DO714">
        <v>0</v>
      </c>
      <c r="DP714">
        <v>0</v>
      </c>
      <c r="DQ714">
        <v>0</v>
      </c>
      <c r="DR714">
        <v>0</v>
      </c>
      <c r="DS714">
        <v>0</v>
      </c>
    </row>
    <row r="715" spans="1:123" x14ac:dyDescent="0.3">
      <c r="A715" t="str">
        <f>"10/04/2022 19:27:34.556"</f>
        <v>10/04/2022 19:27:34.556</v>
      </c>
      <c r="C715" t="str">
        <f t="shared" si="246"/>
        <v>FFDFD3C0</v>
      </c>
      <c r="D715" t="s">
        <v>141</v>
      </c>
      <c r="E715">
        <v>3</v>
      </c>
      <c r="H715">
        <v>3</v>
      </c>
      <c r="I715" t="s">
        <v>146</v>
      </c>
      <c r="J715" t="s">
        <v>138</v>
      </c>
      <c r="K715">
        <v>0</v>
      </c>
      <c r="L715">
        <v>3</v>
      </c>
      <c r="M715">
        <v>0</v>
      </c>
      <c r="N715">
        <v>2</v>
      </c>
      <c r="O715">
        <v>0</v>
      </c>
      <c r="P715">
        <v>1</v>
      </c>
      <c r="Q715">
        <v>0</v>
      </c>
      <c r="S715" t="str">
        <f t="shared" si="253"/>
        <v>19:27:34.000</v>
      </c>
      <c r="T715" t="str">
        <f t="shared" si="253"/>
        <v>19:27:34.000</v>
      </c>
      <c r="U715" t="str">
        <f t="shared" si="251"/>
        <v>AC3944</v>
      </c>
      <c r="V715">
        <v>0</v>
      </c>
      <c r="W715">
        <v>0</v>
      </c>
      <c r="X715">
        <v>2</v>
      </c>
      <c r="Y715">
        <v>0</v>
      </c>
      <c r="AA715">
        <v>1</v>
      </c>
      <c r="AB715">
        <v>8</v>
      </c>
      <c r="AC715">
        <v>3</v>
      </c>
      <c r="AD715">
        <v>0</v>
      </c>
      <c r="AE715">
        <v>9</v>
      </c>
      <c r="AF715" t="s">
        <v>138</v>
      </c>
      <c r="AG715">
        <v>0</v>
      </c>
      <c r="AH715">
        <v>3</v>
      </c>
      <c r="AI715">
        <v>1</v>
      </c>
      <c r="AJ715">
        <v>0</v>
      </c>
      <c r="AK715" t="s">
        <v>337</v>
      </c>
      <c r="AL715">
        <v>32.817106000000003</v>
      </c>
      <c r="AM715" t="s">
        <v>338</v>
      </c>
      <c r="AN715">
        <v>-116.958196</v>
      </c>
      <c r="AO715">
        <v>25</v>
      </c>
      <c r="AP715">
        <v>1800</v>
      </c>
      <c r="AQ715" t="s">
        <v>129</v>
      </c>
      <c r="AR715">
        <v>127</v>
      </c>
      <c r="AS715">
        <v>-19</v>
      </c>
      <c r="AT715">
        <v>0</v>
      </c>
      <c r="BB715">
        <v>1200</v>
      </c>
      <c r="BC715">
        <v>1</v>
      </c>
      <c r="BD715" t="str">
        <f t="shared" si="252"/>
        <v xml:space="preserve">N887QR  </v>
      </c>
      <c r="BE715">
        <v>1</v>
      </c>
      <c r="BG715">
        <v>0</v>
      </c>
      <c r="BH715">
        <v>0</v>
      </c>
      <c r="BI715">
        <v>0</v>
      </c>
      <c r="BJ715">
        <v>1525</v>
      </c>
      <c r="BK715">
        <v>-275</v>
      </c>
      <c r="BL715" t="s">
        <v>163</v>
      </c>
      <c r="BM715">
        <v>1</v>
      </c>
      <c r="BN715">
        <v>1</v>
      </c>
      <c r="BO715">
        <v>1</v>
      </c>
      <c r="BP715">
        <v>0</v>
      </c>
      <c r="BS715">
        <v>0.04</v>
      </c>
      <c r="BT715">
        <v>0</v>
      </c>
      <c r="BU715">
        <v>0</v>
      </c>
      <c r="CE715" t="str">
        <f t="shared" si="254"/>
        <v>19:27:34.339</v>
      </c>
      <c r="CF715">
        <v>338573418</v>
      </c>
      <c r="CS715">
        <v>3</v>
      </c>
      <c r="CT715">
        <v>2</v>
      </c>
      <c r="CU715">
        <v>0</v>
      </c>
      <c r="CV715">
        <v>2</v>
      </c>
      <c r="CW715">
        <v>0</v>
      </c>
      <c r="CX715">
        <v>6</v>
      </c>
      <c r="CY715">
        <v>7</v>
      </c>
      <c r="CZ715" t="s">
        <v>131</v>
      </c>
      <c r="DA715">
        <v>300</v>
      </c>
      <c r="DB715">
        <v>0</v>
      </c>
      <c r="DC715" t="s">
        <v>176</v>
      </c>
      <c r="DD715" t="s">
        <v>177</v>
      </c>
      <c r="DG715">
        <v>5369650</v>
      </c>
      <c r="DI715">
        <v>1</v>
      </c>
      <c r="DJ715">
        <v>0</v>
      </c>
      <c r="DK715">
        <v>1</v>
      </c>
      <c r="DL715">
        <v>0</v>
      </c>
      <c r="DM715">
        <v>0</v>
      </c>
      <c r="DN715">
        <v>1</v>
      </c>
      <c r="DO715">
        <v>0</v>
      </c>
      <c r="DP715">
        <v>0</v>
      </c>
      <c r="DQ715">
        <v>0</v>
      </c>
      <c r="DR715">
        <v>0</v>
      </c>
      <c r="DS715">
        <v>0</v>
      </c>
    </row>
    <row r="716" spans="1:123" x14ac:dyDescent="0.3">
      <c r="A716" t="str">
        <f>"10/04/2022 19:27:34.556"</f>
        <v>10/04/2022 19:27:34.556</v>
      </c>
      <c r="C716" t="str">
        <f t="shared" si="246"/>
        <v>FFDFD3C0</v>
      </c>
      <c r="D716" t="s">
        <v>123</v>
      </c>
      <c r="E716">
        <v>7</v>
      </c>
      <c r="F716">
        <v>2007</v>
      </c>
      <c r="G716" t="s">
        <v>124</v>
      </c>
      <c r="J716" t="s">
        <v>125</v>
      </c>
      <c r="K716">
        <v>0</v>
      </c>
      <c r="L716">
        <v>3</v>
      </c>
      <c r="M716">
        <v>0</v>
      </c>
      <c r="N716">
        <v>2</v>
      </c>
      <c r="O716">
        <v>0</v>
      </c>
      <c r="P716">
        <v>1</v>
      </c>
      <c r="Q716">
        <v>0</v>
      </c>
      <c r="S716" t="str">
        <f t="shared" si="253"/>
        <v>19:27:34.000</v>
      </c>
      <c r="T716" t="str">
        <f t="shared" si="253"/>
        <v>19:27:34.000</v>
      </c>
      <c r="U716" t="str">
        <f t="shared" si="251"/>
        <v>AC3944</v>
      </c>
      <c r="V716">
        <v>0</v>
      </c>
      <c r="W716">
        <v>0</v>
      </c>
      <c r="X716">
        <v>2</v>
      </c>
      <c r="Y716">
        <v>0</v>
      </c>
      <c r="AA716">
        <v>1</v>
      </c>
      <c r="AB716">
        <v>8</v>
      </c>
      <c r="AC716">
        <v>3</v>
      </c>
      <c r="AD716">
        <v>0</v>
      </c>
      <c r="AE716">
        <v>9</v>
      </c>
      <c r="AF716" t="s">
        <v>138</v>
      </c>
      <c r="AG716">
        <v>0</v>
      </c>
      <c r="AH716">
        <v>3</v>
      </c>
      <c r="AI716">
        <v>1</v>
      </c>
      <c r="AJ716">
        <v>0</v>
      </c>
      <c r="AK716" t="s">
        <v>337</v>
      </c>
      <c r="AL716">
        <v>32.817106000000003</v>
      </c>
      <c r="AM716" t="s">
        <v>338</v>
      </c>
      <c r="AN716">
        <v>-116.958196</v>
      </c>
      <c r="AO716">
        <v>25</v>
      </c>
      <c r="AP716">
        <v>1800</v>
      </c>
      <c r="AQ716" t="s">
        <v>129</v>
      </c>
      <c r="AR716">
        <v>127</v>
      </c>
      <c r="AS716">
        <v>-19</v>
      </c>
      <c r="AT716">
        <v>0</v>
      </c>
      <c r="BB716">
        <v>1200</v>
      </c>
      <c r="BC716">
        <v>1</v>
      </c>
      <c r="BD716" t="str">
        <f t="shared" si="252"/>
        <v xml:space="preserve">N887QR  </v>
      </c>
      <c r="BE716">
        <v>1</v>
      </c>
      <c r="BG716">
        <v>0</v>
      </c>
      <c r="BH716">
        <v>0</v>
      </c>
      <c r="BI716">
        <v>0</v>
      </c>
      <c r="BJ716">
        <v>1525</v>
      </c>
      <c r="BK716">
        <v>-275</v>
      </c>
      <c r="BL716" t="s">
        <v>163</v>
      </c>
      <c r="BM716">
        <v>1</v>
      </c>
      <c r="BN716">
        <v>1</v>
      </c>
      <c r="BO716">
        <v>1</v>
      </c>
      <c r="BP716">
        <v>0</v>
      </c>
      <c r="BS716">
        <v>0.04</v>
      </c>
      <c r="BT716">
        <v>0</v>
      </c>
      <c r="BU716">
        <v>0</v>
      </c>
      <c r="CE716" t="str">
        <f t="shared" si="254"/>
        <v>19:27:34.339</v>
      </c>
      <c r="CF716">
        <v>338573418</v>
      </c>
      <c r="CS716">
        <v>3</v>
      </c>
      <c r="CT716">
        <v>2</v>
      </c>
      <c r="CU716">
        <v>0</v>
      </c>
      <c r="CV716">
        <v>2</v>
      </c>
      <c r="CW716">
        <v>0</v>
      </c>
      <c r="CX716">
        <v>6</v>
      </c>
      <c r="CY716">
        <v>7</v>
      </c>
      <c r="CZ716" t="s">
        <v>131</v>
      </c>
      <c r="DA716">
        <v>300</v>
      </c>
      <c r="DB716">
        <v>0</v>
      </c>
      <c r="DC716" t="s">
        <v>176</v>
      </c>
      <c r="DD716" t="s">
        <v>177</v>
      </c>
      <c r="DG716">
        <v>5369650</v>
      </c>
      <c r="DI716">
        <v>1</v>
      </c>
      <c r="DJ716">
        <v>0</v>
      </c>
      <c r="DK716">
        <v>1</v>
      </c>
      <c r="DL716">
        <v>0</v>
      </c>
      <c r="DM716">
        <v>0</v>
      </c>
      <c r="DN716">
        <v>1</v>
      </c>
      <c r="DO716">
        <v>0</v>
      </c>
      <c r="DP716">
        <v>0</v>
      </c>
      <c r="DQ716">
        <v>0</v>
      </c>
      <c r="DR716">
        <v>0</v>
      </c>
      <c r="DS716">
        <v>0</v>
      </c>
    </row>
    <row r="717" spans="1:123" x14ac:dyDescent="0.3">
      <c r="A717" t="str">
        <f>"10/04/2022 19:27:35.525"</f>
        <v>10/04/2022 19:27:35.525</v>
      </c>
      <c r="C717" t="str">
        <f t="shared" si="246"/>
        <v>FFDFD3C0</v>
      </c>
      <c r="D717" t="s">
        <v>141</v>
      </c>
      <c r="E717">
        <v>4</v>
      </c>
      <c r="H717">
        <v>4</v>
      </c>
      <c r="I717" t="s">
        <v>142</v>
      </c>
      <c r="J717" t="s">
        <v>138</v>
      </c>
      <c r="K717">
        <v>0</v>
      </c>
      <c r="L717">
        <v>3</v>
      </c>
      <c r="M717">
        <v>0</v>
      </c>
      <c r="N717">
        <v>2</v>
      </c>
      <c r="O717">
        <v>0</v>
      </c>
      <c r="P717">
        <v>1</v>
      </c>
      <c r="Q717">
        <v>0</v>
      </c>
      <c r="S717" t="str">
        <f t="shared" ref="S717:T723" si="255">"19:27:35.000"</f>
        <v>19:27:35.000</v>
      </c>
      <c r="T717" t="str">
        <f t="shared" si="255"/>
        <v>19:27:35.000</v>
      </c>
      <c r="U717" t="str">
        <f t="shared" si="251"/>
        <v>AC3944</v>
      </c>
      <c r="V717">
        <v>0</v>
      </c>
      <c r="W717">
        <v>0</v>
      </c>
      <c r="X717">
        <v>2</v>
      </c>
      <c r="Y717">
        <v>0</v>
      </c>
      <c r="AA717">
        <v>1</v>
      </c>
      <c r="AB717">
        <v>8</v>
      </c>
      <c r="AC717">
        <v>3</v>
      </c>
      <c r="AD717">
        <v>0</v>
      </c>
      <c r="AE717">
        <v>9</v>
      </c>
      <c r="AF717" t="s">
        <v>138</v>
      </c>
      <c r="AG717">
        <v>0</v>
      </c>
      <c r="AH717">
        <v>3</v>
      </c>
      <c r="AI717">
        <v>1</v>
      </c>
      <c r="AJ717">
        <v>0</v>
      </c>
      <c r="AK717" t="s">
        <v>339</v>
      </c>
      <c r="AL717">
        <v>32.817019999999999</v>
      </c>
      <c r="AM717" t="s">
        <v>340</v>
      </c>
      <c r="AN717">
        <v>-116.95751</v>
      </c>
      <c r="AO717">
        <v>25</v>
      </c>
      <c r="AP717">
        <v>1800</v>
      </c>
      <c r="AQ717" t="s">
        <v>129</v>
      </c>
      <c r="AR717">
        <v>126</v>
      </c>
      <c r="AS717">
        <v>-21</v>
      </c>
      <c r="AT717">
        <v>0</v>
      </c>
      <c r="BB717">
        <v>1200</v>
      </c>
      <c r="BC717">
        <v>1</v>
      </c>
      <c r="BD717" t="str">
        <f t="shared" si="252"/>
        <v xml:space="preserve">N887QR  </v>
      </c>
      <c r="BE717">
        <v>1</v>
      </c>
      <c r="BG717">
        <v>0</v>
      </c>
      <c r="BH717">
        <v>0</v>
      </c>
      <c r="BI717">
        <v>0</v>
      </c>
      <c r="BJ717">
        <v>1525</v>
      </c>
      <c r="BK717">
        <v>-275</v>
      </c>
      <c r="BL717" t="s">
        <v>163</v>
      </c>
      <c r="BM717">
        <v>1</v>
      </c>
      <c r="BN717">
        <v>1</v>
      </c>
      <c r="BO717">
        <v>1</v>
      </c>
      <c r="BP717">
        <v>0</v>
      </c>
      <c r="BS717">
        <v>0</v>
      </c>
      <c r="BT717">
        <v>0</v>
      </c>
      <c r="BU717">
        <v>0</v>
      </c>
      <c r="CE717" t="str">
        <f t="shared" ref="CE717:CE723" si="256">"19:27:35.333"</f>
        <v>19:27:35.333</v>
      </c>
      <c r="CF717">
        <v>332576614</v>
      </c>
      <c r="CS717">
        <v>3</v>
      </c>
      <c r="CT717">
        <v>2</v>
      </c>
      <c r="CU717">
        <v>0</v>
      </c>
      <c r="CV717">
        <v>2</v>
      </c>
      <c r="CW717">
        <v>0</v>
      </c>
      <c r="CX717">
        <v>6</v>
      </c>
      <c r="CY717">
        <v>7</v>
      </c>
      <c r="CZ717" t="s">
        <v>131</v>
      </c>
      <c r="DA717">
        <v>300</v>
      </c>
      <c r="DB717">
        <v>0</v>
      </c>
      <c r="DC717" t="s">
        <v>176</v>
      </c>
      <c r="DD717" t="s">
        <v>177</v>
      </c>
      <c r="DG717">
        <v>5369802</v>
      </c>
      <c r="DI717">
        <v>1</v>
      </c>
      <c r="DJ717">
        <v>0</v>
      </c>
      <c r="DK717">
        <v>0</v>
      </c>
      <c r="DL717">
        <v>0</v>
      </c>
      <c r="DM717">
        <v>0</v>
      </c>
      <c r="DN717">
        <v>1</v>
      </c>
      <c r="DO717">
        <v>0</v>
      </c>
      <c r="DP717">
        <v>0</v>
      </c>
      <c r="DQ717">
        <v>0</v>
      </c>
      <c r="DR717">
        <v>0</v>
      </c>
      <c r="DS717">
        <v>0</v>
      </c>
    </row>
    <row r="718" spans="1:123" x14ac:dyDescent="0.3">
      <c r="A718" t="str">
        <f>"10/04/2022 19:27:35.557"</f>
        <v>10/04/2022 19:27:35.557</v>
      </c>
      <c r="C718" t="str">
        <f t="shared" si="246"/>
        <v>FFDFD3C0</v>
      </c>
      <c r="D718" t="s">
        <v>147</v>
      </c>
      <c r="E718">
        <v>3</v>
      </c>
      <c r="H718">
        <v>166</v>
      </c>
      <c r="I718" t="s">
        <v>144</v>
      </c>
      <c r="J718" t="s">
        <v>148</v>
      </c>
      <c r="K718">
        <v>0</v>
      </c>
      <c r="L718">
        <v>3</v>
      </c>
      <c r="M718">
        <v>0</v>
      </c>
      <c r="N718">
        <v>2</v>
      </c>
      <c r="O718">
        <v>0</v>
      </c>
      <c r="P718">
        <v>1</v>
      </c>
      <c r="Q718">
        <v>0</v>
      </c>
      <c r="S718" t="str">
        <f t="shared" si="255"/>
        <v>19:27:35.000</v>
      </c>
      <c r="T718" t="str">
        <f t="shared" si="255"/>
        <v>19:27:35.000</v>
      </c>
      <c r="U718" t="str">
        <f t="shared" si="251"/>
        <v>AC3944</v>
      </c>
      <c r="V718">
        <v>0</v>
      </c>
      <c r="W718">
        <v>0</v>
      </c>
      <c r="X718">
        <v>2</v>
      </c>
      <c r="Y718">
        <v>0</v>
      </c>
      <c r="AA718">
        <v>1</v>
      </c>
      <c r="AB718">
        <v>8</v>
      </c>
      <c r="AC718">
        <v>3</v>
      </c>
      <c r="AD718">
        <v>0</v>
      </c>
      <c r="AE718">
        <v>9</v>
      </c>
      <c r="AF718" t="s">
        <v>138</v>
      </c>
      <c r="AG718">
        <v>0</v>
      </c>
      <c r="AH718">
        <v>3</v>
      </c>
      <c r="AI718">
        <v>1</v>
      </c>
      <c r="AJ718">
        <v>0</v>
      </c>
      <c r="AK718" t="s">
        <v>339</v>
      </c>
      <c r="AL718">
        <v>32.817019999999999</v>
      </c>
      <c r="AM718" t="s">
        <v>340</v>
      </c>
      <c r="AN718">
        <v>-116.95751</v>
      </c>
      <c r="AO718">
        <v>25</v>
      </c>
      <c r="AP718">
        <v>1800</v>
      </c>
      <c r="AQ718" t="s">
        <v>129</v>
      </c>
      <c r="AR718">
        <v>126</v>
      </c>
      <c r="AS718">
        <v>-21</v>
      </c>
      <c r="AT718">
        <v>0</v>
      </c>
      <c r="BB718">
        <v>1200</v>
      </c>
      <c r="BC718">
        <v>1</v>
      </c>
      <c r="BD718" t="str">
        <f t="shared" si="252"/>
        <v xml:space="preserve">N887QR  </v>
      </c>
      <c r="BE718">
        <v>1</v>
      </c>
      <c r="BG718">
        <v>0</v>
      </c>
      <c r="BH718">
        <v>0</v>
      </c>
      <c r="BI718">
        <v>0</v>
      </c>
      <c r="BJ718">
        <v>1525</v>
      </c>
      <c r="BK718">
        <v>-275</v>
      </c>
      <c r="BL718" t="s">
        <v>163</v>
      </c>
      <c r="BM718">
        <v>1</v>
      </c>
      <c r="BN718">
        <v>1</v>
      </c>
      <c r="BO718">
        <v>1</v>
      </c>
      <c r="BP718">
        <v>0</v>
      </c>
      <c r="BS718">
        <v>0</v>
      </c>
      <c r="BT718">
        <v>0</v>
      </c>
      <c r="BU718">
        <v>0</v>
      </c>
      <c r="CE718" t="str">
        <f t="shared" si="256"/>
        <v>19:27:35.333</v>
      </c>
      <c r="CF718">
        <v>332576614</v>
      </c>
      <c r="CS718">
        <v>3</v>
      </c>
      <c r="CT718">
        <v>2</v>
      </c>
      <c r="CU718">
        <v>0</v>
      </c>
      <c r="CV718">
        <v>2</v>
      </c>
      <c r="CW718">
        <v>0</v>
      </c>
      <c r="CX718">
        <v>6</v>
      </c>
      <c r="CY718">
        <v>7</v>
      </c>
      <c r="CZ718" t="s">
        <v>131</v>
      </c>
      <c r="DA718">
        <v>300</v>
      </c>
      <c r="DB718">
        <v>0</v>
      </c>
      <c r="DC718" t="s">
        <v>176</v>
      </c>
      <c r="DD718" t="s">
        <v>177</v>
      </c>
      <c r="DG718">
        <v>5369802</v>
      </c>
      <c r="DI718">
        <v>1</v>
      </c>
      <c r="DJ718">
        <v>0</v>
      </c>
      <c r="DK718">
        <v>1</v>
      </c>
      <c r="DL718">
        <v>0</v>
      </c>
      <c r="DM718">
        <v>0</v>
      </c>
      <c r="DN718">
        <v>1</v>
      </c>
      <c r="DO718">
        <v>0</v>
      </c>
      <c r="DP718">
        <v>0</v>
      </c>
      <c r="DQ718">
        <v>0</v>
      </c>
      <c r="DR718">
        <v>0</v>
      </c>
      <c r="DS718">
        <v>0</v>
      </c>
    </row>
    <row r="719" spans="1:123" x14ac:dyDescent="0.3">
      <c r="A719" t="str">
        <f>"10/04/2022 19:27:35.557"</f>
        <v>10/04/2022 19:27:35.557</v>
      </c>
      <c r="C719" t="str">
        <f t="shared" si="246"/>
        <v>FFDFD3C0</v>
      </c>
      <c r="D719" t="s">
        <v>136</v>
      </c>
      <c r="E719">
        <v>8</v>
      </c>
      <c r="H719">
        <v>225</v>
      </c>
      <c r="I719" t="s">
        <v>137</v>
      </c>
      <c r="J719" t="s">
        <v>138</v>
      </c>
      <c r="K719">
        <v>0</v>
      </c>
      <c r="L719">
        <v>3</v>
      </c>
      <c r="M719">
        <v>0</v>
      </c>
      <c r="N719">
        <v>2</v>
      </c>
      <c r="O719">
        <v>0</v>
      </c>
      <c r="P719">
        <v>1</v>
      </c>
      <c r="Q719">
        <v>0</v>
      </c>
      <c r="S719" t="str">
        <f t="shared" si="255"/>
        <v>19:27:35.000</v>
      </c>
      <c r="T719" t="str">
        <f t="shared" si="255"/>
        <v>19:27:35.000</v>
      </c>
      <c r="U719" t="str">
        <f t="shared" si="251"/>
        <v>AC3944</v>
      </c>
      <c r="V719">
        <v>0</v>
      </c>
      <c r="W719">
        <v>0</v>
      </c>
      <c r="X719">
        <v>2</v>
      </c>
      <c r="Y719">
        <v>0</v>
      </c>
      <c r="AA719">
        <v>1</v>
      </c>
      <c r="AB719">
        <v>8</v>
      </c>
      <c r="AC719">
        <v>3</v>
      </c>
      <c r="AD719">
        <v>0</v>
      </c>
      <c r="AE719">
        <v>9</v>
      </c>
      <c r="AF719" t="s">
        <v>138</v>
      </c>
      <c r="AG719">
        <v>0</v>
      </c>
      <c r="AH719">
        <v>3</v>
      </c>
      <c r="AI719">
        <v>1</v>
      </c>
      <c r="AJ719">
        <v>0</v>
      </c>
      <c r="AK719" t="s">
        <v>339</v>
      </c>
      <c r="AL719">
        <v>32.817019999999999</v>
      </c>
      <c r="AM719" t="s">
        <v>340</v>
      </c>
      <c r="AN719">
        <v>-116.95751</v>
      </c>
      <c r="AO719">
        <v>25</v>
      </c>
      <c r="AP719">
        <v>1800</v>
      </c>
      <c r="AQ719" t="s">
        <v>129</v>
      </c>
      <c r="AR719">
        <v>126</v>
      </c>
      <c r="AS719">
        <v>-21</v>
      </c>
      <c r="AT719">
        <v>0</v>
      </c>
      <c r="BB719">
        <v>1200</v>
      </c>
      <c r="BC719">
        <v>1</v>
      </c>
      <c r="BD719" t="str">
        <f t="shared" si="252"/>
        <v xml:space="preserve">N887QR  </v>
      </c>
      <c r="BE719">
        <v>1</v>
      </c>
      <c r="BG719">
        <v>0</v>
      </c>
      <c r="BH719">
        <v>0</v>
      </c>
      <c r="BI719">
        <v>0</v>
      </c>
      <c r="BJ719">
        <v>1525</v>
      </c>
      <c r="BK719">
        <v>-275</v>
      </c>
      <c r="BL719" t="s">
        <v>163</v>
      </c>
      <c r="BM719">
        <v>1</v>
      </c>
      <c r="BN719">
        <v>1</v>
      </c>
      <c r="BO719">
        <v>1</v>
      </c>
      <c r="BP719">
        <v>0</v>
      </c>
      <c r="BS719">
        <v>0</v>
      </c>
      <c r="BT719">
        <v>0</v>
      </c>
      <c r="BU719">
        <v>0</v>
      </c>
      <c r="CE719" t="str">
        <f t="shared" si="256"/>
        <v>19:27:35.333</v>
      </c>
      <c r="CF719">
        <v>332576614</v>
      </c>
      <c r="CS719">
        <v>3</v>
      </c>
      <c r="CT719">
        <v>2</v>
      </c>
      <c r="CU719">
        <v>0</v>
      </c>
      <c r="CV719">
        <v>2</v>
      </c>
      <c r="CW719">
        <v>0</v>
      </c>
      <c r="CX719">
        <v>6</v>
      </c>
      <c r="CY719">
        <v>7</v>
      </c>
      <c r="CZ719" t="s">
        <v>131</v>
      </c>
      <c r="DA719">
        <v>300</v>
      </c>
      <c r="DB719">
        <v>0</v>
      </c>
      <c r="DC719" t="s">
        <v>176</v>
      </c>
      <c r="DD719" t="s">
        <v>177</v>
      </c>
      <c r="DG719">
        <v>5369802</v>
      </c>
      <c r="DI719">
        <v>1</v>
      </c>
      <c r="DJ719">
        <v>0</v>
      </c>
      <c r="DK719">
        <v>1</v>
      </c>
      <c r="DL719">
        <v>0</v>
      </c>
      <c r="DM719">
        <v>0</v>
      </c>
      <c r="DN719">
        <v>1</v>
      </c>
      <c r="DO719">
        <v>0</v>
      </c>
      <c r="DP719">
        <v>0</v>
      </c>
      <c r="DQ719">
        <v>0</v>
      </c>
      <c r="DR719">
        <v>0</v>
      </c>
      <c r="DS719">
        <v>0</v>
      </c>
    </row>
    <row r="720" spans="1:123" x14ac:dyDescent="0.3">
      <c r="A720" t="str">
        <f>"10/04/2022 19:27:35.572"</f>
        <v>10/04/2022 19:27:35.572</v>
      </c>
      <c r="C720" t="str">
        <f t="shared" si="246"/>
        <v>FFDFD3C0</v>
      </c>
      <c r="D720" t="s">
        <v>134</v>
      </c>
      <c r="E720">
        <v>15</v>
      </c>
      <c r="J720" t="s">
        <v>135</v>
      </c>
      <c r="K720">
        <v>0</v>
      </c>
      <c r="L720">
        <v>3</v>
      </c>
      <c r="M720">
        <v>0</v>
      </c>
      <c r="N720">
        <v>2</v>
      </c>
      <c r="O720">
        <v>0</v>
      </c>
      <c r="P720">
        <v>1</v>
      </c>
      <c r="Q720">
        <v>0</v>
      </c>
      <c r="S720" t="str">
        <f t="shared" si="255"/>
        <v>19:27:35.000</v>
      </c>
      <c r="T720" t="str">
        <f t="shared" si="255"/>
        <v>19:27:35.000</v>
      </c>
      <c r="U720" t="str">
        <f t="shared" si="251"/>
        <v>AC3944</v>
      </c>
      <c r="V720">
        <v>0</v>
      </c>
      <c r="W720">
        <v>0</v>
      </c>
      <c r="X720">
        <v>2</v>
      </c>
      <c r="Y720">
        <v>0</v>
      </c>
      <c r="AA720">
        <v>1</v>
      </c>
      <c r="AB720">
        <v>8</v>
      </c>
      <c r="AC720">
        <v>3</v>
      </c>
      <c r="AD720">
        <v>0</v>
      </c>
      <c r="AE720">
        <v>9</v>
      </c>
      <c r="AF720" t="s">
        <v>138</v>
      </c>
      <c r="AG720">
        <v>0</v>
      </c>
      <c r="AH720">
        <v>3</v>
      </c>
      <c r="AI720">
        <v>1</v>
      </c>
      <c r="AJ720">
        <v>0</v>
      </c>
      <c r="AK720" t="s">
        <v>339</v>
      </c>
      <c r="AL720">
        <v>32.817019999999999</v>
      </c>
      <c r="AM720" t="s">
        <v>340</v>
      </c>
      <c r="AN720">
        <v>-116.95751</v>
      </c>
      <c r="AO720">
        <v>25</v>
      </c>
      <c r="AP720">
        <v>1800</v>
      </c>
      <c r="AQ720" t="s">
        <v>129</v>
      </c>
      <c r="AR720">
        <v>126</v>
      </c>
      <c r="AS720">
        <v>-21</v>
      </c>
      <c r="AT720">
        <v>0</v>
      </c>
      <c r="BB720">
        <v>1200</v>
      </c>
      <c r="BC720">
        <v>1</v>
      </c>
      <c r="BD720" t="str">
        <f t="shared" si="252"/>
        <v xml:space="preserve">N887QR  </v>
      </c>
      <c r="BE720">
        <v>1</v>
      </c>
      <c r="BG720">
        <v>0</v>
      </c>
      <c r="BH720">
        <v>0</v>
      </c>
      <c r="BI720">
        <v>0</v>
      </c>
      <c r="BJ720">
        <v>1525</v>
      </c>
      <c r="BK720">
        <v>-275</v>
      </c>
      <c r="BL720" t="s">
        <v>163</v>
      </c>
      <c r="BM720">
        <v>1</v>
      </c>
      <c r="BN720">
        <v>1</v>
      </c>
      <c r="BO720">
        <v>1</v>
      </c>
      <c r="BP720">
        <v>0</v>
      </c>
      <c r="BS720">
        <v>0</v>
      </c>
      <c r="BT720">
        <v>0</v>
      </c>
      <c r="BU720">
        <v>0</v>
      </c>
      <c r="CE720" t="str">
        <f t="shared" si="256"/>
        <v>19:27:35.333</v>
      </c>
      <c r="CF720">
        <v>332576614</v>
      </c>
      <c r="CS720">
        <v>3</v>
      </c>
      <c r="CT720">
        <v>2</v>
      </c>
      <c r="CU720">
        <v>0</v>
      </c>
      <c r="CV720">
        <v>2</v>
      </c>
      <c r="CW720">
        <v>0</v>
      </c>
      <c r="CX720">
        <v>6</v>
      </c>
      <c r="CY720">
        <v>7</v>
      </c>
      <c r="CZ720" t="s">
        <v>131</v>
      </c>
      <c r="DA720">
        <v>300</v>
      </c>
      <c r="DB720">
        <v>0</v>
      </c>
      <c r="DC720" t="s">
        <v>176</v>
      </c>
      <c r="DD720" t="s">
        <v>177</v>
      </c>
      <c r="DG720">
        <v>5369802</v>
      </c>
      <c r="DI720">
        <v>1</v>
      </c>
      <c r="DJ720">
        <v>0</v>
      </c>
      <c r="DK720">
        <v>1</v>
      </c>
      <c r="DL720">
        <v>0</v>
      </c>
      <c r="DM720">
        <v>0</v>
      </c>
      <c r="DN720">
        <v>1</v>
      </c>
      <c r="DO720">
        <v>0</v>
      </c>
      <c r="DP720">
        <v>0</v>
      </c>
      <c r="DQ720">
        <v>0</v>
      </c>
      <c r="DR720">
        <v>0</v>
      </c>
      <c r="DS720">
        <v>0</v>
      </c>
    </row>
    <row r="721" spans="1:123" x14ac:dyDescent="0.3">
      <c r="A721" t="str">
        <f>"10/04/2022 19:27:35.572"</f>
        <v>10/04/2022 19:27:35.572</v>
      </c>
      <c r="C721" t="str">
        <f t="shared" si="246"/>
        <v>FFDFD3C0</v>
      </c>
      <c r="D721" t="s">
        <v>143</v>
      </c>
      <c r="E721">
        <v>20</v>
      </c>
      <c r="F721">
        <v>1020</v>
      </c>
      <c r="G721" t="s">
        <v>144</v>
      </c>
      <c r="J721" t="s">
        <v>145</v>
      </c>
      <c r="K721">
        <v>0</v>
      </c>
      <c r="L721">
        <v>3</v>
      </c>
      <c r="M721">
        <v>0</v>
      </c>
      <c r="N721">
        <v>2</v>
      </c>
      <c r="O721">
        <v>0</v>
      </c>
      <c r="P721">
        <v>1</v>
      </c>
      <c r="Q721">
        <v>0</v>
      </c>
      <c r="S721" t="str">
        <f t="shared" si="255"/>
        <v>19:27:35.000</v>
      </c>
      <c r="T721" t="str">
        <f t="shared" si="255"/>
        <v>19:27:35.000</v>
      </c>
      <c r="U721" t="str">
        <f t="shared" si="251"/>
        <v>AC3944</v>
      </c>
      <c r="V721">
        <v>0</v>
      </c>
      <c r="W721">
        <v>0</v>
      </c>
      <c r="X721">
        <v>2</v>
      </c>
      <c r="Y721">
        <v>0</v>
      </c>
      <c r="AA721">
        <v>1</v>
      </c>
      <c r="AB721">
        <v>8</v>
      </c>
      <c r="AC721">
        <v>3</v>
      </c>
      <c r="AD721">
        <v>0</v>
      </c>
      <c r="AE721">
        <v>9</v>
      </c>
      <c r="AF721" t="s">
        <v>138</v>
      </c>
      <c r="AG721">
        <v>0</v>
      </c>
      <c r="AH721">
        <v>3</v>
      </c>
      <c r="AI721">
        <v>1</v>
      </c>
      <c r="AJ721">
        <v>0</v>
      </c>
      <c r="AK721" t="s">
        <v>339</v>
      </c>
      <c r="AL721">
        <v>32.817019999999999</v>
      </c>
      <c r="AM721" t="s">
        <v>340</v>
      </c>
      <c r="AN721">
        <v>-116.95751</v>
      </c>
      <c r="AO721">
        <v>25</v>
      </c>
      <c r="AP721">
        <v>1800</v>
      </c>
      <c r="AQ721" t="s">
        <v>129</v>
      </c>
      <c r="AR721">
        <v>126</v>
      </c>
      <c r="AS721">
        <v>-21</v>
      </c>
      <c r="AT721">
        <v>0</v>
      </c>
      <c r="BB721">
        <v>1200</v>
      </c>
      <c r="BC721">
        <v>1</v>
      </c>
      <c r="BD721" t="str">
        <f t="shared" si="252"/>
        <v xml:space="preserve">N887QR  </v>
      </c>
      <c r="BE721">
        <v>1</v>
      </c>
      <c r="BG721">
        <v>0</v>
      </c>
      <c r="BH721">
        <v>0</v>
      </c>
      <c r="BI721">
        <v>0</v>
      </c>
      <c r="BJ721">
        <v>1525</v>
      </c>
      <c r="BK721">
        <v>-275</v>
      </c>
      <c r="BL721" t="s">
        <v>163</v>
      </c>
      <c r="BM721">
        <v>1</v>
      </c>
      <c r="BN721">
        <v>1</v>
      </c>
      <c r="BO721">
        <v>1</v>
      </c>
      <c r="BP721">
        <v>0</v>
      </c>
      <c r="BS721">
        <v>0</v>
      </c>
      <c r="BT721">
        <v>0</v>
      </c>
      <c r="BU721">
        <v>0</v>
      </c>
      <c r="CE721" t="str">
        <f t="shared" si="256"/>
        <v>19:27:35.333</v>
      </c>
      <c r="CF721">
        <v>332576614</v>
      </c>
      <c r="CS721">
        <v>3</v>
      </c>
      <c r="CT721">
        <v>2</v>
      </c>
      <c r="CU721">
        <v>0</v>
      </c>
      <c r="CV721">
        <v>2</v>
      </c>
      <c r="CW721">
        <v>0</v>
      </c>
      <c r="CX721">
        <v>6</v>
      </c>
      <c r="CY721">
        <v>7</v>
      </c>
      <c r="CZ721" t="s">
        <v>131</v>
      </c>
      <c r="DA721">
        <v>300</v>
      </c>
      <c r="DB721">
        <v>0</v>
      </c>
      <c r="DC721" t="s">
        <v>176</v>
      </c>
      <c r="DD721" t="s">
        <v>177</v>
      </c>
      <c r="DG721">
        <v>5369802</v>
      </c>
      <c r="DI721">
        <v>1</v>
      </c>
      <c r="DJ721">
        <v>0</v>
      </c>
      <c r="DK721">
        <v>1</v>
      </c>
      <c r="DL721">
        <v>0</v>
      </c>
      <c r="DM721">
        <v>0</v>
      </c>
      <c r="DN721">
        <v>1</v>
      </c>
      <c r="DO721">
        <v>0</v>
      </c>
      <c r="DP721">
        <v>0</v>
      </c>
      <c r="DQ721">
        <v>0</v>
      </c>
      <c r="DR721">
        <v>0</v>
      </c>
      <c r="DS721">
        <v>0</v>
      </c>
    </row>
    <row r="722" spans="1:123" x14ac:dyDescent="0.3">
      <c r="A722" t="str">
        <f>"10/04/2022 19:27:35.572"</f>
        <v>10/04/2022 19:27:35.572</v>
      </c>
      <c r="C722" t="str">
        <f t="shared" si="246"/>
        <v>FFDFD3C0</v>
      </c>
      <c r="D722" t="s">
        <v>141</v>
      </c>
      <c r="E722">
        <v>3</v>
      </c>
      <c r="H722">
        <v>3</v>
      </c>
      <c r="I722" t="s">
        <v>146</v>
      </c>
      <c r="J722" t="s">
        <v>138</v>
      </c>
      <c r="K722">
        <v>0</v>
      </c>
      <c r="L722">
        <v>3</v>
      </c>
      <c r="M722">
        <v>0</v>
      </c>
      <c r="N722">
        <v>2</v>
      </c>
      <c r="O722">
        <v>0</v>
      </c>
      <c r="P722">
        <v>1</v>
      </c>
      <c r="Q722">
        <v>0</v>
      </c>
      <c r="S722" t="str">
        <f t="shared" si="255"/>
        <v>19:27:35.000</v>
      </c>
      <c r="T722" t="str">
        <f t="shared" si="255"/>
        <v>19:27:35.000</v>
      </c>
      <c r="U722" t="str">
        <f t="shared" si="251"/>
        <v>AC3944</v>
      </c>
      <c r="V722">
        <v>0</v>
      </c>
      <c r="W722">
        <v>0</v>
      </c>
      <c r="X722">
        <v>2</v>
      </c>
      <c r="Y722">
        <v>0</v>
      </c>
      <c r="AA722">
        <v>1</v>
      </c>
      <c r="AB722">
        <v>8</v>
      </c>
      <c r="AC722">
        <v>3</v>
      </c>
      <c r="AD722">
        <v>0</v>
      </c>
      <c r="AE722">
        <v>9</v>
      </c>
      <c r="AF722" t="s">
        <v>138</v>
      </c>
      <c r="AG722">
        <v>0</v>
      </c>
      <c r="AH722">
        <v>3</v>
      </c>
      <c r="AI722">
        <v>1</v>
      </c>
      <c r="AJ722">
        <v>0</v>
      </c>
      <c r="AK722" t="s">
        <v>339</v>
      </c>
      <c r="AL722">
        <v>32.817019999999999</v>
      </c>
      <c r="AM722" t="s">
        <v>340</v>
      </c>
      <c r="AN722">
        <v>-116.95751</v>
      </c>
      <c r="AO722">
        <v>25</v>
      </c>
      <c r="AP722">
        <v>1800</v>
      </c>
      <c r="AQ722" t="s">
        <v>129</v>
      </c>
      <c r="AR722">
        <v>126</v>
      </c>
      <c r="AS722">
        <v>-21</v>
      </c>
      <c r="AT722">
        <v>0</v>
      </c>
      <c r="BB722">
        <v>1200</v>
      </c>
      <c r="BC722">
        <v>1</v>
      </c>
      <c r="BD722" t="str">
        <f t="shared" si="252"/>
        <v xml:space="preserve">N887QR  </v>
      </c>
      <c r="BE722">
        <v>1</v>
      </c>
      <c r="BG722">
        <v>0</v>
      </c>
      <c r="BH722">
        <v>0</v>
      </c>
      <c r="BI722">
        <v>0</v>
      </c>
      <c r="BJ722">
        <v>1525</v>
      </c>
      <c r="BK722">
        <v>-275</v>
      </c>
      <c r="BL722" t="s">
        <v>163</v>
      </c>
      <c r="BM722">
        <v>1</v>
      </c>
      <c r="BN722">
        <v>1</v>
      </c>
      <c r="BO722">
        <v>1</v>
      </c>
      <c r="BP722">
        <v>0</v>
      </c>
      <c r="BS722">
        <v>0</v>
      </c>
      <c r="BT722">
        <v>0</v>
      </c>
      <c r="BU722">
        <v>0</v>
      </c>
      <c r="CE722" t="str">
        <f t="shared" si="256"/>
        <v>19:27:35.333</v>
      </c>
      <c r="CF722">
        <v>332576614</v>
      </c>
      <c r="CS722">
        <v>3</v>
      </c>
      <c r="CT722">
        <v>2</v>
      </c>
      <c r="CU722">
        <v>0</v>
      </c>
      <c r="CV722">
        <v>2</v>
      </c>
      <c r="CW722">
        <v>0</v>
      </c>
      <c r="CX722">
        <v>6</v>
      </c>
      <c r="CY722">
        <v>7</v>
      </c>
      <c r="CZ722" t="s">
        <v>131</v>
      </c>
      <c r="DA722">
        <v>300</v>
      </c>
      <c r="DB722">
        <v>0</v>
      </c>
      <c r="DC722" t="s">
        <v>176</v>
      </c>
      <c r="DD722" t="s">
        <v>177</v>
      </c>
      <c r="DG722">
        <v>5369802</v>
      </c>
      <c r="DI722">
        <v>1</v>
      </c>
      <c r="DJ722">
        <v>0</v>
      </c>
      <c r="DK722">
        <v>1</v>
      </c>
      <c r="DL722">
        <v>0</v>
      </c>
      <c r="DM722">
        <v>0</v>
      </c>
      <c r="DN722">
        <v>1</v>
      </c>
      <c r="DO722">
        <v>0</v>
      </c>
      <c r="DP722">
        <v>0</v>
      </c>
      <c r="DQ722">
        <v>0</v>
      </c>
      <c r="DR722">
        <v>0</v>
      </c>
      <c r="DS722">
        <v>0</v>
      </c>
    </row>
    <row r="723" spans="1:123" x14ac:dyDescent="0.3">
      <c r="A723" t="str">
        <f>"10/04/2022 19:27:35.572"</f>
        <v>10/04/2022 19:27:35.572</v>
      </c>
      <c r="C723" t="str">
        <f t="shared" si="246"/>
        <v>FFDFD3C0</v>
      </c>
      <c r="D723" t="s">
        <v>123</v>
      </c>
      <c r="E723">
        <v>7</v>
      </c>
      <c r="F723">
        <v>2007</v>
      </c>
      <c r="G723" t="s">
        <v>124</v>
      </c>
      <c r="J723" t="s">
        <v>125</v>
      </c>
      <c r="K723">
        <v>0</v>
      </c>
      <c r="L723">
        <v>3</v>
      </c>
      <c r="M723">
        <v>0</v>
      </c>
      <c r="N723">
        <v>2</v>
      </c>
      <c r="O723">
        <v>0</v>
      </c>
      <c r="P723">
        <v>1</v>
      </c>
      <c r="Q723">
        <v>0</v>
      </c>
      <c r="S723" t="str">
        <f t="shared" si="255"/>
        <v>19:27:35.000</v>
      </c>
      <c r="T723" t="str">
        <f t="shared" si="255"/>
        <v>19:27:35.000</v>
      </c>
      <c r="U723" t="str">
        <f t="shared" si="251"/>
        <v>AC3944</v>
      </c>
      <c r="V723">
        <v>0</v>
      </c>
      <c r="W723">
        <v>0</v>
      </c>
      <c r="X723">
        <v>2</v>
      </c>
      <c r="Y723">
        <v>0</v>
      </c>
      <c r="AA723">
        <v>1</v>
      </c>
      <c r="AB723">
        <v>8</v>
      </c>
      <c r="AC723">
        <v>3</v>
      </c>
      <c r="AD723">
        <v>0</v>
      </c>
      <c r="AE723">
        <v>9</v>
      </c>
      <c r="AF723" t="s">
        <v>138</v>
      </c>
      <c r="AG723">
        <v>0</v>
      </c>
      <c r="AH723">
        <v>3</v>
      </c>
      <c r="AI723">
        <v>1</v>
      </c>
      <c r="AJ723">
        <v>0</v>
      </c>
      <c r="AK723" t="s">
        <v>339</v>
      </c>
      <c r="AL723">
        <v>32.817019999999999</v>
      </c>
      <c r="AM723" t="s">
        <v>340</v>
      </c>
      <c r="AN723">
        <v>-116.95751</v>
      </c>
      <c r="AO723">
        <v>25</v>
      </c>
      <c r="AP723">
        <v>1800</v>
      </c>
      <c r="AQ723" t="s">
        <v>129</v>
      </c>
      <c r="AR723">
        <v>126</v>
      </c>
      <c r="AS723">
        <v>-21</v>
      </c>
      <c r="AT723">
        <v>0</v>
      </c>
      <c r="BB723">
        <v>1200</v>
      </c>
      <c r="BC723">
        <v>1</v>
      </c>
      <c r="BD723" t="str">
        <f t="shared" si="252"/>
        <v xml:space="preserve">N887QR  </v>
      </c>
      <c r="BE723">
        <v>1</v>
      </c>
      <c r="BG723">
        <v>0</v>
      </c>
      <c r="BH723">
        <v>0</v>
      </c>
      <c r="BI723">
        <v>0</v>
      </c>
      <c r="BJ723">
        <v>1525</v>
      </c>
      <c r="BK723">
        <v>-275</v>
      </c>
      <c r="BL723" t="s">
        <v>163</v>
      </c>
      <c r="BM723">
        <v>1</v>
      </c>
      <c r="BN723">
        <v>1</v>
      </c>
      <c r="BO723">
        <v>1</v>
      </c>
      <c r="BP723">
        <v>0</v>
      </c>
      <c r="BS723">
        <v>0</v>
      </c>
      <c r="BT723">
        <v>0</v>
      </c>
      <c r="BU723">
        <v>0</v>
      </c>
      <c r="CE723" t="str">
        <f t="shared" si="256"/>
        <v>19:27:35.333</v>
      </c>
      <c r="CF723">
        <v>332576614</v>
      </c>
      <c r="CS723">
        <v>3</v>
      </c>
      <c r="CT723">
        <v>2</v>
      </c>
      <c r="CU723">
        <v>0</v>
      </c>
      <c r="CV723">
        <v>2</v>
      </c>
      <c r="CW723">
        <v>0</v>
      </c>
      <c r="CX723">
        <v>6</v>
      </c>
      <c r="CY723">
        <v>7</v>
      </c>
      <c r="CZ723" t="s">
        <v>131</v>
      </c>
      <c r="DA723">
        <v>300</v>
      </c>
      <c r="DB723">
        <v>0</v>
      </c>
      <c r="DC723" t="s">
        <v>176</v>
      </c>
      <c r="DD723" t="s">
        <v>177</v>
      </c>
      <c r="DG723">
        <v>5369802</v>
      </c>
      <c r="DI723">
        <v>1</v>
      </c>
      <c r="DJ723">
        <v>0</v>
      </c>
      <c r="DK723">
        <v>1</v>
      </c>
      <c r="DL723">
        <v>0</v>
      </c>
      <c r="DM723">
        <v>0</v>
      </c>
      <c r="DN723">
        <v>1</v>
      </c>
      <c r="DO723">
        <v>0</v>
      </c>
      <c r="DP723">
        <v>0</v>
      </c>
      <c r="DQ723">
        <v>0</v>
      </c>
      <c r="DR723">
        <v>0</v>
      </c>
      <c r="DS723">
        <v>0</v>
      </c>
    </row>
    <row r="724" spans="1:123" x14ac:dyDescent="0.3">
      <c r="A724" t="str">
        <f>"10/04/2022 19:27:36.415"</f>
        <v>10/04/2022 19:27:36.415</v>
      </c>
      <c r="C724" t="str">
        <f t="shared" si="246"/>
        <v>FFDFD3C0</v>
      </c>
      <c r="D724" t="s">
        <v>136</v>
      </c>
      <c r="E724">
        <v>8</v>
      </c>
      <c r="H724">
        <v>225</v>
      </c>
      <c r="I724" t="s">
        <v>137</v>
      </c>
      <c r="J724" t="s">
        <v>138</v>
      </c>
      <c r="K724">
        <v>0</v>
      </c>
      <c r="L724">
        <v>3</v>
      </c>
      <c r="M724">
        <v>0</v>
      </c>
      <c r="N724">
        <v>2</v>
      </c>
      <c r="O724">
        <v>0</v>
      </c>
      <c r="P724">
        <v>1</v>
      </c>
      <c r="Q724">
        <v>0</v>
      </c>
      <c r="S724" t="str">
        <f t="shared" ref="S724:T737" si="257">"19:27:36.000"</f>
        <v>19:27:36.000</v>
      </c>
      <c r="T724" t="str">
        <f t="shared" si="257"/>
        <v>19:27:36.000</v>
      </c>
      <c r="U724" t="str">
        <f t="shared" si="251"/>
        <v>AC3944</v>
      </c>
      <c r="V724">
        <v>0</v>
      </c>
      <c r="W724">
        <v>0</v>
      </c>
      <c r="X724">
        <v>2</v>
      </c>
      <c r="Y724">
        <v>0</v>
      </c>
      <c r="AA724">
        <v>1</v>
      </c>
      <c r="AB724">
        <v>8</v>
      </c>
      <c r="AC724">
        <v>3</v>
      </c>
      <c r="AD724">
        <v>0</v>
      </c>
      <c r="AE724">
        <v>9</v>
      </c>
      <c r="AF724" t="s">
        <v>138</v>
      </c>
      <c r="AG724">
        <v>0</v>
      </c>
      <c r="AH724">
        <v>3</v>
      </c>
      <c r="AI724">
        <v>1</v>
      </c>
      <c r="AJ724">
        <v>0</v>
      </c>
      <c r="AK724" t="s">
        <v>341</v>
      </c>
      <c r="AL724">
        <v>32.816935000000001</v>
      </c>
      <c r="AM724" t="s">
        <v>342</v>
      </c>
      <c r="AN724">
        <v>-116.956801</v>
      </c>
      <c r="AO724">
        <v>25</v>
      </c>
      <c r="AP724">
        <v>1800</v>
      </c>
      <c r="AQ724" t="s">
        <v>129</v>
      </c>
      <c r="AR724">
        <v>126</v>
      </c>
      <c r="AS724">
        <v>-23</v>
      </c>
      <c r="AT724">
        <v>64</v>
      </c>
      <c r="BB724">
        <v>1200</v>
      </c>
      <c r="BC724">
        <v>1</v>
      </c>
      <c r="BD724" t="str">
        <f t="shared" si="252"/>
        <v xml:space="preserve">N887QR  </v>
      </c>
      <c r="BE724">
        <v>1</v>
      </c>
      <c r="BG724">
        <v>0</v>
      </c>
      <c r="BH724">
        <v>0</v>
      </c>
      <c r="BI724">
        <v>0</v>
      </c>
      <c r="BJ724">
        <v>1525</v>
      </c>
      <c r="BK724">
        <v>-275</v>
      </c>
      <c r="BL724" t="s">
        <v>163</v>
      </c>
      <c r="BM724">
        <v>1</v>
      </c>
      <c r="BN724">
        <v>1</v>
      </c>
      <c r="BO724">
        <v>1</v>
      </c>
      <c r="BP724">
        <v>0</v>
      </c>
      <c r="BS724">
        <v>0.04</v>
      </c>
      <c r="BT724">
        <v>0</v>
      </c>
      <c r="BU724">
        <v>0</v>
      </c>
      <c r="CE724" t="str">
        <f t="shared" ref="CE724:CE730" si="258">"19:27:36.231"</f>
        <v>19:27:36.231</v>
      </c>
      <c r="CF724">
        <v>231079494</v>
      </c>
      <c r="CS724">
        <v>3</v>
      </c>
      <c r="CT724">
        <v>2</v>
      </c>
      <c r="CU724">
        <v>0</v>
      </c>
      <c r="CV724">
        <v>2</v>
      </c>
      <c r="CW724">
        <v>0</v>
      </c>
      <c r="CX724">
        <v>6</v>
      </c>
      <c r="CY724">
        <v>7</v>
      </c>
      <c r="CZ724" t="s">
        <v>131</v>
      </c>
      <c r="DA724">
        <v>300</v>
      </c>
      <c r="DB724">
        <v>0</v>
      </c>
      <c r="DC724" t="s">
        <v>176</v>
      </c>
      <c r="DD724" t="s">
        <v>177</v>
      </c>
      <c r="DG724">
        <v>5369933</v>
      </c>
      <c r="DI724">
        <v>1</v>
      </c>
      <c r="DJ724">
        <v>0</v>
      </c>
      <c r="DK724">
        <v>0</v>
      </c>
      <c r="DL724">
        <v>0</v>
      </c>
      <c r="DM724">
        <v>0</v>
      </c>
      <c r="DN724">
        <v>1</v>
      </c>
      <c r="DO724">
        <v>0</v>
      </c>
      <c r="DP724">
        <v>0</v>
      </c>
      <c r="DQ724">
        <v>0</v>
      </c>
      <c r="DR724">
        <v>0</v>
      </c>
      <c r="DS724">
        <v>0</v>
      </c>
    </row>
    <row r="725" spans="1:123" x14ac:dyDescent="0.3">
      <c r="A725" t="str">
        <f>"10/04/2022 19:27:36.415"</f>
        <v>10/04/2022 19:27:36.415</v>
      </c>
      <c r="C725" t="str">
        <f t="shared" si="246"/>
        <v>FFDFD3C0</v>
      </c>
      <c r="D725" t="s">
        <v>143</v>
      </c>
      <c r="E725">
        <v>20</v>
      </c>
      <c r="F725">
        <v>1020</v>
      </c>
      <c r="G725" t="s">
        <v>144</v>
      </c>
      <c r="J725" t="s">
        <v>145</v>
      </c>
      <c r="K725">
        <v>0</v>
      </c>
      <c r="L725">
        <v>3</v>
      </c>
      <c r="M725">
        <v>0</v>
      </c>
      <c r="N725">
        <v>2</v>
      </c>
      <c r="O725">
        <v>0</v>
      </c>
      <c r="P725">
        <v>1</v>
      </c>
      <c r="Q725">
        <v>0</v>
      </c>
      <c r="S725" t="str">
        <f t="shared" si="257"/>
        <v>19:27:36.000</v>
      </c>
      <c r="T725" t="str">
        <f t="shared" si="257"/>
        <v>19:27:36.000</v>
      </c>
      <c r="U725" t="str">
        <f t="shared" si="251"/>
        <v>AC3944</v>
      </c>
      <c r="V725">
        <v>0</v>
      </c>
      <c r="W725">
        <v>0</v>
      </c>
      <c r="X725">
        <v>2</v>
      </c>
      <c r="Y725">
        <v>0</v>
      </c>
      <c r="AA725">
        <v>1</v>
      </c>
      <c r="AB725">
        <v>8</v>
      </c>
      <c r="AC725">
        <v>3</v>
      </c>
      <c r="AD725">
        <v>0</v>
      </c>
      <c r="AE725">
        <v>9</v>
      </c>
      <c r="AF725" t="s">
        <v>138</v>
      </c>
      <c r="AG725">
        <v>0</v>
      </c>
      <c r="AH725">
        <v>3</v>
      </c>
      <c r="AI725">
        <v>1</v>
      </c>
      <c r="AJ725">
        <v>0</v>
      </c>
      <c r="AK725" t="s">
        <v>341</v>
      </c>
      <c r="AL725">
        <v>32.816935000000001</v>
      </c>
      <c r="AM725" t="s">
        <v>342</v>
      </c>
      <c r="AN725">
        <v>-116.956801</v>
      </c>
      <c r="AO725">
        <v>25</v>
      </c>
      <c r="AP725">
        <v>1800</v>
      </c>
      <c r="AQ725" t="s">
        <v>129</v>
      </c>
      <c r="AR725">
        <v>126</v>
      </c>
      <c r="AS725">
        <v>-23</v>
      </c>
      <c r="AT725">
        <v>64</v>
      </c>
      <c r="BB725">
        <v>1200</v>
      </c>
      <c r="BC725">
        <v>1</v>
      </c>
      <c r="BD725" t="str">
        <f t="shared" si="252"/>
        <v xml:space="preserve">N887QR  </v>
      </c>
      <c r="BE725">
        <v>1</v>
      </c>
      <c r="BG725">
        <v>0</v>
      </c>
      <c r="BH725">
        <v>0</v>
      </c>
      <c r="BI725">
        <v>0</v>
      </c>
      <c r="BJ725">
        <v>1525</v>
      </c>
      <c r="BK725">
        <v>-275</v>
      </c>
      <c r="BL725" t="s">
        <v>163</v>
      </c>
      <c r="BM725">
        <v>1</v>
      </c>
      <c r="BN725">
        <v>1</v>
      </c>
      <c r="BO725">
        <v>1</v>
      </c>
      <c r="BP725">
        <v>0</v>
      </c>
      <c r="BS725">
        <v>0.04</v>
      </c>
      <c r="BT725">
        <v>0</v>
      </c>
      <c r="BU725">
        <v>0</v>
      </c>
      <c r="CE725" t="str">
        <f t="shared" si="258"/>
        <v>19:27:36.231</v>
      </c>
      <c r="CF725">
        <v>231079494</v>
      </c>
      <c r="CS725">
        <v>3</v>
      </c>
      <c r="CT725">
        <v>2</v>
      </c>
      <c r="CU725">
        <v>0</v>
      </c>
      <c r="CV725">
        <v>2</v>
      </c>
      <c r="CW725">
        <v>0</v>
      </c>
      <c r="CX725">
        <v>6</v>
      </c>
      <c r="CY725">
        <v>7</v>
      </c>
      <c r="CZ725" t="s">
        <v>131</v>
      </c>
      <c r="DA725">
        <v>300</v>
      </c>
      <c r="DB725">
        <v>0</v>
      </c>
      <c r="DC725" t="s">
        <v>176</v>
      </c>
      <c r="DD725" t="s">
        <v>177</v>
      </c>
      <c r="DG725">
        <v>5369933</v>
      </c>
      <c r="DI725">
        <v>1</v>
      </c>
      <c r="DJ725">
        <v>0</v>
      </c>
      <c r="DK725">
        <v>1</v>
      </c>
      <c r="DL725">
        <v>0</v>
      </c>
      <c r="DM725">
        <v>0</v>
      </c>
      <c r="DN725">
        <v>1</v>
      </c>
      <c r="DO725">
        <v>0</v>
      </c>
      <c r="DP725">
        <v>0</v>
      </c>
      <c r="DQ725">
        <v>0</v>
      </c>
      <c r="DR725">
        <v>0</v>
      </c>
      <c r="DS725">
        <v>0</v>
      </c>
    </row>
    <row r="726" spans="1:123" x14ac:dyDescent="0.3">
      <c r="A726" t="str">
        <f>"10/04/2022 19:27:36.415"</f>
        <v>10/04/2022 19:27:36.415</v>
      </c>
      <c r="C726" t="str">
        <f t="shared" ref="C726:C751" si="259">"FFDFD3C0"</f>
        <v>FFDFD3C0</v>
      </c>
      <c r="D726" t="s">
        <v>134</v>
      </c>
      <c r="E726">
        <v>15</v>
      </c>
      <c r="J726" t="s">
        <v>135</v>
      </c>
      <c r="K726">
        <v>0</v>
      </c>
      <c r="L726">
        <v>3</v>
      </c>
      <c r="M726">
        <v>0</v>
      </c>
      <c r="N726">
        <v>2</v>
      </c>
      <c r="O726">
        <v>0</v>
      </c>
      <c r="P726">
        <v>1</v>
      </c>
      <c r="Q726">
        <v>0</v>
      </c>
      <c r="S726" t="str">
        <f t="shared" si="257"/>
        <v>19:27:36.000</v>
      </c>
      <c r="T726" t="str">
        <f t="shared" si="257"/>
        <v>19:27:36.000</v>
      </c>
      <c r="U726" t="str">
        <f t="shared" si="251"/>
        <v>AC3944</v>
      </c>
      <c r="V726">
        <v>0</v>
      </c>
      <c r="W726">
        <v>0</v>
      </c>
      <c r="X726">
        <v>2</v>
      </c>
      <c r="Y726">
        <v>0</v>
      </c>
      <c r="AA726">
        <v>1</v>
      </c>
      <c r="AB726">
        <v>8</v>
      </c>
      <c r="AC726">
        <v>3</v>
      </c>
      <c r="AD726">
        <v>0</v>
      </c>
      <c r="AE726">
        <v>9</v>
      </c>
      <c r="AF726" t="s">
        <v>138</v>
      </c>
      <c r="AG726">
        <v>0</v>
      </c>
      <c r="AH726">
        <v>3</v>
      </c>
      <c r="AI726">
        <v>1</v>
      </c>
      <c r="AJ726">
        <v>0</v>
      </c>
      <c r="AK726" t="s">
        <v>341</v>
      </c>
      <c r="AL726">
        <v>32.816935000000001</v>
      </c>
      <c r="AM726" t="s">
        <v>342</v>
      </c>
      <c r="AN726">
        <v>-116.956801</v>
      </c>
      <c r="AO726">
        <v>25</v>
      </c>
      <c r="AP726">
        <v>1800</v>
      </c>
      <c r="AQ726" t="s">
        <v>129</v>
      </c>
      <c r="AR726">
        <v>126</v>
      </c>
      <c r="AS726">
        <v>-23</v>
      </c>
      <c r="AT726">
        <v>64</v>
      </c>
      <c r="BB726">
        <v>1200</v>
      </c>
      <c r="BC726">
        <v>1</v>
      </c>
      <c r="BD726" t="str">
        <f t="shared" si="252"/>
        <v xml:space="preserve">N887QR  </v>
      </c>
      <c r="BE726">
        <v>1</v>
      </c>
      <c r="BG726">
        <v>0</v>
      </c>
      <c r="BH726">
        <v>0</v>
      </c>
      <c r="BI726">
        <v>0</v>
      </c>
      <c r="BJ726">
        <v>1525</v>
      </c>
      <c r="BK726">
        <v>-275</v>
      </c>
      <c r="BL726" t="s">
        <v>163</v>
      </c>
      <c r="BM726">
        <v>1</v>
      </c>
      <c r="BN726">
        <v>1</v>
      </c>
      <c r="BO726">
        <v>1</v>
      </c>
      <c r="BP726">
        <v>0</v>
      </c>
      <c r="BS726">
        <v>0.04</v>
      </c>
      <c r="BT726">
        <v>0</v>
      </c>
      <c r="BU726">
        <v>0</v>
      </c>
      <c r="CE726" t="str">
        <f t="shared" si="258"/>
        <v>19:27:36.231</v>
      </c>
      <c r="CF726">
        <v>231079494</v>
      </c>
      <c r="CS726">
        <v>3</v>
      </c>
      <c r="CT726">
        <v>2</v>
      </c>
      <c r="CU726">
        <v>0</v>
      </c>
      <c r="CV726">
        <v>2</v>
      </c>
      <c r="CW726">
        <v>0</v>
      </c>
      <c r="CX726">
        <v>6</v>
      </c>
      <c r="CY726">
        <v>7</v>
      </c>
      <c r="CZ726" t="s">
        <v>131</v>
      </c>
      <c r="DA726">
        <v>300</v>
      </c>
      <c r="DB726">
        <v>0</v>
      </c>
      <c r="DC726" t="s">
        <v>176</v>
      </c>
      <c r="DD726" t="s">
        <v>177</v>
      </c>
      <c r="DG726">
        <v>5369933</v>
      </c>
      <c r="DI726">
        <v>1</v>
      </c>
      <c r="DJ726">
        <v>0</v>
      </c>
      <c r="DK726">
        <v>1</v>
      </c>
      <c r="DL726">
        <v>0</v>
      </c>
      <c r="DM726">
        <v>0</v>
      </c>
      <c r="DN726">
        <v>1</v>
      </c>
      <c r="DO726">
        <v>0</v>
      </c>
      <c r="DP726">
        <v>0</v>
      </c>
      <c r="DQ726">
        <v>0</v>
      </c>
      <c r="DR726">
        <v>0</v>
      </c>
      <c r="DS726">
        <v>0</v>
      </c>
    </row>
    <row r="727" spans="1:123" x14ac:dyDescent="0.3">
      <c r="A727" t="str">
        <f>"10/04/2022 19:27:36.415"</f>
        <v>10/04/2022 19:27:36.415</v>
      </c>
      <c r="C727" t="str">
        <f t="shared" si="259"/>
        <v>FFDFD3C0</v>
      </c>
      <c r="D727" t="s">
        <v>141</v>
      </c>
      <c r="E727">
        <v>3</v>
      </c>
      <c r="H727">
        <v>3</v>
      </c>
      <c r="I727" t="s">
        <v>146</v>
      </c>
      <c r="J727" t="s">
        <v>138</v>
      </c>
      <c r="K727">
        <v>0</v>
      </c>
      <c r="L727">
        <v>3</v>
      </c>
      <c r="M727">
        <v>0</v>
      </c>
      <c r="N727">
        <v>2</v>
      </c>
      <c r="O727">
        <v>0</v>
      </c>
      <c r="P727">
        <v>1</v>
      </c>
      <c r="Q727">
        <v>0</v>
      </c>
      <c r="S727" t="str">
        <f t="shared" si="257"/>
        <v>19:27:36.000</v>
      </c>
      <c r="T727" t="str">
        <f t="shared" si="257"/>
        <v>19:27:36.000</v>
      </c>
      <c r="U727" t="str">
        <f t="shared" si="251"/>
        <v>AC3944</v>
      </c>
      <c r="V727">
        <v>0</v>
      </c>
      <c r="W727">
        <v>0</v>
      </c>
      <c r="X727">
        <v>2</v>
      </c>
      <c r="Y727">
        <v>0</v>
      </c>
      <c r="AA727">
        <v>1</v>
      </c>
      <c r="AB727">
        <v>8</v>
      </c>
      <c r="AC727">
        <v>3</v>
      </c>
      <c r="AD727">
        <v>0</v>
      </c>
      <c r="AE727">
        <v>9</v>
      </c>
      <c r="AF727" t="s">
        <v>138</v>
      </c>
      <c r="AG727">
        <v>0</v>
      </c>
      <c r="AH727">
        <v>3</v>
      </c>
      <c r="AI727">
        <v>1</v>
      </c>
      <c r="AJ727">
        <v>0</v>
      </c>
      <c r="AK727" t="s">
        <v>341</v>
      </c>
      <c r="AL727">
        <v>32.816935000000001</v>
      </c>
      <c r="AM727" t="s">
        <v>342</v>
      </c>
      <c r="AN727">
        <v>-116.956801</v>
      </c>
      <c r="AO727">
        <v>25</v>
      </c>
      <c r="AP727">
        <v>1800</v>
      </c>
      <c r="AQ727" t="s">
        <v>129</v>
      </c>
      <c r="AR727">
        <v>126</v>
      </c>
      <c r="AS727">
        <v>-23</v>
      </c>
      <c r="AT727">
        <v>64</v>
      </c>
      <c r="BB727">
        <v>1200</v>
      </c>
      <c r="BC727">
        <v>1</v>
      </c>
      <c r="BD727" t="str">
        <f t="shared" si="252"/>
        <v xml:space="preserve">N887QR  </v>
      </c>
      <c r="BE727">
        <v>1</v>
      </c>
      <c r="BG727">
        <v>0</v>
      </c>
      <c r="BH727">
        <v>0</v>
      </c>
      <c r="BI727">
        <v>0</v>
      </c>
      <c r="BJ727">
        <v>1525</v>
      </c>
      <c r="BK727">
        <v>-275</v>
      </c>
      <c r="BL727" t="s">
        <v>163</v>
      </c>
      <c r="BM727">
        <v>1</v>
      </c>
      <c r="BN727">
        <v>1</v>
      </c>
      <c r="BO727">
        <v>1</v>
      </c>
      <c r="BP727">
        <v>0</v>
      </c>
      <c r="BS727">
        <v>0.04</v>
      </c>
      <c r="BT727">
        <v>0</v>
      </c>
      <c r="BU727">
        <v>0</v>
      </c>
      <c r="CE727" t="str">
        <f t="shared" si="258"/>
        <v>19:27:36.231</v>
      </c>
      <c r="CF727">
        <v>231079494</v>
      </c>
      <c r="CS727">
        <v>3</v>
      </c>
      <c r="CT727">
        <v>2</v>
      </c>
      <c r="CU727">
        <v>0</v>
      </c>
      <c r="CV727">
        <v>2</v>
      </c>
      <c r="CW727">
        <v>0</v>
      </c>
      <c r="CX727">
        <v>6</v>
      </c>
      <c r="CY727">
        <v>7</v>
      </c>
      <c r="CZ727" t="s">
        <v>131</v>
      </c>
      <c r="DA727">
        <v>300</v>
      </c>
      <c r="DB727">
        <v>0</v>
      </c>
      <c r="DC727" t="s">
        <v>176</v>
      </c>
      <c r="DD727" t="s">
        <v>177</v>
      </c>
      <c r="DG727">
        <v>5369933</v>
      </c>
      <c r="DI727">
        <v>1</v>
      </c>
      <c r="DJ727">
        <v>0</v>
      </c>
      <c r="DK727">
        <v>1</v>
      </c>
      <c r="DL727">
        <v>0</v>
      </c>
      <c r="DM727">
        <v>0</v>
      </c>
      <c r="DN727">
        <v>1</v>
      </c>
      <c r="DO727">
        <v>0</v>
      </c>
      <c r="DP727">
        <v>0</v>
      </c>
      <c r="DQ727">
        <v>0</v>
      </c>
      <c r="DR727">
        <v>0</v>
      </c>
      <c r="DS727">
        <v>0</v>
      </c>
    </row>
    <row r="728" spans="1:123" x14ac:dyDescent="0.3">
      <c r="A728" t="str">
        <f>"10/04/2022 19:27:36.415"</f>
        <v>10/04/2022 19:27:36.415</v>
      </c>
      <c r="C728" t="str">
        <f t="shared" si="259"/>
        <v>FFDFD3C0</v>
      </c>
      <c r="D728" t="s">
        <v>123</v>
      </c>
      <c r="E728">
        <v>7</v>
      </c>
      <c r="F728">
        <v>2007</v>
      </c>
      <c r="G728" t="s">
        <v>124</v>
      </c>
      <c r="J728" t="s">
        <v>125</v>
      </c>
      <c r="K728">
        <v>0</v>
      </c>
      <c r="L728">
        <v>3</v>
      </c>
      <c r="M728">
        <v>0</v>
      </c>
      <c r="N728">
        <v>2</v>
      </c>
      <c r="O728">
        <v>0</v>
      </c>
      <c r="P728">
        <v>1</v>
      </c>
      <c r="Q728">
        <v>0</v>
      </c>
      <c r="S728" t="str">
        <f t="shared" si="257"/>
        <v>19:27:36.000</v>
      </c>
      <c r="T728" t="str">
        <f t="shared" si="257"/>
        <v>19:27:36.000</v>
      </c>
      <c r="U728" t="str">
        <f t="shared" si="251"/>
        <v>AC3944</v>
      </c>
      <c r="V728">
        <v>0</v>
      </c>
      <c r="W728">
        <v>0</v>
      </c>
      <c r="X728">
        <v>2</v>
      </c>
      <c r="Y728">
        <v>0</v>
      </c>
      <c r="AA728">
        <v>1</v>
      </c>
      <c r="AB728">
        <v>8</v>
      </c>
      <c r="AC728">
        <v>3</v>
      </c>
      <c r="AD728">
        <v>0</v>
      </c>
      <c r="AE728">
        <v>9</v>
      </c>
      <c r="AF728" t="s">
        <v>138</v>
      </c>
      <c r="AG728">
        <v>0</v>
      </c>
      <c r="AH728">
        <v>3</v>
      </c>
      <c r="AI728">
        <v>1</v>
      </c>
      <c r="AJ728">
        <v>0</v>
      </c>
      <c r="AK728" t="s">
        <v>341</v>
      </c>
      <c r="AL728">
        <v>32.816935000000001</v>
      </c>
      <c r="AM728" t="s">
        <v>342</v>
      </c>
      <c r="AN728">
        <v>-116.956801</v>
      </c>
      <c r="AO728">
        <v>25</v>
      </c>
      <c r="AP728">
        <v>1800</v>
      </c>
      <c r="AQ728" t="s">
        <v>129</v>
      </c>
      <c r="AR728">
        <v>126</v>
      </c>
      <c r="AS728">
        <v>-23</v>
      </c>
      <c r="AT728">
        <v>64</v>
      </c>
      <c r="BB728">
        <v>1200</v>
      </c>
      <c r="BC728">
        <v>1</v>
      </c>
      <c r="BD728" t="str">
        <f t="shared" si="252"/>
        <v xml:space="preserve">N887QR  </v>
      </c>
      <c r="BE728">
        <v>1</v>
      </c>
      <c r="BG728">
        <v>0</v>
      </c>
      <c r="BH728">
        <v>0</v>
      </c>
      <c r="BI728">
        <v>0</v>
      </c>
      <c r="BJ728">
        <v>1525</v>
      </c>
      <c r="BK728">
        <v>-275</v>
      </c>
      <c r="BL728" t="s">
        <v>163</v>
      </c>
      <c r="BM728">
        <v>1</v>
      </c>
      <c r="BN728">
        <v>1</v>
      </c>
      <c r="BO728">
        <v>1</v>
      </c>
      <c r="BP728">
        <v>0</v>
      </c>
      <c r="BS728">
        <v>0.04</v>
      </c>
      <c r="BT728">
        <v>0</v>
      </c>
      <c r="BU728">
        <v>0</v>
      </c>
      <c r="CE728" t="str">
        <f t="shared" si="258"/>
        <v>19:27:36.231</v>
      </c>
      <c r="CF728">
        <v>231079494</v>
      </c>
      <c r="CS728">
        <v>3</v>
      </c>
      <c r="CT728">
        <v>2</v>
      </c>
      <c r="CU728">
        <v>0</v>
      </c>
      <c r="CV728">
        <v>2</v>
      </c>
      <c r="CW728">
        <v>0</v>
      </c>
      <c r="CX728">
        <v>6</v>
      </c>
      <c r="CY728">
        <v>7</v>
      </c>
      <c r="CZ728" t="s">
        <v>131</v>
      </c>
      <c r="DA728">
        <v>300</v>
      </c>
      <c r="DB728">
        <v>0</v>
      </c>
      <c r="DC728" t="s">
        <v>176</v>
      </c>
      <c r="DD728" t="s">
        <v>177</v>
      </c>
      <c r="DG728">
        <v>5369933</v>
      </c>
      <c r="DI728">
        <v>1</v>
      </c>
      <c r="DJ728">
        <v>0</v>
      </c>
      <c r="DK728">
        <v>1</v>
      </c>
      <c r="DL728">
        <v>0</v>
      </c>
      <c r="DM728">
        <v>0</v>
      </c>
      <c r="DN728">
        <v>1</v>
      </c>
      <c r="DO728">
        <v>0</v>
      </c>
      <c r="DP728">
        <v>0</v>
      </c>
      <c r="DQ728">
        <v>0</v>
      </c>
      <c r="DR728">
        <v>0</v>
      </c>
      <c r="DS728">
        <v>0</v>
      </c>
    </row>
    <row r="729" spans="1:123" x14ac:dyDescent="0.3">
      <c r="A729" t="str">
        <f>"10/04/2022 19:27:36.462"</f>
        <v>10/04/2022 19:27:36.462</v>
      </c>
      <c r="C729" t="str">
        <f t="shared" si="259"/>
        <v>FFDFD3C0</v>
      </c>
      <c r="D729" t="s">
        <v>141</v>
      </c>
      <c r="E729">
        <v>4</v>
      </c>
      <c r="H729">
        <v>4</v>
      </c>
      <c r="I729" t="s">
        <v>142</v>
      </c>
      <c r="J729" t="s">
        <v>138</v>
      </c>
      <c r="K729">
        <v>0</v>
      </c>
      <c r="L729">
        <v>3</v>
      </c>
      <c r="M729">
        <v>0</v>
      </c>
      <c r="N729">
        <v>2</v>
      </c>
      <c r="O729">
        <v>0</v>
      </c>
      <c r="P729">
        <v>1</v>
      </c>
      <c r="Q729">
        <v>0</v>
      </c>
      <c r="S729" t="str">
        <f t="shared" si="257"/>
        <v>19:27:36.000</v>
      </c>
      <c r="T729" t="str">
        <f t="shared" si="257"/>
        <v>19:27:36.000</v>
      </c>
      <c r="U729" t="str">
        <f t="shared" si="251"/>
        <v>AC3944</v>
      </c>
      <c r="V729">
        <v>0</v>
      </c>
      <c r="W729">
        <v>0</v>
      </c>
      <c r="X729">
        <v>2</v>
      </c>
      <c r="Y729">
        <v>0</v>
      </c>
      <c r="AA729">
        <v>1</v>
      </c>
      <c r="AB729">
        <v>8</v>
      </c>
      <c r="AC729">
        <v>3</v>
      </c>
      <c r="AD729">
        <v>0</v>
      </c>
      <c r="AE729">
        <v>9</v>
      </c>
      <c r="AF729" t="s">
        <v>138</v>
      </c>
      <c r="AG729">
        <v>0</v>
      </c>
      <c r="AH729">
        <v>3</v>
      </c>
      <c r="AI729">
        <v>1</v>
      </c>
      <c r="AJ729">
        <v>0</v>
      </c>
      <c r="AK729" t="s">
        <v>341</v>
      </c>
      <c r="AL729">
        <v>32.816935000000001</v>
      </c>
      <c r="AM729" t="s">
        <v>342</v>
      </c>
      <c r="AN729">
        <v>-116.956801</v>
      </c>
      <c r="AO729">
        <v>25</v>
      </c>
      <c r="AP729">
        <v>1800</v>
      </c>
      <c r="AQ729" t="s">
        <v>129</v>
      </c>
      <c r="AR729">
        <v>126</v>
      </c>
      <c r="AS729">
        <v>-23</v>
      </c>
      <c r="AT729">
        <v>64</v>
      </c>
      <c r="BB729">
        <v>1200</v>
      </c>
      <c r="BC729">
        <v>1</v>
      </c>
      <c r="BD729" t="str">
        <f t="shared" si="252"/>
        <v xml:space="preserve">N887QR  </v>
      </c>
      <c r="BE729">
        <v>1</v>
      </c>
      <c r="BG729">
        <v>0</v>
      </c>
      <c r="BH729">
        <v>0</v>
      </c>
      <c r="BI729">
        <v>0</v>
      </c>
      <c r="BJ729">
        <v>1525</v>
      </c>
      <c r="BK729">
        <v>-275</v>
      </c>
      <c r="BL729" t="s">
        <v>163</v>
      </c>
      <c r="BM729">
        <v>1</v>
      </c>
      <c r="BN729">
        <v>1</v>
      </c>
      <c r="BO729">
        <v>1</v>
      </c>
      <c r="BP729">
        <v>0</v>
      </c>
      <c r="BS729">
        <v>0.04</v>
      </c>
      <c r="BT729">
        <v>0</v>
      </c>
      <c r="BU729">
        <v>0</v>
      </c>
      <c r="CE729" t="str">
        <f t="shared" si="258"/>
        <v>19:27:36.231</v>
      </c>
      <c r="CF729">
        <v>231079494</v>
      </c>
      <c r="CS729">
        <v>3</v>
      </c>
      <c r="CT729">
        <v>2</v>
      </c>
      <c r="CU729">
        <v>0</v>
      </c>
      <c r="CV729">
        <v>2</v>
      </c>
      <c r="CW729">
        <v>0</v>
      </c>
      <c r="CX729">
        <v>6</v>
      </c>
      <c r="CY729">
        <v>7</v>
      </c>
      <c r="CZ729" t="s">
        <v>131</v>
      </c>
      <c r="DA729">
        <v>300</v>
      </c>
      <c r="DB729">
        <v>0</v>
      </c>
      <c r="DC729" t="s">
        <v>176</v>
      </c>
      <c r="DD729" t="s">
        <v>177</v>
      </c>
      <c r="DG729">
        <v>5369933</v>
      </c>
      <c r="DI729">
        <v>1</v>
      </c>
      <c r="DJ729">
        <v>0</v>
      </c>
      <c r="DK729">
        <v>1</v>
      </c>
      <c r="DL729">
        <v>0</v>
      </c>
      <c r="DM729">
        <v>0</v>
      </c>
      <c r="DN729">
        <v>1</v>
      </c>
      <c r="DO729">
        <v>0</v>
      </c>
      <c r="DP729">
        <v>0</v>
      </c>
      <c r="DQ729">
        <v>0</v>
      </c>
      <c r="DR729">
        <v>0</v>
      </c>
      <c r="DS729">
        <v>0</v>
      </c>
    </row>
    <row r="730" spans="1:123" x14ac:dyDescent="0.3">
      <c r="A730" t="str">
        <f>"10/04/2022 19:27:36.462"</f>
        <v>10/04/2022 19:27:36.462</v>
      </c>
      <c r="C730" t="str">
        <f t="shared" si="259"/>
        <v>FFDFD3C0</v>
      </c>
      <c r="D730" t="s">
        <v>147</v>
      </c>
      <c r="E730">
        <v>3</v>
      </c>
      <c r="H730">
        <v>166</v>
      </c>
      <c r="I730" t="s">
        <v>144</v>
      </c>
      <c r="J730" t="s">
        <v>148</v>
      </c>
      <c r="K730">
        <v>0</v>
      </c>
      <c r="L730">
        <v>3</v>
      </c>
      <c r="M730">
        <v>0</v>
      </c>
      <c r="N730">
        <v>2</v>
      </c>
      <c r="O730">
        <v>0</v>
      </c>
      <c r="P730">
        <v>1</v>
      </c>
      <c r="Q730">
        <v>0</v>
      </c>
      <c r="S730" t="str">
        <f t="shared" si="257"/>
        <v>19:27:36.000</v>
      </c>
      <c r="T730" t="str">
        <f t="shared" si="257"/>
        <v>19:27:36.000</v>
      </c>
      <c r="U730" t="str">
        <f t="shared" si="251"/>
        <v>AC3944</v>
      </c>
      <c r="V730">
        <v>0</v>
      </c>
      <c r="W730">
        <v>0</v>
      </c>
      <c r="X730">
        <v>2</v>
      </c>
      <c r="Y730">
        <v>0</v>
      </c>
      <c r="AA730">
        <v>1</v>
      </c>
      <c r="AB730">
        <v>8</v>
      </c>
      <c r="AC730">
        <v>3</v>
      </c>
      <c r="AD730">
        <v>0</v>
      </c>
      <c r="AE730">
        <v>9</v>
      </c>
      <c r="AF730" t="s">
        <v>138</v>
      </c>
      <c r="AG730">
        <v>0</v>
      </c>
      <c r="AH730">
        <v>3</v>
      </c>
      <c r="AI730">
        <v>1</v>
      </c>
      <c r="AJ730">
        <v>0</v>
      </c>
      <c r="AK730" t="s">
        <v>341</v>
      </c>
      <c r="AL730">
        <v>32.816935000000001</v>
      </c>
      <c r="AM730" t="s">
        <v>342</v>
      </c>
      <c r="AN730">
        <v>-116.956801</v>
      </c>
      <c r="AO730">
        <v>25</v>
      </c>
      <c r="AP730">
        <v>1800</v>
      </c>
      <c r="AQ730" t="s">
        <v>129</v>
      </c>
      <c r="AR730">
        <v>126</v>
      </c>
      <c r="AS730">
        <v>-23</v>
      </c>
      <c r="AT730">
        <v>64</v>
      </c>
      <c r="BB730">
        <v>1200</v>
      </c>
      <c r="BC730">
        <v>1</v>
      </c>
      <c r="BD730" t="str">
        <f t="shared" si="252"/>
        <v xml:space="preserve">N887QR  </v>
      </c>
      <c r="BE730">
        <v>1</v>
      </c>
      <c r="BG730">
        <v>0</v>
      </c>
      <c r="BH730">
        <v>0</v>
      </c>
      <c r="BI730">
        <v>0</v>
      </c>
      <c r="BJ730">
        <v>1525</v>
      </c>
      <c r="BK730">
        <v>-275</v>
      </c>
      <c r="BL730" t="s">
        <v>163</v>
      </c>
      <c r="BM730">
        <v>1</v>
      </c>
      <c r="BN730">
        <v>1</v>
      </c>
      <c r="BO730">
        <v>1</v>
      </c>
      <c r="BP730">
        <v>0</v>
      </c>
      <c r="BS730">
        <v>0.04</v>
      </c>
      <c r="BT730">
        <v>0</v>
      </c>
      <c r="BU730">
        <v>0</v>
      </c>
      <c r="CE730" t="str">
        <f t="shared" si="258"/>
        <v>19:27:36.231</v>
      </c>
      <c r="CF730">
        <v>231079494</v>
      </c>
      <c r="CS730">
        <v>3</v>
      </c>
      <c r="CT730">
        <v>2</v>
      </c>
      <c r="CU730">
        <v>0</v>
      </c>
      <c r="CV730">
        <v>2</v>
      </c>
      <c r="CW730">
        <v>0</v>
      </c>
      <c r="CX730">
        <v>6</v>
      </c>
      <c r="CY730">
        <v>7</v>
      </c>
      <c r="CZ730" t="s">
        <v>131</v>
      </c>
      <c r="DA730">
        <v>300</v>
      </c>
      <c r="DB730">
        <v>0</v>
      </c>
      <c r="DC730" t="s">
        <v>176</v>
      </c>
      <c r="DD730" t="s">
        <v>177</v>
      </c>
      <c r="DG730">
        <v>5369933</v>
      </c>
      <c r="DI730">
        <v>1</v>
      </c>
      <c r="DJ730">
        <v>0</v>
      </c>
      <c r="DK730">
        <v>1</v>
      </c>
      <c r="DL730">
        <v>0</v>
      </c>
      <c r="DM730">
        <v>0</v>
      </c>
      <c r="DN730">
        <v>1</v>
      </c>
      <c r="DO730">
        <v>0</v>
      </c>
      <c r="DP730">
        <v>0</v>
      </c>
      <c r="DQ730">
        <v>0</v>
      </c>
      <c r="DR730">
        <v>0</v>
      </c>
      <c r="DS730">
        <v>0</v>
      </c>
    </row>
    <row r="731" spans="1:123" x14ac:dyDescent="0.3">
      <c r="A731" t="str">
        <f>"10/04/2022 19:27:37.009"</f>
        <v>10/04/2022 19:27:37.009</v>
      </c>
      <c r="C731" t="str">
        <f t="shared" si="259"/>
        <v>FFDFD3C0</v>
      </c>
      <c r="D731" t="s">
        <v>136</v>
      </c>
      <c r="E731">
        <v>8</v>
      </c>
      <c r="H731">
        <v>225</v>
      </c>
      <c r="I731" t="s">
        <v>137</v>
      </c>
      <c r="J731" t="s">
        <v>138</v>
      </c>
      <c r="K731">
        <v>0</v>
      </c>
      <c r="L731">
        <v>3</v>
      </c>
      <c r="M731">
        <v>0</v>
      </c>
      <c r="N731">
        <v>2</v>
      </c>
      <c r="O731">
        <v>0</v>
      </c>
      <c r="P731">
        <v>1</v>
      </c>
      <c r="Q731">
        <v>0</v>
      </c>
      <c r="S731" t="str">
        <f t="shared" si="257"/>
        <v>19:27:36.000</v>
      </c>
      <c r="T731" t="str">
        <f t="shared" si="257"/>
        <v>19:27:36.000</v>
      </c>
      <c r="U731" t="str">
        <f t="shared" si="251"/>
        <v>AC3944</v>
      </c>
      <c r="V731">
        <v>0</v>
      </c>
      <c r="W731">
        <v>0</v>
      </c>
      <c r="X731">
        <v>2</v>
      </c>
      <c r="Y731">
        <v>0</v>
      </c>
      <c r="AA731">
        <v>1</v>
      </c>
      <c r="AB731">
        <v>8</v>
      </c>
      <c r="AC731">
        <v>3</v>
      </c>
      <c r="AD731">
        <v>0</v>
      </c>
      <c r="AE731">
        <v>9</v>
      </c>
      <c r="AF731" t="s">
        <v>138</v>
      </c>
      <c r="AG731">
        <v>0</v>
      </c>
      <c r="AH731">
        <v>3</v>
      </c>
      <c r="AI731">
        <v>1</v>
      </c>
      <c r="AJ731">
        <v>0</v>
      </c>
      <c r="AK731" t="s">
        <v>343</v>
      </c>
      <c r="AL731">
        <v>32.816827000000004</v>
      </c>
      <c r="AM731" t="s">
        <v>344</v>
      </c>
      <c r="AN731">
        <v>-116.956115</v>
      </c>
      <c r="AO731">
        <v>25</v>
      </c>
      <c r="AP731">
        <v>1900</v>
      </c>
      <c r="AQ731" t="s">
        <v>129</v>
      </c>
      <c r="AR731">
        <v>125</v>
      </c>
      <c r="AS731">
        <v>-25</v>
      </c>
      <c r="AT731">
        <v>64</v>
      </c>
      <c r="BB731">
        <v>1200</v>
      </c>
      <c r="BC731">
        <v>1</v>
      </c>
      <c r="BD731" t="str">
        <f t="shared" si="252"/>
        <v xml:space="preserve">N887QR  </v>
      </c>
      <c r="BE731">
        <v>1</v>
      </c>
      <c r="BG731">
        <v>0</v>
      </c>
      <c r="BH731">
        <v>0</v>
      </c>
      <c r="BI731">
        <v>0</v>
      </c>
      <c r="BJ731">
        <v>1525</v>
      </c>
      <c r="BK731">
        <v>-375</v>
      </c>
      <c r="BL731" t="s">
        <v>163</v>
      </c>
      <c r="BM731">
        <v>1</v>
      </c>
      <c r="BN731">
        <v>1</v>
      </c>
      <c r="BO731">
        <v>1</v>
      </c>
      <c r="BP731">
        <v>0</v>
      </c>
      <c r="BS731">
        <v>0.04</v>
      </c>
      <c r="BT731">
        <v>0</v>
      </c>
      <c r="BU731">
        <v>0</v>
      </c>
      <c r="CE731" t="str">
        <f t="shared" ref="CE731:CE737" si="260">"19:27:36.823"</f>
        <v>19:27:36.823</v>
      </c>
      <c r="CF731">
        <v>822849590</v>
      </c>
      <c r="CS731">
        <v>3</v>
      </c>
      <c r="CT731">
        <v>2</v>
      </c>
      <c r="CU731">
        <v>0</v>
      </c>
      <c r="CV731">
        <v>2</v>
      </c>
      <c r="CW731">
        <v>0</v>
      </c>
      <c r="CX731">
        <v>4</v>
      </c>
      <c r="CY731">
        <v>7</v>
      </c>
      <c r="CZ731" t="s">
        <v>131</v>
      </c>
      <c r="DA731">
        <v>286</v>
      </c>
      <c r="DB731">
        <v>0</v>
      </c>
      <c r="DC731" t="s">
        <v>132</v>
      </c>
      <c r="DD731" t="s">
        <v>133</v>
      </c>
      <c r="DG731">
        <v>802356</v>
      </c>
      <c r="DI731">
        <v>1</v>
      </c>
      <c r="DJ731">
        <v>0</v>
      </c>
      <c r="DK731">
        <v>0</v>
      </c>
      <c r="DL731">
        <v>0</v>
      </c>
      <c r="DM731">
        <v>0</v>
      </c>
      <c r="DN731">
        <v>1</v>
      </c>
      <c r="DO731">
        <v>0</v>
      </c>
      <c r="DP731">
        <v>0</v>
      </c>
      <c r="DQ731">
        <v>0</v>
      </c>
      <c r="DR731">
        <v>0</v>
      </c>
      <c r="DS731">
        <v>0</v>
      </c>
    </row>
    <row r="732" spans="1:123" x14ac:dyDescent="0.3">
      <c r="A732" t="str">
        <f>"10/04/2022 19:27:37.009"</f>
        <v>10/04/2022 19:27:37.009</v>
      </c>
      <c r="C732" t="str">
        <f t="shared" si="259"/>
        <v>FFDFD3C0</v>
      </c>
      <c r="D732" t="s">
        <v>143</v>
      </c>
      <c r="E732">
        <v>20</v>
      </c>
      <c r="F732">
        <v>1020</v>
      </c>
      <c r="G732" t="s">
        <v>144</v>
      </c>
      <c r="J732" t="s">
        <v>145</v>
      </c>
      <c r="K732">
        <v>0</v>
      </c>
      <c r="L732">
        <v>3</v>
      </c>
      <c r="M732">
        <v>0</v>
      </c>
      <c r="N732">
        <v>2</v>
      </c>
      <c r="O732">
        <v>0</v>
      </c>
      <c r="P732">
        <v>1</v>
      </c>
      <c r="Q732">
        <v>0</v>
      </c>
      <c r="S732" t="str">
        <f t="shared" si="257"/>
        <v>19:27:36.000</v>
      </c>
      <c r="T732" t="str">
        <f t="shared" si="257"/>
        <v>19:27:36.000</v>
      </c>
      <c r="U732" t="str">
        <f t="shared" si="251"/>
        <v>AC3944</v>
      </c>
      <c r="V732">
        <v>0</v>
      </c>
      <c r="W732">
        <v>0</v>
      </c>
      <c r="X732">
        <v>2</v>
      </c>
      <c r="Y732">
        <v>0</v>
      </c>
      <c r="AA732">
        <v>1</v>
      </c>
      <c r="AB732">
        <v>8</v>
      </c>
      <c r="AC732">
        <v>3</v>
      </c>
      <c r="AD732">
        <v>0</v>
      </c>
      <c r="AE732">
        <v>9</v>
      </c>
      <c r="AF732" t="s">
        <v>138</v>
      </c>
      <c r="AG732">
        <v>0</v>
      </c>
      <c r="AH732">
        <v>3</v>
      </c>
      <c r="AI732">
        <v>1</v>
      </c>
      <c r="AJ732">
        <v>0</v>
      </c>
      <c r="AK732" t="s">
        <v>343</v>
      </c>
      <c r="AL732">
        <v>32.816827000000004</v>
      </c>
      <c r="AM732" t="s">
        <v>344</v>
      </c>
      <c r="AN732">
        <v>-116.956115</v>
      </c>
      <c r="AO732">
        <v>25</v>
      </c>
      <c r="AP732">
        <v>1900</v>
      </c>
      <c r="AQ732" t="s">
        <v>129</v>
      </c>
      <c r="AR732">
        <v>125</v>
      </c>
      <c r="AS732">
        <v>-25</v>
      </c>
      <c r="AT732">
        <v>64</v>
      </c>
      <c r="BB732">
        <v>1200</v>
      </c>
      <c r="BC732">
        <v>1</v>
      </c>
      <c r="BD732" t="str">
        <f t="shared" si="252"/>
        <v xml:space="preserve">N887QR  </v>
      </c>
      <c r="BE732">
        <v>1</v>
      </c>
      <c r="BG732">
        <v>0</v>
      </c>
      <c r="BH732">
        <v>0</v>
      </c>
      <c r="BI732">
        <v>0</v>
      </c>
      <c r="BJ732">
        <v>1525</v>
      </c>
      <c r="BK732">
        <v>-375</v>
      </c>
      <c r="BL732" t="s">
        <v>163</v>
      </c>
      <c r="BM732">
        <v>1</v>
      </c>
      <c r="BN732">
        <v>1</v>
      </c>
      <c r="BO732">
        <v>1</v>
      </c>
      <c r="BP732">
        <v>0</v>
      </c>
      <c r="BS732">
        <v>0.04</v>
      </c>
      <c r="BT732">
        <v>0</v>
      </c>
      <c r="BU732">
        <v>0</v>
      </c>
      <c r="CE732" t="str">
        <f t="shared" si="260"/>
        <v>19:27:36.823</v>
      </c>
      <c r="CF732">
        <v>822849590</v>
      </c>
      <c r="CS732">
        <v>3</v>
      </c>
      <c r="CT732">
        <v>2</v>
      </c>
      <c r="CU732">
        <v>0</v>
      </c>
      <c r="CV732">
        <v>2</v>
      </c>
      <c r="CW732">
        <v>0</v>
      </c>
      <c r="CX732">
        <v>4</v>
      </c>
      <c r="CY732">
        <v>7</v>
      </c>
      <c r="CZ732" t="s">
        <v>131</v>
      </c>
      <c r="DA732">
        <v>286</v>
      </c>
      <c r="DB732">
        <v>0</v>
      </c>
      <c r="DC732" t="s">
        <v>132</v>
      </c>
      <c r="DD732" t="s">
        <v>133</v>
      </c>
      <c r="DG732">
        <v>802356</v>
      </c>
      <c r="DI732">
        <v>1</v>
      </c>
      <c r="DJ732">
        <v>0</v>
      </c>
      <c r="DK732">
        <v>1</v>
      </c>
      <c r="DL732">
        <v>0</v>
      </c>
      <c r="DM732">
        <v>0</v>
      </c>
      <c r="DN732">
        <v>1</v>
      </c>
      <c r="DO732">
        <v>0</v>
      </c>
      <c r="DP732">
        <v>0</v>
      </c>
      <c r="DQ732">
        <v>0</v>
      </c>
      <c r="DR732">
        <v>0</v>
      </c>
      <c r="DS732">
        <v>0</v>
      </c>
    </row>
    <row r="733" spans="1:123" x14ac:dyDescent="0.3">
      <c r="A733" t="str">
        <f>"10/04/2022 19:27:37.009"</f>
        <v>10/04/2022 19:27:37.009</v>
      </c>
      <c r="C733" t="str">
        <f t="shared" si="259"/>
        <v>FFDFD3C0</v>
      </c>
      <c r="D733" t="s">
        <v>141</v>
      </c>
      <c r="E733">
        <v>3</v>
      </c>
      <c r="H733">
        <v>3</v>
      </c>
      <c r="I733" t="s">
        <v>146</v>
      </c>
      <c r="J733" t="s">
        <v>138</v>
      </c>
      <c r="K733">
        <v>0</v>
      </c>
      <c r="L733">
        <v>3</v>
      </c>
      <c r="M733">
        <v>0</v>
      </c>
      <c r="N733">
        <v>2</v>
      </c>
      <c r="O733">
        <v>0</v>
      </c>
      <c r="P733">
        <v>1</v>
      </c>
      <c r="Q733">
        <v>0</v>
      </c>
      <c r="S733" t="str">
        <f t="shared" si="257"/>
        <v>19:27:36.000</v>
      </c>
      <c r="T733" t="str">
        <f t="shared" si="257"/>
        <v>19:27:36.000</v>
      </c>
      <c r="U733" t="str">
        <f t="shared" si="251"/>
        <v>AC3944</v>
      </c>
      <c r="V733">
        <v>0</v>
      </c>
      <c r="W733">
        <v>0</v>
      </c>
      <c r="X733">
        <v>2</v>
      </c>
      <c r="Y733">
        <v>0</v>
      </c>
      <c r="AA733">
        <v>1</v>
      </c>
      <c r="AB733">
        <v>8</v>
      </c>
      <c r="AC733">
        <v>3</v>
      </c>
      <c r="AD733">
        <v>0</v>
      </c>
      <c r="AE733">
        <v>9</v>
      </c>
      <c r="AF733" t="s">
        <v>138</v>
      </c>
      <c r="AG733">
        <v>0</v>
      </c>
      <c r="AH733">
        <v>3</v>
      </c>
      <c r="AI733">
        <v>1</v>
      </c>
      <c r="AJ733">
        <v>0</v>
      </c>
      <c r="AK733" t="s">
        <v>343</v>
      </c>
      <c r="AL733">
        <v>32.816827000000004</v>
      </c>
      <c r="AM733" t="s">
        <v>344</v>
      </c>
      <c r="AN733">
        <v>-116.956115</v>
      </c>
      <c r="AO733">
        <v>25</v>
      </c>
      <c r="AP733">
        <v>1900</v>
      </c>
      <c r="AQ733" t="s">
        <v>129</v>
      </c>
      <c r="AR733">
        <v>125</v>
      </c>
      <c r="AS733">
        <v>-25</v>
      </c>
      <c r="AT733">
        <v>64</v>
      </c>
      <c r="BB733">
        <v>1200</v>
      </c>
      <c r="BC733">
        <v>1</v>
      </c>
      <c r="BD733" t="str">
        <f t="shared" si="252"/>
        <v xml:space="preserve">N887QR  </v>
      </c>
      <c r="BE733">
        <v>1</v>
      </c>
      <c r="BG733">
        <v>0</v>
      </c>
      <c r="BH733">
        <v>0</v>
      </c>
      <c r="BI733">
        <v>0</v>
      </c>
      <c r="BJ733">
        <v>1525</v>
      </c>
      <c r="BK733">
        <v>-375</v>
      </c>
      <c r="BL733" t="s">
        <v>163</v>
      </c>
      <c r="BM733">
        <v>1</v>
      </c>
      <c r="BN733">
        <v>1</v>
      </c>
      <c r="BO733">
        <v>1</v>
      </c>
      <c r="BP733">
        <v>0</v>
      </c>
      <c r="BS733">
        <v>0.04</v>
      </c>
      <c r="BT733">
        <v>0</v>
      </c>
      <c r="BU733">
        <v>0</v>
      </c>
      <c r="CE733" t="str">
        <f t="shared" si="260"/>
        <v>19:27:36.823</v>
      </c>
      <c r="CF733">
        <v>822849590</v>
      </c>
      <c r="CS733">
        <v>3</v>
      </c>
      <c r="CT733">
        <v>2</v>
      </c>
      <c r="CU733">
        <v>0</v>
      </c>
      <c r="CV733">
        <v>2</v>
      </c>
      <c r="CW733">
        <v>0</v>
      </c>
      <c r="CX733">
        <v>4</v>
      </c>
      <c r="CY733">
        <v>7</v>
      </c>
      <c r="CZ733" t="s">
        <v>131</v>
      </c>
      <c r="DA733">
        <v>286</v>
      </c>
      <c r="DB733">
        <v>0</v>
      </c>
      <c r="DC733" t="s">
        <v>132</v>
      </c>
      <c r="DD733" t="s">
        <v>133</v>
      </c>
      <c r="DG733">
        <v>802356</v>
      </c>
      <c r="DI733">
        <v>1</v>
      </c>
      <c r="DJ733">
        <v>0</v>
      </c>
      <c r="DK733">
        <v>1</v>
      </c>
      <c r="DL733">
        <v>0</v>
      </c>
      <c r="DM733">
        <v>0</v>
      </c>
      <c r="DN733">
        <v>1</v>
      </c>
      <c r="DO733">
        <v>0</v>
      </c>
      <c r="DP733">
        <v>0</v>
      </c>
      <c r="DQ733">
        <v>0</v>
      </c>
      <c r="DR733">
        <v>0</v>
      </c>
      <c r="DS733">
        <v>0</v>
      </c>
    </row>
    <row r="734" spans="1:123" x14ac:dyDescent="0.3">
      <c r="A734" t="str">
        <f>"10/04/2022 19:27:37.024"</f>
        <v>10/04/2022 19:27:37.024</v>
      </c>
      <c r="C734" t="str">
        <f t="shared" si="259"/>
        <v>FFDFD3C0</v>
      </c>
      <c r="D734" t="s">
        <v>134</v>
      </c>
      <c r="E734">
        <v>15</v>
      </c>
      <c r="J734" t="s">
        <v>135</v>
      </c>
      <c r="K734">
        <v>0</v>
      </c>
      <c r="L734">
        <v>3</v>
      </c>
      <c r="M734">
        <v>0</v>
      </c>
      <c r="N734">
        <v>2</v>
      </c>
      <c r="O734">
        <v>0</v>
      </c>
      <c r="P734">
        <v>1</v>
      </c>
      <c r="Q734">
        <v>0</v>
      </c>
      <c r="S734" t="str">
        <f t="shared" si="257"/>
        <v>19:27:36.000</v>
      </c>
      <c r="T734" t="str">
        <f t="shared" si="257"/>
        <v>19:27:36.000</v>
      </c>
      <c r="U734" t="str">
        <f t="shared" si="251"/>
        <v>AC3944</v>
      </c>
      <c r="V734">
        <v>0</v>
      </c>
      <c r="W734">
        <v>0</v>
      </c>
      <c r="X734">
        <v>2</v>
      </c>
      <c r="Y734">
        <v>0</v>
      </c>
      <c r="AA734">
        <v>1</v>
      </c>
      <c r="AB734">
        <v>8</v>
      </c>
      <c r="AC734">
        <v>3</v>
      </c>
      <c r="AD734">
        <v>0</v>
      </c>
      <c r="AE734">
        <v>9</v>
      </c>
      <c r="AF734" t="s">
        <v>138</v>
      </c>
      <c r="AG734">
        <v>0</v>
      </c>
      <c r="AH734">
        <v>3</v>
      </c>
      <c r="AI734">
        <v>1</v>
      </c>
      <c r="AJ734">
        <v>0</v>
      </c>
      <c r="AK734" t="s">
        <v>343</v>
      </c>
      <c r="AL734">
        <v>32.816827000000004</v>
      </c>
      <c r="AM734" t="s">
        <v>344</v>
      </c>
      <c r="AN734">
        <v>-116.956115</v>
      </c>
      <c r="AO734">
        <v>25</v>
      </c>
      <c r="AP734">
        <v>1900</v>
      </c>
      <c r="AQ734" t="s">
        <v>129</v>
      </c>
      <c r="AR734">
        <v>125</v>
      </c>
      <c r="AS734">
        <v>-25</v>
      </c>
      <c r="AT734">
        <v>64</v>
      </c>
      <c r="BB734">
        <v>1200</v>
      </c>
      <c r="BC734">
        <v>1</v>
      </c>
      <c r="BD734" t="str">
        <f t="shared" si="252"/>
        <v xml:space="preserve">N887QR  </v>
      </c>
      <c r="BE734">
        <v>1</v>
      </c>
      <c r="BG734">
        <v>0</v>
      </c>
      <c r="BH734">
        <v>0</v>
      </c>
      <c r="BI734">
        <v>0</v>
      </c>
      <c r="BJ734">
        <v>1525</v>
      </c>
      <c r="BK734">
        <v>-375</v>
      </c>
      <c r="BL734" t="s">
        <v>163</v>
      </c>
      <c r="BM734">
        <v>1</v>
      </c>
      <c r="BN734">
        <v>1</v>
      </c>
      <c r="BO734">
        <v>1</v>
      </c>
      <c r="BP734">
        <v>0</v>
      </c>
      <c r="BS734">
        <v>0.04</v>
      </c>
      <c r="BT734">
        <v>0</v>
      </c>
      <c r="BU734">
        <v>0</v>
      </c>
      <c r="CE734" t="str">
        <f t="shared" si="260"/>
        <v>19:27:36.823</v>
      </c>
      <c r="CF734">
        <v>822849590</v>
      </c>
      <c r="CS734">
        <v>3</v>
      </c>
      <c r="CT734">
        <v>2</v>
      </c>
      <c r="CU734">
        <v>0</v>
      </c>
      <c r="CV734">
        <v>2</v>
      </c>
      <c r="CW734">
        <v>0</v>
      </c>
      <c r="CX734">
        <v>4</v>
      </c>
      <c r="CY734">
        <v>7</v>
      </c>
      <c r="CZ734" t="s">
        <v>131</v>
      </c>
      <c r="DA734">
        <v>286</v>
      </c>
      <c r="DB734">
        <v>0</v>
      </c>
      <c r="DC734" t="s">
        <v>132</v>
      </c>
      <c r="DD734" t="s">
        <v>133</v>
      </c>
      <c r="DG734">
        <v>802356</v>
      </c>
      <c r="DI734">
        <v>1</v>
      </c>
      <c r="DJ734">
        <v>0</v>
      </c>
      <c r="DK734">
        <v>1</v>
      </c>
      <c r="DL734">
        <v>0</v>
      </c>
      <c r="DM734">
        <v>0</v>
      </c>
      <c r="DN734">
        <v>1</v>
      </c>
      <c r="DO734">
        <v>0</v>
      </c>
      <c r="DP734">
        <v>0</v>
      </c>
      <c r="DQ734">
        <v>0</v>
      </c>
      <c r="DR734">
        <v>0</v>
      </c>
      <c r="DS734">
        <v>0</v>
      </c>
    </row>
    <row r="735" spans="1:123" x14ac:dyDescent="0.3">
      <c r="A735" t="str">
        <f>"10/04/2022 19:27:37.040"</f>
        <v>10/04/2022 19:27:37.040</v>
      </c>
      <c r="C735" t="str">
        <f t="shared" si="259"/>
        <v>FFDFD3C0</v>
      </c>
      <c r="D735" t="s">
        <v>123</v>
      </c>
      <c r="E735">
        <v>7</v>
      </c>
      <c r="F735">
        <v>2007</v>
      </c>
      <c r="G735" t="s">
        <v>124</v>
      </c>
      <c r="J735" t="s">
        <v>125</v>
      </c>
      <c r="K735">
        <v>0</v>
      </c>
      <c r="L735">
        <v>3</v>
      </c>
      <c r="M735">
        <v>0</v>
      </c>
      <c r="N735">
        <v>2</v>
      </c>
      <c r="O735">
        <v>0</v>
      </c>
      <c r="P735">
        <v>1</v>
      </c>
      <c r="Q735">
        <v>0</v>
      </c>
      <c r="S735" t="str">
        <f t="shared" si="257"/>
        <v>19:27:36.000</v>
      </c>
      <c r="T735" t="str">
        <f t="shared" si="257"/>
        <v>19:27:36.000</v>
      </c>
      <c r="U735" t="str">
        <f t="shared" si="251"/>
        <v>AC3944</v>
      </c>
      <c r="V735">
        <v>0</v>
      </c>
      <c r="W735">
        <v>0</v>
      </c>
      <c r="X735">
        <v>2</v>
      </c>
      <c r="Y735">
        <v>0</v>
      </c>
      <c r="AA735">
        <v>1</v>
      </c>
      <c r="AB735">
        <v>8</v>
      </c>
      <c r="AC735">
        <v>3</v>
      </c>
      <c r="AD735">
        <v>0</v>
      </c>
      <c r="AE735">
        <v>9</v>
      </c>
      <c r="AF735" t="s">
        <v>138</v>
      </c>
      <c r="AG735">
        <v>0</v>
      </c>
      <c r="AH735">
        <v>3</v>
      </c>
      <c r="AI735">
        <v>1</v>
      </c>
      <c r="AJ735">
        <v>0</v>
      </c>
      <c r="AK735" t="s">
        <v>343</v>
      </c>
      <c r="AL735">
        <v>32.816827000000004</v>
      </c>
      <c r="AM735" t="s">
        <v>344</v>
      </c>
      <c r="AN735">
        <v>-116.956115</v>
      </c>
      <c r="AO735">
        <v>25</v>
      </c>
      <c r="AP735">
        <v>1900</v>
      </c>
      <c r="AQ735" t="s">
        <v>129</v>
      </c>
      <c r="AR735">
        <v>125</v>
      </c>
      <c r="AS735">
        <v>-25</v>
      </c>
      <c r="AT735">
        <v>64</v>
      </c>
      <c r="BB735">
        <v>1200</v>
      </c>
      <c r="BC735">
        <v>1</v>
      </c>
      <c r="BD735" t="str">
        <f t="shared" si="252"/>
        <v xml:space="preserve">N887QR  </v>
      </c>
      <c r="BE735">
        <v>1</v>
      </c>
      <c r="BG735">
        <v>0</v>
      </c>
      <c r="BH735">
        <v>0</v>
      </c>
      <c r="BI735">
        <v>0</v>
      </c>
      <c r="BJ735">
        <v>1525</v>
      </c>
      <c r="BK735">
        <v>-375</v>
      </c>
      <c r="BL735" t="s">
        <v>163</v>
      </c>
      <c r="BM735">
        <v>1</v>
      </c>
      <c r="BN735">
        <v>1</v>
      </c>
      <c r="BO735">
        <v>1</v>
      </c>
      <c r="BP735">
        <v>0</v>
      </c>
      <c r="BS735">
        <v>0.04</v>
      </c>
      <c r="BT735">
        <v>0</v>
      </c>
      <c r="BU735">
        <v>0</v>
      </c>
      <c r="CE735" t="str">
        <f t="shared" si="260"/>
        <v>19:27:36.823</v>
      </c>
      <c r="CF735">
        <v>822849590</v>
      </c>
      <c r="CS735">
        <v>3</v>
      </c>
      <c r="CT735">
        <v>2</v>
      </c>
      <c r="CU735">
        <v>0</v>
      </c>
      <c r="CV735">
        <v>2</v>
      </c>
      <c r="CW735">
        <v>0</v>
      </c>
      <c r="CX735">
        <v>4</v>
      </c>
      <c r="CY735">
        <v>7</v>
      </c>
      <c r="CZ735" t="s">
        <v>131</v>
      </c>
      <c r="DA735">
        <v>286</v>
      </c>
      <c r="DB735">
        <v>0</v>
      </c>
      <c r="DC735" t="s">
        <v>132</v>
      </c>
      <c r="DD735" t="s">
        <v>133</v>
      </c>
      <c r="DG735">
        <v>802356</v>
      </c>
      <c r="DI735">
        <v>1</v>
      </c>
      <c r="DJ735">
        <v>0</v>
      </c>
      <c r="DK735">
        <v>1</v>
      </c>
      <c r="DL735">
        <v>0</v>
      </c>
      <c r="DM735">
        <v>0</v>
      </c>
      <c r="DN735">
        <v>1</v>
      </c>
      <c r="DO735">
        <v>0</v>
      </c>
      <c r="DP735">
        <v>0</v>
      </c>
      <c r="DQ735">
        <v>0</v>
      </c>
      <c r="DR735">
        <v>0</v>
      </c>
      <c r="DS735">
        <v>0</v>
      </c>
    </row>
    <row r="736" spans="1:123" x14ac:dyDescent="0.3">
      <c r="A736" t="str">
        <f>"10/04/2022 19:27:37.040"</f>
        <v>10/04/2022 19:27:37.040</v>
      </c>
      <c r="C736" t="str">
        <f t="shared" si="259"/>
        <v>FFDFD3C0</v>
      </c>
      <c r="D736" t="s">
        <v>141</v>
      </c>
      <c r="E736">
        <v>4</v>
      </c>
      <c r="H736">
        <v>4</v>
      </c>
      <c r="I736" t="s">
        <v>142</v>
      </c>
      <c r="J736" t="s">
        <v>138</v>
      </c>
      <c r="K736">
        <v>0</v>
      </c>
      <c r="L736">
        <v>3</v>
      </c>
      <c r="M736">
        <v>0</v>
      </c>
      <c r="N736">
        <v>2</v>
      </c>
      <c r="O736">
        <v>0</v>
      </c>
      <c r="P736">
        <v>1</v>
      </c>
      <c r="Q736">
        <v>0</v>
      </c>
      <c r="S736" t="str">
        <f t="shared" si="257"/>
        <v>19:27:36.000</v>
      </c>
      <c r="T736" t="str">
        <f t="shared" si="257"/>
        <v>19:27:36.000</v>
      </c>
      <c r="U736" t="str">
        <f t="shared" si="251"/>
        <v>AC3944</v>
      </c>
      <c r="V736">
        <v>0</v>
      </c>
      <c r="W736">
        <v>0</v>
      </c>
      <c r="X736">
        <v>2</v>
      </c>
      <c r="Y736">
        <v>0</v>
      </c>
      <c r="AA736">
        <v>1</v>
      </c>
      <c r="AB736">
        <v>8</v>
      </c>
      <c r="AC736">
        <v>3</v>
      </c>
      <c r="AD736">
        <v>0</v>
      </c>
      <c r="AE736">
        <v>9</v>
      </c>
      <c r="AF736" t="s">
        <v>138</v>
      </c>
      <c r="AG736">
        <v>0</v>
      </c>
      <c r="AH736">
        <v>3</v>
      </c>
      <c r="AI736">
        <v>1</v>
      </c>
      <c r="AJ736">
        <v>0</v>
      </c>
      <c r="AK736" t="s">
        <v>343</v>
      </c>
      <c r="AL736">
        <v>32.816827000000004</v>
      </c>
      <c r="AM736" t="s">
        <v>344</v>
      </c>
      <c r="AN736">
        <v>-116.956115</v>
      </c>
      <c r="AO736">
        <v>25</v>
      </c>
      <c r="AP736">
        <v>1900</v>
      </c>
      <c r="AQ736" t="s">
        <v>129</v>
      </c>
      <c r="AR736">
        <v>125</v>
      </c>
      <c r="AS736">
        <v>-25</v>
      </c>
      <c r="AT736">
        <v>64</v>
      </c>
      <c r="BB736">
        <v>1200</v>
      </c>
      <c r="BC736">
        <v>1</v>
      </c>
      <c r="BD736" t="str">
        <f t="shared" si="252"/>
        <v xml:space="preserve">N887QR  </v>
      </c>
      <c r="BE736">
        <v>1</v>
      </c>
      <c r="BG736">
        <v>0</v>
      </c>
      <c r="BH736">
        <v>0</v>
      </c>
      <c r="BI736">
        <v>0</v>
      </c>
      <c r="BJ736">
        <v>1525</v>
      </c>
      <c r="BK736">
        <v>-375</v>
      </c>
      <c r="BL736" t="s">
        <v>163</v>
      </c>
      <c r="BM736">
        <v>1</v>
      </c>
      <c r="BN736">
        <v>1</v>
      </c>
      <c r="BO736">
        <v>1</v>
      </c>
      <c r="BP736">
        <v>0</v>
      </c>
      <c r="BS736">
        <v>0.04</v>
      </c>
      <c r="BT736">
        <v>0</v>
      </c>
      <c r="BU736">
        <v>0</v>
      </c>
      <c r="CE736" t="str">
        <f t="shared" si="260"/>
        <v>19:27:36.823</v>
      </c>
      <c r="CF736">
        <v>822849590</v>
      </c>
      <c r="CS736">
        <v>3</v>
      </c>
      <c r="CT736">
        <v>2</v>
      </c>
      <c r="CU736">
        <v>0</v>
      </c>
      <c r="CV736">
        <v>2</v>
      </c>
      <c r="CW736">
        <v>0</v>
      </c>
      <c r="CX736">
        <v>4</v>
      </c>
      <c r="CY736">
        <v>7</v>
      </c>
      <c r="CZ736" t="s">
        <v>131</v>
      </c>
      <c r="DA736">
        <v>286</v>
      </c>
      <c r="DB736">
        <v>0</v>
      </c>
      <c r="DC736" t="s">
        <v>132</v>
      </c>
      <c r="DD736" t="s">
        <v>133</v>
      </c>
      <c r="DG736">
        <v>802356</v>
      </c>
      <c r="DI736">
        <v>1</v>
      </c>
      <c r="DJ736">
        <v>0</v>
      </c>
      <c r="DK736">
        <v>1</v>
      </c>
      <c r="DL736">
        <v>0</v>
      </c>
      <c r="DM736">
        <v>0</v>
      </c>
      <c r="DN736">
        <v>1</v>
      </c>
      <c r="DO736">
        <v>0</v>
      </c>
      <c r="DP736">
        <v>0</v>
      </c>
      <c r="DQ736">
        <v>0</v>
      </c>
      <c r="DR736">
        <v>0</v>
      </c>
      <c r="DS736">
        <v>0</v>
      </c>
    </row>
    <row r="737" spans="1:123" x14ac:dyDescent="0.3">
      <c r="A737" t="str">
        <f>"10/04/2022 19:27:37.056"</f>
        <v>10/04/2022 19:27:37.056</v>
      </c>
      <c r="C737" t="str">
        <f t="shared" si="259"/>
        <v>FFDFD3C0</v>
      </c>
      <c r="D737" t="s">
        <v>147</v>
      </c>
      <c r="E737">
        <v>3</v>
      </c>
      <c r="H737">
        <v>166</v>
      </c>
      <c r="I737" t="s">
        <v>144</v>
      </c>
      <c r="J737" t="s">
        <v>148</v>
      </c>
      <c r="K737">
        <v>0</v>
      </c>
      <c r="L737">
        <v>3</v>
      </c>
      <c r="M737">
        <v>0</v>
      </c>
      <c r="N737">
        <v>2</v>
      </c>
      <c r="O737">
        <v>0</v>
      </c>
      <c r="P737">
        <v>1</v>
      </c>
      <c r="Q737">
        <v>0</v>
      </c>
      <c r="S737" t="str">
        <f t="shared" si="257"/>
        <v>19:27:36.000</v>
      </c>
      <c r="T737" t="str">
        <f t="shared" si="257"/>
        <v>19:27:36.000</v>
      </c>
      <c r="U737" t="str">
        <f t="shared" si="251"/>
        <v>AC3944</v>
      </c>
      <c r="V737">
        <v>0</v>
      </c>
      <c r="W737">
        <v>0</v>
      </c>
      <c r="X737">
        <v>2</v>
      </c>
      <c r="Y737">
        <v>0</v>
      </c>
      <c r="AA737">
        <v>1</v>
      </c>
      <c r="AB737">
        <v>8</v>
      </c>
      <c r="AC737">
        <v>3</v>
      </c>
      <c r="AD737">
        <v>0</v>
      </c>
      <c r="AE737">
        <v>9</v>
      </c>
      <c r="AF737" t="s">
        <v>138</v>
      </c>
      <c r="AG737">
        <v>0</v>
      </c>
      <c r="AH737">
        <v>3</v>
      </c>
      <c r="AI737">
        <v>1</v>
      </c>
      <c r="AJ737">
        <v>0</v>
      </c>
      <c r="AK737" t="s">
        <v>343</v>
      </c>
      <c r="AL737">
        <v>32.816827000000004</v>
      </c>
      <c r="AM737" t="s">
        <v>344</v>
      </c>
      <c r="AN737">
        <v>-116.956115</v>
      </c>
      <c r="AO737">
        <v>25</v>
      </c>
      <c r="AP737">
        <v>1900</v>
      </c>
      <c r="AQ737" t="s">
        <v>129</v>
      </c>
      <c r="AR737">
        <v>125</v>
      </c>
      <c r="AS737">
        <v>-25</v>
      </c>
      <c r="AT737">
        <v>64</v>
      </c>
      <c r="BB737">
        <v>1200</v>
      </c>
      <c r="BC737">
        <v>1</v>
      </c>
      <c r="BD737" t="str">
        <f t="shared" si="252"/>
        <v xml:space="preserve">N887QR  </v>
      </c>
      <c r="BE737">
        <v>1</v>
      </c>
      <c r="BG737">
        <v>0</v>
      </c>
      <c r="BH737">
        <v>0</v>
      </c>
      <c r="BI737">
        <v>0</v>
      </c>
      <c r="BJ737">
        <v>1525</v>
      </c>
      <c r="BK737">
        <v>-375</v>
      </c>
      <c r="BL737" t="s">
        <v>163</v>
      </c>
      <c r="BM737">
        <v>1</v>
      </c>
      <c r="BN737">
        <v>1</v>
      </c>
      <c r="BO737">
        <v>1</v>
      </c>
      <c r="BP737">
        <v>0</v>
      </c>
      <c r="BS737">
        <v>0.04</v>
      </c>
      <c r="BT737">
        <v>0</v>
      </c>
      <c r="BU737">
        <v>0</v>
      </c>
      <c r="CE737" t="str">
        <f t="shared" si="260"/>
        <v>19:27:36.823</v>
      </c>
      <c r="CF737">
        <v>822849590</v>
      </c>
      <c r="CS737">
        <v>3</v>
      </c>
      <c r="CT737">
        <v>2</v>
      </c>
      <c r="CU737">
        <v>0</v>
      </c>
      <c r="CV737">
        <v>2</v>
      </c>
      <c r="CW737">
        <v>0</v>
      </c>
      <c r="CX737">
        <v>4</v>
      </c>
      <c r="CY737">
        <v>7</v>
      </c>
      <c r="CZ737" t="s">
        <v>131</v>
      </c>
      <c r="DA737">
        <v>286</v>
      </c>
      <c r="DB737">
        <v>0</v>
      </c>
      <c r="DC737" t="s">
        <v>132</v>
      </c>
      <c r="DD737" t="s">
        <v>133</v>
      </c>
      <c r="DG737">
        <v>802356</v>
      </c>
      <c r="DI737">
        <v>1</v>
      </c>
      <c r="DJ737">
        <v>0</v>
      </c>
      <c r="DK737">
        <v>1</v>
      </c>
      <c r="DL737">
        <v>0</v>
      </c>
      <c r="DM737">
        <v>0</v>
      </c>
      <c r="DN737">
        <v>1</v>
      </c>
      <c r="DO737">
        <v>0</v>
      </c>
      <c r="DP737">
        <v>0</v>
      </c>
      <c r="DQ737">
        <v>0</v>
      </c>
      <c r="DR737">
        <v>0</v>
      </c>
      <c r="DS737">
        <v>0</v>
      </c>
    </row>
    <row r="738" spans="1:123" x14ac:dyDescent="0.3">
      <c r="A738" t="str">
        <f t="shared" ref="A738:A743" si="261">"10/04/2022 19:27:38.134"</f>
        <v>10/04/2022 19:27:38.134</v>
      </c>
      <c r="C738" t="str">
        <f t="shared" si="259"/>
        <v>FFDFD3C0</v>
      </c>
      <c r="D738" t="s">
        <v>147</v>
      </c>
      <c r="E738">
        <v>3</v>
      </c>
      <c r="H738">
        <v>166</v>
      </c>
      <c r="I738" t="s">
        <v>144</v>
      </c>
      <c r="J738" t="s">
        <v>148</v>
      </c>
      <c r="K738">
        <v>0</v>
      </c>
      <c r="L738">
        <v>3</v>
      </c>
      <c r="M738">
        <v>0</v>
      </c>
      <c r="N738">
        <v>2</v>
      </c>
      <c r="O738">
        <v>0</v>
      </c>
      <c r="P738">
        <v>1</v>
      </c>
      <c r="Q738">
        <v>0</v>
      </c>
      <c r="S738" t="str">
        <f t="shared" ref="S738:T744" si="262">"19:27:37.000"</f>
        <v>19:27:37.000</v>
      </c>
      <c r="T738" t="str">
        <f t="shared" si="262"/>
        <v>19:27:37.000</v>
      </c>
      <c r="U738" t="str">
        <f t="shared" si="251"/>
        <v>AC3944</v>
      </c>
      <c r="V738">
        <v>0</v>
      </c>
      <c r="W738">
        <v>0</v>
      </c>
      <c r="X738">
        <v>2</v>
      </c>
      <c r="Y738">
        <v>0</v>
      </c>
      <c r="AA738">
        <v>1</v>
      </c>
      <c r="AB738">
        <v>8</v>
      </c>
      <c r="AC738">
        <v>3</v>
      </c>
      <c r="AD738">
        <v>0</v>
      </c>
      <c r="AE738">
        <v>9</v>
      </c>
      <c r="AF738" t="s">
        <v>138</v>
      </c>
      <c r="AG738">
        <v>0</v>
      </c>
      <c r="AH738">
        <v>3</v>
      </c>
      <c r="AI738">
        <v>1</v>
      </c>
      <c r="AJ738">
        <v>0</v>
      </c>
      <c r="AK738" t="s">
        <v>345</v>
      </c>
      <c r="AL738">
        <v>32.816699</v>
      </c>
      <c r="AM738" t="s">
        <v>346</v>
      </c>
      <c r="AN738">
        <v>-116.95540699999999</v>
      </c>
      <c r="AO738">
        <v>25</v>
      </c>
      <c r="AP738">
        <v>1800</v>
      </c>
      <c r="AQ738" t="s">
        <v>129</v>
      </c>
      <c r="AR738">
        <v>125</v>
      </c>
      <c r="AS738">
        <v>-26</v>
      </c>
      <c r="AT738">
        <v>64</v>
      </c>
      <c r="BB738">
        <v>1200</v>
      </c>
      <c r="BC738">
        <v>1</v>
      </c>
      <c r="BD738" t="str">
        <f t="shared" si="252"/>
        <v xml:space="preserve">N887QR  </v>
      </c>
      <c r="BE738">
        <v>1</v>
      </c>
      <c r="BG738">
        <v>0</v>
      </c>
      <c r="BH738">
        <v>0</v>
      </c>
      <c r="BI738">
        <v>0</v>
      </c>
      <c r="BJ738">
        <v>1525</v>
      </c>
      <c r="BK738">
        <v>-275</v>
      </c>
      <c r="BL738" t="s">
        <v>163</v>
      </c>
      <c r="BM738">
        <v>1</v>
      </c>
      <c r="BN738">
        <v>1</v>
      </c>
      <c r="BO738">
        <v>1</v>
      </c>
      <c r="BP738">
        <v>0</v>
      </c>
      <c r="BS738">
        <v>0.04</v>
      </c>
      <c r="BT738">
        <v>0</v>
      </c>
      <c r="BU738">
        <v>0</v>
      </c>
      <c r="CE738" t="str">
        <f t="shared" ref="CE738:CE744" si="263">"19:27:37.938"</f>
        <v>19:27:37.938</v>
      </c>
      <c r="CF738">
        <v>937585013</v>
      </c>
      <c r="CS738">
        <v>3</v>
      </c>
      <c r="CT738">
        <v>2</v>
      </c>
      <c r="CU738">
        <v>0</v>
      </c>
      <c r="CV738">
        <v>2</v>
      </c>
      <c r="CW738">
        <v>0</v>
      </c>
      <c r="CX738">
        <v>6</v>
      </c>
      <c r="CY738">
        <v>7</v>
      </c>
      <c r="CZ738" t="s">
        <v>131</v>
      </c>
      <c r="DA738">
        <v>300</v>
      </c>
      <c r="DB738">
        <v>0</v>
      </c>
      <c r="DC738" t="s">
        <v>176</v>
      </c>
      <c r="DD738" t="s">
        <v>177</v>
      </c>
      <c r="DG738">
        <v>5370223</v>
      </c>
      <c r="DI738">
        <v>1</v>
      </c>
      <c r="DJ738">
        <v>0</v>
      </c>
      <c r="DK738">
        <v>0</v>
      </c>
      <c r="DL738">
        <v>0</v>
      </c>
      <c r="DM738">
        <v>0</v>
      </c>
      <c r="DN738">
        <v>1</v>
      </c>
      <c r="DO738">
        <v>0</v>
      </c>
      <c r="DP738">
        <v>0</v>
      </c>
      <c r="DQ738">
        <v>0</v>
      </c>
      <c r="DR738">
        <v>0</v>
      </c>
      <c r="DS738">
        <v>0</v>
      </c>
    </row>
    <row r="739" spans="1:123" x14ac:dyDescent="0.3">
      <c r="A739" t="str">
        <f t="shared" si="261"/>
        <v>10/04/2022 19:27:38.134</v>
      </c>
      <c r="C739" t="str">
        <f t="shared" si="259"/>
        <v>FFDFD3C0</v>
      </c>
      <c r="D739" t="s">
        <v>136</v>
      </c>
      <c r="E739">
        <v>8</v>
      </c>
      <c r="H739">
        <v>225</v>
      </c>
      <c r="I739" t="s">
        <v>137</v>
      </c>
      <c r="J739" t="s">
        <v>138</v>
      </c>
      <c r="K739">
        <v>0</v>
      </c>
      <c r="L739">
        <v>3</v>
      </c>
      <c r="M739">
        <v>0</v>
      </c>
      <c r="N739">
        <v>2</v>
      </c>
      <c r="O739">
        <v>0</v>
      </c>
      <c r="P739">
        <v>1</v>
      </c>
      <c r="Q739">
        <v>0</v>
      </c>
      <c r="S739" t="str">
        <f t="shared" si="262"/>
        <v>19:27:37.000</v>
      </c>
      <c r="T739" t="str">
        <f t="shared" si="262"/>
        <v>19:27:37.000</v>
      </c>
      <c r="U739" t="str">
        <f t="shared" si="251"/>
        <v>AC3944</v>
      </c>
      <c r="V739">
        <v>0</v>
      </c>
      <c r="W739">
        <v>0</v>
      </c>
      <c r="X739">
        <v>2</v>
      </c>
      <c r="Y739">
        <v>0</v>
      </c>
      <c r="AA739">
        <v>1</v>
      </c>
      <c r="AB739">
        <v>8</v>
      </c>
      <c r="AC739">
        <v>3</v>
      </c>
      <c r="AD739">
        <v>0</v>
      </c>
      <c r="AE739">
        <v>9</v>
      </c>
      <c r="AF739" t="s">
        <v>138</v>
      </c>
      <c r="AG739">
        <v>0</v>
      </c>
      <c r="AH739">
        <v>3</v>
      </c>
      <c r="AI739">
        <v>1</v>
      </c>
      <c r="AJ739">
        <v>0</v>
      </c>
      <c r="AK739" t="s">
        <v>345</v>
      </c>
      <c r="AL739">
        <v>32.816699</v>
      </c>
      <c r="AM739" t="s">
        <v>346</v>
      </c>
      <c r="AN739">
        <v>-116.95540699999999</v>
      </c>
      <c r="AO739">
        <v>25</v>
      </c>
      <c r="AP739">
        <v>1800</v>
      </c>
      <c r="AQ739" t="s">
        <v>129</v>
      </c>
      <c r="AR739">
        <v>125</v>
      </c>
      <c r="AS739">
        <v>-26</v>
      </c>
      <c r="AT739">
        <v>64</v>
      </c>
      <c r="BB739">
        <v>1200</v>
      </c>
      <c r="BC739">
        <v>1</v>
      </c>
      <c r="BD739" t="str">
        <f t="shared" si="252"/>
        <v xml:space="preserve">N887QR  </v>
      </c>
      <c r="BE739">
        <v>1</v>
      </c>
      <c r="BG739">
        <v>0</v>
      </c>
      <c r="BH739">
        <v>0</v>
      </c>
      <c r="BI739">
        <v>0</v>
      </c>
      <c r="BJ739">
        <v>1525</v>
      </c>
      <c r="BK739">
        <v>-275</v>
      </c>
      <c r="BL739" t="s">
        <v>163</v>
      </c>
      <c r="BM739">
        <v>1</v>
      </c>
      <c r="BN739">
        <v>1</v>
      </c>
      <c r="BO739">
        <v>1</v>
      </c>
      <c r="BP739">
        <v>0</v>
      </c>
      <c r="BS739">
        <v>0.04</v>
      </c>
      <c r="BT739">
        <v>0</v>
      </c>
      <c r="BU739">
        <v>0</v>
      </c>
      <c r="CE739" t="str">
        <f t="shared" si="263"/>
        <v>19:27:37.938</v>
      </c>
      <c r="CF739">
        <v>937585013</v>
      </c>
      <c r="CS739">
        <v>3</v>
      </c>
      <c r="CT739">
        <v>2</v>
      </c>
      <c r="CU739">
        <v>0</v>
      </c>
      <c r="CV739">
        <v>2</v>
      </c>
      <c r="CW739">
        <v>0</v>
      </c>
      <c r="CX739">
        <v>6</v>
      </c>
      <c r="CY739">
        <v>7</v>
      </c>
      <c r="CZ739" t="s">
        <v>131</v>
      </c>
      <c r="DA739">
        <v>300</v>
      </c>
      <c r="DB739">
        <v>0</v>
      </c>
      <c r="DC739" t="s">
        <v>176</v>
      </c>
      <c r="DD739" t="s">
        <v>177</v>
      </c>
      <c r="DG739">
        <v>5370223</v>
      </c>
      <c r="DI739">
        <v>1</v>
      </c>
      <c r="DJ739">
        <v>0</v>
      </c>
      <c r="DK739">
        <v>1</v>
      </c>
      <c r="DL739">
        <v>0</v>
      </c>
      <c r="DM739">
        <v>0</v>
      </c>
      <c r="DN739">
        <v>1</v>
      </c>
      <c r="DO739">
        <v>0</v>
      </c>
      <c r="DP739">
        <v>0</v>
      </c>
      <c r="DQ739">
        <v>0</v>
      </c>
      <c r="DR739">
        <v>0</v>
      </c>
      <c r="DS739">
        <v>0</v>
      </c>
    </row>
    <row r="740" spans="1:123" x14ac:dyDescent="0.3">
      <c r="A740" t="str">
        <f t="shared" si="261"/>
        <v>10/04/2022 19:27:38.134</v>
      </c>
      <c r="C740" t="str">
        <f t="shared" si="259"/>
        <v>FFDFD3C0</v>
      </c>
      <c r="D740" t="s">
        <v>143</v>
      </c>
      <c r="E740">
        <v>20</v>
      </c>
      <c r="F740">
        <v>1020</v>
      </c>
      <c r="G740" t="s">
        <v>144</v>
      </c>
      <c r="J740" t="s">
        <v>145</v>
      </c>
      <c r="K740">
        <v>0</v>
      </c>
      <c r="L740">
        <v>3</v>
      </c>
      <c r="M740">
        <v>0</v>
      </c>
      <c r="N740">
        <v>2</v>
      </c>
      <c r="O740">
        <v>0</v>
      </c>
      <c r="P740">
        <v>1</v>
      </c>
      <c r="Q740">
        <v>0</v>
      </c>
      <c r="S740" t="str">
        <f t="shared" si="262"/>
        <v>19:27:37.000</v>
      </c>
      <c r="T740" t="str">
        <f t="shared" si="262"/>
        <v>19:27:37.000</v>
      </c>
      <c r="U740" t="str">
        <f t="shared" si="251"/>
        <v>AC3944</v>
      </c>
      <c r="V740">
        <v>0</v>
      </c>
      <c r="W740">
        <v>0</v>
      </c>
      <c r="X740">
        <v>2</v>
      </c>
      <c r="Y740">
        <v>0</v>
      </c>
      <c r="AA740">
        <v>1</v>
      </c>
      <c r="AB740">
        <v>8</v>
      </c>
      <c r="AC740">
        <v>3</v>
      </c>
      <c r="AD740">
        <v>0</v>
      </c>
      <c r="AE740">
        <v>9</v>
      </c>
      <c r="AF740" t="s">
        <v>138</v>
      </c>
      <c r="AG740">
        <v>0</v>
      </c>
      <c r="AH740">
        <v>3</v>
      </c>
      <c r="AI740">
        <v>1</v>
      </c>
      <c r="AJ740">
        <v>0</v>
      </c>
      <c r="AK740" t="s">
        <v>345</v>
      </c>
      <c r="AL740">
        <v>32.816699</v>
      </c>
      <c r="AM740" t="s">
        <v>346</v>
      </c>
      <c r="AN740">
        <v>-116.95540699999999</v>
      </c>
      <c r="AO740">
        <v>25</v>
      </c>
      <c r="AP740">
        <v>1800</v>
      </c>
      <c r="AQ740" t="s">
        <v>129</v>
      </c>
      <c r="AR740">
        <v>125</v>
      </c>
      <c r="AS740">
        <v>-26</v>
      </c>
      <c r="AT740">
        <v>64</v>
      </c>
      <c r="BB740">
        <v>1200</v>
      </c>
      <c r="BC740">
        <v>1</v>
      </c>
      <c r="BD740" t="str">
        <f t="shared" si="252"/>
        <v xml:space="preserve">N887QR  </v>
      </c>
      <c r="BE740">
        <v>1</v>
      </c>
      <c r="BG740">
        <v>0</v>
      </c>
      <c r="BH740">
        <v>0</v>
      </c>
      <c r="BI740">
        <v>0</v>
      </c>
      <c r="BJ740">
        <v>1525</v>
      </c>
      <c r="BK740">
        <v>-275</v>
      </c>
      <c r="BL740" t="s">
        <v>163</v>
      </c>
      <c r="BM740">
        <v>1</v>
      </c>
      <c r="BN740">
        <v>1</v>
      </c>
      <c r="BO740">
        <v>1</v>
      </c>
      <c r="BP740">
        <v>0</v>
      </c>
      <c r="BS740">
        <v>0.04</v>
      </c>
      <c r="BT740">
        <v>0</v>
      </c>
      <c r="BU740">
        <v>0</v>
      </c>
      <c r="CE740" t="str">
        <f t="shared" si="263"/>
        <v>19:27:37.938</v>
      </c>
      <c r="CF740">
        <v>937585013</v>
      </c>
      <c r="CS740">
        <v>3</v>
      </c>
      <c r="CT740">
        <v>2</v>
      </c>
      <c r="CU740">
        <v>0</v>
      </c>
      <c r="CV740">
        <v>2</v>
      </c>
      <c r="CW740">
        <v>0</v>
      </c>
      <c r="CX740">
        <v>6</v>
      </c>
      <c r="CY740">
        <v>7</v>
      </c>
      <c r="CZ740" t="s">
        <v>131</v>
      </c>
      <c r="DA740">
        <v>300</v>
      </c>
      <c r="DB740">
        <v>0</v>
      </c>
      <c r="DC740" t="s">
        <v>176</v>
      </c>
      <c r="DD740" t="s">
        <v>177</v>
      </c>
      <c r="DG740">
        <v>5370223</v>
      </c>
      <c r="DI740">
        <v>1</v>
      </c>
      <c r="DJ740">
        <v>0</v>
      </c>
      <c r="DK740">
        <v>1</v>
      </c>
      <c r="DL740">
        <v>0</v>
      </c>
      <c r="DM740">
        <v>0</v>
      </c>
      <c r="DN740">
        <v>1</v>
      </c>
      <c r="DO740">
        <v>0</v>
      </c>
      <c r="DP740">
        <v>0</v>
      </c>
      <c r="DQ740">
        <v>0</v>
      </c>
      <c r="DR740">
        <v>0</v>
      </c>
      <c r="DS740">
        <v>0</v>
      </c>
    </row>
    <row r="741" spans="1:123" x14ac:dyDescent="0.3">
      <c r="A741" t="str">
        <f t="shared" si="261"/>
        <v>10/04/2022 19:27:38.134</v>
      </c>
      <c r="C741" t="str">
        <f t="shared" si="259"/>
        <v>FFDFD3C0</v>
      </c>
      <c r="D741" t="s">
        <v>141</v>
      </c>
      <c r="E741">
        <v>3</v>
      </c>
      <c r="H741">
        <v>3</v>
      </c>
      <c r="I741" t="s">
        <v>146</v>
      </c>
      <c r="J741" t="s">
        <v>138</v>
      </c>
      <c r="K741">
        <v>0</v>
      </c>
      <c r="L741">
        <v>3</v>
      </c>
      <c r="M741">
        <v>0</v>
      </c>
      <c r="N741">
        <v>2</v>
      </c>
      <c r="O741">
        <v>0</v>
      </c>
      <c r="P741">
        <v>1</v>
      </c>
      <c r="Q741">
        <v>0</v>
      </c>
      <c r="S741" t="str">
        <f t="shared" si="262"/>
        <v>19:27:37.000</v>
      </c>
      <c r="T741" t="str">
        <f t="shared" si="262"/>
        <v>19:27:37.000</v>
      </c>
      <c r="U741" t="str">
        <f t="shared" si="251"/>
        <v>AC3944</v>
      </c>
      <c r="V741">
        <v>0</v>
      </c>
      <c r="W741">
        <v>0</v>
      </c>
      <c r="X741">
        <v>2</v>
      </c>
      <c r="Y741">
        <v>0</v>
      </c>
      <c r="AA741">
        <v>1</v>
      </c>
      <c r="AB741">
        <v>8</v>
      </c>
      <c r="AC741">
        <v>3</v>
      </c>
      <c r="AD741">
        <v>0</v>
      </c>
      <c r="AE741">
        <v>9</v>
      </c>
      <c r="AF741" t="s">
        <v>138</v>
      </c>
      <c r="AG741">
        <v>0</v>
      </c>
      <c r="AH741">
        <v>3</v>
      </c>
      <c r="AI741">
        <v>1</v>
      </c>
      <c r="AJ741">
        <v>0</v>
      </c>
      <c r="AK741" t="s">
        <v>345</v>
      </c>
      <c r="AL741">
        <v>32.816699</v>
      </c>
      <c r="AM741" t="s">
        <v>346</v>
      </c>
      <c r="AN741">
        <v>-116.95540699999999</v>
      </c>
      <c r="AO741">
        <v>25</v>
      </c>
      <c r="AP741">
        <v>1800</v>
      </c>
      <c r="AQ741" t="s">
        <v>129</v>
      </c>
      <c r="AR741">
        <v>125</v>
      </c>
      <c r="AS741">
        <v>-26</v>
      </c>
      <c r="AT741">
        <v>64</v>
      </c>
      <c r="BB741">
        <v>1200</v>
      </c>
      <c r="BC741">
        <v>1</v>
      </c>
      <c r="BD741" t="str">
        <f t="shared" si="252"/>
        <v xml:space="preserve">N887QR  </v>
      </c>
      <c r="BE741">
        <v>1</v>
      </c>
      <c r="BG741">
        <v>0</v>
      </c>
      <c r="BH741">
        <v>0</v>
      </c>
      <c r="BI741">
        <v>0</v>
      </c>
      <c r="BJ741">
        <v>1525</v>
      </c>
      <c r="BK741">
        <v>-275</v>
      </c>
      <c r="BL741" t="s">
        <v>163</v>
      </c>
      <c r="BM741">
        <v>1</v>
      </c>
      <c r="BN741">
        <v>1</v>
      </c>
      <c r="BO741">
        <v>1</v>
      </c>
      <c r="BP741">
        <v>0</v>
      </c>
      <c r="BS741">
        <v>0.04</v>
      </c>
      <c r="BT741">
        <v>0</v>
      </c>
      <c r="BU741">
        <v>0</v>
      </c>
      <c r="CE741" t="str">
        <f t="shared" si="263"/>
        <v>19:27:37.938</v>
      </c>
      <c r="CF741">
        <v>937585013</v>
      </c>
      <c r="CS741">
        <v>3</v>
      </c>
      <c r="CT741">
        <v>2</v>
      </c>
      <c r="CU741">
        <v>0</v>
      </c>
      <c r="CV741">
        <v>2</v>
      </c>
      <c r="CW741">
        <v>0</v>
      </c>
      <c r="CX741">
        <v>6</v>
      </c>
      <c r="CY741">
        <v>7</v>
      </c>
      <c r="CZ741" t="s">
        <v>131</v>
      </c>
      <c r="DA741">
        <v>300</v>
      </c>
      <c r="DB741">
        <v>0</v>
      </c>
      <c r="DC741" t="s">
        <v>176</v>
      </c>
      <c r="DD741" t="s">
        <v>177</v>
      </c>
      <c r="DG741">
        <v>5370223</v>
      </c>
      <c r="DI741">
        <v>1</v>
      </c>
      <c r="DJ741">
        <v>0</v>
      </c>
      <c r="DK741">
        <v>1</v>
      </c>
      <c r="DL741">
        <v>0</v>
      </c>
      <c r="DM741">
        <v>0</v>
      </c>
      <c r="DN741">
        <v>1</v>
      </c>
      <c r="DO741">
        <v>0</v>
      </c>
      <c r="DP741">
        <v>0</v>
      </c>
      <c r="DQ741">
        <v>0</v>
      </c>
      <c r="DR741">
        <v>0</v>
      </c>
      <c r="DS741">
        <v>0</v>
      </c>
    </row>
    <row r="742" spans="1:123" x14ac:dyDescent="0.3">
      <c r="A742" t="str">
        <f t="shared" si="261"/>
        <v>10/04/2022 19:27:38.134</v>
      </c>
      <c r="C742" t="str">
        <f t="shared" si="259"/>
        <v>FFDFD3C0</v>
      </c>
      <c r="D742" t="s">
        <v>123</v>
      </c>
      <c r="E742">
        <v>7</v>
      </c>
      <c r="F742">
        <v>2007</v>
      </c>
      <c r="G742" t="s">
        <v>124</v>
      </c>
      <c r="J742" t="s">
        <v>125</v>
      </c>
      <c r="K742">
        <v>0</v>
      </c>
      <c r="L742">
        <v>3</v>
      </c>
      <c r="M742">
        <v>0</v>
      </c>
      <c r="N742">
        <v>2</v>
      </c>
      <c r="O742">
        <v>0</v>
      </c>
      <c r="P742">
        <v>1</v>
      </c>
      <c r="Q742">
        <v>0</v>
      </c>
      <c r="S742" t="str">
        <f t="shared" si="262"/>
        <v>19:27:37.000</v>
      </c>
      <c r="T742" t="str">
        <f t="shared" si="262"/>
        <v>19:27:37.000</v>
      </c>
      <c r="U742" t="str">
        <f t="shared" si="251"/>
        <v>AC3944</v>
      </c>
      <c r="V742">
        <v>0</v>
      </c>
      <c r="W742">
        <v>0</v>
      </c>
      <c r="X742">
        <v>2</v>
      </c>
      <c r="Y742">
        <v>0</v>
      </c>
      <c r="AA742">
        <v>1</v>
      </c>
      <c r="AB742">
        <v>8</v>
      </c>
      <c r="AC742">
        <v>3</v>
      </c>
      <c r="AD742">
        <v>0</v>
      </c>
      <c r="AE742">
        <v>9</v>
      </c>
      <c r="AF742" t="s">
        <v>138</v>
      </c>
      <c r="AG742">
        <v>0</v>
      </c>
      <c r="AH742">
        <v>3</v>
      </c>
      <c r="AI742">
        <v>1</v>
      </c>
      <c r="AJ742">
        <v>0</v>
      </c>
      <c r="AK742" t="s">
        <v>345</v>
      </c>
      <c r="AL742">
        <v>32.816699</v>
      </c>
      <c r="AM742" t="s">
        <v>346</v>
      </c>
      <c r="AN742">
        <v>-116.95540699999999</v>
      </c>
      <c r="AO742">
        <v>25</v>
      </c>
      <c r="AP742">
        <v>1800</v>
      </c>
      <c r="AQ742" t="s">
        <v>129</v>
      </c>
      <c r="AR742">
        <v>125</v>
      </c>
      <c r="AS742">
        <v>-26</v>
      </c>
      <c r="AT742">
        <v>64</v>
      </c>
      <c r="BB742">
        <v>1200</v>
      </c>
      <c r="BC742">
        <v>1</v>
      </c>
      <c r="BD742" t="str">
        <f t="shared" si="252"/>
        <v xml:space="preserve">N887QR  </v>
      </c>
      <c r="BE742">
        <v>1</v>
      </c>
      <c r="BG742">
        <v>0</v>
      </c>
      <c r="BH742">
        <v>0</v>
      </c>
      <c r="BI742">
        <v>0</v>
      </c>
      <c r="BJ742">
        <v>1525</v>
      </c>
      <c r="BK742">
        <v>-275</v>
      </c>
      <c r="BL742" t="s">
        <v>163</v>
      </c>
      <c r="BM742">
        <v>1</v>
      </c>
      <c r="BN742">
        <v>1</v>
      </c>
      <c r="BO742">
        <v>1</v>
      </c>
      <c r="BP742">
        <v>0</v>
      </c>
      <c r="BS742">
        <v>0.04</v>
      </c>
      <c r="BT742">
        <v>0</v>
      </c>
      <c r="BU742">
        <v>0</v>
      </c>
      <c r="CE742" t="str">
        <f t="shared" si="263"/>
        <v>19:27:37.938</v>
      </c>
      <c r="CF742">
        <v>937585013</v>
      </c>
      <c r="CS742">
        <v>3</v>
      </c>
      <c r="CT742">
        <v>2</v>
      </c>
      <c r="CU742">
        <v>0</v>
      </c>
      <c r="CV742">
        <v>2</v>
      </c>
      <c r="CW742">
        <v>0</v>
      </c>
      <c r="CX742">
        <v>6</v>
      </c>
      <c r="CY742">
        <v>7</v>
      </c>
      <c r="CZ742" t="s">
        <v>131</v>
      </c>
      <c r="DA742">
        <v>300</v>
      </c>
      <c r="DB742">
        <v>0</v>
      </c>
      <c r="DC742" t="s">
        <v>176</v>
      </c>
      <c r="DD742" t="s">
        <v>177</v>
      </c>
      <c r="DG742">
        <v>5370223</v>
      </c>
      <c r="DI742">
        <v>1</v>
      </c>
      <c r="DJ742">
        <v>0</v>
      </c>
      <c r="DK742">
        <v>1</v>
      </c>
      <c r="DL742">
        <v>0</v>
      </c>
      <c r="DM742">
        <v>0</v>
      </c>
      <c r="DN742">
        <v>1</v>
      </c>
      <c r="DO742">
        <v>0</v>
      </c>
      <c r="DP742">
        <v>0</v>
      </c>
      <c r="DQ742">
        <v>0</v>
      </c>
      <c r="DR742">
        <v>0</v>
      </c>
      <c r="DS742">
        <v>0</v>
      </c>
    </row>
    <row r="743" spans="1:123" x14ac:dyDescent="0.3">
      <c r="A743" t="str">
        <f t="shared" si="261"/>
        <v>10/04/2022 19:27:38.134</v>
      </c>
      <c r="C743" t="str">
        <f t="shared" si="259"/>
        <v>FFDFD3C0</v>
      </c>
      <c r="D743" t="s">
        <v>134</v>
      </c>
      <c r="E743">
        <v>15</v>
      </c>
      <c r="J743" t="s">
        <v>135</v>
      </c>
      <c r="K743">
        <v>0</v>
      </c>
      <c r="L743">
        <v>3</v>
      </c>
      <c r="M743">
        <v>0</v>
      </c>
      <c r="N743">
        <v>2</v>
      </c>
      <c r="O743">
        <v>0</v>
      </c>
      <c r="P743">
        <v>1</v>
      </c>
      <c r="Q743">
        <v>0</v>
      </c>
      <c r="S743" t="str">
        <f t="shared" si="262"/>
        <v>19:27:37.000</v>
      </c>
      <c r="T743" t="str">
        <f t="shared" si="262"/>
        <v>19:27:37.000</v>
      </c>
      <c r="U743" t="str">
        <f t="shared" si="251"/>
        <v>AC3944</v>
      </c>
      <c r="V743">
        <v>0</v>
      </c>
      <c r="W743">
        <v>0</v>
      </c>
      <c r="X743">
        <v>2</v>
      </c>
      <c r="Y743">
        <v>0</v>
      </c>
      <c r="AA743">
        <v>1</v>
      </c>
      <c r="AB743">
        <v>8</v>
      </c>
      <c r="AC743">
        <v>3</v>
      </c>
      <c r="AD743">
        <v>0</v>
      </c>
      <c r="AE743">
        <v>9</v>
      </c>
      <c r="AF743" t="s">
        <v>138</v>
      </c>
      <c r="AG743">
        <v>0</v>
      </c>
      <c r="AH743">
        <v>3</v>
      </c>
      <c r="AI743">
        <v>1</v>
      </c>
      <c r="AJ743">
        <v>0</v>
      </c>
      <c r="AK743" t="s">
        <v>345</v>
      </c>
      <c r="AL743">
        <v>32.816699</v>
      </c>
      <c r="AM743" t="s">
        <v>346</v>
      </c>
      <c r="AN743">
        <v>-116.95540699999999</v>
      </c>
      <c r="AO743">
        <v>25</v>
      </c>
      <c r="AP743">
        <v>1800</v>
      </c>
      <c r="AQ743" t="s">
        <v>129</v>
      </c>
      <c r="AR743">
        <v>125</v>
      </c>
      <c r="AS743">
        <v>-26</v>
      </c>
      <c r="AT743">
        <v>64</v>
      </c>
      <c r="BB743">
        <v>1200</v>
      </c>
      <c r="BC743">
        <v>1</v>
      </c>
      <c r="BD743" t="str">
        <f t="shared" si="252"/>
        <v xml:space="preserve">N887QR  </v>
      </c>
      <c r="BE743">
        <v>1</v>
      </c>
      <c r="BG743">
        <v>0</v>
      </c>
      <c r="BH743">
        <v>0</v>
      </c>
      <c r="BI743">
        <v>0</v>
      </c>
      <c r="BJ743">
        <v>1525</v>
      </c>
      <c r="BK743">
        <v>-275</v>
      </c>
      <c r="BL743" t="s">
        <v>163</v>
      </c>
      <c r="BM743">
        <v>1</v>
      </c>
      <c r="BN743">
        <v>1</v>
      </c>
      <c r="BO743">
        <v>1</v>
      </c>
      <c r="BP743">
        <v>0</v>
      </c>
      <c r="BS743">
        <v>0.04</v>
      </c>
      <c r="BT743">
        <v>0</v>
      </c>
      <c r="BU743">
        <v>0</v>
      </c>
      <c r="CE743" t="str">
        <f t="shared" si="263"/>
        <v>19:27:37.938</v>
      </c>
      <c r="CF743">
        <v>937585013</v>
      </c>
      <c r="CS743">
        <v>3</v>
      </c>
      <c r="CT743">
        <v>2</v>
      </c>
      <c r="CU743">
        <v>0</v>
      </c>
      <c r="CV743">
        <v>2</v>
      </c>
      <c r="CW743">
        <v>0</v>
      </c>
      <c r="CX743">
        <v>6</v>
      </c>
      <c r="CY743">
        <v>7</v>
      </c>
      <c r="CZ743" t="s">
        <v>131</v>
      </c>
      <c r="DA743">
        <v>300</v>
      </c>
      <c r="DB743">
        <v>0</v>
      </c>
      <c r="DC743" t="s">
        <v>176</v>
      </c>
      <c r="DD743" t="s">
        <v>177</v>
      </c>
      <c r="DG743">
        <v>5370223</v>
      </c>
      <c r="DI743">
        <v>1</v>
      </c>
      <c r="DJ743">
        <v>0</v>
      </c>
      <c r="DK743">
        <v>1</v>
      </c>
      <c r="DL743">
        <v>0</v>
      </c>
      <c r="DM743">
        <v>0</v>
      </c>
      <c r="DN743">
        <v>1</v>
      </c>
      <c r="DO743">
        <v>0</v>
      </c>
      <c r="DP743">
        <v>0</v>
      </c>
      <c r="DQ743">
        <v>0</v>
      </c>
      <c r="DR743">
        <v>0</v>
      </c>
      <c r="DS743">
        <v>0</v>
      </c>
    </row>
    <row r="744" spans="1:123" x14ac:dyDescent="0.3">
      <c r="A744" t="str">
        <f>"10/04/2022 19:27:38.150"</f>
        <v>10/04/2022 19:27:38.150</v>
      </c>
      <c r="C744" t="str">
        <f t="shared" si="259"/>
        <v>FFDFD3C0</v>
      </c>
      <c r="D744" t="s">
        <v>141</v>
      </c>
      <c r="E744">
        <v>4</v>
      </c>
      <c r="H744">
        <v>4</v>
      </c>
      <c r="I744" t="s">
        <v>142</v>
      </c>
      <c r="J744" t="s">
        <v>138</v>
      </c>
      <c r="K744">
        <v>0</v>
      </c>
      <c r="L744">
        <v>3</v>
      </c>
      <c r="M744">
        <v>0</v>
      </c>
      <c r="N744">
        <v>2</v>
      </c>
      <c r="O744">
        <v>0</v>
      </c>
      <c r="P744">
        <v>1</v>
      </c>
      <c r="Q744">
        <v>0</v>
      </c>
      <c r="S744" t="str">
        <f t="shared" si="262"/>
        <v>19:27:37.000</v>
      </c>
      <c r="T744" t="str">
        <f t="shared" si="262"/>
        <v>19:27:37.000</v>
      </c>
      <c r="U744" t="str">
        <f t="shared" si="251"/>
        <v>AC3944</v>
      </c>
      <c r="V744">
        <v>0</v>
      </c>
      <c r="W744">
        <v>0</v>
      </c>
      <c r="X744">
        <v>2</v>
      </c>
      <c r="Y744">
        <v>0</v>
      </c>
      <c r="AA744">
        <v>1</v>
      </c>
      <c r="AB744">
        <v>8</v>
      </c>
      <c r="AC744">
        <v>3</v>
      </c>
      <c r="AD744">
        <v>0</v>
      </c>
      <c r="AE744">
        <v>9</v>
      </c>
      <c r="AF744" t="s">
        <v>138</v>
      </c>
      <c r="AG744">
        <v>0</v>
      </c>
      <c r="AH744">
        <v>3</v>
      </c>
      <c r="AI744">
        <v>1</v>
      </c>
      <c r="AJ744">
        <v>0</v>
      </c>
      <c r="AK744" t="s">
        <v>345</v>
      </c>
      <c r="AL744">
        <v>32.816699</v>
      </c>
      <c r="AM744" t="s">
        <v>346</v>
      </c>
      <c r="AN744">
        <v>-116.95540699999999</v>
      </c>
      <c r="AO744">
        <v>25</v>
      </c>
      <c r="AP744">
        <v>1800</v>
      </c>
      <c r="AQ744" t="s">
        <v>129</v>
      </c>
      <c r="AR744">
        <v>125</v>
      </c>
      <c r="AS744">
        <v>-26</v>
      </c>
      <c r="AT744">
        <v>64</v>
      </c>
      <c r="BB744">
        <v>1200</v>
      </c>
      <c r="BC744">
        <v>1</v>
      </c>
      <c r="BD744" t="str">
        <f t="shared" si="252"/>
        <v xml:space="preserve">N887QR  </v>
      </c>
      <c r="BE744">
        <v>1</v>
      </c>
      <c r="BG744">
        <v>0</v>
      </c>
      <c r="BH744">
        <v>0</v>
      </c>
      <c r="BI744">
        <v>0</v>
      </c>
      <c r="BJ744">
        <v>1525</v>
      </c>
      <c r="BK744">
        <v>-275</v>
      </c>
      <c r="BL744" t="s">
        <v>163</v>
      </c>
      <c r="BM744">
        <v>1</v>
      </c>
      <c r="BN744">
        <v>1</v>
      </c>
      <c r="BO744">
        <v>1</v>
      </c>
      <c r="BP744">
        <v>0</v>
      </c>
      <c r="BS744">
        <v>0.04</v>
      </c>
      <c r="BT744">
        <v>0</v>
      </c>
      <c r="BU744">
        <v>0</v>
      </c>
      <c r="CE744" t="str">
        <f t="shared" si="263"/>
        <v>19:27:37.938</v>
      </c>
      <c r="CF744">
        <v>937585013</v>
      </c>
      <c r="CS744">
        <v>3</v>
      </c>
      <c r="CT744">
        <v>2</v>
      </c>
      <c r="CU744">
        <v>0</v>
      </c>
      <c r="CV744">
        <v>2</v>
      </c>
      <c r="CW744">
        <v>0</v>
      </c>
      <c r="CX744">
        <v>6</v>
      </c>
      <c r="CY744">
        <v>7</v>
      </c>
      <c r="CZ744" t="s">
        <v>131</v>
      </c>
      <c r="DA744">
        <v>300</v>
      </c>
      <c r="DB744">
        <v>0</v>
      </c>
      <c r="DC744" t="s">
        <v>176</v>
      </c>
      <c r="DD744" t="s">
        <v>177</v>
      </c>
      <c r="DG744">
        <v>5370223</v>
      </c>
      <c r="DI744">
        <v>1</v>
      </c>
      <c r="DJ744">
        <v>0</v>
      </c>
      <c r="DK744">
        <v>1</v>
      </c>
      <c r="DL744">
        <v>0</v>
      </c>
      <c r="DM744">
        <v>0</v>
      </c>
      <c r="DN744">
        <v>1</v>
      </c>
      <c r="DO744">
        <v>0</v>
      </c>
      <c r="DP744">
        <v>0</v>
      </c>
      <c r="DQ744">
        <v>0</v>
      </c>
      <c r="DR744">
        <v>0</v>
      </c>
      <c r="DS744">
        <v>0</v>
      </c>
    </row>
    <row r="745" spans="1:123" x14ac:dyDescent="0.3">
      <c r="A745" t="str">
        <f>"10/04/2022 19:27:39.118"</f>
        <v>10/04/2022 19:27:39.118</v>
      </c>
      <c r="C745" t="str">
        <f t="shared" si="259"/>
        <v>FFDFD3C0</v>
      </c>
      <c r="D745" t="s">
        <v>134</v>
      </c>
      <c r="E745">
        <v>15</v>
      </c>
      <c r="J745" t="s">
        <v>135</v>
      </c>
      <c r="K745">
        <v>0</v>
      </c>
      <c r="L745">
        <v>3</v>
      </c>
      <c r="M745">
        <v>0</v>
      </c>
      <c r="N745">
        <v>2</v>
      </c>
      <c r="O745">
        <v>0</v>
      </c>
      <c r="P745">
        <v>1</v>
      </c>
      <c r="Q745">
        <v>0</v>
      </c>
      <c r="S745" t="str">
        <f t="shared" ref="S745:T751" si="264">"19:27:38.000"</f>
        <v>19:27:38.000</v>
      </c>
      <c r="T745" t="str">
        <f t="shared" si="264"/>
        <v>19:27:38.000</v>
      </c>
      <c r="U745" t="str">
        <f t="shared" si="251"/>
        <v>AC3944</v>
      </c>
      <c r="V745">
        <v>0</v>
      </c>
      <c r="W745">
        <v>0</v>
      </c>
      <c r="X745">
        <v>2</v>
      </c>
      <c r="Y745">
        <v>0</v>
      </c>
      <c r="AA745">
        <v>1</v>
      </c>
      <c r="AB745">
        <v>8</v>
      </c>
      <c r="AC745">
        <v>3</v>
      </c>
      <c r="AD745">
        <v>0</v>
      </c>
      <c r="AE745">
        <v>9</v>
      </c>
      <c r="AF745" t="s">
        <v>138</v>
      </c>
      <c r="AG745">
        <v>0</v>
      </c>
      <c r="AH745">
        <v>3</v>
      </c>
      <c r="AI745">
        <v>1</v>
      </c>
      <c r="AJ745">
        <v>0</v>
      </c>
      <c r="AK745" t="s">
        <v>347</v>
      </c>
      <c r="AL745">
        <v>32.816569999999999</v>
      </c>
      <c r="AM745" t="s">
        <v>348</v>
      </c>
      <c r="AN745">
        <v>-116.95471999999999</v>
      </c>
      <c r="AO745">
        <v>25</v>
      </c>
      <c r="AP745">
        <v>1900</v>
      </c>
      <c r="AQ745" t="s">
        <v>129</v>
      </c>
      <c r="AR745">
        <v>124</v>
      </c>
      <c r="AS745">
        <v>-28</v>
      </c>
      <c r="AT745">
        <v>128</v>
      </c>
      <c r="BB745">
        <v>1200</v>
      </c>
      <c r="BC745">
        <v>1</v>
      </c>
      <c r="BD745" t="str">
        <f t="shared" si="252"/>
        <v xml:space="preserve">N887QR  </v>
      </c>
      <c r="BE745">
        <v>1</v>
      </c>
      <c r="BG745">
        <v>0</v>
      </c>
      <c r="BH745">
        <v>0</v>
      </c>
      <c r="BI745">
        <v>0</v>
      </c>
      <c r="BJ745">
        <v>1525</v>
      </c>
      <c r="BK745">
        <v>-375</v>
      </c>
      <c r="BL745" t="s">
        <v>163</v>
      </c>
      <c r="BM745">
        <v>1</v>
      </c>
      <c r="BN745">
        <v>1</v>
      </c>
      <c r="BO745">
        <v>1</v>
      </c>
      <c r="BP745">
        <v>0</v>
      </c>
      <c r="BS745">
        <v>0.04</v>
      </c>
      <c r="BT745">
        <v>0</v>
      </c>
      <c r="BU745">
        <v>0</v>
      </c>
      <c r="CE745" t="str">
        <f t="shared" ref="CE745:CE751" si="265">"19:27:38.926"</f>
        <v>19:27:38.926</v>
      </c>
      <c r="CF745">
        <v>926338207</v>
      </c>
      <c r="CS745">
        <v>3</v>
      </c>
      <c r="CT745">
        <v>2</v>
      </c>
      <c r="CU745">
        <v>0</v>
      </c>
      <c r="CV745">
        <v>2</v>
      </c>
      <c r="CW745">
        <v>0</v>
      </c>
      <c r="CX745">
        <v>6</v>
      </c>
      <c r="CY745">
        <v>7</v>
      </c>
      <c r="CZ745" t="s">
        <v>131</v>
      </c>
      <c r="DA745">
        <v>300</v>
      </c>
      <c r="DB745">
        <v>0</v>
      </c>
      <c r="DC745" t="s">
        <v>176</v>
      </c>
      <c r="DD745" t="s">
        <v>177</v>
      </c>
      <c r="DG745">
        <v>5370365</v>
      </c>
      <c r="DI745">
        <v>1</v>
      </c>
      <c r="DJ745">
        <v>0</v>
      </c>
      <c r="DK745">
        <v>0</v>
      </c>
      <c r="DL745">
        <v>0</v>
      </c>
      <c r="DM745">
        <v>0</v>
      </c>
      <c r="DN745">
        <v>1</v>
      </c>
      <c r="DO745">
        <v>0</v>
      </c>
      <c r="DP745">
        <v>0</v>
      </c>
      <c r="DQ745">
        <v>0</v>
      </c>
      <c r="DR745">
        <v>0</v>
      </c>
      <c r="DS745">
        <v>0</v>
      </c>
    </row>
    <row r="746" spans="1:123" x14ac:dyDescent="0.3">
      <c r="A746" t="str">
        <f>"10/04/2022 19:27:39.118"</f>
        <v>10/04/2022 19:27:39.118</v>
      </c>
      <c r="C746" t="str">
        <f t="shared" si="259"/>
        <v>FFDFD3C0</v>
      </c>
      <c r="D746" t="s">
        <v>141</v>
      </c>
      <c r="E746">
        <v>4</v>
      </c>
      <c r="H746">
        <v>4</v>
      </c>
      <c r="I746" t="s">
        <v>142</v>
      </c>
      <c r="J746" t="s">
        <v>138</v>
      </c>
      <c r="K746">
        <v>0</v>
      </c>
      <c r="L746">
        <v>3</v>
      </c>
      <c r="M746">
        <v>0</v>
      </c>
      <c r="N746">
        <v>2</v>
      </c>
      <c r="O746">
        <v>0</v>
      </c>
      <c r="P746">
        <v>1</v>
      </c>
      <c r="Q746">
        <v>0</v>
      </c>
      <c r="S746" t="str">
        <f t="shared" si="264"/>
        <v>19:27:38.000</v>
      </c>
      <c r="T746" t="str">
        <f t="shared" si="264"/>
        <v>19:27:38.000</v>
      </c>
      <c r="U746" t="str">
        <f t="shared" si="251"/>
        <v>AC3944</v>
      </c>
      <c r="V746">
        <v>0</v>
      </c>
      <c r="W746">
        <v>0</v>
      </c>
      <c r="X746">
        <v>2</v>
      </c>
      <c r="Y746">
        <v>0</v>
      </c>
      <c r="AA746">
        <v>1</v>
      </c>
      <c r="AB746">
        <v>8</v>
      </c>
      <c r="AC746">
        <v>3</v>
      </c>
      <c r="AD746">
        <v>0</v>
      </c>
      <c r="AE746">
        <v>9</v>
      </c>
      <c r="AF746" t="s">
        <v>138</v>
      </c>
      <c r="AG746">
        <v>0</v>
      </c>
      <c r="AH746">
        <v>3</v>
      </c>
      <c r="AI746">
        <v>1</v>
      </c>
      <c r="AJ746">
        <v>0</v>
      </c>
      <c r="AK746" t="s">
        <v>347</v>
      </c>
      <c r="AL746">
        <v>32.816569999999999</v>
      </c>
      <c r="AM746" t="s">
        <v>348</v>
      </c>
      <c r="AN746">
        <v>-116.95471999999999</v>
      </c>
      <c r="AO746">
        <v>25</v>
      </c>
      <c r="AP746">
        <v>1900</v>
      </c>
      <c r="AQ746" t="s">
        <v>129</v>
      </c>
      <c r="AR746">
        <v>124</v>
      </c>
      <c r="AS746">
        <v>-28</v>
      </c>
      <c r="AT746">
        <v>128</v>
      </c>
      <c r="BB746">
        <v>1200</v>
      </c>
      <c r="BC746">
        <v>1</v>
      </c>
      <c r="BD746" t="str">
        <f t="shared" si="252"/>
        <v xml:space="preserve">N887QR  </v>
      </c>
      <c r="BE746">
        <v>1</v>
      </c>
      <c r="BG746">
        <v>0</v>
      </c>
      <c r="BH746">
        <v>0</v>
      </c>
      <c r="BI746">
        <v>0</v>
      </c>
      <c r="BJ746">
        <v>1525</v>
      </c>
      <c r="BK746">
        <v>-375</v>
      </c>
      <c r="BL746" t="s">
        <v>163</v>
      </c>
      <c r="BM746">
        <v>1</v>
      </c>
      <c r="BN746">
        <v>1</v>
      </c>
      <c r="BO746">
        <v>1</v>
      </c>
      <c r="BP746">
        <v>0</v>
      </c>
      <c r="BS746">
        <v>0.04</v>
      </c>
      <c r="BT746">
        <v>0</v>
      </c>
      <c r="BU746">
        <v>0</v>
      </c>
      <c r="CE746" t="str">
        <f t="shared" si="265"/>
        <v>19:27:38.926</v>
      </c>
      <c r="CF746">
        <v>926338207</v>
      </c>
      <c r="CS746">
        <v>3</v>
      </c>
      <c r="CT746">
        <v>2</v>
      </c>
      <c r="CU746">
        <v>0</v>
      </c>
      <c r="CV746">
        <v>2</v>
      </c>
      <c r="CW746">
        <v>0</v>
      </c>
      <c r="CX746">
        <v>6</v>
      </c>
      <c r="CY746">
        <v>7</v>
      </c>
      <c r="CZ746" t="s">
        <v>131</v>
      </c>
      <c r="DA746">
        <v>300</v>
      </c>
      <c r="DB746">
        <v>0</v>
      </c>
      <c r="DC746" t="s">
        <v>176</v>
      </c>
      <c r="DD746" t="s">
        <v>177</v>
      </c>
      <c r="DG746">
        <v>5370365</v>
      </c>
      <c r="DI746">
        <v>1</v>
      </c>
      <c r="DJ746">
        <v>0</v>
      </c>
      <c r="DK746">
        <v>1</v>
      </c>
      <c r="DL746">
        <v>0</v>
      </c>
      <c r="DM746">
        <v>0</v>
      </c>
      <c r="DN746">
        <v>1</v>
      </c>
      <c r="DO746">
        <v>0</v>
      </c>
      <c r="DP746">
        <v>0</v>
      </c>
      <c r="DQ746">
        <v>0</v>
      </c>
      <c r="DR746">
        <v>0</v>
      </c>
      <c r="DS746">
        <v>0</v>
      </c>
    </row>
    <row r="747" spans="1:123" x14ac:dyDescent="0.3">
      <c r="A747" t="str">
        <f>"10/04/2022 19:27:39.181"</f>
        <v>10/04/2022 19:27:39.181</v>
      </c>
      <c r="C747" t="str">
        <f t="shared" si="259"/>
        <v>FFDFD3C0</v>
      </c>
      <c r="D747" t="s">
        <v>147</v>
      </c>
      <c r="E747">
        <v>3</v>
      </c>
      <c r="H747">
        <v>166</v>
      </c>
      <c r="I747" t="s">
        <v>144</v>
      </c>
      <c r="J747" t="s">
        <v>148</v>
      </c>
      <c r="K747">
        <v>0</v>
      </c>
      <c r="L747">
        <v>3</v>
      </c>
      <c r="M747">
        <v>0</v>
      </c>
      <c r="N747">
        <v>2</v>
      </c>
      <c r="O747">
        <v>0</v>
      </c>
      <c r="P747">
        <v>1</v>
      </c>
      <c r="Q747">
        <v>0</v>
      </c>
      <c r="S747" t="str">
        <f t="shared" si="264"/>
        <v>19:27:38.000</v>
      </c>
      <c r="T747" t="str">
        <f t="shared" si="264"/>
        <v>19:27:38.000</v>
      </c>
      <c r="U747" t="str">
        <f t="shared" si="251"/>
        <v>AC3944</v>
      </c>
      <c r="V747">
        <v>0</v>
      </c>
      <c r="W747">
        <v>0</v>
      </c>
      <c r="X747">
        <v>2</v>
      </c>
      <c r="Y747">
        <v>0</v>
      </c>
      <c r="AA747">
        <v>1</v>
      </c>
      <c r="AB747">
        <v>8</v>
      </c>
      <c r="AC747">
        <v>3</v>
      </c>
      <c r="AD747">
        <v>0</v>
      </c>
      <c r="AE747">
        <v>9</v>
      </c>
      <c r="AF747" t="s">
        <v>138</v>
      </c>
      <c r="AG747">
        <v>0</v>
      </c>
      <c r="AH747">
        <v>3</v>
      </c>
      <c r="AI747">
        <v>1</v>
      </c>
      <c r="AJ747">
        <v>0</v>
      </c>
      <c r="AK747" t="s">
        <v>347</v>
      </c>
      <c r="AL747">
        <v>32.816569999999999</v>
      </c>
      <c r="AM747" t="s">
        <v>348</v>
      </c>
      <c r="AN747">
        <v>-116.95471999999999</v>
      </c>
      <c r="AO747">
        <v>25</v>
      </c>
      <c r="AP747">
        <v>1900</v>
      </c>
      <c r="AQ747" t="s">
        <v>129</v>
      </c>
      <c r="AR747">
        <v>124</v>
      </c>
      <c r="AS747">
        <v>-28</v>
      </c>
      <c r="AT747">
        <v>128</v>
      </c>
      <c r="BB747">
        <v>1200</v>
      </c>
      <c r="BC747">
        <v>1</v>
      </c>
      <c r="BD747" t="str">
        <f t="shared" si="252"/>
        <v xml:space="preserve">N887QR  </v>
      </c>
      <c r="BE747">
        <v>1</v>
      </c>
      <c r="BG747">
        <v>0</v>
      </c>
      <c r="BH747">
        <v>0</v>
      </c>
      <c r="BI747">
        <v>0</v>
      </c>
      <c r="BJ747">
        <v>1525</v>
      </c>
      <c r="BK747">
        <v>-375</v>
      </c>
      <c r="BL747" t="s">
        <v>163</v>
      </c>
      <c r="BM747">
        <v>1</v>
      </c>
      <c r="BN747">
        <v>1</v>
      </c>
      <c r="BO747">
        <v>1</v>
      </c>
      <c r="BP747">
        <v>0</v>
      </c>
      <c r="BS747">
        <v>0.04</v>
      </c>
      <c r="BT747">
        <v>0</v>
      </c>
      <c r="BU747">
        <v>0</v>
      </c>
      <c r="CE747" t="str">
        <f t="shared" si="265"/>
        <v>19:27:38.926</v>
      </c>
      <c r="CF747">
        <v>926338207</v>
      </c>
      <c r="CS747">
        <v>3</v>
      </c>
      <c r="CT747">
        <v>2</v>
      </c>
      <c r="CU747">
        <v>0</v>
      </c>
      <c r="CV747">
        <v>2</v>
      </c>
      <c r="CW747">
        <v>0</v>
      </c>
      <c r="CX747">
        <v>6</v>
      </c>
      <c r="CY747">
        <v>7</v>
      </c>
      <c r="CZ747" t="s">
        <v>131</v>
      </c>
      <c r="DA747">
        <v>300</v>
      </c>
      <c r="DB747">
        <v>0</v>
      </c>
      <c r="DC747" t="s">
        <v>176</v>
      </c>
      <c r="DD747" t="s">
        <v>177</v>
      </c>
      <c r="DG747">
        <v>5370365</v>
      </c>
      <c r="DI747">
        <v>1</v>
      </c>
      <c r="DJ747">
        <v>0</v>
      </c>
      <c r="DK747">
        <v>1</v>
      </c>
      <c r="DL747">
        <v>0</v>
      </c>
      <c r="DM747">
        <v>0</v>
      </c>
      <c r="DN747">
        <v>1</v>
      </c>
      <c r="DO747">
        <v>0</v>
      </c>
      <c r="DP747">
        <v>0</v>
      </c>
      <c r="DQ747">
        <v>0</v>
      </c>
      <c r="DR747">
        <v>0</v>
      </c>
      <c r="DS747">
        <v>0</v>
      </c>
    </row>
    <row r="748" spans="1:123" x14ac:dyDescent="0.3">
      <c r="A748" t="str">
        <f>"10/04/2022 19:27:39.181"</f>
        <v>10/04/2022 19:27:39.181</v>
      </c>
      <c r="C748" t="str">
        <f t="shared" si="259"/>
        <v>FFDFD3C0</v>
      </c>
      <c r="D748" t="s">
        <v>143</v>
      </c>
      <c r="E748">
        <v>20</v>
      </c>
      <c r="F748">
        <v>1020</v>
      </c>
      <c r="G748" t="s">
        <v>144</v>
      </c>
      <c r="J748" t="s">
        <v>145</v>
      </c>
      <c r="K748">
        <v>0</v>
      </c>
      <c r="L748">
        <v>3</v>
      </c>
      <c r="M748">
        <v>0</v>
      </c>
      <c r="N748">
        <v>2</v>
      </c>
      <c r="O748">
        <v>0</v>
      </c>
      <c r="P748">
        <v>1</v>
      </c>
      <c r="Q748">
        <v>0</v>
      </c>
      <c r="S748" t="str">
        <f t="shared" si="264"/>
        <v>19:27:38.000</v>
      </c>
      <c r="T748" t="str">
        <f t="shared" si="264"/>
        <v>19:27:38.000</v>
      </c>
      <c r="U748" t="str">
        <f t="shared" si="251"/>
        <v>AC3944</v>
      </c>
      <c r="V748">
        <v>0</v>
      </c>
      <c r="W748">
        <v>0</v>
      </c>
      <c r="X748">
        <v>2</v>
      </c>
      <c r="Y748">
        <v>0</v>
      </c>
      <c r="AA748">
        <v>1</v>
      </c>
      <c r="AB748">
        <v>8</v>
      </c>
      <c r="AC748">
        <v>3</v>
      </c>
      <c r="AD748">
        <v>0</v>
      </c>
      <c r="AE748">
        <v>9</v>
      </c>
      <c r="AF748" t="s">
        <v>138</v>
      </c>
      <c r="AG748">
        <v>0</v>
      </c>
      <c r="AH748">
        <v>3</v>
      </c>
      <c r="AI748">
        <v>1</v>
      </c>
      <c r="AJ748">
        <v>0</v>
      </c>
      <c r="AK748" t="s">
        <v>347</v>
      </c>
      <c r="AL748">
        <v>32.816569999999999</v>
      </c>
      <c r="AM748" t="s">
        <v>348</v>
      </c>
      <c r="AN748">
        <v>-116.95471999999999</v>
      </c>
      <c r="AO748">
        <v>25</v>
      </c>
      <c r="AP748">
        <v>1900</v>
      </c>
      <c r="AQ748" t="s">
        <v>129</v>
      </c>
      <c r="AR748">
        <v>124</v>
      </c>
      <c r="AS748">
        <v>-28</v>
      </c>
      <c r="AT748">
        <v>128</v>
      </c>
      <c r="BB748">
        <v>1200</v>
      </c>
      <c r="BC748">
        <v>1</v>
      </c>
      <c r="BD748" t="str">
        <f t="shared" si="252"/>
        <v xml:space="preserve">N887QR  </v>
      </c>
      <c r="BE748">
        <v>1</v>
      </c>
      <c r="BG748">
        <v>0</v>
      </c>
      <c r="BH748">
        <v>0</v>
      </c>
      <c r="BI748">
        <v>0</v>
      </c>
      <c r="BJ748">
        <v>1525</v>
      </c>
      <c r="BK748">
        <v>-375</v>
      </c>
      <c r="BL748" t="s">
        <v>163</v>
      </c>
      <c r="BM748">
        <v>1</v>
      </c>
      <c r="BN748">
        <v>1</v>
      </c>
      <c r="BO748">
        <v>1</v>
      </c>
      <c r="BP748">
        <v>0</v>
      </c>
      <c r="BS748">
        <v>0.04</v>
      </c>
      <c r="BT748">
        <v>0</v>
      </c>
      <c r="BU748">
        <v>0</v>
      </c>
      <c r="CE748" t="str">
        <f t="shared" si="265"/>
        <v>19:27:38.926</v>
      </c>
      <c r="CF748">
        <v>926338207</v>
      </c>
      <c r="CS748">
        <v>3</v>
      </c>
      <c r="CT748">
        <v>2</v>
      </c>
      <c r="CU748">
        <v>0</v>
      </c>
      <c r="CV748">
        <v>2</v>
      </c>
      <c r="CW748">
        <v>0</v>
      </c>
      <c r="CX748">
        <v>6</v>
      </c>
      <c r="CY748">
        <v>7</v>
      </c>
      <c r="CZ748" t="s">
        <v>131</v>
      </c>
      <c r="DA748">
        <v>300</v>
      </c>
      <c r="DB748">
        <v>0</v>
      </c>
      <c r="DC748" t="s">
        <v>176</v>
      </c>
      <c r="DD748" t="s">
        <v>177</v>
      </c>
      <c r="DG748">
        <v>5370365</v>
      </c>
      <c r="DI748">
        <v>1</v>
      </c>
      <c r="DJ748">
        <v>0</v>
      </c>
      <c r="DK748">
        <v>1</v>
      </c>
      <c r="DL748">
        <v>0</v>
      </c>
      <c r="DM748">
        <v>0</v>
      </c>
      <c r="DN748">
        <v>1</v>
      </c>
      <c r="DO748">
        <v>0</v>
      </c>
      <c r="DP748">
        <v>0</v>
      </c>
      <c r="DQ748">
        <v>0</v>
      </c>
      <c r="DR748">
        <v>0</v>
      </c>
      <c r="DS748">
        <v>0</v>
      </c>
    </row>
    <row r="749" spans="1:123" x14ac:dyDescent="0.3">
      <c r="A749" t="str">
        <f>"10/04/2022 19:27:39.181"</f>
        <v>10/04/2022 19:27:39.181</v>
      </c>
      <c r="C749" t="str">
        <f t="shared" si="259"/>
        <v>FFDFD3C0</v>
      </c>
      <c r="D749" t="s">
        <v>136</v>
      </c>
      <c r="E749">
        <v>8</v>
      </c>
      <c r="H749">
        <v>225</v>
      </c>
      <c r="I749" t="s">
        <v>137</v>
      </c>
      <c r="J749" t="s">
        <v>138</v>
      </c>
      <c r="K749">
        <v>0</v>
      </c>
      <c r="L749">
        <v>3</v>
      </c>
      <c r="M749">
        <v>0</v>
      </c>
      <c r="N749">
        <v>2</v>
      </c>
      <c r="O749">
        <v>0</v>
      </c>
      <c r="P749">
        <v>1</v>
      </c>
      <c r="Q749">
        <v>0</v>
      </c>
      <c r="S749" t="str">
        <f t="shared" si="264"/>
        <v>19:27:38.000</v>
      </c>
      <c r="T749" t="str">
        <f t="shared" si="264"/>
        <v>19:27:38.000</v>
      </c>
      <c r="U749" t="str">
        <f t="shared" si="251"/>
        <v>AC3944</v>
      </c>
      <c r="V749">
        <v>0</v>
      </c>
      <c r="W749">
        <v>0</v>
      </c>
      <c r="X749">
        <v>2</v>
      </c>
      <c r="Y749">
        <v>0</v>
      </c>
      <c r="AA749">
        <v>1</v>
      </c>
      <c r="AB749">
        <v>8</v>
      </c>
      <c r="AC749">
        <v>3</v>
      </c>
      <c r="AD749">
        <v>0</v>
      </c>
      <c r="AE749">
        <v>9</v>
      </c>
      <c r="AF749" t="s">
        <v>138</v>
      </c>
      <c r="AG749">
        <v>0</v>
      </c>
      <c r="AH749">
        <v>3</v>
      </c>
      <c r="AI749">
        <v>1</v>
      </c>
      <c r="AJ749">
        <v>0</v>
      </c>
      <c r="AK749" t="s">
        <v>347</v>
      </c>
      <c r="AL749">
        <v>32.816569999999999</v>
      </c>
      <c r="AM749" t="s">
        <v>348</v>
      </c>
      <c r="AN749">
        <v>-116.95471999999999</v>
      </c>
      <c r="AO749">
        <v>25</v>
      </c>
      <c r="AP749">
        <v>1900</v>
      </c>
      <c r="AQ749" t="s">
        <v>129</v>
      </c>
      <c r="AR749">
        <v>124</v>
      </c>
      <c r="AS749">
        <v>-28</v>
      </c>
      <c r="AT749">
        <v>128</v>
      </c>
      <c r="BB749">
        <v>1200</v>
      </c>
      <c r="BC749">
        <v>1</v>
      </c>
      <c r="BD749" t="str">
        <f t="shared" si="252"/>
        <v xml:space="preserve">N887QR  </v>
      </c>
      <c r="BE749">
        <v>1</v>
      </c>
      <c r="BG749">
        <v>0</v>
      </c>
      <c r="BH749">
        <v>0</v>
      </c>
      <c r="BI749">
        <v>0</v>
      </c>
      <c r="BJ749">
        <v>1525</v>
      </c>
      <c r="BK749">
        <v>-375</v>
      </c>
      <c r="BL749" t="s">
        <v>163</v>
      </c>
      <c r="BM749">
        <v>1</v>
      </c>
      <c r="BN749">
        <v>1</v>
      </c>
      <c r="BO749">
        <v>1</v>
      </c>
      <c r="BP749">
        <v>0</v>
      </c>
      <c r="BS749">
        <v>0.04</v>
      </c>
      <c r="BT749">
        <v>0</v>
      </c>
      <c r="BU749">
        <v>0</v>
      </c>
      <c r="CE749" t="str">
        <f t="shared" si="265"/>
        <v>19:27:38.926</v>
      </c>
      <c r="CF749">
        <v>926338207</v>
      </c>
      <c r="CS749">
        <v>3</v>
      </c>
      <c r="CT749">
        <v>2</v>
      </c>
      <c r="CU749">
        <v>0</v>
      </c>
      <c r="CV749">
        <v>2</v>
      </c>
      <c r="CW749">
        <v>0</v>
      </c>
      <c r="CX749">
        <v>6</v>
      </c>
      <c r="CY749">
        <v>7</v>
      </c>
      <c r="CZ749" t="s">
        <v>131</v>
      </c>
      <c r="DA749">
        <v>300</v>
      </c>
      <c r="DB749">
        <v>0</v>
      </c>
      <c r="DC749" t="s">
        <v>176</v>
      </c>
      <c r="DD749" t="s">
        <v>177</v>
      </c>
      <c r="DG749">
        <v>5370365</v>
      </c>
      <c r="DI749">
        <v>1</v>
      </c>
      <c r="DJ749">
        <v>0</v>
      </c>
      <c r="DK749">
        <v>1</v>
      </c>
      <c r="DL749">
        <v>0</v>
      </c>
      <c r="DM749">
        <v>0</v>
      </c>
      <c r="DN749">
        <v>1</v>
      </c>
      <c r="DO749">
        <v>0</v>
      </c>
      <c r="DP749">
        <v>0</v>
      </c>
      <c r="DQ749">
        <v>0</v>
      </c>
      <c r="DR749">
        <v>0</v>
      </c>
      <c r="DS749">
        <v>0</v>
      </c>
    </row>
    <row r="750" spans="1:123" x14ac:dyDescent="0.3">
      <c r="A750" t="str">
        <f>"10/04/2022 19:27:39.181"</f>
        <v>10/04/2022 19:27:39.181</v>
      </c>
      <c r="C750" t="str">
        <f t="shared" si="259"/>
        <v>FFDFD3C0</v>
      </c>
      <c r="D750" t="s">
        <v>141</v>
      </c>
      <c r="E750">
        <v>3</v>
      </c>
      <c r="H750">
        <v>3</v>
      </c>
      <c r="I750" t="s">
        <v>146</v>
      </c>
      <c r="J750" t="s">
        <v>138</v>
      </c>
      <c r="K750">
        <v>0</v>
      </c>
      <c r="L750">
        <v>3</v>
      </c>
      <c r="M750">
        <v>0</v>
      </c>
      <c r="N750">
        <v>2</v>
      </c>
      <c r="O750">
        <v>0</v>
      </c>
      <c r="P750">
        <v>1</v>
      </c>
      <c r="Q750">
        <v>0</v>
      </c>
      <c r="S750" t="str">
        <f t="shared" si="264"/>
        <v>19:27:38.000</v>
      </c>
      <c r="T750" t="str">
        <f t="shared" si="264"/>
        <v>19:27:38.000</v>
      </c>
      <c r="U750" t="str">
        <f t="shared" si="251"/>
        <v>AC3944</v>
      </c>
      <c r="V750">
        <v>0</v>
      </c>
      <c r="W750">
        <v>0</v>
      </c>
      <c r="X750">
        <v>2</v>
      </c>
      <c r="Y750">
        <v>0</v>
      </c>
      <c r="AA750">
        <v>1</v>
      </c>
      <c r="AB750">
        <v>8</v>
      </c>
      <c r="AC750">
        <v>3</v>
      </c>
      <c r="AD750">
        <v>0</v>
      </c>
      <c r="AE750">
        <v>9</v>
      </c>
      <c r="AF750" t="s">
        <v>138</v>
      </c>
      <c r="AG750">
        <v>0</v>
      </c>
      <c r="AH750">
        <v>3</v>
      </c>
      <c r="AI750">
        <v>1</v>
      </c>
      <c r="AJ750">
        <v>0</v>
      </c>
      <c r="AK750" t="s">
        <v>347</v>
      </c>
      <c r="AL750">
        <v>32.816569999999999</v>
      </c>
      <c r="AM750" t="s">
        <v>348</v>
      </c>
      <c r="AN750">
        <v>-116.95471999999999</v>
      </c>
      <c r="AO750">
        <v>25</v>
      </c>
      <c r="AP750">
        <v>1900</v>
      </c>
      <c r="AQ750" t="s">
        <v>129</v>
      </c>
      <c r="AR750">
        <v>124</v>
      </c>
      <c r="AS750">
        <v>-28</v>
      </c>
      <c r="AT750">
        <v>128</v>
      </c>
      <c r="BB750">
        <v>1200</v>
      </c>
      <c r="BC750">
        <v>1</v>
      </c>
      <c r="BD750" t="str">
        <f t="shared" si="252"/>
        <v xml:space="preserve">N887QR  </v>
      </c>
      <c r="BE750">
        <v>1</v>
      </c>
      <c r="BG750">
        <v>0</v>
      </c>
      <c r="BH750">
        <v>0</v>
      </c>
      <c r="BI750">
        <v>0</v>
      </c>
      <c r="BJ750">
        <v>1525</v>
      </c>
      <c r="BK750">
        <v>-375</v>
      </c>
      <c r="BL750" t="s">
        <v>163</v>
      </c>
      <c r="BM750">
        <v>1</v>
      </c>
      <c r="BN750">
        <v>1</v>
      </c>
      <c r="BO750">
        <v>1</v>
      </c>
      <c r="BP750">
        <v>0</v>
      </c>
      <c r="BS750">
        <v>0.04</v>
      </c>
      <c r="BT750">
        <v>0</v>
      </c>
      <c r="BU750">
        <v>0</v>
      </c>
      <c r="CE750" t="str">
        <f t="shared" si="265"/>
        <v>19:27:38.926</v>
      </c>
      <c r="CF750">
        <v>926338207</v>
      </c>
      <c r="CS750">
        <v>3</v>
      </c>
      <c r="CT750">
        <v>2</v>
      </c>
      <c r="CU750">
        <v>0</v>
      </c>
      <c r="CV750">
        <v>2</v>
      </c>
      <c r="CW750">
        <v>0</v>
      </c>
      <c r="CX750">
        <v>6</v>
      </c>
      <c r="CY750">
        <v>7</v>
      </c>
      <c r="CZ750" t="s">
        <v>131</v>
      </c>
      <c r="DA750">
        <v>300</v>
      </c>
      <c r="DB750">
        <v>0</v>
      </c>
      <c r="DC750" t="s">
        <v>176</v>
      </c>
      <c r="DD750" t="s">
        <v>177</v>
      </c>
      <c r="DG750">
        <v>5370365</v>
      </c>
      <c r="DI750">
        <v>1</v>
      </c>
      <c r="DJ750">
        <v>0</v>
      </c>
      <c r="DK750">
        <v>1</v>
      </c>
      <c r="DL750">
        <v>0</v>
      </c>
      <c r="DM750">
        <v>0</v>
      </c>
      <c r="DN750">
        <v>1</v>
      </c>
      <c r="DO750">
        <v>0</v>
      </c>
      <c r="DP750">
        <v>0</v>
      </c>
      <c r="DQ750">
        <v>0</v>
      </c>
      <c r="DR750">
        <v>0</v>
      </c>
      <c r="DS750">
        <v>0</v>
      </c>
    </row>
    <row r="751" spans="1:123" x14ac:dyDescent="0.3">
      <c r="A751" t="str">
        <f>"10/04/2022 19:27:39.181"</f>
        <v>10/04/2022 19:27:39.181</v>
      </c>
      <c r="C751" t="str">
        <f t="shared" si="259"/>
        <v>FFDFD3C0</v>
      </c>
      <c r="D751" t="s">
        <v>123</v>
      </c>
      <c r="E751">
        <v>7</v>
      </c>
      <c r="F751">
        <v>2007</v>
      </c>
      <c r="G751" t="s">
        <v>124</v>
      </c>
      <c r="J751" t="s">
        <v>125</v>
      </c>
      <c r="K751">
        <v>0</v>
      </c>
      <c r="L751">
        <v>3</v>
      </c>
      <c r="M751">
        <v>0</v>
      </c>
      <c r="N751">
        <v>2</v>
      </c>
      <c r="O751">
        <v>0</v>
      </c>
      <c r="P751">
        <v>1</v>
      </c>
      <c r="Q751">
        <v>0</v>
      </c>
      <c r="S751" t="str">
        <f t="shared" si="264"/>
        <v>19:27:38.000</v>
      </c>
      <c r="T751" t="str">
        <f t="shared" si="264"/>
        <v>19:27:38.000</v>
      </c>
      <c r="U751" t="str">
        <f t="shared" si="251"/>
        <v>AC3944</v>
      </c>
      <c r="V751">
        <v>0</v>
      </c>
      <c r="W751">
        <v>0</v>
      </c>
      <c r="X751">
        <v>2</v>
      </c>
      <c r="Y751">
        <v>0</v>
      </c>
      <c r="AA751">
        <v>1</v>
      </c>
      <c r="AB751">
        <v>8</v>
      </c>
      <c r="AC751">
        <v>3</v>
      </c>
      <c r="AD751">
        <v>0</v>
      </c>
      <c r="AE751">
        <v>9</v>
      </c>
      <c r="AF751" t="s">
        <v>138</v>
      </c>
      <c r="AG751">
        <v>0</v>
      </c>
      <c r="AH751">
        <v>3</v>
      </c>
      <c r="AI751">
        <v>1</v>
      </c>
      <c r="AJ751">
        <v>0</v>
      </c>
      <c r="AK751" t="s">
        <v>347</v>
      </c>
      <c r="AL751">
        <v>32.816569999999999</v>
      </c>
      <c r="AM751" t="s">
        <v>348</v>
      </c>
      <c r="AN751">
        <v>-116.95471999999999</v>
      </c>
      <c r="AO751">
        <v>25</v>
      </c>
      <c r="AP751">
        <v>1900</v>
      </c>
      <c r="AQ751" t="s">
        <v>129</v>
      </c>
      <c r="AR751">
        <v>124</v>
      </c>
      <c r="AS751">
        <v>-28</v>
      </c>
      <c r="AT751">
        <v>128</v>
      </c>
      <c r="BB751">
        <v>1200</v>
      </c>
      <c r="BC751">
        <v>1</v>
      </c>
      <c r="BD751" t="str">
        <f t="shared" si="252"/>
        <v xml:space="preserve">N887QR  </v>
      </c>
      <c r="BE751">
        <v>1</v>
      </c>
      <c r="BG751">
        <v>0</v>
      </c>
      <c r="BH751">
        <v>0</v>
      </c>
      <c r="BI751">
        <v>0</v>
      </c>
      <c r="BJ751">
        <v>1525</v>
      </c>
      <c r="BK751">
        <v>-375</v>
      </c>
      <c r="BL751" t="s">
        <v>163</v>
      </c>
      <c r="BM751">
        <v>1</v>
      </c>
      <c r="BN751">
        <v>1</v>
      </c>
      <c r="BO751">
        <v>1</v>
      </c>
      <c r="BP751">
        <v>0</v>
      </c>
      <c r="BS751">
        <v>0.04</v>
      </c>
      <c r="BT751">
        <v>0</v>
      </c>
      <c r="BU751">
        <v>0</v>
      </c>
      <c r="CE751" t="str">
        <f t="shared" si="265"/>
        <v>19:27:38.926</v>
      </c>
      <c r="CF751">
        <v>926338207</v>
      </c>
      <c r="CS751">
        <v>3</v>
      </c>
      <c r="CT751">
        <v>2</v>
      </c>
      <c r="CU751">
        <v>0</v>
      </c>
      <c r="CV751">
        <v>2</v>
      </c>
      <c r="CW751">
        <v>0</v>
      </c>
      <c r="CX751">
        <v>6</v>
      </c>
      <c r="CY751">
        <v>7</v>
      </c>
      <c r="CZ751" t="s">
        <v>131</v>
      </c>
      <c r="DA751">
        <v>300</v>
      </c>
      <c r="DB751">
        <v>0</v>
      </c>
      <c r="DC751" t="s">
        <v>176</v>
      </c>
      <c r="DD751" t="s">
        <v>177</v>
      </c>
      <c r="DG751">
        <v>5370365</v>
      </c>
      <c r="DI751">
        <v>1</v>
      </c>
      <c r="DJ751">
        <v>0</v>
      </c>
      <c r="DK751">
        <v>1</v>
      </c>
      <c r="DL751">
        <v>0</v>
      </c>
      <c r="DM751">
        <v>0</v>
      </c>
      <c r="DN751">
        <v>1</v>
      </c>
      <c r="DO751">
        <v>0</v>
      </c>
      <c r="DP751">
        <v>0</v>
      </c>
      <c r="DQ751">
        <v>0</v>
      </c>
      <c r="DR751">
        <v>0</v>
      </c>
      <c r="DS751">
        <v>0</v>
      </c>
    </row>
    <row r="752" spans="1:123" x14ac:dyDescent="0.3">
      <c r="A752" t="str">
        <f>"10/04/2022 19:27:40.651"</f>
        <v>10/04/2022 19:27:40.651</v>
      </c>
      <c r="C752" t="str">
        <f t="shared" ref="C752:C815" si="266">"FFDDD3C0"</f>
        <v>FFDDD3C0</v>
      </c>
      <c r="D752" t="s">
        <v>143</v>
      </c>
      <c r="E752">
        <v>20</v>
      </c>
      <c r="F752">
        <v>1020</v>
      </c>
      <c r="G752" t="s">
        <v>144</v>
      </c>
      <c r="J752" t="s">
        <v>145</v>
      </c>
      <c r="K752">
        <v>0</v>
      </c>
      <c r="L752">
        <v>3</v>
      </c>
      <c r="M752">
        <v>0</v>
      </c>
      <c r="N752">
        <v>2</v>
      </c>
      <c r="O752">
        <v>0</v>
      </c>
      <c r="P752">
        <v>1</v>
      </c>
      <c r="Q752">
        <v>0</v>
      </c>
      <c r="S752" t="str">
        <f t="shared" ref="S752:T758" si="267">"19:27:40.000"</f>
        <v>19:27:40.000</v>
      </c>
      <c r="T752" t="str">
        <f t="shared" si="267"/>
        <v>19:27:40.000</v>
      </c>
      <c r="U752" t="str">
        <f t="shared" si="251"/>
        <v>AC3944</v>
      </c>
      <c r="V752">
        <v>0</v>
      </c>
      <c r="W752">
        <v>0</v>
      </c>
      <c r="X752">
        <v>2</v>
      </c>
      <c r="Y752">
        <v>0</v>
      </c>
      <c r="AA752">
        <v>1</v>
      </c>
      <c r="AB752">
        <v>8</v>
      </c>
      <c r="AC752">
        <v>3</v>
      </c>
      <c r="AD752">
        <v>0</v>
      </c>
      <c r="AE752">
        <v>9</v>
      </c>
      <c r="AF752" t="s">
        <v>138</v>
      </c>
      <c r="AG752">
        <v>0</v>
      </c>
      <c r="AH752">
        <v>3</v>
      </c>
      <c r="AI752">
        <v>1</v>
      </c>
      <c r="AJ752">
        <v>0</v>
      </c>
      <c r="AK752" t="s">
        <v>349</v>
      </c>
      <c r="AL752">
        <v>32.816462999999999</v>
      </c>
      <c r="AM752" t="s">
        <v>350</v>
      </c>
      <c r="AN752">
        <v>-116.954184</v>
      </c>
      <c r="AO752">
        <v>25</v>
      </c>
      <c r="AP752">
        <v>1900</v>
      </c>
      <c r="AQ752" t="s">
        <v>129</v>
      </c>
      <c r="AR752">
        <v>124</v>
      </c>
      <c r="AS752">
        <v>-31</v>
      </c>
      <c r="AT752">
        <v>192</v>
      </c>
      <c r="BB752">
        <v>1200</v>
      </c>
      <c r="BC752">
        <v>1</v>
      </c>
      <c r="BD752" t="str">
        <f t="shared" si="252"/>
        <v xml:space="preserve">N887QR  </v>
      </c>
      <c r="BE752">
        <v>1</v>
      </c>
      <c r="BJ752">
        <v>1525</v>
      </c>
      <c r="BK752">
        <v>-375</v>
      </c>
      <c r="BL752" t="s">
        <v>163</v>
      </c>
      <c r="BM752">
        <v>1</v>
      </c>
      <c r="BN752">
        <v>1</v>
      </c>
      <c r="BO752">
        <v>1</v>
      </c>
      <c r="BP752">
        <v>0</v>
      </c>
      <c r="BS752">
        <v>0.04</v>
      </c>
      <c r="BT752">
        <v>0</v>
      </c>
      <c r="BU752">
        <v>0</v>
      </c>
      <c r="CE752" t="str">
        <f t="shared" ref="CE752:CE758" si="268">"19:27:40.455"</f>
        <v>19:27:40.455</v>
      </c>
      <c r="CF752">
        <v>455343140</v>
      </c>
      <c r="CS752">
        <v>3</v>
      </c>
      <c r="CT752">
        <v>2</v>
      </c>
      <c r="CU752">
        <v>0</v>
      </c>
      <c r="CV752">
        <v>2</v>
      </c>
      <c r="CW752">
        <v>0</v>
      </c>
      <c r="CX752">
        <v>6</v>
      </c>
      <c r="CY752">
        <v>7</v>
      </c>
      <c r="CZ752" t="s">
        <v>131</v>
      </c>
      <c r="DA752">
        <v>300</v>
      </c>
      <c r="DB752">
        <v>0</v>
      </c>
      <c r="DC752" t="s">
        <v>176</v>
      </c>
      <c r="DD752" t="s">
        <v>177</v>
      </c>
      <c r="DG752">
        <v>5370595</v>
      </c>
      <c r="DI752">
        <v>1</v>
      </c>
      <c r="DJ752">
        <v>0</v>
      </c>
      <c r="DK752">
        <v>0</v>
      </c>
      <c r="DL752">
        <v>0</v>
      </c>
      <c r="DM752">
        <v>0</v>
      </c>
      <c r="DN752">
        <v>1</v>
      </c>
      <c r="DO752">
        <v>0</v>
      </c>
      <c r="DP752">
        <v>0</v>
      </c>
      <c r="DQ752">
        <v>0</v>
      </c>
      <c r="DR752">
        <v>0</v>
      </c>
      <c r="DS752">
        <v>0</v>
      </c>
    </row>
    <row r="753" spans="1:123" x14ac:dyDescent="0.3">
      <c r="A753" t="str">
        <f>"10/04/2022 19:27:40.651"</f>
        <v>10/04/2022 19:27:40.651</v>
      </c>
      <c r="C753" t="str">
        <f t="shared" si="266"/>
        <v>FFDDD3C0</v>
      </c>
      <c r="D753" t="s">
        <v>147</v>
      </c>
      <c r="E753">
        <v>3</v>
      </c>
      <c r="H753">
        <v>166</v>
      </c>
      <c r="I753" t="s">
        <v>144</v>
      </c>
      <c r="J753" t="s">
        <v>148</v>
      </c>
      <c r="K753">
        <v>0</v>
      </c>
      <c r="L753">
        <v>3</v>
      </c>
      <c r="M753">
        <v>0</v>
      </c>
      <c r="N753">
        <v>2</v>
      </c>
      <c r="O753">
        <v>0</v>
      </c>
      <c r="P753">
        <v>1</v>
      </c>
      <c r="Q753">
        <v>0</v>
      </c>
      <c r="S753" t="str">
        <f t="shared" si="267"/>
        <v>19:27:40.000</v>
      </c>
      <c r="T753" t="str">
        <f t="shared" si="267"/>
        <v>19:27:40.000</v>
      </c>
      <c r="U753" t="str">
        <f t="shared" si="251"/>
        <v>AC3944</v>
      </c>
      <c r="V753">
        <v>0</v>
      </c>
      <c r="W753">
        <v>0</v>
      </c>
      <c r="X753">
        <v>2</v>
      </c>
      <c r="Y753">
        <v>0</v>
      </c>
      <c r="AA753">
        <v>1</v>
      </c>
      <c r="AB753">
        <v>8</v>
      </c>
      <c r="AC753">
        <v>3</v>
      </c>
      <c r="AD753">
        <v>0</v>
      </c>
      <c r="AE753">
        <v>9</v>
      </c>
      <c r="AF753" t="s">
        <v>138</v>
      </c>
      <c r="AG753">
        <v>0</v>
      </c>
      <c r="AH753">
        <v>3</v>
      </c>
      <c r="AI753">
        <v>1</v>
      </c>
      <c r="AJ753">
        <v>0</v>
      </c>
      <c r="AK753" t="s">
        <v>349</v>
      </c>
      <c r="AL753">
        <v>32.816462999999999</v>
      </c>
      <c r="AM753" t="s">
        <v>350</v>
      </c>
      <c r="AN753">
        <v>-116.954184</v>
      </c>
      <c r="AO753">
        <v>25</v>
      </c>
      <c r="AP753">
        <v>1900</v>
      </c>
      <c r="AQ753" t="s">
        <v>129</v>
      </c>
      <c r="AR753">
        <v>124</v>
      </c>
      <c r="AS753">
        <v>-31</v>
      </c>
      <c r="AT753">
        <v>192</v>
      </c>
      <c r="BB753">
        <v>1200</v>
      </c>
      <c r="BC753">
        <v>1</v>
      </c>
      <c r="BD753" t="str">
        <f t="shared" si="252"/>
        <v xml:space="preserve">N887QR  </v>
      </c>
      <c r="BE753">
        <v>1</v>
      </c>
      <c r="BJ753">
        <v>1525</v>
      </c>
      <c r="BK753">
        <v>-375</v>
      </c>
      <c r="BL753" t="s">
        <v>163</v>
      </c>
      <c r="BM753">
        <v>1</v>
      </c>
      <c r="BN753">
        <v>1</v>
      </c>
      <c r="BO753">
        <v>1</v>
      </c>
      <c r="BP753">
        <v>0</v>
      </c>
      <c r="BS753">
        <v>0.04</v>
      </c>
      <c r="BT753">
        <v>0</v>
      </c>
      <c r="BU753">
        <v>0</v>
      </c>
      <c r="CE753" t="str">
        <f t="shared" si="268"/>
        <v>19:27:40.455</v>
      </c>
      <c r="CF753">
        <v>455343140</v>
      </c>
      <c r="CS753">
        <v>3</v>
      </c>
      <c r="CT753">
        <v>2</v>
      </c>
      <c r="CU753">
        <v>0</v>
      </c>
      <c r="CV753">
        <v>2</v>
      </c>
      <c r="CW753">
        <v>0</v>
      </c>
      <c r="CX753">
        <v>6</v>
      </c>
      <c r="CY753">
        <v>7</v>
      </c>
      <c r="CZ753" t="s">
        <v>131</v>
      </c>
      <c r="DA753">
        <v>300</v>
      </c>
      <c r="DB753">
        <v>0</v>
      </c>
      <c r="DC753" t="s">
        <v>176</v>
      </c>
      <c r="DD753" t="s">
        <v>177</v>
      </c>
      <c r="DG753">
        <v>5370595</v>
      </c>
      <c r="DI753">
        <v>1</v>
      </c>
      <c r="DJ753">
        <v>0</v>
      </c>
      <c r="DK753">
        <v>1</v>
      </c>
      <c r="DL753">
        <v>0</v>
      </c>
      <c r="DM753">
        <v>0</v>
      </c>
      <c r="DN753">
        <v>1</v>
      </c>
      <c r="DO753">
        <v>0</v>
      </c>
      <c r="DP753">
        <v>0</v>
      </c>
      <c r="DQ753">
        <v>0</v>
      </c>
      <c r="DR753">
        <v>0</v>
      </c>
      <c r="DS753">
        <v>0</v>
      </c>
    </row>
    <row r="754" spans="1:123" x14ac:dyDescent="0.3">
      <c r="A754" t="str">
        <f>"10/04/2022 19:27:40.651"</f>
        <v>10/04/2022 19:27:40.651</v>
      </c>
      <c r="C754" t="str">
        <f t="shared" si="266"/>
        <v>FFDDD3C0</v>
      </c>
      <c r="D754" t="s">
        <v>136</v>
      </c>
      <c r="E754">
        <v>8</v>
      </c>
      <c r="H754">
        <v>225</v>
      </c>
      <c r="I754" t="s">
        <v>137</v>
      </c>
      <c r="J754" t="s">
        <v>138</v>
      </c>
      <c r="K754">
        <v>0</v>
      </c>
      <c r="L754">
        <v>3</v>
      </c>
      <c r="M754">
        <v>0</v>
      </c>
      <c r="N754">
        <v>2</v>
      </c>
      <c r="O754">
        <v>0</v>
      </c>
      <c r="P754">
        <v>1</v>
      </c>
      <c r="Q754">
        <v>0</v>
      </c>
      <c r="S754" t="str">
        <f t="shared" si="267"/>
        <v>19:27:40.000</v>
      </c>
      <c r="T754" t="str">
        <f t="shared" si="267"/>
        <v>19:27:40.000</v>
      </c>
      <c r="U754" t="str">
        <f t="shared" si="251"/>
        <v>AC3944</v>
      </c>
      <c r="V754">
        <v>0</v>
      </c>
      <c r="W754">
        <v>0</v>
      </c>
      <c r="X754">
        <v>2</v>
      </c>
      <c r="Y754">
        <v>0</v>
      </c>
      <c r="AA754">
        <v>1</v>
      </c>
      <c r="AB754">
        <v>8</v>
      </c>
      <c r="AC754">
        <v>3</v>
      </c>
      <c r="AD754">
        <v>0</v>
      </c>
      <c r="AE754">
        <v>9</v>
      </c>
      <c r="AF754" t="s">
        <v>138</v>
      </c>
      <c r="AG754">
        <v>0</v>
      </c>
      <c r="AH754">
        <v>3</v>
      </c>
      <c r="AI754">
        <v>1</v>
      </c>
      <c r="AJ754">
        <v>0</v>
      </c>
      <c r="AK754" t="s">
        <v>349</v>
      </c>
      <c r="AL754">
        <v>32.816462999999999</v>
      </c>
      <c r="AM754" t="s">
        <v>350</v>
      </c>
      <c r="AN754">
        <v>-116.954184</v>
      </c>
      <c r="AO754">
        <v>25</v>
      </c>
      <c r="AP754">
        <v>1900</v>
      </c>
      <c r="AQ754" t="s">
        <v>129</v>
      </c>
      <c r="AR754">
        <v>124</v>
      </c>
      <c r="AS754">
        <v>-31</v>
      </c>
      <c r="AT754">
        <v>192</v>
      </c>
      <c r="BB754">
        <v>1200</v>
      </c>
      <c r="BC754">
        <v>1</v>
      </c>
      <c r="BD754" t="str">
        <f t="shared" si="252"/>
        <v xml:space="preserve">N887QR  </v>
      </c>
      <c r="BE754">
        <v>1</v>
      </c>
      <c r="BJ754">
        <v>1525</v>
      </c>
      <c r="BK754">
        <v>-375</v>
      </c>
      <c r="BL754" t="s">
        <v>163</v>
      </c>
      <c r="BM754">
        <v>1</v>
      </c>
      <c r="BN754">
        <v>1</v>
      </c>
      <c r="BO754">
        <v>1</v>
      </c>
      <c r="BP754">
        <v>0</v>
      </c>
      <c r="BS754">
        <v>0.04</v>
      </c>
      <c r="BT754">
        <v>0</v>
      </c>
      <c r="BU754">
        <v>0</v>
      </c>
      <c r="CE754" t="str">
        <f t="shared" si="268"/>
        <v>19:27:40.455</v>
      </c>
      <c r="CF754">
        <v>455343140</v>
      </c>
      <c r="CS754">
        <v>3</v>
      </c>
      <c r="CT754">
        <v>2</v>
      </c>
      <c r="CU754">
        <v>0</v>
      </c>
      <c r="CV754">
        <v>2</v>
      </c>
      <c r="CW754">
        <v>0</v>
      </c>
      <c r="CX754">
        <v>6</v>
      </c>
      <c r="CY754">
        <v>7</v>
      </c>
      <c r="CZ754" t="s">
        <v>131</v>
      </c>
      <c r="DA754">
        <v>300</v>
      </c>
      <c r="DB754">
        <v>0</v>
      </c>
      <c r="DC754" t="s">
        <v>176</v>
      </c>
      <c r="DD754" t="s">
        <v>177</v>
      </c>
      <c r="DG754">
        <v>5370595</v>
      </c>
      <c r="DI754">
        <v>1</v>
      </c>
      <c r="DJ754">
        <v>0</v>
      </c>
      <c r="DK754">
        <v>1</v>
      </c>
      <c r="DL754">
        <v>0</v>
      </c>
      <c r="DM754">
        <v>0</v>
      </c>
      <c r="DN754">
        <v>1</v>
      </c>
      <c r="DO754">
        <v>0</v>
      </c>
      <c r="DP754">
        <v>0</v>
      </c>
      <c r="DQ754">
        <v>0</v>
      </c>
      <c r="DR754">
        <v>0</v>
      </c>
      <c r="DS754">
        <v>0</v>
      </c>
    </row>
    <row r="755" spans="1:123" x14ac:dyDescent="0.3">
      <c r="A755" t="str">
        <f>"10/04/2022 19:27:40.651"</f>
        <v>10/04/2022 19:27:40.651</v>
      </c>
      <c r="C755" t="str">
        <f t="shared" si="266"/>
        <v>FFDDD3C0</v>
      </c>
      <c r="D755" t="s">
        <v>123</v>
      </c>
      <c r="E755">
        <v>7</v>
      </c>
      <c r="F755">
        <v>2007</v>
      </c>
      <c r="G755" t="s">
        <v>124</v>
      </c>
      <c r="J755" t="s">
        <v>125</v>
      </c>
      <c r="K755">
        <v>0</v>
      </c>
      <c r="L755">
        <v>3</v>
      </c>
      <c r="M755">
        <v>0</v>
      </c>
      <c r="N755">
        <v>2</v>
      </c>
      <c r="O755">
        <v>0</v>
      </c>
      <c r="P755">
        <v>1</v>
      </c>
      <c r="Q755">
        <v>0</v>
      </c>
      <c r="S755" t="str">
        <f t="shared" si="267"/>
        <v>19:27:40.000</v>
      </c>
      <c r="T755" t="str">
        <f t="shared" si="267"/>
        <v>19:27:40.000</v>
      </c>
      <c r="U755" t="str">
        <f t="shared" si="251"/>
        <v>AC3944</v>
      </c>
      <c r="V755">
        <v>0</v>
      </c>
      <c r="W755">
        <v>0</v>
      </c>
      <c r="X755">
        <v>2</v>
      </c>
      <c r="Y755">
        <v>0</v>
      </c>
      <c r="AA755">
        <v>1</v>
      </c>
      <c r="AB755">
        <v>8</v>
      </c>
      <c r="AC755">
        <v>3</v>
      </c>
      <c r="AD755">
        <v>0</v>
      </c>
      <c r="AE755">
        <v>9</v>
      </c>
      <c r="AF755" t="s">
        <v>138</v>
      </c>
      <c r="AG755">
        <v>0</v>
      </c>
      <c r="AH755">
        <v>3</v>
      </c>
      <c r="AI755">
        <v>1</v>
      </c>
      <c r="AJ755">
        <v>0</v>
      </c>
      <c r="AK755" t="s">
        <v>349</v>
      </c>
      <c r="AL755">
        <v>32.816462999999999</v>
      </c>
      <c r="AM755" t="s">
        <v>350</v>
      </c>
      <c r="AN755">
        <v>-116.954184</v>
      </c>
      <c r="AO755">
        <v>25</v>
      </c>
      <c r="AP755">
        <v>1900</v>
      </c>
      <c r="AQ755" t="s">
        <v>129</v>
      </c>
      <c r="AR755">
        <v>124</v>
      </c>
      <c r="AS755">
        <v>-31</v>
      </c>
      <c r="AT755">
        <v>192</v>
      </c>
      <c r="BB755">
        <v>1200</v>
      </c>
      <c r="BC755">
        <v>1</v>
      </c>
      <c r="BD755" t="str">
        <f t="shared" si="252"/>
        <v xml:space="preserve">N887QR  </v>
      </c>
      <c r="BE755">
        <v>1</v>
      </c>
      <c r="BJ755">
        <v>1525</v>
      </c>
      <c r="BK755">
        <v>-375</v>
      </c>
      <c r="BL755" t="s">
        <v>163</v>
      </c>
      <c r="BM755">
        <v>1</v>
      </c>
      <c r="BN755">
        <v>1</v>
      </c>
      <c r="BO755">
        <v>1</v>
      </c>
      <c r="BP755">
        <v>0</v>
      </c>
      <c r="BS755">
        <v>0.04</v>
      </c>
      <c r="BT755">
        <v>0</v>
      </c>
      <c r="BU755">
        <v>0</v>
      </c>
      <c r="CE755" t="str">
        <f t="shared" si="268"/>
        <v>19:27:40.455</v>
      </c>
      <c r="CF755">
        <v>455343140</v>
      </c>
      <c r="CS755">
        <v>3</v>
      </c>
      <c r="CT755">
        <v>2</v>
      </c>
      <c r="CU755">
        <v>0</v>
      </c>
      <c r="CV755">
        <v>2</v>
      </c>
      <c r="CW755">
        <v>0</v>
      </c>
      <c r="CX755">
        <v>6</v>
      </c>
      <c r="CY755">
        <v>7</v>
      </c>
      <c r="CZ755" t="s">
        <v>131</v>
      </c>
      <c r="DA755">
        <v>300</v>
      </c>
      <c r="DB755">
        <v>0</v>
      </c>
      <c r="DC755" t="s">
        <v>176</v>
      </c>
      <c r="DD755" t="s">
        <v>177</v>
      </c>
      <c r="DG755">
        <v>5370595</v>
      </c>
      <c r="DI755">
        <v>1</v>
      </c>
      <c r="DJ755">
        <v>0</v>
      </c>
      <c r="DK755">
        <v>1</v>
      </c>
      <c r="DL755">
        <v>0</v>
      </c>
      <c r="DM755">
        <v>0</v>
      </c>
      <c r="DN755">
        <v>1</v>
      </c>
      <c r="DO755">
        <v>0</v>
      </c>
      <c r="DP755">
        <v>0</v>
      </c>
      <c r="DQ755">
        <v>0</v>
      </c>
      <c r="DR755">
        <v>0</v>
      </c>
      <c r="DS755">
        <v>0</v>
      </c>
    </row>
    <row r="756" spans="1:123" x14ac:dyDescent="0.3">
      <c r="A756" t="str">
        <f>"10/04/2022 19:27:40.651"</f>
        <v>10/04/2022 19:27:40.651</v>
      </c>
      <c r="C756" t="str">
        <f t="shared" si="266"/>
        <v>FFDDD3C0</v>
      </c>
      <c r="D756" t="s">
        <v>141</v>
      </c>
      <c r="E756">
        <v>3</v>
      </c>
      <c r="H756">
        <v>3</v>
      </c>
      <c r="I756" t="s">
        <v>146</v>
      </c>
      <c r="J756" t="s">
        <v>138</v>
      </c>
      <c r="K756">
        <v>0</v>
      </c>
      <c r="L756">
        <v>3</v>
      </c>
      <c r="M756">
        <v>0</v>
      </c>
      <c r="N756">
        <v>2</v>
      </c>
      <c r="O756">
        <v>0</v>
      </c>
      <c r="P756">
        <v>1</v>
      </c>
      <c r="Q756">
        <v>0</v>
      </c>
      <c r="S756" t="str">
        <f t="shared" si="267"/>
        <v>19:27:40.000</v>
      </c>
      <c r="T756" t="str">
        <f t="shared" si="267"/>
        <v>19:27:40.000</v>
      </c>
      <c r="U756" t="str">
        <f t="shared" si="251"/>
        <v>AC3944</v>
      </c>
      <c r="V756">
        <v>0</v>
      </c>
      <c r="W756">
        <v>0</v>
      </c>
      <c r="X756">
        <v>2</v>
      </c>
      <c r="Y756">
        <v>0</v>
      </c>
      <c r="AA756">
        <v>1</v>
      </c>
      <c r="AB756">
        <v>8</v>
      </c>
      <c r="AC756">
        <v>3</v>
      </c>
      <c r="AD756">
        <v>0</v>
      </c>
      <c r="AE756">
        <v>9</v>
      </c>
      <c r="AF756" t="s">
        <v>138</v>
      </c>
      <c r="AG756">
        <v>0</v>
      </c>
      <c r="AH756">
        <v>3</v>
      </c>
      <c r="AI756">
        <v>1</v>
      </c>
      <c r="AJ756">
        <v>0</v>
      </c>
      <c r="AK756" t="s">
        <v>349</v>
      </c>
      <c r="AL756">
        <v>32.816462999999999</v>
      </c>
      <c r="AM756" t="s">
        <v>350</v>
      </c>
      <c r="AN756">
        <v>-116.954184</v>
      </c>
      <c r="AO756">
        <v>25</v>
      </c>
      <c r="AP756">
        <v>1900</v>
      </c>
      <c r="AQ756" t="s">
        <v>129</v>
      </c>
      <c r="AR756">
        <v>124</v>
      </c>
      <c r="AS756">
        <v>-31</v>
      </c>
      <c r="AT756">
        <v>192</v>
      </c>
      <c r="BB756">
        <v>1200</v>
      </c>
      <c r="BC756">
        <v>1</v>
      </c>
      <c r="BD756" t="str">
        <f t="shared" si="252"/>
        <v xml:space="preserve">N887QR  </v>
      </c>
      <c r="BE756">
        <v>1</v>
      </c>
      <c r="BJ756">
        <v>1525</v>
      </c>
      <c r="BK756">
        <v>-375</v>
      </c>
      <c r="BL756" t="s">
        <v>163</v>
      </c>
      <c r="BM756">
        <v>1</v>
      </c>
      <c r="BN756">
        <v>1</v>
      </c>
      <c r="BO756">
        <v>1</v>
      </c>
      <c r="BP756">
        <v>0</v>
      </c>
      <c r="BS756">
        <v>0.04</v>
      </c>
      <c r="BT756">
        <v>0</v>
      </c>
      <c r="BU756">
        <v>0</v>
      </c>
      <c r="CE756" t="str">
        <f t="shared" si="268"/>
        <v>19:27:40.455</v>
      </c>
      <c r="CF756">
        <v>455343140</v>
      </c>
      <c r="CS756">
        <v>3</v>
      </c>
      <c r="CT756">
        <v>2</v>
      </c>
      <c r="CU756">
        <v>0</v>
      </c>
      <c r="CV756">
        <v>2</v>
      </c>
      <c r="CW756">
        <v>0</v>
      </c>
      <c r="CX756">
        <v>6</v>
      </c>
      <c r="CY756">
        <v>7</v>
      </c>
      <c r="CZ756" t="s">
        <v>131</v>
      </c>
      <c r="DA756">
        <v>300</v>
      </c>
      <c r="DB756">
        <v>0</v>
      </c>
      <c r="DC756" t="s">
        <v>176</v>
      </c>
      <c r="DD756" t="s">
        <v>177</v>
      </c>
      <c r="DG756">
        <v>5370595</v>
      </c>
      <c r="DI756">
        <v>1</v>
      </c>
      <c r="DJ756">
        <v>0</v>
      </c>
      <c r="DK756">
        <v>1</v>
      </c>
      <c r="DL756">
        <v>0</v>
      </c>
      <c r="DM756">
        <v>0</v>
      </c>
      <c r="DN756">
        <v>1</v>
      </c>
      <c r="DO756">
        <v>0</v>
      </c>
      <c r="DP756">
        <v>0</v>
      </c>
      <c r="DQ756">
        <v>0</v>
      </c>
      <c r="DR756">
        <v>0</v>
      </c>
      <c r="DS756">
        <v>0</v>
      </c>
    </row>
    <row r="757" spans="1:123" x14ac:dyDescent="0.3">
      <c r="A757" t="str">
        <f>"10/04/2022 19:27:40.713"</f>
        <v>10/04/2022 19:27:40.713</v>
      </c>
      <c r="C757" t="str">
        <f t="shared" si="266"/>
        <v>FFDDD3C0</v>
      </c>
      <c r="D757" t="s">
        <v>134</v>
      </c>
      <c r="E757">
        <v>15</v>
      </c>
      <c r="J757" t="s">
        <v>135</v>
      </c>
      <c r="K757">
        <v>0</v>
      </c>
      <c r="L757">
        <v>3</v>
      </c>
      <c r="M757">
        <v>0</v>
      </c>
      <c r="N757">
        <v>2</v>
      </c>
      <c r="O757">
        <v>0</v>
      </c>
      <c r="P757">
        <v>1</v>
      </c>
      <c r="Q757">
        <v>0</v>
      </c>
      <c r="S757" t="str">
        <f t="shared" si="267"/>
        <v>19:27:40.000</v>
      </c>
      <c r="T757" t="str">
        <f t="shared" si="267"/>
        <v>19:27:40.000</v>
      </c>
      <c r="U757" t="str">
        <f t="shared" si="251"/>
        <v>AC3944</v>
      </c>
      <c r="V757">
        <v>0</v>
      </c>
      <c r="W757">
        <v>0</v>
      </c>
      <c r="X757">
        <v>2</v>
      </c>
      <c r="Y757">
        <v>0</v>
      </c>
      <c r="AA757">
        <v>1</v>
      </c>
      <c r="AB757">
        <v>8</v>
      </c>
      <c r="AC757">
        <v>3</v>
      </c>
      <c r="AD757">
        <v>0</v>
      </c>
      <c r="AE757">
        <v>9</v>
      </c>
      <c r="AF757" t="s">
        <v>138</v>
      </c>
      <c r="AG757">
        <v>0</v>
      </c>
      <c r="AH757">
        <v>3</v>
      </c>
      <c r="AI757">
        <v>1</v>
      </c>
      <c r="AJ757">
        <v>0</v>
      </c>
      <c r="AK757" t="s">
        <v>349</v>
      </c>
      <c r="AL757">
        <v>32.816462999999999</v>
      </c>
      <c r="AM757" t="s">
        <v>350</v>
      </c>
      <c r="AN757">
        <v>-116.954184</v>
      </c>
      <c r="AO757">
        <v>25</v>
      </c>
      <c r="AP757">
        <v>1900</v>
      </c>
      <c r="AQ757" t="s">
        <v>129</v>
      </c>
      <c r="AR757">
        <v>124</v>
      </c>
      <c r="AS757">
        <v>-31</v>
      </c>
      <c r="AT757">
        <v>192</v>
      </c>
      <c r="BB757">
        <v>1200</v>
      </c>
      <c r="BC757">
        <v>1</v>
      </c>
      <c r="BD757" t="str">
        <f t="shared" si="252"/>
        <v xml:space="preserve">N887QR  </v>
      </c>
      <c r="BE757">
        <v>1</v>
      </c>
      <c r="BJ757">
        <v>1525</v>
      </c>
      <c r="BK757">
        <v>-375</v>
      </c>
      <c r="BL757" t="s">
        <v>163</v>
      </c>
      <c r="BM757">
        <v>1</v>
      </c>
      <c r="BN757">
        <v>1</v>
      </c>
      <c r="BO757">
        <v>1</v>
      </c>
      <c r="BP757">
        <v>0</v>
      </c>
      <c r="BS757">
        <v>0.04</v>
      </c>
      <c r="BT757">
        <v>0</v>
      </c>
      <c r="BU757">
        <v>0</v>
      </c>
      <c r="CE757" t="str">
        <f t="shared" si="268"/>
        <v>19:27:40.455</v>
      </c>
      <c r="CF757">
        <v>455343140</v>
      </c>
      <c r="CS757">
        <v>3</v>
      </c>
      <c r="CT757">
        <v>2</v>
      </c>
      <c r="CU757">
        <v>0</v>
      </c>
      <c r="CV757">
        <v>2</v>
      </c>
      <c r="CW757">
        <v>0</v>
      </c>
      <c r="CX757">
        <v>6</v>
      </c>
      <c r="CY757">
        <v>7</v>
      </c>
      <c r="CZ757" t="s">
        <v>131</v>
      </c>
      <c r="DA757">
        <v>300</v>
      </c>
      <c r="DB757">
        <v>0</v>
      </c>
      <c r="DC757" t="s">
        <v>176</v>
      </c>
      <c r="DD757" t="s">
        <v>177</v>
      </c>
      <c r="DG757">
        <v>5370595</v>
      </c>
      <c r="DI757">
        <v>1</v>
      </c>
      <c r="DJ757">
        <v>0</v>
      </c>
      <c r="DK757">
        <v>1</v>
      </c>
      <c r="DL757">
        <v>0</v>
      </c>
      <c r="DM757">
        <v>0</v>
      </c>
      <c r="DN757">
        <v>1</v>
      </c>
      <c r="DO757">
        <v>0</v>
      </c>
      <c r="DP757">
        <v>0</v>
      </c>
      <c r="DQ757">
        <v>0</v>
      </c>
      <c r="DR757">
        <v>0</v>
      </c>
      <c r="DS757">
        <v>0</v>
      </c>
    </row>
    <row r="758" spans="1:123" x14ac:dyDescent="0.3">
      <c r="A758" t="str">
        <f>"10/04/2022 19:27:40.713"</f>
        <v>10/04/2022 19:27:40.713</v>
      </c>
      <c r="C758" t="str">
        <f t="shared" si="266"/>
        <v>FFDDD3C0</v>
      </c>
      <c r="D758" t="s">
        <v>141</v>
      </c>
      <c r="E758">
        <v>4</v>
      </c>
      <c r="H758">
        <v>4</v>
      </c>
      <c r="I758" t="s">
        <v>142</v>
      </c>
      <c r="J758" t="s">
        <v>138</v>
      </c>
      <c r="K758">
        <v>0</v>
      </c>
      <c r="L758">
        <v>3</v>
      </c>
      <c r="M758">
        <v>0</v>
      </c>
      <c r="N758">
        <v>2</v>
      </c>
      <c r="O758">
        <v>0</v>
      </c>
      <c r="P758">
        <v>1</v>
      </c>
      <c r="Q758">
        <v>0</v>
      </c>
      <c r="S758" t="str">
        <f t="shared" si="267"/>
        <v>19:27:40.000</v>
      </c>
      <c r="T758" t="str">
        <f t="shared" si="267"/>
        <v>19:27:40.000</v>
      </c>
      <c r="U758" t="str">
        <f t="shared" si="251"/>
        <v>AC3944</v>
      </c>
      <c r="V758">
        <v>0</v>
      </c>
      <c r="W758">
        <v>0</v>
      </c>
      <c r="X758">
        <v>2</v>
      </c>
      <c r="Y758">
        <v>0</v>
      </c>
      <c r="AA758">
        <v>1</v>
      </c>
      <c r="AB758">
        <v>8</v>
      </c>
      <c r="AC758">
        <v>3</v>
      </c>
      <c r="AD758">
        <v>0</v>
      </c>
      <c r="AE758">
        <v>9</v>
      </c>
      <c r="AF758" t="s">
        <v>138</v>
      </c>
      <c r="AG758">
        <v>0</v>
      </c>
      <c r="AH758">
        <v>3</v>
      </c>
      <c r="AI758">
        <v>1</v>
      </c>
      <c r="AJ758">
        <v>0</v>
      </c>
      <c r="AK758" t="s">
        <v>349</v>
      </c>
      <c r="AL758">
        <v>32.816462999999999</v>
      </c>
      <c r="AM758" t="s">
        <v>350</v>
      </c>
      <c r="AN758">
        <v>-116.954184</v>
      </c>
      <c r="AO758">
        <v>25</v>
      </c>
      <c r="AP758">
        <v>1900</v>
      </c>
      <c r="AQ758" t="s">
        <v>129</v>
      </c>
      <c r="AR758">
        <v>124</v>
      </c>
      <c r="AS758">
        <v>-31</v>
      </c>
      <c r="AT758">
        <v>192</v>
      </c>
      <c r="BB758">
        <v>1200</v>
      </c>
      <c r="BC758">
        <v>1</v>
      </c>
      <c r="BD758" t="str">
        <f t="shared" si="252"/>
        <v xml:space="preserve">N887QR  </v>
      </c>
      <c r="BE758">
        <v>1</v>
      </c>
      <c r="BJ758">
        <v>1525</v>
      </c>
      <c r="BK758">
        <v>-375</v>
      </c>
      <c r="BL758" t="s">
        <v>163</v>
      </c>
      <c r="BM758">
        <v>1</v>
      </c>
      <c r="BN758">
        <v>1</v>
      </c>
      <c r="BO758">
        <v>1</v>
      </c>
      <c r="BP758">
        <v>0</v>
      </c>
      <c r="BS758">
        <v>0.04</v>
      </c>
      <c r="BT758">
        <v>0</v>
      </c>
      <c r="BU758">
        <v>0</v>
      </c>
      <c r="CE758" t="str">
        <f t="shared" si="268"/>
        <v>19:27:40.455</v>
      </c>
      <c r="CF758">
        <v>455343140</v>
      </c>
      <c r="CS758">
        <v>3</v>
      </c>
      <c r="CT758">
        <v>2</v>
      </c>
      <c r="CU758">
        <v>0</v>
      </c>
      <c r="CV758">
        <v>2</v>
      </c>
      <c r="CW758">
        <v>0</v>
      </c>
      <c r="CX758">
        <v>6</v>
      </c>
      <c r="CY758">
        <v>7</v>
      </c>
      <c r="CZ758" t="s">
        <v>131</v>
      </c>
      <c r="DA758">
        <v>300</v>
      </c>
      <c r="DB758">
        <v>0</v>
      </c>
      <c r="DC758" t="s">
        <v>176</v>
      </c>
      <c r="DD758" t="s">
        <v>177</v>
      </c>
      <c r="DG758">
        <v>5370595</v>
      </c>
      <c r="DI758">
        <v>1</v>
      </c>
      <c r="DJ758">
        <v>0</v>
      </c>
      <c r="DK758">
        <v>1</v>
      </c>
      <c r="DL758">
        <v>0</v>
      </c>
      <c r="DM758">
        <v>0</v>
      </c>
      <c r="DN758">
        <v>1</v>
      </c>
      <c r="DO758">
        <v>0</v>
      </c>
      <c r="DP758">
        <v>0</v>
      </c>
      <c r="DQ758">
        <v>0</v>
      </c>
      <c r="DR758">
        <v>0</v>
      </c>
      <c r="DS758">
        <v>0</v>
      </c>
    </row>
    <row r="759" spans="1:123" x14ac:dyDescent="0.3">
      <c r="A759" t="str">
        <f>"10/04/2022 19:27:41.446"</f>
        <v>10/04/2022 19:27:41.446</v>
      </c>
      <c r="C759" t="str">
        <f t="shared" si="266"/>
        <v>FFDDD3C0</v>
      </c>
      <c r="D759" t="s">
        <v>123</v>
      </c>
      <c r="E759">
        <v>7</v>
      </c>
      <c r="F759">
        <v>2007</v>
      </c>
      <c r="G759" t="s">
        <v>124</v>
      </c>
      <c r="J759" t="s">
        <v>125</v>
      </c>
      <c r="K759">
        <v>0</v>
      </c>
      <c r="L759">
        <v>3</v>
      </c>
      <c r="M759">
        <v>0</v>
      </c>
      <c r="N759">
        <v>2</v>
      </c>
      <c r="O759">
        <v>0</v>
      </c>
      <c r="P759">
        <v>1</v>
      </c>
      <c r="Q759">
        <v>0</v>
      </c>
      <c r="S759" t="str">
        <f t="shared" ref="S759:T772" si="269">"19:27:41.000"</f>
        <v>19:27:41.000</v>
      </c>
      <c r="T759" t="str">
        <f t="shared" si="269"/>
        <v>19:27:41.000</v>
      </c>
      <c r="U759" t="str">
        <f t="shared" si="251"/>
        <v>AC3944</v>
      </c>
      <c r="V759">
        <v>0</v>
      </c>
      <c r="W759">
        <v>0</v>
      </c>
      <c r="X759">
        <v>2</v>
      </c>
      <c r="Y759">
        <v>0</v>
      </c>
      <c r="AA759">
        <v>1</v>
      </c>
      <c r="AB759">
        <v>8</v>
      </c>
      <c r="AC759">
        <v>3</v>
      </c>
      <c r="AD759">
        <v>0</v>
      </c>
      <c r="AE759">
        <v>9</v>
      </c>
      <c r="AF759" t="s">
        <v>138</v>
      </c>
      <c r="AG759">
        <v>0</v>
      </c>
      <c r="AH759">
        <v>3</v>
      </c>
      <c r="AI759">
        <v>1</v>
      </c>
      <c r="AJ759">
        <v>0</v>
      </c>
      <c r="AK759" t="s">
        <v>351</v>
      </c>
      <c r="AL759">
        <v>32.816333999999998</v>
      </c>
      <c r="AM759" t="s">
        <v>352</v>
      </c>
      <c r="AN759">
        <v>-116.953518</v>
      </c>
      <c r="AO759">
        <v>25</v>
      </c>
      <c r="AP759">
        <v>1900</v>
      </c>
      <c r="AQ759" t="s">
        <v>129</v>
      </c>
      <c r="AR759">
        <v>123</v>
      </c>
      <c r="AS759">
        <v>-32</v>
      </c>
      <c r="AT759">
        <v>192</v>
      </c>
      <c r="BB759">
        <v>1200</v>
      </c>
      <c r="BC759">
        <v>1</v>
      </c>
      <c r="BD759" t="str">
        <f t="shared" si="252"/>
        <v xml:space="preserve">N887QR  </v>
      </c>
      <c r="BE759">
        <v>1</v>
      </c>
      <c r="BJ759">
        <v>1550</v>
      </c>
      <c r="BK759">
        <v>-350</v>
      </c>
      <c r="BL759" t="s">
        <v>163</v>
      </c>
      <c r="BM759">
        <v>1</v>
      </c>
      <c r="BN759">
        <v>1</v>
      </c>
      <c r="BO759">
        <v>1</v>
      </c>
      <c r="BP759">
        <v>0</v>
      </c>
      <c r="BS759">
        <v>0.04</v>
      </c>
      <c r="BT759">
        <v>0</v>
      </c>
      <c r="BU759">
        <v>0</v>
      </c>
      <c r="CE759" t="str">
        <f t="shared" ref="CE759:CE765" si="270">"19:27:41.241"</f>
        <v>19:27:41.241</v>
      </c>
      <c r="CF759">
        <v>241345666</v>
      </c>
      <c r="CS759">
        <v>3</v>
      </c>
      <c r="CT759">
        <v>2</v>
      </c>
      <c r="CU759">
        <v>0</v>
      </c>
      <c r="CV759">
        <v>2</v>
      </c>
      <c r="CW759">
        <v>0</v>
      </c>
      <c r="CX759">
        <v>6</v>
      </c>
      <c r="CY759">
        <v>7</v>
      </c>
      <c r="CZ759" t="s">
        <v>131</v>
      </c>
      <c r="DA759">
        <v>300</v>
      </c>
      <c r="DB759">
        <v>0</v>
      </c>
      <c r="DC759" t="s">
        <v>176</v>
      </c>
      <c r="DD759" t="s">
        <v>177</v>
      </c>
      <c r="DG759">
        <v>5370719</v>
      </c>
      <c r="DI759">
        <v>1</v>
      </c>
      <c r="DJ759">
        <v>0</v>
      </c>
      <c r="DK759">
        <v>0</v>
      </c>
      <c r="DL759">
        <v>0</v>
      </c>
      <c r="DM759">
        <v>0</v>
      </c>
      <c r="DN759">
        <v>1</v>
      </c>
      <c r="DO759">
        <v>0</v>
      </c>
      <c r="DP759">
        <v>0</v>
      </c>
      <c r="DQ759">
        <v>0</v>
      </c>
      <c r="DR759">
        <v>0</v>
      </c>
      <c r="DS759">
        <v>0</v>
      </c>
    </row>
    <row r="760" spans="1:123" x14ac:dyDescent="0.3">
      <c r="A760" t="str">
        <f>"10/04/2022 19:27:41.446"</f>
        <v>10/04/2022 19:27:41.446</v>
      </c>
      <c r="C760" t="str">
        <f t="shared" si="266"/>
        <v>FFDDD3C0</v>
      </c>
      <c r="D760" t="s">
        <v>141</v>
      </c>
      <c r="E760">
        <v>3</v>
      </c>
      <c r="H760">
        <v>3</v>
      </c>
      <c r="I760" t="s">
        <v>146</v>
      </c>
      <c r="J760" t="s">
        <v>138</v>
      </c>
      <c r="K760">
        <v>0</v>
      </c>
      <c r="L760">
        <v>3</v>
      </c>
      <c r="M760">
        <v>0</v>
      </c>
      <c r="N760">
        <v>2</v>
      </c>
      <c r="O760">
        <v>0</v>
      </c>
      <c r="P760">
        <v>1</v>
      </c>
      <c r="Q760">
        <v>0</v>
      </c>
      <c r="S760" t="str">
        <f t="shared" si="269"/>
        <v>19:27:41.000</v>
      </c>
      <c r="T760" t="str">
        <f t="shared" si="269"/>
        <v>19:27:41.000</v>
      </c>
      <c r="U760" t="str">
        <f t="shared" si="251"/>
        <v>AC3944</v>
      </c>
      <c r="V760">
        <v>0</v>
      </c>
      <c r="W760">
        <v>0</v>
      </c>
      <c r="X760">
        <v>2</v>
      </c>
      <c r="Y760">
        <v>0</v>
      </c>
      <c r="AA760">
        <v>1</v>
      </c>
      <c r="AB760">
        <v>8</v>
      </c>
      <c r="AC760">
        <v>3</v>
      </c>
      <c r="AD760">
        <v>0</v>
      </c>
      <c r="AE760">
        <v>9</v>
      </c>
      <c r="AF760" t="s">
        <v>138</v>
      </c>
      <c r="AG760">
        <v>0</v>
      </c>
      <c r="AH760">
        <v>3</v>
      </c>
      <c r="AI760">
        <v>1</v>
      </c>
      <c r="AJ760">
        <v>0</v>
      </c>
      <c r="AK760" t="s">
        <v>351</v>
      </c>
      <c r="AL760">
        <v>32.816333999999998</v>
      </c>
      <c r="AM760" t="s">
        <v>352</v>
      </c>
      <c r="AN760">
        <v>-116.953518</v>
      </c>
      <c r="AO760">
        <v>25</v>
      </c>
      <c r="AP760">
        <v>1900</v>
      </c>
      <c r="AQ760" t="s">
        <v>129</v>
      </c>
      <c r="AR760">
        <v>123</v>
      </c>
      <c r="AS760">
        <v>-32</v>
      </c>
      <c r="AT760">
        <v>192</v>
      </c>
      <c r="BB760">
        <v>1200</v>
      </c>
      <c r="BC760">
        <v>1</v>
      </c>
      <c r="BD760" t="str">
        <f t="shared" si="252"/>
        <v xml:space="preserve">N887QR  </v>
      </c>
      <c r="BE760">
        <v>1</v>
      </c>
      <c r="BJ760">
        <v>1550</v>
      </c>
      <c r="BK760">
        <v>-350</v>
      </c>
      <c r="BL760" t="s">
        <v>163</v>
      </c>
      <c r="BM760">
        <v>1</v>
      </c>
      <c r="BN760">
        <v>1</v>
      </c>
      <c r="BO760">
        <v>1</v>
      </c>
      <c r="BP760">
        <v>0</v>
      </c>
      <c r="BS760">
        <v>0.04</v>
      </c>
      <c r="BT760">
        <v>0</v>
      </c>
      <c r="BU760">
        <v>0</v>
      </c>
      <c r="CE760" t="str">
        <f t="shared" si="270"/>
        <v>19:27:41.241</v>
      </c>
      <c r="CF760">
        <v>241345666</v>
      </c>
      <c r="CS760">
        <v>3</v>
      </c>
      <c r="CT760">
        <v>2</v>
      </c>
      <c r="CU760">
        <v>0</v>
      </c>
      <c r="CV760">
        <v>2</v>
      </c>
      <c r="CW760">
        <v>0</v>
      </c>
      <c r="CX760">
        <v>6</v>
      </c>
      <c r="CY760">
        <v>7</v>
      </c>
      <c r="CZ760" t="s">
        <v>131</v>
      </c>
      <c r="DA760">
        <v>300</v>
      </c>
      <c r="DB760">
        <v>0</v>
      </c>
      <c r="DC760" t="s">
        <v>176</v>
      </c>
      <c r="DD760" t="s">
        <v>177</v>
      </c>
      <c r="DG760">
        <v>5370719</v>
      </c>
      <c r="DI760">
        <v>1</v>
      </c>
      <c r="DJ760">
        <v>0</v>
      </c>
      <c r="DK760">
        <v>1</v>
      </c>
      <c r="DL760">
        <v>0</v>
      </c>
      <c r="DM760">
        <v>0</v>
      </c>
      <c r="DN760">
        <v>1</v>
      </c>
      <c r="DO760">
        <v>0</v>
      </c>
      <c r="DP760">
        <v>0</v>
      </c>
      <c r="DQ760">
        <v>0</v>
      </c>
      <c r="DR760">
        <v>0</v>
      </c>
      <c r="DS760">
        <v>0</v>
      </c>
    </row>
    <row r="761" spans="1:123" x14ac:dyDescent="0.3">
      <c r="A761" t="str">
        <f>"10/04/2022 19:27:41.446"</f>
        <v>10/04/2022 19:27:41.446</v>
      </c>
      <c r="C761" t="str">
        <f t="shared" si="266"/>
        <v>FFDDD3C0</v>
      </c>
      <c r="D761" t="s">
        <v>141</v>
      </c>
      <c r="E761">
        <v>4</v>
      </c>
      <c r="H761">
        <v>4</v>
      </c>
      <c r="I761" t="s">
        <v>142</v>
      </c>
      <c r="J761" t="s">
        <v>138</v>
      </c>
      <c r="K761">
        <v>0</v>
      </c>
      <c r="L761">
        <v>3</v>
      </c>
      <c r="M761">
        <v>0</v>
      </c>
      <c r="N761">
        <v>2</v>
      </c>
      <c r="O761">
        <v>0</v>
      </c>
      <c r="P761">
        <v>1</v>
      </c>
      <c r="Q761">
        <v>0</v>
      </c>
      <c r="S761" t="str">
        <f t="shared" si="269"/>
        <v>19:27:41.000</v>
      </c>
      <c r="T761" t="str">
        <f t="shared" si="269"/>
        <v>19:27:41.000</v>
      </c>
      <c r="U761" t="str">
        <f t="shared" si="251"/>
        <v>AC3944</v>
      </c>
      <c r="V761">
        <v>0</v>
      </c>
      <c r="W761">
        <v>0</v>
      </c>
      <c r="X761">
        <v>2</v>
      </c>
      <c r="Y761">
        <v>0</v>
      </c>
      <c r="AA761">
        <v>1</v>
      </c>
      <c r="AB761">
        <v>8</v>
      </c>
      <c r="AC761">
        <v>3</v>
      </c>
      <c r="AD761">
        <v>0</v>
      </c>
      <c r="AE761">
        <v>9</v>
      </c>
      <c r="AF761" t="s">
        <v>138</v>
      </c>
      <c r="AG761">
        <v>0</v>
      </c>
      <c r="AH761">
        <v>3</v>
      </c>
      <c r="AI761">
        <v>1</v>
      </c>
      <c r="AJ761">
        <v>0</v>
      </c>
      <c r="AK761" t="s">
        <v>351</v>
      </c>
      <c r="AL761">
        <v>32.816333999999998</v>
      </c>
      <c r="AM761" t="s">
        <v>352</v>
      </c>
      <c r="AN761">
        <v>-116.953518</v>
      </c>
      <c r="AO761">
        <v>25</v>
      </c>
      <c r="AP761">
        <v>1900</v>
      </c>
      <c r="AQ761" t="s">
        <v>129</v>
      </c>
      <c r="AR761">
        <v>123</v>
      </c>
      <c r="AS761">
        <v>-32</v>
      </c>
      <c r="AT761">
        <v>192</v>
      </c>
      <c r="BB761">
        <v>1200</v>
      </c>
      <c r="BC761">
        <v>1</v>
      </c>
      <c r="BD761" t="str">
        <f t="shared" si="252"/>
        <v xml:space="preserve">N887QR  </v>
      </c>
      <c r="BE761">
        <v>1</v>
      </c>
      <c r="BJ761">
        <v>1550</v>
      </c>
      <c r="BK761">
        <v>-350</v>
      </c>
      <c r="BL761" t="s">
        <v>163</v>
      </c>
      <c r="BM761">
        <v>1</v>
      </c>
      <c r="BN761">
        <v>1</v>
      </c>
      <c r="BO761">
        <v>1</v>
      </c>
      <c r="BP761">
        <v>0</v>
      </c>
      <c r="BS761">
        <v>0.04</v>
      </c>
      <c r="BT761">
        <v>0</v>
      </c>
      <c r="BU761">
        <v>0</v>
      </c>
      <c r="CE761" t="str">
        <f t="shared" si="270"/>
        <v>19:27:41.241</v>
      </c>
      <c r="CF761">
        <v>241345666</v>
      </c>
      <c r="CS761">
        <v>3</v>
      </c>
      <c r="CT761">
        <v>2</v>
      </c>
      <c r="CU761">
        <v>0</v>
      </c>
      <c r="CV761">
        <v>2</v>
      </c>
      <c r="CW761">
        <v>0</v>
      </c>
      <c r="CX761">
        <v>6</v>
      </c>
      <c r="CY761">
        <v>7</v>
      </c>
      <c r="CZ761" t="s">
        <v>131</v>
      </c>
      <c r="DA761">
        <v>300</v>
      </c>
      <c r="DB761">
        <v>0</v>
      </c>
      <c r="DC761" t="s">
        <v>176</v>
      </c>
      <c r="DD761" t="s">
        <v>177</v>
      </c>
      <c r="DG761">
        <v>5370719</v>
      </c>
      <c r="DI761">
        <v>1</v>
      </c>
      <c r="DJ761">
        <v>0</v>
      </c>
      <c r="DK761">
        <v>1</v>
      </c>
      <c r="DL761">
        <v>0</v>
      </c>
      <c r="DM761">
        <v>0</v>
      </c>
      <c r="DN761">
        <v>1</v>
      </c>
      <c r="DO761">
        <v>0</v>
      </c>
      <c r="DP761">
        <v>0</v>
      </c>
      <c r="DQ761">
        <v>0</v>
      </c>
      <c r="DR761">
        <v>0</v>
      </c>
      <c r="DS761">
        <v>0</v>
      </c>
    </row>
    <row r="762" spans="1:123" x14ac:dyDescent="0.3">
      <c r="A762" t="str">
        <f>"10/04/2022 19:27:41.446"</f>
        <v>10/04/2022 19:27:41.446</v>
      </c>
      <c r="C762" t="str">
        <f t="shared" si="266"/>
        <v>FFDDD3C0</v>
      </c>
      <c r="D762" t="s">
        <v>134</v>
      </c>
      <c r="E762">
        <v>15</v>
      </c>
      <c r="J762" t="s">
        <v>135</v>
      </c>
      <c r="K762">
        <v>0</v>
      </c>
      <c r="L762">
        <v>3</v>
      </c>
      <c r="M762">
        <v>0</v>
      </c>
      <c r="N762">
        <v>2</v>
      </c>
      <c r="O762">
        <v>0</v>
      </c>
      <c r="P762">
        <v>1</v>
      </c>
      <c r="Q762">
        <v>0</v>
      </c>
      <c r="S762" t="str">
        <f t="shared" si="269"/>
        <v>19:27:41.000</v>
      </c>
      <c r="T762" t="str">
        <f t="shared" si="269"/>
        <v>19:27:41.000</v>
      </c>
      <c r="U762" t="str">
        <f t="shared" si="251"/>
        <v>AC3944</v>
      </c>
      <c r="V762">
        <v>0</v>
      </c>
      <c r="W762">
        <v>0</v>
      </c>
      <c r="X762">
        <v>2</v>
      </c>
      <c r="Y762">
        <v>0</v>
      </c>
      <c r="AA762">
        <v>1</v>
      </c>
      <c r="AB762">
        <v>8</v>
      </c>
      <c r="AC762">
        <v>3</v>
      </c>
      <c r="AD762">
        <v>0</v>
      </c>
      <c r="AE762">
        <v>9</v>
      </c>
      <c r="AF762" t="s">
        <v>138</v>
      </c>
      <c r="AG762">
        <v>0</v>
      </c>
      <c r="AH762">
        <v>3</v>
      </c>
      <c r="AI762">
        <v>1</v>
      </c>
      <c r="AJ762">
        <v>0</v>
      </c>
      <c r="AK762" t="s">
        <v>351</v>
      </c>
      <c r="AL762">
        <v>32.816333999999998</v>
      </c>
      <c r="AM762" t="s">
        <v>352</v>
      </c>
      <c r="AN762">
        <v>-116.953518</v>
      </c>
      <c r="AO762">
        <v>25</v>
      </c>
      <c r="AP762">
        <v>1900</v>
      </c>
      <c r="AQ762" t="s">
        <v>129</v>
      </c>
      <c r="AR762">
        <v>123</v>
      </c>
      <c r="AS762">
        <v>-32</v>
      </c>
      <c r="AT762">
        <v>192</v>
      </c>
      <c r="BB762">
        <v>1200</v>
      </c>
      <c r="BC762">
        <v>1</v>
      </c>
      <c r="BD762" t="str">
        <f t="shared" si="252"/>
        <v xml:space="preserve">N887QR  </v>
      </c>
      <c r="BE762">
        <v>1</v>
      </c>
      <c r="BJ762">
        <v>1550</v>
      </c>
      <c r="BK762">
        <v>-350</v>
      </c>
      <c r="BL762" t="s">
        <v>163</v>
      </c>
      <c r="BM762">
        <v>1</v>
      </c>
      <c r="BN762">
        <v>1</v>
      </c>
      <c r="BO762">
        <v>1</v>
      </c>
      <c r="BP762">
        <v>0</v>
      </c>
      <c r="BS762">
        <v>0.04</v>
      </c>
      <c r="BT762">
        <v>0</v>
      </c>
      <c r="BU762">
        <v>0</v>
      </c>
      <c r="CE762" t="str">
        <f t="shared" si="270"/>
        <v>19:27:41.241</v>
      </c>
      <c r="CF762">
        <v>241345666</v>
      </c>
      <c r="CS762">
        <v>3</v>
      </c>
      <c r="CT762">
        <v>2</v>
      </c>
      <c r="CU762">
        <v>0</v>
      </c>
      <c r="CV762">
        <v>2</v>
      </c>
      <c r="CW762">
        <v>0</v>
      </c>
      <c r="CX762">
        <v>6</v>
      </c>
      <c r="CY762">
        <v>7</v>
      </c>
      <c r="CZ762" t="s">
        <v>131</v>
      </c>
      <c r="DA762">
        <v>300</v>
      </c>
      <c r="DB762">
        <v>0</v>
      </c>
      <c r="DC762" t="s">
        <v>176</v>
      </c>
      <c r="DD762" t="s">
        <v>177</v>
      </c>
      <c r="DG762">
        <v>5370719</v>
      </c>
      <c r="DI762">
        <v>1</v>
      </c>
      <c r="DJ762">
        <v>0</v>
      </c>
      <c r="DK762">
        <v>1</v>
      </c>
      <c r="DL762">
        <v>0</v>
      </c>
      <c r="DM762">
        <v>0</v>
      </c>
      <c r="DN762">
        <v>1</v>
      </c>
      <c r="DO762">
        <v>0</v>
      </c>
      <c r="DP762">
        <v>0</v>
      </c>
      <c r="DQ762">
        <v>0</v>
      </c>
      <c r="DR762">
        <v>0</v>
      </c>
      <c r="DS762">
        <v>0</v>
      </c>
    </row>
    <row r="763" spans="1:123" x14ac:dyDescent="0.3">
      <c r="A763" t="str">
        <f>"10/04/2022 19:27:41.446"</f>
        <v>10/04/2022 19:27:41.446</v>
      </c>
      <c r="C763" t="str">
        <f t="shared" si="266"/>
        <v>FFDDD3C0</v>
      </c>
      <c r="D763" t="s">
        <v>143</v>
      </c>
      <c r="E763">
        <v>20</v>
      </c>
      <c r="F763">
        <v>1020</v>
      </c>
      <c r="G763" t="s">
        <v>144</v>
      </c>
      <c r="J763" t="s">
        <v>145</v>
      </c>
      <c r="K763">
        <v>0</v>
      </c>
      <c r="L763">
        <v>3</v>
      </c>
      <c r="M763">
        <v>0</v>
      </c>
      <c r="N763">
        <v>2</v>
      </c>
      <c r="O763">
        <v>0</v>
      </c>
      <c r="P763">
        <v>1</v>
      </c>
      <c r="Q763">
        <v>0</v>
      </c>
      <c r="S763" t="str">
        <f t="shared" si="269"/>
        <v>19:27:41.000</v>
      </c>
      <c r="T763" t="str">
        <f t="shared" si="269"/>
        <v>19:27:41.000</v>
      </c>
      <c r="U763" t="str">
        <f t="shared" si="251"/>
        <v>AC3944</v>
      </c>
      <c r="V763">
        <v>0</v>
      </c>
      <c r="W763">
        <v>0</v>
      </c>
      <c r="X763">
        <v>2</v>
      </c>
      <c r="Y763">
        <v>0</v>
      </c>
      <c r="AA763">
        <v>1</v>
      </c>
      <c r="AB763">
        <v>8</v>
      </c>
      <c r="AC763">
        <v>3</v>
      </c>
      <c r="AD763">
        <v>0</v>
      </c>
      <c r="AE763">
        <v>9</v>
      </c>
      <c r="AF763" t="s">
        <v>138</v>
      </c>
      <c r="AG763">
        <v>0</v>
      </c>
      <c r="AH763">
        <v>3</v>
      </c>
      <c r="AI763">
        <v>1</v>
      </c>
      <c r="AJ763">
        <v>0</v>
      </c>
      <c r="AK763" t="s">
        <v>351</v>
      </c>
      <c r="AL763">
        <v>32.816333999999998</v>
      </c>
      <c r="AM763" t="s">
        <v>352</v>
      </c>
      <c r="AN763">
        <v>-116.953518</v>
      </c>
      <c r="AO763">
        <v>25</v>
      </c>
      <c r="AP763">
        <v>1900</v>
      </c>
      <c r="AQ763" t="s">
        <v>129</v>
      </c>
      <c r="AR763">
        <v>123</v>
      </c>
      <c r="AS763">
        <v>-32</v>
      </c>
      <c r="AT763">
        <v>192</v>
      </c>
      <c r="BB763">
        <v>1200</v>
      </c>
      <c r="BC763">
        <v>1</v>
      </c>
      <c r="BD763" t="str">
        <f t="shared" si="252"/>
        <v xml:space="preserve">N887QR  </v>
      </c>
      <c r="BE763">
        <v>1</v>
      </c>
      <c r="BJ763">
        <v>1550</v>
      </c>
      <c r="BK763">
        <v>-350</v>
      </c>
      <c r="BL763" t="s">
        <v>163</v>
      </c>
      <c r="BM763">
        <v>1</v>
      </c>
      <c r="BN763">
        <v>1</v>
      </c>
      <c r="BO763">
        <v>1</v>
      </c>
      <c r="BP763">
        <v>0</v>
      </c>
      <c r="BS763">
        <v>0.04</v>
      </c>
      <c r="BT763">
        <v>0</v>
      </c>
      <c r="BU763">
        <v>0</v>
      </c>
      <c r="CE763" t="str">
        <f t="shared" si="270"/>
        <v>19:27:41.241</v>
      </c>
      <c r="CF763">
        <v>241345666</v>
      </c>
      <c r="CS763">
        <v>3</v>
      </c>
      <c r="CT763">
        <v>2</v>
      </c>
      <c r="CU763">
        <v>0</v>
      </c>
      <c r="CV763">
        <v>2</v>
      </c>
      <c r="CW763">
        <v>0</v>
      </c>
      <c r="CX763">
        <v>6</v>
      </c>
      <c r="CY763">
        <v>7</v>
      </c>
      <c r="CZ763" t="s">
        <v>131</v>
      </c>
      <c r="DA763">
        <v>300</v>
      </c>
      <c r="DB763">
        <v>0</v>
      </c>
      <c r="DC763" t="s">
        <v>176</v>
      </c>
      <c r="DD763" t="s">
        <v>177</v>
      </c>
      <c r="DG763">
        <v>5370719</v>
      </c>
      <c r="DI763">
        <v>1</v>
      </c>
      <c r="DJ763">
        <v>0</v>
      </c>
      <c r="DK763">
        <v>1</v>
      </c>
      <c r="DL763">
        <v>0</v>
      </c>
      <c r="DM763">
        <v>0</v>
      </c>
      <c r="DN763">
        <v>1</v>
      </c>
      <c r="DO763">
        <v>0</v>
      </c>
      <c r="DP763">
        <v>0</v>
      </c>
      <c r="DQ763">
        <v>0</v>
      </c>
      <c r="DR763">
        <v>0</v>
      </c>
      <c r="DS763">
        <v>0</v>
      </c>
    </row>
    <row r="764" spans="1:123" x14ac:dyDescent="0.3">
      <c r="A764" t="str">
        <f>"10/04/2022 19:27:41.461"</f>
        <v>10/04/2022 19:27:41.461</v>
      </c>
      <c r="C764" t="str">
        <f t="shared" si="266"/>
        <v>FFDDD3C0</v>
      </c>
      <c r="D764" t="s">
        <v>147</v>
      </c>
      <c r="E764">
        <v>3</v>
      </c>
      <c r="H764">
        <v>166</v>
      </c>
      <c r="I764" t="s">
        <v>144</v>
      </c>
      <c r="J764" t="s">
        <v>148</v>
      </c>
      <c r="K764">
        <v>0</v>
      </c>
      <c r="L764">
        <v>3</v>
      </c>
      <c r="M764">
        <v>0</v>
      </c>
      <c r="N764">
        <v>2</v>
      </c>
      <c r="O764">
        <v>0</v>
      </c>
      <c r="P764">
        <v>1</v>
      </c>
      <c r="Q764">
        <v>0</v>
      </c>
      <c r="S764" t="str">
        <f t="shared" si="269"/>
        <v>19:27:41.000</v>
      </c>
      <c r="T764" t="str">
        <f t="shared" si="269"/>
        <v>19:27:41.000</v>
      </c>
      <c r="U764" t="str">
        <f t="shared" si="251"/>
        <v>AC3944</v>
      </c>
      <c r="V764">
        <v>0</v>
      </c>
      <c r="W764">
        <v>0</v>
      </c>
      <c r="X764">
        <v>2</v>
      </c>
      <c r="Y764">
        <v>0</v>
      </c>
      <c r="AA764">
        <v>1</v>
      </c>
      <c r="AB764">
        <v>8</v>
      </c>
      <c r="AC764">
        <v>3</v>
      </c>
      <c r="AD764">
        <v>0</v>
      </c>
      <c r="AE764">
        <v>9</v>
      </c>
      <c r="AF764" t="s">
        <v>138</v>
      </c>
      <c r="AG764">
        <v>0</v>
      </c>
      <c r="AH764">
        <v>3</v>
      </c>
      <c r="AI764">
        <v>1</v>
      </c>
      <c r="AJ764">
        <v>0</v>
      </c>
      <c r="AK764" t="s">
        <v>351</v>
      </c>
      <c r="AL764">
        <v>32.816333999999998</v>
      </c>
      <c r="AM764" t="s">
        <v>352</v>
      </c>
      <c r="AN764">
        <v>-116.953518</v>
      </c>
      <c r="AO764">
        <v>25</v>
      </c>
      <c r="AP764">
        <v>1900</v>
      </c>
      <c r="AQ764" t="s">
        <v>129</v>
      </c>
      <c r="AR764">
        <v>123</v>
      </c>
      <c r="AS764">
        <v>-32</v>
      </c>
      <c r="AT764">
        <v>192</v>
      </c>
      <c r="BB764">
        <v>1200</v>
      </c>
      <c r="BC764">
        <v>1</v>
      </c>
      <c r="BD764" t="str">
        <f t="shared" si="252"/>
        <v xml:space="preserve">N887QR  </v>
      </c>
      <c r="BE764">
        <v>1</v>
      </c>
      <c r="BJ764">
        <v>1550</v>
      </c>
      <c r="BK764">
        <v>-350</v>
      </c>
      <c r="BL764" t="s">
        <v>163</v>
      </c>
      <c r="BM764">
        <v>1</v>
      </c>
      <c r="BN764">
        <v>1</v>
      </c>
      <c r="BO764">
        <v>1</v>
      </c>
      <c r="BP764">
        <v>0</v>
      </c>
      <c r="BS764">
        <v>0.04</v>
      </c>
      <c r="BT764">
        <v>0</v>
      </c>
      <c r="BU764">
        <v>0</v>
      </c>
      <c r="CE764" t="str">
        <f t="shared" si="270"/>
        <v>19:27:41.241</v>
      </c>
      <c r="CF764">
        <v>241345666</v>
      </c>
      <c r="CS764">
        <v>3</v>
      </c>
      <c r="CT764">
        <v>2</v>
      </c>
      <c r="CU764">
        <v>0</v>
      </c>
      <c r="CV764">
        <v>2</v>
      </c>
      <c r="CW764">
        <v>0</v>
      </c>
      <c r="CX764">
        <v>6</v>
      </c>
      <c r="CY764">
        <v>7</v>
      </c>
      <c r="CZ764" t="s">
        <v>131</v>
      </c>
      <c r="DA764">
        <v>300</v>
      </c>
      <c r="DB764">
        <v>0</v>
      </c>
      <c r="DC764" t="s">
        <v>176</v>
      </c>
      <c r="DD764" t="s">
        <v>177</v>
      </c>
      <c r="DG764">
        <v>5370719</v>
      </c>
      <c r="DI764">
        <v>1</v>
      </c>
      <c r="DJ764">
        <v>0</v>
      </c>
      <c r="DK764">
        <v>1</v>
      </c>
      <c r="DL764">
        <v>0</v>
      </c>
      <c r="DM764">
        <v>0</v>
      </c>
      <c r="DN764">
        <v>1</v>
      </c>
      <c r="DO764">
        <v>0</v>
      </c>
      <c r="DP764">
        <v>0</v>
      </c>
      <c r="DQ764">
        <v>0</v>
      </c>
      <c r="DR764">
        <v>0</v>
      </c>
      <c r="DS764">
        <v>0</v>
      </c>
    </row>
    <row r="765" spans="1:123" x14ac:dyDescent="0.3">
      <c r="A765" t="str">
        <f>"10/04/2022 19:27:41.461"</f>
        <v>10/04/2022 19:27:41.461</v>
      </c>
      <c r="C765" t="str">
        <f t="shared" si="266"/>
        <v>FFDDD3C0</v>
      </c>
      <c r="D765" t="s">
        <v>136</v>
      </c>
      <c r="E765">
        <v>8</v>
      </c>
      <c r="H765">
        <v>225</v>
      </c>
      <c r="I765" t="s">
        <v>137</v>
      </c>
      <c r="J765" t="s">
        <v>138</v>
      </c>
      <c r="K765">
        <v>0</v>
      </c>
      <c r="L765">
        <v>3</v>
      </c>
      <c r="M765">
        <v>0</v>
      </c>
      <c r="N765">
        <v>2</v>
      </c>
      <c r="O765">
        <v>0</v>
      </c>
      <c r="P765">
        <v>1</v>
      </c>
      <c r="Q765">
        <v>0</v>
      </c>
      <c r="S765" t="str">
        <f t="shared" si="269"/>
        <v>19:27:41.000</v>
      </c>
      <c r="T765" t="str">
        <f t="shared" si="269"/>
        <v>19:27:41.000</v>
      </c>
      <c r="U765" t="str">
        <f t="shared" si="251"/>
        <v>AC3944</v>
      </c>
      <c r="V765">
        <v>0</v>
      </c>
      <c r="W765">
        <v>0</v>
      </c>
      <c r="X765">
        <v>2</v>
      </c>
      <c r="Y765">
        <v>0</v>
      </c>
      <c r="AA765">
        <v>1</v>
      </c>
      <c r="AB765">
        <v>8</v>
      </c>
      <c r="AC765">
        <v>3</v>
      </c>
      <c r="AD765">
        <v>0</v>
      </c>
      <c r="AE765">
        <v>9</v>
      </c>
      <c r="AF765" t="s">
        <v>138</v>
      </c>
      <c r="AG765">
        <v>0</v>
      </c>
      <c r="AH765">
        <v>3</v>
      </c>
      <c r="AI765">
        <v>1</v>
      </c>
      <c r="AJ765">
        <v>0</v>
      </c>
      <c r="AK765" t="s">
        <v>351</v>
      </c>
      <c r="AL765">
        <v>32.816333999999998</v>
      </c>
      <c r="AM765" t="s">
        <v>352</v>
      </c>
      <c r="AN765">
        <v>-116.953518</v>
      </c>
      <c r="AO765">
        <v>25</v>
      </c>
      <c r="AP765">
        <v>1900</v>
      </c>
      <c r="AQ765" t="s">
        <v>129</v>
      </c>
      <c r="AR765">
        <v>123</v>
      </c>
      <c r="AS765">
        <v>-32</v>
      </c>
      <c r="AT765">
        <v>192</v>
      </c>
      <c r="BB765">
        <v>1200</v>
      </c>
      <c r="BC765">
        <v>1</v>
      </c>
      <c r="BD765" t="str">
        <f t="shared" si="252"/>
        <v xml:space="preserve">N887QR  </v>
      </c>
      <c r="BE765">
        <v>1</v>
      </c>
      <c r="BJ765">
        <v>1550</v>
      </c>
      <c r="BK765">
        <v>-350</v>
      </c>
      <c r="BL765" t="s">
        <v>163</v>
      </c>
      <c r="BM765">
        <v>1</v>
      </c>
      <c r="BN765">
        <v>1</v>
      </c>
      <c r="BO765">
        <v>1</v>
      </c>
      <c r="BP765">
        <v>0</v>
      </c>
      <c r="BS765">
        <v>0.04</v>
      </c>
      <c r="BT765">
        <v>0</v>
      </c>
      <c r="BU765">
        <v>0</v>
      </c>
      <c r="CE765" t="str">
        <f t="shared" si="270"/>
        <v>19:27:41.241</v>
      </c>
      <c r="CF765">
        <v>241345666</v>
      </c>
      <c r="CS765">
        <v>3</v>
      </c>
      <c r="CT765">
        <v>2</v>
      </c>
      <c r="CU765">
        <v>0</v>
      </c>
      <c r="CV765">
        <v>2</v>
      </c>
      <c r="CW765">
        <v>0</v>
      </c>
      <c r="CX765">
        <v>6</v>
      </c>
      <c r="CY765">
        <v>7</v>
      </c>
      <c r="CZ765" t="s">
        <v>131</v>
      </c>
      <c r="DA765">
        <v>300</v>
      </c>
      <c r="DB765">
        <v>0</v>
      </c>
      <c r="DC765" t="s">
        <v>176</v>
      </c>
      <c r="DD765" t="s">
        <v>177</v>
      </c>
      <c r="DG765">
        <v>5370719</v>
      </c>
      <c r="DI765">
        <v>1</v>
      </c>
      <c r="DJ765">
        <v>0</v>
      </c>
      <c r="DK765">
        <v>1</v>
      </c>
      <c r="DL765">
        <v>0</v>
      </c>
      <c r="DM765">
        <v>0</v>
      </c>
      <c r="DN765">
        <v>1</v>
      </c>
      <c r="DO765">
        <v>0</v>
      </c>
      <c r="DP765">
        <v>0</v>
      </c>
      <c r="DQ765">
        <v>0</v>
      </c>
      <c r="DR765">
        <v>0</v>
      </c>
      <c r="DS765">
        <v>0</v>
      </c>
    </row>
    <row r="766" spans="1:123" x14ac:dyDescent="0.3">
      <c r="A766" t="str">
        <f>"10/04/2022 19:27:42.149"</f>
        <v>10/04/2022 19:27:42.149</v>
      </c>
      <c r="C766" t="str">
        <f t="shared" si="266"/>
        <v>FFDDD3C0</v>
      </c>
      <c r="D766" t="s">
        <v>143</v>
      </c>
      <c r="E766">
        <v>20</v>
      </c>
      <c r="F766">
        <v>1020</v>
      </c>
      <c r="G766" t="s">
        <v>144</v>
      </c>
      <c r="J766" t="s">
        <v>145</v>
      </c>
      <c r="K766">
        <v>0</v>
      </c>
      <c r="L766">
        <v>3</v>
      </c>
      <c r="M766">
        <v>0</v>
      </c>
      <c r="N766">
        <v>2</v>
      </c>
      <c r="O766">
        <v>0</v>
      </c>
      <c r="P766">
        <v>1</v>
      </c>
      <c r="Q766">
        <v>0</v>
      </c>
      <c r="S766" t="str">
        <f t="shared" si="269"/>
        <v>19:27:41.000</v>
      </c>
      <c r="T766" t="str">
        <f t="shared" si="269"/>
        <v>19:27:41.000</v>
      </c>
      <c r="U766" t="str">
        <f t="shared" si="251"/>
        <v>AC3944</v>
      </c>
      <c r="V766">
        <v>0</v>
      </c>
      <c r="W766">
        <v>0</v>
      </c>
      <c r="X766">
        <v>2</v>
      </c>
      <c r="Y766">
        <v>0</v>
      </c>
      <c r="AA766">
        <v>1</v>
      </c>
      <c r="AB766">
        <v>8</v>
      </c>
      <c r="AC766">
        <v>3</v>
      </c>
      <c r="AD766">
        <v>0</v>
      </c>
      <c r="AE766">
        <v>9</v>
      </c>
      <c r="AF766" t="s">
        <v>138</v>
      </c>
      <c r="AG766">
        <v>0</v>
      </c>
      <c r="AH766">
        <v>3</v>
      </c>
      <c r="AI766">
        <v>1</v>
      </c>
      <c r="AJ766">
        <v>0</v>
      </c>
      <c r="AK766" t="s">
        <v>353</v>
      </c>
      <c r="AL766">
        <v>32.816141000000002</v>
      </c>
      <c r="AM766" t="s">
        <v>354</v>
      </c>
      <c r="AN766">
        <v>-116.952682</v>
      </c>
      <c r="AO766">
        <v>25</v>
      </c>
      <c r="AP766">
        <v>1900</v>
      </c>
      <c r="AQ766" t="s">
        <v>129</v>
      </c>
      <c r="AR766">
        <v>122</v>
      </c>
      <c r="AS766">
        <v>-33</v>
      </c>
      <c r="AT766">
        <v>192</v>
      </c>
      <c r="BB766">
        <v>1200</v>
      </c>
      <c r="BC766">
        <v>1</v>
      </c>
      <c r="BD766" t="str">
        <f t="shared" si="252"/>
        <v xml:space="preserve">N887QR  </v>
      </c>
      <c r="BE766">
        <v>1</v>
      </c>
      <c r="BJ766">
        <v>1550</v>
      </c>
      <c r="BK766">
        <v>-350</v>
      </c>
      <c r="BL766" t="s">
        <v>163</v>
      </c>
      <c r="BM766">
        <v>1</v>
      </c>
      <c r="BN766">
        <v>1</v>
      </c>
      <c r="BO766">
        <v>1</v>
      </c>
      <c r="BP766">
        <v>0</v>
      </c>
      <c r="BS766">
        <v>0.04</v>
      </c>
      <c r="BT766">
        <v>0</v>
      </c>
      <c r="BU766">
        <v>0</v>
      </c>
      <c r="CE766" t="str">
        <f t="shared" ref="CE766:CE772" si="271">"19:27:41.988"</f>
        <v>19:27:41.988</v>
      </c>
      <c r="CF766">
        <v>987848111</v>
      </c>
      <c r="CS766">
        <v>3</v>
      </c>
      <c r="CT766">
        <v>2</v>
      </c>
      <c r="CU766">
        <v>0</v>
      </c>
      <c r="CV766">
        <v>2</v>
      </c>
      <c r="CW766">
        <v>0</v>
      </c>
      <c r="CX766">
        <v>6</v>
      </c>
      <c r="CY766">
        <v>7</v>
      </c>
      <c r="CZ766" t="s">
        <v>131</v>
      </c>
      <c r="DA766">
        <v>300</v>
      </c>
      <c r="DB766">
        <v>0</v>
      </c>
      <c r="DC766" t="s">
        <v>176</v>
      </c>
      <c r="DD766" t="s">
        <v>177</v>
      </c>
      <c r="DG766">
        <v>5370862</v>
      </c>
      <c r="DI766">
        <v>1</v>
      </c>
      <c r="DJ766">
        <v>0</v>
      </c>
      <c r="DK766">
        <v>0</v>
      </c>
      <c r="DL766">
        <v>0</v>
      </c>
      <c r="DM766">
        <v>0</v>
      </c>
      <c r="DN766">
        <v>1</v>
      </c>
      <c r="DO766">
        <v>0</v>
      </c>
      <c r="DP766">
        <v>0</v>
      </c>
      <c r="DQ766">
        <v>0</v>
      </c>
      <c r="DR766">
        <v>0</v>
      </c>
      <c r="DS766">
        <v>0</v>
      </c>
    </row>
    <row r="767" spans="1:123" x14ac:dyDescent="0.3">
      <c r="A767" t="str">
        <f>"10/04/2022 19:27:42.149"</f>
        <v>10/04/2022 19:27:42.149</v>
      </c>
      <c r="C767" t="str">
        <f t="shared" si="266"/>
        <v>FFDDD3C0</v>
      </c>
      <c r="D767" t="s">
        <v>147</v>
      </c>
      <c r="E767">
        <v>3</v>
      </c>
      <c r="H767">
        <v>166</v>
      </c>
      <c r="I767" t="s">
        <v>144</v>
      </c>
      <c r="J767" t="s">
        <v>148</v>
      </c>
      <c r="K767">
        <v>0</v>
      </c>
      <c r="L767">
        <v>3</v>
      </c>
      <c r="M767">
        <v>0</v>
      </c>
      <c r="N767">
        <v>2</v>
      </c>
      <c r="O767">
        <v>0</v>
      </c>
      <c r="P767">
        <v>1</v>
      </c>
      <c r="Q767">
        <v>0</v>
      </c>
      <c r="S767" t="str">
        <f t="shared" si="269"/>
        <v>19:27:41.000</v>
      </c>
      <c r="T767" t="str">
        <f t="shared" si="269"/>
        <v>19:27:41.000</v>
      </c>
      <c r="U767" t="str">
        <f t="shared" si="251"/>
        <v>AC3944</v>
      </c>
      <c r="V767">
        <v>0</v>
      </c>
      <c r="W767">
        <v>0</v>
      </c>
      <c r="X767">
        <v>2</v>
      </c>
      <c r="Y767">
        <v>0</v>
      </c>
      <c r="AA767">
        <v>1</v>
      </c>
      <c r="AB767">
        <v>8</v>
      </c>
      <c r="AC767">
        <v>3</v>
      </c>
      <c r="AD767">
        <v>0</v>
      </c>
      <c r="AE767">
        <v>9</v>
      </c>
      <c r="AF767" t="s">
        <v>138</v>
      </c>
      <c r="AG767">
        <v>0</v>
      </c>
      <c r="AH767">
        <v>3</v>
      </c>
      <c r="AI767">
        <v>1</v>
      </c>
      <c r="AJ767">
        <v>0</v>
      </c>
      <c r="AK767" t="s">
        <v>353</v>
      </c>
      <c r="AL767">
        <v>32.816141000000002</v>
      </c>
      <c r="AM767" t="s">
        <v>354</v>
      </c>
      <c r="AN767">
        <v>-116.952682</v>
      </c>
      <c r="AO767">
        <v>25</v>
      </c>
      <c r="AP767">
        <v>1900</v>
      </c>
      <c r="AQ767" t="s">
        <v>129</v>
      </c>
      <c r="AR767">
        <v>122</v>
      </c>
      <c r="AS767">
        <v>-33</v>
      </c>
      <c r="AT767">
        <v>192</v>
      </c>
      <c r="BB767">
        <v>1200</v>
      </c>
      <c r="BC767">
        <v>1</v>
      </c>
      <c r="BD767" t="str">
        <f t="shared" si="252"/>
        <v xml:space="preserve">N887QR  </v>
      </c>
      <c r="BE767">
        <v>1</v>
      </c>
      <c r="BJ767">
        <v>1550</v>
      </c>
      <c r="BK767">
        <v>-350</v>
      </c>
      <c r="BL767" t="s">
        <v>163</v>
      </c>
      <c r="BM767">
        <v>1</v>
      </c>
      <c r="BN767">
        <v>1</v>
      </c>
      <c r="BO767">
        <v>1</v>
      </c>
      <c r="BP767">
        <v>0</v>
      </c>
      <c r="BS767">
        <v>0.04</v>
      </c>
      <c r="BT767">
        <v>0</v>
      </c>
      <c r="BU767">
        <v>0</v>
      </c>
      <c r="CE767" t="str">
        <f t="shared" si="271"/>
        <v>19:27:41.988</v>
      </c>
      <c r="CF767">
        <v>987848111</v>
      </c>
      <c r="CS767">
        <v>3</v>
      </c>
      <c r="CT767">
        <v>2</v>
      </c>
      <c r="CU767">
        <v>0</v>
      </c>
      <c r="CV767">
        <v>2</v>
      </c>
      <c r="CW767">
        <v>0</v>
      </c>
      <c r="CX767">
        <v>6</v>
      </c>
      <c r="CY767">
        <v>7</v>
      </c>
      <c r="CZ767" t="s">
        <v>131</v>
      </c>
      <c r="DA767">
        <v>300</v>
      </c>
      <c r="DB767">
        <v>0</v>
      </c>
      <c r="DC767" t="s">
        <v>176</v>
      </c>
      <c r="DD767" t="s">
        <v>177</v>
      </c>
      <c r="DG767">
        <v>5370862</v>
      </c>
      <c r="DI767">
        <v>1</v>
      </c>
      <c r="DJ767">
        <v>0</v>
      </c>
      <c r="DK767">
        <v>1</v>
      </c>
      <c r="DL767">
        <v>0</v>
      </c>
      <c r="DM767">
        <v>0</v>
      </c>
      <c r="DN767">
        <v>1</v>
      </c>
      <c r="DO767">
        <v>0</v>
      </c>
      <c r="DP767">
        <v>0</v>
      </c>
      <c r="DQ767">
        <v>0</v>
      </c>
      <c r="DR767">
        <v>0</v>
      </c>
      <c r="DS767">
        <v>0</v>
      </c>
    </row>
    <row r="768" spans="1:123" x14ac:dyDescent="0.3">
      <c r="A768" t="str">
        <f>"10/04/2022 19:27:42.149"</f>
        <v>10/04/2022 19:27:42.149</v>
      </c>
      <c r="C768" t="str">
        <f t="shared" si="266"/>
        <v>FFDDD3C0</v>
      </c>
      <c r="D768" t="s">
        <v>136</v>
      </c>
      <c r="E768">
        <v>8</v>
      </c>
      <c r="H768">
        <v>225</v>
      </c>
      <c r="I768" t="s">
        <v>137</v>
      </c>
      <c r="J768" t="s">
        <v>138</v>
      </c>
      <c r="K768">
        <v>0</v>
      </c>
      <c r="L768">
        <v>3</v>
      </c>
      <c r="M768">
        <v>0</v>
      </c>
      <c r="N768">
        <v>2</v>
      </c>
      <c r="O768">
        <v>0</v>
      </c>
      <c r="P768">
        <v>1</v>
      </c>
      <c r="Q768">
        <v>0</v>
      </c>
      <c r="S768" t="str">
        <f t="shared" si="269"/>
        <v>19:27:41.000</v>
      </c>
      <c r="T768" t="str">
        <f t="shared" si="269"/>
        <v>19:27:41.000</v>
      </c>
      <c r="U768" t="str">
        <f t="shared" si="251"/>
        <v>AC3944</v>
      </c>
      <c r="V768">
        <v>0</v>
      </c>
      <c r="W768">
        <v>0</v>
      </c>
      <c r="X768">
        <v>2</v>
      </c>
      <c r="Y768">
        <v>0</v>
      </c>
      <c r="AA768">
        <v>1</v>
      </c>
      <c r="AB768">
        <v>8</v>
      </c>
      <c r="AC768">
        <v>3</v>
      </c>
      <c r="AD768">
        <v>0</v>
      </c>
      <c r="AE768">
        <v>9</v>
      </c>
      <c r="AF768" t="s">
        <v>138</v>
      </c>
      <c r="AG768">
        <v>0</v>
      </c>
      <c r="AH768">
        <v>3</v>
      </c>
      <c r="AI768">
        <v>1</v>
      </c>
      <c r="AJ768">
        <v>0</v>
      </c>
      <c r="AK768" t="s">
        <v>353</v>
      </c>
      <c r="AL768">
        <v>32.816141000000002</v>
      </c>
      <c r="AM768" t="s">
        <v>354</v>
      </c>
      <c r="AN768">
        <v>-116.952682</v>
      </c>
      <c r="AO768">
        <v>25</v>
      </c>
      <c r="AP768">
        <v>1900</v>
      </c>
      <c r="AQ768" t="s">
        <v>129</v>
      </c>
      <c r="AR768">
        <v>122</v>
      </c>
      <c r="AS768">
        <v>-33</v>
      </c>
      <c r="AT768">
        <v>192</v>
      </c>
      <c r="BB768">
        <v>1200</v>
      </c>
      <c r="BC768">
        <v>1</v>
      </c>
      <c r="BD768" t="str">
        <f t="shared" si="252"/>
        <v xml:space="preserve">N887QR  </v>
      </c>
      <c r="BE768">
        <v>1</v>
      </c>
      <c r="BJ768">
        <v>1550</v>
      </c>
      <c r="BK768">
        <v>-350</v>
      </c>
      <c r="BL768" t="s">
        <v>163</v>
      </c>
      <c r="BM768">
        <v>1</v>
      </c>
      <c r="BN768">
        <v>1</v>
      </c>
      <c r="BO768">
        <v>1</v>
      </c>
      <c r="BP768">
        <v>0</v>
      </c>
      <c r="BS768">
        <v>0.04</v>
      </c>
      <c r="BT768">
        <v>0</v>
      </c>
      <c r="BU768">
        <v>0</v>
      </c>
      <c r="CE768" t="str">
        <f t="shared" si="271"/>
        <v>19:27:41.988</v>
      </c>
      <c r="CF768">
        <v>987848111</v>
      </c>
      <c r="CS768">
        <v>3</v>
      </c>
      <c r="CT768">
        <v>2</v>
      </c>
      <c r="CU768">
        <v>0</v>
      </c>
      <c r="CV768">
        <v>2</v>
      </c>
      <c r="CW768">
        <v>0</v>
      </c>
      <c r="CX768">
        <v>6</v>
      </c>
      <c r="CY768">
        <v>7</v>
      </c>
      <c r="CZ768" t="s">
        <v>131</v>
      </c>
      <c r="DA768">
        <v>300</v>
      </c>
      <c r="DB768">
        <v>0</v>
      </c>
      <c r="DC768" t="s">
        <v>176</v>
      </c>
      <c r="DD768" t="s">
        <v>177</v>
      </c>
      <c r="DG768">
        <v>5370862</v>
      </c>
      <c r="DI768">
        <v>1</v>
      </c>
      <c r="DJ768">
        <v>0</v>
      </c>
      <c r="DK768">
        <v>1</v>
      </c>
      <c r="DL768">
        <v>0</v>
      </c>
      <c r="DM768">
        <v>0</v>
      </c>
      <c r="DN768">
        <v>1</v>
      </c>
      <c r="DO768">
        <v>0</v>
      </c>
      <c r="DP768">
        <v>0</v>
      </c>
      <c r="DQ768">
        <v>0</v>
      </c>
      <c r="DR768">
        <v>0</v>
      </c>
      <c r="DS768">
        <v>0</v>
      </c>
    </row>
    <row r="769" spans="1:123" x14ac:dyDescent="0.3">
      <c r="A769" t="str">
        <f>"10/04/2022 19:27:42.180"</f>
        <v>10/04/2022 19:27:42.180</v>
      </c>
      <c r="C769" t="str">
        <f t="shared" si="266"/>
        <v>FFDDD3C0</v>
      </c>
      <c r="D769" t="s">
        <v>123</v>
      </c>
      <c r="E769">
        <v>7</v>
      </c>
      <c r="F769">
        <v>2007</v>
      </c>
      <c r="G769" t="s">
        <v>124</v>
      </c>
      <c r="J769" t="s">
        <v>125</v>
      </c>
      <c r="K769">
        <v>0</v>
      </c>
      <c r="L769">
        <v>3</v>
      </c>
      <c r="M769">
        <v>0</v>
      </c>
      <c r="N769">
        <v>2</v>
      </c>
      <c r="O769">
        <v>0</v>
      </c>
      <c r="P769">
        <v>1</v>
      </c>
      <c r="Q769">
        <v>0</v>
      </c>
      <c r="S769" t="str">
        <f t="shared" si="269"/>
        <v>19:27:41.000</v>
      </c>
      <c r="T769" t="str">
        <f t="shared" si="269"/>
        <v>19:27:41.000</v>
      </c>
      <c r="U769" t="str">
        <f t="shared" si="251"/>
        <v>AC3944</v>
      </c>
      <c r="V769">
        <v>0</v>
      </c>
      <c r="W769">
        <v>0</v>
      </c>
      <c r="X769">
        <v>2</v>
      </c>
      <c r="Y769">
        <v>0</v>
      </c>
      <c r="AA769">
        <v>1</v>
      </c>
      <c r="AB769">
        <v>8</v>
      </c>
      <c r="AC769">
        <v>3</v>
      </c>
      <c r="AD769">
        <v>0</v>
      </c>
      <c r="AE769">
        <v>9</v>
      </c>
      <c r="AF769" t="s">
        <v>138</v>
      </c>
      <c r="AG769">
        <v>0</v>
      </c>
      <c r="AH769">
        <v>3</v>
      </c>
      <c r="AI769">
        <v>1</v>
      </c>
      <c r="AJ769">
        <v>0</v>
      </c>
      <c r="AK769" t="s">
        <v>353</v>
      </c>
      <c r="AL769">
        <v>32.816141000000002</v>
      </c>
      <c r="AM769" t="s">
        <v>354</v>
      </c>
      <c r="AN769">
        <v>-116.952682</v>
      </c>
      <c r="AO769">
        <v>25</v>
      </c>
      <c r="AP769">
        <v>1900</v>
      </c>
      <c r="AQ769" t="s">
        <v>129</v>
      </c>
      <c r="AR769">
        <v>122</v>
      </c>
      <c r="AS769">
        <v>-33</v>
      </c>
      <c r="AT769">
        <v>192</v>
      </c>
      <c r="BB769">
        <v>1200</v>
      </c>
      <c r="BC769">
        <v>1</v>
      </c>
      <c r="BD769" t="str">
        <f t="shared" si="252"/>
        <v xml:space="preserve">N887QR  </v>
      </c>
      <c r="BE769">
        <v>1</v>
      </c>
      <c r="BJ769">
        <v>1550</v>
      </c>
      <c r="BK769">
        <v>-350</v>
      </c>
      <c r="BL769" t="s">
        <v>163</v>
      </c>
      <c r="BM769">
        <v>1</v>
      </c>
      <c r="BN769">
        <v>1</v>
      </c>
      <c r="BO769">
        <v>1</v>
      </c>
      <c r="BP769">
        <v>0</v>
      </c>
      <c r="BS769">
        <v>0.04</v>
      </c>
      <c r="BT769">
        <v>0</v>
      </c>
      <c r="BU769">
        <v>0</v>
      </c>
      <c r="CE769" t="str">
        <f t="shared" si="271"/>
        <v>19:27:41.988</v>
      </c>
      <c r="CF769">
        <v>987848111</v>
      </c>
      <c r="CS769">
        <v>3</v>
      </c>
      <c r="CT769">
        <v>2</v>
      </c>
      <c r="CU769">
        <v>0</v>
      </c>
      <c r="CV769">
        <v>2</v>
      </c>
      <c r="CW769">
        <v>0</v>
      </c>
      <c r="CX769">
        <v>6</v>
      </c>
      <c r="CY769">
        <v>7</v>
      </c>
      <c r="CZ769" t="s">
        <v>131</v>
      </c>
      <c r="DA769">
        <v>300</v>
      </c>
      <c r="DB769">
        <v>0</v>
      </c>
      <c r="DC769" t="s">
        <v>176</v>
      </c>
      <c r="DD769" t="s">
        <v>177</v>
      </c>
      <c r="DG769">
        <v>5370862</v>
      </c>
      <c r="DI769">
        <v>1</v>
      </c>
      <c r="DJ769">
        <v>0</v>
      </c>
      <c r="DK769">
        <v>1</v>
      </c>
      <c r="DL769">
        <v>0</v>
      </c>
      <c r="DM769">
        <v>0</v>
      </c>
      <c r="DN769">
        <v>1</v>
      </c>
      <c r="DO769">
        <v>0</v>
      </c>
      <c r="DP769">
        <v>0</v>
      </c>
      <c r="DQ769">
        <v>0</v>
      </c>
      <c r="DR769">
        <v>0</v>
      </c>
      <c r="DS769">
        <v>0</v>
      </c>
    </row>
    <row r="770" spans="1:123" x14ac:dyDescent="0.3">
      <c r="A770" t="str">
        <f>"10/04/2022 19:27:42.211"</f>
        <v>10/04/2022 19:27:42.211</v>
      </c>
      <c r="C770" t="str">
        <f t="shared" si="266"/>
        <v>FFDDD3C0</v>
      </c>
      <c r="D770" t="s">
        <v>141</v>
      </c>
      <c r="E770">
        <v>3</v>
      </c>
      <c r="H770">
        <v>3</v>
      </c>
      <c r="I770" t="s">
        <v>146</v>
      </c>
      <c r="J770" t="s">
        <v>138</v>
      </c>
      <c r="K770">
        <v>0</v>
      </c>
      <c r="L770">
        <v>3</v>
      </c>
      <c r="M770">
        <v>0</v>
      </c>
      <c r="N770">
        <v>2</v>
      </c>
      <c r="O770">
        <v>0</v>
      </c>
      <c r="P770">
        <v>1</v>
      </c>
      <c r="Q770">
        <v>0</v>
      </c>
      <c r="S770" t="str">
        <f t="shared" si="269"/>
        <v>19:27:41.000</v>
      </c>
      <c r="T770" t="str">
        <f t="shared" si="269"/>
        <v>19:27:41.000</v>
      </c>
      <c r="U770" t="str">
        <f t="shared" ref="U770:U833" si="272">"AC3944"</f>
        <v>AC3944</v>
      </c>
      <c r="V770">
        <v>0</v>
      </c>
      <c r="W770">
        <v>0</v>
      </c>
      <c r="X770">
        <v>2</v>
      </c>
      <c r="Y770">
        <v>0</v>
      </c>
      <c r="AA770">
        <v>1</v>
      </c>
      <c r="AB770">
        <v>8</v>
      </c>
      <c r="AC770">
        <v>3</v>
      </c>
      <c r="AD770">
        <v>0</v>
      </c>
      <c r="AE770">
        <v>9</v>
      </c>
      <c r="AF770" t="s">
        <v>138</v>
      </c>
      <c r="AG770">
        <v>0</v>
      </c>
      <c r="AH770">
        <v>3</v>
      </c>
      <c r="AI770">
        <v>1</v>
      </c>
      <c r="AJ770">
        <v>0</v>
      </c>
      <c r="AK770" t="s">
        <v>353</v>
      </c>
      <c r="AL770">
        <v>32.816141000000002</v>
      </c>
      <c r="AM770" t="s">
        <v>354</v>
      </c>
      <c r="AN770">
        <v>-116.952682</v>
      </c>
      <c r="AO770">
        <v>25</v>
      </c>
      <c r="AP770">
        <v>1900</v>
      </c>
      <c r="AQ770" t="s">
        <v>129</v>
      </c>
      <c r="AR770">
        <v>122</v>
      </c>
      <c r="AS770">
        <v>-33</v>
      </c>
      <c r="AT770">
        <v>192</v>
      </c>
      <c r="BB770">
        <v>1200</v>
      </c>
      <c r="BC770">
        <v>1</v>
      </c>
      <c r="BD770" t="str">
        <f t="shared" ref="BD770:BD833" si="273">"N887QR  "</f>
        <v xml:space="preserve">N887QR  </v>
      </c>
      <c r="BE770">
        <v>1</v>
      </c>
      <c r="BJ770">
        <v>1550</v>
      </c>
      <c r="BK770">
        <v>-350</v>
      </c>
      <c r="BL770" t="s">
        <v>163</v>
      </c>
      <c r="BM770">
        <v>1</v>
      </c>
      <c r="BN770">
        <v>1</v>
      </c>
      <c r="BO770">
        <v>1</v>
      </c>
      <c r="BP770">
        <v>0</v>
      </c>
      <c r="BS770">
        <v>0.04</v>
      </c>
      <c r="BT770">
        <v>0</v>
      </c>
      <c r="BU770">
        <v>0</v>
      </c>
      <c r="CE770" t="str">
        <f t="shared" si="271"/>
        <v>19:27:41.988</v>
      </c>
      <c r="CF770">
        <v>987848111</v>
      </c>
      <c r="CS770">
        <v>3</v>
      </c>
      <c r="CT770">
        <v>2</v>
      </c>
      <c r="CU770">
        <v>0</v>
      </c>
      <c r="CV770">
        <v>2</v>
      </c>
      <c r="CW770">
        <v>0</v>
      </c>
      <c r="CX770">
        <v>6</v>
      </c>
      <c r="CY770">
        <v>7</v>
      </c>
      <c r="CZ770" t="s">
        <v>131</v>
      </c>
      <c r="DA770">
        <v>300</v>
      </c>
      <c r="DB770">
        <v>0</v>
      </c>
      <c r="DC770" t="s">
        <v>176</v>
      </c>
      <c r="DD770" t="s">
        <v>177</v>
      </c>
      <c r="DG770">
        <v>5370862</v>
      </c>
      <c r="DI770">
        <v>1</v>
      </c>
      <c r="DJ770">
        <v>0</v>
      </c>
      <c r="DK770">
        <v>1</v>
      </c>
      <c r="DL770">
        <v>0</v>
      </c>
      <c r="DM770">
        <v>0</v>
      </c>
      <c r="DN770">
        <v>1</v>
      </c>
      <c r="DO770">
        <v>0</v>
      </c>
      <c r="DP770">
        <v>0</v>
      </c>
      <c r="DQ770">
        <v>0</v>
      </c>
      <c r="DR770">
        <v>0</v>
      </c>
      <c r="DS770">
        <v>0</v>
      </c>
    </row>
    <row r="771" spans="1:123" x14ac:dyDescent="0.3">
      <c r="A771" t="str">
        <f>"10/04/2022 19:27:42.211"</f>
        <v>10/04/2022 19:27:42.211</v>
      </c>
      <c r="C771" t="str">
        <f t="shared" si="266"/>
        <v>FFDDD3C0</v>
      </c>
      <c r="D771" t="s">
        <v>141</v>
      </c>
      <c r="E771">
        <v>4</v>
      </c>
      <c r="H771">
        <v>4</v>
      </c>
      <c r="I771" t="s">
        <v>142</v>
      </c>
      <c r="J771" t="s">
        <v>138</v>
      </c>
      <c r="K771">
        <v>0</v>
      </c>
      <c r="L771">
        <v>3</v>
      </c>
      <c r="M771">
        <v>0</v>
      </c>
      <c r="N771">
        <v>2</v>
      </c>
      <c r="O771">
        <v>0</v>
      </c>
      <c r="P771">
        <v>1</v>
      </c>
      <c r="Q771">
        <v>0</v>
      </c>
      <c r="S771" t="str">
        <f t="shared" si="269"/>
        <v>19:27:41.000</v>
      </c>
      <c r="T771" t="str">
        <f t="shared" si="269"/>
        <v>19:27:41.000</v>
      </c>
      <c r="U771" t="str">
        <f t="shared" si="272"/>
        <v>AC3944</v>
      </c>
      <c r="V771">
        <v>0</v>
      </c>
      <c r="W771">
        <v>0</v>
      </c>
      <c r="X771">
        <v>2</v>
      </c>
      <c r="Y771">
        <v>0</v>
      </c>
      <c r="AA771">
        <v>1</v>
      </c>
      <c r="AB771">
        <v>8</v>
      </c>
      <c r="AC771">
        <v>3</v>
      </c>
      <c r="AD771">
        <v>0</v>
      </c>
      <c r="AE771">
        <v>9</v>
      </c>
      <c r="AF771" t="s">
        <v>138</v>
      </c>
      <c r="AG771">
        <v>0</v>
      </c>
      <c r="AH771">
        <v>3</v>
      </c>
      <c r="AI771">
        <v>1</v>
      </c>
      <c r="AJ771">
        <v>0</v>
      </c>
      <c r="AK771" t="s">
        <v>353</v>
      </c>
      <c r="AL771">
        <v>32.816141000000002</v>
      </c>
      <c r="AM771" t="s">
        <v>354</v>
      </c>
      <c r="AN771">
        <v>-116.952682</v>
      </c>
      <c r="AO771">
        <v>25</v>
      </c>
      <c r="AP771">
        <v>1900</v>
      </c>
      <c r="AQ771" t="s">
        <v>129</v>
      </c>
      <c r="AR771">
        <v>122</v>
      </c>
      <c r="AS771">
        <v>-33</v>
      </c>
      <c r="AT771">
        <v>192</v>
      </c>
      <c r="BB771">
        <v>1200</v>
      </c>
      <c r="BC771">
        <v>1</v>
      </c>
      <c r="BD771" t="str">
        <f t="shared" si="273"/>
        <v xml:space="preserve">N887QR  </v>
      </c>
      <c r="BE771">
        <v>1</v>
      </c>
      <c r="BJ771">
        <v>1550</v>
      </c>
      <c r="BK771">
        <v>-350</v>
      </c>
      <c r="BL771" t="s">
        <v>163</v>
      </c>
      <c r="BM771">
        <v>1</v>
      </c>
      <c r="BN771">
        <v>1</v>
      </c>
      <c r="BO771">
        <v>1</v>
      </c>
      <c r="BP771">
        <v>0</v>
      </c>
      <c r="BS771">
        <v>0.04</v>
      </c>
      <c r="BT771">
        <v>0</v>
      </c>
      <c r="BU771">
        <v>0</v>
      </c>
      <c r="CE771" t="str">
        <f t="shared" si="271"/>
        <v>19:27:41.988</v>
      </c>
      <c r="CF771">
        <v>987848111</v>
      </c>
      <c r="CS771">
        <v>3</v>
      </c>
      <c r="CT771">
        <v>2</v>
      </c>
      <c r="CU771">
        <v>0</v>
      </c>
      <c r="CV771">
        <v>2</v>
      </c>
      <c r="CW771">
        <v>0</v>
      </c>
      <c r="CX771">
        <v>6</v>
      </c>
      <c r="CY771">
        <v>7</v>
      </c>
      <c r="CZ771" t="s">
        <v>131</v>
      </c>
      <c r="DA771">
        <v>300</v>
      </c>
      <c r="DB771">
        <v>0</v>
      </c>
      <c r="DC771" t="s">
        <v>176</v>
      </c>
      <c r="DD771" t="s">
        <v>177</v>
      </c>
      <c r="DG771">
        <v>5370862</v>
      </c>
      <c r="DI771">
        <v>1</v>
      </c>
      <c r="DJ771">
        <v>0</v>
      </c>
      <c r="DK771">
        <v>1</v>
      </c>
      <c r="DL771">
        <v>0</v>
      </c>
      <c r="DM771">
        <v>0</v>
      </c>
      <c r="DN771">
        <v>1</v>
      </c>
      <c r="DO771">
        <v>0</v>
      </c>
      <c r="DP771">
        <v>0</v>
      </c>
      <c r="DQ771">
        <v>0</v>
      </c>
      <c r="DR771">
        <v>0</v>
      </c>
      <c r="DS771">
        <v>0</v>
      </c>
    </row>
    <row r="772" spans="1:123" x14ac:dyDescent="0.3">
      <c r="A772" t="str">
        <f>"10/04/2022 19:27:42.211"</f>
        <v>10/04/2022 19:27:42.211</v>
      </c>
      <c r="C772" t="str">
        <f t="shared" si="266"/>
        <v>FFDDD3C0</v>
      </c>
      <c r="D772" t="s">
        <v>134</v>
      </c>
      <c r="E772">
        <v>15</v>
      </c>
      <c r="J772" t="s">
        <v>135</v>
      </c>
      <c r="K772">
        <v>0</v>
      </c>
      <c r="L772">
        <v>3</v>
      </c>
      <c r="M772">
        <v>0</v>
      </c>
      <c r="N772">
        <v>2</v>
      </c>
      <c r="O772">
        <v>0</v>
      </c>
      <c r="P772">
        <v>1</v>
      </c>
      <c r="Q772">
        <v>0</v>
      </c>
      <c r="S772" t="str">
        <f t="shared" si="269"/>
        <v>19:27:41.000</v>
      </c>
      <c r="T772" t="str">
        <f t="shared" si="269"/>
        <v>19:27:41.000</v>
      </c>
      <c r="U772" t="str">
        <f t="shared" si="272"/>
        <v>AC3944</v>
      </c>
      <c r="V772">
        <v>0</v>
      </c>
      <c r="W772">
        <v>0</v>
      </c>
      <c r="X772">
        <v>2</v>
      </c>
      <c r="Y772">
        <v>0</v>
      </c>
      <c r="AA772">
        <v>1</v>
      </c>
      <c r="AB772">
        <v>8</v>
      </c>
      <c r="AC772">
        <v>3</v>
      </c>
      <c r="AD772">
        <v>0</v>
      </c>
      <c r="AE772">
        <v>9</v>
      </c>
      <c r="AF772" t="s">
        <v>138</v>
      </c>
      <c r="AG772">
        <v>0</v>
      </c>
      <c r="AH772">
        <v>3</v>
      </c>
      <c r="AI772">
        <v>1</v>
      </c>
      <c r="AJ772">
        <v>0</v>
      </c>
      <c r="AK772" t="s">
        <v>353</v>
      </c>
      <c r="AL772">
        <v>32.816141000000002</v>
      </c>
      <c r="AM772" t="s">
        <v>354</v>
      </c>
      <c r="AN772">
        <v>-116.952682</v>
      </c>
      <c r="AO772">
        <v>25</v>
      </c>
      <c r="AP772">
        <v>1900</v>
      </c>
      <c r="AQ772" t="s">
        <v>129</v>
      </c>
      <c r="AR772">
        <v>122</v>
      </c>
      <c r="AS772">
        <v>-33</v>
      </c>
      <c r="AT772">
        <v>192</v>
      </c>
      <c r="BB772">
        <v>1200</v>
      </c>
      <c r="BC772">
        <v>1</v>
      </c>
      <c r="BD772" t="str">
        <f t="shared" si="273"/>
        <v xml:space="preserve">N887QR  </v>
      </c>
      <c r="BE772">
        <v>1</v>
      </c>
      <c r="BJ772">
        <v>1550</v>
      </c>
      <c r="BK772">
        <v>-350</v>
      </c>
      <c r="BL772" t="s">
        <v>163</v>
      </c>
      <c r="BM772">
        <v>1</v>
      </c>
      <c r="BN772">
        <v>1</v>
      </c>
      <c r="BO772">
        <v>1</v>
      </c>
      <c r="BP772">
        <v>0</v>
      </c>
      <c r="BS772">
        <v>0.04</v>
      </c>
      <c r="BT772">
        <v>0</v>
      </c>
      <c r="BU772">
        <v>0</v>
      </c>
      <c r="CE772" t="str">
        <f t="shared" si="271"/>
        <v>19:27:41.988</v>
      </c>
      <c r="CF772">
        <v>987848111</v>
      </c>
      <c r="CS772">
        <v>3</v>
      </c>
      <c r="CT772">
        <v>2</v>
      </c>
      <c r="CU772">
        <v>0</v>
      </c>
      <c r="CV772">
        <v>2</v>
      </c>
      <c r="CW772">
        <v>0</v>
      </c>
      <c r="CX772">
        <v>6</v>
      </c>
      <c r="CY772">
        <v>7</v>
      </c>
      <c r="CZ772" t="s">
        <v>131</v>
      </c>
      <c r="DA772">
        <v>300</v>
      </c>
      <c r="DB772">
        <v>0</v>
      </c>
      <c r="DC772" t="s">
        <v>176</v>
      </c>
      <c r="DD772" t="s">
        <v>177</v>
      </c>
      <c r="DG772">
        <v>5370862</v>
      </c>
      <c r="DI772">
        <v>1</v>
      </c>
      <c r="DJ772">
        <v>0</v>
      </c>
      <c r="DK772">
        <v>1</v>
      </c>
      <c r="DL772">
        <v>0</v>
      </c>
      <c r="DM772">
        <v>0</v>
      </c>
      <c r="DN772">
        <v>1</v>
      </c>
      <c r="DO772">
        <v>0</v>
      </c>
      <c r="DP772">
        <v>0</v>
      </c>
      <c r="DQ772">
        <v>0</v>
      </c>
      <c r="DR772">
        <v>0</v>
      </c>
      <c r="DS772">
        <v>0</v>
      </c>
    </row>
    <row r="773" spans="1:123" x14ac:dyDescent="0.3">
      <c r="A773" t="str">
        <f>"10/04/2022 19:27:43.369"</f>
        <v>10/04/2022 19:27:43.369</v>
      </c>
      <c r="C773" t="str">
        <f t="shared" si="266"/>
        <v>FFDDD3C0</v>
      </c>
      <c r="D773" t="s">
        <v>141</v>
      </c>
      <c r="E773">
        <v>4</v>
      </c>
      <c r="H773">
        <v>4</v>
      </c>
      <c r="I773" t="s">
        <v>142</v>
      </c>
      <c r="J773" t="s">
        <v>138</v>
      </c>
      <c r="K773">
        <v>0</v>
      </c>
      <c r="L773">
        <v>3</v>
      </c>
      <c r="M773">
        <v>0</v>
      </c>
      <c r="N773">
        <v>2</v>
      </c>
      <c r="O773">
        <v>0</v>
      </c>
      <c r="P773">
        <v>1</v>
      </c>
      <c r="Q773">
        <v>0</v>
      </c>
      <c r="S773" t="str">
        <f t="shared" ref="S773:T779" si="274">"19:27:43.000"</f>
        <v>19:27:43.000</v>
      </c>
      <c r="T773" t="str">
        <f t="shared" si="274"/>
        <v>19:27:43.000</v>
      </c>
      <c r="U773" t="str">
        <f t="shared" si="272"/>
        <v>AC3944</v>
      </c>
      <c r="V773">
        <v>0</v>
      </c>
      <c r="W773">
        <v>0</v>
      </c>
      <c r="X773">
        <v>2</v>
      </c>
      <c r="Y773">
        <v>0</v>
      </c>
      <c r="AA773">
        <v>1</v>
      </c>
      <c r="AB773">
        <v>8</v>
      </c>
      <c r="AC773">
        <v>3</v>
      </c>
      <c r="AD773">
        <v>0</v>
      </c>
      <c r="AE773">
        <v>9</v>
      </c>
      <c r="AF773" t="s">
        <v>138</v>
      </c>
      <c r="AG773">
        <v>0</v>
      </c>
      <c r="AH773">
        <v>3</v>
      </c>
      <c r="AI773">
        <v>1</v>
      </c>
      <c r="AJ773">
        <v>0</v>
      </c>
      <c r="AK773" t="s">
        <v>355</v>
      </c>
      <c r="AL773">
        <v>32.815989999999999</v>
      </c>
      <c r="AM773" t="s">
        <v>356</v>
      </c>
      <c r="AN773">
        <v>-116.952016</v>
      </c>
      <c r="AO773">
        <v>25</v>
      </c>
      <c r="AP773">
        <v>1900</v>
      </c>
      <c r="AQ773" t="s">
        <v>129</v>
      </c>
      <c r="AR773">
        <v>121</v>
      </c>
      <c r="AS773">
        <v>-37</v>
      </c>
      <c r="AT773">
        <v>256</v>
      </c>
      <c r="BB773">
        <v>1200</v>
      </c>
      <c r="BC773">
        <v>1</v>
      </c>
      <c r="BD773" t="str">
        <f t="shared" si="273"/>
        <v xml:space="preserve">N887QR  </v>
      </c>
      <c r="BE773">
        <v>1</v>
      </c>
      <c r="BJ773">
        <v>1550</v>
      </c>
      <c r="BK773">
        <v>-350</v>
      </c>
      <c r="BL773" t="s">
        <v>163</v>
      </c>
      <c r="BM773">
        <v>1</v>
      </c>
      <c r="BN773">
        <v>1</v>
      </c>
      <c r="BO773">
        <v>1</v>
      </c>
      <c r="BP773">
        <v>0</v>
      </c>
      <c r="BS773">
        <v>0.04</v>
      </c>
      <c r="BT773">
        <v>0</v>
      </c>
      <c r="BU773">
        <v>0</v>
      </c>
      <c r="CE773" t="str">
        <f t="shared" ref="CE773:CE779" si="275">"19:27:43.170"</f>
        <v>19:27:43.170</v>
      </c>
      <c r="CF773">
        <v>169851896</v>
      </c>
      <c r="CS773">
        <v>3</v>
      </c>
      <c r="CT773">
        <v>2</v>
      </c>
      <c r="CU773">
        <v>0</v>
      </c>
      <c r="CV773">
        <v>2</v>
      </c>
      <c r="CW773">
        <v>0</v>
      </c>
      <c r="CX773">
        <v>6</v>
      </c>
      <c r="CY773">
        <v>7</v>
      </c>
      <c r="CZ773" t="s">
        <v>131</v>
      </c>
      <c r="DA773">
        <v>300</v>
      </c>
      <c r="DB773">
        <v>0</v>
      </c>
      <c r="DC773" t="s">
        <v>176</v>
      </c>
      <c r="DD773" t="s">
        <v>177</v>
      </c>
      <c r="DG773">
        <v>5371045</v>
      </c>
      <c r="DI773">
        <v>1</v>
      </c>
      <c r="DJ773">
        <v>0</v>
      </c>
      <c r="DK773">
        <v>0</v>
      </c>
      <c r="DL773">
        <v>0</v>
      </c>
      <c r="DM773">
        <v>0</v>
      </c>
      <c r="DN773">
        <v>1</v>
      </c>
      <c r="DO773">
        <v>0</v>
      </c>
      <c r="DP773">
        <v>0</v>
      </c>
      <c r="DQ773">
        <v>0</v>
      </c>
      <c r="DR773">
        <v>0</v>
      </c>
      <c r="DS773">
        <v>0</v>
      </c>
    </row>
    <row r="774" spans="1:123" x14ac:dyDescent="0.3">
      <c r="A774" t="str">
        <f>"10/04/2022 19:27:43.369"</f>
        <v>10/04/2022 19:27:43.369</v>
      </c>
      <c r="C774" t="str">
        <f t="shared" si="266"/>
        <v>FFDDD3C0</v>
      </c>
      <c r="D774" t="s">
        <v>134</v>
      </c>
      <c r="E774">
        <v>15</v>
      </c>
      <c r="J774" t="s">
        <v>135</v>
      </c>
      <c r="K774">
        <v>0</v>
      </c>
      <c r="L774">
        <v>3</v>
      </c>
      <c r="M774">
        <v>0</v>
      </c>
      <c r="N774">
        <v>2</v>
      </c>
      <c r="O774">
        <v>0</v>
      </c>
      <c r="P774">
        <v>1</v>
      </c>
      <c r="Q774">
        <v>0</v>
      </c>
      <c r="S774" t="str">
        <f t="shared" si="274"/>
        <v>19:27:43.000</v>
      </c>
      <c r="T774" t="str">
        <f t="shared" si="274"/>
        <v>19:27:43.000</v>
      </c>
      <c r="U774" t="str">
        <f t="shared" si="272"/>
        <v>AC3944</v>
      </c>
      <c r="V774">
        <v>0</v>
      </c>
      <c r="W774">
        <v>0</v>
      </c>
      <c r="X774">
        <v>2</v>
      </c>
      <c r="Y774">
        <v>0</v>
      </c>
      <c r="AA774">
        <v>1</v>
      </c>
      <c r="AB774">
        <v>8</v>
      </c>
      <c r="AC774">
        <v>3</v>
      </c>
      <c r="AD774">
        <v>0</v>
      </c>
      <c r="AE774">
        <v>9</v>
      </c>
      <c r="AF774" t="s">
        <v>138</v>
      </c>
      <c r="AG774">
        <v>0</v>
      </c>
      <c r="AH774">
        <v>3</v>
      </c>
      <c r="AI774">
        <v>1</v>
      </c>
      <c r="AJ774">
        <v>0</v>
      </c>
      <c r="AK774" t="s">
        <v>355</v>
      </c>
      <c r="AL774">
        <v>32.815989999999999</v>
      </c>
      <c r="AM774" t="s">
        <v>356</v>
      </c>
      <c r="AN774">
        <v>-116.952016</v>
      </c>
      <c r="AO774">
        <v>25</v>
      </c>
      <c r="AP774">
        <v>1900</v>
      </c>
      <c r="AQ774" t="s">
        <v>129</v>
      </c>
      <c r="AR774">
        <v>121</v>
      </c>
      <c r="AS774">
        <v>-37</v>
      </c>
      <c r="AT774">
        <v>256</v>
      </c>
      <c r="BB774">
        <v>1200</v>
      </c>
      <c r="BC774">
        <v>1</v>
      </c>
      <c r="BD774" t="str">
        <f t="shared" si="273"/>
        <v xml:space="preserve">N887QR  </v>
      </c>
      <c r="BE774">
        <v>1</v>
      </c>
      <c r="BJ774">
        <v>1550</v>
      </c>
      <c r="BK774">
        <v>-350</v>
      </c>
      <c r="BL774" t="s">
        <v>163</v>
      </c>
      <c r="BM774">
        <v>1</v>
      </c>
      <c r="BN774">
        <v>1</v>
      </c>
      <c r="BO774">
        <v>1</v>
      </c>
      <c r="BP774">
        <v>0</v>
      </c>
      <c r="BS774">
        <v>0.04</v>
      </c>
      <c r="BT774">
        <v>0</v>
      </c>
      <c r="BU774">
        <v>0</v>
      </c>
      <c r="CE774" t="str">
        <f t="shared" si="275"/>
        <v>19:27:43.170</v>
      </c>
      <c r="CF774">
        <v>169851896</v>
      </c>
      <c r="CS774">
        <v>3</v>
      </c>
      <c r="CT774">
        <v>2</v>
      </c>
      <c r="CU774">
        <v>0</v>
      </c>
      <c r="CV774">
        <v>2</v>
      </c>
      <c r="CW774">
        <v>0</v>
      </c>
      <c r="CX774">
        <v>6</v>
      </c>
      <c r="CY774">
        <v>7</v>
      </c>
      <c r="CZ774" t="s">
        <v>131</v>
      </c>
      <c r="DA774">
        <v>300</v>
      </c>
      <c r="DB774">
        <v>0</v>
      </c>
      <c r="DC774" t="s">
        <v>176</v>
      </c>
      <c r="DD774" t="s">
        <v>177</v>
      </c>
      <c r="DG774">
        <v>5371045</v>
      </c>
      <c r="DI774">
        <v>1</v>
      </c>
      <c r="DJ774">
        <v>0</v>
      </c>
      <c r="DK774">
        <v>1</v>
      </c>
      <c r="DL774">
        <v>0</v>
      </c>
      <c r="DM774">
        <v>0</v>
      </c>
      <c r="DN774">
        <v>1</v>
      </c>
      <c r="DO774">
        <v>0</v>
      </c>
      <c r="DP774">
        <v>0</v>
      </c>
      <c r="DQ774">
        <v>0</v>
      </c>
      <c r="DR774">
        <v>0</v>
      </c>
      <c r="DS774">
        <v>0</v>
      </c>
    </row>
    <row r="775" spans="1:123" x14ac:dyDescent="0.3">
      <c r="A775" t="str">
        <f>"10/04/2022 19:27:43.369"</f>
        <v>10/04/2022 19:27:43.369</v>
      </c>
      <c r="C775" t="str">
        <f t="shared" si="266"/>
        <v>FFDDD3C0</v>
      </c>
      <c r="D775" t="s">
        <v>143</v>
      </c>
      <c r="E775">
        <v>20</v>
      </c>
      <c r="F775">
        <v>1020</v>
      </c>
      <c r="G775" t="s">
        <v>144</v>
      </c>
      <c r="J775" t="s">
        <v>145</v>
      </c>
      <c r="K775">
        <v>0</v>
      </c>
      <c r="L775">
        <v>3</v>
      </c>
      <c r="M775">
        <v>0</v>
      </c>
      <c r="N775">
        <v>2</v>
      </c>
      <c r="O775">
        <v>0</v>
      </c>
      <c r="P775">
        <v>1</v>
      </c>
      <c r="Q775">
        <v>0</v>
      </c>
      <c r="S775" t="str">
        <f t="shared" si="274"/>
        <v>19:27:43.000</v>
      </c>
      <c r="T775" t="str">
        <f t="shared" si="274"/>
        <v>19:27:43.000</v>
      </c>
      <c r="U775" t="str">
        <f t="shared" si="272"/>
        <v>AC3944</v>
      </c>
      <c r="V775">
        <v>0</v>
      </c>
      <c r="W775">
        <v>0</v>
      </c>
      <c r="X775">
        <v>2</v>
      </c>
      <c r="Y775">
        <v>0</v>
      </c>
      <c r="AA775">
        <v>1</v>
      </c>
      <c r="AB775">
        <v>8</v>
      </c>
      <c r="AC775">
        <v>3</v>
      </c>
      <c r="AD775">
        <v>0</v>
      </c>
      <c r="AE775">
        <v>9</v>
      </c>
      <c r="AF775" t="s">
        <v>138</v>
      </c>
      <c r="AG775">
        <v>0</v>
      </c>
      <c r="AH775">
        <v>3</v>
      </c>
      <c r="AI775">
        <v>1</v>
      </c>
      <c r="AJ775">
        <v>0</v>
      </c>
      <c r="AK775" t="s">
        <v>355</v>
      </c>
      <c r="AL775">
        <v>32.815989999999999</v>
      </c>
      <c r="AM775" t="s">
        <v>356</v>
      </c>
      <c r="AN775">
        <v>-116.952016</v>
      </c>
      <c r="AO775">
        <v>25</v>
      </c>
      <c r="AP775">
        <v>1900</v>
      </c>
      <c r="AQ775" t="s">
        <v>129</v>
      </c>
      <c r="AR775">
        <v>121</v>
      </c>
      <c r="AS775">
        <v>-37</v>
      </c>
      <c r="AT775">
        <v>256</v>
      </c>
      <c r="BB775">
        <v>1200</v>
      </c>
      <c r="BC775">
        <v>1</v>
      </c>
      <c r="BD775" t="str">
        <f t="shared" si="273"/>
        <v xml:space="preserve">N887QR  </v>
      </c>
      <c r="BE775">
        <v>1</v>
      </c>
      <c r="BJ775">
        <v>1550</v>
      </c>
      <c r="BK775">
        <v>-350</v>
      </c>
      <c r="BL775" t="s">
        <v>163</v>
      </c>
      <c r="BM775">
        <v>1</v>
      </c>
      <c r="BN775">
        <v>1</v>
      </c>
      <c r="BO775">
        <v>1</v>
      </c>
      <c r="BP775">
        <v>0</v>
      </c>
      <c r="BS775">
        <v>0.04</v>
      </c>
      <c r="BT775">
        <v>0</v>
      </c>
      <c r="BU775">
        <v>0</v>
      </c>
      <c r="CE775" t="str">
        <f t="shared" si="275"/>
        <v>19:27:43.170</v>
      </c>
      <c r="CF775">
        <v>169851896</v>
      </c>
      <c r="CS775">
        <v>3</v>
      </c>
      <c r="CT775">
        <v>2</v>
      </c>
      <c r="CU775">
        <v>0</v>
      </c>
      <c r="CV775">
        <v>2</v>
      </c>
      <c r="CW775">
        <v>0</v>
      </c>
      <c r="CX775">
        <v>6</v>
      </c>
      <c r="CY775">
        <v>7</v>
      </c>
      <c r="CZ775" t="s">
        <v>131</v>
      </c>
      <c r="DA775">
        <v>300</v>
      </c>
      <c r="DB775">
        <v>0</v>
      </c>
      <c r="DC775" t="s">
        <v>176</v>
      </c>
      <c r="DD775" t="s">
        <v>177</v>
      </c>
      <c r="DG775">
        <v>5371045</v>
      </c>
      <c r="DI775">
        <v>1</v>
      </c>
      <c r="DJ775">
        <v>0</v>
      </c>
      <c r="DK775">
        <v>1</v>
      </c>
      <c r="DL775">
        <v>0</v>
      </c>
      <c r="DM775">
        <v>0</v>
      </c>
      <c r="DN775">
        <v>1</v>
      </c>
      <c r="DO775">
        <v>0</v>
      </c>
      <c r="DP775">
        <v>0</v>
      </c>
      <c r="DQ775">
        <v>0</v>
      </c>
      <c r="DR775">
        <v>0</v>
      </c>
      <c r="DS775">
        <v>0</v>
      </c>
    </row>
    <row r="776" spans="1:123" x14ac:dyDescent="0.3">
      <c r="A776" t="str">
        <f>"10/04/2022 19:27:43.400"</f>
        <v>10/04/2022 19:27:43.400</v>
      </c>
      <c r="C776" t="str">
        <f t="shared" si="266"/>
        <v>FFDDD3C0</v>
      </c>
      <c r="D776" t="s">
        <v>147</v>
      </c>
      <c r="E776">
        <v>3</v>
      </c>
      <c r="H776">
        <v>166</v>
      </c>
      <c r="I776" t="s">
        <v>144</v>
      </c>
      <c r="J776" t="s">
        <v>148</v>
      </c>
      <c r="K776">
        <v>0</v>
      </c>
      <c r="L776">
        <v>3</v>
      </c>
      <c r="M776">
        <v>0</v>
      </c>
      <c r="N776">
        <v>2</v>
      </c>
      <c r="O776">
        <v>0</v>
      </c>
      <c r="P776">
        <v>1</v>
      </c>
      <c r="Q776">
        <v>0</v>
      </c>
      <c r="S776" t="str">
        <f t="shared" si="274"/>
        <v>19:27:43.000</v>
      </c>
      <c r="T776" t="str">
        <f t="shared" si="274"/>
        <v>19:27:43.000</v>
      </c>
      <c r="U776" t="str">
        <f t="shared" si="272"/>
        <v>AC3944</v>
      </c>
      <c r="V776">
        <v>0</v>
      </c>
      <c r="W776">
        <v>0</v>
      </c>
      <c r="X776">
        <v>2</v>
      </c>
      <c r="Y776">
        <v>0</v>
      </c>
      <c r="AA776">
        <v>1</v>
      </c>
      <c r="AB776">
        <v>8</v>
      </c>
      <c r="AC776">
        <v>3</v>
      </c>
      <c r="AD776">
        <v>0</v>
      </c>
      <c r="AE776">
        <v>9</v>
      </c>
      <c r="AF776" t="s">
        <v>138</v>
      </c>
      <c r="AG776">
        <v>0</v>
      </c>
      <c r="AH776">
        <v>3</v>
      </c>
      <c r="AI776">
        <v>1</v>
      </c>
      <c r="AJ776">
        <v>0</v>
      </c>
      <c r="AK776" t="s">
        <v>355</v>
      </c>
      <c r="AL776">
        <v>32.815989999999999</v>
      </c>
      <c r="AM776" t="s">
        <v>356</v>
      </c>
      <c r="AN776">
        <v>-116.952016</v>
      </c>
      <c r="AO776">
        <v>25</v>
      </c>
      <c r="AP776">
        <v>1900</v>
      </c>
      <c r="AQ776" t="s">
        <v>129</v>
      </c>
      <c r="AR776">
        <v>121</v>
      </c>
      <c r="AS776">
        <v>-37</v>
      </c>
      <c r="AT776">
        <v>256</v>
      </c>
      <c r="BB776">
        <v>1200</v>
      </c>
      <c r="BC776">
        <v>1</v>
      </c>
      <c r="BD776" t="str">
        <f t="shared" si="273"/>
        <v xml:space="preserve">N887QR  </v>
      </c>
      <c r="BE776">
        <v>1</v>
      </c>
      <c r="BJ776">
        <v>1550</v>
      </c>
      <c r="BK776">
        <v>-350</v>
      </c>
      <c r="BL776" t="s">
        <v>163</v>
      </c>
      <c r="BM776">
        <v>1</v>
      </c>
      <c r="BN776">
        <v>1</v>
      </c>
      <c r="BO776">
        <v>1</v>
      </c>
      <c r="BP776">
        <v>0</v>
      </c>
      <c r="BS776">
        <v>0.04</v>
      </c>
      <c r="BT776">
        <v>0</v>
      </c>
      <c r="BU776">
        <v>0</v>
      </c>
      <c r="CE776" t="str">
        <f t="shared" si="275"/>
        <v>19:27:43.170</v>
      </c>
      <c r="CF776">
        <v>169851896</v>
      </c>
      <c r="CS776">
        <v>3</v>
      </c>
      <c r="CT776">
        <v>2</v>
      </c>
      <c r="CU776">
        <v>0</v>
      </c>
      <c r="CV776">
        <v>2</v>
      </c>
      <c r="CW776">
        <v>0</v>
      </c>
      <c r="CX776">
        <v>6</v>
      </c>
      <c r="CY776">
        <v>7</v>
      </c>
      <c r="CZ776" t="s">
        <v>131</v>
      </c>
      <c r="DA776">
        <v>300</v>
      </c>
      <c r="DB776">
        <v>0</v>
      </c>
      <c r="DC776" t="s">
        <v>176</v>
      </c>
      <c r="DD776" t="s">
        <v>177</v>
      </c>
      <c r="DG776">
        <v>5371045</v>
      </c>
      <c r="DI776">
        <v>1</v>
      </c>
      <c r="DJ776">
        <v>0</v>
      </c>
      <c r="DK776">
        <v>1</v>
      </c>
      <c r="DL776">
        <v>0</v>
      </c>
      <c r="DM776">
        <v>0</v>
      </c>
      <c r="DN776">
        <v>1</v>
      </c>
      <c r="DO776">
        <v>0</v>
      </c>
      <c r="DP776">
        <v>0</v>
      </c>
      <c r="DQ776">
        <v>0</v>
      </c>
      <c r="DR776">
        <v>0</v>
      </c>
      <c r="DS776">
        <v>0</v>
      </c>
    </row>
    <row r="777" spans="1:123" x14ac:dyDescent="0.3">
      <c r="A777" t="str">
        <f>"10/04/2022 19:27:43.400"</f>
        <v>10/04/2022 19:27:43.400</v>
      </c>
      <c r="C777" t="str">
        <f t="shared" si="266"/>
        <v>FFDDD3C0</v>
      </c>
      <c r="D777" t="s">
        <v>123</v>
      </c>
      <c r="E777">
        <v>7</v>
      </c>
      <c r="F777">
        <v>2007</v>
      </c>
      <c r="G777" t="s">
        <v>124</v>
      </c>
      <c r="J777" t="s">
        <v>125</v>
      </c>
      <c r="K777">
        <v>0</v>
      </c>
      <c r="L777">
        <v>3</v>
      </c>
      <c r="M777">
        <v>0</v>
      </c>
      <c r="N777">
        <v>2</v>
      </c>
      <c r="O777">
        <v>0</v>
      </c>
      <c r="P777">
        <v>1</v>
      </c>
      <c r="Q777">
        <v>0</v>
      </c>
      <c r="S777" t="str">
        <f t="shared" si="274"/>
        <v>19:27:43.000</v>
      </c>
      <c r="T777" t="str">
        <f t="shared" si="274"/>
        <v>19:27:43.000</v>
      </c>
      <c r="U777" t="str">
        <f t="shared" si="272"/>
        <v>AC3944</v>
      </c>
      <c r="V777">
        <v>0</v>
      </c>
      <c r="W777">
        <v>0</v>
      </c>
      <c r="X777">
        <v>2</v>
      </c>
      <c r="Y777">
        <v>0</v>
      </c>
      <c r="AA777">
        <v>1</v>
      </c>
      <c r="AB777">
        <v>8</v>
      </c>
      <c r="AC777">
        <v>3</v>
      </c>
      <c r="AD777">
        <v>0</v>
      </c>
      <c r="AE777">
        <v>9</v>
      </c>
      <c r="AF777" t="s">
        <v>138</v>
      </c>
      <c r="AG777">
        <v>0</v>
      </c>
      <c r="AH777">
        <v>3</v>
      </c>
      <c r="AI777">
        <v>1</v>
      </c>
      <c r="AJ777">
        <v>0</v>
      </c>
      <c r="AK777" t="s">
        <v>355</v>
      </c>
      <c r="AL777">
        <v>32.815989999999999</v>
      </c>
      <c r="AM777" t="s">
        <v>356</v>
      </c>
      <c r="AN777">
        <v>-116.952016</v>
      </c>
      <c r="AO777">
        <v>25</v>
      </c>
      <c r="AP777">
        <v>1900</v>
      </c>
      <c r="AQ777" t="s">
        <v>129</v>
      </c>
      <c r="AR777">
        <v>121</v>
      </c>
      <c r="AS777">
        <v>-37</v>
      </c>
      <c r="AT777">
        <v>256</v>
      </c>
      <c r="BB777">
        <v>1200</v>
      </c>
      <c r="BC777">
        <v>1</v>
      </c>
      <c r="BD777" t="str">
        <f t="shared" si="273"/>
        <v xml:space="preserve">N887QR  </v>
      </c>
      <c r="BE777">
        <v>1</v>
      </c>
      <c r="BJ777">
        <v>1550</v>
      </c>
      <c r="BK777">
        <v>-350</v>
      </c>
      <c r="BL777" t="s">
        <v>163</v>
      </c>
      <c r="BM777">
        <v>1</v>
      </c>
      <c r="BN777">
        <v>1</v>
      </c>
      <c r="BO777">
        <v>1</v>
      </c>
      <c r="BP777">
        <v>0</v>
      </c>
      <c r="BS777">
        <v>0.04</v>
      </c>
      <c r="BT777">
        <v>0</v>
      </c>
      <c r="BU777">
        <v>0</v>
      </c>
      <c r="CE777" t="str">
        <f t="shared" si="275"/>
        <v>19:27:43.170</v>
      </c>
      <c r="CF777">
        <v>169851896</v>
      </c>
      <c r="CS777">
        <v>3</v>
      </c>
      <c r="CT777">
        <v>2</v>
      </c>
      <c r="CU777">
        <v>0</v>
      </c>
      <c r="CV777">
        <v>2</v>
      </c>
      <c r="CW777">
        <v>0</v>
      </c>
      <c r="CX777">
        <v>6</v>
      </c>
      <c r="CY777">
        <v>7</v>
      </c>
      <c r="CZ777" t="s">
        <v>131</v>
      </c>
      <c r="DA777">
        <v>300</v>
      </c>
      <c r="DB777">
        <v>0</v>
      </c>
      <c r="DC777" t="s">
        <v>176</v>
      </c>
      <c r="DD777" t="s">
        <v>177</v>
      </c>
      <c r="DG777">
        <v>5371045</v>
      </c>
      <c r="DI777">
        <v>1</v>
      </c>
      <c r="DJ777">
        <v>0</v>
      </c>
      <c r="DK777">
        <v>1</v>
      </c>
      <c r="DL777">
        <v>0</v>
      </c>
      <c r="DM777">
        <v>0</v>
      </c>
      <c r="DN777">
        <v>1</v>
      </c>
      <c r="DO777">
        <v>0</v>
      </c>
      <c r="DP777">
        <v>0</v>
      </c>
      <c r="DQ777">
        <v>0</v>
      </c>
      <c r="DR777">
        <v>0</v>
      </c>
      <c r="DS777">
        <v>0</v>
      </c>
    </row>
    <row r="778" spans="1:123" x14ac:dyDescent="0.3">
      <c r="A778" t="str">
        <f>"10/04/2022 19:27:43.400"</f>
        <v>10/04/2022 19:27:43.400</v>
      </c>
      <c r="C778" t="str">
        <f t="shared" si="266"/>
        <v>FFDDD3C0</v>
      </c>
      <c r="D778" t="s">
        <v>136</v>
      </c>
      <c r="E778">
        <v>8</v>
      </c>
      <c r="H778">
        <v>225</v>
      </c>
      <c r="I778" t="s">
        <v>137</v>
      </c>
      <c r="J778" t="s">
        <v>138</v>
      </c>
      <c r="K778">
        <v>0</v>
      </c>
      <c r="L778">
        <v>3</v>
      </c>
      <c r="M778">
        <v>0</v>
      </c>
      <c r="N778">
        <v>2</v>
      </c>
      <c r="O778">
        <v>0</v>
      </c>
      <c r="P778">
        <v>1</v>
      </c>
      <c r="Q778">
        <v>0</v>
      </c>
      <c r="S778" t="str">
        <f t="shared" si="274"/>
        <v>19:27:43.000</v>
      </c>
      <c r="T778" t="str">
        <f t="shared" si="274"/>
        <v>19:27:43.000</v>
      </c>
      <c r="U778" t="str">
        <f t="shared" si="272"/>
        <v>AC3944</v>
      </c>
      <c r="V778">
        <v>0</v>
      </c>
      <c r="W778">
        <v>0</v>
      </c>
      <c r="X778">
        <v>2</v>
      </c>
      <c r="Y778">
        <v>0</v>
      </c>
      <c r="AA778">
        <v>1</v>
      </c>
      <c r="AB778">
        <v>8</v>
      </c>
      <c r="AC778">
        <v>3</v>
      </c>
      <c r="AD778">
        <v>0</v>
      </c>
      <c r="AE778">
        <v>9</v>
      </c>
      <c r="AF778" t="s">
        <v>138</v>
      </c>
      <c r="AG778">
        <v>0</v>
      </c>
      <c r="AH778">
        <v>3</v>
      </c>
      <c r="AI778">
        <v>1</v>
      </c>
      <c r="AJ778">
        <v>0</v>
      </c>
      <c r="AK778" t="s">
        <v>355</v>
      </c>
      <c r="AL778">
        <v>32.815989999999999</v>
      </c>
      <c r="AM778" t="s">
        <v>356</v>
      </c>
      <c r="AN778">
        <v>-116.952016</v>
      </c>
      <c r="AO778">
        <v>25</v>
      </c>
      <c r="AP778">
        <v>1900</v>
      </c>
      <c r="AQ778" t="s">
        <v>129</v>
      </c>
      <c r="AR778">
        <v>121</v>
      </c>
      <c r="AS778">
        <v>-37</v>
      </c>
      <c r="AT778">
        <v>256</v>
      </c>
      <c r="BB778">
        <v>1200</v>
      </c>
      <c r="BC778">
        <v>1</v>
      </c>
      <c r="BD778" t="str">
        <f t="shared" si="273"/>
        <v xml:space="preserve">N887QR  </v>
      </c>
      <c r="BE778">
        <v>1</v>
      </c>
      <c r="BJ778">
        <v>1550</v>
      </c>
      <c r="BK778">
        <v>-350</v>
      </c>
      <c r="BL778" t="s">
        <v>163</v>
      </c>
      <c r="BM778">
        <v>1</v>
      </c>
      <c r="BN778">
        <v>1</v>
      </c>
      <c r="BO778">
        <v>1</v>
      </c>
      <c r="BP778">
        <v>0</v>
      </c>
      <c r="BS778">
        <v>0.04</v>
      </c>
      <c r="BT778">
        <v>0</v>
      </c>
      <c r="BU778">
        <v>0</v>
      </c>
      <c r="CE778" t="str">
        <f t="shared" si="275"/>
        <v>19:27:43.170</v>
      </c>
      <c r="CF778">
        <v>169851896</v>
      </c>
      <c r="CS778">
        <v>3</v>
      </c>
      <c r="CT778">
        <v>2</v>
      </c>
      <c r="CU778">
        <v>0</v>
      </c>
      <c r="CV778">
        <v>2</v>
      </c>
      <c r="CW778">
        <v>0</v>
      </c>
      <c r="CX778">
        <v>6</v>
      </c>
      <c r="CY778">
        <v>7</v>
      </c>
      <c r="CZ778" t="s">
        <v>131</v>
      </c>
      <c r="DA778">
        <v>300</v>
      </c>
      <c r="DB778">
        <v>0</v>
      </c>
      <c r="DC778" t="s">
        <v>176</v>
      </c>
      <c r="DD778" t="s">
        <v>177</v>
      </c>
      <c r="DG778">
        <v>5371045</v>
      </c>
      <c r="DI778">
        <v>1</v>
      </c>
      <c r="DJ778">
        <v>0</v>
      </c>
      <c r="DK778">
        <v>1</v>
      </c>
      <c r="DL778">
        <v>0</v>
      </c>
      <c r="DM778">
        <v>0</v>
      </c>
      <c r="DN778">
        <v>1</v>
      </c>
      <c r="DO778">
        <v>0</v>
      </c>
      <c r="DP778">
        <v>0</v>
      </c>
      <c r="DQ778">
        <v>0</v>
      </c>
      <c r="DR778">
        <v>0</v>
      </c>
      <c r="DS778">
        <v>0</v>
      </c>
    </row>
    <row r="779" spans="1:123" x14ac:dyDescent="0.3">
      <c r="A779" t="str">
        <f>"10/04/2022 19:27:43.416"</f>
        <v>10/04/2022 19:27:43.416</v>
      </c>
      <c r="C779" t="str">
        <f t="shared" si="266"/>
        <v>FFDDD3C0</v>
      </c>
      <c r="D779" t="s">
        <v>141</v>
      </c>
      <c r="E779">
        <v>3</v>
      </c>
      <c r="H779">
        <v>3</v>
      </c>
      <c r="I779" t="s">
        <v>146</v>
      </c>
      <c r="J779" t="s">
        <v>138</v>
      </c>
      <c r="K779">
        <v>0</v>
      </c>
      <c r="L779">
        <v>3</v>
      </c>
      <c r="M779">
        <v>0</v>
      </c>
      <c r="N779">
        <v>2</v>
      </c>
      <c r="O779">
        <v>0</v>
      </c>
      <c r="P779">
        <v>1</v>
      </c>
      <c r="Q779">
        <v>0</v>
      </c>
      <c r="S779" t="str">
        <f t="shared" si="274"/>
        <v>19:27:43.000</v>
      </c>
      <c r="T779" t="str">
        <f t="shared" si="274"/>
        <v>19:27:43.000</v>
      </c>
      <c r="U779" t="str">
        <f t="shared" si="272"/>
        <v>AC3944</v>
      </c>
      <c r="V779">
        <v>0</v>
      </c>
      <c r="W779">
        <v>0</v>
      </c>
      <c r="X779">
        <v>2</v>
      </c>
      <c r="Y779">
        <v>0</v>
      </c>
      <c r="AA779">
        <v>1</v>
      </c>
      <c r="AB779">
        <v>8</v>
      </c>
      <c r="AC779">
        <v>3</v>
      </c>
      <c r="AD779">
        <v>0</v>
      </c>
      <c r="AE779">
        <v>9</v>
      </c>
      <c r="AF779" t="s">
        <v>138</v>
      </c>
      <c r="AG779">
        <v>0</v>
      </c>
      <c r="AH779">
        <v>3</v>
      </c>
      <c r="AI779">
        <v>1</v>
      </c>
      <c r="AJ779">
        <v>0</v>
      </c>
      <c r="AK779" t="s">
        <v>355</v>
      </c>
      <c r="AL779">
        <v>32.815989999999999</v>
      </c>
      <c r="AM779" t="s">
        <v>356</v>
      </c>
      <c r="AN779">
        <v>-116.952016</v>
      </c>
      <c r="AO779">
        <v>25</v>
      </c>
      <c r="AP779">
        <v>1900</v>
      </c>
      <c r="AQ779" t="s">
        <v>129</v>
      </c>
      <c r="AR779">
        <v>121</v>
      </c>
      <c r="AS779">
        <v>-37</v>
      </c>
      <c r="AT779">
        <v>256</v>
      </c>
      <c r="BB779">
        <v>1200</v>
      </c>
      <c r="BC779">
        <v>1</v>
      </c>
      <c r="BD779" t="str">
        <f t="shared" si="273"/>
        <v xml:space="preserve">N887QR  </v>
      </c>
      <c r="BE779">
        <v>1</v>
      </c>
      <c r="BJ779">
        <v>1550</v>
      </c>
      <c r="BK779">
        <v>-350</v>
      </c>
      <c r="BL779" t="s">
        <v>163</v>
      </c>
      <c r="BM779">
        <v>1</v>
      </c>
      <c r="BN779">
        <v>1</v>
      </c>
      <c r="BO779">
        <v>1</v>
      </c>
      <c r="BP779">
        <v>0</v>
      </c>
      <c r="BS779">
        <v>0.04</v>
      </c>
      <c r="BT779">
        <v>0</v>
      </c>
      <c r="BU779">
        <v>0</v>
      </c>
      <c r="CE779" t="str">
        <f t="shared" si="275"/>
        <v>19:27:43.170</v>
      </c>
      <c r="CF779">
        <v>169851896</v>
      </c>
      <c r="CS779">
        <v>3</v>
      </c>
      <c r="CT779">
        <v>2</v>
      </c>
      <c r="CU779">
        <v>0</v>
      </c>
      <c r="CV779">
        <v>2</v>
      </c>
      <c r="CW779">
        <v>0</v>
      </c>
      <c r="CX779">
        <v>6</v>
      </c>
      <c r="CY779">
        <v>7</v>
      </c>
      <c r="CZ779" t="s">
        <v>131</v>
      </c>
      <c r="DA779">
        <v>300</v>
      </c>
      <c r="DB779">
        <v>0</v>
      </c>
      <c r="DC779" t="s">
        <v>176</v>
      </c>
      <c r="DD779" t="s">
        <v>177</v>
      </c>
      <c r="DG779">
        <v>5371045</v>
      </c>
      <c r="DI779">
        <v>1</v>
      </c>
      <c r="DJ779">
        <v>0</v>
      </c>
      <c r="DK779">
        <v>1</v>
      </c>
      <c r="DL779">
        <v>0</v>
      </c>
      <c r="DM779">
        <v>0</v>
      </c>
      <c r="DN779">
        <v>1</v>
      </c>
      <c r="DO779">
        <v>0</v>
      </c>
      <c r="DP779">
        <v>0</v>
      </c>
      <c r="DQ779">
        <v>0</v>
      </c>
      <c r="DR779">
        <v>0</v>
      </c>
      <c r="DS779">
        <v>0</v>
      </c>
    </row>
    <row r="780" spans="1:123" x14ac:dyDescent="0.3">
      <c r="A780" t="str">
        <f>"10/04/2022 19:27:44.509"</f>
        <v>10/04/2022 19:27:44.509</v>
      </c>
      <c r="C780" t="str">
        <f t="shared" si="266"/>
        <v>FFDDD3C0</v>
      </c>
      <c r="D780" t="s">
        <v>141</v>
      </c>
      <c r="E780">
        <v>4</v>
      </c>
      <c r="H780">
        <v>4</v>
      </c>
      <c r="I780" t="s">
        <v>142</v>
      </c>
      <c r="J780" t="s">
        <v>138</v>
      </c>
      <c r="K780">
        <v>0</v>
      </c>
      <c r="L780">
        <v>3</v>
      </c>
      <c r="M780">
        <v>0</v>
      </c>
      <c r="N780">
        <v>2</v>
      </c>
      <c r="O780">
        <v>0</v>
      </c>
      <c r="P780">
        <v>1</v>
      </c>
      <c r="Q780">
        <v>0</v>
      </c>
      <c r="S780" t="str">
        <f t="shared" ref="S780:T786" si="276">"19:27:44.000"</f>
        <v>19:27:44.000</v>
      </c>
      <c r="T780" t="str">
        <f t="shared" si="276"/>
        <v>19:27:44.000</v>
      </c>
      <c r="U780" t="str">
        <f t="shared" si="272"/>
        <v>AC3944</v>
      </c>
      <c r="V780">
        <v>0</v>
      </c>
      <c r="W780">
        <v>0</v>
      </c>
      <c r="X780">
        <v>2</v>
      </c>
      <c r="Y780">
        <v>0</v>
      </c>
      <c r="AA780">
        <v>1</v>
      </c>
      <c r="AB780">
        <v>8</v>
      </c>
      <c r="AC780">
        <v>3</v>
      </c>
      <c r="AD780">
        <v>0</v>
      </c>
      <c r="AE780">
        <v>9</v>
      </c>
      <c r="AF780" t="s">
        <v>138</v>
      </c>
      <c r="AG780">
        <v>0</v>
      </c>
      <c r="AH780">
        <v>3</v>
      </c>
      <c r="AI780">
        <v>1</v>
      </c>
      <c r="AJ780">
        <v>0</v>
      </c>
      <c r="AK780" t="s">
        <v>357</v>
      </c>
      <c r="AL780">
        <v>32.815818999999998</v>
      </c>
      <c r="AM780" t="s">
        <v>358</v>
      </c>
      <c r="AN780">
        <v>-116.951351</v>
      </c>
      <c r="AO780">
        <v>25</v>
      </c>
      <c r="AP780">
        <v>1900</v>
      </c>
      <c r="AQ780" t="s">
        <v>129</v>
      </c>
      <c r="AR780">
        <v>118</v>
      </c>
      <c r="AS780">
        <v>-42</v>
      </c>
      <c r="AT780">
        <v>320</v>
      </c>
      <c r="BB780">
        <v>1200</v>
      </c>
      <c r="BC780">
        <v>1</v>
      </c>
      <c r="BD780" t="str">
        <f t="shared" si="273"/>
        <v xml:space="preserve">N887QR  </v>
      </c>
      <c r="BE780">
        <v>1</v>
      </c>
      <c r="BJ780">
        <v>1575</v>
      </c>
      <c r="BK780">
        <v>-325</v>
      </c>
      <c r="BL780" t="s">
        <v>163</v>
      </c>
      <c r="BM780">
        <v>1</v>
      </c>
      <c r="BN780">
        <v>1</v>
      </c>
      <c r="BO780">
        <v>1</v>
      </c>
      <c r="BP780">
        <v>0</v>
      </c>
      <c r="BS780">
        <v>0.04</v>
      </c>
      <c r="BT780">
        <v>0</v>
      </c>
      <c r="BU780">
        <v>0</v>
      </c>
      <c r="CE780" t="str">
        <f t="shared" ref="CE780:CE786" si="277">"19:27:44.332"</f>
        <v>19:27:44.332</v>
      </c>
      <c r="CF780">
        <v>331855685</v>
      </c>
      <c r="CS780">
        <v>3</v>
      </c>
      <c r="CT780">
        <v>2</v>
      </c>
      <c r="CU780">
        <v>0</v>
      </c>
      <c r="CV780">
        <v>2</v>
      </c>
      <c r="CW780">
        <v>0</v>
      </c>
      <c r="CX780">
        <v>6</v>
      </c>
      <c r="CY780">
        <v>7</v>
      </c>
      <c r="CZ780" t="s">
        <v>131</v>
      </c>
      <c r="DA780">
        <v>300</v>
      </c>
      <c r="DB780">
        <v>0</v>
      </c>
      <c r="DC780" t="s">
        <v>176</v>
      </c>
      <c r="DD780" t="s">
        <v>177</v>
      </c>
      <c r="DG780">
        <v>5371217</v>
      </c>
      <c r="DI780">
        <v>1</v>
      </c>
      <c r="DJ780">
        <v>0</v>
      </c>
      <c r="DK780">
        <v>0</v>
      </c>
      <c r="DL780">
        <v>0</v>
      </c>
      <c r="DM780">
        <v>0</v>
      </c>
      <c r="DN780">
        <v>1</v>
      </c>
      <c r="DO780">
        <v>0</v>
      </c>
      <c r="DP780">
        <v>0</v>
      </c>
      <c r="DQ780">
        <v>0</v>
      </c>
      <c r="DR780">
        <v>0</v>
      </c>
      <c r="DS780">
        <v>0</v>
      </c>
    </row>
    <row r="781" spans="1:123" x14ac:dyDescent="0.3">
      <c r="A781" t="str">
        <f>"10/04/2022 19:27:44.541"</f>
        <v>10/04/2022 19:27:44.541</v>
      </c>
      <c r="C781" t="str">
        <f t="shared" si="266"/>
        <v>FFDDD3C0</v>
      </c>
      <c r="D781" t="s">
        <v>143</v>
      </c>
      <c r="E781">
        <v>20</v>
      </c>
      <c r="F781">
        <v>1020</v>
      </c>
      <c r="G781" t="s">
        <v>144</v>
      </c>
      <c r="J781" t="s">
        <v>145</v>
      </c>
      <c r="K781">
        <v>0</v>
      </c>
      <c r="L781">
        <v>3</v>
      </c>
      <c r="M781">
        <v>0</v>
      </c>
      <c r="N781">
        <v>2</v>
      </c>
      <c r="O781">
        <v>0</v>
      </c>
      <c r="P781">
        <v>1</v>
      </c>
      <c r="Q781">
        <v>0</v>
      </c>
      <c r="S781" t="str">
        <f t="shared" si="276"/>
        <v>19:27:44.000</v>
      </c>
      <c r="T781" t="str">
        <f t="shared" si="276"/>
        <v>19:27:44.000</v>
      </c>
      <c r="U781" t="str">
        <f t="shared" si="272"/>
        <v>AC3944</v>
      </c>
      <c r="V781">
        <v>0</v>
      </c>
      <c r="W781">
        <v>0</v>
      </c>
      <c r="X781">
        <v>2</v>
      </c>
      <c r="Y781">
        <v>0</v>
      </c>
      <c r="AA781">
        <v>1</v>
      </c>
      <c r="AB781">
        <v>8</v>
      </c>
      <c r="AC781">
        <v>3</v>
      </c>
      <c r="AD781">
        <v>0</v>
      </c>
      <c r="AE781">
        <v>9</v>
      </c>
      <c r="AF781" t="s">
        <v>138</v>
      </c>
      <c r="AG781">
        <v>0</v>
      </c>
      <c r="AH781">
        <v>3</v>
      </c>
      <c r="AI781">
        <v>1</v>
      </c>
      <c r="AJ781">
        <v>0</v>
      </c>
      <c r="AK781" t="s">
        <v>357</v>
      </c>
      <c r="AL781">
        <v>32.815818999999998</v>
      </c>
      <c r="AM781" t="s">
        <v>358</v>
      </c>
      <c r="AN781">
        <v>-116.951351</v>
      </c>
      <c r="AO781">
        <v>25</v>
      </c>
      <c r="AP781">
        <v>1900</v>
      </c>
      <c r="AQ781" t="s">
        <v>129</v>
      </c>
      <c r="AR781">
        <v>118</v>
      </c>
      <c r="AS781">
        <v>-42</v>
      </c>
      <c r="AT781">
        <v>320</v>
      </c>
      <c r="BB781">
        <v>1200</v>
      </c>
      <c r="BC781">
        <v>1</v>
      </c>
      <c r="BD781" t="str">
        <f t="shared" si="273"/>
        <v xml:space="preserve">N887QR  </v>
      </c>
      <c r="BE781">
        <v>1</v>
      </c>
      <c r="BJ781">
        <v>1575</v>
      </c>
      <c r="BK781">
        <v>-325</v>
      </c>
      <c r="BL781" t="s">
        <v>163</v>
      </c>
      <c r="BM781">
        <v>1</v>
      </c>
      <c r="BN781">
        <v>1</v>
      </c>
      <c r="BO781">
        <v>1</v>
      </c>
      <c r="BP781">
        <v>0</v>
      </c>
      <c r="BS781">
        <v>0.04</v>
      </c>
      <c r="BT781">
        <v>0</v>
      </c>
      <c r="BU781">
        <v>0</v>
      </c>
      <c r="CE781" t="str">
        <f t="shared" si="277"/>
        <v>19:27:44.332</v>
      </c>
      <c r="CF781">
        <v>331855685</v>
      </c>
      <c r="CS781">
        <v>3</v>
      </c>
      <c r="CT781">
        <v>2</v>
      </c>
      <c r="CU781">
        <v>0</v>
      </c>
      <c r="CV781">
        <v>2</v>
      </c>
      <c r="CW781">
        <v>0</v>
      </c>
      <c r="CX781">
        <v>6</v>
      </c>
      <c r="CY781">
        <v>7</v>
      </c>
      <c r="CZ781" t="s">
        <v>131</v>
      </c>
      <c r="DA781">
        <v>300</v>
      </c>
      <c r="DB781">
        <v>0</v>
      </c>
      <c r="DC781" t="s">
        <v>176</v>
      </c>
      <c r="DD781" t="s">
        <v>177</v>
      </c>
      <c r="DG781">
        <v>5371217</v>
      </c>
      <c r="DI781">
        <v>1</v>
      </c>
      <c r="DJ781">
        <v>0</v>
      </c>
      <c r="DK781">
        <v>1</v>
      </c>
      <c r="DL781">
        <v>0</v>
      </c>
      <c r="DM781">
        <v>0</v>
      </c>
      <c r="DN781">
        <v>1</v>
      </c>
      <c r="DO781">
        <v>0</v>
      </c>
      <c r="DP781">
        <v>0</v>
      </c>
      <c r="DQ781">
        <v>0</v>
      </c>
      <c r="DR781">
        <v>0</v>
      </c>
      <c r="DS781">
        <v>0</v>
      </c>
    </row>
    <row r="782" spans="1:123" x14ac:dyDescent="0.3">
      <c r="A782" t="str">
        <f>"10/04/2022 19:27:44.572"</f>
        <v>10/04/2022 19:27:44.572</v>
      </c>
      <c r="C782" t="str">
        <f t="shared" si="266"/>
        <v>FFDDD3C0</v>
      </c>
      <c r="D782" t="s">
        <v>134</v>
      </c>
      <c r="E782">
        <v>15</v>
      </c>
      <c r="J782" t="s">
        <v>135</v>
      </c>
      <c r="K782">
        <v>0</v>
      </c>
      <c r="L782">
        <v>3</v>
      </c>
      <c r="M782">
        <v>0</v>
      </c>
      <c r="N782">
        <v>2</v>
      </c>
      <c r="O782">
        <v>0</v>
      </c>
      <c r="P782">
        <v>1</v>
      </c>
      <c r="Q782">
        <v>0</v>
      </c>
      <c r="S782" t="str">
        <f t="shared" si="276"/>
        <v>19:27:44.000</v>
      </c>
      <c r="T782" t="str">
        <f t="shared" si="276"/>
        <v>19:27:44.000</v>
      </c>
      <c r="U782" t="str">
        <f t="shared" si="272"/>
        <v>AC3944</v>
      </c>
      <c r="V782">
        <v>0</v>
      </c>
      <c r="W782">
        <v>0</v>
      </c>
      <c r="X782">
        <v>2</v>
      </c>
      <c r="Y782">
        <v>0</v>
      </c>
      <c r="AA782">
        <v>1</v>
      </c>
      <c r="AB782">
        <v>8</v>
      </c>
      <c r="AC782">
        <v>3</v>
      </c>
      <c r="AD782">
        <v>0</v>
      </c>
      <c r="AE782">
        <v>9</v>
      </c>
      <c r="AF782" t="s">
        <v>138</v>
      </c>
      <c r="AG782">
        <v>0</v>
      </c>
      <c r="AH782">
        <v>3</v>
      </c>
      <c r="AI782">
        <v>1</v>
      </c>
      <c r="AJ782">
        <v>0</v>
      </c>
      <c r="AK782" t="s">
        <v>357</v>
      </c>
      <c r="AL782">
        <v>32.815818999999998</v>
      </c>
      <c r="AM782" t="s">
        <v>358</v>
      </c>
      <c r="AN782">
        <v>-116.951351</v>
      </c>
      <c r="AO782">
        <v>25</v>
      </c>
      <c r="AP782">
        <v>1900</v>
      </c>
      <c r="AQ782" t="s">
        <v>129</v>
      </c>
      <c r="AR782">
        <v>118</v>
      </c>
      <c r="AS782">
        <v>-42</v>
      </c>
      <c r="AT782">
        <v>320</v>
      </c>
      <c r="BB782">
        <v>1200</v>
      </c>
      <c r="BC782">
        <v>1</v>
      </c>
      <c r="BD782" t="str">
        <f t="shared" si="273"/>
        <v xml:space="preserve">N887QR  </v>
      </c>
      <c r="BE782">
        <v>1</v>
      </c>
      <c r="BJ782">
        <v>1575</v>
      </c>
      <c r="BK782">
        <v>-325</v>
      </c>
      <c r="BL782" t="s">
        <v>163</v>
      </c>
      <c r="BM782">
        <v>1</v>
      </c>
      <c r="BN782">
        <v>1</v>
      </c>
      <c r="BO782">
        <v>1</v>
      </c>
      <c r="BP782">
        <v>0</v>
      </c>
      <c r="BS782">
        <v>0.04</v>
      </c>
      <c r="BT782">
        <v>0</v>
      </c>
      <c r="BU782">
        <v>0</v>
      </c>
      <c r="CE782" t="str">
        <f t="shared" si="277"/>
        <v>19:27:44.332</v>
      </c>
      <c r="CF782">
        <v>331855685</v>
      </c>
      <c r="CS782">
        <v>3</v>
      </c>
      <c r="CT782">
        <v>2</v>
      </c>
      <c r="CU782">
        <v>0</v>
      </c>
      <c r="CV782">
        <v>2</v>
      </c>
      <c r="CW782">
        <v>0</v>
      </c>
      <c r="CX782">
        <v>6</v>
      </c>
      <c r="CY782">
        <v>7</v>
      </c>
      <c r="CZ782" t="s">
        <v>131</v>
      </c>
      <c r="DA782">
        <v>300</v>
      </c>
      <c r="DB782">
        <v>0</v>
      </c>
      <c r="DC782" t="s">
        <v>176</v>
      </c>
      <c r="DD782" t="s">
        <v>177</v>
      </c>
      <c r="DG782">
        <v>5371217</v>
      </c>
      <c r="DI782">
        <v>1</v>
      </c>
      <c r="DJ782">
        <v>0</v>
      </c>
      <c r="DK782">
        <v>1</v>
      </c>
      <c r="DL782">
        <v>0</v>
      </c>
      <c r="DM782">
        <v>0</v>
      </c>
      <c r="DN782">
        <v>1</v>
      </c>
      <c r="DO782">
        <v>0</v>
      </c>
      <c r="DP782">
        <v>0</v>
      </c>
      <c r="DQ782">
        <v>0</v>
      </c>
      <c r="DR782">
        <v>0</v>
      </c>
      <c r="DS782">
        <v>0</v>
      </c>
    </row>
    <row r="783" spans="1:123" x14ac:dyDescent="0.3">
      <c r="A783" t="str">
        <f>"10/04/2022 19:27:44.572"</f>
        <v>10/04/2022 19:27:44.572</v>
      </c>
      <c r="C783" t="str">
        <f t="shared" si="266"/>
        <v>FFDDD3C0</v>
      </c>
      <c r="D783" t="s">
        <v>123</v>
      </c>
      <c r="E783">
        <v>7</v>
      </c>
      <c r="F783">
        <v>2007</v>
      </c>
      <c r="G783" t="s">
        <v>124</v>
      </c>
      <c r="J783" t="s">
        <v>125</v>
      </c>
      <c r="K783">
        <v>0</v>
      </c>
      <c r="L783">
        <v>3</v>
      </c>
      <c r="M783">
        <v>0</v>
      </c>
      <c r="N783">
        <v>2</v>
      </c>
      <c r="O783">
        <v>0</v>
      </c>
      <c r="P783">
        <v>1</v>
      </c>
      <c r="Q783">
        <v>0</v>
      </c>
      <c r="S783" t="str">
        <f t="shared" si="276"/>
        <v>19:27:44.000</v>
      </c>
      <c r="T783" t="str">
        <f t="shared" si="276"/>
        <v>19:27:44.000</v>
      </c>
      <c r="U783" t="str">
        <f t="shared" si="272"/>
        <v>AC3944</v>
      </c>
      <c r="V783">
        <v>0</v>
      </c>
      <c r="W783">
        <v>0</v>
      </c>
      <c r="X783">
        <v>2</v>
      </c>
      <c r="Y783">
        <v>0</v>
      </c>
      <c r="AA783">
        <v>1</v>
      </c>
      <c r="AB783">
        <v>8</v>
      </c>
      <c r="AC783">
        <v>3</v>
      </c>
      <c r="AD783">
        <v>0</v>
      </c>
      <c r="AE783">
        <v>9</v>
      </c>
      <c r="AF783" t="s">
        <v>138</v>
      </c>
      <c r="AG783">
        <v>0</v>
      </c>
      <c r="AH783">
        <v>3</v>
      </c>
      <c r="AI783">
        <v>1</v>
      </c>
      <c r="AJ783">
        <v>0</v>
      </c>
      <c r="AK783" t="s">
        <v>357</v>
      </c>
      <c r="AL783">
        <v>32.815818999999998</v>
      </c>
      <c r="AM783" t="s">
        <v>358</v>
      </c>
      <c r="AN783">
        <v>-116.951351</v>
      </c>
      <c r="AO783">
        <v>25</v>
      </c>
      <c r="AP783">
        <v>1900</v>
      </c>
      <c r="AQ783" t="s">
        <v>129</v>
      </c>
      <c r="AR783">
        <v>118</v>
      </c>
      <c r="AS783">
        <v>-42</v>
      </c>
      <c r="AT783">
        <v>320</v>
      </c>
      <c r="BB783">
        <v>1200</v>
      </c>
      <c r="BC783">
        <v>1</v>
      </c>
      <c r="BD783" t="str">
        <f t="shared" si="273"/>
        <v xml:space="preserve">N887QR  </v>
      </c>
      <c r="BE783">
        <v>1</v>
      </c>
      <c r="BJ783">
        <v>1575</v>
      </c>
      <c r="BK783">
        <v>-325</v>
      </c>
      <c r="BL783" t="s">
        <v>163</v>
      </c>
      <c r="BM783">
        <v>1</v>
      </c>
      <c r="BN783">
        <v>1</v>
      </c>
      <c r="BO783">
        <v>1</v>
      </c>
      <c r="BP783">
        <v>0</v>
      </c>
      <c r="BS783">
        <v>0.04</v>
      </c>
      <c r="BT783">
        <v>0</v>
      </c>
      <c r="BU783">
        <v>0</v>
      </c>
      <c r="CE783" t="str">
        <f t="shared" si="277"/>
        <v>19:27:44.332</v>
      </c>
      <c r="CF783">
        <v>331855685</v>
      </c>
      <c r="CS783">
        <v>3</v>
      </c>
      <c r="CT783">
        <v>2</v>
      </c>
      <c r="CU783">
        <v>0</v>
      </c>
      <c r="CV783">
        <v>2</v>
      </c>
      <c r="CW783">
        <v>0</v>
      </c>
      <c r="CX783">
        <v>6</v>
      </c>
      <c r="CY783">
        <v>7</v>
      </c>
      <c r="CZ783" t="s">
        <v>131</v>
      </c>
      <c r="DA783">
        <v>300</v>
      </c>
      <c r="DB783">
        <v>0</v>
      </c>
      <c r="DC783" t="s">
        <v>176</v>
      </c>
      <c r="DD783" t="s">
        <v>177</v>
      </c>
      <c r="DG783">
        <v>5371217</v>
      </c>
      <c r="DI783">
        <v>1</v>
      </c>
      <c r="DJ783">
        <v>0</v>
      </c>
      <c r="DK783">
        <v>1</v>
      </c>
      <c r="DL783">
        <v>0</v>
      </c>
      <c r="DM783">
        <v>0</v>
      </c>
      <c r="DN783">
        <v>1</v>
      </c>
      <c r="DO783">
        <v>0</v>
      </c>
      <c r="DP783">
        <v>0</v>
      </c>
      <c r="DQ783">
        <v>0</v>
      </c>
      <c r="DR783">
        <v>0</v>
      </c>
      <c r="DS783">
        <v>0</v>
      </c>
    </row>
    <row r="784" spans="1:123" x14ac:dyDescent="0.3">
      <c r="A784" t="str">
        <f>"10/04/2022 19:27:44.572"</f>
        <v>10/04/2022 19:27:44.572</v>
      </c>
      <c r="C784" t="str">
        <f t="shared" si="266"/>
        <v>FFDDD3C0</v>
      </c>
      <c r="D784" t="s">
        <v>147</v>
      </c>
      <c r="E784">
        <v>3</v>
      </c>
      <c r="H784">
        <v>166</v>
      </c>
      <c r="I784" t="s">
        <v>144</v>
      </c>
      <c r="J784" t="s">
        <v>148</v>
      </c>
      <c r="K784">
        <v>0</v>
      </c>
      <c r="L784">
        <v>3</v>
      </c>
      <c r="M784">
        <v>0</v>
      </c>
      <c r="N784">
        <v>2</v>
      </c>
      <c r="O784">
        <v>0</v>
      </c>
      <c r="P784">
        <v>1</v>
      </c>
      <c r="Q784">
        <v>0</v>
      </c>
      <c r="S784" t="str">
        <f t="shared" si="276"/>
        <v>19:27:44.000</v>
      </c>
      <c r="T784" t="str">
        <f t="shared" si="276"/>
        <v>19:27:44.000</v>
      </c>
      <c r="U784" t="str">
        <f t="shared" si="272"/>
        <v>AC3944</v>
      </c>
      <c r="V784">
        <v>0</v>
      </c>
      <c r="W784">
        <v>0</v>
      </c>
      <c r="X784">
        <v>2</v>
      </c>
      <c r="Y784">
        <v>0</v>
      </c>
      <c r="AA784">
        <v>1</v>
      </c>
      <c r="AB784">
        <v>8</v>
      </c>
      <c r="AC784">
        <v>3</v>
      </c>
      <c r="AD784">
        <v>0</v>
      </c>
      <c r="AE784">
        <v>9</v>
      </c>
      <c r="AF784" t="s">
        <v>138</v>
      </c>
      <c r="AG784">
        <v>0</v>
      </c>
      <c r="AH784">
        <v>3</v>
      </c>
      <c r="AI784">
        <v>1</v>
      </c>
      <c r="AJ784">
        <v>0</v>
      </c>
      <c r="AK784" t="s">
        <v>357</v>
      </c>
      <c r="AL784">
        <v>32.815818999999998</v>
      </c>
      <c r="AM784" t="s">
        <v>358</v>
      </c>
      <c r="AN784">
        <v>-116.951351</v>
      </c>
      <c r="AO784">
        <v>25</v>
      </c>
      <c r="AP784">
        <v>1900</v>
      </c>
      <c r="AQ784" t="s">
        <v>129</v>
      </c>
      <c r="AR784">
        <v>118</v>
      </c>
      <c r="AS784">
        <v>-42</v>
      </c>
      <c r="AT784">
        <v>320</v>
      </c>
      <c r="BB784">
        <v>1200</v>
      </c>
      <c r="BC784">
        <v>1</v>
      </c>
      <c r="BD784" t="str">
        <f t="shared" si="273"/>
        <v xml:space="preserve">N887QR  </v>
      </c>
      <c r="BE784">
        <v>1</v>
      </c>
      <c r="BJ784">
        <v>1575</v>
      </c>
      <c r="BK784">
        <v>-325</v>
      </c>
      <c r="BL784" t="s">
        <v>163</v>
      </c>
      <c r="BM784">
        <v>1</v>
      </c>
      <c r="BN784">
        <v>1</v>
      </c>
      <c r="BO784">
        <v>1</v>
      </c>
      <c r="BP784">
        <v>0</v>
      </c>
      <c r="BS784">
        <v>0.04</v>
      </c>
      <c r="BT784">
        <v>0</v>
      </c>
      <c r="BU784">
        <v>0</v>
      </c>
      <c r="CE784" t="str">
        <f t="shared" si="277"/>
        <v>19:27:44.332</v>
      </c>
      <c r="CF784">
        <v>331855685</v>
      </c>
      <c r="CS784">
        <v>3</v>
      </c>
      <c r="CT784">
        <v>2</v>
      </c>
      <c r="CU784">
        <v>0</v>
      </c>
      <c r="CV784">
        <v>2</v>
      </c>
      <c r="CW784">
        <v>0</v>
      </c>
      <c r="CX784">
        <v>6</v>
      </c>
      <c r="CY784">
        <v>7</v>
      </c>
      <c r="CZ784" t="s">
        <v>131</v>
      </c>
      <c r="DA784">
        <v>300</v>
      </c>
      <c r="DB784">
        <v>0</v>
      </c>
      <c r="DC784" t="s">
        <v>176</v>
      </c>
      <c r="DD784" t="s">
        <v>177</v>
      </c>
      <c r="DG784">
        <v>5371217</v>
      </c>
      <c r="DI784">
        <v>1</v>
      </c>
      <c r="DJ784">
        <v>0</v>
      </c>
      <c r="DK784">
        <v>1</v>
      </c>
      <c r="DL784">
        <v>0</v>
      </c>
      <c r="DM784">
        <v>0</v>
      </c>
      <c r="DN784">
        <v>1</v>
      </c>
      <c r="DO784">
        <v>0</v>
      </c>
      <c r="DP784">
        <v>0</v>
      </c>
      <c r="DQ784">
        <v>0</v>
      </c>
      <c r="DR784">
        <v>0</v>
      </c>
      <c r="DS784">
        <v>0</v>
      </c>
    </row>
    <row r="785" spans="1:123" x14ac:dyDescent="0.3">
      <c r="A785" t="str">
        <f>"10/04/2022 19:27:44.572"</f>
        <v>10/04/2022 19:27:44.572</v>
      </c>
      <c r="C785" t="str">
        <f t="shared" si="266"/>
        <v>FFDDD3C0</v>
      </c>
      <c r="D785" t="s">
        <v>136</v>
      </c>
      <c r="E785">
        <v>8</v>
      </c>
      <c r="H785">
        <v>225</v>
      </c>
      <c r="I785" t="s">
        <v>137</v>
      </c>
      <c r="J785" t="s">
        <v>138</v>
      </c>
      <c r="K785">
        <v>0</v>
      </c>
      <c r="L785">
        <v>3</v>
      </c>
      <c r="M785">
        <v>0</v>
      </c>
      <c r="N785">
        <v>2</v>
      </c>
      <c r="O785">
        <v>0</v>
      </c>
      <c r="P785">
        <v>1</v>
      </c>
      <c r="Q785">
        <v>0</v>
      </c>
      <c r="S785" t="str">
        <f t="shared" si="276"/>
        <v>19:27:44.000</v>
      </c>
      <c r="T785" t="str">
        <f t="shared" si="276"/>
        <v>19:27:44.000</v>
      </c>
      <c r="U785" t="str">
        <f t="shared" si="272"/>
        <v>AC3944</v>
      </c>
      <c r="V785">
        <v>0</v>
      </c>
      <c r="W785">
        <v>0</v>
      </c>
      <c r="X785">
        <v>2</v>
      </c>
      <c r="Y785">
        <v>0</v>
      </c>
      <c r="AA785">
        <v>1</v>
      </c>
      <c r="AB785">
        <v>8</v>
      </c>
      <c r="AC785">
        <v>3</v>
      </c>
      <c r="AD785">
        <v>0</v>
      </c>
      <c r="AE785">
        <v>9</v>
      </c>
      <c r="AF785" t="s">
        <v>138</v>
      </c>
      <c r="AG785">
        <v>0</v>
      </c>
      <c r="AH785">
        <v>3</v>
      </c>
      <c r="AI785">
        <v>1</v>
      </c>
      <c r="AJ785">
        <v>0</v>
      </c>
      <c r="AK785" t="s">
        <v>357</v>
      </c>
      <c r="AL785">
        <v>32.815818999999998</v>
      </c>
      <c r="AM785" t="s">
        <v>358</v>
      </c>
      <c r="AN785">
        <v>-116.951351</v>
      </c>
      <c r="AO785">
        <v>25</v>
      </c>
      <c r="AP785">
        <v>1900</v>
      </c>
      <c r="AQ785" t="s">
        <v>129</v>
      </c>
      <c r="AR785">
        <v>118</v>
      </c>
      <c r="AS785">
        <v>-42</v>
      </c>
      <c r="AT785">
        <v>320</v>
      </c>
      <c r="BB785">
        <v>1200</v>
      </c>
      <c r="BC785">
        <v>1</v>
      </c>
      <c r="BD785" t="str">
        <f t="shared" si="273"/>
        <v xml:space="preserve">N887QR  </v>
      </c>
      <c r="BE785">
        <v>1</v>
      </c>
      <c r="BJ785">
        <v>1575</v>
      </c>
      <c r="BK785">
        <v>-325</v>
      </c>
      <c r="BL785" t="s">
        <v>163</v>
      </c>
      <c r="BM785">
        <v>1</v>
      </c>
      <c r="BN785">
        <v>1</v>
      </c>
      <c r="BO785">
        <v>1</v>
      </c>
      <c r="BP785">
        <v>0</v>
      </c>
      <c r="BS785">
        <v>0.04</v>
      </c>
      <c r="BT785">
        <v>0</v>
      </c>
      <c r="BU785">
        <v>0</v>
      </c>
      <c r="CE785" t="str">
        <f t="shared" si="277"/>
        <v>19:27:44.332</v>
      </c>
      <c r="CF785">
        <v>331855685</v>
      </c>
      <c r="CS785">
        <v>3</v>
      </c>
      <c r="CT785">
        <v>2</v>
      </c>
      <c r="CU785">
        <v>0</v>
      </c>
      <c r="CV785">
        <v>2</v>
      </c>
      <c r="CW785">
        <v>0</v>
      </c>
      <c r="CX785">
        <v>6</v>
      </c>
      <c r="CY785">
        <v>7</v>
      </c>
      <c r="CZ785" t="s">
        <v>131</v>
      </c>
      <c r="DA785">
        <v>300</v>
      </c>
      <c r="DB785">
        <v>0</v>
      </c>
      <c r="DC785" t="s">
        <v>176</v>
      </c>
      <c r="DD785" t="s">
        <v>177</v>
      </c>
      <c r="DG785">
        <v>5371217</v>
      </c>
      <c r="DI785">
        <v>1</v>
      </c>
      <c r="DJ785">
        <v>0</v>
      </c>
      <c r="DK785">
        <v>1</v>
      </c>
      <c r="DL785">
        <v>0</v>
      </c>
      <c r="DM785">
        <v>0</v>
      </c>
      <c r="DN785">
        <v>1</v>
      </c>
      <c r="DO785">
        <v>0</v>
      </c>
      <c r="DP785">
        <v>0</v>
      </c>
      <c r="DQ785">
        <v>0</v>
      </c>
      <c r="DR785">
        <v>0</v>
      </c>
      <c r="DS785">
        <v>0</v>
      </c>
    </row>
    <row r="786" spans="1:123" x14ac:dyDescent="0.3">
      <c r="A786" t="str">
        <f>"10/04/2022 19:27:44.572"</f>
        <v>10/04/2022 19:27:44.572</v>
      </c>
      <c r="C786" t="str">
        <f t="shared" si="266"/>
        <v>FFDDD3C0</v>
      </c>
      <c r="D786" t="s">
        <v>141</v>
      </c>
      <c r="E786">
        <v>3</v>
      </c>
      <c r="H786">
        <v>3</v>
      </c>
      <c r="I786" t="s">
        <v>146</v>
      </c>
      <c r="J786" t="s">
        <v>138</v>
      </c>
      <c r="K786">
        <v>0</v>
      </c>
      <c r="L786">
        <v>3</v>
      </c>
      <c r="M786">
        <v>0</v>
      </c>
      <c r="N786">
        <v>2</v>
      </c>
      <c r="O786">
        <v>0</v>
      </c>
      <c r="P786">
        <v>1</v>
      </c>
      <c r="Q786">
        <v>0</v>
      </c>
      <c r="S786" t="str">
        <f t="shared" si="276"/>
        <v>19:27:44.000</v>
      </c>
      <c r="T786" t="str">
        <f t="shared" si="276"/>
        <v>19:27:44.000</v>
      </c>
      <c r="U786" t="str">
        <f t="shared" si="272"/>
        <v>AC3944</v>
      </c>
      <c r="V786">
        <v>0</v>
      </c>
      <c r="W786">
        <v>0</v>
      </c>
      <c r="X786">
        <v>2</v>
      </c>
      <c r="Y786">
        <v>0</v>
      </c>
      <c r="AA786">
        <v>1</v>
      </c>
      <c r="AB786">
        <v>8</v>
      </c>
      <c r="AC786">
        <v>3</v>
      </c>
      <c r="AD786">
        <v>0</v>
      </c>
      <c r="AE786">
        <v>9</v>
      </c>
      <c r="AF786" t="s">
        <v>138</v>
      </c>
      <c r="AG786">
        <v>0</v>
      </c>
      <c r="AH786">
        <v>3</v>
      </c>
      <c r="AI786">
        <v>1</v>
      </c>
      <c r="AJ786">
        <v>0</v>
      </c>
      <c r="AK786" t="s">
        <v>357</v>
      </c>
      <c r="AL786">
        <v>32.815818999999998</v>
      </c>
      <c r="AM786" t="s">
        <v>358</v>
      </c>
      <c r="AN786">
        <v>-116.951351</v>
      </c>
      <c r="AO786">
        <v>25</v>
      </c>
      <c r="AP786">
        <v>1900</v>
      </c>
      <c r="AQ786" t="s">
        <v>129</v>
      </c>
      <c r="AR786">
        <v>118</v>
      </c>
      <c r="AS786">
        <v>-42</v>
      </c>
      <c r="AT786">
        <v>320</v>
      </c>
      <c r="BB786">
        <v>1200</v>
      </c>
      <c r="BC786">
        <v>1</v>
      </c>
      <c r="BD786" t="str">
        <f t="shared" si="273"/>
        <v xml:space="preserve">N887QR  </v>
      </c>
      <c r="BE786">
        <v>1</v>
      </c>
      <c r="BJ786">
        <v>1575</v>
      </c>
      <c r="BK786">
        <v>-325</v>
      </c>
      <c r="BL786" t="s">
        <v>163</v>
      </c>
      <c r="BM786">
        <v>1</v>
      </c>
      <c r="BN786">
        <v>1</v>
      </c>
      <c r="BO786">
        <v>1</v>
      </c>
      <c r="BP786">
        <v>0</v>
      </c>
      <c r="BS786">
        <v>0.04</v>
      </c>
      <c r="BT786">
        <v>0</v>
      </c>
      <c r="BU786">
        <v>0</v>
      </c>
      <c r="CE786" t="str">
        <f t="shared" si="277"/>
        <v>19:27:44.332</v>
      </c>
      <c r="CF786">
        <v>331855685</v>
      </c>
      <c r="CS786">
        <v>3</v>
      </c>
      <c r="CT786">
        <v>2</v>
      </c>
      <c r="CU786">
        <v>0</v>
      </c>
      <c r="CV786">
        <v>2</v>
      </c>
      <c r="CW786">
        <v>0</v>
      </c>
      <c r="CX786">
        <v>6</v>
      </c>
      <c r="CY786">
        <v>7</v>
      </c>
      <c r="CZ786" t="s">
        <v>131</v>
      </c>
      <c r="DA786">
        <v>300</v>
      </c>
      <c r="DB786">
        <v>0</v>
      </c>
      <c r="DC786" t="s">
        <v>176</v>
      </c>
      <c r="DD786" t="s">
        <v>177</v>
      </c>
      <c r="DG786">
        <v>5371217</v>
      </c>
      <c r="DI786">
        <v>1</v>
      </c>
      <c r="DJ786">
        <v>0</v>
      </c>
      <c r="DK786">
        <v>1</v>
      </c>
      <c r="DL786">
        <v>0</v>
      </c>
      <c r="DM786">
        <v>0</v>
      </c>
      <c r="DN786">
        <v>1</v>
      </c>
      <c r="DO786">
        <v>0</v>
      </c>
      <c r="DP786">
        <v>0</v>
      </c>
      <c r="DQ786">
        <v>0</v>
      </c>
      <c r="DR786">
        <v>0</v>
      </c>
      <c r="DS786">
        <v>0</v>
      </c>
    </row>
    <row r="787" spans="1:123" x14ac:dyDescent="0.3">
      <c r="A787" t="str">
        <f>"10/04/2022 19:27:45.682"</f>
        <v>10/04/2022 19:27:45.682</v>
      </c>
      <c r="C787" t="str">
        <f t="shared" si="266"/>
        <v>FFDDD3C0</v>
      </c>
      <c r="D787" t="s">
        <v>143</v>
      </c>
      <c r="E787">
        <v>20</v>
      </c>
      <c r="F787">
        <v>1020</v>
      </c>
      <c r="G787" t="s">
        <v>144</v>
      </c>
      <c r="J787" t="s">
        <v>145</v>
      </c>
      <c r="K787">
        <v>0</v>
      </c>
      <c r="L787">
        <v>3</v>
      </c>
      <c r="M787">
        <v>0</v>
      </c>
      <c r="N787">
        <v>2</v>
      </c>
      <c r="O787">
        <v>0</v>
      </c>
      <c r="P787">
        <v>1</v>
      </c>
      <c r="Q787">
        <v>0</v>
      </c>
      <c r="S787" t="str">
        <f t="shared" ref="S787:T793" si="278">"19:27:45.000"</f>
        <v>19:27:45.000</v>
      </c>
      <c r="T787" t="str">
        <f t="shared" si="278"/>
        <v>19:27:45.000</v>
      </c>
      <c r="U787" t="str">
        <f t="shared" si="272"/>
        <v>AC3944</v>
      </c>
      <c r="V787">
        <v>0</v>
      </c>
      <c r="W787">
        <v>0</v>
      </c>
      <c r="X787">
        <v>2</v>
      </c>
      <c r="Y787">
        <v>0</v>
      </c>
      <c r="AA787">
        <v>1</v>
      </c>
      <c r="AB787">
        <v>8</v>
      </c>
      <c r="AC787">
        <v>3</v>
      </c>
      <c r="AD787">
        <v>0</v>
      </c>
      <c r="AE787">
        <v>9</v>
      </c>
      <c r="AF787" t="s">
        <v>138</v>
      </c>
      <c r="AG787">
        <v>0</v>
      </c>
      <c r="AH787">
        <v>3</v>
      </c>
      <c r="AI787">
        <v>1</v>
      </c>
      <c r="AJ787">
        <v>0</v>
      </c>
      <c r="AK787" t="s">
        <v>359</v>
      </c>
      <c r="AL787">
        <v>32.815626000000002</v>
      </c>
      <c r="AM787" t="s">
        <v>360</v>
      </c>
      <c r="AN787">
        <v>-116.950686</v>
      </c>
      <c r="AO787">
        <v>25</v>
      </c>
      <c r="AP787">
        <v>1900</v>
      </c>
      <c r="AQ787" t="s">
        <v>129</v>
      </c>
      <c r="AR787">
        <v>115</v>
      </c>
      <c r="AS787">
        <v>-47</v>
      </c>
      <c r="AT787">
        <v>320</v>
      </c>
      <c r="BB787">
        <v>1200</v>
      </c>
      <c r="BC787">
        <v>1</v>
      </c>
      <c r="BD787" t="str">
        <f t="shared" si="273"/>
        <v xml:space="preserve">N887QR  </v>
      </c>
      <c r="BE787">
        <v>1</v>
      </c>
      <c r="BJ787">
        <v>1575</v>
      </c>
      <c r="BK787">
        <v>-325</v>
      </c>
      <c r="BL787" t="s">
        <v>163</v>
      </c>
      <c r="BM787">
        <v>1</v>
      </c>
      <c r="BN787">
        <v>1</v>
      </c>
      <c r="BO787">
        <v>1</v>
      </c>
      <c r="BP787">
        <v>0</v>
      </c>
      <c r="BS787">
        <v>0.04</v>
      </c>
      <c r="BT787">
        <v>0</v>
      </c>
      <c r="BU787">
        <v>0</v>
      </c>
      <c r="CE787" t="str">
        <f t="shared" ref="CE787:CE793" si="279">"19:27:45.510"</f>
        <v>19:27:45.510</v>
      </c>
      <c r="CF787">
        <v>509609551</v>
      </c>
      <c r="CS787">
        <v>3</v>
      </c>
      <c r="CT787">
        <v>2</v>
      </c>
      <c r="CU787">
        <v>0</v>
      </c>
      <c r="CV787">
        <v>2</v>
      </c>
      <c r="CW787">
        <v>0</v>
      </c>
      <c r="CX787">
        <v>6</v>
      </c>
      <c r="CY787">
        <v>7</v>
      </c>
      <c r="CZ787" t="s">
        <v>131</v>
      </c>
      <c r="DA787">
        <v>300</v>
      </c>
      <c r="DB787">
        <v>0</v>
      </c>
      <c r="DC787" t="s">
        <v>176</v>
      </c>
      <c r="DD787" t="s">
        <v>177</v>
      </c>
      <c r="DG787">
        <v>5371391</v>
      </c>
      <c r="DI787">
        <v>1</v>
      </c>
      <c r="DJ787">
        <v>0</v>
      </c>
      <c r="DK787">
        <v>0</v>
      </c>
      <c r="DL787">
        <v>0</v>
      </c>
      <c r="DM787">
        <v>0</v>
      </c>
      <c r="DN787">
        <v>1</v>
      </c>
      <c r="DO787">
        <v>0</v>
      </c>
      <c r="DP787">
        <v>0</v>
      </c>
      <c r="DQ787">
        <v>0</v>
      </c>
      <c r="DR787">
        <v>0</v>
      </c>
      <c r="DS787">
        <v>0</v>
      </c>
    </row>
    <row r="788" spans="1:123" x14ac:dyDescent="0.3">
      <c r="A788" t="str">
        <f>"10/04/2022 19:27:45.698"</f>
        <v>10/04/2022 19:27:45.698</v>
      </c>
      <c r="C788" t="str">
        <f t="shared" si="266"/>
        <v>FFDDD3C0</v>
      </c>
      <c r="D788" t="s">
        <v>123</v>
      </c>
      <c r="E788">
        <v>7</v>
      </c>
      <c r="F788">
        <v>2007</v>
      </c>
      <c r="G788" t="s">
        <v>124</v>
      </c>
      <c r="J788" t="s">
        <v>125</v>
      </c>
      <c r="K788">
        <v>0</v>
      </c>
      <c r="L788">
        <v>3</v>
      </c>
      <c r="M788">
        <v>0</v>
      </c>
      <c r="N788">
        <v>2</v>
      </c>
      <c r="O788">
        <v>0</v>
      </c>
      <c r="P788">
        <v>1</v>
      </c>
      <c r="Q788">
        <v>0</v>
      </c>
      <c r="S788" t="str">
        <f t="shared" si="278"/>
        <v>19:27:45.000</v>
      </c>
      <c r="T788" t="str">
        <f t="shared" si="278"/>
        <v>19:27:45.000</v>
      </c>
      <c r="U788" t="str">
        <f t="shared" si="272"/>
        <v>AC3944</v>
      </c>
      <c r="V788">
        <v>0</v>
      </c>
      <c r="W788">
        <v>0</v>
      </c>
      <c r="X788">
        <v>2</v>
      </c>
      <c r="Y788">
        <v>0</v>
      </c>
      <c r="AA788">
        <v>1</v>
      </c>
      <c r="AB788">
        <v>8</v>
      </c>
      <c r="AC788">
        <v>3</v>
      </c>
      <c r="AD788">
        <v>0</v>
      </c>
      <c r="AE788">
        <v>9</v>
      </c>
      <c r="AF788" t="s">
        <v>138</v>
      </c>
      <c r="AG788">
        <v>0</v>
      </c>
      <c r="AH788">
        <v>3</v>
      </c>
      <c r="AI788">
        <v>1</v>
      </c>
      <c r="AJ788">
        <v>0</v>
      </c>
      <c r="AK788" t="s">
        <v>359</v>
      </c>
      <c r="AL788">
        <v>32.815626000000002</v>
      </c>
      <c r="AM788" t="s">
        <v>360</v>
      </c>
      <c r="AN788">
        <v>-116.950686</v>
      </c>
      <c r="AO788">
        <v>25</v>
      </c>
      <c r="AP788">
        <v>1900</v>
      </c>
      <c r="AQ788" t="s">
        <v>129</v>
      </c>
      <c r="AR788">
        <v>115</v>
      </c>
      <c r="AS788">
        <v>-47</v>
      </c>
      <c r="AT788">
        <v>320</v>
      </c>
      <c r="BB788">
        <v>1200</v>
      </c>
      <c r="BC788">
        <v>1</v>
      </c>
      <c r="BD788" t="str">
        <f t="shared" si="273"/>
        <v xml:space="preserve">N887QR  </v>
      </c>
      <c r="BE788">
        <v>1</v>
      </c>
      <c r="BJ788">
        <v>1575</v>
      </c>
      <c r="BK788">
        <v>-325</v>
      </c>
      <c r="BL788" t="s">
        <v>163</v>
      </c>
      <c r="BM788">
        <v>1</v>
      </c>
      <c r="BN788">
        <v>1</v>
      </c>
      <c r="BO788">
        <v>1</v>
      </c>
      <c r="BP788">
        <v>0</v>
      </c>
      <c r="BS788">
        <v>0.04</v>
      </c>
      <c r="BT788">
        <v>0</v>
      </c>
      <c r="BU788">
        <v>0</v>
      </c>
      <c r="CE788" t="str">
        <f t="shared" si="279"/>
        <v>19:27:45.510</v>
      </c>
      <c r="CF788">
        <v>509609551</v>
      </c>
      <c r="CS788">
        <v>3</v>
      </c>
      <c r="CT788">
        <v>2</v>
      </c>
      <c r="CU788">
        <v>0</v>
      </c>
      <c r="CV788">
        <v>2</v>
      </c>
      <c r="CW788">
        <v>0</v>
      </c>
      <c r="CX788">
        <v>6</v>
      </c>
      <c r="CY788">
        <v>7</v>
      </c>
      <c r="CZ788" t="s">
        <v>131</v>
      </c>
      <c r="DA788">
        <v>300</v>
      </c>
      <c r="DB788">
        <v>0</v>
      </c>
      <c r="DC788" t="s">
        <v>176</v>
      </c>
      <c r="DD788" t="s">
        <v>177</v>
      </c>
      <c r="DG788">
        <v>5371391</v>
      </c>
      <c r="DI788">
        <v>1</v>
      </c>
      <c r="DJ788">
        <v>0</v>
      </c>
      <c r="DK788">
        <v>1</v>
      </c>
      <c r="DL788">
        <v>0</v>
      </c>
      <c r="DM788">
        <v>0</v>
      </c>
      <c r="DN788">
        <v>1</v>
      </c>
      <c r="DO788">
        <v>0</v>
      </c>
      <c r="DP788">
        <v>0</v>
      </c>
      <c r="DQ788">
        <v>0</v>
      </c>
      <c r="DR788">
        <v>0</v>
      </c>
      <c r="DS788">
        <v>0</v>
      </c>
    </row>
    <row r="789" spans="1:123" x14ac:dyDescent="0.3">
      <c r="A789" t="str">
        <f>"10/04/2022 19:27:45.698"</f>
        <v>10/04/2022 19:27:45.698</v>
      </c>
      <c r="C789" t="str">
        <f t="shared" si="266"/>
        <v>FFDDD3C0</v>
      </c>
      <c r="D789" t="s">
        <v>134</v>
      </c>
      <c r="E789">
        <v>15</v>
      </c>
      <c r="J789" t="s">
        <v>135</v>
      </c>
      <c r="K789">
        <v>0</v>
      </c>
      <c r="L789">
        <v>3</v>
      </c>
      <c r="M789">
        <v>0</v>
      </c>
      <c r="N789">
        <v>2</v>
      </c>
      <c r="O789">
        <v>0</v>
      </c>
      <c r="P789">
        <v>1</v>
      </c>
      <c r="Q789">
        <v>0</v>
      </c>
      <c r="S789" t="str">
        <f t="shared" si="278"/>
        <v>19:27:45.000</v>
      </c>
      <c r="T789" t="str">
        <f t="shared" si="278"/>
        <v>19:27:45.000</v>
      </c>
      <c r="U789" t="str">
        <f t="shared" si="272"/>
        <v>AC3944</v>
      </c>
      <c r="V789">
        <v>0</v>
      </c>
      <c r="W789">
        <v>0</v>
      </c>
      <c r="X789">
        <v>2</v>
      </c>
      <c r="Y789">
        <v>0</v>
      </c>
      <c r="AA789">
        <v>1</v>
      </c>
      <c r="AB789">
        <v>8</v>
      </c>
      <c r="AC789">
        <v>3</v>
      </c>
      <c r="AD789">
        <v>0</v>
      </c>
      <c r="AE789">
        <v>9</v>
      </c>
      <c r="AF789" t="s">
        <v>138</v>
      </c>
      <c r="AG789">
        <v>0</v>
      </c>
      <c r="AH789">
        <v>3</v>
      </c>
      <c r="AI789">
        <v>1</v>
      </c>
      <c r="AJ789">
        <v>0</v>
      </c>
      <c r="AK789" t="s">
        <v>359</v>
      </c>
      <c r="AL789">
        <v>32.815626000000002</v>
      </c>
      <c r="AM789" t="s">
        <v>360</v>
      </c>
      <c r="AN789">
        <v>-116.950686</v>
      </c>
      <c r="AO789">
        <v>25</v>
      </c>
      <c r="AP789">
        <v>1900</v>
      </c>
      <c r="AQ789" t="s">
        <v>129</v>
      </c>
      <c r="AR789">
        <v>115</v>
      </c>
      <c r="AS789">
        <v>-47</v>
      </c>
      <c r="AT789">
        <v>320</v>
      </c>
      <c r="BB789">
        <v>1200</v>
      </c>
      <c r="BC789">
        <v>1</v>
      </c>
      <c r="BD789" t="str">
        <f t="shared" si="273"/>
        <v xml:space="preserve">N887QR  </v>
      </c>
      <c r="BE789">
        <v>1</v>
      </c>
      <c r="BJ789">
        <v>1575</v>
      </c>
      <c r="BK789">
        <v>-325</v>
      </c>
      <c r="BL789" t="s">
        <v>163</v>
      </c>
      <c r="BM789">
        <v>1</v>
      </c>
      <c r="BN789">
        <v>1</v>
      </c>
      <c r="BO789">
        <v>1</v>
      </c>
      <c r="BP789">
        <v>0</v>
      </c>
      <c r="BS789">
        <v>0.04</v>
      </c>
      <c r="BT789">
        <v>0</v>
      </c>
      <c r="BU789">
        <v>0</v>
      </c>
      <c r="CE789" t="str">
        <f t="shared" si="279"/>
        <v>19:27:45.510</v>
      </c>
      <c r="CF789">
        <v>509609551</v>
      </c>
      <c r="CS789">
        <v>3</v>
      </c>
      <c r="CT789">
        <v>2</v>
      </c>
      <c r="CU789">
        <v>0</v>
      </c>
      <c r="CV789">
        <v>2</v>
      </c>
      <c r="CW789">
        <v>0</v>
      </c>
      <c r="CX789">
        <v>6</v>
      </c>
      <c r="CY789">
        <v>7</v>
      </c>
      <c r="CZ789" t="s">
        <v>131</v>
      </c>
      <c r="DA789">
        <v>300</v>
      </c>
      <c r="DB789">
        <v>0</v>
      </c>
      <c r="DC789" t="s">
        <v>176</v>
      </c>
      <c r="DD789" t="s">
        <v>177</v>
      </c>
      <c r="DG789">
        <v>5371391</v>
      </c>
      <c r="DI789">
        <v>1</v>
      </c>
      <c r="DJ789">
        <v>0</v>
      </c>
      <c r="DK789">
        <v>1</v>
      </c>
      <c r="DL789">
        <v>0</v>
      </c>
      <c r="DM789">
        <v>0</v>
      </c>
      <c r="DN789">
        <v>1</v>
      </c>
      <c r="DO789">
        <v>0</v>
      </c>
      <c r="DP789">
        <v>0</v>
      </c>
      <c r="DQ789">
        <v>0</v>
      </c>
      <c r="DR789">
        <v>0</v>
      </c>
      <c r="DS789">
        <v>0</v>
      </c>
    </row>
    <row r="790" spans="1:123" x14ac:dyDescent="0.3">
      <c r="A790" t="str">
        <f>"10/04/2022 19:27:45.698"</f>
        <v>10/04/2022 19:27:45.698</v>
      </c>
      <c r="C790" t="str">
        <f t="shared" si="266"/>
        <v>FFDDD3C0</v>
      </c>
      <c r="D790" t="s">
        <v>147</v>
      </c>
      <c r="E790">
        <v>3</v>
      </c>
      <c r="H790">
        <v>166</v>
      </c>
      <c r="I790" t="s">
        <v>144</v>
      </c>
      <c r="J790" t="s">
        <v>148</v>
      </c>
      <c r="K790">
        <v>0</v>
      </c>
      <c r="L790">
        <v>3</v>
      </c>
      <c r="M790">
        <v>0</v>
      </c>
      <c r="N790">
        <v>2</v>
      </c>
      <c r="O790">
        <v>0</v>
      </c>
      <c r="P790">
        <v>1</v>
      </c>
      <c r="Q790">
        <v>0</v>
      </c>
      <c r="S790" t="str">
        <f t="shared" si="278"/>
        <v>19:27:45.000</v>
      </c>
      <c r="T790" t="str">
        <f t="shared" si="278"/>
        <v>19:27:45.000</v>
      </c>
      <c r="U790" t="str">
        <f t="shared" si="272"/>
        <v>AC3944</v>
      </c>
      <c r="V790">
        <v>0</v>
      </c>
      <c r="W790">
        <v>0</v>
      </c>
      <c r="X790">
        <v>2</v>
      </c>
      <c r="Y790">
        <v>0</v>
      </c>
      <c r="AA790">
        <v>1</v>
      </c>
      <c r="AB790">
        <v>8</v>
      </c>
      <c r="AC790">
        <v>3</v>
      </c>
      <c r="AD790">
        <v>0</v>
      </c>
      <c r="AE790">
        <v>9</v>
      </c>
      <c r="AF790" t="s">
        <v>138</v>
      </c>
      <c r="AG790">
        <v>0</v>
      </c>
      <c r="AH790">
        <v>3</v>
      </c>
      <c r="AI790">
        <v>1</v>
      </c>
      <c r="AJ790">
        <v>0</v>
      </c>
      <c r="AK790" t="s">
        <v>359</v>
      </c>
      <c r="AL790">
        <v>32.815626000000002</v>
      </c>
      <c r="AM790" t="s">
        <v>360</v>
      </c>
      <c r="AN790">
        <v>-116.950686</v>
      </c>
      <c r="AO790">
        <v>25</v>
      </c>
      <c r="AP790">
        <v>1900</v>
      </c>
      <c r="AQ790" t="s">
        <v>129</v>
      </c>
      <c r="AR790">
        <v>115</v>
      </c>
      <c r="AS790">
        <v>-47</v>
      </c>
      <c r="AT790">
        <v>320</v>
      </c>
      <c r="BB790">
        <v>1200</v>
      </c>
      <c r="BC790">
        <v>1</v>
      </c>
      <c r="BD790" t="str">
        <f t="shared" si="273"/>
        <v xml:space="preserve">N887QR  </v>
      </c>
      <c r="BE790">
        <v>1</v>
      </c>
      <c r="BJ790">
        <v>1575</v>
      </c>
      <c r="BK790">
        <v>-325</v>
      </c>
      <c r="BL790" t="s">
        <v>163</v>
      </c>
      <c r="BM790">
        <v>1</v>
      </c>
      <c r="BN790">
        <v>1</v>
      </c>
      <c r="BO790">
        <v>1</v>
      </c>
      <c r="BP790">
        <v>0</v>
      </c>
      <c r="BS790">
        <v>0.04</v>
      </c>
      <c r="BT790">
        <v>0</v>
      </c>
      <c r="BU790">
        <v>0</v>
      </c>
      <c r="CE790" t="str">
        <f t="shared" si="279"/>
        <v>19:27:45.510</v>
      </c>
      <c r="CF790">
        <v>509609551</v>
      </c>
      <c r="CS790">
        <v>3</v>
      </c>
      <c r="CT790">
        <v>2</v>
      </c>
      <c r="CU790">
        <v>0</v>
      </c>
      <c r="CV790">
        <v>2</v>
      </c>
      <c r="CW790">
        <v>0</v>
      </c>
      <c r="CX790">
        <v>6</v>
      </c>
      <c r="CY790">
        <v>7</v>
      </c>
      <c r="CZ790" t="s">
        <v>131</v>
      </c>
      <c r="DA790">
        <v>300</v>
      </c>
      <c r="DB790">
        <v>0</v>
      </c>
      <c r="DC790" t="s">
        <v>176</v>
      </c>
      <c r="DD790" t="s">
        <v>177</v>
      </c>
      <c r="DG790">
        <v>5371391</v>
      </c>
      <c r="DI790">
        <v>1</v>
      </c>
      <c r="DJ790">
        <v>0</v>
      </c>
      <c r="DK790">
        <v>1</v>
      </c>
      <c r="DL790">
        <v>0</v>
      </c>
      <c r="DM790">
        <v>0</v>
      </c>
      <c r="DN790">
        <v>1</v>
      </c>
      <c r="DO790">
        <v>0</v>
      </c>
      <c r="DP790">
        <v>0</v>
      </c>
      <c r="DQ790">
        <v>0</v>
      </c>
      <c r="DR790">
        <v>0</v>
      </c>
      <c r="DS790">
        <v>0</v>
      </c>
    </row>
    <row r="791" spans="1:123" x14ac:dyDescent="0.3">
      <c r="A791" t="str">
        <f>"10/04/2022 19:27:45.714"</f>
        <v>10/04/2022 19:27:45.714</v>
      </c>
      <c r="C791" t="str">
        <f t="shared" si="266"/>
        <v>FFDDD3C0</v>
      </c>
      <c r="D791" t="s">
        <v>136</v>
      </c>
      <c r="E791">
        <v>8</v>
      </c>
      <c r="H791">
        <v>225</v>
      </c>
      <c r="I791" t="s">
        <v>137</v>
      </c>
      <c r="J791" t="s">
        <v>138</v>
      </c>
      <c r="K791">
        <v>0</v>
      </c>
      <c r="L791">
        <v>3</v>
      </c>
      <c r="M791">
        <v>0</v>
      </c>
      <c r="N791">
        <v>2</v>
      </c>
      <c r="O791">
        <v>0</v>
      </c>
      <c r="P791">
        <v>1</v>
      </c>
      <c r="Q791">
        <v>0</v>
      </c>
      <c r="S791" t="str">
        <f t="shared" si="278"/>
        <v>19:27:45.000</v>
      </c>
      <c r="T791" t="str">
        <f t="shared" si="278"/>
        <v>19:27:45.000</v>
      </c>
      <c r="U791" t="str">
        <f t="shared" si="272"/>
        <v>AC3944</v>
      </c>
      <c r="V791">
        <v>0</v>
      </c>
      <c r="W791">
        <v>0</v>
      </c>
      <c r="X791">
        <v>2</v>
      </c>
      <c r="Y791">
        <v>0</v>
      </c>
      <c r="AA791">
        <v>1</v>
      </c>
      <c r="AB791">
        <v>8</v>
      </c>
      <c r="AC791">
        <v>3</v>
      </c>
      <c r="AD791">
        <v>0</v>
      </c>
      <c r="AE791">
        <v>9</v>
      </c>
      <c r="AF791" t="s">
        <v>138</v>
      </c>
      <c r="AG791">
        <v>0</v>
      </c>
      <c r="AH791">
        <v>3</v>
      </c>
      <c r="AI791">
        <v>1</v>
      </c>
      <c r="AJ791">
        <v>0</v>
      </c>
      <c r="AK791" t="s">
        <v>359</v>
      </c>
      <c r="AL791">
        <v>32.815626000000002</v>
      </c>
      <c r="AM791" t="s">
        <v>360</v>
      </c>
      <c r="AN791">
        <v>-116.950686</v>
      </c>
      <c r="AO791">
        <v>25</v>
      </c>
      <c r="AP791">
        <v>1900</v>
      </c>
      <c r="AQ791" t="s">
        <v>129</v>
      </c>
      <c r="AR791">
        <v>115</v>
      </c>
      <c r="AS791">
        <v>-47</v>
      </c>
      <c r="AT791">
        <v>320</v>
      </c>
      <c r="BB791">
        <v>1200</v>
      </c>
      <c r="BC791">
        <v>1</v>
      </c>
      <c r="BD791" t="str">
        <f t="shared" si="273"/>
        <v xml:space="preserve">N887QR  </v>
      </c>
      <c r="BE791">
        <v>1</v>
      </c>
      <c r="BJ791">
        <v>1575</v>
      </c>
      <c r="BK791">
        <v>-325</v>
      </c>
      <c r="BL791" t="s">
        <v>163</v>
      </c>
      <c r="BM791">
        <v>1</v>
      </c>
      <c r="BN791">
        <v>1</v>
      </c>
      <c r="BO791">
        <v>1</v>
      </c>
      <c r="BP791">
        <v>0</v>
      </c>
      <c r="BS791">
        <v>0.04</v>
      </c>
      <c r="BT791">
        <v>0</v>
      </c>
      <c r="BU791">
        <v>0</v>
      </c>
      <c r="CE791" t="str">
        <f t="shared" si="279"/>
        <v>19:27:45.510</v>
      </c>
      <c r="CF791">
        <v>509609551</v>
      </c>
      <c r="CS791">
        <v>3</v>
      </c>
      <c r="CT791">
        <v>2</v>
      </c>
      <c r="CU791">
        <v>0</v>
      </c>
      <c r="CV791">
        <v>2</v>
      </c>
      <c r="CW791">
        <v>0</v>
      </c>
      <c r="CX791">
        <v>6</v>
      </c>
      <c r="CY791">
        <v>7</v>
      </c>
      <c r="CZ791" t="s">
        <v>131</v>
      </c>
      <c r="DA791">
        <v>300</v>
      </c>
      <c r="DB791">
        <v>0</v>
      </c>
      <c r="DC791" t="s">
        <v>176</v>
      </c>
      <c r="DD791" t="s">
        <v>177</v>
      </c>
      <c r="DG791">
        <v>5371391</v>
      </c>
      <c r="DI791">
        <v>1</v>
      </c>
      <c r="DJ791">
        <v>0</v>
      </c>
      <c r="DK791">
        <v>1</v>
      </c>
      <c r="DL791">
        <v>0</v>
      </c>
      <c r="DM791">
        <v>0</v>
      </c>
      <c r="DN791">
        <v>1</v>
      </c>
      <c r="DO791">
        <v>0</v>
      </c>
      <c r="DP791">
        <v>0</v>
      </c>
      <c r="DQ791">
        <v>0</v>
      </c>
      <c r="DR791">
        <v>0</v>
      </c>
      <c r="DS791">
        <v>0</v>
      </c>
    </row>
    <row r="792" spans="1:123" x14ac:dyDescent="0.3">
      <c r="A792" t="str">
        <f>"10/04/2022 19:27:45.729"</f>
        <v>10/04/2022 19:27:45.729</v>
      </c>
      <c r="C792" t="str">
        <f t="shared" si="266"/>
        <v>FFDDD3C0</v>
      </c>
      <c r="D792" t="s">
        <v>141</v>
      </c>
      <c r="E792">
        <v>3</v>
      </c>
      <c r="H792">
        <v>3</v>
      </c>
      <c r="I792" t="s">
        <v>146</v>
      </c>
      <c r="J792" t="s">
        <v>138</v>
      </c>
      <c r="K792">
        <v>0</v>
      </c>
      <c r="L792">
        <v>3</v>
      </c>
      <c r="M792">
        <v>0</v>
      </c>
      <c r="N792">
        <v>2</v>
      </c>
      <c r="O792">
        <v>0</v>
      </c>
      <c r="P792">
        <v>1</v>
      </c>
      <c r="Q792">
        <v>0</v>
      </c>
      <c r="S792" t="str">
        <f t="shared" si="278"/>
        <v>19:27:45.000</v>
      </c>
      <c r="T792" t="str">
        <f t="shared" si="278"/>
        <v>19:27:45.000</v>
      </c>
      <c r="U792" t="str">
        <f t="shared" si="272"/>
        <v>AC3944</v>
      </c>
      <c r="V792">
        <v>0</v>
      </c>
      <c r="W792">
        <v>0</v>
      </c>
      <c r="X792">
        <v>2</v>
      </c>
      <c r="Y792">
        <v>0</v>
      </c>
      <c r="AA792">
        <v>1</v>
      </c>
      <c r="AB792">
        <v>8</v>
      </c>
      <c r="AC792">
        <v>3</v>
      </c>
      <c r="AD792">
        <v>0</v>
      </c>
      <c r="AE792">
        <v>9</v>
      </c>
      <c r="AF792" t="s">
        <v>138</v>
      </c>
      <c r="AG792">
        <v>0</v>
      </c>
      <c r="AH792">
        <v>3</v>
      </c>
      <c r="AI792">
        <v>1</v>
      </c>
      <c r="AJ792">
        <v>0</v>
      </c>
      <c r="AK792" t="s">
        <v>359</v>
      </c>
      <c r="AL792">
        <v>32.815626000000002</v>
      </c>
      <c r="AM792" t="s">
        <v>360</v>
      </c>
      <c r="AN792">
        <v>-116.950686</v>
      </c>
      <c r="AO792">
        <v>25</v>
      </c>
      <c r="AP792">
        <v>1900</v>
      </c>
      <c r="AQ792" t="s">
        <v>129</v>
      </c>
      <c r="AR792">
        <v>115</v>
      </c>
      <c r="AS792">
        <v>-47</v>
      </c>
      <c r="AT792">
        <v>320</v>
      </c>
      <c r="BB792">
        <v>1200</v>
      </c>
      <c r="BC792">
        <v>1</v>
      </c>
      <c r="BD792" t="str">
        <f t="shared" si="273"/>
        <v xml:space="preserve">N887QR  </v>
      </c>
      <c r="BE792">
        <v>1</v>
      </c>
      <c r="BJ792">
        <v>1575</v>
      </c>
      <c r="BK792">
        <v>-325</v>
      </c>
      <c r="BL792" t="s">
        <v>163</v>
      </c>
      <c r="BM792">
        <v>1</v>
      </c>
      <c r="BN792">
        <v>1</v>
      </c>
      <c r="BO792">
        <v>1</v>
      </c>
      <c r="BP792">
        <v>0</v>
      </c>
      <c r="BS792">
        <v>0.04</v>
      </c>
      <c r="BT792">
        <v>0</v>
      </c>
      <c r="BU792">
        <v>0</v>
      </c>
      <c r="CE792" t="str">
        <f t="shared" si="279"/>
        <v>19:27:45.510</v>
      </c>
      <c r="CF792">
        <v>509609551</v>
      </c>
      <c r="CS792">
        <v>3</v>
      </c>
      <c r="CT792">
        <v>2</v>
      </c>
      <c r="CU792">
        <v>0</v>
      </c>
      <c r="CV792">
        <v>2</v>
      </c>
      <c r="CW792">
        <v>0</v>
      </c>
      <c r="CX792">
        <v>6</v>
      </c>
      <c r="CY792">
        <v>7</v>
      </c>
      <c r="CZ792" t="s">
        <v>131</v>
      </c>
      <c r="DA792">
        <v>300</v>
      </c>
      <c r="DB792">
        <v>0</v>
      </c>
      <c r="DC792" t="s">
        <v>176</v>
      </c>
      <c r="DD792" t="s">
        <v>177</v>
      </c>
      <c r="DG792">
        <v>5371391</v>
      </c>
      <c r="DI792">
        <v>1</v>
      </c>
      <c r="DJ792">
        <v>0</v>
      </c>
      <c r="DK792">
        <v>1</v>
      </c>
      <c r="DL792">
        <v>0</v>
      </c>
      <c r="DM792">
        <v>0</v>
      </c>
      <c r="DN792">
        <v>1</v>
      </c>
      <c r="DO792">
        <v>0</v>
      </c>
      <c r="DP792">
        <v>0</v>
      </c>
      <c r="DQ792">
        <v>0</v>
      </c>
      <c r="DR792">
        <v>0</v>
      </c>
      <c r="DS792">
        <v>0</v>
      </c>
    </row>
    <row r="793" spans="1:123" x14ac:dyDescent="0.3">
      <c r="A793" t="str">
        <f>"10/04/2022 19:27:45.745"</f>
        <v>10/04/2022 19:27:45.745</v>
      </c>
      <c r="C793" t="str">
        <f t="shared" si="266"/>
        <v>FFDDD3C0</v>
      </c>
      <c r="D793" t="s">
        <v>141</v>
      </c>
      <c r="E793">
        <v>4</v>
      </c>
      <c r="H793">
        <v>4</v>
      </c>
      <c r="I793" t="s">
        <v>142</v>
      </c>
      <c r="J793" t="s">
        <v>138</v>
      </c>
      <c r="K793">
        <v>0</v>
      </c>
      <c r="L793">
        <v>3</v>
      </c>
      <c r="M793">
        <v>0</v>
      </c>
      <c r="N793">
        <v>2</v>
      </c>
      <c r="O793">
        <v>0</v>
      </c>
      <c r="P793">
        <v>1</v>
      </c>
      <c r="Q793">
        <v>0</v>
      </c>
      <c r="S793" t="str">
        <f t="shared" si="278"/>
        <v>19:27:45.000</v>
      </c>
      <c r="T793" t="str">
        <f t="shared" si="278"/>
        <v>19:27:45.000</v>
      </c>
      <c r="U793" t="str">
        <f t="shared" si="272"/>
        <v>AC3944</v>
      </c>
      <c r="V793">
        <v>0</v>
      </c>
      <c r="W793">
        <v>0</v>
      </c>
      <c r="X793">
        <v>2</v>
      </c>
      <c r="Y793">
        <v>0</v>
      </c>
      <c r="AA793">
        <v>1</v>
      </c>
      <c r="AB793">
        <v>8</v>
      </c>
      <c r="AC793">
        <v>3</v>
      </c>
      <c r="AD793">
        <v>0</v>
      </c>
      <c r="AE793">
        <v>9</v>
      </c>
      <c r="AF793" t="s">
        <v>138</v>
      </c>
      <c r="AG793">
        <v>0</v>
      </c>
      <c r="AH793">
        <v>3</v>
      </c>
      <c r="AI793">
        <v>1</v>
      </c>
      <c r="AJ793">
        <v>0</v>
      </c>
      <c r="AK793" t="s">
        <v>359</v>
      </c>
      <c r="AL793">
        <v>32.815626000000002</v>
      </c>
      <c r="AM793" t="s">
        <v>360</v>
      </c>
      <c r="AN793">
        <v>-116.950686</v>
      </c>
      <c r="AO793">
        <v>25</v>
      </c>
      <c r="AP793">
        <v>1900</v>
      </c>
      <c r="AQ793" t="s">
        <v>129</v>
      </c>
      <c r="AR793">
        <v>115</v>
      </c>
      <c r="AS793">
        <v>-47</v>
      </c>
      <c r="AT793">
        <v>320</v>
      </c>
      <c r="BB793">
        <v>1200</v>
      </c>
      <c r="BC793">
        <v>1</v>
      </c>
      <c r="BD793" t="str">
        <f t="shared" si="273"/>
        <v xml:space="preserve">N887QR  </v>
      </c>
      <c r="BE793">
        <v>1</v>
      </c>
      <c r="BJ793">
        <v>1575</v>
      </c>
      <c r="BK793">
        <v>-325</v>
      </c>
      <c r="BL793" t="s">
        <v>163</v>
      </c>
      <c r="BM793">
        <v>1</v>
      </c>
      <c r="BN793">
        <v>1</v>
      </c>
      <c r="BO793">
        <v>1</v>
      </c>
      <c r="BP793">
        <v>0</v>
      </c>
      <c r="BS793">
        <v>0.04</v>
      </c>
      <c r="BT793">
        <v>0</v>
      </c>
      <c r="BU793">
        <v>0</v>
      </c>
      <c r="CE793" t="str">
        <f t="shared" si="279"/>
        <v>19:27:45.510</v>
      </c>
      <c r="CF793">
        <v>509609551</v>
      </c>
      <c r="CS793">
        <v>3</v>
      </c>
      <c r="CT793">
        <v>2</v>
      </c>
      <c r="CU793">
        <v>0</v>
      </c>
      <c r="CV793">
        <v>2</v>
      </c>
      <c r="CW793">
        <v>0</v>
      </c>
      <c r="CX793">
        <v>6</v>
      </c>
      <c r="CY793">
        <v>7</v>
      </c>
      <c r="CZ793" t="s">
        <v>131</v>
      </c>
      <c r="DA793">
        <v>300</v>
      </c>
      <c r="DB793">
        <v>0</v>
      </c>
      <c r="DC793" t="s">
        <v>176</v>
      </c>
      <c r="DD793" t="s">
        <v>177</v>
      </c>
      <c r="DG793">
        <v>5371391</v>
      </c>
      <c r="DI793">
        <v>1</v>
      </c>
      <c r="DJ793">
        <v>0</v>
      </c>
      <c r="DK793">
        <v>1</v>
      </c>
      <c r="DL793">
        <v>0</v>
      </c>
      <c r="DM793">
        <v>0</v>
      </c>
      <c r="DN793">
        <v>1</v>
      </c>
      <c r="DO793">
        <v>0</v>
      </c>
      <c r="DP793">
        <v>0</v>
      </c>
      <c r="DQ793">
        <v>0</v>
      </c>
      <c r="DR793">
        <v>0</v>
      </c>
      <c r="DS793">
        <v>0</v>
      </c>
    </row>
    <row r="794" spans="1:123" x14ac:dyDescent="0.3">
      <c r="A794" t="str">
        <f>"10/04/2022 19:27:46.680"</f>
        <v>10/04/2022 19:27:46.680</v>
      </c>
      <c r="C794" t="str">
        <f t="shared" si="266"/>
        <v>FFDDD3C0</v>
      </c>
      <c r="D794" t="s">
        <v>136</v>
      </c>
      <c r="E794">
        <v>8</v>
      </c>
      <c r="H794">
        <v>225</v>
      </c>
      <c r="I794" t="s">
        <v>137</v>
      </c>
      <c r="J794" t="s">
        <v>138</v>
      </c>
      <c r="K794">
        <v>0</v>
      </c>
      <c r="L794">
        <v>3</v>
      </c>
      <c r="M794">
        <v>0</v>
      </c>
      <c r="N794">
        <v>2</v>
      </c>
      <c r="O794">
        <v>0</v>
      </c>
      <c r="P794">
        <v>1</v>
      </c>
      <c r="Q794">
        <v>0</v>
      </c>
      <c r="S794" t="str">
        <f t="shared" ref="S794:T807" si="280">"19:27:46.000"</f>
        <v>19:27:46.000</v>
      </c>
      <c r="T794" t="str">
        <f t="shared" si="280"/>
        <v>19:27:46.000</v>
      </c>
      <c r="U794" t="str">
        <f t="shared" si="272"/>
        <v>AC3944</v>
      </c>
      <c r="V794">
        <v>0</v>
      </c>
      <c r="W794">
        <v>0</v>
      </c>
      <c r="X794">
        <v>2</v>
      </c>
      <c r="Y794">
        <v>0</v>
      </c>
      <c r="AA794">
        <v>1</v>
      </c>
      <c r="AB794">
        <v>8</v>
      </c>
      <c r="AC794">
        <v>3</v>
      </c>
      <c r="AD794">
        <v>0</v>
      </c>
      <c r="AE794">
        <v>9</v>
      </c>
      <c r="AF794" t="s">
        <v>138</v>
      </c>
      <c r="AG794">
        <v>0</v>
      </c>
      <c r="AH794">
        <v>3</v>
      </c>
      <c r="AI794">
        <v>1</v>
      </c>
      <c r="AJ794">
        <v>0</v>
      </c>
      <c r="AK794" t="s">
        <v>361</v>
      </c>
      <c r="AL794">
        <v>32.815410999999997</v>
      </c>
      <c r="AM794" t="s">
        <v>362</v>
      </c>
      <c r="AN794">
        <v>-116.950042</v>
      </c>
      <c r="AO794">
        <v>25</v>
      </c>
      <c r="AP794">
        <v>1900</v>
      </c>
      <c r="AQ794" t="s">
        <v>129</v>
      </c>
      <c r="AR794">
        <v>113</v>
      </c>
      <c r="AS794">
        <v>-52</v>
      </c>
      <c r="AT794">
        <v>320</v>
      </c>
      <c r="BB794">
        <v>1200</v>
      </c>
      <c r="BC794">
        <v>1</v>
      </c>
      <c r="BD794" t="str">
        <f t="shared" si="273"/>
        <v xml:space="preserve">N887QR  </v>
      </c>
      <c r="BE794">
        <v>1</v>
      </c>
      <c r="BJ794">
        <v>1575</v>
      </c>
      <c r="BK794">
        <v>-325</v>
      </c>
      <c r="BL794" t="s">
        <v>163</v>
      </c>
      <c r="BM794">
        <v>1</v>
      </c>
      <c r="BN794">
        <v>1</v>
      </c>
      <c r="BO794">
        <v>1</v>
      </c>
      <c r="BP794">
        <v>0</v>
      </c>
      <c r="BS794">
        <v>0.04</v>
      </c>
      <c r="BT794">
        <v>0</v>
      </c>
      <c r="BU794">
        <v>0</v>
      </c>
      <c r="CE794" t="str">
        <f t="shared" ref="CE794:CE800" si="281">"19:27:46.487"</f>
        <v>19:27:46.487</v>
      </c>
      <c r="CF794">
        <v>486862744</v>
      </c>
      <c r="CS794">
        <v>3</v>
      </c>
      <c r="CT794">
        <v>2</v>
      </c>
      <c r="CU794">
        <v>0</v>
      </c>
      <c r="CV794">
        <v>2</v>
      </c>
      <c r="CW794">
        <v>0</v>
      </c>
      <c r="CX794">
        <v>6</v>
      </c>
      <c r="CY794">
        <v>7</v>
      </c>
      <c r="CZ794" t="s">
        <v>131</v>
      </c>
      <c r="DA794">
        <v>300</v>
      </c>
      <c r="DB794">
        <v>0</v>
      </c>
      <c r="DC794" t="s">
        <v>176</v>
      </c>
      <c r="DD794" t="s">
        <v>177</v>
      </c>
      <c r="DG794">
        <v>5371543</v>
      </c>
      <c r="DI794">
        <v>1</v>
      </c>
      <c r="DJ794">
        <v>0</v>
      </c>
      <c r="DK794">
        <v>0</v>
      </c>
      <c r="DL794">
        <v>0</v>
      </c>
      <c r="DM794">
        <v>0</v>
      </c>
      <c r="DN794">
        <v>1</v>
      </c>
      <c r="DO794">
        <v>0</v>
      </c>
      <c r="DP794">
        <v>0</v>
      </c>
      <c r="DQ794">
        <v>0</v>
      </c>
      <c r="DR794">
        <v>0</v>
      </c>
      <c r="DS794">
        <v>0</v>
      </c>
    </row>
    <row r="795" spans="1:123" x14ac:dyDescent="0.3">
      <c r="A795" t="str">
        <f t="shared" ref="A795:A800" si="282">"10/04/2022 19:27:46.743"</f>
        <v>10/04/2022 19:27:46.743</v>
      </c>
      <c r="C795" t="str">
        <f t="shared" si="266"/>
        <v>FFDDD3C0</v>
      </c>
      <c r="D795" t="s">
        <v>141</v>
      </c>
      <c r="E795">
        <v>3</v>
      </c>
      <c r="H795">
        <v>3</v>
      </c>
      <c r="I795" t="s">
        <v>146</v>
      </c>
      <c r="J795" t="s">
        <v>138</v>
      </c>
      <c r="K795">
        <v>0</v>
      </c>
      <c r="L795">
        <v>3</v>
      </c>
      <c r="M795">
        <v>0</v>
      </c>
      <c r="N795">
        <v>2</v>
      </c>
      <c r="O795">
        <v>0</v>
      </c>
      <c r="P795">
        <v>1</v>
      </c>
      <c r="Q795">
        <v>0</v>
      </c>
      <c r="S795" t="str">
        <f t="shared" si="280"/>
        <v>19:27:46.000</v>
      </c>
      <c r="T795" t="str">
        <f t="shared" si="280"/>
        <v>19:27:46.000</v>
      </c>
      <c r="U795" t="str">
        <f t="shared" si="272"/>
        <v>AC3944</v>
      </c>
      <c r="V795">
        <v>0</v>
      </c>
      <c r="W795">
        <v>0</v>
      </c>
      <c r="X795">
        <v>2</v>
      </c>
      <c r="Y795">
        <v>0</v>
      </c>
      <c r="AA795">
        <v>1</v>
      </c>
      <c r="AB795">
        <v>8</v>
      </c>
      <c r="AC795">
        <v>3</v>
      </c>
      <c r="AD795">
        <v>0</v>
      </c>
      <c r="AE795">
        <v>9</v>
      </c>
      <c r="AF795" t="s">
        <v>138</v>
      </c>
      <c r="AG795">
        <v>0</v>
      </c>
      <c r="AH795">
        <v>3</v>
      </c>
      <c r="AI795">
        <v>1</v>
      </c>
      <c r="AJ795">
        <v>0</v>
      </c>
      <c r="AK795" t="s">
        <v>361</v>
      </c>
      <c r="AL795">
        <v>32.815410999999997</v>
      </c>
      <c r="AM795" t="s">
        <v>362</v>
      </c>
      <c r="AN795">
        <v>-116.950042</v>
      </c>
      <c r="AO795">
        <v>25</v>
      </c>
      <c r="AP795">
        <v>1900</v>
      </c>
      <c r="AQ795" t="s">
        <v>129</v>
      </c>
      <c r="AR795">
        <v>113</v>
      </c>
      <c r="AS795">
        <v>-52</v>
      </c>
      <c r="AT795">
        <v>320</v>
      </c>
      <c r="BB795">
        <v>1200</v>
      </c>
      <c r="BC795">
        <v>1</v>
      </c>
      <c r="BD795" t="str">
        <f t="shared" si="273"/>
        <v xml:space="preserve">N887QR  </v>
      </c>
      <c r="BE795">
        <v>1</v>
      </c>
      <c r="BJ795">
        <v>1575</v>
      </c>
      <c r="BK795">
        <v>-325</v>
      </c>
      <c r="BL795" t="s">
        <v>163</v>
      </c>
      <c r="BM795">
        <v>1</v>
      </c>
      <c r="BN795">
        <v>1</v>
      </c>
      <c r="BO795">
        <v>1</v>
      </c>
      <c r="BP795">
        <v>0</v>
      </c>
      <c r="BS795">
        <v>0.04</v>
      </c>
      <c r="BT795">
        <v>0</v>
      </c>
      <c r="BU795">
        <v>0</v>
      </c>
      <c r="CE795" t="str">
        <f t="shared" si="281"/>
        <v>19:27:46.487</v>
      </c>
      <c r="CF795">
        <v>486862744</v>
      </c>
      <c r="CS795">
        <v>3</v>
      </c>
      <c r="CT795">
        <v>2</v>
      </c>
      <c r="CU795">
        <v>0</v>
      </c>
      <c r="CV795">
        <v>2</v>
      </c>
      <c r="CW795">
        <v>0</v>
      </c>
      <c r="CX795">
        <v>6</v>
      </c>
      <c r="CY795">
        <v>7</v>
      </c>
      <c r="CZ795" t="s">
        <v>131</v>
      </c>
      <c r="DA795">
        <v>300</v>
      </c>
      <c r="DB795">
        <v>0</v>
      </c>
      <c r="DC795" t="s">
        <v>176</v>
      </c>
      <c r="DD795" t="s">
        <v>177</v>
      </c>
      <c r="DG795">
        <v>5371543</v>
      </c>
      <c r="DI795">
        <v>1</v>
      </c>
      <c r="DJ795">
        <v>0</v>
      </c>
      <c r="DK795">
        <v>1</v>
      </c>
      <c r="DL795">
        <v>0</v>
      </c>
      <c r="DM795">
        <v>0</v>
      </c>
      <c r="DN795">
        <v>1</v>
      </c>
      <c r="DO795">
        <v>0</v>
      </c>
      <c r="DP795">
        <v>0</v>
      </c>
      <c r="DQ795">
        <v>0</v>
      </c>
      <c r="DR795">
        <v>0</v>
      </c>
      <c r="DS795">
        <v>0</v>
      </c>
    </row>
    <row r="796" spans="1:123" x14ac:dyDescent="0.3">
      <c r="A796" t="str">
        <f t="shared" si="282"/>
        <v>10/04/2022 19:27:46.743</v>
      </c>
      <c r="C796" t="str">
        <f t="shared" si="266"/>
        <v>FFDDD3C0</v>
      </c>
      <c r="D796" t="s">
        <v>141</v>
      </c>
      <c r="E796">
        <v>4</v>
      </c>
      <c r="H796">
        <v>4</v>
      </c>
      <c r="I796" t="s">
        <v>142</v>
      </c>
      <c r="J796" t="s">
        <v>138</v>
      </c>
      <c r="K796">
        <v>0</v>
      </c>
      <c r="L796">
        <v>3</v>
      </c>
      <c r="M796">
        <v>0</v>
      </c>
      <c r="N796">
        <v>2</v>
      </c>
      <c r="O796">
        <v>0</v>
      </c>
      <c r="P796">
        <v>1</v>
      </c>
      <c r="Q796">
        <v>0</v>
      </c>
      <c r="S796" t="str">
        <f t="shared" si="280"/>
        <v>19:27:46.000</v>
      </c>
      <c r="T796" t="str">
        <f t="shared" si="280"/>
        <v>19:27:46.000</v>
      </c>
      <c r="U796" t="str">
        <f t="shared" si="272"/>
        <v>AC3944</v>
      </c>
      <c r="V796">
        <v>0</v>
      </c>
      <c r="W796">
        <v>0</v>
      </c>
      <c r="X796">
        <v>2</v>
      </c>
      <c r="Y796">
        <v>0</v>
      </c>
      <c r="AA796">
        <v>1</v>
      </c>
      <c r="AB796">
        <v>8</v>
      </c>
      <c r="AC796">
        <v>3</v>
      </c>
      <c r="AD796">
        <v>0</v>
      </c>
      <c r="AE796">
        <v>9</v>
      </c>
      <c r="AF796" t="s">
        <v>138</v>
      </c>
      <c r="AG796">
        <v>0</v>
      </c>
      <c r="AH796">
        <v>3</v>
      </c>
      <c r="AI796">
        <v>1</v>
      </c>
      <c r="AJ796">
        <v>0</v>
      </c>
      <c r="AK796" t="s">
        <v>361</v>
      </c>
      <c r="AL796">
        <v>32.815410999999997</v>
      </c>
      <c r="AM796" t="s">
        <v>362</v>
      </c>
      <c r="AN796">
        <v>-116.950042</v>
      </c>
      <c r="AO796">
        <v>25</v>
      </c>
      <c r="AP796">
        <v>1900</v>
      </c>
      <c r="AQ796" t="s">
        <v>129</v>
      </c>
      <c r="AR796">
        <v>113</v>
      </c>
      <c r="AS796">
        <v>-52</v>
      </c>
      <c r="AT796">
        <v>320</v>
      </c>
      <c r="BB796">
        <v>1200</v>
      </c>
      <c r="BC796">
        <v>1</v>
      </c>
      <c r="BD796" t="str">
        <f t="shared" si="273"/>
        <v xml:space="preserve">N887QR  </v>
      </c>
      <c r="BE796">
        <v>1</v>
      </c>
      <c r="BJ796">
        <v>1575</v>
      </c>
      <c r="BK796">
        <v>-325</v>
      </c>
      <c r="BL796" t="s">
        <v>163</v>
      </c>
      <c r="BM796">
        <v>1</v>
      </c>
      <c r="BN796">
        <v>1</v>
      </c>
      <c r="BO796">
        <v>1</v>
      </c>
      <c r="BP796">
        <v>0</v>
      </c>
      <c r="BS796">
        <v>0.04</v>
      </c>
      <c r="BT796">
        <v>0</v>
      </c>
      <c r="BU796">
        <v>0</v>
      </c>
      <c r="CE796" t="str">
        <f t="shared" si="281"/>
        <v>19:27:46.487</v>
      </c>
      <c r="CF796">
        <v>486862744</v>
      </c>
      <c r="CS796">
        <v>3</v>
      </c>
      <c r="CT796">
        <v>2</v>
      </c>
      <c r="CU796">
        <v>0</v>
      </c>
      <c r="CV796">
        <v>2</v>
      </c>
      <c r="CW796">
        <v>0</v>
      </c>
      <c r="CX796">
        <v>6</v>
      </c>
      <c r="CY796">
        <v>7</v>
      </c>
      <c r="CZ796" t="s">
        <v>131</v>
      </c>
      <c r="DA796">
        <v>300</v>
      </c>
      <c r="DB796">
        <v>0</v>
      </c>
      <c r="DC796" t="s">
        <v>176</v>
      </c>
      <c r="DD796" t="s">
        <v>177</v>
      </c>
      <c r="DG796">
        <v>5371543</v>
      </c>
      <c r="DI796">
        <v>1</v>
      </c>
      <c r="DJ796">
        <v>0</v>
      </c>
      <c r="DK796">
        <v>1</v>
      </c>
      <c r="DL796">
        <v>0</v>
      </c>
      <c r="DM796">
        <v>0</v>
      </c>
      <c r="DN796">
        <v>1</v>
      </c>
      <c r="DO796">
        <v>0</v>
      </c>
      <c r="DP796">
        <v>0</v>
      </c>
      <c r="DQ796">
        <v>0</v>
      </c>
      <c r="DR796">
        <v>0</v>
      </c>
      <c r="DS796">
        <v>0</v>
      </c>
    </row>
    <row r="797" spans="1:123" x14ac:dyDescent="0.3">
      <c r="A797" t="str">
        <f t="shared" si="282"/>
        <v>10/04/2022 19:27:46.743</v>
      </c>
      <c r="C797" t="str">
        <f t="shared" si="266"/>
        <v>FFDDD3C0</v>
      </c>
      <c r="D797" t="s">
        <v>143</v>
      </c>
      <c r="E797">
        <v>20</v>
      </c>
      <c r="F797">
        <v>1020</v>
      </c>
      <c r="G797" t="s">
        <v>144</v>
      </c>
      <c r="J797" t="s">
        <v>145</v>
      </c>
      <c r="K797">
        <v>0</v>
      </c>
      <c r="L797">
        <v>3</v>
      </c>
      <c r="M797">
        <v>0</v>
      </c>
      <c r="N797">
        <v>2</v>
      </c>
      <c r="O797">
        <v>0</v>
      </c>
      <c r="P797">
        <v>1</v>
      </c>
      <c r="Q797">
        <v>0</v>
      </c>
      <c r="S797" t="str">
        <f t="shared" si="280"/>
        <v>19:27:46.000</v>
      </c>
      <c r="T797" t="str">
        <f t="shared" si="280"/>
        <v>19:27:46.000</v>
      </c>
      <c r="U797" t="str">
        <f t="shared" si="272"/>
        <v>AC3944</v>
      </c>
      <c r="V797">
        <v>0</v>
      </c>
      <c r="W797">
        <v>0</v>
      </c>
      <c r="X797">
        <v>2</v>
      </c>
      <c r="Y797">
        <v>0</v>
      </c>
      <c r="AA797">
        <v>1</v>
      </c>
      <c r="AB797">
        <v>8</v>
      </c>
      <c r="AC797">
        <v>3</v>
      </c>
      <c r="AD797">
        <v>0</v>
      </c>
      <c r="AE797">
        <v>9</v>
      </c>
      <c r="AF797" t="s">
        <v>138</v>
      </c>
      <c r="AG797">
        <v>0</v>
      </c>
      <c r="AH797">
        <v>3</v>
      </c>
      <c r="AI797">
        <v>1</v>
      </c>
      <c r="AJ797">
        <v>0</v>
      </c>
      <c r="AK797" t="s">
        <v>361</v>
      </c>
      <c r="AL797">
        <v>32.815410999999997</v>
      </c>
      <c r="AM797" t="s">
        <v>362</v>
      </c>
      <c r="AN797">
        <v>-116.950042</v>
      </c>
      <c r="AO797">
        <v>25</v>
      </c>
      <c r="AP797">
        <v>1900</v>
      </c>
      <c r="AQ797" t="s">
        <v>129</v>
      </c>
      <c r="AR797">
        <v>113</v>
      </c>
      <c r="AS797">
        <v>-52</v>
      </c>
      <c r="AT797">
        <v>320</v>
      </c>
      <c r="BB797">
        <v>1200</v>
      </c>
      <c r="BC797">
        <v>1</v>
      </c>
      <c r="BD797" t="str">
        <f t="shared" si="273"/>
        <v xml:space="preserve">N887QR  </v>
      </c>
      <c r="BE797">
        <v>1</v>
      </c>
      <c r="BJ797">
        <v>1575</v>
      </c>
      <c r="BK797">
        <v>-325</v>
      </c>
      <c r="BL797" t="s">
        <v>163</v>
      </c>
      <c r="BM797">
        <v>1</v>
      </c>
      <c r="BN797">
        <v>1</v>
      </c>
      <c r="BO797">
        <v>1</v>
      </c>
      <c r="BP797">
        <v>0</v>
      </c>
      <c r="BS797">
        <v>0.04</v>
      </c>
      <c r="BT797">
        <v>0</v>
      </c>
      <c r="BU797">
        <v>0</v>
      </c>
      <c r="CE797" t="str">
        <f t="shared" si="281"/>
        <v>19:27:46.487</v>
      </c>
      <c r="CF797">
        <v>486862744</v>
      </c>
      <c r="CS797">
        <v>3</v>
      </c>
      <c r="CT797">
        <v>2</v>
      </c>
      <c r="CU797">
        <v>0</v>
      </c>
      <c r="CV797">
        <v>2</v>
      </c>
      <c r="CW797">
        <v>0</v>
      </c>
      <c r="CX797">
        <v>6</v>
      </c>
      <c r="CY797">
        <v>7</v>
      </c>
      <c r="CZ797" t="s">
        <v>131</v>
      </c>
      <c r="DA797">
        <v>300</v>
      </c>
      <c r="DB797">
        <v>0</v>
      </c>
      <c r="DC797" t="s">
        <v>176</v>
      </c>
      <c r="DD797" t="s">
        <v>177</v>
      </c>
      <c r="DG797">
        <v>5371543</v>
      </c>
      <c r="DI797">
        <v>1</v>
      </c>
      <c r="DJ797">
        <v>0</v>
      </c>
      <c r="DK797">
        <v>1</v>
      </c>
      <c r="DL797">
        <v>0</v>
      </c>
      <c r="DM797">
        <v>0</v>
      </c>
      <c r="DN797">
        <v>1</v>
      </c>
      <c r="DO797">
        <v>0</v>
      </c>
      <c r="DP797">
        <v>0</v>
      </c>
      <c r="DQ797">
        <v>0</v>
      </c>
      <c r="DR797">
        <v>0</v>
      </c>
      <c r="DS797">
        <v>0</v>
      </c>
    </row>
    <row r="798" spans="1:123" x14ac:dyDescent="0.3">
      <c r="A798" t="str">
        <f t="shared" si="282"/>
        <v>10/04/2022 19:27:46.743</v>
      </c>
      <c r="C798" t="str">
        <f t="shared" si="266"/>
        <v>FFDDD3C0</v>
      </c>
      <c r="D798" t="s">
        <v>123</v>
      </c>
      <c r="E798">
        <v>7</v>
      </c>
      <c r="F798">
        <v>2007</v>
      </c>
      <c r="G798" t="s">
        <v>124</v>
      </c>
      <c r="J798" t="s">
        <v>125</v>
      </c>
      <c r="K798">
        <v>0</v>
      </c>
      <c r="L798">
        <v>3</v>
      </c>
      <c r="M798">
        <v>0</v>
      </c>
      <c r="N798">
        <v>2</v>
      </c>
      <c r="O798">
        <v>0</v>
      </c>
      <c r="P798">
        <v>1</v>
      </c>
      <c r="Q798">
        <v>0</v>
      </c>
      <c r="S798" t="str">
        <f t="shared" si="280"/>
        <v>19:27:46.000</v>
      </c>
      <c r="T798" t="str">
        <f t="shared" si="280"/>
        <v>19:27:46.000</v>
      </c>
      <c r="U798" t="str">
        <f t="shared" si="272"/>
        <v>AC3944</v>
      </c>
      <c r="V798">
        <v>0</v>
      </c>
      <c r="W798">
        <v>0</v>
      </c>
      <c r="X798">
        <v>2</v>
      </c>
      <c r="Y798">
        <v>0</v>
      </c>
      <c r="AA798">
        <v>1</v>
      </c>
      <c r="AB798">
        <v>8</v>
      </c>
      <c r="AC798">
        <v>3</v>
      </c>
      <c r="AD798">
        <v>0</v>
      </c>
      <c r="AE798">
        <v>9</v>
      </c>
      <c r="AF798" t="s">
        <v>138</v>
      </c>
      <c r="AG798">
        <v>0</v>
      </c>
      <c r="AH798">
        <v>3</v>
      </c>
      <c r="AI798">
        <v>1</v>
      </c>
      <c r="AJ798">
        <v>0</v>
      </c>
      <c r="AK798" t="s">
        <v>361</v>
      </c>
      <c r="AL798">
        <v>32.815410999999997</v>
      </c>
      <c r="AM798" t="s">
        <v>362</v>
      </c>
      <c r="AN798">
        <v>-116.950042</v>
      </c>
      <c r="AO798">
        <v>25</v>
      </c>
      <c r="AP798">
        <v>1900</v>
      </c>
      <c r="AQ798" t="s">
        <v>129</v>
      </c>
      <c r="AR798">
        <v>113</v>
      </c>
      <c r="AS798">
        <v>-52</v>
      </c>
      <c r="AT798">
        <v>320</v>
      </c>
      <c r="BB798">
        <v>1200</v>
      </c>
      <c r="BC798">
        <v>1</v>
      </c>
      <c r="BD798" t="str">
        <f t="shared" si="273"/>
        <v xml:space="preserve">N887QR  </v>
      </c>
      <c r="BE798">
        <v>1</v>
      </c>
      <c r="BJ798">
        <v>1575</v>
      </c>
      <c r="BK798">
        <v>-325</v>
      </c>
      <c r="BL798" t="s">
        <v>163</v>
      </c>
      <c r="BM798">
        <v>1</v>
      </c>
      <c r="BN798">
        <v>1</v>
      </c>
      <c r="BO798">
        <v>1</v>
      </c>
      <c r="BP798">
        <v>0</v>
      </c>
      <c r="BS798">
        <v>0.04</v>
      </c>
      <c r="BT798">
        <v>0</v>
      </c>
      <c r="BU798">
        <v>0</v>
      </c>
      <c r="CE798" t="str">
        <f t="shared" si="281"/>
        <v>19:27:46.487</v>
      </c>
      <c r="CF798">
        <v>486862744</v>
      </c>
      <c r="CS798">
        <v>3</v>
      </c>
      <c r="CT798">
        <v>2</v>
      </c>
      <c r="CU798">
        <v>0</v>
      </c>
      <c r="CV798">
        <v>2</v>
      </c>
      <c r="CW798">
        <v>0</v>
      </c>
      <c r="CX798">
        <v>6</v>
      </c>
      <c r="CY798">
        <v>7</v>
      </c>
      <c r="CZ798" t="s">
        <v>131</v>
      </c>
      <c r="DA798">
        <v>300</v>
      </c>
      <c r="DB798">
        <v>0</v>
      </c>
      <c r="DC798" t="s">
        <v>176</v>
      </c>
      <c r="DD798" t="s">
        <v>177</v>
      </c>
      <c r="DG798">
        <v>5371543</v>
      </c>
      <c r="DI798">
        <v>1</v>
      </c>
      <c r="DJ798">
        <v>0</v>
      </c>
      <c r="DK798">
        <v>1</v>
      </c>
      <c r="DL798">
        <v>0</v>
      </c>
      <c r="DM798">
        <v>0</v>
      </c>
      <c r="DN798">
        <v>1</v>
      </c>
      <c r="DO798">
        <v>0</v>
      </c>
      <c r="DP798">
        <v>0</v>
      </c>
      <c r="DQ798">
        <v>0</v>
      </c>
      <c r="DR798">
        <v>0</v>
      </c>
      <c r="DS798">
        <v>0</v>
      </c>
    </row>
    <row r="799" spans="1:123" x14ac:dyDescent="0.3">
      <c r="A799" t="str">
        <f t="shared" si="282"/>
        <v>10/04/2022 19:27:46.743</v>
      </c>
      <c r="C799" t="str">
        <f t="shared" si="266"/>
        <v>FFDDD3C0</v>
      </c>
      <c r="D799" t="s">
        <v>134</v>
      </c>
      <c r="E799">
        <v>15</v>
      </c>
      <c r="J799" t="s">
        <v>135</v>
      </c>
      <c r="K799">
        <v>0</v>
      </c>
      <c r="L799">
        <v>3</v>
      </c>
      <c r="M799">
        <v>0</v>
      </c>
      <c r="N799">
        <v>2</v>
      </c>
      <c r="O799">
        <v>0</v>
      </c>
      <c r="P799">
        <v>1</v>
      </c>
      <c r="Q799">
        <v>0</v>
      </c>
      <c r="S799" t="str">
        <f t="shared" si="280"/>
        <v>19:27:46.000</v>
      </c>
      <c r="T799" t="str">
        <f t="shared" si="280"/>
        <v>19:27:46.000</v>
      </c>
      <c r="U799" t="str">
        <f t="shared" si="272"/>
        <v>AC3944</v>
      </c>
      <c r="V799">
        <v>0</v>
      </c>
      <c r="W799">
        <v>0</v>
      </c>
      <c r="X799">
        <v>2</v>
      </c>
      <c r="Y799">
        <v>0</v>
      </c>
      <c r="AA799">
        <v>1</v>
      </c>
      <c r="AB799">
        <v>8</v>
      </c>
      <c r="AC799">
        <v>3</v>
      </c>
      <c r="AD799">
        <v>0</v>
      </c>
      <c r="AE799">
        <v>9</v>
      </c>
      <c r="AF799" t="s">
        <v>138</v>
      </c>
      <c r="AG799">
        <v>0</v>
      </c>
      <c r="AH799">
        <v>3</v>
      </c>
      <c r="AI799">
        <v>1</v>
      </c>
      <c r="AJ799">
        <v>0</v>
      </c>
      <c r="AK799" t="s">
        <v>361</v>
      </c>
      <c r="AL799">
        <v>32.815410999999997</v>
      </c>
      <c r="AM799" t="s">
        <v>362</v>
      </c>
      <c r="AN799">
        <v>-116.950042</v>
      </c>
      <c r="AO799">
        <v>25</v>
      </c>
      <c r="AP799">
        <v>1900</v>
      </c>
      <c r="AQ799" t="s">
        <v>129</v>
      </c>
      <c r="AR799">
        <v>113</v>
      </c>
      <c r="AS799">
        <v>-52</v>
      </c>
      <c r="AT799">
        <v>320</v>
      </c>
      <c r="BB799">
        <v>1200</v>
      </c>
      <c r="BC799">
        <v>1</v>
      </c>
      <c r="BD799" t="str">
        <f t="shared" si="273"/>
        <v xml:space="preserve">N887QR  </v>
      </c>
      <c r="BE799">
        <v>1</v>
      </c>
      <c r="BJ799">
        <v>1575</v>
      </c>
      <c r="BK799">
        <v>-325</v>
      </c>
      <c r="BL799" t="s">
        <v>163</v>
      </c>
      <c r="BM799">
        <v>1</v>
      </c>
      <c r="BN799">
        <v>1</v>
      </c>
      <c r="BO799">
        <v>1</v>
      </c>
      <c r="BP799">
        <v>0</v>
      </c>
      <c r="BS799">
        <v>0.04</v>
      </c>
      <c r="BT799">
        <v>0</v>
      </c>
      <c r="BU799">
        <v>0</v>
      </c>
      <c r="CE799" t="str">
        <f t="shared" si="281"/>
        <v>19:27:46.487</v>
      </c>
      <c r="CF799">
        <v>486862744</v>
      </c>
      <c r="CS799">
        <v>3</v>
      </c>
      <c r="CT799">
        <v>2</v>
      </c>
      <c r="CU799">
        <v>0</v>
      </c>
      <c r="CV799">
        <v>2</v>
      </c>
      <c r="CW799">
        <v>0</v>
      </c>
      <c r="CX799">
        <v>6</v>
      </c>
      <c r="CY799">
        <v>7</v>
      </c>
      <c r="CZ799" t="s">
        <v>131</v>
      </c>
      <c r="DA799">
        <v>300</v>
      </c>
      <c r="DB799">
        <v>0</v>
      </c>
      <c r="DC799" t="s">
        <v>176</v>
      </c>
      <c r="DD799" t="s">
        <v>177</v>
      </c>
      <c r="DG799">
        <v>5371543</v>
      </c>
      <c r="DI799">
        <v>1</v>
      </c>
      <c r="DJ799">
        <v>0</v>
      </c>
      <c r="DK799">
        <v>1</v>
      </c>
      <c r="DL799">
        <v>0</v>
      </c>
      <c r="DM799">
        <v>0</v>
      </c>
      <c r="DN799">
        <v>1</v>
      </c>
      <c r="DO799">
        <v>0</v>
      </c>
      <c r="DP799">
        <v>0</v>
      </c>
      <c r="DQ799">
        <v>0</v>
      </c>
      <c r="DR799">
        <v>0</v>
      </c>
      <c r="DS799">
        <v>0</v>
      </c>
    </row>
    <row r="800" spans="1:123" x14ac:dyDescent="0.3">
      <c r="A800" t="str">
        <f t="shared" si="282"/>
        <v>10/04/2022 19:27:46.743</v>
      </c>
      <c r="C800" t="str">
        <f t="shared" si="266"/>
        <v>FFDDD3C0</v>
      </c>
      <c r="D800" t="s">
        <v>147</v>
      </c>
      <c r="E800">
        <v>3</v>
      </c>
      <c r="H800">
        <v>166</v>
      </c>
      <c r="I800" t="s">
        <v>144</v>
      </c>
      <c r="J800" t="s">
        <v>148</v>
      </c>
      <c r="K800">
        <v>0</v>
      </c>
      <c r="L800">
        <v>3</v>
      </c>
      <c r="M800">
        <v>0</v>
      </c>
      <c r="N800">
        <v>2</v>
      </c>
      <c r="O800">
        <v>0</v>
      </c>
      <c r="P800">
        <v>1</v>
      </c>
      <c r="Q800">
        <v>0</v>
      </c>
      <c r="S800" t="str">
        <f t="shared" si="280"/>
        <v>19:27:46.000</v>
      </c>
      <c r="T800" t="str">
        <f t="shared" si="280"/>
        <v>19:27:46.000</v>
      </c>
      <c r="U800" t="str">
        <f t="shared" si="272"/>
        <v>AC3944</v>
      </c>
      <c r="V800">
        <v>0</v>
      </c>
      <c r="W800">
        <v>0</v>
      </c>
      <c r="X800">
        <v>2</v>
      </c>
      <c r="Y800">
        <v>0</v>
      </c>
      <c r="AA800">
        <v>1</v>
      </c>
      <c r="AB800">
        <v>8</v>
      </c>
      <c r="AC800">
        <v>3</v>
      </c>
      <c r="AD800">
        <v>0</v>
      </c>
      <c r="AE800">
        <v>9</v>
      </c>
      <c r="AF800" t="s">
        <v>138</v>
      </c>
      <c r="AG800">
        <v>0</v>
      </c>
      <c r="AH800">
        <v>3</v>
      </c>
      <c r="AI800">
        <v>1</v>
      </c>
      <c r="AJ800">
        <v>0</v>
      </c>
      <c r="AK800" t="s">
        <v>361</v>
      </c>
      <c r="AL800">
        <v>32.815410999999997</v>
      </c>
      <c r="AM800" t="s">
        <v>362</v>
      </c>
      <c r="AN800">
        <v>-116.950042</v>
      </c>
      <c r="AO800">
        <v>25</v>
      </c>
      <c r="AP800">
        <v>1900</v>
      </c>
      <c r="AQ800" t="s">
        <v>129</v>
      </c>
      <c r="AR800">
        <v>113</v>
      </c>
      <c r="AS800">
        <v>-52</v>
      </c>
      <c r="AT800">
        <v>320</v>
      </c>
      <c r="BB800">
        <v>1200</v>
      </c>
      <c r="BC800">
        <v>1</v>
      </c>
      <c r="BD800" t="str">
        <f t="shared" si="273"/>
        <v xml:space="preserve">N887QR  </v>
      </c>
      <c r="BE800">
        <v>1</v>
      </c>
      <c r="BJ800">
        <v>1575</v>
      </c>
      <c r="BK800">
        <v>-325</v>
      </c>
      <c r="BL800" t="s">
        <v>163</v>
      </c>
      <c r="BM800">
        <v>1</v>
      </c>
      <c r="BN800">
        <v>1</v>
      </c>
      <c r="BO800">
        <v>1</v>
      </c>
      <c r="BP800">
        <v>0</v>
      </c>
      <c r="BS800">
        <v>0.04</v>
      </c>
      <c r="BT800">
        <v>0</v>
      </c>
      <c r="BU800">
        <v>0</v>
      </c>
      <c r="CE800" t="str">
        <f t="shared" si="281"/>
        <v>19:27:46.487</v>
      </c>
      <c r="CF800">
        <v>486862744</v>
      </c>
      <c r="CS800">
        <v>3</v>
      </c>
      <c r="CT800">
        <v>2</v>
      </c>
      <c r="CU800">
        <v>0</v>
      </c>
      <c r="CV800">
        <v>2</v>
      </c>
      <c r="CW800">
        <v>0</v>
      </c>
      <c r="CX800">
        <v>6</v>
      </c>
      <c r="CY800">
        <v>7</v>
      </c>
      <c r="CZ800" t="s">
        <v>131</v>
      </c>
      <c r="DA800">
        <v>300</v>
      </c>
      <c r="DB800">
        <v>0</v>
      </c>
      <c r="DC800" t="s">
        <v>176</v>
      </c>
      <c r="DD800" t="s">
        <v>177</v>
      </c>
      <c r="DG800">
        <v>5371543</v>
      </c>
      <c r="DI800">
        <v>1</v>
      </c>
      <c r="DJ800">
        <v>0</v>
      </c>
      <c r="DK800">
        <v>1</v>
      </c>
      <c r="DL800">
        <v>0</v>
      </c>
      <c r="DM800">
        <v>0</v>
      </c>
      <c r="DN800">
        <v>1</v>
      </c>
      <c r="DO800">
        <v>0</v>
      </c>
      <c r="DP800">
        <v>0</v>
      </c>
      <c r="DQ800">
        <v>0</v>
      </c>
      <c r="DR800">
        <v>0</v>
      </c>
      <c r="DS800">
        <v>0</v>
      </c>
    </row>
    <row r="801" spans="1:123" x14ac:dyDescent="0.3">
      <c r="A801" t="str">
        <f t="shared" ref="A801:A807" si="283">"10/04/2022 19:27:47.087"</f>
        <v>10/04/2022 19:27:47.087</v>
      </c>
      <c r="C801" t="str">
        <f t="shared" si="266"/>
        <v>FFDDD3C0</v>
      </c>
      <c r="D801" t="s">
        <v>143</v>
      </c>
      <c r="E801">
        <v>20</v>
      </c>
      <c r="F801">
        <v>1020</v>
      </c>
      <c r="G801" t="s">
        <v>144</v>
      </c>
      <c r="J801" t="s">
        <v>145</v>
      </c>
      <c r="K801">
        <v>0</v>
      </c>
      <c r="L801">
        <v>3</v>
      </c>
      <c r="M801">
        <v>0</v>
      </c>
      <c r="N801">
        <v>2</v>
      </c>
      <c r="O801">
        <v>0</v>
      </c>
      <c r="P801">
        <v>1</v>
      </c>
      <c r="Q801">
        <v>0</v>
      </c>
      <c r="S801" t="str">
        <f t="shared" si="280"/>
        <v>19:27:46.000</v>
      </c>
      <c r="T801" t="str">
        <f t="shared" si="280"/>
        <v>19:27:46.000</v>
      </c>
      <c r="U801" t="str">
        <f t="shared" si="272"/>
        <v>AC3944</v>
      </c>
      <c r="V801">
        <v>0</v>
      </c>
      <c r="W801">
        <v>0</v>
      </c>
      <c r="X801">
        <v>2</v>
      </c>
      <c r="Y801">
        <v>0</v>
      </c>
      <c r="AA801">
        <v>1</v>
      </c>
      <c r="AB801">
        <v>8</v>
      </c>
      <c r="AC801">
        <v>3</v>
      </c>
      <c r="AD801">
        <v>0</v>
      </c>
      <c r="AE801">
        <v>9</v>
      </c>
      <c r="AF801" t="s">
        <v>138</v>
      </c>
      <c r="AG801">
        <v>0</v>
      </c>
      <c r="AH801">
        <v>3</v>
      </c>
      <c r="AI801">
        <v>1</v>
      </c>
      <c r="AJ801">
        <v>0</v>
      </c>
      <c r="AK801" t="s">
        <v>363</v>
      </c>
      <c r="AL801">
        <v>32.815175000000004</v>
      </c>
      <c r="AM801" t="s">
        <v>364</v>
      </c>
      <c r="AN801">
        <v>-116.94942</v>
      </c>
      <c r="AO801">
        <v>25</v>
      </c>
      <c r="AP801">
        <v>1900</v>
      </c>
      <c r="AQ801" t="s">
        <v>129</v>
      </c>
      <c r="AR801">
        <v>112</v>
      </c>
      <c r="AS801">
        <v>-54</v>
      </c>
      <c r="AT801">
        <v>320</v>
      </c>
      <c r="BB801">
        <v>1200</v>
      </c>
      <c r="BC801">
        <v>1</v>
      </c>
      <c r="BD801" t="str">
        <f t="shared" si="273"/>
        <v xml:space="preserve">N887QR  </v>
      </c>
      <c r="BE801">
        <v>1</v>
      </c>
      <c r="BJ801">
        <v>1575</v>
      </c>
      <c r="BK801">
        <v>-325</v>
      </c>
      <c r="BL801" t="s">
        <v>163</v>
      </c>
      <c r="BM801">
        <v>1</v>
      </c>
      <c r="BN801">
        <v>1</v>
      </c>
      <c r="BO801">
        <v>1</v>
      </c>
      <c r="BP801">
        <v>0</v>
      </c>
      <c r="BS801">
        <v>0.04</v>
      </c>
      <c r="BT801">
        <v>0</v>
      </c>
      <c r="BU801">
        <v>0</v>
      </c>
      <c r="CE801" t="str">
        <f t="shared" ref="CE801:CE807" si="284">"19:27:46.860"</f>
        <v>19:27:46.860</v>
      </c>
      <c r="CF801">
        <v>859688704</v>
      </c>
      <c r="CS801">
        <v>3</v>
      </c>
      <c r="CT801">
        <v>2</v>
      </c>
      <c r="CU801">
        <v>0</v>
      </c>
      <c r="CV801">
        <v>2</v>
      </c>
      <c r="CW801">
        <v>0</v>
      </c>
      <c r="CX801">
        <v>3</v>
      </c>
      <c r="CY801">
        <v>7</v>
      </c>
      <c r="CZ801" t="s">
        <v>131</v>
      </c>
      <c r="DA801">
        <v>297</v>
      </c>
      <c r="DB801">
        <v>0</v>
      </c>
      <c r="DC801" t="s">
        <v>258</v>
      </c>
      <c r="DD801" t="s">
        <v>259</v>
      </c>
      <c r="DG801">
        <v>16695335</v>
      </c>
      <c r="DI801">
        <v>1</v>
      </c>
      <c r="DJ801">
        <v>0</v>
      </c>
      <c r="DK801">
        <v>0</v>
      </c>
      <c r="DL801">
        <v>0</v>
      </c>
      <c r="DM801">
        <v>0</v>
      </c>
      <c r="DN801">
        <v>1</v>
      </c>
      <c r="DO801">
        <v>0</v>
      </c>
      <c r="DP801">
        <v>0</v>
      </c>
      <c r="DQ801">
        <v>0</v>
      </c>
      <c r="DR801">
        <v>0</v>
      </c>
      <c r="DS801">
        <v>0</v>
      </c>
    </row>
    <row r="802" spans="1:123" x14ac:dyDescent="0.3">
      <c r="A802" t="str">
        <f t="shared" si="283"/>
        <v>10/04/2022 19:27:47.087</v>
      </c>
      <c r="C802" t="str">
        <f t="shared" si="266"/>
        <v>FFDDD3C0</v>
      </c>
      <c r="D802" t="s">
        <v>123</v>
      </c>
      <c r="E802">
        <v>7</v>
      </c>
      <c r="F802">
        <v>2007</v>
      </c>
      <c r="G802" t="s">
        <v>124</v>
      </c>
      <c r="J802" t="s">
        <v>125</v>
      </c>
      <c r="K802">
        <v>0</v>
      </c>
      <c r="L802">
        <v>3</v>
      </c>
      <c r="M802">
        <v>0</v>
      </c>
      <c r="N802">
        <v>2</v>
      </c>
      <c r="O802">
        <v>0</v>
      </c>
      <c r="P802">
        <v>1</v>
      </c>
      <c r="Q802">
        <v>0</v>
      </c>
      <c r="S802" t="str">
        <f t="shared" si="280"/>
        <v>19:27:46.000</v>
      </c>
      <c r="T802" t="str">
        <f t="shared" si="280"/>
        <v>19:27:46.000</v>
      </c>
      <c r="U802" t="str">
        <f t="shared" si="272"/>
        <v>AC3944</v>
      </c>
      <c r="V802">
        <v>0</v>
      </c>
      <c r="W802">
        <v>0</v>
      </c>
      <c r="X802">
        <v>2</v>
      </c>
      <c r="Y802">
        <v>0</v>
      </c>
      <c r="AA802">
        <v>1</v>
      </c>
      <c r="AB802">
        <v>8</v>
      </c>
      <c r="AC802">
        <v>3</v>
      </c>
      <c r="AD802">
        <v>0</v>
      </c>
      <c r="AE802">
        <v>9</v>
      </c>
      <c r="AF802" t="s">
        <v>138</v>
      </c>
      <c r="AG802">
        <v>0</v>
      </c>
      <c r="AH802">
        <v>3</v>
      </c>
      <c r="AI802">
        <v>1</v>
      </c>
      <c r="AJ802">
        <v>0</v>
      </c>
      <c r="AK802" t="s">
        <v>363</v>
      </c>
      <c r="AL802">
        <v>32.815175000000004</v>
      </c>
      <c r="AM802" t="s">
        <v>364</v>
      </c>
      <c r="AN802">
        <v>-116.94942</v>
      </c>
      <c r="AO802">
        <v>25</v>
      </c>
      <c r="AP802">
        <v>1900</v>
      </c>
      <c r="AQ802" t="s">
        <v>129</v>
      </c>
      <c r="AR802">
        <v>112</v>
      </c>
      <c r="AS802">
        <v>-54</v>
      </c>
      <c r="AT802">
        <v>320</v>
      </c>
      <c r="BB802">
        <v>1200</v>
      </c>
      <c r="BC802">
        <v>1</v>
      </c>
      <c r="BD802" t="str">
        <f t="shared" si="273"/>
        <v xml:space="preserve">N887QR  </v>
      </c>
      <c r="BE802">
        <v>1</v>
      </c>
      <c r="BJ802">
        <v>1575</v>
      </c>
      <c r="BK802">
        <v>-325</v>
      </c>
      <c r="BL802" t="s">
        <v>163</v>
      </c>
      <c r="BM802">
        <v>1</v>
      </c>
      <c r="BN802">
        <v>1</v>
      </c>
      <c r="BO802">
        <v>1</v>
      </c>
      <c r="BP802">
        <v>0</v>
      </c>
      <c r="BS802">
        <v>0.04</v>
      </c>
      <c r="BT802">
        <v>0</v>
      </c>
      <c r="BU802">
        <v>0</v>
      </c>
      <c r="CE802" t="str">
        <f t="shared" si="284"/>
        <v>19:27:46.860</v>
      </c>
      <c r="CF802">
        <v>859688704</v>
      </c>
      <c r="CS802">
        <v>3</v>
      </c>
      <c r="CT802">
        <v>2</v>
      </c>
      <c r="CU802">
        <v>0</v>
      </c>
      <c r="CV802">
        <v>2</v>
      </c>
      <c r="CW802">
        <v>0</v>
      </c>
      <c r="CX802">
        <v>3</v>
      </c>
      <c r="CY802">
        <v>7</v>
      </c>
      <c r="CZ802" t="s">
        <v>131</v>
      </c>
      <c r="DA802">
        <v>297</v>
      </c>
      <c r="DB802">
        <v>0</v>
      </c>
      <c r="DC802" t="s">
        <v>258</v>
      </c>
      <c r="DD802" t="s">
        <v>259</v>
      </c>
      <c r="DG802">
        <v>16695335</v>
      </c>
      <c r="DI802">
        <v>1</v>
      </c>
      <c r="DJ802">
        <v>0</v>
      </c>
      <c r="DK802">
        <v>1</v>
      </c>
      <c r="DL802">
        <v>0</v>
      </c>
      <c r="DM802">
        <v>0</v>
      </c>
      <c r="DN802">
        <v>1</v>
      </c>
      <c r="DO802">
        <v>0</v>
      </c>
      <c r="DP802">
        <v>0</v>
      </c>
      <c r="DQ802">
        <v>0</v>
      </c>
      <c r="DR802">
        <v>0</v>
      </c>
      <c r="DS802">
        <v>0</v>
      </c>
    </row>
    <row r="803" spans="1:123" x14ac:dyDescent="0.3">
      <c r="A803" t="str">
        <f t="shared" si="283"/>
        <v>10/04/2022 19:27:47.087</v>
      </c>
      <c r="C803" t="str">
        <f t="shared" si="266"/>
        <v>FFDDD3C0</v>
      </c>
      <c r="D803" t="s">
        <v>134</v>
      </c>
      <c r="E803">
        <v>15</v>
      </c>
      <c r="J803" t="s">
        <v>135</v>
      </c>
      <c r="K803">
        <v>0</v>
      </c>
      <c r="L803">
        <v>3</v>
      </c>
      <c r="M803">
        <v>0</v>
      </c>
      <c r="N803">
        <v>2</v>
      </c>
      <c r="O803">
        <v>0</v>
      </c>
      <c r="P803">
        <v>1</v>
      </c>
      <c r="Q803">
        <v>0</v>
      </c>
      <c r="S803" t="str">
        <f t="shared" si="280"/>
        <v>19:27:46.000</v>
      </c>
      <c r="T803" t="str">
        <f t="shared" si="280"/>
        <v>19:27:46.000</v>
      </c>
      <c r="U803" t="str">
        <f t="shared" si="272"/>
        <v>AC3944</v>
      </c>
      <c r="V803">
        <v>0</v>
      </c>
      <c r="W803">
        <v>0</v>
      </c>
      <c r="X803">
        <v>2</v>
      </c>
      <c r="Y803">
        <v>0</v>
      </c>
      <c r="AA803">
        <v>1</v>
      </c>
      <c r="AB803">
        <v>8</v>
      </c>
      <c r="AC803">
        <v>3</v>
      </c>
      <c r="AD803">
        <v>0</v>
      </c>
      <c r="AE803">
        <v>9</v>
      </c>
      <c r="AF803" t="s">
        <v>138</v>
      </c>
      <c r="AG803">
        <v>0</v>
      </c>
      <c r="AH803">
        <v>3</v>
      </c>
      <c r="AI803">
        <v>1</v>
      </c>
      <c r="AJ803">
        <v>0</v>
      </c>
      <c r="AK803" t="s">
        <v>363</v>
      </c>
      <c r="AL803">
        <v>32.815175000000004</v>
      </c>
      <c r="AM803" t="s">
        <v>364</v>
      </c>
      <c r="AN803">
        <v>-116.94942</v>
      </c>
      <c r="AO803">
        <v>25</v>
      </c>
      <c r="AP803">
        <v>1900</v>
      </c>
      <c r="AQ803" t="s">
        <v>129</v>
      </c>
      <c r="AR803">
        <v>112</v>
      </c>
      <c r="AS803">
        <v>-54</v>
      </c>
      <c r="AT803">
        <v>320</v>
      </c>
      <c r="BB803">
        <v>1200</v>
      </c>
      <c r="BC803">
        <v>1</v>
      </c>
      <c r="BD803" t="str">
        <f t="shared" si="273"/>
        <v xml:space="preserve">N887QR  </v>
      </c>
      <c r="BE803">
        <v>1</v>
      </c>
      <c r="BJ803">
        <v>1575</v>
      </c>
      <c r="BK803">
        <v>-325</v>
      </c>
      <c r="BL803" t="s">
        <v>163</v>
      </c>
      <c r="BM803">
        <v>1</v>
      </c>
      <c r="BN803">
        <v>1</v>
      </c>
      <c r="BO803">
        <v>1</v>
      </c>
      <c r="BP803">
        <v>0</v>
      </c>
      <c r="BS803">
        <v>0.04</v>
      </c>
      <c r="BT803">
        <v>0</v>
      </c>
      <c r="BU803">
        <v>0</v>
      </c>
      <c r="CE803" t="str">
        <f t="shared" si="284"/>
        <v>19:27:46.860</v>
      </c>
      <c r="CF803">
        <v>859688704</v>
      </c>
      <c r="CS803">
        <v>3</v>
      </c>
      <c r="CT803">
        <v>2</v>
      </c>
      <c r="CU803">
        <v>0</v>
      </c>
      <c r="CV803">
        <v>2</v>
      </c>
      <c r="CW803">
        <v>0</v>
      </c>
      <c r="CX803">
        <v>3</v>
      </c>
      <c r="CY803">
        <v>7</v>
      </c>
      <c r="CZ803" t="s">
        <v>131</v>
      </c>
      <c r="DA803">
        <v>297</v>
      </c>
      <c r="DB803">
        <v>0</v>
      </c>
      <c r="DC803" t="s">
        <v>258</v>
      </c>
      <c r="DD803" t="s">
        <v>259</v>
      </c>
      <c r="DG803">
        <v>16695335</v>
      </c>
      <c r="DI803">
        <v>1</v>
      </c>
      <c r="DJ803">
        <v>0</v>
      </c>
      <c r="DK803">
        <v>1</v>
      </c>
      <c r="DL803">
        <v>0</v>
      </c>
      <c r="DM803">
        <v>0</v>
      </c>
      <c r="DN803">
        <v>1</v>
      </c>
      <c r="DO803">
        <v>0</v>
      </c>
      <c r="DP803">
        <v>0</v>
      </c>
      <c r="DQ803">
        <v>0</v>
      </c>
      <c r="DR803">
        <v>0</v>
      </c>
      <c r="DS803">
        <v>0</v>
      </c>
    </row>
    <row r="804" spans="1:123" x14ac:dyDescent="0.3">
      <c r="A804" t="str">
        <f t="shared" si="283"/>
        <v>10/04/2022 19:27:47.087</v>
      </c>
      <c r="C804" t="str">
        <f t="shared" si="266"/>
        <v>FFDDD3C0</v>
      </c>
      <c r="D804" t="s">
        <v>147</v>
      </c>
      <c r="E804">
        <v>3</v>
      </c>
      <c r="H804">
        <v>166</v>
      </c>
      <c r="I804" t="s">
        <v>144</v>
      </c>
      <c r="J804" t="s">
        <v>148</v>
      </c>
      <c r="K804">
        <v>0</v>
      </c>
      <c r="L804">
        <v>3</v>
      </c>
      <c r="M804">
        <v>0</v>
      </c>
      <c r="N804">
        <v>2</v>
      </c>
      <c r="O804">
        <v>0</v>
      </c>
      <c r="P804">
        <v>1</v>
      </c>
      <c r="Q804">
        <v>0</v>
      </c>
      <c r="S804" t="str">
        <f t="shared" si="280"/>
        <v>19:27:46.000</v>
      </c>
      <c r="T804" t="str">
        <f t="shared" si="280"/>
        <v>19:27:46.000</v>
      </c>
      <c r="U804" t="str">
        <f t="shared" si="272"/>
        <v>AC3944</v>
      </c>
      <c r="V804">
        <v>0</v>
      </c>
      <c r="W804">
        <v>0</v>
      </c>
      <c r="X804">
        <v>2</v>
      </c>
      <c r="Y804">
        <v>0</v>
      </c>
      <c r="AA804">
        <v>1</v>
      </c>
      <c r="AB804">
        <v>8</v>
      </c>
      <c r="AC804">
        <v>3</v>
      </c>
      <c r="AD804">
        <v>0</v>
      </c>
      <c r="AE804">
        <v>9</v>
      </c>
      <c r="AF804" t="s">
        <v>138</v>
      </c>
      <c r="AG804">
        <v>0</v>
      </c>
      <c r="AH804">
        <v>3</v>
      </c>
      <c r="AI804">
        <v>1</v>
      </c>
      <c r="AJ804">
        <v>0</v>
      </c>
      <c r="AK804" t="s">
        <v>363</v>
      </c>
      <c r="AL804">
        <v>32.815175000000004</v>
      </c>
      <c r="AM804" t="s">
        <v>364</v>
      </c>
      <c r="AN804">
        <v>-116.94942</v>
      </c>
      <c r="AO804">
        <v>25</v>
      </c>
      <c r="AP804">
        <v>1900</v>
      </c>
      <c r="AQ804" t="s">
        <v>129</v>
      </c>
      <c r="AR804">
        <v>112</v>
      </c>
      <c r="AS804">
        <v>-54</v>
      </c>
      <c r="AT804">
        <v>320</v>
      </c>
      <c r="BB804">
        <v>1200</v>
      </c>
      <c r="BC804">
        <v>1</v>
      </c>
      <c r="BD804" t="str">
        <f t="shared" si="273"/>
        <v xml:space="preserve">N887QR  </v>
      </c>
      <c r="BE804">
        <v>1</v>
      </c>
      <c r="BJ804">
        <v>1575</v>
      </c>
      <c r="BK804">
        <v>-325</v>
      </c>
      <c r="BL804" t="s">
        <v>163</v>
      </c>
      <c r="BM804">
        <v>1</v>
      </c>
      <c r="BN804">
        <v>1</v>
      </c>
      <c r="BO804">
        <v>1</v>
      </c>
      <c r="BP804">
        <v>0</v>
      </c>
      <c r="BS804">
        <v>0.04</v>
      </c>
      <c r="BT804">
        <v>0</v>
      </c>
      <c r="BU804">
        <v>0</v>
      </c>
      <c r="CE804" t="str">
        <f t="shared" si="284"/>
        <v>19:27:46.860</v>
      </c>
      <c r="CF804">
        <v>859688704</v>
      </c>
      <c r="CS804">
        <v>3</v>
      </c>
      <c r="CT804">
        <v>2</v>
      </c>
      <c r="CU804">
        <v>0</v>
      </c>
      <c r="CV804">
        <v>2</v>
      </c>
      <c r="CW804">
        <v>0</v>
      </c>
      <c r="CX804">
        <v>3</v>
      </c>
      <c r="CY804">
        <v>7</v>
      </c>
      <c r="CZ804" t="s">
        <v>131</v>
      </c>
      <c r="DA804">
        <v>297</v>
      </c>
      <c r="DB804">
        <v>0</v>
      </c>
      <c r="DC804" t="s">
        <v>258</v>
      </c>
      <c r="DD804" t="s">
        <v>259</v>
      </c>
      <c r="DG804">
        <v>16695335</v>
      </c>
      <c r="DI804">
        <v>1</v>
      </c>
      <c r="DJ804">
        <v>0</v>
      </c>
      <c r="DK804">
        <v>1</v>
      </c>
      <c r="DL804">
        <v>0</v>
      </c>
      <c r="DM804">
        <v>0</v>
      </c>
      <c r="DN804">
        <v>1</v>
      </c>
      <c r="DO804">
        <v>0</v>
      </c>
      <c r="DP804">
        <v>0</v>
      </c>
      <c r="DQ804">
        <v>0</v>
      </c>
      <c r="DR804">
        <v>0</v>
      </c>
      <c r="DS804">
        <v>0</v>
      </c>
    </row>
    <row r="805" spans="1:123" x14ac:dyDescent="0.3">
      <c r="A805" t="str">
        <f t="shared" si="283"/>
        <v>10/04/2022 19:27:47.087</v>
      </c>
      <c r="C805" t="str">
        <f t="shared" si="266"/>
        <v>FFDDD3C0</v>
      </c>
      <c r="D805" t="s">
        <v>136</v>
      </c>
      <c r="E805">
        <v>8</v>
      </c>
      <c r="H805">
        <v>225</v>
      </c>
      <c r="I805" t="s">
        <v>137</v>
      </c>
      <c r="J805" t="s">
        <v>138</v>
      </c>
      <c r="K805">
        <v>0</v>
      </c>
      <c r="L805">
        <v>3</v>
      </c>
      <c r="M805">
        <v>0</v>
      </c>
      <c r="N805">
        <v>2</v>
      </c>
      <c r="O805">
        <v>0</v>
      </c>
      <c r="P805">
        <v>1</v>
      </c>
      <c r="Q805">
        <v>0</v>
      </c>
      <c r="S805" t="str">
        <f t="shared" si="280"/>
        <v>19:27:46.000</v>
      </c>
      <c r="T805" t="str">
        <f t="shared" si="280"/>
        <v>19:27:46.000</v>
      </c>
      <c r="U805" t="str">
        <f t="shared" si="272"/>
        <v>AC3944</v>
      </c>
      <c r="V805">
        <v>0</v>
      </c>
      <c r="W805">
        <v>0</v>
      </c>
      <c r="X805">
        <v>2</v>
      </c>
      <c r="Y805">
        <v>0</v>
      </c>
      <c r="AA805">
        <v>1</v>
      </c>
      <c r="AB805">
        <v>8</v>
      </c>
      <c r="AC805">
        <v>3</v>
      </c>
      <c r="AD805">
        <v>0</v>
      </c>
      <c r="AE805">
        <v>9</v>
      </c>
      <c r="AF805" t="s">
        <v>138</v>
      </c>
      <c r="AG805">
        <v>0</v>
      </c>
      <c r="AH805">
        <v>3</v>
      </c>
      <c r="AI805">
        <v>1</v>
      </c>
      <c r="AJ805">
        <v>0</v>
      </c>
      <c r="AK805" t="s">
        <v>363</v>
      </c>
      <c r="AL805">
        <v>32.815175000000004</v>
      </c>
      <c r="AM805" t="s">
        <v>364</v>
      </c>
      <c r="AN805">
        <v>-116.94942</v>
      </c>
      <c r="AO805">
        <v>25</v>
      </c>
      <c r="AP805">
        <v>1900</v>
      </c>
      <c r="AQ805" t="s">
        <v>129</v>
      </c>
      <c r="AR805">
        <v>112</v>
      </c>
      <c r="AS805">
        <v>-54</v>
      </c>
      <c r="AT805">
        <v>320</v>
      </c>
      <c r="BB805">
        <v>1200</v>
      </c>
      <c r="BC805">
        <v>1</v>
      </c>
      <c r="BD805" t="str">
        <f t="shared" si="273"/>
        <v xml:space="preserve">N887QR  </v>
      </c>
      <c r="BE805">
        <v>1</v>
      </c>
      <c r="BJ805">
        <v>1575</v>
      </c>
      <c r="BK805">
        <v>-325</v>
      </c>
      <c r="BL805" t="s">
        <v>163</v>
      </c>
      <c r="BM805">
        <v>1</v>
      </c>
      <c r="BN805">
        <v>1</v>
      </c>
      <c r="BO805">
        <v>1</v>
      </c>
      <c r="BP805">
        <v>0</v>
      </c>
      <c r="BS805">
        <v>0.04</v>
      </c>
      <c r="BT805">
        <v>0</v>
      </c>
      <c r="BU805">
        <v>0</v>
      </c>
      <c r="CE805" t="str">
        <f t="shared" si="284"/>
        <v>19:27:46.860</v>
      </c>
      <c r="CF805">
        <v>859688704</v>
      </c>
      <c r="CS805">
        <v>3</v>
      </c>
      <c r="CT805">
        <v>2</v>
      </c>
      <c r="CU805">
        <v>0</v>
      </c>
      <c r="CV805">
        <v>2</v>
      </c>
      <c r="CW805">
        <v>0</v>
      </c>
      <c r="CX805">
        <v>3</v>
      </c>
      <c r="CY805">
        <v>7</v>
      </c>
      <c r="CZ805" t="s">
        <v>131</v>
      </c>
      <c r="DA805">
        <v>297</v>
      </c>
      <c r="DB805">
        <v>0</v>
      </c>
      <c r="DC805" t="s">
        <v>258</v>
      </c>
      <c r="DD805" t="s">
        <v>259</v>
      </c>
      <c r="DG805">
        <v>16695335</v>
      </c>
      <c r="DI805">
        <v>1</v>
      </c>
      <c r="DJ805">
        <v>0</v>
      </c>
      <c r="DK805">
        <v>1</v>
      </c>
      <c r="DL805">
        <v>0</v>
      </c>
      <c r="DM805">
        <v>0</v>
      </c>
      <c r="DN805">
        <v>1</v>
      </c>
      <c r="DO805">
        <v>0</v>
      </c>
      <c r="DP805">
        <v>0</v>
      </c>
      <c r="DQ805">
        <v>0</v>
      </c>
      <c r="DR805">
        <v>0</v>
      </c>
      <c r="DS805">
        <v>0</v>
      </c>
    </row>
    <row r="806" spans="1:123" x14ac:dyDescent="0.3">
      <c r="A806" t="str">
        <f t="shared" si="283"/>
        <v>10/04/2022 19:27:47.087</v>
      </c>
      <c r="C806" t="str">
        <f t="shared" si="266"/>
        <v>FFDDD3C0</v>
      </c>
      <c r="D806" t="s">
        <v>141</v>
      </c>
      <c r="E806">
        <v>3</v>
      </c>
      <c r="H806">
        <v>3</v>
      </c>
      <c r="I806" t="s">
        <v>146</v>
      </c>
      <c r="J806" t="s">
        <v>138</v>
      </c>
      <c r="K806">
        <v>0</v>
      </c>
      <c r="L806">
        <v>3</v>
      </c>
      <c r="M806">
        <v>0</v>
      </c>
      <c r="N806">
        <v>2</v>
      </c>
      <c r="O806">
        <v>0</v>
      </c>
      <c r="P806">
        <v>1</v>
      </c>
      <c r="Q806">
        <v>0</v>
      </c>
      <c r="S806" t="str">
        <f t="shared" si="280"/>
        <v>19:27:46.000</v>
      </c>
      <c r="T806" t="str">
        <f t="shared" si="280"/>
        <v>19:27:46.000</v>
      </c>
      <c r="U806" t="str">
        <f t="shared" si="272"/>
        <v>AC3944</v>
      </c>
      <c r="V806">
        <v>0</v>
      </c>
      <c r="W806">
        <v>0</v>
      </c>
      <c r="X806">
        <v>2</v>
      </c>
      <c r="Y806">
        <v>0</v>
      </c>
      <c r="AA806">
        <v>1</v>
      </c>
      <c r="AB806">
        <v>8</v>
      </c>
      <c r="AC806">
        <v>3</v>
      </c>
      <c r="AD806">
        <v>0</v>
      </c>
      <c r="AE806">
        <v>9</v>
      </c>
      <c r="AF806" t="s">
        <v>138</v>
      </c>
      <c r="AG806">
        <v>0</v>
      </c>
      <c r="AH806">
        <v>3</v>
      </c>
      <c r="AI806">
        <v>1</v>
      </c>
      <c r="AJ806">
        <v>0</v>
      </c>
      <c r="AK806" t="s">
        <v>363</v>
      </c>
      <c r="AL806">
        <v>32.815175000000004</v>
      </c>
      <c r="AM806" t="s">
        <v>364</v>
      </c>
      <c r="AN806">
        <v>-116.94942</v>
      </c>
      <c r="AO806">
        <v>25</v>
      </c>
      <c r="AP806">
        <v>1900</v>
      </c>
      <c r="AQ806" t="s">
        <v>129</v>
      </c>
      <c r="AR806">
        <v>112</v>
      </c>
      <c r="AS806">
        <v>-54</v>
      </c>
      <c r="AT806">
        <v>320</v>
      </c>
      <c r="BB806">
        <v>1200</v>
      </c>
      <c r="BC806">
        <v>1</v>
      </c>
      <c r="BD806" t="str">
        <f t="shared" si="273"/>
        <v xml:space="preserve">N887QR  </v>
      </c>
      <c r="BE806">
        <v>1</v>
      </c>
      <c r="BJ806">
        <v>1575</v>
      </c>
      <c r="BK806">
        <v>-325</v>
      </c>
      <c r="BL806" t="s">
        <v>163</v>
      </c>
      <c r="BM806">
        <v>1</v>
      </c>
      <c r="BN806">
        <v>1</v>
      </c>
      <c r="BO806">
        <v>1</v>
      </c>
      <c r="BP806">
        <v>0</v>
      </c>
      <c r="BS806">
        <v>0.04</v>
      </c>
      <c r="BT806">
        <v>0</v>
      </c>
      <c r="BU806">
        <v>0</v>
      </c>
      <c r="CE806" t="str">
        <f t="shared" si="284"/>
        <v>19:27:46.860</v>
      </c>
      <c r="CF806">
        <v>859688704</v>
      </c>
      <c r="CS806">
        <v>3</v>
      </c>
      <c r="CT806">
        <v>2</v>
      </c>
      <c r="CU806">
        <v>0</v>
      </c>
      <c r="CV806">
        <v>2</v>
      </c>
      <c r="CW806">
        <v>0</v>
      </c>
      <c r="CX806">
        <v>3</v>
      </c>
      <c r="CY806">
        <v>7</v>
      </c>
      <c r="CZ806" t="s">
        <v>131</v>
      </c>
      <c r="DA806">
        <v>297</v>
      </c>
      <c r="DB806">
        <v>0</v>
      </c>
      <c r="DC806" t="s">
        <v>258</v>
      </c>
      <c r="DD806" t="s">
        <v>259</v>
      </c>
      <c r="DG806">
        <v>16695335</v>
      </c>
      <c r="DI806">
        <v>1</v>
      </c>
      <c r="DJ806">
        <v>0</v>
      </c>
      <c r="DK806">
        <v>1</v>
      </c>
      <c r="DL806">
        <v>0</v>
      </c>
      <c r="DM806">
        <v>0</v>
      </c>
      <c r="DN806">
        <v>1</v>
      </c>
      <c r="DO806">
        <v>0</v>
      </c>
      <c r="DP806">
        <v>0</v>
      </c>
      <c r="DQ806">
        <v>0</v>
      </c>
      <c r="DR806">
        <v>0</v>
      </c>
      <c r="DS806">
        <v>0</v>
      </c>
    </row>
    <row r="807" spans="1:123" x14ac:dyDescent="0.3">
      <c r="A807" t="str">
        <f t="shared" si="283"/>
        <v>10/04/2022 19:27:47.087</v>
      </c>
      <c r="C807" t="str">
        <f t="shared" si="266"/>
        <v>FFDDD3C0</v>
      </c>
      <c r="D807" t="s">
        <v>141</v>
      </c>
      <c r="E807">
        <v>4</v>
      </c>
      <c r="H807">
        <v>4</v>
      </c>
      <c r="I807" t="s">
        <v>142</v>
      </c>
      <c r="J807" t="s">
        <v>138</v>
      </c>
      <c r="K807">
        <v>0</v>
      </c>
      <c r="L807">
        <v>3</v>
      </c>
      <c r="M807">
        <v>0</v>
      </c>
      <c r="N807">
        <v>2</v>
      </c>
      <c r="O807">
        <v>0</v>
      </c>
      <c r="P807">
        <v>1</v>
      </c>
      <c r="Q807">
        <v>0</v>
      </c>
      <c r="S807" t="str">
        <f t="shared" si="280"/>
        <v>19:27:46.000</v>
      </c>
      <c r="T807" t="str">
        <f t="shared" si="280"/>
        <v>19:27:46.000</v>
      </c>
      <c r="U807" t="str">
        <f t="shared" si="272"/>
        <v>AC3944</v>
      </c>
      <c r="V807">
        <v>0</v>
      </c>
      <c r="W807">
        <v>0</v>
      </c>
      <c r="X807">
        <v>2</v>
      </c>
      <c r="Y807">
        <v>0</v>
      </c>
      <c r="AA807">
        <v>1</v>
      </c>
      <c r="AB807">
        <v>8</v>
      </c>
      <c r="AC807">
        <v>3</v>
      </c>
      <c r="AD807">
        <v>0</v>
      </c>
      <c r="AE807">
        <v>9</v>
      </c>
      <c r="AF807" t="s">
        <v>138</v>
      </c>
      <c r="AG807">
        <v>0</v>
      </c>
      <c r="AH807">
        <v>3</v>
      </c>
      <c r="AI807">
        <v>1</v>
      </c>
      <c r="AJ807">
        <v>0</v>
      </c>
      <c r="AK807" t="s">
        <v>363</v>
      </c>
      <c r="AL807">
        <v>32.815175000000004</v>
      </c>
      <c r="AM807" t="s">
        <v>364</v>
      </c>
      <c r="AN807">
        <v>-116.94942</v>
      </c>
      <c r="AO807">
        <v>25</v>
      </c>
      <c r="AP807">
        <v>1900</v>
      </c>
      <c r="AQ807" t="s">
        <v>129</v>
      </c>
      <c r="AR807">
        <v>112</v>
      </c>
      <c r="AS807">
        <v>-54</v>
      </c>
      <c r="AT807">
        <v>320</v>
      </c>
      <c r="BB807">
        <v>1200</v>
      </c>
      <c r="BC807">
        <v>1</v>
      </c>
      <c r="BD807" t="str">
        <f t="shared" si="273"/>
        <v xml:space="preserve">N887QR  </v>
      </c>
      <c r="BE807">
        <v>1</v>
      </c>
      <c r="BJ807">
        <v>1575</v>
      </c>
      <c r="BK807">
        <v>-325</v>
      </c>
      <c r="BL807" t="s">
        <v>163</v>
      </c>
      <c r="BM807">
        <v>1</v>
      </c>
      <c r="BN807">
        <v>1</v>
      </c>
      <c r="BO807">
        <v>1</v>
      </c>
      <c r="BP807">
        <v>0</v>
      </c>
      <c r="BS807">
        <v>0.04</v>
      </c>
      <c r="BT807">
        <v>0</v>
      </c>
      <c r="BU807">
        <v>0</v>
      </c>
      <c r="CE807" t="str">
        <f t="shared" si="284"/>
        <v>19:27:46.860</v>
      </c>
      <c r="CF807">
        <v>859688704</v>
      </c>
      <c r="CS807">
        <v>3</v>
      </c>
      <c r="CT807">
        <v>2</v>
      </c>
      <c r="CU807">
        <v>0</v>
      </c>
      <c r="CV807">
        <v>2</v>
      </c>
      <c r="CW807">
        <v>0</v>
      </c>
      <c r="CX807">
        <v>3</v>
      </c>
      <c r="CY807">
        <v>7</v>
      </c>
      <c r="CZ807" t="s">
        <v>131</v>
      </c>
      <c r="DA807">
        <v>297</v>
      </c>
      <c r="DB807">
        <v>0</v>
      </c>
      <c r="DC807" t="s">
        <v>258</v>
      </c>
      <c r="DD807" t="s">
        <v>259</v>
      </c>
      <c r="DG807">
        <v>16695335</v>
      </c>
      <c r="DI807">
        <v>1</v>
      </c>
      <c r="DJ807">
        <v>0</v>
      </c>
      <c r="DK807">
        <v>1</v>
      </c>
      <c r="DL807">
        <v>0</v>
      </c>
      <c r="DM807">
        <v>0</v>
      </c>
      <c r="DN807">
        <v>1</v>
      </c>
      <c r="DO807">
        <v>0</v>
      </c>
      <c r="DP807">
        <v>0</v>
      </c>
      <c r="DQ807">
        <v>0</v>
      </c>
      <c r="DR807">
        <v>0</v>
      </c>
      <c r="DS807">
        <v>0</v>
      </c>
    </row>
    <row r="808" spans="1:123" x14ac:dyDescent="0.3">
      <c r="A808" t="str">
        <f>"10/04/2022 19:27:48.634"</f>
        <v>10/04/2022 19:27:48.634</v>
      </c>
      <c r="C808" t="str">
        <f t="shared" si="266"/>
        <v>FFDDD3C0</v>
      </c>
      <c r="D808" t="s">
        <v>147</v>
      </c>
      <c r="E808">
        <v>3</v>
      </c>
      <c r="H808">
        <v>166</v>
      </c>
      <c r="I808" t="s">
        <v>144</v>
      </c>
      <c r="J808" t="s">
        <v>148</v>
      </c>
      <c r="K808">
        <v>0</v>
      </c>
      <c r="L808">
        <v>3</v>
      </c>
      <c r="M808">
        <v>0</v>
      </c>
      <c r="N808">
        <v>2</v>
      </c>
      <c r="O808">
        <v>0</v>
      </c>
      <c r="P808">
        <v>1</v>
      </c>
      <c r="Q808">
        <v>0</v>
      </c>
      <c r="S808" t="str">
        <f t="shared" ref="S808:T814" si="285">"19:27:48.000"</f>
        <v>19:27:48.000</v>
      </c>
      <c r="T808" t="str">
        <f t="shared" si="285"/>
        <v>19:27:48.000</v>
      </c>
      <c r="U808" t="str">
        <f t="shared" si="272"/>
        <v>AC3944</v>
      </c>
      <c r="V808">
        <v>0</v>
      </c>
      <c r="W808">
        <v>0</v>
      </c>
      <c r="X808">
        <v>2</v>
      </c>
      <c r="Y808">
        <v>0</v>
      </c>
      <c r="AA808">
        <v>1</v>
      </c>
      <c r="AB808">
        <v>8</v>
      </c>
      <c r="AC808">
        <v>3</v>
      </c>
      <c r="AD808">
        <v>0</v>
      </c>
      <c r="AE808">
        <v>9</v>
      </c>
      <c r="AF808" t="s">
        <v>138</v>
      </c>
      <c r="AG808">
        <v>0</v>
      </c>
      <c r="AH808">
        <v>3</v>
      </c>
      <c r="AI808">
        <v>1</v>
      </c>
      <c r="AJ808">
        <v>0</v>
      </c>
      <c r="AK808" t="s">
        <v>365</v>
      </c>
      <c r="AL808">
        <v>32.814982000000001</v>
      </c>
      <c r="AM808" t="s">
        <v>366</v>
      </c>
      <c r="AN808">
        <v>-116.948948</v>
      </c>
      <c r="AO808">
        <v>25</v>
      </c>
      <c r="AP808">
        <v>1900</v>
      </c>
      <c r="AQ808" t="s">
        <v>129</v>
      </c>
      <c r="AR808">
        <v>108</v>
      </c>
      <c r="AS808">
        <v>-60</v>
      </c>
      <c r="AT808">
        <v>256</v>
      </c>
      <c r="BB808">
        <v>1200</v>
      </c>
      <c r="BC808">
        <v>1</v>
      </c>
      <c r="BD808" t="str">
        <f t="shared" si="273"/>
        <v xml:space="preserve">N887QR  </v>
      </c>
      <c r="BE808">
        <v>1</v>
      </c>
      <c r="BJ808">
        <v>1575</v>
      </c>
      <c r="BK808">
        <v>-325</v>
      </c>
      <c r="BL808" t="s">
        <v>163</v>
      </c>
      <c r="BM808">
        <v>1</v>
      </c>
      <c r="BN808">
        <v>1</v>
      </c>
      <c r="BO808">
        <v>1</v>
      </c>
      <c r="BP808">
        <v>0</v>
      </c>
      <c r="BS808">
        <v>0.04</v>
      </c>
      <c r="BT808">
        <v>0</v>
      </c>
      <c r="BU808">
        <v>0</v>
      </c>
      <c r="CE808" t="str">
        <f t="shared" ref="CE808:CE814" si="286">"19:27:48.449"</f>
        <v>19:27:48.449</v>
      </c>
      <c r="CF808">
        <v>449369181</v>
      </c>
      <c r="CS808">
        <v>3</v>
      </c>
      <c r="CT808">
        <v>2</v>
      </c>
      <c r="CU808">
        <v>0</v>
      </c>
      <c r="CV808">
        <v>2</v>
      </c>
      <c r="CW808">
        <v>0</v>
      </c>
      <c r="CX808">
        <v>6</v>
      </c>
      <c r="CY808">
        <v>7</v>
      </c>
      <c r="CZ808" t="s">
        <v>131</v>
      </c>
      <c r="DA808">
        <v>300</v>
      </c>
      <c r="DB808">
        <v>0</v>
      </c>
      <c r="DC808" t="s">
        <v>176</v>
      </c>
      <c r="DD808" t="s">
        <v>177</v>
      </c>
      <c r="DG808">
        <v>5371831</v>
      </c>
      <c r="DI808">
        <v>1</v>
      </c>
      <c r="DJ808">
        <v>0</v>
      </c>
      <c r="DK808">
        <v>0</v>
      </c>
      <c r="DL808">
        <v>0</v>
      </c>
      <c r="DM808">
        <v>0</v>
      </c>
      <c r="DN808">
        <v>1</v>
      </c>
      <c r="DO808">
        <v>0</v>
      </c>
      <c r="DP808">
        <v>0</v>
      </c>
      <c r="DQ808">
        <v>0</v>
      </c>
      <c r="DR808">
        <v>0</v>
      </c>
      <c r="DS808">
        <v>0</v>
      </c>
    </row>
    <row r="809" spans="1:123" x14ac:dyDescent="0.3">
      <c r="A809" t="str">
        <f>"10/04/2022 19:27:48.649"</f>
        <v>10/04/2022 19:27:48.649</v>
      </c>
      <c r="C809" t="str">
        <f t="shared" si="266"/>
        <v>FFDDD3C0</v>
      </c>
      <c r="D809" t="s">
        <v>136</v>
      </c>
      <c r="E809">
        <v>8</v>
      </c>
      <c r="H809">
        <v>225</v>
      </c>
      <c r="I809" t="s">
        <v>137</v>
      </c>
      <c r="J809" t="s">
        <v>138</v>
      </c>
      <c r="K809">
        <v>0</v>
      </c>
      <c r="L809">
        <v>3</v>
      </c>
      <c r="M809">
        <v>0</v>
      </c>
      <c r="N809">
        <v>2</v>
      </c>
      <c r="O809">
        <v>0</v>
      </c>
      <c r="P809">
        <v>1</v>
      </c>
      <c r="Q809">
        <v>0</v>
      </c>
      <c r="S809" t="str">
        <f t="shared" si="285"/>
        <v>19:27:48.000</v>
      </c>
      <c r="T809" t="str">
        <f t="shared" si="285"/>
        <v>19:27:48.000</v>
      </c>
      <c r="U809" t="str">
        <f t="shared" si="272"/>
        <v>AC3944</v>
      </c>
      <c r="V809">
        <v>0</v>
      </c>
      <c r="W809">
        <v>0</v>
      </c>
      <c r="X809">
        <v>2</v>
      </c>
      <c r="Y809">
        <v>0</v>
      </c>
      <c r="AA809">
        <v>1</v>
      </c>
      <c r="AB809">
        <v>8</v>
      </c>
      <c r="AC809">
        <v>3</v>
      </c>
      <c r="AD809">
        <v>0</v>
      </c>
      <c r="AE809">
        <v>9</v>
      </c>
      <c r="AF809" t="s">
        <v>138</v>
      </c>
      <c r="AG809">
        <v>0</v>
      </c>
      <c r="AH809">
        <v>3</v>
      </c>
      <c r="AI809">
        <v>1</v>
      </c>
      <c r="AJ809">
        <v>0</v>
      </c>
      <c r="AK809" t="s">
        <v>365</v>
      </c>
      <c r="AL809">
        <v>32.814982000000001</v>
      </c>
      <c r="AM809" t="s">
        <v>366</v>
      </c>
      <c r="AN809">
        <v>-116.948948</v>
      </c>
      <c r="AO809">
        <v>25</v>
      </c>
      <c r="AP809">
        <v>1900</v>
      </c>
      <c r="AQ809" t="s">
        <v>129</v>
      </c>
      <c r="AR809">
        <v>108</v>
      </c>
      <c r="AS809">
        <v>-60</v>
      </c>
      <c r="AT809">
        <v>256</v>
      </c>
      <c r="BB809">
        <v>1200</v>
      </c>
      <c r="BC809">
        <v>1</v>
      </c>
      <c r="BD809" t="str">
        <f t="shared" si="273"/>
        <v xml:space="preserve">N887QR  </v>
      </c>
      <c r="BE809">
        <v>1</v>
      </c>
      <c r="BJ809">
        <v>1575</v>
      </c>
      <c r="BK809">
        <v>-325</v>
      </c>
      <c r="BL809" t="s">
        <v>163</v>
      </c>
      <c r="BM809">
        <v>1</v>
      </c>
      <c r="BN809">
        <v>1</v>
      </c>
      <c r="BO809">
        <v>1</v>
      </c>
      <c r="BP809">
        <v>0</v>
      </c>
      <c r="BS809">
        <v>0.04</v>
      </c>
      <c r="BT809">
        <v>0</v>
      </c>
      <c r="BU809">
        <v>0</v>
      </c>
      <c r="CE809" t="str">
        <f t="shared" si="286"/>
        <v>19:27:48.449</v>
      </c>
      <c r="CF809">
        <v>449369181</v>
      </c>
      <c r="CS809">
        <v>3</v>
      </c>
      <c r="CT809">
        <v>2</v>
      </c>
      <c r="CU809">
        <v>0</v>
      </c>
      <c r="CV809">
        <v>2</v>
      </c>
      <c r="CW809">
        <v>0</v>
      </c>
      <c r="CX809">
        <v>6</v>
      </c>
      <c r="CY809">
        <v>7</v>
      </c>
      <c r="CZ809" t="s">
        <v>131</v>
      </c>
      <c r="DA809">
        <v>300</v>
      </c>
      <c r="DB809">
        <v>0</v>
      </c>
      <c r="DC809" t="s">
        <v>176</v>
      </c>
      <c r="DD809" t="s">
        <v>177</v>
      </c>
      <c r="DG809">
        <v>5371831</v>
      </c>
      <c r="DI809">
        <v>1</v>
      </c>
      <c r="DJ809">
        <v>0</v>
      </c>
      <c r="DK809">
        <v>1</v>
      </c>
      <c r="DL809">
        <v>0</v>
      </c>
      <c r="DM809">
        <v>0</v>
      </c>
      <c r="DN809">
        <v>1</v>
      </c>
      <c r="DO809">
        <v>0</v>
      </c>
      <c r="DP809">
        <v>0</v>
      </c>
      <c r="DQ809">
        <v>0</v>
      </c>
      <c r="DR809">
        <v>0</v>
      </c>
      <c r="DS809">
        <v>0</v>
      </c>
    </row>
    <row r="810" spans="1:123" x14ac:dyDescent="0.3">
      <c r="A810" t="str">
        <f>"10/04/2022 19:27:48.649"</f>
        <v>10/04/2022 19:27:48.649</v>
      </c>
      <c r="C810" t="str">
        <f t="shared" si="266"/>
        <v>FFDDD3C0</v>
      </c>
      <c r="D810" t="s">
        <v>134</v>
      </c>
      <c r="E810">
        <v>15</v>
      </c>
      <c r="J810" t="s">
        <v>135</v>
      </c>
      <c r="K810">
        <v>0</v>
      </c>
      <c r="L810">
        <v>3</v>
      </c>
      <c r="M810">
        <v>0</v>
      </c>
      <c r="N810">
        <v>2</v>
      </c>
      <c r="O810">
        <v>0</v>
      </c>
      <c r="P810">
        <v>1</v>
      </c>
      <c r="Q810">
        <v>0</v>
      </c>
      <c r="S810" t="str">
        <f t="shared" si="285"/>
        <v>19:27:48.000</v>
      </c>
      <c r="T810" t="str">
        <f t="shared" si="285"/>
        <v>19:27:48.000</v>
      </c>
      <c r="U810" t="str">
        <f t="shared" si="272"/>
        <v>AC3944</v>
      </c>
      <c r="V810">
        <v>0</v>
      </c>
      <c r="W810">
        <v>0</v>
      </c>
      <c r="X810">
        <v>2</v>
      </c>
      <c r="Y810">
        <v>0</v>
      </c>
      <c r="AA810">
        <v>1</v>
      </c>
      <c r="AB810">
        <v>8</v>
      </c>
      <c r="AC810">
        <v>3</v>
      </c>
      <c r="AD810">
        <v>0</v>
      </c>
      <c r="AE810">
        <v>9</v>
      </c>
      <c r="AF810" t="s">
        <v>138</v>
      </c>
      <c r="AG810">
        <v>0</v>
      </c>
      <c r="AH810">
        <v>3</v>
      </c>
      <c r="AI810">
        <v>1</v>
      </c>
      <c r="AJ810">
        <v>0</v>
      </c>
      <c r="AK810" t="s">
        <v>365</v>
      </c>
      <c r="AL810">
        <v>32.814982000000001</v>
      </c>
      <c r="AM810" t="s">
        <v>366</v>
      </c>
      <c r="AN810">
        <v>-116.948948</v>
      </c>
      <c r="AO810">
        <v>25</v>
      </c>
      <c r="AP810">
        <v>1900</v>
      </c>
      <c r="AQ810" t="s">
        <v>129</v>
      </c>
      <c r="AR810">
        <v>108</v>
      </c>
      <c r="AS810">
        <v>-60</v>
      </c>
      <c r="AT810">
        <v>256</v>
      </c>
      <c r="BB810">
        <v>1200</v>
      </c>
      <c r="BC810">
        <v>1</v>
      </c>
      <c r="BD810" t="str">
        <f t="shared" si="273"/>
        <v xml:space="preserve">N887QR  </v>
      </c>
      <c r="BE810">
        <v>1</v>
      </c>
      <c r="BJ810">
        <v>1575</v>
      </c>
      <c r="BK810">
        <v>-325</v>
      </c>
      <c r="BL810" t="s">
        <v>163</v>
      </c>
      <c r="BM810">
        <v>1</v>
      </c>
      <c r="BN810">
        <v>1</v>
      </c>
      <c r="BO810">
        <v>1</v>
      </c>
      <c r="BP810">
        <v>0</v>
      </c>
      <c r="BS810">
        <v>0.04</v>
      </c>
      <c r="BT810">
        <v>0</v>
      </c>
      <c r="BU810">
        <v>0</v>
      </c>
      <c r="CE810" t="str">
        <f t="shared" si="286"/>
        <v>19:27:48.449</v>
      </c>
      <c r="CF810">
        <v>449369181</v>
      </c>
      <c r="CS810">
        <v>3</v>
      </c>
      <c r="CT810">
        <v>2</v>
      </c>
      <c r="CU810">
        <v>0</v>
      </c>
      <c r="CV810">
        <v>2</v>
      </c>
      <c r="CW810">
        <v>0</v>
      </c>
      <c r="CX810">
        <v>6</v>
      </c>
      <c r="CY810">
        <v>7</v>
      </c>
      <c r="CZ810" t="s">
        <v>131</v>
      </c>
      <c r="DA810">
        <v>300</v>
      </c>
      <c r="DB810">
        <v>0</v>
      </c>
      <c r="DC810" t="s">
        <v>176</v>
      </c>
      <c r="DD810" t="s">
        <v>177</v>
      </c>
      <c r="DG810">
        <v>5371831</v>
      </c>
      <c r="DI810">
        <v>1</v>
      </c>
      <c r="DJ810">
        <v>0</v>
      </c>
      <c r="DK810">
        <v>1</v>
      </c>
      <c r="DL810">
        <v>0</v>
      </c>
      <c r="DM810">
        <v>0</v>
      </c>
      <c r="DN810">
        <v>1</v>
      </c>
      <c r="DO810">
        <v>0</v>
      </c>
      <c r="DP810">
        <v>0</v>
      </c>
      <c r="DQ810">
        <v>0</v>
      </c>
      <c r="DR810">
        <v>0</v>
      </c>
      <c r="DS810">
        <v>0</v>
      </c>
    </row>
    <row r="811" spans="1:123" x14ac:dyDescent="0.3">
      <c r="A811" t="str">
        <f>"10/04/2022 19:27:48.649"</f>
        <v>10/04/2022 19:27:48.649</v>
      </c>
      <c r="C811" t="str">
        <f t="shared" si="266"/>
        <v>FFDDD3C0</v>
      </c>
      <c r="D811" t="s">
        <v>141</v>
      </c>
      <c r="E811">
        <v>4</v>
      </c>
      <c r="H811">
        <v>4</v>
      </c>
      <c r="I811" t="s">
        <v>142</v>
      </c>
      <c r="J811" t="s">
        <v>138</v>
      </c>
      <c r="K811">
        <v>0</v>
      </c>
      <c r="L811">
        <v>3</v>
      </c>
      <c r="M811">
        <v>0</v>
      </c>
      <c r="N811">
        <v>2</v>
      </c>
      <c r="O811">
        <v>0</v>
      </c>
      <c r="P811">
        <v>1</v>
      </c>
      <c r="Q811">
        <v>0</v>
      </c>
      <c r="S811" t="str">
        <f t="shared" si="285"/>
        <v>19:27:48.000</v>
      </c>
      <c r="T811" t="str">
        <f t="shared" si="285"/>
        <v>19:27:48.000</v>
      </c>
      <c r="U811" t="str">
        <f t="shared" si="272"/>
        <v>AC3944</v>
      </c>
      <c r="V811">
        <v>0</v>
      </c>
      <c r="W811">
        <v>0</v>
      </c>
      <c r="X811">
        <v>2</v>
      </c>
      <c r="Y811">
        <v>0</v>
      </c>
      <c r="AA811">
        <v>1</v>
      </c>
      <c r="AB811">
        <v>8</v>
      </c>
      <c r="AC811">
        <v>3</v>
      </c>
      <c r="AD811">
        <v>0</v>
      </c>
      <c r="AE811">
        <v>9</v>
      </c>
      <c r="AF811" t="s">
        <v>138</v>
      </c>
      <c r="AG811">
        <v>0</v>
      </c>
      <c r="AH811">
        <v>3</v>
      </c>
      <c r="AI811">
        <v>1</v>
      </c>
      <c r="AJ811">
        <v>0</v>
      </c>
      <c r="AK811" t="s">
        <v>365</v>
      </c>
      <c r="AL811">
        <v>32.814982000000001</v>
      </c>
      <c r="AM811" t="s">
        <v>366</v>
      </c>
      <c r="AN811">
        <v>-116.948948</v>
      </c>
      <c r="AO811">
        <v>25</v>
      </c>
      <c r="AP811">
        <v>1900</v>
      </c>
      <c r="AQ811" t="s">
        <v>129</v>
      </c>
      <c r="AR811">
        <v>108</v>
      </c>
      <c r="AS811">
        <v>-60</v>
      </c>
      <c r="AT811">
        <v>256</v>
      </c>
      <c r="BB811">
        <v>1200</v>
      </c>
      <c r="BC811">
        <v>1</v>
      </c>
      <c r="BD811" t="str">
        <f t="shared" si="273"/>
        <v xml:space="preserve">N887QR  </v>
      </c>
      <c r="BE811">
        <v>1</v>
      </c>
      <c r="BJ811">
        <v>1575</v>
      </c>
      <c r="BK811">
        <v>-325</v>
      </c>
      <c r="BL811" t="s">
        <v>163</v>
      </c>
      <c r="BM811">
        <v>1</v>
      </c>
      <c r="BN811">
        <v>1</v>
      </c>
      <c r="BO811">
        <v>1</v>
      </c>
      <c r="BP811">
        <v>0</v>
      </c>
      <c r="BS811">
        <v>0.04</v>
      </c>
      <c r="BT811">
        <v>0</v>
      </c>
      <c r="BU811">
        <v>0</v>
      </c>
      <c r="CE811" t="str">
        <f t="shared" si="286"/>
        <v>19:27:48.449</v>
      </c>
      <c r="CF811">
        <v>449369181</v>
      </c>
      <c r="CS811">
        <v>3</v>
      </c>
      <c r="CT811">
        <v>2</v>
      </c>
      <c r="CU811">
        <v>0</v>
      </c>
      <c r="CV811">
        <v>2</v>
      </c>
      <c r="CW811">
        <v>0</v>
      </c>
      <c r="CX811">
        <v>6</v>
      </c>
      <c r="CY811">
        <v>7</v>
      </c>
      <c r="CZ811" t="s">
        <v>131</v>
      </c>
      <c r="DA811">
        <v>300</v>
      </c>
      <c r="DB811">
        <v>0</v>
      </c>
      <c r="DC811" t="s">
        <v>176</v>
      </c>
      <c r="DD811" t="s">
        <v>177</v>
      </c>
      <c r="DG811">
        <v>5371831</v>
      </c>
      <c r="DI811">
        <v>1</v>
      </c>
      <c r="DJ811">
        <v>0</v>
      </c>
      <c r="DK811">
        <v>1</v>
      </c>
      <c r="DL811">
        <v>0</v>
      </c>
      <c r="DM811">
        <v>0</v>
      </c>
      <c r="DN811">
        <v>1</v>
      </c>
      <c r="DO811">
        <v>0</v>
      </c>
      <c r="DP811">
        <v>0</v>
      </c>
      <c r="DQ811">
        <v>0</v>
      </c>
      <c r="DR811">
        <v>0</v>
      </c>
      <c r="DS811">
        <v>0</v>
      </c>
    </row>
    <row r="812" spans="1:123" x14ac:dyDescent="0.3">
      <c r="A812" t="str">
        <f>"10/04/2022 19:27:48.649"</f>
        <v>10/04/2022 19:27:48.649</v>
      </c>
      <c r="C812" t="str">
        <f t="shared" si="266"/>
        <v>FFDDD3C0</v>
      </c>
      <c r="D812" t="s">
        <v>141</v>
      </c>
      <c r="E812">
        <v>3</v>
      </c>
      <c r="H812">
        <v>3</v>
      </c>
      <c r="I812" t="s">
        <v>146</v>
      </c>
      <c r="J812" t="s">
        <v>138</v>
      </c>
      <c r="K812">
        <v>0</v>
      </c>
      <c r="L812">
        <v>3</v>
      </c>
      <c r="M812">
        <v>0</v>
      </c>
      <c r="N812">
        <v>2</v>
      </c>
      <c r="O812">
        <v>0</v>
      </c>
      <c r="P812">
        <v>1</v>
      </c>
      <c r="Q812">
        <v>0</v>
      </c>
      <c r="S812" t="str">
        <f t="shared" si="285"/>
        <v>19:27:48.000</v>
      </c>
      <c r="T812" t="str">
        <f t="shared" si="285"/>
        <v>19:27:48.000</v>
      </c>
      <c r="U812" t="str">
        <f t="shared" si="272"/>
        <v>AC3944</v>
      </c>
      <c r="V812">
        <v>0</v>
      </c>
      <c r="W812">
        <v>0</v>
      </c>
      <c r="X812">
        <v>2</v>
      </c>
      <c r="Y812">
        <v>0</v>
      </c>
      <c r="AA812">
        <v>1</v>
      </c>
      <c r="AB812">
        <v>8</v>
      </c>
      <c r="AC812">
        <v>3</v>
      </c>
      <c r="AD812">
        <v>0</v>
      </c>
      <c r="AE812">
        <v>9</v>
      </c>
      <c r="AF812" t="s">
        <v>138</v>
      </c>
      <c r="AG812">
        <v>0</v>
      </c>
      <c r="AH812">
        <v>3</v>
      </c>
      <c r="AI812">
        <v>1</v>
      </c>
      <c r="AJ812">
        <v>0</v>
      </c>
      <c r="AK812" t="s">
        <v>365</v>
      </c>
      <c r="AL812">
        <v>32.814982000000001</v>
      </c>
      <c r="AM812" t="s">
        <v>366</v>
      </c>
      <c r="AN812">
        <v>-116.948948</v>
      </c>
      <c r="AO812">
        <v>25</v>
      </c>
      <c r="AP812">
        <v>1900</v>
      </c>
      <c r="AQ812" t="s">
        <v>129</v>
      </c>
      <c r="AR812">
        <v>108</v>
      </c>
      <c r="AS812">
        <v>-60</v>
      </c>
      <c r="AT812">
        <v>256</v>
      </c>
      <c r="BB812">
        <v>1200</v>
      </c>
      <c r="BC812">
        <v>1</v>
      </c>
      <c r="BD812" t="str">
        <f t="shared" si="273"/>
        <v xml:space="preserve">N887QR  </v>
      </c>
      <c r="BE812">
        <v>1</v>
      </c>
      <c r="BJ812">
        <v>1575</v>
      </c>
      <c r="BK812">
        <v>-325</v>
      </c>
      <c r="BL812" t="s">
        <v>163</v>
      </c>
      <c r="BM812">
        <v>1</v>
      </c>
      <c r="BN812">
        <v>1</v>
      </c>
      <c r="BO812">
        <v>1</v>
      </c>
      <c r="BP812">
        <v>0</v>
      </c>
      <c r="BS812">
        <v>0.04</v>
      </c>
      <c r="BT812">
        <v>0</v>
      </c>
      <c r="BU812">
        <v>0</v>
      </c>
      <c r="CE812" t="str">
        <f t="shared" si="286"/>
        <v>19:27:48.449</v>
      </c>
      <c r="CF812">
        <v>449369181</v>
      </c>
      <c r="CS812">
        <v>3</v>
      </c>
      <c r="CT812">
        <v>2</v>
      </c>
      <c r="CU812">
        <v>0</v>
      </c>
      <c r="CV812">
        <v>2</v>
      </c>
      <c r="CW812">
        <v>0</v>
      </c>
      <c r="CX812">
        <v>6</v>
      </c>
      <c r="CY812">
        <v>7</v>
      </c>
      <c r="CZ812" t="s">
        <v>131</v>
      </c>
      <c r="DA812">
        <v>300</v>
      </c>
      <c r="DB812">
        <v>0</v>
      </c>
      <c r="DC812" t="s">
        <v>176</v>
      </c>
      <c r="DD812" t="s">
        <v>177</v>
      </c>
      <c r="DG812">
        <v>5371831</v>
      </c>
      <c r="DI812">
        <v>1</v>
      </c>
      <c r="DJ812">
        <v>0</v>
      </c>
      <c r="DK812">
        <v>1</v>
      </c>
      <c r="DL812">
        <v>0</v>
      </c>
      <c r="DM812">
        <v>0</v>
      </c>
      <c r="DN812">
        <v>1</v>
      </c>
      <c r="DO812">
        <v>0</v>
      </c>
      <c r="DP812">
        <v>0</v>
      </c>
      <c r="DQ812">
        <v>0</v>
      </c>
      <c r="DR812">
        <v>0</v>
      </c>
      <c r="DS812">
        <v>0</v>
      </c>
    </row>
    <row r="813" spans="1:123" x14ac:dyDescent="0.3">
      <c r="A813" t="str">
        <f>"10/04/2022 19:27:48.665"</f>
        <v>10/04/2022 19:27:48.665</v>
      </c>
      <c r="C813" t="str">
        <f t="shared" si="266"/>
        <v>FFDDD3C0</v>
      </c>
      <c r="D813" t="s">
        <v>143</v>
      </c>
      <c r="E813">
        <v>20</v>
      </c>
      <c r="F813">
        <v>1020</v>
      </c>
      <c r="G813" t="s">
        <v>144</v>
      </c>
      <c r="J813" t="s">
        <v>145</v>
      </c>
      <c r="K813">
        <v>0</v>
      </c>
      <c r="L813">
        <v>3</v>
      </c>
      <c r="M813">
        <v>0</v>
      </c>
      <c r="N813">
        <v>2</v>
      </c>
      <c r="O813">
        <v>0</v>
      </c>
      <c r="P813">
        <v>1</v>
      </c>
      <c r="Q813">
        <v>0</v>
      </c>
      <c r="S813" t="str">
        <f t="shared" si="285"/>
        <v>19:27:48.000</v>
      </c>
      <c r="T813" t="str">
        <f t="shared" si="285"/>
        <v>19:27:48.000</v>
      </c>
      <c r="U813" t="str">
        <f t="shared" si="272"/>
        <v>AC3944</v>
      </c>
      <c r="V813">
        <v>0</v>
      </c>
      <c r="W813">
        <v>0</v>
      </c>
      <c r="X813">
        <v>2</v>
      </c>
      <c r="Y813">
        <v>0</v>
      </c>
      <c r="AA813">
        <v>1</v>
      </c>
      <c r="AB813">
        <v>8</v>
      </c>
      <c r="AC813">
        <v>3</v>
      </c>
      <c r="AD813">
        <v>0</v>
      </c>
      <c r="AE813">
        <v>9</v>
      </c>
      <c r="AF813" t="s">
        <v>138</v>
      </c>
      <c r="AG813">
        <v>0</v>
      </c>
      <c r="AH813">
        <v>3</v>
      </c>
      <c r="AI813">
        <v>1</v>
      </c>
      <c r="AJ813">
        <v>0</v>
      </c>
      <c r="AK813" t="s">
        <v>365</v>
      </c>
      <c r="AL813">
        <v>32.814982000000001</v>
      </c>
      <c r="AM813" t="s">
        <v>366</v>
      </c>
      <c r="AN813">
        <v>-116.948948</v>
      </c>
      <c r="AO813">
        <v>25</v>
      </c>
      <c r="AP813">
        <v>1900</v>
      </c>
      <c r="AQ813" t="s">
        <v>129</v>
      </c>
      <c r="AR813">
        <v>108</v>
      </c>
      <c r="AS813">
        <v>-60</v>
      </c>
      <c r="AT813">
        <v>256</v>
      </c>
      <c r="BB813">
        <v>1200</v>
      </c>
      <c r="BC813">
        <v>1</v>
      </c>
      <c r="BD813" t="str">
        <f t="shared" si="273"/>
        <v xml:space="preserve">N887QR  </v>
      </c>
      <c r="BE813">
        <v>1</v>
      </c>
      <c r="BJ813">
        <v>1575</v>
      </c>
      <c r="BK813">
        <v>-325</v>
      </c>
      <c r="BL813" t="s">
        <v>163</v>
      </c>
      <c r="BM813">
        <v>1</v>
      </c>
      <c r="BN813">
        <v>1</v>
      </c>
      <c r="BO813">
        <v>1</v>
      </c>
      <c r="BP813">
        <v>0</v>
      </c>
      <c r="BS813">
        <v>0.04</v>
      </c>
      <c r="BT813">
        <v>0</v>
      </c>
      <c r="BU813">
        <v>0</v>
      </c>
      <c r="CE813" t="str">
        <f t="shared" si="286"/>
        <v>19:27:48.449</v>
      </c>
      <c r="CF813">
        <v>449369181</v>
      </c>
      <c r="CS813">
        <v>3</v>
      </c>
      <c r="CT813">
        <v>2</v>
      </c>
      <c r="CU813">
        <v>0</v>
      </c>
      <c r="CV813">
        <v>2</v>
      </c>
      <c r="CW813">
        <v>0</v>
      </c>
      <c r="CX813">
        <v>6</v>
      </c>
      <c r="CY813">
        <v>7</v>
      </c>
      <c r="CZ813" t="s">
        <v>131</v>
      </c>
      <c r="DA813">
        <v>300</v>
      </c>
      <c r="DB813">
        <v>0</v>
      </c>
      <c r="DC813" t="s">
        <v>176</v>
      </c>
      <c r="DD813" t="s">
        <v>177</v>
      </c>
      <c r="DG813">
        <v>5371831</v>
      </c>
      <c r="DI813">
        <v>1</v>
      </c>
      <c r="DJ813">
        <v>0</v>
      </c>
      <c r="DK813">
        <v>1</v>
      </c>
      <c r="DL813">
        <v>0</v>
      </c>
      <c r="DM813">
        <v>0</v>
      </c>
      <c r="DN813">
        <v>1</v>
      </c>
      <c r="DO813">
        <v>0</v>
      </c>
      <c r="DP813">
        <v>0</v>
      </c>
      <c r="DQ813">
        <v>0</v>
      </c>
      <c r="DR813">
        <v>0</v>
      </c>
      <c r="DS813">
        <v>0</v>
      </c>
    </row>
    <row r="814" spans="1:123" x14ac:dyDescent="0.3">
      <c r="A814" t="str">
        <f>"10/04/2022 19:27:48.680"</f>
        <v>10/04/2022 19:27:48.680</v>
      </c>
      <c r="C814" t="str">
        <f t="shared" si="266"/>
        <v>FFDDD3C0</v>
      </c>
      <c r="D814" t="s">
        <v>123</v>
      </c>
      <c r="E814">
        <v>7</v>
      </c>
      <c r="F814">
        <v>2007</v>
      </c>
      <c r="G814" t="s">
        <v>124</v>
      </c>
      <c r="J814" t="s">
        <v>125</v>
      </c>
      <c r="K814">
        <v>0</v>
      </c>
      <c r="L814">
        <v>3</v>
      </c>
      <c r="M814">
        <v>0</v>
      </c>
      <c r="N814">
        <v>2</v>
      </c>
      <c r="O814">
        <v>0</v>
      </c>
      <c r="P814">
        <v>1</v>
      </c>
      <c r="Q814">
        <v>0</v>
      </c>
      <c r="S814" t="str">
        <f t="shared" si="285"/>
        <v>19:27:48.000</v>
      </c>
      <c r="T814" t="str">
        <f t="shared" si="285"/>
        <v>19:27:48.000</v>
      </c>
      <c r="U814" t="str">
        <f t="shared" si="272"/>
        <v>AC3944</v>
      </c>
      <c r="V814">
        <v>0</v>
      </c>
      <c r="W814">
        <v>0</v>
      </c>
      <c r="X814">
        <v>2</v>
      </c>
      <c r="Y814">
        <v>0</v>
      </c>
      <c r="AA814">
        <v>1</v>
      </c>
      <c r="AB814">
        <v>8</v>
      </c>
      <c r="AC814">
        <v>3</v>
      </c>
      <c r="AD814">
        <v>0</v>
      </c>
      <c r="AE814">
        <v>9</v>
      </c>
      <c r="AF814" t="s">
        <v>138</v>
      </c>
      <c r="AG814">
        <v>0</v>
      </c>
      <c r="AH814">
        <v>3</v>
      </c>
      <c r="AI814">
        <v>1</v>
      </c>
      <c r="AJ814">
        <v>0</v>
      </c>
      <c r="AK814" t="s">
        <v>365</v>
      </c>
      <c r="AL814">
        <v>32.814982000000001</v>
      </c>
      <c r="AM814" t="s">
        <v>366</v>
      </c>
      <c r="AN814">
        <v>-116.948948</v>
      </c>
      <c r="AO814">
        <v>25</v>
      </c>
      <c r="AP814">
        <v>1900</v>
      </c>
      <c r="AQ814" t="s">
        <v>129</v>
      </c>
      <c r="AR814">
        <v>108</v>
      </c>
      <c r="AS814">
        <v>-60</v>
      </c>
      <c r="AT814">
        <v>256</v>
      </c>
      <c r="BB814">
        <v>1200</v>
      </c>
      <c r="BC814">
        <v>1</v>
      </c>
      <c r="BD814" t="str">
        <f t="shared" si="273"/>
        <v xml:space="preserve">N887QR  </v>
      </c>
      <c r="BE814">
        <v>1</v>
      </c>
      <c r="BJ814">
        <v>1575</v>
      </c>
      <c r="BK814">
        <v>-325</v>
      </c>
      <c r="BL814" t="s">
        <v>163</v>
      </c>
      <c r="BM814">
        <v>1</v>
      </c>
      <c r="BN814">
        <v>1</v>
      </c>
      <c r="BO814">
        <v>1</v>
      </c>
      <c r="BP814">
        <v>0</v>
      </c>
      <c r="BS814">
        <v>0.04</v>
      </c>
      <c r="BT814">
        <v>0</v>
      </c>
      <c r="BU814">
        <v>0</v>
      </c>
      <c r="CE814" t="str">
        <f t="shared" si="286"/>
        <v>19:27:48.449</v>
      </c>
      <c r="CF814">
        <v>449369181</v>
      </c>
      <c r="CS814">
        <v>3</v>
      </c>
      <c r="CT814">
        <v>2</v>
      </c>
      <c r="CU814">
        <v>0</v>
      </c>
      <c r="CV814">
        <v>2</v>
      </c>
      <c r="CW814">
        <v>0</v>
      </c>
      <c r="CX814">
        <v>6</v>
      </c>
      <c r="CY814">
        <v>7</v>
      </c>
      <c r="CZ814" t="s">
        <v>131</v>
      </c>
      <c r="DA814">
        <v>300</v>
      </c>
      <c r="DB814">
        <v>0</v>
      </c>
      <c r="DC814" t="s">
        <v>176</v>
      </c>
      <c r="DD814" t="s">
        <v>177</v>
      </c>
      <c r="DG814">
        <v>5371831</v>
      </c>
      <c r="DI814">
        <v>1</v>
      </c>
      <c r="DJ814">
        <v>0</v>
      </c>
      <c r="DK814">
        <v>1</v>
      </c>
      <c r="DL814">
        <v>0</v>
      </c>
      <c r="DM814">
        <v>0</v>
      </c>
      <c r="DN814">
        <v>1</v>
      </c>
      <c r="DO814">
        <v>0</v>
      </c>
      <c r="DP814">
        <v>0</v>
      </c>
      <c r="DQ814">
        <v>0</v>
      </c>
      <c r="DR814">
        <v>0</v>
      </c>
      <c r="DS814">
        <v>0</v>
      </c>
    </row>
    <row r="815" spans="1:123" x14ac:dyDescent="0.3">
      <c r="A815" t="str">
        <f>"10/04/2022 19:27:49.415"</f>
        <v>10/04/2022 19:27:49.415</v>
      </c>
      <c r="C815" t="str">
        <f t="shared" si="266"/>
        <v>FFDDD3C0</v>
      </c>
      <c r="D815" t="s">
        <v>147</v>
      </c>
      <c r="E815">
        <v>3</v>
      </c>
      <c r="H815">
        <v>166</v>
      </c>
      <c r="I815" t="s">
        <v>144</v>
      </c>
      <c r="J815" t="s">
        <v>148</v>
      </c>
      <c r="K815">
        <v>0</v>
      </c>
      <c r="L815">
        <v>3</v>
      </c>
      <c r="M815">
        <v>0</v>
      </c>
      <c r="N815">
        <v>2</v>
      </c>
      <c r="O815">
        <v>0</v>
      </c>
      <c r="P815">
        <v>1</v>
      </c>
      <c r="Q815">
        <v>0</v>
      </c>
      <c r="S815" t="str">
        <f t="shared" ref="S815:T821" si="287">"19:27:49.000"</f>
        <v>19:27:49.000</v>
      </c>
      <c r="T815" t="str">
        <f t="shared" si="287"/>
        <v>19:27:49.000</v>
      </c>
      <c r="U815" t="str">
        <f t="shared" si="272"/>
        <v>AC3944</v>
      </c>
      <c r="V815">
        <v>0</v>
      </c>
      <c r="W815">
        <v>0</v>
      </c>
      <c r="X815">
        <v>2</v>
      </c>
      <c r="Y815">
        <v>0</v>
      </c>
      <c r="AA815">
        <v>1</v>
      </c>
      <c r="AB815">
        <v>8</v>
      </c>
      <c r="AC815">
        <v>3</v>
      </c>
      <c r="AD815">
        <v>0</v>
      </c>
      <c r="AE815">
        <v>9</v>
      </c>
      <c r="AF815" t="s">
        <v>138</v>
      </c>
      <c r="AG815">
        <v>0</v>
      </c>
      <c r="AH815">
        <v>3</v>
      </c>
      <c r="AI815">
        <v>1</v>
      </c>
      <c r="AJ815">
        <v>0</v>
      </c>
      <c r="AK815" t="s">
        <v>367</v>
      </c>
      <c r="AL815">
        <v>32.814703000000002</v>
      </c>
      <c r="AM815" t="s">
        <v>368</v>
      </c>
      <c r="AN815">
        <v>-116.948347</v>
      </c>
      <c r="AO815">
        <v>25</v>
      </c>
      <c r="AP815">
        <v>1900</v>
      </c>
      <c r="AQ815" t="s">
        <v>129</v>
      </c>
      <c r="AR815">
        <v>106</v>
      </c>
      <c r="AS815">
        <v>-62</v>
      </c>
      <c r="AT815">
        <v>256</v>
      </c>
      <c r="BB815">
        <v>1200</v>
      </c>
      <c r="BC815">
        <v>1</v>
      </c>
      <c r="BD815" t="str">
        <f t="shared" si="273"/>
        <v xml:space="preserve">N887QR  </v>
      </c>
      <c r="BE815">
        <v>1</v>
      </c>
      <c r="BJ815">
        <v>1600</v>
      </c>
      <c r="BK815">
        <v>-300</v>
      </c>
      <c r="BL815" t="s">
        <v>163</v>
      </c>
      <c r="BM815">
        <v>1</v>
      </c>
      <c r="BN815">
        <v>1</v>
      </c>
      <c r="BO815">
        <v>1</v>
      </c>
      <c r="BP815">
        <v>0</v>
      </c>
      <c r="BS815">
        <v>0.04</v>
      </c>
      <c r="BT815">
        <v>0</v>
      </c>
      <c r="BU815">
        <v>0</v>
      </c>
      <c r="CE815" t="str">
        <f t="shared" ref="CE815:CE821" si="288">"19:27:49.216"</f>
        <v>19:27:49.216</v>
      </c>
      <c r="CF815">
        <v>216371665</v>
      </c>
      <c r="CS815">
        <v>3</v>
      </c>
      <c r="CT815">
        <v>2</v>
      </c>
      <c r="CU815">
        <v>0</v>
      </c>
      <c r="CV815">
        <v>2</v>
      </c>
      <c r="CW815">
        <v>0</v>
      </c>
      <c r="CX815">
        <v>6</v>
      </c>
      <c r="CY815">
        <v>7</v>
      </c>
      <c r="CZ815" t="s">
        <v>131</v>
      </c>
      <c r="DA815">
        <v>300</v>
      </c>
      <c r="DB815">
        <v>0</v>
      </c>
      <c r="DC815" t="s">
        <v>176</v>
      </c>
      <c r="DD815" t="s">
        <v>177</v>
      </c>
      <c r="DG815">
        <v>5371939</v>
      </c>
      <c r="DI815">
        <v>1</v>
      </c>
      <c r="DJ815">
        <v>0</v>
      </c>
      <c r="DK815">
        <v>0</v>
      </c>
      <c r="DL815">
        <v>0</v>
      </c>
      <c r="DM815">
        <v>0</v>
      </c>
      <c r="DN815">
        <v>1</v>
      </c>
      <c r="DO815">
        <v>0</v>
      </c>
      <c r="DP815">
        <v>0</v>
      </c>
      <c r="DQ815">
        <v>0</v>
      </c>
      <c r="DR815">
        <v>0</v>
      </c>
      <c r="DS815">
        <v>0</v>
      </c>
    </row>
    <row r="816" spans="1:123" x14ac:dyDescent="0.3">
      <c r="A816" t="str">
        <f>"10/04/2022 19:27:49.415"</f>
        <v>10/04/2022 19:27:49.415</v>
      </c>
      <c r="C816" t="str">
        <f t="shared" ref="C816:C879" si="289">"FFDDD3C0"</f>
        <v>FFDDD3C0</v>
      </c>
      <c r="D816" t="s">
        <v>136</v>
      </c>
      <c r="E816">
        <v>8</v>
      </c>
      <c r="H816">
        <v>225</v>
      </c>
      <c r="I816" t="s">
        <v>137</v>
      </c>
      <c r="J816" t="s">
        <v>138</v>
      </c>
      <c r="K816">
        <v>0</v>
      </c>
      <c r="L816">
        <v>3</v>
      </c>
      <c r="M816">
        <v>0</v>
      </c>
      <c r="N816">
        <v>2</v>
      </c>
      <c r="O816">
        <v>0</v>
      </c>
      <c r="P816">
        <v>1</v>
      </c>
      <c r="Q816">
        <v>0</v>
      </c>
      <c r="S816" t="str">
        <f t="shared" si="287"/>
        <v>19:27:49.000</v>
      </c>
      <c r="T816" t="str">
        <f t="shared" si="287"/>
        <v>19:27:49.000</v>
      </c>
      <c r="U816" t="str">
        <f t="shared" si="272"/>
        <v>AC3944</v>
      </c>
      <c r="V816">
        <v>0</v>
      </c>
      <c r="W816">
        <v>0</v>
      </c>
      <c r="X816">
        <v>2</v>
      </c>
      <c r="Y816">
        <v>0</v>
      </c>
      <c r="AA816">
        <v>1</v>
      </c>
      <c r="AB816">
        <v>8</v>
      </c>
      <c r="AC816">
        <v>3</v>
      </c>
      <c r="AD816">
        <v>0</v>
      </c>
      <c r="AE816">
        <v>9</v>
      </c>
      <c r="AF816" t="s">
        <v>138</v>
      </c>
      <c r="AG816">
        <v>0</v>
      </c>
      <c r="AH816">
        <v>3</v>
      </c>
      <c r="AI816">
        <v>1</v>
      </c>
      <c r="AJ816">
        <v>0</v>
      </c>
      <c r="AK816" t="s">
        <v>367</v>
      </c>
      <c r="AL816">
        <v>32.814703000000002</v>
      </c>
      <c r="AM816" t="s">
        <v>368</v>
      </c>
      <c r="AN816">
        <v>-116.948347</v>
      </c>
      <c r="AO816">
        <v>25</v>
      </c>
      <c r="AP816">
        <v>1900</v>
      </c>
      <c r="AQ816" t="s">
        <v>129</v>
      </c>
      <c r="AR816">
        <v>106</v>
      </c>
      <c r="AS816">
        <v>-62</v>
      </c>
      <c r="AT816">
        <v>256</v>
      </c>
      <c r="BB816">
        <v>1200</v>
      </c>
      <c r="BC816">
        <v>1</v>
      </c>
      <c r="BD816" t="str">
        <f t="shared" si="273"/>
        <v xml:space="preserve">N887QR  </v>
      </c>
      <c r="BE816">
        <v>1</v>
      </c>
      <c r="BJ816">
        <v>1600</v>
      </c>
      <c r="BK816">
        <v>-300</v>
      </c>
      <c r="BL816" t="s">
        <v>163</v>
      </c>
      <c r="BM816">
        <v>1</v>
      </c>
      <c r="BN816">
        <v>1</v>
      </c>
      <c r="BO816">
        <v>1</v>
      </c>
      <c r="BP816">
        <v>0</v>
      </c>
      <c r="BS816">
        <v>0.04</v>
      </c>
      <c r="BT816">
        <v>0</v>
      </c>
      <c r="BU816">
        <v>0</v>
      </c>
      <c r="CE816" t="str">
        <f t="shared" si="288"/>
        <v>19:27:49.216</v>
      </c>
      <c r="CF816">
        <v>216371665</v>
      </c>
      <c r="CS816">
        <v>3</v>
      </c>
      <c r="CT816">
        <v>2</v>
      </c>
      <c r="CU816">
        <v>0</v>
      </c>
      <c r="CV816">
        <v>2</v>
      </c>
      <c r="CW816">
        <v>0</v>
      </c>
      <c r="CX816">
        <v>6</v>
      </c>
      <c r="CY816">
        <v>7</v>
      </c>
      <c r="CZ816" t="s">
        <v>131</v>
      </c>
      <c r="DA816">
        <v>300</v>
      </c>
      <c r="DB816">
        <v>0</v>
      </c>
      <c r="DC816" t="s">
        <v>176</v>
      </c>
      <c r="DD816" t="s">
        <v>177</v>
      </c>
      <c r="DG816">
        <v>5371939</v>
      </c>
      <c r="DI816">
        <v>1</v>
      </c>
      <c r="DJ816">
        <v>0</v>
      </c>
      <c r="DK816">
        <v>1</v>
      </c>
      <c r="DL816">
        <v>0</v>
      </c>
      <c r="DM816">
        <v>0</v>
      </c>
      <c r="DN816">
        <v>1</v>
      </c>
      <c r="DO816">
        <v>0</v>
      </c>
      <c r="DP816">
        <v>0</v>
      </c>
      <c r="DQ816">
        <v>0</v>
      </c>
      <c r="DR816">
        <v>0</v>
      </c>
      <c r="DS816">
        <v>0</v>
      </c>
    </row>
    <row r="817" spans="1:123" x14ac:dyDescent="0.3">
      <c r="A817" t="str">
        <f>"10/04/2022 19:27:49.415"</f>
        <v>10/04/2022 19:27:49.415</v>
      </c>
      <c r="C817" t="str">
        <f t="shared" si="289"/>
        <v>FFDDD3C0</v>
      </c>
      <c r="D817" t="s">
        <v>141</v>
      </c>
      <c r="E817">
        <v>4</v>
      </c>
      <c r="H817">
        <v>4</v>
      </c>
      <c r="I817" t="s">
        <v>142</v>
      </c>
      <c r="J817" t="s">
        <v>138</v>
      </c>
      <c r="K817">
        <v>0</v>
      </c>
      <c r="L817">
        <v>3</v>
      </c>
      <c r="M817">
        <v>0</v>
      </c>
      <c r="N817">
        <v>2</v>
      </c>
      <c r="O817">
        <v>0</v>
      </c>
      <c r="P817">
        <v>1</v>
      </c>
      <c r="Q817">
        <v>0</v>
      </c>
      <c r="S817" t="str">
        <f t="shared" si="287"/>
        <v>19:27:49.000</v>
      </c>
      <c r="T817" t="str">
        <f t="shared" si="287"/>
        <v>19:27:49.000</v>
      </c>
      <c r="U817" t="str">
        <f t="shared" si="272"/>
        <v>AC3944</v>
      </c>
      <c r="V817">
        <v>0</v>
      </c>
      <c r="W817">
        <v>0</v>
      </c>
      <c r="X817">
        <v>2</v>
      </c>
      <c r="Y817">
        <v>0</v>
      </c>
      <c r="AA817">
        <v>1</v>
      </c>
      <c r="AB817">
        <v>8</v>
      </c>
      <c r="AC817">
        <v>3</v>
      </c>
      <c r="AD817">
        <v>0</v>
      </c>
      <c r="AE817">
        <v>9</v>
      </c>
      <c r="AF817" t="s">
        <v>138</v>
      </c>
      <c r="AG817">
        <v>0</v>
      </c>
      <c r="AH817">
        <v>3</v>
      </c>
      <c r="AI817">
        <v>1</v>
      </c>
      <c r="AJ817">
        <v>0</v>
      </c>
      <c r="AK817" t="s">
        <v>367</v>
      </c>
      <c r="AL817">
        <v>32.814703000000002</v>
      </c>
      <c r="AM817" t="s">
        <v>368</v>
      </c>
      <c r="AN817">
        <v>-116.948347</v>
      </c>
      <c r="AO817">
        <v>25</v>
      </c>
      <c r="AP817">
        <v>1900</v>
      </c>
      <c r="AQ817" t="s">
        <v>129</v>
      </c>
      <c r="AR817">
        <v>106</v>
      </c>
      <c r="AS817">
        <v>-62</v>
      </c>
      <c r="AT817">
        <v>256</v>
      </c>
      <c r="BB817">
        <v>1200</v>
      </c>
      <c r="BC817">
        <v>1</v>
      </c>
      <c r="BD817" t="str">
        <f t="shared" si="273"/>
        <v xml:space="preserve">N887QR  </v>
      </c>
      <c r="BE817">
        <v>1</v>
      </c>
      <c r="BJ817">
        <v>1600</v>
      </c>
      <c r="BK817">
        <v>-300</v>
      </c>
      <c r="BL817" t="s">
        <v>163</v>
      </c>
      <c r="BM817">
        <v>1</v>
      </c>
      <c r="BN817">
        <v>1</v>
      </c>
      <c r="BO817">
        <v>1</v>
      </c>
      <c r="BP817">
        <v>0</v>
      </c>
      <c r="BS817">
        <v>0.04</v>
      </c>
      <c r="BT817">
        <v>0</v>
      </c>
      <c r="BU817">
        <v>0</v>
      </c>
      <c r="CE817" t="str">
        <f t="shared" si="288"/>
        <v>19:27:49.216</v>
      </c>
      <c r="CF817">
        <v>216371665</v>
      </c>
      <c r="CS817">
        <v>3</v>
      </c>
      <c r="CT817">
        <v>2</v>
      </c>
      <c r="CU817">
        <v>0</v>
      </c>
      <c r="CV817">
        <v>2</v>
      </c>
      <c r="CW817">
        <v>0</v>
      </c>
      <c r="CX817">
        <v>6</v>
      </c>
      <c r="CY817">
        <v>7</v>
      </c>
      <c r="CZ817" t="s">
        <v>131</v>
      </c>
      <c r="DA817">
        <v>300</v>
      </c>
      <c r="DB817">
        <v>0</v>
      </c>
      <c r="DC817" t="s">
        <v>176</v>
      </c>
      <c r="DD817" t="s">
        <v>177</v>
      </c>
      <c r="DG817">
        <v>5371939</v>
      </c>
      <c r="DI817">
        <v>1</v>
      </c>
      <c r="DJ817">
        <v>0</v>
      </c>
      <c r="DK817">
        <v>1</v>
      </c>
      <c r="DL817">
        <v>0</v>
      </c>
      <c r="DM817">
        <v>0</v>
      </c>
      <c r="DN817">
        <v>1</v>
      </c>
      <c r="DO817">
        <v>0</v>
      </c>
      <c r="DP817">
        <v>0</v>
      </c>
      <c r="DQ817">
        <v>0</v>
      </c>
      <c r="DR817">
        <v>0</v>
      </c>
      <c r="DS817">
        <v>0</v>
      </c>
    </row>
    <row r="818" spans="1:123" x14ac:dyDescent="0.3">
      <c r="A818" t="str">
        <f>"10/04/2022 19:27:49.415"</f>
        <v>10/04/2022 19:27:49.415</v>
      </c>
      <c r="C818" t="str">
        <f t="shared" si="289"/>
        <v>FFDDD3C0</v>
      </c>
      <c r="D818" t="s">
        <v>134</v>
      </c>
      <c r="E818">
        <v>15</v>
      </c>
      <c r="J818" t="s">
        <v>135</v>
      </c>
      <c r="K818">
        <v>0</v>
      </c>
      <c r="L818">
        <v>3</v>
      </c>
      <c r="M818">
        <v>0</v>
      </c>
      <c r="N818">
        <v>2</v>
      </c>
      <c r="O818">
        <v>0</v>
      </c>
      <c r="P818">
        <v>1</v>
      </c>
      <c r="Q818">
        <v>0</v>
      </c>
      <c r="S818" t="str">
        <f t="shared" si="287"/>
        <v>19:27:49.000</v>
      </c>
      <c r="T818" t="str">
        <f t="shared" si="287"/>
        <v>19:27:49.000</v>
      </c>
      <c r="U818" t="str">
        <f t="shared" si="272"/>
        <v>AC3944</v>
      </c>
      <c r="V818">
        <v>0</v>
      </c>
      <c r="W818">
        <v>0</v>
      </c>
      <c r="X818">
        <v>2</v>
      </c>
      <c r="Y818">
        <v>0</v>
      </c>
      <c r="AA818">
        <v>1</v>
      </c>
      <c r="AB818">
        <v>8</v>
      </c>
      <c r="AC818">
        <v>3</v>
      </c>
      <c r="AD818">
        <v>0</v>
      </c>
      <c r="AE818">
        <v>9</v>
      </c>
      <c r="AF818" t="s">
        <v>138</v>
      </c>
      <c r="AG818">
        <v>0</v>
      </c>
      <c r="AH818">
        <v>3</v>
      </c>
      <c r="AI818">
        <v>1</v>
      </c>
      <c r="AJ818">
        <v>0</v>
      </c>
      <c r="AK818" t="s">
        <v>367</v>
      </c>
      <c r="AL818">
        <v>32.814703000000002</v>
      </c>
      <c r="AM818" t="s">
        <v>368</v>
      </c>
      <c r="AN818">
        <v>-116.948347</v>
      </c>
      <c r="AO818">
        <v>25</v>
      </c>
      <c r="AP818">
        <v>1900</v>
      </c>
      <c r="AQ818" t="s">
        <v>129</v>
      </c>
      <c r="AR818">
        <v>106</v>
      </c>
      <c r="AS818">
        <v>-62</v>
      </c>
      <c r="AT818">
        <v>256</v>
      </c>
      <c r="BB818">
        <v>1200</v>
      </c>
      <c r="BC818">
        <v>1</v>
      </c>
      <c r="BD818" t="str">
        <f t="shared" si="273"/>
        <v xml:space="preserve">N887QR  </v>
      </c>
      <c r="BE818">
        <v>1</v>
      </c>
      <c r="BJ818">
        <v>1600</v>
      </c>
      <c r="BK818">
        <v>-300</v>
      </c>
      <c r="BL818" t="s">
        <v>163</v>
      </c>
      <c r="BM818">
        <v>1</v>
      </c>
      <c r="BN818">
        <v>1</v>
      </c>
      <c r="BO818">
        <v>1</v>
      </c>
      <c r="BP818">
        <v>0</v>
      </c>
      <c r="BS818">
        <v>0.04</v>
      </c>
      <c r="BT818">
        <v>0</v>
      </c>
      <c r="BU818">
        <v>0</v>
      </c>
      <c r="CE818" t="str">
        <f t="shared" si="288"/>
        <v>19:27:49.216</v>
      </c>
      <c r="CF818">
        <v>216371665</v>
      </c>
      <c r="CS818">
        <v>3</v>
      </c>
      <c r="CT818">
        <v>2</v>
      </c>
      <c r="CU818">
        <v>0</v>
      </c>
      <c r="CV818">
        <v>2</v>
      </c>
      <c r="CW818">
        <v>0</v>
      </c>
      <c r="CX818">
        <v>6</v>
      </c>
      <c r="CY818">
        <v>7</v>
      </c>
      <c r="CZ818" t="s">
        <v>131</v>
      </c>
      <c r="DA818">
        <v>300</v>
      </c>
      <c r="DB818">
        <v>0</v>
      </c>
      <c r="DC818" t="s">
        <v>176</v>
      </c>
      <c r="DD818" t="s">
        <v>177</v>
      </c>
      <c r="DG818">
        <v>5371939</v>
      </c>
      <c r="DI818">
        <v>1</v>
      </c>
      <c r="DJ818">
        <v>0</v>
      </c>
      <c r="DK818">
        <v>1</v>
      </c>
      <c r="DL818">
        <v>0</v>
      </c>
      <c r="DM818">
        <v>0</v>
      </c>
      <c r="DN818">
        <v>1</v>
      </c>
      <c r="DO818">
        <v>0</v>
      </c>
      <c r="DP818">
        <v>0</v>
      </c>
      <c r="DQ818">
        <v>0</v>
      </c>
      <c r="DR818">
        <v>0</v>
      </c>
      <c r="DS818">
        <v>0</v>
      </c>
    </row>
    <row r="819" spans="1:123" x14ac:dyDescent="0.3">
      <c r="A819" t="str">
        <f>"10/04/2022 19:27:49.431"</f>
        <v>10/04/2022 19:27:49.431</v>
      </c>
      <c r="C819" t="str">
        <f t="shared" si="289"/>
        <v>FFDDD3C0</v>
      </c>
      <c r="D819" t="s">
        <v>141</v>
      </c>
      <c r="E819">
        <v>3</v>
      </c>
      <c r="H819">
        <v>3</v>
      </c>
      <c r="I819" t="s">
        <v>146</v>
      </c>
      <c r="J819" t="s">
        <v>138</v>
      </c>
      <c r="K819">
        <v>0</v>
      </c>
      <c r="L819">
        <v>3</v>
      </c>
      <c r="M819">
        <v>0</v>
      </c>
      <c r="N819">
        <v>2</v>
      </c>
      <c r="O819">
        <v>0</v>
      </c>
      <c r="P819">
        <v>1</v>
      </c>
      <c r="Q819">
        <v>0</v>
      </c>
      <c r="S819" t="str">
        <f t="shared" si="287"/>
        <v>19:27:49.000</v>
      </c>
      <c r="T819" t="str">
        <f t="shared" si="287"/>
        <v>19:27:49.000</v>
      </c>
      <c r="U819" t="str">
        <f t="shared" si="272"/>
        <v>AC3944</v>
      </c>
      <c r="V819">
        <v>0</v>
      </c>
      <c r="W819">
        <v>0</v>
      </c>
      <c r="X819">
        <v>2</v>
      </c>
      <c r="Y819">
        <v>0</v>
      </c>
      <c r="AA819">
        <v>1</v>
      </c>
      <c r="AB819">
        <v>8</v>
      </c>
      <c r="AC819">
        <v>3</v>
      </c>
      <c r="AD819">
        <v>0</v>
      </c>
      <c r="AE819">
        <v>9</v>
      </c>
      <c r="AF819" t="s">
        <v>138</v>
      </c>
      <c r="AG819">
        <v>0</v>
      </c>
      <c r="AH819">
        <v>3</v>
      </c>
      <c r="AI819">
        <v>1</v>
      </c>
      <c r="AJ819">
        <v>0</v>
      </c>
      <c r="AK819" t="s">
        <v>367</v>
      </c>
      <c r="AL819">
        <v>32.814703000000002</v>
      </c>
      <c r="AM819" t="s">
        <v>368</v>
      </c>
      <c r="AN819">
        <v>-116.948347</v>
      </c>
      <c r="AO819">
        <v>25</v>
      </c>
      <c r="AP819">
        <v>1900</v>
      </c>
      <c r="AQ819" t="s">
        <v>129</v>
      </c>
      <c r="AR819">
        <v>106</v>
      </c>
      <c r="AS819">
        <v>-62</v>
      </c>
      <c r="AT819">
        <v>256</v>
      </c>
      <c r="BB819">
        <v>1200</v>
      </c>
      <c r="BC819">
        <v>1</v>
      </c>
      <c r="BD819" t="str">
        <f t="shared" si="273"/>
        <v xml:space="preserve">N887QR  </v>
      </c>
      <c r="BE819">
        <v>1</v>
      </c>
      <c r="BJ819">
        <v>1600</v>
      </c>
      <c r="BK819">
        <v>-300</v>
      </c>
      <c r="BL819" t="s">
        <v>163</v>
      </c>
      <c r="BM819">
        <v>1</v>
      </c>
      <c r="BN819">
        <v>1</v>
      </c>
      <c r="BO819">
        <v>1</v>
      </c>
      <c r="BP819">
        <v>0</v>
      </c>
      <c r="BS819">
        <v>0.04</v>
      </c>
      <c r="BT819">
        <v>0</v>
      </c>
      <c r="BU819">
        <v>0</v>
      </c>
      <c r="CE819" t="str">
        <f t="shared" si="288"/>
        <v>19:27:49.216</v>
      </c>
      <c r="CF819">
        <v>216371665</v>
      </c>
      <c r="CS819">
        <v>3</v>
      </c>
      <c r="CT819">
        <v>2</v>
      </c>
      <c r="CU819">
        <v>0</v>
      </c>
      <c r="CV819">
        <v>2</v>
      </c>
      <c r="CW819">
        <v>0</v>
      </c>
      <c r="CX819">
        <v>6</v>
      </c>
      <c r="CY819">
        <v>7</v>
      </c>
      <c r="CZ819" t="s">
        <v>131</v>
      </c>
      <c r="DA819">
        <v>300</v>
      </c>
      <c r="DB819">
        <v>0</v>
      </c>
      <c r="DC819" t="s">
        <v>176</v>
      </c>
      <c r="DD819" t="s">
        <v>177</v>
      </c>
      <c r="DG819">
        <v>5371939</v>
      </c>
      <c r="DI819">
        <v>1</v>
      </c>
      <c r="DJ819">
        <v>0</v>
      </c>
      <c r="DK819">
        <v>1</v>
      </c>
      <c r="DL819">
        <v>0</v>
      </c>
      <c r="DM819">
        <v>0</v>
      </c>
      <c r="DN819">
        <v>1</v>
      </c>
      <c r="DO819">
        <v>0</v>
      </c>
      <c r="DP819">
        <v>0</v>
      </c>
      <c r="DQ819">
        <v>0</v>
      </c>
      <c r="DR819">
        <v>0</v>
      </c>
      <c r="DS819">
        <v>0</v>
      </c>
    </row>
    <row r="820" spans="1:123" x14ac:dyDescent="0.3">
      <c r="A820" t="str">
        <f>"10/04/2022 19:27:49.431"</f>
        <v>10/04/2022 19:27:49.431</v>
      </c>
      <c r="C820" t="str">
        <f t="shared" si="289"/>
        <v>FFDDD3C0</v>
      </c>
      <c r="D820" t="s">
        <v>143</v>
      </c>
      <c r="E820">
        <v>20</v>
      </c>
      <c r="F820">
        <v>1020</v>
      </c>
      <c r="G820" t="s">
        <v>144</v>
      </c>
      <c r="J820" t="s">
        <v>145</v>
      </c>
      <c r="K820">
        <v>0</v>
      </c>
      <c r="L820">
        <v>3</v>
      </c>
      <c r="M820">
        <v>0</v>
      </c>
      <c r="N820">
        <v>2</v>
      </c>
      <c r="O820">
        <v>0</v>
      </c>
      <c r="P820">
        <v>1</v>
      </c>
      <c r="Q820">
        <v>0</v>
      </c>
      <c r="S820" t="str">
        <f t="shared" si="287"/>
        <v>19:27:49.000</v>
      </c>
      <c r="T820" t="str">
        <f t="shared" si="287"/>
        <v>19:27:49.000</v>
      </c>
      <c r="U820" t="str">
        <f t="shared" si="272"/>
        <v>AC3944</v>
      </c>
      <c r="V820">
        <v>0</v>
      </c>
      <c r="W820">
        <v>0</v>
      </c>
      <c r="X820">
        <v>2</v>
      </c>
      <c r="Y820">
        <v>0</v>
      </c>
      <c r="AA820">
        <v>1</v>
      </c>
      <c r="AB820">
        <v>8</v>
      </c>
      <c r="AC820">
        <v>3</v>
      </c>
      <c r="AD820">
        <v>0</v>
      </c>
      <c r="AE820">
        <v>9</v>
      </c>
      <c r="AF820" t="s">
        <v>138</v>
      </c>
      <c r="AG820">
        <v>0</v>
      </c>
      <c r="AH820">
        <v>3</v>
      </c>
      <c r="AI820">
        <v>1</v>
      </c>
      <c r="AJ820">
        <v>0</v>
      </c>
      <c r="AK820" t="s">
        <v>367</v>
      </c>
      <c r="AL820">
        <v>32.814703000000002</v>
      </c>
      <c r="AM820" t="s">
        <v>368</v>
      </c>
      <c r="AN820">
        <v>-116.948347</v>
      </c>
      <c r="AO820">
        <v>25</v>
      </c>
      <c r="AP820">
        <v>1900</v>
      </c>
      <c r="AQ820" t="s">
        <v>129</v>
      </c>
      <c r="AR820">
        <v>106</v>
      </c>
      <c r="AS820">
        <v>-62</v>
      </c>
      <c r="AT820">
        <v>256</v>
      </c>
      <c r="BB820">
        <v>1200</v>
      </c>
      <c r="BC820">
        <v>1</v>
      </c>
      <c r="BD820" t="str">
        <f t="shared" si="273"/>
        <v xml:space="preserve">N887QR  </v>
      </c>
      <c r="BE820">
        <v>1</v>
      </c>
      <c r="BJ820">
        <v>1600</v>
      </c>
      <c r="BK820">
        <v>-300</v>
      </c>
      <c r="BL820" t="s">
        <v>163</v>
      </c>
      <c r="BM820">
        <v>1</v>
      </c>
      <c r="BN820">
        <v>1</v>
      </c>
      <c r="BO820">
        <v>1</v>
      </c>
      <c r="BP820">
        <v>0</v>
      </c>
      <c r="BS820">
        <v>0.04</v>
      </c>
      <c r="BT820">
        <v>0</v>
      </c>
      <c r="BU820">
        <v>0</v>
      </c>
      <c r="CE820" t="str">
        <f t="shared" si="288"/>
        <v>19:27:49.216</v>
      </c>
      <c r="CF820">
        <v>216371665</v>
      </c>
      <c r="CS820">
        <v>3</v>
      </c>
      <c r="CT820">
        <v>2</v>
      </c>
      <c r="CU820">
        <v>0</v>
      </c>
      <c r="CV820">
        <v>2</v>
      </c>
      <c r="CW820">
        <v>0</v>
      </c>
      <c r="CX820">
        <v>6</v>
      </c>
      <c r="CY820">
        <v>7</v>
      </c>
      <c r="CZ820" t="s">
        <v>131</v>
      </c>
      <c r="DA820">
        <v>300</v>
      </c>
      <c r="DB820">
        <v>0</v>
      </c>
      <c r="DC820" t="s">
        <v>176</v>
      </c>
      <c r="DD820" t="s">
        <v>177</v>
      </c>
      <c r="DG820">
        <v>5371939</v>
      </c>
      <c r="DI820">
        <v>1</v>
      </c>
      <c r="DJ820">
        <v>0</v>
      </c>
      <c r="DK820">
        <v>1</v>
      </c>
      <c r="DL820">
        <v>0</v>
      </c>
      <c r="DM820">
        <v>0</v>
      </c>
      <c r="DN820">
        <v>1</v>
      </c>
      <c r="DO820">
        <v>0</v>
      </c>
      <c r="DP820">
        <v>0</v>
      </c>
      <c r="DQ820">
        <v>0</v>
      </c>
      <c r="DR820">
        <v>0</v>
      </c>
      <c r="DS820">
        <v>0</v>
      </c>
    </row>
    <row r="821" spans="1:123" x14ac:dyDescent="0.3">
      <c r="A821" t="str">
        <f>"10/04/2022 19:27:49.431"</f>
        <v>10/04/2022 19:27:49.431</v>
      </c>
      <c r="C821" t="str">
        <f t="shared" si="289"/>
        <v>FFDDD3C0</v>
      </c>
      <c r="D821" t="s">
        <v>123</v>
      </c>
      <c r="E821">
        <v>7</v>
      </c>
      <c r="F821">
        <v>2007</v>
      </c>
      <c r="G821" t="s">
        <v>124</v>
      </c>
      <c r="J821" t="s">
        <v>125</v>
      </c>
      <c r="K821">
        <v>0</v>
      </c>
      <c r="L821">
        <v>3</v>
      </c>
      <c r="M821">
        <v>0</v>
      </c>
      <c r="N821">
        <v>2</v>
      </c>
      <c r="O821">
        <v>0</v>
      </c>
      <c r="P821">
        <v>1</v>
      </c>
      <c r="Q821">
        <v>0</v>
      </c>
      <c r="S821" t="str">
        <f t="shared" si="287"/>
        <v>19:27:49.000</v>
      </c>
      <c r="T821" t="str">
        <f t="shared" si="287"/>
        <v>19:27:49.000</v>
      </c>
      <c r="U821" t="str">
        <f t="shared" si="272"/>
        <v>AC3944</v>
      </c>
      <c r="V821">
        <v>0</v>
      </c>
      <c r="W821">
        <v>0</v>
      </c>
      <c r="X821">
        <v>2</v>
      </c>
      <c r="Y821">
        <v>0</v>
      </c>
      <c r="AA821">
        <v>1</v>
      </c>
      <c r="AB821">
        <v>8</v>
      </c>
      <c r="AC821">
        <v>3</v>
      </c>
      <c r="AD821">
        <v>0</v>
      </c>
      <c r="AE821">
        <v>9</v>
      </c>
      <c r="AF821" t="s">
        <v>138</v>
      </c>
      <c r="AG821">
        <v>0</v>
      </c>
      <c r="AH821">
        <v>3</v>
      </c>
      <c r="AI821">
        <v>1</v>
      </c>
      <c r="AJ821">
        <v>0</v>
      </c>
      <c r="AK821" t="s">
        <v>367</v>
      </c>
      <c r="AL821">
        <v>32.814703000000002</v>
      </c>
      <c r="AM821" t="s">
        <v>368</v>
      </c>
      <c r="AN821">
        <v>-116.948347</v>
      </c>
      <c r="AO821">
        <v>25</v>
      </c>
      <c r="AP821">
        <v>1900</v>
      </c>
      <c r="AQ821" t="s">
        <v>129</v>
      </c>
      <c r="AR821">
        <v>106</v>
      </c>
      <c r="AS821">
        <v>-62</v>
      </c>
      <c r="AT821">
        <v>256</v>
      </c>
      <c r="BB821">
        <v>1200</v>
      </c>
      <c r="BC821">
        <v>1</v>
      </c>
      <c r="BD821" t="str">
        <f t="shared" si="273"/>
        <v xml:space="preserve">N887QR  </v>
      </c>
      <c r="BE821">
        <v>1</v>
      </c>
      <c r="BJ821">
        <v>1600</v>
      </c>
      <c r="BK821">
        <v>-300</v>
      </c>
      <c r="BL821" t="s">
        <v>163</v>
      </c>
      <c r="BM821">
        <v>1</v>
      </c>
      <c r="BN821">
        <v>1</v>
      </c>
      <c r="BO821">
        <v>1</v>
      </c>
      <c r="BP821">
        <v>0</v>
      </c>
      <c r="BS821">
        <v>0.04</v>
      </c>
      <c r="BT821">
        <v>0</v>
      </c>
      <c r="BU821">
        <v>0</v>
      </c>
      <c r="CE821" t="str">
        <f t="shared" si="288"/>
        <v>19:27:49.216</v>
      </c>
      <c r="CF821">
        <v>216371665</v>
      </c>
      <c r="CS821">
        <v>3</v>
      </c>
      <c r="CT821">
        <v>2</v>
      </c>
      <c r="CU821">
        <v>0</v>
      </c>
      <c r="CV821">
        <v>2</v>
      </c>
      <c r="CW821">
        <v>0</v>
      </c>
      <c r="CX821">
        <v>6</v>
      </c>
      <c r="CY821">
        <v>7</v>
      </c>
      <c r="CZ821" t="s">
        <v>131</v>
      </c>
      <c r="DA821">
        <v>300</v>
      </c>
      <c r="DB821">
        <v>0</v>
      </c>
      <c r="DC821" t="s">
        <v>176</v>
      </c>
      <c r="DD821" t="s">
        <v>177</v>
      </c>
      <c r="DG821">
        <v>5371939</v>
      </c>
      <c r="DI821">
        <v>1</v>
      </c>
      <c r="DJ821">
        <v>0</v>
      </c>
      <c r="DK821">
        <v>1</v>
      </c>
      <c r="DL821">
        <v>0</v>
      </c>
      <c r="DM821">
        <v>0</v>
      </c>
      <c r="DN821">
        <v>1</v>
      </c>
      <c r="DO821">
        <v>0</v>
      </c>
      <c r="DP821">
        <v>0</v>
      </c>
      <c r="DQ821">
        <v>0</v>
      </c>
      <c r="DR821">
        <v>0</v>
      </c>
      <c r="DS821">
        <v>0</v>
      </c>
    </row>
    <row r="822" spans="1:123" x14ac:dyDescent="0.3">
      <c r="A822" t="str">
        <f>"10/04/2022 19:27:50.229"</f>
        <v>10/04/2022 19:27:50.229</v>
      </c>
      <c r="C822" t="str">
        <f t="shared" si="289"/>
        <v>FFDDD3C0</v>
      </c>
      <c r="D822" t="s">
        <v>147</v>
      </c>
      <c r="E822">
        <v>3</v>
      </c>
      <c r="H822">
        <v>166</v>
      </c>
      <c r="I822" t="s">
        <v>144</v>
      </c>
      <c r="J822" t="s">
        <v>148</v>
      </c>
      <c r="K822">
        <v>0</v>
      </c>
      <c r="L822">
        <v>3</v>
      </c>
      <c r="M822">
        <v>0</v>
      </c>
      <c r="N822">
        <v>2</v>
      </c>
      <c r="O822">
        <v>0</v>
      </c>
      <c r="P822">
        <v>1</v>
      </c>
      <c r="Q822">
        <v>0</v>
      </c>
      <c r="S822" t="str">
        <f t="shared" ref="S822:T835" si="290">"19:27:50.000"</f>
        <v>19:27:50.000</v>
      </c>
      <c r="T822" t="str">
        <f t="shared" si="290"/>
        <v>19:27:50.000</v>
      </c>
      <c r="U822" t="str">
        <f t="shared" si="272"/>
        <v>AC3944</v>
      </c>
      <c r="V822">
        <v>0</v>
      </c>
      <c r="W822">
        <v>0</v>
      </c>
      <c r="X822">
        <v>2</v>
      </c>
      <c r="Y822">
        <v>0</v>
      </c>
      <c r="AA822">
        <v>1</v>
      </c>
      <c r="AB822">
        <v>8</v>
      </c>
      <c r="AC822">
        <v>3</v>
      </c>
      <c r="AD822">
        <v>0</v>
      </c>
      <c r="AE822">
        <v>9</v>
      </c>
      <c r="AF822" t="s">
        <v>138</v>
      </c>
      <c r="AG822">
        <v>0</v>
      </c>
      <c r="AH822">
        <v>3</v>
      </c>
      <c r="AI822">
        <v>1</v>
      </c>
      <c r="AJ822">
        <v>0</v>
      </c>
      <c r="AK822" t="s">
        <v>369</v>
      </c>
      <c r="AL822">
        <v>32.814360000000001</v>
      </c>
      <c r="AM822" t="s">
        <v>370</v>
      </c>
      <c r="AN822">
        <v>-116.947639</v>
      </c>
      <c r="AO822">
        <v>25</v>
      </c>
      <c r="AP822">
        <v>1900</v>
      </c>
      <c r="AQ822" t="s">
        <v>129</v>
      </c>
      <c r="AR822">
        <v>105</v>
      </c>
      <c r="AS822">
        <v>-63</v>
      </c>
      <c r="AT822">
        <v>256</v>
      </c>
      <c r="BB822">
        <v>1200</v>
      </c>
      <c r="BC822">
        <v>1</v>
      </c>
      <c r="BD822" t="str">
        <f t="shared" si="273"/>
        <v xml:space="preserve">N887QR  </v>
      </c>
      <c r="BE822">
        <v>1</v>
      </c>
      <c r="BJ822">
        <v>1600</v>
      </c>
      <c r="BK822">
        <v>-300</v>
      </c>
      <c r="BL822" t="s">
        <v>163</v>
      </c>
      <c r="BM822">
        <v>1</v>
      </c>
      <c r="BN822">
        <v>1</v>
      </c>
      <c r="BO822">
        <v>1</v>
      </c>
      <c r="BP822">
        <v>0</v>
      </c>
      <c r="BS822">
        <v>0.04</v>
      </c>
      <c r="BT822">
        <v>0</v>
      </c>
      <c r="BU822">
        <v>0</v>
      </c>
      <c r="CE822" t="str">
        <f t="shared" ref="CE822:CE828" si="291">"19:27:50.022"</f>
        <v>19:27:50.022</v>
      </c>
      <c r="CF822">
        <v>21624346</v>
      </c>
      <c r="CS822">
        <v>3</v>
      </c>
      <c r="CT822">
        <v>2</v>
      </c>
      <c r="CU822">
        <v>0</v>
      </c>
      <c r="CV822">
        <v>2</v>
      </c>
      <c r="CW822">
        <v>0</v>
      </c>
      <c r="CX822">
        <v>6</v>
      </c>
      <c r="CY822">
        <v>7</v>
      </c>
      <c r="CZ822" t="s">
        <v>131</v>
      </c>
      <c r="DA822">
        <v>300</v>
      </c>
      <c r="DB822">
        <v>0</v>
      </c>
      <c r="DC822" t="s">
        <v>176</v>
      </c>
      <c r="DD822" t="s">
        <v>177</v>
      </c>
      <c r="DG822">
        <v>5372067</v>
      </c>
      <c r="DI822">
        <v>1</v>
      </c>
      <c r="DJ822">
        <v>0</v>
      </c>
      <c r="DK822">
        <v>0</v>
      </c>
      <c r="DL822">
        <v>0</v>
      </c>
      <c r="DM822">
        <v>0</v>
      </c>
      <c r="DN822">
        <v>1</v>
      </c>
      <c r="DO822">
        <v>0</v>
      </c>
      <c r="DP822">
        <v>0</v>
      </c>
      <c r="DQ822">
        <v>0</v>
      </c>
      <c r="DR822">
        <v>0</v>
      </c>
      <c r="DS822">
        <v>0</v>
      </c>
    </row>
    <row r="823" spans="1:123" x14ac:dyDescent="0.3">
      <c r="A823" t="str">
        <f>"10/04/2022 19:27:50.229"</f>
        <v>10/04/2022 19:27:50.229</v>
      </c>
      <c r="C823" t="str">
        <f t="shared" si="289"/>
        <v>FFDDD3C0</v>
      </c>
      <c r="D823" t="s">
        <v>141</v>
      </c>
      <c r="E823">
        <v>4</v>
      </c>
      <c r="H823">
        <v>4</v>
      </c>
      <c r="I823" t="s">
        <v>142</v>
      </c>
      <c r="J823" t="s">
        <v>138</v>
      </c>
      <c r="K823">
        <v>0</v>
      </c>
      <c r="L823">
        <v>3</v>
      </c>
      <c r="M823">
        <v>0</v>
      </c>
      <c r="N823">
        <v>2</v>
      </c>
      <c r="O823">
        <v>0</v>
      </c>
      <c r="P823">
        <v>1</v>
      </c>
      <c r="Q823">
        <v>0</v>
      </c>
      <c r="S823" t="str">
        <f t="shared" si="290"/>
        <v>19:27:50.000</v>
      </c>
      <c r="T823" t="str">
        <f t="shared" si="290"/>
        <v>19:27:50.000</v>
      </c>
      <c r="U823" t="str">
        <f t="shared" si="272"/>
        <v>AC3944</v>
      </c>
      <c r="V823">
        <v>0</v>
      </c>
      <c r="W823">
        <v>0</v>
      </c>
      <c r="X823">
        <v>2</v>
      </c>
      <c r="Y823">
        <v>0</v>
      </c>
      <c r="AA823">
        <v>1</v>
      </c>
      <c r="AB823">
        <v>8</v>
      </c>
      <c r="AC823">
        <v>3</v>
      </c>
      <c r="AD823">
        <v>0</v>
      </c>
      <c r="AE823">
        <v>9</v>
      </c>
      <c r="AF823" t="s">
        <v>138</v>
      </c>
      <c r="AG823">
        <v>0</v>
      </c>
      <c r="AH823">
        <v>3</v>
      </c>
      <c r="AI823">
        <v>1</v>
      </c>
      <c r="AJ823">
        <v>0</v>
      </c>
      <c r="AK823" t="s">
        <v>369</v>
      </c>
      <c r="AL823">
        <v>32.814360000000001</v>
      </c>
      <c r="AM823" t="s">
        <v>370</v>
      </c>
      <c r="AN823">
        <v>-116.947639</v>
      </c>
      <c r="AO823">
        <v>25</v>
      </c>
      <c r="AP823">
        <v>1900</v>
      </c>
      <c r="AQ823" t="s">
        <v>129</v>
      </c>
      <c r="AR823">
        <v>105</v>
      </c>
      <c r="AS823">
        <v>-63</v>
      </c>
      <c r="AT823">
        <v>256</v>
      </c>
      <c r="BB823">
        <v>1200</v>
      </c>
      <c r="BC823">
        <v>1</v>
      </c>
      <c r="BD823" t="str">
        <f t="shared" si="273"/>
        <v xml:space="preserve">N887QR  </v>
      </c>
      <c r="BE823">
        <v>1</v>
      </c>
      <c r="BJ823">
        <v>1600</v>
      </c>
      <c r="BK823">
        <v>-300</v>
      </c>
      <c r="BL823" t="s">
        <v>163</v>
      </c>
      <c r="BM823">
        <v>1</v>
      </c>
      <c r="BN823">
        <v>1</v>
      </c>
      <c r="BO823">
        <v>1</v>
      </c>
      <c r="BP823">
        <v>0</v>
      </c>
      <c r="BS823">
        <v>0.04</v>
      </c>
      <c r="BT823">
        <v>0</v>
      </c>
      <c r="BU823">
        <v>0</v>
      </c>
      <c r="CE823" t="str">
        <f t="shared" si="291"/>
        <v>19:27:50.022</v>
      </c>
      <c r="CF823">
        <v>21624346</v>
      </c>
      <c r="CS823">
        <v>3</v>
      </c>
      <c r="CT823">
        <v>2</v>
      </c>
      <c r="CU823">
        <v>0</v>
      </c>
      <c r="CV823">
        <v>2</v>
      </c>
      <c r="CW823">
        <v>0</v>
      </c>
      <c r="CX823">
        <v>6</v>
      </c>
      <c r="CY823">
        <v>7</v>
      </c>
      <c r="CZ823" t="s">
        <v>131</v>
      </c>
      <c r="DA823">
        <v>300</v>
      </c>
      <c r="DB823">
        <v>0</v>
      </c>
      <c r="DC823" t="s">
        <v>176</v>
      </c>
      <c r="DD823" t="s">
        <v>177</v>
      </c>
      <c r="DG823">
        <v>5372067</v>
      </c>
      <c r="DI823">
        <v>1</v>
      </c>
      <c r="DJ823">
        <v>0</v>
      </c>
      <c r="DK823">
        <v>1</v>
      </c>
      <c r="DL823">
        <v>0</v>
      </c>
      <c r="DM823">
        <v>0</v>
      </c>
      <c r="DN823">
        <v>1</v>
      </c>
      <c r="DO823">
        <v>0</v>
      </c>
      <c r="DP823">
        <v>0</v>
      </c>
      <c r="DQ823">
        <v>0</v>
      </c>
      <c r="DR823">
        <v>0</v>
      </c>
      <c r="DS823">
        <v>0</v>
      </c>
    </row>
    <row r="824" spans="1:123" x14ac:dyDescent="0.3">
      <c r="A824" t="str">
        <f>"10/04/2022 19:27:50.229"</f>
        <v>10/04/2022 19:27:50.229</v>
      </c>
      <c r="C824" t="str">
        <f t="shared" si="289"/>
        <v>FFDDD3C0</v>
      </c>
      <c r="D824" t="s">
        <v>136</v>
      </c>
      <c r="E824">
        <v>8</v>
      </c>
      <c r="H824">
        <v>225</v>
      </c>
      <c r="I824" t="s">
        <v>137</v>
      </c>
      <c r="J824" t="s">
        <v>138</v>
      </c>
      <c r="K824">
        <v>0</v>
      </c>
      <c r="L824">
        <v>3</v>
      </c>
      <c r="M824">
        <v>0</v>
      </c>
      <c r="N824">
        <v>2</v>
      </c>
      <c r="O824">
        <v>0</v>
      </c>
      <c r="P824">
        <v>1</v>
      </c>
      <c r="Q824">
        <v>0</v>
      </c>
      <c r="S824" t="str">
        <f t="shared" si="290"/>
        <v>19:27:50.000</v>
      </c>
      <c r="T824" t="str">
        <f t="shared" si="290"/>
        <v>19:27:50.000</v>
      </c>
      <c r="U824" t="str">
        <f t="shared" si="272"/>
        <v>AC3944</v>
      </c>
      <c r="V824">
        <v>0</v>
      </c>
      <c r="W824">
        <v>0</v>
      </c>
      <c r="X824">
        <v>2</v>
      </c>
      <c r="Y824">
        <v>0</v>
      </c>
      <c r="AA824">
        <v>1</v>
      </c>
      <c r="AB824">
        <v>8</v>
      </c>
      <c r="AC824">
        <v>3</v>
      </c>
      <c r="AD824">
        <v>0</v>
      </c>
      <c r="AE824">
        <v>9</v>
      </c>
      <c r="AF824" t="s">
        <v>138</v>
      </c>
      <c r="AG824">
        <v>0</v>
      </c>
      <c r="AH824">
        <v>3</v>
      </c>
      <c r="AI824">
        <v>1</v>
      </c>
      <c r="AJ824">
        <v>0</v>
      </c>
      <c r="AK824" t="s">
        <v>369</v>
      </c>
      <c r="AL824">
        <v>32.814360000000001</v>
      </c>
      <c r="AM824" t="s">
        <v>370</v>
      </c>
      <c r="AN824">
        <v>-116.947639</v>
      </c>
      <c r="AO824">
        <v>25</v>
      </c>
      <c r="AP824">
        <v>1900</v>
      </c>
      <c r="AQ824" t="s">
        <v>129</v>
      </c>
      <c r="AR824">
        <v>105</v>
      </c>
      <c r="AS824">
        <v>-63</v>
      </c>
      <c r="AT824">
        <v>256</v>
      </c>
      <c r="BB824">
        <v>1200</v>
      </c>
      <c r="BC824">
        <v>1</v>
      </c>
      <c r="BD824" t="str">
        <f t="shared" si="273"/>
        <v xml:space="preserve">N887QR  </v>
      </c>
      <c r="BE824">
        <v>1</v>
      </c>
      <c r="BJ824">
        <v>1600</v>
      </c>
      <c r="BK824">
        <v>-300</v>
      </c>
      <c r="BL824" t="s">
        <v>163</v>
      </c>
      <c r="BM824">
        <v>1</v>
      </c>
      <c r="BN824">
        <v>1</v>
      </c>
      <c r="BO824">
        <v>1</v>
      </c>
      <c r="BP824">
        <v>0</v>
      </c>
      <c r="BS824">
        <v>0.04</v>
      </c>
      <c r="BT824">
        <v>0</v>
      </c>
      <c r="BU824">
        <v>0</v>
      </c>
      <c r="CE824" t="str">
        <f t="shared" si="291"/>
        <v>19:27:50.022</v>
      </c>
      <c r="CF824">
        <v>21624346</v>
      </c>
      <c r="CS824">
        <v>3</v>
      </c>
      <c r="CT824">
        <v>2</v>
      </c>
      <c r="CU824">
        <v>0</v>
      </c>
      <c r="CV824">
        <v>2</v>
      </c>
      <c r="CW824">
        <v>0</v>
      </c>
      <c r="CX824">
        <v>6</v>
      </c>
      <c r="CY824">
        <v>7</v>
      </c>
      <c r="CZ824" t="s">
        <v>131</v>
      </c>
      <c r="DA824">
        <v>300</v>
      </c>
      <c r="DB824">
        <v>0</v>
      </c>
      <c r="DC824" t="s">
        <v>176</v>
      </c>
      <c r="DD824" t="s">
        <v>177</v>
      </c>
      <c r="DG824">
        <v>5372067</v>
      </c>
      <c r="DI824">
        <v>1</v>
      </c>
      <c r="DJ824">
        <v>0</v>
      </c>
      <c r="DK824">
        <v>1</v>
      </c>
      <c r="DL824">
        <v>0</v>
      </c>
      <c r="DM824">
        <v>0</v>
      </c>
      <c r="DN824">
        <v>1</v>
      </c>
      <c r="DO824">
        <v>0</v>
      </c>
      <c r="DP824">
        <v>0</v>
      </c>
      <c r="DQ824">
        <v>0</v>
      </c>
      <c r="DR824">
        <v>0</v>
      </c>
      <c r="DS824">
        <v>0</v>
      </c>
    </row>
    <row r="825" spans="1:123" x14ac:dyDescent="0.3">
      <c r="A825" t="str">
        <f>"10/04/2022 19:27:50.229"</f>
        <v>10/04/2022 19:27:50.229</v>
      </c>
      <c r="C825" t="str">
        <f t="shared" si="289"/>
        <v>FFDDD3C0</v>
      </c>
      <c r="D825" t="s">
        <v>134</v>
      </c>
      <c r="E825">
        <v>15</v>
      </c>
      <c r="J825" t="s">
        <v>135</v>
      </c>
      <c r="K825">
        <v>0</v>
      </c>
      <c r="L825">
        <v>3</v>
      </c>
      <c r="M825">
        <v>0</v>
      </c>
      <c r="N825">
        <v>2</v>
      </c>
      <c r="O825">
        <v>0</v>
      </c>
      <c r="P825">
        <v>1</v>
      </c>
      <c r="Q825">
        <v>0</v>
      </c>
      <c r="S825" t="str">
        <f t="shared" si="290"/>
        <v>19:27:50.000</v>
      </c>
      <c r="T825" t="str">
        <f t="shared" si="290"/>
        <v>19:27:50.000</v>
      </c>
      <c r="U825" t="str">
        <f t="shared" si="272"/>
        <v>AC3944</v>
      </c>
      <c r="V825">
        <v>0</v>
      </c>
      <c r="W825">
        <v>0</v>
      </c>
      <c r="X825">
        <v>2</v>
      </c>
      <c r="Y825">
        <v>0</v>
      </c>
      <c r="AA825">
        <v>1</v>
      </c>
      <c r="AB825">
        <v>8</v>
      </c>
      <c r="AC825">
        <v>3</v>
      </c>
      <c r="AD825">
        <v>0</v>
      </c>
      <c r="AE825">
        <v>9</v>
      </c>
      <c r="AF825" t="s">
        <v>138</v>
      </c>
      <c r="AG825">
        <v>0</v>
      </c>
      <c r="AH825">
        <v>3</v>
      </c>
      <c r="AI825">
        <v>1</v>
      </c>
      <c r="AJ825">
        <v>0</v>
      </c>
      <c r="AK825" t="s">
        <v>369</v>
      </c>
      <c r="AL825">
        <v>32.814360000000001</v>
      </c>
      <c r="AM825" t="s">
        <v>370</v>
      </c>
      <c r="AN825">
        <v>-116.947639</v>
      </c>
      <c r="AO825">
        <v>25</v>
      </c>
      <c r="AP825">
        <v>1900</v>
      </c>
      <c r="AQ825" t="s">
        <v>129</v>
      </c>
      <c r="AR825">
        <v>105</v>
      </c>
      <c r="AS825">
        <v>-63</v>
      </c>
      <c r="AT825">
        <v>256</v>
      </c>
      <c r="BB825">
        <v>1200</v>
      </c>
      <c r="BC825">
        <v>1</v>
      </c>
      <c r="BD825" t="str">
        <f t="shared" si="273"/>
        <v xml:space="preserve">N887QR  </v>
      </c>
      <c r="BE825">
        <v>1</v>
      </c>
      <c r="BJ825">
        <v>1600</v>
      </c>
      <c r="BK825">
        <v>-300</v>
      </c>
      <c r="BL825" t="s">
        <v>163</v>
      </c>
      <c r="BM825">
        <v>1</v>
      </c>
      <c r="BN825">
        <v>1</v>
      </c>
      <c r="BO825">
        <v>1</v>
      </c>
      <c r="BP825">
        <v>0</v>
      </c>
      <c r="BS825">
        <v>0.04</v>
      </c>
      <c r="BT825">
        <v>0</v>
      </c>
      <c r="BU825">
        <v>0</v>
      </c>
      <c r="CE825" t="str">
        <f t="shared" si="291"/>
        <v>19:27:50.022</v>
      </c>
      <c r="CF825">
        <v>21624346</v>
      </c>
      <c r="CS825">
        <v>3</v>
      </c>
      <c r="CT825">
        <v>2</v>
      </c>
      <c r="CU825">
        <v>0</v>
      </c>
      <c r="CV825">
        <v>2</v>
      </c>
      <c r="CW825">
        <v>0</v>
      </c>
      <c r="CX825">
        <v>6</v>
      </c>
      <c r="CY825">
        <v>7</v>
      </c>
      <c r="CZ825" t="s">
        <v>131</v>
      </c>
      <c r="DA825">
        <v>300</v>
      </c>
      <c r="DB825">
        <v>0</v>
      </c>
      <c r="DC825" t="s">
        <v>176</v>
      </c>
      <c r="DD825" t="s">
        <v>177</v>
      </c>
      <c r="DG825">
        <v>5372067</v>
      </c>
      <c r="DI825">
        <v>1</v>
      </c>
      <c r="DJ825">
        <v>0</v>
      </c>
      <c r="DK825">
        <v>1</v>
      </c>
      <c r="DL825">
        <v>0</v>
      </c>
      <c r="DM825">
        <v>0</v>
      </c>
      <c r="DN825">
        <v>1</v>
      </c>
      <c r="DO825">
        <v>0</v>
      </c>
      <c r="DP825">
        <v>0</v>
      </c>
      <c r="DQ825">
        <v>0</v>
      </c>
      <c r="DR825">
        <v>0</v>
      </c>
      <c r="DS825">
        <v>0</v>
      </c>
    </row>
    <row r="826" spans="1:123" x14ac:dyDescent="0.3">
      <c r="A826" t="str">
        <f>"10/04/2022 19:27:50.244"</f>
        <v>10/04/2022 19:27:50.244</v>
      </c>
      <c r="C826" t="str">
        <f t="shared" si="289"/>
        <v>FFDDD3C0</v>
      </c>
      <c r="D826" t="s">
        <v>141</v>
      </c>
      <c r="E826">
        <v>3</v>
      </c>
      <c r="H826">
        <v>3</v>
      </c>
      <c r="I826" t="s">
        <v>146</v>
      </c>
      <c r="J826" t="s">
        <v>138</v>
      </c>
      <c r="K826">
        <v>0</v>
      </c>
      <c r="L826">
        <v>3</v>
      </c>
      <c r="M826">
        <v>0</v>
      </c>
      <c r="N826">
        <v>2</v>
      </c>
      <c r="O826">
        <v>0</v>
      </c>
      <c r="P826">
        <v>1</v>
      </c>
      <c r="Q826">
        <v>0</v>
      </c>
      <c r="S826" t="str">
        <f t="shared" si="290"/>
        <v>19:27:50.000</v>
      </c>
      <c r="T826" t="str">
        <f t="shared" si="290"/>
        <v>19:27:50.000</v>
      </c>
      <c r="U826" t="str">
        <f t="shared" si="272"/>
        <v>AC3944</v>
      </c>
      <c r="V826">
        <v>0</v>
      </c>
      <c r="W826">
        <v>0</v>
      </c>
      <c r="X826">
        <v>2</v>
      </c>
      <c r="Y826">
        <v>0</v>
      </c>
      <c r="AA826">
        <v>1</v>
      </c>
      <c r="AB826">
        <v>8</v>
      </c>
      <c r="AC826">
        <v>3</v>
      </c>
      <c r="AD826">
        <v>0</v>
      </c>
      <c r="AE826">
        <v>9</v>
      </c>
      <c r="AF826" t="s">
        <v>138</v>
      </c>
      <c r="AG826">
        <v>0</v>
      </c>
      <c r="AH826">
        <v>3</v>
      </c>
      <c r="AI826">
        <v>1</v>
      </c>
      <c r="AJ826">
        <v>0</v>
      </c>
      <c r="AK826" t="s">
        <v>369</v>
      </c>
      <c r="AL826">
        <v>32.814360000000001</v>
      </c>
      <c r="AM826" t="s">
        <v>370</v>
      </c>
      <c r="AN826">
        <v>-116.947639</v>
      </c>
      <c r="AO826">
        <v>25</v>
      </c>
      <c r="AP826">
        <v>1900</v>
      </c>
      <c r="AQ826" t="s">
        <v>129</v>
      </c>
      <c r="AR826">
        <v>105</v>
      </c>
      <c r="AS826">
        <v>-63</v>
      </c>
      <c r="AT826">
        <v>256</v>
      </c>
      <c r="BB826">
        <v>1200</v>
      </c>
      <c r="BC826">
        <v>1</v>
      </c>
      <c r="BD826" t="str">
        <f t="shared" si="273"/>
        <v xml:space="preserve">N887QR  </v>
      </c>
      <c r="BE826">
        <v>1</v>
      </c>
      <c r="BJ826">
        <v>1600</v>
      </c>
      <c r="BK826">
        <v>-300</v>
      </c>
      <c r="BL826" t="s">
        <v>163</v>
      </c>
      <c r="BM826">
        <v>1</v>
      </c>
      <c r="BN826">
        <v>1</v>
      </c>
      <c r="BO826">
        <v>1</v>
      </c>
      <c r="BP826">
        <v>0</v>
      </c>
      <c r="BS826">
        <v>0.04</v>
      </c>
      <c r="BT826">
        <v>0</v>
      </c>
      <c r="BU826">
        <v>0</v>
      </c>
      <c r="CE826" t="str">
        <f t="shared" si="291"/>
        <v>19:27:50.022</v>
      </c>
      <c r="CF826">
        <v>21624346</v>
      </c>
      <c r="CS826">
        <v>3</v>
      </c>
      <c r="CT826">
        <v>2</v>
      </c>
      <c r="CU826">
        <v>0</v>
      </c>
      <c r="CV826">
        <v>2</v>
      </c>
      <c r="CW826">
        <v>0</v>
      </c>
      <c r="CX826">
        <v>6</v>
      </c>
      <c r="CY826">
        <v>7</v>
      </c>
      <c r="CZ826" t="s">
        <v>131</v>
      </c>
      <c r="DA826">
        <v>300</v>
      </c>
      <c r="DB826">
        <v>0</v>
      </c>
      <c r="DC826" t="s">
        <v>176</v>
      </c>
      <c r="DD826" t="s">
        <v>177</v>
      </c>
      <c r="DG826">
        <v>5372067</v>
      </c>
      <c r="DI826">
        <v>1</v>
      </c>
      <c r="DJ826">
        <v>0</v>
      </c>
      <c r="DK826">
        <v>1</v>
      </c>
      <c r="DL826">
        <v>0</v>
      </c>
      <c r="DM826">
        <v>0</v>
      </c>
      <c r="DN826">
        <v>1</v>
      </c>
      <c r="DO826">
        <v>0</v>
      </c>
      <c r="DP826">
        <v>0</v>
      </c>
      <c r="DQ826">
        <v>0</v>
      </c>
      <c r="DR826">
        <v>0</v>
      </c>
      <c r="DS826">
        <v>0</v>
      </c>
    </row>
    <row r="827" spans="1:123" x14ac:dyDescent="0.3">
      <c r="A827" t="str">
        <f>"10/04/2022 19:27:50.244"</f>
        <v>10/04/2022 19:27:50.244</v>
      </c>
      <c r="C827" t="str">
        <f t="shared" si="289"/>
        <v>FFDDD3C0</v>
      </c>
      <c r="D827" t="s">
        <v>143</v>
      </c>
      <c r="E827">
        <v>20</v>
      </c>
      <c r="F827">
        <v>1020</v>
      </c>
      <c r="G827" t="s">
        <v>144</v>
      </c>
      <c r="J827" t="s">
        <v>145</v>
      </c>
      <c r="K827">
        <v>0</v>
      </c>
      <c r="L827">
        <v>3</v>
      </c>
      <c r="M827">
        <v>0</v>
      </c>
      <c r="N827">
        <v>2</v>
      </c>
      <c r="O827">
        <v>0</v>
      </c>
      <c r="P827">
        <v>1</v>
      </c>
      <c r="Q827">
        <v>0</v>
      </c>
      <c r="S827" t="str">
        <f t="shared" si="290"/>
        <v>19:27:50.000</v>
      </c>
      <c r="T827" t="str">
        <f t="shared" si="290"/>
        <v>19:27:50.000</v>
      </c>
      <c r="U827" t="str">
        <f t="shared" si="272"/>
        <v>AC3944</v>
      </c>
      <c r="V827">
        <v>0</v>
      </c>
      <c r="W827">
        <v>0</v>
      </c>
      <c r="X827">
        <v>2</v>
      </c>
      <c r="Y827">
        <v>0</v>
      </c>
      <c r="AA827">
        <v>1</v>
      </c>
      <c r="AB827">
        <v>8</v>
      </c>
      <c r="AC827">
        <v>3</v>
      </c>
      <c r="AD827">
        <v>0</v>
      </c>
      <c r="AE827">
        <v>9</v>
      </c>
      <c r="AF827" t="s">
        <v>138</v>
      </c>
      <c r="AG827">
        <v>0</v>
      </c>
      <c r="AH827">
        <v>3</v>
      </c>
      <c r="AI827">
        <v>1</v>
      </c>
      <c r="AJ827">
        <v>0</v>
      </c>
      <c r="AK827" t="s">
        <v>369</v>
      </c>
      <c r="AL827">
        <v>32.814360000000001</v>
      </c>
      <c r="AM827" t="s">
        <v>370</v>
      </c>
      <c r="AN827">
        <v>-116.947639</v>
      </c>
      <c r="AO827">
        <v>25</v>
      </c>
      <c r="AP827">
        <v>1900</v>
      </c>
      <c r="AQ827" t="s">
        <v>129</v>
      </c>
      <c r="AR827">
        <v>105</v>
      </c>
      <c r="AS827">
        <v>-63</v>
      </c>
      <c r="AT827">
        <v>256</v>
      </c>
      <c r="BB827">
        <v>1200</v>
      </c>
      <c r="BC827">
        <v>1</v>
      </c>
      <c r="BD827" t="str">
        <f t="shared" si="273"/>
        <v xml:space="preserve">N887QR  </v>
      </c>
      <c r="BE827">
        <v>1</v>
      </c>
      <c r="BJ827">
        <v>1600</v>
      </c>
      <c r="BK827">
        <v>-300</v>
      </c>
      <c r="BL827" t="s">
        <v>163</v>
      </c>
      <c r="BM827">
        <v>1</v>
      </c>
      <c r="BN827">
        <v>1</v>
      </c>
      <c r="BO827">
        <v>1</v>
      </c>
      <c r="BP827">
        <v>0</v>
      </c>
      <c r="BS827">
        <v>0.04</v>
      </c>
      <c r="BT827">
        <v>0</v>
      </c>
      <c r="BU827">
        <v>0</v>
      </c>
      <c r="CE827" t="str">
        <f t="shared" si="291"/>
        <v>19:27:50.022</v>
      </c>
      <c r="CF827">
        <v>21624346</v>
      </c>
      <c r="CS827">
        <v>3</v>
      </c>
      <c r="CT827">
        <v>2</v>
      </c>
      <c r="CU827">
        <v>0</v>
      </c>
      <c r="CV827">
        <v>2</v>
      </c>
      <c r="CW827">
        <v>0</v>
      </c>
      <c r="CX827">
        <v>6</v>
      </c>
      <c r="CY827">
        <v>7</v>
      </c>
      <c r="CZ827" t="s">
        <v>131</v>
      </c>
      <c r="DA827">
        <v>300</v>
      </c>
      <c r="DB827">
        <v>0</v>
      </c>
      <c r="DC827" t="s">
        <v>176</v>
      </c>
      <c r="DD827" t="s">
        <v>177</v>
      </c>
      <c r="DG827">
        <v>5372067</v>
      </c>
      <c r="DI827">
        <v>1</v>
      </c>
      <c r="DJ827">
        <v>0</v>
      </c>
      <c r="DK827">
        <v>1</v>
      </c>
      <c r="DL827">
        <v>0</v>
      </c>
      <c r="DM827">
        <v>0</v>
      </c>
      <c r="DN827">
        <v>1</v>
      </c>
      <c r="DO827">
        <v>0</v>
      </c>
      <c r="DP827">
        <v>0</v>
      </c>
      <c r="DQ827">
        <v>0</v>
      </c>
      <c r="DR827">
        <v>0</v>
      </c>
      <c r="DS827">
        <v>0</v>
      </c>
    </row>
    <row r="828" spans="1:123" x14ac:dyDescent="0.3">
      <c r="A828" t="str">
        <f>"10/04/2022 19:27:50.244"</f>
        <v>10/04/2022 19:27:50.244</v>
      </c>
      <c r="C828" t="str">
        <f t="shared" si="289"/>
        <v>FFDDD3C0</v>
      </c>
      <c r="D828" t="s">
        <v>123</v>
      </c>
      <c r="E828">
        <v>7</v>
      </c>
      <c r="F828">
        <v>2007</v>
      </c>
      <c r="G828" t="s">
        <v>124</v>
      </c>
      <c r="J828" t="s">
        <v>125</v>
      </c>
      <c r="K828">
        <v>0</v>
      </c>
      <c r="L828">
        <v>3</v>
      </c>
      <c r="M828">
        <v>0</v>
      </c>
      <c r="N828">
        <v>2</v>
      </c>
      <c r="O828">
        <v>0</v>
      </c>
      <c r="P828">
        <v>1</v>
      </c>
      <c r="Q828">
        <v>0</v>
      </c>
      <c r="S828" t="str">
        <f t="shared" si="290"/>
        <v>19:27:50.000</v>
      </c>
      <c r="T828" t="str">
        <f t="shared" si="290"/>
        <v>19:27:50.000</v>
      </c>
      <c r="U828" t="str">
        <f t="shared" si="272"/>
        <v>AC3944</v>
      </c>
      <c r="V828">
        <v>0</v>
      </c>
      <c r="W828">
        <v>0</v>
      </c>
      <c r="X828">
        <v>2</v>
      </c>
      <c r="Y828">
        <v>0</v>
      </c>
      <c r="AA828">
        <v>1</v>
      </c>
      <c r="AB828">
        <v>8</v>
      </c>
      <c r="AC828">
        <v>3</v>
      </c>
      <c r="AD828">
        <v>0</v>
      </c>
      <c r="AE828">
        <v>9</v>
      </c>
      <c r="AF828" t="s">
        <v>138</v>
      </c>
      <c r="AG828">
        <v>0</v>
      </c>
      <c r="AH828">
        <v>3</v>
      </c>
      <c r="AI828">
        <v>1</v>
      </c>
      <c r="AJ828">
        <v>0</v>
      </c>
      <c r="AK828" t="s">
        <v>369</v>
      </c>
      <c r="AL828">
        <v>32.814360000000001</v>
      </c>
      <c r="AM828" t="s">
        <v>370</v>
      </c>
      <c r="AN828">
        <v>-116.947639</v>
      </c>
      <c r="AO828">
        <v>25</v>
      </c>
      <c r="AP828">
        <v>1900</v>
      </c>
      <c r="AQ828" t="s">
        <v>129</v>
      </c>
      <c r="AR828">
        <v>105</v>
      </c>
      <c r="AS828">
        <v>-63</v>
      </c>
      <c r="AT828">
        <v>256</v>
      </c>
      <c r="BB828">
        <v>1200</v>
      </c>
      <c r="BC828">
        <v>1</v>
      </c>
      <c r="BD828" t="str">
        <f t="shared" si="273"/>
        <v xml:space="preserve">N887QR  </v>
      </c>
      <c r="BE828">
        <v>1</v>
      </c>
      <c r="BJ828">
        <v>1600</v>
      </c>
      <c r="BK828">
        <v>-300</v>
      </c>
      <c r="BL828" t="s">
        <v>163</v>
      </c>
      <c r="BM828">
        <v>1</v>
      </c>
      <c r="BN828">
        <v>1</v>
      </c>
      <c r="BO828">
        <v>1</v>
      </c>
      <c r="BP828">
        <v>0</v>
      </c>
      <c r="BS828">
        <v>0.04</v>
      </c>
      <c r="BT828">
        <v>0</v>
      </c>
      <c r="BU828">
        <v>0</v>
      </c>
      <c r="CE828" t="str">
        <f t="shared" si="291"/>
        <v>19:27:50.022</v>
      </c>
      <c r="CF828">
        <v>21624346</v>
      </c>
      <c r="CS828">
        <v>3</v>
      </c>
      <c r="CT828">
        <v>2</v>
      </c>
      <c r="CU828">
        <v>0</v>
      </c>
      <c r="CV828">
        <v>2</v>
      </c>
      <c r="CW828">
        <v>0</v>
      </c>
      <c r="CX828">
        <v>6</v>
      </c>
      <c r="CY828">
        <v>7</v>
      </c>
      <c r="CZ828" t="s">
        <v>131</v>
      </c>
      <c r="DA828">
        <v>300</v>
      </c>
      <c r="DB828">
        <v>0</v>
      </c>
      <c r="DC828" t="s">
        <v>176</v>
      </c>
      <c r="DD828" t="s">
        <v>177</v>
      </c>
      <c r="DG828">
        <v>5372067</v>
      </c>
      <c r="DI828">
        <v>1</v>
      </c>
      <c r="DJ828">
        <v>0</v>
      </c>
      <c r="DK828">
        <v>1</v>
      </c>
      <c r="DL828">
        <v>0</v>
      </c>
      <c r="DM828">
        <v>0</v>
      </c>
      <c r="DN828">
        <v>1</v>
      </c>
      <c r="DO828">
        <v>0</v>
      </c>
      <c r="DP828">
        <v>0</v>
      </c>
      <c r="DQ828">
        <v>0</v>
      </c>
      <c r="DR828">
        <v>0</v>
      </c>
      <c r="DS828">
        <v>0</v>
      </c>
    </row>
    <row r="829" spans="1:123" x14ac:dyDescent="0.3">
      <c r="A829" t="str">
        <f>"10/04/2022 19:27:51.274"</f>
        <v>10/04/2022 19:27:51.274</v>
      </c>
      <c r="C829" t="str">
        <f t="shared" si="289"/>
        <v>FFDDD3C0</v>
      </c>
      <c r="D829" t="s">
        <v>136</v>
      </c>
      <c r="E829">
        <v>8</v>
      </c>
      <c r="H829">
        <v>225</v>
      </c>
      <c r="I829" t="s">
        <v>137</v>
      </c>
      <c r="J829" t="s">
        <v>138</v>
      </c>
      <c r="K829">
        <v>0</v>
      </c>
      <c r="L829">
        <v>3</v>
      </c>
      <c r="M829">
        <v>0</v>
      </c>
      <c r="N829">
        <v>2</v>
      </c>
      <c r="O829">
        <v>0</v>
      </c>
      <c r="P829">
        <v>1</v>
      </c>
      <c r="Q829">
        <v>0</v>
      </c>
      <c r="S829" t="str">
        <f t="shared" si="290"/>
        <v>19:27:50.000</v>
      </c>
      <c r="T829" t="str">
        <f t="shared" si="290"/>
        <v>19:27:50.000</v>
      </c>
      <c r="U829" t="str">
        <f t="shared" si="272"/>
        <v>AC3944</v>
      </c>
      <c r="V829">
        <v>0</v>
      </c>
      <c r="W829">
        <v>0</v>
      </c>
      <c r="X829">
        <v>2</v>
      </c>
      <c r="Y829">
        <v>0</v>
      </c>
      <c r="AA829">
        <v>1</v>
      </c>
      <c r="AB829">
        <v>8</v>
      </c>
      <c r="AC829">
        <v>3</v>
      </c>
      <c r="AD829">
        <v>0</v>
      </c>
      <c r="AE829">
        <v>9</v>
      </c>
      <c r="AF829" t="s">
        <v>138</v>
      </c>
      <c r="AG829">
        <v>0</v>
      </c>
      <c r="AH829">
        <v>3</v>
      </c>
      <c r="AI829">
        <v>1</v>
      </c>
      <c r="AJ829">
        <v>0</v>
      </c>
      <c r="AK829" t="s">
        <v>371</v>
      </c>
      <c r="AL829">
        <v>32.814059</v>
      </c>
      <c r="AM829" t="s">
        <v>372</v>
      </c>
      <c r="AN829">
        <v>-116.94705999999999</v>
      </c>
      <c r="AO829">
        <v>25</v>
      </c>
      <c r="AP829">
        <v>1900</v>
      </c>
      <c r="AQ829" t="s">
        <v>129</v>
      </c>
      <c r="AR829">
        <v>103</v>
      </c>
      <c r="AS829">
        <v>-66</v>
      </c>
      <c r="AT829">
        <v>320</v>
      </c>
      <c r="BB829">
        <v>1200</v>
      </c>
      <c r="BC829">
        <v>1</v>
      </c>
      <c r="BD829" t="str">
        <f t="shared" si="273"/>
        <v xml:space="preserve">N887QR  </v>
      </c>
      <c r="BE829">
        <v>1</v>
      </c>
      <c r="BJ829">
        <v>1625</v>
      </c>
      <c r="BK829">
        <v>-275</v>
      </c>
      <c r="BL829" t="s">
        <v>163</v>
      </c>
      <c r="BM829">
        <v>1</v>
      </c>
      <c r="BN829">
        <v>1</v>
      </c>
      <c r="BO829">
        <v>1</v>
      </c>
      <c r="BP829">
        <v>0</v>
      </c>
      <c r="BS829">
        <v>0.04</v>
      </c>
      <c r="BT829">
        <v>0</v>
      </c>
      <c r="BU829">
        <v>0</v>
      </c>
      <c r="CE829" t="str">
        <f t="shared" ref="CE829:CE835" si="292">"19:27:50.981"</f>
        <v>19:27:50.981</v>
      </c>
      <c r="CF829">
        <v>981127464</v>
      </c>
      <c r="CS829">
        <v>3</v>
      </c>
      <c r="CT829">
        <v>2</v>
      </c>
      <c r="CU829">
        <v>0</v>
      </c>
      <c r="CV829">
        <v>2</v>
      </c>
      <c r="CW829">
        <v>0</v>
      </c>
      <c r="CX829">
        <v>5</v>
      </c>
      <c r="CY829">
        <v>7</v>
      </c>
      <c r="CZ829" t="s">
        <v>131</v>
      </c>
      <c r="DA829">
        <v>300</v>
      </c>
      <c r="DB829">
        <v>0</v>
      </c>
      <c r="DC829" t="s">
        <v>176</v>
      </c>
      <c r="DD829" t="s">
        <v>177</v>
      </c>
      <c r="DG829">
        <v>5372237</v>
      </c>
      <c r="DI829">
        <v>1</v>
      </c>
      <c r="DJ829">
        <v>0</v>
      </c>
      <c r="DK829">
        <v>0</v>
      </c>
      <c r="DL829">
        <v>0</v>
      </c>
      <c r="DM829">
        <v>0</v>
      </c>
      <c r="DN829">
        <v>1</v>
      </c>
      <c r="DO829">
        <v>0</v>
      </c>
      <c r="DP829">
        <v>0</v>
      </c>
      <c r="DQ829">
        <v>0</v>
      </c>
      <c r="DR829">
        <v>0</v>
      </c>
      <c r="DS829">
        <v>0</v>
      </c>
    </row>
    <row r="830" spans="1:123" x14ac:dyDescent="0.3">
      <c r="A830" t="str">
        <f>"10/04/2022 19:27:51.274"</f>
        <v>10/04/2022 19:27:51.274</v>
      </c>
      <c r="C830" t="str">
        <f t="shared" si="289"/>
        <v>FFDDD3C0</v>
      </c>
      <c r="D830" t="s">
        <v>134</v>
      </c>
      <c r="E830">
        <v>15</v>
      </c>
      <c r="J830" t="s">
        <v>135</v>
      </c>
      <c r="K830">
        <v>0</v>
      </c>
      <c r="L830">
        <v>3</v>
      </c>
      <c r="M830">
        <v>0</v>
      </c>
      <c r="N830">
        <v>2</v>
      </c>
      <c r="O830">
        <v>0</v>
      </c>
      <c r="P830">
        <v>1</v>
      </c>
      <c r="Q830">
        <v>0</v>
      </c>
      <c r="S830" t="str">
        <f t="shared" si="290"/>
        <v>19:27:50.000</v>
      </c>
      <c r="T830" t="str">
        <f t="shared" si="290"/>
        <v>19:27:50.000</v>
      </c>
      <c r="U830" t="str">
        <f t="shared" si="272"/>
        <v>AC3944</v>
      </c>
      <c r="V830">
        <v>0</v>
      </c>
      <c r="W830">
        <v>0</v>
      </c>
      <c r="X830">
        <v>2</v>
      </c>
      <c r="Y830">
        <v>0</v>
      </c>
      <c r="AA830">
        <v>1</v>
      </c>
      <c r="AB830">
        <v>8</v>
      </c>
      <c r="AC830">
        <v>3</v>
      </c>
      <c r="AD830">
        <v>0</v>
      </c>
      <c r="AE830">
        <v>9</v>
      </c>
      <c r="AF830" t="s">
        <v>138</v>
      </c>
      <c r="AG830">
        <v>0</v>
      </c>
      <c r="AH830">
        <v>3</v>
      </c>
      <c r="AI830">
        <v>1</v>
      </c>
      <c r="AJ830">
        <v>0</v>
      </c>
      <c r="AK830" t="s">
        <v>371</v>
      </c>
      <c r="AL830">
        <v>32.814059</v>
      </c>
      <c r="AM830" t="s">
        <v>372</v>
      </c>
      <c r="AN830">
        <v>-116.94705999999999</v>
      </c>
      <c r="AO830">
        <v>25</v>
      </c>
      <c r="AP830">
        <v>1900</v>
      </c>
      <c r="AQ830" t="s">
        <v>129</v>
      </c>
      <c r="AR830">
        <v>103</v>
      </c>
      <c r="AS830">
        <v>-66</v>
      </c>
      <c r="AT830">
        <v>320</v>
      </c>
      <c r="BB830">
        <v>1200</v>
      </c>
      <c r="BC830">
        <v>1</v>
      </c>
      <c r="BD830" t="str">
        <f t="shared" si="273"/>
        <v xml:space="preserve">N887QR  </v>
      </c>
      <c r="BE830">
        <v>1</v>
      </c>
      <c r="BJ830">
        <v>1625</v>
      </c>
      <c r="BK830">
        <v>-275</v>
      </c>
      <c r="BL830" t="s">
        <v>163</v>
      </c>
      <c r="BM830">
        <v>1</v>
      </c>
      <c r="BN830">
        <v>1</v>
      </c>
      <c r="BO830">
        <v>1</v>
      </c>
      <c r="BP830">
        <v>0</v>
      </c>
      <c r="BS830">
        <v>0.04</v>
      </c>
      <c r="BT830">
        <v>0</v>
      </c>
      <c r="BU830">
        <v>0</v>
      </c>
      <c r="CE830" t="str">
        <f t="shared" si="292"/>
        <v>19:27:50.981</v>
      </c>
      <c r="CF830">
        <v>981127464</v>
      </c>
      <c r="CS830">
        <v>3</v>
      </c>
      <c r="CT830">
        <v>2</v>
      </c>
      <c r="CU830">
        <v>0</v>
      </c>
      <c r="CV830">
        <v>2</v>
      </c>
      <c r="CW830">
        <v>0</v>
      </c>
      <c r="CX830">
        <v>5</v>
      </c>
      <c r="CY830">
        <v>7</v>
      </c>
      <c r="CZ830" t="s">
        <v>131</v>
      </c>
      <c r="DA830">
        <v>300</v>
      </c>
      <c r="DB830">
        <v>0</v>
      </c>
      <c r="DC830" t="s">
        <v>176</v>
      </c>
      <c r="DD830" t="s">
        <v>177</v>
      </c>
      <c r="DG830">
        <v>5372237</v>
      </c>
      <c r="DI830">
        <v>1</v>
      </c>
      <c r="DJ830">
        <v>0</v>
      </c>
      <c r="DK830">
        <v>1</v>
      </c>
      <c r="DL830">
        <v>0</v>
      </c>
      <c r="DM830">
        <v>0</v>
      </c>
      <c r="DN830">
        <v>1</v>
      </c>
      <c r="DO830">
        <v>0</v>
      </c>
      <c r="DP830">
        <v>0</v>
      </c>
      <c r="DQ830">
        <v>0</v>
      </c>
      <c r="DR830">
        <v>0</v>
      </c>
      <c r="DS830">
        <v>0</v>
      </c>
    </row>
    <row r="831" spans="1:123" x14ac:dyDescent="0.3">
      <c r="A831" t="str">
        <f>"10/04/2022 19:27:51.321"</f>
        <v>10/04/2022 19:27:51.321</v>
      </c>
      <c r="C831" t="str">
        <f t="shared" si="289"/>
        <v>FFDDD3C0</v>
      </c>
      <c r="D831" t="s">
        <v>141</v>
      </c>
      <c r="E831">
        <v>3</v>
      </c>
      <c r="H831">
        <v>3</v>
      </c>
      <c r="I831" t="s">
        <v>146</v>
      </c>
      <c r="J831" t="s">
        <v>138</v>
      </c>
      <c r="K831">
        <v>0</v>
      </c>
      <c r="L831">
        <v>3</v>
      </c>
      <c r="M831">
        <v>0</v>
      </c>
      <c r="N831">
        <v>2</v>
      </c>
      <c r="O831">
        <v>0</v>
      </c>
      <c r="P831">
        <v>1</v>
      </c>
      <c r="Q831">
        <v>0</v>
      </c>
      <c r="S831" t="str">
        <f t="shared" si="290"/>
        <v>19:27:50.000</v>
      </c>
      <c r="T831" t="str">
        <f t="shared" si="290"/>
        <v>19:27:50.000</v>
      </c>
      <c r="U831" t="str">
        <f t="shared" si="272"/>
        <v>AC3944</v>
      </c>
      <c r="V831">
        <v>0</v>
      </c>
      <c r="W831">
        <v>0</v>
      </c>
      <c r="X831">
        <v>2</v>
      </c>
      <c r="Y831">
        <v>0</v>
      </c>
      <c r="AA831">
        <v>1</v>
      </c>
      <c r="AB831">
        <v>8</v>
      </c>
      <c r="AC831">
        <v>3</v>
      </c>
      <c r="AD831">
        <v>0</v>
      </c>
      <c r="AE831">
        <v>9</v>
      </c>
      <c r="AF831" t="s">
        <v>138</v>
      </c>
      <c r="AG831">
        <v>0</v>
      </c>
      <c r="AH831">
        <v>3</v>
      </c>
      <c r="AI831">
        <v>1</v>
      </c>
      <c r="AJ831">
        <v>0</v>
      </c>
      <c r="AK831" t="s">
        <v>371</v>
      </c>
      <c r="AL831">
        <v>32.814059</v>
      </c>
      <c r="AM831" t="s">
        <v>372</v>
      </c>
      <c r="AN831">
        <v>-116.94705999999999</v>
      </c>
      <c r="AO831">
        <v>25</v>
      </c>
      <c r="AP831">
        <v>1900</v>
      </c>
      <c r="AQ831" t="s">
        <v>129</v>
      </c>
      <c r="AR831">
        <v>103</v>
      </c>
      <c r="AS831">
        <v>-66</v>
      </c>
      <c r="AT831">
        <v>320</v>
      </c>
      <c r="BB831">
        <v>1200</v>
      </c>
      <c r="BC831">
        <v>1</v>
      </c>
      <c r="BD831" t="str">
        <f t="shared" si="273"/>
        <v xml:space="preserve">N887QR  </v>
      </c>
      <c r="BE831">
        <v>1</v>
      </c>
      <c r="BJ831">
        <v>1625</v>
      </c>
      <c r="BK831">
        <v>-275</v>
      </c>
      <c r="BL831" t="s">
        <v>163</v>
      </c>
      <c r="BM831">
        <v>1</v>
      </c>
      <c r="BN831">
        <v>1</v>
      </c>
      <c r="BO831">
        <v>1</v>
      </c>
      <c r="BP831">
        <v>0</v>
      </c>
      <c r="BS831">
        <v>0.04</v>
      </c>
      <c r="BT831">
        <v>0</v>
      </c>
      <c r="BU831">
        <v>0</v>
      </c>
      <c r="CE831" t="str">
        <f t="shared" si="292"/>
        <v>19:27:50.981</v>
      </c>
      <c r="CF831">
        <v>981127464</v>
      </c>
      <c r="CS831">
        <v>3</v>
      </c>
      <c r="CT831">
        <v>2</v>
      </c>
      <c r="CU831">
        <v>0</v>
      </c>
      <c r="CV831">
        <v>2</v>
      </c>
      <c r="CW831">
        <v>0</v>
      </c>
      <c r="CX831">
        <v>5</v>
      </c>
      <c r="CY831">
        <v>7</v>
      </c>
      <c r="CZ831" t="s">
        <v>131</v>
      </c>
      <c r="DA831">
        <v>300</v>
      </c>
      <c r="DB831">
        <v>0</v>
      </c>
      <c r="DC831" t="s">
        <v>176</v>
      </c>
      <c r="DD831" t="s">
        <v>177</v>
      </c>
      <c r="DG831">
        <v>5372237</v>
      </c>
      <c r="DI831">
        <v>1</v>
      </c>
      <c r="DJ831">
        <v>0</v>
      </c>
      <c r="DK831">
        <v>1</v>
      </c>
      <c r="DL831">
        <v>0</v>
      </c>
      <c r="DM831">
        <v>0</v>
      </c>
      <c r="DN831">
        <v>1</v>
      </c>
      <c r="DO831">
        <v>0</v>
      </c>
      <c r="DP831">
        <v>0</v>
      </c>
      <c r="DQ831">
        <v>0</v>
      </c>
      <c r="DR831">
        <v>0</v>
      </c>
      <c r="DS831">
        <v>0</v>
      </c>
    </row>
    <row r="832" spans="1:123" x14ac:dyDescent="0.3">
      <c r="A832" t="str">
        <f>"10/04/2022 19:27:51.321"</f>
        <v>10/04/2022 19:27:51.321</v>
      </c>
      <c r="C832" t="str">
        <f t="shared" si="289"/>
        <v>FFDDD3C0</v>
      </c>
      <c r="D832" t="s">
        <v>143</v>
      </c>
      <c r="E832">
        <v>20</v>
      </c>
      <c r="F832">
        <v>1020</v>
      </c>
      <c r="G832" t="s">
        <v>144</v>
      </c>
      <c r="J832" t="s">
        <v>145</v>
      </c>
      <c r="K832">
        <v>0</v>
      </c>
      <c r="L832">
        <v>3</v>
      </c>
      <c r="M832">
        <v>0</v>
      </c>
      <c r="N832">
        <v>2</v>
      </c>
      <c r="O832">
        <v>0</v>
      </c>
      <c r="P832">
        <v>1</v>
      </c>
      <c r="Q832">
        <v>0</v>
      </c>
      <c r="S832" t="str">
        <f t="shared" si="290"/>
        <v>19:27:50.000</v>
      </c>
      <c r="T832" t="str">
        <f t="shared" si="290"/>
        <v>19:27:50.000</v>
      </c>
      <c r="U832" t="str">
        <f t="shared" si="272"/>
        <v>AC3944</v>
      </c>
      <c r="V832">
        <v>0</v>
      </c>
      <c r="W832">
        <v>0</v>
      </c>
      <c r="X832">
        <v>2</v>
      </c>
      <c r="Y832">
        <v>0</v>
      </c>
      <c r="AA832">
        <v>1</v>
      </c>
      <c r="AB832">
        <v>8</v>
      </c>
      <c r="AC832">
        <v>3</v>
      </c>
      <c r="AD832">
        <v>0</v>
      </c>
      <c r="AE832">
        <v>9</v>
      </c>
      <c r="AF832" t="s">
        <v>138</v>
      </c>
      <c r="AG832">
        <v>0</v>
      </c>
      <c r="AH832">
        <v>3</v>
      </c>
      <c r="AI832">
        <v>1</v>
      </c>
      <c r="AJ832">
        <v>0</v>
      </c>
      <c r="AK832" t="s">
        <v>371</v>
      </c>
      <c r="AL832">
        <v>32.814059</v>
      </c>
      <c r="AM832" t="s">
        <v>372</v>
      </c>
      <c r="AN832">
        <v>-116.94705999999999</v>
      </c>
      <c r="AO832">
        <v>25</v>
      </c>
      <c r="AP832">
        <v>1900</v>
      </c>
      <c r="AQ832" t="s">
        <v>129</v>
      </c>
      <c r="AR832">
        <v>103</v>
      </c>
      <c r="AS832">
        <v>-66</v>
      </c>
      <c r="AT832">
        <v>320</v>
      </c>
      <c r="BB832">
        <v>1200</v>
      </c>
      <c r="BC832">
        <v>1</v>
      </c>
      <c r="BD832" t="str">
        <f t="shared" si="273"/>
        <v xml:space="preserve">N887QR  </v>
      </c>
      <c r="BE832">
        <v>1</v>
      </c>
      <c r="BJ832">
        <v>1625</v>
      </c>
      <c r="BK832">
        <v>-275</v>
      </c>
      <c r="BL832" t="s">
        <v>163</v>
      </c>
      <c r="BM832">
        <v>1</v>
      </c>
      <c r="BN832">
        <v>1</v>
      </c>
      <c r="BO832">
        <v>1</v>
      </c>
      <c r="BP832">
        <v>0</v>
      </c>
      <c r="BS832">
        <v>0.04</v>
      </c>
      <c r="BT832">
        <v>0</v>
      </c>
      <c r="BU832">
        <v>0</v>
      </c>
      <c r="CE832" t="str">
        <f t="shared" si="292"/>
        <v>19:27:50.981</v>
      </c>
      <c r="CF832">
        <v>981127464</v>
      </c>
      <c r="CS832">
        <v>3</v>
      </c>
      <c r="CT832">
        <v>2</v>
      </c>
      <c r="CU832">
        <v>0</v>
      </c>
      <c r="CV832">
        <v>2</v>
      </c>
      <c r="CW832">
        <v>0</v>
      </c>
      <c r="CX832">
        <v>5</v>
      </c>
      <c r="CY832">
        <v>7</v>
      </c>
      <c r="CZ832" t="s">
        <v>131</v>
      </c>
      <c r="DA832">
        <v>300</v>
      </c>
      <c r="DB832">
        <v>0</v>
      </c>
      <c r="DC832" t="s">
        <v>176</v>
      </c>
      <c r="DD832" t="s">
        <v>177</v>
      </c>
      <c r="DG832">
        <v>5372237</v>
      </c>
      <c r="DI832">
        <v>1</v>
      </c>
      <c r="DJ832">
        <v>0</v>
      </c>
      <c r="DK832">
        <v>1</v>
      </c>
      <c r="DL832">
        <v>0</v>
      </c>
      <c r="DM832">
        <v>0</v>
      </c>
      <c r="DN832">
        <v>1</v>
      </c>
      <c r="DO832">
        <v>0</v>
      </c>
      <c r="DP832">
        <v>0</v>
      </c>
      <c r="DQ832">
        <v>0</v>
      </c>
      <c r="DR832">
        <v>0</v>
      </c>
      <c r="DS832">
        <v>0</v>
      </c>
    </row>
    <row r="833" spans="1:123" x14ac:dyDescent="0.3">
      <c r="A833" t="str">
        <f>"10/04/2022 19:27:51.321"</f>
        <v>10/04/2022 19:27:51.321</v>
      </c>
      <c r="C833" t="str">
        <f t="shared" si="289"/>
        <v>FFDDD3C0</v>
      </c>
      <c r="D833" t="s">
        <v>123</v>
      </c>
      <c r="E833">
        <v>7</v>
      </c>
      <c r="F833">
        <v>2007</v>
      </c>
      <c r="G833" t="s">
        <v>124</v>
      </c>
      <c r="J833" t="s">
        <v>125</v>
      </c>
      <c r="K833">
        <v>0</v>
      </c>
      <c r="L833">
        <v>3</v>
      </c>
      <c r="M833">
        <v>0</v>
      </c>
      <c r="N833">
        <v>2</v>
      </c>
      <c r="O833">
        <v>0</v>
      </c>
      <c r="P833">
        <v>1</v>
      </c>
      <c r="Q833">
        <v>0</v>
      </c>
      <c r="S833" t="str">
        <f t="shared" si="290"/>
        <v>19:27:50.000</v>
      </c>
      <c r="T833" t="str">
        <f t="shared" si="290"/>
        <v>19:27:50.000</v>
      </c>
      <c r="U833" t="str">
        <f t="shared" si="272"/>
        <v>AC3944</v>
      </c>
      <c r="V833">
        <v>0</v>
      </c>
      <c r="W833">
        <v>0</v>
      </c>
      <c r="X833">
        <v>2</v>
      </c>
      <c r="Y833">
        <v>0</v>
      </c>
      <c r="AA833">
        <v>1</v>
      </c>
      <c r="AB833">
        <v>8</v>
      </c>
      <c r="AC833">
        <v>3</v>
      </c>
      <c r="AD833">
        <v>0</v>
      </c>
      <c r="AE833">
        <v>9</v>
      </c>
      <c r="AF833" t="s">
        <v>138</v>
      </c>
      <c r="AG833">
        <v>0</v>
      </c>
      <c r="AH833">
        <v>3</v>
      </c>
      <c r="AI833">
        <v>1</v>
      </c>
      <c r="AJ833">
        <v>0</v>
      </c>
      <c r="AK833" t="s">
        <v>371</v>
      </c>
      <c r="AL833">
        <v>32.814059</v>
      </c>
      <c r="AM833" t="s">
        <v>372</v>
      </c>
      <c r="AN833">
        <v>-116.94705999999999</v>
      </c>
      <c r="AO833">
        <v>25</v>
      </c>
      <c r="AP833">
        <v>1900</v>
      </c>
      <c r="AQ833" t="s">
        <v>129</v>
      </c>
      <c r="AR833">
        <v>103</v>
      </c>
      <c r="AS833">
        <v>-66</v>
      </c>
      <c r="AT833">
        <v>320</v>
      </c>
      <c r="BB833">
        <v>1200</v>
      </c>
      <c r="BC833">
        <v>1</v>
      </c>
      <c r="BD833" t="str">
        <f t="shared" si="273"/>
        <v xml:space="preserve">N887QR  </v>
      </c>
      <c r="BE833">
        <v>1</v>
      </c>
      <c r="BJ833">
        <v>1625</v>
      </c>
      <c r="BK833">
        <v>-275</v>
      </c>
      <c r="BL833" t="s">
        <v>163</v>
      </c>
      <c r="BM833">
        <v>1</v>
      </c>
      <c r="BN833">
        <v>1</v>
      </c>
      <c r="BO833">
        <v>1</v>
      </c>
      <c r="BP833">
        <v>0</v>
      </c>
      <c r="BS833">
        <v>0.04</v>
      </c>
      <c r="BT833">
        <v>0</v>
      </c>
      <c r="BU833">
        <v>0</v>
      </c>
      <c r="CE833" t="str">
        <f t="shared" si="292"/>
        <v>19:27:50.981</v>
      </c>
      <c r="CF833">
        <v>981127464</v>
      </c>
      <c r="CS833">
        <v>3</v>
      </c>
      <c r="CT833">
        <v>2</v>
      </c>
      <c r="CU833">
        <v>0</v>
      </c>
      <c r="CV833">
        <v>2</v>
      </c>
      <c r="CW833">
        <v>0</v>
      </c>
      <c r="CX833">
        <v>5</v>
      </c>
      <c r="CY833">
        <v>7</v>
      </c>
      <c r="CZ833" t="s">
        <v>131</v>
      </c>
      <c r="DA833">
        <v>300</v>
      </c>
      <c r="DB833">
        <v>0</v>
      </c>
      <c r="DC833" t="s">
        <v>176</v>
      </c>
      <c r="DD833" t="s">
        <v>177</v>
      </c>
      <c r="DG833">
        <v>5372237</v>
      </c>
      <c r="DI833">
        <v>1</v>
      </c>
      <c r="DJ833">
        <v>0</v>
      </c>
      <c r="DK833">
        <v>1</v>
      </c>
      <c r="DL833">
        <v>0</v>
      </c>
      <c r="DM833">
        <v>0</v>
      </c>
      <c r="DN833">
        <v>1</v>
      </c>
      <c r="DO833">
        <v>0</v>
      </c>
      <c r="DP833">
        <v>0</v>
      </c>
      <c r="DQ833">
        <v>0</v>
      </c>
      <c r="DR833">
        <v>0</v>
      </c>
      <c r="DS833">
        <v>0</v>
      </c>
    </row>
    <row r="834" spans="1:123" x14ac:dyDescent="0.3">
      <c r="A834" t="str">
        <f>"10/04/2022 19:27:51.368"</f>
        <v>10/04/2022 19:27:51.368</v>
      </c>
      <c r="C834" t="str">
        <f t="shared" si="289"/>
        <v>FFDDD3C0</v>
      </c>
      <c r="D834" t="s">
        <v>141</v>
      </c>
      <c r="E834">
        <v>4</v>
      </c>
      <c r="H834">
        <v>4</v>
      </c>
      <c r="I834" t="s">
        <v>142</v>
      </c>
      <c r="J834" t="s">
        <v>138</v>
      </c>
      <c r="K834">
        <v>0</v>
      </c>
      <c r="L834">
        <v>3</v>
      </c>
      <c r="M834">
        <v>0</v>
      </c>
      <c r="N834">
        <v>2</v>
      </c>
      <c r="O834">
        <v>0</v>
      </c>
      <c r="P834">
        <v>1</v>
      </c>
      <c r="Q834">
        <v>0</v>
      </c>
      <c r="S834" t="str">
        <f t="shared" si="290"/>
        <v>19:27:50.000</v>
      </c>
      <c r="T834" t="str">
        <f t="shared" si="290"/>
        <v>19:27:50.000</v>
      </c>
      <c r="U834" t="str">
        <f t="shared" ref="U834:U897" si="293">"AC3944"</f>
        <v>AC3944</v>
      </c>
      <c r="V834">
        <v>0</v>
      </c>
      <c r="W834">
        <v>0</v>
      </c>
      <c r="X834">
        <v>2</v>
      </c>
      <c r="Y834">
        <v>0</v>
      </c>
      <c r="AA834">
        <v>1</v>
      </c>
      <c r="AB834">
        <v>8</v>
      </c>
      <c r="AC834">
        <v>3</v>
      </c>
      <c r="AD834">
        <v>0</v>
      </c>
      <c r="AE834">
        <v>9</v>
      </c>
      <c r="AF834" t="s">
        <v>138</v>
      </c>
      <c r="AG834">
        <v>0</v>
      </c>
      <c r="AH834">
        <v>3</v>
      </c>
      <c r="AI834">
        <v>1</v>
      </c>
      <c r="AJ834">
        <v>0</v>
      </c>
      <c r="AK834" t="s">
        <v>371</v>
      </c>
      <c r="AL834">
        <v>32.814059</v>
      </c>
      <c r="AM834" t="s">
        <v>372</v>
      </c>
      <c r="AN834">
        <v>-116.94705999999999</v>
      </c>
      <c r="AO834">
        <v>25</v>
      </c>
      <c r="AP834">
        <v>1900</v>
      </c>
      <c r="AQ834" t="s">
        <v>129</v>
      </c>
      <c r="AR834">
        <v>103</v>
      </c>
      <c r="AS834">
        <v>-66</v>
      </c>
      <c r="AT834">
        <v>320</v>
      </c>
      <c r="BB834">
        <v>1200</v>
      </c>
      <c r="BC834">
        <v>1</v>
      </c>
      <c r="BD834" t="str">
        <f t="shared" ref="BD834:BD897" si="294">"N887QR  "</f>
        <v xml:space="preserve">N887QR  </v>
      </c>
      <c r="BE834">
        <v>1</v>
      </c>
      <c r="BJ834">
        <v>1625</v>
      </c>
      <c r="BK834">
        <v>-275</v>
      </c>
      <c r="BL834" t="s">
        <v>163</v>
      </c>
      <c r="BM834">
        <v>1</v>
      </c>
      <c r="BN834">
        <v>1</v>
      </c>
      <c r="BO834">
        <v>1</v>
      </c>
      <c r="BP834">
        <v>0</v>
      </c>
      <c r="BS834">
        <v>0.04</v>
      </c>
      <c r="BT834">
        <v>0</v>
      </c>
      <c r="BU834">
        <v>0</v>
      </c>
      <c r="CE834" t="str">
        <f t="shared" si="292"/>
        <v>19:27:50.981</v>
      </c>
      <c r="CF834">
        <v>981127464</v>
      </c>
      <c r="CS834">
        <v>3</v>
      </c>
      <c r="CT834">
        <v>2</v>
      </c>
      <c r="CU834">
        <v>0</v>
      </c>
      <c r="CV834">
        <v>2</v>
      </c>
      <c r="CW834">
        <v>0</v>
      </c>
      <c r="CX834">
        <v>5</v>
      </c>
      <c r="CY834">
        <v>7</v>
      </c>
      <c r="CZ834" t="s">
        <v>131</v>
      </c>
      <c r="DA834">
        <v>300</v>
      </c>
      <c r="DB834">
        <v>0</v>
      </c>
      <c r="DC834" t="s">
        <v>176</v>
      </c>
      <c r="DD834" t="s">
        <v>177</v>
      </c>
      <c r="DG834">
        <v>5372237</v>
      </c>
      <c r="DI834">
        <v>1</v>
      </c>
      <c r="DJ834">
        <v>0</v>
      </c>
      <c r="DK834">
        <v>1</v>
      </c>
      <c r="DL834">
        <v>0</v>
      </c>
      <c r="DM834">
        <v>0</v>
      </c>
      <c r="DN834">
        <v>1</v>
      </c>
      <c r="DO834">
        <v>0</v>
      </c>
      <c r="DP834">
        <v>0</v>
      </c>
      <c r="DQ834">
        <v>0</v>
      </c>
      <c r="DR834">
        <v>0</v>
      </c>
      <c r="DS834">
        <v>0</v>
      </c>
    </row>
    <row r="835" spans="1:123" x14ac:dyDescent="0.3">
      <c r="A835" t="str">
        <f>"10/04/2022 19:27:51.368"</f>
        <v>10/04/2022 19:27:51.368</v>
      </c>
      <c r="C835" t="str">
        <f t="shared" si="289"/>
        <v>FFDDD3C0</v>
      </c>
      <c r="D835" t="s">
        <v>147</v>
      </c>
      <c r="E835">
        <v>3</v>
      </c>
      <c r="H835">
        <v>166</v>
      </c>
      <c r="I835" t="s">
        <v>144</v>
      </c>
      <c r="J835" t="s">
        <v>148</v>
      </c>
      <c r="K835">
        <v>0</v>
      </c>
      <c r="L835">
        <v>3</v>
      </c>
      <c r="M835">
        <v>0</v>
      </c>
      <c r="N835">
        <v>2</v>
      </c>
      <c r="O835">
        <v>0</v>
      </c>
      <c r="P835">
        <v>1</v>
      </c>
      <c r="Q835">
        <v>0</v>
      </c>
      <c r="S835" t="str">
        <f t="shared" si="290"/>
        <v>19:27:50.000</v>
      </c>
      <c r="T835" t="str">
        <f t="shared" si="290"/>
        <v>19:27:50.000</v>
      </c>
      <c r="U835" t="str">
        <f t="shared" si="293"/>
        <v>AC3944</v>
      </c>
      <c r="V835">
        <v>0</v>
      </c>
      <c r="W835">
        <v>0</v>
      </c>
      <c r="X835">
        <v>2</v>
      </c>
      <c r="Y835">
        <v>0</v>
      </c>
      <c r="AA835">
        <v>1</v>
      </c>
      <c r="AB835">
        <v>8</v>
      </c>
      <c r="AC835">
        <v>3</v>
      </c>
      <c r="AD835">
        <v>0</v>
      </c>
      <c r="AE835">
        <v>9</v>
      </c>
      <c r="AF835" t="s">
        <v>138</v>
      </c>
      <c r="AG835">
        <v>0</v>
      </c>
      <c r="AH835">
        <v>3</v>
      </c>
      <c r="AI835">
        <v>1</v>
      </c>
      <c r="AJ835">
        <v>0</v>
      </c>
      <c r="AK835" t="s">
        <v>371</v>
      </c>
      <c r="AL835">
        <v>32.814059</v>
      </c>
      <c r="AM835" t="s">
        <v>372</v>
      </c>
      <c r="AN835">
        <v>-116.94705999999999</v>
      </c>
      <c r="AO835">
        <v>25</v>
      </c>
      <c r="AP835">
        <v>1900</v>
      </c>
      <c r="AQ835" t="s">
        <v>129</v>
      </c>
      <c r="AR835">
        <v>103</v>
      </c>
      <c r="AS835">
        <v>-66</v>
      </c>
      <c r="AT835">
        <v>320</v>
      </c>
      <c r="BB835">
        <v>1200</v>
      </c>
      <c r="BC835">
        <v>1</v>
      </c>
      <c r="BD835" t="str">
        <f t="shared" si="294"/>
        <v xml:space="preserve">N887QR  </v>
      </c>
      <c r="BE835">
        <v>1</v>
      </c>
      <c r="BJ835">
        <v>1625</v>
      </c>
      <c r="BK835">
        <v>-275</v>
      </c>
      <c r="BL835" t="s">
        <v>163</v>
      </c>
      <c r="BM835">
        <v>1</v>
      </c>
      <c r="BN835">
        <v>1</v>
      </c>
      <c r="BO835">
        <v>1</v>
      </c>
      <c r="BP835">
        <v>0</v>
      </c>
      <c r="BS835">
        <v>0.04</v>
      </c>
      <c r="BT835">
        <v>0</v>
      </c>
      <c r="BU835">
        <v>0</v>
      </c>
      <c r="CE835" t="str">
        <f t="shared" si="292"/>
        <v>19:27:50.981</v>
      </c>
      <c r="CF835">
        <v>981127464</v>
      </c>
      <c r="CS835">
        <v>3</v>
      </c>
      <c r="CT835">
        <v>2</v>
      </c>
      <c r="CU835">
        <v>0</v>
      </c>
      <c r="CV835">
        <v>2</v>
      </c>
      <c r="CW835">
        <v>0</v>
      </c>
      <c r="CX835">
        <v>5</v>
      </c>
      <c r="CY835">
        <v>7</v>
      </c>
      <c r="CZ835" t="s">
        <v>131</v>
      </c>
      <c r="DA835">
        <v>300</v>
      </c>
      <c r="DB835">
        <v>0</v>
      </c>
      <c r="DC835" t="s">
        <v>176</v>
      </c>
      <c r="DD835" t="s">
        <v>177</v>
      </c>
      <c r="DG835">
        <v>5372237</v>
      </c>
      <c r="DI835">
        <v>1</v>
      </c>
      <c r="DJ835">
        <v>0</v>
      </c>
      <c r="DK835">
        <v>1</v>
      </c>
      <c r="DL835">
        <v>0</v>
      </c>
      <c r="DM835">
        <v>0</v>
      </c>
      <c r="DN835">
        <v>1</v>
      </c>
      <c r="DO835">
        <v>0</v>
      </c>
      <c r="DP835">
        <v>0</v>
      </c>
      <c r="DQ835">
        <v>0</v>
      </c>
      <c r="DR835">
        <v>0</v>
      </c>
      <c r="DS835">
        <v>0</v>
      </c>
    </row>
    <row r="836" spans="1:123" x14ac:dyDescent="0.3">
      <c r="A836" t="str">
        <f>"10/04/2022 19:27:52.587"</f>
        <v>10/04/2022 19:27:52.587</v>
      </c>
      <c r="C836" t="str">
        <f t="shared" si="289"/>
        <v>FFDDD3C0</v>
      </c>
      <c r="D836" t="s">
        <v>136</v>
      </c>
      <c r="E836">
        <v>8</v>
      </c>
      <c r="H836">
        <v>225</v>
      </c>
      <c r="I836" t="s">
        <v>137</v>
      </c>
      <c r="J836" t="s">
        <v>138</v>
      </c>
      <c r="K836">
        <v>0</v>
      </c>
      <c r="L836">
        <v>3</v>
      </c>
      <c r="M836">
        <v>0</v>
      </c>
      <c r="N836">
        <v>2</v>
      </c>
      <c r="O836">
        <v>0</v>
      </c>
      <c r="P836">
        <v>1</v>
      </c>
      <c r="Q836">
        <v>0</v>
      </c>
      <c r="S836" t="str">
        <f t="shared" ref="S836:T842" si="295">"19:27:52.000"</f>
        <v>19:27:52.000</v>
      </c>
      <c r="T836" t="str">
        <f t="shared" si="295"/>
        <v>19:27:52.000</v>
      </c>
      <c r="U836" t="str">
        <f t="shared" si="293"/>
        <v>AC3944</v>
      </c>
      <c r="V836">
        <v>0</v>
      </c>
      <c r="W836">
        <v>0</v>
      </c>
      <c r="X836">
        <v>2</v>
      </c>
      <c r="Y836">
        <v>0</v>
      </c>
      <c r="AA836">
        <v>1</v>
      </c>
      <c r="AB836">
        <v>8</v>
      </c>
      <c r="AC836">
        <v>3</v>
      </c>
      <c r="AD836">
        <v>0</v>
      </c>
      <c r="AE836">
        <v>9</v>
      </c>
      <c r="AF836" t="s">
        <v>138</v>
      </c>
      <c r="AG836">
        <v>0</v>
      </c>
      <c r="AH836">
        <v>3</v>
      </c>
      <c r="AI836">
        <v>1</v>
      </c>
      <c r="AJ836">
        <v>0</v>
      </c>
      <c r="AK836" t="s">
        <v>373</v>
      </c>
      <c r="AL836">
        <v>32.813758999999997</v>
      </c>
      <c r="AM836" t="s">
        <v>374</v>
      </c>
      <c r="AN836">
        <v>-116.946502</v>
      </c>
      <c r="AO836">
        <v>25</v>
      </c>
      <c r="AP836">
        <v>1900</v>
      </c>
      <c r="AQ836" t="s">
        <v>129</v>
      </c>
      <c r="AR836">
        <v>103</v>
      </c>
      <c r="AS836">
        <v>-67</v>
      </c>
      <c r="AT836">
        <v>448</v>
      </c>
      <c r="BB836">
        <v>1200</v>
      </c>
      <c r="BC836">
        <v>1</v>
      </c>
      <c r="BD836" t="str">
        <f t="shared" si="294"/>
        <v xml:space="preserve">N887QR  </v>
      </c>
      <c r="BE836">
        <v>1</v>
      </c>
      <c r="BJ836">
        <v>1625</v>
      </c>
      <c r="BK836">
        <v>-275</v>
      </c>
      <c r="BL836" t="s">
        <v>163</v>
      </c>
      <c r="BM836">
        <v>1</v>
      </c>
      <c r="BN836">
        <v>1</v>
      </c>
      <c r="BO836">
        <v>1</v>
      </c>
      <c r="BP836">
        <v>0</v>
      </c>
      <c r="BS836">
        <v>0</v>
      </c>
      <c r="BT836">
        <v>0</v>
      </c>
      <c r="BU836">
        <v>0</v>
      </c>
      <c r="CE836" t="str">
        <f t="shared" ref="CE836:CE842" si="296">"19:27:52.400"</f>
        <v>19:27:52.400</v>
      </c>
      <c r="CF836">
        <v>399632161</v>
      </c>
      <c r="CS836">
        <v>3</v>
      </c>
      <c r="CT836">
        <v>2</v>
      </c>
      <c r="CU836">
        <v>0</v>
      </c>
      <c r="CV836">
        <v>2</v>
      </c>
      <c r="CW836">
        <v>0</v>
      </c>
      <c r="CX836">
        <v>5</v>
      </c>
      <c r="CY836">
        <v>7</v>
      </c>
      <c r="CZ836" t="s">
        <v>131</v>
      </c>
      <c r="DA836">
        <v>300</v>
      </c>
      <c r="DB836">
        <v>0</v>
      </c>
      <c r="DC836" t="s">
        <v>176</v>
      </c>
      <c r="DD836" t="s">
        <v>177</v>
      </c>
      <c r="DG836">
        <v>5372446</v>
      </c>
      <c r="DI836">
        <v>1</v>
      </c>
      <c r="DJ836">
        <v>0</v>
      </c>
      <c r="DK836">
        <v>0</v>
      </c>
      <c r="DL836">
        <v>0</v>
      </c>
      <c r="DM836">
        <v>0</v>
      </c>
      <c r="DN836">
        <v>1</v>
      </c>
      <c r="DO836">
        <v>0</v>
      </c>
      <c r="DP836">
        <v>0</v>
      </c>
      <c r="DQ836">
        <v>0</v>
      </c>
      <c r="DR836">
        <v>0</v>
      </c>
      <c r="DS836">
        <v>0</v>
      </c>
    </row>
    <row r="837" spans="1:123" x14ac:dyDescent="0.3">
      <c r="A837" t="str">
        <f>"10/04/2022 19:27:52.587"</f>
        <v>10/04/2022 19:27:52.587</v>
      </c>
      <c r="C837" t="str">
        <f t="shared" si="289"/>
        <v>FFDDD3C0</v>
      </c>
      <c r="D837" t="s">
        <v>134</v>
      </c>
      <c r="E837">
        <v>15</v>
      </c>
      <c r="J837" t="s">
        <v>135</v>
      </c>
      <c r="K837">
        <v>0</v>
      </c>
      <c r="L837">
        <v>3</v>
      </c>
      <c r="M837">
        <v>0</v>
      </c>
      <c r="N837">
        <v>2</v>
      </c>
      <c r="O837">
        <v>0</v>
      </c>
      <c r="P837">
        <v>1</v>
      </c>
      <c r="Q837">
        <v>0</v>
      </c>
      <c r="S837" t="str">
        <f t="shared" si="295"/>
        <v>19:27:52.000</v>
      </c>
      <c r="T837" t="str">
        <f t="shared" si="295"/>
        <v>19:27:52.000</v>
      </c>
      <c r="U837" t="str">
        <f t="shared" si="293"/>
        <v>AC3944</v>
      </c>
      <c r="V837">
        <v>0</v>
      </c>
      <c r="W837">
        <v>0</v>
      </c>
      <c r="X837">
        <v>2</v>
      </c>
      <c r="Y837">
        <v>0</v>
      </c>
      <c r="AA837">
        <v>1</v>
      </c>
      <c r="AB837">
        <v>8</v>
      </c>
      <c r="AC837">
        <v>3</v>
      </c>
      <c r="AD837">
        <v>0</v>
      </c>
      <c r="AE837">
        <v>9</v>
      </c>
      <c r="AF837" t="s">
        <v>138</v>
      </c>
      <c r="AG837">
        <v>0</v>
      </c>
      <c r="AH837">
        <v>3</v>
      </c>
      <c r="AI837">
        <v>1</v>
      </c>
      <c r="AJ837">
        <v>0</v>
      </c>
      <c r="AK837" t="s">
        <v>373</v>
      </c>
      <c r="AL837">
        <v>32.813758999999997</v>
      </c>
      <c r="AM837" t="s">
        <v>374</v>
      </c>
      <c r="AN837">
        <v>-116.946502</v>
      </c>
      <c r="AO837">
        <v>25</v>
      </c>
      <c r="AP837">
        <v>1900</v>
      </c>
      <c r="AQ837" t="s">
        <v>129</v>
      </c>
      <c r="AR837">
        <v>103</v>
      </c>
      <c r="AS837">
        <v>-67</v>
      </c>
      <c r="AT837">
        <v>448</v>
      </c>
      <c r="BB837">
        <v>1200</v>
      </c>
      <c r="BC837">
        <v>1</v>
      </c>
      <c r="BD837" t="str">
        <f t="shared" si="294"/>
        <v xml:space="preserve">N887QR  </v>
      </c>
      <c r="BE837">
        <v>1</v>
      </c>
      <c r="BJ837">
        <v>1625</v>
      </c>
      <c r="BK837">
        <v>-275</v>
      </c>
      <c r="BL837" t="s">
        <v>163</v>
      </c>
      <c r="BM837">
        <v>1</v>
      </c>
      <c r="BN837">
        <v>1</v>
      </c>
      <c r="BO837">
        <v>1</v>
      </c>
      <c r="BP837">
        <v>0</v>
      </c>
      <c r="BS837">
        <v>0</v>
      </c>
      <c r="BT837">
        <v>0</v>
      </c>
      <c r="BU837">
        <v>0</v>
      </c>
      <c r="CE837" t="str">
        <f t="shared" si="296"/>
        <v>19:27:52.400</v>
      </c>
      <c r="CF837">
        <v>399632161</v>
      </c>
      <c r="CS837">
        <v>3</v>
      </c>
      <c r="CT837">
        <v>2</v>
      </c>
      <c r="CU837">
        <v>0</v>
      </c>
      <c r="CV837">
        <v>2</v>
      </c>
      <c r="CW837">
        <v>0</v>
      </c>
      <c r="CX837">
        <v>5</v>
      </c>
      <c r="CY837">
        <v>7</v>
      </c>
      <c r="CZ837" t="s">
        <v>131</v>
      </c>
      <c r="DA837">
        <v>300</v>
      </c>
      <c r="DB837">
        <v>0</v>
      </c>
      <c r="DC837" t="s">
        <v>176</v>
      </c>
      <c r="DD837" t="s">
        <v>177</v>
      </c>
      <c r="DG837">
        <v>5372446</v>
      </c>
      <c r="DI837">
        <v>1</v>
      </c>
      <c r="DJ837">
        <v>0</v>
      </c>
      <c r="DK837">
        <v>1</v>
      </c>
      <c r="DL837">
        <v>0</v>
      </c>
      <c r="DM837">
        <v>0</v>
      </c>
      <c r="DN837">
        <v>1</v>
      </c>
      <c r="DO837">
        <v>0</v>
      </c>
      <c r="DP837">
        <v>0</v>
      </c>
      <c r="DQ837">
        <v>0</v>
      </c>
      <c r="DR837">
        <v>0</v>
      </c>
      <c r="DS837">
        <v>0</v>
      </c>
    </row>
    <row r="838" spans="1:123" x14ac:dyDescent="0.3">
      <c r="A838" t="str">
        <f>"10/04/2022 19:27:52.587"</f>
        <v>10/04/2022 19:27:52.587</v>
      </c>
      <c r="C838" t="str">
        <f t="shared" si="289"/>
        <v>FFDDD3C0</v>
      </c>
      <c r="D838" t="s">
        <v>143</v>
      </c>
      <c r="E838">
        <v>20</v>
      </c>
      <c r="F838">
        <v>1020</v>
      </c>
      <c r="G838" t="s">
        <v>144</v>
      </c>
      <c r="J838" t="s">
        <v>145</v>
      </c>
      <c r="K838">
        <v>0</v>
      </c>
      <c r="L838">
        <v>3</v>
      </c>
      <c r="M838">
        <v>0</v>
      </c>
      <c r="N838">
        <v>2</v>
      </c>
      <c r="O838">
        <v>0</v>
      </c>
      <c r="P838">
        <v>1</v>
      </c>
      <c r="Q838">
        <v>0</v>
      </c>
      <c r="S838" t="str">
        <f t="shared" si="295"/>
        <v>19:27:52.000</v>
      </c>
      <c r="T838" t="str">
        <f t="shared" si="295"/>
        <v>19:27:52.000</v>
      </c>
      <c r="U838" t="str">
        <f t="shared" si="293"/>
        <v>AC3944</v>
      </c>
      <c r="V838">
        <v>0</v>
      </c>
      <c r="W838">
        <v>0</v>
      </c>
      <c r="X838">
        <v>2</v>
      </c>
      <c r="Y838">
        <v>0</v>
      </c>
      <c r="AA838">
        <v>1</v>
      </c>
      <c r="AB838">
        <v>8</v>
      </c>
      <c r="AC838">
        <v>3</v>
      </c>
      <c r="AD838">
        <v>0</v>
      </c>
      <c r="AE838">
        <v>9</v>
      </c>
      <c r="AF838" t="s">
        <v>138</v>
      </c>
      <c r="AG838">
        <v>0</v>
      </c>
      <c r="AH838">
        <v>3</v>
      </c>
      <c r="AI838">
        <v>1</v>
      </c>
      <c r="AJ838">
        <v>0</v>
      </c>
      <c r="AK838" t="s">
        <v>373</v>
      </c>
      <c r="AL838">
        <v>32.813758999999997</v>
      </c>
      <c r="AM838" t="s">
        <v>374</v>
      </c>
      <c r="AN838">
        <v>-116.946502</v>
      </c>
      <c r="AO838">
        <v>25</v>
      </c>
      <c r="AP838">
        <v>1900</v>
      </c>
      <c r="AQ838" t="s">
        <v>129</v>
      </c>
      <c r="AR838">
        <v>103</v>
      </c>
      <c r="AS838">
        <v>-67</v>
      </c>
      <c r="AT838">
        <v>448</v>
      </c>
      <c r="BB838">
        <v>1200</v>
      </c>
      <c r="BC838">
        <v>1</v>
      </c>
      <c r="BD838" t="str">
        <f t="shared" si="294"/>
        <v xml:space="preserve">N887QR  </v>
      </c>
      <c r="BE838">
        <v>1</v>
      </c>
      <c r="BJ838">
        <v>1625</v>
      </c>
      <c r="BK838">
        <v>-275</v>
      </c>
      <c r="BL838" t="s">
        <v>163</v>
      </c>
      <c r="BM838">
        <v>1</v>
      </c>
      <c r="BN838">
        <v>1</v>
      </c>
      <c r="BO838">
        <v>1</v>
      </c>
      <c r="BP838">
        <v>0</v>
      </c>
      <c r="BS838">
        <v>0</v>
      </c>
      <c r="BT838">
        <v>0</v>
      </c>
      <c r="BU838">
        <v>0</v>
      </c>
      <c r="CE838" t="str">
        <f t="shared" si="296"/>
        <v>19:27:52.400</v>
      </c>
      <c r="CF838">
        <v>399632161</v>
      </c>
      <c r="CS838">
        <v>3</v>
      </c>
      <c r="CT838">
        <v>2</v>
      </c>
      <c r="CU838">
        <v>0</v>
      </c>
      <c r="CV838">
        <v>2</v>
      </c>
      <c r="CW838">
        <v>0</v>
      </c>
      <c r="CX838">
        <v>5</v>
      </c>
      <c r="CY838">
        <v>7</v>
      </c>
      <c r="CZ838" t="s">
        <v>131</v>
      </c>
      <c r="DA838">
        <v>300</v>
      </c>
      <c r="DB838">
        <v>0</v>
      </c>
      <c r="DC838" t="s">
        <v>176</v>
      </c>
      <c r="DD838" t="s">
        <v>177</v>
      </c>
      <c r="DG838">
        <v>5372446</v>
      </c>
      <c r="DI838">
        <v>1</v>
      </c>
      <c r="DJ838">
        <v>0</v>
      </c>
      <c r="DK838">
        <v>1</v>
      </c>
      <c r="DL838">
        <v>0</v>
      </c>
      <c r="DM838">
        <v>0</v>
      </c>
      <c r="DN838">
        <v>1</v>
      </c>
      <c r="DO838">
        <v>0</v>
      </c>
      <c r="DP838">
        <v>0</v>
      </c>
      <c r="DQ838">
        <v>0</v>
      </c>
      <c r="DR838">
        <v>0</v>
      </c>
      <c r="DS838">
        <v>0</v>
      </c>
    </row>
    <row r="839" spans="1:123" x14ac:dyDescent="0.3">
      <c r="A839" t="str">
        <f>"10/04/2022 19:27:52.587"</f>
        <v>10/04/2022 19:27:52.587</v>
      </c>
      <c r="C839" t="str">
        <f t="shared" si="289"/>
        <v>FFDDD3C0</v>
      </c>
      <c r="D839" t="s">
        <v>141</v>
      </c>
      <c r="E839">
        <v>3</v>
      </c>
      <c r="H839">
        <v>3</v>
      </c>
      <c r="I839" t="s">
        <v>146</v>
      </c>
      <c r="J839" t="s">
        <v>138</v>
      </c>
      <c r="K839">
        <v>0</v>
      </c>
      <c r="L839">
        <v>3</v>
      </c>
      <c r="M839">
        <v>0</v>
      </c>
      <c r="N839">
        <v>2</v>
      </c>
      <c r="O839">
        <v>0</v>
      </c>
      <c r="P839">
        <v>1</v>
      </c>
      <c r="Q839">
        <v>0</v>
      </c>
      <c r="S839" t="str">
        <f t="shared" si="295"/>
        <v>19:27:52.000</v>
      </c>
      <c r="T839" t="str">
        <f t="shared" si="295"/>
        <v>19:27:52.000</v>
      </c>
      <c r="U839" t="str">
        <f t="shared" si="293"/>
        <v>AC3944</v>
      </c>
      <c r="V839">
        <v>0</v>
      </c>
      <c r="W839">
        <v>0</v>
      </c>
      <c r="X839">
        <v>2</v>
      </c>
      <c r="Y839">
        <v>0</v>
      </c>
      <c r="AA839">
        <v>1</v>
      </c>
      <c r="AB839">
        <v>8</v>
      </c>
      <c r="AC839">
        <v>3</v>
      </c>
      <c r="AD839">
        <v>0</v>
      </c>
      <c r="AE839">
        <v>9</v>
      </c>
      <c r="AF839" t="s">
        <v>138</v>
      </c>
      <c r="AG839">
        <v>0</v>
      </c>
      <c r="AH839">
        <v>3</v>
      </c>
      <c r="AI839">
        <v>1</v>
      </c>
      <c r="AJ839">
        <v>0</v>
      </c>
      <c r="AK839" t="s">
        <v>373</v>
      </c>
      <c r="AL839">
        <v>32.813758999999997</v>
      </c>
      <c r="AM839" t="s">
        <v>374</v>
      </c>
      <c r="AN839">
        <v>-116.946502</v>
      </c>
      <c r="AO839">
        <v>25</v>
      </c>
      <c r="AP839">
        <v>1900</v>
      </c>
      <c r="AQ839" t="s">
        <v>129</v>
      </c>
      <c r="AR839">
        <v>103</v>
      </c>
      <c r="AS839">
        <v>-67</v>
      </c>
      <c r="AT839">
        <v>448</v>
      </c>
      <c r="BB839">
        <v>1200</v>
      </c>
      <c r="BC839">
        <v>1</v>
      </c>
      <c r="BD839" t="str">
        <f t="shared" si="294"/>
        <v xml:space="preserve">N887QR  </v>
      </c>
      <c r="BE839">
        <v>1</v>
      </c>
      <c r="BJ839">
        <v>1625</v>
      </c>
      <c r="BK839">
        <v>-275</v>
      </c>
      <c r="BL839" t="s">
        <v>163</v>
      </c>
      <c r="BM839">
        <v>1</v>
      </c>
      <c r="BN839">
        <v>1</v>
      </c>
      <c r="BO839">
        <v>1</v>
      </c>
      <c r="BP839">
        <v>0</v>
      </c>
      <c r="BS839">
        <v>0</v>
      </c>
      <c r="BT839">
        <v>0</v>
      </c>
      <c r="BU839">
        <v>0</v>
      </c>
      <c r="CE839" t="str">
        <f t="shared" si="296"/>
        <v>19:27:52.400</v>
      </c>
      <c r="CF839">
        <v>399632161</v>
      </c>
      <c r="CS839">
        <v>3</v>
      </c>
      <c r="CT839">
        <v>2</v>
      </c>
      <c r="CU839">
        <v>0</v>
      </c>
      <c r="CV839">
        <v>2</v>
      </c>
      <c r="CW839">
        <v>0</v>
      </c>
      <c r="CX839">
        <v>5</v>
      </c>
      <c r="CY839">
        <v>7</v>
      </c>
      <c r="CZ839" t="s">
        <v>131</v>
      </c>
      <c r="DA839">
        <v>300</v>
      </c>
      <c r="DB839">
        <v>0</v>
      </c>
      <c r="DC839" t="s">
        <v>176</v>
      </c>
      <c r="DD839" t="s">
        <v>177</v>
      </c>
      <c r="DG839">
        <v>5372446</v>
      </c>
      <c r="DI839">
        <v>1</v>
      </c>
      <c r="DJ839">
        <v>0</v>
      </c>
      <c r="DK839">
        <v>1</v>
      </c>
      <c r="DL839">
        <v>0</v>
      </c>
      <c r="DM839">
        <v>0</v>
      </c>
      <c r="DN839">
        <v>1</v>
      </c>
      <c r="DO839">
        <v>0</v>
      </c>
      <c r="DP839">
        <v>0</v>
      </c>
      <c r="DQ839">
        <v>0</v>
      </c>
      <c r="DR839">
        <v>0</v>
      </c>
      <c r="DS839">
        <v>0</v>
      </c>
    </row>
    <row r="840" spans="1:123" x14ac:dyDescent="0.3">
      <c r="A840" t="str">
        <f>"10/04/2022 19:27:52.618"</f>
        <v>10/04/2022 19:27:52.618</v>
      </c>
      <c r="C840" t="str">
        <f t="shared" si="289"/>
        <v>FFDDD3C0</v>
      </c>
      <c r="D840" t="s">
        <v>123</v>
      </c>
      <c r="E840">
        <v>7</v>
      </c>
      <c r="F840">
        <v>2007</v>
      </c>
      <c r="G840" t="s">
        <v>124</v>
      </c>
      <c r="J840" t="s">
        <v>125</v>
      </c>
      <c r="K840">
        <v>0</v>
      </c>
      <c r="L840">
        <v>3</v>
      </c>
      <c r="M840">
        <v>0</v>
      </c>
      <c r="N840">
        <v>2</v>
      </c>
      <c r="O840">
        <v>0</v>
      </c>
      <c r="P840">
        <v>1</v>
      </c>
      <c r="Q840">
        <v>0</v>
      </c>
      <c r="S840" t="str">
        <f t="shared" si="295"/>
        <v>19:27:52.000</v>
      </c>
      <c r="T840" t="str">
        <f t="shared" si="295"/>
        <v>19:27:52.000</v>
      </c>
      <c r="U840" t="str">
        <f t="shared" si="293"/>
        <v>AC3944</v>
      </c>
      <c r="V840">
        <v>0</v>
      </c>
      <c r="W840">
        <v>0</v>
      </c>
      <c r="X840">
        <v>2</v>
      </c>
      <c r="Y840">
        <v>0</v>
      </c>
      <c r="AA840">
        <v>1</v>
      </c>
      <c r="AB840">
        <v>8</v>
      </c>
      <c r="AC840">
        <v>3</v>
      </c>
      <c r="AD840">
        <v>0</v>
      </c>
      <c r="AE840">
        <v>9</v>
      </c>
      <c r="AF840" t="s">
        <v>138</v>
      </c>
      <c r="AG840">
        <v>0</v>
      </c>
      <c r="AH840">
        <v>3</v>
      </c>
      <c r="AI840">
        <v>1</v>
      </c>
      <c r="AJ840">
        <v>0</v>
      </c>
      <c r="AK840" t="s">
        <v>373</v>
      </c>
      <c r="AL840">
        <v>32.813758999999997</v>
      </c>
      <c r="AM840" t="s">
        <v>374</v>
      </c>
      <c r="AN840">
        <v>-116.946502</v>
      </c>
      <c r="AO840">
        <v>25</v>
      </c>
      <c r="AP840">
        <v>1900</v>
      </c>
      <c r="AQ840" t="s">
        <v>129</v>
      </c>
      <c r="AR840">
        <v>103</v>
      </c>
      <c r="AS840">
        <v>-67</v>
      </c>
      <c r="AT840">
        <v>448</v>
      </c>
      <c r="BB840">
        <v>1200</v>
      </c>
      <c r="BC840">
        <v>1</v>
      </c>
      <c r="BD840" t="str">
        <f t="shared" si="294"/>
        <v xml:space="preserve">N887QR  </v>
      </c>
      <c r="BE840">
        <v>1</v>
      </c>
      <c r="BJ840">
        <v>1625</v>
      </c>
      <c r="BK840">
        <v>-275</v>
      </c>
      <c r="BL840" t="s">
        <v>163</v>
      </c>
      <c r="BM840">
        <v>1</v>
      </c>
      <c r="BN840">
        <v>1</v>
      </c>
      <c r="BO840">
        <v>1</v>
      </c>
      <c r="BP840">
        <v>0</v>
      </c>
      <c r="BS840">
        <v>0</v>
      </c>
      <c r="BT840">
        <v>0</v>
      </c>
      <c r="BU840">
        <v>0</v>
      </c>
      <c r="CE840" t="str">
        <f t="shared" si="296"/>
        <v>19:27:52.400</v>
      </c>
      <c r="CF840">
        <v>399632161</v>
      </c>
      <c r="CS840">
        <v>3</v>
      </c>
      <c r="CT840">
        <v>2</v>
      </c>
      <c r="CU840">
        <v>0</v>
      </c>
      <c r="CV840">
        <v>2</v>
      </c>
      <c r="CW840">
        <v>0</v>
      </c>
      <c r="CX840">
        <v>5</v>
      </c>
      <c r="CY840">
        <v>7</v>
      </c>
      <c r="CZ840" t="s">
        <v>131</v>
      </c>
      <c r="DA840">
        <v>300</v>
      </c>
      <c r="DB840">
        <v>0</v>
      </c>
      <c r="DC840" t="s">
        <v>176</v>
      </c>
      <c r="DD840" t="s">
        <v>177</v>
      </c>
      <c r="DG840">
        <v>5372446</v>
      </c>
      <c r="DI840">
        <v>1</v>
      </c>
      <c r="DJ840">
        <v>0</v>
      </c>
      <c r="DK840">
        <v>1</v>
      </c>
      <c r="DL840">
        <v>0</v>
      </c>
      <c r="DM840">
        <v>0</v>
      </c>
      <c r="DN840">
        <v>1</v>
      </c>
      <c r="DO840">
        <v>0</v>
      </c>
      <c r="DP840">
        <v>0</v>
      </c>
      <c r="DQ840">
        <v>0</v>
      </c>
      <c r="DR840">
        <v>0</v>
      </c>
      <c r="DS840">
        <v>0</v>
      </c>
    </row>
    <row r="841" spans="1:123" x14ac:dyDescent="0.3">
      <c r="A841" t="str">
        <f>"10/04/2022 19:27:52.618"</f>
        <v>10/04/2022 19:27:52.618</v>
      </c>
      <c r="C841" t="str">
        <f t="shared" si="289"/>
        <v>FFDDD3C0</v>
      </c>
      <c r="D841" t="s">
        <v>141</v>
      </c>
      <c r="E841">
        <v>4</v>
      </c>
      <c r="H841">
        <v>4</v>
      </c>
      <c r="I841" t="s">
        <v>142</v>
      </c>
      <c r="J841" t="s">
        <v>138</v>
      </c>
      <c r="K841">
        <v>0</v>
      </c>
      <c r="L841">
        <v>3</v>
      </c>
      <c r="M841">
        <v>0</v>
      </c>
      <c r="N841">
        <v>2</v>
      </c>
      <c r="O841">
        <v>0</v>
      </c>
      <c r="P841">
        <v>1</v>
      </c>
      <c r="Q841">
        <v>0</v>
      </c>
      <c r="S841" t="str">
        <f t="shared" si="295"/>
        <v>19:27:52.000</v>
      </c>
      <c r="T841" t="str">
        <f t="shared" si="295"/>
        <v>19:27:52.000</v>
      </c>
      <c r="U841" t="str">
        <f t="shared" si="293"/>
        <v>AC3944</v>
      </c>
      <c r="V841">
        <v>0</v>
      </c>
      <c r="W841">
        <v>0</v>
      </c>
      <c r="X841">
        <v>2</v>
      </c>
      <c r="Y841">
        <v>0</v>
      </c>
      <c r="AA841">
        <v>1</v>
      </c>
      <c r="AB841">
        <v>8</v>
      </c>
      <c r="AC841">
        <v>3</v>
      </c>
      <c r="AD841">
        <v>0</v>
      </c>
      <c r="AE841">
        <v>9</v>
      </c>
      <c r="AF841" t="s">
        <v>138</v>
      </c>
      <c r="AG841">
        <v>0</v>
      </c>
      <c r="AH841">
        <v>3</v>
      </c>
      <c r="AI841">
        <v>1</v>
      </c>
      <c r="AJ841">
        <v>0</v>
      </c>
      <c r="AK841" t="s">
        <v>373</v>
      </c>
      <c r="AL841">
        <v>32.813758999999997</v>
      </c>
      <c r="AM841" t="s">
        <v>374</v>
      </c>
      <c r="AN841">
        <v>-116.946502</v>
      </c>
      <c r="AO841">
        <v>25</v>
      </c>
      <c r="AP841">
        <v>1900</v>
      </c>
      <c r="AQ841" t="s">
        <v>129</v>
      </c>
      <c r="AR841">
        <v>103</v>
      </c>
      <c r="AS841">
        <v>-67</v>
      </c>
      <c r="AT841">
        <v>448</v>
      </c>
      <c r="BB841">
        <v>1200</v>
      </c>
      <c r="BC841">
        <v>1</v>
      </c>
      <c r="BD841" t="str">
        <f t="shared" si="294"/>
        <v xml:space="preserve">N887QR  </v>
      </c>
      <c r="BE841">
        <v>1</v>
      </c>
      <c r="BJ841">
        <v>1625</v>
      </c>
      <c r="BK841">
        <v>-275</v>
      </c>
      <c r="BL841" t="s">
        <v>163</v>
      </c>
      <c r="BM841">
        <v>1</v>
      </c>
      <c r="BN841">
        <v>1</v>
      </c>
      <c r="BO841">
        <v>1</v>
      </c>
      <c r="BP841">
        <v>0</v>
      </c>
      <c r="BS841">
        <v>0</v>
      </c>
      <c r="BT841">
        <v>0</v>
      </c>
      <c r="BU841">
        <v>0</v>
      </c>
      <c r="CE841" t="str">
        <f t="shared" si="296"/>
        <v>19:27:52.400</v>
      </c>
      <c r="CF841">
        <v>399632161</v>
      </c>
      <c r="CS841">
        <v>3</v>
      </c>
      <c r="CT841">
        <v>2</v>
      </c>
      <c r="CU841">
        <v>0</v>
      </c>
      <c r="CV841">
        <v>2</v>
      </c>
      <c r="CW841">
        <v>0</v>
      </c>
      <c r="CX841">
        <v>5</v>
      </c>
      <c r="CY841">
        <v>7</v>
      </c>
      <c r="CZ841" t="s">
        <v>131</v>
      </c>
      <c r="DA841">
        <v>300</v>
      </c>
      <c r="DB841">
        <v>0</v>
      </c>
      <c r="DC841" t="s">
        <v>176</v>
      </c>
      <c r="DD841" t="s">
        <v>177</v>
      </c>
      <c r="DG841">
        <v>5372446</v>
      </c>
      <c r="DI841">
        <v>1</v>
      </c>
      <c r="DJ841">
        <v>0</v>
      </c>
      <c r="DK841">
        <v>1</v>
      </c>
      <c r="DL841">
        <v>0</v>
      </c>
      <c r="DM841">
        <v>0</v>
      </c>
      <c r="DN841">
        <v>1</v>
      </c>
      <c r="DO841">
        <v>0</v>
      </c>
      <c r="DP841">
        <v>0</v>
      </c>
      <c r="DQ841">
        <v>0</v>
      </c>
      <c r="DR841">
        <v>0</v>
      </c>
      <c r="DS841">
        <v>0</v>
      </c>
    </row>
    <row r="842" spans="1:123" x14ac:dyDescent="0.3">
      <c r="A842" t="str">
        <f>"10/04/2022 19:27:52.665"</f>
        <v>10/04/2022 19:27:52.665</v>
      </c>
      <c r="C842" t="str">
        <f t="shared" si="289"/>
        <v>FFDDD3C0</v>
      </c>
      <c r="D842" t="s">
        <v>147</v>
      </c>
      <c r="E842">
        <v>3</v>
      </c>
      <c r="H842">
        <v>166</v>
      </c>
      <c r="I842" t="s">
        <v>144</v>
      </c>
      <c r="J842" t="s">
        <v>148</v>
      </c>
      <c r="K842">
        <v>0</v>
      </c>
      <c r="L842">
        <v>3</v>
      </c>
      <c r="M842">
        <v>0</v>
      </c>
      <c r="N842">
        <v>2</v>
      </c>
      <c r="O842">
        <v>0</v>
      </c>
      <c r="P842">
        <v>1</v>
      </c>
      <c r="Q842">
        <v>0</v>
      </c>
      <c r="S842" t="str">
        <f t="shared" si="295"/>
        <v>19:27:52.000</v>
      </c>
      <c r="T842" t="str">
        <f t="shared" si="295"/>
        <v>19:27:52.000</v>
      </c>
      <c r="U842" t="str">
        <f t="shared" si="293"/>
        <v>AC3944</v>
      </c>
      <c r="V842">
        <v>0</v>
      </c>
      <c r="W842">
        <v>0</v>
      </c>
      <c r="X842">
        <v>2</v>
      </c>
      <c r="Y842">
        <v>0</v>
      </c>
      <c r="AA842">
        <v>1</v>
      </c>
      <c r="AB842">
        <v>8</v>
      </c>
      <c r="AC842">
        <v>3</v>
      </c>
      <c r="AD842">
        <v>0</v>
      </c>
      <c r="AE842">
        <v>9</v>
      </c>
      <c r="AF842" t="s">
        <v>138</v>
      </c>
      <c r="AG842">
        <v>0</v>
      </c>
      <c r="AH842">
        <v>3</v>
      </c>
      <c r="AI842">
        <v>1</v>
      </c>
      <c r="AJ842">
        <v>0</v>
      </c>
      <c r="AK842" t="s">
        <v>373</v>
      </c>
      <c r="AL842">
        <v>32.813758999999997</v>
      </c>
      <c r="AM842" t="s">
        <v>374</v>
      </c>
      <c r="AN842">
        <v>-116.946502</v>
      </c>
      <c r="AO842">
        <v>25</v>
      </c>
      <c r="AP842">
        <v>1900</v>
      </c>
      <c r="AQ842" t="s">
        <v>129</v>
      </c>
      <c r="AR842">
        <v>103</v>
      </c>
      <c r="AS842">
        <v>-67</v>
      </c>
      <c r="AT842">
        <v>448</v>
      </c>
      <c r="BB842">
        <v>1200</v>
      </c>
      <c r="BC842">
        <v>1</v>
      </c>
      <c r="BD842" t="str">
        <f t="shared" si="294"/>
        <v xml:space="preserve">N887QR  </v>
      </c>
      <c r="BE842">
        <v>1</v>
      </c>
      <c r="BJ842">
        <v>1625</v>
      </c>
      <c r="BK842">
        <v>-275</v>
      </c>
      <c r="BL842" t="s">
        <v>163</v>
      </c>
      <c r="BM842">
        <v>1</v>
      </c>
      <c r="BN842">
        <v>1</v>
      </c>
      <c r="BO842">
        <v>1</v>
      </c>
      <c r="BP842">
        <v>0</v>
      </c>
      <c r="BS842">
        <v>0</v>
      </c>
      <c r="BT842">
        <v>0</v>
      </c>
      <c r="BU842">
        <v>0</v>
      </c>
      <c r="CE842" t="str">
        <f t="shared" si="296"/>
        <v>19:27:52.400</v>
      </c>
      <c r="CF842">
        <v>399632161</v>
      </c>
      <c r="CS842">
        <v>3</v>
      </c>
      <c r="CT842">
        <v>2</v>
      </c>
      <c r="CU842">
        <v>0</v>
      </c>
      <c r="CV842">
        <v>2</v>
      </c>
      <c r="CW842">
        <v>0</v>
      </c>
      <c r="CX842">
        <v>5</v>
      </c>
      <c r="CY842">
        <v>7</v>
      </c>
      <c r="CZ842" t="s">
        <v>131</v>
      </c>
      <c r="DA842">
        <v>300</v>
      </c>
      <c r="DB842">
        <v>0</v>
      </c>
      <c r="DC842" t="s">
        <v>176</v>
      </c>
      <c r="DD842" t="s">
        <v>177</v>
      </c>
      <c r="DG842">
        <v>5372446</v>
      </c>
      <c r="DI842">
        <v>1</v>
      </c>
      <c r="DJ842">
        <v>0</v>
      </c>
      <c r="DK842">
        <v>1</v>
      </c>
      <c r="DL842">
        <v>0</v>
      </c>
      <c r="DM842">
        <v>0</v>
      </c>
      <c r="DN842">
        <v>1</v>
      </c>
      <c r="DO842">
        <v>0</v>
      </c>
      <c r="DP842">
        <v>0</v>
      </c>
      <c r="DQ842">
        <v>0</v>
      </c>
      <c r="DR842">
        <v>0</v>
      </c>
      <c r="DS842">
        <v>0</v>
      </c>
    </row>
    <row r="843" spans="1:123" x14ac:dyDescent="0.3">
      <c r="A843" t="str">
        <f>"10/04/2022 19:27:53.540"</f>
        <v>10/04/2022 19:27:53.540</v>
      </c>
      <c r="C843" t="str">
        <f t="shared" si="289"/>
        <v>FFDDD3C0</v>
      </c>
      <c r="D843" t="s">
        <v>141</v>
      </c>
      <c r="E843">
        <v>4</v>
      </c>
      <c r="H843">
        <v>4</v>
      </c>
      <c r="I843" t="s">
        <v>142</v>
      </c>
      <c r="J843" t="s">
        <v>138</v>
      </c>
      <c r="K843">
        <v>0</v>
      </c>
      <c r="L843">
        <v>3</v>
      </c>
      <c r="M843">
        <v>0</v>
      </c>
      <c r="N843">
        <v>2</v>
      </c>
      <c r="O843">
        <v>0</v>
      </c>
      <c r="P843">
        <v>1</v>
      </c>
      <c r="Q843">
        <v>0</v>
      </c>
      <c r="S843" t="str">
        <f t="shared" ref="S843:T856" si="297">"19:27:53.000"</f>
        <v>19:27:53.000</v>
      </c>
      <c r="T843" t="str">
        <f t="shared" si="297"/>
        <v>19:27:53.000</v>
      </c>
      <c r="U843" t="str">
        <f t="shared" si="293"/>
        <v>AC3944</v>
      </c>
      <c r="V843">
        <v>0</v>
      </c>
      <c r="W843">
        <v>0</v>
      </c>
      <c r="X843">
        <v>2</v>
      </c>
      <c r="Y843">
        <v>0</v>
      </c>
      <c r="AA843">
        <v>1</v>
      </c>
      <c r="AB843">
        <v>8</v>
      </c>
      <c r="AC843">
        <v>3</v>
      </c>
      <c r="AD843">
        <v>0</v>
      </c>
      <c r="AE843">
        <v>9</v>
      </c>
      <c r="AF843" t="s">
        <v>138</v>
      </c>
      <c r="AG843">
        <v>0</v>
      </c>
      <c r="AH843">
        <v>3</v>
      </c>
      <c r="AI843">
        <v>1</v>
      </c>
      <c r="AJ843">
        <v>0</v>
      </c>
      <c r="AK843" t="s">
        <v>375</v>
      </c>
      <c r="AL843">
        <v>32.813437</v>
      </c>
      <c r="AM843" t="s">
        <v>376</v>
      </c>
      <c r="AN843">
        <v>-116.945922</v>
      </c>
      <c r="AO843">
        <v>25</v>
      </c>
      <c r="AP843">
        <v>1900</v>
      </c>
      <c r="AQ843" t="s">
        <v>129</v>
      </c>
      <c r="AR843">
        <v>103</v>
      </c>
      <c r="AS843">
        <v>-66</v>
      </c>
      <c r="AT843">
        <v>448</v>
      </c>
      <c r="BB843">
        <v>1200</v>
      </c>
      <c r="BC843">
        <v>1</v>
      </c>
      <c r="BD843" t="str">
        <f t="shared" si="294"/>
        <v xml:space="preserve">N887QR  </v>
      </c>
      <c r="BE843">
        <v>1</v>
      </c>
      <c r="BJ843">
        <v>1625</v>
      </c>
      <c r="BK843">
        <v>-275</v>
      </c>
      <c r="BL843" t="s">
        <v>163</v>
      </c>
      <c r="BM843">
        <v>1</v>
      </c>
      <c r="BN843">
        <v>1</v>
      </c>
      <c r="BO843">
        <v>1</v>
      </c>
      <c r="BP843">
        <v>0</v>
      </c>
      <c r="BS843">
        <v>0</v>
      </c>
      <c r="BT843">
        <v>0</v>
      </c>
      <c r="BU843">
        <v>0</v>
      </c>
      <c r="CE843" t="str">
        <f t="shared" ref="CE843:CE849" si="298">"19:27:53.352"</f>
        <v>19:27:53.352</v>
      </c>
      <c r="CF843">
        <v>351885280</v>
      </c>
      <c r="CS843">
        <v>3</v>
      </c>
      <c r="CT843">
        <v>2</v>
      </c>
      <c r="CU843">
        <v>0</v>
      </c>
      <c r="CV843">
        <v>2</v>
      </c>
      <c r="CW843">
        <v>0</v>
      </c>
      <c r="CX843">
        <v>5</v>
      </c>
      <c r="CY843">
        <v>7</v>
      </c>
      <c r="CZ843" t="s">
        <v>131</v>
      </c>
      <c r="DA843">
        <v>300</v>
      </c>
      <c r="DB843">
        <v>0</v>
      </c>
      <c r="DC843" t="s">
        <v>176</v>
      </c>
      <c r="DD843" t="s">
        <v>177</v>
      </c>
      <c r="DG843">
        <v>5372588</v>
      </c>
      <c r="DI843">
        <v>1</v>
      </c>
      <c r="DJ843">
        <v>0</v>
      </c>
      <c r="DK843">
        <v>0</v>
      </c>
      <c r="DL843">
        <v>0</v>
      </c>
      <c r="DM843">
        <v>0</v>
      </c>
      <c r="DN843">
        <v>1</v>
      </c>
      <c r="DO843">
        <v>0</v>
      </c>
      <c r="DP843">
        <v>0</v>
      </c>
      <c r="DQ843">
        <v>0</v>
      </c>
      <c r="DR843">
        <v>0</v>
      </c>
      <c r="DS843">
        <v>0</v>
      </c>
    </row>
    <row r="844" spans="1:123" x14ac:dyDescent="0.3">
      <c r="A844" t="str">
        <f>"10/04/2022 19:27:53.540"</f>
        <v>10/04/2022 19:27:53.540</v>
      </c>
      <c r="C844" t="str">
        <f t="shared" si="289"/>
        <v>FFDDD3C0</v>
      </c>
      <c r="D844" t="s">
        <v>147</v>
      </c>
      <c r="E844">
        <v>3</v>
      </c>
      <c r="H844">
        <v>166</v>
      </c>
      <c r="I844" t="s">
        <v>144</v>
      </c>
      <c r="J844" t="s">
        <v>148</v>
      </c>
      <c r="K844">
        <v>0</v>
      </c>
      <c r="L844">
        <v>3</v>
      </c>
      <c r="M844">
        <v>0</v>
      </c>
      <c r="N844">
        <v>2</v>
      </c>
      <c r="O844">
        <v>0</v>
      </c>
      <c r="P844">
        <v>1</v>
      </c>
      <c r="Q844">
        <v>0</v>
      </c>
      <c r="S844" t="str">
        <f t="shared" si="297"/>
        <v>19:27:53.000</v>
      </c>
      <c r="T844" t="str">
        <f t="shared" si="297"/>
        <v>19:27:53.000</v>
      </c>
      <c r="U844" t="str">
        <f t="shared" si="293"/>
        <v>AC3944</v>
      </c>
      <c r="V844">
        <v>0</v>
      </c>
      <c r="W844">
        <v>0</v>
      </c>
      <c r="X844">
        <v>2</v>
      </c>
      <c r="Y844">
        <v>0</v>
      </c>
      <c r="AA844">
        <v>1</v>
      </c>
      <c r="AB844">
        <v>8</v>
      </c>
      <c r="AC844">
        <v>3</v>
      </c>
      <c r="AD844">
        <v>0</v>
      </c>
      <c r="AE844">
        <v>9</v>
      </c>
      <c r="AF844" t="s">
        <v>138</v>
      </c>
      <c r="AG844">
        <v>0</v>
      </c>
      <c r="AH844">
        <v>3</v>
      </c>
      <c r="AI844">
        <v>1</v>
      </c>
      <c r="AJ844">
        <v>0</v>
      </c>
      <c r="AK844" t="s">
        <v>375</v>
      </c>
      <c r="AL844">
        <v>32.813437</v>
      </c>
      <c r="AM844" t="s">
        <v>376</v>
      </c>
      <c r="AN844">
        <v>-116.945922</v>
      </c>
      <c r="AO844">
        <v>25</v>
      </c>
      <c r="AP844">
        <v>1900</v>
      </c>
      <c r="AQ844" t="s">
        <v>129</v>
      </c>
      <c r="AR844">
        <v>103</v>
      </c>
      <c r="AS844">
        <v>-66</v>
      </c>
      <c r="AT844">
        <v>448</v>
      </c>
      <c r="BB844">
        <v>1200</v>
      </c>
      <c r="BC844">
        <v>1</v>
      </c>
      <c r="BD844" t="str">
        <f t="shared" si="294"/>
        <v xml:space="preserve">N887QR  </v>
      </c>
      <c r="BE844">
        <v>1</v>
      </c>
      <c r="BJ844">
        <v>1625</v>
      </c>
      <c r="BK844">
        <v>-275</v>
      </c>
      <c r="BL844" t="s">
        <v>163</v>
      </c>
      <c r="BM844">
        <v>1</v>
      </c>
      <c r="BN844">
        <v>1</v>
      </c>
      <c r="BO844">
        <v>1</v>
      </c>
      <c r="BP844">
        <v>0</v>
      </c>
      <c r="BS844">
        <v>0</v>
      </c>
      <c r="BT844">
        <v>0</v>
      </c>
      <c r="BU844">
        <v>0</v>
      </c>
      <c r="CE844" t="str">
        <f t="shared" si="298"/>
        <v>19:27:53.352</v>
      </c>
      <c r="CF844">
        <v>351885280</v>
      </c>
      <c r="CS844">
        <v>3</v>
      </c>
      <c r="CT844">
        <v>2</v>
      </c>
      <c r="CU844">
        <v>0</v>
      </c>
      <c r="CV844">
        <v>2</v>
      </c>
      <c r="CW844">
        <v>0</v>
      </c>
      <c r="CX844">
        <v>5</v>
      </c>
      <c r="CY844">
        <v>7</v>
      </c>
      <c r="CZ844" t="s">
        <v>131</v>
      </c>
      <c r="DA844">
        <v>300</v>
      </c>
      <c r="DB844">
        <v>0</v>
      </c>
      <c r="DC844" t="s">
        <v>176</v>
      </c>
      <c r="DD844" t="s">
        <v>177</v>
      </c>
      <c r="DG844">
        <v>5372588</v>
      </c>
      <c r="DI844">
        <v>1</v>
      </c>
      <c r="DJ844">
        <v>0</v>
      </c>
      <c r="DK844">
        <v>1</v>
      </c>
      <c r="DL844">
        <v>0</v>
      </c>
      <c r="DM844">
        <v>0</v>
      </c>
      <c r="DN844">
        <v>1</v>
      </c>
      <c r="DO844">
        <v>0</v>
      </c>
      <c r="DP844">
        <v>0</v>
      </c>
      <c r="DQ844">
        <v>0</v>
      </c>
      <c r="DR844">
        <v>0</v>
      </c>
      <c r="DS844">
        <v>0</v>
      </c>
    </row>
    <row r="845" spans="1:123" x14ac:dyDescent="0.3">
      <c r="A845" t="str">
        <f>"10/04/2022 19:27:53.571"</f>
        <v>10/04/2022 19:27:53.571</v>
      </c>
      <c r="C845" t="str">
        <f t="shared" si="289"/>
        <v>FFDDD3C0</v>
      </c>
      <c r="D845" t="s">
        <v>136</v>
      </c>
      <c r="E845">
        <v>8</v>
      </c>
      <c r="H845">
        <v>225</v>
      </c>
      <c r="I845" t="s">
        <v>137</v>
      </c>
      <c r="J845" t="s">
        <v>138</v>
      </c>
      <c r="K845">
        <v>0</v>
      </c>
      <c r="L845">
        <v>3</v>
      </c>
      <c r="M845">
        <v>0</v>
      </c>
      <c r="N845">
        <v>2</v>
      </c>
      <c r="O845">
        <v>0</v>
      </c>
      <c r="P845">
        <v>1</v>
      </c>
      <c r="Q845">
        <v>0</v>
      </c>
      <c r="S845" t="str">
        <f t="shared" si="297"/>
        <v>19:27:53.000</v>
      </c>
      <c r="T845" t="str">
        <f t="shared" si="297"/>
        <v>19:27:53.000</v>
      </c>
      <c r="U845" t="str">
        <f t="shared" si="293"/>
        <v>AC3944</v>
      </c>
      <c r="V845">
        <v>0</v>
      </c>
      <c r="W845">
        <v>0</v>
      </c>
      <c r="X845">
        <v>2</v>
      </c>
      <c r="Y845">
        <v>0</v>
      </c>
      <c r="AA845">
        <v>1</v>
      </c>
      <c r="AB845">
        <v>8</v>
      </c>
      <c r="AC845">
        <v>3</v>
      </c>
      <c r="AD845">
        <v>0</v>
      </c>
      <c r="AE845">
        <v>9</v>
      </c>
      <c r="AF845" t="s">
        <v>138</v>
      </c>
      <c r="AG845">
        <v>0</v>
      </c>
      <c r="AH845">
        <v>3</v>
      </c>
      <c r="AI845">
        <v>1</v>
      </c>
      <c r="AJ845">
        <v>0</v>
      </c>
      <c r="AK845" t="s">
        <v>375</v>
      </c>
      <c r="AL845">
        <v>32.813437</v>
      </c>
      <c r="AM845" t="s">
        <v>376</v>
      </c>
      <c r="AN845">
        <v>-116.945922</v>
      </c>
      <c r="AO845">
        <v>25</v>
      </c>
      <c r="AP845">
        <v>1900</v>
      </c>
      <c r="AQ845" t="s">
        <v>129</v>
      </c>
      <c r="AR845">
        <v>103</v>
      </c>
      <c r="AS845">
        <v>-66</v>
      </c>
      <c r="AT845">
        <v>448</v>
      </c>
      <c r="BB845">
        <v>1200</v>
      </c>
      <c r="BC845">
        <v>1</v>
      </c>
      <c r="BD845" t="str">
        <f t="shared" si="294"/>
        <v xml:space="preserve">N887QR  </v>
      </c>
      <c r="BE845">
        <v>1</v>
      </c>
      <c r="BJ845">
        <v>1625</v>
      </c>
      <c r="BK845">
        <v>-275</v>
      </c>
      <c r="BL845" t="s">
        <v>163</v>
      </c>
      <c r="BM845">
        <v>1</v>
      </c>
      <c r="BN845">
        <v>1</v>
      </c>
      <c r="BO845">
        <v>1</v>
      </c>
      <c r="BP845">
        <v>0</v>
      </c>
      <c r="BS845">
        <v>0</v>
      </c>
      <c r="BT845">
        <v>0</v>
      </c>
      <c r="BU845">
        <v>0</v>
      </c>
      <c r="CE845" t="str">
        <f t="shared" si="298"/>
        <v>19:27:53.352</v>
      </c>
      <c r="CF845">
        <v>351885280</v>
      </c>
      <c r="CS845">
        <v>3</v>
      </c>
      <c r="CT845">
        <v>2</v>
      </c>
      <c r="CU845">
        <v>0</v>
      </c>
      <c r="CV845">
        <v>2</v>
      </c>
      <c r="CW845">
        <v>0</v>
      </c>
      <c r="CX845">
        <v>5</v>
      </c>
      <c r="CY845">
        <v>7</v>
      </c>
      <c r="CZ845" t="s">
        <v>131</v>
      </c>
      <c r="DA845">
        <v>300</v>
      </c>
      <c r="DB845">
        <v>0</v>
      </c>
      <c r="DC845" t="s">
        <v>176</v>
      </c>
      <c r="DD845" t="s">
        <v>177</v>
      </c>
      <c r="DG845">
        <v>5372588</v>
      </c>
      <c r="DI845">
        <v>1</v>
      </c>
      <c r="DJ845">
        <v>0</v>
      </c>
      <c r="DK845">
        <v>1</v>
      </c>
      <c r="DL845">
        <v>0</v>
      </c>
      <c r="DM845">
        <v>0</v>
      </c>
      <c r="DN845">
        <v>1</v>
      </c>
      <c r="DO845">
        <v>0</v>
      </c>
      <c r="DP845">
        <v>0</v>
      </c>
      <c r="DQ845">
        <v>0</v>
      </c>
      <c r="DR845">
        <v>0</v>
      </c>
      <c r="DS845">
        <v>0</v>
      </c>
    </row>
    <row r="846" spans="1:123" x14ac:dyDescent="0.3">
      <c r="A846" t="str">
        <f>"10/04/2022 19:27:53.571"</f>
        <v>10/04/2022 19:27:53.571</v>
      </c>
      <c r="C846" t="str">
        <f t="shared" si="289"/>
        <v>FFDDD3C0</v>
      </c>
      <c r="D846" t="s">
        <v>143</v>
      </c>
      <c r="E846">
        <v>20</v>
      </c>
      <c r="F846">
        <v>1020</v>
      </c>
      <c r="G846" t="s">
        <v>144</v>
      </c>
      <c r="J846" t="s">
        <v>145</v>
      </c>
      <c r="K846">
        <v>0</v>
      </c>
      <c r="L846">
        <v>3</v>
      </c>
      <c r="M846">
        <v>0</v>
      </c>
      <c r="N846">
        <v>2</v>
      </c>
      <c r="O846">
        <v>0</v>
      </c>
      <c r="P846">
        <v>1</v>
      </c>
      <c r="Q846">
        <v>0</v>
      </c>
      <c r="S846" t="str">
        <f t="shared" si="297"/>
        <v>19:27:53.000</v>
      </c>
      <c r="T846" t="str">
        <f t="shared" si="297"/>
        <v>19:27:53.000</v>
      </c>
      <c r="U846" t="str">
        <f t="shared" si="293"/>
        <v>AC3944</v>
      </c>
      <c r="V846">
        <v>0</v>
      </c>
      <c r="W846">
        <v>0</v>
      </c>
      <c r="X846">
        <v>2</v>
      </c>
      <c r="Y846">
        <v>0</v>
      </c>
      <c r="AA846">
        <v>1</v>
      </c>
      <c r="AB846">
        <v>8</v>
      </c>
      <c r="AC846">
        <v>3</v>
      </c>
      <c r="AD846">
        <v>0</v>
      </c>
      <c r="AE846">
        <v>9</v>
      </c>
      <c r="AF846" t="s">
        <v>138</v>
      </c>
      <c r="AG846">
        <v>0</v>
      </c>
      <c r="AH846">
        <v>3</v>
      </c>
      <c r="AI846">
        <v>1</v>
      </c>
      <c r="AJ846">
        <v>0</v>
      </c>
      <c r="AK846" t="s">
        <v>375</v>
      </c>
      <c r="AL846">
        <v>32.813437</v>
      </c>
      <c r="AM846" t="s">
        <v>376</v>
      </c>
      <c r="AN846">
        <v>-116.945922</v>
      </c>
      <c r="AO846">
        <v>25</v>
      </c>
      <c r="AP846">
        <v>1900</v>
      </c>
      <c r="AQ846" t="s">
        <v>129</v>
      </c>
      <c r="AR846">
        <v>103</v>
      </c>
      <c r="AS846">
        <v>-66</v>
      </c>
      <c r="AT846">
        <v>448</v>
      </c>
      <c r="BB846">
        <v>1200</v>
      </c>
      <c r="BC846">
        <v>1</v>
      </c>
      <c r="BD846" t="str">
        <f t="shared" si="294"/>
        <v xml:space="preserve">N887QR  </v>
      </c>
      <c r="BE846">
        <v>1</v>
      </c>
      <c r="BJ846">
        <v>1625</v>
      </c>
      <c r="BK846">
        <v>-275</v>
      </c>
      <c r="BL846" t="s">
        <v>163</v>
      </c>
      <c r="BM846">
        <v>1</v>
      </c>
      <c r="BN846">
        <v>1</v>
      </c>
      <c r="BO846">
        <v>1</v>
      </c>
      <c r="BP846">
        <v>0</v>
      </c>
      <c r="BS846">
        <v>0</v>
      </c>
      <c r="BT846">
        <v>0</v>
      </c>
      <c r="BU846">
        <v>0</v>
      </c>
      <c r="CE846" t="str">
        <f t="shared" si="298"/>
        <v>19:27:53.352</v>
      </c>
      <c r="CF846">
        <v>351885280</v>
      </c>
      <c r="CS846">
        <v>3</v>
      </c>
      <c r="CT846">
        <v>2</v>
      </c>
      <c r="CU846">
        <v>0</v>
      </c>
      <c r="CV846">
        <v>2</v>
      </c>
      <c r="CW846">
        <v>0</v>
      </c>
      <c r="CX846">
        <v>5</v>
      </c>
      <c r="CY846">
        <v>7</v>
      </c>
      <c r="CZ846" t="s">
        <v>131</v>
      </c>
      <c r="DA846">
        <v>300</v>
      </c>
      <c r="DB846">
        <v>0</v>
      </c>
      <c r="DC846" t="s">
        <v>176</v>
      </c>
      <c r="DD846" t="s">
        <v>177</v>
      </c>
      <c r="DG846">
        <v>5372588</v>
      </c>
      <c r="DI846">
        <v>1</v>
      </c>
      <c r="DJ846">
        <v>0</v>
      </c>
      <c r="DK846">
        <v>1</v>
      </c>
      <c r="DL846">
        <v>0</v>
      </c>
      <c r="DM846">
        <v>0</v>
      </c>
      <c r="DN846">
        <v>1</v>
      </c>
      <c r="DO846">
        <v>0</v>
      </c>
      <c r="DP846">
        <v>0</v>
      </c>
      <c r="DQ846">
        <v>0</v>
      </c>
      <c r="DR846">
        <v>0</v>
      </c>
      <c r="DS846">
        <v>0</v>
      </c>
    </row>
    <row r="847" spans="1:123" x14ac:dyDescent="0.3">
      <c r="A847" t="str">
        <f>"10/04/2022 19:27:53.571"</f>
        <v>10/04/2022 19:27:53.571</v>
      </c>
      <c r="C847" t="str">
        <f t="shared" si="289"/>
        <v>FFDDD3C0</v>
      </c>
      <c r="D847" t="s">
        <v>134</v>
      </c>
      <c r="E847">
        <v>15</v>
      </c>
      <c r="J847" t="s">
        <v>135</v>
      </c>
      <c r="K847">
        <v>0</v>
      </c>
      <c r="L847">
        <v>3</v>
      </c>
      <c r="M847">
        <v>0</v>
      </c>
      <c r="N847">
        <v>2</v>
      </c>
      <c r="O847">
        <v>0</v>
      </c>
      <c r="P847">
        <v>1</v>
      </c>
      <c r="Q847">
        <v>0</v>
      </c>
      <c r="S847" t="str">
        <f t="shared" si="297"/>
        <v>19:27:53.000</v>
      </c>
      <c r="T847" t="str">
        <f t="shared" si="297"/>
        <v>19:27:53.000</v>
      </c>
      <c r="U847" t="str">
        <f t="shared" si="293"/>
        <v>AC3944</v>
      </c>
      <c r="V847">
        <v>0</v>
      </c>
      <c r="W847">
        <v>0</v>
      </c>
      <c r="X847">
        <v>2</v>
      </c>
      <c r="Y847">
        <v>0</v>
      </c>
      <c r="AA847">
        <v>1</v>
      </c>
      <c r="AB847">
        <v>8</v>
      </c>
      <c r="AC847">
        <v>3</v>
      </c>
      <c r="AD847">
        <v>0</v>
      </c>
      <c r="AE847">
        <v>9</v>
      </c>
      <c r="AF847" t="s">
        <v>138</v>
      </c>
      <c r="AG847">
        <v>0</v>
      </c>
      <c r="AH847">
        <v>3</v>
      </c>
      <c r="AI847">
        <v>1</v>
      </c>
      <c r="AJ847">
        <v>0</v>
      </c>
      <c r="AK847" t="s">
        <v>375</v>
      </c>
      <c r="AL847">
        <v>32.813437</v>
      </c>
      <c r="AM847" t="s">
        <v>376</v>
      </c>
      <c r="AN847">
        <v>-116.945922</v>
      </c>
      <c r="AO847">
        <v>25</v>
      </c>
      <c r="AP847">
        <v>1900</v>
      </c>
      <c r="AQ847" t="s">
        <v>129</v>
      </c>
      <c r="AR847">
        <v>103</v>
      </c>
      <c r="AS847">
        <v>-66</v>
      </c>
      <c r="AT847">
        <v>448</v>
      </c>
      <c r="BB847">
        <v>1200</v>
      </c>
      <c r="BC847">
        <v>1</v>
      </c>
      <c r="BD847" t="str">
        <f t="shared" si="294"/>
        <v xml:space="preserve">N887QR  </v>
      </c>
      <c r="BE847">
        <v>1</v>
      </c>
      <c r="BJ847">
        <v>1625</v>
      </c>
      <c r="BK847">
        <v>-275</v>
      </c>
      <c r="BL847" t="s">
        <v>163</v>
      </c>
      <c r="BM847">
        <v>1</v>
      </c>
      <c r="BN847">
        <v>1</v>
      </c>
      <c r="BO847">
        <v>1</v>
      </c>
      <c r="BP847">
        <v>0</v>
      </c>
      <c r="BS847">
        <v>0</v>
      </c>
      <c r="BT847">
        <v>0</v>
      </c>
      <c r="BU847">
        <v>0</v>
      </c>
      <c r="CE847" t="str">
        <f t="shared" si="298"/>
        <v>19:27:53.352</v>
      </c>
      <c r="CF847">
        <v>351885280</v>
      </c>
      <c r="CS847">
        <v>3</v>
      </c>
      <c r="CT847">
        <v>2</v>
      </c>
      <c r="CU847">
        <v>0</v>
      </c>
      <c r="CV847">
        <v>2</v>
      </c>
      <c r="CW847">
        <v>0</v>
      </c>
      <c r="CX847">
        <v>5</v>
      </c>
      <c r="CY847">
        <v>7</v>
      </c>
      <c r="CZ847" t="s">
        <v>131</v>
      </c>
      <c r="DA847">
        <v>300</v>
      </c>
      <c r="DB847">
        <v>0</v>
      </c>
      <c r="DC847" t="s">
        <v>176</v>
      </c>
      <c r="DD847" t="s">
        <v>177</v>
      </c>
      <c r="DG847">
        <v>5372588</v>
      </c>
      <c r="DI847">
        <v>1</v>
      </c>
      <c r="DJ847">
        <v>0</v>
      </c>
      <c r="DK847">
        <v>1</v>
      </c>
      <c r="DL847">
        <v>0</v>
      </c>
      <c r="DM847">
        <v>0</v>
      </c>
      <c r="DN847">
        <v>1</v>
      </c>
      <c r="DO847">
        <v>0</v>
      </c>
      <c r="DP847">
        <v>0</v>
      </c>
      <c r="DQ847">
        <v>0</v>
      </c>
      <c r="DR847">
        <v>0</v>
      </c>
      <c r="DS847">
        <v>0</v>
      </c>
    </row>
    <row r="848" spans="1:123" x14ac:dyDescent="0.3">
      <c r="A848" t="str">
        <f>"10/04/2022 19:27:53.571"</f>
        <v>10/04/2022 19:27:53.571</v>
      </c>
      <c r="C848" t="str">
        <f t="shared" si="289"/>
        <v>FFDDD3C0</v>
      </c>
      <c r="D848" t="s">
        <v>141</v>
      </c>
      <c r="E848">
        <v>3</v>
      </c>
      <c r="H848">
        <v>3</v>
      </c>
      <c r="I848" t="s">
        <v>146</v>
      </c>
      <c r="J848" t="s">
        <v>138</v>
      </c>
      <c r="K848">
        <v>0</v>
      </c>
      <c r="L848">
        <v>3</v>
      </c>
      <c r="M848">
        <v>0</v>
      </c>
      <c r="N848">
        <v>2</v>
      </c>
      <c r="O848">
        <v>0</v>
      </c>
      <c r="P848">
        <v>1</v>
      </c>
      <c r="Q848">
        <v>0</v>
      </c>
      <c r="S848" t="str">
        <f t="shared" si="297"/>
        <v>19:27:53.000</v>
      </c>
      <c r="T848" t="str">
        <f t="shared" si="297"/>
        <v>19:27:53.000</v>
      </c>
      <c r="U848" t="str">
        <f t="shared" si="293"/>
        <v>AC3944</v>
      </c>
      <c r="V848">
        <v>0</v>
      </c>
      <c r="W848">
        <v>0</v>
      </c>
      <c r="X848">
        <v>2</v>
      </c>
      <c r="Y848">
        <v>0</v>
      </c>
      <c r="AA848">
        <v>1</v>
      </c>
      <c r="AB848">
        <v>8</v>
      </c>
      <c r="AC848">
        <v>3</v>
      </c>
      <c r="AD848">
        <v>0</v>
      </c>
      <c r="AE848">
        <v>9</v>
      </c>
      <c r="AF848" t="s">
        <v>138</v>
      </c>
      <c r="AG848">
        <v>0</v>
      </c>
      <c r="AH848">
        <v>3</v>
      </c>
      <c r="AI848">
        <v>1</v>
      </c>
      <c r="AJ848">
        <v>0</v>
      </c>
      <c r="AK848" t="s">
        <v>375</v>
      </c>
      <c r="AL848">
        <v>32.813437</v>
      </c>
      <c r="AM848" t="s">
        <v>376</v>
      </c>
      <c r="AN848">
        <v>-116.945922</v>
      </c>
      <c r="AO848">
        <v>25</v>
      </c>
      <c r="AP848">
        <v>1900</v>
      </c>
      <c r="AQ848" t="s">
        <v>129</v>
      </c>
      <c r="AR848">
        <v>103</v>
      </c>
      <c r="AS848">
        <v>-66</v>
      </c>
      <c r="AT848">
        <v>448</v>
      </c>
      <c r="BB848">
        <v>1200</v>
      </c>
      <c r="BC848">
        <v>1</v>
      </c>
      <c r="BD848" t="str">
        <f t="shared" si="294"/>
        <v xml:space="preserve">N887QR  </v>
      </c>
      <c r="BE848">
        <v>1</v>
      </c>
      <c r="BJ848">
        <v>1625</v>
      </c>
      <c r="BK848">
        <v>-275</v>
      </c>
      <c r="BL848" t="s">
        <v>163</v>
      </c>
      <c r="BM848">
        <v>1</v>
      </c>
      <c r="BN848">
        <v>1</v>
      </c>
      <c r="BO848">
        <v>1</v>
      </c>
      <c r="BP848">
        <v>0</v>
      </c>
      <c r="BS848">
        <v>0</v>
      </c>
      <c r="BT848">
        <v>0</v>
      </c>
      <c r="BU848">
        <v>0</v>
      </c>
      <c r="CE848" t="str">
        <f t="shared" si="298"/>
        <v>19:27:53.352</v>
      </c>
      <c r="CF848">
        <v>351885280</v>
      </c>
      <c r="CS848">
        <v>3</v>
      </c>
      <c r="CT848">
        <v>2</v>
      </c>
      <c r="CU848">
        <v>0</v>
      </c>
      <c r="CV848">
        <v>2</v>
      </c>
      <c r="CW848">
        <v>0</v>
      </c>
      <c r="CX848">
        <v>5</v>
      </c>
      <c r="CY848">
        <v>7</v>
      </c>
      <c r="CZ848" t="s">
        <v>131</v>
      </c>
      <c r="DA848">
        <v>300</v>
      </c>
      <c r="DB848">
        <v>0</v>
      </c>
      <c r="DC848" t="s">
        <v>176</v>
      </c>
      <c r="DD848" t="s">
        <v>177</v>
      </c>
      <c r="DG848">
        <v>5372588</v>
      </c>
      <c r="DI848">
        <v>1</v>
      </c>
      <c r="DJ848">
        <v>0</v>
      </c>
      <c r="DK848">
        <v>1</v>
      </c>
      <c r="DL848">
        <v>0</v>
      </c>
      <c r="DM848">
        <v>0</v>
      </c>
      <c r="DN848">
        <v>1</v>
      </c>
      <c r="DO848">
        <v>0</v>
      </c>
      <c r="DP848">
        <v>0</v>
      </c>
      <c r="DQ848">
        <v>0</v>
      </c>
      <c r="DR848">
        <v>0</v>
      </c>
      <c r="DS848">
        <v>0</v>
      </c>
    </row>
    <row r="849" spans="1:123" x14ac:dyDescent="0.3">
      <c r="A849" t="str">
        <f>"10/04/2022 19:27:53.587"</f>
        <v>10/04/2022 19:27:53.587</v>
      </c>
      <c r="C849" t="str">
        <f t="shared" si="289"/>
        <v>FFDDD3C0</v>
      </c>
      <c r="D849" t="s">
        <v>123</v>
      </c>
      <c r="E849">
        <v>7</v>
      </c>
      <c r="F849">
        <v>2007</v>
      </c>
      <c r="G849" t="s">
        <v>124</v>
      </c>
      <c r="J849" t="s">
        <v>125</v>
      </c>
      <c r="K849">
        <v>0</v>
      </c>
      <c r="L849">
        <v>3</v>
      </c>
      <c r="M849">
        <v>0</v>
      </c>
      <c r="N849">
        <v>2</v>
      </c>
      <c r="O849">
        <v>0</v>
      </c>
      <c r="P849">
        <v>1</v>
      </c>
      <c r="Q849">
        <v>0</v>
      </c>
      <c r="S849" t="str">
        <f t="shared" si="297"/>
        <v>19:27:53.000</v>
      </c>
      <c r="T849" t="str">
        <f t="shared" si="297"/>
        <v>19:27:53.000</v>
      </c>
      <c r="U849" t="str">
        <f t="shared" si="293"/>
        <v>AC3944</v>
      </c>
      <c r="V849">
        <v>0</v>
      </c>
      <c r="W849">
        <v>0</v>
      </c>
      <c r="X849">
        <v>2</v>
      </c>
      <c r="Y849">
        <v>0</v>
      </c>
      <c r="AA849">
        <v>1</v>
      </c>
      <c r="AB849">
        <v>8</v>
      </c>
      <c r="AC849">
        <v>3</v>
      </c>
      <c r="AD849">
        <v>0</v>
      </c>
      <c r="AE849">
        <v>9</v>
      </c>
      <c r="AF849" t="s">
        <v>138</v>
      </c>
      <c r="AG849">
        <v>0</v>
      </c>
      <c r="AH849">
        <v>3</v>
      </c>
      <c r="AI849">
        <v>1</v>
      </c>
      <c r="AJ849">
        <v>0</v>
      </c>
      <c r="AK849" t="s">
        <v>375</v>
      </c>
      <c r="AL849">
        <v>32.813437</v>
      </c>
      <c r="AM849" t="s">
        <v>376</v>
      </c>
      <c r="AN849">
        <v>-116.945922</v>
      </c>
      <c r="AO849">
        <v>25</v>
      </c>
      <c r="AP849">
        <v>1900</v>
      </c>
      <c r="AQ849" t="s">
        <v>129</v>
      </c>
      <c r="AR849">
        <v>103</v>
      </c>
      <c r="AS849">
        <v>-66</v>
      </c>
      <c r="AT849">
        <v>448</v>
      </c>
      <c r="BB849">
        <v>1200</v>
      </c>
      <c r="BC849">
        <v>1</v>
      </c>
      <c r="BD849" t="str">
        <f t="shared" si="294"/>
        <v xml:space="preserve">N887QR  </v>
      </c>
      <c r="BE849">
        <v>1</v>
      </c>
      <c r="BJ849">
        <v>1625</v>
      </c>
      <c r="BK849">
        <v>-275</v>
      </c>
      <c r="BL849" t="s">
        <v>163</v>
      </c>
      <c r="BM849">
        <v>1</v>
      </c>
      <c r="BN849">
        <v>1</v>
      </c>
      <c r="BO849">
        <v>1</v>
      </c>
      <c r="BP849">
        <v>0</v>
      </c>
      <c r="BS849">
        <v>0</v>
      </c>
      <c r="BT849">
        <v>0</v>
      </c>
      <c r="BU849">
        <v>0</v>
      </c>
      <c r="CE849" t="str">
        <f t="shared" si="298"/>
        <v>19:27:53.352</v>
      </c>
      <c r="CF849">
        <v>351885280</v>
      </c>
      <c r="CS849">
        <v>3</v>
      </c>
      <c r="CT849">
        <v>2</v>
      </c>
      <c r="CU849">
        <v>0</v>
      </c>
      <c r="CV849">
        <v>2</v>
      </c>
      <c r="CW849">
        <v>0</v>
      </c>
      <c r="CX849">
        <v>5</v>
      </c>
      <c r="CY849">
        <v>7</v>
      </c>
      <c r="CZ849" t="s">
        <v>131</v>
      </c>
      <c r="DA849">
        <v>300</v>
      </c>
      <c r="DB849">
        <v>0</v>
      </c>
      <c r="DC849" t="s">
        <v>176</v>
      </c>
      <c r="DD849" t="s">
        <v>177</v>
      </c>
      <c r="DG849">
        <v>5372588</v>
      </c>
      <c r="DI849">
        <v>1</v>
      </c>
      <c r="DJ849">
        <v>0</v>
      </c>
      <c r="DK849">
        <v>1</v>
      </c>
      <c r="DL849">
        <v>0</v>
      </c>
      <c r="DM849">
        <v>0</v>
      </c>
      <c r="DN849">
        <v>1</v>
      </c>
      <c r="DO849">
        <v>0</v>
      </c>
      <c r="DP849">
        <v>0</v>
      </c>
      <c r="DQ849">
        <v>0</v>
      </c>
      <c r="DR849">
        <v>0</v>
      </c>
      <c r="DS849">
        <v>0</v>
      </c>
    </row>
    <row r="850" spans="1:123" x14ac:dyDescent="0.3">
      <c r="A850" t="str">
        <f t="shared" ref="A850:A856" si="299">"10/04/2022 19:27:54.025"</f>
        <v>10/04/2022 19:27:54.025</v>
      </c>
      <c r="C850" t="str">
        <f t="shared" si="289"/>
        <v>FFDDD3C0</v>
      </c>
      <c r="D850" t="s">
        <v>143</v>
      </c>
      <c r="E850">
        <v>20</v>
      </c>
      <c r="F850">
        <v>1020</v>
      </c>
      <c r="G850" t="s">
        <v>144</v>
      </c>
      <c r="J850" t="s">
        <v>145</v>
      </c>
      <c r="K850">
        <v>0</v>
      </c>
      <c r="L850">
        <v>3</v>
      </c>
      <c r="M850">
        <v>0</v>
      </c>
      <c r="N850">
        <v>2</v>
      </c>
      <c r="O850">
        <v>0</v>
      </c>
      <c r="P850">
        <v>1</v>
      </c>
      <c r="Q850">
        <v>0</v>
      </c>
      <c r="S850" t="str">
        <f t="shared" si="297"/>
        <v>19:27:53.000</v>
      </c>
      <c r="T850" t="str">
        <f t="shared" si="297"/>
        <v>19:27:53.000</v>
      </c>
      <c r="U850" t="str">
        <f t="shared" si="293"/>
        <v>AC3944</v>
      </c>
      <c r="V850">
        <v>0</v>
      </c>
      <c r="W850">
        <v>0</v>
      </c>
      <c r="X850">
        <v>2</v>
      </c>
      <c r="Y850">
        <v>0</v>
      </c>
      <c r="AA850">
        <v>1</v>
      </c>
      <c r="AB850">
        <v>8</v>
      </c>
      <c r="AC850">
        <v>3</v>
      </c>
      <c r="AD850">
        <v>0</v>
      </c>
      <c r="AE850">
        <v>9</v>
      </c>
      <c r="AF850" t="s">
        <v>138</v>
      </c>
      <c r="AG850">
        <v>0</v>
      </c>
      <c r="AH850">
        <v>3</v>
      </c>
      <c r="AI850">
        <v>1</v>
      </c>
      <c r="AJ850">
        <v>0</v>
      </c>
      <c r="AK850" t="s">
        <v>377</v>
      </c>
      <c r="AL850">
        <v>32.813115000000003</v>
      </c>
      <c r="AM850" t="s">
        <v>378</v>
      </c>
      <c r="AN850">
        <v>-116.945364</v>
      </c>
      <c r="AO850">
        <v>25</v>
      </c>
      <c r="AP850">
        <v>2000</v>
      </c>
      <c r="AQ850" t="s">
        <v>129</v>
      </c>
      <c r="AR850">
        <v>103</v>
      </c>
      <c r="AS850">
        <v>-66</v>
      </c>
      <c r="AT850">
        <v>448</v>
      </c>
      <c r="BB850">
        <v>1200</v>
      </c>
      <c r="BC850">
        <v>1</v>
      </c>
      <c r="BD850" t="str">
        <f t="shared" si="294"/>
        <v xml:space="preserve">N887QR  </v>
      </c>
      <c r="BE850">
        <v>1</v>
      </c>
      <c r="BJ850">
        <v>1650</v>
      </c>
      <c r="BK850">
        <v>-350</v>
      </c>
      <c r="BL850" t="s">
        <v>163</v>
      </c>
      <c r="BM850">
        <v>1</v>
      </c>
      <c r="BN850">
        <v>1</v>
      </c>
      <c r="BO850">
        <v>1</v>
      </c>
      <c r="BP850">
        <v>0</v>
      </c>
      <c r="BS850">
        <v>0</v>
      </c>
      <c r="BT850">
        <v>0</v>
      </c>
      <c r="BU850">
        <v>0</v>
      </c>
      <c r="CE850" t="str">
        <f t="shared" ref="CE850:CE856" si="300">"19:27:53.784"</f>
        <v>19:27:53.784</v>
      </c>
      <c r="CF850">
        <v>784271979</v>
      </c>
      <c r="CS850">
        <v>3</v>
      </c>
      <c r="CT850">
        <v>2</v>
      </c>
      <c r="CU850">
        <v>0</v>
      </c>
      <c r="CV850">
        <v>2</v>
      </c>
      <c r="CW850">
        <v>0</v>
      </c>
      <c r="CX850">
        <v>3</v>
      </c>
      <c r="CY850">
        <v>7</v>
      </c>
      <c r="CZ850" t="s">
        <v>131</v>
      </c>
      <c r="DA850">
        <v>292</v>
      </c>
      <c r="DB850">
        <v>0</v>
      </c>
      <c r="DC850" t="s">
        <v>254</v>
      </c>
      <c r="DD850" t="s">
        <v>255</v>
      </c>
      <c r="DG850">
        <v>3373300</v>
      </c>
      <c r="DI850">
        <v>1</v>
      </c>
      <c r="DJ850">
        <v>0</v>
      </c>
      <c r="DK850">
        <v>0</v>
      </c>
      <c r="DL850">
        <v>0</v>
      </c>
      <c r="DM850">
        <v>0</v>
      </c>
      <c r="DN850">
        <v>1</v>
      </c>
      <c r="DO850">
        <v>0</v>
      </c>
      <c r="DP850">
        <v>0</v>
      </c>
      <c r="DQ850">
        <v>0</v>
      </c>
      <c r="DR850">
        <v>0</v>
      </c>
      <c r="DS850">
        <v>0</v>
      </c>
    </row>
    <row r="851" spans="1:123" x14ac:dyDescent="0.3">
      <c r="A851" t="str">
        <f t="shared" si="299"/>
        <v>10/04/2022 19:27:54.025</v>
      </c>
      <c r="C851" t="str">
        <f t="shared" si="289"/>
        <v>FFDDD3C0</v>
      </c>
      <c r="D851" t="s">
        <v>136</v>
      </c>
      <c r="E851">
        <v>8</v>
      </c>
      <c r="H851">
        <v>225</v>
      </c>
      <c r="I851" t="s">
        <v>137</v>
      </c>
      <c r="J851" t="s">
        <v>138</v>
      </c>
      <c r="K851">
        <v>0</v>
      </c>
      <c r="L851">
        <v>3</v>
      </c>
      <c r="M851">
        <v>0</v>
      </c>
      <c r="N851">
        <v>2</v>
      </c>
      <c r="O851">
        <v>0</v>
      </c>
      <c r="P851">
        <v>1</v>
      </c>
      <c r="Q851">
        <v>0</v>
      </c>
      <c r="S851" t="str">
        <f t="shared" si="297"/>
        <v>19:27:53.000</v>
      </c>
      <c r="T851" t="str">
        <f t="shared" si="297"/>
        <v>19:27:53.000</v>
      </c>
      <c r="U851" t="str">
        <f t="shared" si="293"/>
        <v>AC3944</v>
      </c>
      <c r="V851">
        <v>0</v>
      </c>
      <c r="W851">
        <v>0</v>
      </c>
      <c r="X851">
        <v>2</v>
      </c>
      <c r="Y851">
        <v>0</v>
      </c>
      <c r="AA851">
        <v>1</v>
      </c>
      <c r="AB851">
        <v>8</v>
      </c>
      <c r="AC851">
        <v>3</v>
      </c>
      <c r="AD851">
        <v>0</v>
      </c>
      <c r="AE851">
        <v>9</v>
      </c>
      <c r="AF851" t="s">
        <v>138</v>
      </c>
      <c r="AG851">
        <v>0</v>
      </c>
      <c r="AH851">
        <v>3</v>
      </c>
      <c r="AI851">
        <v>1</v>
      </c>
      <c r="AJ851">
        <v>0</v>
      </c>
      <c r="AK851" t="s">
        <v>377</v>
      </c>
      <c r="AL851">
        <v>32.813115000000003</v>
      </c>
      <c r="AM851" t="s">
        <v>378</v>
      </c>
      <c r="AN851">
        <v>-116.945364</v>
      </c>
      <c r="AO851">
        <v>25</v>
      </c>
      <c r="AP851">
        <v>2000</v>
      </c>
      <c r="AQ851" t="s">
        <v>129</v>
      </c>
      <c r="AR851">
        <v>103</v>
      </c>
      <c r="AS851">
        <v>-66</v>
      </c>
      <c r="AT851">
        <v>448</v>
      </c>
      <c r="BB851">
        <v>1200</v>
      </c>
      <c r="BC851">
        <v>1</v>
      </c>
      <c r="BD851" t="str">
        <f t="shared" si="294"/>
        <v xml:space="preserve">N887QR  </v>
      </c>
      <c r="BE851">
        <v>1</v>
      </c>
      <c r="BJ851">
        <v>1650</v>
      </c>
      <c r="BK851">
        <v>-350</v>
      </c>
      <c r="BL851" t="s">
        <v>163</v>
      </c>
      <c r="BM851">
        <v>1</v>
      </c>
      <c r="BN851">
        <v>1</v>
      </c>
      <c r="BO851">
        <v>1</v>
      </c>
      <c r="BP851">
        <v>0</v>
      </c>
      <c r="BS851">
        <v>0</v>
      </c>
      <c r="BT851">
        <v>0</v>
      </c>
      <c r="BU851">
        <v>0</v>
      </c>
      <c r="CE851" t="str">
        <f t="shared" si="300"/>
        <v>19:27:53.784</v>
      </c>
      <c r="CF851">
        <v>783650654</v>
      </c>
      <c r="CS851">
        <v>3</v>
      </c>
      <c r="CT851">
        <v>2</v>
      </c>
      <c r="CU851">
        <v>0</v>
      </c>
      <c r="CV851">
        <v>2</v>
      </c>
      <c r="CW851">
        <v>0</v>
      </c>
      <c r="CX851">
        <v>2</v>
      </c>
      <c r="CY851">
        <v>7</v>
      </c>
      <c r="CZ851" t="s">
        <v>131</v>
      </c>
      <c r="DA851">
        <v>286</v>
      </c>
      <c r="DB851">
        <v>0</v>
      </c>
      <c r="DC851" t="s">
        <v>132</v>
      </c>
      <c r="DD851" t="s">
        <v>133</v>
      </c>
      <c r="DG851">
        <v>805324</v>
      </c>
      <c r="DI851">
        <v>1</v>
      </c>
      <c r="DJ851">
        <v>0</v>
      </c>
      <c r="DK851">
        <v>1</v>
      </c>
      <c r="DL851">
        <v>0</v>
      </c>
      <c r="DM851">
        <v>0</v>
      </c>
      <c r="DN851">
        <v>1</v>
      </c>
      <c r="DO851">
        <v>0</v>
      </c>
      <c r="DP851">
        <v>0</v>
      </c>
      <c r="DQ851">
        <v>0</v>
      </c>
      <c r="DR851">
        <v>0</v>
      </c>
      <c r="DS851">
        <v>0</v>
      </c>
    </row>
    <row r="852" spans="1:123" x14ac:dyDescent="0.3">
      <c r="A852" t="str">
        <f t="shared" si="299"/>
        <v>10/04/2022 19:27:54.025</v>
      </c>
      <c r="C852" t="str">
        <f t="shared" si="289"/>
        <v>FFDDD3C0</v>
      </c>
      <c r="D852" t="s">
        <v>134</v>
      </c>
      <c r="E852">
        <v>15</v>
      </c>
      <c r="J852" t="s">
        <v>135</v>
      </c>
      <c r="K852">
        <v>0</v>
      </c>
      <c r="L852">
        <v>3</v>
      </c>
      <c r="M852">
        <v>0</v>
      </c>
      <c r="N852">
        <v>2</v>
      </c>
      <c r="O852">
        <v>0</v>
      </c>
      <c r="P852">
        <v>1</v>
      </c>
      <c r="Q852">
        <v>0</v>
      </c>
      <c r="S852" t="str">
        <f t="shared" si="297"/>
        <v>19:27:53.000</v>
      </c>
      <c r="T852" t="str">
        <f t="shared" si="297"/>
        <v>19:27:53.000</v>
      </c>
      <c r="U852" t="str">
        <f t="shared" si="293"/>
        <v>AC3944</v>
      </c>
      <c r="V852">
        <v>0</v>
      </c>
      <c r="W852">
        <v>0</v>
      </c>
      <c r="X852">
        <v>2</v>
      </c>
      <c r="Y852">
        <v>0</v>
      </c>
      <c r="AA852">
        <v>1</v>
      </c>
      <c r="AB852">
        <v>8</v>
      </c>
      <c r="AC852">
        <v>3</v>
      </c>
      <c r="AD852">
        <v>0</v>
      </c>
      <c r="AE852">
        <v>9</v>
      </c>
      <c r="AF852" t="s">
        <v>138</v>
      </c>
      <c r="AG852">
        <v>0</v>
      </c>
      <c r="AH852">
        <v>3</v>
      </c>
      <c r="AI852">
        <v>1</v>
      </c>
      <c r="AJ852">
        <v>0</v>
      </c>
      <c r="AK852" t="s">
        <v>377</v>
      </c>
      <c r="AL852">
        <v>32.813115000000003</v>
      </c>
      <c r="AM852" t="s">
        <v>378</v>
      </c>
      <c r="AN852">
        <v>-116.945364</v>
      </c>
      <c r="AO852">
        <v>25</v>
      </c>
      <c r="AP852">
        <v>2000</v>
      </c>
      <c r="AQ852" t="s">
        <v>129</v>
      </c>
      <c r="AR852">
        <v>103</v>
      </c>
      <c r="AS852">
        <v>-66</v>
      </c>
      <c r="AT852">
        <v>448</v>
      </c>
      <c r="BB852">
        <v>1200</v>
      </c>
      <c r="BC852">
        <v>1</v>
      </c>
      <c r="BD852" t="str">
        <f t="shared" si="294"/>
        <v xml:space="preserve">N887QR  </v>
      </c>
      <c r="BE852">
        <v>1</v>
      </c>
      <c r="BJ852">
        <v>1650</v>
      </c>
      <c r="BK852">
        <v>-350</v>
      </c>
      <c r="BL852" t="s">
        <v>163</v>
      </c>
      <c r="BM852">
        <v>1</v>
      </c>
      <c r="BN852">
        <v>1</v>
      </c>
      <c r="BO852">
        <v>1</v>
      </c>
      <c r="BP852">
        <v>0</v>
      </c>
      <c r="BS852">
        <v>0</v>
      </c>
      <c r="BT852">
        <v>0</v>
      </c>
      <c r="BU852">
        <v>0</v>
      </c>
      <c r="CE852" t="str">
        <f t="shared" si="300"/>
        <v>19:27:53.784</v>
      </c>
      <c r="CF852">
        <v>784271979</v>
      </c>
      <c r="CS852">
        <v>3</v>
      </c>
      <c r="CT852">
        <v>2</v>
      </c>
      <c r="CU852">
        <v>0</v>
      </c>
      <c r="CV852">
        <v>2</v>
      </c>
      <c r="CW852">
        <v>0</v>
      </c>
      <c r="CX852">
        <v>3</v>
      </c>
      <c r="CY852">
        <v>7</v>
      </c>
      <c r="CZ852" t="s">
        <v>131</v>
      </c>
      <c r="DA852">
        <v>292</v>
      </c>
      <c r="DB852">
        <v>0</v>
      </c>
      <c r="DC852" t="s">
        <v>254</v>
      </c>
      <c r="DD852" t="s">
        <v>255</v>
      </c>
      <c r="DG852">
        <v>3373300</v>
      </c>
      <c r="DI852">
        <v>1</v>
      </c>
      <c r="DJ852">
        <v>0</v>
      </c>
      <c r="DK852">
        <v>1</v>
      </c>
      <c r="DL852">
        <v>0</v>
      </c>
      <c r="DM852">
        <v>0</v>
      </c>
      <c r="DN852">
        <v>1</v>
      </c>
      <c r="DO852">
        <v>0</v>
      </c>
      <c r="DP852">
        <v>0</v>
      </c>
      <c r="DQ852">
        <v>0</v>
      </c>
      <c r="DR852">
        <v>0</v>
      </c>
      <c r="DS852">
        <v>0</v>
      </c>
    </row>
    <row r="853" spans="1:123" x14ac:dyDescent="0.3">
      <c r="A853" t="str">
        <f t="shared" si="299"/>
        <v>10/04/2022 19:27:54.025</v>
      </c>
      <c r="C853" t="str">
        <f t="shared" si="289"/>
        <v>FFDDD3C0</v>
      </c>
      <c r="D853" t="s">
        <v>141</v>
      </c>
      <c r="E853">
        <v>3</v>
      </c>
      <c r="H853">
        <v>3</v>
      </c>
      <c r="I853" t="s">
        <v>146</v>
      </c>
      <c r="J853" t="s">
        <v>138</v>
      </c>
      <c r="K853">
        <v>0</v>
      </c>
      <c r="L853">
        <v>3</v>
      </c>
      <c r="M853">
        <v>0</v>
      </c>
      <c r="N853">
        <v>2</v>
      </c>
      <c r="O853">
        <v>0</v>
      </c>
      <c r="P853">
        <v>1</v>
      </c>
      <c r="Q853">
        <v>0</v>
      </c>
      <c r="S853" t="str">
        <f t="shared" si="297"/>
        <v>19:27:53.000</v>
      </c>
      <c r="T853" t="str">
        <f t="shared" si="297"/>
        <v>19:27:53.000</v>
      </c>
      <c r="U853" t="str">
        <f t="shared" si="293"/>
        <v>AC3944</v>
      </c>
      <c r="V853">
        <v>0</v>
      </c>
      <c r="W853">
        <v>0</v>
      </c>
      <c r="X853">
        <v>2</v>
      </c>
      <c r="Y853">
        <v>0</v>
      </c>
      <c r="AA853">
        <v>1</v>
      </c>
      <c r="AB853">
        <v>8</v>
      </c>
      <c r="AC853">
        <v>3</v>
      </c>
      <c r="AD853">
        <v>0</v>
      </c>
      <c r="AE853">
        <v>9</v>
      </c>
      <c r="AF853" t="s">
        <v>138</v>
      </c>
      <c r="AG853">
        <v>0</v>
      </c>
      <c r="AH853">
        <v>3</v>
      </c>
      <c r="AI853">
        <v>1</v>
      </c>
      <c r="AJ853">
        <v>0</v>
      </c>
      <c r="AK853" t="s">
        <v>377</v>
      </c>
      <c r="AL853">
        <v>32.813115000000003</v>
      </c>
      <c r="AM853" t="s">
        <v>378</v>
      </c>
      <c r="AN853">
        <v>-116.945364</v>
      </c>
      <c r="AO853">
        <v>25</v>
      </c>
      <c r="AP853">
        <v>2000</v>
      </c>
      <c r="AQ853" t="s">
        <v>129</v>
      </c>
      <c r="AR853">
        <v>103</v>
      </c>
      <c r="AS853">
        <v>-66</v>
      </c>
      <c r="AT853">
        <v>448</v>
      </c>
      <c r="BB853">
        <v>1200</v>
      </c>
      <c r="BC853">
        <v>1</v>
      </c>
      <c r="BD853" t="str">
        <f t="shared" si="294"/>
        <v xml:space="preserve">N887QR  </v>
      </c>
      <c r="BE853">
        <v>1</v>
      </c>
      <c r="BJ853">
        <v>1650</v>
      </c>
      <c r="BK853">
        <v>-350</v>
      </c>
      <c r="BL853" t="s">
        <v>163</v>
      </c>
      <c r="BM853">
        <v>1</v>
      </c>
      <c r="BN853">
        <v>1</v>
      </c>
      <c r="BO853">
        <v>1</v>
      </c>
      <c r="BP853">
        <v>0</v>
      </c>
      <c r="BS853">
        <v>0</v>
      </c>
      <c r="BT853">
        <v>0</v>
      </c>
      <c r="BU853">
        <v>0</v>
      </c>
      <c r="CE853" t="str">
        <f t="shared" si="300"/>
        <v>19:27:53.784</v>
      </c>
      <c r="CF853">
        <v>783650654</v>
      </c>
      <c r="CS853">
        <v>3</v>
      </c>
      <c r="CT853">
        <v>2</v>
      </c>
      <c r="CU853">
        <v>0</v>
      </c>
      <c r="CV853">
        <v>2</v>
      </c>
      <c r="CW853">
        <v>0</v>
      </c>
      <c r="CX853">
        <v>2</v>
      </c>
      <c r="CY853">
        <v>7</v>
      </c>
      <c r="CZ853" t="s">
        <v>131</v>
      </c>
      <c r="DA853">
        <v>286</v>
      </c>
      <c r="DB853">
        <v>0</v>
      </c>
      <c r="DC853" t="s">
        <v>132</v>
      </c>
      <c r="DD853" t="s">
        <v>133</v>
      </c>
      <c r="DG853">
        <v>805324</v>
      </c>
      <c r="DI853">
        <v>1</v>
      </c>
      <c r="DJ853">
        <v>0</v>
      </c>
      <c r="DK853">
        <v>1</v>
      </c>
      <c r="DL853">
        <v>0</v>
      </c>
      <c r="DM853">
        <v>0</v>
      </c>
      <c r="DN853">
        <v>1</v>
      </c>
      <c r="DO853">
        <v>0</v>
      </c>
      <c r="DP853">
        <v>0</v>
      </c>
      <c r="DQ853">
        <v>0</v>
      </c>
      <c r="DR853">
        <v>0</v>
      </c>
      <c r="DS853">
        <v>0</v>
      </c>
    </row>
    <row r="854" spans="1:123" x14ac:dyDescent="0.3">
      <c r="A854" t="str">
        <f t="shared" si="299"/>
        <v>10/04/2022 19:27:54.025</v>
      </c>
      <c r="C854" t="str">
        <f t="shared" si="289"/>
        <v>FFDDD3C0</v>
      </c>
      <c r="D854" t="s">
        <v>123</v>
      </c>
      <c r="E854">
        <v>7</v>
      </c>
      <c r="F854">
        <v>2007</v>
      </c>
      <c r="G854" t="s">
        <v>124</v>
      </c>
      <c r="J854" t="s">
        <v>125</v>
      </c>
      <c r="K854">
        <v>0</v>
      </c>
      <c r="L854">
        <v>3</v>
      </c>
      <c r="M854">
        <v>0</v>
      </c>
      <c r="N854">
        <v>2</v>
      </c>
      <c r="O854">
        <v>0</v>
      </c>
      <c r="P854">
        <v>1</v>
      </c>
      <c r="Q854">
        <v>0</v>
      </c>
      <c r="S854" t="str">
        <f t="shared" si="297"/>
        <v>19:27:53.000</v>
      </c>
      <c r="T854" t="str">
        <f t="shared" si="297"/>
        <v>19:27:53.000</v>
      </c>
      <c r="U854" t="str">
        <f t="shared" si="293"/>
        <v>AC3944</v>
      </c>
      <c r="V854">
        <v>0</v>
      </c>
      <c r="W854">
        <v>0</v>
      </c>
      <c r="X854">
        <v>2</v>
      </c>
      <c r="Y854">
        <v>0</v>
      </c>
      <c r="AA854">
        <v>1</v>
      </c>
      <c r="AB854">
        <v>8</v>
      </c>
      <c r="AC854">
        <v>3</v>
      </c>
      <c r="AD854">
        <v>0</v>
      </c>
      <c r="AE854">
        <v>9</v>
      </c>
      <c r="AF854" t="s">
        <v>138</v>
      </c>
      <c r="AG854">
        <v>0</v>
      </c>
      <c r="AH854">
        <v>3</v>
      </c>
      <c r="AI854">
        <v>1</v>
      </c>
      <c r="AJ854">
        <v>0</v>
      </c>
      <c r="AK854" t="s">
        <v>377</v>
      </c>
      <c r="AL854">
        <v>32.813115000000003</v>
      </c>
      <c r="AM854" t="s">
        <v>378</v>
      </c>
      <c r="AN854">
        <v>-116.945364</v>
      </c>
      <c r="AO854">
        <v>25</v>
      </c>
      <c r="AP854">
        <v>2000</v>
      </c>
      <c r="AQ854" t="s">
        <v>129</v>
      </c>
      <c r="AR854">
        <v>103</v>
      </c>
      <c r="AS854">
        <v>-66</v>
      </c>
      <c r="AT854">
        <v>448</v>
      </c>
      <c r="BB854">
        <v>1200</v>
      </c>
      <c r="BC854">
        <v>1</v>
      </c>
      <c r="BD854" t="str">
        <f t="shared" si="294"/>
        <v xml:space="preserve">N887QR  </v>
      </c>
      <c r="BE854">
        <v>1</v>
      </c>
      <c r="BJ854">
        <v>1650</v>
      </c>
      <c r="BK854">
        <v>-350</v>
      </c>
      <c r="BL854" t="s">
        <v>163</v>
      </c>
      <c r="BM854">
        <v>1</v>
      </c>
      <c r="BN854">
        <v>1</v>
      </c>
      <c r="BO854">
        <v>1</v>
      </c>
      <c r="BP854">
        <v>0</v>
      </c>
      <c r="BS854">
        <v>0</v>
      </c>
      <c r="BT854">
        <v>0</v>
      </c>
      <c r="BU854">
        <v>0</v>
      </c>
      <c r="CE854" t="str">
        <f t="shared" si="300"/>
        <v>19:27:53.784</v>
      </c>
      <c r="CF854">
        <v>784271979</v>
      </c>
      <c r="CS854">
        <v>3</v>
      </c>
      <c r="CT854">
        <v>2</v>
      </c>
      <c r="CU854">
        <v>0</v>
      </c>
      <c r="CV854">
        <v>2</v>
      </c>
      <c r="CW854">
        <v>0</v>
      </c>
      <c r="CX854">
        <v>3</v>
      </c>
      <c r="CY854">
        <v>7</v>
      </c>
      <c r="CZ854" t="s">
        <v>131</v>
      </c>
      <c r="DA854">
        <v>292</v>
      </c>
      <c r="DB854">
        <v>0</v>
      </c>
      <c r="DC854" t="s">
        <v>254</v>
      </c>
      <c r="DD854" t="s">
        <v>255</v>
      </c>
      <c r="DG854">
        <v>3373300</v>
      </c>
      <c r="DI854">
        <v>1</v>
      </c>
      <c r="DJ854">
        <v>0</v>
      </c>
      <c r="DK854">
        <v>1</v>
      </c>
      <c r="DL854">
        <v>0</v>
      </c>
      <c r="DM854">
        <v>0</v>
      </c>
      <c r="DN854">
        <v>1</v>
      </c>
      <c r="DO854">
        <v>0</v>
      </c>
      <c r="DP854">
        <v>0</v>
      </c>
      <c r="DQ854">
        <v>0</v>
      </c>
      <c r="DR854">
        <v>0</v>
      </c>
      <c r="DS854">
        <v>0</v>
      </c>
    </row>
    <row r="855" spans="1:123" x14ac:dyDescent="0.3">
      <c r="A855" t="str">
        <f t="shared" si="299"/>
        <v>10/04/2022 19:27:54.025</v>
      </c>
      <c r="C855" t="str">
        <f t="shared" si="289"/>
        <v>FFDDD3C0</v>
      </c>
      <c r="D855" t="s">
        <v>141</v>
      </c>
      <c r="E855">
        <v>4</v>
      </c>
      <c r="H855">
        <v>4</v>
      </c>
      <c r="I855" t="s">
        <v>142</v>
      </c>
      <c r="J855" t="s">
        <v>138</v>
      </c>
      <c r="K855">
        <v>0</v>
      </c>
      <c r="L855">
        <v>3</v>
      </c>
      <c r="M855">
        <v>0</v>
      </c>
      <c r="N855">
        <v>2</v>
      </c>
      <c r="O855">
        <v>0</v>
      </c>
      <c r="P855">
        <v>1</v>
      </c>
      <c r="Q855">
        <v>0</v>
      </c>
      <c r="S855" t="str">
        <f t="shared" si="297"/>
        <v>19:27:53.000</v>
      </c>
      <c r="T855" t="str">
        <f t="shared" si="297"/>
        <v>19:27:53.000</v>
      </c>
      <c r="U855" t="str">
        <f t="shared" si="293"/>
        <v>AC3944</v>
      </c>
      <c r="V855">
        <v>0</v>
      </c>
      <c r="W855">
        <v>0</v>
      </c>
      <c r="X855">
        <v>2</v>
      </c>
      <c r="Y855">
        <v>0</v>
      </c>
      <c r="AA855">
        <v>1</v>
      </c>
      <c r="AB855">
        <v>8</v>
      </c>
      <c r="AC855">
        <v>3</v>
      </c>
      <c r="AD855">
        <v>0</v>
      </c>
      <c r="AE855">
        <v>9</v>
      </c>
      <c r="AF855" t="s">
        <v>138</v>
      </c>
      <c r="AG855">
        <v>0</v>
      </c>
      <c r="AH855">
        <v>3</v>
      </c>
      <c r="AI855">
        <v>1</v>
      </c>
      <c r="AJ855">
        <v>0</v>
      </c>
      <c r="AK855" t="s">
        <v>377</v>
      </c>
      <c r="AL855">
        <v>32.813115000000003</v>
      </c>
      <c r="AM855" t="s">
        <v>378</v>
      </c>
      <c r="AN855">
        <v>-116.945364</v>
      </c>
      <c r="AO855">
        <v>25</v>
      </c>
      <c r="AP855">
        <v>2000</v>
      </c>
      <c r="AQ855" t="s">
        <v>129</v>
      </c>
      <c r="AR855">
        <v>103</v>
      </c>
      <c r="AS855">
        <v>-66</v>
      </c>
      <c r="AT855">
        <v>448</v>
      </c>
      <c r="BB855">
        <v>1200</v>
      </c>
      <c r="BC855">
        <v>1</v>
      </c>
      <c r="BD855" t="str">
        <f t="shared" si="294"/>
        <v xml:space="preserve">N887QR  </v>
      </c>
      <c r="BE855">
        <v>1</v>
      </c>
      <c r="BJ855">
        <v>1650</v>
      </c>
      <c r="BK855">
        <v>-350</v>
      </c>
      <c r="BL855" t="s">
        <v>163</v>
      </c>
      <c r="BM855">
        <v>1</v>
      </c>
      <c r="BN855">
        <v>1</v>
      </c>
      <c r="BO855">
        <v>1</v>
      </c>
      <c r="BP855">
        <v>0</v>
      </c>
      <c r="BS855">
        <v>0</v>
      </c>
      <c r="BT855">
        <v>0</v>
      </c>
      <c r="BU855">
        <v>0</v>
      </c>
      <c r="CE855" t="str">
        <f t="shared" si="300"/>
        <v>19:27:53.784</v>
      </c>
      <c r="CF855">
        <v>783650654</v>
      </c>
      <c r="CS855">
        <v>3</v>
      </c>
      <c r="CT855">
        <v>2</v>
      </c>
      <c r="CU855">
        <v>0</v>
      </c>
      <c r="CV855">
        <v>2</v>
      </c>
      <c r="CW855">
        <v>0</v>
      </c>
      <c r="CX855">
        <v>2</v>
      </c>
      <c r="CY855">
        <v>7</v>
      </c>
      <c r="CZ855" t="s">
        <v>131</v>
      </c>
      <c r="DA855">
        <v>286</v>
      </c>
      <c r="DB855">
        <v>0</v>
      </c>
      <c r="DC855" t="s">
        <v>132</v>
      </c>
      <c r="DD855" t="s">
        <v>133</v>
      </c>
      <c r="DG855">
        <v>805324</v>
      </c>
      <c r="DI855">
        <v>1</v>
      </c>
      <c r="DJ855">
        <v>0</v>
      </c>
      <c r="DK855">
        <v>1</v>
      </c>
      <c r="DL855">
        <v>0</v>
      </c>
      <c r="DM855">
        <v>0</v>
      </c>
      <c r="DN855">
        <v>1</v>
      </c>
      <c r="DO855">
        <v>0</v>
      </c>
      <c r="DP855">
        <v>0</v>
      </c>
      <c r="DQ855">
        <v>0</v>
      </c>
      <c r="DR855">
        <v>0</v>
      </c>
      <c r="DS855">
        <v>0</v>
      </c>
    </row>
    <row r="856" spans="1:123" x14ac:dyDescent="0.3">
      <c r="A856" t="str">
        <f t="shared" si="299"/>
        <v>10/04/2022 19:27:54.025</v>
      </c>
      <c r="C856" t="str">
        <f t="shared" si="289"/>
        <v>FFDDD3C0</v>
      </c>
      <c r="D856" t="s">
        <v>147</v>
      </c>
      <c r="E856">
        <v>3</v>
      </c>
      <c r="H856">
        <v>166</v>
      </c>
      <c r="I856" t="s">
        <v>144</v>
      </c>
      <c r="J856" t="s">
        <v>148</v>
      </c>
      <c r="K856">
        <v>0</v>
      </c>
      <c r="L856">
        <v>3</v>
      </c>
      <c r="M856">
        <v>0</v>
      </c>
      <c r="N856">
        <v>2</v>
      </c>
      <c r="O856">
        <v>0</v>
      </c>
      <c r="P856">
        <v>1</v>
      </c>
      <c r="Q856">
        <v>0</v>
      </c>
      <c r="S856" t="str">
        <f t="shared" si="297"/>
        <v>19:27:53.000</v>
      </c>
      <c r="T856" t="str">
        <f t="shared" si="297"/>
        <v>19:27:53.000</v>
      </c>
      <c r="U856" t="str">
        <f t="shared" si="293"/>
        <v>AC3944</v>
      </c>
      <c r="V856">
        <v>0</v>
      </c>
      <c r="W856">
        <v>0</v>
      </c>
      <c r="X856">
        <v>2</v>
      </c>
      <c r="Y856">
        <v>0</v>
      </c>
      <c r="AA856">
        <v>1</v>
      </c>
      <c r="AB856">
        <v>8</v>
      </c>
      <c r="AC856">
        <v>3</v>
      </c>
      <c r="AD856">
        <v>0</v>
      </c>
      <c r="AE856">
        <v>9</v>
      </c>
      <c r="AF856" t="s">
        <v>138</v>
      </c>
      <c r="AG856">
        <v>0</v>
      </c>
      <c r="AH856">
        <v>3</v>
      </c>
      <c r="AI856">
        <v>1</v>
      </c>
      <c r="AJ856">
        <v>0</v>
      </c>
      <c r="AK856" t="s">
        <v>377</v>
      </c>
      <c r="AL856">
        <v>32.813115000000003</v>
      </c>
      <c r="AM856" t="s">
        <v>378</v>
      </c>
      <c r="AN856">
        <v>-116.945364</v>
      </c>
      <c r="AO856">
        <v>25</v>
      </c>
      <c r="AP856">
        <v>2000</v>
      </c>
      <c r="AQ856" t="s">
        <v>129</v>
      </c>
      <c r="AR856">
        <v>103</v>
      </c>
      <c r="AS856">
        <v>-66</v>
      </c>
      <c r="AT856">
        <v>448</v>
      </c>
      <c r="BB856">
        <v>1200</v>
      </c>
      <c r="BC856">
        <v>1</v>
      </c>
      <c r="BD856" t="str">
        <f t="shared" si="294"/>
        <v xml:space="preserve">N887QR  </v>
      </c>
      <c r="BE856">
        <v>1</v>
      </c>
      <c r="BJ856">
        <v>1650</v>
      </c>
      <c r="BK856">
        <v>-350</v>
      </c>
      <c r="BL856" t="s">
        <v>163</v>
      </c>
      <c r="BM856">
        <v>1</v>
      </c>
      <c r="BN856">
        <v>1</v>
      </c>
      <c r="BO856">
        <v>1</v>
      </c>
      <c r="BP856">
        <v>0</v>
      </c>
      <c r="BS856">
        <v>0</v>
      </c>
      <c r="BT856">
        <v>0</v>
      </c>
      <c r="BU856">
        <v>0</v>
      </c>
      <c r="CE856" t="str">
        <f t="shared" si="300"/>
        <v>19:27:53.784</v>
      </c>
      <c r="CF856">
        <v>784271979</v>
      </c>
      <c r="CS856">
        <v>3</v>
      </c>
      <c r="CT856">
        <v>2</v>
      </c>
      <c r="CU856">
        <v>0</v>
      </c>
      <c r="CV856">
        <v>2</v>
      </c>
      <c r="CW856">
        <v>0</v>
      </c>
      <c r="CX856">
        <v>3</v>
      </c>
      <c r="CY856">
        <v>7</v>
      </c>
      <c r="CZ856" t="s">
        <v>131</v>
      </c>
      <c r="DA856">
        <v>292</v>
      </c>
      <c r="DB856">
        <v>0</v>
      </c>
      <c r="DC856" t="s">
        <v>254</v>
      </c>
      <c r="DD856" t="s">
        <v>255</v>
      </c>
      <c r="DG856">
        <v>3373300</v>
      </c>
      <c r="DI856">
        <v>1</v>
      </c>
      <c r="DJ856">
        <v>0</v>
      </c>
      <c r="DK856">
        <v>1</v>
      </c>
      <c r="DL856">
        <v>0</v>
      </c>
      <c r="DM856">
        <v>0</v>
      </c>
      <c r="DN856">
        <v>1</v>
      </c>
      <c r="DO856">
        <v>0</v>
      </c>
      <c r="DP856">
        <v>0</v>
      </c>
      <c r="DQ856">
        <v>0</v>
      </c>
      <c r="DR856">
        <v>0</v>
      </c>
      <c r="DS856">
        <v>0</v>
      </c>
    </row>
    <row r="857" spans="1:123" x14ac:dyDescent="0.3">
      <c r="A857" t="str">
        <f>"10/04/2022 19:27:55.979"</f>
        <v>10/04/2022 19:27:55.979</v>
      </c>
      <c r="C857" t="str">
        <f t="shared" si="289"/>
        <v>FFDDD3C0</v>
      </c>
      <c r="D857" t="s">
        <v>136</v>
      </c>
      <c r="E857">
        <v>8</v>
      </c>
      <c r="H857">
        <v>225</v>
      </c>
      <c r="I857" t="s">
        <v>137</v>
      </c>
      <c r="J857" t="s">
        <v>138</v>
      </c>
      <c r="K857">
        <v>0</v>
      </c>
      <c r="L857">
        <v>3</v>
      </c>
      <c r="M857">
        <v>0</v>
      </c>
      <c r="N857">
        <v>2</v>
      </c>
      <c r="O857">
        <v>0</v>
      </c>
      <c r="P857">
        <v>1</v>
      </c>
      <c r="Q857">
        <v>0</v>
      </c>
      <c r="S857" t="str">
        <f t="shared" ref="S857:T870" si="301">"19:27:55.000"</f>
        <v>19:27:55.000</v>
      </c>
      <c r="T857" t="str">
        <f t="shared" si="301"/>
        <v>19:27:55.000</v>
      </c>
      <c r="U857" t="str">
        <f t="shared" si="293"/>
        <v>AC3944</v>
      </c>
      <c r="V857">
        <v>0</v>
      </c>
      <c r="W857">
        <v>0</v>
      </c>
      <c r="X857">
        <v>2</v>
      </c>
      <c r="Y857">
        <v>0</v>
      </c>
      <c r="AA857">
        <v>1</v>
      </c>
      <c r="AB857">
        <v>8</v>
      </c>
      <c r="AC857">
        <v>3</v>
      </c>
      <c r="AD857">
        <v>0</v>
      </c>
      <c r="AE857">
        <v>9</v>
      </c>
      <c r="AF857" t="s">
        <v>138</v>
      </c>
      <c r="AG857">
        <v>0</v>
      </c>
      <c r="AH857">
        <v>3</v>
      </c>
      <c r="AI857">
        <v>1</v>
      </c>
      <c r="AJ857">
        <v>0</v>
      </c>
      <c r="AK857" t="s">
        <v>379</v>
      </c>
      <c r="AL857">
        <v>32.812578999999999</v>
      </c>
      <c r="AM857" t="s">
        <v>380</v>
      </c>
      <c r="AN857">
        <v>-116.944335</v>
      </c>
      <c r="AO857">
        <v>25</v>
      </c>
      <c r="AP857">
        <v>2000</v>
      </c>
      <c r="AQ857" t="s">
        <v>129</v>
      </c>
      <c r="AR857">
        <v>104</v>
      </c>
      <c r="AS857">
        <v>-63</v>
      </c>
      <c r="AT857">
        <v>512</v>
      </c>
      <c r="BB857">
        <v>1200</v>
      </c>
      <c r="BC857">
        <v>1</v>
      </c>
      <c r="BD857" t="str">
        <f t="shared" si="294"/>
        <v xml:space="preserve">N887QR  </v>
      </c>
      <c r="BE857">
        <v>1</v>
      </c>
      <c r="BJ857">
        <v>1650</v>
      </c>
      <c r="BK857">
        <v>-350</v>
      </c>
      <c r="BL857" t="s">
        <v>163</v>
      </c>
      <c r="BM857">
        <v>1</v>
      </c>
      <c r="BN857">
        <v>1</v>
      </c>
      <c r="BO857">
        <v>1</v>
      </c>
      <c r="BP857">
        <v>0</v>
      </c>
      <c r="BS857">
        <v>0</v>
      </c>
      <c r="BT857">
        <v>0</v>
      </c>
      <c r="BU857">
        <v>0</v>
      </c>
      <c r="CE857" t="str">
        <f>"19:27:55.772"</f>
        <v>19:27:55.772</v>
      </c>
      <c r="CF857">
        <v>772393251</v>
      </c>
      <c r="CS857">
        <v>3</v>
      </c>
      <c r="CT857">
        <v>2</v>
      </c>
      <c r="CU857">
        <v>0</v>
      </c>
      <c r="CV857">
        <v>2</v>
      </c>
      <c r="CW857">
        <v>0</v>
      </c>
      <c r="CX857">
        <v>5</v>
      </c>
      <c r="CY857">
        <v>7</v>
      </c>
      <c r="CZ857" t="s">
        <v>131</v>
      </c>
      <c r="DA857">
        <v>300</v>
      </c>
      <c r="DB857">
        <v>0</v>
      </c>
      <c r="DC857" t="s">
        <v>176</v>
      </c>
      <c r="DD857" t="s">
        <v>177</v>
      </c>
      <c r="DG857">
        <v>5372959</v>
      </c>
      <c r="DI857">
        <v>1</v>
      </c>
      <c r="DJ857">
        <v>0</v>
      </c>
      <c r="DK857">
        <v>0</v>
      </c>
      <c r="DL857">
        <v>0</v>
      </c>
      <c r="DM857">
        <v>0</v>
      </c>
      <c r="DN857">
        <v>1</v>
      </c>
      <c r="DO857">
        <v>0</v>
      </c>
      <c r="DP857">
        <v>0</v>
      </c>
      <c r="DQ857">
        <v>0</v>
      </c>
      <c r="DR857">
        <v>0</v>
      </c>
      <c r="DS857">
        <v>0</v>
      </c>
    </row>
    <row r="858" spans="1:123" x14ac:dyDescent="0.3">
      <c r="A858" t="str">
        <f t="shared" ref="A858:A864" si="302">"10/04/2022 19:27:55.729"</f>
        <v>10/04/2022 19:27:55.729</v>
      </c>
      <c r="C858" t="str">
        <f t="shared" si="289"/>
        <v>FFDDD3C0</v>
      </c>
      <c r="D858" t="s">
        <v>141</v>
      </c>
      <c r="E858">
        <v>4</v>
      </c>
      <c r="H858">
        <v>4</v>
      </c>
      <c r="I858" t="s">
        <v>142</v>
      </c>
      <c r="J858" t="s">
        <v>138</v>
      </c>
      <c r="K858">
        <v>0</v>
      </c>
      <c r="L858">
        <v>3</v>
      </c>
      <c r="M858">
        <v>0</v>
      </c>
      <c r="N858">
        <v>2</v>
      </c>
      <c r="O858">
        <v>0</v>
      </c>
      <c r="P858">
        <v>1</v>
      </c>
      <c r="Q858">
        <v>0</v>
      </c>
      <c r="S858" t="str">
        <f t="shared" si="301"/>
        <v>19:27:55.000</v>
      </c>
      <c r="T858" t="str">
        <f t="shared" si="301"/>
        <v>19:27:55.000</v>
      </c>
      <c r="U858" t="str">
        <f t="shared" si="293"/>
        <v>AC3944</v>
      </c>
      <c r="V858">
        <v>0</v>
      </c>
      <c r="W858">
        <v>0</v>
      </c>
      <c r="X858">
        <v>2</v>
      </c>
      <c r="Y858">
        <v>0</v>
      </c>
      <c r="AA858">
        <v>1</v>
      </c>
      <c r="AB858">
        <v>8</v>
      </c>
      <c r="AC858">
        <v>3</v>
      </c>
      <c r="AD858">
        <v>0</v>
      </c>
      <c r="AE858">
        <v>9</v>
      </c>
      <c r="AF858" t="s">
        <v>138</v>
      </c>
      <c r="AG858">
        <v>0</v>
      </c>
      <c r="AH858">
        <v>3</v>
      </c>
      <c r="AI858">
        <v>1</v>
      </c>
      <c r="AJ858">
        <v>0</v>
      </c>
      <c r="AK858" t="s">
        <v>381</v>
      </c>
      <c r="AL858">
        <v>32.812815000000001</v>
      </c>
      <c r="AM858" t="s">
        <v>382</v>
      </c>
      <c r="AN858">
        <v>-116.944785</v>
      </c>
      <c r="AO858">
        <v>25</v>
      </c>
      <c r="AP858">
        <v>2000</v>
      </c>
      <c r="AQ858" t="s">
        <v>129</v>
      </c>
      <c r="AR858">
        <v>104</v>
      </c>
      <c r="AS858">
        <v>-64</v>
      </c>
      <c r="AT858">
        <v>512</v>
      </c>
      <c r="BB858">
        <v>1200</v>
      </c>
      <c r="BC858">
        <v>1</v>
      </c>
      <c r="BD858" t="str">
        <f t="shared" si="294"/>
        <v xml:space="preserve">N887QR  </v>
      </c>
      <c r="BE858">
        <v>1</v>
      </c>
      <c r="BJ858">
        <v>1650</v>
      </c>
      <c r="BK858">
        <v>-350</v>
      </c>
      <c r="BL858" t="s">
        <v>163</v>
      </c>
      <c r="BM858">
        <v>1</v>
      </c>
      <c r="BN858">
        <v>1</v>
      </c>
      <c r="BO858">
        <v>1</v>
      </c>
      <c r="BP858">
        <v>0</v>
      </c>
      <c r="BS858">
        <v>0</v>
      </c>
      <c r="BT858">
        <v>0</v>
      </c>
      <c r="BU858">
        <v>0</v>
      </c>
      <c r="CE858" t="str">
        <f t="shared" ref="CE858:CE864" si="303">"19:27:55.529"</f>
        <v>19:27:55.529</v>
      </c>
      <c r="CF858">
        <v>528655882</v>
      </c>
      <c r="CS858">
        <v>3</v>
      </c>
      <c r="CT858">
        <v>2</v>
      </c>
      <c r="CU858">
        <v>0</v>
      </c>
      <c r="CV858">
        <v>2</v>
      </c>
      <c r="CW858">
        <v>0</v>
      </c>
      <c r="CX858">
        <v>2</v>
      </c>
      <c r="CY858">
        <v>7</v>
      </c>
      <c r="CZ858" t="s">
        <v>131</v>
      </c>
      <c r="DA858">
        <v>286</v>
      </c>
      <c r="DB858">
        <v>0</v>
      </c>
      <c r="DC858" t="s">
        <v>132</v>
      </c>
      <c r="DD858" t="s">
        <v>133</v>
      </c>
      <c r="DG858">
        <v>805592</v>
      </c>
      <c r="DI858">
        <v>1</v>
      </c>
      <c r="DJ858">
        <v>0</v>
      </c>
      <c r="DK858">
        <v>1</v>
      </c>
      <c r="DL858">
        <v>0</v>
      </c>
      <c r="DM858">
        <v>0</v>
      </c>
      <c r="DN858">
        <v>1</v>
      </c>
      <c r="DO858">
        <v>0</v>
      </c>
      <c r="DP858">
        <v>0</v>
      </c>
      <c r="DQ858">
        <v>0</v>
      </c>
      <c r="DR858">
        <v>0</v>
      </c>
      <c r="DS858">
        <v>0</v>
      </c>
    </row>
    <row r="859" spans="1:123" x14ac:dyDescent="0.3">
      <c r="A859" t="str">
        <f t="shared" si="302"/>
        <v>10/04/2022 19:27:55.729</v>
      </c>
      <c r="C859" t="str">
        <f t="shared" si="289"/>
        <v>FFDDD3C0</v>
      </c>
      <c r="D859" t="s">
        <v>143</v>
      </c>
      <c r="E859">
        <v>20</v>
      </c>
      <c r="F859">
        <v>1020</v>
      </c>
      <c r="G859" t="s">
        <v>144</v>
      </c>
      <c r="J859" t="s">
        <v>145</v>
      </c>
      <c r="K859">
        <v>0</v>
      </c>
      <c r="L859">
        <v>3</v>
      </c>
      <c r="M859">
        <v>0</v>
      </c>
      <c r="N859">
        <v>2</v>
      </c>
      <c r="O859">
        <v>0</v>
      </c>
      <c r="P859">
        <v>1</v>
      </c>
      <c r="Q859">
        <v>0</v>
      </c>
      <c r="S859" t="str">
        <f t="shared" si="301"/>
        <v>19:27:55.000</v>
      </c>
      <c r="T859" t="str">
        <f t="shared" si="301"/>
        <v>19:27:55.000</v>
      </c>
      <c r="U859" t="str">
        <f t="shared" si="293"/>
        <v>AC3944</v>
      </c>
      <c r="V859">
        <v>0</v>
      </c>
      <c r="W859">
        <v>0</v>
      </c>
      <c r="X859">
        <v>2</v>
      </c>
      <c r="Y859">
        <v>0</v>
      </c>
      <c r="AA859">
        <v>1</v>
      </c>
      <c r="AB859">
        <v>8</v>
      </c>
      <c r="AC859">
        <v>3</v>
      </c>
      <c r="AD859">
        <v>0</v>
      </c>
      <c r="AE859">
        <v>9</v>
      </c>
      <c r="AF859" t="s">
        <v>138</v>
      </c>
      <c r="AG859">
        <v>0</v>
      </c>
      <c r="AH859">
        <v>3</v>
      </c>
      <c r="AI859">
        <v>1</v>
      </c>
      <c r="AJ859">
        <v>0</v>
      </c>
      <c r="AK859" t="s">
        <v>381</v>
      </c>
      <c r="AL859">
        <v>32.812815000000001</v>
      </c>
      <c r="AM859" t="s">
        <v>382</v>
      </c>
      <c r="AN859">
        <v>-116.944785</v>
      </c>
      <c r="AO859">
        <v>25</v>
      </c>
      <c r="AP859">
        <v>2000</v>
      </c>
      <c r="AQ859" t="s">
        <v>129</v>
      </c>
      <c r="AR859">
        <v>104</v>
      </c>
      <c r="AS859">
        <v>-64</v>
      </c>
      <c r="AT859">
        <v>512</v>
      </c>
      <c r="BB859">
        <v>1200</v>
      </c>
      <c r="BC859">
        <v>1</v>
      </c>
      <c r="BD859" t="str">
        <f t="shared" si="294"/>
        <v xml:space="preserve">N887QR  </v>
      </c>
      <c r="BE859">
        <v>1</v>
      </c>
      <c r="BJ859">
        <v>1650</v>
      </c>
      <c r="BK859">
        <v>-350</v>
      </c>
      <c r="BL859" t="s">
        <v>163</v>
      </c>
      <c r="BM859">
        <v>1</v>
      </c>
      <c r="BN859">
        <v>1</v>
      </c>
      <c r="BO859">
        <v>1</v>
      </c>
      <c r="BP859">
        <v>0</v>
      </c>
      <c r="BS859">
        <v>0</v>
      </c>
      <c r="BT859">
        <v>0</v>
      </c>
      <c r="BU859">
        <v>0</v>
      </c>
      <c r="CE859" t="str">
        <f t="shared" si="303"/>
        <v>19:27:55.529</v>
      </c>
      <c r="CF859">
        <v>529277724</v>
      </c>
      <c r="CS859">
        <v>3</v>
      </c>
      <c r="CT859">
        <v>2</v>
      </c>
      <c r="CU859">
        <v>0</v>
      </c>
      <c r="CV859">
        <v>2</v>
      </c>
      <c r="CW859">
        <v>0</v>
      </c>
      <c r="CX859">
        <v>3</v>
      </c>
      <c r="CY859">
        <v>7</v>
      </c>
      <c r="CZ859" t="s">
        <v>131</v>
      </c>
      <c r="DA859">
        <v>292</v>
      </c>
      <c r="DB859">
        <v>0</v>
      </c>
      <c r="DC859" t="s">
        <v>254</v>
      </c>
      <c r="DD859" t="s">
        <v>255</v>
      </c>
      <c r="DG859">
        <v>3373492</v>
      </c>
      <c r="DI859">
        <v>1</v>
      </c>
      <c r="DJ859">
        <v>0</v>
      </c>
      <c r="DK859">
        <v>1</v>
      </c>
      <c r="DL859">
        <v>0</v>
      </c>
      <c r="DM859">
        <v>0</v>
      </c>
      <c r="DN859">
        <v>1</v>
      </c>
      <c r="DO859">
        <v>0</v>
      </c>
      <c r="DP859">
        <v>0</v>
      </c>
      <c r="DQ859">
        <v>0</v>
      </c>
      <c r="DR859">
        <v>0</v>
      </c>
      <c r="DS859">
        <v>0</v>
      </c>
    </row>
    <row r="860" spans="1:123" x14ac:dyDescent="0.3">
      <c r="A860" t="str">
        <f t="shared" si="302"/>
        <v>10/04/2022 19:27:55.729</v>
      </c>
      <c r="C860" t="str">
        <f t="shared" si="289"/>
        <v>FFDDD3C0</v>
      </c>
      <c r="D860" t="s">
        <v>136</v>
      </c>
      <c r="E860">
        <v>8</v>
      </c>
      <c r="H860">
        <v>225</v>
      </c>
      <c r="I860" t="s">
        <v>137</v>
      </c>
      <c r="J860" t="s">
        <v>138</v>
      </c>
      <c r="K860">
        <v>0</v>
      </c>
      <c r="L860">
        <v>3</v>
      </c>
      <c r="M860">
        <v>0</v>
      </c>
      <c r="N860">
        <v>2</v>
      </c>
      <c r="O860">
        <v>0</v>
      </c>
      <c r="P860">
        <v>1</v>
      </c>
      <c r="Q860">
        <v>0</v>
      </c>
      <c r="S860" t="str">
        <f t="shared" si="301"/>
        <v>19:27:55.000</v>
      </c>
      <c r="T860" t="str">
        <f t="shared" si="301"/>
        <v>19:27:55.000</v>
      </c>
      <c r="U860" t="str">
        <f t="shared" si="293"/>
        <v>AC3944</v>
      </c>
      <c r="V860">
        <v>0</v>
      </c>
      <c r="W860">
        <v>0</v>
      </c>
      <c r="X860">
        <v>2</v>
      </c>
      <c r="Y860">
        <v>0</v>
      </c>
      <c r="AA860">
        <v>1</v>
      </c>
      <c r="AB860">
        <v>8</v>
      </c>
      <c r="AC860">
        <v>3</v>
      </c>
      <c r="AD860">
        <v>0</v>
      </c>
      <c r="AE860">
        <v>9</v>
      </c>
      <c r="AF860" t="s">
        <v>138</v>
      </c>
      <c r="AG860">
        <v>0</v>
      </c>
      <c r="AH860">
        <v>3</v>
      </c>
      <c r="AI860">
        <v>1</v>
      </c>
      <c r="AJ860">
        <v>0</v>
      </c>
      <c r="AK860" t="s">
        <v>381</v>
      </c>
      <c r="AL860">
        <v>32.812815000000001</v>
      </c>
      <c r="AM860" t="s">
        <v>382</v>
      </c>
      <c r="AN860">
        <v>-116.944785</v>
      </c>
      <c r="AO860">
        <v>25</v>
      </c>
      <c r="AP860">
        <v>2000</v>
      </c>
      <c r="AQ860" t="s">
        <v>129</v>
      </c>
      <c r="AR860">
        <v>104</v>
      </c>
      <c r="AS860">
        <v>-64</v>
      </c>
      <c r="AT860">
        <v>512</v>
      </c>
      <c r="BB860">
        <v>1200</v>
      </c>
      <c r="BC860">
        <v>1</v>
      </c>
      <c r="BD860" t="str">
        <f t="shared" si="294"/>
        <v xml:space="preserve">N887QR  </v>
      </c>
      <c r="BE860">
        <v>1</v>
      </c>
      <c r="BJ860">
        <v>1650</v>
      </c>
      <c r="BK860">
        <v>-350</v>
      </c>
      <c r="BL860" t="s">
        <v>163</v>
      </c>
      <c r="BM860">
        <v>1</v>
      </c>
      <c r="BN860">
        <v>1</v>
      </c>
      <c r="BO860">
        <v>1</v>
      </c>
      <c r="BP860">
        <v>0</v>
      </c>
      <c r="BS860">
        <v>0</v>
      </c>
      <c r="BT860">
        <v>0</v>
      </c>
      <c r="BU860">
        <v>0</v>
      </c>
      <c r="CE860" t="str">
        <f t="shared" si="303"/>
        <v>19:27:55.529</v>
      </c>
      <c r="CF860">
        <v>528655882</v>
      </c>
      <c r="CS860">
        <v>3</v>
      </c>
      <c r="CT860">
        <v>2</v>
      </c>
      <c r="CU860">
        <v>0</v>
      </c>
      <c r="CV860">
        <v>2</v>
      </c>
      <c r="CW860">
        <v>0</v>
      </c>
      <c r="CX860">
        <v>2</v>
      </c>
      <c r="CY860">
        <v>7</v>
      </c>
      <c r="CZ860" t="s">
        <v>131</v>
      </c>
      <c r="DA860">
        <v>286</v>
      </c>
      <c r="DB860">
        <v>0</v>
      </c>
      <c r="DC860" t="s">
        <v>132</v>
      </c>
      <c r="DD860" t="s">
        <v>133</v>
      </c>
      <c r="DG860">
        <v>805592</v>
      </c>
      <c r="DI860">
        <v>1</v>
      </c>
      <c r="DJ860">
        <v>0</v>
      </c>
      <c r="DK860">
        <v>1</v>
      </c>
      <c r="DL860">
        <v>0</v>
      </c>
      <c r="DM860">
        <v>0</v>
      </c>
      <c r="DN860">
        <v>1</v>
      </c>
      <c r="DO860">
        <v>0</v>
      </c>
      <c r="DP860">
        <v>0</v>
      </c>
      <c r="DQ860">
        <v>0</v>
      </c>
      <c r="DR860">
        <v>0</v>
      </c>
      <c r="DS860">
        <v>0</v>
      </c>
    </row>
    <row r="861" spans="1:123" x14ac:dyDescent="0.3">
      <c r="A861" t="str">
        <f t="shared" si="302"/>
        <v>10/04/2022 19:27:55.729</v>
      </c>
      <c r="C861" t="str">
        <f t="shared" si="289"/>
        <v>FFDDD3C0</v>
      </c>
      <c r="D861" t="s">
        <v>123</v>
      </c>
      <c r="E861">
        <v>7</v>
      </c>
      <c r="F861">
        <v>2007</v>
      </c>
      <c r="G861" t="s">
        <v>124</v>
      </c>
      <c r="J861" t="s">
        <v>125</v>
      </c>
      <c r="K861">
        <v>0</v>
      </c>
      <c r="L861">
        <v>3</v>
      </c>
      <c r="M861">
        <v>0</v>
      </c>
      <c r="N861">
        <v>2</v>
      </c>
      <c r="O861">
        <v>0</v>
      </c>
      <c r="P861">
        <v>1</v>
      </c>
      <c r="Q861">
        <v>0</v>
      </c>
      <c r="S861" t="str">
        <f t="shared" si="301"/>
        <v>19:27:55.000</v>
      </c>
      <c r="T861" t="str">
        <f t="shared" si="301"/>
        <v>19:27:55.000</v>
      </c>
      <c r="U861" t="str">
        <f t="shared" si="293"/>
        <v>AC3944</v>
      </c>
      <c r="V861">
        <v>0</v>
      </c>
      <c r="W861">
        <v>0</v>
      </c>
      <c r="X861">
        <v>2</v>
      </c>
      <c r="Y861">
        <v>0</v>
      </c>
      <c r="AA861">
        <v>1</v>
      </c>
      <c r="AB861">
        <v>8</v>
      </c>
      <c r="AC861">
        <v>3</v>
      </c>
      <c r="AD861">
        <v>0</v>
      </c>
      <c r="AE861">
        <v>9</v>
      </c>
      <c r="AF861" t="s">
        <v>138</v>
      </c>
      <c r="AG861">
        <v>0</v>
      </c>
      <c r="AH861">
        <v>3</v>
      </c>
      <c r="AI861">
        <v>1</v>
      </c>
      <c r="AJ861">
        <v>0</v>
      </c>
      <c r="AK861" t="s">
        <v>381</v>
      </c>
      <c r="AL861">
        <v>32.812815000000001</v>
      </c>
      <c r="AM861" t="s">
        <v>382</v>
      </c>
      <c r="AN861">
        <v>-116.944785</v>
      </c>
      <c r="AO861">
        <v>25</v>
      </c>
      <c r="AP861">
        <v>2000</v>
      </c>
      <c r="AQ861" t="s">
        <v>129</v>
      </c>
      <c r="AR861">
        <v>104</v>
      </c>
      <c r="AS861">
        <v>-64</v>
      </c>
      <c r="AT861">
        <v>512</v>
      </c>
      <c r="BB861">
        <v>1200</v>
      </c>
      <c r="BC861">
        <v>1</v>
      </c>
      <c r="BD861" t="str">
        <f t="shared" si="294"/>
        <v xml:space="preserve">N887QR  </v>
      </c>
      <c r="BE861">
        <v>1</v>
      </c>
      <c r="BJ861">
        <v>1650</v>
      </c>
      <c r="BK861">
        <v>-350</v>
      </c>
      <c r="BL861" t="s">
        <v>163</v>
      </c>
      <c r="BM861">
        <v>1</v>
      </c>
      <c r="BN861">
        <v>1</v>
      </c>
      <c r="BO861">
        <v>1</v>
      </c>
      <c r="BP861">
        <v>0</v>
      </c>
      <c r="BS861">
        <v>0</v>
      </c>
      <c r="BT861">
        <v>0</v>
      </c>
      <c r="BU861">
        <v>0</v>
      </c>
      <c r="CE861" t="str">
        <f t="shared" si="303"/>
        <v>19:27:55.529</v>
      </c>
      <c r="CF861">
        <v>529277724</v>
      </c>
      <c r="CS861">
        <v>3</v>
      </c>
      <c r="CT861">
        <v>2</v>
      </c>
      <c r="CU861">
        <v>0</v>
      </c>
      <c r="CV861">
        <v>2</v>
      </c>
      <c r="CW861">
        <v>0</v>
      </c>
      <c r="CX861">
        <v>3</v>
      </c>
      <c r="CY861">
        <v>7</v>
      </c>
      <c r="CZ861" t="s">
        <v>131</v>
      </c>
      <c r="DA861">
        <v>292</v>
      </c>
      <c r="DB861">
        <v>0</v>
      </c>
      <c r="DC861" t="s">
        <v>254</v>
      </c>
      <c r="DD861" t="s">
        <v>255</v>
      </c>
      <c r="DG861">
        <v>3373492</v>
      </c>
      <c r="DI861">
        <v>1</v>
      </c>
      <c r="DJ861">
        <v>0</v>
      </c>
      <c r="DK861">
        <v>1</v>
      </c>
      <c r="DL861">
        <v>0</v>
      </c>
      <c r="DM861">
        <v>0</v>
      </c>
      <c r="DN861">
        <v>1</v>
      </c>
      <c r="DO861">
        <v>0</v>
      </c>
      <c r="DP861">
        <v>0</v>
      </c>
      <c r="DQ861">
        <v>0</v>
      </c>
      <c r="DR861">
        <v>0</v>
      </c>
      <c r="DS861">
        <v>0</v>
      </c>
    </row>
    <row r="862" spans="1:123" x14ac:dyDescent="0.3">
      <c r="A862" t="str">
        <f t="shared" si="302"/>
        <v>10/04/2022 19:27:55.729</v>
      </c>
      <c r="C862" t="str">
        <f t="shared" si="289"/>
        <v>FFDDD3C0</v>
      </c>
      <c r="D862" t="s">
        <v>141</v>
      </c>
      <c r="E862">
        <v>3</v>
      </c>
      <c r="H862">
        <v>3</v>
      </c>
      <c r="I862" t="s">
        <v>146</v>
      </c>
      <c r="J862" t="s">
        <v>138</v>
      </c>
      <c r="K862">
        <v>0</v>
      </c>
      <c r="L862">
        <v>3</v>
      </c>
      <c r="M862">
        <v>0</v>
      </c>
      <c r="N862">
        <v>2</v>
      </c>
      <c r="O862">
        <v>0</v>
      </c>
      <c r="P862">
        <v>1</v>
      </c>
      <c r="Q862">
        <v>0</v>
      </c>
      <c r="S862" t="str">
        <f t="shared" si="301"/>
        <v>19:27:55.000</v>
      </c>
      <c r="T862" t="str">
        <f t="shared" si="301"/>
        <v>19:27:55.000</v>
      </c>
      <c r="U862" t="str">
        <f t="shared" si="293"/>
        <v>AC3944</v>
      </c>
      <c r="V862">
        <v>0</v>
      </c>
      <c r="W862">
        <v>0</v>
      </c>
      <c r="X862">
        <v>2</v>
      </c>
      <c r="Y862">
        <v>0</v>
      </c>
      <c r="AA862">
        <v>1</v>
      </c>
      <c r="AB862">
        <v>8</v>
      </c>
      <c r="AC862">
        <v>3</v>
      </c>
      <c r="AD862">
        <v>0</v>
      </c>
      <c r="AE862">
        <v>9</v>
      </c>
      <c r="AF862" t="s">
        <v>138</v>
      </c>
      <c r="AG862">
        <v>0</v>
      </c>
      <c r="AH862">
        <v>3</v>
      </c>
      <c r="AI862">
        <v>1</v>
      </c>
      <c r="AJ862">
        <v>0</v>
      </c>
      <c r="AK862" t="s">
        <v>381</v>
      </c>
      <c r="AL862">
        <v>32.812815000000001</v>
      </c>
      <c r="AM862" t="s">
        <v>382</v>
      </c>
      <c r="AN862">
        <v>-116.944785</v>
      </c>
      <c r="AO862">
        <v>25</v>
      </c>
      <c r="AP862">
        <v>2000</v>
      </c>
      <c r="AQ862" t="s">
        <v>129</v>
      </c>
      <c r="AR862">
        <v>104</v>
      </c>
      <c r="AS862">
        <v>-64</v>
      </c>
      <c r="AT862">
        <v>512</v>
      </c>
      <c r="BB862">
        <v>1200</v>
      </c>
      <c r="BC862">
        <v>1</v>
      </c>
      <c r="BD862" t="str">
        <f t="shared" si="294"/>
        <v xml:space="preserve">N887QR  </v>
      </c>
      <c r="BE862">
        <v>1</v>
      </c>
      <c r="BJ862">
        <v>1650</v>
      </c>
      <c r="BK862">
        <v>-350</v>
      </c>
      <c r="BL862" t="s">
        <v>163</v>
      </c>
      <c r="BM862">
        <v>1</v>
      </c>
      <c r="BN862">
        <v>1</v>
      </c>
      <c r="BO862">
        <v>1</v>
      </c>
      <c r="BP862">
        <v>0</v>
      </c>
      <c r="BS862">
        <v>0</v>
      </c>
      <c r="BT862">
        <v>0</v>
      </c>
      <c r="BU862">
        <v>0</v>
      </c>
      <c r="CE862" t="str">
        <f t="shared" si="303"/>
        <v>19:27:55.529</v>
      </c>
      <c r="CF862">
        <v>528655882</v>
      </c>
      <c r="CS862">
        <v>3</v>
      </c>
      <c r="CT862">
        <v>2</v>
      </c>
      <c r="CU862">
        <v>0</v>
      </c>
      <c r="CV862">
        <v>2</v>
      </c>
      <c r="CW862">
        <v>0</v>
      </c>
      <c r="CX862">
        <v>2</v>
      </c>
      <c r="CY862">
        <v>7</v>
      </c>
      <c r="CZ862" t="s">
        <v>131</v>
      </c>
      <c r="DA862">
        <v>286</v>
      </c>
      <c r="DB862">
        <v>0</v>
      </c>
      <c r="DC862" t="s">
        <v>132</v>
      </c>
      <c r="DD862" t="s">
        <v>133</v>
      </c>
      <c r="DG862">
        <v>805592</v>
      </c>
      <c r="DI862">
        <v>1</v>
      </c>
      <c r="DJ862">
        <v>0</v>
      </c>
      <c r="DK862">
        <v>1</v>
      </c>
      <c r="DL862">
        <v>0</v>
      </c>
      <c r="DM862">
        <v>0</v>
      </c>
      <c r="DN862">
        <v>1</v>
      </c>
      <c r="DO862">
        <v>0</v>
      </c>
      <c r="DP862">
        <v>0</v>
      </c>
      <c r="DQ862">
        <v>0</v>
      </c>
      <c r="DR862">
        <v>0</v>
      </c>
      <c r="DS862">
        <v>0</v>
      </c>
    </row>
    <row r="863" spans="1:123" x14ac:dyDescent="0.3">
      <c r="A863" t="str">
        <f t="shared" si="302"/>
        <v>10/04/2022 19:27:55.729</v>
      </c>
      <c r="C863" t="str">
        <f t="shared" si="289"/>
        <v>FFDDD3C0</v>
      </c>
      <c r="D863" t="s">
        <v>134</v>
      </c>
      <c r="E863">
        <v>15</v>
      </c>
      <c r="J863" t="s">
        <v>135</v>
      </c>
      <c r="K863">
        <v>0</v>
      </c>
      <c r="L863">
        <v>3</v>
      </c>
      <c r="M863">
        <v>0</v>
      </c>
      <c r="N863">
        <v>2</v>
      </c>
      <c r="O863">
        <v>0</v>
      </c>
      <c r="P863">
        <v>1</v>
      </c>
      <c r="Q863">
        <v>0</v>
      </c>
      <c r="S863" t="str">
        <f t="shared" si="301"/>
        <v>19:27:55.000</v>
      </c>
      <c r="T863" t="str">
        <f t="shared" si="301"/>
        <v>19:27:55.000</v>
      </c>
      <c r="U863" t="str">
        <f t="shared" si="293"/>
        <v>AC3944</v>
      </c>
      <c r="V863">
        <v>0</v>
      </c>
      <c r="W863">
        <v>0</v>
      </c>
      <c r="X863">
        <v>2</v>
      </c>
      <c r="Y863">
        <v>0</v>
      </c>
      <c r="AA863">
        <v>1</v>
      </c>
      <c r="AB863">
        <v>8</v>
      </c>
      <c r="AC863">
        <v>3</v>
      </c>
      <c r="AD863">
        <v>0</v>
      </c>
      <c r="AE863">
        <v>9</v>
      </c>
      <c r="AF863" t="s">
        <v>138</v>
      </c>
      <c r="AG863">
        <v>0</v>
      </c>
      <c r="AH863">
        <v>3</v>
      </c>
      <c r="AI863">
        <v>1</v>
      </c>
      <c r="AJ863">
        <v>0</v>
      </c>
      <c r="AK863" t="s">
        <v>381</v>
      </c>
      <c r="AL863">
        <v>32.812815000000001</v>
      </c>
      <c r="AM863" t="s">
        <v>382</v>
      </c>
      <c r="AN863">
        <v>-116.944785</v>
      </c>
      <c r="AO863">
        <v>25</v>
      </c>
      <c r="AP863">
        <v>2000</v>
      </c>
      <c r="AQ863" t="s">
        <v>129</v>
      </c>
      <c r="AR863">
        <v>104</v>
      </c>
      <c r="AS863">
        <v>-64</v>
      </c>
      <c r="AT863">
        <v>512</v>
      </c>
      <c r="BB863">
        <v>1200</v>
      </c>
      <c r="BC863">
        <v>1</v>
      </c>
      <c r="BD863" t="str">
        <f t="shared" si="294"/>
        <v xml:space="preserve">N887QR  </v>
      </c>
      <c r="BE863">
        <v>1</v>
      </c>
      <c r="BJ863">
        <v>1650</v>
      </c>
      <c r="BK863">
        <v>-350</v>
      </c>
      <c r="BL863" t="s">
        <v>163</v>
      </c>
      <c r="BM863">
        <v>1</v>
      </c>
      <c r="BN863">
        <v>1</v>
      </c>
      <c r="BO863">
        <v>1</v>
      </c>
      <c r="BP863">
        <v>0</v>
      </c>
      <c r="BS863">
        <v>0</v>
      </c>
      <c r="BT863">
        <v>0</v>
      </c>
      <c r="BU863">
        <v>0</v>
      </c>
      <c r="CE863" t="str">
        <f t="shared" si="303"/>
        <v>19:27:55.529</v>
      </c>
      <c r="CF863">
        <v>529277724</v>
      </c>
      <c r="CS863">
        <v>3</v>
      </c>
      <c r="CT863">
        <v>2</v>
      </c>
      <c r="CU863">
        <v>0</v>
      </c>
      <c r="CV863">
        <v>2</v>
      </c>
      <c r="CW863">
        <v>0</v>
      </c>
      <c r="CX863">
        <v>3</v>
      </c>
      <c r="CY863">
        <v>7</v>
      </c>
      <c r="CZ863" t="s">
        <v>131</v>
      </c>
      <c r="DA863">
        <v>292</v>
      </c>
      <c r="DB863">
        <v>0</v>
      </c>
      <c r="DC863" t="s">
        <v>254</v>
      </c>
      <c r="DD863" t="s">
        <v>255</v>
      </c>
      <c r="DG863">
        <v>3373492</v>
      </c>
      <c r="DI863">
        <v>1</v>
      </c>
      <c r="DJ863">
        <v>0</v>
      </c>
      <c r="DK863">
        <v>1</v>
      </c>
      <c r="DL863">
        <v>0</v>
      </c>
      <c r="DM863">
        <v>0</v>
      </c>
      <c r="DN863">
        <v>1</v>
      </c>
      <c r="DO863">
        <v>0</v>
      </c>
      <c r="DP863">
        <v>0</v>
      </c>
      <c r="DQ863">
        <v>0</v>
      </c>
      <c r="DR863">
        <v>0</v>
      </c>
      <c r="DS863">
        <v>0</v>
      </c>
    </row>
    <row r="864" spans="1:123" x14ac:dyDescent="0.3">
      <c r="A864" t="str">
        <f t="shared" si="302"/>
        <v>10/04/2022 19:27:55.729</v>
      </c>
      <c r="C864" t="str">
        <f t="shared" si="289"/>
        <v>FFDDD3C0</v>
      </c>
      <c r="D864" t="s">
        <v>147</v>
      </c>
      <c r="E864">
        <v>3</v>
      </c>
      <c r="H864">
        <v>166</v>
      </c>
      <c r="I864" t="s">
        <v>144</v>
      </c>
      <c r="J864" t="s">
        <v>148</v>
      </c>
      <c r="K864">
        <v>0</v>
      </c>
      <c r="L864">
        <v>3</v>
      </c>
      <c r="M864">
        <v>0</v>
      </c>
      <c r="N864">
        <v>2</v>
      </c>
      <c r="O864">
        <v>0</v>
      </c>
      <c r="P864">
        <v>1</v>
      </c>
      <c r="Q864">
        <v>0</v>
      </c>
      <c r="S864" t="str">
        <f t="shared" si="301"/>
        <v>19:27:55.000</v>
      </c>
      <c r="T864" t="str">
        <f t="shared" si="301"/>
        <v>19:27:55.000</v>
      </c>
      <c r="U864" t="str">
        <f t="shared" si="293"/>
        <v>AC3944</v>
      </c>
      <c r="V864">
        <v>0</v>
      </c>
      <c r="W864">
        <v>0</v>
      </c>
      <c r="X864">
        <v>2</v>
      </c>
      <c r="Y864">
        <v>0</v>
      </c>
      <c r="AA864">
        <v>1</v>
      </c>
      <c r="AB864">
        <v>8</v>
      </c>
      <c r="AC864">
        <v>3</v>
      </c>
      <c r="AD864">
        <v>0</v>
      </c>
      <c r="AE864">
        <v>9</v>
      </c>
      <c r="AF864" t="s">
        <v>138</v>
      </c>
      <c r="AG864">
        <v>0</v>
      </c>
      <c r="AH864">
        <v>3</v>
      </c>
      <c r="AI864">
        <v>1</v>
      </c>
      <c r="AJ864">
        <v>0</v>
      </c>
      <c r="AK864" t="s">
        <v>381</v>
      </c>
      <c r="AL864">
        <v>32.812815000000001</v>
      </c>
      <c r="AM864" t="s">
        <v>382</v>
      </c>
      <c r="AN864">
        <v>-116.944785</v>
      </c>
      <c r="AO864">
        <v>25</v>
      </c>
      <c r="AP864">
        <v>2000</v>
      </c>
      <c r="AQ864" t="s">
        <v>129</v>
      </c>
      <c r="AR864">
        <v>104</v>
      </c>
      <c r="AS864">
        <v>-64</v>
      </c>
      <c r="AT864">
        <v>512</v>
      </c>
      <c r="BB864">
        <v>1200</v>
      </c>
      <c r="BC864">
        <v>1</v>
      </c>
      <c r="BD864" t="str">
        <f t="shared" si="294"/>
        <v xml:space="preserve">N887QR  </v>
      </c>
      <c r="BE864">
        <v>1</v>
      </c>
      <c r="BJ864">
        <v>1650</v>
      </c>
      <c r="BK864">
        <v>-350</v>
      </c>
      <c r="BL864" t="s">
        <v>163</v>
      </c>
      <c r="BM864">
        <v>1</v>
      </c>
      <c r="BN864">
        <v>1</v>
      </c>
      <c r="BO864">
        <v>1</v>
      </c>
      <c r="BP864">
        <v>0</v>
      </c>
      <c r="BS864">
        <v>0</v>
      </c>
      <c r="BT864">
        <v>0</v>
      </c>
      <c r="BU864">
        <v>0</v>
      </c>
      <c r="CE864" t="str">
        <f t="shared" si="303"/>
        <v>19:27:55.529</v>
      </c>
      <c r="CF864">
        <v>529277724</v>
      </c>
      <c r="CS864">
        <v>3</v>
      </c>
      <c r="CT864">
        <v>2</v>
      </c>
      <c r="CU864">
        <v>0</v>
      </c>
      <c r="CV864">
        <v>2</v>
      </c>
      <c r="CW864">
        <v>0</v>
      </c>
      <c r="CX864">
        <v>3</v>
      </c>
      <c r="CY864">
        <v>7</v>
      </c>
      <c r="CZ864" t="s">
        <v>131</v>
      </c>
      <c r="DA864">
        <v>292</v>
      </c>
      <c r="DB864">
        <v>0</v>
      </c>
      <c r="DC864" t="s">
        <v>254</v>
      </c>
      <c r="DD864" t="s">
        <v>255</v>
      </c>
      <c r="DG864">
        <v>3373492</v>
      </c>
      <c r="DI864">
        <v>1</v>
      </c>
      <c r="DJ864">
        <v>0</v>
      </c>
      <c r="DK864">
        <v>1</v>
      </c>
      <c r="DL864">
        <v>0</v>
      </c>
      <c r="DM864">
        <v>0</v>
      </c>
      <c r="DN864">
        <v>1</v>
      </c>
      <c r="DO864">
        <v>0</v>
      </c>
      <c r="DP864">
        <v>0</v>
      </c>
      <c r="DQ864">
        <v>0</v>
      </c>
      <c r="DR864">
        <v>0</v>
      </c>
      <c r="DS864">
        <v>0</v>
      </c>
    </row>
    <row r="865" spans="1:123" x14ac:dyDescent="0.3">
      <c r="A865" t="str">
        <f>"10/04/2022 19:27:55.995"</f>
        <v>10/04/2022 19:27:55.995</v>
      </c>
      <c r="C865" t="str">
        <f t="shared" si="289"/>
        <v>FFDDD3C0</v>
      </c>
      <c r="D865" t="s">
        <v>123</v>
      </c>
      <c r="E865">
        <v>7</v>
      </c>
      <c r="F865">
        <v>2007</v>
      </c>
      <c r="G865" t="s">
        <v>124</v>
      </c>
      <c r="J865" t="s">
        <v>125</v>
      </c>
      <c r="K865">
        <v>0</v>
      </c>
      <c r="L865">
        <v>3</v>
      </c>
      <c r="M865">
        <v>0</v>
      </c>
      <c r="N865">
        <v>2</v>
      </c>
      <c r="O865">
        <v>0</v>
      </c>
      <c r="P865">
        <v>1</v>
      </c>
      <c r="Q865">
        <v>0</v>
      </c>
      <c r="S865" t="str">
        <f t="shared" si="301"/>
        <v>19:27:55.000</v>
      </c>
      <c r="T865" t="str">
        <f t="shared" si="301"/>
        <v>19:27:55.000</v>
      </c>
      <c r="U865" t="str">
        <f t="shared" si="293"/>
        <v>AC3944</v>
      </c>
      <c r="V865">
        <v>0</v>
      </c>
      <c r="W865">
        <v>0</v>
      </c>
      <c r="X865">
        <v>2</v>
      </c>
      <c r="Y865">
        <v>0</v>
      </c>
      <c r="AA865">
        <v>1</v>
      </c>
      <c r="AB865">
        <v>8</v>
      </c>
      <c r="AC865">
        <v>3</v>
      </c>
      <c r="AD865">
        <v>0</v>
      </c>
      <c r="AE865">
        <v>9</v>
      </c>
      <c r="AF865" t="s">
        <v>138</v>
      </c>
      <c r="AG865">
        <v>0</v>
      </c>
      <c r="AH865">
        <v>3</v>
      </c>
      <c r="AI865">
        <v>1</v>
      </c>
      <c r="AJ865">
        <v>0</v>
      </c>
      <c r="AK865" t="s">
        <v>379</v>
      </c>
      <c r="AL865">
        <v>32.812578999999999</v>
      </c>
      <c r="AM865" t="s">
        <v>380</v>
      </c>
      <c r="AN865">
        <v>-116.944335</v>
      </c>
      <c r="AO865">
        <v>25</v>
      </c>
      <c r="AP865">
        <v>2000</v>
      </c>
      <c r="AQ865" t="s">
        <v>129</v>
      </c>
      <c r="AR865">
        <v>104</v>
      </c>
      <c r="AS865">
        <v>-63</v>
      </c>
      <c r="AT865">
        <v>512</v>
      </c>
      <c r="BB865">
        <v>1200</v>
      </c>
      <c r="BC865">
        <v>1</v>
      </c>
      <c r="BD865" t="str">
        <f t="shared" si="294"/>
        <v xml:space="preserve">N887QR  </v>
      </c>
      <c r="BE865">
        <v>1</v>
      </c>
      <c r="BJ865">
        <v>1650</v>
      </c>
      <c r="BK865">
        <v>-350</v>
      </c>
      <c r="BL865" t="s">
        <v>163</v>
      </c>
      <c r="BM865">
        <v>1</v>
      </c>
      <c r="BN865">
        <v>1</v>
      </c>
      <c r="BO865">
        <v>1</v>
      </c>
      <c r="BP865">
        <v>0</v>
      </c>
      <c r="BS865">
        <v>0</v>
      </c>
      <c r="BT865">
        <v>0</v>
      </c>
      <c r="BU865">
        <v>0</v>
      </c>
      <c r="CE865" t="str">
        <f t="shared" ref="CE865:CE870" si="304">"19:27:55.772"</f>
        <v>19:27:55.772</v>
      </c>
      <c r="CF865">
        <v>772393251</v>
      </c>
      <c r="CS865">
        <v>3</v>
      </c>
      <c r="CT865">
        <v>2</v>
      </c>
      <c r="CU865">
        <v>0</v>
      </c>
      <c r="CV865">
        <v>2</v>
      </c>
      <c r="CW865">
        <v>0</v>
      </c>
      <c r="CX865">
        <v>5</v>
      </c>
      <c r="CY865">
        <v>7</v>
      </c>
      <c r="CZ865" t="s">
        <v>131</v>
      </c>
      <c r="DA865">
        <v>300</v>
      </c>
      <c r="DB865">
        <v>0</v>
      </c>
      <c r="DC865" t="s">
        <v>176</v>
      </c>
      <c r="DD865" t="s">
        <v>177</v>
      </c>
      <c r="DG865">
        <v>5372959</v>
      </c>
      <c r="DI865">
        <v>1</v>
      </c>
      <c r="DJ865">
        <v>0</v>
      </c>
      <c r="DK865">
        <v>1</v>
      </c>
      <c r="DL865">
        <v>0</v>
      </c>
      <c r="DM865">
        <v>0</v>
      </c>
      <c r="DN865">
        <v>1</v>
      </c>
      <c r="DO865">
        <v>0</v>
      </c>
      <c r="DP865">
        <v>0</v>
      </c>
      <c r="DQ865">
        <v>0</v>
      </c>
      <c r="DR865">
        <v>0</v>
      </c>
      <c r="DS865">
        <v>0</v>
      </c>
    </row>
    <row r="866" spans="1:123" x14ac:dyDescent="0.3">
      <c r="A866" t="str">
        <f>"10/04/2022 19:27:55.995"</f>
        <v>10/04/2022 19:27:55.995</v>
      </c>
      <c r="C866" t="str">
        <f t="shared" si="289"/>
        <v>FFDDD3C0</v>
      </c>
      <c r="D866" t="s">
        <v>141</v>
      </c>
      <c r="E866">
        <v>3</v>
      </c>
      <c r="H866">
        <v>3</v>
      </c>
      <c r="I866" t="s">
        <v>146</v>
      </c>
      <c r="J866" t="s">
        <v>138</v>
      </c>
      <c r="K866">
        <v>0</v>
      </c>
      <c r="L866">
        <v>3</v>
      </c>
      <c r="M866">
        <v>0</v>
      </c>
      <c r="N866">
        <v>2</v>
      </c>
      <c r="O866">
        <v>0</v>
      </c>
      <c r="P866">
        <v>1</v>
      </c>
      <c r="Q866">
        <v>0</v>
      </c>
      <c r="S866" t="str">
        <f t="shared" si="301"/>
        <v>19:27:55.000</v>
      </c>
      <c r="T866" t="str">
        <f t="shared" si="301"/>
        <v>19:27:55.000</v>
      </c>
      <c r="U866" t="str">
        <f t="shared" si="293"/>
        <v>AC3944</v>
      </c>
      <c r="V866">
        <v>0</v>
      </c>
      <c r="W866">
        <v>0</v>
      </c>
      <c r="X866">
        <v>2</v>
      </c>
      <c r="Y866">
        <v>0</v>
      </c>
      <c r="AA866">
        <v>1</v>
      </c>
      <c r="AB866">
        <v>8</v>
      </c>
      <c r="AC866">
        <v>3</v>
      </c>
      <c r="AD866">
        <v>0</v>
      </c>
      <c r="AE866">
        <v>9</v>
      </c>
      <c r="AF866" t="s">
        <v>138</v>
      </c>
      <c r="AG866">
        <v>0</v>
      </c>
      <c r="AH866">
        <v>3</v>
      </c>
      <c r="AI866">
        <v>1</v>
      </c>
      <c r="AJ866">
        <v>0</v>
      </c>
      <c r="AK866" t="s">
        <v>379</v>
      </c>
      <c r="AL866">
        <v>32.812578999999999</v>
      </c>
      <c r="AM866" t="s">
        <v>380</v>
      </c>
      <c r="AN866">
        <v>-116.944335</v>
      </c>
      <c r="AO866">
        <v>25</v>
      </c>
      <c r="AP866">
        <v>2000</v>
      </c>
      <c r="AQ866" t="s">
        <v>129</v>
      </c>
      <c r="AR866">
        <v>104</v>
      </c>
      <c r="AS866">
        <v>-63</v>
      </c>
      <c r="AT866">
        <v>512</v>
      </c>
      <c r="BB866">
        <v>1200</v>
      </c>
      <c r="BC866">
        <v>1</v>
      </c>
      <c r="BD866" t="str">
        <f t="shared" si="294"/>
        <v xml:space="preserve">N887QR  </v>
      </c>
      <c r="BE866">
        <v>1</v>
      </c>
      <c r="BJ866">
        <v>1650</v>
      </c>
      <c r="BK866">
        <v>-350</v>
      </c>
      <c r="BL866" t="s">
        <v>163</v>
      </c>
      <c r="BM866">
        <v>1</v>
      </c>
      <c r="BN866">
        <v>1</v>
      </c>
      <c r="BO866">
        <v>1</v>
      </c>
      <c r="BP866">
        <v>0</v>
      </c>
      <c r="BS866">
        <v>0</v>
      </c>
      <c r="BT866">
        <v>0</v>
      </c>
      <c r="BU866">
        <v>0</v>
      </c>
      <c r="CE866" t="str">
        <f t="shared" si="304"/>
        <v>19:27:55.772</v>
      </c>
      <c r="CF866">
        <v>772393251</v>
      </c>
      <c r="CS866">
        <v>3</v>
      </c>
      <c r="CT866">
        <v>2</v>
      </c>
      <c r="CU866">
        <v>0</v>
      </c>
      <c r="CV866">
        <v>2</v>
      </c>
      <c r="CW866">
        <v>0</v>
      </c>
      <c r="CX866">
        <v>5</v>
      </c>
      <c r="CY866">
        <v>7</v>
      </c>
      <c r="CZ866" t="s">
        <v>131</v>
      </c>
      <c r="DA866">
        <v>300</v>
      </c>
      <c r="DB866">
        <v>0</v>
      </c>
      <c r="DC866" t="s">
        <v>176</v>
      </c>
      <c r="DD866" t="s">
        <v>177</v>
      </c>
      <c r="DG866">
        <v>5372959</v>
      </c>
      <c r="DI866">
        <v>1</v>
      </c>
      <c r="DJ866">
        <v>0</v>
      </c>
      <c r="DK866">
        <v>1</v>
      </c>
      <c r="DL866">
        <v>0</v>
      </c>
      <c r="DM866">
        <v>0</v>
      </c>
      <c r="DN866">
        <v>1</v>
      </c>
      <c r="DO866">
        <v>0</v>
      </c>
      <c r="DP866">
        <v>0</v>
      </c>
      <c r="DQ866">
        <v>0</v>
      </c>
      <c r="DR866">
        <v>0</v>
      </c>
      <c r="DS866">
        <v>0</v>
      </c>
    </row>
    <row r="867" spans="1:123" x14ac:dyDescent="0.3">
      <c r="A867" t="str">
        <f>"10/04/2022 19:27:55.995"</f>
        <v>10/04/2022 19:27:55.995</v>
      </c>
      <c r="C867" t="str">
        <f t="shared" si="289"/>
        <v>FFDDD3C0</v>
      </c>
      <c r="D867" t="s">
        <v>134</v>
      </c>
      <c r="E867">
        <v>15</v>
      </c>
      <c r="J867" t="s">
        <v>135</v>
      </c>
      <c r="K867">
        <v>0</v>
      </c>
      <c r="L867">
        <v>3</v>
      </c>
      <c r="M867">
        <v>0</v>
      </c>
      <c r="N867">
        <v>2</v>
      </c>
      <c r="O867">
        <v>0</v>
      </c>
      <c r="P867">
        <v>1</v>
      </c>
      <c r="Q867">
        <v>0</v>
      </c>
      <c r="S867" t="str">
        <f t="shared" si="301"/>
        <v>19:27:55.000</v>
      </c>
      <c r="T867" t="str">
        <f t="shared" si="301"/>
        <v>19:27:55.000</v>
      </c>
      <c r="U867" t="str">
        <f t="shared" si="293"/>
        <v>AC3944</v>
      </c>
      <c r="V867">
        <v>0</v>
      </c>
      <c r="W867">
        <v>0</v>
      </c>
      <c r="X867">
        <v>2</v>
      </c>
      <c r="Y867">
        <v>0</v>
      </c>
      <c r="AA867">
        <v>1</v>
      </c>
      <c r="AB867">
        <v>8</v>
      </c>
      <c r="AC867">
        <v>3</v>
      </c>
      <c r="AD867">
        <v>0</v>
      </c>
      <c r="AE867">
        <v>9</v>
      </c>
      <c r="AF867" t="s">
        <v>138</v>
      </c>
      <c r="AG867">
        <v>0</v>
      </c>
      <c r="AH867">
        <v>3</v>
      </c>
      <c r="AI867">
        <v>1</v>
      </c>
      <c r="AJ867">
        <v>0</v>
      </c>
      <c r="AK867" t="s">
        <v>379</v>
      </c>
      <c r="AL867">
        <v>32.812578999999999</v>
      </c>
      <c r="AM867" t="s">
        <v>380</v>
      </c>
      <c r="AN867">
        <v>-116.944335</v>
      </c>
      <c r="AO867">
        <v>25</v>
      </c>
      <c r="AP867">
        <v>2000</v>
      </c>
      <c r="AQ867" t="s">
        <v>129</v>
      </c>
      <c r="AR867">
        <v>104</v>
      </c>
      <c r="AS867">
        <v>-63</v>
      </c>
      <c r="AT867">
        <v>512</v>
      </c>
      <c r="BB867">
        <v>1200</v>
      </c>
      <c r="BC867">
        <v>1</v>
      </c>
      <c r="BD867" t="str">
        <f t="shared" si="294"/>
        <v xml:space="preserve">N887QR  </v>
      </c>
      <c r="BE867">
        <v>1</v>
      </c>
      <c r="BJ867">
        <v>1650</v>
      </c>
      <c r="BK867">
        <v>-350</v>
      </c>
      <c r="BL867" t="s">
        <v>163</v>
      </c>
      <c r="BM867">
        <v>1</v>
      </c>
      <c r="BN867">
        <v>1</v>
      </c>
      <c r="BO867">
        <v>1</v>
      </c>
      <c r="BP867">
        <v>0</v>
      </c>
      <c r="BS867">
        <v>0</v>
      </c>
      <c r="BT867">
        <v>0</v>
      </c>
      <c r="BU867">
        <v>0</v>
      </c>
      <c r="CE867" t="str">
        <f t="shared" si="304"/>
        <v>19:27:55.772</v>
      </c>
      <c r="CF867">
        <v>772393251</v>
      </c>
      <c r="CS867">
        <v>3</v>
      </c>
      <c r="CT867">
        <v>2</v>
      </c>
      <c r="CU867">
        <v>0</v>
      </c>
      <c r="CV867">
        <v>2</v>
      </c>
      <c r="CW867">
        <v>0</v>
      </c>
      <c r="CX867">
        <v>5</v>
      </c>
      <c r="CY867">
        <v>7</v>
      </c>
      <c r="CZ867" t="s">
        <v>131</v>
      </c>
      <c r="DA867">
        <v>300</v>
      </c>
      <c r="DB867">
        <v>0</v>
      </c>
      <c r="DC867" t="s">
        <v>176</v>
      </c>
      <c r="DD867" t="s">
        <v>177</v>
      </c>
      <c r="DG867">
        <v>5372959</v>
      </c>
      <c r="DI867">
        <v>1</v>
      </c>
      <c r="DJ867">
        <v>0</v>
      </c>
      <c r="DK867">
        <v>1</v>
      </c>
      <c r="DL867">
        <v>0</v>
      </c>
      <c r="DM867">
        <v>0</v>
      </c>
      <c r="DN867">
        <v>1</v>
      </c>
      <c r="DO867">
        <v>0</v>
      </c>
      <c r="DP867">
        <v>0</v>
      </c>
      <c r="DQ867">
        <v>0</v>
      </c>
      <c r="DR867">
        <v>0</v>
      </c>
      <c r="DS867">
        <v>0</v>
      </c>
    </row>
    <row r="868" spans="1:123" x14ac:dyDescent="0.3">
      <c r="A868" t="str">
        <f>"10/04/2022 19:27:56.026"</f>
        <v>10/04/2022 19:27:56.026</v>
      </c>
      <c r="C868" t="str">
        <f t="shared" si="289"/>
        <v>FFDDD3C0</v>
      </c>
      <c r="D868" t="s">
        <v>141</v>
      </c>
      <c r="E868">
        <v>4</v>
      </c>
      <c r="H868">
        <v>4</v>
      </c>
      <c r="I868" t="s">
        <v>142</v>
      </c>
      <c r="J868" t="s">
        <v>138</v>
      </c>
      <c r="K868">
        <v>0</v>
      </c>
      <c r="L868">
        <v>3</v>
      </c>
      <c r="M868">
        <v>0</v>
      </c>
      <c r="N868">
        <v>2</v>
      </c>
      <c r="O868">
        <v>0</v>
      </c>
      <c r="P868">
        <v>1</v>
      </c>
      <c r="Q868">
        <v>0</v>
      </c>
      <c r="S868" t="str">
        <f t="shared" si="301"/>
        <v>19:27:55.000</v>
      </c>
      <c r="T868" t="str">
        <f t="shared" si="301"/>
        <v>19:27:55.000</v>
      </c>
      <c r="U868" t="str">
        <f t="shared" si="293"/>
        <v>AC3944</v>
      </c>
      <c r="V868">
        <v>0</v>
      </c>
      <c r="W868">
        <v>0</v>
      </c>
      <c r="X868">
        <v>2</v>
      </c>
      <c r="Y868">
        <v>0</v>
      </c>
      <c r="AA868">
        <v>1</v>
      </c>
      <c r="AB868">
        <v>8</v>
      </c>
      <c r="AC868">
        <v>3</v>
      </c>
      <c r="AD868">
        <v>0</v>
      </c>
      <c r="AE868">
        <v>9</v>
      </c>
      <c r="AF868" t="s">
        <v>138</v>
      </c>
      <c r="AG868">
        <v>0</v>
      </c>
      <c r="AH868">
        <v>3</v>
      </c>
      <c r="AI868">
        <v>1</v>
      </c>
      <c r="AJ868">
        <v>0</v>
      </c>
      <c r="AK868" t="s">
        <v>379</v>
      </c>
      <c r="AL868">
        <v>32.812578999999999</v>
      </c>
      <c r="AM868" t="s">
        <v>380</v>
      </c>
      <c r="AN868">
        <v>-116.944335</v>
      </c>
      <c r="AO868">
        <v>25</v>
      </c>
      <c r="AP868">
        <v>2000</v>
      </c>
      <c r="AQ868" t="s">
        <v>129</v>
      </c>
      <c r="AR868">
        <v>104</v>
      </c>
      <c r="AS868">
        <v>-63</v>
      </c>
      <c r="AT868">
        <v>512</v>
      </c>
      <c r="BB868">
        <v>1200</v>
      </c>
      <c r="BC868">
        <v>1</v>
      </c>
      <c r="BD868" t="str">
        <f t="shared" si="294"/>
        <v xml:space="preserve">N887QR  </v>
      </c>
      <c r="BE868">
        <v>1</v>
      </c>
      <c r="BJ868">
        <v>1650</v>
      </c>
      <c r="BK868">
        <v>-350</v>
      </c>
      <c r="BL868" t="s">
        <v>163</v>
      </c>
      <c r="BM868">
        <v>1</v>
      </c>
      <c r="BN868">
        <v>1</v>
      </c>
      <c r="BO868">
        <v>1</v>
      </c>
      <c r="BP868">
        <v>0</v>
      </c>
      <c r="BS868">
        <v>0</v>
      </c>
      <c r="BT868">
        <v>0</v>
      </c>
      <c r="BU868">
        <v>0</v>
      </c>
      <c r="CE868" t="str">
        <f t="shared" si="304"/>
        <v>19:27:55.772</v>
      </c>
      <c r="CF868">
        <v>772393251</v>
      </c>
      <c r="CS868">
        <v>3</v>
      </c>
      <c r="CT868">
        <v>2</v>
      </c>
      <c r="CU868">
        <v>0</v>
      </c>
      <c r="CV868">
        <v>2</v>
      </c>
      <c r="CW868">
        <v>0</v>
      </c>
      <c r="CX868">
        <v>5</v>
      </c>
      <c r="CY868">
        <v>7</v>
      </c>
      <c r="CZ868" t="s">
        <v>131</v>
      </c>
      <c r="DA868">
        <v>300</v>
      </c>
      <c r="DB868">
        <v>0</v>
      </c>
      <c r="DC868" t="s">
        <v>176</v>
      </c>
      <c r="DD868" t="s">
        <v>177</v>
      </c>
      <c r="DG868">
        <v>5372959</v>
      </c>
      <c r="DI868">
        <v>1</v>
      </c>
      <c r="DJ868">
        <v>0</v>
      </c>
      <c r="DK868">
        <v>1</v>
      </c>
      <c r="DL868">
        <v>0</v>
      </c>
      <c r="DM868">
        <v>0</v>
      </c>
      <c r="DN868">
        <v>1</v>
      </c>
      <c r="DO868">
        <v>0</v>
      </c>
      <c r="DP868">
        <v>0</v>
      </c>
      <c r="DQ868">
        <v>0</v>
      </c>
      <c r="DR868">
        <v>0</v>
      </c>
      <c r="DS868">
        <v>0</v>
      </c>
    </row>
    <row r="869" spans="1:123" x14ac:dyDescent="0.3">
      <c r="A869" t="str">
        <f>"10/04/2022 19:27:56.026"</f>
        <v>10/04/2022 19:27:56.026</v>
      </c>
      <c r="C869" t="str">
        <f t="shared" si="289"/>
        <v>FFDDD3C0</v>
      </c>
      <c r="D869" t="s">
        <v>147</v>
      </c>
      <c r="E869">
        <v>3</v>
      </c>
      <c r="H869">
        <v>166</v>
      </c>
      <c r="I869" t="s">
        <v>144</v>
      </c>
      <c r="J869" t="s">
        <v>148</v>
      </c>
      <c r="K869">
        <v>0</v>
      </c>
      <c r="L869">
        <v>3</v>
      </c>
      <c r="M869">
        <v>0</v>
      </c>
      <c r="N869">
        <v>2</v>
      </c>
      <c r="O869">
        <v>0</v>
      </c>
      <c r="P869">
        <v>1</v>
      </c>
      <c r="Q869">
        <v>0</v>
      </c>
      <c r="S869" t="str">
        <f t="shared" si="301"/>
        <v>19:27:55.000</v>
      </c>
      <c r="T869" t="str">
        <f t="shared" si="301"/>
        <v>19:27:55.000</v>
      </c>
      <c r="U869" t="str">
        <f t="shared" si="293"/>
        <v>AC3944</v>
      </c>
      <c r="V869">
        <v>0</v>
      </c>
      <c r="W869">
        <v>0</v>
      </c>
      <c r="X869">
        <v>2</v>
      </c>
      <c r="Y869">
        <v>0</v>
      </c>
      <c r="AA869">
        <v>1</v>
      </c>
      <c r="AB869">
        <v>8</v>
      </c>
      <c r="AC869">
        <v>3</v>
      </c>
      <c r="AD869">
        <v>0</v>
      </c>
      <c r="AE869">
        <v>9</v>
      </c>
      <c r="AF869" t="s">
        <v>138</v>
      </c>
      <c r="AG869">
        <v>0</v>
      </c>
      <c r="AH869">
        <v>3</v>
      </c>
      <c r="AI869">
        <v>1</v>
      </c>
      <c r="AJ869">
        <v>0</v>
      </c>
      <c r="AK869" t="s">
        <v>379</v>
      </c>
      <c r="AL869">
        <v>32.812578999999999</v>
      </c>
      <c r="AM869" t="s">
        <v>380</v>
      </c>
      <c r="AN869">
        <v>-116.944335</v>
      </c>
      <c r="AO869">
        <v>25</v>
      </c>
      <c r="AP869">
        <v>2000</v>
      </c>
      <c r="AQ869" t="s">
        <v>129</v>
      </c>
      <c r="AR869">
        <v>104</v>
      </c>
      <c r="AS869">
        <v>-63</v>
      </c>
      <c r="AT869">
        <v>512</v>
      </c>
      <c r="BB869">
        <v>1200</v>
      </c>
      <c r="BC869">
        <v>1</v>
      </c>
      <c r="BD869" t="str">
        <f t="shared" si="294"/>
        <v xml:space="preserve">N887QR  </v>
      </c>
      <c r="BE869">
        <v>1</v>
      </c>
      <c r="BJ869">
        <v>1650</v>
      </c>
      <c r="BK869">
        <v>-350</v>
      </c>
      <c r="BL869" t="s">
        <v>163</v>
      </c>
      <c r="BM869">
        <v>1</v>
      </c>
      <c r="BN869">
        <v>1</v>
      </c>
      <c r="BO869">
        <v>1</v>
      </c>
      <c r="BP869">
        <v>0</v>
      </c>
      <c r="BS869">
        <v>0</v>
      </c>
      <c r="BT869">
        <v>0</v>
      </c>
      <c r="BU869">
        <v>0</v>
      </c>
      <c r="CE869" t="str">
        <f t="shared" si="304"/>
        <v>19:27:55.772</v>
      </c>
      <c r="CF869">
        <v>772393251</v>
      </c>
      <c r="CS869">
        <v>3</v>
      </c>
      <c r="CT869">
        <v>2</v>
      </c>
      <c r="CU869">
        <v>0</v>
      </c>
      <c r="CV869">
        <v>2</v>
      </c>
      <c r="CW869">
        <v>0</v>
      </c>
      <c r="CX869">
        <v>5</v>
      </c>
      <c r="CY869">
        <v>7</v>
      </c>
      <c r="CZ869" t="s">
        <v>131</v>
      </c>
      <c r="DA869">
        <v>300</v>
      </c>
      <c r="DB869">
        <v>0</v>
      </c>
      <c r="DC869" t="s">
        <v>176</v>
      </c>
      <c r="DD869" t="s">
        <v>177</v>
      </c>
      <c r="DG869">
        <v>5372959</v>
      </c>
      <c r="DI869">
        <v>1</v>
      </c>
      <c r="DJ869">
        <v>0</v>
      </c>
      <c r="DK869">
        <v>1</v>
      </c>
      <c r="DL869">
        <v>0</v>
      </c>
      <c r="DM869">
        <v>0</v>
      </c>
      <c r="DN869">
        <v>1</v>
      </c>
      <c r="DO869">
        <v>0</v>
      </c>
      <c r="DP869">
        <v>0</v>
      </c>
      <c r="DQ869">
        <v>0</v>
      </c>
      <c r="DR869">
        <v>0</v>
      </c>
      <c r="DS869">
        <v>0</v>
      </c>
    </row>
    <row r="870" spans="1:123" x14ac:dyDescent="0.3">
      <c r="A870" t="str">
        <f>"10/04/2022 19:27:56.026"</f>
        <v>10/04/2022 19:27:56.026</v>
      </c>
      <c r="C870" t="str">
        <f t="shared" si="289"/>
        <v>FFDDD3C0</v>
      </c>
      <c r="D870" t="s">
        <v>143</v>
      </c>
      <c r="E870">
        <v>20</v>
      </c>
      <c r="F870">
        <v>1020</v>
      </c>
      <c r="G870" t="s">
        <v>144</v>
      </c>
      <c r="J870" t="s">
        <v>145</v>
      </c>
      <c r="K870">
        <v>0</v>
      </c>
      <c r="L870">
        <v>3</v>
      </c>
      <c r="M870">
        <v>0</v>
      </c>
      <c r="N870">
        <v>2</v>
      </c>
      <c r="O870">
        <v>0</v>
      </c>
      <c r="P870">
        <v>1</v>
      </c>
      <c r="Q870">
        <v>0</v>
      </c>
      <c r="S870" t="str">
        <f t="shared" si="301"/>
        <v>19:27:55.000</v>
      </c>
      <c r="T870" t="str">
        <f t="shared" si="301"/>
        <v>19:27:55.000</v>
      </c>
      <c r="U870" t="str">
        <f t="shared" si="293"/>
        <v>AC3944</v>
      </c>
      <c r="V870">
        <v>0</v>
      </c>
      <c r="W870">
        <v>0</v>
      </c>
      <c r="X870">
        <v>2</v>
      </c>
      <c r="Y870">
        <v>0</v>
      </c>
      <c r="AA870">
        <v>1</v>
      </c>
      <c r="AB870">
        <v>8</v>
      </c>
      <c r="AC870">
        <v>3</v>
      </c>
      <c r="AD870">
        <v>0</v>
      </c>
      <c r="AE870">
        <v>9</v>
      </c>
      <c r="AF870" t="s">
        <v>138</v>
      </c>
      <c r="AG870">
        <v>0</v>
      </c>
      <c r="AH870">
        <v>3</v>
      </c>
      <c r="AI870">
        <v>1</v>
      </c>
      <c r="AJ870">
        <v>0</v>
      </c>
      <c r="AK870" t="s">
        <v>379</v>
      </c>
      <c r="AL870">
        <v>32.812578999999999</v>
      </c>
      <c r="AM870" t="s">
        <v>380</v>
      </c>
      <c r="AN870">
        <v>-116.944335</v>
      </c>
      <c r="AO870">
        <v>25</v>
      </c>
      <c r="AP870">
        <v>2000</v>
      </c>
      <c r="AQ870" t="s">
        <v>129</v>
      </c>
      <c r="AR870">
        <v>104</v>
      </c>
      <c r="AS870">
        <v>-63</v>
      </c>
      <c r="AT870">
        <v>512</v>
      </c>
      <c r="BB870">
        <v>1200</v>
      </c>
      <c r="BC870">
        <v>1</v>
      </c>
      <c r="BD870" t="str">
        <f t="shared" si="294"/>
        <v xml:space="preserve">N887QR  </v>
      </c>
      <c r="BE870">
        <v>1</v>
      </c>
      <c r="BJ870">
        <v>1650</v>
      </c>
      <c r="BK870">
        <v>-350</v>
      </c>
      <c r="BL870" t="s">
        <v>163</v>
      </c>
      <c r="BM870">
        <v>1</v>
      </c>
      <c r="BN870">
        <v>1</v>
      </c>
      <c r="BO870">
        <v>1</v>
      </c>
      <c r="BP870">
        <v>0</v>
      </c>
      <c r="BS870">
        <v>0</v>
      </c>
      <c r="BT870">
        <v>0</v>
      </c>
      <c r="BU870">
        <v>0</v>
      </c>
      <c r="CE870" t="str">
        <f t="shared" si="304"/>
        <v>19:27:55.772</v>
      </c>
      <c r="CF870">
        <v>772393251</v>
      </c>
      <c r="CS870">
        <v>3</v>
      </c>
      <c r="CT870">
        <v>2</v>
      </c>
      <c r="CU870">
        <v>0</v>
      </c>
      <c r="CV870">
        <v>2</v>
      </c>
      <c r="CW870">
        <v>0</v>
      </c>
      <c r="CX870">
        <v>5</v>
      </c>
      <c r="CY870">
        <v>7</v>
      </c>
      <c r="CZ870" t="s">
        <v>131</v>
      </c>
      <c r="DA870">
        <v>300</v>
      </c>
      <c r="DB870">
        <v>0</v>
      </c>
      <c r="DC870" t="s">
        <v>176</v>
      </c>
      <c r="DD870" t="s">
        <v>177</v>
      </c>
      <c r="DG870">
        <v>5372959</v>
      </c>
      <c r="DI870">
        <v>1</v>
      </c>
      <c r="DJ870">
        <v>0</v>
      </c>
      <c r="DK870">
        <v>1</v>
      </c>
      <c r="DL870">
        <v>0</v>
      </c>
      <c r="DM870">
        <v>0</v>
      </c>
      <c r="DN870">
        <v>1</v>
      </c>
      <c r="DO870">
        <v>0</v>
      </c>
      <c r="DP870">
        <v>0</v>
      </c>
      <c r="DQ870">
        <v>0</v>
      </c>
      <c r="DR870">
        <v>0</v>
      </c>
      <c r="DS870">
        <v>0</v>
      </c>
    </row>
    <row r="871" spans="1:123" x14ac:dyDescent="0.3">
      <c r="A871" t="str">
        <f>"10/04/2022 19:27:57.497"</f>
        <v>10/04/2022 19:27:57.497</v>
      </c>
      <c r="C871" t="str">
        <f t="shared" si="289"/>
        <v>FFDDD3C0</v>
      </c>
      <c r="D871" t="s">
        <v>147</v>
      </c>
      <c r="E871">
        <v>3</v>
      </c>
      <c r="H871">
        <v>166</v>
      </c>
      <c r="I871" t="s">
        <v>144</v>
      </c>
      <c r="J871" t="s">
        <v>148</v>
      </c>
      <c r="K871">
        <v>0</v>
      </c>
      <c r="L871">
        <v>3</v>
      </c>
      <c r="M871">
        <v>0</v>
      </c>
      <c r="N871">
        <v>2</v>
      </c>
      <c r="O871">
        <v>0</v>
      </c>
      <c r="P871">
        <v>1</v>
      </c>
      <c r="Q871">
        <v>0</v>
      </c>
      <c r="S871" t="str">
        <f t="shared" ref="S871:T884" si="305">"19:27:57.000"</f>
        <v>19:27:57.000</v>
      </c>
      <c r="T871" t="str">
        <f t="shared" si="305"/>
        <v>19:27:57.000</v>
      </c>
      <c r="U871" t="str">
        <f t="shared" si="293"/>
        <v>AC3944</v>
      </c>
      <c r="V871">
        <v>0</v>
      </c>
      <c r="W871">
        <v>0</v>
      </c>
      <c r="X871">
        <v>2</v>
      </c>
      <c r="Y871">
        <v>0</v>
      </c>
      <c r="AA871">
        <v>1</v>
      </c>
      <c r="AB871">
        <v>8</v>
      </c>
      <c r="AC871">
        <v>3</v>
      </c>
      <c r="AD871">
        <v>0</v>
      </c>
      <c r="AE871">
        <v>9</v>
      </c>
      <c r="AF871" t="s">
        <v>138</v>
      </c>
      <c r="AG871">
        <v>0</v>
      </c>
      <c r="AH871">
        <v>3</v>
      </c>
      <c r="AI871">
        <v>1</v>
      </c>
      <c r="AJ871">
        <v>0</v>
      </c>
      <c r="AK871" t="s">
        <v>383</v>
      </c>
      <c r="AL871">
        <v>32.812277999999999</v>
      </c>
      <c r="AM871" t="s">
        <v>384</v>
      </c>
      <c r="AN871">
        <v>-116.943777</v>
      </c>
      <c r="AO871">
        <v>25</v>
      </c>
      <c r="AP871">
        <v>2000</v>
      </c>
      <c r="AQ871" t="s">
        <v>129</v>
      </c>
      <c r="AR871">
        <v>104</v>
      </c>
      <c r="AS871">
        <v>-59</v>
      </c>
      <c r="AT871">
        <v>576</v>
      </c>
      <c r="BB871">
        <v>1200</v>
      </c>
      <c r="BC871">
        <v>1</v>
      </c>
      <c r="BD871" t="str">
        <f t="shared" si="294"/>
        <v xml:space="preserve">N887QR  </v>
      </c>
      <c r="BE871">
        <v>1</v>
      </c>
      <c r="BJ871">
        <v>1675</v>
      </c>
      <c r="BK871">
        <v>-325</v>
      </c>
      <c r="BL871" t="s">
        <v>163</v>
      </c>
      <c r="BM871">
        <v>1</v>
      </c>
      <c r="BN871">
        <v>1</v>
      </c>
      <c r="BO871">
        <v>1</v>
      </c>
      <c r="BP871">
        <v>0</v>
      </c>
      <c r="BS871">
        <v>0</v>
      </c>
      <c r="BT871">
        <v>0</v>
      </c>
      <c r="BU871">
        <v>0</v>
      </c>
      <c r="CE871" t="str">
        <f t="shared" ref="CE871:CE877" si="306">"19:27:57.311"</f>
        <v>19:27:57.311</v>
      </c>
      <c r="CF871">
        <v>311148302</v>
      </c>
      <c r="CS871">
        <v>3</v>
      </c>
      <c r="CT871">
        <v>2</v>
      </c>
      <c r="CU871">
        <v>0</v>
      </c>
      <c r="CV871">
        <v>2</v>
      </c>
      <c r="CW871">
        <v>0</v>
      </c>
      <c r="CX871">
        <v>5</v>
      </c>
      <c r="CY871">
        <v>7</v>
      </c>
      <c r="CZ871" t="s">
        <v>131</v>
      </c>
      <c r="DA871">
        <v>300</v>
      </c>
      <c r="DB871">
        <v>0</v>
      </c>
      <c r="DC871" t="s">
        <v>176</v>
      </c>
      <c r="DD871" t="s">
        <v>177</v>
      </c>
      <c r="DG871">
        <v>5373183</v>
      </c>
      <c r="DI871">
        <v>1</v>
      </c>
      <c r="DJ871">
        <v>0</v>
      </c>
      <c r="DK871">
        <v>0</v>
      </c>
      <c r="DL871">
        <v>0</v>
      </c>
      <c r="DM871">
        <v>0</v>
      </c>
      <c r="DN871">
        <v>1</v>
      </c>
      <c r="DO871">
        <v>0</v>
      </c>
      <c r="DP871">
        <v>0</v>
      </c>
      <c r="DQ871">
        <v>0</v>
      </c>
      <c r="DR871">
        <v>0</v>
      </c>
      <c r="DS871">
        <v>0</v>
      </c>
    </row>
    <row r="872" spans="1:123" x14ac:dyDescent="0.3">
      <c r="A872" t="str">
        <f>"10/04/2022 19:27:57.497"</f>
        <v>10/04/2022 19:27:57.497</v>
      </c>
      <c r="C872" t="str">
        <f t="shared" si="289"/>
        <v>FFDDD3C0</v>
      </c>
      <c r="D872" t="s">
        <v>143</v>
      </c>
      <c r="E872">
        <v>20</v>
      </c>
      <c r="F872">
        <v>1020</v>
      </c>
      <c r="G872" t="s">
        <v>144</v>
      </c>
      <c r="J872" t="s">
        <v>145</v>
      </c>
      <c r="K872">
        <v>0</v>
      </c>
      <c r="L872">
        <v>3</v>
      </c>
      <c r="M872">
        <v>0</v>
      </c>
      <c r="N872">
        <v>2</v>
      </c>
      <c r="O872">
        <v>0</v>
      </c>
      <c r="P872">
        <v>1</v>
      </c>
      <c r="Q872">
        <v>0</v>
      </c>
      <c r="S872" t="str">
        <f t="shared" si="305"/>
        <v>19:27:57.000</v>
      </c>
      <c r="T872" t="str">
        <f t="shared" si="305"/>
        <v>19:27:57.000</v>
      </c>
      <c r="U872" t="str">
        <f t="shared" si="293"/>
        <v>AC3944</v>
      </c>
      <c r="V872">
        <v>0</v>
      </c>
      <c r="W872">
        <v>0</v>
      </c>
      <c r="X872">
        <v>2</v>
      </c>
      <c r="Y872">
        <v>0</v>
      </c>
      <c r="AA872">
        <v>1</v>
      </c>
      <c r="AB872">
        <v>8</v>
      </c>
      <c r="AC872">
        <v>3</v>
      </c>
      <c r="AD872">
        <v>0</v>
      </c>
      <c r="AE872">
        <v>9</v>
      </c>
      <c r="AF872" t="s">
        <v>138</v>
      </c>
      <c r="AG872">
        <v>0</v>
      </c>
      <c r="AH872">
        <v>3</v>
      </c>
      <c r="AI872">
        <v>1</v>
      </c>
      <c r="AJ872">
        <v>0</v>
      </c>
      <c r="AK872" t="s">
        <v>383</v>
      </c>
      <c r="AL872">
        <v>32.812277999999999</v>
      </c>
      <c r="AM872" t="s">
        <v>384</v>
      </c>
      <c r="AN872">
        <v>-116.943777</v>
      </c>
      <c r="AO872">
        <v>25</v>
      </c>
      <c r="AP872">
        <v>2000</v>
      </c>
      <c r="AQ872" t="s">
        <v>129</v>
      </c>
      <c r="AR872">
        <v>104</v>
      </c>
      <c r="AS872">
        <v>-59</v>
      </c>
      <c r="AT872">
        <v>576</v>
      </c>
      <c r="BB872">
        <v>1200</v>
      </c>
      <c r="BC872">
        <v>1</v>
      </c>
      <c r="BD872" t="str">
        <f t="shared" si="294"/>
        <v xml:space="preserve">N887QR  </v>
      </c>
      <c r="BE872">
        <v>1</v>
      </c>
      <c r="BJ872">
        <v>1675</v>
      </c>
      <c r="BK872">
        <v>-325</v>
      </c>
      <c r="BL872" t="s">
        <v>163</v>
      </c>
      <c r="BM872">
        <v>1</v>
      </c>
      <c r="BN872">
        <v>1</v>
      </c>
      <c r="BO872">
        <v>1</v>
      </c>
      <c r="BP872">
        <v>0</v>
      </c>
      <c r="BS872">
        <v>0</v>
      </c>
      <c r="BT872">
        <v>0</v>
      </c>
      <c r="BU872">
        <v>0</v>
      </c>
      <c r="CE872" t="str">
        <f t="shared" si="306"/>
        <v>19:27:57.311</v>
      </c>
      <c r="CF872">
        <v>311148302</v>
      </c>
      <c r="CS872">
        <v>3</v>
      </c>
      <c r="CT872">
        <v>2</v>
      </c>
      <c r="CU872">
        <v>0</v>
      </c>
      <c r="CV872">
        <v>2</v>
      </c>
      <c r="CW872">
        <v>0</v>
      </c>
      <c r="CX872">
        <v>5</v>
      </c>
      <c r="CY872">
        <v>7</v>
      </c>
      <c r="CZ872" t="s">
        <v>131</v>
      </c>
      <c r="DA872">
        <v>300</v>
      </c>
      <c r="DB872">
        <v>0</v>
      </c>
      <c r="DC872" t="s">
        <v>176</v>
      </c>
      <c r="DD872" t="s">
        <v>177</v>
      </c>
      <c r="DG872">
        <v>5373183</v>
      </c>
      <c r="DI872">
        <v>1</v>
      </c>
      <c r="DJ872">
        <v>0</v>
      </c>
      <c r="DK872">
        <v>1</v>
      </c>
      <c r="DL872">
        <v>0</v>
      </c>
      <c r="DM872">
        <v>0</v>
      </c>
      <c r="DN872">
        <v>1</v>
      </c>
      <c r="DO872">
        <v>0</v>
      </c>
      <c r="DP872">
        <v>0</v>
      </c>
      <c r="DQ872">
        <v>0</v>
      </c>
      <c r="DR872">
        <v>0</v>
      </c>
      <c r="DS872">
        <v>0</v>
      </c>
    </row>
    <row r="873" spans="1:123" x14ac:dyDescent="0.3">
      <c r="A873" t="str">
        <f>"10/04/2022 19:27:57.497"</f>
        <v>10/04/2022 19:27:57.497</v>
      </c>
      <c r="C873" t="str">
        <f t="shared" si="289"/>
        <v>FFDDD3C0</v>
      </c>
      <c r="D873" t="s">
        <v>136</v>
      </c>
      <c r="E873">
        <v>8</v>
      </c>
      <c r="H873">
        <v>225</v>
      </c>
      <c r="I873" t="s">
        <v>137</v>
      </c>
      <c r="J873" t="s">
        <v>138</v>
      </c>
      <c r="K873">
        <v>0</v>
      </c>
      <c r="L873">
        <v>3</v>
      </c>
      <c r="M873">
        <v>0</v>
      </c>
      <c r="N873">
        <v>2</v>
      </c>
      <c r="O873">
        <v>0</v>
      </c>
      <c r="P873">
        <v>1</v>
      </c>
      <c r="Q873">
        <v>0</v>
      </c>
      <c r="S873" t="str">
        <f t="shared" si="305"/>
        <v>19:27:57.000</v>
      </c>
      <c r="T873" t="str">
        <f t="shared" si="305"/>
        <v>19:27:57.000</v>
      </c>
      <c r="U873" t="str">
        <f t="shared" si="293"/>
        <v>AC3944</v>
      </c>
      <c r="V873">
        <v>0</v>
      </c>
      <c r="W873">
        <v>0</v>
      </c>
      <c r="X873">
        <v>2</v>
      </c>
      <c r="Y873">
        <v>0</v>
      </c>
      <c r="AA873">
        <v>1</v>
      </c>
      <c r="AB873">
        <v>8</v>
      </c>
      <c r="AC873">
        <v>3</v>
      </c>
      <c r="AD873">
        <v>0</v>
      </c>
      <c r="AE873">
        <v>9</v>
      </c>
      <c r="AF873" t="s">
        <v>138</v>
      </c>
      <c r="AG873">
        <v>0</v>
      </c>
      <c r="AH873">
        <v>3</v>
      </c>
      <c r="AI873">
        <v>1</v>
      </c>
      <c r="AJ873">
        <v>0</v>
      </c>
      <c r="AK873" t="s">
        <v>383</v>
      </c>
      <c r="AL873">
        <v>32.812277999999999</v>
      </c>
      <c r="AM873" t="s">
        <v>384</v>
      </c>
      <c r="AN873">
        <v>-116.943777</v>
      </c>
      <c r="AO873">
        <v>25</v>
      </c>
      <c r="AP873">
        <v>2000</v>
      </c>
      <c r="AQ873" t="s">
        <v>129</v>
      </c>
      <c r="AR873">
        <v>104</v>
      </c>
      <c r="AS873">
        <v>-59</v>
      </c>
      <c r="AT873">
        <v>576</v>
      </c>
      <c r="BB873">
        <v>1200</v>
      </c>
      <c r="BC873">
        <v>1</v>
      </c>
      <c r="BD873" t="str">
        <f t="shared" si="294"/>
        <v xml:space="preserve">N887QR  </v>
      </c>
      <c r="BE873">
        <v>1</v>
      </c>
      <c r="BJ873">
        <v>1675</v>
      </c>
      <c r="BK873">
        <v>-325</v>
      </c>
      <c r="BL873" t="s">
        <v>163</v>
      </c>
      <c r="BM873">
        <v>1</v>
      </c>
      <c r="BN873">
        <v>1</v>
      </c>
      <c r="BO873">
        <v>1</v>
      </c>
      <c r="BP873">
        <v>0</v>
      </c>
      <c r="BS873">
        <v>0</v>
      </c>
      <c r="BT873">
        <v>0</v>
      </c>
      <c r="BU873">
        <v>0</v>
      </c>
      <c r="CE873" t="str">
        <f t="shared" si="306"/>
        <v>19:27:57.311</v>
      </c>
      <c r="CF873">
        <v>311148302</v>
      </c>
      <c r="CS873">
        <v>3</v>
      </c>
      <c r="CT873">
        <v>2</v>
      </c>
      <c r="CU873">
        <v>0</v>
      </c>
      <c r="CV873">
        <v>2</v>
      </c>
      <c r="CW873">
        <v>0</v>
      </c>
      <c r="CX873">
        <v>5</v>
      </c>
      <c r="CY873">
        <v>7</v>
      </c>
      <c r="CZ873" t="s">
        <v>131</v>
      </c>
      <c r="DA873">
        <v>300</v>
      </c>
      <c r="DB873">
        <v>0</v>
      </c>
      <c r="DC873" t="s">
        <v>176</v>
      </c>
      <c r="DD873" t="s">
        <v>177</v>
      </c>
      <c r="DG873">
        <v>5373183</v>
      </c>
      <c r="DI873">
        <v>1</v>
      </c>
      <c r="DJ873">
        <v>0</v>
      </c>
      <c r="DK873">
        <v>1</v>
      </c>
      <c r="DL873">
        <v>0</v>
      </c>
      <c r="DM873">
        <v>0</v>
      </c>
      <c r="DN873">
        <v>1</v>
      </c>
      <c r="DO873">
        <v>0</v>
      </c>
      <c r="DP873">
        <v>0</v>
      </c>
      <c r="DQ873">
        <v>0</v>
      </c>
      <c r="DR873">
        <v>0</v>
      </c>
      <c r="DS873">
        <v>0</v>
      </c>
    </row>
    <row r="874" spans="1:123" x14ac:dyDescent="0.3">
      <c r="A874" t="str">
        <f>"10/04/2022 19:27:57.497"</f>
        <v>10/04/2022 19:27:57.497</v>
      </c>
      <c r="C874" t="str">
        <f t="shared" si="289"/>
        <v>FFDDD3C0</v>
      </c>
      <c r="D874" t="s">
        <v>123</v>
      </c>
      <c r="E874">
        <v>7</v>
      </c>
      <c r="F874">
        <v>2007</v>
      </c>
      <c r="G874" t="s">
        <v>124</v>
      </c>
      <c r="J874" t="s">
        <v>125</v>
      </c>
      <c r="K874">
        <v>0</v>
      </c>
      <c r="L874">
        <v>3</v>
      </c>
      <c r="M874">
        <v>0</v>
      </c>
      <c r="N874">
        <v>2</v>
      </c>
      <c r="O874">
        <v>0</v>
      </c>
      <c r="P874">
        <v>1</v>
      </c>
      <c r="Q874">
        <v>0</v>
      </c>
      <c r="S874" t="str">
        <f t="shared" si="305"/>
        <v>19:27:57.000</v>
      </c>
      <c r="T874" t="str">
        <f t="shared" si="305"/>
        <v>19:27:57.000</v>
      </c>
      <c r="U874" t="str">
        <f t="shared" si="293"/>
        <v>AC3944</v>
      </c>
      <c r="V874">
        <v>0</v>
      </c>
      <c r="W874">
        <v>0</v>
      </c>
      <c r="X874">
        <v>2</v>
      </c>
      <c r="Y874">
        <v>0</v>
      </c>
      <c r="AA874">
        <v>1</v>
      </c>
      <c r="AB874">
        <v>8</v>
      </c>
      <c r="AC874">
        <v>3</v>
      </c>
      <c r="AD874">
        <v>0</v>
      </c>
      <c r="AE874">
        <v>9</v>
      </c>
      <c r="AF874" t="s">
        <v>138</v>
      </c>
      <c r="AG874">
        <v>0</v>
      </c>
      <c r="AH874">
        <v>3</v>
      </c>
      <c r="AI874">
        <v>1</v>
      </c>
      <c r="AJ874">
        <v>0</v>
      </c>
      <c r="AK874" t="s">
        <v>383</v>
      </c>
      <c r="AL874">
        <v>32.812277999999999</v>
      </c>
      <c r="AM874" t="s">
        <v>384</v>
      </c>
      <c r="AN874">
        <v>-116.943777</v>
      </c>
      <c r="AO874">
        <v>25</v>
      </c>
      <c r="AP874">
        <v>2000</v>
      </c>
      <c r="AQ874" t="s">
        <v>129</v>
      </c>
      <c r="AR874">
        <v>104</v>
      </c>
      <c r="AS874">
        <v>-59</v>
      </c>
      <c r="AT874">
        <v>576</v>
      </c>
      <c r="BB874">
        <v>1200</v>
      </c>
      <c r="BC874">
        <v>1</v>
      </c>
      <c r="BD874" t="str">
        <f t="shared" si="294"/>
        <v xml:space="preserve">N887QR  </v>
      </c>
      <c r="BE874">
        <v>1</v>
      </c>
      <c r="BJ874">
        <v>1675</v>
      </c>
      <c r="BK874">
        <v>-325</v>
      </c>
      <c r="BL874" t="s">
        <v>163</v>
      </c>
      <c r="BM874">
        <v>1</v>
      </c>
      <c r="BN874">
        <v>1</v>
      </c>
      <c r="BO874">
        <v>1</v>
      </c>
      <c r="BP874">
        <v>0</v>
      </c>
      <c r="BS874">
        <v>0</v>
      </c>
      <c r="BT874">
        <v>0</v>
      </c>
      <c r="BU874">
        <v>0</v>
      </c>
      <c r="CE874" t="str">
        <f t="shared" si="306"/>
        <v>19:27:57.311</v>
      </c>
      <c r="CF874">
        <v>311148302</v>
      </c>
      <c r="CS874">
        <v>3</v>
      </c>
      <c r="CT874">
        <v>2</v>
      </c>
      <c r="CU874">
        <v>0</v>
      </c>
      <c r="CV874">
        <v>2</v>
      </c>
      <c r="CW874">
        <v>0</v>
      </c>
      <c r="CX874">
        <v>5</v>
      </c>
      <c r="CY874">
        <v>7</v>
      </c>
      <c r="CZ874" t="s">
        <v>131</v>
      </c>
      <c r="DA874">
        <v>300</v>
      </c>
      <c r="DB874">
        <v>0</v>
      </c>
      <c r="DC874" t="s">
        <v>176</v>
      </c>
      <c r="DD874" t="s">
        <v>177</v>
      </c>
      <c r="DG874">
        <v>5373183</v>
      </c>
      <c r="DI874">
        <v>1</v>
      </c>
      <c r="DJ874">
        <v>0</v>
      </c>
      <c r="DK874">
        <v>1</v>
      </c>
      <c r="DL874">
        <v>0</v>
      </c>
      <c r="DM874">
        <v>0</v>
      </c>
      <c r="DN874">
        <v>1</v>
      </c>
      <c r="DO874">
        <v>0</v>
      </c>
      <c r="DP874">
        <v>0</v>
      </c>
      <c r="DQ874">
        <v>0</v>
      </c>
      <c r="DR874">
        <v>0</v>
      </c>
      <c r="DS874">
        <v>0</v>
      </c>
    </row>
    <row r="875" spans="1:123" x14ac:dyDescent="0.3">
      <c r="A875" t="str">
        <f>"10/04/2022 19:27:57.497"</f>
        <v>10/04/2022 19:27:57.497</v>
      </c>
      <c r="C875" t="str">
        <f t="shared" si="289"/>
        <v>FFDDD3C0</v>
      </c>
      <c r="D875" t="s">
        <v>141</v>
      </c>
      <c r="E875">
        <v>3</v>
      </c>
      <c r="H875">
        <v>3</v>
      </c>
      <c r="I875" t="s">
        <v>146</v>
      </c>
      <c r="J875" t="s">
        <v>138</v>
      </c>
      <c r="K875">
        <v>0</v>
      </c>
      <c r="L875">
        <v>3</v>
      </c>
      <c r="M875">
        <v>0</v>
      </c>
      <c r="N875">
        <v>2</v>
      </c>
      <c r="O875">
        <v>0</v>
      </c>
      <c r="P875">
        <v>1</v>
      </c>
      <c r="Q875">
        <v>0</v>
      </c>
      <c r="S875" t="str">
        <f t="shared" si="305"/>
        <v>19:27:57.000</v>
      </c>
      <c r="T875" t="str">
        <f t="shared" si="305"/>
        <v>19:27:57.000</v>
      </c>
      <c r="U875" t="str">
        <f t="shared" si="293"/>
        <v>AC3944</v>
      </c>
      <c r="V875">
        <v>0</v>
      </c>
      <c r="W875">
        <v>0</v>
      </c>
      <c r="X875">
        <v>2</v>
      </c>
      <c r="Y875">
        <v>0</v>
      </c>
      <c r="AA875">
        <v>1</v>
      </c>
      <c r="AB875">
        <v>8</v>
      </c>
      <c r="AC875">
        <v>3</v>
      </c>
      <c r="AD875">
        <v>0</v>
      </c>
      <c r="AE875">
        <v>9</v>
      </c>
      <c r="AF875" t="s">
        <v>138</v>
      </c>
      <c r="AG875">
        <v>0</v>
      </c>
      <c r="AH875">
        <v>3</v>
      </c>
      <c r="AI875">
        <v>1</v>
      </c>
      <c r="AJ875">
        <v>0</v>
      </c>
      <c r="AK875" t="s">
        <v>383</v>
      </c>
      <c r="AL875">
        <v>32.812277999999999</v>
      </c>
      <c r="AM875" t="s">
        <v>384</v>
      </c>
      <c r="AN875">
        <v>-116.943777</v>
      </c>
      <c r="AO875">
        <v>25</v>
      </c>
      <c r="AP875">
        <v>2000</v>
      </c>
      <c r="AQ875" t="s">
        <v>129</v>
      </c>
      <c r="AR875">
        <v>104</v>
      </c>
      <c r="AS875">
        <v>-59</v>
      </c>
      <c r="AT875">
        <v>576</v>
      </c>
      <c r="BB875">
        <v>1200</v>
      </c>
      <c r="BC875">
        <v>1</v>
      </c>
      <c r="BD875" t="str">
        <f t="shared" si="294"/>
        <v xml:space="preserve">N887QR  </v>
      </c>
      <c r="BE875">
        <v>1</v>
      </c>
      <c r="BJ875">
        <v>1675</v>
      </c>
      <c r="BK875">
        <v>-325</v>
      </c>
      <c r="BL875" t="s">
        <v>163</v>
      </c>
      <c r="BM875">
        <v>1</v>
      </c>
      <c r="BN875">
        <v>1</v>
      </c>
      <c r="BO875">
        <v>1</v>
      </c>
      <c r="BP875">
        <v>0</v>
      </c>
      <c r="BS875">
        <v>0</v>
      </c>
      <c r="BT875">
        <v>0</v>
      </c>
      <c r="BU875">
        <v>0</v>
      </c>
      <c r="CE875" t="str">
        <f t="shared" si="306"/>
        <v>19:27:57.311</v>
      </c>
      <c r="CF875">
        <v>311148302</v>
      </c>
      <c r="CS875">
        <v>3</v>
      </c>
      <c r="CT875">
        <v>2</v>
      </c>
      <c r="CU875">
        <v>0</v>
      </c>
      <c r="CV875">
        <v>2</v>
      </c>
      <c r="CW875">
        <v>0</v>
      </c>
      <c r="CX875">
        <v>5</v>
      </c>
      <c r="CY875">
        <v>7</v>
      </c>
      <c r="CZ875" t="s">
        <v>131</v>
      </c>
      <c r="DA875">
        <v>300</v>
      </c>
      <c r="DB875">
        <v>0</v>
      </c>
      <c r="DC875" t="s">
        <v>176</v>
      </c>
      <c r="DD875" t="s">
        <v>177</v>
      </c>
      <c r="DG875">
        <v>5373183</v>
      </c>
      <c r="DI875">
        <v>1</v>
      </c>
      <c r="DJ875">
        <v>0</v>
      </c>
      <c r="DK875">
        <v>1</v>
      </c>
      <c r="DL875">
        <v>0</v>
      </c>
      <c r="DM875">
        <v>0</v>
      </c>
      <c r="DN875">
        <v>1</v>
      </c>
      <c r="DO875">
        <v>0</v>
      </c>
      <c r="DP875">
        <v>0</v>
      </c>
      <c r="DQ875">
        <v>0</v>
      </c>
      <c r="DR875">
        <v>0</v>
      </c>
      <c r="DS875">
        <v>0</v>
      </c>
    </row>
    <row r="876" spans="1:123" x14ac:dyDescent="0.3">
      <c r="A876" t="str">
        <f>"10/04/2022 19:27:57.544"</f>
        <v>10/04/2022 19:27:57.544</v>
      </c>
      <c r="C876" t="str">
        <f t="shared" si="289"/>
        <v>FFDDD3C0</v>
      </c>
      <c r="D876" t="s">
        <v>134</v>
      </c>
      <c r="E876">
        <v>15</v>
      </c>
      <c r="J876" t="s">
        <v>135</v>
      </c>
      <c r="K876">
        <v>0</v>
      </c>
      <c r="L876">
        <v>3</v>
      </c>
      <c r="M876">
        <v>0</v>
      </c>
      <c r="N876">
        <v>2</v>
      </c>
      <c r="O876">
        <v>0</v>
      </c>
      <c r="P876">
        <v>1</v>
      </c>
      <c r="Q876">
        <v>0</v>
      </c>
      <c r="S876" t="str">
        <f t="shared" si="305"/>
        <v>19:27:57.000</v>
      </c>
      <c r="T876" t="str">
        <f t="shared" si="305"/>
        <v>19:27:57.000</v>
      </c>
      <c r="U876" t="str">
        <f t="shared" si="293"/>
        <v>AC3944</v>
      </c>
      <c r="V876">
        <v>0</v>
      </c>
      <c r="W876">
        <v>0</v>
      </c>
      <c r="X876">
        <v>2</v>
      </c>
      <c r="Y876">
        <v>0</v>
      </c>
      <c r="AA876">
        <v>1</v>
      </c>
      <c r="AB876">
        <v>8</v>
      </c>
      <c r="AC876">
        <v>3</v>
      </c>
      <c r="AD876">
        <v>0</v>
      </c>
      <c r="AE876">
        <v>9</v>
      </c>
      <c r="AF876" t="s">
        <v>138</v>
      </c>
      <c r="AG876">
        <v>0</v>
      </c>
      <c r="AH876">
        <v>3</v>
      </c>
      <c r="AI876">
        <v>1</v>
      </c>
      <c r="AJ876">
        <v>0</v>
      </c>
      <c r="AK876" t="s">
        <v>383</v>
      </c>
      <c r="AL876">
        <v>32.812277999999999</v>
      </c>
      <c r="AM876" t="s">
        <v>384</v>
      </c>
      <c r="AN876">
        <v>-116.943777</v>
      </c>
      <c r="AO876">
        <v>25</v>
      </c>
      <c r="AP876">
        <v>2000</v>
      </c>
      <c r="AQ876" t="s">
        <v>129</v>
      </c>
      <c r="AR876">
        <v>104</v>
      </c>
      <c r="AS876">
        <v>-59</v>
      </c>
      <c r="AT876">
        <v>576</v>
      </c>
      <c r="BB876">
        <v>1200</v>
      </c>
      <c r="BC876">
        <v>1</v>
      </c>
      <c r="BD876" t="str">
        <f t="shared" si="294"/>
        <v xml:space="preserve">N887QR  </v>
      </c>
      <c r="BE876">
        <v>1</v>
      </c>
      <c r="BJ876">
        <v>1675</v>
      </c>
      <c r="BK876">
        <v>-325</v>
      </c>
      <c r="BL876" t="s">
        <v>163</v>
      </c>
      <c r="BM876">
        <v>1</v>
      </c>
      <c r="BN876">
        <v>1</v>
      </c>
      <c r="BO876">
        <v>1</v>
      </c>
      <c r="BP876">
        <v>0</v>
      </c>
      <c r="BS876">
        <v>0</v>
      </c>
      <c r="BT876">
        <v>0</v>
      </c>
      <c r="BU876">
        <v>0</v>
      </c>
      <c r="CE876" t="str">
        <f t="shared" si="306"/>
        <v>19:27:57.311</v>
      </c>
      <c r="CF876">
        <v>311148302</v>
      </c>
      <c r="CS876">
        <v>3</v>
      </c>
      <c r="CT876">
        <v>2</v>
      </c>
      <c r="CU876">
        <v>0</v>
      </c>
      <c r="CV876">
        <v>2</v>
      </c>
      <c r="CW876">
        <v>0</v>
      </c>
      <c r="CX876">
        <v>5</v>
      </c>
      <c r="CY876">
        <v>7</v>
      </c>
      <c r="CZ876" t="s">
        <v>131</v>
      </c>
      <c r="DA876">
        <v>300</v>
      </c>
      <c r="DB876">
        <v>0</v>
      </c>
      <c r="DC876" t="s">
        <v>176</v>
      </c>
      <c r="DD876" t="s">
        <v>177</v>
      </c>
      <c r="DG876">
        <v>5373183</v>
      </c>
      <c r="DI876">
        <v>1</v>
      </c>
      <c r="DJ876">
        <v>0</v>
      </c>
      <c r="DK876">
        <v>1</v>
      </c>
      <c r="DL876">
        <v>0</v>
      </c>
      <c r="DM876">
        <v>0</v>
      </c>
      <c r="DN876">
        <v>1</v>
      </c>
      <c r="DO876">
        <v>0</v>
      </c>
      <c r="DP876">
        <v>0</v>
      </c>
      <c r="DQ876">
        <v>0</v>
      </c>
      <c r="DR876">
        <v>0</v>
      </c>
      <c r="DS876">
        <v>0</v>
      </c>
    </row>
    <row r="877" spans="1:123" x14ac:dyDescent="0.3">
      <c r="A877" t="str">
        <f>"10/04/2022 19:27:57.544"</f>
        <v>10/04/2022 19:27:57.544</v>
      </c>
      <c r="C877" t="str">
        <f t="shared" si="289"/>
        <v>FFDDD3C0</v>
      </c>
      <c r="D877" t="s">
        <v>141</v>
      </c>
      <c r="E877">
        <v>4</v>
      </c>
      <c r="H877">
        <v>4</v>
      </c>
      <c r="I877" t="s">
        <v>142</v>
      </c>
      <c r="J877" t="s">
        <v>138</v>
      </c>
      <c r="K877">
        <v>0</v>
      </c>
      <c r="L877">
        <v>3</v>
      </c>
      <c r="M877">
        <v>0</v>
      </c>
      <c r="N877">
        <v>2</v>
      </c>
      <c r="O877">
        <v>0</v>
      </c>
      <c r="P877">
        <v>1</v>
      </c>
      <c r="Q877">
        <v>0</v>
      </c>
      <c r="S877" t="str">
        <f t="shared" si="305"/>
        <v>19:27:57.000</v>
      </c>
      <c r="T877" t="str">
        <f t="shared" si="305"/>
        <v>19:27:57.000</v>
      </c>
      <c r="U877" t="str">
        <f t="shared" si="293"/>
        <v>AC3944</v>
      </c>
      <c r="V877">
        <v>0</v>
      </c>
      <c r="W877">
        <v>0</v>
      </c>
      <c r="X877">
        <v>2</v>
      </c>
      <c r="Y877">
        <v>0</v>
      </c>
      <c r="AA877">
        <v>1</v>
      </c>
      <c r="AB877">
        <v>8</v>
      </c>
      <c r="AC877">
        <v>3</v>
      </c>
      <c r="AD877">
        <v>0</v>
      </c>
      <c r="AE877">
        <v>9</v>
      </c>
      <c r="AF877" t="s">
        <v>138</v>
      </c>
      <c r="AG877">
        <v>0</v>
      </c>
      <c r="AH877">
        <v>3</v>
      </c>
      <c r="AI877">
        <v>1</v>
      </c>
      <c r="AJ877">
        <v>0</v>
      </c>
      <c r="AK877" t="s">
        <v>383</v>
      </c>
      <c r="AL877">
        <v>32.812277999999999</v>
      </c>
      <c r="AM877" t="s">
        <v>384</v>
      </c>
      <c r="AN877">
        <v>-116.943777</v>
      </c>
      <c r="AO877">
        <v>25</v>
      </c>
      <c r="AP877">
        <v>2000</v>
      </c>
      <c r="AQ877" t="s">
        <v>129</v>
      </c>
      <c r="AR877">
        <v>104</v>
      </c>
      <c r="AS877">
        <v>-59</v>
      </c>
      <c r="AT877">
        <v>576</v>
      </c>
      <c r="BB877">
        <v>1200</v>
      </c>
      <c r="BC877">
        <v>1</v>
      </c>
      <c r="BD877" t="str">
        <f t="shared" si="294"/>
        <v xml:space="preserve">N887QR  </v>
      </c>
      <c r="BE877">
        <v>1</v>
      </c>
      <c r="BJ877">
        <v>1675</v>
      </c>
      <c r="BK877">
        <v>-325</v>
      </c>
      <c r="BL877" t="s">
        <v>163</v>
      </c>
      <c r="BM877">
        <v>1</v>
      </c>
      <c r="BN877">
        <v>1</v>
      </c>
      <c r="BO877">
        <v>1</v>
      </c>
      <c r="BP877">
        <v>0</v>
      </c>
      <c r="BS877">
        <v>0</v>
      </c>
      <c r="BT877">
        <v>0</v>
      </c>
      <c r="BU877">
        <v>0</v>
      </c>
      <c r="CE877" t="str">
        <f t="shared" si="306"/>
        <v>19:27:57.311</v>
      </c>
      <c r="CF877">
        <v>311148302</v>
      </c>
      <c r="CS877">
        <v>3</v>
      </c>
      <c r="CT877">
        <v>2</v>
      </c>
      <c r="CU877">
        <v>0</v>
      </c>
      <c r="CV877">
        <v>2</v>
      </c>
      <c r="CW877">
        <v>0</v>
      </c>
      <c r="CX877">
        <v>5</v>
      </c>
      <c r="CY877">
        <v>7</v>
      </c>
      <c r="CZ877" t="s">
        <v>131</v>
      </c>
      <c r="DA877">
        <v>300</v>
      </c>
      <c r="DB877">
        <v>0</v>
      </c>
      <c r="DC877" t="s">
        <v>176</v>
      </c>
      <c r="DD877" t="s">
        <v>177</v>
      </c>
      <c r="DG877">
        <v>5373183</v>
      </c>
      <c r="DI877">
        <v>1</v>
      </c>
      <c r="DJ877">
        <v>0</v>
      </c>
      <c r="DK877">
        <v>1</v>
      </c>
      <c r="DL877">
        <v>0</v>
      </c>
      <c r="DM877">
        <v>0</v>
      </c>
      <c r="DN877">
        <v>1</v>
      </c>
      <c r="DO877">
        <v>0</v>
      </c>
      <c r="DP877">
        <v>0</v>
      </c>
      <c r="DQ877">
        <v>0</v>
      </c>
      <c r="DR877">
        <v>0</v>
      </c>
      <c r="DS877">
        <v>0</v>
      </c>
    </row>
    <row r="878" spans="1:123" x14ac:dyDescent="0.3">
      <c r="A878" t="str">
        <f>"10/04/2022 19:27:58.184"</f>
        <v>10/04/2022 19:27:58.184</v>
      </c>
      <c r="C878" t="str">
        <f t="shared" si="289"/>
        <v>FFDDD3C0</v>
      </c>
      <c r="D878" t="s">
        <v>136</v>
      </c>
      <c r="E878">
        <v>8</v>
      </c>
      <c r="H878">
        <v>225</v>
      </c>
      <c r="I878" t="s">
        <v>137</v>
      </c>
      <c r="J878" t="s">
        <v>138</v>
      </c>
      <c r="K878">
        <v>0</v>
      </c>
      <c r="L878">
        <v>3</v>
      </c>
      <c r="M878">
        <v>0</v>
      </c>
      <c r="N878">
        <v>2</v>
      </c>
      <c r="O878">
        <v>0</v>
      </c>
      <c r="P878">
        <v>1</v>
      </c>
      <c r="Q878">
        <v>0</v>
      </c>
      <c r="S878" t="str">
        <f t="shared" si="305"/>
        <v>19:27:57.000</v>
      </c>
      <c r="T878" t="str">
        <f t="shared" si="305"/>
        <v>19:27:57.000</v>
      </c>
      <c r="U878" t="str">
        <f t="shared" si="293"/>
        <v>AC3944</v>
      </c>
      <c r="V878">
        <v>0</v>
      </c>
      <c r="W878">
        <v>0</v>
      </c>
      <c r="X878">
        <v>2</v>
      </c>
      <c r="Y878">
        <v>0</v>
      </c>
      <c r="AA878">
        <v>1</v>
      </c>
      <c r="AB878">
        <v>8</v>
      </c>
      <c r="AC878">
        <v>3</v>
      </c>
      <c r="AD878">
        <v>0</v>
      </c>
      <c r="AE878">
        <v>9</v>
      </c>
      <c r="AF878" t="s">
        <v>138</v>
      </c>
      <c r="AG878">
        <v>0</v>
      </c>
      <c r="AH878">
        <v>3</v>
      </c>
      <c r="AI878">
        <v>1</v>
      </c>
      <c r="AJ878">
        <v>0</v>
      </c>
      <c r="AK878" t="s">
        <v>385</v>
      </c>
      <c r="AL878">
        <v>32.811999</v>
      </c>
      <c r="AM878" t="s">
        <v>386</v>
      </c>
      <c r="AN878">
        <v>-116.943197</v>
      </c>
      <c r="AO878">
        <v>25</v>
      </c>
      <c r="AP878">
        <v>2000</v>
      </c>
      <c r="AQ878" t="s">
        <v>129</v>
      </c>
      <c r="AR878">
        <v>104</v>
      </c>
      <c r="AS878">
        <v>-58</v>
      </c>
      <c r="AT878">
        <v>576</v>
      </c>
      <c r="BB878">
        <v>1200</v>
      </c>
      <c r="BC878">
        <v>1</v>
      </c>
      <c r="BD878" t="str">
        <f t="shared" si="294"/>
        <v xml:space="preserve">N887QR  </v>
      </c>
      <c r="BE878">
        <v>1</v>
      </c>
      <c r="BJ878">
        <v>1675</v>
      </c>
      <c r="BK878">
        <v>-325</v>
      </c>
      <c r="BL878" t="s">
        <v>163</v>
      </c>
      <c r="BM878">
        <v>1</v>
      </c>
      <c r="BN878">
        <v>1</v>
      </c>
      <c r="BO878">
        <v>1</v>
      </c>
      <c r="BP878">
        <v>0</v>
      </c>
      <c r="BS878">
        <v>0</v>
      </c>
      <c r="BT878">
        <v>0</v>
      </c>
      <c r="BU878">
        <v>0</v>
      </c>
      <c r="CE878" t="str">
        <f t="shared" ref="CE878:CE884" si="307">"19:27:57.968"</f>
        <v>19:27:57.968</v>
      </c>
      <c r="CF878">
        <v>968150470</v>
      </c>
      <c r="CS878">
        <v>3</v>
      </c>
      <c r="CT878">
        <v>2</v>
      </c>
      <c r="CU878">
        <v>0</v>
      </c>
      <c r="CV878">
        <v>2</v>
      </c>
      <c r="CW878">
        <v>0</v>
      </c>
      <c r="CX878">
        <v>5</v>
      </c>
      <c r="CY878">
        <v>7</v>
      </c>
      <c r="CZ878" t="s">
        <v>131</v>
      </c>
      <c r="DA878">
        <v>300</v>
      </c>
      <c r="DB878">
        <v>0</v>
      </c>
      <c r="DC878" t="s">
        <v>176</v>
      </c>
      <c r="DD878" t="s">
        <v>177</v>
      </c>
      <c r="DG878">
        <v>5373292</v>
      </c>
      <c r="DI878">
        <v>1</v>
      </c>
      <c r="DJ878">
        <v>0</v>
      </c>
      <c r="DK878">
        <v>0</v>
      </c>
      <c r="DL878">
        <v>0</v>
      </c>
      <c r="DM878">
        <v>0</v>
      </c>
      <c r="DN878">
        <v>1</v>
      </c>
      <c r="DO878">
        <v>0</v>
      </c>
      <c r="DP878">
        <v>0</v>
      </c>
      <c r="DQ878">
        <v>0</v>
      </c>
      <c r="DR878">
        <v>0</v>
      </c>
      <c r="DS878">
        <v>0</v>
      </c>
    </row>
    <row r="879" spans="1:123" x14ac:dyDescent="0.3">
      <c r="A879" t="str">
        <f>"10/04/2022 19:27:58.184"</f>
        <v>10/04/2022 19:27:58.184</v>
      </c>
      <c r="C879" t="str">
        <f t="shared" si="289"/>
        <v>FFDDD3C0</v>
      </c>
      <c r="D879" t="s">
        <v>123</v>
      </c>
      <c r="E879">
        <v>7</v>
      </c>
      <c r="F879">
        <v>2007</v>
      </c>
      <c r="G879" t="s">
        <v>124</v>
      </c>
      <c r="J879" t="s">
        <v>125</v>
      </c>
      <c r="K879">
        <v>0</v>
      </c>
      <c r="L879">
        <v>3</v>
      </c>
      <c r="M879">
        <v>0</v>
      </c>
      <c r="N879">
        <v>2</v>
      </c>
      <c r="O879">
        <v>0</v>
      </c>
      <c r="P879">
        <v>1</v>
      </c>
      <c r="Q879">
        <v>0</v>
      </c>
      <c r="S879" t="str">
        <f t="shared" si="305"/>
        <v>19:27:57.000</v>
      </c>
      <c r="T879" t="str">
        <f t="shared" si="305"/>
        <v>19:27:57.000</v>
      </c>
      <c r="U879" t="str">
        <f t="shared" si="293"/>
        <v>AC3944</v>
      </c>
      <c r="V879">
        <v>0</v>
      </c>
      <c r="W879">
        <v>0</v>
      </c>
      <c r="X879">
        <v>2</v>
      </c>
      <c r="Y879">
        <v>0</v>
      </c>
      <c r="AA879">
        <v>1</v>
      </c>
      <c r="AB879">
        <v>8</v>
      </c>
      <c r="AC879">
        <v>3</v>
      </c>
      <c r="AD879">
        <v>0</v>
      </c>
      <c r="AE879">
        <v>9</v>
      </c>
      <c r="AF879" t="s">
        <v>138</v>
      </c>
      <c r="AG879">
        <v>0</v>
      </c>
      <c r="AH879">
        <v>3</v>
      </c>
      <c r="AI879">
        <v>1</v>
      </c>
      <c r="AJ879">
        <v>0</v>
      </c>
      <c r="AK879" t="s">
        <v>385</v>
      </c>
      <c r="AL879">
        <v>32.811999</v>
      </c>
      <c r="AM879" t="s">
        <v>386</v>
      </c>
      <c r="AN879">
        <v>-116.943197</v>
      </c>
      <c r="AO879">
        <v>25</v>
      </c>
      <c r="AP879">
        <v>2000</v>
      </c>
      <c r="AQ879" t="s">
        <v>129</v>
      </c>
      <c r="AR879">
        <v>104</v>
      </c>
      <c r="AS879">
        <v>-58</v>
      </c>
      <c r="AT879">
        <v>576</v>
      </c>
      <c r="BB879">
        <v>1200</v>
      </c>
      <c r="BC879">
        <v>1</v>
      </c>
      <c r="BD879" t="str">
        <f t="shared" si="294"/>
        <v xml:space="preserve">N887QR  </v>
      </c>
      <c r="BE879">
        <v>1</v>
      </c>
      <c r="BJ879">
        <v>1675</v>
      </c>
      <c r="BK879">
        <v>-325</v>
      </c>
      <c r="BL879" t="s">
        <v>163</v>
      </c>
      <c r="BM879">
        <v>1</v>
      </c>
      <c r="BN879">
        <v>1</v>
      </c>
      <c r="BO879">
        <v>1</v>
      </c>
      <c r="BP879">
        <v>0</v>
      </c>
      <c r="BS879">
        <v>0</v>
      </c>
      <c r="BT879">
        <v>0</v>
      </c>
      <c r="BU879">
        <v>0</v>
      </c>
      <c r="CE879" t="str">
        <f t="shared" si="307"/>
        <v>19:27:57.968</v>
      </c>
      <c r="CF879">
        <v>968150470</v>
      </c>
      <c r="CS879">
        <v>3</v>
      </c>
      <c r="CT879">
        <v>2</v>
      </c>
      <c r="CU879">
        <v>0</v>
      </c>
      <c r="CV879">
        <v>2</v>
      </c>
      <c r="CW879">
        <v>0</v>
      </c>
      <c r="CX879">
        <v>5</v>
      </c>
      <c r="CY879">
        <v>7</v>
      </c>
      <c r="CZ879" t="s">
        <v>131</v>
      </c>
      <c r="DA879">
        <v>300</v>
      </c>
      <c r="DB879">
        <v>0</v>
      </c>
      <c r="DC879" t="s">
        <v>176</v>
      </c>
      <c r="DD879" t="s">
        <v>177</v>
      </c>
      <c r="DG879">
        <v>5373292</v>
      </c>
      <c r="DI879">
        <v>1</v>
      </c>
      <c r="DJ879">
        <v>0</v>
      </c>
      <c r="DK879">
        <v>1</v>
      </c>
      <c r="DL879">
        <v>0</v>
      </c>
      <c r="DM879">
        <v>0</v>
      </c>
      <c r="DN879">
        <v>1</v>
      </c>
      <c r="DO879">
        <v>0</v>
      </c>
      <c r="DP879">
        <v>0</v>
      </c>
      <c r="DQ879">
        <v>0</v>
      </c>
      <c r="DR879">
        <v>0</v>
      </c>
      <c r="DS879">
        <v>0</v>
      </c>
    </row>
    <row r="880" spans="1:123" x14ac:dyDescent="0.3">
      <c r="A880" t="str">
        <f>"10/04/2022 19:27:58.200"</f>
        <v>10/04/2022 19:27:58.200</v>
      </c>
      <c r="C880" t="str">
        <f t="shared" ref="C880:C943" si="308">"FFDDD3C0"</f>
        <v>FFDDD3C0</v>
      </c>
      <c r="D880" t="s">
        <v>141</v>
      </c>
      <c r="E880">
        <v>3</v>
      </c>
      <c r="H880">
        <v>3</v>
      </c>
      <c r="I880" t="s">
        <v>146</v>
      </c>
      <c r="J880" t="s">
        <v>138</v>
      </c>
      <c r="K880">
        <v>0</v>
      </c>
      <c r="L880">
        <v>3</v>
      </c>
      <c r="M880">
        <v>0</v>
      </c>
      <c r="N880">
        <v>2</v>
      </c>
      <c r="O880">
        <v>0</v>
      </c>
      <c r="P880">
        <v>1</v>
      </c>
      <c r="Q880">
        <v>0</v>
      </c>
      <c r="S880" t="str">
        <f t="shared" si="305"/>
        <v>19:27:57.000</v>
      </c>
      <c r="T880" t="str">
        <f t="shared" si="305"/>
        <v>19:27:57.000</v>
      </c>
      <c r="U880" t="str">
        <f t="shared" si="293"/>
        <v>AC3944</v>
      </c>
      <c r="V880">
        <v>0</v>
      </c>
      <c r="W880">
        <v>0</v>
      </c>
      <c r="X880">
        <v>2</v>
      </c>
      <c r="Y880">
        <v>0</v>
      </c>
      <c r="AA880">
        <v>1</v>
      </c>
      <c r="AB880">
        <v>8</v>
      </c>
      <c r="AC880">
        <v>3</v>
      </c>
      <c r="AD880">
        <v>0</v>
      </c>
      <c r="AE880">
        <v>9</v>
      </c>
      <c r="AF880" t="s">
        <v>138</v>
      </c>
      <c r="AG880">
        <v>0</v>
      </c>
      <c r="AH880">
        <v>3</v>
      </c>
      <c r="AI880">
        <v>1</v>
      </c>
      <c r="AJ880">
        <v>0</v>
      </c>
      <c r="AK880" t="s">
        <v>385</v>
      </c>
      <c r="AL880">
        <v>32.811999</v>
      </c>
      <c r="AM880" t="s">
        <v>386</v>
      </c>
      <c r="AN880">
        <v>-116.943197</v>
      </c>
      <c r="AO880">
        <v>25</v>
      </c>
      <c r="AP880">
        <v>2000</v>
      </c>
      <c r="AQ880" t="s">
        <v>129</v>
      </c>
      <c r="AR880">
        <v>104</v>
      </c>
      <c r="AS880">
        <v>-58</v>
      </c>
      <c r="AT880">
        <v>576</v>
      </c>
      <c r="BB880">
        <v>1200</v>
      </c>
      <c r="BC880">
        <v>1</v>
      </c>
      <c r="BD880" t="str">
        <f t="shared" si="294"/>
        <v xml:space="preserve">N887QR  </v>
      </c>
      <c r="BE880">
        <v>1</v>
      </c>
      <c r="BJ880">
        <v>1675</v>
      </c>
      <c r="BK880">
        <v>-325</v>
      </c>
      <c r="BL880" t="s">
        <v>163</v>
      </c>
      <c r="BM880">
        <v>1</v>
      </c>
      <c r="BN880">
        <v>1</v>
      </c>
      <c r="BO880">
        <v>1</v>
      </c>
      <c r="BP880">
        <v>0</v>
      </c>
      <c r="BS880">
        <v>0</v>
      </c>
      <c r="BT880">
        <v>0</v>
      </c>
      <c r="BU880">
        <v>0</v>
      </c>
      <c r="CE880" t="str">
        <f t="shared" si="307"/>
        <v>19:27:57.968</v>
      </c>
      <c r="CF880">
        <v>968150470</v>
      </c>
      <c r="CS880">
        <v>3</v>
      </c>
      <c r="CT880">
        <v>2</v>
      </c>
      <c r="CU880">
        <v>0</v>
      </c>
      <c r="CV880">
        <v>2</v>
      </c>
      <c r="CW880">
        <v>0</v>
      </c>
      <c r="CX880">
        <v>5</v>
      </c>
      <c r="CY880">
        <v>7</v>
      </c>
      <c r="CZ880" t="s">
        <v>131</v>
      </c>
      <c r="DA880">
        <v>300</v>
      </c>
      <c r="DB880">
        <v>0</v>
      </c>
      <c r="DC880" t="s">
        <v>176</v>
      </c>
      <c r="DD880" t="s">
        <v>177</v>
      </c>
      <c r="DG880">
        <v>5373292</v>
      </c>
      <c r="DI880">
        <v>1</v>
      </c>
      <c r="DJ880">
        <v>0</v>
      </c>
      <c r="DK880">
        <v>1</v>
      </c>
      <c r="DL880">
        <v>0</v>
      </c>
      <c r="DM880">
        <v>0</v>
      </c>
      <c r="DN880">
        <v>1</v>
      </c>
      <c r="DO880">
        <v>0</v>
      </c>
      <c r="DP880">
        <v>0</v>
      </c>
      <c r="DQ880">
        <v>0</v>
      </c>
      <c r="DR880">
        <v>0</v>
      </c>
      <c r="DS880">
        <v>0</v>
      </c>
    </row>
    <row r="881" spans="1:123" x14ac:dyDescent="0.3">
      <c r="A881" t="str">
        <f>"10/04/2022 19:27:58.200"</f>
        <v>10/04/2022 19:27:58.200</v>
      </c>
      <c r="C881" t="str">
        <f t="shared" si="308"/>
        <v>FFDDD3C0</v>
      </c>
      <c r="D881" t="s">
        <v>141</v>
      </c>
      <c r="E881">
        <v>4</v>
      </c>
      <c r="H881">
        <v>4</v>
      </c>
      <c r="I881" t="s">
        <v>142</v>
      </c>
      <c r="J881" t="s">
        <v>138</v>
      </c>
      <c r="K881">
        <v>0</v>
      </c>
      <c r="L881">
        <v>3</v>
      </c>
      <c r="M881">
        <v>0</v>
      </c>
      <c r="N881">
        <v>2</v>
      </c>
      <c r="O881">
        <v>0</v>
      </c>
      <c r="P881">
        <v>1</v>
      </c>
      <c r="Q881">
        <v>0</v>
      </c>
      <c r="S881" t="str">
        <f t="shared" si="305"/>
        <v>19:27:57.000</v>
      </c>
      <c r="T881" t="str">
        <f t="shared" si="305"/>
        <v>19:27:57.000</v>
      </c>
      <c r="U881" t="str">
        <f t="shared" si="293"/>
        <v>AC3944</v>
      </c>
      <c r="V881">
        <v>0</v>
      </c>
      <c r="W881">
        <v>0</v>
      </c>
      <c r="X881">
        <v>2</v>
      </c>
      <c r="Y881">
        <v>0</v>
      </c>
      <c r="AA881">
        <v>1</v>
      </c>
      <c r="AB881">
        <v>8</v>
      </c>
      <c r="AC881">
        <v>3</v>
      </c>
      <c r="AD881">
        <v>0</v>
      </c>
      <c r="AE881">
        <v>9</v>
      </c>
      <c r="AF881" t="s">
        <v>138</v>
      </c>
      <c r="AG881">
        <v>0</v>
      </c>
      <c r="AH881">
        <v>3</v>
      </c>
      <c r="AI881">
        <v>1</v>
      </c>
      <c r="AJ881">
        <v>0</v>
      </c>
      <c r="AK881" t="s">
        <v>385</v>
      </c>
      <c r="AL881">
        <v>32.811999</v>
      </c>
      <c r="AM881" t="s">
        <v>386</v>
      </c>
      <c r="AN881">
        <v>-116.943197</v>
      </c>
      <c r="AO881">
        <v>25</v>
      </c>
      <c r="AP881">
        <v>2000</v>
      </c>
      <c r="AQ881" t="s">
        <v>129</v>
      </c>
      <c r="AR881">
        <v>104</v>
      </c>
      <c r="AS881">
        <v>-58</v>
      </c>
      <c r="AT881">
        <v>576</v>
      </c>
      <c r="BB881">
        <v>1200</v>
      </c>
      <c r="BC881">
        <v>1</v>
      </c>
      <c r="BD881" t="str">
        <f t="shared" si="294"/>
        <v xml:space="preserve">N887QR  </v>
      </c>
      <c r="BE881">
        <v>1</v>
      </c>
      <c r="BJ881">
        <v>1675</v>
      </c>
      <c r="BK881">
        <v>-325</v>
      </c>
      <c r="BL881" t="s">
        <v>163</v>
      </c>
      <c r="BM881">
        <v>1</v>
      </c>
      <c r="BN881">
        <v>1</v>
      </c>
      <c r="BO881">
        <v>1</v>
      </c>
      <c r="BP881">
        <v>0</v>
      </c>
      <c r="BS881">
        <v>0</v>
      </c>
      <c r="BT881">
        <v>0</v>
      </c>
      <c r="BU881">
        <v>0</v>
      </c>
      <c r="CE881" t="str">
        <f t="shared" si="307"/>
        <v>19:27:57.968</v>
      </c>
      <c r="CF881">
        <v>968150470</v>
      </c>
      <c r="CS881">
        <v>3</v>
      </c>
      <c r="CT881">
        <v>2</v>
      </c>
      <c r="CU881">
        <v>0</v>
      </c>
      <c r="CV881">
        <v>2</v>
      </c>
      <c r="CW881">
        <v>0</v>
      </c>
      <c r="CX881">
        <v>5</v>
      </c>
      <c r="CY881">
        <v>7</v>
      </c>
      <c r="CZ881" t="s">
        <v>131</v>
      </c>
      <c r="DA881">
        <v>300</v>
      </c>
      <c r="DB881">
        <v>0</v>
      </c>
      <c r="DC881" t="s">
        <v>176</v>
      </c>
      <c r="DD881" t="s">
        <v>177</v>
      </c>
      <c r="DG881">
        <v>5373292</v>
      </c>
      <c r="DI881">
        <v>1</v>
      </c>
      <c r="DJ881">
        <v>0</v>
      </c>
      <c r="DK881">
        <v>1</v>
      </c>
      <c r="DL881">
        <v>0</v>
      </c>
      <c r="DM881">
        <v>0</v>
      </c>
      <c r="DN881">
        <v>1</v>
      </c>
      <c r="DO881">
        <v>0</v>
      </c>
      <c r="DP881">
        <v>0</v>
      </c>
      <c r="DQ881">
        <v>0</v>
      </c>
      <c r="DR881">
        <v>0</v>
      </c>
      <c r="DS881">
        <v>0</v>
      </c>
    </row>
    <row r="882" spans="1:123" x14ac:dyDescent="0.3">
      <c r="A882" t="str">
        <f>"10/04/2022 19:27:58.200"</f>
        <v>10/04/2022 19:27:58.200</v>
      </c>
      <c r="C882" t="str">
        <f t="shared" si="308"/>
        <v>FFDDD3C0</v>
      </c>
      <c r="D882" t="s">
        <v>134</v>
      </c>
      <c r="E882">
        <v>15</v>
      </c>
      <c r="J882" t="s">
        <v>135</v>
      </c>
      <c r="K882">
        <v>0</v>
      </c>
      <c r="L882">
        <v>3</v>
      </c>
      <c r="M882">
        <v>0</v>
      </c>
      <c r="N882">
        <v>2</v>
      </c>
      <c r="O882">
        <v>0</v>
      </c>
      <c r="P882">
        <v>1</v>
      </c>
      <c r="Q882">
        <v>0</v>
      </c>
      <c r="S882" t="str">
        <f t="shared" si="305"/>
        <v>19:27:57.000</v>
      </c>
      <c r="T882" t="str">
        <f t="shared" si="305"/>
        <v>19:27:57.000</v>
      </c>
      <c r="U882" t="str">
        <f t="shared" si="293"/>
        <v>AC3944</v>
      </c>
      <c r="V882">
        <v>0</v>
      </c>
      <c r="W882">
        <v>0</v>
      </c>
      <c r="X882">
        <v>2</v>
      </c>
      <c r="Y882">
        <v>0</v>
      </c>
      <c r="AA882">
        <v>1</v>
      </c>
      <c r="AB882">
        <v>8</v>
      </c>
      <c r="AC882">
        <v>3</v>
      </c>
      <c r="AD882">
        <v>0</v>
      </c>
      <c r="AE882">
        <v>9</v>
      </c>
      <c r="AF882" t="s">
        <v>138</v>
      </c>
      <c r="AG882">
        <v>0</v>
      </c>
      <c r="AH882">
        <v>3</v>
      </c>
      <c r="AI882">
        <v>1</v>
      </c>
      <c r="AJ882">
        <v>0</v>
      </c>
      <c r="AK882" t="s">
        <v>385</v>
      </c>
      <c r="AL882">
        <v>32.811999</v>
      </c>
      <c r="AM882" t="s">
        <v>386</v>
      </c>
      <c r="AN882">
        <v>-116.943197</v>
      </c>
      <c r="AO882">
        <v>25</v>
      </c>
      <c r="AP882">
        <v>2000</v>
      </c>
      <c r="AQ882" t="s">
        <v>129</v>
      </c>
      <c r="AR882">
        <v>104</v>
      </c>
      <c r="AS882">
        <v>-58</v>
      </c>
      <c r="AT882">
        <v>576</v>
      </c>
      <c r="BB882">
        <v>1200</v>
      </c>
      <c r="BC882">
        <v>1</v>
      </c>
      <c r="BD882" t="str">
        <f t="shared" si="294"/>
        <v xml:space="preserve">N887QR  </v>
      </c>
      <c r="BE882">
        <v>1</v>
      </c>
      <c r="BJ882">
        <v>1675</v>
      </c>
      <c r="BK882">
        <v>-325</v>
      </c>
      <c r="BL882" t="s">
        <v>163</v>
      </c>
      <c r="BM882">
        <v>1</v>
      </c>
      <c r="BN882">
        <v>1</v>
      </c>
      <c r="BO882">
        <v>1</v>
      </c>
      <c r="BP882">
        <v>0</v>
      </c>
      <c r="BS882">
        <v>0</v>
      </c>
      <c r="BT882">
        <v>0</v>
      </c>
      <c r="BU882">
        <v>0</v>
      </c>
      <c r="CE882" t="str">
        <f t="shared" si="307"/>
        <v>19:27:57.968</v>
      </c>
      <c r="CF882">
        <v>968150470</v>
      </c>
      <c r="CS882">
        <v>3</v>
      </c>
      <c r="CT882">
        <v>2</v>
      </c>
      <c r="CU882">
        <v>0</v>
      </c>
      <c r="CV882">
        <v>2</v>
      </c>
      <c r="CW882">
        <v>0</v>
      </c>
      <c r="CX882">
        <v>5</v>
      </c>
      <c r="CY882">
        <v>7</v>
      </c>
      <c r="CZ882" t="s">
        <v>131</v>
      </c>
      <c r="DA882">
        <v>300</v>
      </c>
      <c r="DB882">
        <v>0</v>
      </c>
      <c r="DC882" t="s">
        <v>176</v>
      </c>
      <c r="DD882" t="s">
        <v>177</v>
      </c>
      <c r="DG882">
        <v>5373292</v>
      </c>
      <c r="DI882">
        <v>1</v>
      </c>
      <c r="DJ882">
        <v>0</v>
      </c>
      <c r="DK882">
        <v>1</v>
      </c>
      <c r="DL882">
        <v>0</v>
      </c>
      <c r="DM882">
        <v>0</v>
      </c>
      <c r="DN882">
        <v>1</v>
      </c>
      <c r="DO882">
        <v>0</v>
      </c>
      <c r="DP882">
        <v>0</v>
      </c>
      <c r="DQ882">
        <v>0</v>
      </c>
      <c r="DR882">
        <v>0</v>
      </c>
      <c r="DS882">
        <v>0</v>
      </c>
    </row>
    <row r="883" spans="1:123" x14ac:dyDescent="0.3">
      <c r="A883" t="str">
        <f>"10/04/2022 19:27:58.200"</f>
        <v>10/04/2022 19:27:58.200</v>
      </c>
      <c r="C883" t="str">
        <f t="shared" si="308"/>
        <v>FFDDD3C0</v>
      </c>
      <c r="D883" t="s">
        <v>147</v>
      </c>
      <c r="E883">
        <v>3</v>
      </c>
      <c r="H883">
        <v>166</v>
      </c>
      <c r="I883" t="s">
        <v>144</v>
      </c>
      <c r="J883" t="s">
        <v>148</v>
      </c>
      <c r="K883">
        <v>0</v>
      </c>
      <c r="L883">
        <v>3</v>
      </c>
      <c r="M883">
        <v>0</v>
      </c>
      <c r="N883">
        <v>2</v>
      </c>
      <c r="O883">
        <v>0</v>
      </c>
      <c r="P883">
        <v>1</v>
      </c>
      <c r="Q883">
        <v>0</v>
      </c>
      <c r="S883" t="str">
        <f t="shared" si="305"/>
        <v>19:27:57.000</v>
      </c>
      <c r="T883" t="str">
        <f t="shared" si="305"/>
        <v>19:27:57.000</v>
      </c>
      <c r="U883" t="str">
        <f t="shared" si="293"/>
        <v>AC3944</v>
      </c>
      <c r="V883">
        <v>0</v>
      </c>
      <c r="W883">
        <v>0</v>
      </c>
      <c r="X883">
        <v>2</v>
      </c>
      <c r="Y883">
        <v>0</v>
      </c>
      <c r="AA883">
        <v>1</v>
      </c>
      <c r="AB883">
        <v>8</v>
      </c>
      <c r="AC883">
        <v>3</v>
      </c>
      <c r="AD883">
        <v>0</v>
      </c>
      <c r="AE883">
        <v>9</v>
      </c>
      <c r="AF883" t="s">
        <v>138</v>
      </c>
      <c r="AG883">
        <v>0</v>
      </c>
      <c r="AH883">
        <v>3</v>
      </c>
      <c r="AI883">
        <v>1</v>
      </c>
      <c r="AJ883">
        <v>0</v>
      </c>
      <c r="AK883" t="s">
        <v>385</v>
      </c>
      <c r="AL883">
        <v>32.811999</v>
      </c>
      <c r="AM883" t="s">
        <v>386</v>
      </c>
      <c r="AN883">
        <v>-116.943197</v>
      </c>
      <c r="AO883">
        <v>25</v>
      </c>
      <c r="AP883">
        <v>2000</v>
      </c>
      <c r="AQ883" t="s">
        <v>129</v>
      </c>
      <c r="AR883">
        <v>104</v>
      </c>
      <c r="AS883">
        <v>-58</v>
      </c>
      <c r="AT883">
        <v>576</v>
      </c>
      <c r="BB883">
        <v>1200</v>
      </c>
      <c r="BC883">
        <v>1</v>
      </c>
      <c r="BD883" t="str">
        <f t="shared" si="294"/>
        <v xml:space="preserve">N887QR  </v>
      </c>
      <c r="BE883">
        <v>1</v>
      </c>
      <c r="BJ883">
        <v>1675</v>
      </c>
      <c r="BK883">
        <v>-325</v>
      </c>
      <c r="BL883" t="s">
        <v>163</v>
      </c>
      <c r="BM883">
        <v>1</v>
      </c>
      <c r="BN883">
        <v>1</v>
      </c>
      <c r="BO883">
        <v>1</v>
      </c>
      <c r="BP883">
        <v>0</v>
      </c>
      <c r="BS883">
        <v>0</v>
      </c>
      <c r="BT883">
        <v>0</v>
      </c>
      <c r="BU883">
        <v>0</v>
      </c>
      <c r="CE883" t="str">
        <f t="shared" si="307"/>
        <v>19:27:57.968</v>
      </c>
      <c r="CF883">
        <v>968150470</v>
      </c>
      <c r="CS883">
        <v>3</v>
      </c>
      <c r="CT883">
        <v>2</v>
      </c>
      <c r="CU883">
        <v>0</v>
      </c>
      <c r="CV883">
        <v>2</v>
      </c>
      <c r="CW883">
        <v>0</v>
      </c>
      <c r="CX883">
        <v>5</v>
      </c>
      <c r="CY883">
        <v>7</v>
      </c>
      <c r="CZ883" t="s">
        <v>131</v>
      </c>
      <c r="DA883">
        <v>300</v>
      </c>
      <c r="DB883">
        <v>0</v>
      </c>
      <c r="DC883" t="s">
        <v>176</v>
      </c>
      <c r="DD883" t="s">
        <v>177</v>
      </c>
      <c r="DG883">
        <v>5373292</v>
      </c>
      <c r="DI883">
        <v>1</v>
      </c>
      <c r="DJ883">
        <v>0</v>
      </c>
      <c r="DK883">
        <v>1</v>
      </c>
      <c r="DL883">
        <v>0</v>
      </c>
      <c r="DM883">
        <v>0</v>
      </c>
      <c r="DN883">
        <v>1</v>
      </c>
      <c r="DO883">
        <v>0</v>
      </c>
      <c r="DP883">
        <v>0</v>
      </c>
      <c r="DQ883">
        <v>0</v>
      </c>
      <c r="DR883">
        <v>0</v>
      </c>
      <c r="DS883">
        <v>0</v>
      </c>
    </row>
    <row r="884" spans="1:123" x14ac:dyDescent="0.3">
      <c r="A884" t="str">
        <f>"10/04/2022 19:27:58.200"</f>
        <v>10/04/2022 19:27:58.200</v>
      </c>
      <c r="C884" t="str">
        <f t="shared" si="308"/>
        <v>FFDDD3C0</v>
      </c>
      <c r="D884" t="s">
        <v>143</v>
      </c>
      <c r="E884">
        <v>20</v>
      </c>
      <c r="F884">
        <v>1020</v>
      </c>
      <c r="G884" t="s">
        <v>144</v>
      </c>
      <c r="J884" t="s">
        <v>145</v>
      </c>
      <c r="K884">
        <v>0</v>
      </c>
      <c r="L884">
        <v>3</v>
      </c>
      <c r="M884">
        <v>0</v>
      </c>
      <c r="N884">
        <v>2</v>
      </c>
      <c r="O884">
        <v>0</v>
      </c>
      <c r="P884">
        <v>1</v>
      </c>
      <c r="Q884">
        <v>0</v>
      </c>
      <c r="S884" t="str">
        <f t="shared" si="305"/>
        <v>19:27:57.000</v>
      </c>
      <c r="T884" t="str">
        <f t="shared" si="305"/>
        <v>19:27:57.000</v>
      </c>
      <c r="U884" t="str">
        <f t="shared" si="293"/>
        <v>AC3944</v>
      </c>
      <c r="V884">
        <v>0</v>
      </c>
      <c r="W884">
        <v>0</v>
      </c>
      <c r="X884">
        <v>2</v>
      </c>
      <c r="Y884">
        <v>0</v>
      </c>
      <c r="AA884">
        <v>1</v>
      </c>
      <c r="AB884">
        <v>8</v>
      </c>
      <c r="AC884">
        <v>3</v>
      </c>
      <c r="AD884">
        <v>0</v>
      </c>
      <c r="AE884">
        <v>9</v>
      </c>
      <c r="AF884" t="s">
        <v>138</v>
      </c>
      <c r="AG884">
        <v>0</v>
      </c>
      <c r="AH884">
        <v>3</v>
      </c>
      <c r="AI884">
        <v>1</v>
      </c>
      <c r="AJ884">
        <v>0</v>
      </c>
      <c r="AK884" t="s">
        <v>385</v>
      </c>
      <c r="AL884">
        <v>32.811999</v>
      </c>
      <c r="AM884" t="s">
        <v>386</v>
      </c>
      <c r="AN884">
        <v>-116.943197</v>
      </c>
      <c r="AO884">
        <v>25</v>
      </c>
      <c r="AP884">
        <v>2000</v>
      </c>
      <c r="AQ884" t="s">
        <v>129</v>
      </c>
      <c r="AR884">
        <v>104</v>
      </c>
      <c r="AS884">
        <v>-58</v>
      </c>
      <c r="AT884">
        <v>576</v>
      </c>
      <c r="BB884">
        <v>1200</v>
      </c>
      <c r="BC884">
        <v>1</v>
      </c>
      <c r="BD884" t="str">
        <f t="shared" si="294"/>
        <v xml:space="preserve">N887QR  </v>
      </c>
      <c r="BE884">
        <v>1</v>
      </c>
      <c r="BJ884">
        <v>1675</v>
      </c>
      <c r="BK884">
        <v>-325</v>
      </c>
      <c r="BL884" t="s">
        <v>163</v>
      </c>
      <c r="BM884">
        <v>1</v>
      </c>
      <c r="BN884">
        <v>1</v>
      </c>
      <c r="BO884">
        <v>1</v>
      </c>
      <c r="BP884">
        <v>0</v>
      </c>
      <c r="BS884">
        <v>0</v>
      </c>
      <c r="BT884">
        <v>0</v>
      </c>
      <c r="BU884">
        <v>0</v>
      </c>
      <c r="CE884" t="str">
        <f t="shared" si="307"/>
        <v>19:27:57.968</v>
      </c>
      <c r="CF884">
        <v>968150470</v>
      </c>
      <c r="CS884">
        <v>3</v>
      </c>
      <c r="CT884">
        <v>2</v>
      </c>
      <c r="CU884">
        <v>0</v>
      </c>
      <c r="CV884">
        <v>2</v>
      </c>
      <c r="CW884">
        <v>0</v>
      </c>
      <c r="CX884">
        <v>5</v>
      </c>
      <c r="CY884">
        <v>7</v>
      </c>
      <c r="CZ884" t="s">
        <v>131</v>
      </c>
      <c r="DA884">
        <v>300</v>
      </c>
      <c r="DB884">
        <v>0</v>
      </c>
      <c r="DC884" t="s">
        <v>176</v>
      </c>
      <c r="DD884" t="s">
        <v>177</v>
      </c>
      <c r="DG884">
        <v>5373292</v>
      </c>
      <c r="DI884">
        <v>1</v>
      </c>
      <c r="DJ884">
        <v>0</v>
      </c>
      <c r="DK884">
        <v>1</v>
      </c>
      <c r="DL884">
        <v>0</v>
      </c>
      <c r="DM884">
        <v>0</v>
      </c>
      <c r="DN884">
        <v>1</v>
      </c>
      <c r="DO884">
        <v>0</v>
      </c>
      <c r="DP884">
        <v>0</v>
      </c>
      <c r="DQ884">
        <v>0</v>
      </c>
      <c r="DR884">
        <v>0</v>
      </c>
      <c r="DS884">
        <v>0</v>
      </c>
    </row>
    <row r="885" spans="1:123" x14ac:dyDescent="0.3">
      <c r="A885" t="str">
        <f>"10/04/2022 19:27:59.513"</f>
        <v>10/04/2022 19:27:59.513</v>
      </c>
      <c r="C885" t="str">
        <f t="shared" si="308"/>
        <v>FFDDD3C0</v>
      </c>
      <c r="D885" t="s">
        <v>134</v>
      </c>
      <c r="E885">
        <v>15</v>
      </c>
      <c r="J885" t="s">
        <v>135</v>
      </c>
      <c r="K885">
        <v>0</v>
      </c>
      <c r="L885">
        <v>3</v>
      </c>
      <c r="M885">
        <v>0</v>
      </c>
      <c r="N885">
        <v>2</v>
      </c>
      <c r="O885">
        <v>0</v>
      </c>
      <c r="P885">
        <v>1</v>
      </c>
      <c r="Q885">
        <v>0</v>
      </c>
      <c r="S885" t="str">
        <f t="shared" ref="S885:T891" si="309">"19:27:59.000"</f>
        <v>19:27:59.000</v>
      </c>
      <c r="T885" t="str">
        <f t="shared" si="309"/>
        <v>19:27:59.000</v>
      </c>
      <c r="U885" t="str">
        <f t="shared" si="293"/>
        <v>AC3944</v>
      </c>
      <c r="V885">
        <v>0</v>
      </c>
      <c r="W885">
        <v>0</v>
      </c>
      <c r="X885">
        <v>2</v>
      </c>
      <c r="Y885">
        <v>0</v>
      </c>
      <c r="AA885">
        <v>1</v>
      </c>
      <c r="AB885">
        <v>8</v>
      </c>
      <c r="AC885">
        <v>3</v>
      </c>
      <c r="AD885">
        <v>0</v>
      </c>
      <c r="AE885">
        <v>9</v>
      </c>
      <c r="AF885" t="s">
        <v>138</v>
      </c>
      <c r="AG885">
        <v>0</v>
      </c>
      <c r="AH885">
        <v>3</v>
      </c>
      <c r="AI885">
        <v>1</v>
      </c>
      <c r="AJ885">
        <v>0</v>
      </c>
      <c r="AK885" t="s">
        <v>387</v>
      </c>
      <c r="AL885">
        <v>32.811655999999999</v>
      </c>
      <c r="AM885" t="s">
        <v>388</v>
      </c>
      <c r="AN885">
        <v>-116.942511</v>
      </c>
      <c r="AO885">
        <v>25</v>
      </c>
      <c r="AP885">
        <v>2000</v>
      </c>
      <c r="AQ885" t="s">
        <v>129</v>
      </c>
      <c r="AR885">
        <v>103</v>
      </c>
      <c r="AS885">
        <v>-56</v>
      </c>
      <c r="AT885">
        <v>704</v>
      </c>
      <c r="BB885">
        <v>1200</v>
      </c>
      <c r="BC885">
        <v>1</v>
      </c>
      <c r="BD885" t="str">
        <f t="shared" si="294"/>
        <v xml:space="preserve">N887QR  </v>
      </c>
      <c r="BE885">
        <v>1</v>
      </c>
      <c r="BJ885">
        <v>1725</v>
      </c>
      <c r="BK885">
        <v>-275</v>
      </c>
      <c r="BL885" t="s">
        <v>163</v>
      </c>
      <c r="BM885">
        <v>1</v>
      </c>
      <c r="BN885">
        <v>1</v>
      </c>
      <c r="BO885">
        <v>1</v>
      </c>
      <c r="BP885">
        <v>0</v>
      </c>
      <c r="BS885">
        <v>0</v>
      </c>
      <c r="BT885">
        <v>0</v>
      </c>
      <c r="BU885">
        <v>0</v>
      </c>
      <c r="CE885" t="str">
        <f t="shared" ref="CE885:CE891" si="310">"19:27:59.300"</f>
        <v>19:27:59.300</v>
      </c>
      <c r="CF885">
        <v>299654811</v>
      </c>
      <c r="CS885">
        <v>3</v>
      </c>
      <c r="CT885">
        <v>2</v>
      </c>
      <c r="CU885">
        <v>0</v>
      </c>
      <c r="CV885">
        <v>2</v>
      </c>
      <c r="CW885">
        <v>0</v>
      </c>
      <c r="CX885">
        <v>5</v>
      </c>
      <c r="CY885">
        <v>7</v>
      </c>
      <c r="CZ885" t="s">
        <v>131</v>
      </c>
      <c r="DA885">
        <v>300</v>
      </c>
      <c r="DB885">
        <v>0</v>
      </c>
      <c r="DC885" t="s">
        <v>176</v>
      </c>
      <c r="DD885" t="s">
        <v>177</v>
      </c>
      <c r="DG885">
        <v>5373521</v>
      </c>
      <c r="DI885">
        <v>1</v>
      </c>
      <c r="DJ885">
        <v>0</v>
      </c>
      <c r="DK885">
        <v>0</v>
      </c>
      <c r="DL885">
        <v>0</v>
      </c>
      <c r="DM885">
        <v>0</v>
      </c>
      <c r="DN885">
        <v>1</v>
      </c>
      <c r="DO885">
        <v>0</v>
      </c>
      <c r="DP885">
        <v>0</v>
      </c>
      <c r="DQ885">
        <v>0</v>
      </c>
      <c r="DR885">
        <v>0</v>
      </c>
      <c r="DS885">
        <v>0</v>
      </c>
    </row>
    <row r="886" spans="1:123" x14ac:dyDescent="0.3">
      <c r="A886" t="str">
        <f>"10/04/2022 19:27:59.513"</f>
        <v>10/04/2022 19:27:59.513</v>
      </c>
      <c r="C886" t="str">
        <f t="shared" si="308"/>
        <v>FFDDD3C0</v>
      </c>
      <c r="D886" t="s">
        <v>143</v>
      </c>
      <c r="E886">
        <v>20</v>
      </c>
      <c r="F886">
        <v>1020</v>
      </c>
      <c r="G886" t="s">
        <v>144</v>
      </c>
      <c r="J886" t="s">
        <v>145</v>
      </c>
      <c r="K886">
        <v>0</v>
      </c>
      <c r="L886">
        <v>3</v>
      </c>
      <c r="M886">
        <v>0</v>
      </c>
      <c r="N886">
        <v>2</v>
      </c>
      <c r="O886">
        <v>0</v>
      </c>
      <c r="P886">
        <v>1</v>
      </c>
      <c r="Q886">
        <v>0</v>
      </c>
      <c r="S886" t="str">
        <f t="shared" si="309"/>
        <v>19:27:59.000</v>
      </c>
      <c r="T886" t="str">
        <f t="shared" si="309"/>
        <v>19:27:59.000</v>
      </c>
      <c r="U886" t="str">
        <f t="shared" si="293"/>
        <v>AC3944</v>
      </c>
      <c r="V886">
        <v>0</v>
      </c>
      <c r="W886">
        <v>0</v>
      </c>
      <c r="X886">
        <v>2</v>
      </c>
      <c r="Y886">
        <v>0</v>
      </c>
      <c r="AA886">
        <v>1</v>
      </c>
      <c r="AB886">
        <v>8</v>
      </c>
      <c r="AC886">
        <v>3</v>
      </c>
      <c r="AD886">
        <v>0</v>
      </c>
      <c r="AE886">
        <v>9</v>
      </c>
      <c r="AF886" t="s">
        <v>138</v>
      </c>
      <c r="AG886">
        <v>0</v>
      </c>
      <c r="AH886">
        <v>3</v>
      </c>
      <c r="AI886">
        <v>1</v>
      </c>
      <c r="AJ886">
        <v>0</v>
      </c>
      <c r="AK886" t="s">
        <v>387</v>
      </c>
      <c r="AL886">
        <v>32.811655999999999</v>
      </c>
      <c r="AM886" t="s">
        <v>388</v>
      </c>
      <c r="AN886">
        <v>-116.942511</v>
      </c>
      <c r="AO886">
        <v>25</v>
      </c>
      <c r="AP886">
        <v>2000</v>
      </c>
      <c r="AQ886" t="s">
        <v>129</v>
      </c>
      <c r="AR886">
        <v>103</v>
      </c>
      <c r="AS886">
        <v>-56</v>
      </c>
      <c r="AT886">
        <v>704</v>
      </c>
      <c r="BB886">
        <v>1200</v>
      </c>
      <c r="BC886">
        <v>1</v>
      </c>
      <c r="BD886" t="str">
        <f t="shared" si="294"/>
        <v xml:space="preserve">N887QR  </v>
      </c>
      <c r="BE886">
        <v>1</v>
      </c>
      <c r="BJ886">
        <v>1725</v>
      </c>
      <c r="BK886">
        <v>-275</v>
      </c>
      <c r="BL886" t="s">
        <v>163</v>
      </c>
      <c r="BM886">
        <v>1</v>
      </c>
      <c r="BN886">
        <v>1</v>
      </c>
      <c r="BO886">
        <v>1</v>
      </c>
      <c r="BP886">
        <v>0</v>
      </c>
      <c r="BS886">
        <v>0</v>
      </c>
      <c r="BT886">
        <v>0</v>
      </c>
      <c r="BU886">
        <v>0</v>
      </c>
      <c r="CE886" t="str">
        <f t="shared" si="310"/>
        <v>19:27:59.300</v>
      </c>
      <c r="CF886">
        <v>299654811</v>
      </c>
      <c r="CS886">
        <v>3</v>
      </c>
      <c r="CT886">
        <v>2</v>
      </c>
      <c r="CU886">
        <v>0</v>
      </c>
      <c r="CV886">
        <v>2</v>
      </c>
      <c r="CW886">
        <v>0</v>
      </c>
      <c r="CX886">
        <v>5</v>
      </c>
      <c r="CY886">
        <v>7</v>
      </c>
      <c r="CZ886" t="s">
        <v>131</v>
      </c>
      <c r="DA886">
        <v>300</v>
      </c>
      <c r="DB886">
        <v>0</v>
      </c>
      <c r="DC886" t="s">
        <v>176</v>
      </c>
      <c r="DD886" t="s">
        <v>177</v>
      </c>
      <c r="DG886">
        <v>5373521</v>
      </c>
      <c r="DI886">
        <v>1</v>
      </c>
      <c r="DJ886">
        <v>0</v>
      </c>
      <c r="DK886">
        <v>1</v>
      </c>
      <c r="DL886">
        <v>0</v>
      </c>
      <c r="DM886">
        <v>0</v>
      </c>
      <c r="DN886">
        <v>1</v>
      </c>
      <c r="DO886">
        <v>0</v>
      </c>
      <c r="DP886">
        <v>0</v>
      </c>
      <c r="DQ886">
        <v>0</v>
      </c>
      <c r="DR886">
        <v>0</v>
      </c>
      <c r="DS886">
        <v>0</v>
      </c>
    </row>
    <row r="887" spans="1:123" x14ac:dyDescent="0.3">
      <c r="A887" t="str">
        <f>"10/04/2022 19:27:59.513"</f>
        <v>10/04/2022 19:27:59.513</v>
      </c>
      <c r="C887" t="str">
        <f t="shared" si="308"/>
        <v>FFDDD3C0</v>
      </c>
      <c r="D887" t="s">
        <v>147</v>
      </c>
      <c r="E887">
        <v>3</v>
      </c>
      <c r="H887">
        <v>166</v>
      </c>
      <c r="I887" t="s">
        <v>144</v>
      </c>
      <c r="J887" t="s">
        <v>148</v>
      </c>
      <c r="K887">
        <v>0</v>
      </c>
      <c r="L887">
        <v>3</v>
      </c>
      <c r="M887">
        <v>0</v>
      </c>
      <c r="N887">
        <v>2</v>
      </c>
      <c r="O887">
        <v>0</v>
      </c>
      <c r="P887">
        <v>1</v>
      </c>
      <c r="Q887">
        <v>0</v>
      </c>
      <c r="S887" t="str">
        <f t="shared" si="309"/>
        <v>19:27:59.000</v>
      </c>
      <c r="T887" t="str">
        <f t="shared" si="309"/>
        <v>19:27:59.000</v>
      </c>
      <c r="U887" t="str">
        <f t="shared" si="293"/>
        <v>AC3944</v>
      </c>
      <c r="V887">
        <v>0</v>
      </c>
      <c r="W887">
        <v>0</v>
      </c>
      <c r="X887">
        <v>2</v>
      </c>
      <c r="Y887">
        <v>0</v>
      </c>
      <c r="AA887">
        <v>1</v>
      </c>
      <c r="AB887">
        <v>8</v>
      </c>
      <c r="AC887">
        <v>3</v>
      </c>
      <c r="AD887">
        <v>0</v>
      </c>
      <c r="AE887">
        <v>9</v>
      </c>
      <c r="AF887" t="s">
        <v>138</v>
      </c>
      <c r="AG887">
        <v>0</v>
      </c>
      <c r="AH887">
        <v>3</v>
      </c>
      <c r="AI887">
        <v>1</v>
      </c>
      <c r="AJ887">
        <v>0</v>
      </c>
      <c r="AK887" t="s">
        <v>387</v>
      </c>
      <c r="AL887">
        <v>32.811655999999999</v>
      </c>
      <c r="AM887" t="s">
        <v>388</v>
      </c>
      <c r="AN887">
        <v>-116.942511</v>
      </c>
      <c r="AO887">
        <v>25</v>
      </c>
      <c r="AP887">
        <v>2000</v>
      </c>
      <c r="AQ887" t="s">
        <v>129</v>
      </c>
      <c r="AR887">
        <v>103</v>
      </c>
      <c r="AS887">
        <v>-56</v>
      </c>
      <c r="AT887">
        <v>704</v>
      </c>
      <c r="BB887">
        <v>1200</v>
      </c>
      <c r="BC887">
        <v>1</v>
      </c>
      <c r="BD887" t="str">
        <f t="shared" si="294"/>
        <v xml:space="preserve">N887QR  </v>
      </c>
      <c r="BE887">
        <v>1</v>
      </c>
      <c r="BJ887">
        <v>1725</v>
      </c>
      <c r="BK887">
        <v>-275</v>
      </c>
      <c r="BL887" t="s">
        <v>163</v>
      </c>
      <c r="BM887">
        <v>1</v>
      </c>
      <c r="BN887">
        <v>1</v>
      </c>
      <c r="BO887">
        <v>1</v>
      </c>
      <c r="BP887">
        <v>0</v>
      </c>
      <c r="BS887">
        <v>0</v>
      </c>
      <c r="BT887">
        <v>0</v>
      </c>
      <c r="BU887">
        <v>0</v>
      </c>
      <c r="CE887" t="str">
        <f t="shared" si="310"/>
        <v>19:27:59.300</v>
      </c>
      <c r="CF887">
        <v>299654811</v>
      </c>
      <c r="CS887">
        <v>3</v>
      </c>
      <c r="CT887">
        <v>2</v>
      </c>
      <c r="CU887">
        <v>0</v>
      </c>
      <c r="CV887">
        <v>2</v>
      </c>
      <c r="CW887">
        <v>0</v>
      </c>
      <c r="CX887">
        <v>5</v>
      </c>
      <c r="CY887">
        <v>7</v>
      </c>
      <c r="CZ887" t="s">
        <v>131</v>
      </c>
      <c r="DA887">
        <v>300</v>
      </c>
      <c r="DB887">
        <v>0</v>
      </c>
      <c r="DC887" t="s">
        <v>176</v>
      </c>
      <c r="DD887" t="s">
        <v>177</v>
      </c>
      <c r="DG887">
        <v>5373521</v>
      </c>
      <c r="DI887">
        <v>1</v>
      </c>
      <c r="DJ887">
        <v>0</v>
      </c>
      <c r="DK887">
        <v>1</v>
      </c>
      <c r="DL887">
        <v>0</v>
      </c>
      <c r="DM887">
        <v>0</v>
      </c>
      <c r="DN887">
        <v>1</v>
      </c>
      <c r="DO887">
        <v>0</v>
      </c>
      <c r="DP887">
        <v>0</v>
      </c>
      <c r="DQ887">
        <v>0</v>
      </c>
      <c r="DR887">
        <v>0</v>
      </c>
      <c r="DS887">
        <v>0</v>
      </c>
    </row>
    <row r="888" spans="1:123" x14ac:dyDescent="0.3">
      <c r="A888" t="str">
        <f>"10/04/2022 19:27:59.513"</f>
        <v>10/04/2022 19:27:59.513</v>
      </c>
      <c r="C888" t="str">
        <f t="shared" si="308"/>
        <v>FFDDD3C0</v>
      </c>
      <c r="D888" t="s">
        <v>123</v>
      </c>
      <c r="E888">
        <v>7</v>
      </c>
      <c r="F888">
        <v>2007</v>
      </c>
      <c r="G888" t="s">
        <v>124</v>
      </c>
      <c r="J888" t="s">
        <v>125</v>
      </c>
      <c r="K888">
        <v>0</v>
      </c>
      <c r="L888">
        <v>3</v>
      </c>
      <c r="M888">
        <v>0</v>
      </c>
      <c r="N888">
        <v>2</v>
      </c>
      <c r="O888">
        <v>0</v>
      </c>
      <c r="P888">
        <v>1</v>
      </c>
      <c r="Q888">
        <v>0</v>
      </c>
      <c r="S888" t="str">
        <f t="shared" si="309"/>
        <v>19:27:59.000</v>
      </c>
      <c r="T888" t="str">
        <f t="shared" si="309"/>
        <v>19:27:59.000</v>
      </c>
      <c r="U888" t="str">
        <f t="shared" si="293"/>
        <v>AC3944</v>
      </c>
      <c r="V888">
        <v>0</v>
      </c>
      <c r="W888">
        <v>0</v>
      </c>
      <c r="X888">
        <v>2</v>
      </c>
      <c r="Y888">
        <v>0</v>
      </c>
      <c r="AA888">
        <v>1</v>
      </c>
      <c r="AB888">
        <v>8</v>
      </c>
      <c r="AC888">
        <v>3</v>
      </c>
      <c r="AD888">
        <v>0</v>
      </c>
      <c r="AE888">
        <v>9</v>
      </c>
      <c r="AF888" t="s">
        <v>138</v>
      </c>
      <c r="AG888">
        <v>0</v>
      </c>
      <c r="AH888">
        <v>3</v>
      </c>
      <c r="AI888">
        <v>1</v>
      </c>
      <c r="AJ888">
        <v>0</v>
      </c>
      <c r="AK888" t="s">
        <v>387</v>
      </c>
      <c r="AL888">
        <v>32.811655999999999</v>
      </c>
      <c r="AM888" t="s">
        <v>388</v>
      </c>
      <c r="AN888">
        <v>-116.942511</v>
      </c>
      <c r="AO888">
        <v>25</v>
      </c>
      <c r="AP888">
        <v>2000</v>
      </c>
      <c r="AQ888" t="s">
        <v>129</v>
      </c>
      <c r="AR888">
        <v>103</v>
      </c>
      <c r="AS888">
        <v>-56</v>
      </c>
      <c r="AT888">
        <v>704</v>
      </c>
      <c r="BB888">
        <v>1200</v>
      </c>
      <c r="BC888">
        <v>1</v>
      </c>
      <c r="BD888" t="str">
        <f t="shared" si="294"/>
        <v xml:space="preserve">N887QR  </v>
      </c>
      <c r="BE888">
        <v>1</v>
      </c>
      <c r="BJ888">
        <v>1725</v>
      </c>
      <c r="BK888">
        <v>-275</v>
      </c>
      <c r="BL888" t="s">
        <v>163</v>
      </c>
      <c r="BM888">
        <v>1</v>
      </c>
      <c r="BN888">
        <v>1</v>
      </c>
      <c r="BO888">
        <v>1</v>
      </c>
      <c r="BP888">
        <v>0</v>
      </c>
      <c r="BS888">
        <v>0</v>
      </c>
      <c r="BT888">
        <v>0</v>
      </c>
      <c r="BU888">
        <v>0</v>
      </c>
      <c r="CE888" t="str">
        <f t="shared" si="310"/>
        <v>19:27:59.300</v>
      </c>
      <c r="CF888">
        <v>299654811</v>
      </c>
      <c r="CS888">
        <v>3</v>
      </c>
      <c r="CT888">
        <v>2</v>
      </c>
      <c r="CU888">
        <v>0</v>
      </c>
      <c r="CV888">
        <v>2</v>
      </c>
      <c r="CW888">
        <v>0</v>
      </c>
      <c r="CX888">
        <v>5</v>
      </c>
      <c r="CY888">
        <v>7</v>
      </c>
      <c r="CZ888" t="s">
        <v>131</v>
      </c>
      <c r="DA888">
        <v>300</v>
      </c>
      <c r="DB888">
        <v>0</v>
      </c>
      <c r="DC888" t="s">
        <v>176</v>
      </c>
      <c r="DD888" t="s">
        <v>177</v>
      </c>
      <c r="DG888">
        <v>5373521</v>
      </c>
      <c r="DI888">
        <v>1</v>
      </c>
      <c r="DJ888">
        <v>0</v>
      </c>
      <c r="DK888">
        <v>1</v>
      </c>
      <c r="DL888">
        <v>0</v>
      </c>
      <c r="DM888">
        <v>0</v>
      </c>
      <c r="DN888">
        <v>1</v>
      </c>
      <c r="DO888">
        <v>0</v>
      </c>
      <c r="DP888">
        <v>0</v>
      </c>
      <c r="DQ888">
        <v>0</v>
      </c>
      <c r="DR888">
        <v>0</v>
      </c>
      <c r="DS888">
        <v>0</v>
      </c>
    </row>
    <row r="889" spans="1:123" x14ac:dyDescent="0.3">
      <c r="A889" t="str">
        <f>"10/04/2022 19:27:59.513"</f>
        <v>10/04/2022 19:27:59.513</v>
      </c>
      <c r="C889" t="str">
        <f t="shared" si="308"/>
        <v>FFDDD3C0</v>
      </c>
      <c r="D889" t="s">
        <v>136</v>
      </c>
      <c r="E889">
        <v>8</v>
      </c>
      <c r="H889">
        <v>225</v>
      </c>
      <c r="I889" t="s">
        <v>137</v>
      </c>
      <c r="J889" t="s">
        <v>138</v>
      </c>
      <c r="K889">
        <v>0</v>
      </c>
      <c r="L889">
        <v>3</v>
      </c>
      <c r="M889">
        <v>0</v>
      </c>
      <c r="N889">
        <v>2</v>
      </c>
      <c r="O889">
        <v>0</v>
      </c>
      <c r="P889">
        <v>1</v>
      </c>
      <c r="Q889">
        <v>0</v>
      </c>
      <c r="S889" t="str">
        <f t="shared" si="309"/>
        <v>19:27:59.000</v>
      </c>
      <c r="T889" t="str">
        <f t="shared" si="309"/>
        <v>19:27:59.000</v>
      </c>
      <c r="U889" t="str">
        <f t="shared" si="293"/>
        <v>AC3944</v>
      </c>
      <c r="V889">
        <v>0</v>
      </c>
      <c r="W889">
        <v>0</v>
      </c>
      <c r="X889">
        <v>2</v>
      </c>
      <c r="Y889">
        <v>0</v>
      </c>
      <c r="AA889">
        <v>1</v>
      </c>
      <c r="AB889">
        <v>8</v>
      </c>
      <c r="AC889">
        <v>3</v>
      </c>
      <c r="AD889">
        <v>0</v>
      </c>
      <c r="AE889">
        <v>9</v>
      </c>
      <c r="AF889" t="s">
        <v>138</v>
      </c>
      <c r="AG889">
        <v>0</v>
      </c>
      <c r="AH889">
        <v>3</v>
      </c>
      <c r="AI889">
        <v>1</v>
      </c>
      <c r="AJ889">
        <v>0</v>
      </c>
      <c r="AK889" t="s">
        <v>387</v>
      </c>
      <c r="AL889">
        <v>32.811655999999999</v>
      </c>
      <c r="AM889" t="s">
        <v>388</v>
      </c>
      <c r="AN889">
        <v>-116.942511</v>
      </c>
      <c r="AO889">
        <v>25</v>
      </c>
      <c r="AP889">
        <v>2000</v>
      </c>
      <c r="AQ889" t="s">
        <v>129</v>
      </c>
      <c r="AR889">
        <v>103</v>
      </c>
      <c r="AS889">
        <v>-56</v>
      </c>
      <c r="AT889">
        <v>704</v>
      </c>
      <c r="BB889">
        <v>1200</v>
      </c>
      <c r="BC889">
        <v>1</v>
      </c>
      <c r="BD889" t="str">
        <f t="shared" si="294"/>
        <v xml:space="preserve">N887QR  </v>
      </c>
      <c r="BE889">
        <v>1</v>
      </c>
      <c r="BJ889">
        <v>1725</v>
      </c>
      <c r="BK889">
        <v>-275</v>
      </c>
      <c r="BL889" t="s">
        <v>163</v>
      </c>
      <c r="BM889">
        <v>1</v>
      </c>
      <c r="BN889">
        <v>1</v>
      </c>
      <c r="BO889">
        <v>1</v>
      </c>
      <c r="BP889">
        <v>0</v>
      </c>
      <c r="BS889">
        <v>0</v>
      </c>
      <c r="BT889">
        <v>0</v>
      </c>
      <c r="BU889">
        <v>0</v>
      </c>
      <c r="CE889" t="str">
        <f t="shared" si="310"/>
        <v>19:27:59.300</v>
      </c>
      <c r="CF889">
        <v>299654811</v>
      </c>
      <c r="CS889">
        <v>3</v>
      </c>
      <c r="CT889">
        <v>2</v>
      </c>
      <c r="CU889">
        <v>0</v>
      </c>
      <c r="CV889">
        <v>2</v>
      </c>
      <c r="CW889">
        <v>0</v>
      </c>
      <c r="CX889">
        <v>5</v>
      </c>
      <c r="CY889">
        <v>7</v>
      </c>
      <c r="CZ889" t="s">
        <v>131</v>
      </c>
      <c r="DA889">
        <v>300</v>
      </c>
      <c r="DB889">
        <v>0</v>
      </c>
      <c r="DC889" t="s">
        <v>176</v>
      </c>
      <c r="DD889" t="s">
        <v>177</v>
      </c>
      <c r="DG889">
        <v>5373521</v>
      </c>
      <c r="DI889">
        <v>1</v>
      </c>
      <c r="DJ889">
        <v>0</v>
      </c>
      <c r="DK889">
        <v>1</v>
      </c>
      <c r="DL889">
        <v>0</v>
      </c>
      <c r="DM889">
        <v>0</v>
      </c>
      <c r="DN889">
        <v>1</v>
      </c>
      <c r="DO889">
        <v>0</v>
      </c>
      <c r="DP889">
        <v>0</v>
      </c>
      <c r="DQ889">
        <v>0</v>
      </c>
      <c r="DR889">
        <v>0</v>
      </c>
      <c r="DS889">
        <v>0</v>
      </c>
    </row>
    <row r="890" spans="1:123" x14ac:dyDescent="0.3">
      <c r="A890" t="str">
        <f>"10/04/2022 19:27:59.544"</f>
        <v>10/04/2022 19:27:59.544</v>
      </c>
      <c r="C890" t="str">
        <f t="shared" si="308"/>
        <v>FFDDD3C0</v>
      </c>
      <c r="D890" t="s">
        <v>141</v>
      </c>
      <c r="E890">
        <v>3</v>
      </c>
      <c r="H890">
        <v>3</v>
      </c>
      <c r="I890" t="s">
        <v>146</v>
      </c>
      <c r="J890" t="s">
        <v>138</v>
      </c>
      <c r="K890">
        <v>0</v>
      </c>
      <c r="L890">
        <v>3</v>
      </c>
      <c r="M890">
        <v>0</v>
      </c>
      <c r="N890">
        <v>2</v>
      </c>
      <c r="O890">
        <v>0</v>
      </c>
      <c r="P890">
        <v>1</v>
      </c>
      <c r="Q890">
        <v>0</v>
      </c>
      <c r="S890" t="str">
        <f t="shared" si="309"/>
        <v>19:27:59.000</v>
      </c>
      <c r="T890" t="str">
        <f t="shared" si="309"/>
        <v>19:27:59.000</v>
      </c>
      <c r="U890" t="str">
        <f t="shared" si="293"/>
        <v>AC3944</v>
      </c>
      <c r="V890">
        <v>0</v>
      </c>
      <c r="W890">
        <v>0</v>
      </c>
      <c r="X890">
        <v>2</v>
      </c>
      <c r="Y890">
        <v>0</v>
      </c>
      <c r="AA890">
        <v>1</v>
      </c>
      <c r="AB890">
        <v>8</v>
      </c>
      <c r="AC890">
        <v>3</v>
      </c>
      <c r="AD890">
        <v>0</v>
      </c>
      <c r="AE890">
        <v>9</v>
      </c>
      <c r="AF890" t="s">
        <v>138</v>
      </c>
      <c r="AG890">
        <v>0</v>
      </c>
      <c r="AH890">
        <v>3</v>
      </c>
      <c r="AI890">
        <v>1</v>
      </c>
      <c r="AJ890">
        <v>0</v>
      </c>
      <c r="AK890" t="s">
        <v>387</v>
      </c>
      <c r="AL890">
        <v>32.811655999999999</v>
      </c>
      <c r="AM890" t="s">
        <v>388</v>
      </c>
      <c r="AN890">
        <v>-116.942511</v>
      </c>
      <c r="AO890">
        <v>25</v>
      </c>
      <c r="AP890">
        <v>2000</v>
      </c>
      <c r="AQ890" t="s">
        <v>129</v>
      </c>
      <c r="AR890">
        <v>103</v>
      </c>
      <c r="AS890">
        <v>-56</v>
      </c>
      <c r="AT890">
        <v>704</v>
      </c>
      <c r="BB890">
        <v>1200</v>
      </c>
      <c r="BC890">
        <v>1</v>
      </c>
      <c r="BD890" t="str">
        <f t="shared" si="294"/>
        <v xml:space="preserve">N887QR  </v>
      </c>
      <c r="BE890">
        <v>1</v>
      </c>
      <c r="BJ890">
        <v>1725</v>
      </c>
      <c r="BK890">
        <v>-275</v>
      </c>
      <c r="BL890" t="s">
        <v>163</v>
      </c>
      <c r="BM890">
        <v>1</v>
      </c>
      <c r="BN890">
        <v>1</v>
      </c>
      <c r="BO890">
        <v>1</v>
      </c>
      <c r="BP890">
        <v>0</v>
      </c>
      <c r="BS890">
        <v>0</v>
      </c>
      <c r="BT890">
        <v>0</v>
      </c>
      <c r="BU890">
        <v>0</v>
      </c>
      <c r="CE890" t="str">
        <f t="shared" si="310"/>
        <v>19:27:59.300</v>
      </c>
      <c r="CF890">
        <v>299654811</v>
      </c>
      <c r="CS890">
        <v>3</v>
      </c>
      <c r="CT890">
        <v>2</v>
      </c>
      <c r="CU890">
        <v>0</v>
      </c>
      <c r="CV890">
        <v>2</v>
      </c>
      <c r="CW890">
        <v>0</v>
      </c>
      <c r="CX890">
        <v>5</v>
      </c>
      <c r="CY890">
        <v>7</v>
      </c>
      <c r="CZ890" t="s">
        <v>131</v>
      </c>
      <c r="DA890">
        <v>300</v>
      </c>
      <c r="DB890">
        <v>0</v>
      </c>
      <c r="DC890" t="s">
        <v>176</v>
      </c>
      <c r="DD890" t="s">
        <v>177</v>
      </c>
      <c r="DG890">
        <v>5373521</v>
      </c>
      <c r="DI890">
        <v>1</v>
      </c>
      <c r="DJ890">
        <v>0</v>
      </c>
      <c r="DK890">
        <v>1</v>
      </c>
      <c r="DL890">
        <v>0</v>
      </c>
      <c r="DM890">
        <v>0</v>
      </c>
      <c r="DN890">
        <v>1</v>
      </c>
      <c r="DO890">
        <v>0</v>
      </c>
      <c r="DP890">
        <v>0</v>
      </c>
      <c r="DQ890">
        <v>0</v>
      </c>
      <c r="DR890">
        <v>0</v>
      </c>
      <c r="DS890">
        <v>0</v>
      </c>
    </row>
    <row r="891" spans="1:123" x14ac:dyDescent="0.3">
      <c r="A891" t="str">
        <f>"10/04/2022 19:27:59.544"</f>
        <v>10/04/2022 19:27:59.544</v>
      </c>
      <c r="C891" t="str">
        <f t="shared" si="308"/>
        <v>FFDDD3C0</v>
      </c>
      <c r="D891" t="s">
        <v>141</v>
      </c>
      <c r="E891">
        <v>4</v>
      </c>
      <c r="H891">
        <v>4</v>
      </c>
      <c r="I891" t="s">
        <v>142</v>
      </c>
      <c r="J891" t="s">
        <v>138</v>
      </c>
      <c r="K891">
        <v>0</v>
      </c>
      <c r="L891">
        <v>3</v>
      </c>
      <c r="M891">
        <v>0</v>
      </c>
      <c r="N891">
        <v>2</v>
      </c>
      <c r="O891">
        <v>0</v>
      </c>
      <c r="P891">
        <v>1</v>
      </c>
      <c r="Q891">
        <v>0</v>
      </c>
      <c r="S891" t="str">
        <f t="shared" si="309"/>
        <v>19:27:59.000</v>
      </c>
      <c r="T891" t="str">
        <f t="shared" si="309"/>
        <v>19:27:59.000</v>
      </c>
      <c r="U891" t="str">
        <f t="shared" si="293"/>
        <v>AC3944</v>
      </c>
      <c r="V891">
        <v>0</v>
      </c>
      <c r="W891">
        <v>0</v>
      </c>
      <c r="X891">
        <v>2</v>
      </c>
      <c r="Y891">
        <v>0</v>
      </c>
      <c r="AA891">
        <v>1</v>
      </c>
      <c r="AB891">
        <v>8</v>
      </c>
      <c r="AC891">
        <v>3</v>
      </c>
      <c r="AD891">
        <v>0</v>
      </c>
      <c r="AE891">
        <v>9</v>
      </c>
      <c r="AF891" t="s">
        <v>138</v>
      </c>
      <c r="AG891">
        <v>0</v>
      </c>
      <c r="AH891">
        <v>3</v>
      </c>
      <c r="AI891">
        <v>1</v>
      </c>
      <c r="AJ891">
        <v>0</v>
      </c>
      <c r="AK891" t="s">
        <v>387</v>
      </c>
      <c r="AL891">
        <v>32.811655999999999</v>
      </c>
      <c r="AM891" t="s">
        <v>388</v>
      </c>
      <c r="AN891">
        <v>-116.942511</v>
      </c>
      <c r="AO891">
        <v>25</v>
      </c>
      <c r="AP891">
        <v>2000</v>
      </c>
      <c r="AQ891" t="s">
        <v>129</v>
      </c>
      <c r="AR891">
        <v>103</v>
      </c>
      <c r="AS891">
        <v>-56</v>
      </c>
      <c r="AT891">
        <v>704</v>
      </c>
      <c r="BB891">
        <v>1200</v>
      </c>
      <c r="BC891">
        <v>1</v>
      </c>
      <c r="BD891" t="str">
        <f t="shared" si="294"/>
        <v xml:space="preserve">N887QR  </v>
      </c>
      <c r="BE891">
        <v>1</v>
      </c>
      <c r="BJ891">
        <v>1725</v>
      </c>
      <c r="BK891">
        <v>-275</v>
      </c>
      <c r="BL891" t="s">
        <v>163</v>
      </c>
      <c r="BM891">
        <v>1</v>
      </c>
      <c r="BN891">
        <v>1</v>
      </c>
      <c r="BO891">
        <v>1</v>
      </c>
      <c r="BP891">
        <v>0</v>
      </c>
      <c r="BS891">
        <v>0</v>
      </c>
      <c r="BT891">
        <v>0</v>
      </c>
      <c r="BU891">
        <v>0</v>
      </c>
      <c r="CE891" t="str">
        <f t="shared" si="310"/>
        <v>19:27:59.300</v>
      </c>
      <c r="CF891">
        <v>299654811</v>
      </c>
      <c r="CS891">
        <v>3</v>
      </c>
      <c r="CT891">
        <v>2</v>
      </c>
      <c r="CU891">
        <v>0</v>
      </c>
      <c r="CV891">
        <v>2</v>
      </c>
      <c r="CW891">
        <v>0</v>
      </c>
      <c r="CX891">
        <v>5</v>
      </c>
      <c r="CY891">
        <v>7</v>
      </c>
      <c r="CZ891" t="s">
        <v>131</v>
      </c>
      <c r="DA891">
        <v>300</v>
      </c>
      <c r="DB891">
        <v>0</v>
      </c>
      <c r="DC891" t="s">
        <v>176</v>
      </c>
      <c r="DD891" t="s">
        <v>177</v>
      </c>
      <c r="DG891">
        <v>5373521</v>
      </c>
      <c r="DI891">
        <v>1</v>
      </c>
      <c r="DJ891">
        <v>0</v>
      </c>
      <c r="DK891">
        <v>1</v>
      </c>
      <c r="DL891">
        <v>0</v>
      </c>
      <c r="DM891">
        <v>0</v>
      </c>
      <c r="DN891">
        <v>1</v>
      </c>
      <c r="DO891">
        <v>0</v>
      </c>
      <c r="DP891">
        <v>0</v>
      </c>
      <c r="DQ891">
        <v>0</v>
      </c>
      <c r="DR891">
        <v>0</v>
      </c>
      <c r="DS891">
        <v>0</v>
      </c>
    </row>
    <row r="892" spans="1:123" x14ac:dyDescent="0.3">
      <c r="A892" t="str">
        <f>"10/04/2022 19:28:00.545"</f>
        <v>10/04/2022 19:28:00.545</v>
      </c>
      <c r="C892" t="str">
        <f t="shared" si="308"/>
        <v>FFDDD3C0</v>
      </c>
      <c r="D892" t="s">
        <v>141</v>
      </c>
      <c r="E892">
        <v>4</v>
      </c>
      <c r="H892">
        <v>4</v>
      </c>
      <c r="I892" t="s">
        <v>142</v>
      </c>
      <c r="J892" t="s">
        <v>138</v>
      </c>
      <c r="K892">
        <v>0</v>
      </c>
      <c r="L892">
        <v>3</v>
      </c>
      <c r="M892">
        <v>0</v>
      </c>
      <c r="N892">
        <v>2</v>
      </c>
      <c r="O892">
        <v>0</v>
      </c>
      <c r="P892">
        <v>1</v>
      </c>
      <c r="Q892">
        <v>0</v>
      </c>
      <c r="S892" t="str">
        <f t="shared" ref="S892:T898" si="311">"19:28:00.000"</f>
        <v>19:28:00.000</v>
      </c>
      <c r="T892" t="str">
        <f t="shared" si="311"/>
        <v>19:28:00.000</v>
      </c>
      <c r="U892" t="str">
        <f t="shared" si="293"/>
        <v>AC3944</v>
      </c>
      <c r="V892">
        <v>0</v>
      </c>
      <c r="W892">
        <v>0</v>
      </c>
      <c r="X892">
        <v>2</v>
      </c>
      <c r="Y892">
        <v>0</v>
      </c>
      <c r="AA892">
        <v>1</v>
      </c>
      <c r="AB892">
        <v>8</v>
      </c>
      <c r="AC892">
        <v>3</v>
      </c>
      <c r="AD892">
        <v>0</v>
      </c>
      <c r="AE892">
        <v>9</v>
      </c>
      <c r="AF892" t="s">
        <v>138</v>
      </c>
      <c r="AG892">
        <v>0</v>
      </c>
      <c r="AH892">
        <v>3</v>
      </c>
      <c r="AI892">
        <v>1</v>
      </c>
      <c r="AJ892">
        <v>0</v>
      </c>
      <c r="AK892" t="s">
        <v>389</v>
      </c>
      <c r="AL892">
        <v>32.811399000000002</v>
      </c>
      <c r="AM892" t="s">
        <v>390</v>
      </c>
      <c r="AN892">
        <v>-116.941931</v>
      </c>
      <c r="AO892">
        <v>25</v>
      </c>
      <c r="AP892">
        <v>2000</v>
      </c>
      <c r="AQ892" t="s">
        <v>129</v>
      </c>
      <c r="AR892">
        <v>103</v>
      </c>
      <c r="AS892">
        <v>-55</v>
      </c>
      <c r="AT892">
        <v>896</v>
      </c>
      <c r="BB892">
        <v>1200</v>
      </c>
      <c r="BC892">
        <v>1</v>
      </c>
      <c r="BD892" t="str">
        <f t="shared" si="294"/>
        <v xml:space="preserve">N887QR  </v>
      </c>
      <c r="BE892">
        <v>1</v>
      </c>
      <c r="BJ892">
        <v>1725</v>
      </c>
      <c r="BK892">
        <v>-275</v>
      </c>
      <c r="BL892" t="s">
        <v>163</v>
      </c>
      <c r="BM892">
        <v>1</v>
      </c>
      <c r="BN892">
        <v>1</v>
      </c>
      <c r="BO892">
        <v>1</v>
      </c>
      <c r="BP892">
        <v>0</v>
      </c>
      <c r="BS892">
        <v>0</v>
      </c>
      <c r="BT892">
        <v>0</v>
      </c>
      <c r="BU892">
        <v>0</v>
      </c>
      <c r="CE892" t="str">
        <f t="shared" ref="CE892:CE898" si="312">"19:28:00.371"</f>
        <v>19:28:00.371</v>
      </c>
      <c r="CF892">
        <v>371408360</v>
      </c>
      <c r="CS892">
        <v>3</v>
      </c>
      <c r="CT892">
        <v>2</v>
      </c>
      <c r="CU892">
        <v>0</v>
      </c>
      <c r="CV892">
        <v>2</v>
      </c>
      <c r="CW892">
        <v>0</v>
      </c>
      <c r="CX892">
        <v>5</v>
      </c>
      <c r="CY892">
        <v>7</v>
      </c>
      <c r="CZ892" t="s">
        <v>131</v>
      </c>
      <c r="DA892">
        <v>300</v>
      </c>
      <c r="DB892">
        <v>0</v>
      </c>
      <c r="DC892" t="s">
        <v>176</v>
      </c>
      <c r="DD892" t="s">
        <v>177</v>
      </c>
      <c r="DG892">
        <v>5373678</v>
      </c>
      <c r="DI892">
        <v>1</v>
      </c>
      <c r="DJ892">
        <v>0</v>
      </c>
      <c r="DK892">
        <v>0</v>
      </c>
      <c r="DL892">
        <v>0</v>
      </c>
      <c r="DM892">
        <v>0</v>
      </c>
      <c r="DN892">
        <v>1</v>
      </c>
      <c r="DO892">
        <v>0</v>
      </c>
      <c r="DP892">
        <v>0</v>
      </c>
      <c r="DQ892">
        <v>0</v>
      </c>
      <c r="DR892">
        <v>0</v>
      </c>
      <c r="DS892">
        <v>0</v>
      </c>
    </row>
    <row r="893" spans="1:123" x14ac:dyDescent="0.3">
      <c r="A893" t="str">
        <f>"10/04/2022 19:28:00.545"</f>
        <v>10/04/2022 19:28:00.545</v>
      </c>
      <c r="C893" t="str">
        <f t="shared" si="308"/>
        <v>FFDDD3C0</v>
      </c>
      <c r="D893" t="s">
        <v>141</v>
      </c>
      <c r="E893">
        <v>3</v>
      </c>
      <c r="H893">
        <v>3</v>
      </c>
      <c r="I893" t="s">
        <v>146</v>
      </c>
      <c r="J893" t="s">
        <v>138</v>
      </c>
      <c r="K893">
        <v>0</v>
      </c>
      <c r="L893">
        <v>3</v>
      </c>
      <c r="M893">
        <v>0</v>
      </c>
      <c r="N893">
        <v>2</v>
      </c>
      <c r="O893">
        <v>0</v>
      </c>
      <c r="P893">
        <v>1</v>
      </c>
      <c r="Q893">
        <v>0</v>
      </c>
      <c r="S893" t="str">
        <f t="shared" si="311"/>
        <v>19:28:00.000</v>
      </c>
      <c r="T893" t="str">
        <f t="shared" si="311"/>
        <v>19:28:00.000</v>
      </c>
      <c r="U893" t="str">
        <f t="shared" si="293"/>
        <v>AC3944</v>
      </c>
      <c r="V893">
        <v>0</v>
      </c>
      <c r="W893">
        <v>0</v>
      </c>
      <c r="X893">
        <v>2</v>
      </c>
      <c r="Y893">
        <v>0</v>
      </c>
      <c r="AA893">
        <v>1</v>
      </c>
      <c r="AB893">
        <v>8</v>
      </c>
      <c r="AC893">
        <v>3</v>
      </c>
      <c r="AD893">
        <v>0</v>
      </c>
      <c r="AE893">
        <v>9</v>
      </c>
      <c r="AF893" t="s">
        <v>138</v>
      </c>
      <c r="AG893">
        <v>0</v>
      </c>
      <c r="AH893">
        <v>3</v>
      </c>
      <c r="AI893">
        <v>1</v>
      </c>
      <c r="AJ893">
        <v>0</v>
      </c>
      <c r="AK893" t="s">
        <v>389</v>
      </c>
      <c r="AL893">
        <v>32.811399000000002</v>
      </c>
      <c r="AM893" t="s">
        <v>390</v>
      </c>
      <c r="AN893">
        <v>-116.941931</v>
      </c>
      <c r="AO893">
        <v>25</v>
      </c>
      <c r="AP893">
        <v>2000</v>
      </c>
      <c r="AQ893" t="s">
        <v>129</v>
      </c>
      <c r="AR893">
        <v>103</v>
      </c>
      <c r="AS893">
        <v>-55</v>
      </c>
      <c r="AT893">
        <v>896</v>
      </c>
      <c r="BB893">
        <v>1200</v>
      </c>
      <c r="BC893">
        <v>1</v>
      </c>
      <c r="BD893" t="str">
        <f t="shared" si="294"/>
        <v xml:space="preserve">N887QR  </v>
      </c>
      <c r="BE893">
        <v>1</v>
      </c>
      <c r="BJ893">
        <v>1725</v>
      </c>
      <c r="BK893">
        <v>-275</v>
      </c>
      <c r="BL893" t="s">
        <v>163</v>
      </c>
      <c r="BM893">
        <v>1</v>
      </c>
      <c r="BN893">
        <v>1</v>
      </c>
      <c r="BO893">
        <v>1</v>
      </c>
      <c r="BP893">
        <v>0</v>
      </c>
      <c r="BS893">
        <v>0</v>
      </c>
      <c r="BT893">
        <v>0</v>
      </c>
      <c r="BU893">
        <v>0</v>
      </c>
      <c r="CE893" t="str">
        <f t="shared" si="312"/>
        <v>19:28:00.371</v>
      </c>
      <c r="CF893">
        <v>371408360</v>
      </c>
      <c r="CS893">
        <v>3</v>
      </c>
      <c r="CT893">
        <v>2</v>
      </c>
      <c r="CU893">
        <v>0</v>
      </c>
      <c r="CV893">
        <v>2</v>
      </c>
      <c r="CW893">
        <v>0</v>
      </c>
      <c r="CX893">
        <v>5</v>
      </c>
      <c r="CY893">
        <v>7</v>
      </c>
      <c r="CZ893" t="s">
        <v>131</v>
      </c>
      <c r="DA893">
        <v>300</v>
      </c>
      <c r="DB893">
        <v>0</v>
      </c>
      <c r="DC893" t="s">
        <v>176</v>
      </c>
      <c r="DD893" t="s">
        <v>177</v>
      </c>
      <c r="DG893">
        <v>5373678</v>
      </c>
      <c r="DI893">
        <v>1</v>
      </c>
      <c r="DJ893">
        <v>0</v>
      </c>
      <c r="DK893">
        <v>1</v>
      </c>
      <c r="DL893">
        <v>0</v>
      </c>
      <c r="DM893">
        <v>0</v>
      </c>
      <c r="DN893">
        <v>1</v>
      </c>
      <c r="DO893">
        <v>0</v>
      </c>
      <c r="DP893">
        <v>0</v>
      </c>
      <c r="DQ893">
        <v>0</v>
      </c>
      <c r="DR893">
        <v>0</v>
      </c>
      <c r="DS893">
        <v>0</v>
      </c>
    </row>
    <row r="894" spans="1:123" x14ac:dyDescent="0.3">
      <c r="A894" t="str">
        <f>"10/04/2022 19:28:00.608"</f>
        <v>10/04/2022 19:28:00.608</v>
      </c>
      <c r="C894" t="str">
        <f t="shared" si="308"/>
        <v>FFDDD3C0</v>
      </c>
      <c r="D894" t="s">
        <v>134</v>
      </c>
      <c r="E894">
        <v>15</v>
      </c>
      <c r="J894" t="s">
        <v>135</v>
      </c>
      <c r="K894">
        <v>0</v>
      </c>
      <c r="L894">
        <v>3</v>
      </c>
      <c r="M894">
        <v>0</v>
      </c>
      <c r="N894">
        <v>2</v>
      </c>
      <c r="O894">
        <v>0</v>
      </c>
      <c r="P894">
        <v>1</v>
      </c>
      <c r="Q894">
        <v>0</v>
      </c>
      <c r="S894" t="str">
        <f t="shared" si="311"/>
        <v>19:28:00.000</v>
      </c>
      <c r="T894" t="str">
        <f t="shared" si="311"/>
        <v>19:28:00.000</v>
      </c>
      <c r="U894" t="str">
        <f t="shared" si="293"/>
        <v>AC3944</v>
      </c>
      <c r="V894">
        <v>0</v>
      </c>
      <c r="W894">
        <v>0</v>
      </c>
      <c r="X894">
        <v>2</v>
      </c>
      <c r="Y894">
        <v>0</v>
      </c>
      <c r="AA894">
        <v>1</v>
      </c>
      <c r="AB894">
        <v>8</v>
      </c>
      <c r="AC894">
        <v>3</v>
      </c>
      <c r="AD894">
        <v>0</v>
      </c>
      <c r="AE894">
        <v>9</v>
      </c>
      <c r="AF894" t="s">
        <v>138</v>
      </c>
      <c r="AG894">
        <v>0</v>
      </c>
      <c r="AH894">
        <v>3</v>
      </c>
      <c r="AI894">
        <v>1</v>
      </c>
      <c r="AJ894">
        <v>0</v>
      </c>
      <c r="AK894" t="s">
        <v>389</v>
      </c>
      <c r="AL894">
        <v>32.811399000000002</v>
      </c>
      <c r="AM894" t="s">
        <v>390</v>
      </c>
      <c r="AN894">
        <v>-116.941931</v>
      </c>
      <c r="AO894">
        <v>25</v>
      </c>
      <c r="AP894">
        <v>2000</v>
      </c>
      <c r="AQ894" t="s">
        <v>129</v>
      </c>
      <c r="AR894">
        <v>103</v>
      </c>
      <c r="AS894">
        <v>-55</v>
      </c>
      <c r="AT894">
        <v>896</v>
      </c>
      <c r="BB894">
        <v>1200</v>
      </c>
      <c r="BC894">
        <v>1</v>
      </c>
      <c r="BD894" t="str">
        <f t="shared" si="294"/>
        <v xml:space="preserve">N887QR  </v>
      </c>
      <c r="BE894">
        <v>1</v>
      </c>
      <c r="BJ894">
        <v>1725</v>
      </c>
      <c r="BK894">
        <v>-275</v>
      </c>
      <c r="BL894" t="s">
        <v>163</v>
      </c>
      <c r="BM894">
        <v>1</v>
      </c>
      <c r="BN894">
        <v>1</v>
      </c>
      <c r="BO894">
        <v>1</v>
      </c>
      <c r="BP894">
        <v>0</v>
      </c>
      <c r="BS894">
        <v>0</v>
      </c>
      <c r="BT894">
        <v>0</v>
      </c>
      <c r="BU894">
        <v>0</v>
      </c>
      <c r="CE894" t="str">
        <f t="shared" si="312"/>
        <v>19:28:00.371</v>
      </c>
      <c r="CF894">
        <v>371408360</v>
      </c>
      <c r="CS894">
        <v>3</v>
      </c>
      <c r="CT894">
        <v>2</v>
      </c>
      <c r="CU894">
        <v>0</v>
      </c>
      <c r="CV894">
        <v>2</v>
      </c>
      <c r="CW894">
        <v>0</v>
      </c>
      <c r="CX894">
        <v>5</v>
      </c>
      <c r="CY894">
        <v>7</v>
      </c>
      <c r="CZ894" t="s">
        <v>131</v>
      </c>
      <c r="DA894">
        <v>300</v>
      </c>
      <c r="DB894">
        <v>0</v>
      </c>
      <c r="DC894" t="s">
        <v>176</v>
      </c>
      <c r="DD894" t="s">
        <v>177</v>
      </c>
      <c r="DG894">
        <v>5373678</v>
      </c>
      <c r="DI894">
        <v>1</v>
      </c>
      <c r="DJ894">
        <v>0</v>
      </c>
      <c r="DK894">
        <v>1</v>
      </c>
      <c r="DL894">
        <v>0</v>
      </c>
      <c r="DM894">
        <v>0</v>
      </c>
      <c r="DN894">
        <v>1</v>
      </c>
      <c r="DO894">
        <v>0</v>
      </c>
      <c r="DP894">
        <v>0</v>
      </c>
      <c r="DQ894">
        <v>0</v>
      </c>
      <c r="DR894">
        <v>0</v>
      </c>
      <c r="DS894">
        <v>0</v>
      </c>
    </row>
    <row r="895" spans="1:123" x14ac:dyDescent="0.3">
      <c r="A895" t="str">
        <f>"10/04/2022 19:28:00.608"</f>
        <v>10/04/2022 19:28:00.608</v>
      </c>
      <c r="C895" t="str">
        <f t="shared" si="308"/>
        <v>FFDDD3C0</v>
      </c>
      <c r="D895" t="s">
        <v>143</v>
      </c>
      <c r="E895">
        <v>20</v>
      </c>
      <c r="F895">
        <v>1020</v>
      </c>
      <c r="G895" t="s">
        <v>144</v>
      </c>
      <c r="J895" t="s">
        <v>145</v>
      </c>
      <c r="K895">
        <v>0</v>
      </c>
      <c r="L895">
        <v>3</v>
      </c>
      <c r="M895">
        <v>0</v>
      </c>
      <c r="N895">
        <v>2</v>
      </c>
      <c r="O895">
        <v>0</v>
      </c>
      <c r="P895">
        <v>1</v>
      </c>
      <c r="Q895">
        <v>0</v>
      </c>
      <c r="S895" t="str">
        <f t="shared" si="311"/>
        <v>19:28:00.000</v>
      </c>
      <c r="T895" t="str">
        <f t="shared" si="311"/>
        <v>19:28:00.000</v>
      </c>
      <c r="U895" t="str">
        <f t="shared" si="293"/>
        <v>AC3944</v>
      </c>
      <c r="V895">
        <v>0</v>
      </c>
      <c r="W895">
        <v>0</v>
      </c>
      <c r="X895">
        <v>2</v>
      </c>
      <c r="Y895">
        <v>0</v>
      </c>
      <c r="AA895">
        <v>1</v>
      </c>
      <c r="AB895">
        <v>8</v>
      </c>
      <c r="AC895">
        <v>3</v>
      </c>
      <c r="AD895">
        <v>0</v>
      </c>
      <c r="AE895">
        <v>9</v>
      </c>
      <c r="AF895" t="s">
        <v>138</v>
      </c>
      <c r="AG895">
        <v>0</v>
      </c>
      <c r="AH895">
        <v>3</v>
      </c>
      <c r="AI895">
        <v>1</v>
      </c>
      <c r="AJ895">
        <v>0</v>
      </c>
      <c r="AK895" t="s">
        <v>389</v>
      </c>
      <c r="AL895">
        <v>32.811399000000002</v>
      </c>
      <c r="AM895" t="s">
        <v>390</v>
      </c>
      <c r="AN895">
        <v>-116.941931</v>
      </c>
      <c r="AO895">
        <v>25</v>
      </c>
      <c r="AP895">
        <v>2000</v>
      </c>
      <c r="AQ895" t="s">
        <v>129</v>
      </c>
      <c r="AR895">
        <v>103</v>
      </c>
      <c r="AS895">
        <v>-55</v>
      </c>
      <c r="AT895">
        <v>896</v>
      </c>
      <c r="BB895">
        <v>1200</v>
      </c>
      <c r="BC895">
        <v>1</v>
      </c>
      <c r="BD895" t="str">
        <f t="shared" si="294"/>
        <v xml:space="preserve">N887QR  </v>
      </c>
      <c r="BE895">
        <v>1</v>
      </c>
      <c r="BJ895">
        <v>1725</v>
      </c>
      <c r="BK895">
        <v>-275</v>
      </c>
      <c r="BL895" t="s">
        <v>163</v>
      </c>
      <c r="BM895">
        <v>1</v>
      </c>
      <c r="BN895">
        <v>1</v>
      </c>
      <c r="BO895">
        <v>1</v>
      </c>
      <c r="BP895">
        <v>0</v>
      </c>
      <c r="BS895">
        <v>0</v>
      </c>
      <c r="BT895">
        <v>0</v>
      </c>
      <c r="BU895">
        <v>0</v>
      </c>
      <c r="CE895" t="str">
        <f t="shared" si="312"/>
        <v>19:28:00.371</v>
      </c>
      <c r="CF895">
        <v>371408360</v>
      </c>
      <c r="CS895">
        <v>3</v>
      </c>
      <c r="CT895">
        <v>2</v>
      </c>
      <c r="CU895">
        <v>0</v>
      </c>
      <c r="CV895">
        <v>2</v>
      </c>
      <c r="CW895">
        <v>0</v>
      </c>
      <c r="CX895">
        <v>5</v>
      </c>
      <c r="CY895">
        <v>7</v>
      </c>
      <c r="CZ895" t="s">
        <v>131</v>
      </c>
      <c r="DA895">
        <v>300</v>
      </c>
      <c r="DB895">
        <v>0</v>
      </c>
      <c r="DC895" t="s">
        <v>176</v>
      </c>
      <c r="DD895" t="s">
        <v>177</v>
      </c>
      <c r="DG895">
        <v>5373678</v>
      </c>
      <c r="DI895">
        <v>1</v>
      </c>
      <c r="DJ895">
        <v>0</v>
      </c>
      <c r="DK895">
        <v>1</v>
      </c>
      <c r="DL895">
        <v>0</v>
      </c>
      <c r="DM895">
        <v>0</v>
      </c>
      <c r="DN895">
        <v>1</v>
      </c>
      <c r="DO895">
        <v>0</v>
      </c>
      <c r="DP895">
        <v>0</v>
      </c>
      <c r="DQ895">
        <v>0</v>
      </c>
      <c r="DR895">
        <v>0</v>
      </c>
      <c r="DS895">
        <v>0</v>
      </c>
    </row>
    <row r="896" spans="1:123" x14ac:dyDescent="0.3">
      <c r="A896" t="str">
        <f>"10/04/2022 19:28:00.608"</f>
        <v>10/04/2022 19:28:00.608</v>
      </c>
      <c r="C896" t="str">
        <f t="shared" si="308"/>
        <v>FFDDD3C0</v>
      </c>
      <c r="D896" t="s">
        <v>147</v>
      </c>
      <c r="E896">
        <v>3</v>
      </c>
      <c r="H896">
        <v>166</v>
      </c>
      <c r="I896" t="s">
        <v>144</v>
      </c>
      <c r="J896" t="s">
        <v>148</v>
      </c>
      <c r="K896">
        <v>0</v>
      </c>
      <c r="L896">
        <v>3</v>
      </c>
      <c r="M896">
        <v>0</v>
      </c>
      <c r="N896">
        <v>2</v>
      </c>
      <c r="O896">
        <v>0</v>
      </c>
      <c r="P896">
        <v>1</v>
      </c>
      <c r="Q896">
        <v>0</v>
      </c>
      <c r="S896" t="str">
        <f t="shared" si="311"/>
        <v>19:28:00.000</v>
      </c>
      <c r="T896" t="str">
        <f t="shared" si="311"/>
        <v>19:28:00.000</v>
      </c>
      <c r="U896" t="str">
        <f t="shared" si="293"/>
        <v>AC3944</v>
      </c>
      <c r="V896">
        <v>0</v>
      </c>
      <c r="W896">
        <v>0</v>
      </c>
      <c r="X896">
        <v>2</v>
      </c>
      <c r="Y896">
        <v>0</v>
      </c>
      <c r="AA896">
        <v>1</v>
      </c>
      <c r="AB896">
        <v>8</v>
      </c>
      <c r="AC896">
        <v>3</v>
      </c>
      <c r="AD896">
        <v>0</v>
      </c>
      <c r="AE896">
        <v>9</v>
      </c>
      <c r="AF896" t="s">
        <v>138</v>
      </c>
      <c r="AG896">
        <v>0</v>
      </c>
      <c r="AH896">
        <v>3</v>
      </c>
      <c r="AI896">
        <v>1</v>
      </c>
      <c r="AJ896">
        <v>0</v>
      </c>
      <c r="AK896" t="s">
        <v>389</v>
      </c>
      <c r="AL896">
        <v>32.811399000000002</v>
      </c>
      <c r="AM896" t="s">
        <v>390</v>
      </c>
      <c r="AN896">
        <v>-116.941931</v>
      </c>
      <c r="AO896">
        <v>25</v>
      </c>
      <c r="AP896">
        <v>2000</v>
      </c>
      <c r="AQ896" t="s">
        <v>129</v>
      </c>
      <c r="AR896">
        <v>103</v>
      </c>
      <c r="AS896">
        <v>-55</v>
      </c>
      <c r="AT896">
        <v>896</v>
      </c>
      <c r="BB896">
        <v>1200</v>
      </c>
      <c r="BC896">
        <v>1</v>
      </c>
      <c r="BD896" t="str">
        <f t="shared" si="294"/>
        <v xml:space="preserve">N887QR  </v>
      </c>
      <c r="BE896">
        <v>1</v>
      </c>
      <c r="BJ896">
        <v>1725</v>
      </c>
      <c r="BK896">
        <v>-275</v>
      </c>
      <c r="BL896" t="s">
        <v>163</v>
      </c>
      <c r="BM896">
        <v>1</v>
      </c>
      <c r="BN896">
        <v>1</v>
      </c>
      <c r="BO896">
        <v>1</v>
      </c>
      <c r="BP896">
        <v>0</v>
      </c>
      <c r="BS896">
        <v>0</v>
      </c>
      <c r="BT896">
        <v>0</v>
      </c>
      <c r="BU896">
        <v>0</v>
      </c>
      <c r="CE896" t="str">
        <f t="shared" si="312"/>
        <v>19:28:00.371</v>
      </c>
      <c r="CF896">
        <v>371408360</v>
      </c>
      <c r="CS896">
        <v>3</v>
      </c>
      <c r="CT896">
        <v>2</v>
      </c>
      <c r="CU896">
        <v>0</v>
      </c>
      <c r="CV896">
        <v>2</v>
      </c>
      <c r="CW896">
        <v>0</v>
      </c>
      <c r="CX896">
        <v>5</v>
      </c>
      <c r="CY896">
        <v>7</v>
      </c>
      <c r="CZ896" t="s">
        <v>131</v>
      </c>
      <c r="DA896">
        <v>300</v>
      </c>
      <c r="DB896">
        <v>0</v>
      </c>
      <c r="DC896" t="s">
        <v>176</v>
      </c>
      <c r="DD896" t="s">
        <v>177</v>
      </c>
      <c r="DG896">
        <v>5373678</v>
      </c>
      <c r="DI896">
        <v>1</v>
      </c>
      <c r="DJ896">
        <v>0</v>
      </c>
      <c r="DK896">
        <v>1</v>
      </c>
      <c r="DL896">
        <v>0</v>
      </c>
      <c r="DM896">
        <v>0</v>
      </c>
      <c r="DN896">
        <v>1</v>
      </c>
      <c r="DO896">
        <v>0</v>
      </c>
      <c r="DP896">
        <v>0</v>
      </c>
      <c r="DQ896">
        <v>0</v>
      </c>
      <c r="DR896">
        <v>0</v>
      </c>
      <c r="DS896">
        <v>0</v>
      </c>
    </row>
    <row r="897" spans="1:123" x14ac:dyDescent="0.3">
      <c r="A897" t="str">
        <f>"10/04/2022 19:28:00.608"</f>
        <v>10/04/2022 19:28:00.608</v>
      </c>
      <c r="C897" t="str">
        <f t="shared" si="308"/>
        <v>FFDDD3C0</v>
      </c>
      <c r="D897" t="s">
        <v>123</v>
      </c>
      <c r="E897">
        <v>7</v>
      </c>
      <c r="F897">
        <v>2007</v>
      </c>
      <c r="G897" t="s">
        <v>124</v>
      </c>
      <c r="J897" t="s">
        <v>125</v>
      </c>
      <c r="K897">
        <v>0</v>
      </c>
      <c r="L897">
        <v>3</v>
      </c>
      <c r="M897">
        <v>0</v>
      </c>
      <c r="N897">
        <v>2</v>
      </c>
      <c r="O897">
        <v>0</v>
      </c>
      <c r="P897">
        <v>1</v>
      </c>
      <c r="Q897">
        <v>0</v>
      </c>
      <c r="S897" t="str">
        <f t="shared" si="311"/>
        <v>19:28:00.000</v>
      </c>
      <c r="T897" t="str">
        <f t="shared" si="311"/>
        <v>19:28:00.000</v>
      </c>
      <c r="U897" t="str">
        <f t="shared" si="293"/>
        <v>AC3944</v>
      </c>
      <c r="V897">
        <v>0</v>
      </c>
      <c r="W897">
        <v>0</v>
      </c>
      <c r="X897">
        <v>2</v>
      </c>
      <c r="Y897">
        <v>0</v>
      </c>
      <c r="AA897">
        <v>1</v>
      </c>
      <c r="AB897">
        <v>8</v>
      </c>
      <c r="AC897">
        <v>3</v>
      </c>
      <c r="AD897">
        <v>0</v>
      </c>
      <c r="AE897">
        <v>9</v>
      </c>
      <c r="AF897" t="s">
        <v>138</v>
      </c>
      <c r="AG897">
        <v>0</v>
      </c>
      <c r="AH897">
        <v>3</v>
      </c>
      <c r="AI897">
        <v>1</v>
      </c>
      <c r="AJ897">
        <v>0</v>
      </c>
      <c r="AK897" t="s">
        <v>389</v>
      </c>
      <c r="AL897">
        <v>32.811399000000002</v>
      </c>
      <c r="AM897" t="s">
        <v>390</v>
      </c>
      <c r="AN897">
        <v>-116.941931</v>
      </c>
      <c r="AO897">
        <v>25</v>
      </c>
      <c r="AP897">
        <v>2000</v>
      </c>
      <c r="AQ897" t="s">
        <v>129</v>
      </c>
      <c r="AR897">
        <v>103</v>
      </c>
      <c r="AS897">
        <v>-55</v>
      </c>
      <c r="AT897">
        <v>896</v>
      </c>
      <c r="BB897">
        <v>1200</v>
      </c>
      <c r="BC897">
        <v>1</v>
      </c>
      <c r="BD897" t="str">
        <f t="shared" si="294"/>
        <v xml:space="preserve">N887QR  </v>
      </c>
      <c r="BE897">
        <v>1</v>
      </c>
      <c r="BJ897">
        <v>1725</v>
      </c>
      <c r="BK897">
        <v>-275</v>
      </c>
      <c r="BL897" t="s">
        <v>163</v>
      </c>
      <c r="BM897">
        <v>1</v>
      </c>
      <c r="BN897">
        <v>1</v>
      </c>
      <c r="BO897">
        <v>1</v>
      </c>
      <c r="BP897">
        <v>0</v>
      </c>
      <c r="BS897">
        <v>0</v>
      </c>
      <c r="BT897">
        <v>0</v>
      </c>
      <c r="BU897">
        <v>0</v>
      </c>
      <c r="CE897" t="str">
        <f t="shared" si="312"/>
        <v>19:28:00.371</v>
      </c>
      <c r="CF897">
        <v>371408360</v>
      </c>
      <c r="CS897">
        <v>3</v>
      </c>
      <c r="CT897">
        <v>2</v>
      </c>
      <c r="CU897">
        <v>0</v>
      </c>
      <c r="CV897">
        <v>2</v>
      </c>
      <c r="CW897">
        <v>0</v>
      </c>
      <c r="CX897">
        <v>5</v>
      </c>
      <c r="CY897">
        <v>7</v>
      </c>
      <c r="CZ897" t="s">
        <v>131</v>
      </c>
      <c r="DA897">
        <v>300</v>
      </c>
      <c r="DB897">
        <v>0</v>
      </c>
      <c r="DC897" t="s">
        <v>176</v>
      </c>
      <c r="DD897" t="s">
        <v>177</v>
      </c>
      <c r="DG897">
        <v>5373678</v>
      </c>
      <c r="DI897">
        <v>1</v>
      </c>
      <c r="DJ897">
        <v>0</v>
      </c>
      <c r="DK897">
        <v>1</v>
      </c>
      <c r="DL897">
        <v>0</v>
      </c>
      <c r="DM897">
        <v>0</v>
      </c>
      <c r="DN897">
        <v>1</v>
      </c>
      <c r="DO897">
        <v>0</v>
      </c>
      <c r="DP897">
        <v>0</v>
      </c>
      <c r="DQ897">
        <v>0</v>
      </c>
      <c r="DR897">
        <v>0</v>
      </c>
      <c r="DS897">
        <v>0</v>
      </c>
    </row>
    <row r="898" spans="1:123" x14ac:dyDescent="0.3">
      <c r="A898" t="str">
        <f>"10/04/2022 19:28:00.639"</f>
        <v>10/04/2022 19:28:00.639</v>
      </c>
      <c r="C898" t="str">
        <f t="shared" si="308"/>
        <v>FFDDD3C0</v>
      </c>
      <c r="D898" t="s">
        <v>136</v>
      </c>
      <c r="E898">
        <v>8</v>
      </c>
      <c r="H898">
        <v>225</v>
      </c>
      <c r="I898" t="s">
        <v>137</v>
      </c>
      <c r="J898" t="s">
        <v>138</v>
      </c>
      <c r="K898">
        <v>0</v>
      </c>
      <c r="L898">
        <v>3</v>
      </c>
      <c r="M898">
        <v>0</v>
      </c>
      <c r="N898">
        <v>2</v>
      </c>
      <c r="O898">
        <v>0</v>
      </c>
      <c r="P898">
        <v>1</v>
      </c>
      <c r="Q898">
        <v>0</v>
      </c>
      <c r="S898" t="str">
        <f t="shared" si="311"/>
        <v>19:28:00.000</v>
      </c>
      <c r="T898" t="str">
        <f t="shared" si="311"/>
        <v>19:28:00.000</v>
      </c>
      <c r="U898" t="str">
        <f t="shared" ref="U898:U961" si="313">"AC3944"</f>
        <v>AC3944</v>
      </c>
      <c r="V898">
        <v>0</v>
      </c>
      <c r="W898">
        <v>0</v>
      </c>
      <c r="X898">
        <v>2</v>
      </c>
      <c r="Y898">
        <v>0</v>
      </c>
      <c r="AA898">
        <v>1</v>
      </c>
      <c r="AB898">
        <v>8</v>
      </c>
      <c r="AC898">
        <v>3</v>
      </c>
      <c r="AD898">
        <v>0</v>
      </c>
      <c r="AE898">
        <v>9</v>
      </c>
      <c r="AF898" t="s">
        <v>138</v>
      </c>
      <c r="AG898">
        <v>0</v>
      </c>
      <c r="AH898">
        <v>3</v>
      </c>
      <c r="AI898">
        <v>1</v>
      </c>
      <c r="AJ898">
        <v>0</v>
      </c>
      <c r="AK898" t="s">
        <v>389</v>
      </c>
      <c r="AL898">
        <v>32.811399000000002</v>
      </c>
      <c r="AM898" t="s">
        <v>390</v>
      </c>
      <c r="AN898">
        <v>-116.941931</v>
      </c>
      <c r="AO898">
        <v>25</v>
      </c>
      <c r="AP898">
        <v>2000</v>
      </c>
      <c r="AQ898" t="s">
        <v>129</v>
      </c>
      <c r="AR898">
        <v>103</v>
      </c>
      <c r="AS898">
        <v>-55</v>
      </c>
      <c r="AT898">
        <v>896</v>
      </c>
      <c r="BB898">
        <v>1200</v>
      </c>
      <c r="BC898">
        <v>1</v>
      </c>
      <c r="BD898" t="str">
        <f t="shared" ref="BD898:BD961" si="314">"N887QR  "</f>
        <v xml:space="preserve">N887QR  </v>
      </c>
      <c r="BE898">
        <v>1</v>
      </c>
      <c r="BJ898">
        <v>1725</v>
      </c>
      <c r="BK898">
        <v>-275</v>
      </c>
      <c r="BL898" t="s">
        <v>163</v>
      </c>
      <c r="BM898">
        <v>1</v>
      </c>
      <c r="BN898">
        <v>1</v>
      </c>
      <c r="BO898">
        <v>1</v>
      </c>
      <c r="BP898">
        <v>0</v>
      </c>
      <c r="BS898">
        <v>0</v>
      </c>
      <c r="BT898">
        <v>0</v>
      </c>
      <c r="BU898">
        <v>0</v>
      </c>
      <c r="CE898" t="str">
        <f t="shared" si="312"/>
        <v>19:28:00.371</v>
      </c>
      <c r="CF898">
        <v>371408360</v>
      </c>
      <c r="CS898">
        <v>3</v>
      </c>
      <c r="CT898">
        <v>2</v>
      </c>
      <c r="CU898">
        <v>0</v>
      </c>
      <c r="CV898">
        <v>2</v>
      </c>
      <c r="CW898">
        <v>0</v>
      </c>
      <c r="CX898">
        <v>5</v>
      </c>
      <c r="CY898">
        <v>7</v>
      </c>
      <c r="CZ898" t="s">
        <v>131</v>
      </c>
      <c r="DA898">
        <v>300</v>
      </c>
      <c r="DB898">
        <v>0</v>
      </c>
      <c r="DC898" t="s">
        <v>176</v>
      </c>
      <c r="DD898" t="s">
        <v>177</v>
      </c>
      <c r="DG898">
        <v>5373678</v>
      </c>
      <c r="DI898">
        <v>1</v>
      </c>
      <c r="DJ898">
        <v>0</v>
      </c>
      <c r="DK898">
        <v>1</v>
      </c>
      <c r="DL898">
        <v>0</v>
      </c>
      <c r="DM898">
        <v>0</v>
      </c>
      <c r="DN898">
        <v>1</v>
      </c>
      <c r="DO898">
        <v>0</v>
      </c>
      <c r="DP898">
        <v>0</v>
      </c>
      <c r="DQ898">
        <v>0</v>
      </c>
      <c r="DR898">
        <v>0</v>
      </c>
      <c r="DS898">
        <v>0</v>
      </c>
    </row>
    <row r="899" spans="1:123" x14ac:dyDescent="0.3">
      <c r="A899" t="str">
        <f>"10/04/2022 19:28:01.306"</f>
        <v>10/04/2022 19:28:01.306</v>
      </c>
      <c r="C899" t="str">
        <f t="shared" si="308"/>
        <v>FFDDD3C0</v>
      </c>
      <c r="D899" t="s">
        <v>141</v>
      </c>
      <c r="E899">
        <v>4</v>
      </c>
      <c r="H899">
        <v>4</v>
      </c>
      <c r="I899" t="s">
        <v>142</v>
      </c>
      <c r="J899" t="s">
        <v>138</v>
      </c>
      <c r="K899">
        <v>0</v>
      </c>
      <c r="L899">
        <v>3</v>
      </c>
      <c r="M899">
        <v>0</v>
      </c>
      <c r="N899">
        <v>2</v>
      </c>
      <c r="O899">
        <v>0</v>
      </c>
      <c r="P899">
        <v>1</v>
      </c>
      <c r="Q899">
        <v>0</v>
      </c>
      <c r="S899" t="str">
        <f t="shared" ref="S899:T905" si="315">"19:28:01.000"</f>
        <v>19:28:01.000</v>
      </c>
      <c r="T899" t="str">
        <f t="shared" si="315"/>
        <v>19:28:01.000</v>
      </c>
      <c r="U899" t="str">
        <f t="shared" si="313"/>
        <v>AC3944</v>
      </c>
      <c r="V899">
        <v>0</v>
      </c>
      <c r="W899">
        <v>0</v>
      </c>
      <c r="X899">
        <v>2</v>
      </c>
      <c r="Y899">
        <v>0</v>
      </c>
      <c r="AA899">
        <v>1</v>
      </c>
      <c r="AB899">
        <v>8</v>
      </c>
      <c r="AC899">
        <v>3</v>
      </c>
      <c r="AD899">
        <v>0</v>
      </c>
      <c r="AE899">
        <v>9</v>
      </c>
      <c r="AF899" t="s">
        <v>138</v>
      </c>
      <c r="AG899">
        <v>0</v>
      </c>
      <c r="AH899">
        <v>3</v>
      </c>
      <c r="AI899">
        <v>1</v>
      </c>
      <c r="AJ899">
        <v>0</v>
      </c>
      <c r="AK899" t="s">
        <v>391</v>
      </c>
      <c r="AL899">
        <v>32.811140999999999</v>
      </c>
      <c r="AM899" t="s">
        <v>392</v>
      </c>
      <c r="AN899">
        <v>-116.941373</v>
      </c>
      <c r="AO899">
        <v>25</v>
      </c>
      <c r="AP899">
        <v>2000</v>
      </c>
      <c r="AQ899" t="s">
        <v>129</v>
      </c>
      <c r="AR899">
        <v>104</v>
      </c>
      <c r="AS899">
        <v>-55</v>
      </c>
      <c r="AT899">
        <v>896</v>
      </c>
      <c r="BB899">
        <v>1200</v>
      </c>
      <c r="BC899">
        <v>1</v>
      </c>
      <c r="BD899" t="str">
        <f t="shared" si="314"/>
        <v xml:space="preserve">N887QR  </v>
      </c>
      <c r="BE899">
        <v>1</v>
      </c>
      <c r="BJ899">
        <v>1725</v>
      </c>
      <c r="BK899">
        <v>-275</v>
      </c>
      <c r="BL899" t="s">
        <v>163</v>
      </c>
      <c r="BM899">
        <v>1</v>
      </c>
      <c r="BN899">
        <v>1</v>
      </c>
      <c r="BO899">
        <v>1</v>
      </c>
      <c r="BP899">
        <v>0</v>
      </c>
      <c r="BS899">
        <v>0</v>
      </c>
      <c r="BT899">
        <v>0</v>
      </c>
      <c r="BU899">
        <v>0</v>
      </c>
      <c r="CE899" t="str">
        <f t="shared" ref="CE899:CE905" si="316">"19:28:01.097"</f>
        <v>19:28:01.097</v>
      </c>
      <c r="CF899">
        <v>96910727</v>
      </c>
      <c r="CS899">
        <v>3</v>
      </c>
      <c r="CT899">
        <v>2</v>
      </c>
      <c r="CU899">
        <v>0</v>
      </c>
      <c r="CV899">
        <v>2</v>
      </c>
      <c r="CW899">
        <v>0</v>
      </c>
      <c r="CX899">
        <v>5</v>
      </c>
      <c r="CY899">
        <v>7</v>
      </c>
      <c r="CZ899" t="s">
        <v>131</v>
      </c>
      <c r="DA899">
        <v>300</v>
      </c>
      <c r="DB899">
        <v>0</v>
      </c>
      <c r="DC899" t="s">
        <v>176</v>
      </c>
      <c r="DD899" t="s">
        <v>177</v>
      </c>
      <c r="DG899">
        <v>5373783</v>
      </c>
      <c r="DI899">
        <v>1</v>
      </c>
      <c r="DJ899">
        <v>0</v>
      </c>
      <c r="DK899">
        <v>0</v>
      </c>
      <c r="DL899">
        <v>0</v>
      </c>
      <c r="DM899">
        <v>0</v>
      </c>
      <c r="DN899">
        <v>1</v>
      </c>
      <c r="DO899">
        <v>0</v>
      </c>
      <c r="DP899">
        <v>0</v>
      </c>
      <c r="DQ899">
        <v>0</v>
      </c>
      <c r="DR899">
        <v>0</v>
      </c>
      <c r="DS899">
        <v>0</v>
      </c>
    </row>
    <row r="900" spans="1:123" x14ac:dyDescent="0.3">
      <c r="A900" t="str">
        <f>"10/04/2022 19:28:01.306"</f>
        <v>10/04/2022 19:28:01.306</v>
      </c>
      <c r="C900" t="str">
        <f t="shared" si="308"/>
        <v>FFDDD3C0</v>
      </c>
      <c r="D900" t="s">
        <v>141</v>
      </c>
      <c r="E900">
        <v>3</v>
      </c>
      <c r="H900">
        <v>3</v>
      </c>
      <c r="I900" t="s">
        <v>146</v>
      </c>
      <c r="J900" t="s">
        <v>138</v>
      </c>
      <c r="K900">
        <v>0</v>
      </c>
      <c r="L900">
        <v>3</v>
      </c>
      <c r="M900">
        <v>0</v>
      </c>
      <c r="N900">
        <v>2</v>
      </c>
      <c r="O900">
        <v>0</v>
      </c>
      <c r="P900">
        <v>1</v>
      </c>
      <c r="Q900">
        <v>0</v>
      </c>
      <c r="S900" t="str">
        <f t="shared" si="315"/>
        <v>19:28:01.000</v>
      </c>
      <c r="T900" t="str">
        <f t="shared" si="315"/>
        <v>19:28:01.000</v>
      </c>
      <c r="U900" t="str">
        <f t="shared" si="313"/>
        <v>AC3944</v>
      </c>
      <c r="V900">
        <v>0</v>
      </c>
      <c r="W900">
        <v>0</v>
      </c>
      <c r="X900">
        <v>2</v>
      </c>
      <c r="Y900">
        <v>0</v>
      </c>
      <c r="AA900">
        <v>1</v>
      </c>
      <c r="AB900">
        <v>8</v>
      </c>
      <c r="AC900">
        <v>3</v>
      </c>
      <c r="AD900">
        <v>0</v>
      </c>
      <c r="AE900">
        <v>9</v>
      </c>
      <c r="AF900" t="s">
        <v>138</v>
      </c>
      <c r="AG900">
        <v>0</v>
      </c>
      <c r="AH900">
        <v>3</v>
      </c>
      <c r="AI900">
        <v>1</v>
      </c>
      <c r="AJ900">
        <v>0</v>
      </c>
      <c r="AK900" t="s">
        <v>391</v>
      </c>
      <c r="AL900">
        <v>32.811140999999999</v>
      </c>
      <c r="AM900" t="s">
        <v>392</v>
      </c>
      <c r="AN900">
        <v>-116.941373</v>
      </c>
      <c r="AO900">
        <v>25</v>
      </c>
      <c r="AP900">
        <v>2000</v>
      </c>
      <c r="AQ900" t="s">
        <v>129</v>
      </c>
      <c r="AR900">
        <v>104</v>
      </c>
      <c r="AS900">
        <v>-55</v>
      </c>
      <c r="AT900">
        <v>896</v>
      </c>
      <c r="BB900">
        <v>1200</v>
      </c>
      <c r="BC900">
        <v>1</v>
      </c>
      <c r="BD900" t="str">
        <f t="shared" si="314"/>
        <v xml:space="preserve">N887QR  </v>
      </c>
      <c r="BE900">
        <v>1</v>
      </c>
      <c r="BJ900">
        <v>1725</v>
      </c>
      <c r="BK900">
        <v>-275</v>
      </c>
      <c r="BL900" t="s">
        <v>163</v>
      </c>
      <c r="BM900">
        <v>1</v>
      </c>
      <c r="BN900">
        <v>1</v>
      </c>
      <c r="BO900">
        <v>1</v>
      </c>
      <c r="BP900">
        <v>0</v>
      </c>
      <c r="BS900">
        <v>0</v>
      </c>
      <c r="BT900">
        <v>0</v>
      </c>
      <c r="BU900">
        <v>0</v>
      </c>
      <c r="CE900" t="str">
        <f t="shared" si="316"/>
        <v>19:28:01.097</v>
      </c>
      <c r="CF900">
        <v>96910727</v>
      </c>
      <c r="CS900">
        <v>3</v>
      </c>
      <c r="CT900">
        <v>2</v>
      </c>
      <c r="CU900">
        <v>0</v>
      </c>
      <c r="CV900">
        <v>2</v>
      </c>
      <c r="CW900">
        <v>0</v>
      </c>
      <c r="CX900">
        <v>5</v>
      </c>
      <c r="CY900">
        <v>7</v>
      </c>
      <c r="CZ900" t="s">
        <v>131</v>
      </c>
      <c r="DA900">
        <v>300</v>
      </c>
      <c r="DB900">
        <v>0</v>
      </c>
      <c r="DC900" t="s">
        <v>176</v>
      </c>
      <c r="DD900" t="s">
        <v>177</v>
      </c>
      <c r="DG900">
        <v>5373783</v>
      </c>
      <c r="DI900">
        <v>1</v>
      </c>
      <c r="DJ900">
        <v>0</v>
      </c>
      <c r="DK900">
        <v>1</v>
      </c>
      <c r="DL900">
        <v>0</v>
      </c>
      <c r="DM900">
        <v>0</v>
      </c>
      <c r="DN900">
        <v>1</v>
      </c>
      <c r="DO900">
        <v>0</v>
      </c>
      <c r="DP900">
        <v>0</v>
      </c>
      <c r="DQ900">
        <v>0</v>
      </c>
      <c r="DR900">
        <v>0</v>
      </c>
      <c r="DS900">
        <v>0</v>
      </c>
    </row>
    <row r="901" spans="1:123" x14ac:dyDescent="0.3">
      <c r="A901" t="str">
        <f>"10/04/2022 19:28:01.383"</f>
        <v>10/04/2022 19:28:01.383</v>
      </c>
      <c r="C901" t="str">
        <f t="shared" si="308"/>
        <v>FFDDD3C0</v>
      </c>
      <c r="D901" t="s">
        <v>143</v>
      </c>
      <c r="E901">
        <v>20</v>
      </c>
      <c r="F901">
        <v>1020</v>
      </c>
      <c r="G901" t="s">
        <v>144</v>
      </c>
      <c r="J901" t="s">
        <v>145</v>
      </c>
      <c r="K901">
        <v>0</v>
      </c>
      <c r="L901">
        <v>3</v>
      </c>
      <c r="M901">
        <v>0</v>
      </c>
      <c r="N901">
        <v>2</v>
      </c>
      <c r="O901">
        <v>0</v>
      </c>
      <c r="P901">
        <v>1</v>
      </c>
      <c r="Q901">
        <v>0</v>
      </c>
      <c r="S901" t="str">
        <f t="shared" si="315"/>
        <v>19:28:01.000</v>
      </c>
      <c r="T901" t="str">
        <f t="shared" si="315"/>
        <v>19:28:01.000</v>
      </c>
      <c r="U901" t="str">
        <f t="shared" si="313"/>
        <v>AC3944</v>
      </c>
      <c r="V901">
        <v>0</v>
      </c>
      <c r="W901">
        <v>0</v>
      </c>
      <c r="X901">
        <v>2</v>
      </c>
      <c r="Y901">
        <v>0</v>
      </c>
      <c r="AA901">
        <v>1</v>
      </c>
      <c r="AB901">
        <v>8</v>
      </c>
      <c r="AC901">
        <v>3</v>
      </c>
      <c r="AD901">
        <v>0</v>
      </c>
      <c r="AE901">
        <v>9</v>
      </c>
      <c r="AF901" t="s">
        <v>138</v>
      </c>
      <c r="AG901">
        <v>0</v>
      </c>
      <c r="AH901">
        <v>3</v>
      </c>
      <c r="AI901">
        <v>1</v>
      </c>
      <c r="AJ901">
        <v>0</v>
      </c>
      <c r="AK901" t="s">
        <v>391</v>
      </c>
      <c r="AL901">
        <v>32.811140999999999</v>
      </c>
      <c r="AM901" t="s">
        <v>392</v>
      </c>
      <c r="AN901">
        <v>-116.941373</v>
      </c>
      <c r="AO901">
        <v>25</v>
      </c>
      <c r="AP901">
        <v>2000</v>
      </c>
      <c r="AQ901" t="s">
        <v>129</v>
      </c>
      <c r="AR901">
        <v>104</v>
      </c>
      <c r="AS901">
        <v>-55</v>
      </c>
      <c r="AT901">
        <v>896</v>
      </c>
      <c r="BB901">
        <v>1200</v>
      </c>
      <c r="BC901">
        <v>1</v>
      </c>
      <c r="BD901" t="str">
        <f t="shared" si="314"/>
        <v xml:space="preserve">N887QR  </v>
      </c>
      <c r="BE901">
        <v>1</v>
      </c>
      <c r="BJ901">
        <v>1725</v>
      </c>
      <c r="BK901">
        <v>-275</v>
      </c>
      <c r="BL901" t="s">
        <v>163</v>
      </c>
      <c r="BM901">
        <v>1</v>
      </c>
      <c r="BN901">
        <v>1</v>
      </c>
      <c r="BO901">
        <v>1</v>
      </c>
      <c r="BP901">
        <v>0</v>
      </c>
      <c r="BS901">
        <v>0</v>
      </c>
      <c r="BT901">
        <v>0</v>
      </c>
      <c r="BU901">
        <v>0</v>
      </c>
      <c r="CE901" t="str">
        <f t="shared" si="316"/>
        <v>19:28:01.097</v>
      </c>
      <c r="CF901">
        <v>96910727</v>
      </c>
      <c r="CS901">
        <v>3</v>
      </c>
      <c r="CT901">
        <v>2</v>
      </c>
      <c r="CU901">
        <v>0</v>
      </c>
      <c r="CV901">
        <v>2</v>
      </c>
      <c r="CW901">
        <v>0</v>
      </c>
      <c r="CX901">
        <v>5</v>
      </c>
      <c r="CY901">
        <v>7</v>
      </c>
      <c r="CZ901" t="s">
        <v>131</v>
      </c>
      <c r="DA901">
        <v>300</v>
      </c>
      <c r="DB901">
        <v>0</v>
      </c>
      <c r="DC901" t="s">
        <v>176</v>
      </c>
      <c r="DD901" t="s">
        <v>177</v>
      </c>
      <c r="DG901">
        <v>5373783</v>
      </c>
      <c r="DI901">
        <v>1</v>
      </c>
      <c r="DJ901">
        <v>0</v>
      </c>
      <c r="DK901">
        <v>1</v>
      </c>
      <c r="DL901">
        <v>0</v>
      </c>
      <c r="DM901">
        <v>0</v>
      </c>
      <c r="DN901">
        <v>1</v>
      </c>
      <c r="DO901">
        <v>0</v>
      </c>
      <c r="DP901">
        <v>0</v>
      </c>
      <c r="DQ901">
        <v>0</v>
      </c>
      <c r="DR901">
        <v>0</v>
      </c>
      <c r="DS901">
        <v>0</v>
      </c>
    </row>
    <row r="902" spans="1:123" x14ac:dyDescent="0.3">
      <c r="A902" t="str">
        <f>"10/04/2022 19:28:01.383"</f>
        <v>10/04/2022 19:28:01.383</v>
      </c>
      <c r="C902" t="str">
        <f t="shared" si="308"/>
        <v>FFDDD3C0</v>
      </c>
      <c r="D902" t="s">
        <v>134</v>
      </c>
      <c r="E902">
        <v>15</v>
      </c>
      <c r="J902" t="s">
        <v>135</v>
      </c>
      <c r="K902">
        <v>0</v>
      </c>
      <c r="L902">
        <v>3</v>
      </c>
      <c r="M902">
        <v>0</v>
      </c>
      <c r="N902">
        <v>2</v>
      </c>
      <c r="O902">
        <v>0</v>
      </c>
      <c r="P902">
        <v>1</v>
      </c>
      <c r="Q902">
        <v>0</v>
      </c>
      <c r="S902" t="str">
        <f t="shared" si="315"/>
        <v>19:28:01.000</v>
      </c>
      <c r="T902" t="str">
        <f t="shared" si="315"/>
        <v>19:28:01.000</v>
      </c>
      <c r="U902" t="str">
        <f t="shared" si="313"/>
        <v>AC3944</v>
      </c>
      <c r="V902">
        <v>0</v>
      </c>
      <c r="W902">
        <v>0</v>
      </c>
      <c r="X902">
        <v>2</v>
      </c>
      <c r="Y902">
        <v>0</v>
      </c>
      <c r="AA902">
        <v>1</v>
      </c>
      <c r="AB902">
        <v>8</v>
      </c>
      <c r="AC902">
        <v>3</v>
      </c>
      <c r="AD902">
        <v>0</v>
      </c>
      <c r="AE902">
        <v>9</v>
      </c>
      <c r="AF902" t="s">
        <v>138</v>
      </c>
      <c r="AG902">
        <v>0</v>
      </c>
      <c r="AH902">
        <v>3</v>
      </c>
      <c r="AI902">
        <v>1</v>
      </c>
      <c r="AJ902">
        <v>0</v>
      </c>
      <c r="AK902" t="s">
        <v>391</v>
      </c>
      <c r="AL902">
        <v>32.811140999999999</v>
      </c>
      <c r="AM902" t="s">
        <v>392</v>
      </c>
      <c r="AN902">
        <v>-116.941373</v>
      </c>
      <c r="AO902">
        <v>25</v>
      </c>
      <c r="AP902">
        <v>2000</v>
      </c>
      <c r="AQ902" t="s">
        <v>129</v>
      </c>
      <c r="AR902">
        <v>104</v>
      </c>
      <c r="AS902">
        <v>-55</v>
      </c>
      <c r="AT902">
        <v>896</v>
      </c>
      <c r="BB902">
        <v>1200</v>
      </c>
      <c r="BC902">
        <v>1</v>
      </c>
      <c r="BD902" t="str">
        <f t="shared" si="314"/>
        <v xml:space="preserve">N887QR  </v>
      </c>
      <c r="BE902">
        <v>1</v>
      </c>
      <c r="BJ902">
        <v>1725</v>
      </c>
      <c r="BK902">
        <v>-275</v>
      </c>
      <c r="BL902" t="s">
        <v>163</v>
      </c>
      <c r="BM902">
        <v>1</v>
      </c>
      <c r="BN902">
        <v>1</v>
      </c>
      <c r="BO902">
        <v>1</v>
      </c>
      <c r="BP902">
        <v>0</v>
      </c>
      <c r="BS902">
        <v>0</v>
      </c>
      <c r="BT902">
        <v>0</v>
      </c>
      <c r="BU902">
        <v>0</v>
      </c>
      <c r="CE902" t="str">
        <f t="shared" si="316"/>
        <v>19:28:01.097</v>
      </c>
      <c r="CF902">
        <v>96910727</v>
      </c>
      <c r="CS902">
        <v>3</v>
      </c>
      <c r="CT902">
        <v>2</v>
      </c>
      <c r="CU902">
        <v>0</v>
      </c>
      <c r="CV902">
        <v>2</v>
      </c>
      <c r="CW902">
        <v>0</v>
      </c>
      <c r="CX902">
        <v>5</v>
      </c>
      <c r="CY902">
        <v>7</v>
      </c>
      <c r="CZ902" t="s">
        <v>131</v>
      </c>
      <c r="DA902">
        <v>300</v>
      </c>
      <c r="DB902">
        <v>0</v>
      </c>
      <c r="DC902" t="s">
        <v>176</v>
      </c>
      <c r="DD902" t="s">
        <v>177</v>
      </c>
      <c r="DG902">
        <v>5373783</v>
      </c>
      <c r="DI902">
        <v>1</v>
      </c>
      <c r="DJ902">
        <v>0</v>
      </c>
      <c r="DK902">
        <v>1</v>
      </c>
      <c r="DL902">
        <v>0</v>
      </c>
      <c r="DM902">
        <v>0</v>
      </c>
      <c r="DN902">
        <v>1</v>
      </c>
      <c r="DO902">
        <v>0</v>
      </c>
      <c r="DP902">
        <v>0</v>
      </c>
      <c r="DQ902">
        <v>0</v>
      </c>
      <c r="DR902">
        <v>0</v>
      </c>
      <c r="DS902">
        <v>0</v>
      </c>
    </row>
    <row r="903" spans="1:123" x14ac:dyDescent="0.3">
      <c r="A903" t="str">
        <f>"10/04/2022 19:28:01.383"</f>
        <v>10/04/2022 19:28:01.383</v>
      </c>
      <c r="C903" t="str">
        <f t="shared" si="308"/>
        <v>FFDDD3C0</v>
      </c>
      <c r="D903" t="s">
        <v>147</v>
      </c>
      <c r="E903">
        <v>3</v>
      </c>
      <c r="H903">
        <v>166</v>
      </c>
      <c r="I903" t="s">
        <v>144</v>
      </c>
      <c r="J903" t="s">
        <v>148</v>
      </c>
      <c r="K903">
        <v>0</v>
      </c>
      <c r="L903">
        <v>3</v>
      </c>
      <c r="M903">
        <v>0</v>
      </c>
      <c r="N903">
        <v>2</v>
      </c>
      <c r="O903">
        <v>0</v>
      </c>
      <c r="P903">
        <v>1</v>
      </c>
      <c r="Q903">
        <v>0</v>
      </c>
      <c r="S903" t="str">
        <f t="shared" si="315"/>
        <v>19:28:01.000</v>
      </c>
      <c r="T903" t="str">
        <f t="shared" si="315"/>
        <v>19:28:01.000</v>
      </c>
      <c r="U903" t="str">
        <f t="shared" si="313"/>
        <v>AC3944</v>
      </c>
      <c r="V903">
        <v>0</v>
      </c>
      <c r="W903">
        <v>0</v>
      </c>
      <c r="X903">
        <v>2</v>
      </c>
      <c r="Y903">
        <v>0</v>
      </c>
      <c r="AA903">
        <v>1</v>
      </c>
      <c r="AB903">
        <v>8</v>
      </c>
      <c r="AC903">
        <v>3</v>
      </c>
      <c r="AD903">
        <v>0</v>
      </c>
      <c r="AE903">
        <v>9</v>
      </c>
      <c r="AF903" t="s">
        <v>138</v>
      </c>
      <c r="AG903">
        <v>0</v>
      </c>
      <c r="AH903">
        <v>3</v>
      </c>
      <c r="AI903">
        <v>1</v>
      </c>
      <c r="AJ903">
        <v>0</v>
      </c>
      <c r="AK903" t="s">
        <v>391</v>
      </c>
      <c r="AL903">
        <v>32.811140999999999</v>
      </c>
      <c r="AM903" t="s">
        <v>392</v>
      </c>
      <c r="AN903">
        <v>-116.941373</v>
      </c>
      <c r="AO903">
        <v>25</v>
      </c>
      <c r="AP903">
        <v>2000</v>
      </c>
      <c r="AQ903" t="s">
        <v>129</v>
      </c>
      <c r="AR903">
        <v>104</v>
      </c>
      <c r="AS903">
        <v>-55</v>
      </c>
      <c r="AT903">
        <v>896</v>
      </c>
      <c r="BB903">
        <v>1200</v>
      </c>
      <c r="BC903">
        <v>1</v>
      </c>
      <c r="BD903" t="str">
        <f t="shared" si="314"/>
        <v xml:space="preserve">N887QR  </v>
      </c>
      <c r="BE903">
        <v>1</v>
      </c>
      <c r="BJ903">
        <v>1725</v>
      </c>
      <c r="BK903">
        <v>-275</v>
      </c>
      <c r="BL903" t="s">
        <v>163</v>
      </c>
      <c r="BM903">
        <v>1</v>
      </c>
      <c r="BN903">
        <v>1</v>
      </c>
      <c r="BO903">
        <v>1</v>
      </c>
      <c r="BP903">
        <v>0</v>
      </c>
      <c r="BS903">
        <v>0</v>
      </c>
      <c r="BT903">
        <v>0</v>
      </c>
      <c r="BU903">
        <v>0</v>
      </c>
      <c r="CE903" t="str">
        <f t="shared" si="316"/>
        <v>19:28:01.097</v>
      </c>
      <c r="CF903">
        <v>96910727</v>
      </c>
      <c r="CS903">
        <v>3</v>
      </c>
      <c r="CT903">
        <v>2</v>
      </c>
      <c r="CU903">
        <v>0</v>
      </c>
      <c r="CV903">
        <v>2</v>
      </c>
      <c r="CW903">
        <v>0</v>
      </c>
      <c r="CX903">
        <v>5</v>
      </c>
      <c r="CY903">
        <v>7</v>
      </c>
      <c r="CZ903" t="s">
        <v>131</v>
      </c>
      <c r="DA903">
        <v>300</v>
      </c>
      <c r="DB903">
        <v>0</v>
      </c>
      <c r="DC903" t="s">
        <v>176</v>
      </c>
      <c r="DD903" t="s">
        <v>177</v>
      </c>
      <c r="DG903">
        <v>5373783</v>
      </c>
      <c r="DI903">
        <v>1</v>
      </c>
      <c r="DJ903">
        <v>0</v>
      </c>
      <c r="DK903">
        <v>1</v>
      </c>
      <c r="DL903">
        <v>0</v>
      </c>
      <c r="DM903">
        <v>0</v>
      </c>
      <c r="DN903">
        <v>1</v>
      </c>
      <c r="DO903">
        <v>0</v>
      </c>
      <c r="DP903">
        <v>0</v>
      </c>
      <c r="DQ903">
        <v>0</v>
      </c>
      <c r="DR903">
        <v>0</v>
      </c>
      <c r="DS903">
        <v>0</v>
      </c>
    </row>
    <row r="904" spans="1:123" x14ac:dyDescent="0.3">
      <c r="A904" t="str">
        <f>"10/04/2022 19:28:01.383"</f>
        <v>10/04/2022 19:28:01.383</v>
      </c>
      <c r="C904" t="str">
        <f t="shared" si="308"/>
        <v>FFDDD3C0</v>
      </c>
      <c r="D904" t="s">
        <v>123</v>
      </c>
      <c r="E904">
        <v>7</v>
      </c>
      <c r="F904">
        <v>2007</v>
      </c>
      <c r="G904" t="s">
        <v>124</v>
      </c>
      <c r="J904" t="s">
        <v>125</v>
      </c>
      <c r="K904">
        <v>0</v>
      </c>
      <c r="L904">
        <v>3</v>
      </c>
      <c r="M904">
        <v>0</v>
      </c>
      <c r="N904">
        <v>2</v>
      </c>
      <c r="O904">
        <v>0</v>
      </c>
      <c r="P904">
        <v>1</v>
      </c>
      <c r="Q904">
        <v>0</v>
      </c>
      <c r="S904" t="str">
        <f t="shared" si="315"/>
        <v>19:28:01.000</v>
      </c>
      <c r="T904" t="str">
        <f t="shared" si="315"/>
        <v>19:28:01.000</v>
      </c>
      <c r="U904" t="str">
        <f t="shared" si="313"/>
        <v>AC3944</v>
      </c>
      <c r="V904">
        <v>0</v>
      </c>
      <c r="W904">
        <v>0</v>
      </c>
      <c r="X904">
        <v>2</v>
      </c>
      <c r="Y904">
        <v>0</v>
      </c>
      <c r="AA904">
        <v>1</v>
      </c>
      <c r="AB904">
        <v>8</v>
      </c>
      <c r="AC904">
        <v>3</v>
      </c>
      <c r="AD904">
        <v>0</v>
      </c>
      <c r="AE904">
        <v>9</v>
      </c>
      <c r="AF904" t="s">
        <v>138</v>
      </c>
      <c r="AG904">
        <v>0</v>
      </c>
      <c r="AH904">
        <v>3</v>
      </c>
      <c r="AI904">
        <v>1</v>
      </c>
      <c r="AJ904">
        <v>0</v>
      </c>
      <c r="AK904" t="s">
        <v>391</v>
      </c>
      <c r="AL904">
        <v>32.811140999999999</v>
      </c>
      <c r="AM904" t="s">
        <v>392</v>
      </c>
      <c r="AN904">
        <v>-116.941373</v>
      </c>
      <c r="AO904">
        <v>25</v>
      </c>
      <c r="AP904">
        <v>2000</v>
      </c>
      <c r="AQ904" t="s">
        <v>129</v>
      </c>
      <c r="AR904">
        <v>104</v>
      </c>
      <c r="AS904">
        <v>-55</v>
      </c>
      <c r="AT904">
        <v>896</v>
      </c>
      <c r="BB904">
        <v>1200</v>
      </c>
      <c r="BC904">
        <v>1</v>
      </c>
      <c r="BD904" t="str">
        <f t="shared" si="314"/>
        <v xml:space="preserve">N887QR  </v>
      </c>
      <c r="BE904">
        <v>1</v>
      </c>
      <c r="BJ904">
        <v>1725</v>
      </c>
      <c r="BK904">
        <v>-275</v>
      </c>
      <c r="BL904" t="s">
        <v>163</v>
      </c>
      <c r="BM904">
        <v>1</v>
      </c>
      <c r="BN904">
        <v>1</v>
      </c>
      <c r="BO904">
        <v>1</v>
      </c>
      <c r="BP904">
        <v>0</v>
      </c>
      <c r="BS904">
        <v>0</v>
      </c>
      <c r="BT904">
        <v>0</v>
      </c>
      <c r="BU904">
        <v>0</v>
      </c>
      <c r="CE904" t="str">
        <f t="shared" si="316"/>
        <v>19:28:01.097</v>
      </c>
      <c r="CF904">
        <v>96910727</v>
      </c>
      <c r="CS904">
        <v>3</v>
      </c>
      <c r="CT904">
        <v>2</v>
      </c>
      <c r="CU904">
        <v>0</v>
      </c>
      <c r="CV904">
        <v>2</v>
      </c>
      <c r="CW904">
        <v>0</v>
      </c>
      <c r="CX904">
        <v>5</v>
      </c>
      <c r="CY904">
        <v>7</v>
      </c>
      <c r="CZ904" t="s">
        <v>131</v>
      </c>
      <c r="DA904">
        <v>300</v>
      </c>
      <c r="DB904">
        <v>0</v>
      </c>
      <c r="DC904" t="s">
        <v>176</v>
      </c>
      <c r="DD904" t="s">
        <v>177</v>
      </c>
      <c r="DG904">
        <v>5373783</v>
      </c>
      <c r="DI904">
        <v>1</v>
      </c>
      <c r="DJ904">
        <v>0</v>
      </c>
      <c r="DK904">
        <v>1</v>
      </c>
      <c r="DL904">
        <v>0</v>
      </c>
      <c r="DM904">
        <v>0</v>
      </c>
      <c r="DN904">
        <v>1</v>
      </c>
      <c r="DO904">
        <v>0</v>
      </c>
      <c r="DP904">
        <v>0</v>
      </c>
      <c r="DQ904">
        <v>0</v>
      </c>
      <c r="DR904">
        <v>0</v>
      </c>
      <c r="DS904">
        <v>0</v>
      </c>
    </row>
    <row r="905" spans="1:123" x14ac:dyDescent="0.3">
      <c r="A905" t="str">
        <f>"10/04/2022 19:28:01.383"</f>
        <v>10/04/2022 19:28:01.383</v>
      </c>
      <c r="C905" t="str">
        <f t="shared" si="308"/>
        <v>FFDDD3C0</v>
      </c>
      <c r="D905" t="s">
        <v>136</v>
      </c>
      <c r="E905">
        <v>8</v>
      </c>
      <c r="H905">
        <v>225</v>
      </c>
      <c r="I905" t="s">
        <v>137</v>
      </c>
      <c r="J905" t="s">
        <v>138</v>
      </c>
      <c r="K905">
        <v>0</v>
      </c>
      <c r="L905">
        <v>3</v>
      </c>
      <c r="M905">
        <v>0</v>
      </c>
      <c r="N905">
        <v>2</v>
      </c>
      <c r="O905">
        <v>0</v>
      </c>
      <c r="P905">
        <v>1</v>
      </c>
      <c r="Q905">
        <v>0</v>
      </c>
      <c r="S905" t="str">
        <f t="shared" si="315"/>
        <v>19:28:01.000</v>
      </c>
      <c r="T905" t="str">
        <f t="shared" si="315"/>
        <v>19:28:01.000</v>
      </c>
      <c r="U905" t="str">
        <f t="shared" si="313"/>
        <v>AC3944</v>
      </c>
      <c r="V905">
        <v>0</v>
      </c>
      <c r="W905">
        <v>0</v>
      </c>
      <c r="X905">
        <v>2</v>
      </c>
      <c r="Y905">
        <v>0</v>
      </c>
      <c r="AA905">
        <v>1</v>
      </c>
      <c r="AB905">
        <v>8</v>
      </c>
      <c r="AC905">
        <v>3</v>
      </c>
      <c r="AD905">
        <v>0</v>
      </c>
      <c r="AE905">
        <v>9</v>
      </c>
      <c r="AF905" t="s">
        <v>138</v>
      </c>
      <c r="AG905">
        <v>0</v>
      </c>
      <c r="AH905">
        <v>3</v>
      </c>
      <c r="AI905">
        <v>1</v>
      </c>
      <c r="AJ905">
        <v>0</v>
      </c>
      <c r="AK905" t="s">
        <v>391</v>
      </c>
      <c r="AL905">
        <v>32.811140999999999</v>
      </c>
      <c r="AM905" t="s">
        <v>392</v>
      </c>
      <c r="AN905">
        <v>-116.941373</v>
      </c>
      <c r="AO905">
        <v>25</v>
      </c>
      <c r="AP905">
        <v>2000</v>
      </c>
      <c r="AQ905" t="s">
        <v>129</v>
      </c>
      <c r="AR905">
        <v>104</v>
      </c>
      <c r="AS905">
        <v>-55</v>
      </c>
      <c r="AT905">
        <v>896</v>
      </c>
      <c r="BB905">
        <v>1200</v>
      </c>
      <c r="BC905">
        <v>1</v>
      </c>
      <c r="BD905" t="str">
        <f t="shared" si="314"/>
        <v xml:space="preserve">N887QR  </v>
      </c>
      <c r="BE905">
        <v>1</v>
      </c>
      <c r="BJ905">
        <v>1725</v>
      </c>
      <c r="BK905">
        <v>-275</v>
      </c>
      <c r="BL905" t="s">
        <v>163</v>
      </c>
      <c r="BM905">
        <v>1</v>
      </c>
      <c r="BN905">
        <v>1</v>
      </c>
      <c r="BO905">
        <v>1</v>
      </c>
      <c r="BP905">
        <v>0</v>
      </c>
      <c r="BS905">
        <v>0</v>
      </c>
      <c r="BT905">
        <v>0</v>
      </c>
      <c r="BU905">
        <v>0</v>
      </c>
      <c r="CE905" t="str">
        <f t="shared" si="316"/>
        <v>19:28:01.097</v>
      </c>
      <c r="CF905">
        <v>96910727</v>
      </c>
      <c r="CS905">
        <v>3</v>
      </c>
      <c r="CT905">
        <v>2</v>
      </c>
      <c r="CU905">
        <v>0</v>
      </c>
      <c r="CV905">
        <v>2</v>
      </c>
      <c r="CW905">
        <v>0</v>
      </c>
      <c r="CX905">
        <v>5</v>
      </c>
      <c r="CY905">
        <v>7</v>
      </c>
      <c r="CZ905" t="s">
        <v>131</v>
      </c>
      <c r="DA905">
        <v>300</v>
      </c>
      <c r="DB905">
        <v>0</v>
      </c>
      <c r="DC905" t="s">
        <v>176</v>
      </c>
      <c r="DD905" t="s">
        <v>177</v>
      </c>
      <c r="DG905">
        <v>5373783</v>
      </c>
      <c r="DI905">
        <v>1</v>
      </c>
      <c r="DJ905">
        <v>0</v>
      </c>
      <c r="DK905">
        <v>1</v>
      </c>
      <c r="DL905">
        <v>0</v>
      </c>
      <c r="DM905">
        <v>0</v>
      </c>
      <c r="DN905">
        <v>1</v>
      </c>
      <c r="DO905">
        <v>0</v>
      </c>
      <c r="DP905">
        <v>0</v>
      </c>
      <c r="DQ905">
        <v>0</v>
      </c>
      <c r="DR905">
        <v>0</v>
      </c>
      <c r="DS905">
        <v>0</v>
      </c>
    </row>
    <row r="906" spans="1:123" x14ac:dyDescent="0.3">
      <c r="A906" t="str">
        <f>"10/04/2022 19:28:02.561"</f>
        <v>10/04/2022 19:28:02.561</v>
      </c>
      <c r="C906" t="str">
        <f t="shared" si="308"/>
        <v>FFDDD3C0</v>
      </c>
      <c r="D906" t="s">
        <v>141</v>
      </c>
      <c r="E906">
        <v>4</v>
      </c>
      <c r="H906">
        <v>4</v>
      </c>
      <c r="I906" t="s">
        <v>142</v>
      </c>
      <c r="J906" t="s">
        <v>138</v>
      </c>
      <c r="K906">
        <v>0</v>
      </c>
      <c r="L906">
        <v>3</v>
      </c>
      <c r="M906">
        <v>0</v>
      </c>
      <c r="N906">
        <v>2</v>
      </c>
      <c r="O906">
        <v>0</v>
      </c>
      <c r="P906">
        <v>1</v>
      </c>
      <c r="Q906">
        <v>0</v>
      </c>
      <c r="S906" t="str">
        <f t="shared" ref="S906:T912" si="317">"19:28:02.000"</f>
        <v>19:28:02.000</v>
      </c>
      <c r="T906" t="str">
        <f t="shared" si="317"/>
        <v>19:28:02.000</v>
      </c>
      <c r="U906" t="str">
        <f t="shared" si="313"/>
        <v>AC3944</v>
      </c>
      <c r="V906">
        <v>0</v>
      </c>
      <c r="W906">
        <v>0</v>
      </c>
      <c r="X906">
        <v>2</v>
      </c>
      <c r="Y906">
        <v>0</v>
      </c>
      <c r="AA906">
        <v>1</v>
      </c>
      <c r="AB906">
        <v>8</v>
      </c>
      <c r="AC906">
        <v>3</v>
      </c>
      <c r="AD906">
        <v>0</v>
      </c>
      <c r="AE906">
        <v>9</v>
      </c>
      <c r="AF906" t="s">
        <v>138</v>
      </c>
      <c r="AG906">
        <v>0</v>
      </c>
      <c r="AH906">
        <v>3</v>
      </c>
      <c r="AI906">
        <v>1</v>
      </c>
      <c r="AJ906">
        <v>0</v>
      </c>
      <c r="AK906" t="s">
        <v>393</v>
      </c>
      <c r="AL906">
        <v>32.810884000000001</v>
      </c>
      <c r="AM906" t="s">
        <v>394</v>
      </c>
      <c r="AN906">
        <v>-116.940794</v>
      </c>
      <c r="AO906">
        <v>25</v>
      </c>
      <c r="AP906">
        <v>2000</v>
      </c>
      <c r="AQ906" t="s">
        <v>129</v>
      </c>
      <c r="AR906">
        <v>105</v>
      </c>
      <c r="AS906">
        <v>-54</v>
      </c>
      <c r="AT906">
        <v>768</v>
      </c>
      <c r="BB906">
        <v>1200</v>
      </c>
      <c r="BC906">
        <v>1</v>
      </c>
      <c r="BD906" t="str">
        <f t="shared" si="314"/>
        <v xml:space="preserve">N887QR  </v>
      </c>
      <c r="BE906">
        <v>1</v>
      </c>
      <c r="BJ906">
        <v>1750</v>
      </c>
      <c r="BK906">
        <v>-250</v>
      </c>
      <c r="BL906" t="s">
        <v>163</v>
      </c>
      <c r="BM906">
        <v>1</v>
      </c>
      <c r="BN906">
        <v>1</v>
      </c>
      <c r="BO906">
        <v>1</v>
      </c>
      <c r="BP906">
        <v>0</v>
      </c>
      <c r="BS906">
        <v>0</v>
      </c>
      <c r="BT906">
        <v>0</v>
      </c>
      <c r="BU906">
        <v>0</v>
      </c>
      <c r="CE906" t="str">
        <f t="shared" ref="CE906:CE912" si="318">"19:28:02.382"</f>
        <v>19:28:02.382</v>
      </c>
      <c r="CF906">
        <v>381914952</v>
      </c>
      <c r="CS906">
        <v>3</v>
      </c>
      <c r="CT906">
        <v>2</v>
      </c>
      <c r="CU906">
        <v>0</v>
      </c>
      <c r="CV906">
        <v>2</v>
      </c>
      <c r="CW906">
        <v>0</v>
      </c>
      <c r="CX906">
        <v>5</v>
      </c>
      <c r="CY906">
        <v>7</v>
      </c>
      <c r="CZ906" t="s">
        <v>131</v>
      </c>
      <c r="DA906">
        <v>300</v>
      </c>
      <c r="DB906">
        <v>0</v>
      </c>
      <c r="DC906" t="s">
        <v>176</v>
      </c>
      <c r="DD906" t="s">
        <v>177</v>
      </c>
      <c r="DG906">
        <v>5373964</v>
      </c>
      <c r="DI906">
        <v>1</v>
      </c>
      <c r="DJ906">
        <v>0</v>
      </c>
      <c r="DK906">
        <v>0</v>
      </c>
      <c r="DL906">
        <v>0</v>
      </c>
      <c r="DM906">
        <v>0</v>
      </c>
      <c r="DN906">
        <v>1</v>
      </c>
      <c r="DO906">
        <v>0</v>
      </c>
      <c r="DP906">
        <v>0</v>
      </c>
      <c r="DQ906">
        <v>0</v>
      </c>
      <c r="DR906">
        <v>0</v>
      </c>
      <c r="DS906">
        <v>0</v>
      </c>
    </row>
    <row r="907" spans="1:123" x14ac:dyDescent="0.3">
      <c r="A907" t="str">
        <f>"10/04/2022 19:28:02.577"</f>
        <v>10/04/2022 19:28:02.577</v>
      </c>
      <c r="C907" t="str">
        <f t="shared" si="308"/>
        <v>FFDDD3C0</v>
      </c>
      <c r="D907" t="s">
        <v>141</v>
      </c>
      <c r="E907">
        <v>3</v>
      </c>
      <c r="H907">
        <v>3</v>
      </c>
      <c r="I907" t="s">
        <v>146</v>
      </c>
      <c r="J907" t="s">
        <v>138</v>
      </c>
      <c r="K907">
        <v>0</v>
      </c>
      <c r="L907">
        <v>3</v>
      </c>
      <c r="M907">
        <v>0</v>
      </c>
      <c r="N907">
        <v>2</v>
      </c>
      <c r="O907">
        <v>0</v>
      </c>
      <c r="P907">
        <v>1</v>
      </c>
      <c r="Q907">
        <v>0</v>
      </c>
      <c r="S907" t="str">
        <f t="shared" si="317"/>
        <v>19:28:02.000</v>
      </c>
      <c r="T907" t="str">
        <f t="shared" si="317"/>
        <v>19:28:02.000</v>
      </c>
      <c r="U907" t="str">
        <f t="shared" si="313"/>
        <v>AC3944</v>
      </c>
      <c r="V907">
        <v>0</v>
      </c>
      <c r="W907">
        <v>0</v>
      </c>
      <c r="X907">
        <v>2</v>
      </c>
      <c r="Y907">
        <v>0</v>
      </c>
      <c r="AA907">
        <v>1</v>
      </c>
      <c r="AB907">
        <v>8</v>
      </c>
      <c r="AC907">
        <v>3</v>
      </c>
      <c r="AD907">
        <v>0</v>
      </c>
      <c r="AE907">
        <v>9</v>
      </c>
      <c r="AF907" t="s">
        <v>138</v>
      </c>
      <c r="AG907">
        <v>0</v>
      </c>
      <c r="AH907">
        <v>3</v>
      </c>
      <c r="AI907">
        <v>1</v>
      </c>
      <c r="AJ907">
        <v>0</v>
      </c>
      <c r="AK907" t="s">
        <v>393</v>
      </c>
      <c r="AL907">
        <v>32.810884000000001</v>
      </c>
      <c r="AM907" t="s">
        <v>394</v>
      </c>
      <c r="AN907">
        <v>-116.940794</v>
      </c>
      <c r="AO907">
        <v>25</v>
      </c>
      <c r="AP907">
        <v>2000</v>
      </c>
      <c r="AQ907" t="s">
        <v>129</v>
      </c>
      <c r="AR907">
        <v>105</v>
      </c>
      <c r="AS907">
        <v>-54</v>
      </c>
      <c r="AT907">
        <v>768</v>
      </c>
      <c r="BB907">
        <v>1200</v>
      </c>
      <c r="BC907">
        <v>1</v>
      </c>
      <c r="BD907" t="str">
        <f t="shared" si="314"/>
        <v xml:space="preserve">N887QR  </v>
      </c>
      <c r="BE907">
        <v>1</v>
      </c>
      <c r="BJ907">
        <v>1750</v>
      </c>
      <c r="BK907">
        <v>-250</v>
      </c>
      <c r="BL907" t="s">
        <v>163</v>
      </c>
      <c r="BM907">
        <v>1</v>
      </c>
      <c r="BN907">
        <v>1</v>
      </c>
      <c r="BO907">
        <v>1</v>
      </c>
      <c r="BP907">
        <v>0</v>
      </c>
      <c r="BS907">
        <v>0</v>
      </c>
      <c r="BT907">
        <v>0</v>
      </c>
      <c r="BU907">
        <v>0</v>
      </c>
      <c r="CE907" t="str">
        <f t="shared" si="318"/>
        <v>19:28:02.382</v>
      </c>
      <c r="CF907">
        <v>381914952</v>
      </c>
      <c r="CS907">
        <v>3</v>
      </c>
      <c r="CT907">
        <v>2</v>
      </c>
      <c r="CU907">
        <v>0</v>
      </c>
      <c r="CV907">
        <v>2</v>
      </c>
      <c r="CW907">
        <v>0</v>
      </c>
      <c r="CX907">
        <v>5</v>
      </c>
      <c r="CY907">
        <v>7</v>
      </c>
      <c r="CZ907" t="s">
        <v>131</v>
      </c>
      <c r="DA907">
        <v>300</v>
      </c>
      <c r="DB907">
        <v>0</v>
      </c>
      <c r="DC907" t="s">
        <v>176</v>
      </c>
      <c r="DD907" t="s">
        <v>177</v>
      </c>
      <c r="DG907">
        <v>5373964</v>
      </c>
      <c r="DI907">
        <v>1</v>
      </c>
      <c r="DJ907">
        <v>0</v>
      </c>
      <c r="DK907">
        <v>1</v>
      </c>
      <c r="DL907">
        <v>0</v>
      </c>
      <c r="DM907">
        <v>0</v>
      </c>
      <c r="DN907">
        <v>1</v>
      </c>
      <c r="DO907">
        <v>0</v>
      </c>
      <c r="DP907">
        <v>0</v>
      </c>
      <c r="DQ907">
        <v>0</v>
      </c>
      <c r="DR907">
        <v>0</v>
      </c>
      <c r="DS907">
        <v>0</v>
      </c>
    </row>
    <row r="908" spans="1:123" x14ac:dyDescent="0.3">
      <c r="A908" t="str">
        <f>"10/04/2022 19:28:02.577"</f>
        <v>10/04/2022 19:28:02.577</v>
      </c>
      <c r="C908" t="str">
        <f t="shared" si="308"/>
        <v>FFDDD3C0</v>
      </c>
      <c r="D908" t="s">
        <v>143</v>
      </c>
      <c r="E908">
        <v>20</v>
      </c>
      <c r="F908">
        <v>1020</v>
      </c>
      <c r="G908" t="s">
        <v>144</v>
      </c>
      <c r="J908" t="s">
        <v>145</v>
      </c>
      <c r="K908">
        <v>0</v>
      </c>
      <c r="L908">
        <v>3</v>
      </c>
      <c r="M908">
        <v>0</v>
      </c>
      <c r="N908">
        <v>2</v>
      </c>
      <c r="O908">
        <v>0</v>
      </c>
      <c r="P908">
        <v>1</v>
      </c>
      <c r="Q908">
        <v>0</v>
      </c>
      <c r="S908" t="str">
        <f t="shared" si="317"/>
        <v>19:28:02.000</v>
      </c>
      <c r="T908" t="str">
        <f t="shared" si="317"/>
        <v>19:28:02.000</v>
      </c>
      <c r="U908" t="str">
        <f t="shared" si="313"/>
        <v>AC3944</v>
      </c>
      <c r="V908">
        <v>0</v>
      </c>
      <c r="W908">
        <v>0</v>
      </c>
      <c r="X908">
        <v>2</v>
      </c>
      <c r="Y908">
        <v>0</v>
      </c>
      <c r="AA908">
        <v>1</v>
      </c>
      <c r="AB908">
        <v>8</v>
      </c>
      <c r="AC908">
        <v>3</v>
      </c>
      <c r="AD908">
        <v>0</v>
      </c>
      <c r="AE908">
        <v>9</v>
      </c>
      <c r="AF908" t="s">
        <v>138</v>
      </c>
      <c r="AG908">
        <v>0</v>
      </c>
      <c r="AH908">
        <v>3</v>
      </c>
      <c r="AI908">
        <v>1</v>
      </c>
      <c r="AJ908">
        <v>0</v>
      </c>
      <c r="AK908" t="s">
        <v>393</v>
      </c>
      <c r="AL908">
        <v>32.810884000000001</v>
      </c>
      <c r="AM908" t="s">
        <v>394</v>
      </c>
      <c r="AN908">
        <v>-116.940794</v>
      </c>
      <c r="AO908">
        <v>25</v>
      </c>
      <c r="AP908">
        <v>2000</v>
      </c>
      <c r="AQ908" t="s">
        <v>129</v>
      </c>
      <c r="AR908">
        <v>105</v>
      </c>
      <c r="AS908">
        <v>-54</v>
      </c>
      <c r="AT908">
        <v>768</v>
      </c>
      <c r="BB908">
        <v>1200</v>
      </c>
      <c r="BC908">
        <v>1</v>
      </c>
      <c r="BD908" t="str">
        <f t="shared" si="314"/>
        <v xml:space="preserve">N887QR  </v>
      </c>
      <c r="BE908">
        <v>1</v>
      </c>
      <c r="BJ908">
        <v>1750</v>
      </c>
      <c r="BK908">
        <v>-250</v>
      </c>
      <c r="BL908" t="s">
        <v>163</v>
      </c>
      <c r="BM908">
        <v>1</v>
      </c>
      <c r="BN908">
        <v>1</v>
      </c>
      <c r="BO908">
        <v>1</v>
      </c>
      <c r="BP908">
        <v>0</v>
      </c>
      <c r="BS908">
        <v>0</v>
      </c>
      <c r="BT908">
        <v>0</v>
      </c>
      <c r="BU908">
        <v>0</v>
      </c>
      <c r="CE908" t="str">
        <f t="shared" si="318"/>
        <v>19:28:02.382</v>
      </c>
      <c r="CF908">
        <v>381914952</v>
      </c>
      <c r="CS908">
        <v>3</v>
      </c>
      <c r="CT908">
        <v>2</v>
      </c>
      <c r="CU908">
        <v>0</v>
      </c>
      <c r="CV908">
        <v>2</v>
      </c>
      <c r="CW908">
        <v>0</v>
      </c>
      <c r="CX908">
        <v>5</v>
      </c>
      <c r="CY908">
        <v>7</v>
      </c>
      <c r="CZ908" t="s">
        <v>131</v>
      </c>
      <c r="DA908">
        <v>300</v>
      </c>
      <c r="DB908">
        <v>0</v>
      </c>
      <c r="DC908" t="s">
        <v>176</v>
      </c>
      <c r="DD908" t="s">
        <v>177</v>
      </c>
      <c r="DG908">
        <v>5373964</v>
      </c>
      <c r="DI908">
        <v>1</v>
      </c>
      <c r="DJ908">
        <v>0</v>
      </c>
      <c r="DK908">
        <v>1</v>
      </c>
      <c r="DL908">
        <v>0</v>
      </c>
      <c r="DM908">
        <v>0</v>
      </c>
      <c r="DN908">
        <v>1</v>
      </c>
      <c r="DO908">
        <v>0</v>
      </c>
      <c r="DP908">
        <v>0</v>
      </c>
      <c r="DQ908">
        <v>0</v>
      </c>
      <c r="DR908">
        <v>0</v>
      </c>
      <c r="DS908">
        <v>0</v>
      </c>
    </row>
    <row r="909" spans="1:123" x14ac:dyDescent="0.3">
      <c r="A909" t="str">
        <f>"10/04/2022 19:28:02.608"</f>
        <v>10/04/2022 19:28:02.608</v>
      </c>
      <c r="C909" t="str">
        <f t="shared" si="308"/>
        <v>FFDDD3C0</v>
      </c>
      <c r="D909" t="s">
        <v>123</v>
      </c>
      <c r="E909">
        <v>7</v>
      </c>
      <c r="F909">
        <v>2007</v>
      </c>
      <c r="G909" t="s">
        <v>124</v>
      </c>
      <c r="J909" t="s">
        <v>125</v>
      </c>
      <c r="K909">
        <v>0</v>
      </c>
      <c r="L909">
        <v>3</v>
      </c>
      <c r="M909">
        <v>0</v>
      </c>
      <c r="N909">
        <v>2</v>
      </c>
      <c r="O909">
        <v>0</v>
      </c>
      <c r="P909">
        <v>1</v>
      </c>
      <c r="Q909">
        <v>0</v>
      </c>
      <c r="S909" t="str">
        <f t="shared" si="317"/>
        <v>19:28:02.000</v>
      </c>
      <c r="T909" t="str">
        <f t="shared" si="317"/>
        <v>19:28:02.000</v>
      </c>
      <c r="U909" t="str">
        <f t="shared" si="313"/>
        <v>AC3944</v>
      </c>
      <c r="V909">
        <v>0</v>
      </c>
      <c r="W909">
        <v>0</v>
      </c>
      <c r="X909">
        <v>2</v>
      </c>
      <c r="Y909">
        <v>0</v>
      </c>
      <c r="AA909">
        <v>1</v>
      </c>
      <c r="AB909">
        <v>8</v>
      </c>
      <c r="AC909">
        <v>3</v>
      </c>
      <c r="AD909">
        <v>0</v>
      </c>
      <c r="AE909">
        <v>9</v>
      </c>
      <c r="AF909" t="s">
        <v>138</v>
      </c>
      <c r="AG909">
        <v>0</v>
      </c>
      <c r="AH909">
        <v>3</v>
      </c>
      <c r="AI909">
        <v>1</v>
      </c>
      <c r="AJ909">
        <v>0</v>
      </c>
      <c r="AK909" t="s">
        <v>393</v>
      </c>
      <c r="AL909">
        <v>32.810884000000001</v>
      </c>
      <c r="AM909" t="s">
        <v>394</v>
      </c>
      <c r="AN909">
        <v>-116.940794</v>
      </c>
      <c r="AO909">
        <v>25</v>
      </c>
      <c r="AP909">
        <v>2000</v>
      </c>
      <c r="AQ909" t="s">
        <v>129</v>
      </c>
      <c r="AR909">
        <v>105</v>
      </c>
      <c r="AS909">
        <v>-54</v>
      </c>
      <c r="AT909">
        <v>768</v>
      </c>
      <c r="BB909">
        <v>1200</v>
      </c>
      <c r="BC909">
        <v>1</v>
      </c>
      <c r="BD909" t="str">
        <f t="shared" si="314"/>
        <v xml:space="preserve">N887QR  </v>
      </c>
      <c r="BE909">
        <v>1</v>
      </c>
      <c r="BJ909">
        <v>1750</v>
      </c>
      <c r="BK909">
        <v>-250</v>
      </c>
      <c r="BL909" t="s">
        <v>163</v>
      </c>
      <c r="BM909">
        <v>1</v>
      </c>
      <c r="BN909">
        <v>1</v>
      </c>
      <c r="BO909">
        <v>1</v>
      </c>
      <c r="BP909">
        <v>0</v>
      </c>
      <c r="BS909">
        <v>0</v>
      </c>
      <c r="BT909">
        <v>0</v>
      </c>
      <c r="BU909">
        <v>0</v>
      </c>
      <c r="CE909" t="str">
        <f t="shared" si="318"/>
        <v>19:28:02.382</v>
      </c>
      <c r="CF909">
        <v>381914952</v>
      </c>
      <c r="CS909">
        <v>3</v>
      </c>
      <c r="CT909">
        <v>2</v>
      </c>
      <c r="CU909">
        <v>0</v>
      </c>
      <c r="CV909">
        <v>2</v>
      </c>
      <c r="CW909">
        <v>0</v>
      </c>
      <c r="CX909">
        <v>5</v>
      </c>
      <c r="CY909">
        <v>7</v>
      </c>
      <c r="CZ909" t="s">
        <v>131</v>
      </c>
      <c r="DA909">
        <v>300</v>
      </c>
      <c r="DB909">
        <v>0</v>
      </c>
      <c r="DC909" t="s">
        <v>176</v>
      </c>
      <c r="DD909" t="s">
        <v>177</v>
      </c>
      <c r="DG909">
        <v>5373964</v>
      </c>
      <c r="DI909">
        <v>1</v>
      </c>
      <c r="DJ909">
        <v>0</v>
      </c>
      <c r="DK909">
        <v>1</v>
      </c>
      <c r="DL909">
        <v>0</v>
      </c>
      <c r="DM909">
        <v>0</v>
      </c>
      <c r="DN909">
        <v>1</v>
      </c>
      <c r="DO909">
        <v>0</v>
      </c>
      <c r="DP909">
        <v>0</v>
      </c>
      <c r="DQ909">
        <v>0</v>
      </c>
      <c r="DR909">
        <v>0</v>
      </c>
      <c r="DS909">
        <v>0</v>
      </c>
    </row>
    <row r="910" spans="1:123" x14ac:dyDescent="0.3">
      <c r="A910" t="str">
        <f>"10/04/2022 19:28:02.608"</f>
        <v>10/04/2022 19:28:02.608</v>
      </c>
      <c r="C910" t="str">
        <f t="shared" si="308"/>
        <v>FFDDD3C0</v>
      </c>
      <c r="D910" t="s">
        <v>147</v>
      </c>
      <c r="E910">
        <v>3</v>
      </c>
      <c r="H910">
        <v>166</v>
      </c>
      <c r="I910" t="s">
        <v>144</v>
      </c>
      <c r="J910" t="s">
        <v>148</v>
      </c>
      <c r="K910">
        <v>0</v>
      </c>
      <c r="L910">
        <v>3</v>
      </c>
      <c r="M910">
        <v>0</v>
      </c>
      <c r="N910">
        <v>2</v>
      </c>
      <c r="O910">
        <v>0</v>
      </c>
      <c r="P910">
        <v>1</v>
      </c>
      <c r="Q910">
        <v>0</v>
      </c>
      <c r="S910" t="str">
        <f t="shared" si="317"/>
        <v>19:28:02.000</v>
      </c>
      <c r="T910" t="str">
        <f t="shared" si="317"/>
        <v>19:28:02.000</v>
      </c>
      <c r="U910" t="str">
        <f t="shared" si="313"/>
        <v>AC3944</v>
      </c>
      <c r="V910">
        <v>0</v>
      </c>
      <c r="W910">
        <v>0</v>
      </c>
      <c r="X910">
        <v>2</v>
      </c>
      <c r="Y910">
        <v>0</v>
      </c>
      <c r="AA910">
        <v>1</v>
      </c>
      <c r="AB910">
        <v>8</v>
      </c>
      <c r="AC910">
        <v>3</v>
      </c>
      <c r="AD910">
        <v>0</v>
      </c>
      <c r="AE910">
        <v>9</v>
      </c>
      <c r="AF910" t="s">
        <v>138</v>
      </c>
      <c r="AG910">
        <v>0</v>
      </c>
      <c r="AH910">
        <v>3</v>
      </c>
      <c r="AI910">
        <v>1</v>
      </c>
      <c r="AJ910">
        <v>0</v>
      </c>
      <c r="AK910" t="s">
        <v>393</v>
      </c>
      <c r="AL910">
        <v>32.810884000000001</v>
      </c>
      <c r="AM910" t="s">
        <v>394</v>
      </c>
      <c r="AN910">
        <v>-116.940794</v>
      </c>
      <c r="AO910">
        <v>25</v>
      </c>
      <c r="AP910">
        <v>2000</v>
      </c>
      <c r="AQ910" t="s">
        <v>129</v>
      </c>
      <c r="AR910">
        <v>105</v>
      </c>
      <c r="AS910">
        <v>-54</v>
      </c>
      <c r="AT910">
        <v>768</v>
      </c>
      <c r="BB910">
        <v>1200</v>
      </c>
      <c r="BC910">
        <v>1</v>
      </c>
      <c r="BD910" t="str">
        <f t="shared" si="314"/>
        <v xml:space="preserve">N887QR  </v>
      </c>
      <c r="BE910">
        <v>1</v>
      </c>
      <c r="BJ910">
        <v>1750</v>
      </c>
      <c r="BK910">
        <v>-250</v>
      </c>
      <c r="BL910" t="s">
        <v>163</v>
      </c>
      <c r="BM910">
        <v>1</v>
      </c>
      <c r="BN910">
        <v>1</v>
      </c>
      <c r="BO910">
        <v>1</v>
      </c>
      <c r="BP910">
        <v>0</v>
      </c>
      <c r="BS910">
        <v>0</v>
      </c>
      <c r="BT910">
        <v>0</v>
      </c>
      <c r="BU910">
        <v>0</v>
      </c>
      <c r="CE910" t="str">
        <f t="shared" si="318"/>
        <v>19:28:02.382</v>
      </c>
      <c r="CF910">
        <v>381914952</v>
      </c>
      <c r="CS910">
        <v>3</v>
      </c>
      <c r="CT910">
        <v>2</v>
      </c>
      <c r="CU910">
        <v>0</v>
      </c>
      <c r="CV910">
        <v>2</v>
      </c>
      <c r="CW910">
        <v>0</v>
      </c>
      <c r="CX910">
        <v>5</v>
      </c>
      <c r="CY910">
        <v>7</v>
      </c>
      <c r="CZ910" t="s">
        <v>131</v>
      </c>
      <c r="DA910">
        <v>300</v>
      </c>
      <c r="DB910">
        <v>0</v>
      </c>
      <c r="DC910" t="s">
        <v>176</v>
      </c>
      <c r="DD910" t="s">
        <v>177</v>
      </c>
      <c r="DG910">
        <v>5373964</v>
      </c>
      <c r="DI910">
        <v>1</v>
      </c>
      <c r="DJ910">
        <v>0</v>
      </c>
      <c r="DK910">
        <v>1</v>
      </c>
      <c r="DL910">
        <v>0</v>
      </c>
      <c r="DM910">
        <v>0</v>
      </c>
      <c r="DN910">
        <v>1</v>
      </c>
      <c r="DO910">
        <v>0</v>
      </c>
      <c r="DP910">
        <v>0</v>
      </c>
      <c r="DQ910">
        <v>0</v>
      </c>
      <c r="DR910">
        <v>0</v>
      </c>
      <c r="DS910">
        <v>0</v>
      </c>
    </row>
    <row r="911" spans="1:123" x14ac:dyDescent="0.3">
      <c r="A911" t="str">
        <f>"10/04/2022 19:28:02.608"</f>
        <v>10/04/2022 19:28:02.608</v>
      </c>
      <c r="C911" t="str">
        <f t="shared" si="308"/>
        <v>FFDDD3C0</v>
      </c>
      <c r="D911" t="s">
        <v>134</v>
      </c>
      <c r="E911">
        <v>15</v>
      </c>
      <c r="J911" t="s">
        <v>135</v>
      </c>
      <c r="K911">
        <v>0</v>
      </c>
      <c r="L911">
        <v>3</v>
      </c>
      <c r="M911">
        <v>0</v>
      </c>
      <c r="N911">
        <v>2</v>
      </c>
      <c r="O911">
        <v>0</v>
      </c>
      <c r="P911">
        <v>1</v>
      </c>
      <c r="Q911">
        <v>0</v>
      </c>
      <c r="S911" t="str">
        <f t="shared" si="317"/>
        <v>19:28:02.000</v>
      </c>
      <c r="T911" t="str">
        <f t="shared" si="317"/>
        <v>19:28:02.000</v>
      </c>
      <c r="U911" t="str">
        <f t="shared" si="313"/>
        <v>AC3944</v>
      </c>
      <c r="V911">
        <v>0</v>
      </c>
      <c r="W911">
        <v>0</v>
      </c>
      <c r="X911">
        <v>2</v>
      </c>
      <c r="Y911">
        <v>0</v>
      </c>
      <c r="AA911">
        <v>1</v>
      </c>
      <c r="AB911">
        <v>8</v>
      </c>
      <c r="AC911">
        <v>3</v>
      </c>
      <c r="AD911">
        <v>0</v>
      </c>
      <c r="AE911">
        <v>9</v>
      </c>
      <c r="AF911" t="s">
        <v>138</v>
      </c>
      <c r="AG911">
        <v>0</v>
      </c>
      <c r="AH911">
        <v>3</v>
      </c>
      <c r="AI911">
        <v>1</v>
      </c>
      <c r="AJ911">
        <v>0</v>
      </c>
      <c r="AK911" t="s">
        <v>393</v>
      </c>
      <c r="AL911">
        <v>32.810884000000001</v>
      </c>
      <c r="AM911" t="s">
        <v>394</v>
      </c>
      <c r="AN911">
        <v>-116.940794</v>
      </c>
      <c r="AO911">
        <v>25</v>
      </c>
      <c r="AP911">
        <v>2000</v>
      </c>
      <c r="AQ911" t="s">
        <v>129</v>
      </c>
      <c r="AR911">
        <v>105</v>
      </c>
      <c r="AS911">
        <v>-54</v>
      </c>
      <c r="AT911">
        <v>768</v>
      </c>
      <c r="BB911">
        <v>1200</v>
      </c>
      <c r="BC911">
        <v>1</v>
      </c>
      <c r="BD911" t="str">
        <f t="shared" si="314"/>
        <v xml:space="preserve">N887QR  </v>
      </c>
      <c r="BE911">
        <v>1</v>
      </c>
      <c r="BJ911">
        <v>1750</v>
      </c>
      <c r="BK911">
        <v>-250</v>
      </c>
      <c r="BL911" t="s">
        <v>163</v>
      </c>
      <c r="BM911">
        <v>1</v>
      </c>
      <c r="BN911">
        <v>1</v>
      </c>
      <c r="BO911">
        <v>1</v>
      </c>
      <c r="BP911">
        <v>0</v>
      </c>
      <c r="BS911">
        <v>0</v>
      </c>
      <c r="BT911">
        <v>0</v>
      </c>
      <c r="BU911">
        <v>0</v>
      </c>
      <c r="CE911" t="str">
        <f t="shared" si="318"/>
        <v>19:28:02.382</v>
      </c>
      <c r="CF911">
        <v>381914952</v>
      </c>
      <c r="CS911">
        <v>3</v>
      </c>
      <c r="CT911">
        <v>2</v>
      </c>
      <c r="CU911">
        <v>0</v>
      </c>
      <c r="CV911">
        <v>2</v>
      </c>
      <c r="CW911">
        <v>0</v>
      </c>
      <c r="CX911">
        <v>5</v>
      </c>
      <c r="CY911">
        <v>7</v>
      </c>
      <c r="CZ911" t="s">
        <v>131</v>
      </c>
      <c r="DA911">
        <v>300</v>
      </c>
      <c r="DB911">
        <v>0</v>
      </c>
      <c r="DC911" t="s">
        <v>176</v>
      </c>
      <c r="DD911" t="s">
        <v>177</v>
      </c>
      <c r="DG911">
        <v>5373964</v>
      </c>
      <c r="DI911">
        <v>1</v>
      </c>
      <c r="DJ911">
        <v>0</v>
      </c>
      <c r="DK911">
        <v>1</v>
      </c>
      <c r="DL911">
        <v>0</v>
      </c>
      <c r="DM911">
        <v>0</v>
      </c>
      <c r="DN911">
        <v>1</v>
      </c>
      <c r="DO911">
        <v>0</v>
      </c>
      <c r="DP911">
        <v>0</v>
      </c>
      <c r="DQ911">
        <v>0</v>
      </c>
      <c r="DR911">
        <v>0</v>
      </c>
      <c r="DS911">
        <v>0</v>
      </c>
    </row>
    <row r="912" spans="1:123" x14ac:dyDescent="0.3">
      <c r="A912" t="str">
        <f>"10/04/2022 19:28:02.624"</f>
        <v>10/04/2022 19:28:02.624</v>
      </c>
      <c r="C912" t="str">
        <f t="shared" si="308"/>
        <v>FFDDD3C0</v>
      </c>
      <c r="D912" t="s">
        <v>136</v>
      </c>
      <c r="E912">
        <v>8</v>
      </c>
      <c r="H912">
        <v>225</v>
      </c>
      <c r="I912" t="s">
        <v>137</v>
      </c>
      <c r="J912" t="s">
        <v>138</v>
      </c>
      <c r="K912">
        <v>0</v>
      </c>
      <c r="L912">
        <v>3</v>
      </c>
      <c r="M912">
        <v>0</v>
      </c>
      <c r="N912">
        <v>2</v>
      </c>
      <c r="O912">
        <v>0</v>
      </c>
      <c r="P912">
        <v>1</v>
      </c>
      <c r="Q912">
        <v>0</v>
      </c>
      <c r="S912" t="str">
        <f t="shared" si="317"/>
        <v>19:28:02.000</v>
      </c>
      <c r="T912" t="str">
        <f t="shared" si="317"/>
        <v>19:28:02.000</v>
      </c>
      <c r="U912" t="str">
        <f t="shared" si="313"/>
        <v>AC3944</v>
      </c>
      <c r="V912">
        <v>0</v>
      </c>
      <c r="W912">
        <v>0</v>
      </c>
      <c r="X912">
        <v>2</v>
      </c>
      <c r="Y912">
        <v>0</v>
      </c>
      <c r="AA912">
        <v>1</v>
      </c>
      <c r="AB912">
        <v>8</v>
      </c>
      <c r="AC912">
        <v>3</v>
      </c>
      <c r="AD912">
        <v>0</v>
      </c>
      <c r="AE912">
        <v>9</v>
      </c>
      <c r="AF912" t="s">
        <v>138</v>
      </c>
      <c r="AG912">
        <v>0</v>
      </c>
      <c r="AH912">
        <v>3</v>
      </c>
      <c r="AI912">
        <v>1</v>
      </c>
      <c r="AJ912">
        <v>0</v>
      </c>
      <c r="AK912" t="s">
        <v>393</v>
      </c>
      <c r="AL912">
        <v>32.810884000000001</v>
      </c>
      <c r="AM912" t="s">
        <v>394</v>
      </c>
      <c r="AN912">
        <v>-116.940794</v>
      </c>
      <c r="AO912">
        <v>25</v>
      </c>
      <c r="AP912">
        <v>2000</v>
      </c>
      <c r="AQ912" t="s">
        <v>129</v>
      </c>
      <c r="AR912">
        <v>105</v>
      </c>
      <c r="AS912">
        <v>-54</v>
      </c>
      <c r="AT912">
        <v>768</v>
      </c>
      <c r="BB912">
        <v>1200</v>
      </c>
      <c r="BC912">
        <v>1</v>
      </c>
      <c r="BD912" t="str">
        <f t="shared" si="314"/>
        <v xml:space="preserve">N887QR  </v>
      </c>
      <c r="BE912">
        <v>1</v>
      </c>
      <c r="BJ912">
        <v>1750</v>
      </c>
      <c r="BK912">
        <v>-250</v>
      </c>
      <c r="BL912" t="s">
        <v>163</v>
      </c>
      <c r="BM912">
        <v>1</v>
      </c>
      <c r="BN912">
        <v>1</v>
      </c>
      <c r="BO912">
        <v>1</v>
      </c>
      <c r="BP912">
        <v>0</v>
      </c>
      <c r="BS912">
        <v>0</v>
      </c>
      <c r="BT912">
        <v>0</v>
      </c>
      <c r="BU912">
        <v>0</v>
      </c>
      <c r="CE912" t="str">
        <f t="shared" si="318"/>
        <v>19:28:02.382</v>
      </c>
      <c r="CF912">
        <v>381914952</v>
      </c>
      <c r="CS912">
        <v>3</v>
      </c>
      <c r="CT912">
        <v>2</v>
      </c>
      <c r="CU912">
        <v>0</v>
      </c>
      <c r="CV912">
        <v>2</v>
      </c>
      <c r="CW912">
        <v>0</v>
      </c>
      <c r="CX912">
        <v>5</v>
      </c>
      <c r="CY912">
        <v>7</v>
      </c>
      <c r="CZ912" t="s">
        <v>131</v>
      </c>
      <c r="DA912">
        <v>300</v>
      </c>
      <c r="DB912">
        <v>0</v>
      </c>
      <c r="DC912" t="s">
        <v>176</v>
      </c>
      <c r="DD912" t="s">
        <v>177</v>
      </c>
      <c r="DG912">
        <v>5373964</v>
      </c>
      <c r="DI912">
        <v>1</v>
      </c>
      <c r="DJ912">
        <v>0</v>
      </c>
      <c r="DK912">
        <v>1</v>
      </c>
      <c r="DL912">
        <v>0</v>
      </c>
      <c r="DM912">
        <v>0</v>
      </c>
      <c r="DN912">
        <v>1</v>
      </c>
      <c r="DO912">
        <v>0</v>
      </c>
      <c r="DP912">
        <v>0</v>
      </c>
      <c r="DQ912">
        <v>0</v>
      </c>
      <c r="DR912">
        <v>0</v>
      </c>
      <c r="DS912">
        <v>0</v>
      </c>
    </row>
    <row r="913" spans="1:123" x14ac:dyDescent="0.3">
      <c r="A913" t="str">
        <f>"10/04/2022 19:28:03.702"</f>
        <v>10/04/2022 19:28:03.702</v>
      </c>
      <c r="C913" t="str">
        <f t="shared" si="308"/>
        <v>FFDDD3C0</v>
      </c>
      <c r="D913" t="s">
        <v>141</v>
      </c>
      <c r="E913">
        <v>3</v>
      </c>
      <c r="H913">
        <v>3</v>
      </c>
      <c r="I913" t="s">
        <v>146</v>
      </c>
      <c r="J913" t="s">
        <v>138</v>
      </c>
      <c r="K913">
        <v>0</v>
      </c>
      <c r="L913">
        <v>3</v>
      </c>
      <c r="M913">
        <v>0</v>
      </c>
      <c r="N913">
        <v>2</v>
      </c>
      <c r="O913">
        <v>0</v>
      </c>
      <c r="P913">
        <v>1</v>
      </c>
      <c r="Q913">
        <v>0</v>
      </c>
      <c r="S913" t="str">
        <f t="shared" ref="S913:T926" si="319">"19:28:03.000"</f>
        <v>19:28:03.000</v>
      </c>
      <c r="T913" t="str">
        <f t="shared" si="319"/>
        <v>19:28:03.000</v>
      </c>
      <c r="U913" t="str">
        <f t="shared" si="313"/>
        <v>AC3944</v>
      </c>
      <c r="V913">
        <v>0</v>
      </c>
      <c r="W913">
        <v>0</v>
      </c>
      <c r="X913">
        <v>2</v>
      </c>
      <c r="Y913">
        <v>0</v>
      </c>
      <c r="AA913">
        <v>1</v>
      </c>
      <c r="AB913">
        <v>8</v>
      </c>
      <c r="AC913">
        <v>3</v>
      </c>
      <c r="AD913">
        <v>0</v>
      </c>
      <c r="AE913">
        <v>9</v>
      </c>
      <c r="AF913" t="s">
        <v>138</v>
      </c>
      <c r="AG913">
        <v>0</v>
      </c>
      <c r="AH913">
        <v>3</v>
      </c>
      <c r="AI913">
        <v>1</v>
      </c>
      <c r="AJ913">
        <v>0</v>
      </c>
      <c r="AK913" t="s">
        <v>395</v>
      </c>
      <c r="AL913">
        <v>32.810647000000003</v>
      </c>
      <c r="AM913" t="s">
        <v>396</v>
      </c>
      <c r="AN913">
        <v>-116.94021499999999</v>
      </c>
      <c r="AO913">
        <v>25</v>
      </c>
      <c r="AP913">
        <v>2000</v>
      </c>
      <c r="AQ913" t="s">
        <v>129</v>
      </c>
      <c r="AR913">
        <v>106</v>
      </c>
      <c r="AS913">
        <v>-53</v>
      </c>
      <c r="AT913">
        <v>768</v>
      </c>
      <c r="BB913">
        <v>1200</v>
      </c>
      <c r="BC913">
        <v>1</v>
      </c>
      <c r="BD913" t="str">
        <f t="shared" si="314"/>
        <v xml:space="preserve">N887QR  </v>
      </c>
      <c r="BE913">
        <v>1</v>
      </c>
      <c r="BJ913">
        <v>1750</v>
      </c>
      <c r="BK913">
        <v>-250</v>
      </c>
      <c r="BL913" t="s">
        <v>163</v>
      </c>
      <c r="BM913">
        <v>1</v>
      </c>
      <c r="BN913">
        <v>1</v>
      </c>
      <c r="BO913">
        <v>1</v>
      </c>
      <c r="BP913">
        <v>0</v>
      </c>
      <c r="BS913">
        <v>0</v>
      </c>
      <c r="BT913">
        <v>0</v>
      </c>
      <c r="BU913">
        <v>0</v>
      </c>
      <c r="CE913" t="str">
        <f t="shared" ref="CE913:CE919" si="320">"19:28:03.502"</f>
        <v>19:28:03.502</v>
      </c>
      <c r="CF913">
        <v>501668576</v>
      </c>
      <c r="CS913">
        <v>3</v>
      </c>
      <c r="CT913">
        <v>2</v>
      </c>
      <c r="CU913">
        <v>0</v>
      </c>
      <c r="CV913">
        <v>2</v>
      </c>
      <c r="CW913">
        <v>0</v>
      </c>
      <c r="CX913">
        <v>5</v>
      </c>
      <c r="CY913">
        <v>7</v>
      </c>
      <c r="CZ913" t="s">
        <v>131</v>
      </c>
      <c r="DA913">
        <v>300</v>
      </c>
      <c r="DB913">
        <v>0</v>
      </c>
      <c r="DC913" t="s">
        <v>176</v>
      </c>
      <c r="DD913" t="s">
        <v>177</v>
      </c>
      <c r="DG913">
        <v>5374150</v>
      </c>
      <c r="DI913">
        <v>1</v>
      </c>
      <c r="DJ913">
        <v>0</v>
      </c>
      <c r="DK913">
        <v>0</v>
      </c>
      <c r="DL913">
        <v>0</v>
      </c>
      <c r="DM913">
        <v>0</v>
      </c>
      <c r="DN913">
        <v>1</v>
      </c>
      <c r="DO913">
        <v>0</v>
      </c>
      <c r="DP913">
        <v>0</v>
      </c>
      <c r="DQ913">
        <v>0</v>
      </c>
      <c r="DR913">
        <v>0</v>
      </c>
      <c r="DS913">
        <v>0</v>
      </c>
    </row>
    <row r="914" spans="1:123" x14ac:dyDescent="0.3">
      <c r="A914" t="str">
        <f>"10/04/2022 19:28:03.702"</f>
        <v>10/04/2022 19:28:03.702</v>
      </c>
      <c r="C914" t="str">
        <f t="shared" si="308"/>
        <v>FFDDD3C0</v>
      </c>
      <c r="D914" t="s">
        <v>143</v>
      </c>
      <c r="E914">
        <v>20</v>
      </c>
      <c r="F914">
        <v>1020</v>
      </c>
      <c r="G914" t="s">
        <v>144</v>
      </c>
      <c r="J914" t="s">
        <v>145</v>
      </c>
      <c r="K914">
        <v>0</v>
      </c>
      <c r="L914">
        <v>3</v>
      </c>
      <c r="M914">
        <v>0</v>
      </c>
      <c r="N914">
        <v>2</v>
      </c>
      <c r="O914">
        <v>0</v>
      </c>
      <c r="P914">
        <v>1</v>
      </c>
      <c r="Q914">
        <v>0</v>
      </c>
      <c r="S914" t="str">
        <f t="shared" si="319"/>
        <v>19:28:03.000</v>
      </c>
      <c r="T914" t="str">
        <f t="shared" si="319"/>
        <v>19:28:03.000</v>
      </c>
      <c r="U914" t="str">
        <f t="shared" si="313"/>
        <v>AC3944</v>
      </c>
      <c r="V914">
        <v>0</v>
      </c>
      <c r="W914">
        <v>0</v>
      </c>
      <c r="X914">
        <v>2</v>
      </c>
      <c r="Y914">
        <v>0</v>
      </c>
      <c r="AA914">
        <v>1</v>
      </c>
      <c r="AB914">
        <v>8</v>
      </c>
      <c r="AC914">
        <v>3</v>
      </c>
      <c r="AD914">
        <v>0</v>
      </c>
      <c r="AE914">
        <v>9</v>
      </c>
      <c r="AF914" t="s">
        <v>138</v>
      </c>
      <c r="AG914">
        <v>0</v>
      </c>
      <c r="AH914">
        <v>3</v>
      </c>
      <c r="AI914">
        <v>1</v>
      </c>
      <c r="AJ914">
        <v>0</v>
      </c>
      <c r="AK914" t="s">
        <v>395</v>
      </c>
      <c r="AL914">
        <v>32.810647000000003</v>
      </c>
      <c r="AM914" t="s">
        <v>396</v>
      </c>
      <c r="AN914">
        <v>-116.94021499999999</v>
      </c>
      <c r="AO914">
        <v>25</v>
      </c>
      <c r="AP914">
        <v>2000</v>
      </c>
      <c r="AQ914" t="s">
        <v>129</v>
      </c>
      <c r="AR914">
        <v>106</v>
      </c>
      <c r="AS914">
        <v>-53</v>
      </c>
      <c r="AT914">
        <v>768</v>
      </c>
      <c r="BB914">
        <v>1200</v>
      </c>
      <c r="BC914">
        <v>1</v>
      </c>
      <c r="BD914" t="str">
        <f t="shared" si="314"/>
        <v xml:space="preserve">N887QR  </v>
      </c>
      <c r="BE914">
        <v>1</v>
      </c>
      <c r="BJ914">
        <v>1750</v>
      </c>
      <c r="BK914">
        <v>-250</v>
      </c>
      <c r="BL914" t="s">
        <v>163</v>
      </c>
      <c r="BM914">
        <v>1</v>
      </c>
      <c r="BN914">
        <v>1</v>
      </c>
      <c r="BO914">
        <v>1</v>
      </c>
      <c r="BP914">
        <v>0</v>
      </c>
      <c r="BS914">
        <v>0</v>
      </c>
      <c r="BT914">
        <v>0</v>
      </c>
      <c r="BU914">
        <v>0</v>
      </c>
      <c r="CE914" t="str">
        <f t="shared" si="320"/>
        <v>19:28:03.502</v>
      </c>
      <c r="CF914">
        <v>501668576</v>
      </c>
      <c r="CS914">
        <v>3</v>
      </c>
      <c r="CT914">
        <v>2</v>
      </c>
      <c r="CU914">
        <v>0</v>
      </c>
      <c r="CV914">
        <v>2</v>
      </c>
      <c r="CW914">
        <v>0</v>
      </c>
      <c r="CX914">
        <v>5</v>
      </c>
      <c r="CY914">
        <v>7</v>
      </c>
      <c r="CZ914" t="s">
        <v>131</v>
      </c>
      <c r="DA914">
        <v>300</v>
      </c>
      <c r="DB914">
        <v>0</v>
      </c>
      <c r="DC914" t="s">
        <v>176</v>
      </c>
      <c r="DD914" t="s">
        <v>177</v>
      </c>
      <c r="DG914">
        <v>5374150</v>
      </c>
      <c r="DI914">
        <v>1</v>
      </c>
      <c r="DJ914">
        <v>0</v>
      </c>
      <c r="DK914">
        <v>1</v>
      </c>
      <c r="DL914">
        <v>0</v>
      </c>
      <c r="DM914">
        <v>0</v>
      </c>
      <c r="DN914">
        <v>1</v>
      </c>
      <c r="DO914">
        <v>0</v>
      </c>
      <c r="DP914">
        <v>0</v>
      </c>
      <c r="DQ914">
        <v>0</v>
      </c>
      <c r="DR914">
        <v>0</v>
      </c>
      <c r="DS914">
        <v>0</v>
      </c>
    </row>
    <row r="915" spans="1:123" x14ac:dyDescent="0.3">
      <c r="A915" t="str">
        <f>"10/04/2022 19:28:03.702"</f>
        <v>10/04/2022 19:28:03.702</v>
      </c>
      <c r="C915" t="str">
        <f t="shared" si="308"/>
        <v>FFDDD3C0</v>
      </c>
      <c r="D915" t="s">
        <v>123</v>
      </c>
      <c r="E915">
        <v>7</v>
      </c>
      <c r="F915">
        <v>2007</v>
      </c>
      <c r="G915" t="s">
        <v>124</v>
      </c>
      <c r="J915" t="s">
        <v>125</v>
      </c>
      <c r="K915">
        <v>0</v>
      </c>
      <c r="L915">
        <v>3</v>
      </c>
      <c r="M915">
        <v>0</v>
      </c>
      <c r="N915">
        <v>2</v>
      </c>
      <c r="O915">
        <v>0</v>
      </c>
      <c r="P915">
        <v>1</v>
      </c>
      <c r="Q915">
        <v>0</v>
      </c>
      <c r="S915" t="str">
        <f t="shared" si="319"/>
        <v>19:28:03.000</v>
      </c>
      <c r="T915" t="str">
        <f t="shared" si="319"/>
        <v>19:28:03.000</v>
      </c>
      <c r="U915" t="str">
        <f t="shared" si="313"/>
        <v>AC3944</v>
      </c>
      <c r="V915">
        <v>0</v>
      </c>
      <c r="W915">
        <v>0</v>
      </c>
      <c r="X915">
        <v>2</v>
      </c>
      <c r="Y915">
        <v>0</v>
      </c>
      <c r="AA915">
        <v>1</v>
      </c>
      <c r="AB915">
        <v>8</v>
      </c>
      <c r="AC915">
        <v>3</v>
      </c>
      <c r="AD915">
        <v>0</v>
      </c>
      <c r="AE915">
        <v>9</v>
      </c>
      <c r="AF915" t="s">
        <v>138</v>
      </c>
      <c r="AG915">
        <v>0</v>
      </c>
      <c r="AH915">
        <v>3</v>
      </c>
      <c r="AI915">
        <v>1</v>
      </c>
      <c r="AJ915">
        <v>0</v>
      </c>
      <c r="AK915" t="s">
        <v>395</v>
      </c>
      <c r="AL915">
        <v>32.810647000000003</v>
      </c>
      <c r="AM915" t="s">
        <v>396</v>
      </c>
      <c r="AN915">
        <v>-116.94021499999999</v>
      </c>
      <c r="AO915">
        <v>25</v>
      </c>
      <c r="AP915">
        <v>2000</v>
      </c>
      <c r="AQ915" t="s">
        <v>129</v>
      </c>
      <c r="AR915">
        <v>106</v>
      </c>
      <c r="AS915">
        <v>-53</v>
      </c>
      <c r="AT915">
        <v>768</v>
      </c>
      <c r="BB915">
        <v>1200</v>
      </c>
      <c r="BC915">
        <v>1</v>
      </c>
      <c r="BD915" t="str">
        <f t="shared" si="314"/>
        <v xml:space="preserve">N887QR  </v>
      </c>
      <c r="BE915">
        <v>1</v>
      </c>
      <c r="BJ915">
        <v>1750</v>
      </c>
      <c r="BK915">
        <v>-250</v>
      </c>
      <c r="BL915" t="s">
        <v>163</v>
      </c>
      <c r="BM915">
        <v>1</v>
      </c>
      <c r="BN915">
        <v>1</v>
      </c>
      <c r="BO915">
        <v>1</v>
      </c>
      <c r="BP915">
        <v>0</v>
      </c>
      <c r="BS915">
        <v>0</v>
      </c>
      <c r="BT915">
        <v>0</v>
      </c>
      <c r="BU915">
        <v>0</v>
      </c>
      <c r="CE915" t="str">
        <f t="shared" si="320"/>
        <v>19:28:03.502</v>
      </c>
      <c r="CF915">
        <v>501668576</v>
      </c>
      <c r="CS915">
        <v>3</v>
      </c>
      <c r="CT915">
        <v>2</v>
      </c>
      <c r="CU915">
        <v>0</v>
      </c>
      <c r="CV915">
        <v>2</v>
      </c>
      <c r="CW915">
        <v>0</v>
      </c>
      <c r="CX915">
        <v>5</v>
      </c>
      <c r="CY915">
        <v>7</v>
      </c>
      <c r="CZ915" t="s">
        <v>131</v>
      </c>
      <c r="DA915">
        <v>300</v>
      </c>
      <c r="DB915">
        <v>0</v>
      </c>
      <c r="DC915" t="s">
        <v>176</v>
      </c>
      <c r="DD915" t="s">
        <v>177</v>
      </c>
      <c r="DG915">
        <v>5374150</v>
      </c>
      <c r="DI915">
        <v>1</v>
      </c>
      <c r="DJ915">
        <v>0</v>
      </c>
      <c r="DK915">
        <v>1</v>
      </c>
      <c r="DL915">
        <v>0</v>
      </c>
      <c r="DM915">
        <v>0</v>
      </c>
      <c r="DN915">
        <v>1</v>
      </c>
      <c r="DO915">
        <v>0</v>
      </c>
      <c r="DP915">
        <v>0</v>
      </c>
      <c r="DQ915">
        <v>0</v>
      </c>
      <c r="DR915">
        <v>0</v>
      </c>
      <c r="DS915">
        <v>0</v>
      </c>
    </row>
    <row r="916" spans="1:123" x14ac:dyDescent="0.3">
      <c r="A916" t="str">
        <f>"10/04/2022 19:28:03.702"</f>
        <v>10/04/2022 19:28:03.702</v>
      </c>
      <c r="C916" t="str">
        <f t="shared" si="308"/>
        <v>FFDDD3C0</v>
      </c>
      <c r="D916" t="s">
        <v>147</v>
      </c>
      <c r="E916">
        <v>3</v>
      </c>
      <c r="H916">
        <v>166</v>
      </c>
      <c r="I916" t="s">
        <v>144</v>
      </c>
      <c r="J916" t="s">
        <v>148</v>
      </c>
      <c r="K916">
        <v>0</v>
      </c>
      <c r="L916">
        <v>3</v>
      </c>
      <c r="M916">
        <v>0</v>
      </c>
      <c r="N916">
        <v>2</v>
      </c>
      <c r="O916">
        <v>0</v>
      </c>
      <c r="P916">
        <v>1</v>
      </c>
      <c r="Q916">
        <v>0</v>
      </c>
      <c r="S916" t="str">
        <f t="shared" si="319"/>
        <v>19:28:03.000</v>
      </c>
      <c r="T916" t="str">
        <f t="shared" si="319"/>
        <v>19:28:03.000</v>
      </c>
      <c r="U916" t="str">
        <f t="shared" si="313"/>
        <v>AC3944</v>
      </c>
      <c r="V916">
        <v>0</v>
      </c>
      <c r="W916">
        <v>0</v>
      </c>
      <c r="X916">
        <v>2</v>
      </c>
      <c r="Y916">
        <v>0</v>
      </c>
      <c r="AA916">
        <v>1</v>
      </c>
      <c r="AB916">
        <v>8</v>
      </c>
      <c r="AC916">
        <v>3</v>
      </c>
      <c r="AD916">
        <v>0</v>
      </c>
      <c r="AE916">
        <v>9</v>
      </c>
      <c r="AF916" t="s">
        <v>138</v>
      </c>
      <c r="AG916">
        <v>0</v>
      </c>
      <c r="AH916">
        <v>3</v>
      </c>
      <c r="AI916">
        <v>1</v>
      </c>
      <c r="AJ916">
        <v>0</v>
      </c>
      <c r="AK916" t="s">
        <v>395</v>
      </c>
      <c r="AL916">
        <v>32.810647000000003</v>
      </c>
      <c r="AM916" t="s">
        <v>396</v>
      </c>
      <c r="AN916">
        <v>-116.94021499999999</v>
      </c>
      <c r="AO916">
        <v>25</v>
      </c>
      <c r="AP916">
        <v>2000</v>
      </c>
      <c r="AQ916" t="s">
        <v>129</v>
      </c>
      <c r="AR916">
        <v>106</v>
      </c>
      <c r="AS916">
        <v>-53</v>
      </c>
      <c r="AT916">
        <v>768</v>
      </c>
      <c r="BB916">
        <v>1200</v>
      </c>
      <c r="BC916">
        <v>1</v>
      </c>
      <c r="BD916" t="str">
        <f t="shared" si="314"/>
        <v xml:space="preserve">N887QR  </v>
      </c>
      <c r="BE916">
        <v>1</v>
      </c>
      <c r="BJ916">
        <v>1750</v>
      </c>
      <c r="BK916">
        <v>-250</v>
      </c>
      <c r="BL916" t="s">
        <v>163</v>
      </c>
      <c r="BM916">
        <v>1</v>
      </c>
      <c r="BN916">
        <v>1</v>
      </c>
      <c r="BO916">
        <v>1</v>
      </c>
      <c r="BP916">
        <v>0</v>
      </c>
      <c r="BS916">
        <v>0</v>
      </c>
      <c r="BT916">
        <v>0</v>
      </c>
      <c r="BU916">
        <v>0</v>
      </c>
      <c r="CE916" t="str">
        <f t="shared" si="320"/>
        <v>19:28:03.502</v>
      </c>
      <c r="CF916">
        <v>501668576</v>
      </c>
      <c r="CS916">
        <v>3</v>
      </c>
      <c r="CT916">
        <v>2</v>
      </c>
      <c r="CU916">
        <v>0</v>
      </c>
      <c r="CV916">
        <v>2</v>
      </c>
      <c r="CW916">
        <v>0</v>
      </c>
      <c r="CX916">
        <v>5</v>
      </c>
      <c r="CY916">
        <v>7</v>
      </c>
      <c r="CZ916" t="s">
        <v>131</v>
      </c>
      <c r="DA916">
        <v>300</v>
      </c>
      <c r="DB916">
        <v>0</v>
      </c>
      <c r="DC916" t="s">
        <v>176</v>
      </c>
      <c r="DD916" t="s">
        <v>177</v>
      </c>
      <c r="DG916">
        <v>5374150</v>
      </c>
      <c r="DI916">
        <v>1</v>
      </c>
      <c r="DJ916">
        <v>0</v>
      </c>
      <c r="DK916">
        <v>1</v>
      </c>
      <c r="DL916">
        <v>0</v>
      </c>
      <c r="DM916">
        <v>0</v>
      </c>
      <c r="DN916">
        <v>1</v>
      </c>
      <c r="DO916">
        <v>0</v>
      </c>
      <c r="DP916">
        <v>0</v>
      </c>
      <c r="DQ916">
        <v>0</v>
      </c>
      <c r="DR916">
        <v>0</v>
      </c>
      <c r="DS916">
        <v>0</v>
      </c>
    </row>
    <row r="917" spans="1:123" x14ac:dyDescent="0.3">
      <c r="A917" t="str">
        <f>"10/04/2022 19:28:03.702"</f>
        <v>10/04/2022 19:28:03.702</v>
      </c>
      <c r="C917" t="str">
        <f t="shared" si="308"/>
        <v>FFDDD3C0</v>
      </c>
      <c r="D917" t="s">
        <v>134</v>
      </c>
      <c r="E917">
        <v>15</v>
      </c>
      <c r="J917" t="s">
        <v>135</v>
      </c>
      <c r="K917">
        <v>0</v>
      </c>
      <c r="L917">
        <v>3</v>
      </c>
      <c r="M917">
        <v>0</v>
      </c>
      <c r="N917">
        <v>2</v>
      </c>
      <c r="O917">
        <v>0</v>
      </c>
      <c r="P917">
        <v>1</v>
      </c>
      <c r="Q917">
        <v>0</v>
      </c>
      <c r="S917" t="str">
        <f t="shared" si="319"/>
        <v>19:28:03.000</v>
      </c>
      <c r="T917" t="str">
        <f t="shared" si="319"/>
        <v>19:28:03.000</v>
      </c>
      <c r="U917" t="str">
        <f t="shared" si="313"/>
        <v>AC3944</v>
      </c>
      <c r="V917">
        <v>0</v>
      </c>
      <c r="W917">
        <v>0</v>
      </c>
      <c r="X917">
        <v>2</v>
      </c>
      <c r="Y917">
        <v>0</v>
      </c>
      <c r="AA917">
        <v>1</v>
      </c>
      <c r="AB917">
        <v>8</v>
      </c>
      <c r="AC917">
        <v>3</v>
      </c>
      <c r="AD917">
        <v>0</v>
      </c>
      <c r="AE917">
        <v>9</v>
      </c>
      <c r="AF917" t="s">
        <v>138</v>
      </c>
      <c r="AG917">
        <v>0</v>
      </c>
      <c r="AH917">
        <v>3</v>
      </c>
      <c r="AI917">
        <v>1</v>
      </c>
      <c r="AJ917">
        <v>0</v>
      </c>
      <c r="AK917" t="s">
        <v>395</v>
      </c>
      <c r="AL917">
        <v>32.810647000000003</v>
      </c>
      <c r="AM917" t="s">
        <v>396</v>
      </c>
      <c r="AN917">
        <v>-116.94021499999999</v>
      </c>
      <c r="AO917">
        <v>25</v>
      </c>
      <c r="AP917">
        <v>2000</v>
      </c>
      <c r="AQ917" t="s">
        <v>129</v>
      </c>
      <c r="AR917">
        <v>106</v>
      </c>
      <c r="AS917">
        <v>-53</v>
      </c>
      <c r="AT917">
        <v>768</v>
      </c>
      <c r="BB917">
        <v>1200</v>
      </c>
      <c r="BC917">
        <v>1</v>
      </c>
      <c r="BD917" t="str">
        <f t="shared" si="314"/>
        <v xml:space="preserve">N887QR  </v>
      </c>
      <c r="BE917">
        <v>1</v>
      </c>
      <c r="BJ917">
        <v>1750</v>
      </c>
      <c r="BK917">
        <v>-250</v>
      </c>
      <c r="BL917" t="s">
        <v>163</v>
      </c>
      <c r="BM917">
        <v>1</v>
      </c>
      <c r="BN917">
        <v>1</v>
      </c>
      <c r="BO917">
        <v>1</v>
      </c>
      <c r="BP917">
        <v>0</v>
      </c>
      <c r="BS917">
        <v>0</v>
      </c>
      <c r="BT917">
        <v>0</v>
      </c>
      <c r="BU917">
        <v>0</v>
      </c>
      <c r="CE917" t="str">
        <f t="shared" si="320"/>
        <v>19:28:03.502</v>
      </c>
      <c r="CF917">
        <v>501668576</v>
      </c>
      <c r="CS917">
        <v>3</v>
      </c>
      <c r="CT917">
        <v>2</v>
      </c>
      <c r="CU917">
        <v>0</v>
      </c>
      <c r="CV917">
        <v>2</v>
      </c>
      <c r="CW917">
        <v>0</v>
      </c>
      <c r="CX917">
        <v>5</v>
      </c>
      <c r="CY917">
        <v>7</v>
      </c>
      <c r="CZ917" t="s">
        <v>131</v>
      </c>
      <c r="DA917">
        <v>300</v>
      </c>
      <c r="DB917">
        <v>0</v>
      </c>
      <c r="DC917" t="s">
        <v>176</v>
      </c>
      <c r="DD917" t="s">
        <v>177</v>
      </c>
      <c r="DG917">
        <v>5374150</v>
      </c>
      <c r="DI917">
        <v>1</v>
      </c>
      <c r="DJ917">
        <v>0</v>
      </c>
      <c r="DK917">
        <v>1</v>
      </c>
      <c r="DL917">
        <v>0</v>
      </c>
      <c r="DM917">
        <v>0</v>
      </c>
      <c r="DN917">
        <v>1</v>
      </c>
      <c r="DO917">
        <v>0</v>
      </c>
      <c r="DP917">
        <v>0</v>
      </c>
      <c r="DQ917">
        <v>0</v>
      </c>
      <c r="DR917">
        <v>0</v>
      </c>
      <c r="DS917">
        <v>0</v>
      </c>
    </row>
    <row r="918" spans="1:123" x14ac:dyDescent="0.3">
      <c r="A918" t="str">
        <f>"10/04/2022 19:28:03.717"</f>
        <v>10/04/2022 19:28:03.717</v>
      </c>
      <c r="C918" t="str">
        <f t="shared" si="308"/>
        <v>FFDDD3C0</v>
      </c>
      <c r="D918" t="s">
        <v>136</v>
      </c>
      <c r="E918">
        <v>8</v>
      </c>
      <c r="H918">
        <v>225</v>
      </c>
      <c r="I918" t="s">
        <v>137</v>
      </c>
      <c r="J918" t="s">
        <v>138</v>
      </c>
      <c r="K918">
        <v>0</v>
      </c>
      <c r="L918">
        <v>3</v>
      </c>
      <c r="M918">
        <v>0</v>
      </c>
      <c r="N918">
        <v>2</v>
      </c>
      <c r="O918">
        <v>0</v>
      </c>
      <c r="P918">
        <v>1</v>
      </c>
      <c r="Q918">
        <v>0</v>
      </c>
      <c r="S918" t="str">
        <f t="shared" si="319"/>
        <v>19:28:03.000</v>
      </c>
      <c r="T918" t="str">
        <f t="shared" si="319"/>
        <v>19:28:03.000</v>
      </c>
      <c r="U918" t="str">
        <f t="shared" si="313"/>
        <v>AC3944</v>
      </c>
      <c r="V918">
        <v>0</v>
      </c>
      <c r="W918">
        <v>0</v>
      </c>
      <c r="X918">
        <v>2</v>
      </c>
      <c r="Y918">
        <v>0</v>
      </c>
      <c r="AA918">
        <v>1</v>
      </c>
      <c r="AB918">
        <v>8</v>
      </c>
      <c r="AC918">
        <v>3</v>
      </c>
      <c r="AD918">
        <v>0</v>
      </c>
      <c r="AE918">
        <v>9</v>
      </c>
      <c r="AF918" t="s">
        <v>138</v>
      </c>
      <c r="AG918">
        <v>0</v>
      </c>
      <c r="AH918">
        <v>3</v>
      </c>
      <c r="AI918">
        <v>1</v>
      </c>
      <c r="AJ918">
        <v>0</v>
      </c>
      <c r="AK918" t="s">
        <v>395</v>
      </c>
      <c r="AL918">
        <v>32.810647000000003</v>
      </c>
      <c r="AM918" t="s">
        <v>396</v>
      </c>
      <c r="AN918">
        <v>-116.94021499999999</v>
      </c>
      <c r="AO918">
        <v>25</v>
      </c>
      <c r="AP918">
        <v>2000</v>
      </c>
      <c r="AQ918" t="s">
        <v>129</v>
      </c>
      <c r="AR918">
        <v>106</v>
      </c>
      <c r="AS918">
        <v>-53</v>
      </c>
      <c r="AT918">
        <v>768</v>
      </c>
      <c r="BB918">
        <v>1200</v>
      </c>
      <c r="BC918">
        <v>1</v>
      </c>
      <c r="BD918" t="str">
        <f t="shared" si="314"/>
        <v xml:space="preserve">N887QR  </v>
      </c>
      <c r="BE918">
        <v>1</v>
      </c>
      <c r="BJ918">
        <v>1750</v>
      </c>
      <c r="BK918">
        <v>-250</v>
      </c>
      <c r="BL918" t="s">
        <v>163</v>
      </c>
      <c r="BM918">
        <v>1</v>
      </c>
      <c r="BN918">
        <v>1</v>
      </c>
      <c r="BO918">
        <v>1</v>
      </c>
      <c r="BP918">
        <v>0</v>
      </c>
      <c r="BS918">
        <v>0</v>
      </c>
      <c r="BT918">
        <v>0</v>
      </c>
      <c r="BU918">
        <v>0</v>
      </c>
      <c r="CE918" t="str">
        <f t="shared" si="320"/>
        <v>19:28:03.502</v>
      </c>
      <c r="CF918">
        <v>501668576</v>
      </c>
      <c r="CS918">
        <v>3</v>
      </c>
      <c r="CT918">
        <v>2</v>
      </c>
      <c r="CU918">
        <v>0</v>
      </c>
      <c r="CV918">
        <v>2</v>
      </c>
      <c r="CW918">
        <v>0</v>
      </c>
      <c r="CX918">
        <v>5</v>
      </c>
      <c r="CY918">
        <v>7</v>
      </c>
      <c r="CZ918" t="s">
        <v>131</v>
      </c>
      <c r="DA918">
        <v>300</v>
      </c>
      <c r="DB918">
        <v>0</v>
      </c>
      <c r="DC918" t="s">
        <v>176</v>
      </c>
      <c r="DD918" t="s">
        <v>177</v>
      </c>
      <c r="DG918">
        <v>5374150</v>
      </c>
      <c r="DI918">
        <v>1</v>
      </c>
      <c r="DJ918">
        <v>0</v>
      </c>
      <c r="DK918">
        <v>1</v>
      </c>
      <c r="DL918">
        <v>0</v>
      </c>
      <c r="DM918">
        <v>0</v>
      </c>
      <c r="DN918">
        <v>1</v>
      </c>
      <c r="DO918">
        <v>0</v>
      </c>
      <c r="DP918">
        <v>0</v>
      </c>
      <c r="DQ918">
        <v>0</v>
      </c>
      <c r="DR918">
        <v>0</v>
      </c>
      <c r="DS918">
        <v>0</v>
      </c>
    </row>
    <row r="919" spans="1:123" x14ac:dyDescent="0.3">
      <c r="A919" t="str">
        <f>"10/04/2022 19:28:03.717"</f>
        <v>10/04/2022 19:28:03.717</v>
      </c>
      <c r="C919" t="str">
        <f t="shared" si="308"/>
        <v>FFDDD3C0</v>
      </c>
      <c r="D919" t="s">
        <v>141</v>
      </c>
      <c r="E919">
        <v>4</v>
      </c>
      <c r="H919">
        <v>4</v>
      </c>
      <c r="I919" t="s">
        <v>142</v>
      </c>
      <c r="J919" t="s">
        <v>138</v>
      </c>
      <c r="K919">
        <v>0</v>
      </c>
      <c r="L919">
        <v>3</v>
      </c>
      <c r="M919">
        <v>0</v>
      </c>
      <c r="N919">
        <v>2</v>
      </c>
      <c r="O919">
        <v>0</v>
      </c>
      <c r="P919">
        <v>1</v>
      </c>
      <c r="Q919">
        <v>0</v>
      </c>
      <c r="S919" t="str">
        <f t="shared" si="319"/>
        <v>19:28:03.000</v>
      </c>
      <c r="T919" t="str">
        <f t="shared" si="319"/>
        <v>19:28:03.000</v>
      </c>
      <c r="U919" t="str">
        <f t="shared" si="313"/>
        <v>AC3944</v>
      </c>
      <c r="V919">
        <v>0</v>
      </c>
      <c r="W919">
        <v>0</v>
      </c>
      <c r="X919">
        <v>2</v>
      </c>
      <c r="Y919">
        <v>0</v>
      </c>
      <c r="AA919">
        <v>1</v>
      </c>
      <c r="AB919">
        <v>8</v>
      </c>
      <c r="AC919">
        <v>3</v>
      </c>
      <c r="AD919">
        <v>0</v>
      </c>
      <c r="AE919">
        <v>9</v>
      </c>
      <c r="AF919" t="s">
        <v>138</v>
      </c>
      <c r="AG919">
        <v>0</v>
      </c>
      <c r="AH919">
        <v>3</v>
      </c>
      <c r="AI919">
        <v>1</v>
      </c>
      <c r="AJ919">
        <v>0</v>
      </c>
      <c r="AK919" t="s">
        <v>395</v>
      </c>
      <c r="AL919">
        <v>32.810647000000003</v>
      </c>
      <c r="AM919" t="s">
        <v>396</v>
      </c>
      <c r="AN919">
        <v>-116.94021499999999</v>
      </c>
      <c r="AO919">
        <v>25</v>
      </c>
      <c r="AP919">
        <v>2000</v>
      </c>
      <c r="AQ919" t="s">
        <v>129</v>
      </c>
      <c r="AR919">
        <v>106</v>
      </c>
      <c r="AS919">
        <v>-53</v>
      </c>
      <c r="AT919">
        <v>768</v>
      </c>
      <c r="BB919">
        <v>1200</v>
      </c>
      <c r="BC919">
        <v>1</v>
      </c>
      <c r="BD919" t="str">
        <f t="shared" si="314"/>
        <v xml:space="preserve">N887QR  </v>
      </c>
      <c r="BE919">
        <v>1</v>
      </c>
      <c r="BJ919">
        <v>1750</v>
      </c>
      <c r="BK919">
        <v>-250</v>
      </c>
      <c r="BL919" t="s">
        <v>163</v>
      </c>
      <c r="BM919">
        <v>1</v>
      </c>
      <c r="BN919">
        <v>1</v>
      </c>
      <c r="BO919">
        <v>1</v>
      </c>
      <c r="BP919">
        <v>0</v>
      </c>
      <c r="BS919">
        <v>0</v>
      </c>
      <c r="BT919">
        <v>0</v>
      </c>
      <c r="BU919">
        <v>0</v>
      </c>
      <c r="CE919" t="str">
        <f t="shared" si="320"/>
        <v>19:28:03.502</v>
      </c>
      <c r="CF919">
        <v>501668576</v>
      </c>
      <c r="CS919">
        <v>3</v>
      </c>
      <c r="CT919">
        <v>2</v>
      </c>
      <c r="CU919">
        <v>0</v>
      </c>
      <c r="CV919">
        <v>2</v>
      </c>
      <c r="CW919">
        <v>0</v>
      </c>
      <c r="CX919">
        <v>5</v>
      </c>
      <c r="CY919">
        <v>7</v>
      </c>
      <c r="CZ919" t="s">
        <v>131</v>
      </c>
      <c r="DA919">
        <v>300</v>
      </c>
      <c r="DB919">
        <v>0</v>
      </c>
      <c r="DC919" t="s">
        <v>176</v>
      </c>
      <c r="DD919" t="s">
        <v>177</v>
      </c>
      <c r="DG919">
        <v>5374150</v>
      </c>
      <c r="DI919">
        <v>1</v>
      </c>
      <c r="DJ919">
        <v>0</v>
      </c>
      <c r="DK919">
        <v>1</v>
      </c>
      <c r="DL919">
        <v>0</v>
      </c>
      <c r="DM919">
        <v>0</v>
      </c>
      <c r="DN919">
        <v>1</v>
      </c>
      <c r="DO919">
        <v>0</v>
      </c>
      <c r="DP919">
        <v>0</v>
      </c>
      <c r="DQ919">
        <v>0</v>
      </c>
      <c r="DR919">
        <v>0</v>
      </c>
      <c r="DS919">
        <v>0</v>
      </c>
    </row>
    <row r="920" spans="1:123" x14ac:dyDescent="0.3">
      <c r="A920" t="str">
        <f>"10/04/2022 19:28:03.984"</f>
        <v>10/04/2022 19:28:03.984</v>
      </c>
      <c r="C920" t="str">
        <f t="shared" si="308"/>
        <v>FFDDD3C0</v>
      </c>
      <c r="D920" t="s">
        <v>136</v>
      </c>
      <c r="E920">
        <v>8</v>
      </c>
      <c r="H920">
        <v>225</v>
      </c>
      <c r="I920" t="s">
        <v>137</v>
      </c>
      <c r="J920" t="s">
        <v>138</v>
      </c>
      <c r="K920">
        <v>0</v>
      </c>
      <c r="L920">
        <v>3</v>
      </c>
      <c r="M920">
        <v>0</v>
      </c>
      <c r="N920">
        <v>2</v>
      </c>
      <c r="O920">
        <v>0</v>
      </c>
      <c r="P920">
        <v>1</v>
      </c>
      <c r="Q920">
        <v>0</v>
      </c>
      <c r="S920" t="str">
        <f t="shared" si="319"/>
        <v>19:28:03.000</v>
      </c>
      <c r="T920" t="str">
        <f t="shared" si="319"/>
        <v>19:28:03.000</v>
      </c>
      <c r="U920" t="str">
        <f t="shared" si="313"/>
        <v>AC3944</v>
      </c>
      <c r="V920">
        <v>0</v>
      </c>
      <c r="W920">
        <v>0</v>
      </c>
      <c r="X920">
        <v>2</v>
      </c>
      <c r="Y920">
        <v>0</v>
      </c>
      <c r="AA920">
        <v>1</v>
      </c>
      <c r="AB920">
        <v>8</v>
      </c>
      <c r="AC920">
        <v>3</v>
      </c>
      <c r="AD920">
        <v>0</v>
      </c>
      <c r="AE920">
        <v>9</v>
      </c>
      <c r="AF920" t="s">
        <v>138</v>
      </c>
      <c r="AG920">
        <v>0</v>
      </c>
      <c r="AH920">
        <v>3</v>
      </c>
      <c r="AI920">
        <v>1</v>
      </c>
      <c r="AJ920">
        <v>0</v>
      </c>
      <c r="AK920" t="s">
        <v>397</v>
      </c>
      <c r="AL920">
        <v>32.810389999999998</v>
      </c>
      <c r="AM920" t="s">
        <v>398</v>
      </c>
      <c r="AN920">
        <v>-116.939635</v>
      </c>
      <c r="AO920">
        <v>25</v>
      </c>
      <c r="AP920">
        <v>2000</v>
      </c>
      <c r="AQ920" t="s">
        <v>129</v>
      </c>
      <c r="AR920">
        <v>106</v>
      </c>
      <c r="AS920">
        <v>-53</v>
      </c>
      <c r="AT920">
        <v>768</v>
      </c>
      <c r="BB920">
        <v>1200</v>
      </c>
      <c r="BC920">
        <v>1</v>
      </c>
      <c r="BD920" t="str">
        <f t="shared" si="314"/>
        <v xml:space="preserve">N887QR  </v>
      </c>
      <c r="BE920">
        <v>1</v>
      </c>
      <c r="BJ920">
        <v>1725</v>
      </c>
      <c r="BK920">
        <v>-275</v>
      </c>
      <c r="BL920" t="s">
        <v>163</v>
      </c>
      <c r="BM920">
        <v>1</v>
      </c>
      <c r="BN920">
        <v>1</v>
      </c>
      <c r="BO920">
        <v>1</v>
      </c>
      <c r="BP920">
        <v>0</v>
      </c>
      <c r="BS920">
        <v>0</v>
      </c>
      <c r="BT920">
        <v>0</v>
      </c>
      <c r="BU920">
        <v>0</v>
      </c>
      <c r="CE920" t="str">
        <f>"19:28:03.800"</f>
        <v>19:28:03.800</v>
      </c>
      <c r="CF920">
        <v>800180698</v>
      </c>
      <c r="CS920">
        <v>3</v>
      </c>
      <c r="CT920">
        <v>2</v>
      </c>
      <c r="CU920">
        <v>0</v>
      </c>
      <c r="CV920">
        <v>2</v>
      </c>
      <c r="CW920">
        <v>0</v>
      </c>
      <c r="CX920">
        <v>2</v>
      </c>
      <c r="CY920">
        <v>7</v>
      </c>
      <c r="CZ920" t="s">
        <v>131</v>
      </c>
      <c r="DA920">
        <v>286</v>
      </c>
      <c r="DB920">
        <v>0</v>
      </c>
      <c r="DC920" t="s">
        <v>132</v>
      </c>
      <c r="DD920" t="s">
        <v>133</v>
      </c>
      <c r="DG920">
        <v>806792</v>
      </c>
      <c r="DI920">
        <v>1</v>
      </c>
      <c r="DJ920">
        <v>0</v>
      </c>
      <c r="DK920">
        <v>1</v>
      </c>
      <c r="DL920">
        <v>0</v>
      </c>
      <c r="DM920">
        <v>0</v>
      </c>
      <c r="DN920">
        <v>1</v>
      </c>
      <c r="DO920">
        <v>0</v>
      </c>
      <c r="DP920">
        <v>0</v>
      </c>
      <c r="DQ920">
        <v>0</v>
      </c>
      <c r="DR920">
        <v>0</v>
      </c>
      <c r="DS920">
        <v>0</v>
      </c>
    </row>
    <row r="921" spans="1:123" x14ac:dyDescent="0.3">
      <c r="A921" t="str">
        <f>"10/04/2022 19:28:03.984"</f>
        <v>10/04/2022 19:28:03.984</v>
      </c>
      <c r="C921" t="str">
        <f t="shared" si="308"/>
        <v>FFDDD3C0</v>
      </c>
      <c r="D921" t="s">
        <v>141</v>
      </c>
      <c r="E921">
        <v>4</v>
      </c>
      <c r="H921">
        <v>4</v>
      </c>
      <c r="I921" t="s">
        <v>142</v>
      </c>
      <c r="J921" t="s">
        <v>138</v>
      </c>
      <c r="K921">
        <v>0</v>
      </c>
      <c r="L921">
        <v>3</v>
      </c>
      <c r="M921">
        <v>0</v>
      </c>
      <c r="N921">
        <v>2</v>
      </c>
      <c r="O921">
        <v>0</v>
      </c>
      <c r="P921">
        <v>1</v>
      </c>
      <c r="Q921">
        <v>0</v>
      </c>
      <c r="S921" t="str">
        <f t="shared" si="319"/>
        <v>19:28:03.000</v>
      </c>
      <c r="T921" t="str">
        <f t="shared" si="319"/>
        <v>19:28:03.000</v>
      </c>
      <c r="U921" t="str">
        <f t="shared" si="313"/>
        <v>AC3944</v>
      </c>
      <c r="V921">
        <v>0</v>
      </c>
      <c r="W921">
        <v>0</v>
      </c>
      <c r="X921">
        <v>2</v>
      </c>
      <c r="Y921">
        <v>0</v>
      </c>
      <c r="AA921">
        <v>1</v>
      </c>
      <c r="AB921">
        <v>8</v>
      </c>
      <c r="AC921">
        <v>3</v>
      </c>
      <c r="AD921">
        <v>0</v>
      </c>
      <c r="AE921">
        <v>9</v>
      </c>
      <c r="AF921" t="s">
        <v>138</v>
      </c>
      <c r="AG921">
        <v>0</v>
      </c>
      <c r="AH921">
        <v>3</v>
      </c>
      <c r="AI921">
        <v>1</v>
      </c>
      <c r="AJ921">
        <v>0</v>
      </c>
      <c r="AK921" t="s">
        <v>397</v>
      </c>
      <c r="AL921">
        <v>32.810389999999998</v>
      </c>
      <c r="AM921" t="s">
        <v>398</v>
      </c>
      <c r="AN921">
        <v>-116.939635</v>
      </c>
      <c r="AO921">
        <v>25</v>
      </c>
      <c r="AP921">
        <v>2000</v>
      </c>
      <c r="AQ921" t="s">
        <v>129</v>
      </c>
      <c r="AR921">
        <v>106</v>
      </c>
      <c r="AS921">
        <v>-53</v>
      </c>
      <c r="AT921">
        <v>768</v>
      </c>
      <c r="BB921">
        <v>1200</v>
      </c>
      <c r="BC921">
        <v>1</v>
      </c>
      <c r="BD921" t="str">
        <f t="shared" si="314"/>
        <v xml:space="preserve">N887QR  </v>
      </c>
      <c r="BE921">
        <v>1</v>
      </c>
      <c r="BJ921">
        <v>1725</v>
      </c>
      <c r="BK921">
        <v>-275</v>
      </c>
      <c r="BL921" t="s">
        <v>163</v>
      </c>
      <c r="BM921">
        <v>1</v>
      </c>
      <c r="BN921">
        <v>1</v>
      </c>
      <c r="BO921">
        <v>1</v>
      </c>
      <c r="BP921">
        <v>0</v>
      </c>
      <c r="BS921">
        <v>0</v>
      </c>
      <c r="BT921">
        <v>0</v>
      </c>
      <c r="BU921">
        <v>0</v>
      </c>
      <c r="CE921" t="str">
        <f>"19:28:03.800"</f>
        <v>19:28:03.800</v>
      </c>
      <c r="CF921">
        <v>800180698</v>
      </c>
      <c r="CS921">
        <v>3</v>
      </c>
      <c r="CT921">
        <v>2</v>
      </c>
      <c r="CU921">
        <v>0</v>
      </c>
      <c r="CV921">
        <v>2</v>
      </c>
      <c r="CW921">
        <v>0</v>
      </c>
      <c r="CX921">
        <v>2</v>
      </c>
      <c r="CY921">
        <v>7</v>
      </c>
      <c r="CZ921" t="s">
        <v>131</v>
      </c>
      <c r="DA921">
        <v>286</v>
      </c>
      <c r="DB921">
        <v>0</v>
      </c>
      <c r="DC921" t="s">
        <v>132</v>
      </c>
      <c r="DD921" t="s">
        <v>133</v>
      </c>
      <c r="DG921">
        <v>806792</v>
      </c>
      <c r="DI921">
        <v>1</v>
      </c>
      <c r="DJ921">
        <v>0</v>
      </c>
      <c r="DK921">
        <v>1</v>
      </c>
      <c r="DL921">
        <v>0</v>
      </c>
      <c r="DM921">
        <v>0</v>
      </c>
      <c r="DN921">
        <v>1</v>
      </c>
      <c r="DO921">
        <v>0</v>
      </c>
      <c r="DP921">
        <v>0</v>
      </c>
      <c r="DQ921">
        <v>0</v>
      </c>
      <c r="DR921">
        <v>0</v>
      </c>
      <c r="DS921">
        <v>0</v>
      </c>
    </row>
    <row r="922" spans="1:123" x14ac:dyDescent="0.3">
      <c r="A922" t="str">
        <f>"10/04/2022 19:28:04.000"</f>
        <v>10/04/2022 19:28:04.000</v>
      </c>
      <c r="C922" t="str">
        <f t="shared" si="308"/>
        <v>FFDDD3C0</v>
      </c>
      <c r="D922" t="s">
        <v>141</v>
      </c>
      <c r="E922">
        <v>3</v>
      </c>
      <c r="H922">
        <v>3</v>
      </c>
      <c r="I922" t="s">
        <v>146</v>
      </c>
      <c r="J922" t="s">
        <v>138</v>
      </c>
      <c r="K922">
        <v>0</v>
      </c>
      <c r="L922">
        <v>3</v>
      </c>
      <c r="M922">
        <v>0</v>
      </c>
      <c r="N922">
        <v>2</v>
      </c>
      <c r="O922">
        <v>0</v>
      </c>
      <c r="P922">
        <v>1</v>
      </c>
      <c r="Q922">
        <v>0</v>
      </c>
      <c r="S922" t="str">
        <f t="shared" si="319"/>
        <v>19:28:03.000</v>
      </c>
      <c r="T922" t="str">
        <f t="shared" si="319"/>
        <v>19:28:03.000</v>
      </c>
      <c r="U922" t="str">
        <f t="shared" si="313"/>
        <v>AC3944</v>
      </c>
      <c r="V922">
        <v>0</v>
      </c>
      <c r="W922">
        <v>0</v>
      </c>
      <c r="X922">
        <v>2</v>
      </c>
      <c r="Y922">
        <v>0</v>
      </c>
      <c r="AA922">
        <v>1</v>
      </c>
      <c r="AB922">
        <v>8</v>
      </c>
      <c r="AC922">
        <v>3</v>
      </c>
      <c r="AD922">
        <v>0</v>
      </c>
      <c r="AE922">
        <v>9</v>
      </c>
      <c r="AF922" t="s">
        <v>138</v>
      </c>
      <c r="AG922">
        <v>0</v>
      </c>
      <c r="AH922">
        <v>3</v>
      </c>
      <c r="AI922">
        <v>1</v>
      </c>
      <c r="AJ922">
        <v>0</v>
      </c>
      <c r="AK922" t="s">
        <v>397</v>
      </c>
      <c r="AL922">
        <v>32.810389999999998</v>
      </c>
      <c r="AM922" t="s">
        <v>398</v>
      </c>
      <c r="AN922">
        <v>-116.939635</v>
      </c>
      <c r="AO922">
        <v>25</v>
      </c>
      <c r="AP922">
        <v>2000</v>
      </c>
      <c r="AQ922" t="s">
        <v>129</v>
      </c>
      <c r="AR922">
        <v>106</v>
      </c>
      <c r="AS922">
        <v>-53</v>
      </c>
      <c r="AT922">
        <v>768</v>
      </c>
      <c r="BB922">
        <v>1200</v>
      </c>
      <c r="BC922">
        <v>1</v>
      </c>
      <c r="BD922" t="str">
        <f t="shared" si="314"/>
        <v xml:space="preserve">N887QR  </v>
      </c>
      <c r="BE922">
        <v>1</v>
      </c>
      <c r="BJ922">
        <v>1725</v>
      </c>
      <c r="BK922">
        <v>-275</v>
      </c>
      <c r="BL922" t="s">
        <v>163</v>
      </c>
      <c r="BM922">
        <v>1</v>
      </c>
      <c r="BN922">
        <v>1</v>
      </c>
      <c r="BO922">
        <v>1</v>
      </c>
      <c r="BP922">
        <v>0</v>
      </c>
      <c r="BS922">
        <v>0</v>
      </c>
      <c r="BT922">
        <v>0</v>
      </c>
      <c r="BU922">
        <v>0</v>
      </c>
      <c r="CE922" t="str">
        <f>"19:28:03.800"</f>
        <v>19:28:03.800</v>
      </c>
      <c r="CF922">
        <v>800180698</v>
      </c>
      <c r="CS922">
        <v>3</v>
      </c>
      <c r="CT922">
        <v>2</v>
      </c>
      <c r="CU922">
        <v>0</v>
      </c>
      <c r="CV922">
        <v>2</v>
      </c>
      <c r="CW922">
        <v>0</v>
      </c>
      <c r="CX922">
        <v>2</v>
      </c>
      <c r="CY922">
        <v>7</v>
      </c>
      <c r="CZ922" t="s">
        <v>131</v>
      </c>
      <c r="DA922">
        <v>286</v>
      </c>
      <c r="DB922">
        <v>0</v>
      </c>
      <c r="DC922" t="s">
        <v>132</v>
      </c>
      <c r="DD922" t="s">
        <v>133</v>
      </c>
      <c r="DG922">
        <v>806792</v>
      </c>
      <c r="DI922">
        <v>1</v>
      </c>
      <c r="DJ922">
        <v>0</v>
      </c>
      <c r="DK922">
        <v>1</v>
      </c>
      <c r="DL922">
        <v>0</v>
      </c>
      <c r="DM922">
        <v>0</v>
      </c>
      <c r="DN922">
        <v>1</v>
      </c>
      <c r="DO922">
        <v>0</v>
      </c>
      <c r="DP922">
        <v>0</v>
      </c>
      <c r="DQ922">
        <v>0</v>
      </c>
      <c r="DR922">
        <v>0</v>
      </c>
      <c r="DS922">
        <v>0</v>
      </c>
    </row>
    <row r="923" spans="1:123" x14ac:dyDescent="0.3">
      <c r="A923" t="str">
        <f>"10/04/2022 19:28:04.016"</f>
        <v>10/04/2022 19:28:04.016</v>
      </c>
      <c r="C923" t="str">
        <f t="shared" si="308"/>
        <v>FFDDD3C0</v>
      </c>
      <c r="D923" t="s">
        <v>143</v>
      </c>
      <c r="E923">
        <v>20</v>
      </c>
      <c r="F923">
        <v>1020</v>
      </c>
      <c r="G923" t="s">
        <v>144</v>
      </c>
      <c r="J923" t="s">
        <v>145</v>
      </c>
      <c r="K923">
        <v>0</v>
      </c>
      <c r="L923">
        <v>3</v>
      </c>
      <c r="M923">
        <v>0</v>
      </c>
      <c r="N923">
        <v>2</v>
      </c>
      <c r="O923">
        <v>0</v>
      </c>
      <c r="P923">
        <v>1</v>
      </c>
      <c r="Q923">
        <v>0</v>
      </c>
      <c r="S923" t="str">
        <f t="shared" si="319"/>
        <v>19:28:03.000</v>
      </c>
      <c r="T923" t="str">
        <f t="shared" si="319"/>
        <v>19:28:03.000</v>
      </c>
      <c r="U923" t="str">
        <f t="shared" si="313"/>
        <v>AC3944</v>
      </c>
      <c r="V923">
        <v>0</v>
      </c>
      <c r="W923">
        <v>0</v>
      </c>
      <c r="X923">
        <v>2</v>
      </c>
      <c r="Y923">
        <v>0</v>
      </c>
      <c r="AA923">
        <v>1</v>
      </c>
      <c r="AB923">
        <v>8</v>
      </c>
      <c r="AC923">
        <v>3</v>
      </c>
      <c r="AD923">
        <v>0</v>
      </c>
      <c r="AE923">
        <v>9</v>
      </c>
      <c r="AF923" t="s">
        <v>138</v>
      </c>
      <c r="AG923">
        <v>0</v>
      </c>
      <c r="AH923">
        <v>3</v>
      </c>
      <c r="AI923">
        <v>1</v>
      </c>
      <c r="AJ923">
        <v>0</v>
      </c>
      <c r="AK923" t="s">
        <v>397</v>
      </c>
      <c r="AL923">
        <v>32.810389999999998</v>
      </c>
      <c r="AM923" t="s">
        <v>398</v>
      </c>
      <c r="AN923">
        <v>-116.939635</v>
      </c>
      <c r="AO923">
        <v>25</v>
      </c>
      <c r="AP923">
        <v>2000</v>
      </c>
      <c r="AQ923" t="s">
        <v>129</v>
      </c>
      <c r="AR923">
        <v>106</v>
      </c>
      <c r="AS923">
        <v>-53</v>
      </c>
      <c r="AT923">
        <v>768</v>
      </c>
      <c r="BB923">
        <v>1200</v>
      </c>
      <c r="BC923">
        <v>1</v>
      </c>
      <c r="BD923" t="str">
        <f t="shared" si="314"/>
        <v xml:space="preserve">N887QR  </v>
      </c>
      <c r="BE923">
        <v>1</v>
      </c>
      <c r="BJ923">
        <v>1725</v>
      </c>
      <c r="BK923">
        <v>-275</v>
      </c>
      <c r="BL923" t="s">
        <v>163</v>
      </c>
      <c r="BM923">
        <v>1</v>
      </c>
      <c r="BN923">
        <v>1</v>
      </c>
      <c r="BO923">
        <v>1</v>
      </c>
      <c r="BP923">
        <v>0</v>
      </c>
      <c r="BS923">
        <v>0</v>
      </c>
      <c r="BT923">
        <v>0</v>
      </c>
      <c r="BU923">
        <v>0</v>
      </c>
      <c r="CE923" t="str">
        <f>"19:28:03.801"</f>
        <v>19:28:03.801</v>
      </c>
      <c r="CF923">
        <v>800805555</v>
      </c>
      <c r="CS923">
        <v>3</v>
      </c>
      <c r="CT923">
        <v>2</v>
      </c>
      <c r="CU923">
        <v>0</v>
      </c>
      <c r="CV923">
        <v>2</v>
      </c>
      <c r="CW923">
        <v>0</v>
      </c>
      <c r="CX923">
        <v>4</v>
      </c>
      <c r="CY923">
        <v>7</v>
      </c>
      <c r="CZ923" t="s">
        <v>131</v>
      </c>
      <c r="DA923">
        <v>292</v>
      </c>
      <c r="DB923">
        <v>0</v>
      </c>
      <c r="DC923" t="s">
        <v>254</v>
      </c>
      <c r="DD923" t="s">
        <v>255</v>
      </c>
      <c r="DG923">
        <v>3374420</v>
      </c>
      <c r="DI923">
        <v>1</v>
      </c>
      <c r="DJ923">
        <v>0</v>
      </c>
      <c r="DK923">
        <v>1</v>
      </c>
      <c r="DL923">
        <v>0</v>
      </c>
      <c r="DM923">
        <v>0</v>
      </c>
      <c r="DN923">
        <v>1</v>
      </c>
      <c r="DO923">
        <v>0</v>
      </c>
      <c r="DP923">
        <v>0</v>
      </c>
      <c r="DQ923">
        <v>0</v>
      </c>
      <c r="DR923">
        <v>0</v>
      </c>
      <c r="DS923">
        <v>0</v>
      </c>
    </row>
    <row r="924" spans="1:123" x14ac:dyDescent="0.3">
      <c r="A924" t="str">
        <f>"10/04/2022 19:28:04.016"</f>
        <v>10/04/2022 19:28:04.016</v>
      </c>
      <c r="C924" t="str">
        <f t="shared" si="308"/>
        <v>FFDDD3C0</v>
      </c>
      <c r="D924" t="s">
        <v>147</v>
      </c>
      <c r="E924">
        <v>3</v>
      </c>
      <c r="H924">
        <v>166</v>
      </c>
      <c r="I924" t="s">
        <v>144</v>
      </c>
      <c r="J924" t="s">
        <v>148</v>
      </c>
      <c r="K924">
        <v>0</v>
      </c>
      <c r="L924">
        <v>3</v>
      </c>
      <c r="M924">
        <v>0</v>
      </c>
      <c r="N924">
        <v>2</v>
      </c>
      <c r="O924">
        <v>0</v>
      </c>
      <c r="P924">
        <v>1</v>
      </c>
      <c r="Q924">
        <v>0</v>
      </c>
      <c r="S924" t="str">
        <f t="shared" si="319"/>
        <v>19:28:03.000</v>
      </c>
      <c r="T924" t="str">
        <f t="shared" si="319"/>
        <v>19:28:03.000</v>
      </c>
      <c r="U924" t="str">
        <f t="shared" si="313"/>
        <v>AC3944</v>
      </c>
      <c r="V924">
        <v>0</v>
      </c>
      <c r="W924">
        <v>0</v>
      </c>
      <c r="X924">
        <v>2</v>
      </c>
      <c r="Y924">
        <v>0</v>
      </c>
      <c r="AA924">
        <v>1</v>
      </c>
      <c r="AB924">
        <v>8</v>
      </c>
      <c r="AC924">
        <v>3</v>
      </c>
      <c r="AD924">
        <v>0</v>
      </c>
      <c r="AE924">
        <v>9</v>
      </c>
      <c r="AF924" t="s">
        <v>138</v>
      </c>
      <c r="AG924">
        <v>0</v>
      </c>
      <c r="AH924">
        <v>3</v>
      </c>
      <c r="AI924">
        <v>1</v>
      </c>
      <c r="AJ924">
        <v>0</v>
      </c>
      <c r="AK924" t="s">
        <v>397</v>
      </c>
      <c r="AL924">
        <v>32.810389999999998</v>
      </c>
      <c r="AM924" t="s">
        <v>398</v>
      </c>
      <c r="AN924">
        <v>-116.939635</v>
      </c>
      <c r="AO924">
        <v>25</v>
      </c>
      <c r="AP924">
        <v>2000</v>
      </c>
      <c r="AQ924" t="s">
        <v>129</v>
      </c>
      <c r="AR924">
        <v>106</v>
      </c>
      <c r="AS924">
        <v>-53</v>
      </c>
      <c r="AT924">
        <v>768</v>
      </c>
      <c r="BB924">
        <v>1200</v>
      </c>
      <c r="BC924">
        <v>1</v>
      </c>
      <c r="BD924" t="str">
        <f t="shared" si="314"/>
        <v xml:space="preserve">N887QR  </v>
      </c>
      <c r="BE924">
        <v>1</v>
      </c>
      <c r="BJ924">
        <v>1725</v>
      </c>
      <c r="BK924">
        <v>-275</v>
      </c>
      <c r="BL924" t="s">
        <v>163</v>
      </c>
      <c r="BM924">
        <v>1</v>
      </c>
      <c r="BN924">
        <v>1</v>
      </c>
      <c r="BO924">
        <v>1</v>
      </c>
      <c r="BP924">
        <v>0</v>
      </c>
      <c r="BS924">
        <v>0</v>
      </c>
      <c r="BT924">
        <v>0</v>
      </c>
      <c r="BU924">
        <v>0</v>
      </c>
      <c r="CE924" t="str">
        <f>"19:28:03.801"</f>
        <v>19:28:03.801</v>
      </c>
      <c r="CF924">
        <v>800805555</v>
      </c>
      <c r="CS924">
        <v>3</v>
      </c>
      <c r="CT924">
        <v>2</v>
      </c>
      <c r="CU924">
        <v>0</v>
      </c>
      <c r="CV924">
        <v>2</v>
      </c>
      <c r="CW924">
        <v>0</v>
      </c>
      <c r="CX924">
        <v>4</v>
      </c>
      <c r="CY924">
        <v>7</v>
      </c>
      <c r="CZ924" t="s">
        <v>131</v>
      </c>
      <c r="DA924">
        <v>292</v>
      </c>
      <c r="DB924">
        <v>0</v>
      </c>
      <c r="DC924" t="s">
        <v>254</v>
      </c>
      <c r="DD924" t="s">
        <v>255</v>
      </c>
      <c r="DG924">
        <v>3374420</v>
      </c>
      <c r="DI924">
        <v>1</v>
      </c>
      <c r="DJ924">
        <v>0</v>
      </c>
      <c r="DK924">
        <v>1</v>
      </c>
      <c r="DL924">
        <v>0</v>
      </c>
      <c r="DM924">
        <v>0</v>
      </c>
      <c r="DN924">
        <v>1</v>
      </c>
      <c r="DO924">
        <v>0</v>
      </c>
      <c r="DP924">
        <v>0</v>
      </c>
      <c r="DQ924">
        <v>0</v>
      </c>
      <c r="DR924">
        <v>0</v>
      </c>
      <c r="DS924">
        <v>0</v>
      </c>
    </row>
    <row r="925" spans="1:123" x14ac:dyDescent="0.3">
      <c r="A925" t="str">
        <f>"10/04/2022 19:28:04.016"</f>
        <v>10/04/2022 19:28:04.016</v>
      </c>
      <c r="C925" t="str">
        <f t="shared" si="308"/>
        <v>FFDDD3C0</v>
      </c>
      <c r="D925" t="s">
        <v>123</v>
      </c>
      <c r="E925">
        <v>7</v>
      </c>
      <c r="F925">
        <v>2007</v>
      </c>
      <c r="G925" t="s">
        <v>124</v>
      </c>
      <c r="J925" t="s">
        <v>125</v>
      </c>
      <c r="K925">
        <v>0</v>
      </c>
      <c r="L925">
        <v>3</v>
      </c>
      <c r="M925">
        <v>0</v>
      </c>
      <c r="N925">
        <v>2</v>
      </c>
      <c r="O925">
        <v>0</v>
      </c>
      <c r="P925">
        <v>1</v>
      </c>
      <c r="Q925">
        <v>0</v>
      </c>
      <c r="S925" t="str">
        <f t="shared" si="319"/>
        <v>19:28:03.000</v>
      </c>
      <c r="T925" t="str">
        <f t="shared" si="319"/>
        <v>19:28:03.000</v>
      </c>
      <c r="U925" t="str">
        <f t="shared" si="313"/>
        <v>AC3944</v>
      </c>
      <c r="V925">
        <v>0</v>
      </c>
      <c r="W925">
        <v>0</v>
      </c>
      <c r="X925">
        <v>2</v>
      </c>
      <c r="Y925">
        <v>0</v>
      </c>
      <c r="AA925">
        <v>1</v>
      </c>
      <c r="AB925">
        <v>8</v>
      </c>
      <c r="AC925">
        <v>3</v>
      </c>
      <c r="AD925">
        <v>0</v>
      </c>
      <c r="AE925">
        <v>9</v>
      </c>
      <c r="AF925" t="s">
        <v>138</v>
      </c>
      <c r="AG925">
        <v>0</v>
      </c>
      <c r="AH925">
        <v>3</v>
      </c>
      <c r="AI925">
        <v>1</v>
      </c>
      <c r="AJ925">
        <v>0</v>
      </c>
      <c r="AK925" t="s">
        <v>397</v>
      </c>
      <c r="AL925">
        <v>32.810389999999998</v>
      </c>
      <c r="AM925" t="s">
        <v>398</v>
      </c>
      <c r="AN925">
        <v>-116.939635</v>
      </c>
      <c r="AO925">
        <v>25</v>
      </c>
      <c r="AP925">
        <v>2000</v>
      </c>
      <c r="AQ925" t="s">
        <v>129</v>
      </c>
      <c r="AR925">
        <v>106</v>
      </c>
      <c r="AS925">
        <v>-53</v>
      </c>
      <c r="AT925">
        <v>768</v>
      </c>
      <c r="BB925">
        <v>1200</v>
      </c>
      <c r="BC925">
        <v>1</v>
      </c>
      <c r="BD925" t="str">
        <f t="shared" si="314"/>
        <v xml:space="preserve">N887QR  </v>
      </c>
      <c r="BE925">
        <v>1</v>
      </c>
      <c r="BJ925">
        <v>1725</v>
      </c>
      <c r="BK925">
        <v>-275</v>
      </c>
      <c r="BL925" t="s">
        <v>163</v>
      </c>
      <c r="BM925">
        <v>1</v>
      </c>
      <c r="BN925">
        <v>1</v>
      </c>
      <c r="BO925">
        <v>1</v>
      </c>
      <c r="BP925">
        <v>0</v>
      </c>
      <c r="BS925">
        <v>0</v>
      </c>
      <c r="BT925">
        <v>0</v>
      </c>
      <c r="BU925">
        <v>0</v>
      </c>
      <c r="CE925" t="str">
        <f>"19:28:03.801"</f>
        <v>19:28:03.801</v>
      </c>
      <c r="CF925">
        <v>800805555</v>
      </c>
      <c r="CS925">
        <v>3</v>
      </c>
      <c r="CT925">
        <v>2</v>
      </c>
      <c r="CU925">
        <v>0</v>
      </c>
      <c r="CV925">
        <v>2</v>
      </c>
      <c r="CW925">
        <v>0</v>
      </c>
      <c r="CX925">
        <v>4</v>
      </c>
      <c r="CY925">
        <v>7</v>
      </c>
      <c r="CZ925" t="s">
        <v>131</v>
      </c>
      <c r="DA925">
        <v>292</v>
      </c>
      <c r="DB925">
        <v>0</v>
      </c>
      <c r="DC925" t="s">
        <v>254</v>
      </c>
      <c r="DD925" t="s">
        <v>255</v>
      </c>
      <c r="DG925">
        <v>3374420</v>
      </c>
      <c r="DI925">
        <v>1</v>
      </c>
      <c r="DJ925">
        <v>0</v>
      </c>
      <c r="DK925">
        <v>1</v>
      </c>
      <c r="DL925">
        <v>0</v>
      </c>
      <c r="DM925">
        <v>0</v>
      </c>
      <c r="DN925">
        <v>1</v>
      </c>
      <c r="DO925">
        <v>0</v>
      </c>
      <c r="DP925">
        <v>0</v>
      </c>
      <c r="DQ925">
        <v>0</v>
      </c>
      <c r="DR925">
        <v>0</v>
      </c>
      <c r="DS925">
        <v>0</v>
      </c>
    </row>
    <row r="926" spans="1:123" x14ac:dyDescent="0.3">
      <c r="A926" t="str">
        <f>"10/04/2022 19:28:04.016"</f>
        <v>10/04/2022 19:28:04.016</v>
      </c>
      <c r="C926" t="str">
        <f t="shared" si="308"/>
        <v>FFDDD3C0</v>
      </c>
      <c r="D926" t="s">
        <v>134</v>
      </c>
      <c r="E926">
        <v>15</v>
      </c>
      <c r="J926" t="s">
        <v>135</v>
      </c>
      <c r="K926">
        <v>0</v>
      </c>
      <c r="L926">
        <v>3</v>
      </c>
      <c r="M926">
        <v>0</v>
      </c>
      <c r="N926">
        <v>2</v>
      </c>
      <c r="O926">
        <v>0</v>
      </c>
      <c r="P926">
        <v>1</v>
      </c>
      <c r="Q926">
        <v>0</v>
      </c>
      <c r="S926" t="str">
        <f t="shared" si="319"/>
        <v>19:28:03.000</v>
      </c>
      <c r="T926" t="str">
        <f t="shared" si="319"/>
        <v>19:28:03.000</v>
      </c>
      <c r="U926" t="str">
        <f t="shared" si="313"/>
        <v>AC3944</v>
      </c>
      <c r="V926">
        <v>0</v>
      </c>
      <c r="W926">
        <v>0</v>
      </c>
      <c r="X926">
        <v>2</v>
      </c>
      <c r="Y926">
        <v>0</v>
      </c>
      <c r="AA926">
        <v>1</v>
      </c>
      <c r="AB926">
        <v>8</v>
      </c>
      <c r="AC926">
        <v>3</v>
      </c>
      <c r="AD926">
        <v>0</v>
      </c>
      <c r="AE926">
        <v>9</v>
      </c>
      <c r="AF926" t="s">
        <v>138</v>
      </c>
      <c r="AG926">
        <v>0</v>
      </c>
      <c r="AH926">
        <v>3</v>
      </c>
      <c r="AI926">
        <v>1</v>
      </c>
      <c r="AJ926">
        <v>0</v>
      </c>
      <c r="AK926" t="s">
        <v>397</v>
      </c>
      <c r="AL926">
        <v>32.810389999999998</v>
      </c>
      <c r="AM926" t="s">
        <v>398</v>
      </c>
      <c r="AN926">
        <v>-116.939635</v>
      </c>
      <c r="AO926">
        <v>25</v>
      </c>
      <c r="AP926">
        <v>2000</v>
      </c>
      <c r="AQ926" t="s">
        <v>129</v>
      </c>
      <c r="AR926">
        <v>106</v>
      </c>
      <c r="AS926">
        <v>-53</v>
      </c>
      <c r="AT926">
        <v>768</v>
      </c>
      <c r="BB926">
        <v>1200</v>
      </c>
      <c r="BC926">
        <v>1</v>
      </c>
      <c r="BD926" t="str">
        <f t="shared" si="314"/>
        <v xml:space="preserve">N887QR  </v>
      </c>
      <c r="BE926">
        <v>1</v>
      </c>
      <c r="BJ926">
        <v>1725</v>
      </c>
      <c r="BK926">
        <v>-275</v>
      </c>
      <c r="BL926" t="s">
        <v>163</v>
      </c>
      <c r="BM926">
        <v>1</v>
      </c>
      <c r="BN926">
        <v>1</v>
      </c>
      <c r="BO926">
        <v>1</v>
      </c>
      <c r="BP926">
        <v>0</v>
      </c>
      <c r="BS926">
        <v>0</v>
      </c>
      <c r="BT926">
        <v>0</v>
      </c>
      <c r="BU926">
        <v>0</v>
      </c>
      <c r="CE926" t="str">
        <f>"19:28:03.801"</f>
        <v>19:28:03.801</v>
      </c>
      <c r="CF926">
        <v>800805555</v>
      </c>
      <c r="CS926">
        <v>3</v>
      </c>
      <c r="CT926">
        <v>2</v>
      </c>
      <c r="CU926">
        <v>0</v>
      </c>
      <c r="CV926">
        <v>2</v>
      </c>
      <c r="CW926">
        <v>0</v>
      </c>
      <c r="CX926">
        <v>4</v>
      </c>
      <c r="CY926">
        <v>7</v>
      </c>
      <c r="CZ926" t="s">
        <v>131</v>
      </c>
      <c r="DA926">
        <v>292</v>
      </c>
      <c r="DB926">
        <v>0</v>
      </c>
      <c r="DC926" t="s">
        <v>254</v>
      </c>
      <c r="DD926" t="s">
        <v>255</v>
      </c>
      <c r="DG926">
        <v>3374420</v>
      </c>
      <c r="DI926">
        <v>1</v>
      </c>
      <c r="DJ926">
        <v>0</v>
      </c>
      <c r="DK926">
        <v>1</v>
      </c>
      <c r="DL926">
        <v>0</v>
      </c>
      <c r="DM926">
        <v>0</v>
      </c>
      <c r="DN926">
        <v>1</v>
      </c>
      <c r="DO926">
        <v>0</v>
      </c>
      <c r="DP926">
        <v>0</v>
      </c>
      <c r="DQ926">
        <v>0</v>
      </c>
      <c r="DR926">
        <v>0</v>
      </c>
      <c r="DS926">
        <v>0</v>
      </c>
    </row>
    <row r="927" spans="1:123" x14ac:dyDescent="0.3">
      <c r="A927" t="str">
        <f>"10/04/2022 19:28:05.297"</f>
        <v>10/04/2022 19:28:05.297</v>
      </c>
      <c r="C927" t="str">
        <f t="shared" si="308"/>
        <v>FFDDD3C0</v>
      </c>
      <c r="D927" t="s">
        <v>141</v>
      </c>
      <c r="E927">
        <v>4</v>
      </c>
      <c r="H927">
        <v>4</v>
      </c>
      <c r="I927" t="s">
        <v>142</v>
      </c>
      <c r="J927" t="s">
        <v>138</v>
      </c>
      <c r="K927">
        <v>0</v>
      </c>
      <c r="L927">
        <v>3</v>
      </c>
      <c r="M927">
        <v>0</v>
      </c>
      <c r="N927">
        <v>2</v>
      </c>
      <c r="O927">
        <v>0</v>
      </c>
      <c r="P927">
        <v>1</v>
      </c>
      <c r="Q927">
        <v>0</v>
      </c>
      <c r="S927" t="str">
        <f t="shared" ref="S927:T933" si="321">"19:28:05.000"</f>
        <v>19:28:05.000</v>
      </c>
      <c r="T927" t="str">
        <f t="shared" si="321"/>
        <v>19:28:05.000</v>
      </c>
      <c r="U927" t="str">
        <f t="shared" si="313"/>
        <v>AC3944</v>
      </c>
      <c r="V927">
        <v>0</v>
      </c>
      <c r="W927">
        <v>0</v>
      </c>
      <c r="X927">
        <v>2</v>
      </c>
      <c r="Y927">
        <v>0</v>
      </c>
      <c r="AA927">
        <v>1</v>
      </c>
      <c r="AB927">
        <v>8</v>
      </c>
      <c r="AC927">
        <v>3</v>
      </c>
      <c r="AD927">
        <v>0</v>
      </c>
      <c r="AE927">
        <v>9</v>
      </c>
      <c r="AF927" t="s">
        <v>138</v>
      </c>
      <c r="AG927">
        <v>0</v>
      </c>
      <c r="AH927">
        <v>3</v>
      </c>
      <c r="AI927">
        <v>1</v>
      </c>
      <c r="AJ927">
        <v>0</v>
      </c>
      <c r="AK927" t="s">
        <v>399</v>
      </c>
      <c r="AL927">
        <v>32.810197000000002</v>
      </c>
      <c r="AM927" t="s">
        <v>400</v>
      </c>
      <c r="AN927">
        <v>-116.93916299999999</v>
      </c>
      <c r="AO927">
        <v>25</v>
      </c>
      <c r="AP927">
        <v>2000</v>
      </c>
      <c r="AQ927" t="s">
        <v>129</v>
      </c>
      <c r="AR927">
        <v>108</v>
      </c>
      <c r="AS927">
        <v>-53</v>
      </c>
      <c r="AT927">
        <v>384</v>
      </c>
      <c r="BB927">
        <v>1200</v>
      </c>
      <c r="BC927">
        <v>1</v>
      </c>
      <c r="BD927" t="str">
        <f t="shared" si="314"/>
        <v xml:space="preserve">N887QR  </v>
      </c>
      <c r="BE927">
        <v>1</v>
      </c>
      <c r="BJ927">
        <v>1750</v>
      </c>
      <c r="BK927">
        <v>-250</v>
      </c>
      <c r="BL927" t="s">
        <v>163</v>
      </c>
      <c r="BM927">
        <v>1</v>
      </c>
      <c r="BN927">
        <v>1</v>
      </c>
      <c r="BO927">
        <v>1</v>
      </c>
      <c r="BP927">
        <v>0</v>
      </c>
      <c r="BS927">
        <v>0</v>
      </c>
      <c r="BT927">
        <v>0</v>
      </c>
      <c r="BU927">
        <v>0</v>
      </c>
      <c r="CE927" t="str">
        <f t="shared" ref="CE927:CE933" si="322">"19:28:05.115"</f>
        <v>19:28:05.115</v>
      </c>
      <c r="CF927">
        <v>114673866</v>
      </c>
      <c r="CS927">
        <v>3</v>
      </c>
      <c r="CT927">
        <v>2</v>
      </c>
      <c r="CU927">
        <v>0</v>
      </c>
      <c r="CV927">
        <v>2</v>
      </c>
      <c r="CW927">
        <v>0</v>
      </c>
      <c r="CX927">
        <v>5</v>
      </c>
      <c r="CY927">
        <v>7</v>
      </c>
      <c r="CZ927" t="s">
        <v>131</v>
      </c>
      <c r="DA927">
        <v>300</v>
      </c>
      <c r="DB927">
        <v>0</v>
      </c>
      <c r="DC927" t="s">
        <v>176</v>
      </c>
      <c r="DD927" t="s">
        <v>177</v>
      </c>
      <c r="DG927">
        <v>5374400</v>
      </c>
      <c r="DI927">
        <v>1</v>
      </c>
      <c r="DJ927">
        <v>0</v>
      </c>
      <c r="DK927">
        <v>0</v>
      </c>
      <c r="DL927">
        <v>0</v>
      </c>
      <c r="DM927">
        <v>0</v>
      </c>
      <c r="DN927">
        <v>1</v>
      </c>
      <c r="DO927">
        <v>0</v>
      </c>
      <c r="DP927">
        <v>0</v>
      </c>
      <c r="DQ927">
        <v>0</v>
      </c>
      <c r="DR927">
        <v>0</v>
      </c>
      <c r="DS927">
        <v>0</v>
      </c>
    </row>
    <row r="928" spans="1:123" x14ac:dyDescent="0.3">
      <c r="A928" t="str">
        <f>"10/04/2022 19:28:05.297"</f>
        <v>10/04/2022 19:28:05.297</v>
      </c>
      <c r="C928" t="str">
        <f t="shared" si="308"/>
        <v>FFDDD3C0</v>
      </c>
      <c r="D928" t="s">
        <v>136</v>
      </c>
      <c r="E928">
        <v>8</v>
      </c>
      <c r="H928">
        <v>225</v>
      </c>
      <c r="I928" t="s">
        <v>137</v>
      </c>
      <c r="J928" t="s">
        <v>138</v>
      </c>
      <c r="K928">
        <v>0</v>
      </c>
      <c r="L928">
        <v>3</v>
      </c>
      <c r="M928">
        <v>0</v>
      </c>
      <c r="N928">
        <v>2</v>
      </c>
      <c r="O928">
        <v>0</v>
      </c>
      <c r="P928">
        <v>1</v>
      </c>
      <c r="Q928">
        <v>0</v>
      </c>
      <c r="S928" t="str">
        <f t="shared" si="321"/>
        <v>19:28:05.000</v>
      </c>
      <c r="T928" t="str">
        <f t="shared" si="321"/>
        <v>19:28:05.000</v>
      </c>
      <c r="U928" t="str">
        <f t="shared" si="313"/>
        <v>AC3944</v>
      </c>
      <c r="V928">
        <v>0</v>
      </c>
      <c r="W928">
        <v>0</v>
      </c>
      <c r="X928">
        <v>2</v>
      </c>
      <c r="Y928">
        <v>0</v>
      </c>
      <c r="AA928">
        <v>1</v>
      </c>
      <c r="AB928">
        <v>8</v>
      </c>
      <c r="AC928">
        <v>3</v>
      </c>
      <c r="AD928">
        <v>0</v>
      </c>
      <c r="AE928">
        <v>9</v>
      </c>
      <c r="AF928" t="s">
        <v>138</v>
      </c>
      <c r="AG928">
        <v>0</v>
      </c>
      <c r="AH928">
        <v>3</v>
      </c>
      <c r="AI928">
        <v>1</v>
      </c>
      <c r="AJ928">
        <v>0</v>
      </c>
      <c r="AK928" t="s">
        <v>399</v>
      </c>
      <c r="AL928">
        <v>32.810197000000002</v>
      </c>
      <c r="AM928" t="s">
        <v>400</v>
      </c>
      <c r="AN928">
        <v>-116.93916299999999</v>
      </c>
      <c r="AO928">
        <v>25</v>
      </c>
      <c r="AP928">
        <v>2000</v>
      </c>
      <c r="AQ928" t="s">
        <v>129</v>
      </c>
      <c r="AR928">
        <v>108</v>
      </c>
      <c r="AS928">
        <v>-53</v>
      </c>
      <c r="AT928">
        <v>384</v>
      </c>
      <c r="BB928">
        <v>1200</v>
      </c>
      <c r="BC928">
        <v>1</v>
      </c>
      <c r="BD928" t="str">
        <f t="shared" si="314"/>
        <v xml:space="preserve">N887QR  </v>
      </c>
      <c r="BE928">
        <v>1</v>
      </c>
      <c r="BJ928">
        <v>1750</v>
      </c>
      <c r="BK928">
        <v>-250</v>
      </c>
      <c r="BL928" t="s">
        <v>163</v>
      </c>
      <c r="BM928">
        <v>1</v>
      </c>
      <c r="BN928">
        <v>1</v>
      </c>
      <c r="BO928">
        <v>1</v>
      </c>
      <c r="BP928">
        <v>0</v>
      </c>
      <c r="BS928">
        <v>0</v>
      </c>
      <c r="BT928">
        <v>0</v>
      </c>
      <c r="BU928">
        <v>0</v>
      </c>
      <c r="CE928" t="str">
        <f t="shared" si="322"/>
        <v>19:28:05.115</v>
      </c>
      <c r="CF928">
        <v>114673866</v>
      </c>
      <c r="CS928">
        <v>3</v>
      </c>
      <c r="CT928">
        <v>2</v>
      </c>
      <c r="CU928">
        <v>0</v>
      </c>
      <c r="CV928">
        <v>2</v>
      </c>
      <c r="CW928">
        <v>0</v>
      </c>
      <c r="CX928">
        <v>5</v>
      </c>
      <c r="CY928">
        <v>7</v>
      </c>
      <c r="CZ928" t="s">
        <v>131</v>
      </c>
      <c r="DA928">
        <v>300</v>
      </c>
      <c r="DB928">
        <v>0</v>
      </c>
      <c r="DC928" t="s">
        <v>176</v>
      </c>
      <c r="DD928" t="s">
        <v>177</v>
      </c>
      <c r="DG928">
        <v>5374400</v>
      </c>
      <c r="DI928">
        <v>1</v>
      </c>
      <c r="DJ928">
        <v>0</v>
      </c>
      <c r="DK928">
        <v>1</v>
      </c>
      <c r="DL928">
        <v>0</v>
      </c>
      <c r="DM928">
        <v>0</v>
      </c>
      <c r="DN928">
        <v>1</v>
      </c>
      <c r="DO928">
        <v>0</v>
      </c>
      <c r="DP928">
        <v>0</v>
      </c>
      <c r="DQ928">
        <v>0</v>
      </c>
      <c r="DR928">
        <v>0</v>
      </c>
      <c r="DS928">
        <v>0</v>
      </c>
    </row>
    <row r="929" spans="1:123" x14ac:dyDescent="0.3">
      <c r="A929" t="str">
        <f>"10/04/2022 19:28:05.328"</f>
        <v>10/04/2022 19:28:05.328</v>
      </c>
      <c r="C929" t="str">
        <f t="shared" si="308"/>
        <v>FFDDD3C0</v>
      </c>
      <c r="D929" t="s">
        <v>143</v>
      </c>
      <c r="E929">
        <v>20</v>
      </c>
      <c r="F929">
        <v>1020</v>
      </c>
      <c r="G929" t="s">
        <v>144</v>
      </c>
      <c r="J929" t="s">
        <v>145</v>
      </c>
      <c r="K929">
        <v>0</v>
      </c>
      <c r="L929">
        <v>3</v>
      </c>
      <c r="M929">
        <v>0</v>
      </c>
      <c r="N929">
        <v>2</v>
      </c>
      <c r="O929">
        <v>0</v>
      </c>
      <c r="P929">
        <v>1</v>
      </c>
      <c r="Q929">
        <v>0</v>
      </c>
      <c r="S929" t="str">
        <f t="shared" si="321"/>
        <v>19:28:05.000</v>
      </c>
      <c r="T929" t="str">
        <f t="shared" si="321"/>
        <v>19:28:05.000</v>
      </c>
      <c r="U929" t="str">
        <f t="shared" si="313"/>
        <v>AC3944</v>
      </c>
      <c r="V929">
        <v>0</v>
      </c>
      <c r="W929">
        <v>0</v>
      </c>
      <c r="X929">
        <v>2</v>
      </c>
      <c r="Y929">
        <v>0</v>
      </c>
      <c r="AA929">
        <v>1</v>
      </c>
      <c r="AB929">
        <v>8</v>
      </c>
      <c r="AC929">
        <v>3</v>
      </c>
      <c r="AD929">
        <v>0</v>
      </c>
      <c r="AE929">
        <v>9</v>
      </c>
      <c r="AF929" t="s">
        <v>138</v>
      </c>
      <c r="AG929">
        <v>0</v>
      </c>
      <c r="AH929">
        <v>3</v>
      </c>
      <c r="AI929">
        <v>1</v>
      </c>
      <c r="AJ929">
        <v>0</v>
      </c>
      <c r="AK929" t="s">
        <v>399</v>
      </c>
      <c r="AL929">
        <v>32.810197000000002</v>
      </c>
      <c r="AM929" t="s">
        <v>400</v>
      </c>
      <c r="AN929">
        <v>-116.93916299999999</v>
      </c>
      <c r="AO929">
        <v>25</v>
      </c>
      <c r="AP929">
        <v>2000</v>
      </c>
      <c r="AQ929" t="s">
        <v>129</v>
      </c>
      <c r="AR929">
        <v>108</v>
      </c>
      <c r="AS929">
        <v>-53</v>
      </c>
      <c r="AT929">
        <v>384</v>
      </c>
      <c r="BB929">
        <v>1200</v>
      </c>
      <c r="BC929">
        <v>1</v>
      </c>
      <c r="BD929" t="str">
        <f t="shared" si="314"/>
        <v xml:space="preserve">N887QR  </v>
      </c>
      <c r="BE929">
        <v>1</v>
      </c>
      <c r="BJ929">
        <v>1750</v>
      </c>
      <c r="BK929">
        <v>-250</v>
      </c>
      <c r="BL929" t="s">
        <v>163</v>
      </c>
      <c r="BM929">
        <v>1</v>
      </c>
      <c r="BN929">
        <v>1</v>
      </c>
      <c r="BO929">
        <v>1</v>
      </c>
      <c r="BP929">
        <v>0</v>
      </c>
      <c r="BS929">
        <v>0</v>
      </c>
      <c r="BT929">
        <v>0</v>
      </c>
      <c r="BU929">
        <v>0</v>
      </c>
      <c r="CE929" t="str">
        <f t="shared" si="322"/>
        <v>19:28:05.115</v>
      </c>
      <c r="CF929">
        <v>114673866</v>
      </c>
      <c r="CS929">
        <v>3</v>
      </c>
      <c r="CT929">
        <v>2</v>
      </c>
      <c r="CU929">
        <v>0</v>
      </c>
      <c r="CV929">
        <v>2</v>
      </c>
      <c r="CW929">
        <v>0</v>
      </c>
      <c r="CX929">
        <v>5</v>
      </c>
      <c r="CY929">
        <v>7</v>
      </c>
      <c r="CZ929" t="s">
        <v>131</v>
      </c>
      <c r="DA929">
        <v>300</v>
      </c>
      <c r="DB929">
        <v>0</v>
      </c>
      <c r="DC929" t="s">
        <v>176</v>
      </c>
      <c r="DD929" t="s">
        <v>177</v>
      </c>
      <c r="DG929">
        <v>5374400</v>
      </c>
      <c r="DI929">
        <v>1</v>
      </c>
      <c r="DJ929">
        <v>0</v>
      </c>
      <c r="DK929">
        <v>1</v>
      </c>
      <c r="DL929">
        <v>0</v>
      </c>
      <c r="DM929">
        <v>0</v>
      </c>
      <c r="DN929">
        <v>1</v>
      </c>
      <c r="DO929">
        <v>0</v>
      </c>
      <c r="DP929">
        <v>0</v>
      </c>
      <c r="DQ929">
        <v>0</v>
      </c>
      <c r="DR929">
        <v>0</v>
      </c>
      <c r="DS929">
        <v>0</v>
      </c>
    </row>
    <row r="930" spans="1:123" x14ac:dyDescent="0.3">
      <c r="A930" t="str">
        <f>"10/04/2022 19:28:05.328"</f>
        <v>10/04/2022 19:28:05.328</v>
      </c>
      <c r="C930" t="str">
        <f t="shared" si="308"/>
        <v>FFDDD3C0</v>
      </c>
      <c r="D930" t="s">
        <v>141</v>
      </c>
      <c r="E930">
        <v>3</v>
      </c>
      <c r="H930">
        <v>3</v>
      </c>
      <c r="I930" t="s">
        <v>146</v>
      </c>
      <c r="J930" t="s">
        <v>138</v>
      </c>
      <c r="K930">
        <v>0</v>
      </c>
      <c r="L930">
        <v>3</v>
      </c>
      <c r="M930">
        <v>0</v>
      </c>
      <c r="N930">
        <v>2</v>
      </c>
      <c r="O930">
        <v>0</v>
      </c>
      <c r="P930">
        <v>1</v>
      </c>
      <c r="Q930">
        <v>0</v>
      </c>
      <c r="S930" t="str">
        <f t="shared" si="321"/>
        <v>19:28:05.000</v>
      </c>
      <c r="T930" t="str">
        <f t="shared" si="321"/>
        <v>19:28:05.000</v>
      </c>
      <c r="U930" t="str">
        <f t="shared" si="313"/>
        <v>AC3944</v>
      </c>
      <c r="V930">
        <v>0</v>
      </c>
      <c r="W930">
        <v>0</v>
      </c>
      <c r="X930">
        <v>2</v>
      </c>
      <c r="Y930">
        <v>0</v>
      </c>
      <c r="AA930">
        <v>1</v>
      </c>
      <c r="AB930">
        <v>8</v>
      </c>
      <c r="AC930">
        <v>3</v>
      </c>
      <c r="AD930">
        <v>0</v>
      </c>
      <c r="AE930">
        <v>9</v>
      </c>
      <c r="AF930" t="s">
        <v>138</v>
      </c>
      <c r="AG930">
        <v>0</v>
      </c>
      <c r="AH930">
        <v>3</v>
      </c>
      <c r="AI930">
        <v>1</v>
      </c>
      <c r="AJ930">
        <v>0</v>
      </c>
      <c r="AK930" t="s">
        <v>399</v>
      </c>
      <c r="AL930">
        <v>32.810197000000002</v>
      </c>
      <c r="AM930" t="s">
        <v>400</v>
      </c>
      <c r="AN930">
        <v>-116.93916299999999</v>
      </c>
      <c r="AO930">
        <v>25</v>
      </c>
      <c r="AP930">
        <v>2000</v>
      </c>
      <c r="AQ930" t="s">
        <v>129</v>
      </c>
      <c r="AR930">
        <v>108</v>
      </c>
      <c r="AS930">
        <v>-53</v>
      </c>
      <c r="AT930">
        <v>384</v>
      </c>
      <c r="BB930">
        <v>1200</v>
      </c>
      <c r="BC930">
        <v>1</v>
      </c>
      <c r="BD930" t="str">
        <f t="shared" si="314"/>
        <v xml:space="preserve">N887QR  </v>
      </c>
      <c r="BE930">
        <v>1</v>
      </c>
      <c r="BJ930">
        <v>1750</v>
      </c>
      <c r="BK930">
        <v>-250</v>
      </c>
      <c r="BL930" t="s">
        <v>163</v>
      </c>
      <c r="BM930">
        <v>1</v>
      </c>
      <c r="BN930">
        <v>1</v>
      </c>
      <c r="BO930">
        <v>1</v>
      </c>
      <c r="BP930">
        <v>0</v>
      </c>
      <c r="BS930">
        <v>0</v>
      </c>
      <c r="BT930">
        <v>0</v>
      </c>
      <c r="BU930">
        <v>0</v>
      </c>
      <c r="CE930" t="str">
        <f t="shared" si="322"/>
        <v>19:28:05.115</v>
      </c>
      <c r="CF930">
        <v>114673866</v>
      </c>
      <c r="CS930">
        <v>3</v>
      </c>
      <c r="CT930">
        <v>2</v>
      </c>
      <c r="CU930">
        <v>0</v>
      </c>
      <c r="CV930">
        <v>2</v>
      </c>
      <c r="CW930">
        <v>0</v>
      </c>
      <c r="CX930">
        <v>5</v>
      </c>
      <c r="CY930">
        <v>7</v>
      </c>
      <c r="CZ930" t="s">
        <v>131</v>
      </c>
      <c r="DA930">
        <v>300</v>
      </c>
      <c r="DB930">
        <v>0</v>
      </c>
      <c r="DC930" t="s">
        <v>176</v>
      </c>
      <c r="DD930" t="s">
        <v>177</v>
      </c>
      <c r="DG930">
        <v>5374400</v>
      </c>
      <c r="DI930">
        <v>1</v>
      </c>
      <c r="DJ930">
        <v>0</v>
      </c>
      <c r="DK930">
        <v>1</v>
      </c>
      <c r="DL930">
        <v>0</v>
      </c>
      <c r="DM930">
        <v>0</v>
      </c>
      <c r="DN930">
        <v>1</v>
      </c>
      <c r="DO930">
        <v>0</v>
      </c>
      <c r="DP930">
        <v>0</v>
      </c>
      <c r="DQ930">
        <v>0</v>
      </c>
      <c r="DR930">
        <v>0</v>
      </c>
      <c r="DS930">
        <v>0</v>
      </c>
    </row>
    <row r="931" spans="1:123" x14ac:dyDescent="0.3">
      <c r="A931" t="str">
        <f>"10/04/2022 19:28:05.328"</f>
        <v>10/04/2022 19:28:05.328</v>
      </c>
      <c r="C931" t="str">
        <f t="shared" si="308"/>
        <v>FFDDD3C0</v>
      </c>
      <c r="D931" t="s">
        <v>123</v>
      </c>
      <c r="E931">
        <v>7</v>
      </c>
      <c r="F931">
        <v>2007</v>
      </c>
      <c r="G931" t="s">
        <v>124</v>
      </c>
      <c r="J931" t="s">
        <v>125</v>
      </c>
      <c r="K931">
        <v>0</v>
      </c>
      <c r="L931">
        <v>3</v>
      </c>
      <c r="M931">
        <v>0</v>
      </c>
      <c r="N931">
        <v>2</v>
      </c>
      <c r="O931">
        <v>0</v>
      </c>
      <c r="P931">
        <v>1</v>
      </c>
      <c r="Q931">
        <v>0</v>
      </c>
      <c r="S931" t="str">
        <f t="shared" si="321"/>
        <v>19:28:05.000</v>
      </c>
      <c r="T931" t="str">
        <f t="shared" si="321"/>
        <v>19:28:05.000</v>
      </c>
      <c r="U931" t="str">
        <f t="shared" si="313"/>
        <v>AC3944</v>
      </c>
      <c r="V931">
        <v>0</v>
      </c>
      <c r="W931">
        <v>0</v>
      </c>
      <c r="X931">
        <v>2</v>
      </c>
      <c r="Y931">
        <v>0</v>
      </c>
      <c r="AA931">
        <v>1</v>
      </c>
      <c r="AB931">
        <v>8</v>
      </c>
      <c r="AC931">
        <v>3</v>
      </c>
      <c r="AD931">
        <v>0</v>
      </c>
      <c r="AE931">
        <v>9</v>
      </c>
      <c r="AF931" t="s">
        <v>138</v>
      </c>
      <c r="AG931">
        <v>0</v>
      </c>
      <c r="AH931">
        <v>3</v>
      </c>
      <c r="AI931">
        <v>1</v>
      </c>
      <c r="AJ931">
        <v>0</v>
      </c>
      <c r="AK931" t="s">
        <v>399</v>
      </c>
      <c r="AL931">
        <v>32.810197000000002</v>
      </c>
      <c r="AM931" t="s">
        <v>400</v>
      </c>
      <c r="AN931">
        <v>-116.93916299999999</v>
      </c>
      <c r="AO931">
        <v>25</v>
      </c>
      <c r="AP931">
        <v>2000</v>
      </c>
      <c r="AQ931" t="s">
        <v>129</v>
      </c>
      <c r="AR931">
        <v>108</v>
      </c>
      <c r="AS931">
        <v>-53</v>
      </c>
      <c r="AT931">
        <v>384</v>
      </c>
      <c r="BB931">
        <v>1200</v>
      </c>
      <c r="BC931">
        <v>1</v>
      </c>
      <c r="BD931" t="str">
        <f t="shared" si="314"/>
        <v xml:space="preserve">N887QR  </v>
      </c>
      <c r="BE931">
        <v>1</v>
      </c>
      <c r="BJ931">
        <v>1750</v>
      </c>
      <c r="BK931">
        <v>-250</v>
      </c>
      <c r="BL931" t="s">
        <v>163</v>
      </c>
      <c r="BM931">
        <v>1</v>
      </c>
      <c r="BN931">
        <v>1</v>
      </c>
      <c r="BO931">
        <v>1</v>
      </c>
      <c r="BP931">
        <v>0</v>
      </c>
      <c r="BS931">
        <v>0</v>
      </c>
      <c r="BT931">
        <v>0</v>
      </c>
      <c r="BU931">
        <v>0</v>
      </c>
      <c r="CE931" t="str">
        <f t="shared" si="322"/>
        <v>19:28:05.115</v>
      </c>
      <c r="CF931">
        <v>114673866</v>
      </c>
      <c r="CS931">
        <v>3</v>
      </c>
      <c r="CT931">
        <v>2</v>
      </c>
      <c r="CU931">
        <v>0</v>
      </c>
      <c r="CV931">
        <v>2</v>
      </c>
      <c r="CW931">
        <v>0</v>
      </c>
      <c r="CX931">
        <v>5</v>
      </c>
      <c r="CY931">
        <v>7</v>
      </c>
      <c r="CZ931" t="s">
        <v>131</v>
      </c>
      <c r="DA931">
        <v>300</v>
      </c>
      <c r="DB931">
        <v>0</v>
      </c>
      <c r="DC931" t="s">
        <v>176</v>
      </c>
      <c r="DD931" t="s">
        <v>177</v>
      </c>
      <c r="DG931">
        <v>5374400</v>
      </c>
      <c r="DI931">
        <v>1</v>
      </c>
      <c r="DJ931">
        <v>0</v>
      </c>
      <c r="DK931">
        <v>1</v>
      </c>
      <c r="DL931">
        <v>0</v>
      </c>
      <c r="DM931">
        <v>0</v>
      </c>
      <c r="DN931">
        <v>1</v>
      </c>
      <c r="DO931">
        <v>0</v>
      </c>
      <c r="DP931">
        <v>0</v>
      </c>
      <c r="DQ931">
        <v>0</v>
      </c>
      <c r="DR931">
        <v>0</v>
      </c>
      <c r="DS931">
        <v>0</v>
      </c>
    </row>
    <row r="932" spans="1:123" x14ac:dyDescent="0.3">
      <c r="A932" t="str">
        <f>"10/04/2022 19:28:05.328"</f>
        <v>10/04/2022 19:28:05.328</v>
      </c>
      <c r="C932" t="str">
        <f t="shared" si="308"/>
        <v>FFDDD3C0</v>
      </c>
      <c r="D932" t="s">
        <v>147</v>
      </c>
      <c r="E932">
        <v>3</v>
      </c>
      <c r="H932">
        <v>166</v>
      </c>
      <c r="I932" t="s">
        <v>144</v>
      </c>
      <c r="J932" t="s">
        <v>148</v>
      </c>
      <c r="K932">
        <v>0</v>
      </c>
      <c r="L932">
        <v>3</v>
      </c>
      <c r="M932">
        <v>0</v>
      </c>
      <c r="N932">
        <v>2</v>
      </c>
      <c r="O932">
        <v>0</v>
      </c>
      <c r="P932">
        <v>1</v>
      </c>
      <c r="Q932">
        <v>0</v>
      </c>
      <c r="S932" t="str">
        <f t="shared" si="321"/>
        <v>19:28:05.000</v>
      </c>
      <c r="T932" t="str">
        <f t="shared" si="321"/>
        <v>19:28:05.000</v>
      </c>
      <c r="U932" t="str">
        <f t="shared" si="313"/>
        <v>AC3944</v>
      </c>
      <c r="V932">
        <v>0</v>
      </c>
      <c r="W932">
        <v>0</v>
      </c>
      <c r="X932">
        <v>2</v>
      </c>
      <c r="Y932">
        <v>0</v>
      </c>
      <c r="AA932">
        <v>1</v>
      </c>
      <c r="AB932">
        <v>8</v>
      </c>
      <c r="AC932">
        <v>3</v>
      </c>
      <c r="AD932">
        <v>0</v>
      </c>
      <c r="AE932">
        <v>9</v>
      </c>
      <c r="AF932" t="s">
        <v>138</v>
      </c>
      <c r="AG932">
        <v>0</v>
      </c>
      <c r="AH932">
        <v>3</v>
      </c>
      <c r="AI932">
        <v>1</v>
      </c>
      <c r="AJ932">
        <v>0</v>
      </c>
      <c r="AK932" t="s">
        <v>399</v>
      </c>
      <c r="AL932">
        <v>32.810197000000002</v>
      </c>
      <c r="AM932" t="s">
        <v>400</v>
      </c>
      <c r="AN932">
        <v>-116.93916299999999</v>
      </c>
      <c r="AO932">
        <v>25</v>
      </c>
      <c r="AP932">
        <v>2000</v>
      </c>
      <c r="AQ932" t="s">
        <v>129</v>
      </c>
      <c r="AR932">
        <v>108</v>
      </c>
      <c r="AS932">
        <v>-53</v>
      </c>
      <c r="AT932">
        <v>384</v>
      </c>
      <c r="BB932">
        <v>1200</v>
      </c>
      <c r="BC932">
        <v>1</v>
      </c>
      <c r="BD932" t="str">
        <f t="shared" si="314"/>
        <v xml:space="preserve">N887QR  </v>
      </c>
      <c r="BE932">
        <v>1</v>
      </c>
      <c r="BJ932">
        <v>1750</v>
      </c>
      <c r="BK932">
        <v>-250</v>
      </c>
      <c r="BL932" t="s">
        <v>163</v>
      </c>
      <c r="BM932">
        <v>1</v>
      </c>
      <c r="BN932">
        <v>1</v>
      </c>
      <c r="BO932">
        <v>1</v>
      </c>
      <c r="BP932">
        <v>0</v>
      </c>
      <c r="BS932">
        <v>0</v>
      </c>
      <c r="BT932">
        <v>0</v>
      </c>
      <c r="BU932">
        <v>0</v>
      </c>
      <c r="CE932" t="str">
        <f t="shared" si="322"/>
        <v>19:28:05.115</v>
      </c>
      <c r="CF932">
        <v>114673866</v>
      </c>
      <c r="CS932">
        <v>3</v>
      </c>
      <c r="CT932">
        <v>2</v>
      </c>
      <c r="CU932">
        <v>0</v>
      </c>
      <c r="CV932">
        <v>2</v>
      </c>
      <c r="CW932">
        <v>0</v>
      </c>
      <c r="CX932">
        <v>5</v>
      </c>
      <c r="CY932">
        <v>7</v>
      </c>
      <c r="CZ932" t="s">
        <v>131</v>
      </c>
      <c r="DA932">
        <v>300</v>
      </c>
      <c r="DB932">
        <v>0</v>
      </c>
      <c r="DC932" t="s">
        <v>176</v>
      </c>
      <c r="DD932" t="s">
        <v>177</v>
      </c>
      <c r="DG932">
        <v>5374400</v>
      </c>
      <c r="DI932">
        <v>1</v>
      </c>
      <c r="DJ932">
        <v>0</v>
      </c>
      <c r="DK932">
        <v>1</v>
      </c>
      <c r="DL932">
        <v>0</v>
      </c>
      <c r="DM932">
        <v>0</v>
      </c>
      <c r="DN932">
        <v>1</v>
      </c>
      <c r="DO932">
        <v>0</v>
      </c>
      <c r="DP932">
        <v>0</v>
      </c>
      <c r="DQ932">
        <v>0</v>
      </c>
      <c r="DR932">
        <v>0</v>
      </c>
      <c r="DS932">
        <v>0</v>
      </c>
    </row>
    <row r="933" spans="1:123" x14ac:dyDescent="0.3">
      <c r="A933" t="str">
        <f>"10/04/2022 19:28:05.328"</f>
        <v>10/04/2022 19:28:05.328</v>
      </c>
      <c r="C933" t="str">
        <f t="shared" si="308"/>
        <v>FFDDD3C0</v>
      </c>
      <c r="D933" t="s">
        <v>134</v>
      </c>
      <c r="E933">
        <v>15</v>
      </c>
      <c r="J933" t="s">
        <v>135</v>
      </c>
      <c r="K933">
        <v>0</v>
      </c>
      <c r="L933">
        <v>3</v>
      </c>
      <c r="M933">
        <v>0</v>
      </c>
      <c r="N933">
        <v>2</v>
      </c>
      <c r="O933">
        <v>0</v>
      </c>
      <c r="P933">
        <v>1</v>
      </c>
      <c r="Q933">
        <v>0</v>
      </c>
      <c r="S933" t="str">
        <f t="shared" si="321"/>
        <v>19:28:05.000</v>
      </c>
      <c r="T933" t="str">
        <f t="shared" si="321"/>
        <v>19:28:05.000</v>
      </c>
      <c r="U933" t="str">
        <f t="shared" si="313"/>
        <v>AC3944</v>
      </c>
      <c r="V933">
        <v>0</v>
      </c>
      <c r="W933">
        <v>0</v>
      </c>
      <c r="X933">
        <v>2</v>
      </c>
      <c r="Y933">
        <v>0</v>
      </c>
      <c r="AA933">
        <v>1</v>
      </c>
      <c r="AB933">
        <v>8</v>
      </c>
      <c r="AC933">
        <v>3</v>
      </c>
      <c r="AD933">
        <v>0</v>
      </c>
      <c r="AE933">
        <v>9</v>
      </c>
      <c r="AF933" t="s">
        <v>138</v>
      </c>
      <c r="AG933">
        <v>0</v>
      </c>
      <c r="AH933">
        <v>3</v>
      </c>
      <c r="AI933">
        <v>1</v>
      </c>
      <c r="AJ933">
        <v>0</v>
      </c>
      <c r="AK933" t="s">
        <v>399</v>
      </c>
      <c r="AL933">
        <v>32.810197000000002</v>
      </c>
      <c r="AM933" t="s">
        <v>400</v>
      </c>
      <c r="AN933">
        <v>-116.93916299999999</v>
      </c>
      <c r="AO933">
        <v>25</v>
      </c>
      <c r="AP933">
        <v>2000</v>
      </c>
      <c r="AQ933" t="s">
        <v>129</v>
      </c>
      <c r="AR933">
        <v>108</v>
      </c>
      <c r="AS933">
        <v>-53</v>
      </c>
      <c r="AT933">
        <v>384</v>
      </c>
      <c r="BB933">
        <v>1200</v>
      </c>
      <c r="BC933">
        <v>1</v>
      </c>
      <c r="BD933" t="str">
        <f t="shared" si="314"/>
        <v xml:space="preserve">N887QR  </v>
      </c>
      <c r="BE933">
        <v>1</v>
      </c>
      <c r="BJ933">
        <v>1750</v>
      </c>
      <c r="BK933">
        <v>-250</v>
      </c>
      <c r="BL933" t="s">
        <v>163</v>
      </c>
      <c r="BM933">
        <v>1</v>
      </c>
      <c r="BN933">
        <v>1</v>
      </c>
      <c r="BO933">
        <v>1</v>
      </c>
      <c r="BP933">
        <v>0</v>
      </c>
      <c r="BS933">
        <v>0</v>
      </c>
      <c r="BT933">
        <v>0</v>
      </c>
      <c r="BU933">
        <v>0</v>
      </c>
      <c r="CE933" t="str">
        <f t="shared" si="322"/>
        <v>19:28:05.115</v>
      </c>
      <c r="CF933">
        <v>114673866</v>
      </c>
      <c r="CS933">
        <v>3</v>
      </c>
      <c r="CT933">
        <v>2</v>
      </c>
      <c r="CU933">
        <v>0</v>
      </c>
      <c r="CV933">
        <v>2</v>
      </c>
      <c r="CW933">
        <v>0</v>
      </c>
      <c r="CX933">
        <v>5</v>
      </c>
      <c r="CY933">
        <v>7</v>
      </c>
      <c r="CZ933" t="s">
        <v>131</v>
      </c>
      <c r="DA933">
        <v>300</v>
      </c>
      <c r="DB933">
        <v>0</v>
      </c>
      <c r="DC933" t="s">
        <v>176</v>
      </c>
      <c r="DD933" t="s">
        <v>177</v>
      </c>
      <c r="DG933">
        <v>5374400</v>
      </c>
      <c r="DI933">
        <v>1</v>
      </c>
      <c r="DJ933">
        <v>0</v>
      </c>
      <c r="DK933">
        <v>1</v>
      </c>
      <c r="DL933">
        <v>0</v>
      </c>
      <c r="DM933">
        <v>0</v>
      </c>
      <c r="DN933">
        <v>1</v>
      </c>
      <c r="DO933">
        <v>0</v>
      </c>
      <c r="DP933">
        <v>0</v>
      </c>
      <c r="DQ933">
        <v>0</v>
      </c>
      <c r="DR933">
        <v>0</v>
      </c>
      <c r="DS933">
        <v>0</v>
      </c>
    </row>
    <row r="934" spans="1:123" x14ac:dyDescent="0.3">
      <c r="A934" t="str">
        <f>"10/04/2022 19:28:06.431"</f>
        <v>10/04/2022 19:28:06.431</v>
      </c>
      <c r="C934" t="str">
        <f t="shared" si="308"/>
        <v>FFDDD3C0</v>
      </c>
      <c r="D934" t="s">
        <v>143</v>
      </c>
      <c r="E934">
        <v>20</v>
      </c>
      <c r="F934">
        <v>1020</v>
      </c>
      <c r="G934" t="s">
        <v>144</v>
      </c>
      <c r="J934" t="s">
        <v>145</v>
      </c>
      <c r="K934">
        <v>0</v>
      </c>
      <c r="L934">
        <v>3</v>
      </c>
      <c r="M934">
        <v>0</v>
      </c>
      <c r="N934">
        <v>2</v>
      </c>
      <c r="O934">
        <v>0</v>
      </c>
      <c r="P934">
        <v>1</v>
      </c>
      <c r="Q934">
        <v>0</v>
      </c>
      <c r="S934" t="str">
        <f t="shared" ref="S934:T947" si="323">"19:28:06.000"</f>
        <v>19:28:06.000</v>
      </c>
      <c r="T934" t="str">
        <f t="shared" si="323"/>
        <v>19:28:06.000</v>
      </c>
      <c r="U934" t="str">
        <f t="shared" si="313"/>
        <v>AC3944</v>
      </c>
      <c r="V934">
        <v>0</v>
      </c>
      <c r="W934">
        <v>0</v>
      </c>
      <c r="X934">
        <v>2</v>
      </c>
      <c r="Y934">
        <v>0</v>
      </c>
      <c r="AA934">
        <v>1</v>
      </c>
      <c r="AB934">
        <v>8</v>
      </c>
      <c r="AC934">
        <v>3</v>
      </c>
      <c r="AD934">
        <v>0</v>
      </c>
      <c r="AE934">
        <v>9</v>
      </c>
      <c r="AF934" t="s">
        <v>138</v>
      </c>
      <c r="AG934">
        <v>0</v>
      </c>
      <c r="AH934">
        <v>3</v>
      </c>
      <c r="AI934">
        <v>1</v>
      </c>
      <c r="AJ934">
        <v>0</v>
      </c>
      <c r="AK934" t="s">
        <v>401</v>
      </c>
      <c r="AL934">
        <v>32.809939</v>
      </c>
      <c r="AM934" t="s">
        <v>402</v>
      </c>
      <c r="AN934">
        <v>-116.93858400000001</v>
      </c>
      <c r="AO934">
        <v>25</v>
      </c>
      <c r="AP934">
        <v>2000</v>
      </c>
      <c r="AQ934" t="s">
        <v>129</v>
      </c>
      <c r="AR934">
        <v>109</v>
      </c>
      <c r="AS934">
        <v>-53</v>
      </c>
      <c r="AT934">
        <v>0</v>
      </c>
      <c r="BB934">
        <v>1200</v>
      </c>
      <c r="BC934">
        <v>1</v>
      </c>
      <c r="BD934" t="str">
        <f t="shared" si="314"/>
        <v xml:space="preserve">N887QR  </v>
      </c>
      <c r="BE934">
        <v>1</v>
      </c>
      <c r="BJ934">
        <v>1750</v>
      </c>
      <c r="BK934">
        <v>-250</v>
      </c>
      <c r="BL934" t="s">
        <v>163</v>
      </c>
      <c r="BM934">
        <v>1</v>
      </c>
      <c r="BN934">
        <v>1</v>
      </c>
      <c r="BO934">
        <v>1</v>
      </c>
      <c r="BP934">
        <v>0</v>
      </c>
      <c r="BS934">
        <v>0</v>
      </c>
      <c r="BT934">
        <v>0</v>
      </c>
      <c r="BU934">
        <v>0</v>
      </c>
      <c r="CE934" t="str">
        <f t="shared" ref="CE934:CE940" si="324">"19:28:06.225"</f>
        <v>19:28:06.225</v>
      </c>
      <c r="CF934">
        <v>225427495</v>
      </c>
      <c r="CS934">
        <v>3</v>
      </c>
      <c r="CT934">
        <v>2</v>
      </c>
      <c r="CU934">
        <v>0</v>
      </c>
      <c r="CV934">
        <v>2</v>
      </c>
      <c r="CW934">
        <v>0</v>
      </c>
      <c r="CX934">
        <v>6</v>
      </c>
      <c r="CY934">
        <v>7</v>
      </c>
      <c r="CZ934" t="s">
        <v>131</v>
      </c>
      <c r="DA934">
        <v>300</v>
      </c>
      <c r="DB934">
        <v>0</v>
      </c>
      <c r="DC934" t="s">
        <v>176</v>
      </c>
      <c r="DD934" t="s">
        <v>177</v>
      </c>
      <c r="DG934">
        <v>5374585</v>
      </c>
      <c r="DI934">
        <v>1</v>
      </c>
      <c r="DJ934">
        <v>0</v>
      </c>
      <c r="DK934">
        <v>0</v>
      </c>
      <c r="DL934">
        <v>0</v>
      </c>
      <c r="DM934">
        <v>0</v>
      </c>
      <c r="DN934">
        <v>1</v>
      </c>
      <c r="DO934">
        <v>0</v>
      </c>
      <c r="DP934">
        <v>0</v>
      </c>
      <c r="DQ934">
        <v>0</v>
      </c>
      <c r="DR934">
        <v>0</v>
      </c>
      <c r="DS934">
        <v>0</v>
      </c>
    </row>
    <row r="935" spans="1:123" x14ac:dyDescent="0.3">
      <c r="A935" t="str">
        <f>"10/04/2022 19:28:06.431"</f>
        <v>10/04/2022 19:28:06.431</v>
      </c>
      <c r="C935" t="str">
        <f t="shared" si="308"/>
        <v>FFDDD3C0</v>
      </c>
      <c r="D935" t="s">
        <v>141</v>
      </c>
      <c r="E935">
        <v>3</v>
      </c>
      <c r="H935">
        <v>3</v>
      </c>
      <c r="I935" t="s">
        <v>146</v>
      </c>
      <c r="J935" t="s">
        <v>138</v>
      </c>
      <c r="K935">
        <v>0</v>
      </c>
      <c r="L935">
        <v>3</v>
      </c>
      <c r="M935">
        <v>0</v>
      </c>
      <c r="N935">
        <v>2</v>
      </c>
      <c r="O935">
        <v>0</v>
      </c>
      <c r="P935">
        <v>1</v>
      </c>
      <c r="Q935">
        <v>0</v>
      </c>
      <c r="S935" t="str">
        <f t="shared" si="323"/>
        <v>19:28:06.000</v>
      </c>
      <c r="T935" t="str">
        <f t="shared" si="323"/>
        <v>19:28:06.000</v>
      </c>
      <c r="U935" t="str">
        <f t="shared" si="313"/>
        <v>AC3944</v>
      </c>
      <c r="V935">
        <v>0</v>
      </c>
      <c r="W935">
        <v>0</v>
      </c>
      <c r="X935">
        <v>2</v>
      </c>
      <c r="Y935">
        <v>0</v>
      </c>
      <c r="AA935">
        <v>1</v>
      </c>
      <c r="AB935">
        <v>8</v>
      </c>
      <c r="AC935">
        <v>3</v>
      </c>
      <c r="AD935">
        <v>0</v>
      </c>
      <c r="AE935">
        <v>9</v>
      </c>
      <c r="AF935" t="s">
        <v>138</v>
      </c>
      <c r="AG935">
        <v>0</v>
      </c>
      <c r="AH935">
        <v>3</v>
      </c>
      <c r="AI935">
        <v>1</v>
      </c>
      <c r="AJ935">
        <v>0</v>
      </c>
      <c r="AK935" t="s">
        <v>401</v>
      </c>
      <c r="AL935">
        <v>32.809939</v>
      </c>
      <c r="AM935" t="s">
        <v>402</v>
      </c>
      <c r="AN935">
        <v>-116.93858400000001</v>
      </c>
      <c r="AO935">
        <v>25</v>
      </c>
      <c r="AP935">
        <v>2000</v>
      </c>
      <c r="AQ935" t="s">
        <v>129</v>
      </c>
      <c r="AR935">
        <v>109</v>
      </c>
      <c r="AS935">
        <v>-53</v>
      </c>
      <c r="AT935">
        <v>0</v>
      </c>
      <c r="BB935">
        <v>1200</v>
      </c>
      <c r="BC935">
        <v>1</v>
      </c>
      <c r="BD935" t="str">
        <f t="shared" si="314"/>
        <v xml:space="preserve">N887QR  </v>
      </c>
      <c r="BE935">
        <v>1</v>
      </c>
      <c r="BJ935">
        <v>1750</v>
      </c>
      <c r="BK935">
        <v>-250</v>
      </c>
      <c r="BL935" t="s">
        <v>163</v>
      </c>
      <c r="BM935">
        <v>1</v>
      </c>
      <c r="BN935">
        <v>1</v>
      </c>
      <c r="BO935">
        <v>1</v>
      </c>
      <c r="BP935">
        <v>0</v>
      </c>
      <c r="BS935">
        <v>0</v>
      </c>
      <c r="BT935">
        <v>0</v>
      </c>
      <c r="BU935">
        <v>0</v>
      </c>
      <c r="CE935" t="str">
        <f t="shared" si="324"/>
        <v>19:28:06.225</v>
      </c>
      <c r="CF935">
        <v>225427495</v>
      </c>
      <c r="CS935">
        <v>3</v>
      </c>
      <c r="CT935">
        <v>2</v>
      </c>
      <c r="CU935">
        <v>0</v>
      </c>
      <c r="CV935">
        <v>2</v>
      </c>
      <c r="CW935">
        <v>0</v>
      </c>
      <c r="CX935">
        <v>6</v>
      </c>
      <c r="CY935">
        <v>7</v>
      </c>
      <c r="CZ935" t="s">
        <v>131</v>
      </c>
      <c r="DA935">
        <v>300</v>
      </c>
      <c r="DB935">
        <v>0</v>
      </c>
      <c r="DC935" t="s">
        <v>176</v>
      </c>
      <c r="DD935" t="s">
        <v>177</v>
      </c>
      <c r="DG935">
        <v>5374585</v>
      </c>
      <c r="DI935">
        <v>1</v>
      </c>
      <c r="DJ935">
        <v>0</v>
      </c>
      <c r="DK935">
        <v>1</v>
      </c>
      <c r="DL935">
        <v>0</v>
      </c>
      <c r="DM935">
        <v>0</v>
      </c>
      <c r="DN935">
        <v>1</v>
      </c>
      <c r="DO935">
        <v>0</v>
      </c>
      <c r="DP935">
        <v>0</v>
      </c>
      <c r="DQ935">
        <v>0</v>
      </c>
      <c r="DR935">
        <v>0</v>
      </c>
      <c r="DS935">
        <v>0</v>
      </c>
    </row>
    <row r="936" spans="1:123" x14ac:dyDescent="0.3">
      <c r="A936" t="str">
        <f>"10/04/2022 19:28:06.431"</f>
        <v>10/04/2022 19:28:06.431</v>
      </c>
      <c r="C936" t="str">
        <f t="shared" si="308"/>
        <v>FFDDD3C0</v>
      </c>
      <c r="D936" t="s">
        <v>123</v>
      </c>
      <c r="E936">
        <v>7</v>
      </c>
      <c r="F936">
        <v>2007</v>
      </c>
      <c r="G936" t="s">
        <v>124</v>
      </c>
      <c r="J936" t="s">
        <v>125</v>
      </c>
      <c r="K936">
        <v>0</v>
      </c>
      <c r="L936">
        <v>3</v>
      </c>
      <c r="M936">
        <v>0</v>
      </c>
      <c r="N936">
        <v>2</v>
      </c>
      <c r="O936">
        <v>0</v>
      </c>
      <c r="P936">
        <v>1</v>
      </c>
      <c r="Q936">
        <v>0</v>
      </c>
      <c r="S936" t="str">
        <f t="shared" si="323"/>
        <v>19:28:06.000</v>
      </c>
      <c r="T936" t="str">
        <f t="shared" si="323"/>
        <v>19:28:06.000</v>
      </c>
      <c r="U936" t="str">
        <f t="shared" si="313"/>
        <v>AC3944</v>
      </c>
      <c r="V936">
        <v>0</v>
      </c>
      <c r="W936">
        <v>0</v>
      </c>
      <c r="X936">
        <v>2</v>
      </c>
      <c r="Y936">
        <v>0</v>
      </c>
      <c r="AA936">
        <v>1</v>
      </c>
      <c r="AB936">
        <v>8</v>
      </c>
      <c r="AC936">
        <v>3</v>
      </c>
      <c r="AD936">
        <v>0</v>
      </c>
      <c r="AE936">
        <v>9</v>
      </c>
      <c r="AF936" t="s">
        <v>138</v>
      </c>
      <c r="AG936">
        <v>0</v>
      </c>
      <c r="AH936">
        <v>3</v>
      </c>
      <c r="AI936">
        <v>1</v>
      </c>
      <c r="AJ936">
        <v>0</v>
      </c>
      <c r="AK936" t="s">
        <v>401</v>
      </c>
      <c r="AL936">
        <v>32.809939</v>
      </c>
      <c r="AM936" t="s">
        <v>402</v>
      </c>
      <c r="AN936">
        <v>-116.93858400000001</v>
      </c>
      <c r="AO936">
        <v>25</v>
      </c>
      <c r="AP936">
        <v>2000</v>
      </c>
      <c r="AQ936" t="s">
        <v>129</v>
      </c>
      <c r="AR936">
        <v>109</v>
      </c>
      <c r="AS936">
        <v>-53</v>
      </c>
      <c r="AT936">
        <v>0</v>
      </c>
      <c r="BB936">
        <v>1200</v>
      </c>
      <c r="BC936">
        <v>1</v>
      </c>
      <c r="BD936" t="str">
        <f t="shared" si="314"/>
        <v xml:space="preserve">N887QR  </v>
      </c>
      <c r="BE936">
        <v>1</v>
      </c>
      <c r="BJ936">
        <v>1750</v>
      </c>
      <c r="BK936">
        <v>-250</v>
      </c>
      <c r="BL936" t="s">
        <v>163</v>
      </c>
      <c r="BM936">
        <v>1</v>
      </c>
      <c r="BN936">
        <v>1</v>
      </c>
      <c r="BO936">
        <v>1</v>
      </c>
      <c r="BP936">
        <v>0</v>
      </c>
      <c r="BS936">
        <v>0</v>
      </c>
      <c r="BT936">
        <v>0</v>
      </c>
      <c r="BU936">
        <v>0</v>
      </c>
      <c r="CE936" t="str">
        <f t="shared" si="324"/>
        <v>19:28:06.225</v>
      </c>
      <c r="CF936">
        <v>225427495</v>
      </c>
      <c r="CS936">
        <v>3</v>
      </c>
      <c r="CT936">
        <v>2</v>
      </c>
      <c r="CU936">
        <v>0</v>
      </c>
      <c r="CV936">
        <v>2</v>
      </c>
      <c r="CW936">
        <v>0</v>
      </c>
      <c r="CX936">
        <v>6</v>
      </c>
      <c r="CY936">
        <v>7</v>
      </c>
      <c r="CZ936" t="s">
        <v>131</v>
      </c>
      <c r="DA936">
        <v>300</v>
      </c>
      <c r="DB936">
        <v>0</v>
      </c>
      <c r="DC936" t="s">
        <v>176</v>
      </c>
      <c r="DD936" t="s">
        <v>177</v>
      </c>
      <c r="DG936">
        <v>5374585</v>
      </c>
      <c r="DI936">
        <v>1</v>
      </c>
      <c r="DJ936">
        <v>0</v>
      </c>
      <c r="DK936">
        <v>1</v>
      </c>
      <c r="DL936">
        <v>0</v>
      </c>
      <c r="DM936">
        <v>0</v>
      </c>
      <c r="DN936">
        <v>1</v>
      </c>
      <c r="DO936">
        <v>0</v>
      </c>
      <c r="DP936">
        <v>0</v>
      </c>
      <c r="DQ936">
        <v>0</v>
      </c>
      <c r="DR936">
        <v>0</v>
      </c>
      <c r="DS936">
        <v>0</v>
      </c>
    </row>
    <row r="937" spans="1:123" x14ac:dyDescent="0.3">
      <c r="A937" t="str">
        <f>"10/04/2022 19:28:06.431"</f>
        <v>10/04/2022 19:28:06.431</v>
      </c>
      <c r="C937" t="str">
        <f t="shared" si="308"/>
        <v>FFDDD3C0</v>
      </c>
      <c r="D937" t="s">
        <v>147</v>
      </c>
      <c r="E937">
        <v>3</v>
      </c>
      <c r="H937">
        <v>166</v>
      </c>
      <c r="I937" t="s">
        <v>144</v>
      </c>
      <c r="J937" t="s">
        <v>148</v>
      </c>
      <c r="K937">
        <v>0</v>
      </c>
      <c r="L937">
        <v>3</v>
      </c>
      <c r="M937">
        <v>0</v>
      </c>
      <c r="N937">
        <v>2</v>
      </c>
      <c r="O937">
        <v>0</v>
      </c>
      <c r="P937">
        <v>1</v>
      </c>
      <c r="Q937">
        <v>0</v>
      </c>
      <c r="S937" t="str">
        <f t="shared" si="323"/>
        <v>19:28:06.000</v>
      </c>
      <c r="T937" t="str">
        <f t="shared" si="323"/>
        <v>19:28:06.000</v>
      </c>
      <c r="U937" t="str">
        <f t="shared" si="313"/>
        <v>AC3944</v>
      </c>
      <c r="V937">
        <v>0</v>
      </c>
      <c r="W937">
        <v>0</v>
      </c>
      <c r="X937">
        <v>2</v>
      </c>
      <c r="Y937">
        <v>0</v>
      </c>
      <c r="AA937">
        <v>1</v>
      </c>
      <c r="AB937">
        <v>8</v>
      </c>
      <c r="AC937">
        <v>3</v>
      </c>
      <c r="AD937">
        <v>0</v>
      </c>
      <c r="AE937">
        <v>9</v>
      </c>
      <c r="AF937" t="s">
        <v>138</v>
      </c>
      <c r="AG937">
        <v>0</v>
      </c>
      <c r="AH937">
        <v>3</v>
      </c>
      <c r="AI937">
        <v>1</v>
      </c>
      <c r="AJ937">
        <v>0</v>
      </c>
      <c r="AK937" t="s">
        <v>401</v>
      </c>
      <c r="AL937">
        <v>32.809939</v>
      </c>
      <c r="AM937" t="s">
        <v>402</v>
      </c>
      <c r="AN937">
        <v>-116.93858400000001</v>
      </c>
      <c r="AO937">
        <v>25</v>
      </c>
      <c r="AP937">
        <v>2000</v>
      </c>
      <c r="AQ937" t="s">
        <v>129</v>
      </c>
      <c r="AR937">
        <v>109</v>
      </c>
      <c r="AS937">
        <v>-53</v>
      </c>
      <c r="AT937">
        <v>0</v>
      </c>
      <c r="BB937">
        <v>1200</v>
      </c>
      <c r="BC937">
        <v>1</v>
      </c>
      <c r="BD937" t="str">
        <f t="shared" si="314"/>
        <v xml:space="preserve">N887QR  </v>
      </c>
      <c r="BE937">
        <v>1</v>
      </c>
      <c r="BJ937">
        <v>1750</v>
      </c>
      <c r="BK937">
        <v>-250</v>
      </c>
      <c r="BL937" t="s">
        <v>163</v>
      </c>
      <c r="BM937">
        <v>1</v>
      </c>
      <c r="BN937">
        <v>1</v>
      </c>
      <c r="BO937">
        <v>1</v>
      </c>
      <c r="BP937">
        <v>0</v>
      </c>
      <c r="BS937">
        <v>0</v>
      </c>
      <c r="BT937">
        <v>0</v>
      </c>
      <c r="BU937">
        <v>0</v>
      </c>
      <c r="CE937" t="str">
        <f t="shared" si="324"/>
        <v>19:28:06.225</v>
      </c>
      <c r="CF937">
        <v>225427495</v>
      </c>
      <c r="CS937">
        <v>3</v>
      </c>
      <c r="CT937">
        <v>2</v>
      </c>
      <c r="CU937">
        <v>0</v>
      </c>
      <c r="CV937">
        <v>2</v>
      </c>
      <c r="CW937">
        <v>0</v>
      </c>
      <c r="CX937">
        <v>6</v>
      </c>
      <c r="CY937">
        <v>7</v>
      </c>
      <c r="CZ937" t="s">
        <v>131</v>
      </c>
      <c r="DA937">
        <v>300</v>
      </c>
      <c r="DB937">
        <v>0</v>
      </c>
      <c r="DC937" t="s">
        <v>176</v>
      </c>
      <c r="DD937" t="s">
        <v>177</v>
      </c>
      <c r="DG937">
        <v>5374585</v>
      </c>
      <c r="DI937">
        <v>1</v>
      </c>
      <c r="DJ937">
        <v>0</v>
      </c>
      <c r="DK937">
        <v>1</v>
      </c>
      <c r="DL937">
        <v>0</v>
      </c>
      <c r="DM937">
        <v>0</v>
      </c>
      <c r="DN937">
        <v>1</v>
      </c>
      <c r="DO937">
        <v>0</v>
      </c>
      <c r="DP937">
        <v>0</v>
      </c>
      <c r="DQ937">
        <v>0</v>
      </c>
      <c r="DR937">
        <v>0</v>
      </c>
      <c r="DS937">
        <v>0</v>
      </c>
    </row>
    <row r="938" spans="1:123" x14ac:dyDescent="0.3">
      <c r="A938" t="str">
        <f>"10/04/2022 19:28:06.477"</f>
        <v>10/04/2022 19:28:06.477</v>
      </c>
      <c r="C938" t="str">
        <f t="shared" si="308"/>
        <v>FFDDD3C0</v>
      </c>
      <c r="D938" t="s">
        <v>141</v>
      </c>
      <c r="E938">
        <v>4</v>
      </c>
      <c r="H938">
        <v>4</v>
      </c>
      <c r="I938" t="s">
        <v>142</v>
      </c>
      <c r="J938" t="s">
        <v>138</v>
      </c>
      <c r="K938">
        <v>0</v>
      </c>
      <c r="L938">
        <v>3</v>
      </c>
      <c r="M938">
        <v>0</v>
      </c>
      <c r="N938">
        <v>2</v>
      </c>
      <c r="O938">
        <v>0</v>
      </c>
      <c r="P938">
        <v>1</v>
      </c>
      <c r="Q938">
        <v>0</v>
      </c>
      <c r="S938" t="str">
        <f t="shared" si="323"/>
        <v>19:28:06.000</v>
      </c>
      <c r="T938" t="str">
        <f t="shared" si="323"/>
        <v>19:28:06.000</v>
      </c>
      <c r="U938" t="str">
        <f t="shared" si="313"/>
        <v>AC3944</v>
      </c>
      <c r="V938">
        <v>0</v>
      </c>
      <c r="W938">
        <v>0</v>
      </c>
      <c r="X938">
        <v>2</v>
      </c>
      <c r="Y938">
        <v>0</v>
      </c>
      <c r="AA938">
        <v>1</v>
      </c>
      <c r="AB938">
        <v>8</v>
      </c>
      <c r="AC938">
        <v>3</v>
      </c>
      <c r="AD938">
        <v>0</v>
      </c>
      <c r="AE938">
        <v>9</v>
      </c>
      <c r="AF938" t="s">
        <v>138</v>
      </c>
      <c r="AG938">
        <v>0</v>
      </c>
      <c r="AH938">
        <v>3</v>
      </c>
      <c r="AI938">
        <v>1</v>
      </c>
      <c r="AJ938">
        <v>0</v>
      </c>
      <c r="AK938" t="s">
        <v>401</v>
      </c>
      <c r="AL938">
        <v>32.809939</v>
      </c>
      <c r="AM938" t="s">
        <v>402</v>
      </c>
      <c r="AN938">
        <v>-116.93858400000001</v>
      </c>
      <c r="AO938">
        <v>25</v>
      </c>
      <c r="AP938">
        <v>2000</v>
      </c>
      <c r="AQ938" t="s">
        <v>129</v>
      </c>
      <c r="AR938">
        <v>109</v>
      </c>
      <c r="AS938">
        <v>-53</v>
      </c>
      <c r="AT938">
        <v>0</v>
      </c>
      <c r="BB938">
        <v>1200</v>
      </c>
      <c r="BC938">
        <v>1</v>
      </c>
      <c r="BD938" t="str">
        <f t="shared" si="314"/>
        <v xml:space="preserve">N887QR  </v>
      </c>
      <c r="BE938">
        <v>1</v>
      </c>
      <c r="BJ938">
        <v>1750</v>
      </c>
      <c r="BK938">
        <v>-250</v>
      </c>
      <c r="BL938" t="s">
        <v>163</v>
      </c>
      <c r="BM938">
        <v>1</v>
      </c>
      <c r="BN938">
        <v>1</v>
      </c>
      <c r="BO938">
        <v>1</v>
      </c>
      <c r="BP938">
        <v>0</v>
      </c>
      <c r="BS938">
        <v>0</v>
      </c>
      <c r="BT938">
        <v>0</v>
      </c>
      <c r="BU938">
        <v>0</v>
      </c>
      <c r="CE938" t="str">
        <f t="shared" si="324"/>
        <v>19:28:06.225</v>
      </c>
      <c r="CF938">
        <v>225427495</v>
      </c>
      <c r="CS938">
        <v>3</v>
      </c>
      <c r="CT938">
        <v>2</v>
      </c>
      <c r="CU938">
        <v>0</v>
      </c>
      <c r="CV938">
        <v>2</v>
      </c>
      <c r="CW938">
        <v>0</v>
      </c>
      <c r="CX938">
        <v>6</v>
      </c>
      <c r="CY938">
        <v>7</v>
      </c>
      <c r="CZ938" t="s">
        <v>131</v>
      </c>
      <c r="DA938">
        <v>300</v>
      </c>
      <c r="DB938">
        <v>0</v>
      </c>
      <c r="DC938" t="s">
        <v>176</v>
      </c>
      <c r="DD938" t="s">
        <v>177</v>
      </c>
      <c r="DG938">
        <v>5374585</v>
      </c>
      <c r="DI938">
        <v>1</v>
      </c>
      <c r="DJ938">
        <v>0</v>
      </c>
      <c r="DK938">
        <v>1</v>
      </c>
      <c r="DL938">
        <v>0</v>
      </c>
      <c r="DM938">
        <v>0</v>
      </c>
      <c r="DN938">
        <v>1</v>
      </c>
      <c r="DO938">
        <v>0</v>
      </c>
      <c r="DP938">
        <v>0</v>
      </c>
      <c r="DQ938">
        <v>0</v>
      </c>
      <c r="DR938">
        <v>0</v>
      </c>
      <c r="DS938">
        <v>0</v>
      </c>
    </row>
    <row r="939" spans="1:123" x14ac:dyDescent="0.3">
      <c r="A939" t="str">
        <f>"10/04/2022 19:28:06.477"</f>
        <v>10/04/2022 19:28:06.477</v>
      </c>
      <c r="C939" t="str">
        <f t="shared" si="308"/>
        <v>FFDDD3C0</v>
      </c>
      <c r="D939" t="s">
        <v>136</v>
      </c>
      <c r="E939">
        <v>8</v>
      </c>
      <c r="H939">
        <v>225</v>
      </c>
      <c r="I939" t="s">
        <v>137</v>
      </c>
      <c r="J939" t="s">
        <v>138</v>
      </c>
      <c r="K939">
        <v>0</v>
      </c>
      <c r="L939">
        <v>3</v>
      </c>
      <c r="M939">
        <v>0</v>
      </c>
      <c r="N939">
        <v>2</v>
      </c>
      <c r="O939">
        <v>0</v>
      </c>
      <c r="P939">
        <v>1</v>
      </c>
      <c r="Q939">
        <v>0</v>
      </c>
      <c r="S939" t="str">
        <f t="shared" si="323"/>
        <v>19:28:06.000</v>
      </c>
      <c r="T939" t="str">
        <f t="shared" si="323"/>
        <v>19:28:06.000</v>
      </c>
      <c r="U939" t="str">
        <f t="shared" si="313"/>
        <v>AC3944</v>
      </c>
      <c r="V939">
        <v>0</v>
      </c>
      <c r="W939">
        <v>0</v>
      </c>
      <c r="X939">
        <v>2</v>
      </c>
      <c r="Y939">
        <v>0</v>
      </c>
      <c r="AA939">
        <v>1</v>
      </c>
      <c r="AB939">
        <v>8</v>
      </c>
      <c r="AC939">
        <v>3</v>
      </c>
      <c r="AD939">
        <v>0</v>
      </c>
      <c r="AE939">
        <v>9</v>
      </c>
      <c r="AF939" t="s">
        <v>138</v>
      </c>
      <c r="AG939">
        <v>0</v>
      </c>
      <c r="AH939">
        <v>3</v>
      </c>
      <c r="AI939">
        <v>1</v>
      </c>
      <c r="AJ939">
        <v>0</v>
      </c>
      <c r="AK939" t="s">
        <v>401</v>
      </c>
      <c r="AL939">
        <v>32.809939</v>
      </c>
      <c r="AM939" t="s">
        <v>402</v>
      </c>
      <c r="AN939">
        <v>-116.93858400000001</v>
      </c>
      <c r="AO939">
        <v>25</v>
      </c>
      <c r="AP939">
        <v>2000</v>
      </c>
      <c r="AQ939" t="s">
        <v>129</v>
      </c>
      <c r="AR939">
        <v>109</v>
      </c>
      <c r="AS939">
        <v>-53</v>
      </c>
      <c r="AT939">
        <v>0</v>
      </c>
      <c r="BB939">
        <v>1200</v>
      </c>
      <c r="BC939">
        <v>1</v>
      </c>
      <c r="BD939" t="str">
        <f t="shared" si="314"/>
        <v xml:space="preserve">N887QR  </v>
      </c>
      <c r="BE939">
        <v>1</v>
      </c>
      <c r="BJ939">
        <v>1750</v>
      </c>
      <c r="BK939">
        <v>-250</v>
      </c>
      <c r="BL939" t="s">
        <v>163</v>
      </c>
      <c r="BM939">
        <v>1</v>
      </c>
      <c r="BN939">
        <v>1</v>
      </c>
      <c r="BO939">
        <v>1</v>
      </c>
      <c r="BP939">
        <v>0</v>
      </c>
      <c r="BS939">
        <v>0</v>
      </c>
      <c r="BT939">
        <v>0</v>
      </c>
      <c r="BU939">
        <v>0</v>
      </c>
      <c r="CE939" t="str">
        <f t="shared" si="324"/>
        <v>19:28:06.225</v>
      </c>
      <c r="CF939">
        <v>225427495</v>
      </c>
      <c r="CS939">
        <v>3</v>
      </c>
      <c r="CT939">
        <v>2</v>
      </c>
      <c r="CU939">
        <v>0</v>
      </c>
      <c r="CV939">
        <v>2</v>
      </c>
      <c r="CW939">
        <v>0</v>
      </c>
      <c r="CX939">
        <v>6</v>
      </c>
      <c r="CY939">
        <v>7</v>
      </c>
      <c r="CZ939" t="s">
        <v>131</v>
      </c>
      <c r="DA939">
        <v>300</v>
      </c>
      <c r="DB939">
        <v>0</v>
      </c>
      <c r="DC939" t="s">
        <v>176</v>
      </c>
      <c r="DD939" t="s">
        <v>177</v>
      </c>
      <c r="DG939">
        <v>5374585</v>
      </c>
      <c r="DI939">
        <v>1</v>
      </c>
      <c r="DJ939">
        <v>0</v>
      </c>
      <c r="DK939">
        <v>1</v>
      </c>
      <c r="DL939">
        <v>0</v>
      </c>
      <c r="DM939">
        <v>0</v>
      </c>
      <c r="DN939">
        <v>1</v>
      </c>
      <c r="DO939">
        <v>0</v>
      </c>
      <c r="DP939">
        <v>0</v>
      </c>
      <c r="DQ939">
        <v>0</v>
      </c>
      <c r="DR939">
        <v>0</v>
      </c>
      <c r="DS939">
        <v>0</v>
      </c>
    </row>
    <row r="940" spans="1:123" x14ac:dyDescent="0.3">
      <c r="A940" t="str">
        <f>"10/04/2022 19:28:06.477"</f>
        <v>10/04/2022 19:28:06.477</v>
      </c>
      <c r="C940" t="str">
        <f t="shared" si="308"/>
        <v>FFDDD3C0</v>
      </c>
      <c r="D940" t="s">
        <v>134</v>
      </c>
      <c r="E940">
        <v>15</v>
      </c>
      <c r="J940" t="s">
        <v>135</v>
      </c>
      <c r="K940">
        <v>0</v>
      </c>
      <c r="L940">
        <v>3</v>
      </c>
      <c r="M940">
        <v>0</v>
      </c>
      <c r="N940">
        <v>2</v>
      </c>
      <c r="O940">
        <v>0</v>
      </c>
      <c r="P940">
        <v>1</v>
      </c>
      <c r="Q940">
        <v>0</v>
      </c>
      <c r="S940" t="str">
        <f t="shared" si="323"/>
        <v>19:28:06.000</v>
      </c>
      <c r="T940" t="str">
        <f t="shared" si="323"/>
        <v>19:28:06.000</v>
      </c>
      <c r="U940" t="str">
        <f t="shared" si="313"/>
        <v>AC3944</v>
      </c>
      <c r="V940">
        <v>0</v>
      </c>
      <c r="W940">
        <v>0</v>
      </c>
      <c r="X940">
        <v>2</v>
      </c>
      <c r="Y940">
        <v>0</v>
      </c>
      <c r="AA940">
        <v>1</v>
      </c>
      <c r="AB940">
        <v>8</v>
      </c>
      <c r="AC940">
        <v>3</v>
      </c>
      <c r="AD940">
        <v>0</v>
      </c>
      <c r="AE940">
        <v>9</v>
      </c>
      <c r="AF940" t="s">
        <v>138</v>
      </c>
      <c r="AG940">
        <v>0</v>
      </c>
      <c r="AH940">
        <v>3</v>
      </c>
      <c r="AI940">
        <v>1</v>
      </c>
      <c r="AJ940">
        <v>0</v>
      </c>
      <c r="AK940" t="s">
        <v>401</v>
      </c>
      <c r="AL940">
        <v>32.809939</v>
      </c>
      <c r="AM940" t="s">
        <v>402</v>
      </c>
      <c r="AN940">
        <v>-116.93858400000001</v>
      </c>
      <c r="AO940">
        <v>25</v>
      </c>
      <c r="AP940">
        <v>2000</v>
      </c>
      <c r="AQ940" t="s">
        <v>129</v>
      </c>
      <c r="AR940">
        <v>109</v>
      </c>
      <c r="AS940">
        <v>-53</v>
      </c>
      <c r="AT940">
        <v>0</v>
      </c>
      <c r="BB940">
        <v>1200</v>
      </c>
      <c r="BC940">
        <v>1</v>
      </c>
      <c r="BD940" t="str">
        <f t="shared" si="314"/>
        <v xml:space="preserve">N887QR  </v>
      </c>
      <c r="BE940">
        <v>1</v>
      </c>
      <c r="BJ940">
        <v>1750</v>
      </c>
      <c r="BK940">
        <v>-250</v>
      </c>
      <c r="BL940" t="s">
        <v>163</v>
      </c>
      <c r="BM940">
        <v>1</v>
      </c>
      <c r="BN940">
        <v>1</v>
      </c>
      <c r="BO940">
        <v>1</v>
      </c>
      <c r="BP940">
        <v>0</v>
      </c>
      <c r="BS940">
        <v>0</v>
      </c>
      <c r="BT940">
        <v>0</v>
      </c>
      <c r="BU940">
        <v>0</v>
      </c>
      <c r="CE940" t="str">
        <f t="shared" si="324"/>
        <v>19:28:06.225</v>
      </c>
      <c r="CF940">
        <v>225427495</v>
      </c>
      <c r="CS940">
        <v>3</v>
      </c>
      <c r="CT940">
        <v>2</v>
      </c>
      <c r="CU940">
        <v>0</v>
      </c>
      <c r="CV940">
        <v>2</v>
      </c>
      <c r="CW940">
        <v>0</v>
      </c>
      <c r="CX940">
        <v>6</v>
      </c>
      <c r="CY940">
        <v>7</v>
      </c>
      <c r="CZ940" t="s">
        <v>131</v>
      </c>
      <c r="DA940">
        <v>300</v>
      </c>
      <c r="DB940">
        <v>0</v>
      </c>
      <c r="DC940" t="s">
        <v>176</v>
      </c>
      <c r="DD940" t="s">
        <v>177</v>
      </c>
      <c r="DG940">
        <v>5374585</v>
      </c>
      <c r="DI940">
        <v>1</v>
      </c>
      <c r="DJ940">
        <v>0</v>
      </c>
      <c r="DK940">
        <v>1</v>
      </c>
      <c r="DL940">
        <v>0</v>
      </c>
      <c r="DM940">
        <v>0</v>
      </c>
      <c r="DN940">
        <v>1</v>
      </c>
      <c r="DO940">
        <v>0</v>
      </c>
      <c r="DP940">
        <v>0</v>
      </c>
      <c r="DQ940">
        <v>0</v>
      </c>
      <c r="DR940">
        <v>0</v>
      </c>
      <c r="DS940">
        <v>0</v>
      </c>
    </row>
    <row r="941" spans="1:123" x14ac:dyDescent="0.3">
      <c r="A941" t="str">
        <f t="shared" ref="A941:A946" si="325">"10/04/2022 19:28:07.118"</f>
        <v>10/04/2022 19:28:07.118</v>
      </c>
      <c r="C941" t="str">
        <f t="shared" si="308"/>
        <v>FFDDD3C0</v>
      </c>
      <c r="D941" t="s">
        <v>141</v>
      </c>
      <c r="E941">
        <v>4</v>
      </c>
      <c r="H941">
        <v>4</v>
      </c>
      <c r="I941" t="s">
        <v>142</v>
      </c>
      <c r="J941" t="s">
        <v>138</v>
      </c>
      <c r="K941">
        <v>0</v>
      </c>
      <c r="L941">
        <v>3</v>
      </c>
      <c r="M941">
        <v>0</v>
      </c>
      <c r="N941">
        <v>2</v>
      </c>
      <c r="O941">
        <v>0</v>
      </c>
      <c r="P941">
        <v>1</v>
      </c>
      <c r="Q941">
        <v>0</v>
      </c>
      <c r="S941" t="str">
        <f t="shared" si="323"/>
        <v>19:28:06.000</v>
      </c>
      <c r="T941" t="str">
        <f t="shared" si="323"/>
        <v>19:28:06.000</v>
      </c>
      <c r="U941" t="str">
        <f t="shared" si="313"/>
        <v>AC3944</v>
      </c>
      <c r="V941">
        <v>0</v>
      </c>
      <c r="W941">
        <v>0</v>
      </c>
      <c r="X941">
        <v>2</v>
      </c>
      <c r="Y941">
        <v>0</v>
      </c>
      <c r="AA941">
        <v>1</v>
      </c>
      <c r="AB941">
        <v>8</v>
      </c>
      <c r="AC941">
        <v>3</v>
      </c>
      <c r="AD941">
        <v>0</v>
      </c>
      <c r="AE941">
        <v>9</v>
      </c>
      <c r="AF941" t="s">
        <v>138</v>
      </c>
      <c r="AG941">
        <v>0</v>
      </c>
      <c r="AH941">
        <v>3</v>
      </c>
      <c r="AI941">
        <v>1</v>
      </c>
      <c r="AJ941">
        <v>0</v>
      </c>
      <c r="AK941" t="s">
        <v>403</v>
      </c>
      <c r="AL941">
        <v>32.809638999999997</v>
      </c>
      <c r="AM941" t="s">
        <v>404</v>
      </c>
      <c r="AN941">
        <v>-116.937854</v>
      </c>
      <c r="AO941">
        <v>25</v>
      </c>
      <c r="AP941">
        <v>2000</v>
      </c>
      <c r="AQ941" t="s">
        <v>129</v>
      </c>
      <c r="AR941">
        <v>110</v>
      </c>
      <c r="AS941">
        <v>-53</v>
      </c>
      <c r="AT941">
        <v>0</v>
      </c>
      <c r="BB941">
        <v>1200</v>
      </c>
      <c r="BC941">
        <v>1</v>
      </c>
      <c r="BD941" t="str">
        <f t="shared" si="314"/>
        <v xml:space="preserve">N887QR  </v>
      </c>
      <c r="BE941">
        <v>1</v>
      </c>
      <c r="BJ941">
        <v>1725</v>
      </c>
      <c r="BK941">
        <v>-275</v>
      </c>
      <c r="BL941" t="s">
        <v>163</v>
      </c>
      <c r="BM941">
        <v>1</v>
      </c>
      <c r="BN941">
        <v>1</v>
      </c>
      <c r="BO941">
        <v>1</v>
      </c>
      <c r="BP941">
        <v>0</v>
      </c>
      <c r="BS941">
        <v>0</v>
      </c>
      <c r="BT941">
        <v>0</v>
      </c>
      <c r="BU941">
        <v>0</v>
      </c>
      <c r="CE941" t="str">
        <f t="shared" ref="CE941:CE947" si="326">"19:28:06.933"</f>
        <v>19:28:06.933</v>
      </c>
      <c r="CF941">
        <v>933429824</v>
      </c>
      <c r="CS941">
        <v>3</v>
      </c>
      <c r="CT941">
        <v>2</v>
      </c>
      <c r="CU941">
        <v>0</v>
      </c>
      <c r="CV941">
        <v>2</v>
      </c>
      <c r="CW941">
        <v>0</v>
      </c>
      <c r="CX941">
        <v>5</v>
      </c>
      <c r="CY941">
        <v>7</v>
      </c>
      <c r="CZ941" t="s">
        <v>131</v>
      </c>
      <c r="DA941">
        <v>300</v>
      </c>
      <c r="DB941">
        <v>0</v>
      </c>
      <c r="DC941" t="s">
        <v>176</v>
      </c>
      <c r="DD941" t="s">
        <v>177</v>
      </c>
      <c r="DG941">
        <v>5374707</v>
      </c>
      <c r="DI941">
        <v>1</v>
      </c>
      <c r="DJ941">
        <v>0</v>
      </c>
      <c r="DK941">
        <v>0</v>
      </c>
      <c r="DL941">
        <v>0</v>
      </c>
      <c r="DM941">
        <v>0</v>
      </c>
      <c r="DN941">
        <v>1</v>
      </c>
      <c r="DO941">
        <v>0</v>
      </c>
      <c r="DP941">
        <v>0</v>
      </c>
      <c r="DQ941">
        <v>0</v>
      </c>
      <c r="DR941">
        <v>0</v>
      </c>
      <c r="DS941">
        <v>0</v>
      </c>
    </row>
    <row r="942" spans="1:123" x14ac:dyDescent="0.3">
      <c r="A942" t="str">
        <f t="shared" si="325"/>
        <v>10/04/2022 19:28:07.118</v>
      </c>
      <c r="C942" t="str">
        <f t="shared" si="308"/>
        <v>FFDDD3C0</v>
      </c>
      <c r="D942" t="s">
        <v>136</v>
      </c>
      <c r="E942">
        <v>8</v>
      </c>
      <c r="H942">
        <v>225</v>
      </c>
      <c r="I942" t="s">
        <v>137</v>
      </c>
      <c r="J942" t="s">
        <v>138</v>
      </c>
      <c r="K942">
        <v>0</v>
      </c>
      <c r="L942">
        <v>3</v>
      </c>
      <c r="M942">
        <v>0</v>
      </c>
      <c r="N942">
        <v>2</v>
      </c>
      <c r="O942">
        <v>0</v>
      </c>
      <c r="P942">
        <v>1</v>
      </c>
      <c r="Q942">
        <v>0</v>
      </c>
      <c r="S942" t="str">
        <f t="shared" si="323"/>
        <v>19:28:06.000</v>
      </c>
      <c r="T942" t="str">
        <f t="shared" si="323"/>
        <v>19:28:06.000</v>
      </c>
      <c r="U942" t="str">
        <f t="shared" si="313"/>
        <v>AC3944</v>
      </c>
      <c r="V942">
        <v>0</v>
      </c>
      <c r="W942">
        <v>0</v>
      </c>
      <c r="X942">
        <v>2</v>
      </c>
      <c r="Y942">
        <v>0</v>
      </c>
      <c r="AA942">
        <v>1</v>
      </c>
      <c r="AB942">
        <v>8</v>
      </c>
      <c r="AC942">
        <v>3</v>
      </c>
      <c r="AD942">
        <v>0</v>
      </c>
      <c r="AE942">
        <v>9</v>
      </c>
      <c r="AF942" t="s">
        <v>138</v>
      </c>
      <c r="AG942">
        <v>0</v>
      </c>
      <c r="AH942">
        <v>3</v>
      </c>
      <c r="AI942">
        <v>1</v>
      </c>
      <c r="AJ942">
        <v>0</v>
      </c>
      <c r="AK942" t="s">
        <v>403</v>
      </c>
      <c r="AL942">
        <v>32.809638999999997</v>
      </c>
      <c r="AM942" t="s">
        <v>404</v>
      </c>
      <c r="AN942">
        <v>-116.937854</v>
      </c>
      <c r="AO942">
        <v>25</v>
      </c>
      <c r="AP942">
        <v>2000</v>
      </c>
      <c r="AQ942" t="s">
        <v>129</v>
      </c>
      <c r="AR942">
        <v>110</v>
      </c>
      <c r="AS942">
        <v>-53</v>
      </c>
      <c r="AT942">
        <v>0</v>
      </c>
      <c r="BB942">
        <v>1200</v>
      </c>
      <c r="BC942">
        <v>1</v>
      </c>
      <c r="BD942" t="str">
        <f t="shared" si="314"/>
        <v xml:space="preserve">N887QR  </v>
      </c>
      <c r="BE942">
        <v>1</v>
      </c>
      <c r="BJ942">
        <v>1725</v>
      </c>
      <c r="BK942">
        <v>-275</v>
      </c>
      <c r="BL942" t="s">
        <v>163</v>
      </c>
      <c r="BM942">
        <v>1</v>
      </c>
      <c r="BN942">
        <v>1</v>
      </c>
      <c r="BO942">
        <v>1</v>
      </c>
      <c r="BP942">
        <v>0</v>
      </c>
      <c r="BS942">
        <v>0</v>
      </c>
      <c r="BT942">
        <v>0</v>
      </c>
      <c r="BU942">
        <v>0</v>
      </c>
      <c r="CE942" t="str">
        <f t="shared" si="326"/>
        <v>19:28:06.933</v>
      </c>
      <c r="CF942">
        <v>933429824</v>
      </c>
      <c r="CS942">
        <v>3</v>
      </c>
      <c r="CT942">
        <v>2</v>
      </c>
      <c r="CU942">
        <v>0</v>
      </c>
      <c r="CV942">
        <v>2</v>
      </c>
      <c r="CW942">
        <v>0</v>
      </c>
      <c r="CX942">
        <v>5</v>
      </c>
      <c r="CY942">
        <v>7</v>
      </c>
      <c r="CZ942" t="s">
        <v>131</v>
      </c>
      <c r="DA942">
        <v>300</v>
      </c>
      <c r="DB942">
        <v>0</v>
      </c>
      <c r="DC942" t="s">
        <v>176</v>
      </c>
      <c r="DD942" t="s">
        <v>177</v>
      </c>
      <c r="DG942">
        <v>5374707</v>
      </c>
      <c r="DI942">
        <v>1</v>
      </c>
      <c r="DJ942">
        <v>0</v>
      </c>
      <c r="DK942">
        <v>1</v>
      </c>
      <c r="DL942">
        <v>0</v>
      </c>
      <c r="DM942">
        <v>0</v>
      </c>
      <c r="DN942">
        <v>1</v>
      </c>
      <c r="DO942">
        <v>0</v>
      </c>
      <c r="DP942">
        <v>0</v>
      </c>
      <c r="DQ942">
        <v>0</v>
      </c>
      <c r="DR942">
        <v>0</v>
      </c>
      <c r="DS942">
        <v>0</v>
      </c>
    </row>
    <row r="943" spans="1:123" x14ac:dyDescent="0.3">
      <c r="A943" t="str">
        <f t="shared" si="325"/>
        <v>10/04/2022 19:28:07.118</v>
      </c>
      <c r="C943" t="str">
        <f t="shared" si="308"/>
        <v>FFDDD3C0</v>
      </c>
      <c r="D943" t="s">
        <v>134</v>
      </c>
      <c r="E943">
        <v>15</v>
      </c>
      <c r="J943" t="s">
        <v>135</v>
      </c>
      <c r="K943">
        <v>0</v>
      </c>
      <c r="L943">
        <v>3</v>
      </c>
      <c r="M943">
        <v>0</v>
      </c>
      <c r="N943">
        <v>2</v>
      </c>
      <c r="O943">
        <v>0</v>
      </c>
      <c r="P943">
        <v>1</v>
      </c>
      <c r="Q943">
        <v>0</v>
      </c>
      <c r="S943" t="str">
        <f t="shared" si="323"/>
        <v>19:28:06.000</v>
      </c>
      <c r="T943" t="str">
        <f t="shared" si="323"/>
        <v>19:28:06.000</v>
      </c>
      <c r="U943" t="str">
        <f t="shared" si="313"/>
        <v>AC3944</v>
      </c>
      <c r="V943">
        <v>0</v>
      </c>
      <c r="W943">
        <v>0</v>
      </c>
      <c r="X943">
        <v>2</v>
      </c>
      <c r="Y943">
        <v>0</v>
      </c>
      <c r="AA943">
        <v>1</v>
      </c>
      <c r="AB943">
        <v>8</v>
      </c>
      <c r="AC943">
        <v>3</v>
      </c>
      <c r="AD943">
        <v>0</v>
      </c>
      <c r="AE943">
        <v>9</v>
      </c>
      <c r="AF943" t="s">
        <v>138</v>
      </c>
      <c r="AG943">
        <v>0</v>
      </c>
      <c r="AH943">
        <v>3</v>
      </c>
      <c r="AI943">
        <v>1</v>
      </c>
      <c r="AJ943">
        <v>0</v>
      </c>
      <c r="AK943" t="s">
        <v>403</v>
      </c>
      <c r="AL943">
        <v>32.809638999999997</v>
      </c>
      <c r="AM943" t="s">
        <v>404</v>
      </c>
      <c r="AN943">
        <v>-116.937854</v>
      </c>
      <c r="AO943">
        <v>25</v>
      </c>
      <c r="AP943">
        <v>2000</v>
      </c>
      <c r="AQ943" t="s">
        <v>129</v>
      </c>
      <c r="AR943">
        <v>110</v>
      </c>
      <c r="AS943">
        <v>-53</v>
      </c>
      <c r="AT943">
        <v>0</v>
      </c>
      <c r="BB943">
        <v>1200</v>
      </c>
      <c r="BC943">
        <v>1</v>
      </c>
      <c r="BD943" t="str">
        <f t="shared" si="314"/>
        <v xml:space="preserve">N887QR  </v>
      </c>
      <c r="BE943">
        <v>1</v>
      </c>
      <c r="BJ943">
        <v>1725</v>
      </c>
      <c r="BK943">
        <v>-275</v>
      </c>
      <c r="BL943" t="s">
        <v>163</v>
      </c>
      <c r="BM943">
        <v>1</v>
      </c>
      <c r="BN943">
        <v>1</v>
      </c>
      <c r="BO943">
        <v>1</v>
      </c>
      <c r="BP943">
        <v>0</v>
      </c>
      <c r="BS943">
        <v>0</v>
      </c>
      <c r="BT943">
        <v>0</v>
      </c>
      <c r="BU943">
        <v>0</v>
      </c>
      <c r="CE943" t="str">
        <f t="shared" si="326"/>
        <v>19:28:06.933</v>
      </c>
      <c r="CF943">
        <v>933429824</v>
      </c>
      <c r="CS943">
        <v>3</v>
      </c>
      <c r="CT943">
        <v>2</v>
      </c>
      <c r="CU943">
        <v>0</v>
      </c>
      <c r="CV943">
        <v>2</v>
      </c>
      <c r="CW943">
        <v>0</v>
      </c>
      <c r="CX943">
        <v>5</v>
      </c>
      <c r="CY943">
        <v>7</v>
      </c>
      <c r="CZ943" t="s">
        <v>131</v>
      </c>
      <c r="DA943">
        <v>300</v>
      </c>
      <c r="DB943">
        <v>0</v>
      </c>
      <c r="DC943" t="s">
        <v>176</v>
      </c>
      <c r="DD943" t="s">
        <v>177</v>
      </c>
      <c r="DG943">
        <v>5374707</v>
      </c>
      <c r="DI943">
        <v>1</v>
      </c>
      <c r="DJ943">
        <v>0</v>
      </c>
      <c r="DK943">
        <v>1</v>
      </c>
      <c r="DL943">
        <v>0</v>
      </c>
      <c r="DM943">
        <v>0</v>
      </c>
      <c r="DN943">
        <v>1</v>
      </c>
      <c r="DO943">
        <v>0</v>
      </c>
      <c r="DP943">
        <v>0</v>
      </c>
      <c r="DQ943">
        <v>0</v>
      </c>
      <c r="DR943">
        <v>0</v>
      </c>
      <c r="DS943">
        <v>0</v>
      </c>
    </row>
    <row r="944" spans="1:123" x14ac:dyDescent="0.3">
      <c r="A944" t="str">
        <f t="shared" si="325"/>
        <v>10/04/2022 19:28:07.118</v>
      </c>
      <c r="C944" t="str">
        <f t="shared" ref="C944:C982" si="327">"FFDDD3C0"</f>
        <v>FFDDD3C0</v>
      </c>
      <c r="D944" t="s">
        <v>143</v>
      </c>
      <c r="E944">
        <v>20</v>
      </c>
      <c r="F944">
        <v>1020</v>
      </c>
      <c r="G944" t="s">
        <v>144</v>
      </c>
      <c r="J944" t="s">
        <v>145</v>
      </c>
      <c r="K944">
        <v>0</v>
      </c>
      <c r="L944">
        <v>3</v>
      </c>
      <c r="M944">
        <v>0</v>
      </c>
      <c r="N944">
        <v>2</v>
      </c>
      <c r="O944">
        <v>0</v>
      </c>
      <c r="P944">
        <v>1</v>
      </c>
      <c r="Q944">
        <v>0</v>
      </c>
      <c r="S944" t="str">
        <f t="shared" si="323"/>
        <v>19:28:06.000</v>
      </c>
      <c r="T944" t="str">
        <f t="shared" si="323"/>
        <v>19:28:06.000</v>
      </c>
      <c r="U944" t="str">
        <f t="shared" si="313"/>
        <v>AC3944</v>
      </c>
      <c r="V944">
        <v>0</v>
      </c>
      <c r="W944">
        <v>0</v>
      </c>
      <c r="X944">
        <v>2</v>
      </c>
      <c r="Y944">
        <v>0</v>
      </c>
      <c r="AA944">
        <v>1</v>
      </c>
      <c r="AB944">
        <v>8</v>
      </c>
      <c r="AC944">
        <v>3</v>
      </c>
      <c r="AD944">
        <v>0</v>
      </c>
      <c r="AE944">
        <v>9</v>
      </c>
      <c r="AF944" t="s">
        <v>138</v>
      </c>
      <c r="AG944">
        <v>0</v>
      </c>
      <c r="AH944">
        <v>3</v>
      </c>
      <c r="AI944">
        <v>1</v>
      </c>
      <c r="AJ944">
        <v>0</v>
      </c>
      <c r="AK944" t="s">
        <v>403</v>
      </c>
      <c r="AL944">
        <v>32.809638999999997</v>
      </c>
      <c r="AM944" t="s">
        <v>404</v>
      </c>
      <c r="AN944">
        <v>-116.937854</v>
      </c>
      <c r="AO944">
        <v>25</v>
      </c>
      <c r="AP944">
        <v>2000</v>
      </c>
      <c r="AQ944" t="s">
        <v>129</v>
      </c>
      <c r="AR944">
        <v>110</v>
      </c>
      <c r="AS944">
        <v>-53</v>
      </c>
      <c r="AT944">
        <v>0</v>
      </c>
      <c r="BB944">
        <v>1200</v>
      </c>
      <c r="BC944">
        <v>1</v>
      </c>
      <c r="BD944" t="str">
        <f t="shared" si="314"/>
        <v xml:space="preserve">N887QR  </v>
      </c>
      <c r="BE944">
        <v>1</v>
      </c>
      <c r="BJ944">
        <v>1725</v>
      </c>
      <c r="BK944">
        <v>-275</v>
      </c>
      <c r="BL944" t="s">
        <v>163</v>
      </c>
      <c r="BM944">
        <v>1</v>
      </c>
      <c r="BN944">
        <v>1</v>
      </c>
      <c r="BO944">
        <v>1</v>
      </c>
      <c r="BP944">
        <v>0</v>
      </c>
      <c r="BS944">
        <v>0</v>
      </c>
      <c r="BT944">
        <v>0</v>
      </c>
      <c r="BU944">
        <v>0</v>
      </c>
      <c r="CE944" t="str">
        <f t="shared" si="326"/>
        <v>19:28:06.933</v>
      </c>
      <c r="CF944">
        <v>933429824</v>
      </c>
      <c r="CS944">
        <v>3</v>
      </c>
      <c r="CT944">
        <v>2</v>
      </c>
      <c r="CU944">
        <v>0</v>
      </c>
      <c r="CV944">
        <v>2</v>
      </c>
      <c r="CW944">
        <v>0</v>
      </c>
      <c r="CX944">
        <v>5</v>
      </c>
      <c r="CY944">
        <v>7</v>
      </c>
      <c r="CZ944" t="s">
        <v>131</v>
      </c>
      <c r="DA944">
        <v>300</v>
      </c>
      <c r="DB944">
        <v>0</v>
      </c>
      <c r="DC944" t="s">
        <v>176</v>
      </c>
      <c r="DD944" t="s">
        <v>177</v>
      </c>
      <c r="DG944">
        <v>5374707</v>
      </c>
      <c r="DI944">
        <v>1</v>
      </c>
      <c r="DJ944">
        <v>0</v>
      </c>
      <c r="DK944">
        <v>1</v>
      </c>
      <c r="DL944">
        <v>0</v>
      </c>
      <c r="DM944">
        <v>0</v>
      </c>
      <c r="DN944">
        <v>1</v>
      </c>
      <c r="DO944">
        <v>0</v>
      </c>
      <c r="DP944">
        <v>0</v>
      </c>
      <c r="DQ944">
        <v>0</v>
      </c>
      <c r="DR944">
        <v>0</v>
      </c>
      <c r="DS944">
        <v>0</v>
      </c>
    </row>
    <row r="945" spans="1:123" x14ac:dyDescent="0.3">
      <c r="A945" t="str">
        <f t="shared" si="325"/>
        <v>10/04/2022 19:28:07.118</v>
      </c>
      <c r="C945" t="str">
        <f t="shared" si="327"/>
        <v>FFDDD3C0</v>
      </c>
      <c r="D945" t="s">
        <v>123</v>
      </c>
      <c r="E945">
        <v>7</v>
      </c>
      <c r="F945">
        <v>2007</v>
      </c>
      <c r="G945" t="s">
        <v>124</v>
      </c>
      <c r="J945" t="s">
        <v>125</v>
      </c>
      <c r="K945">
        <v>0</v>
      </c>
      <c r="L945">
        <v>3</v>
      </c>
      <c r="M945">
        <v>0</v>
      </c>
      <c r="N945">
        <v>2</v>
      </c>
      <c r="O945">
        <v>0</v>
      </c>
      <c r="P945">
        <v>1</v>
      </c>
      <c r="Q945">
        <v>0</v>
      </c>
      <c r="S945" t="str">
        <f t="shared" si="323"/>
        <v>19:28:06.000</v>
      </c>
      <c r="T945" t="str">
        <f t="shared" si="323"/>
        <v>19:28:06.000</v>
      </c>
      <c r="U945" t="str">
        <f t="shared" si="313"/>
        <v>AC3944</v>
      </c>
      <c r="V945">
        <v>0</v>
      </c>
      <c r="W945">
        <v>0</v>
      </c>
      <c r="X945">
        <v>2</v>
      </c>
      <c r="Y945">
        <v>0</v>
      </c>
      <c r="AA945">
        <v>1</v>
      </c>
      <c r="AB945">
        <v>8</v>
      </c>
      <c r="AC945">
        <v>3</v>
      </c>
      <c r="AD945">
        <v>0</v>
      </c>
      <c r="AE945">
        <v>9</v>
      </c>
      <c r="AF945" t="s">
        <v>138</v>
      </c>
      <c r="AG945">
        <v>0</v>
      </c>
      <c r="AH945">
        <v>3</v>
      </c>
      <c r="AI945">
        <v>1</v>
      </c>
      <c r="AJ945">
        <v>0</v>
      </c>
      <c r="AK945" t="s">
        <v>403</v>
      </c>
      <c r="AL945">
        <v>32.809638999999997</v>
      </c>
      <c r="AM945" t="s">
        <v>404</v>
      </c>
      <c r="AN945">
        <v>-116.937854</v>
      </c>
      <c r="AO945">
        <v>25</v>
      </c>
      <c r="AP945">
        <v>2000</v>
      </c>
      <c r="AQ945" t="s">
        <v>129</v>
      </c>
      <c r="AR945">
        <v>110</v>
      </c>
      <c r="AS945">
        <v>-53</v>
      </c>
      <c r="AT945">
        <v>0</v>
      </c>
      <c r="BB945">
        <v>1200</v>
      </c>
      <c r="BC945">
        <v>1</v>
      </c>
      <c r="BD945" t="str">
        <f t="shared" si="314"/>
        <v xml:space="preserve">N887QR  </v>
      </c>
      <c r="BE945">
        <v>1</v>
      </c>
      <c r="BJ945">
        <v>1725</v>
      </c>
      <c r="BK945">
        <v>-275</v>
      </c>
      <c r="BL945" t="s">
        <v>163</v>
      </c>
      <c r="BM945">
        <v>1</v>
      </c>
      <c r="BN945">
        <v>1</v>
      </c>
      <c r="BO945">
        <v>1</v>
      </c>
      <c r="BP945">
        <v>0</v>
      </c>
      <c r="BS945">
        <v>0</v>
      </c>
      <c r="BT945">
        <v>0</v>
      </c>
      <c r="BU945">
        <v>0</v>
      </c>
      <c r="CE945" t="str">
        <f t="shared" si="326"/>
        <v>19:28:06.933</v>
      </c>
      <c r="CF945">
        <v>933429824</v>
      </c>
      <c r="CS945">
        <v>3</v>
      </c>
      <c r="CT945">
        <v>2</v>
      </c>
      <c r="CU945">
        <v>0</v>
      </c>
      <c r="CV945">
        <v>2</v>
      </c>
      <c r="CW945">
        <v>0</v>
      </c>
      <c r="CX945">
        <v>5</v>
      </c>
      <c r="CY945">
        <v>7</v>
      </c>
      <c r="CZ945" t="s">
        <v>131</v>
      </c>
      <c r="DA945">
        <v>300</v>
      </c>
      <c r="DB945">
        <v>0</v>
      </c>
      <c r="DC945" t="s">
        <v>176</v>
      </c>
      <c r="DD945" t="s">
        <v>177</v>
      </c>
      <c r="DG945">
        <v>5374707</v>
      </c>
      <c r="DI945">
        <v>1</v>
      </c>
      <c r="DJ945">
        <v>0</v>
      </c>
      <c r="DK945">
        <v>1</v>
      </c>
      <c r="DL945">
        <v>0</v>
      </c>
      <c r="DM945">
        <v>0</v>
      </c>
      <c r="DN945">
        <v>1</v>
      </c>
      <c r="DO945">
        <v>0</v>
      </c>
      <c r="DP945">
        <v>0</v>
      </c>
      <c r="DQ945">
        <v>0</v>
      </c>
      <c r="DR945">
        <v>0</v>
      </c>
      <c r="DS945">
        <v>0</v>
      </c>
    </row>
    <row r="946" spans="1:123" x14ac:dyDescent="0.3">
      <c r="A946" t="str">
        <f t="shared" si="325"/>
        <v>10/04/2022 19:28:07.118</v>
      </c>
      <c r="C946" t="str">
        <f t="shared" si="327"/>
        <v>FFDDD3C0</v>
      </c>
      <c r="D946" t="s">
        <v>141</v>
      </c>
      <c r="E946">
        <v>3</v>
      </c>
      <c r="H946">
        <v>3</v>
      </c>
      <c r="I946" t="s">
        <v>146</v>
      </c>
      <c r="J946" t="s">
        <v>138</v>
      </c>
      <c r="K946">
        <v>0</v>
      </c>
      <c r="L946">
        <v>3</v>
      </c>
      <c r="M946">
        <v>0</v>
      </c>
      <c r="N946">
        <v>2</v>
      </c>
      <c r="O946">
        <v>0</v>
      </c>
      <c r="P946">
        <v>1</v>
      </c>
      <c r="Q946">
        <v>0</v>
      </c>
      <c r="S946" t="str">
        <f t="shared" si="323"/>
        <v>19:28:06.000</v>
      </c>
      <c r="T946" t="str">
        <f t="shared" si="323"/>
        <v>19:28:06.000</v>
      </c>
      <c r="U946" t="str">
        <f t="shared" si="313"/>
        <v>AC3944</v>
      </c>
      <c r="V946">
        <v>0</v>
      </c>
      <c r="W946">
        <v>0</v>
      </c>
      <c r="X946">
        <v>2</v>
      </c>
      <c r="Y946">
        <v>0</v>
      </c>
      <c r="AA946">
        <v>1</v>
      </c>
      <c r="AB946">
        <v>8</v>
      </c>
      <c r="AC946">
        <v>3</v>
      </c>
      <c r="AD946">
        <v>0</v>
      </c>
      <c r="AE946">
        <v>9</v>
      </c>
      <c r="AF946" t="s">
        <v>138</v>
      </c>
      <c r="AG946">
        <v>0</v>
      </c>
      <c r="AH946">
        <v>3</v>
      </c>
      <c r="AI946">
        <v>1</v>
      </c>
      <c r="AJ946">
        <v>0</v>
      </c>
      <c r="AK946" t="s">
        <v>403</v>
      </c>
      <c r="AL946">
        <v>32.809638999999997</v>
      </c>
      <c r="AM946" t="s">
        <v>404</v>
      </c>
      <c r="AN946">
        <v>-116.937854</v>
      </c>
      <c r="AO946">
        <v>25</v>
      </c>
      <c r="AP946">
        <v>2000</v>
      </c>
      <c r="AQ946" t="s">
        <v>129</v>
      </c>
      <c r="AR946">
        <v>110</v>
      </c>
      <c r="AS946">
        <v>-53</v>
      </c>
      <c r="AT946">
        <v>0</v>
      </c>
      <c r="BB946">
        <v>1200</v>
      </c>
      <c r="BC946">
        <v>1</v>
      </c>
      <c r="BD946" t="str">
        <f t="shared" si="314"/>
        <v xml:space="preserve">N887QR  </v>
      </c>
      <c r="BE946">
        <v>1</v>
      </c>
      <c r="BJ946">
        <v>1725</v>
      </c>
      <c r="BK946">
        <v>-275</v>
      </c>
      <c r="BL946" t="s">
        <v>163</v>
      </c>
      <c r="BM946">
        <v>1</v>
      </c>
      <c r="BN946">
        <v>1</v>
      </c>
      <c r="BO946">
        <v>1</v>
      </c>
      <c r="BP946">
        <v>0</v>
      </c>
      <c r="BS946">
        <v>0</v>
      </c>
      <c r="BT946">
        <v>0</v>
      </c>
      <c r="BU946">
        <v>0</v>
      </c>
      <c r="CE946" t="str">
        <f t="shared" si="326"/>
        <v>19:28:06.933</v>
      </c>
      <c r="CF946">
        <v>933429824</v>
      </c>
      <c r="CS946">
        <v>3</v>
      </c>
      <c r="CT946">
        <v>2</v>
      </c>
      <c r="CU946">
        <v>0</v>
      </c>
      <c r="CV946">
        <v>2</v>
      </c>
      <c r="CW946">
        <v>0</v>
      </c>
      <c r="CX946">
        <v>5</v>
      </c>
      <c r="CY946">
        <v>7</v>
      </c>
      <c r="CZ946" t="s">
        <v>131</v>
      </c>
      <c r="DA946">
        <v>300</v>
      </c>
      <c r="DB946">
        <v>0</v>
      </c>
      <c r="DC946" t="s">
        <v>176</v>
      </c>
      <c r="DD946" t="s">
        <v>177</v>
      </c>
      <c r="DG946">
        <v>5374707</v>
      </c>
      <c r="DI946">
        <v>1</v>
      </c>
      <c r="DJ946">
        <v>0</v>
      </c>
      <c r="DK946">
        <v>1</v>
      </c>
      <c r="DL946">
        <v>0</v>
      </c>
      <c r="DM946">
        <v>0</v>
      </c>
      <c r="DN946">
        <v>1</v>
      </c>
      <c r="DO946">
        <v>0</v>
      </c>
      <c r="DP946">
        <v>0</v>
      </c>
      <c r="DQ946">
        <v>0</v>
      </c>
      <c r="DR946">
        <v>0</v>
      </c>
      <c r="DS946">
        <v>0</v>
      </c>
    </row>
    <row r="947" spans="1:123" x14ac:dyDescent="0.3">
      <c r="A947" t="str">
        <f>"10/04/2022 19:28:07.165"</f>
        <v>10/04/2022 19:28:07.165</v>
      </c>
      <c r="C947" t="str">
        <f t="shared" si="327"/>
        <v>FFDDD3C0</v>
      </c>
      <c r="D947" t="s">
        <v>147</v>
      </c>
      <c r="E947">
        <v>3</v>
      </c>
      <c r="H947">
        <v>166</v>
      </c>
      <c r="I947" t="s">
        <v>144</v>
      </c>
      <c r="J947" t="s">
        <v>148</v>
      </c>
      <c r="K947">
        <v>0</v>
      </c>
      <c r="L947">
        <v>3</v>
      </c>
      <c r="M947">
        <v>0</v>
      </c>
      <c r="N947">
        <v>2</v>
      </c>
      <c r="O947">
        <v>0</v>
      </c>
      <c r="P947">
        <v>1</v>
      </c>
      <c r="Q947">
        <v>0</v>
      </c>
      <c r="S947" t="str">
        <f t="shared" si="323"/>
        <v>19:28:06.000</v>
      </c>
      <c r="T947" t="str">
        <f t="shared" si="323"/>
        <v>19:28:06.000</v>
      </c>
      <c r="U947" t="str">
        <f t="shared" si="313"/>
        <v>AC3944</v>
      </c>
      <c r="V947">
        <v>0</v>
      </c>
      <c r="W947">
        <v>0</v>
      </c>
      <c r="X947">
        <v>2</v>
      </c>
      <c r="Y947">
        <v>0</v>
      </c>
      <c r="AA947">
        <v>1</v>
      </c>
      <c r="AB947">
        <v>8</v>
      </c>
      <c r="AC947">
        <v>3</v>
      </c>
      <c r="AD947">
        <v>0</v>
      </c>
      <c r="AE947">
        <v>9</v>
      </c>
      <c r="AF947" t="s">
        <v>138</v>
      </c>
      <c r="AG947">
        <v>0</v>
      </c>
      <c r="AH947">
        <v>3</v>
      </c>
      <c r="AI947">
        <v>1</v>
      </c>
      <c r="AJ947">
        <v>0</v>
      </c>
      <c r="AK947" t="s">
        <v>403</v>
      </c>
      <c r="AL947">
        <v>32.809638999999997</v>
      </c>
      <c r="AM947" t="s">
        <v>404</v>
      </c>
      <c r="AN947">
        <v>-116.937854</v>
      </c>
      <c r="AO947">
        <v>25</v>
      </c>
      <c r="AP947">
        <v>2000</v>
      </c>
      <c r="AQ947" t="s">
        <v>129</v>
      </c>
      <c r="AR947">
        <v>110</v>
      </c>
      <c r="AS947">
        <v>-53</v>
      </c>
      <c r="AT947">
        <v>0</v>
      </c>
      <c r="BB947">
        <v>1200</v>
      </c>
      <c r="BC947">
        <v>1</v>
      </c>
      <c r="BD947" t="str">
        <f t="shared" si="314"/>
        <v xml:space="preserve">N887QR  </v>
      </c>
      <c r="BE947">
        <v>1</v>
      </c>
      <c r="BJ947">
        <v>1725</v>
      </c>
      <c r="BK947">
        <v>-275</v>
      </c>
      <c r="BL947" t="s">
        <v>163</v>
      </c>
      <c r="BM947">
        <v>1</v>
      </c>
      <c r="BN947">
        <v>1</v>
      </c>
      <c r="BO947">
        <v>1</v>
      </c>
      <c r="BP947">
        <v>0</v>
      </c>
      <c r="BS947">
        <v>0</v>
      </c>
      <c r="BT947">
        <v>0</v>
      </c>
      <c r="BU947">
        <v>0</v>
      </c>
      <c r="CE947" t="str">
        <f t="shared" si="326"/>
        <v>19:28:06.933</v>
      </c>
      <c r="CF947">
        <v>933429824</v>
      </c>
      <c r="CS947">
        <v>3</v>
      </c>
      <c r="CT947">
        <v>2</v>
      </c>
      <c r="CU947">
        <v>0</v>
      </c>
      <c r="CV947">
        <v>2</v>
      </c>
      <c r="CW947">
        <v>0</v>
      </c>
      <c r="CX947">
        <v>5</v>
      </c>
      <c r="CY947">
        <v>7</v>
      </c>
      <c r="CZ947" t="s">
        <v>131</v>
      </c>
      <c r="DA947">
        <v>300</v>
      </c>
      <c r="DB947">
        <v>0</v>
      </c>
      <c r="DC947" t="s">
        <v>176</v>
      </c>
      <c r="DD947" t="s">
        <v>177</v>
      </c>
      <c r="DG947">
        <v>5374707</v>
      </c>
      <c r="DI947">
        <v>1</v>
      </c>
      <c r="DJ947">
        <v>0</v>
      </c>
      <c r="DK947">
        <v>1</v>
      </c>
      <c r="DL947">
        <v>0</v>
      </c>
      <c r="DM947">
        <v>0</v>
      </c>
      <c r="DN947">
        <v>1</v>
      </c>
      <c r="DO947">
        <v>0</v>
      </c>
      <c r="DP947">
        <v>0</v>
      </c>
      <c r="DQ947">
        <v>0</v>
      </c>
      <c r="DR947">
        <v>0</v>
      </c>
      <c r="DS947">
        <v>0</v>
      </c>
    </row>
    <row r="948" spans="1:123" x14ac:dyDescent="0.3">
      <c r="A948" t="str">
        <f>"10/04/2022 19:28:08.056"</f>
        <v>10/04/2022 19:28:08.056</v>
      </c>
      <c r="C948" t="str">
        <f t="shared" si="327"/>
        <v>FFDDD3C0</v>
      </c>
      <c r="D948" t="s">
        <v>143</v>
      </c>
      <c r="E948">
        <v>20</v>
      </c>
      <c r="F948">
        <v>1020</v>
      </c>
      <c r="G948" t="s">
        <v>144</v>
      </c>
      <c r="J948" t="s">
        <v>145</v>
      </c>
      <c r="K948">
        <v>0</v>
      </c>
      <c r="L948">
        <v>3</v>
      </c>
      <c r="M948">
        <v>0</v>
      </c>
      <c r="N948">
        <v>2</v>
      </c>
      <c r="O948">
        <v>0</v>
      </c>
      <c r="P948">
        <v>1</v>
      </c>
      <c r="Q948">
        <v>0</v>
      </c>
      <c r="S948" t="str">
        <f t="shared" ref="S948:T954" si="328">"19:28:07.000"</f>
        <v>19:28:07.000</v>
      </c>
      <c r="T948" t="str">
        <f t="shared" si="328"/>
        <v>19:28:07.000</v>
      </c>
      <c r="U948" t="str">
        <f t="shared" si="313"/>
        <v>AC3944</v>
      </c>
      <c r="V948">
        <v>0</v>
      </c>
      <c r="W948">
        <v>0</v>
      </c>
      <c r="X948">
        <v>2</v>
      </c>
      <c r="Y948">
        <v>0</v>
      </c>
      <c r="AA948">
        <v>1</v>
      </c>
      <c r="AB948">
        <v>8</v>
      </c>
      <c r="AC948">
        <v>3</v>
      </c>
      <c r="AD948">
        <v>0</v>
      </c>
      <c r="AE948">
        <v>9</v>
      </c>
      <c r="AF948" t="s">
        <v>138</v>
      </c>
      <c r="AG948">
        <v>0</v>
      </c>
      <c r="AH948">
        <v>3</v>
      </c>
      <c r="AI948">
        <v>1</v>
      </c>
      <c r="AJ948">
        <v>0</v>
      </c>
      <c r="AK948" t="s">
        <v>405</v>
      </c>
      <c r="AL948">
        <v>32.809403000000003</v>
      </c>
      <c r="AM948" t="s">
        <v>406</v>
      </c>
      <c r="AN948">
        <v>-116.937253</v>
      </c>
      <c r="AO948">
        <v>25</v>
      </c>
      <c r="AP948">
        <v>2000</v>
      </c>
      <c r="AQ948" t="s">
        <v>129</v>
      </c>
      <c r="AR948">
        <v>111</v>
      </c>
      <c r="AS948">
        <v>-53</v>
      </c>
      <c r="AT948">
        <v>0</v>
      </c>
      <c r="BB948">
        <v>1200</v>
      </c>
      <c r="BC948">
        <v>1</v>
      </c>
      <c r="BD948" t="str">
        <f t="shared" si="314"/>
        <v xml:space="preserve">N887QR  </v>
      </c>
      <c r="BE948">
        <v>1</v>
      </c>
      <c r="BJ948">
        <v>1725</v>
      </c>
      <c r="BK948">
        <v>-275</v>
      </c>
      <c r="BL948" t="s">
        <v>163</v>
      </c>
      <c r="BM948">
        <v>1</v>
      </c>
      <c r="BN948">
        <v>1</v>
      </c>
      <c r="BO948">
        <v>1</v>
      </c>
      <c r="BP948">
        <v>0</v>
      </c>
      <c r="BS948">
        <v>0</v>
      </c>
      <c r="BT948">
        <v>0</v>
      </c>
      <c r="BU948">
        <v>0</v>
      </c>
      <c r="CE948" t="str">
        <f t="shared" ref="CE948:CE954" si="329">"19:28:07.860"</f>
        <v>19:28:07.860</v>
      </c>
      <c r="CF948">
        <v>859682902</v>
      </c>
      <c r="CS948">
        <v>3</v>
      </c>
      <c r="CT948">
        <v>2</v>
      </c>
      <c r="CU948">
        <v>0</v>
      </c>
      <c r="CV948">
        <v>2</v>
      </c>
      <c r="CW948">
        <v>0</v>
      </c>
      <c r="CX948">
        <v>5</v>
      </c>
      <c r="CY948">
        <v>7</v>
      </c>
      <c r="CZ948" t="s">
        <v>131</v>
      </c>
      <c r="DA948">
        <v>300</v>
      </c>
      <c r="DB948">
        <v>0</v>
      </c>
      <c r="DC948" t="s">
        <v>176</v>
      </c>
      <c r="DD948" t="s">
        <v>177</v>
      </c>
      <c r="DG948">
        <v>5374855</v>
      </c>
      <c r="DI948">
        <v>1</v>
      </c>
      <c r="DJ948">
        <v>0</v>
      </c>
      <c r="DK948">
        <v>0</v>
      </c>
      <c r="DL948">
        <v>0</v>
      </c>
      <c r="DM948">
        <v>0</v>
      </c>
      <c r="DN948">
        <v>1</v>
      </c>
      <c r="DO948">
        <v>0</v>
      </c>
      <c r="DP948">
        <v>0</v>
      </c>
      <c r="DQ948">
        <v>0</v>
      </c>
      <c r="DR948">
        <v>0</v>
      </c>
      <c r="DS948">
        <v>0</v>
      </c>
    </row>
    <row r="949" spans="1:123" x14ac:dyDescent="0.3">
      <c r="A949" t="str">
        <f>"10/04/2022 19:28:08.056"</f>
        <v>10/04/2022 19:28:08.056</v>
      </c>
      <c r="C949" t="str">
        <f t="shared" si="327"/>
        <v>FFDDD3C0</v>
      </c>
      <c r="D949" t="s">
        <v>141</v>
      </c>
      <c r="E949">
        <v>3</v>
      </c>
      <c r="H949">
        <v>3</v>
      </c>
      <c r="I949" t="s">
        <v>146</v>
      </c>
      <c r="J949" t="s">
        <v>138</v>
      </c>
      <c r="K949">
        <v>0</v>
      </c>
      <c r="L949">
        <v>3</v>
      </c>
      <c r="M949">
        <v>0</v>
      </c>
      <c r="N949">
        <v>2</v>
      </c>
      <c r="O949">
        <v>0</v>
      </c>
      <c r="P949">
        <v>1</v>
      </c>
      <c r="Q949">
        <v>0</v>
      </c>
      <c r="S949" t="str">
        <f t="shared" si="328"/>
        <v>19:28:07.000</v>
      </c>
      <c r="T949" t="str">
        <f t="shared" si="328"/>
        <v>19:28:07.000</v>
      </c>
      <c r="U949" t="str">
        <f t="shared" si="313"/>
        <v>AC3944</v>
      </c>
      <c r="V949">
        <v>0</v>
      </c>
      <c r="W949">
        <v>0</v>
      </c>
      <c r="X949">
        <v>2</v>
      </c>
      <c r="Y949">
        <v>0</v>
      </c>
      <c r="AA949">
        <v>1</v>
      </c>
      <c r="AB949">
        <v>8</v>
      </c>
      <c r="AC949">
        <v>3</v>
      </c>
      <c r="AD949">
        <v>0</v>
      </c>
      <c r="AE949">
        <v>9</v>
      </c>
      <c r="AF949" t="s">
        <v>138</v>
      </c>
      <c r="AG949">
        <v>0</v>
      </c>
      <c r="AH949">
        <v>3</v>
      </c>
      <c r="AI949">
        <v>1</v>
      </c>
      <c r="AJ949">
        <v>0</v>
      </c>
      <c r="AK949" t="s">
        <v>405</v>
      </c>
      <c r="AL949">
        <v>32.809403000000003</v>
      </c>
      <c r="AM949" t="s">
        <v>406</v>
      </c>
      <c r="AN949">
        <v>-116.937253</v>
      </c>
      <c r="AO949">
        <v>25</v>
      </c>
      <c r="AP949">
        <v>2000</v>
      </c>
      <c r="AQ949" t="s">
        <v>129</v>
      </c>
      <c r="AR949">
        <v>111</v>
      </c>
      <c r="AS949">
        <v>-53</v>
      </c>
      <c r="AT949">
        <v>0</v>
      </c>
      <c r="BB949">
        <v>1200</v>
      </c>
      <c r="BC949">
        <v>1</v>
      </c>
      <c r="BD949" t="str">
        <f t="shared" si="314"/>
        <v xml:space="preserve">N887QR  </v>
      </c>
      <c r="BE949">
        <v>1</v>
      </c>
      <c r="BJ949">
        <v>1725</v>
      </c>
      <c r="BK949">
        <v>-275</v>
      </c>
      <c r="BL949" t="s">
        <v>163</v>
      </c>
      <c r="BM949">
        <v>1</v>
      </c>
      <c r="BN949">
        <v>1</v>
      </c>
      <c r="BO949">
        <v>1</v>
      </c>
      <c r="BP949">
        <v>0</v>
      </c>
      <c r="BS949">
        <v>0</v>
      </c>
      <c r="BT949">
        <v>0</v>
      </c>
      <c r="BU949">
        <v>0</v>
      </c>
      <c r="CE949" t="str">
        <f t="shared" si="329"/>
        <v>19:28:07.860</v>
      </c>
      <c r="CF949">
        <v>859682902</v>
      </c>
      <c r="CS949">
        <v>3</v>
      </c>
      <c r="CT949">
        <v>2</v>
      </c>
      <c r="CU949">
        <v>0</v>
      </c>
      <c r="CV949">
        <v>2</v>
      </c>
      <c r="CW949">
        <v>0</v>
      </c>
      <c r="CX949">
        <v>5</v>
      </c>
      <c r="CY949">
        <v>7</v>
      </c>
      <c r="CZ949" t="s">
        <v>131</v>
      </c>
      <c r="DA949">
        <v>300</v>
      </c>
      <c r="DB949">
        <v>0</v>
      </c>
      <c r="DC949" t="s">
        <v>176</v>
      </c>
      <c r="DD949" t="s">
        <v>177</v>
      </c>
      <c r="DG949">
        <v>5374855</v>
      </c>
      <c r="DI949">
        <v>1</v>
      </c>
      <c r="DJ949">
        <v>0</v>
      </c>
      <c r="DK949">
        <v>1</v>
      </c>
      <c r="DL949">
        <v>0</v>
      </c>
      <c r="DM949">
        <v>0</v>
      </c>
      <c r="DN949">
        <v>1</v>
      </c>
      <c r="DO949">
        <v>0</v>
      </c>
      <c r="DP949">
        <v>0</v>
      </c>
      <c r="DQ949">
        <v>0</v>
      </c>
      <c r="DR949">
        <v>0</v>
      </c>
      <c r="DS949">
        <v>0</v>
      </c>
    </row>
    <row r="950" spans="1:123" x14ac:dyDescent="0.3">
      <c r="A950" t="str">
        <f>"10/04/2022 19:28:08.056"</f>
        <v>10/04/2022 19:28:08.056</v>
      </c>
      <c r="C950" t="str">
        <f t="shared" si="327"/>
        <v>FFDDD3C0</v>
      </c>
      <c r="D950" t="s">
        <v>123</v>
      </c>
      <c r="E950">
        <v>7</v>
      </c>
      <c r="F950">
        <v>2007</v>
      </c>
      <c r="G950" t="s">
        <v>124</v>
      </c>
      <c r="J950" t="s">
        <v>125</v>
      </c>
      <c r="K950">
        <v>0</v>
      </c>
      <c r="L950">
        <v>3</v>
      </c>
      <c r="M950">
        <v>0</v>
      </c>
      <c r="N950">
        <v>2</v>
      </c>
      <c r="O950">
        <v>0</v>
      </c>
      <c r="P950">
        <v>1</v>
      </c>
      <c r="Q950">
        <v>0</v>
      </c>
      <c r="S950" t="str">
        <f t="shared" si="328"/>
        <v>19:28:07.000</v>
      </c>
      <c r="T950" t="str">
        <f t="shared" si="328"/>
        <v>19:28:07.000</v>
      </c>
      <c r="U950" t="str">
        <f t="shared" si="313"/>
        <v>AC3944</v>
      </c>
      <c r="V950">
        <v>0</v>
      </c>
      <c r="W950">
        <v>0</v>
      </c>
      <c r="X950">
        <v>2</v>
      </c>
      <c r="Y950">
        <v>0</v>
      </c>
      <c r="AA950">
        <v>1</v>
      </c>
      <c r="AB950">
        <v>8</v>
      </c>
      <c r="AC950">
        <v>3</v>
      </c>
      <c r="AD950">
        <v>0</v>
      </c>
      <c r="AE950">
        <v>9</v>
      </c>
      <c r="AF950" t="s">
        <v>138</v>
      </c>
      <c r="AG950">
        <v>0</v>
      </c>
      <c r="AH950">
        <v>3</v>
      </c>
      <c r="AI950">
        <v>1</v>
      </c>
      <c r="AJ950">
        <v>0</v>
      </c>
      <c r="AK950" t="s">
        <v>405</v>
      </c>
      <c r="AL950">
        <v>32.809403000000003</v>
      </c>
      <c r="AM950" t="s">
        <v>406</v>
      </c>
      <c r="AN950">
        <v>-116.937253</v>
      </c>
      <c r="AO950">
        <v>25</v>
      </c>
      <c r="AP950">
        <v>2000</v>
      </c>
      <c r="AQ950" t="s">
        <v>129</v>
      </c>
      <c r="AR950">
        <v>111</v>
      </c>
      <c r="AS950">
        <v>-53</v>
      </c>
      <c r="AT950">
        <v>0</v>
      </c>
      <c r="BB950">
        <v>1200</v>
      </c>
      <c r="BC950">
        <v>1</v>
      </c>
      <c r="BD950" t="str">
        <f t="shared" si="314"/>
        <v xml:space="preserve">N887QR  </v>
      </c>
      <c r="BE950">
        <v>1</v>
      </c>
      <c r="BJ950">
        <v>1725</v>
      </c>
      <c r="BK950">
        <v>-275</v>
      </c>
      <c r="BL950" t="s">
        <v>163</v>
      </c>
      <c r="BM950">
        <v>1</v>
      </c>
      <c r="BN950">
        <v>1</v>
      </c>
      <c r="BO950">
        <v>1</v>
      </c>
      <c r="BP950">
        <v>0</v>
      </c>
      <c r="BS950">
        <v>0</v>
      </c>
      <c r="BT950">
        <v>0</v>
      </c>
      <c r="BU950">
        <v>0</v>
      </c>
      <c r="CE950" t="str">
        <f t="shared" si="329"/>
        <v>19:28:07.860</v>
      </c>
      <c r="CF950">
        <v>859682902</v>
      </c>
      <c r="CS950">
        <v>3</v>
      </c>
      <c r="CT950">
        <v>2</v>
      </c>
      <c r="CU950">
        <v>0</v>
      </c>
      <c r="CV950">
        <v>2</v>
      </c>
      <c r="CW950">
        <v>0</v>
      </c>
      <c r="CX950">
        <v>5</v>
      </c>
      <c r="CY950">
        <v>7</v>
      </c>
      <c r="CZ950" t="s">
        <v>131</v>
      </c>
      <c r="DA950">
        <v>300</v>
      </c>
      <c r="DB950">
        <v>0</v>
      </c>
      <c r="DC950" t="s">
        <v>176</v>
      </c>
      <c r="DD950" t="s">
        <v>177</v>
      </c>
      <c r="DG950">
        <v>5374855</v>
      </c>
      <c r="DI950">
        <v>1</v>
      </c>
      <c r="DJ950">
        <v>0</v>
      </c>
      <c r="DK950">
        <v>1</v>
      </c>
      <c r="DL950">
        <v>0</v>
      </c>
      <c r="DM950">
        <v>0</v>
      </c>
      <c r="DN950">
        <v>1</v>
      </c>
      <c r="DO950">
        <v>0</v>
      </c>
      <c r="DP950">
        <v>0</v>
      </c>
      <c r="DQ950">
        <v>0</v>
      </c>
      <c r="DR950">
        <v>0</v>
      </c>
      <c r="DS950">
        <v>0</v>
      </c>
    </row>
    <row r="951" spans="1:123" x14ac:dyDescent="0.3">
      <c r="A951" t="str">
        <f>"10/04/2022 19:28:08.071"</f>
        <v>10/04/2022 19:28:08.071</v>
      </c>
      <c r="C951" t="str">
        <f t="shared" si="327"/>
        <v>FFDDD3C0</v>
      </c>
      <c r="D951" t="s">
        <v>141</v>
      </c>
      <c r="E951">
        <v>4</v>
      </c>
      <c r="H951">
        <v>4</v>
      </c>
      <c r="I951" t="s">
        <v>142</v>
      </c>
      <c r="J951" t="s">
        <v>138</v>
      </c>
      <c r="K951">
        <v>0</v>
      </c>
      <c r="L951">
        <v>3</v>
      </c>
      <c r="M951">
        <v>0</v>
      </c>
      <c r="N951">
        <v>2</v>
      </c>
      <c r="O951">
        <v>0</v>
      </c>
      <c r="P951">
        <v>1</v>
      </c>
      <c r="Q951">
        <v>0</v>
      </c>
      <c r="S951" t="str">
        <f t="shared" si="328"/>
        <v>19:28:07.000</v>
      </c>
      <c r="T951" t="str">
        <f t="shared" si="328"/>
        <v>19:28:07.000</v>
      </c>
      <c r="U951" t="str">
        <f t="shared" si="313"/>
        <v>AC3944</v>
      </c>
      <c r="V951">
        <v>0</v>
      </c>
      <c r="W951">
        <v>0</v>
      </c>
      <c r="X951">
        <v>2</v>
      </c>
      <c r="Y951">
        <v>0</v>
      </c>
      <c r="AA951">
        <v>1</v>
      </c>
      <c r="AB951">
        <v>8</v>
      </c>
      <c r="AC951">
        <v>3</v>
      </c>
      <c r="AD951">
        <v>0</v>
      </c>
      <c r="AE951">
        <v>9</v>
      </c>
      <c r="AF951" t="s">
        <v>138</v>
      </c>
      <c r="AG951">
        <v>0</v>
      </c>
      <c r="AH951">
        <v>3</v>
      </c>
      <c r="AI951">
        <v>1</v>
      </c>
      <c r="AJ951">
        <v>0</v>
      </c>
      <c r="AK951" t="s">
        <v>405</v>
      </c>
      <c r="AL951">
        <v>32.809403000000003</v>
      </c>
      <c r="AM951" t="s">
        <v>406</v>
      </c>
      <c r="AN951">
        <v>-116.937253</v>
      </c>
      <c r="AO951">
        <v>25</v>
      </c>
      <c r="AP951">
        <v>2000</v>
      </c>
      <c r="AQ951" t="s">
        <v>129</v>
      </c>
      <c r="AR951">
        <v>111</v>
      </c>
      <c r="AS951">
        <v>-53</v>
      </c>
      <c r="AT951">
        <v>0</v>
      </c>
      <c r="BB951">
        <v>1200</v>
      </c>
      <c r="BC951">
        <v>1</v>
      </c>
      <c r="BD951" t="str">
        <f t="shared" si="314"/>
        <v xml:space="preserve">N887QR  </v>
      </c>
      <c r="BE951">
        <v>1</v>
      </c>
      <c r="BJ951">
        <v>1725</v>
      </c>
      <c r="BK951">
        <v>-275</v>
      </c>
      <c r="BL951" t="s">
        <v>163</v>
      </c>
      <c r="BM951">
        <v>1</v>
      </c>
      <c r="BN951">
        <v>1</v>
      </c>
      <c r="BO951">
        <v>1</v>
      </c>
      <c r="BP951">
        <v>0</v>
      </c>
      <c r="BS951">
        <v>0</v>
      </c>
      <c r="BT951">
        <v>0</v>
      </c>
      <c r="BU951">
        <v>0</v>
      </c>
      <c r="CE951" t="str">
        <f t="shared" si="329"/>
        <v>19:28:07.860</v>
      </c>
      <c r="CF951">
        <v>859682902</v>
      </c>
      <c r="CS951">
        <v>3</v>
      </c>
      <c r="CT951">
        <v>2</v>
      </c>
      <c r="CU951">
        <v>0</v>
      </c>
      <c r="CV951">
        <v>2</v>
      </c>
      <c r="CW951">
        <v>0</v>
      </c>
      <c r="CX951">
        <v>5</v>
      </c>
      <c r="CY951">
        <v>7</v>
      </c>
      <c r="CZ951" t="s">
        <v>131</v>
      </c>
      <c r="DA951">
        <v>300</v>
      </c>
      <c r="DB951">
        <v>0</v>
      </c>
      <c r="DC951" t="s">
        <v>176</v>
      </c>
      <c r="DD951" t="s">
        <v>177</v>
      </c>
      <c r="DG951">
        <v>5374855</v>
      </c>
      <c r="DI951">
        <v>1</v>
      </c>
      <c r="DJ951">
        <v>0</v>
      </c>
      <c r="DK951">
        <v>1</v>
      </c>
      <c r="DL951">
        <v>0</v>
      </c>
      <c r="DM951">
        <v>0</v>
      </c>
      <c r="DN951">
        <v>1</v>
      </c>
      <c r="DO951">
        <v>0</v>
      </c>
      <c r="DP951">
        <v>0</v>
      </c>
      <c r="DQ951">
        <v>0</v>
      </c>
      <c r="DR951">
        <v>0</v>
      </c>
      <c r="DS951">
        <v>0</v>
      </c>
    </row>
    <row r="952" spans="1:123" x14ac:dyDescent="0.3">
      <c r="A952" t="str">
        <f>"10/04/2022 19:28:08.071"</f>
        <v>10/04/2022 19:28:08.071</v>
      </c>
      <c r="C952" t="str">
        <f t="shared" si="327"/>
        <v>FFDDD3C0</v>
      </c>
      <c r="D952" t="s">
        <v>147</v>
      </c>
      <c r="E952">
        <v>3</v>
      </c>
      <c r="H952">
        <v>166</v>
      </c>
      <c r="I952" t="s">
        <v>144</v>
      </c>
      <c r="J952" t="s">
        <v>148</v>
      </c>
      <c r="K952">
        <v>0</v>
      </c>
      <c r="L952">
        <v>3</v>
      </c>
      <c r="M952">
        <v>0</v>
      </c>
      <c r="N952">
        <v>2</v>
      </c>
      <c r="O952">
        <v>0</v>
      </c>
      <c r="P952">
        <v>1</v>
      </c>
      <c r="Q952">
        <v>0</v>
      </c>
      <c r="S952" t="str">
        <f t="shared" si="328"/>
        <v>19:28:07.000</v>
      </c>
      <c r="T952" t="str">
        <f t="shared" si="328"/>
        <v>19:28:07.000</v>
      </c>
      <c r="U952" t="str">
        <f t="shared" si="313"/>
        <v>AC3944</v>
      </c>
      <c r="V952">
        <v>0</v>
      </c>
      <c r="W952">
        <v>0</v>
      </c>
      <c r="X952">
        <v>2</v>
      </c>
      <c r="Y952">
        <v>0</v>
      </c>
      <c r="AA952">
        <v>1</v>
      </c>
      <c r="AB952">
        <v>8</v>
      </c>
      <c r="AC952">
        <v>3</v>
      </c>
      <c r="AD952">
        <v>0</v>
      </c>
      <c r="AE952">
        <v>9</v>
      </c>
      <c r="AF952" t="s">
        <v>138</v>
      </c>
      <c r="AG952">
        <v>0</v>
      </c>
      <c r="AH952">
        <v>3</v>
      </c>
      <c r="AI952">
        <v>1</v>
      </c>
      <c r="AJ952">
        <v>0</v>
      </c>
      <c r="AK952" t="s">
        <v>405</v>
      </c>
      <c r="AL952">
        <v>32.809403000000003</v>
      </c>
      <c r="AM952" t="s">
        <v>406</v>
      </c>
      <c r="AN952">
        <v>-116.937253</v>
      </c>
      <c r="AO952">
        <v>25</v>
      </c>
      <c r="AP952">
        <v>2000</v>
      </c>
      <c r="AQ952" t="s">
        <v>129</v>
      </c>
      <c r="AR952">
        <v>111</v>
      </c>
      <c r="AS952">
        <v>-53</v>
      </c>
      <c r="AT952">
        <v>0</v>
      </c>
      <c r="BB952">
        <v>1200</v>
      </c>
      <c r="BC952">
        <v>1</v>
      </c>
      <c r="BD952" t="str">
        <f t="shared" si="314"/>
        <v xml:space="preserve">N887QR  </v>
      </c>
      <c r="BE952">
        <v>1</v>
      </c>
      <c r="BJ952">
        <v>1725</v>
      </c>
      <c r="BK952">
        <v>-275</v>
      </c>
      <c r="BL952" t="s">
        <v>163</v>
      </c>
      <c r="BM952">
        <v>1</v>
      </c>
      <c r="BN952">
        <v>1</v>
      </c>
      <c r="BO952">
        <v>1</v>
      </c>
      <c r="BP952">
        <v>0</v>
      </c>
      <c r="BS952">
        <v>0</v>
      </c>
      <c r="BT952">
        <v>0</v>
      </c>
      <c r="BU952">
        <v>0</v>
      </c>
      <c r="CE952" t="str">
        <f t="shared" si="329"/>
        <v>19:28:07.860</v>
      </c>
      <c r="CF952">
        <v>859682902</v>
      </c>
      <c r="CS952">
        <v>3</v>
      </c>
      <c r="CT952">
        <v>2</v>
      </c>
      <c r="CU952">
        <v>0</v>
      </c>
      <c r="CV952">
        <v>2</v>
      </c>
      <c r="CW952">
        <v>0</v>
      </c>
      <c r="CX952">
        <v>5</v>
      </c>
      <c r="CY952">
        <v>7</v>
      </c>
      <c r="CZ952" t="s">
        <v>131</v>
      </c>
      <c r="DA952">
        <v>300</v>
      </c>
      <c r="DB952">
        <v>0</v>
      </c>
      <c r="DC952" t="s">
        <v>176</v>
      </c>
      <c r="DD952" t="s">
        <v>177</v>
      </c>
      <c r="DG952">
        <v>5374855</v>
      </c>
      <c r="DI952">
        <v>1</v>
      </c>
      <c r="DJ952">
        <v>0</v>
      </c>
      <c r="DK952">
        <v>1</v>
      </c>
      <c r="DL952">
        <v>0</v>
      </c>
      <c r="DM952">
        <v>0</v>
      </c>
      <c r="DN952">
        <v>1</v>
      </c>
      <c r="DO952">
        <v>0</v>
      </c>
      <c r="DP952">
        <v>0</v>
      </c>
      <c r="DQ952">
        <v>0</v>
      </c>
      <c r="DR952">
        <v>0</v>
      </c>
      <c r="DS952">
        <v>0</v>
      </c>
    </row>
    <row r="953" spans="1:123" x14ac:dyDescent="0.3">
      <c r="A953" t="str">
        <f>"10/04/2022 19:28:08.071"</f>
        <v>10/04/2022 19:28:08.071</v>
      </c>
      <c r="C953" t="str">
        <f t="shared" si="327"/>
        <v>FFDDD3C0</v>
      </c>
      <c r="D953" t="s">
        <v>136</v>
      </c>
      <c r="E953">
        <v>8</v>
      </c>
      <c r="H953">
        <v>225</v>
      </c>
      <c r="I953" t="s">
        <v>137</v>
      </c>
      <c r="J953" t="s">
        <v>138</v>
      </c>
      <c r="K953">
        <v>0</v>
      </c>
      <c r="L953">
        <v>3</v>
      </c>
      <c r="M953">
        <v>0</v>
      </c>
      <c r="N953">
        <v>2</v>
      </c>
      <c r="O953">
        <v>0</v>
      </c>
      <c r="P953">
        <v>1</v>
      </c>
      <c r="Q953">
        <v>0</v>
      </c>
      <c r="S953" t="str">
        <f t="shared" si="328"/>
        <v>19:28:07.000</v>
      </c>
      <c r="T953" t="str">
        <f t="shared" si="328"/>
        <v>19:28:07.000</v>
      </c>
      <c r="U953" t="str">
        <f t="shared" si="313"/>
        <v>AC3944</v>
      </c>
      <c r="V953">
        <v>0</v>
      </c>
      <c r="W953">
        <v>0</v>
      </c>
      <c r="X953">
        <v>2</v>
      </c>
      <c r="Y953">
        <v>0</v>
      </c>
      <c r="AA953">
        <v>1</v>
      </c>
      <c r="AB953">
        <v>8</v>
      </c>
      <c r="AC953">
        <v>3</v>
      </c>
      <c r="AD953">
        <v>0</v>
      </c>
      <c r="AE953">
        <v>9</v>
      </c>
      <c r="AF953" t="s">
        <v>138</v>
      </c>
      <c r="AG953">
        <v>0</v>
      </c>
      <c r="AH953">
        <v>3</v>
      </c>
      <c r="AI953">
        <v>1</v>
      </c>
      <c r="AJ953">
        <v>0</v>
      </c>
      <c r="AK953" t="s">
        <v>405</v>
      </c>
      <c r="AL953">
        <v>32.809403000000003</v>
      </c>
      <c r="AM953" t="s">
        <v>406</v>
      </c>
      <c r="AN953">
        <v>-116.937253</v>
      </c>
      <c r="AO953">
        <v>25</v>
      </c>
      <c r="AP953">
        <v>2000</v>
      </c>
      <c r="AQ953" t="s">
        <v>129</v>
      </c>
      <c r="AR953">
        <v>111</v>
      </c>
      <c r="AS953">
        <v>-53</v>
      </c>
      <c r="AT953">
        <v>0</v>
      </c>
      <c r="BB953">
        <v>1200</v>
      </c>
      <c r="BC953">
        <v>1</v>
      </c>
      <c r="BD953" t="str">
        <f t="shared" si="314"/>
        <v xml:space="preserve">N887QR  </v>
      </c>
      <c r="BE953">
        <v>1</v>
      </c>
      <c r="BJ953">
        <v>1725</v>
      </c>
      <c r="BK953">
        <v>-275</v>
      </c>
      <c r="BL953" t="s">
        <v>163</v>
      </c>
      <c r="BM953">
        <v>1</v>
      </c>
      <c r="BN953">
        <v>1</v>
      </c>
      <c r="BO953">
        <v>1</v>
      </c>
      <c r="BP953">
        <v>0</v>
      </c>
      <c r="BS953">
        <v>0</v>
      </c>
      <c r="BT953">
        <v>0</v>
      </c>
      <c r="BU953">
        <v>0</v>
      </c>
      <c r="CE953" t="str">
        <f t="shared" si="329"/>
        <v>19:28:07.860</v>
      </c>
      <c r="CF953">
        <v>859682902</v>
      </c>
      <c r="CS953">
        <v>3</v>
      </c>
      <c r="CT953">
        <v>2</v>
      </c>
      <c r="CU953">
        <v>0</v>
      </c>
      <c r="CV953">
        <v>2</v>
      </c>
      <c r="CW953">
        <v>0</v>
      </c>
      <c r="CX953">
        <v>5</v>
      </c>
      <c r="CY953">
        <v>7</v>
      </c>
      <c r="CZ953" t="s">
        <v>131</v>
      </c>
      <c r="DA953">
        <v>300</v>
      </c>
      <c r="DB953">
        <v>0</v>
      </c>
      <c r="DC953" t="s">
        <v>176</v>
      </c>
      <c r="DD953" t="s">
        <v>177</v>
      </c>
      <c r="DG953">
        <v>5374855</v>
      </c>
      <c r="DI953">
        <v>1</v>
      </c>
      <c r="DJ953">
        <v>0</v>
      </c>
      <c r="DK953">
        <v>1</v>
      </c>
      <c r="DL953">
        <v>0</v>
      </c>
      <c r="DM953">
        <v>0</v>
      </c>
      <c r="DN953">
        <v>1</v>
      </c>
      <c r="DO953">
        <v>0</v>
      </c>
      <c r="DP953">
        <v>0</v>
      </c>
      <c r="DQ953">
        <v>0</v>
      </c>
      <c r="DR953">
        <v>0</v>
      </c>
      <c r="DS953">
        <v>0</v>
      </c>
    </row>
    <row r="954" spans="1:123" x14ac:dyDescent="0.3">
      <c r="A954" t="str">
        <f>"10/04/2022 19:28:08.071"</f>
        <v>10/04/2022 19:28:08.071</v>
      </c>
      <c r="C954" t="str">
        <f t="shared" si="327"/>
        <v>FFDDD3C0</v>
      </c>
      <c r="D954" t="s">
        <v>134</v>
      </c>
      <c r="E954">
        <v>15</v>
      </c>
      <c r="J954" t="s">
        <v>135</v>
      </c>
      <c r="K954">
        <v>0</v>
      </c>
      <c r="L954">
        <v>3</v>
      </c>
      <c r="M954">
        <v>0</v>
      </c>
      <c r="N954">
        <v>2</v>
      </c>
      <c r="O954">
        <v>0</v>
      </c>
      <c r="P954">
        <v>1</v>
      </c>
      <c r="Q954">
        <v>0</v>
      </c>
      <c r="S954" t="str">
        <f t="shared" si="328"/>
        <v>19:28:07.000</v>
      </c>
      <c r="T954" t="str">
        <f t="shared" si="328"/>
        <v>19:28:07.000</v>
      </c>
      <c r="U954" t="str">
        <f t="shared" si="313"/>
        <v>AC3944</v>
      </c>
      <c r="V954">
        <v>0</v>
      </c>
      <c r="W954">
        <v>0</v>
      </c>
      <c r="X954">
        <v>2</v>
      </c>
      <c r="Y954">
        <v>0</v>
      </c>
      <c r="AA954">
        <v>1</v>
      </c>
      <c r="AB954">
        <v>8</v>
      </c>
      <c r="AC954">
        <v>3</v>
      </c>
      <c r="AD954">
        <v>0</v>
      </c>
      <c r="AE954">
        <v>9</v>
      </c>
      <c r="AF954" t="s">
        <v>138</v>
      </c>
      <c r="AG954">
        <v>0</v>
      </c>
      <c r="AH954">
        <v>3</v>
      </c>
      <c r="AI954">
        <v>1</v>
      </c>
      <c r="AJ954">
        <v>0</v>
      </c>
      <c r="AK954" t="s">
        <v>405</v>
      </c>
      <c r="AL954">
        <v>32.809403000000003</v>
      </c>
      <c r="AM954" t="s">
        <v>406</v>
      </c>
      <c r="AN954">
        <v>-116.937253</v>
      </c>
      <c r="AO954">
        <v>25</v>
      </c>
      <c r="AP954">
        <v>2000</v>
      </c>
      <c r="AQ954" t="s">
        <v>129</v>
      </c>
      <c r="AR954">
        <v>111</v>
      </c>
      <c r="AS954">
        <v>-53</v>
      </c>
      <c r="AT954">
        <v>0</v>
      </c>
      <c r="BB954">
        <v>1200</v>
      </c>
      <c r="BC954">
        <v>1</v>
      </c>
      <c r="BD954" t="str">
        <f t="shared" si="314"/>
        <v xml:space="preserve">N887QR  </v>
      </c>
      <c r="BE954">
        <v>1</v>
      </c>
      <c r="BJ954">
        <v>1725</v>
      </c>
      <c r="BK954">
        <v>-275</v>
      </c>
      <c r="BL954" t="s">
        <v>163</v>
      </c>
      <c r="BM954">
        <v>1</v>
      </c>
      <c r="BN954">
        <v>1</v>
      </c>
      <c r="BO954">
        <v>1</v>
      </c>
      <c r="BP954">
        <v>0</v>
      </c>
      <c r="BS954">
        <v>0</v>
      </c>
      <c r="BT954">
        <v>0</v>
      </c>
      <c r="BU954">
        <v>0</v>
      </c>
      <c r="CE954" t="str">
        <f t="shared" si="329"/>
        <v>19:28:07.860</v>
      </c>
      <c r="CF954">
        <v>859682902</v>
      </c>
      <c r="CS954">
        <v>3</v>
      </c>
      <c r="CT954">
        <v>2</v>
      </c>
      <c r="CU954">
        <v>0</v>
      </c>
      <c r="CV954">
        <v>2</v>
      </c>
      <c r="CW954">
        <v>0</v>
      </c>
      <c r="CX954">
        <v>5</v>
      </c>
      <c r="CY954">
        <v>7</v>
      </c>
      <c r="CZ954" t="s">
        <v>131</v>
      </c>
      <c r="DA954">
        <v>300</v>
      </c>
      <c r="DB954">
        <v>0</v>
      </c>
      <c r="DC954" t="s">
        <v>176</v>
      </c>
      <c r="DD954" t="s">
        <v>177</v>
      </c>
      <c r="DG954">
        <v>5374855</v>
      </c>
      <c r="DI954">
        <v>1</v>
      </c>
      <c r="DJ954">
        <v>0</v>
      </c>
      <c r="DK954">
        <v>1</v>
      </c>
      <c r="DL954">
        <v>0</v>
      </c>
      <c r="DM954">
        <v>0</v>
      </c>
      <c r="DN954">
        <v>1</v>
      </c>
      <c r="DO954">
        <v>0</v>
      </c>
      <c r="DP954">
        <v>0</v>
      </c>
      <c r="DQ954">
        <v>0</v>
      </c>
      <c r="DR954">
        <v>0</v>
      </c>
      <c r="DS954">
        <v>0</v>
      </c>
    </row>
    <row r="955" spans="1:123" x14ac:dyDescent="0.3">
      <c r="A955" t="str">
        <f>"10/04/2022 19:28:08.946"</f>
        <v>10/04/2022 19:28:08.946</v>
      </c>
      <c r="C955" t="str">
        <f t="shared" si="327"/>
        <v>FFDDD3C0</v>
      </c>
      <c r="D955" t="s">
        <v>141</v>
      </c>
      <c r="E955">
        <v>3</v>
      </c>
      <c r="H955">
        <v>3</v>
      </c>
      <c r="I955" t="s">
        <v>146</v>
      </c>
      <c r="J955" t="s">
        <v>138</v>
      </c>
      <c r="K955">
        <v>0</v>
      </c>
      <c r="L955">
        <v>3</v>
      </c>
      <c r="M955">
        <v>0</v>
      </c>
      <c r="N955">
        <v>2</v>
      </c>
      <c r="O955">
        <v>0</v>
      </c>
      <c r="P955">
        <v>1</v>
      </c>
      <c r="Q955">
        <v>0</v>
      </c>
      <c r="S955" t="str">
        <f t="shared" ref="S955:T961" si="330">"19:28:08.000"</f>
        <v>19:28:08.000</v>
      </c>
      <c r="T955" t="str">
        <f t="shared" si="330"/>
        <v>19:28:08.000</v>
      </c>
      <c r="U955" t="str">
        <f t="shared" si="313"/>
        <v>AC3944</v>
      </c>
      <c r="V955">
        <v>0</v>
      </c>
      <c r="W955">
        <v>0</v>
      </c>
      <c r="X955">
        <v>2</v>
      </c>
      <c r="Y955">
        <v>0</v>
      </c>
      <c r="AA955">
        <v>1</v>
      </c>
      <c r="AB955">
        <v>8</v>
      </c>
      <c r="AC955">
        <v>3</v>
      </c>
      <c r="AD955">
        <v>0</v>
      </c>
      <c r="AE955">
        <v>9</v>
      </c>
      <c r="AF955" t="s">
        <v>138</v>
      </c>
      <c r="AG955">
        <v>0</v>
      </c>
      <c r="AH955">
        <v>3</v>
      </c>
      <c r="AI955">
        <v>1</v>
      </c>
      <c r="AJ955">
        <v>0</v>
      </c>
      <c r="AK955" t="s">
        <v>407</v>
      </c>
      <c r="AL955">
        <v>32.809145000000001</v>
      </c>
      <c r="AM955" t="s">
        <v>408</v>
      </c>
      <c r="AN955">
        <v>-116.93663100000001</v>
      </c>
      <c r="AO955">
        <v>25</v>
      </c>
      <c r="AP955">
        <v>2000</v>
      </c>
      <c r="AQ955" t="s">
        <v>129</v>
      </c>
      <c r="AR955">
        <v>112</v>
      </c>
      <c r="AS955">
        <v>-51</v>
      </c>
      <c r="AT955">
        <v>-128</v>
      </c>
      <c r="BB955">
        <v>1200</v>
      </c>
      <c r="BC955">
        <v>1</v>
      </c>
      <c r="BD955" t="str">
        <f t="shared" si="314"/>
        <v xml:space="preserve">N887QR  </v>
      </c>
      <c r="BE955">
        <v>1</v>
      </c>
      <c r="BJ955">
        <v>1725</v>
      </c>
      <c r="BK955">
        <v>-275</v>
      </c>
      <c r="BL955" t="s">
        <v>163</v>
      </c>
      <c r="BM955">
        <v>1</v>
      </c>
      <c r="BN955">
        <v>1</v>
      </c>
      <c r="BO955">
        <v>1</v>
      </c>
      <c r="BP955">
        <v>0</v>
      </c>
      <c r="BS955">
        <v>0</v>
      </c>
      <c r="BT955">
        <v>0</v>
      </c>
      <c r="BU955">
        <v>0</v>
      </c>
      <c r="CE955" t="str">
        <f t="shared" ref="CE955:CE961" si="331">"19:28:08.762"</f>
        <v>19:28:08.762</v>
      </c>
      <c r="CF955">
        <v>761935824</v>
      </c>
      <c r="CS955">
        <v>3</v>
      </c>
      <c r="CT955">
        <v>2</v>
      </c>
      <c r="CU955">
        <v>0</v>
      </c>
      <c r="CV955">
        <v>2</v>
      </c>
      <c r="CW955">
        <v>0</v>
      </c>
      <c r="CX955">
        <v>5</v>
      </c>
      <c r="CY955">
        <v>7</v>
      </c>
      <c r="CZ955" t="s">
        <v>131</v>
      </c>
      <c r="DA955">
        <v>300</v>
      </c>
      <c r="DB955">
        <v>0</v>
      </c>
      <c r="DC955" t="s">
        <v>176</v>
      </c>
      <c r="DD955" t="s">
        <v>177</v>
      </c>
      <c r="DG955">
        <v>5375002</v>
      </c>
      <c r="DI955">
        <v>1</v>
      </c>
      <c r="DJ955">
        <v>0</v>
      </c>
      <c r="DK955">
        <v>0</v>
      </c>
      <c r="DL955">
        <v>0</v>
      </c>
      <c r="DM955">
        <v>0</v>
      </c>
      <c r="DN955">
        <v>1</v>
      </c>
      <c r="DO955">
        <v>0</v>
      </c>
      <c r="DP955">
        <v>0</v>
      </c>
      <c r="DQ955">
        <v>0</v>
      </c>
      <c r="DR955">
        <v>0</v>
      </c>
      <c r="DS955">
        <v>0</v>
      </c>
    </row>
    <row r="956" spans="1:123" x14ac:dyDescent="0.3">
      <c r="A956" t="str">
        <f>"10/04/2022 19:28:08.978"</f>
        <v>10/04/2022 19:28:08.978</v>
      </c>
      <c r="C956" t="str">
        <f t="shared" si="327"/>
        <v>FFDDD3C0</v>
      </c>
      <c r="D956" t="s">
        <v>141</v>
      </c>
      <c r="E956">
        <v>4</v>
      </c>
      <c r="H956">
        <v>4</v>
      </c>
      <c r="I956" t="s">
        <v>142</v>
      </c>
      <c r="J956" t="s">
        <v>138</v>
      </c>
      <c r="K956">
        <v>0</v>
      </c>
      <c r="L956">
        <v>3</v>
      </c>
      <c r="M956">
        <v>0</v>
      </c>
      <c r="N956">
        <v>2</v>
      </c>
      <c r="O956">
        <v>0</v>
      </c>
      <c r="P956">
        <v>1</v>
      </c>
      <c r="Q956">
        <v>0</v>
      </c>
      <c r="S956" t="str">
        <f t="shared" si="330"/>
        <v>19:28:08.000</v>
      </c>
      <c r="T956" t="str">
        <f t="shared" si="330"/>
        <v>19:28:08.000</v>
      </c>
      <c r="U956" t="str">
        <f t="shared" si="313"/>
        <v>AC3944</v>
      </c>
      <c r="V956">
        <v>0</v>
      </c>
      <c r="W956">
        <v>0</v>
      </c>
      <c r="X956">
        <v>2</v>
      </c>
      <c r="Y956">
        <v>0</v>
      </c>
      <c r="AA956">
        <v>1</v>
      </c>
      <c r="AB956">
        <v>8</v>
      </c>
      <c r="AC956">
        <v>3</v>
      </c>
      <c r="AD956">
        <v>0</v>
      </c>
      <c r="AE956">
        <v>9</v>
      </c>
      <c r="AF956" t="s">
        <v>138</v>
      </c>
      <c r="AG956">
        <v>0</v>
      </c>
      <c r="AH956">
        <v>3</v>
      </c>
      <c r="AI956">
        <v>1</v>
      </c>
      <c r="AJ956">
        <v>0</v>
      </c>
      <c r="AK956" t="s">
        <v>407</v>
      </c>
      <c r="AL956">
        <v>32.809145000000001</v>
      </c>
      <c r="AM956" t="s">
        <v>408</v>
      </c>
      <c r="AN956">
        <v>-116.93663100000001</v>
      </c>
      <c r="AO956">
        <v>25</v>
      </c>
      <c r="AP956">
        <v>2000</v>
      </c>
      <c r="AQ956" t="s">
        <v>129</v>
      </c>
      <c r="AR956">
        <v>112</v>
      </c>
      <c r="AS956">
        <v>-51</v>
      </c>
      <c r="AT956">
        <v>-128</v>
      </c>
      <c r="BB956">
        <v>1200</v>
      </c>
      <c r="BC956">
        <v>1</v>
      </c>
      <c r="BD956" t="str">
        <f t="shared" si="314"/>
        <v xml:space="preserve">N887QR  </v>
      </c>
      <c r="BE956">
        <v>1</v>
      </c>
      <c r="BJ956">
        <v>1725</v>
      </c>
      <c r="BK956">
        <v>-275</v>
      </c>
      <c r="BL956" t="s">
        <v>163</v>
      </c>
      <c r="BM956">
        <v>1</v>
      </c>
      <c r="BN956">
        <v>1</v>
      </c>
      <c r="BO956">
        <v>1</v>
      </c>
      <c r="BP956">
        <v>0</v>
      </c>
      <c r="BS956">
        <v>0</v>
      </c>
      <c r="BT956">
        <v>0</v>
      </c>
      <c r="BU956">
        <v>0</v>
      </c>
      <c r="CE956" t="str">
        <f t="shared" si="331"/>
        <v>19:28:08.762</v>
      </c>
      <c r="CF956">
        <v>761935824</v>
      </c>
      <c r="CS956">
        <v>3</v>
      </c>
      <c r="CT956">
        <v>2</v>
      </c>
      <c r="CU956">
        <v>0</v>
      </c>
      <c r="CV956">
        <v>2</v>
      </c>
      <c r="CW956">
        <v>0</v>
      </c>
      <c r="CX956">
        <v>5</v>
      </c>
      <c r="CY956">
        <v>7</v>
      </c>
      <c r="CZ956" t="s">
        <v>131</v>
      </c>
      <c r="DA956">
        <v>300</v>
      </c>
      <c r="DB956">
        <v>0</v>
      </c>
      <c r="DC956" t="s">
        <v>176</v>
      </c>
      <c r="DD956" t="s">
        <v>177</v>
      </c>
      <c r="DG956">
        <v>5375002</v>
      </c>
      <c r="DI956">
        <v>1</v>
      </c>
      <c r="DJ956">
        <v>0</v>
      </c>
      <c r="DK956">
        <v>1</v>
      </c>
      <c r="DL956">
        <v>0</v>
      </c>
      <c r="DM956">
        <v>0</v>
      </c>
      <c r="DN956">
        <v>1</v>
      </c>
      <c r="DO956">
        <v>0</v>
      </c>
      <c r="DP956">
        <v>0</v>
      </c>
      <c r="DQ956">
        <v>0</v>
      </c>
      <c r="DR956">
        <v>0</v>
      </c>
      <c r="DS956">
        <v>0</v>
      </c>
    </row>
    <row r="957" spans="1:123" x14ac:dyDescent="0.3">
      <c r="A957" t="str">
        <f>"10/04/2022 19:28:08.978"</f>
        <v>10/04/2022 19:28:08.978</v>
      </c>
      <c r="C957" t="str">
        <f t="shared" si="327"/>
        <v>FFDDD3C0</v>
      </c>
      <c r="D957" t="s">
        <v>147</v>
      </c>
      <c r="E957">
        <v>3</v>
      </c>
      <c r="H957">
        <v>166</v>
      </c>
      <c r="I957" t="s">
        <v>144</v>
      </c>
      <c r="J957" t="s">
        <v>148</v>
      </c>
      <c r="K957">
        <v>0</v>
      </c>
      <c r="L957">
        <v>3</v>
      </c>
      <c r="M957">
        <v>0</v>
      </c>
      <c r="N957">
        <v>2</v>
      </c>
      <c r="O957">
        <v>0</v>
      </c>
      <c r="P957">
        <v>1</v>
      </c>
      <c r="Q957">
        <v>0</v>
      </c>
      <c r="S957" t="str">
        <f t="shared" si="330"/>
        <v>19:28:08.000</v>
      </c>
      <c r="T957" t="str">
        <f t="shared" si="330"/>
        <v>19:28:08.000</v>
      </c>
      <c r="U957" t="str">
        <f t="shared" si="313"/>
        <v>AC3944</v>
      </c>
      <c r="V957">
        <v>0</v>
      </c>
      <c r="W957">
        <v>0</v>
      </c>
      <c r="X957">
        <v>2</v>
      </c>
      <c r="Y957">
        <v>0</v>
      </c>
      <c r="AA957">
        <v>1</v>
      </c>
      <c r="AB957">
        <v>8</v>
      </c>
      <c r="AC957">
        <v>3</v>
      </c>
      <c r="AD957">
        <v>0</v>
      </c>
      <c r="AE957">
        <v>9</v>
      </c>
      <c r="AF957" t="s">
        <v>138</v>
      </c>
      <c r="AG957">
        <v>0</v>
      </c>
      <c r="AH957">
        <v>3</v>
      </c>
      <c r="AI957">
        <v>1</v>
      </c>
      <c r="AJ957">
        <v>0</v>
      </c>
      <c r="AK957" t="s">
        <v>407</v>
      </c>
      <c r="AL957">
        <v>32.809145000000001</v>
      </c>
      <c r="AM957" t="s">
        <v>408</v>
      </c>
      <c r="AN957">
        <v>-116.93663100000001</v>
      </c>
      <c r="AO957">
        <v>25</v>
      </c>
      <c r="AP957">
        <v>2000</v>
      </c>
      <c r="AQ957" t="s">
        <v>129</v>
      </c>
      <c r="AR957">
        <v>112</v>
      </c>
      <c r="AS957">
        <v>-51</v>
      </c>
      <c r="AT957">
        <v>-128</v>
      </c>
      <c r="BB957">
        <v>1200</v>
      </c>
      <c r="BC957">
        <v>1</v>
      </c>
      <c r="BD957" t="str">
        <f t="shared" si="314"/>
        <v xml:space="preserve">N887QR  </v>
      </c>
      <c r="BE957">
        <v>1</v>
      </c>
      <c r="BJ957">
        <v>1725</v>
      </c>
      <c r="BK957">
        <v>-275</v>
      </c>
      <c r="BL957" t="s">
        <v>163</v>
      </c>
      <c r="BM957">
        <v>1</v>
      </c>
      <c r="BN957">
        <v>1</v>
      </c>
      <c r="BO957">
        <v>1</v>
      </c>
      <c r="BP957">
        <v>0</v>
      </c>
      <c r="BS957">
        <v>0</v>
      </c>
      <c r="BT957">
        <v>0</v>
      </c>
      <c r="BU957">
        <v>0</v>
      </c>
      <c r="CE957" t="str">
        <f t="shared" si="331"/>
        <v>19:28:08.762</v>
      </c>
      <c r="CF957">
        <v>761935824</v>
      </c>
      <c r="CS957">
        <v>3</v>
      </c>
      <c r="CT957">
        <v>2</v>
      </c>
      <c r="CU957">
        <v>0</v>
      </c>
      <c r="CV957">
        <v>2</v>
      </c>
      <c r="CW957">
        <v>0</v>
      </c>
      <c r="CX957">
        <v>5</v>
      </c>
      <c r="CY957">
        <v>7</v>
      </c>
      <c r="CZ957" t="s">
        <v>131</v>
      </c>
      <c r="DA957">
        <v>300</v>
      </c>
      <c r="DB957">
        <v>0</v>
      </c>
      <c r="DC957" t="s">
        <v>176</v>
      </c>
      <c r="DD957" t="s">
        <v>177</v>
      </c>
      <c r="DG957">
        <v>5375002</v>
      </c>
      <c r="DI957">
        <v>1</v>
      </c>
      <c r="DJ957">
        <v>0</v>
      </c>
      <c r="DK957">
        <v>1</v>
      </c>
      <c r="DL957">
        <v>0</v>
      </c>
      <c r="DM957">
        <v>0</v>
      </c>
      <c r="DN957">
        <v>1</v>
      </c>
      <c r="DO957">
        <v>0</v>
      </c>
      <c r="DP957">
        <v>0</v>
      </c>
      <c r="DQ957">
        <v>0</v>
      </c>
      <c r="DR957">
        <v>0</v>
      </c>
      <c r="DS957">
        <v>0</v>
      </c>
    </row>
    <row r="958" spans="1:123" x14ac:dyDescent="0.3">
      <c r="A958" t="str">
        <f>"10/04/2022 19:28:08.993"</f>
        <v>10/04/2022 19:28:08.993</v>
      </c>
      <c r="C958" t="str">
        <f t="shared" si="327"/>
        <v>FFDDD3C0</v>
      </c>
      <c r="D958" t="s">
        <v>136</v>
      </c>
      <c r="E958">
        <v>8</v>
      </c>
      <c r="H958">
        <v>225</v>
      </c>
      <c r="I958" t="s">
        <v>137</v>
      </c>
      <c r="J958" t="s">
        <v>138</v>
      </c>
      <c r="K958">
        <v>0</v>
      </c>
      <c r="L958">
        <v>3</v>
      </c>
      <c r="M958">
        <v>0</v>
      </c>
      <c r="N958">
        <v>2</v>
      </c>
      <c r="O958">
        <v>0</v>
      </c>
      <c r="P958">
        <v>1</v>
      </c>
      <c r="Q958">
        <v>0</v>
      </c>
      <c r="S958" t="str">
        <f t="shared" si="330"/>
        <v>19:28:08.000</v>
      </c>
      <c r="T958" t="str">
        <f t="shared" si="330"/>
        <v>19:28:08.000</v>
      </c>
      <c r="U958" t="str">
        <f t="shared" si="313"/>
        <v>AC3944</v>
      </c>
      <c r="V958">
        <v>0</v>
      </c>
      <c r="W958">
        <v>0</v>
      </c>
      <c r="X958">
        <v>2</v>
      </c>
      <c r="Y958">
        <v>0</v>
      </c>
      <c r="AA958">
        <v>1</v>
      </c>
      <c r="AB958">
        <v>8</v>
      </c>
      <c r="AC958">
        <v>3</v>
      </c>
      <c r="AD958">
        <v>0</v>
      </c>
      <c r="AE958">
        <v>9</v>
      </c>
      <c r="AF958" t="s">
        <v>138</v>
      </c>
      <c r="AG958">
        <v>0</v>
      </c>
      <c r="AH958">
        <v>3</v>
      </c>
      <c r="AI958">
        <v>1</v>
      </c>
      <c r="AJ958">
        <v>0</v>
      </c>
      <c r="AK958" t="s">
        <v>407</v>
      </c>
      <c r="AL958">
        <v>32.809145000000001</v>
      </c>
      <c r="AM958" t="s">
        <v>408</v>
      </c>
      <c r="AN958">
        <v>-116.93663100000001</v>
      </c>
      <c r="AO958">
        <v>25</v>
      </c>
      <c r="AP958">
        <v>2000</v>
      </c>
      <c r="AQ958" t="s">
        <v>129</v>
      </c>
      <c r="AR958">
        <v>112</v>
      </c>
      <c r="AS958">
        <v>-51</v>
      </c>
      <c r="AT958">
        <v>-128</v>
      </c>
      <c r="BB958">
        <v>1200</v>
      </c>
      <c r="BC958">
        <v>1</v>
      </c>
      <c r="BD958" t="str">
        <f t="shared" si="314"/>
        <v xml:space="preserve">N887QR  </v>
      </c>
      <c r="BE958">
        <v>1</v>
      </c>
      <c r="BJ958">
        <v>1725</v>
      </c>
      <c r="BK958">
        <v>-275</v>
      </c>
      <c r="BL958" t="s">
        <v>163</v>
      </c>
      <c r="BM958">
        <v>1</v>
      </c>
      <c r="BN958">
        <v>1</v>
      </c>
      <c r="BO958">
        <v>1</v>
      </c>
      <c r="BP958">
        <v>0</v>
      </c>
      <c r="BS958">
        <v>0</v>
      </c>
      <c r="BT958">
        <v>0</v>
      </c>
      <c r="BU958">
        <v>0</v>
      </c>
      <c r="CE958" t="str">
        <f t="shared" si="331"/>
        <v>19:28:08.762</v>
      </c>
      <c r="CF958">
        <v>761935824</v>
      </c>
      <c r="CS958">
        <v>3</v>
      </c>
      <c r="CT958">
        <v>2</v>
      </c>
      <c r="CU958">
        <v>0</v>
      </c>
      <c r="CV958">
        <v>2</v>
      </c>
      <c r="CW958">
        <v>0</v>
      </c>
      <c r="CX958">
        <v>5</v>
      </c>
      <c r="CY958">
        <v>7</v>
      </c>
      <c r="CZ958" t="s">
        <v>131</v>
      </c>
      <c r="DA958">
        <v>300</v>
      </c>
      <c r="DB958">
        <v>0</v>
      </c>
      <c r="DC958" t="s">
        <v>176</v>
      </c>
      <c r="DD958" t="s">
        <v>177</v>
      </c>
      <c r="DG958">
        <v>5375002</v>
      </c>
      <c r="DI958">
        <v>1</v>
      </c>
      <c r="DJ958">
        <v>0</v>
      </c>
      <c r="DK958">
        <v>1</v>
      </c>
      <c r="DL958">
        <v>0</v>
      </c>
      <c r="DM958">
        <v>0</v>
      </c>
      <c r="DN958">
        <v>1</v>
      </c>
      <c r="DO958">
        <v>0</v>
      </c>
      <c r="DP958">
        <v>0</v>
      </c>
      <c r="DQ958">
        <v>0</v>
      </c>
      <c r="DR958">
        <v>0</v>
      </c>
      <c r="DS958">
        <v>0</v>
      </c>
    </row>
    <row r="959" spans="1:123" x14ac:dyDescent="0.3">
      <c r="A959" t="str">
        <f>"10/04/2022 19:28:08.993"</f>
        <v>10/04/2022 19:28:08.993</v>
      </c>
      <c r="C959" t="str">
        <f t="shared" si="327"/>
        <v>FFDDD3C0</v>
      </c>
      <c r="D959" t="s">
        <v>134</v>
      </c>
      <c r="E959">
        <v>15</v>
      </c>
      <c r="J959" t="s">
        <v>135</v>
      </c>
      <c r="K959">
        <v>0</v>
      </c>
      <c r="L959">
        <v>3</v>
      </c>
      <c r="M959">
        <v>0</v>
      </c>
      <c r="N959">
        <v>2</v>
      </c>
      <c r="O959">
        <v>0</v>
      </c>
      <c r="P959">
        <v>1</v>
      </c>
      <c r="Q959">
        <v>0</v>
      </c>
      <c r="S959" t="str">
        <f t="shared" si="330"/>
        <v>19:28:08.000</v>
      </c>
      <c r="T959" t="str">
        <f t="shared" si="330"/>
        <v>19:28:08.000</v>
      </c>
      <c r="U959" t="str">
        <f t="shared" si="313"/>
        <v>AC3944</v>
      </c>
      <c r="V959">
        <v>0</v>
      </c>
      <c r="W959">
        <v>0</v>
      </c>
      <c r="X959">
        <v>2</v>
      </c>
      <c r="Y959">
        <v>0</v>
      </c>
      <c r="AA959">
        <v>1</v>
      </c>
      <c r="AB959">
        <v>8</v>
      </c>
      <c r="AC959">
        <v>3</v>
      </c>
      <c r="AD959">
        <v>0</v>
      </c>
      <c r="AE959">
        <v>9</v>
      </c>
      <c r="AF959" t="s">
        <v>138</v>
      </c>
      <c r="AG959">
        <v>0</v>
      </c>
      <c r="AH959">
        <v>3</v>
      </c>
      <c r="AI959">
        <v>1</v>
      </c>
      <c r="AJ959">
        <v>0</v>
      </c>
      <c r="AK959" t="s">
        <v>407</v>
      </c>
      <c r="AL959">
        <v>32.809145000000001</v>
      </c>
      <c r="AM959" t="s">
        <v>408</v>
      </c>
      <c r="AN959">
        <v>-116.93663100000001</v>
      </c>
      <c r="AO959">
        <v>25</v>
      </c>
      <c r="AP959">
        <v>2000</v>
      </c>
      <c r="AQ959" t="s">
        <v>129</v>
      </c>
      <c r="AR959">
        <v>112</v>
      </c>
      <c r="AS959">
        <v>-51</v>
      </c>
      <c r="AT959">
        <v>-128</v>
      </c>
      <c r="BB959">
        <v>1200</v>
      </c>
      <c r="BC959">
        <v>1</v>
      </c>
      <c r="BD959" t="str">
        <f t="shared" si="314"/>
        <v xml:space="preserve">N887QR  </v>
      </c>
      <c r="BE959">
        <v>1</v>
      </c>
      <c r="BJ959">
        <v>1725</v>
      </c>
      <c r="BK959">
        <v>-275</v>
      </c>
      <c r="BL959" t="s">
        <v>163</v>
      </c>
      <c r="BM959">
        <v>1</v>
      </c>
      <c r="BN959">
        <v>1</v>
      </c>
      <c r="BO959">
        <v>1</v>
      </c>
      <c r="BP959">
        <v>0</v>
      </c>
      <c r="BS959">
        <v>0</v>
      </c>
      <c r="BT959">
        <v>0</v>
      </c>
      <c r="BU959">
        <v>0</v>
      </c>
      <c r="CE959" t="str">
        <f t="shared" si="331"/>
        <v>19:28:08.762</v>
      </c>
      <c r="CF959">
        <v>761935824</v>
      </c>
      <c r="CS959">
        <v>3</v>
      </c>
      <c r="CT959">
        <v>2</v>
      </c>
      <c r="CU959">
        <v>0</v>
      </c>
      <c r="CV959">
        <v>2</v>
      </c>
      <c r="CW959">
        <v>0</v>
      </c>
      <c r="CX959">
        <v>5</v>
      </c>
      <c r="CY959">
        <v>7</v>
      </c>
      <c r="CZ959" t="s">
        <v>131</v>
      </c>
      <c r="DA959">
        <v>300</v>
      </c>
      <c r="DB959">
        <v>0</v>
      </c>
      <c r="DC959" t="s">
        <v>176</v>
      </c>
      <c r="DD959" t="s">
        <v>177</v>
      </c>
      <c r="DG959">
        <v>5375002</v>
      </c>
      <c r="DI959">
        <v>1</v>
      </c>
      <c r="DJ959">
        <v>0</v>
      </c>
      <c r="DK959">
        <v>1</v>
      </c>
      <c r="DL959">
        <v>0</v>
      </c>
      <c r="DM959">
        <v>0</v>
      </c>
      <c r="DN959">
        <v>1</v>
      </c>
      <c r="DO959">
        <v>0</v>
      </c>
      <c r="DP959">
        <v>0</v>
      </c>
      <c r="DQ959">
        <v>0</v>
      </c>
      <c r="DR959">
        <v>0</v>
      </c>
      <c r="DS959">
        <v>0</v>
      </c>
    </row>
    <row r="960" spans="1:123" x14ac:dyDescent="0.3">
      <c r="A960" t="str">
        <f>"10/04/2022 19:28:08.993"</f>
        <v>10/04/2022 19:28:08.993</v>
      </c>
      <c r="C960" t="str">
        <f t="shared" si="327"/>
        <v>FFDDD3C0</v>
      </c>
      <c r="D960" t="s">
        <v>143</v>
      </c>
      <c r="E960">
        <v>20</v>
      </c>
      <c r="F960">
        <v>1020</v>
      </c>
      <c r="G960" t="s">
        <v>144</v>
      </c>
      <c r="J960" t="s">
        <v>145</v>
      </c>
      <c r="K960">
        <v>0</v>
      </c>
      <c r="L960">
        <v>3</v>
      </c>
      <c r="M960">
        <v>0</v>
      </c>
      <c r="N960">
        <v>2</v>
      </c>
      <c r="O960">
        <v>0</v>
      </c>
      <c r="P960">
        <v>1</v>
      </c>
      <c r="Q960">
        <v>0</v>
      </c>
      <c r="S960" t="str">
        <f t="shared" si="330"/>
        <v>19:28:08.000</v>
      </c>
      <c r="T960" t="str">
        <f t="shared" si="330"/>
        <v>19:28:08.000</v>
      </c>
      <c r="U960" t="str">
        <f t="shared" si="313"/>
        <v>AC3944</v>
      </c>
      <c r="V960">
        <v>0</v>
      </c>
      <c r="W960">
        <v>0</v>
      </c>
      <c r="X960">
        <v>2</v>
      </c>
      <c r="Y960">
        <v>0</v>
      </c>
      <c r="AA960">
        <v>1</v>
      </c>
      <c r="AB960">
        <v>8</v>
      </c>
      <c r="AC960">
        <v>3</v>
      </c>
      <c r="AD960">
        <v>0</v>
      </c>
      <c r="AE960">
        <v>9</v>
      </c>
      <c r="AF960" t="s">
        <v>138</v>
      </c>
      <c r="AG960">
        <v>0</v>
      </c>
      <c r="AH960">
        <v>3</v>
      </c>
      <c r="AI960">
        <v>1</v>
      </c>
      <c r="AJ960">
        <v>0</v>
      </c>
      <c r="AK960" t="s">
        <v>407</v>
      </c>
      <c r="AL960">
        <v>32.809145000000001</v>
      </c>
      <c r="AM960" t="s">
        <v>408</v>
      </c>
      <c r="AN960">
        <v>-116.93663100000001</v>
      </c>
      <c r="AO960">
        <v>25</v>
      </c>
      <c r="AP960">
        <v>2000</v>
      </c>
      <c r="AQ960" t="s">
        <v>129</v>
      </c>
      <c r="AR960">
        <v>112</v>
      </c>
      <c r="AS960">
        <v>-51</v>
      </c>
      <c r="AT960">
        <v>-128</v>
      </c>
      <c r="BB960">
        <v>1200</v>
      </c>
      <c r="BC960">
        <v>1</v>
      </c>
      <c r="BD960" t="str">
        <f t="shared" si="314"/>
        <v xml:space="preserve">N887QR  </v>
      </c>
      <c r="BE960">
        <v>1</v>
      </c>
      <c r="BJ960">
        <v>1725</v>
      </c>
      <c r="BK960">
        <v>-275</v>
      </c>
      <c r="BL960" t="s">
        <v>163</v>
      </c>
      <c r="BM960">
        <v>1</v>
      </c>
      <c r="BN960">
        <v>1</v>
      </c>
      <c r="BO960">
        <v>1</v>
      </c>
      <c r="BP960">
        <v>0</v>
      </c>
      <c r="BS960">
        <v>0</v>
      </c>
      <c r="BT960">
        <v>0</v>
      </c>
      <c r="BU960">
        <v>0</v>
      </c>
      <c r="CE960" t="str">
        <f t="shared" si="331"/>
        <v>19:28:08.762</v>
      </c>
      <c r="CF960">
        <v>761935824</v>
      </c>
      <c r="CS960">
        <v>3</v>
      </c>
      <c r="CT960">
        <v>2</v>
      </c>
      <c r="CU960">
        <v>0</v>
      </c>
      <c r="CV960">
        <v>2</v>
      </c>
      <c r="CW960">
        <v>0</v>
      </c>
      <c r="CX960">
        <v>5</v>
      </c>
      <c r="CY960">
        <v>7</v>
      </c>
      <c r="CZ960" t="s">
        <v>131</v>
      </c>
      <c r="DA960">
        <v>300</v>
      </c>
      <c r="DB960">
        <v>0</v>
      </c>
      <c r="DC960" t="s">
        <v>176</v>
      </c>
      <c r="DD960" t="s">
        <v>177</v>
      </c>
      <c r="DG960">
        <v>5375002</v>
      </c>
      <c r="DI960">
        <v>1</v>
      </c>
      <c r="DJ960">
        <v>0</v>
      </c>
      <c r="DK960">
        <v>1</v>
      </c>
      <c r="DL960">
        <v>0</v>
      </c>
      <c r="DM960">
        <v>0</v>
      </c>
      <c r="DN960">
        <v>1</v>
      </c>
      <c r="DO960">
        <v>0</v>
      </c>
      <c r="DP960">
        <v>0</v>
      </c>
      <c r="DQ960">
        <v>0</v>
      </c>
      <c r="DR960">
        <v>0</v>
      </c>
      <c r="DS960">
        <v>0</v>
      </c>
    </row>
    <row r="961" spans="1:123" x14ac:dyDescent="0.3">
      <c r="A961" t="str">
        <f>"10/04/2022 19:28:09.009"</f>
        <v>10/04/2022 19:28:09.009</v>
      </c>
      <c r="C961" t="str">
        <f t="shared" si="327"/>
        <v>FFDDD3C0</v>
      </c>
      <c r="D961" t="s">
        <v>123</v>
      </c>
      <c r="E961">
        <v>7</v>
      </c>
      <c r="F961">
        <v>2007</v>
      </c>
      <c r="G961" t="s">
        <v>124</v>
      </c>
      <c r="J961" t="s">
        <v>125</v>
      </c>
      <c r="K961">
        <v>0</v>
      </c>
      <c r="L961">
        <v>3</v>
      </c>
      <c r="M961">
        <v>0</v>
      </c>
      <c r="N961">
        <v>2</v>
      </c>
      <c r="O961">
        <v>0</v>
      </c>
      <c r="P961">
        <v>1</v>
      </c>
      <c r="Q961">
        <v>0</v>
      </c>
      <c r="S961" t="str">
        <f t="shared" si="330"/>
        <v>19:28:08.000</v>
      </c>
      <c r="T961" t="str">
        <f t="shared" si="330"/>
        <v>19:28:08.000</v>
      </c>
      <c r="U961" t="str">
        <f t="shared" si="313"/>
        <v>AC3944</v>
      </c>
      <c r="V961">
        <v>0</v>
      </c>
      <c r="W961">
        <v>0</v>
      </c>
      <c r="X961">
        <v>2</v>
      </c>
      <c r="Y961">
        <v>0</v>
      </c>
      <c r="AA961">
        <v>1</v>
      </c>
      <c r="AB961">
        <v>8</v>
      </c>
      <c r="AC961">
        <v>3</v>
      </c>
      <c r="AD961">
        <v>0</v>
      </c>
      <c r="AE961">
        <v>9</v>
      </c>
      <c r="AF961" t="s">
        <v>138</v>
      </c>
      <c r="AG961">
        <v>0</v>
      </c>
      <c r="AH961">
        <v>3</v>
      </c>
      <c r="AI961">
        <v>1</v>
      </c>
      <c r="AJ961">
        <v>0</v>
      </c>
      <c r="AK961" t="s">
        <v>407</v>
      </c>
      <c r="AL961">
        <v>32.809145000000001</v>
      </c>
      <c r="AM961" t="s">
        <v>408</v>
      </c>
      <c r="AN961">
        <v>-116.93663100000001</v>
      </c>
      <c r="AO961">
        <v>25</v>
      </c>
      <c r="AP961">
        <v>2000</v>
      </c>
      <c r="AQ961" t="s">
        <v>129</v>
      </c>
      <c r="AR961">
        <v>112</v>
      </c>
      <c r="AS961">
        <v>-51</v>
      </c>
      <c r="AT961">
        <v>-128</v>
      </c>
      <c r="BB961">
        <v>1200</v>
      </c>
      <c r="BC961">
        <v>1</v>
      </c>
      <c r="BD961" t="str">
        <f t="shared" si="314"/>
        <v xml:space="preserve">N887QR  </v>
      </c>
      <c r="BE961">
        <v>1</v>
      </c>
      <c r="BJ961">
        <v>1725</v>
      </c>
      <c r="BK961">
        <v>-275</v>
      </c>
      <c r="BL961" t="s">
        <v>163</v>
      </c>
      <c r="BM961">
        <v>1</v>
      </c>
      <c r="BN961">
        <v>1</v>
      </c>
      <c r="BO961">
        <v>1</v>
      </c>
      <c r="BP961">
        <v>0</v>
      </c>
      <c r="BS961">
        <v>0</v>
      </c>
      <c r="BT961">
        <v>0</v>
      </c>
      <c r="BU961">
        <v>0</v>
      </c>
      <c r="CE961" t="str">
        <f t="shared" si="331"/>
        <v>19:28:08.762</v>
      </c>
      <c r="CF961">
        <v>761935824</v>
      </c>
      <c r="CS961">
        <v>3</v>
      </c>
      <c r="CT961">
        <v>2</v>
      </c>
      <c r="CU961">
        <v>0</v>
      </c>
      <c r="CV961">
        <v>2</v>
      </c>
      <c r="CW961">
        <v>0</v>
      </c>
      <c r="CX961">
        <v>5</v>
      </c>
      <c r="CY961">
        <v>7</v>
      </c>
      <c r="CZ961" t="s">
        <v>131</v>
      </c>
      <c r="DA961">
        <v>300</v>
      </c>
      <c r="DB961">
        <v>0</v>
      </c>
      <c r="DC961" t="s">
        <v>176</v>
      </c>
      <c r="DD961" t="s">
        <v>177</v>
      </c>
      <c r="DG961">
        <v>5375002</v>
      </c>
      <c r="DI961">
        <v>1</v>
      </c>
      <c r="DJ961">
        <v>0</v>
      </c>
      <c r="DK961">
        <v>1</v>
      </c>
      <c r="DL961">
        <v>0</v>
      </c>
      <c r="DM961">
        <v>0</v>
      </c>
      <c r="DN961">
        <v>1</v>
      </c>
      <c r="DO961">
        <v>0</v>
      </c>
      <c r="DP961">
        <v>0</v>
      </c>
      <c r="DQ961">
        <v>0</v>
      </c>
      <c r="DR961">
        <v>0</v>
      </c>
      <c r="DS961">
        <v>0</v>
      </c>
    </row>
    <row r="962" spans="1:123" x14ac:dyDescent="0.3">
      <c r="A962" t="str">
        <f>"10/04/2022 19:28:10.323"</f>
        <v>10/04/2022 19:28:10.323</v>
      </c>
      <c r="C962" t="str">
        <f t="shared" si="327"/>
        <v>FFDDD3C0</v>
      </c>
      <c r="D962" t="s">
        <v>141</v>
      </c>
      <c r="E962">
        <v>3</v>
      </c>
      <c r="H962">
        <v>3</v>
      </c>
      <c r="I962" t="s">
        <v>146</v>
      </c>
      <c r="J962" t="s">
        <v>138</v>
      </c>
      <c r="K962">
        <v>0</v>
      </c>
      <c r="L962">
        <v>3</v>
      </c>
      <c r="M962">
        <v>0</v>
      </c>
      <c r="N962">
        <v>2</v>
      </c>
      <c r="O962">
        <v>0</v>
      </c>
      <c r="P962">
        <v>1</v>
      </c>
      <c r="Q962">
        <v>0</v>
      </c>
      <c r="S962" t="str">
        <f t="shared" ref="S962:T975" si="332">"19:28:10.000"</f>
        <v>19:28:10.000</v>
      </c>
      <c r="T962" t="str">
        <f t="shared" si="332"/>
        <v>19:28:10.000</v>
      </c>
      <c r="U962" t="str">
        <f t="shared" ref="U962:U1025" si="333">"AC3944"</f>
        <v>AC3944</v>
      </c>
      <c r="V962">
        <v>0</v>
      </c>
      <c r="W962">
        <v>0</v>
      </c>
      <c r="X962">
        <v>2</v>
      </c>
      <c r="Y962">
        <v>0</v>
      </c>
      <c r="AA962">
        <v>1</v>
      </c>
      <c r="AB962">
        <v>8</v>
      </c>
      <c r="AC962">
        <v>3</v>
      </c>
      <c r="AD962">
        <v>0</v>
      </c>
      <c r="AE962">
        <v>9</v>
      </c>
      <c r="AF962" t="s">
        <v>138</v>
      </c>
      <c r="AG962">
        <v>0</v>
      </c>
      <c r="AH962">
        <v>3</v>
      </c>
      <c r="AI962">
        <v>1</v>
      </c>
      <c r="AJ962">
        <v>0</v>
      </c>
      <c r="AK962" t="s">
        <v>409</v>
      </c>
      <c r="AL962">
        <v>32.808909</v>
      </c>
      <c r="AM962" t="s">
        <v>410</v>
      </c>
      <c r="AN962">
        <v>-116.936009</v>
      </c>
      <c r="AO962">
        <v>25</v>
      </c>
      <c r="AP962">
        <v>2000</v>
      </c>
      <c r="AQ962" t="s">
        <v>129</v>
      </c>
      <c r="AR962">
        <v>115</v>
      </c>
      <c r="AS962">
        <v>-47</v>
      </c>
      <c r="AT962">
        <v>-128</v>
      </c>
      <c r="BB962">
        <v>1200</v>
      </c>
      <c r="BC962">
        <v>1</v>
      </c>
      <c r="BD962" t="str">
        <f t="shared" ref="BD962:BD1025" si="334">"N887QR  "</f>
        <v xml:space="preserve">N887QR  </v>
      </c>
      <c r="BE962">
        <v>1</v>
      </c>
      <c r="BJ962">
        <v>1725</v>
      </c>
      <c r="BK962">
        <v>-275</v>
      </c>
      <c r="BL962" t="s">
        <v>163</v>
      </c>
      <c r="BM962">
        <v>1</v>
      </c>
      <c r="BN962">
        <v>1</v>
      </c>
      <c r="BO962">
        <v>1</v>
      </c>
      <c r="BP962">
        <v>0</v>
      </c>
      <c r="BS962">
        <v>0</v>
      </c>
      <c r="BT962">
        <v>0</v>
      </c>
      <c r="BU962">
        <v>0</v>
      </c>
      <c r="CE962" t="str">
        <f t="shared" ref="CE962:CE968" si="335">"19:28:10.103"</f>
        <v>19:28:10.103</v>
      </c>
      <c r="CF962">
        <v>102690159</v>
      </c>
      <c r="CS962">
        <v>3</v>
      </c>
      <c r="CT962">
        <v>2</v>
      </c>
      <c r="CU962">
        <v>0</v>
      </c>
      <c r="CV962">
        <v>2</v>
      </c>
      <c r="CW962">
        <v>0</v>
      </c>
      <c r="CX962">
        <v>5</v>
      </c>
      <c r="CY962">
        <v>7</v>
      </c>
      <c r="CZ962" t="s">
        <v>131</v>
      </c>
      <c r="DA962">
        <v>300</v>
      </c>
      <c r="DB962">
        <v>0</v>
      </c>
      <c r="DC962" t="s">
        <v>176</v>
      </c>
      <c r="DD962" t="s">
        <v>177</v>
      </c>
      <c r="DG962">
        <v>5375211</v>
      </c>
      <c r="DI962">
        <v>1</v>
      </c>
      <c r="DJ962">
        <v>0</v>
      </c>
      <c r="DK962">
        <v>0</v>
      </c>
      <c r="DL962">
        <v>0</v>
      </c>
      <c r="DM962">
        <v>0</v>
      </c>
      <c r="DN962">
        <v>1</v>
      </c>
      <c r="DO962">
        <v>0</v>
      </c>
      <c r="DP962">
        <v>0</v>
      </c>
      <c r="DQ962">
        <v>0</v>
      </c>
      <c r="DR962">
        <v>0</v>
      </c>
      <c r="DS962">
        <v>0</v>
      </c>
    </row>
    <row r="963" spans="1:123" x14ac:dyDescent="0.3">
      <c r="A963" t="str">
        <f>"10/04/2022 19:28:10.323"</f>
        <v>10/04/2022 19:28:10.323</v>
      </c>
      <c r="C963" t="str">
        <f t="shared" si="327"/>
        <v>FFDDD3C0</v>
      </c>
      <c r="D963" t="s">
        <v>141</v>
      </c>
      <c r="E963">
        <v>4</v>
      </c>
      <c r="H963">
        <v>4</v>
      </c>
      <c r="I963" t="s">
        <v>142</v>
      </c>
      <c r="J963" t="s">
        <v>138</v>
      </c>
      <c r="K963">
        <v>0</v>
      </c>
      <c r="L963">
        <v>3</v>
      </c>
      <c r="M963">
        <v>0</v>
      </c>
      <c r="N963">
        <v>2</v>
      </c>
      <c r="O963">
        <v>0</v>
      </c>
      <c r="P963">
        <v>1</v>
      </c>
      <c r="Q963">
        <v>0</v>
      </c>
      <c r="S963" t="str">
        <f t="shared" si="332"/>
        <v>19:28:10.000</v>
      </c>
      <c r="T963" t="str">
        <f t="shared" si="332"/>
        <v>19:28:10.000</v>
      </c>
      <c r="U963" t="str">
        <f t="shared" si="333"/>
        <v>AC3944</v>
      </c>
      <c r="V963">
        <v>0</v>
      </c>
      <c r="W963">
        <v>0</v>
      </c>
      <c r="X963">
        <v>2</v>
      </c>
      <c r="Y963">
        <v>0</v>
      </c>
      <c r="AA963">
        <v>1</v>
      </c>
      <c r="AB963">
        <v>8</v>
      </c>
      <c r="AC963">
        <v>3</v>
      </c>
      <c r="AD963">
        <v>0</v>
      </c>
      <c r="AE963">
        <v>9</v>
      </c>
      <c r="AF963" t="s">
        <v>138</v>
      </c>
      <c r="AG963">
        <v>0</v>
      </c>
      <c r="AH963">
        <v>3</v>
      </c>
      <c r="AI963">
        <v>1</v>
      </c>
      <c r="AJ963">
        <v>0</v>
      </c>
      <c r="AK963" t="s">
        <v>409</v>
      </c>
      <c r="AL963">
        <v>32.808909</v>
      </c>
      <c r="AM963" t="s">
        <v>410</v>
      </c>
      <c r="AN963">
        <v>-116.936009</v>
      </c>
      <c r="AO963">
        <v>25</v>
      </c>
      <c r="AP963">
        <v>2000</v>
      </c>
      <c r="AQ963" t="s">
        <v>129</v>
      </c>
      <c r="AR963">
        <v>115</v>
      </c>
      <c r="AS963">
        <v>-47</v>
      </c>
      <c r="AT963">
        <v>-128</v>
      </c>
      <c r="BB963">
        <v>1200</v>
      </c>
      <c r="BC963">
        <v>1</v>
      </c>
      <c r="BD963" t="str">
        <f t="shared" si="334"/>
        <v xml:space="preserve">N887QR  </v>
      </c>
      <c r="BE963">
        <v>1</v>
      </c>
      <c r="BJ963">
        <v>1725</v>
      </c>
      <c r="BK963">
        <v>-275</v>
      </c>
      <c r="BL963" t="s">
        <v>163</v>
      </c>
      <c r="BM963">
        <v>1</v>
      </c>
      <c r="BN963">
        <v>1</v>
      </c>
      <c r="BO963">
        <v>1</v>
      </c>
      <c r="BP963">
        <v>0</v>
      </c>
      <c r="BS963">
        <v>0</v>
      </c>
      <c r="BT963">
        <v>0</v>
      </c>
      <c r="BU963">
        <v>0</v>
      </c>
      <c r="CE963" t="str">
        <f t="shared" si="335"/>
        <v>19:28:10.103</v>
      </c>
      <c r="CF963">
        <v>102690159</v>
      </c>
      <c r="CS963">
        <v>3</v>
      </c>
      <c r="CT963">
        <v>2</v>
      </c>
      <c r="CU963">
        <v>0</v>
      </c>
      <c r="CV963">
        <v>2</v>
      </c>
      <c r="CW963">
        <v>0</v>
      </c>
      <c r="CX963">
        <v>5</v>
      </c>
      <c r="CY963">
        <v>7</v>
      </c>
      <c r="CZ963" t="s">
        <v>131</v>
      </c>
      <c r="DA963">
        <v>300</v>
      </c>
      <c r="DB963">
        <v>0</v>
      </c>
      <c r="DC963" t="s">
        <v>176</v>
      </c>
      <c r="DD963" t="s">
        <v>177</v>
      </c>
      <c r="DG963">
        <v>5375211</v>
      </c>
      <c r="DI963">
        <v>1</v>
      </c>
      <c r="DJ963">
        <v>0</v>
      </c>
      <c r="DK963">
        <v>1</v>
      </c>
      <c r="DL963">
        <v>0</v>
      </c>
      <c r="DM963">
        <v>0</v>
      </c>
      <c r="DN963">
        <v>1</v>
      </c>
      <c r="DO963">
        <v>0</v>
      </c>
      <c r="DP963">
        <v>0</v>
      </c>
      <c r="DQ963">
        <v>0</v>
      </c>
      <c r="DR963">
        <v>0</v>
      </c>
      <c r="DS963">
        <v>0</v>
      </c>
    </row>
    <row r="964" spans="1:123" x14ac:dyDescent="0.3">
      <c r="A964" t="str">
        <f>"10/04/2022 19:28:10.354"</f>
        <v>10/04/2022 19:28:10.354</v>
      </c>
      <c r="C964" t="str">
        <f t="shared" si="327"/>
        <v>FFDDD3C0</v>
      </c>
      <c r="D964" t="s">
        <v>147</v>
      </c>
      <c r="E964">
        <v>3</v>
      </c>
      <c r="H964">
        <v>166</v>
      </c>
      <c r="I964" t="s">
        <v>144</v>
      </c>
      <c r="J964" t="s">
        <v>148</v>
      </c>
      <c r="K964">
        <v>0</v>
      </c>
      <c r="L964">
        <v>3</v>
      </c>
      <c r="M964">
        <v>0</v>
      </c>
      <c r="N964">
        <v>2</v>
      </c>
      <c r="O964">
        <v>0</v>
      </c>
      <c r="P964">
        <v>1</v>
      </c>
      <c r="Q964">
        <v>0</v>
      </c>
      <c r="S964" t="str">
        <f t="shared" si="332"/>
        <v>19:28:10.000</v>
      </c>
      <c r="T964" t="str">
        <f t="shared" si="332"/>
        <v>19:28:10.000</v>
      </c>
      <c r="U964" t="str">
        <f t="shared" si="333"/>
        <v>AC3944</v>
      </c>
      <c r="V964">
        <v>0</v>
      </c>
      <c r="W964">
        <v>0</v>
      </c>
      <c r="X964">
        <v>2</v>
      </c>
      <c r="Y964">
        <v>0</v>
      </c>
      <c r="AA964">
        <v>1</v>
      </c>
      <c r="AB964">
        <v>8</v>
      </c>
      <c r="AC964">
        <v>3</v>
      </c>
      <c r="AD964">
        <v>0</v>
      </c>
      <c r="AE964">
        <v>9</v>
      </c>
      <c r="AF964" t="s">
        <v>138</v>
      </c>
      <c r="AG964">
        <v>0</v>
      </c>
      <c r="AH964">
        <v>3</v>
      </c>
      <c r="AI964">
        <v>1</v>
      </c>
      <c r="AJ964">
        <v>0</v>
      </c>
      <c r="AK964" t="s">
        <v>409</v>
      </c>
      <c r="AL964">
        <v>32.808909</v>
      </c>
      <c r="AM964" t="s">
        <v>410</v>
      </c>
      <c r="AN964">
        <v>-116.936009</v>
      </c>
      <c r="AO964">
        <v>25</v>
      </c>
      <c r="AP964">
        <v>2000</v>
      </c>
      <c r="AQ964" t="s">
        <v>129</v>
      </c>
      <c r="AR964">
        <v>115</v>
      </c>
      <c r="AS964">
        <v>-47</v>
      </c>
      <c r="AT964">
        <v>-128</v>
      </c>
      <c r="BB964">
        <v>1200</v>
      </c>
      <c r="BC964">
        <v>1</v>
      </c>
      <c r="BD964" t="str">
        <f t="shared" si="334"/>
        <v xml:space="preserve">N887QR  </v>
      </c>
      <c r="BE964">
        <v>1</v>
      </c>
      <c r="BJ964">
        <v>1725</v>
      </c>
      <c r="BK964">
        <v>-275</v>
      </c>
      <c r="BL964" t="s">
        <v>163</v>
      </c>
      <c r="BM964">
        <v>1</v>
      </c>
      <c r="BN964">
        <v>1</v>
      </c>
      <c r="BO964">
        <v>1</v>
      </c>
      <c r="BP964">
        <v>0</v>
      </c>
      <c r="BS964">
        <v>0</v>
      </c>
      <c r="BT964">
        <v>0</v>
      </c>
      <c r="BU964">
        <v>0</v>
      </c>
      <c r="CE964" t="str">
        <f t="shared" si="335"/>
        <v>19:28:10.103</v>
      </c>
      <c r="CF964">
        <v>102690159</v>
      </c>
      <c r="CS964">
        <v>3</v>
      </c>
      <c r="CT964">
        <v>2</v>
      </c>
      <c r="CU964">
        <v>0</v>
      </c>
      <c r="CV964">
        <v>2</v>
      </c>
      <c r="CW964">
        <v>0</v>
      </c>
      <c r="CX964">
        <v>5</v>
      </c>
      <c r="CY964">
        <v>7</v>
      </c>
      <c r="CZ964" t="s">
        <v>131</v>
      </c>
      <c r="DA964">
        <v>300</v>
      </c>
      <c r="DB964">
        <v>0</v>
      </c>
      <c r="DC964" t="s">
        <v>176</v>
      </c>
      <c r="DD964" t="s">
        <v>177</v>
      </c>
      <c r="DG964">
        <v>5375211</v>
      </c>
      <c r="DI964">
        <v>1</v>
      </c>
      <c r="DJ964">
        <v>0</v>
      </c>
      <c r="DK964">
        <v>1</v>
      </c>
      <c r="DL964">
        <v>0</v>
      </c>
      <c r="DM964">
        <v>0</v>
      </c>
      <c r="DN964">
        <v>1</v>
      </c>
      <c r="DO964">
        <v>0</v>
      </c>
      <c r="DP964">
        <v>0</v>
      </c>
      <c r="DQ964">
        <v>0</v>
      </c>
      <c r="DR964">
        <v>0</v>
      </c>
      <c r="DS964">
        <v>0</v>
      </c>
    </row>
    <row r="965" spans="1:123" x14ac:dyDescent="0.3">
      <c r="A965" t="str">
        <f>"10/04/2022 19:28:10.354"</f>
        <v>10/04/2022 19:28:10.354</v>
      </c>
      <c r="C965" t="str">
        <f t="shared" si="327"/>
        <v>FFDDD3C0</v>
      </c>
      <c r="D965" t="s">
        <v>136</v>
      </c>
      <c r="E965">
        <v>8</v>
      </c>
      <c r="H965">
        <v>225</v>
      </c>
      <c r="I965" t="s">
        <v>137</v>
      </c>
      <c r="J965" t="s">
        <v>138</v>
      </c>
      <c r="K965">
        <v>0</v>
      </c>
      <c r="L965">
        <v>3</v>
      </c>
      <c r="M965">
        <v>0</v>
      </c>
      <c r="N965">
        <v>2</v>
      </c>
      <c r="O965">
        <v>0</v>
      </c>
      <c r="P965">
        <v>1</v>
      </c>
      <c r="Q965">
        <v>0</v>
      </c>
      <c r="S965" t="str">
        <f t="shared" si="332"/>
        <v>19:28:10.000</v>
      </c>
      <c r="T965" t="str">
        <f t="shared" si="332"/>
        <v>19:28:10.000</v>
      </c>
      <c r="U965" t="str">
        <f t="shared" si="333"/>
        <v>AC3944</v>
      </c>
      <c r="V965">
        <v>0</v>
      </c>
      <c r="W965">
        <v>0</v>
      </c>
      <c r="X965">
        <v>2</v>
      </c>
      <c r="Y965">
        <v>0</v>
      </c>
      <c r="AA965">
        <v>1</v>
      </c>
      <c r="AB965">
        <v>8</v>
      </c>
      <c r="AC965">
        <v>3</v>
      </c>
      <c r="AD965">
        <v>0</v>
      </c>
      <c r="AE965">
        <v>9</v>
      </c>
      <c r="AF965" t="s">
        <v>138</v>
      </c>
      <c r="AG965">
        <v>0</v>
      </c>
      <c r="AH965">
        <v>3</v>
      </c>
      <c r="AI965">
        <v>1</v>
      </c>
      <c r="AJ965">
        <v>0</v>
      </c>
      <c r="AK965" t="s">
        <v>409</v>
      </c>
      <c r="AL965">
        <v>32.808909</v>
      </c>
      <c r="AM965" t="s">
        <v>410</v>
      </c>
      <c r="AN965">
        <v>-116.936009</v>
      </c>
      <c r="AO965">
        <v>25</v>
      </c>
      <c r="AP965">
        <v>2000</v>
      </c>
      <c r="AQ965" t="s">
        <v>129</v>
      </c>
      <c r="AR965">
        <v>115</v>
      </c>
      <c r="AS965">
        <v>-47</v>
      </c>
      <c r="AT965">
        <v>-128</v>
      </c>
      <c r="BB965">
        <v>1200</v>
      </c>
      <c r="BC965">
        <v>1</v>
      </c>
      <c r="BD965" t="str">
        <f t="shared" si="334"/>
        <v xml:space="preserve">N887QR  </v>
      </c>
      <c r="BE965">
        <v>1</v>
      </c>
      <c r="BJ965">
        <v>1725</v>
      </c>
      <c r="BK965">
        <v>-275</v>
      </c>
      <c r="BL965" t="s">
        <v>163</v>
      </c>
      <c r="BM965">
        <v>1</v>
      </c>
      <c r="BN965">
        <v>1</v>
      </c>
      <c r="BO965">
        <v>1</v>
      </c>
      <c r="BP965">
        <v>0</v>
      </c>
      <c r="BS965">
        <v>0</v>
      </c>
      <c r="BT965">
        <v>0</v>
      </c>
      <c r="BU965">
        <v>0</v>
      </c>
      <c r="CE965" t="str">
        <f t="shared" si="335"/>
        <v>19:28:10.103</v>
      </c>
      <c r="CF965">
        <v>102690159</v>
      </c>
      <c r="CS965">
        <v>3</v>
      </c>
      <c r="CT965">
        <v>2</v>
      </c>
      <c r="CU965">
        <v>0</v>
      </c>
      <c r="CV965">
        <v>2</v>
      </c>
      <c r="CW965">
        <v>0</v>
      </c>
      <c r="CX965">
        <v>5</v>
      </c>
      <c r="CY965">
        <v>7</v>
      </c>
      <c r="CZ965" t="s">
        <v>131</v>
      </c>
      <c r="DA965">
        <v>300</v>
      </c>
      <c r="DB965">
        <v>0</v>
      </c>
      <c r="DC965" t="s">
        <v>176</v>
      </c>
      <c r="DD965" t="s">
        <v>177</v>
      </c>
      <c r="DG965">
        <v>5375211</v>
      </c>
      <c r="DI965">
        <v>1</v>
      </c>
      <c r="DJ965">
        <v>0</v>
      </c>
      <c r="DK965">
        <v>1</v>
      </c>
      <c r="DL965">
        <v>0</v>
      </c>
      <c r="DM965">
        <v>0</v>
      </c>
      <c r="DN965">
        <v>1</v>
      </c>
      <c r="DO965">
        <v>0</v>
      </c>
      <c r="DP965">
        <v>0</v>
      </c>
      <c r="DQ965">
        <v>0</v>
      </c>
      <c r="DR965">
        <v>0</v>
      </c>
      <c r="DS965">
        <v>0</v>
      </c>
    </row>
    <row r="966" spans="1:123" x14ac:dyDescent="0.3">
      <c r="A966" t="str">
        <f>"10/04/2022 19:28:10.369"</f>
        <v>10/04/2022 19:28:10.369</v>
      </c>
      <c r="C966" t="str">
        <f t="shared" si="327"/>
        <v>FFDDD3C0</v>
      </c>
      <c r="D966" t="s">
        <v>143</v>
      </c>
      <c r="E966">
        <v>20</v>
      </c>
      <c r="F966">
        <v>1020</v>
      </c>
      <c r="G966" t="s">
        <v>144</v>
      </c>
      <c r="J966" t="s">
        <v>145</v>
      </c>
      <c r="K966">
        <v>0</v>
      </c>
      <c r="L966">
        <v>3</v>
      </c>
      <c r="M966">
        <v>0</v>
      </c>
      <c r="N966">
        <v>2</v>
      </c>
      <c r="O966">
        <v>0</v>
      </c>
      <c r="P966">
        <v>1</v>
      </c>
      <c r="Q966">
        <v>0</v>
      </c>
      <c r="S966" t="str">
        <f t="shared" si="332"/>
        <v>19:28:10.000</v>
      </c>
      <c r="T966" t="str">
        <f t="shared" si="332"/>
        <v>19:28:10.000</v>
      </c>
      <c r="U966" t="str">
        <f t="shared" si="333"/>
        <v>AC3944</v>
      </c>
      <c r="V966">
        <v>0</v>
      </c>
      <c r="W966">
        <v>0</v>
      </c>
      <c r="X966">
        <v>2</v>
      </c>
      <c r="Y966">
        <v>0</v>
      </c>
      <c r="AA966">
        <v>1</v>
      </c>
      <c r="AB966">
        <v>8</v>
      </c>
      <c r="AC966">
        <v>3</v>
      </c>
      <c r="AD966">
        <v>0</v>
      </c>
      <c r="AE966">
        <v>9</v>
      </c>
      <c r="AF966" t="s">
        <v>138</v>
      </c>
      <c r="AG966">
        <v>0</v>
      </c>
      <c r="AH966">
        <v>3</v>
      </c>
      <c r="AI966">
        <v>1</v>
      </c>
      <c r="AJ966">
        <v>0</v>
      </c>
      <c r="AK966" t="s">
        <v>409</v>
      </c>
      <c r="AL966">
        <v>32.808909</v>
      </c>
      <c r="AM966" t="s">
        <v>410</v>
      </c>
      <c r="AN966">
        <v>-116.936009</v>
      </c>
      <c r="AO966">
        <v>25</v>
      </c>
      <c r="AP966">
        <v>2000</v>
      </c>
      <c r="AQ966" t="s">
        <v>129</v>
      </c>
      <c r="AR966">
        <v>115</v>
      </c>
      <c r="AS966">
        <v>-47</v>
      </c>
      <c r="AT966">
        <v>-128</v>
      </c>
      <c r="BB966">
        <v>1200</v>
      </c>
      <c r="BC966">
        <v>1</v>
      </c>
      <c r="BD966" t="str">
        <f t="shared" si="334"/>
        <v xml:space="preserve">N887QR  </v>
      </c>
      <c r="BE966">
        <v>1</v>
      </c>
      <c r="BJ966">
        <v>1725</v>
      </c>
      <c r="BK966">
        <v>-275</v>
      </c>
      <c r="BL966" t="s">
        <v>163</v>
      </c>
      <c r="BM966">
        <v>1</v>
      </c>
      <c r="BN966">
        <v>1</v>
      </c>
      <c r="BO966">
        <v>1</v>
      </c>
      <c r="BP966">
        <v>0</v>
      </c>
      <c r="BS966">
        <v>0</v>
      </c>
      <c r="BT966">
        <v>0</v>
      </c>
      <c r="BU966">
        <v>0</v>
      </c>
      <c r="CE966" t="str">
        <f t="shared" si="335"/>
        <v>19:28:10.103</v>
      </c>
      <c r="CF966">
        <v>102690159</v>
      </c>
      <c r="CS966">
        <v>3</v>
      </c>
      <c r="CT966">
        <v>2</v>
      </c>
      <c r="CU966">
        <v>0</v>
      </c>
      <c r="CV966">
        <v>2</v>
      </c>
      <c r="CW966">
        <v>0</v>
      </c>
      <c r="CX966">
        <v>5</v>
      </c>
      <c r="CY966">
        <v>7</v>
      </c>
      <c r="CZ966" t="s">
        <v>131</v>
      </c>
      <c r="DA966">
        <v>300</v>
      </c>
      <c r="DB966">
        <v>0</v>
      </c>
      <c r="DC966" t="s">
        <v>176</v>
      </c>
      <c r="DD966" t="s">
        <v>177</v>
      </c>
      <c r="DG966">
        <v>5375211</v>
      </c>
      <c r="DI966">
        <v>1</v>
      </c>
      <c r="DJ966">
        <v>0</v>
      </c>
      <c r="DK966">
        <v>1</v>
      </c>
      <c r="DL966">
        <v>0</v>
      </c>
      <c r="DM966">
        <v>0</v>
      </c>
      <c r="DN966">
        <v>1</v>
      </c>
      <c r="DO966">
        <v>0</v>
      </c>
      <c r="DP966">
        <v>0</v>
      </c>
      <c r="DQ966">
        <v>0</v>
      </c>
      <c r="DR966">
        <v>0</v>
      </c>
      <c r="DS966">
        <v>0</v>
      </c>
    </row>
    <row r="967" spans="1:123" x14ac:dyDescent="0.3">
      <c r="A967" t="str">
        <f>"10/04/2022 19:28:10.369"</f>
        <v>10/04/2022 19:28:10.369</v>
      </c>
      <c r="C967" t="str">
        <f t="shared" si="327"/>
        <v>FFDDD3C0</v>
      </c>
      <c r="D967" t="s">
        <v>123</v>
      </c>
      <c r="E967">
        <v>7</v>
      </c>
      <c r="F967">
        <v>2007</v>
      </c>
      <c r="G967" t="s">
        <v>124</v>
      </c>
      <c r="J967" t="s">
        <v>125</v>
      </c>
      <c r="K967">
        <v>0</v>
      </c>
      <c r="L967">
        <v>3</v>
      </c>
      <c r="M967">
        <v>0</v>
      </c>
      <c r="N967">
        <v>2</v>
      </c>
      <c r="O967">
        <v>0</v>
      </c>
      <c r="P967">
        <v>1</v>
      </c>
      <c r="Q967">
        <v>0</v>
      </c>
      <c r="S967" t="str">
        <f t="shared" si="332"/>
        <v>19:28:10.000</v>
      </c>
      <c r="T967" t="str">
        <f t="shared" si="332"/>
        <v>19:28:10.000</v>
      </c>
      <c r="U967" t="str">
        <f t="shared" si="333"/>
        <v>AC3944</v>
      </c>
      <c r="V967">
        <v>0</v>
      </c>
      <c r="W967">
        <v>0</v>
      </c>
      <c r="X967">
        <v>2</v>
      </c>
      <c r="Y967">
        <v>0</v>
      </c>
      <c r="AA967">
        <v>1</v>
      </c>
      <c r="AB967">
        <v>8</v>
      </c>
      <c r="AC967">
        <v>3</v>
      </c>
      <c r="AD967">
        <v>0</v>
      </c>
      <c r="AE967">
        <v>9</v>
      </c>
      <c r="AF967" t="s">
        <v>138</v>
      </c>
      <c r="AG967">
        <v>0</v>
      </c>
      <c r="AH967">
        <v>3</v>
      </c>
      <c r="AI967">
        <v>1</v>
      </c>
      <c r="AJ967">
        <v>0</v>
      </c>
      <c r="AK967" t="s">
        <v>409</v>
      </c>
      <c r="AL967">
        <v>32.808909</v>
      </c>
      <c r="AM967" t="s">
        <v>410</v>
      </c>
      <c r="AN967">
        <v>-116.936009</v>
      </c>
      <c r="AO967">
        <v>25</v>
      </c>
      <c r="AP967">
        <v>2000</v>
      </c>
      <c r="AQ967" t="s">
        <v>129</v>
      </c>
      <c r="AR967">
        <v>115</v>
      </c>
      <c r="AS967">
        <v>-47</v>
      </c>
      <c r="AT967">
        <v>-128</v>
      </c>
      <c r="BB967">
        <v>1200</v>
      </c>
      <c r="BC967">
        <v>1</v>
      </c>
      <c r="BD967" t="str">
        <f t="shared" si="334"/>
        <v xml:space="preserve">N887QR  </v>
      </c>
      <c r="BE967">
        <v>1</v>
      </c>
      <c r="BJ967">
        <v>1725</v>
      </c>
      <c r="BK967">
        <v>-275</v>
      </c>
      <c r="BL967" t="s">
        <v>163</v>
      </c>
      <c r="BM967">
        <v>1</v>
      </c>
      <c r="BN967">
        <v>1</v>
      </c>
      <c r="BO967">
        <v>1</v>
      </c>
      <c r="BP967">
        <v>0</v>
      </c>
      <c r="BS967">
        <v>0</v>
      </c>
      <c r="BT967">
        <v>0</v>
      </c>
      <c r="BU967">
        <v>0</v>
      </c>
      <c r="CE967" t="str">
        <f t="shared" si="335"/>
        <v>19:28:10.103</v>
      </c>
      <c r="CF967">
        <v>102690159</v>
      </c>
      <c r="CS967">
        <v>3</v>
      </c>
      <c r="CT967">
        <v>2</v>
      </c>
      <c r="CU967">
        <v>0</v>
      </c>
      <c r="CV967">
        <v>2</v>
      </c>
      <c r="CW967">
        <v>0</v>
      </c>
      <c r="CX967">
        <v>5</v>
      </c>
      <c r="CY967">
        <v>7</v>
      </c>
      <c r="CZ967" t="s">
        <v>131</v>
      </c>
      <c r="DA967">
        <v>300</v>
      </c>
      <c r="DB967">
        <v>0</v>
      </c>
      <c r="DC967" t="s">
        <v>176</v>
      </c>
      <c r="DD967" t="s">
        <v>177</v>
      </c>
      <c r="DG967">
        <v>5375211</v>
      </c>
      <c r="DI967">
        <v>1</v>
      </c>
      <c r="DJ967">
        <v>0</v>
      </c>
      <c r="DK967">
        <v>1</v>
      </c>
      <c r="DL967">
        <v>0</v>
      </c>
      <c r="DM967">
        <v>0</v>
      </c>
      <c r="DN967">
        <v>1</v>
      </c>
      <c r="DO967">
        <v>0</v>
      </c>
      <c r="DP967">
        <v>0</v>
      </c>
      <c r="DQ967">
        <v>0</v>
      </c>
      <c r="DR967">
        <v>0</v>
      </c>
      <c r="DS967">
        <v>0</v>
      </c>
    </row>
    <row r="968" spans="1:123" x14ac:dyDescent="0.3">
      <c r="A968" t="str">
        <f>"10/04/2022 19:28:10.369"</f>
        <v>10/04/2022 19:28:10.369</v>
      </c>
      <c r="C968" t="str">
        <f t="shared" si="327"/>
        <v>FFDDD3C0</v>
      </c>
      <c r="D968" t="s">
        <v>134</v>
      </c>
      <c r="E968">
        <v>15</v>
      </c>
      <c r="J968" t="s">
        <v>135</v>
      </c>
      <c r="K968">
        <v>0</v>
      </c>
      <c r="L968">
        <v>3</v>
      </c>
      <c r="M968">
        <v>0</v>
      </c>
      <c r="N968">
        <v>2</v>
      </c>
      <c r="O968">
        <v>0</v>
      </c>
      <c r="P968">
        <v>1</v>
      </c>
      <c r="Q968">
        <v>0</v>
      </c>
      <c r="S968" t="str">
        <f t="shared" si="332"/>
        <v>19:28:10.000</v>
      </c>
      <c r="T968" t="str">
        <f t="shared" si="332"/>
        <v>19:28:10.000</v>
      </c>
      <c r="U968" t="str">
        <f t="shared" si="333"/>
        <v>AC3944</v>
      </c>
      <c r="V968">
        <v>0</v>
      </c>
      <c r="W968">
        <v>0</v>
      </c>
      <c r="X968">
        <v>2</v>
      </c>
      <c r="Y968">
        <v>0</v>
      </c>
      <c r="AA968">
        <v>1</v>
      </c>
      <c r="AB968">
        <v>8</v>
      </c>
      <c r="AC968">
        <v>3</v>
      </c>
      <c r="AD968">
        <v>0</v>
      </c>
      <c r="AE968">
        <v>9</v>
      </c>
      <c r="AF968" t="s">
        <v>138</v>
      </c>
      <c r="AG968">
        <v>0</v>
      </c>
      <c r="AH968">
        <v>3</v>
      </c>
      <c r="AI968">
        <v>1</v>
      </c>
      <c r="AJ968">
        <v>0</v>
      </c>
      <c r="AK968" t="s">
        <v>409</v>
      </c>
      <c r="AL968">
        <v>32.808909</v>
      </c>
      <c r="AM968" t="s">
        <v>410</v>
      </c>
      <c r="AN968">
        <v>-116.936009</v>
      </c>
      <c r="AO968">
        <v>25</v>
      </c>
      <c r="AP968">
        <v>2000</v>
      </c>
      <c r="AQ968" t="s">
        <v>129</v>
      </c>
      <c r="AR968">
        <v>115</v>
      </c>
      <c r="AS968">
        <v>-47</v>
      </c>
      <c r="AT968">
        <v>-128</v>
      </c>
      <c r="BB968">
        <v>1200</v>
      </c>
      <c r="BC968">
        <v>1</v>
      </c>
      <c r="BD968" t="str">
        <f t="shared" si="334"/>
        <v xml:space="preserve">N887QR  </v>
      </c>
      <c r="BE968">
        <v>1</v>
      </c>
      <c r="BJ968">
        <v>1725</v>
      </c>
      <c r="BK968">
        <v>-275</v>
      </c>
      <c r="BL968" t="s">
        <v>163</v>
      </c>
      <c r="BM968">
        <v>1</v>
      </c>
      <c r="BN968">
        <v>1</v>
      </c>
      <c r="BO968">
        <v>1</v>
      </c>
      <c r="BP968">
        <v>0</v>
      </c>
      <c r="BS968">
        <v>0</v>
      </c>
      <c r="BT968">
        <v>0</v>
      </c>
      <c r="BU968">
        <v>0</v>
      </c>
      <c r="CE968" t="str">
        <f t="shared" si="335"/>
        <v>19:28:10.103</v>
      </c>
      <c r="CF968">
        <v>102690159</v>
      </c>
      <c r="CS968">
        <v>3</v>
      </c>
      <c r="CT968">
        <v>2</v>
      </c>
      <c r="CU968">
        <v>0</v>
      </c>
      <c r="CV968">
        <v>2</v>
      </c>
      <c r="CW968">
        <v>0</v>
      </c>
      <c r="CX968">
        <v>5</v>
      </c>
      <c r="CY968">
        <v>7</v>
      </c>
      <c r="CZ968" t="s">
        <v>131</v>
      </c>
      <c r="DA968">
        <v>300</v>
      </c>
      <c r="DB968">
        <v>0</v>
      </c>
      <c r="DC968" t="s">
        <v>176</v>
      </c>
      <c r="DD968" t="s">
        <v>177</v>
      </c>
      <c r="DG968">
        <v>5375211</v>
      </c>
      <c r="DI968">
        <v>1</v>
      </c>
      <c r="DJ968">
        <v>0</v>
      </c>
      <c r="DK968">
        <v>1</v>
      </c>
      <c r="DL968">
        <v>0</v>
      </c>
      <c r="DM968">
        <v>0</v>
      </c>
      <c r="DN968">
        <v>1</v>
      </c>
      <c r="DO968">
        <v>0</v>
      </c>
      <c r="DP968">
        <v>0</v>
      </c>
      <c r="DQ968">
        <v>0</v>
      </c>
      <c r="DR968">
        <v>0</v>
      </c>
      <c r="DS968">
        <v>0</v>
      </c>
    </row>
    <row r="969" spans="1:123" x14ac:dyDescent="0.3">
      <c r="A969" t="str">
        <f>"10/04/2022 19:28:11.182"</f>
        <v>10/04/2022 19:28:11.182</v>
      </c>
      <c r="C969" t="str">
        <f t="shared" si="327"/>
        <v>FFDDD3C0</v>
      </c>
      <c r="D969" t="s">
        <v>141</v>
      </c>
      <c r="E969">
        <v>4</v>
      </c>
      <c r="H969">
        <v>4</v>
      </c>
      <c r="I969" t="s">
        <v>142</v>
      </c>
      <c r="J969" t="s">
        <v>138</v>
      </c>
      <c r="K969">
        <v>0</v>
      </c>
      <c r="L969">
        <v>3</v>
      </c>
      <c r="M969">
        <v>0</v>
      </c>
      <c r="N969">
        <v>2</v>
      </c>
      <c r="O969">
        <v>0</v>
      </c>
      <c r="P969">
        <v>1</v>
      </c>
      <c r="Q969">
        <v>0</v>
      </c>
      <c r="S969" t="str">
        <f t="shared" si="332"/>
        <v>19:28:10.000</v>
      </c>
      <c r="T969" t="str">
        <f t="shared" si="332"/>
        <v>19:28:10.000</v>
      </c>
      <c r="U969" t="str">
        <f t="shared" si="333"/>
        <v>AC3944</v>
      </c>
      <c r="V969">
        <v>0</v>
      </c>
      <c r="W969">
        <v>0</v>
      </c>
      <c r="X969">
        <v>2</v>
      </c>
      <c r="Y969">
        <v>0</v>
      </c>
      <c r="AA969">
        <v>1</v>
      </c>
      <c r="AB969">
        <v>8</v>
      </c>
      <c r="AC969">
        <v>3</v>
      </c>
      <c r="AD969">
        <v>0</v>
      </c>
      <c r="AE969">
        <v>9</v>
      </c>
      <c r="AF969" t="s">
        <v>138</v>
      </c>
      <c r="AG969">
        <v>0</v>
      </c>
      <c r="AH969">
        <v>3</v>
      </c>
      <c r="AI969">
        <v>1</v>
      </c>
      <c r="AJ969">
        <v>0</v>
      </c>
      <c r="AK969" t="s">
        <v>411</v>
      </c>
      <c r="AL969">
        <v>32.808695</v>
      </c>
      <c r="AM969" t="s">
        <v>412</v>
      </c>
      <c r="AN969">
        <v>-116.93538700000001</v>
      </c>
      <c r="AO969">
        <v>25</v>
      </c>
      <c r="AP969">
        <v>2000</v>
      </c>
      <c r="AQ969" t="s">
        <v>129</v>
      </c>
      <c r="AR969">
        <v>117</v>
      </c>
      <c r="AS969">
        <v>-43</v>
      </c>
      <c r="AT969">
        <v>-192</v>
      </c>
      <c r="BB969">
        <v>1200</v>
      </c>
      <c r="BC969">
        <v>1</v>
      </c>
      <c r="BD969" t="str">
        <f t="shared" si="334"/>
        <v xml:space="preserve">N887QR  </v>
      </c>
      <c r="BE969">
        <v>1</v>
      </c>
      <c r="BJ969">
        <v>1725</v>
      </c>
      <c r="BK969">
        <v>-275</v>
      </c>
      <c r="BL969" t="s">
        <v>163</v>
      </c>
      <c r="BM969">
        <v>1</v>
      </c>
      <c r="BN969">
        <v>1</v>
      </c>
      <c r="BO969">
        <v>1</v>
      </c>
      <c r="BP969">
        <v>0</v>
      </c>
      <c r="BS969">
        <v>0</v>
      </c>
      <c r="BT969">
        <v>0</v>
      </c>
      <c r="BU969">
        <v>0</v>
      </c>
      <c r="CE969" t="str">
        <f t="shared" ref="CE969:CE975" si="336">"19:28:11.000"</f>
        <v>19:28:11.000</v>
      </c>
      <c r="CF969">
        <v>999693197</v>
      </c>
      <c r="CS969">
        <v>3</v>
      </c>
      <c r="CT969">
        <v>2</v>
      </c>
      <c r="CU969">
        <v>0</v>
      </c>
      <c r="CV969">
        <v>2</v>
      </c>
      <c r="CW969">
        <v>0</v>
      </c>
      <c r="CX969">
        <v>5</v>
      </c>
      <c r="CY969">
        <v>7</v>
      </c>
      <c r="CZ969" t="s">
        <v>131</v>
      </c>
      <c r="DA969">
        <v>300</v>
      </c>
      <c r="DB969">
        <v>0</v>
      </c>
      <c r="DC969" t="s">
        <v>176</v>
      </c>
      <c r="DD969" t="s">
        <v>177</v>
      </c>
      <c r="DG969">
        <v>5375362</v>
      </c>
      <c r="DI969">
        <v>1</v>
      </c>
      <c r="DJ969">
        <v>0</v>
      </c>
      <c r="DK969">
        <v>0</v>
      </c>
      <c r="DL969">
        <v>0</v>
      </c>
      <c r="DM969">
        <v>0</v>
      </c>
      <c r="DN969">
        <v>1</v>
      </c>
      <c r="DO969">
        <v>0</v>
      </c>
      <c r="DP969">
        <v>0</v>
      </c>
      <c r="DQ969">
        <v>0</v>
      </c>
      <c r="DR969">
        <v>0</v>
      </c>
      <c r="DS969">
        <v>0</v>
      </c>
    </row>
    <row r="970" spans="1:123" x14ac:dyDescent="0.3">
      <c r="A970" t="str">
        <f>"10/04/2022 19:28:11.182"</f>
        <v>10/04/2022 19:28:11.182</v>
      </c>
      <c r="C970" t="str">
        <f t="shared" si="327"/>
        <v>FFDDD3C0</v>
      </c>
      <c r="D970" t="s">
        <v>147</v>
      </c>
      <c r="E970">
        <v>3</v>
      </c>
      <c r="H970">
        <v>166</v>
      </c>
      <c r="I970" t="s">
        <v>144</v>
      </c>
      <c r="J970" t="s">
        <v>148</v>
      </c>
      <c r="K970">
        <v>0</v>
      </c>
      <c r="L970">
        <v>3</v>
      </c>
      <c r="M970">
        <v>0</v>
      </c>
      <c r="N970">
        <v>2</v>
      </c>
      <c r="O970">
        <v>0</v>
      </c>
      <c r="P970">
        <v>1</v>
      </c>
      <c r="Q970">
        <v>0</v>
      </c>
      <c r="S970" t="str">
        <f t="shared" si="332"/>
        <v>19:28:10.000</v>
      </c>
      <c r="T970" t="str">
        <f t="shared" si="332"/>
        <v>19:28:10.000</v>
      </c>
      <c r="U970" t="str">
        <f t="shared" si="333"/>
        <v>AC3944</v>
      </c>
      <c r="V970">
        <v>0</v>
      </c>
      <c r="W970">
        <v>0</v>
      </c>
      <c r="X970">
        <v>2</v>
      </c>
      <c r="Y970">
        <v>0</v>
      </c>
      <c r="AA970">
        <v>1</v>
      </c>
      <c r="AB970">
        <v>8</v>
      </c>
      <c r="AC970">
        <v>3</v>
      </c>
      <c r="AD970">
        <v>0</v>
      </c>
      <c r="AE970">
        <v>9</v>
      </c>
      <c r="AF970" t="s">
        <v>138</v>
      </c>
      <c r="AG970">
        <v>0</v>
      </c>
      <c r="AH970">
        <v>3</v>
      </c>
      <c r="AI970">
        <v>1</v>
      </c>
      <c r="AJ970">
        <v>0</v>
      </c>
      <c r="AK970" t="s">
        <v>411</v>
      </c>
      <c r="AL970">
        <v>32.808695</v>
      </c>
      <c r="AM970" t="s">
        <v>412</v>
      </c>
      <c r="AN970">
        <v>-116.93538700000001</v>
      </c>
      <c r="AO970">
        <v>25</v>
      </c>
      <c r="AP970">
        <v>2000</v>
      </c>
      <c r="AQ970" t="s">
        <v>129</v>
      </c>
      <c r="AR970">
        <v>117</v>
      </c>
      <c r="AS970">
        <v>-43</v>
      </c>
      <c r="AT970">
        <v>-192</v>
      </c>
      <c r="BB970">
        <v>1200</v>
      </c>
      <c r="BC970">
        <v>1</v>
      </c>
      <c r="BD970" t="str">
        <f t="shared" si="334"/>
        <v xml:space="preserve">N887QR  </v>
      </c>
      <c r="BE970">
        <v>1</v>
      </c>
      <c r="BJ970">
        <v>1725</v>
      </c>
      <c r="BK970">
        <v>-275</v>
      </c>
      <c r="BL970" t="s">
        <v>163</v>
      </c>
      <c r="BM970">
        <v>1</v>
      </c>
      <c r="BN970">
        <v>1</v>
      </c>
      <c r="BO970">
        <v>1</v>
      </c>
      <c r="BP970">
        <v>0</v>
      </c>
      <c r="BS970">
        <v>0</v>
      </c>
      <c r="BT970">
        <v>0</v>
      </c>
      <c r="BU970">
        <v>0</v>
      </c>
      <c r="CE970" t="str">
        <f t="shared" si="336"/>
        <v>19:28:11.000</v>
      </c>
      <c r="CF970">
        <v>999693197</v>
      </c>
      <c r="CS970">
        <v>3</v>
      </c>
      <c r="CT970">
        <v>2</v>
      </c>
      <c r="CU970">
        <v>0</v>
      </c>
      <c r="CV970">
        <v>2</v>
      </c>
      <c r="CW970">
        <v>0</v>
      </c>
      <c r="CX970">
        <v>5</v>
      </c>
      <c r="CY970">
        <v>7</v>
      </c>
      <c r="CZ970" t="s">
        <v>131</v>
      </c>
      <c r="DA970">
        <v>300</v>
      </c>
      <c r="DB970">
        <v>0</v>
      </c>
      <c r="DC970" t="s">
        <v>176</v>
      </c>
      <c r="DD970" t="s">
        <v>177</v>
      </c>
      <c r="DG970">
        <v>5375362</v>
      </c>
      <c r="DI970">
        <v>1</v>
      </c>
      <c r="DJ970">
        <v>0</v>
      </c>
      <c r="DK970">
        <v>1</v>
      </c>
      <c r="DL970">
        <v>0</v>
      </c>
      <c r="DM970">
        <v>0</v>
      </c>
      <c r="DN970">
        <v>1</v>
      </c>
      <c r="DO970">
        <v>0</v>
      </c>
      <c r="DP970">
        <v>0</v>
      </c>
      <c r="DQ970">
        <v>0</v>
      </c>
      <c r="DR970">
        <v>0</v>
      </c>
      <c r="DS970">
        <v>0</v>
      </c>
    </row>
    <row r="971" spans="1:123" x14ac:dyDescent="0.3">
      <c r="A971" t="str">
        <f>"10/04/2022 19:28:11.198"</f>
        <v>10/04/2022 19:28:11.198</v>
      </c>
      <c r="C971" t="str">
        <f t="shared" si="327"/>
        <v>FFDDD3C0</v>
      </c>
      <c r="D971" t="s">
        <v>136</v>
      </c>
      <c r="E971">
        <v>8</v>
      </c>
      <c r="H971">
        <v>225</v>
      </c>
      <c r="I971" t="s">
        <v>137</v>
      </c>
      <c r="J971" t="s">
        <v>138</v>
      </c>
      <c r="K971">
        <v>0</v>
      </c>
      <c r="L971">
        <v>3</v>
      </c>
      <c r="M971">
        <v>0</v>
      </c>
      <c r="N971">
        <v>2</v>
      </c>
      <c r="O971">
        <v>0</v>
      </c>
      <c r="P971">
        <v>1</v>
      </c>
      <c r="Q971">
        <v>0</v>
      </c>
      <c r="S971" t="str">
        <f t="shared" si="332"/>
        <v>19:28:10.000</v>
      </c>
      <c r="T971" t="str">
        <f t="shared" si="332"/>
        <v>19:28:10.000</v>
      </c>
      <c r="U971" t="str">
        <f t="shared" si="333"/>
        <v>AC3944</v>
      </c>
      <c r="V971">
        <v>0</v>
      </c>
      <c r="W971">
        <v>0</v>
      </c>
      <c r="X971">
        <v>2</v>
      </c>
      <c r="Y971">
        <v>0</v>
      </c>
      <c r="AA971">
        <v>1</v>
      </c>
      <c r="AB971">
        <v>8</v>
      </c>
      <c r="AC971">
        <v>3</v>
      </c>
      <c r="AD971">
        <v>0</v>
      </c>
      <c r="AE971">
        <v>9</v>
      </c>
      <c r="AF971" t="s">
        <v>138</v>
      </c>
      <c r="AG971">
        <v>0</v>
      </c>
      <c r="AH971">
        <v>3</v>
      </c>
      <c r="AI971">
        <v>1</v>
      </c>
      <c r="AJ971">
        <v>0</v>
      </c>
      <c r="AK971" t="s">
        <v>411</v>
      </c>
      <c r="AL971">
        <v>32.808695</v>
      </c>
      <c r="AM971" t="s">
        <v>412</v>
      </c>
      <c r="AN971">
        <v>-116.93538700000001</v>
      </c>
      <c r="AO971">
        <v>25</v>
      </c>
      <c r="AP971">
        <v>2000</v>
      </c>
      <c r="AQ971" t="s">
        <v>129</v>
      </c>
      <c r="AR971">
        <v>117</v>
      </c>
      <c r="AS971">
        <v>-43</v>
      </c>
      <c r="AT971">
        <v>-192</v>
      </c>
      <c r="BB971">
        <v>1200</v>
      </c>
      <c r="BC971">
        <v>1</v>
      </c>
      <c r="BD971" t="str">
        <f t="shared" si="334"/>
        <v xml:space="preserve">N887QR  </v>
      </c>
      <c r="BE971">
        <v>1</v>
      </c>
      <c r="BJ971">
        <v>1725</v>
      </c>
      <c r="BK971">
        <v>-275</v>
      </c>
      <c r="BL971" t="s">
        <v>163</v>
      </c>
      <c r="BM971">
        <v>1</v>
      </c>
      <c r="BN971">
        <v>1</v>
      </c>
      <c r="BO971">
        <v>1</v>
      </c>
      <c r="BP971">
        <v>0</v>
      </c>
      <c r="BS971">
        <v>0</v>
      </c>
      <c r="BT971">
        <v>0</v>
      </c>
      <c r="BU971">
        <v>0</v>
      </c>
      <c r="CE971" t="str">
        <f t="shared" si="336"/>
        <v>19:28:11.000</v>
      </c>
      <c r="CF971">
        <v>999693197</v>
      </c>
      <c r="CS971">
        <v>3</v>
      </c>
      <c r="CT971">
        <v>2</v>
      </c>
      <c r="CU971">
        <v>0</v>
      </c>
      <c r="CV971">
        <v>2</v>
      </c>
      <c r="CW971">
        <v>0</v>
      </c>
      <c r="CX971">
        <v>5</v>
      </c>
      <c r="CY971">
        <v>7</v>
      </c>
      <c r="CZ971" t="s">
        <v>131</v>
      </c>
      <c r="DA971">
        <v>300</v>
      </c>
      <c r="DB971">
        <v>0</v>
      </c>
      <c r="DC971" t="s">
        <v>176</v>
      </c>
      <c r="DD971" t="s">
        <v>177</v>
      </c>
      <c r="DG971">
        <v>5375362</v>
      </c>
      <c r="DI971">
        <v>1</v>
      </c>
      <c r="DJ971">
        <v>0</v>
      </c>
      <c r="DK971">
        <v>1</v>
      </c>
      <c r="DL971">
        <v>0</v>
      </c>
      <c r="DM971">
        <v>0</v>
      </c>
      <c r="DN971">
        <v>1</v>
      </c>
      <c r="DO971">
        <v>0</v>
      </c>
      <c r="DP971">
        <v>0</v>
      </c>
      <c r="DQ971">
        <v>0</v>
      </c>
      <c r="DR971">
        <v>0</v>
      </c>
      <c r="DS971">
        <v>0</v>
      </c>
    </row>
    <row r="972" spans="1:123" x14ac:dyDescent="0.3">
      <c r="A972" t="str">
        <f>"10/04/2022 19:28:11.229"</f>
        <v>10/04/2022 19:28:11.229</v>
      </c>
      <c r="C972" t="str">
        <f t="shared" si="327"/>
        <v>FFDDD3C0</v>
      </c>
      <c r="D972" t="s">
        <v>143</v>
      </c>
      <c r="E972">
        <v>20</v>
      </c>
      <c r="F972">
        <v>1020</v>
      </c>
      <c r="G972" t="s">
        <v>144</v>
      </c>
      <c r="J972" t="s">
        <v>145</v>
      </c>
      <c r="K972">
        <v>0</v>
      </c>
      <c r="L972">
        <v>3</v>
      </c>
      <c r="M972">
        <v>0</v>
      </c>
      <c r="N972">
        <v>2</v>
      </c>
      <c r="O972">
        <v>0</v>
      </c>
      <c r="P972">
        <v>1</v>
      </c>
      <c r="Q972">
        <v>0</v>
      </c>
      <c r="S972" t="str">
        <f t="shared" si="332"/>
        <v>19:28:10.000</v>
      </c>
      <c r="T972" t="str">
        <f t="shared" si="332"/>
        <v>19:28:10.000</v>
      </c>
      <c r="U972" t="str">
        <f t="shared" si="333"/>
        <v>AC3944</v>
      </c>
      <c r="V972">
        <v>0</v>
      </c>
      <c r="W972">
        <v>0</v>
      </c>
      <c r="X972">
        <v>2</v>
      </c>
      <c r="Y972">
        <v>0</v>
      </c>
      <c r="AA972">
        <v>1</v>
      </c>
      <c r="AB972">
        <v>8</v>
      </c>
      <c r="AC972">
        <v>3</v>
      </c>
      <c r="AD972">
        <v>0</v>
      </c>
      <c r="AE972">
        <v>9</v>
      </c>
      <c r="AF972" t="s">
        <v>138</v>
      </c>
      <c r="AG972">
        <v>0</v>
      </c>
      <c r="AH972">
        <v>3</v>
      </c>
      <c r="AI972">
        <v>1</v>
      </c>
      <c r="AJ972">
        <v>0</v>
      </c>
      <c r="AK972" t="s">
        <v>411</v>
      </c>
      <c r="AL972">
        <v>32.808695</v>
      </c>
      <c r="AM972" t="s">
        <v>412</v>
      </c>
      <c r="AN972">
        <v>-116.93538700000001</v>
      </c>
      <c r="AO972">
        <v>25</v>
      </c>
      <c r="AP972">
        <v>2000</v>
      </c>
      <c r="AQ972" t="s">
        <v>129</v>
      </c>
      <c r="AR972">
        <v>117</v>
      </c>
      <c r="AS972">
        <v>-43</v>
      </c>
      <c r="AT972">
        <v>-192</v>
      </c>
      <c r="BB972">
        <v>1200</v>
      </c>
      <c r="BC972">
        <v>1</v>
      </c>
      <c r="BD972" t="str">
        <f t="shared" si="334"/>
        <v xml:space="preserve">N887QR  </v>
      </c>
      <c r="BE972">
        <v>1</v>
      </c>
      <c r="BJ972">
        <v>1725</v>
      </c>
      <c r="BK972">
        <v>-275</v>
      </c>
      <c r="BL972" t="s">
        <v>163</v>
      </c>
      <c r="BM972">
        <v>1</v>
      </c>
      <c r="BN972">
        <v>1</v>
      </c>
      <c r="BO972">
        <v>1</v>
      </c>
      <c r="BP972">
        <v>0</v>
      </c>
      <c r="BS972">
        <v>0</v>
      </c>
      <c r="BT972">
        <v>0</v>
      </c>
      <c r="BU972">
        <v>0</v>
      </c>
      <c r="CE972" t="str">
        <f t="shared" si="336"/>
        <v>19:28:11.000</v>
      </c>
      <c r="CF972">
        <v>999693197</v>
      </c>
      <c r="CS972">
        <v>3</v>
      </c>
      <c r="CT972">
        <v>2</v>
      </c>
      <c r="CU972">
        <v>0</v>
      </c>
      <c r="CV972">
        <v>2</v>
      </c>
      <c r="CW972">
        <v>0</v>
      </c>
      <c r="CX972">
        <v>5</v>
      </c>
      <c r="CY972">
        <v>7</v>
      </c>
      <c r="CZ972" t="s">
        <v>131</v>
      </c>
      <c r="DA972">
        <v>300</v>
      </c>
      <c r="DB972">
        <v>0</v>
      </c>
      <c r="DC972" t="s">
        <v>176</v>
      </c>
      <c r="DD972" t="s">
        <v>177</v>
      </c>
      <c r="DG972">
        <v>5375362</v>
      </c>
      <c r="DI972">
        <v>1</v>
      </c>
      <c r="DJ972">
        <v>0</v>
      </c>
      <c r="DK972">
        <v>1</v>
      </c>
      <c r="DL972">
        <v>0</v>
      </c>
      <c r="DM972">
        <v>0</v>
      </c>
      <c r="DN972">
        <v>1</v>
      </c>
      <c r="DO972">
        <v>0</v>
      </c>
      <c r="DP972">
        <v>0</v>
      </c>
      <c r="DQ972">
        <v>0</v>
      </c>
      <c r="DR972">
        <v>0</v>
      </c>
      <c r="DS972">
        <v>0</v>
      </c>
    </row>
    <row r="973" spans="1:123" x14ac:dyDescent="0.3">
      <c r="A973" t="str">
        <f>"10/04/2022 19:28:11.229"</f>
        <v>10/04/2022 19:28:11.229</v>
      </c>
      <c r="C973" t="str">
        <f t="shared" si="327"/>
        <v>FFDDD3C0</v>
      </c>
      <c r="D973" t="s">
        <v>134</v>
      </c>
      <c r="E973">
        <v>15</v>
      </c>
      <c r="J973" t="s">
        <v>135</v>
      </c>
      <c r="K973">
        <v>0</v>
      </c>
      <c r="L973">
        <v>3</v>
      </c>
      <c r="M973">
        <v>0</v>
      </c>
      <c r="N973">
        <v>2</v>
      </c>
      <c r="O973">
        <v>0</v>
      </c>
      <c r="P973">
        <v>1</v>
      </c>
      <c r="Q973">
        <v>0</v>
      </c>
      <c r="S973" t="str">
        <f t="shared" si="332"/>
        <v>19:28:10.000</v>
      </c>
      <c r="T973" t="str">
        <f t="shared" si="332"/>
        <v>19:28:10.000</v>
      </c>
      <c r="U973" t="str">
        <f t="shared" si="333"/>
        <v>AC3944</v>
      </c>
      <c r="V973">
        <v>0</v>
      </c>
      <c r="W973">
        <v>0</v>
      </c>
      <c r="X973">
        <v>2</v>
      </c>
      <c r="Y973">
        <v>0</v>
      </c>
      <c r="AA973">
        <v>1</v>
      </c>
      <c r="AB973">
        <v>8</v>
      </c>
      <c r="AC973">
        <v>3</v>
      </c>
      <c r="AD973">
        <v>0</v>
      </c>
      <c r="AE973">
        <v>9</v>
      </c>
      <c r="AF973" t="s">
        <v>138</v>
      </c>
      <c r="AG973">
        <v>0</v>
      </c>
      <c r="AH973">
        <v>3</v>
      </c>
      <c r="AI973">
        <v>1</v>
      </c>
      <c r="AJ973">
        <v>0</v>
      </c>
      <c r="AK973" t="s">
        <v>411</v>
      </c>
      <c r="AL973">
        <v>32.808695</v>
      </c>
      <c r="AM973" t="s">
        <v>412</v>
      </c>
      <c r="AN973">
        <v>-116.93538700000001</v>
      </c>
      <c r="AO973">
        <v>25</v>
      </c>
      <c r="AP973">
        <v>2000</v>
      </c>
      <c r="AQ973" t="s">
        <v>129</v>
      </c>
      <c r="AR973">
        <v>117</v>
      </c>
      <c r="AS973">
        <v>-43</v>
      </c>
      <c r="AT973">
        <v>-192</v>
      </c>
      <c r="BB973">
        <v>1200</v>
      </c>
      <c r="BC973">
        <v>1</v>
      </c>
      <c r="BD973" t="str">
        <f t="shared" si="334"/>
        <v xml:space="preserve">N887QR  </v>
      </c>
      <c r="BE973">
        <v>1</v>
      </c>
      <c r="BJ973">
        <v>1725</v>
      </c>
      <c r="BK973">
        <v>-275</v>
      </c>
      <c r="BL973" t="s">
        <v>163</v>
      </c>
      <c r="BM973">
        <v>1</v>
      </c>
      <c r="BN973">
        <v>1</v>
      </c>
      <c r="BO973">
        <v>1</v>
      </c>
      <c r="BP973">
        <v>0</v>
      </c>
      <c r="BS973">
        <v>0</v>
      </c>
      <c r="BT973">
        <v>0</v>
      </c>
      <c r="BU973">
        <v>0</v>
      </c>
      <c r="CE973" t="str">
        <f t="shared" si="336"/>
        <v>19:28:11.000</v>
      </c>
      <c r="CF973">
        <v>999693197</v>
      </c>
      <c r="CS973">
        <v>3</v>
      </c>
      <c r="CT973">
        <v>2</v>
      </c>
      <c r="CU973">
        <v>0</v>
      </c>
      <c r="CV973">
        <v>2</v>
      </c>
      <c r="CW973">
        <v>0</v>
      </c>
      <c r="CX973">
        <v>5</v>
      </c>
      <c r="CY973">
        <v>7</v>
      </c>
      <c r="CZ973" t="s">
        <v>131</v>
      </c>
      <c r="DA973">
        <v>300</v>
      </c>
      <c r="DB973">
        <v>0</v>
      </c>
      <c r="DC973" t="s">
        <v>176</v>
      </c>
      <c r="DD973" t="s">
        <v>177</v>
      </c>
      <c r="DG973">
        <v>5375362</v>
      </c>
      <c r="DI973">
        <v>1</v>
      </c>
      <c r="DJ973">
        <v>0</v>
      </c>
      <c r="DK973">
        <v>1</v>
      </c>
      <c r="DL973">
        <v>0</v>
      </c>
      <c r="DM973">
        <v>0</v>
      </c>
      <c r="DN973">
        <v>1</v>
      </c>
      <c r="DO973">
        <v>0</v>
      </c>
      <c r="DP973">
        <v>0</v>
      </c>
      <c r="DQ973">
        <v>0</v>
      </c>
      <c r="DR973">
        <v>0</v>
      </c>
      <c r="DS973">
        <v>0</v>
      </c>
    </row>
    <row r="974" spans="1:123" x14ac:dyDescent="0.3">
      <c r="A974" t="str">
        <f>"10/04/2022 19:28:11.229"</f>
        <v>10/04/2022 19:28:11.229</v>
      </c>
      <c r="C974" t="str">
        <f t="shared" si="327"/>
        <v>FFDDD3C0</v>
      </c>
      <c r="D974" t="s">
        <v>123</v>
      </c>
      <c r="E974">
        <v>7</v>
      </c>
      <c r="F974">
        <v>2007</v>
      </c>
      <c r="G974" t="s">
        <v>124</v>
      </c>
      <c r="J974" t="s">
        <v>125</v>
      </c>
      <c r="K974">
        <v>0</v>
      </c>
      <c r="L974">
        <v>3</v>
      </c>
      <c r="M974">
        <v>0</v>
      </c>
      <c r="N974">
        <v>2</v>
      </c>
      <c r="O974">
        <v>0</v>
      </c>
      <c r="P974">
        <v>1</v>
      </c>
      <c r="Q974">
        <v>0</v>
      </c>
      <c r="S974" t="str">
        <f t="shared" si="332"/>
        <v>19:28:10.000</v>
      </c>
      <c r="T974" t="str">
        <f t="shared" si="332"/>
        <v>19:28:10.000</v>
      </c>
      <c r="U974" t="str">
        <f t="shared" si="333"/>
        <v>AC3944</v>
      </c>
      <c r="V974">
        <v>0</v>
      </c>
      <c r="W974">
        <v>0</v>
      </c>
      <c r="X974">
        <v>2</v>
      </c>
      <c r="Y974">
        <v>0</v>
      </c>
      <c r="AA974">
        <v>1</v>
      </c>
      <c r="AB974">
        <v>8</v>
      </c>
      <c r="AC974">
        <v>3</v>
      </c>
      <c r="AD974">
        <v>0</v>
      </c>
      <c r="AE974">
        <v>9</v>
      </c>
      <c r="AF974" t="s">
        <v>138</v>
      </c>
      <c r="AG974">
        <v>0</v>
      </c>
      <c r="AH974">
        <v>3</v>
      </c>
      <c r="AI974">
        <v>1</v>
      </c>
      <c r="AJ974">
        <v>0</v>
      </c>
      <c r="AK974" t="s">
        <v>411</v>
      </c>
      <c r="AL974">
        <v>32.808695</v>
      </c>
      <c r="AM974" t="s">
        <v>412</v>
      </c>
      <c r="AN974">
        <v>-116.93538700000001</v>
      </c>
      <c r="AO974">
        <v>25</v>
      </c>
      <c r="AP974">
        <v>2000</v>
      </c>
      <c r="AQ974" t="s">
        <v>129</v>
      </c>
      <c r="AR974">
        <v>117</v>
      </c>
      <c r="AS974">
        <v>-43</v>
      </c>
      <c r="AT974">
        <v>-192</v>
      </c>
      <c r="BB974">
        <v>1200</v>
      </c>
      <c r="BC974">
        <v>1</v>
      </c>
      <c r="BD974" t="str">
        <f t="shared" si="334"/>
        <v xml:space="preserve">N887QR  </v>
      </c>
      <c r="BE974">
        <v>1</v>
      </c>
      <c r="BJ974">
        <v>1725</v>
      </c>
      <c r="BK974">
        <v>-275</v>
      </c>
      <c r="BL974" t="s">
        <v>163</v>
      </c>
      <c r="BM974">
        <v>1</v>
      </c>
      <c r="BN974">
        <v>1</v>
      </c>
      <c r="BO974">
        <v>1</v>
      </c>
      <c r="BP974">
        <v>0</v>
      </c>
      <c r="BS974">
        <v>0</v>
      </c>
      <c r="BT974">
        <v>0</v>
      </c>
      <c r="BU974">
        <v>0</v>
      </c>
      <c r="CE974" t="str">
        <f t="shared" si="336"/>
        <v>19:28:11.000</v>
      </c>
      <c r="CF974">
        <v>999693197</v>
      </c>
      <c r="CS974">
        <v>3</v>
      </c>
      <c r="CT974">
        <v>2</v>
      </c>
      <c r="CU974">
        <v>0</v>
      </c>
      <c r="CV974">
        <v>2</v>
      </c>
      <c r="CW974">
        <v>0</v>
      </c>
      <c r="CX974">
        <v>5</v>
      </c>
      <c r="CY974">
        <v>7</v>
      </c>
      <c r="CZ974" t="s">
        <v>131</v>
      </c>
      <c r="DA974">
        <v>300</v>
      </c>
      <c r="DB974">
        <v>0</v>
      </c>
      <c r="DC974" t="s">
        <v>176</v>
      </c>
      <c r="DD974" t="s">
        <v>177</v>
      </c>
      <c r="DG974">
        <v>5375362</v>
      </c>
      <c r="DI974">
        <v>1</v>
      </c>
      <c r="DJ974">
        <v>0</v>
      </c>
      <c r="DK974">
        <v>1</v>
      </c>
      <c r="DL974">
        <v>0</v>
      </c>
      <c r="DM974">
        <v>0</v>
      </c>
      <c r="DN974">
        <v>1</v>
      </c>
      <c r="DO974">
        <v>0</v>
      </c>
      <c r="DP974">
        <v>0</v>
      </c>
      <c r="DQ974">
        <v>0</v>
      </c>
      <c r="DR974">
        <v>0</v>
      </c>
      <c r="DS974">
        <v>0</v>
      </c>
    </row>
    <row r="975" spans="1:123" x14ac:dyDescent="0.3">
      <c r="A975" t="str">
        <f>"10/04/2022 19:28:11.246"</f>
        <v>10/04/2022 19:28:11.246</v>
      </c>
      <c r="C975" t="str">
        <f t="shared" si="327"/>
        <v>FFDDD3C0</v>
      </c>
      <c r="D975" t="s">
        <v>141</v>
      </c>
      <c r="E975">
        <v>3</v>
      </c>
      <c r="H975">
        <v>3</v>
      </c>
      <c r="I975" t="s">
        <v>146</v>
      </c>
      <c r="J975" t="s">
        <v>138</v>
      </c>
      <c r="K975">
        <v>0</v>
      </c>
      <c r="L975">
        <v>3</v>
      </c>
      <c r="M975">
        <v>0</v>
      </c>
      <c r="N975">
        <v>2</v>
      </c>
      <c r="O975">
        <v>0</v>
      </c>
      <c r="P975">
        <v>1</v>
      </c>
      <c r="Q975">
        <v>0</v>
      </c>
      <c r="S975" t="str">
        <f t="shared" si="332"/>
        <v>19:28:10.000</v>
      </c>
      <c r="T975" t="str">
        <f t="shared" si="332"/>
        <v>19:28:10.000</v>
      </c>
      <c r="U975" t="str">
        <f t="shared" si="333"/>
        <v>AC3944</v>
      </c>
      <c r="V975">
        <v>0</v>
      </c>
      <c r="W975">
        <v>0</v>
      </c>
      <c r="X975">
        <v>2</v>
      </c>
      <c r="Y975">
        <v>0</v>
      </c>
      <c r="AA975">
        <v>1</v>
      </c>
      <c r="AB975">
        <v>8</v>
      </c>
      <c r="AC975">
        <v>3</v>
      </c>
      <c r="AD975">
        <v>0</v>
      </c>
      <c r="AE975">
        <v>9</v>
      </c>
      <c r="AF975" t="s">
        <v>138</v>
      </c>
      <c r="AG975">
        <v>0</v>
      </c>
      <c r="AH975">
        <v>3</v>
      </c>
      <c r="AI975">
        <v>1</v>
      </c>
      <c r="AJ975">
        <v>0</v>
      </c>
      <c r="AK975" t="s">
        <v>411</v>
      </c>
      <c r="AL975">
        <v>32.808695</v>
      </c>
      <c r="AM975" t="s">
        <v>412</v>
      </c>
      <c r="AN975">
        <v>-116.93538700000001</v>
      </c>
      <c r="AO975">
        <v>25</v>
      </c>
      <c r="AP975">
        <v>2000</v>
      </c>
      <c r="AQ975" t="s">
        <v>129</v>
      </c>
      <c r="AR975">
        <v>117</v>
      </c>
      <c r="AS975">
        <v>-43</v>
      </c>
      <c r="AT975">
        <v>-192</v>
      </c>
      <c r="BB975">
        <v>1200</v>
      </c>
      <c r="BC975">
        <v>1</v>
      </c>
      <c r="BD975" t="str">
        <f t="shared" si="334"/>
        <v xml:space="preserve">N887QR  </v>
      </c>
      <c r="BE975">
        <v>1</v>
      </c>
      <c r="BJ975">
        <v>1725</v>
      </c>
      <c r="BK975">
        <v>-275</v>
      </c>
      <c r="BL975" t="s">
        <v>163</v>
      </c>
      <c r="BM975">
        <v>1</v>
      </c>
      <c r="BN975">
        <v>1</v>
      </c>
      <c r="BO975">
        <v>1</v>
      </c>
      <c r="BP975">
        <v>0</v>
      </c>
      <c r="BS975">
        <v>0</v>
      </c>
      <c r="BT975">
        <v>0</v>
      </c>
      <c r="BU975">
        <v>0</v>
      </c>
      <c r="CE975" t="str">
        <f t="shared" si="336"/>
        <v>19:28:11.000</v>
      </c>
      <c r="CF975">
        <v>999693197</v>
      </c>
      <c r="CS975">
        <v>3</v>
      </c>
      <c r="CT975">
        <v>2</v>
      </c>
      <c r="CU975">
        <v>0</v>
      </c>
      <c r="CV975">
        <v>2</v>
      </c>
      <c r="CW975">
        <v>0</v>
      </c>
      <c r="CX975">
        <v>5</v>
      </c>
      <c r="CY975">
        <v>7</v>
      </c>
      <c r="CZ975" t="s">
        <v>131</v>
      </c>
      <c r="DA975">
        <v>300</v>
      </c>
      <c r="DB975">
        <v>0</v>
      </c>
      <c r="DC975" t="s">
        <v>176</v>
      </c>
      <c r="DD975" t="s">
        <v>177</v>
      </c>
      <c r="DG975">
        <v>5375362</v>
      </c>
      <c r="DI975">
        <v>1</v>
      </c>
      <c r="DJ975">
        <v>0</v>
      </c>
      <c r="DK975">
        <v>1</v>
      </c>
      <c r="DL975">
        <v>0</v>
      </c>
      <c r="DM975">
        <v>0</v>
      </c>
      <c r="DN975">
        <v>1</v>
      </c>
      <c r="DO975">
        <v>0</v>
      </c>
      <c r="DP975">
        <v>0</v>
      </c>
      <c r="DQ975">
        <v>0</v>
      </c>
      <c r="DR975">
        <v>0</v>
      </c>
      <c r="DS975">
        <v>0</v>
      </c>
    </row>
    <row r="976" spans="1:123" x14ac:dyDescent="0.3">
      <c r="A976" t="str">
        <f>"10/04/2022 19:28:12.368"</f>
        <v>10/04/2022 19:28:12.368</v>
      </c>
      <c r="C976" t="str">
        <f t="shared" si="327"/>
        <v>FFDDD3C0</v>
      </c>
      <c r="D976" t="s">
        <v>143</v>
      </c>
      <c r="E976">
        <v>20</v>
      </c>
      <c r="F976">
        <v>1020</v>
      </c>
      <c r="G976" t="s">
        <v>144</v>
      </c>
      <c r="J976" t="s">
        <v>145</v>
      </c>
      <c r="K976">
        <v>0</v>
      </c>
      <c r="L976">
        <v>3</v>
      </c>
      <c r="M976">
        <v>0</v>
      </c>
      <c r="N976">
        <v>2</v>
      </c>
      <c r="O976">
        <v>0</v>
      </c>
      <c r="P976">
        <v>1</v>
      </c>
      <c r="Q976">
        <v>0</v>
      </c>
      <c r="S976" t="str">
        <f t="shared" ref="S976:T982" si="337">"19:28:11.148"</f>
        <v>19:28:11.148</v>
      </c>
      <c r="T976" t="str">
        <f t="shared" si="337"/>
        <v>19:28:11.148</v>
      </c>
      <c r="U976" t="str">
        <f t="shared" si="333"/>
        <v>AC3944</v>
      </c>
      <c r="V976">
        <v>0</v>
      </c>
      <c r="W976">
        <v>0</v>
      </c>
      <c r="X976">
        <v>2</v>
      </c>
      <c r="Y976">
        <v>0</v>
      </c>
      <c r="AA976">
        <v>0</v>
      </c>
      <c r="AB976">
        <v>8</v>
      </c>
      <c r="AC976">
        <v>3</v>
      </c>
      <c r="AD976">
        <v>0</v>
      </c>
      <c r="AE976">
        <v>9</v>
      </c>
      <c r="AF976" t="s">
        <v>138</v>
      </c>
      <c r="AG976">
        <v>0</v>
      </c>
      <c r="AH976">
        <v>3</v>
      </c>
      <c r="AI976">
        <v>1</v>
      </c>
      <c r="AJ976">
        <v>0</v>
      </c>
      <c r="AK976" t="s">
        <v>413</v>
      </c>
      <c r="AL976">
        <v>32.808501999999997</v>
      </c>
      <c r="AM976" t="s">
        <v>414</v>
      </c>
      <c r="AN976">
        <v>-116.934721</v>
      </c>
      <c r="AO976">
        <v>25</v>
      </c>
      <c r="AP976">
        <v>2000</v>
      </c>
      <c r="AQ976" t="s">
        <v>129</v>
      </c>
      <c r="AR976">
        <v>120</v>
      </c>
      <c r="AS976">
        <v>-36</v>
      </c>
      <c r="AT976">
        <v>-64</v>
      </c>
      <c r="BB976">
        <v>1200</v>
      </c>
      <c r="BC976">
        <v>1</v>
      </c>
      <c r="BD976" t="str">
        <f t="shared" si="334"/>
        <v xml:space="preserve">N887QR  </v>
      </c>
      <c r="BE976">
        <v>1</v>
      </c>
      <c r="BJ976">
        <v>1725</v>
      </c>
      <c r="BK976">
        <v>-275</v>
      </c>
      <c r="BL976" t="s">
        <v>163</v>
      </c>
      <c r="BM976">
        <v>1</v>
      </c>
      <c r="BN976">
        <v>1</v>
      </c>
      <c r="BO976">
        <v>1</v>
      </c>
      <c r="BP976">
        <v>0</v>
      </c>
      <c r="BS976">
        <v>0</v>
      </c>
      <c r="BT976">
        <v>0</v>
      </c>
      <c r="BU976">
        <v>0</v>
      </c>
      <c r="CE976" t="str">
        <f t="shared" ref="CE976:CE982" si="338">"19:28:12.155"</f>
        <v>19:28:12.155</v>
      </c>
      <c r="CF976">
        <v>1155455933</v>
      </c>
      <c r="CS976">
        <v>3</v>
      </c>
      <c r="CT976">
        <v>2</v>
      </c>
      <c r="CU976">
        <v>0</v>
      </c>
      <c r="CV976">
        <v>2</v>
      </c>
      <c r="CW976">
        <v>0</v>
      </c>
      <c r="CX976">
        <v>4</v>
      </c>
      <c r="CY976">
        <v>7</v>
      </c>
      <c r="CZ976" t="s">
        <v>131</v>
      </c>
      <c r="DA976">
        <v>286</v>
      </c>
      <c r="DB976">
        <v>0</v>
      </c>
      <c r="DC976" t="s">
        <v>132</v>
      </c>
      <c r="DD976" t="s">
        <v>133</v>
      </c>
      <c r="DG976">
        <v>808009</v>
      </c>
      <c r="DI976">
        <v>1</v>
      </c>
      <c r="DJ976">
        <v>0</v>
      </c>
      <c r="DK976">
        <v>0</v>
      </c>
      <c r="DL976">
        <v>0</v>
      </c>
      <c r="DM976">
        <v>0</v>
      </c>
      <c r="DN976">
        <v>1</v>
      </c>
      <c r="DO976">
        <v>0</v>
      </c>
      <c r="DP976">
        <v>0</v>
      </c>
      <c r="DQ976">
        <v>0</v>
      </c>
      <c r="DR976">
        <v>0</v>
      </c>
      <c r="DS976">
        <v>0</v>
      </c>
    </row>
    <row r="977" spans="1:123" x14ac:dyDescent="0.3">
      <c r="A977" t="str">
        <f>"10/04/2022 19:28:12.384"</f>
        <v>10/04/2022 19:28:12.384</v>
      </c>
      <c r="C977" t="str">
        <f t="shared" si="327"/>
        <v>FFDDD3C0</v>
      </c>
      <c r="D977" t="s">
        <v>123</v>
      </c>
      <c r="E977">
        <v>7</v>
      </c>
      <c r="F977">
        <v>2007</v>
      </c>
      <c r="G977" t="s">
        <v>124</v>
      </c>
      <c r="J977" t="s">
        <v>125</v>
      </c>
      <c r="K977">
        <v>0</v>
      </c>
      <c r="L977">
        <v>3</v>
      </c>
      <c r="M977">
        <v>0</v>
      </c>
      <c r="N977">
        <v>2</v>
      </c>
      <c r="O977">
        <v>0</v>
      </c>
      <c r="P977">
        <v>1</v>
      </c>
      <c r="Q977">
        <v>0</v>
      </c>
      <c r="S977" t="str">
        <f t="shared" si="337"/>
        <v>19:28:11.148</v>
      </c>
      <c r="T977" t="str">
        <f t="shared" si="337"/>
        <v>19:28:11.148</v>
      </c>
      <c r="U977" t="str">
        <f t="shared" si="333"/>
        <v>AC3944</v>
      </c>
      <c r="V977">
        <v>0</v>
      </c>
      <c r="W977">
        <v>0</v>
      </c>
      <c r="X977">
        <v>2</v>
      </c>
      <c r="Y977">
        <v>0</v>
      </c>
      <c r="AA977">
        <v>0</v>
      </c>
      <c r="AB977">
        <v>8</v>
      </c>
      <c r="AC977">
        <v>3</v>
      </c>
      <c r="AD977">
        <v>0</v>
      </c>
      <c r="AE977">
        <v>9</v>
      </c>
      <c r="AF977" t="s">
        <v>138</v>
      </c>
      <c r="AG977">
        <v>0</v>
      </c>
      <c r="AH977">
        <v>3</v>
      </c>
      <c r="AI977">
        <v>1</v>
      </c>
      <c r="AJ977">
        <v>0</v>
      </c>
      <c r="AK977" t="s">
        <v>413</v>
      </c>
      <c r="AL977">
        <v>32.808501999999997</v>
      </c>
      <c r="AM977" t="s">
        <v>414</v>
      </c>
      <c r="AN977">
        <v>-116.934721</v>
      </c>
      <c r="AO977">
        <v>25</v>
      </c>
      <c r="AP977">
        <v>2000</v>
      </c>
      <c r="AQ977" t="s">
        <v>129</v>
      </c>
      <c r="AR977">
        <v>120</v>
      </c>
      <c r="AS977">
        <v>-36</v>
      </c>
      <c r="AT977">
        <v>-64</v>
      </c>
      <c r="BB977">
        <v>1200</v>
      </c>
      <c r="BC977">
        <v>1</v>
      </c>
      <c r="BD977" t="str">
        <f t="shared" si="334"/>
        <v xml:space="preserve">N887QR  </v>
      </c>
      <c r="BE977">
        <v>1</v>
      </c>
      <c r="BJ977">
        <v>1725</v>
      </c>
      <c r="BK977">
        <v>-275</v>
      </c>
      <c r="BL977" t="s">
        <v>163</v>
      </c>
      <c r="BM977">
        <v>1</v>
      </c>
      <c r="BN977">
        <v>1</v>
      </c>
      <c r="BO977">
        <v>1</v>
      </c>
      <c r="BP977">
        <v>0</v>
      </c>
      <c r="BS977">
        <v>0</v>
      </c>
      <c r="BT977">
        <v>0</v>
      </c>
      <c r="BU977">
        <v>0</v>
      </c>
      <c r="CE977" t="str">
        <f t="shared" si="338"/>
        <v>19:28:12.155</v>
      </c>
      <c r="CF977">
        <v>1155455933</v>
      </c>
      <c r="CS977">
        <v>3</v>
      </c>
      <c r="CT977">
        <v>2</v>
      </c>
      <c r="CU977">
        <v>0</v>
      </c>
      <c r="CV977">
        <v>2</v>
      </c>
      <c r="CW977">
        <v>0</v>
      </c>
      <c r="CX977">
        <v>4</v>
      </c>
      <c r="CY977">
        <v>7</v>
      </c>
      <c r="CZ977" t="s">
        <v>131</v>
      </c>
      <c r="DA977">
        <v>286</v>
      </c>
      <c r="DB977">
        <v>0</v>
      </c>
      <c r="DC977" t="s">
        <v>132</v>
      </c>
      <c r="DD977" t="s">
        <v>133</v>
      </c>
      <c r="DG977">
        <v>808009</v>
      </c>
      <c r="DI977">
        <v>1</v>
      </c>
      <c r="DJ977">
        <v>0</v>
      </c>
      <c r="DK977">
        <v>1</v>
      </c>
      <c r="DL977">
        <v>0</v>
      </c>
      <c r="DM977">
        <v>0</v>
      </c>
      <c r="DN977">
        <v>1</v>
      </c>
      <c r="DO977">
        <v>0</v>
      </c>
      <c r="DP977">
        <v>0</v>
      </c>
      <c r="DQ977">
        <v>0</v>
      </c>
      <c r="DR977">
        <v>0</v>
      </c>
      <c r="DS977">
        <v>0</v>
      </c>
    </row>
    <row r="978" spans="1:123" x14ac:dyDescent="0.3">
      <c r="A978" t="str">
        <f>"10/04/2022 19:28:12.400"</f>
        <v>10/04/2022 19:28:12.400</v>
      </c>
      <c r="C978" t="str">
        <f t="shared" si="327"/>
        <v>FFDDD3C0</v>
      </c>
      <c r="D978" t="s">
        <v>134</v>
      </c>
      <c r="E978">
        <v>15</v>
      </c>
      <c r="J978" t="s">
        <v>135</v>
      </c>
      <c r="K978">
        <v>0</v>
      </c>
      <c r="L978">
        <v>3</v>
      </c>
      <c r="M978">
        <v>0</v>
      </c>
      <c r="N978">
        <v>2</v>
      </c>
      <c r="O978">
        <v>0</v>
      </c>
      <c r="P978">
        <v>1</v>
      </c>
      <c r="Q978">
        <v>0</v>
      </c>
      <c r="S978" t="str">
        <f t="shared" si="337"/>
        <v>19:28:11.148</v>
      </c>
      <c r="T978" t="str">
        <f t="shared" si="337"/>
        <v>19:28:11.148</v>
      </c>
      <c r="U978" t="str">
        <f t="shared" si="333"/>
        <v>AC3944</v>
      </c>
      <c r="V978">
        <v>0</v>
      </c>
      <c r="W978">
        <v>0</v>
      </c>
      <c r="X978">
        <v>2</v>
      </c>
      <c r="Y978">
        <v>0</v>
      </c>
      <c r="AA978">
        <v>0</v>
      </c>
      <c r="AB978">
        <v>8</v>
      </c>
      <c r="AC978">
        <v>3</v>
      </c>
      <c r="AD978">
        <v>0</v>
      </c>
      <c r="AE978">
        <v>9</v>
      </c>
      <c r="AF978" t="s">
        <v>138</v>
      </c>
      <c r="AG978">
        <v>0</v>
      </c>
      <c r="AH978">
        <v>3</v>
      </c>
      <c r="AI978">
        <v>1</v>
      </c>
      <c r="AJ978">
        <v>0</v>
      </c>
      <c r="AK978" t="s">
        <v>413</v>
      </c>
      <c r="AL978">
        <v>32.808501999999997</v>
      </c>
      <c r="AM978" t="s">
        <v>414</v>
      </c>
      <c r="AN978">
        <v>-116.934721</v>
      </c>
      <c r="AO978">
        <v>25</v>
      </c>
      <c r="AP978">
        <v>2000</v>
      </c>
      <c r="AQ978" t="s">
        <v>129</v>
      </c>
      <c r="AR978">
        <v>120</v>
      </c>
      <c r="AS978">
        <v>-36</v>
      </c>
      <c r="AT978">
        <v>-64</v>
      </c>
      <c r="BB978">
        <v>1200</v>
      </c>
      <c r="BC978">
        <v>1</v>
      </c>
      <c r="BD978" t="str">
        <f t="shared" si="334"/>
        <v xml:space="preserve">N887QR  </v>
      </c>
      <c r="BE978">
        <v>1</v>
      </c>
      <c r="BJ978">
        <v>1725</v>
      </c>
      <c r="BK978">
        <v>-275</v>
      </c>
      <c r="BL978" t="s">
        <v>163</v>
      </c>
      <c r="BM978">
        <v>1</v>
      </c>
      <c r="BN978">
        <v>1</v>
      </c>
      <c r="BO978">
        <v>1</v>
      </c>
      <c r="BP978">
        <v>0</v>
      </c>
      <c r="BS978">
        <v>0</v>
      </c>
      <c r="BT978">
        <v>0</v>
      </c>
      <c r="BU978">
        <v>0</v>
      </c>
      <c r="CE978" t="str">
        <f t="shared" si="338"/>
        <v>19:28:12.155</v>
      </c>
      <c r="CF978">
        <v>1155455933</v>
      </c>
      <c r="CS978">
        <v>3</v>
      </c>
      <c r="CT978">
        <v>2</v>
      </c>
      <c r="CU978">
        <v>0</v>
      </c>
      <c r="CV978">
        <v>2</v>
      </c>
      <c r="CW978">
        <v>0</v>
      </c>
      <c r="CX978">
        <v>4</v>
      </c>
      <c r="CY978">
        <v>7</v>
      </c>
      <c r="CZ978" t="s">
        <v>131</v>
      </c>
      <c r="DA978">
        <v>286</v>
      </c>
      <c r="DB978">
        <v>0</v>
      </c>
      <c r="DC978" t="s">
        <v>132</v>
      </c>
      <c r="DD978" t="s">
        <v>133</v>
      </c>
      <c r="DG978">
        <v>808009</v>
      </c>
      <c r="DI978">
        <v>1</v>
      </c>
      <c r="DJ978">
        <v>0</v>
      </c>
      <c r="DK978">
        <v>1</v>
      </c>
      <c r="DL978">
        <v>0</v>
      </c>
      <c r="DM978">
        <v>0</v>
      </c>
      <c r="DN978">
        <v>1</v>
      </c>
      <c r="DO978">
        <v>0</v>
      </c>
      <c r="DP978">
        <v>0</v>
      </c>
      <c r="DQ978">
        <v>0</v>
      </c>
      <c r="DR978">
        <v>0</v>
      </c>
      <c r="DS978">
        <v>0</v>
      </c>
    </row>
    <row r="979" spans="1:123" x14ac:dyDescent="0.3">
      <c r="A979" t="str">
        <f>"10/04/2022 19:28:12.400"</f>
        <v>10/04/2022 19:28:12.400</v>
      </c>
      <c r="C979" t="str">
        <f t="shared" si="327"/>
        <v>FFDDD3C0</v>
      </c>
      <c r="D979" t="s">
        <v>141</v>
      </c>
      <c r="E979">
        <v>3</v>
      </c>
      <c r="H979">
        <v>3</v>
      </c>
      <c r="I979" t="s">
        <v>146</v>
      </c>
      <c r="J979" t="s">
        <v>138</v>
      </c>
      <c r="K979">
        <v>0</v>
      </c>
      <c r="L979">
        <v>3</v>
      </c>
      <c r="M979">
        <v>0</v>
      </c>
      <c r="N979">
        <v>2</v>
      </c>
      <c r="O979">
        <v>0</v>
      </c>
      <c r="P979">
        <v>1</v>
      </c>
      <c r="Q979">
        <v>0</v>
      </c>
      <c r="S979" t="str">
        <f t="shared" si="337"/>
        <v>19:28:11.148</v>
      </c>
      <c r="T979" t="str">
        <f t="shared" si="337"/>
        <v>19:28:11.148</v>
      </c>
      <c r="U979" t="str">
        <f t="shared" si="333"/>
        <v>AC3944</v>
      </c>
      <c r="V979">
        <v>0</v>
      </c>
      <c r="W979">
        <v>0</v>
      </c>
      <c r="X979">
        <v>2</v>
      </c>
      <c r="Y979">
        <v>0</v>
      </c>
      <c r="AA979">
        <v>0</v>
      </c>
      <c r="AB979">
        <v>8</v>
      </c>
      <c r="AC979">
        <v>3</v>
      </c>
      <c r="AD979">
        <v>0</v>
      </c>
      <c r="AE979">
        <v>9</v>
      </c>
      <c r="AF979" t="s">
        <v>138</v>
      </c>
      <c r="AG979">
        <v>0</v>
      </c>
      <c r="AH979">
        <v>3</v>
      </c>
      <c r="AI979">
        <v>1</v>
      </c>
      <c r="AJ979">
        <v>0</v>
      </c>
      <c r="AK979" t="s">
        <v>413</v>
      </c>
      <c r="AL979">
        <v>32.808501999999997</v>
      </c>
      <c r="AM979" t="s">
        <v>414</v>
      </c>
      <c r="AN979">
        <v>-116.934721</v>
      </c>
      <c r="AO979">
        <v>25</v>
      </c>
      <c r="AP979">
        <v>2000</v>
      </c>
      <c r="AQ979" t="s">
        <v>129</v>
      </c>
      <c r="AR979">
        <v>120</v>
      </c>
      <c r="AS979">
        <v>-36</v>
      </c>
      <c r="AT979">
        <v>-64</v>
      </c>
      <c r="BB979">
        <v>1200</v>
      </c>
      <c r="BC979">
        <v>1</v>
      </c>
      <c r="BD979" t="str">
        <f t="shared" si="334"/>
        <v xml:space="preserve">N887QR  </v>
      </c>
      <c r="BE979">
        <v>1</v>
      </c>
      <c r="BJ979">
        <v>1725</v>
      </c>
      <c r="BK979">
        <v>-275</v>
      </c>
      <c r="BL979" t="s">
        <v>163</v>
      </c>
      <c r="BM979">
        <v>1</v>
      </c>
      <c r="BN979">
        <v>1</v>
      </c>
      <c r="BO979">
        <v>1</v>
      </c>
      <c r="BP979">
        <v>0</v>
      </c>
      <c r="BS979">
        <v>0</v>
      </c>
      <c r="BT979">
        <v>0</v>
      </c>
      <c r="BU979">
        <v>0</v>
      </c>
      <c r="CE979" t="str">
        <f t="shared" si="338"/>
        <v>19:28:12.155</v>
      </c>
      <c r="CF979">
        <v>1155455933</v>
      </c>
      <c r="CS979">
        <v>3</v>
      </c>
      <c r="CT979">
        <v>2</v>
      </c>
      <c r="CU979">
        <v>0</v>
      </c>
      <c r="CV979">
        <v>2</v>
      </c>
      <c r="CW979">
        <v>0</v>
      </c>
      <c r="CX979">
        <v>4</v>
      </c>
      <c r="CY979">
        <v>7</v>
      </c>
      <c r="CZ979" t="s">
        <v>131</v>
      </c>
      <c r="DA979">
        <v>286</v>
      </c>
      <c r="DB979">
        <v>0</v>
      </c>
      <c r="DC979" t="s">
        <v>132</v>
      </c>
      <c r="DD979" t="s">
        <v>133</v>
      </c>
      <c r="DG979">
        <v>808009</v>
      </c>
      <c r="DI979">
        <v>1</v>
      </c>
      <c r="DJ979">
        <v>0</v>
      </c>
      <c r="DK979">
        <v>1</v>
      </c>
      <c r="DL979">
        <v>0</v>
      </c>
      <c r="DM979">
        <v>0</v>
      </c>
      <c r="DN979">
        <v>1</v>
      </c>
      <c r="DO979">
        <v>0</v>
      </c>
      <c r="DP979">
        <v>0</v>
      </c>
      <c r="DQ979">
        <v>0</v>
      </c>
      <c r="DR979">
        <v>0</v>
      </c>
      <c r="DS979">
        <v>0</v>
      </c>
    </row>
    <row r="980" spans="1:123" x14ac:dyDescent="0.3">
      <c r="A980" t="str">
        <f>"10/04/2022 19:28:12.400"</f>
        <v>10/04/2022 19:28:12.400</v>
      </c>
      <c r="C980" t="str">
        <f t="shared" si="327"/>
        <v>FFDDD3C0</v>
      </c>
      <c r="D980" t="s">
        <v>141</v>
      </c>
      <c r="E980">
        <v>4</v>
      </c>
      <c r="H980">
        <v>4</v>
      </c>
      <c r="I980" t="s">
        <v>142</v>
      </c>
      <c r="J980" t="s">
        <v>138</v>
      </c>
      <c r="K980">
        <v>0</v>
      </c>
      <c r="L980">
        <v>3</v>
      </c>
      <c r="M980">
        <v>0</v>
      </c>
      <c r="N980">
        <v>2</v>
      </c>
      <c r="O980">
        <v>0</v>
      </c>
      <c r="P980">
        <v>1</v>
      </c>
      <c r="Q980">
        <v>0</v>
      </c>
      <c r="S980" t="str">
        <f t="shared" si="337"/>
        <v>19:28:11.148</v>
      </c>
      <c r="T980" t="str">
        <f t="shared" si="337"/>
        <v>19:28:11.148</v>
      </c>
      <c r="U980" t="str">
        <f t="shared" si="333"/>
        <v>AC3944</v>
      </c>
      <c r="V980">
        <v>0</v>
      </c>
      <c r="W980">
        <v>0</v>
      </c>
      <c r="X980">
        <v>2</v>
      </c>
      <c r="Y980">
        <v>0</v>
      </c>
      <c r="AA980">
        <v>0</v>
      </c>
      <c r="AB980">
        <v>8</v>
      </c>
      <c r="AC980">
        <v>3</v>
      </c>
      <c r="AD980">
        <v>0</v>
      </c>
      <c r="AE980">
        <v>9</v>
      </c>
      <c r="AF980" t="s">
        <v>138</v>
      </c>
      <c r="AG980">
        <v>0</v>
      </c>
      <c r="AH980">
        <v>3</v>
      </c>
      <c r="AI980">
        <v>1</v>
      </c>
      <c r="AJ980">
        <v>0</v>
      </c>
      <c r="AK980" t="s">
        <v>413</v>
      </c>
      <c r="AL980">
        <v>32.808501999999997</v>
      </c>
      <c r="AM980" t="s">
        <v>414</v>
      </c>
      <c r="AN980">
        <v>-116.934721</v>
      </c>
      <c r="AO980">
        <v>25</v>
      </c>
      <c r="AP980">
        <v>2000</v>
      </c>
      <c r="AQ980" t="s">
        <v>129</v>
      </c>
      <c r="AR980">
        <v>120</v>
      </c>
      <c r="AS980">
        <v>-36</v>
      </c>
      <c r="AT980">
        <v>-64</v>
      </c>
      <c r="BB980">
        <v>1200</v>
      </c>
      <c r="BC980">
        <v>1</v>
      </c>
      <c r="BD980" t="str">
        <f t="shared" si="334"/>
        <v xml:space="preserve">N887QR  </v>
      </c>
      <c r="BE980">
        <v>1</v>
      </c>
      <c r="BJ980">
        <v>1725</v>
      </c>
      <c r="BK980">
        <v>-275</v>
      </c>
      <c r="BL980" t="s">
        <v>163</v>
      </c>
      <c r="BM980">
        <v>1</v>
      </c>
      <c r="BN980">
        <v>1</v>
      </c>
      <c r="BO980">
        <v>1</v>
      </c>
      <c r="BP980">
        <v>0</v>
      </c>
      <c r="BS980">
        <v>0</v>
      </c>
      <c r="BT980">
        <v>0</v>
      </c>
      <c r="BU980">
        <v>0</v>
      </c>
      <c r="CE980" t="str">
        <f t="shared" si="338"/>
        <v>19:28:12.155</v>
      </c>
      <c r="CF980">
        <v>1155455933</v>
      </c>
      <c r="CS980">
        <v>3</v>
      </c>
      <c r="CT980">
        <v>2</v>
      </c>
      <c r="CU980">
        <v>0</v>
      </c>
      <c r="CV980">
        <v>2</v>
      </c>
      <c r="CW980">
        <v>0</v>
      </c>
      <c r="CX980">
        <v>4</v>
      </c>
      <c r="CY980">
        <v>7</v>
      </c>
      <c r="CZ980" t="s">
        <v>131</v>
      </c>
      <c r="DA980">
        <v>286</v>
      </c>
      <c r="DB980">
        <v>0</v>
      </c>
      <c r="DC980" t="s">
        <v>132</v>
      </c>
      <c r="DD980" t="s">
        <v>133</v>
      </c>
      <c r="DG980">
        <v>808009</v>
      </c>
      <c r="DI980">
        <v>1</v>
      </c>
      <c r="DJ980">
        <v>0</v>
      </c>
      <c r="DK980">
        <v>1</v>
      </c>
      <c r="DL980">
        <v>0</v>
      </c>
      <c r="DM980">
        <v>0</v>
      </c>
      <c r="DN980">
        <v>1</v>
      </c>
      <c r="DO980">
        <v>0</v>
      </c>
      <c r="DP980">
        <v>0</v>
      </c>
      <c r="DQ980">
        <v>0</v>
      </c>
      <c r="DR980">
        <v>0</v>
      </c>
      <c r="DS980">
        <v>0</v>
      </c>
    </row>
    <row r="981" spans="1:123" x14ac:dyDescent="0.3">
      <c r="A981" t="str">
        <f>"10/04/2022 19:28:12.400"</f>
        <v>10/04/2022 19:28:12.400</v>
      </c>
      <c r="C981" t="str">
        <f t="shared" si="327"/>
        <v>FFDDD3C0</v>
      </c>
      <c r="D981" t="s">
        <v>147</v>
      </c>
      <c r="E981">
        <v>3</v>
      </c>
      <c r="H981">
        <v>166</v>
      </c>
      <c r="I981" t="s">
        <v>144</v>
      </c>
      <c r="J981" t="s">
        <v>148</v>
      </c>
      <c r="K981">
        <v>0</v>
      </c>
      <c r="L981">
        <v>3</v>
      </c>
      <c r="M981">
        <v>0</v>
      </c>
      <c r="N981">
        <v>2</v>
      </c>
      <c r="O981">
        <v>0</v>
      </c>
      <c r="P981">
        <v>1</v>
      </c>
      <c r="Q981">
        <v>0</v>
      </c>
      <c r="S981" t="str">
        <f t="shared" si="337"/>
        <v>19:28:11.148</v>
      </c>
      <c r="T981" t="str">
        <f t="shared" si="337"/>
        <v>19:28:11.148</v>
      </c>
      <c r="U981" t="str">
        <f t="shared" si="333"/>
        <v>AC3944</v>
      </c>
      <c r="V981">
        <v>0</v>
      </c>
      <c r="W981">
        <v>0</v>
      </c>
      <c r="X981">
        <v>2</v>
      </c>
      <c r="Y981">
        <v>0</v>
      </c>
      <c r="AA981">
        <v>0</v>
      </c>
      <c r="AB981">
        <v>8</v>
      </c>
      <c r="AC981">
        <v>3</v>
      </c>
      <c r="AD981">
        <v>0</v>
      </c>
      <c r="AE981">
        <v>9</v>
      </c>
      <c r="AF981" t="s">
        <v>138</v>
      </c>
      <c r="AG981">
        <v>0</v>
      </c>
      <c r="AH981">
        <v>3</v>
      </c>
      <c r="AI981">
        <v>1</v>
      </c>
      <c r="AJ981">
        <v>0</v>
      </c>
      <c r="AK981" t="s">
        <v>413</v>
      </c>
      <c r="AL981">
        <v>32.808501999999997</v>
      </c>
      <c r="AM981" t="s">
        <v>414</v>
      </c>
      <c r="AN981">
        <v>-116.934721</v>
      </c>
      <c r="AO981">
        <v>25</v>
      </c>
      <c r="AP981">
        <v>2000</v>
      </c>
      <c r="AQ981" t="s">
        <v>129</v>
      </c>
      <c r="AR981">
        <v>120</v>
      </c>
      <c r="AS981">
        <v>-36</v>
      </c>
      <c r="AT981">
        <v>-64</v>
      </c>
      <c r="BB981">
        <v>1200</v>
      </c>
      <c r="BC981">
        <v>1</v>
      </c>
      <c r="BD981" t="str">
        <f t="shared" si="334"/>
        <v xml:space="preserve">N887QR  </v>
      </c>
      <c r="BE981">
        <v>1</v>
      </c>
      <c r="BJ981">
        <v>1725</v>
      </c>
      <c r="BK981">
        <v>-275</v>
      </c>
      <c r="BL981" t="s">
        <v>163</v>
      </c>
      <c r="BM981">
        <v>1</v>
      </c>
      <c r="BN981">
        <v>1</v>
      </c>
      <c r="BO981">
        <v>1</v>
      </c>
      <c r="BP981">
        <v>0</v>
      </c>
      <c r="BS981">
        <v>0</v>
      </c>
      <c r="BT981">
        <v>0</v>
      </c>
      <c r="BU981">
        <v>0</v>
      </c>
      <c r="CE981" t="str">
        <f t="shared" si="338"/>
        <v>19:28:12.155</v>
      </c>
      <c r="CF981">
        <v>1155455933</v>
      </c>
      <c r="CS981">
        <v>3</v>
      </c>
      <c r="CT981">
        <v>2</v>
      </c>
      <c r="CU981">
        <v>0</v>
      </c>
      <c r="CV981">
        <v>2</v>
      </c>
      <c r="CW981">
        <v>0</v>
      </c>
      <c r="CX981">
        <v>4</v>
      </c>
      <c r="CY981">
        <v>7</v>
      </c>
      <c r="CZ981" t="s">
        <v>131</v>
      </c>
      <c r="DA981">
        <v>286</v>
      </c>
      <c r="DB981">
        <v>0</v>
      </c>
      <c r="DC981" t="s">
        <v>132</v>
      </c>
      <c r="DD981" t="s">
        <v>133</v>
      </c>
      <c r="DG981">
        <v>808009</v>
      </c>
      <c r="DI981">
        <v>1</v>
      </c>
      <c r="DJ981">
        <v>0</v>
      </c>
      <c r="DK981">
        <v>1</v>
      </c>
      <c r="DL981">
        <v>0</v>
      </c>
      <c r="DM981">
        <v>0</v>
      </c>
      <c r="DN981">
        <v>1</v>
      </c>
      <c r="DO981">
        <v>0</v>
      </c>
      <c r="DP981">
        <v>0</v>
      </c>
      <c r="DQ981">
        <v>0</v>
      </c>
      <c r="DR981">
        <v>0</v>
      </c>
      <c r="DS981">
        <v>0</v>
      </c>
    </row>
    <row r="982" spans="1:123" x14ac:dyDescent="0.3">
      <c r="A982" t="str">
        <f>"10/04/2022 19:28:12.447"</f>
        <v>10/04/2022 19:28:12.447</v>
      </c>
      <c r="C982" t="str">
        <f t="shared" si="327"/>
        <v>FFDDD3C0</v>
      </c>
      <c r="D982" t="s">
        <v>136</v>
      </c>
      <c r="E982">
        <v>8</v>
      </c>
      <c r="H982">
        <v>225</v>
      </c>
      <c r="I982" t="s">
        <v>137</v>
      </c>
      <c r="J982" t="s">
        <v>138</v>
      </c>
      <c r="K982">
        <v>0</v>
      </c>
      <c r="L982">
        <v>3</v>
      </c>
      <c r="M982">
        <v>0</v>
      </c>
      <c r="N982">
        <v>2</v>
      </c>
      <c r="O982">
        <v>0</v>
      </c>
      <c r="P982">
        <v>1</v>
      </c>
      <c r="Q982">
        <v>0</v>
      </c>
      <c r="S982" t="str">
        <f t="shared" si="337"/>
        <v>19:28:11.148</v>
      </c>
      <c r="T982" t="str">
        <f t="shared" si="337"/>
        <v>19:28:11.148</v>
      </c>
      <c r="U982" t="str">
        <f t="shared" si="333"/>
        <v>AC3944</v>
      </c>
      <c r="V982">
        <v>0</v>
      </c>
      <c r="W982">
        <v>0</v>
      </c>
      <c r="X982">
        <v>2</v>
      </c>
      <c r="Y982">
        <v>0</v>
      </c>
      <c r="AA982">
        <v>0</v>
      </c>
      <c r="AB982">
        <v>8</v>
      </c>
      <c r="AC982">
        <v>3</v>
      </c>
      <c r="AD982">
        <v>0</v>
      </c>
      <c r="AE982">
        <v>9</v>
      </c>
      <c r="AF982" t="s">
        <v>138</v>
      </c>
      <c r="AG982">
        <v>0</v>
      </c>
      <c r="AH982">
        <v>3</v>
      </c>
      <c r="AI982">
        <v>1</v>
      </c>
      <c r="AJ982">
        <v>0</v>
      </c>
      <c r="AK982" t="s">
        <v>413</v>
      </c>
      <c r="AL982">
        <v>32.808501999999997</v>
      </c>
      <c r="AM982" t="s">
        <v>414</v>
      </c>
      <c r="AN982">
        <v>-116.934721</v>
      </c>
      <c r="AO982">
        <v>25</v>
      </c>
      <c r="AP982">
        <v>2000</v>
      </c>
      <c r="AQ982" t="s">
        <v>129</v>
      </c>
      <c r="AR982">
        <v>120</v>
      </c>
      <c r="AS982">
        <v>-36</v>
      </c>
      <c r="AT982">
        <v>-64</v>
      </c>
      <c r="BB982">
        <v>1200</v>
      </c>
      <c r="BC982">
        <v>1</v>
      </c>
      <c r="BD982" t="str">
        <f t="shared" si="334"/>
        <v xml:space="preserve">N887QR  </v>
      </c>
      <c r="BE982">
        <v>1</v>
      </c>
      <c r="BJ982">
        <v>1725</v>
      </c>
      <c r="BK982">
        <v>-275</v>
      </c>
      <c r="BL982" t="s">
        <v>163</v>
      </c>
      <c r="BM982">
        <v>1</v>
      </c>
      <c r="BN982">
        <v>1</v>
      </c>
      <c r="BO982">
        <v>1</v>
      </c>
      <c r="BP982">
        <v>0</v>
      </c>
      <c r="BS982">
        <v>0</v>
      </c>
      <c r="BT982">
        <v>0</v>
      </c>
      <c r="BU982">
        <v>0</v>
      </c>
      <c r="CE982" t="str">
        <f t="shared" si="338"/>
        <v>19:28:12.155</v>
      </c>
      <c r="CF982">
        <v>1155455933</v>
      </c>
      <c r="CS982">
        <v>3</v>
      </c>
      <c r="CT982">
        <v>2</v>
      </c>
      <c r="CU982">
        <v>0</v>
      </c>
      <c r="CV982">
        <v>2</v>
      </c>
      <c r="CW982">
        <v>0</v>
      </c>
      <c r="CX982">
        <v>4</v>
      </c>
      <c r="CY982">
        <v>7</v>
      </c>
      <c r="CZ982" t="s">
        <v>131</v>
      </c>
      <c r="DA982">
        <v>286</v>
      </c>
      <c r="DB982">
        <v>0</v>
      </c>
      <c r="DC982" t="s">
        <v>132</v>
      </c>
      <c r="DD982" t="s">
        <v>133</v>
      </c>
      <c r="DG982">
        <v>808009</v>
      </c>
      <c r="DI982">
        <v>1</v>
      </c>
      <c r="DJ982">
        <v>0</v>
      </c>
      <c r="DK982">
        <v>1</v>
      </c>
      <c r="DL982">
        <v>0</v>
      </c>
      <c r="DM982">
        <v>0</v>
      </c>
      <c r="DN982">
        <v>1</v>
      </c>
      <c r="DO982">
        <v>0</v>
      </c>
      <c r="DP982">
        <v>0</v>
      </c>
      <c r="DQ982">
        <v>0</v>
      </c>
      <c r="DR982">
        <v>0</v>
      </c>
      <c r="DS982">
        <v>0</v>
      </c>
    </row>
    <row r="983" spans="1:123" x14ac:dyDescent="0.3">
      <c r="A983" t="str">
        <f>"10/04/2022 19:28:13.025"</f>
        <v>10/04/2022 19:28:13.025</v>
      </c>
      <c r="C983" t="str">
        <f t="shared" ref="C983:C1014" si="339">"FFDFD3C0"</f>
        <v>FFDFD3C0</v>
      </c>
      <c r="D983" t="s">
        <v>136</v>
      </c>
      <c r="E983">
        <v>8</v>
      </c>
      <c r="H983">
        <v>225</v>
      </c>
      <c r="I983" t="s">
        <v>137</v>
      </c>
      <c r="J983" t="s">
        <v>138</v>
      </c>
      <c r="K983">
        <v>0</v>
      </c>
      <c r="L983">
        <v>3</v>
      </c>
      <c r="M983">
        <v>0</v>
      </c>
      <c r="N983">
        <v>2</v>
      </c>
      <c r="O983">
        <v>0</v>
      </c>
      <c r="P983">
        <v>1</v>
      </c>
      <c r="Q983">
        <v>0</v>
      </c>
      <c r="S983" t="str">
        <f t="shared" ref="S983:T989" si="340">"19:28:11.844"</f>
        <v>19:28:11.844</v>
      </c>
      <c r="T983" t="str">
        <f t="shared" si="340"/>
        <v>19:28:11.844</v>
      </c>
      <c r="U983" t="str">
        <f t="shared" si="333"/>
        <v>AC3944</v>
      </c>
      <c r="V983">
        <v>0</v>
      </c>
      <c r="W983">
        <v>0</v>
      </c>
      <c r="X983">
        <v>2</v>
      </c>
      <c r="Y983">
        <v>0</v>
      </c>
      <c r="AA983">
        <v>0</v>
      </c>
      <c r="AB983">
        <v>8</v>
      </c>
      <c r="AC983">
        <v>3</v>
      </c>
      <c r="AD983">
        <v>0</v>
      </c>
      <c r="AE983">
        <v>9</v>
      </c>
      <c r="AF983" t="s">
        <v>138</v>
      </c>
      <c r="AG983">
        <v>0</v>
      </c>
      <c r="AH983">
        <v>3</v>
      </c>
      <c r="AI983">
        <v>1</v>
      </c>
      <c r="AJ983">
        <v>0</v>
      </c>
      <c r="AK983" t="s">
        <v>415</v>
      </c>
      <c r="AL983">
        <v>32.808373000000003</v>
      </c>
      <c r="AM983" t="s">
        <v>416</v>
      </c>
      <c r="AN983">
        <v>-116.934206</v>
      </c>
      <c r="AO983">
        <v>25</v>
      </c>
      <c r="AP983">
        <v>2000</v>
      </c>
      <c r="AQ983" t="s">
        <v>129</v>
      </c>
      <c r="AR983">
        <v>122</v>
      </c>
      <c r="AS983">
        <v>-34</v>
      </c>
      <c r="AT983">
        <v>-64</v>
      </c>
      <c r="BB983">
        <v>1200</v>
      </c>
      <c r="BC983">
        <v>1</v>
      </c>
      <c r="BD983" t="str">
        <f t="shared" si="334"/>
        <v xml:space="preserve">N887QR  </v>
      </c>
      <c r="BE983">
        <v>1</v>
      </c>
      <c r="BG983">
        <v>0</v>
      </c>
      <c r="BH983">
        <v>0</v>
      </c>
      <c r="BI983">
        <v>0</v>
      </c>
      <c r="BJ983">
        <v>1725</v>
      </c>
      <c r="BK983">
        <v>-275</v>
      </c>
      <c r="BL983" t="s">
        <v>163</v>
      </c>
      <c r="BM983">
        <v>1</v>
      </c>
      <c r="BN983">
        <v>1</v>
      </c>
      <c r="BO983">
        <v>1</v>
      </c>
      <c r="BP983">
        <v>0</v>
      </c>
      <c r="BS983">
        <v>0</v>
      </c>
      <c r="BT983">
        <v>0</v>
      </c>
      <c r="BU983">
        <v>0</v>
      </c>
      <c r="CE983" t="str">
        <f t="shared" ref="CE983:CE989" si="341">"19:28:12.849"</f>
        <v>19:28:12.849</v>
      </c>
      <c r="CF983">
        <v>1848708141</v>
      </c>
      <c r="CS983">
        <v>3</v>
      </c>
      <c r="CT983">
        <v>2</v>
      </c>
      <c r="CU983">
        <v>0</v>
      </c>
      <c r="CV983">
        <v>2</v>
      </c>
      <c r="CW983">
        <v>0</v>
      </c>
      <c r="CX983">
        <v>4</v>
      </c>
      <c r="CY983">
        <v>7</v>
      </c>
      <c r="CZ983" t="s">
        <v>131</v>
      </c>
      <c r="DA983">
        <v>286</v>
      </c>
      <c r="DB983">
        <v>0</v>
      </c>
      <c r="DC983" t="s">
        <v>132</v>
      </c>
      <c r="DD983" t="s">
        <v>133</v>
      </c>
      <c r="DG983">
        <v>808149</v>
      </c>
      <c r="DI983">
        <v>1</v>
      </c>
      <c r="DJ983">
        <v>0</v>
      </c>
      <c r="DK983">
        <v>0</v>
      </c>
      <c r="DL983">
        <v>0</v>
      </c>
      <c r="DM983">
        <v>0</v>
      </c>
      <c r="DN983">
        <v>1</v>
      </c>
      <c r="DO983">
        <v>0</v>
      </c>
      <c r="DP983">
        <v>0</v>
      </c>
      <c r="DQ983">
        <v>0</v>
      </c>
      <c r="DR983">
        <v>0</v>
      </c>
      <c r="DS983">
        <v>0</v>
      </c>
    </row>
    <row r="984" spans="1:123" x14ac:dyDescent="0.3">
      <c r="A984" t="str">
        <f>"10/04/2022 19:28:13.025"</f>
        <v>10/04/2022 19:28:13.025</v>
      </c>
      <c r="C984" t="str">
        <f t="shared" si="339"/>
        <v>FFDFD3C0</v>
      </c>
      <c r="D984" t="s">
        <v>143</v>
      </c>
      <c r="E984">
        <v>20</v>
      </c>
      <c r="F984">
        <v>1020</v>
      </c>
      <c r="G984" t="s">
        <v>144</v>
      </c>
      <c r="J984" t="s">
        <v>145</v>
      </c>
      <c r="K984">
        <v>0</v>
      </c>
      <c r="L984">
        <v>3</v>
      </c>
      <c r="M984">
        <v>0</v>
      </c>
      <c r="N984">
        <v>2</v>
      </c>
      <c r="O984">
        <v>0</v>
      </c>
      <c r="P984">
        <v>1</v>
      </c>
      <c r="Q984">
        <v>0</v>
      </c>
      <c r="S984" t="str">
        <f t="shared" si="340"/>
        <v>19:28:11.844</v>
      </c>
      <c r="T984" t="str">
        <f t="shared" si="340"/>
        <v>19:28:11.844</v>
      </c>
      <c r="U984" t="str">
        <f t="shared" si="333"/>
        <v>AC3944</v>
      </c>
      <c r="V984">
        <v>0</v>
      </c>
      <c r="W984">
        <v>0</v>
      </c>
      <c r="X984">
        <v>2</v>
      </c>
      <c r="Y984">
        <v>0</v>
      </c>
      <c r="AA984">
        <v>0</v>
      </c>
      <c r="AB984">
        <v>8</v>
      </c>
      <c r="AC984">
        <v>3</v>
      </c>
      <c r="AD984">
        <v>0</v>
      </c>
      <c r="AE984">
        <v>9</v>
      </c>
      <c r="AF984" t="s">
        <v>138</v>
      </c>
      <c r="AG984">
        <v>0</v>
      </c>
      <c r="AH984">
        <v>3</v>
      </c>
      <c r="AI984">
        <v>1</v>
      </c>
      <c r="AJ984">
        <v>0</v>
      </c>
      <c r="AK984" t="s">
        <v>415</v>
      </c>
      <c r="AL984">
        <v>32.808373000000003</v>
      </c>
      <c r="AM984" t="s">
        <v>416</v>
      </c>
      <c r="AN984">
        <v>-116.934206</v>
      </c>
      <c r="AO984">
        <v>25</v>
      </c>
      <c r="AP984">
        <v>2000</v>
      </c>
      <c r="AQ984" t="s">
        <v>129</v>
      </c>
      <c r="AR984">
        <v>122</v>
      </c>
      <c r="AS984">
        <v>-34</v>
      </c>
      <c r="AT984">
        <v>-64</v>
      </c>
      <c r="BB984">
        <v>1200</v>
      </c>
      <c r="BC984">
        <v>1</v>
      </c>
      <c r="BD984" t="str">
        <f t="shared" si="334"/>
        <v xml:space="preserve">N887QR  </v>
      </c>
      <c r="BE984">
        <v>1</v>
      </c>
      <c r="BG984">
        <v>0</v>
      </c>
      <c r="BH984">
        <v>0</v>
      </c>
      <c r="BI984">
        <v>0</v>
      </c>
      <c r="BJ984">
        <v>1725</v>
      </c>
      <c r="BK984">
        <v>-275</v>
      </c>
      <c r="BL984" t="s">
        <v>163</v>
      </c>
      <c r="BM984">
        <v>1</v>
      </c>
      <c r="BN984">
        <v>1</v>
      </c>
      <c r="BO984">
        <v>1</v>
      </c>
      <c r="BP984">
        <v>0</v>
      </c>
      <c r="BS984">
        <v>0</v>
      </c>
      <c r="BT984">
        <v>0</v>
      </c>
      <c r="BU984">
        <v>0</v>
      </c>
      <c r="CE984" t="str">
        <f t="shared" si="341"/>
        <v>19:28:12.849</v>
      </c>
      <c r="CF984">
        <v>1848708141</v>
      </c>
      <c r="CS984">
        <v>3</v>
      </c>
      <c r="CT984">
        <v>2</v>
      </c>
      <c r="CU984">
        <v>0</v>
      </c>
      <c r="CV984">
        <v>2</v>
      </c>
      <c r="CW984">
        <v>0</v>
      </c>
      <c r="CX984">
        <v>4</v>
      </c>
      <c r="CY984">
        <v>7</v>
      </c>
      <c r="CZ984" t="s">
        <v>131</v>
      </c>
      <c r="DA984">
        <v>286</v>
      </c>
      <c r="DB984">
        <v>0</v>
      </c>
      <c r="DC984" t="s">
        <v>132</v>
      </c>
      <c r="DD984" t="s">
        <v>133</v>
      </c>
      <c r="DG984">
        <v>808149</v>
      </c>
      <c r="DI984">
        <v>1</v>
      </c>
      <c r="DJ984">
        <v>0</v>
      </c>
      <c r="DK984">
        <v>1</v>
      </c>
      <c r="DL984">
        <v>0</v>
      </c>
      <c r="DM984">
        <v>0</v>
      </c>
      <c r="DN984">
        <v>1</v>
      </c>
      <c r="DO984">
        <v>0</v>
      </c>
      <c r="DP984">
        <v>0</v>
      </c>
      <c r="DQ984">
        <v>0</v>
      </c>
      <c r="DR984">
        <v>0</v>
      </c>
      <c r="DS984">
        <v>0</v>
      </c>
    </row>
    <row r="985" spans="1:123" x14ac:dyDescent="0.3">
      <c r="A985" t="str">
        <f>"10/04/2022 19:28:13.040"</f>
        <v>10/04/2022 19:28:13.040</v>
      </c>
      <c r="C985" t="str">
        <f t="shared" si="339"/>
        <v>FFDFD3C0</v>
      </c>
      <c r="D985" t="s">
        <v>123</v>
      </c>
      <c r="E985">
        <v>7</v>
      </c>
      <c r="F985">
        <v>2007</v>
      </c>
      <c r="G985" t="s">
        <v>124</v>
      </c>
      <c r="J985" t="s">
        <v>125</v>
      </c>
      <c r="K985">
        <v>0</v>
      </c>
      <c r="L985">
        <v>3</v>
      </c>
      <c r="M985">
        <v>0</v>
      </c>
      <c r="N985">
        <v>2</v>
      </c>
      <c r="O985">
        <v>0</v>
      </c>
      <c r="P985">
        <v>1</v>
      </c>
      <c r="Q985">
        <v>0</v>
      </c>
      <c r="S985" t="str">
        <f t="shared" si="340"/>
        <v>19:28:11.844</v>
      </c>
      <c r="T985" t="str">
        <f t="shared" si="340"/>
        <v>19:28:11.844</v>
      </c>
      <c r="U985" t="str">
        <f t="shared" si="333"/>
        <v>AC3944</v>
      </c>
      <c r="V985">
        <v>0</v>
      </c>
      <c r="W985">
        <v>0</v>
      </c>
      <c r="X985">
        <v>2</v>
      </c>
      <c r="Y985">
        <v>0</v>
      </c>
      <c r="AA985">
        <v>0</v>
      </c>
      <c r="AB985">
        <v>8</v>
      </c>
      <c r="AC985">
        <v>3</v>
      </c>
      <c r="AD985">
        <v>0</v>
      </c>
      <c r="AE985">
        <v>9</v>
      </c>
      <c r="AF985" t="s">
        <v>138</v>
      </c>
      <c r="AG985">
        <v>0</v>
      </c>
      <c r="AH985">
        <v>3</v>
      </c>
      <c r="AI985">
        <v>1</v>
      </c>
      <c r="AJ985">
        <v>0</v>
      </c>
      <c r="AK985" t="s">
        <v>415</v>
      </c>
      <c r="AL985">
        <v>32.808373000000003</v>
      </c>
      <c r="AM985" t="s">
        <v>416</v>
      </c>
      <c r="AN985">
        <v>-116.934206</v>
      </c>
      <c r="AO985">
        <v>25</v>
      </c>
      <c r="AP985">
        <v>2000</v>
      </c>
      <c r="AQ985" t="s">
        <v>129</v>
      </c>
      <c r="AR985">
        <v>122</v>
      </c>
      <c r="AS985">
        <v>-34</v>
      </c>
      <c r="AT985">
        <v>-64</v>
      </c>
      <c r="BB985">
        <v>1200</v>
      </c>
      <c r="BC985">
        <v>1</v>
      </c>
      <c r="BD985" t="str">
        <f t="shared" si="334"/>
        <v xml:space="preserve">N887QR  </v>
      </c>
      <c r="BE985">
        <v>1</v>
      </c>
      <c r="BG985">
        <v>0</v>
      </c>
      <c r="BH985">
        <v>0</v>
      </c>
      <c r="BI985">
        <v>0</v>
      </c>
      <c r="BJ985">
        <v>1725</v>
      </c>
      <c r="BK985">
        <v>-275</v>
      </c>
      <c r="BL985" t="s">
        <v>163</v>
      </c>
      <c r="BM985">
        <v>1</v>
      </c>
      <c r="BN985">
        <v>1</v>
      </c>
      <c r="BO985">
        <v>1</v>
      </c>
      <c r="BP985">
        <v>0</v>
      </c>
      <c r="BS985">
        <v>0</v>
      </c>
      <c r="BT985">
        <v>0</v>
      </c>
      <c r="BU985">
        <v>0</v>
      </c>
      <c r="CE985" t="str">
        <f t="shared" si="341"/>
        <v>19:28:12.849</v>
      </c>
      <c r="CF985">
        <v>1848708141</v>
      </c>
      <c r="CS985">
        <v>3</v>
      </c>
      <c r="CT985">
        <v>2</v>
      </c>
      <c r="CU985">
        <v>0</v>
      </c>
      <c r="CV985">
        <v>2</v>
      </c>
      <c r="CW985">
        <v>0</v>
      </c>
      <c r="CX985">
        <v>4</v>
      </c>
      <c r="CY985">
        <v>7</v>
      </c>
      <c r="CZ985" t="s">
        <v>131</v>
      </c>
      <c r="DA985">
        <v>286</v>
      </c>
      <c r="DB985">
        <v>0</v>
      </c>
      <c r="DC985" t="s">
        <v>132</v>
      </c>
      <c r="DD985" t="s">
        <v>133</v>
      </c>
      <c r="DG985">
        <v>808149</v>
      </c>
      <c r="DI985">
        <v>1</v>
      </c>
      <c r="DJ985">
        <v>0</v>
      </c>
      <c r="DK985">
        <v>1</v>
      </c>
      <c r="DL985">
        <v>0</v>
      </c>
      <c r="DM985">
        <v>0</v>
      </c>
      <c r="DN985">
        <v>1</v>
      </c>
      <c r="DO985">
        <v>0</v>
      </c>
      <c r="DP985">
        <v>0</v>
      </c>
      <c r="DQ985">
        <v>0</v>
      </c>
      <c r="DR985">
        <v>0</v>
      </c>
      <c r="DS985">
        <v>0</v>
      </c>
    </row>
    <row r="986" spans="1:123" x14ac:dyDescent="0.3">
      <c r="A986" t="str">
        <f>"10/04/2022 19:28:13.056"</f>
        <v>10/04/2022 19:28:13.056</v>
      </c>
      <c r="C986" t="str">
        <f t="shared" si="339"/>
        <v>FFDFD3C0</v>
      </c>
      <c r="D986" t="s">
        <v>134</v>
      </c>
      <c r="E986">
        <v>15</v>
      </c>
      <c r="J986" t="s">
        <v>135</v>
      </c>
      <c r="K986">
        <v>0</v>
      </c>
      <c r="L986">
        <v>3</v>
      </c>
      <c r="M986">
        <v>0</v>
      </c>
      <c r="N986">
        <v>2</v>
      </c>
      <c r="O986">
        <v>0</v>
      </c>
      <c r="P986">
        <v>1</v>
      </c>
      <c r="Q986">
        <v>0</v>
      </c>
      <c r="S986" t="str">
        <f t="shared" si="340"/>
        <v>19:28:11.844</v>
      </c>
      <c r="T986" t="str">
        <f t="shared" si="340"/>
        <v>19:28:11.844</v>
      </c>
      <c r="U986" t="str">
        <f t="shared" si="333"/>
        <v>AC3944</v>
      </c>
      <c r="V986">
        <v>0</v>
      </c>
      <c r="W986">
        <v>0</v>
      </c>
      <c r="X986">
        <v>2</v>
      </c>
      <c r="Y986">
        <v>0</v>
      </c>
      <c r="AA986">
        <v>0</v>
      </c>
      <c r="AB986">
        <v>8</v>
      </c>
      <c r="AC986">
        <v>3</v>
      </c>
      <c r="AD986">
        <v>0</v>
      </c>
      <c r="AE986">
        <v>9</v>
      </c>
      <c r="AF986" t="s">
        <v>138</v>
      </c>
      <c r="AG986">
        <v>0</v>
      </c>
      <c r="AH986">
        <v>3</v>
      </c>
      <c r="AI986">
        <v>1</v>
      </c>
      <c r="AJ986">
        <v>0</v>
      </c>
      <c r="AK986" t="s">
        <v>415</v>
      </c>
      <c r="AL986">
        <v>32.808373000000003</v>
      </c>
      <c r="AM986" t="s">
        <v>416</v>
      </c>
      <c r="AN986">
        <v>-116.934206</v>
      </c>
      <c r="AO986">
        <v>25</v>
      </c>
      <c r="AP986">
        <v>2000</v>
      </c>
      <c r="AQ986" t="s">
        <v>129</v>
      </c>
      <c r="AR986">
        <v>122</v>
      </c>
      <c r="AS986">
        <v>-34</v>
      </c>
      <c r="AT986">
        <v>-64</v>
      </c>
      <c r="BB986">
        <v>1200</v>
      </c>
      <c r="BC986">
        <v>1</v>
      </c>
      <c r="BD986" t="str">
        <f t="shared" si="334"/>
        <v xml:space="preserve">N887QR  </v>
      </c>
      <c r="BE986">
        <v>1</v>
      </c>
      <c r="BG986">
        <v>0</v>
      </c>
      <c r="BH986">
        <v>0</v>
      </c>
      <c r="BI986">
        <v>0</v>
      </c>
      <c r="BJ986">
        <v>1725</v>
      </c>
      <c r="BK986">
        <v>-275</v>
      </c>
      <c r="BL986" t="s">
        <v>163</v>
      </c>
      <c r="BM986">
        <v>1</v>
      </c>
      <c r="BN986">
        <v>1</v>
      </c>
      <c r="BO986">
        <v>1</v>
      </c>
      <c r="BP986">
        <v>0</v>
      </c>
      <c r="BS986">
        <v>0</v>
      </c>
      <c r="BT986">
        <v>0</v>
      </c>
      <c r="BU986">
        <v>0</v>
      </c>
      <c r="CE986" t="str">
        <f t="shared" si="341"/>
        <v>19:28:12.849</v>
      </c>
      <c r="CF986">
        <v>1848708141</v>
      </c>
      <c r="CS986">
        <v>3</v>
      </c>
      <c r="CT986">
        <v>2</v>
      </c>
      <c r="CU986">
        <v>0</v>
      </c>
      <c r="CV986">
        <v>2</v>
      </c>
      <c r="CW986">
        <v>0</v>
      </c>
      <c r="CX986">
        <v>4</v>
      </c>
      <c r="CY986">
        <v>7</v>
      </c>
      <c r="CZ986" t="s">
        <v>131</v>
      </c>
      <c r="DA986">
        <v>286</v>
      </c>
      <c r="DB986">
        <v>0</v>
      </c>
      <c r="DC986" t="s">
        <v>132</v>
      </c>
      <c r="DD986" t="s">
        <v>133</v>
      </c>
      <c r="DG986">
        <v>808149</v>
      </c>
      <c r="DI986">
        <v>1</v>
      </c>
      <c r="DJ986">
        <v>0</v>
      </c>
      <c r="DK986">
        <v>1</v>
      </c>
      <c r="DL986">
        <v>0</v>
      </c>
      <c r="DM986">
        <v>0</v>
      </c>
      <c r="DN986">
        <v>1</v>
      </c>
      <c r="DO986">
        <v>0</v>
      </c>
      <c r="DP986">
        <v>0</v>
      </c>
      <c r="DQ986">
        <v>0</v>
      </c>
      <c r="DR986">
        <v>0</v>
      </c>
      <c r="DS986">
        <v>0</v>
      </c>
    </row>
    <row r="987" spans="1:123" x14ac:dyDescent="0.3">
      <c r="A987" t="str">
        <f>"10/04/2022 19:28:13.056"</f>
        <v>10/04/2022 19:28:13.056</v>
      </c>
      <c r="C987" t="str">
        <f t="shared" si="339"/>
        <v>FFDFD3C0</v>
      </c>
      <c r="D987" t="s">
        <v>141</v>
      </c>
      <c r="E987">
        <v>3</v>
      </c>
      <c r="H987">
        <v>3</v>
      </c>
      <c r="I987" t="s">
        <v>146</v>
      </c>
      <c r="J987" t="s">
        <v>138</v>
      </c>
      <c r="K987">
        <v>0</v>
      </c>
      <c r="L987">
        <v>3</v>
      </c>
      <c r="M987">
        <v>0</v>
      </c>
      <c r="N987">
        <v>2</v>
      </c>
      <c r="O987">
        <v>0</v>
      </c>
      <c r="P987">
        <v>1</v>
      </c>
      <c r="Q987">
        <v>0</v>
      </c>
      <c r="S987" t="str">
        <f t="shared" si="340"/>
        <v>19:28:11.844</v>
      </c>
      <c r="T987" t="str">
        <f t="shared" si="340"/>
        <v>19:28:11.844</v>
      </c>
      <c r="U987" t="str">
        <f t="shared" si="333"/>
        <v>AC3944</v>
      </c>
      <c r="V987">
        <v>0</v>
      </c>
      <c r="W987">
        <v>0</v>
      </c>
      <c r="X987">
        <v>2</v>
      </c>
      <c r="Y987">
        <v>0</v>
      </c>
      <c r="AA987">
        <v>0</v>
      </c>
      <c r="AB987">
        <v>8</v>
      </c>
      <c r="AC987">
        <v>3</v>
      </c>
      <c r="AD987">
        <v>0</v>
      </c>
      <c r="AE987">
        <v>9</v>
      </c>
      <c r="AF987" t="s">
        <v>138</v>
      </c>
      <c r="AG987">
        <v>0</v>
      </c>
      <c r="AH987">
        <v>3</v>
      </c>
      <c r="AI987">
        <v>1</v>
      </c>
      <c r="AJ987">
        <v>0</v>
      </c>
      <c r="AK987" t="s">
        <v>415</v>
      </c>
      <c r="AL987">
        <v>32.808373000000003</v>
      </c>
      <c r="AM987" t="s">
        <v>416</v>
      </c>
      <c r="AN987">
        <v>-116.934206</v>
      </c>
      <c r="AO987">
        <v>25</v>
      </c>
      <c r="AP987">
        <v>2000</v>
      </c>
      <c r="AQ987" t="s">
        <v>129</v>
      </c>
      <c r="AR987">
        <v>122</v>
      </c>
      <c r="AS987">
        <v>-34</v>
      </c>
      <c r="AT987">
        <v>-64</v>
      </c>
      <c r="BB987">
        <v>1200</v>
      </c>
      <c r="BC987">
        <v>1</v>
      </c>
      <c r="BD987" t="str">
        <f t="shared" si="334"/>
        <v xml:space="preserve">N887QR  </v>
      </c>
      <c r="BE987">
        <v>1</v>
      </c>
      <c r="BG987">
        <v>0</v>
      </c>
      <c r="BH987">
        <v>0</v>
      </c>
      <c r="BI987">
        <v>0</v>
      </c>
      <c r="BJ987">
        <v>1725</v>
      </c>
      <c r="BK987">
        <v>-275</v>
      </c>
      <c r="BL987" t="s">
        <v>163</v>
      </c>
      <c r="BM987">
        <v>1</v>
      </c>
      <c r="BN987">
        <v>1</v>
      </c>
      <c r="BO987">
        <v>1</v>
      </c>
      <c r="BP987">
        <v>0</v>
      </c>
      <c r="BS987">
        <v>0</v>
      </c>
      <c r="BT987">
        <v>0</v>
      </c>
      <c r="BU987">
        <v>0</v>
      </c>
      <c r="CE987" t="str">
        <f t="shared" si="341"/>
        <v>19:28:12.849</v>
      </c>
      <c r="CF987">
        <v>1848708141</v>
      </c>
      <c r="CS987">
        <v>3</v>
      </c>
      <c r="CT987">
        <v>2</v>
      </c>
      <c r="CU987">
        <v>0</v>
      </c>
      <c r="CV987">
        <v>2</v>
      </c>
      <c r="CW987">
        <v>0</v>
      </c>
      <c r="CX987">
        <v>4</v>
      </c>
      <c r="CY987">
        <v>7</v>
      </c>
      <c r="CZ987" t="s">
        <v>131</v>
      </c>
      <c r="DA987">
        <v>286</v>
      </c>
      <c r="DB987">
        <v>0</v>
      </c>
      <c r="DC987" t="s">
        <v>132</v>
      </c>
      <c r="DD987" t="s">
        <v>133</v>
      </c>
      <c r="DG987">
        <v>808149</v>
      </c>
      <c r="DI987">
        <v>1</v>
      </c>
      <c r="DJ987">
        <v>0</v>
      </c>
      <c r="DK987">
        <v>1</v>
      </c>
      <c r="DL987">
        <v>0</v>
      </c>
      <c r="DM987">
        <v>0</v>
      </c>
      <c r="DN987">
        <v>1</v>
      </c>
      <c r="DO987">
        <v>0</v>
      </c>
      <c r="DP987">
        <v>0</v>
      </c>
      <c r="DQ987">
        <v>0</v>
      </c>
      <c r="DR987">
        <v>0</v>
      </c>
      <c r="DS987">
        <v>0</v>
      </c>
    </row>
    <row r="988" spans="1:123" x14ac:dyDescent="0.3">
      <c r="A988" t="str">
        <f>"10/04/2022 19:28:13.056"</f>
        <v>10/04/2022 19:28:13.056</v>
      </c>
      <c r="C988" t="str">
        <f t="shared" si="339"/>
        <v>FFDFD3C0</v>
      </c>
      <c r="D988" t="s">
        <v>141</v>
      </c>
      <c r="E988">
        <v>4</v>
      </c>
      <c r="H988">
        <v>4</v>
      </c>
      <c r="I988" t="s">
        <v>142</v>
      </c>
      <c r="J988" t="s">
        <v>138</v>
      </c>
      <c r="K988">
        <v>0</v>
      </c>
      <c r="L988">
        <v>3</v>
      </c>
      <c r="M988">
        <v>0</v>
      </c>
      <c r="N988">
        <v>2</v>
      </c>
      <c r="O988">
        <v>0</v>
      </c>
      <c r="P988">
        <v>1</v>
      </c>
      <c r="Q988">
        <v>0</v>
      </c>
      <c r="S988" t="str">
        <f t="shared" si="340"/>
        <v>19:28:11.844</v>
      </c>
      <c r="T988" t="str">
        <f t="shared" si="340"/>
        <v>19:28:11.844</v>
      </c>
      <c r="U988" t="str">
        <f t="shared" si="333"/>
        <v>AC3944</v>
      </c>
      <c r="V988">
        <v>0</v>
      </c>
      <c r="W988">
        <v>0</v>
      </c>
      <c r="X988">
        <v>2</v>
      </c>
      <c r="Y988">
        <v>0</v>
      </c>
      <c r="AA988">
        <v>0</v>
      </c>
      <c r="AB988">
        <v>8</v>
      </c>
      <c r="AC988">
        <v>3</v>
      </c>
      <c r="AD988">
        <v>0</v>
      </c>
      <c r="AE988">
        <v>9</v>
      </c>
      <c r="AF988" t="s">
        <v>138</v>
      </c>
      <c r="AG988">
        <v>0</v>
      </c>
      <c r="AH988">
        <v>3</v>
      </c>
      <c r="AI988">
        <v>1</v>
      </c>
      <c r="AJ988">
        <v>0</v>
      </c>
      <c r="AK988" t="s">
        <v>415</v>
      </c>
      <c r="AL988">
        <v>32.808373000000003</v>
      </c>
      <c r="AM988" t="s">
        <v>416</v>
      </c>
      <c r="AN988">
        <v>-116.934206</v>
      </c>
      <c r="AO988">
        <v>25</v>
      </c>
      <c r="AP988">
        <v>2000</v>
      </c>
      <c r="AQ988" t="s">
        <v>129</v>
      </c>
      <c r="AR988">
        <v>122</v>
      </c>
      <c r="AS988">
        <v>-34</v>
      </c>
      <c r="AT988">
        <v>-64</v>
      </c>
      <c r="BB988">
        <v>1200</v>
      </c>
      <c r="BC988">
        <v>1</v>
      </c>
      <c r="BD988" t="str">
        <f t="shared" si="334"/>
        <v xml:space="preserve">N887QR  </v>
      </c>
      <c r="BE988">
        <v>1</v>
      </c>
      <c r="BG988">
        <v>0</v>
      </c>
      <c r="BH988">
        <v>0</v>
      </c>
      <c r="BI988">
        <v>0</v>
      </c>
      <c r="BJ988">
        <v>1725</v>
      </c>
      <c r="BK988">
        <v>-275</v>
      </c>
      <c r="BL988" t="s">
        <v>163</v>
      </c>
      <c r="BM988">
        <v>1</v>
      </c>
      <c r="BN988">
        <v>1</v>
      </c>
      <c r="BO988">
        <v>1</v>
      </c>
      <c r="BP988">
        <v>0</v>
      </c>
      <c r="BS988">
        <v>0</v>
      </c>
      <c r="BT988">
        <v>0</v>
      </c>
      <c r="BU988">
        <v>0</v>
      </c>
      <c r="CE988" t="str">
        <f t="shared" si="341"/>
        <v>19:28:12.849</v>
      </c>
      <c r="CF988">
        <v>1848708141</v>
      </c>
      <c r="CS988">
        <v>3</v>
      </c>
      <c r="CT988">
        <v>2</v>
      </c>
      <c r="CU988">
        <v>0</v>
      </c>
      <c r="CV988">
        <v>2</v>
      </c>
      <c r="CW988">
        <v>0</v>
      </c>
      <c r="CX988">
        <v>4</v>
      </c>
      <c r="CY988">
        <v>7</v>
      </c>
      <c r="CZ988" t="s">
        <v>131</v>
      </c>
      <c r="DA988">
        <v>286</v>
      </c>
      <c r="DB988">
        <v>0</v>
      </c>
      <c r="DC988" t="s">
        <v>132</v>
      </c>
      <c r="DD988" t="s">
        <v>133</v>
      </c>
      <c r="DG988">
        <v>808149</v>
      </c>
      <c r="DI988">
        <v>1</v>
      </c>
      <c r="DJ988">
        <v>0</v>
      </c>
      <c r="DK988">
        <v>1</v>
      </c>
      <c r="DL988">
        <v>0</v>
      </c>
      <c r="DM988">
        <v>0</v>
      </c>
      <c r="DN988">
        <v>1</v>
      </c>
      <c r="DO988">
        <v>0</v>
      </c>
      <c r="DP988">
        <v>0</v>
      </c>
      <c r="DQ988">
        <v>0</v>
      </c>
      <c r="DR988">
        <v>0</v>
      </c>
      <c r="DS988">
        <v>0</v>
      </c>
    </row>
    <row r="989" spans="1:123" x14ac:dyDescent="0.3">
      <c r="A989" t="str">
        <f>"10/04/2022 19:28:13.056"</f>
        <v>10/04/2022 19:28:13.056</v>
      </c>
      <c r="C989" t="str">
        <f t="shared" si="339"/>
        <v>FFDFD3C0</v>
      </c>
      <c r="D989" t="s">
        <v>147</v>
      </c>
      <c r="E989">
        <v>3</v>
      </c>
      <c r="H989">
        <v>166</v>
      </c>
      <c r="I989" t="s">
        <v>144</v>
      </c>
      <c r="J989" t="s">
        <v>148</v>
      </c>
      <c r="K989">
        <v>0</v>
      </c>
      <c r="L989">
        <v>3</v>
      </c>
      <c r="M989">
        <v>0</v>
      </c>
      <c r="N989">
        <v>2</v>
      </c>
      <c r="O989">
        <v>0</v>
      </c>
      <c r="P989">
        <v>1</v>
      </c>
      <c r="Q989">
        <v>0</v>
      </c>
      <c r="S989" t="str">
        <f t="shared" si="340"/>
        <v>19:28:11.844</v>
      </c>
      <c r="T989" t="str">
        <f t="shared" si="340"/>
        <v>19:28:11.844</v>
      </c>
      <c r="U989" t="str">
        <f t="shared" si="333"/>
        <v>AC3944</v>
      </c>
      <c r="V989">
        <v>0</v>
      </c>
      <c r="W989">
        <v>0</v>
      </c>
      <c r="X989">
        <v>2</v>
      </c>
      <c r="Y989">
        <v>0</v>
      </c>
      <c r="AA989">
        <v>0</v>
      </c>
      <c r="AB989">
        <v>8</v>
      </c>
      <c r="AC989">
        <v>3</v>
      </c>
      <c r="AD989">
        <v>0</v>
      </c>
      <c r="AE989">
        <v>9</v>
      </c>
      <c r="AF989" t="s">
        <v>138</v>
      </c>
      <c r="AG989">
        <v>0</v>
      </c>
      <c r="AH989">
        <v>3</v>
      </c>
      <c r="AI989">
        <v>1</v>
      </c>
      <c r="AJ989">
        <v>0</v>
      </c>
      <c r="AK989" t="s">
        <v>415</v>
      </c>
      <c r="AL989">
        <v>32.808373000000003</v>
      </c>
      <c r="AM989" t="s">
        <v>416</v>
      </c>
      <c r="AN989">
        <v>-116.934206</v>
      </c>
      <c r="AO989">
        <v>25</v>
      </c>
      <c r="AP989">
        <v>2000</v>
      </c>
      <c r="AQ989" t="s">
        <v>129</v>
      </c>
      <c r="AR989">
        <v>122</v>
      </c>
      <c r="AS989">
        <v>-34</v>
      </c>
      <c r="AT989">
        <v>-64</v>
      </c>
      <c r="BB989">
        <v>1200</v>
      </c>
      <c r="BC989">
        <v>1</v>
      </c>
      <c r="BD989" t="str">
        <f t="shared" si="334"/>
        <v xml:space="preserve">N887QR  </v>
      </c>
      <c r="BE989">
        <v>1</v>
      </c>
      <c r="BG989">
        <v>0</v>
      </c>
      <c r="BH989">
        <v>0</v>
      </c>
      <c r="BI989">
        <v>0</v>
      </c>
      <c r="BJ989">
        <v>1725</v>
      </c>
      <c r="BK989">
        <v>-275</v>
      </c>
      <c r="BL989" t="s">
        <v>163</v>
      </c>
      <c r="BM989">
        <v>1</v>
      </c>
      <c r="BN989">
        <v>1</v>
      </c>
      <c r="BO989">
        <v>1</v>
      </c>
      <c r="BP989">
        <v>0</v>
      </c>
      <c r="BS989">
        <v>0</v>
      </c>
      <c r="BT989">
        <v>0</v>
      </c>
      <c r="BU989">
        <v>0</v>
      </c>
      <c r="CE989" t="str">
        <f t="shared" si="341"/>
        <v>19:28:12.849</v>
      </c>
      <c r="CF989">
        <v>1848708141</v>
      </c>
      <c r="CS989">
        <v>3</v>
      </c>
      <c r="CT989">
        <v>2</v>
      </c>
      <c r="CU989">
        <v>0</v>
      </c>
      <c r="CV989">
        <v>2</v>
      </c>
      <c r="CW989">
        <v>0</v>
      </c>
      <c r="CX989">
        <v>4</v>
      </c>
      <c r="CY989">
        <v>7</v>
      </c>
      <c r="CZ989" t="s">
        <v>131</v>
      </c>
      <c r="DA989">
        <v>286</v>
      </c>
      <c r="DB989">
        <v>0</v>
      </c>
      <c r="DC989" t="s">
        <v>132</v>
      </c>
      <c r="DD989" t="s">
        <v>133</v>
      </c>
      <c r="DG989">
        <v>808149</v>
      </c>
      <c r="DI989">
        <v>1</v>
      </c>
      <c r="DJ989">
        <v>0</v>
      </c>
      <c r="DK989">
        <v>1</v>
      </c>
      <c r="DL989">
        <v>0</v>
      </c>
      <c r="DM989">
        <v>0</v>
      </c>
      <c r="DN989">
        <v>1</v>
      </c>
      <c r="DO989">
        <v>0</v>
      </c>
      <c r="DP989">
        <v>0</v>
      </c>
      <c r="DQ989">
        <v>0</v>
      </c>
      <c r="DR989">
        <v>0</v>
      </c>
      <c r="DS989">
        <v>0</v>
      </c>
    </row>
    <row r="990" spans="1:123" x14ac:dyDescent="0.3">
      <c r="A990" t="str">
        <f>"10/04/2022 19:28:14.197"</f>
        <v>10/04/2022 19:28:14.197</v>
      </c>
      <c r="C990" t="str">
        <f t="shared" si="339"/>
        <v>FFDFD3C0</v>
      </c>
      <c r="D990" t="s">
        <v>123</v>
      </c>
      <c r="E990">
        <v>7</v>
      </c>
      <c r="F990">
        <v>2007</v>
      </c>
      <c r="G990" t="s">
        <v>124</v>
      </c>
      <c r="J990" t="s">
        <v>125</v>
      </c>
      <c r="K990">
        <v>0</v>
      </c>
      <c r="L990">
        <v>3</v>
      </c>
      <c r="M990">
        <v>0</v>
      </c>
      <c r="N990">
        <v>2</v>
      </c>
      <c r="O990">
        <v>0</v>
      </c>
      <c r="P990">
        <v>1</v>
      </c>
      <c r="Q990">
        <v>0</v>
      </c>
      <c r="S990" t="str">
        <f t="shared" ref="S990:T996" si="342">"19:28:13.016"</f>
        <v>19:28:13.016</v>
      </c>
      <c r="T990" t="str">
        <f t="shared" si="342"/>
        <v>19:28:13.016</v>
      </c>
      <c r="U990" t="str">
        <f t="shared" si="333"/>
        <v>AC3944</v>
      </c>
      <c r="V990">
        <v>0</v>
      </c>
      <c r="W990">
        <v>0</v>
      </c>
      <c r="X990">
        <v>2</v>
      </c>
      <c r="Y990">
        <v>0</v>
      </c>
      <c r="AA990">
        <v>0</v>
      </c>
      <c r="AB990">
        <v>8</v>
      </c>
      <c r="AC990">
        <v>3</v>
      </c>
      <c r="AD990">
        <v>0</v>
      </c>
      <c r="AE990">
        <v>9</v>
      </c>
      <c r="AF990" t="s">
        <v>138</v>
      </c>
      <c r="AG990">
        <v>0</v>
      </c>
      <c r="AH990">
        <v>3</v>
      </c>
      <c r="AI990">
        <v>1</v>
      </c>
      <c r="AJ990">
        <v>0</v>
      </c>
      <c r="AK990" t="s">
        <v>417</v>
      </c>
      <c r="AL990">
        <v>32.808222999999998</v>
      </c>
      <c r="AM990" t="s">
        <v>418</v>
      </c>
      <c r="AN990">
        <v>-116.93352</v>
      </c>
      <c r="AO990">
        <v>25</v>
      </c>
      <c r="AP990">
        <v>2000</v>
      </c>
      <c r="AQ990" t="s">
        <v>129</v>
      </c>
      <c r="AR990">
        <v>125</v>
      </c>
      <c r="AS990">
        <v>-25</v>
      </c>
      <c r="AT990">
        <v>-64</v>
      </c>
      <c r="BB990">
        <v>1200</v>
      </c>
      <c r="BC990">
        <v>1</v>
      </c>
      <c r="BD990" t="str">
        <f t="shared" si="334"/>
        <v xml:space="preserve">N887QR  </v>
      </c>
      <c r="BE990">
        <v>1</v>
      </c>
      <c r="BG990">
        <v>0</v>
      </c>
      <c r="BH990">
        <v>0</v>
      </c>
      <c r="BI990">
        <v>0</v>
      </c>
      <c r="BJ990">
        <v>1725</v>
      </c>
      <c r="BK990">
        <v>-275</v>
      </c>
      <c r="BL990" t="s">
        <v>163</v>
      </c>
      <c r="BM990">
        <v>1</v>
      </c>
      <c r="BN990">
        <v>1</v>
      </c>
      <c r="BO990">
        <v>1</v>
      </c>
      <c r="BP990">
        <v>0</v>
      </c>
      <c r="BS990">
        <v>0</v>
      </c>
      <c r="BT990">
        <v>0</v>
      </c>
      <c r="BU990">
        <v>0</v>
      </c>
      <c r="CE990" t="str">
        <f t="shared" ref="CE990:CE996" si="343">"19:28:14.018"</f>
        <v>19:28:14.018</v>
      </c>
      <c r="CF990">
        <v>1018453102</v>
      </c>
      <c r="CS990">
        <v>3</v>
      </c>
      <c r="CT990">
        <v>2</v>
      </c>
      <c r="CU990">
        <v>0</v>
      </c>
      <c r="CV990">
        <v>2</v>
      </c>
      <c r="CW990">
        <v>0</v>
      </c>
      <c r="CX990">
        <v>4</v>
      </c>
      <c r="CY990">
        <v>7</v>
      </c>
      <c r="CZ990" t="s">
        <v>131</v>
      </c>
      <c r="DA990">
        <v>300</v>
      </c>
      <c r="DB990">
        <v>0</v>
      </c>
      <c r="DC990" t="s">
        <v>176</v>
      </c>
      <c r="DD990" t="s">
        <v>177</v>
      </c>
      <c r="DG990">
        <v>5375860</v>
      </c>
      <c r="DI990">
        <v>1</v>
      </c>
      <c r="DJ990">
        <v>0</v>
      </c>
      <c r="DK990">
        <v>0</v>
      </c>
      <c r="DL990">
        <v>0</v>
      </c>
      <c r="DM990">
        <v>0</v>
      </c>
      <c r="DN990">
        <v>1</v>
      </c>
      <c r="DO990">
        <v>0</v>
      </c>
      <c r="DP990">
        <v>0</v>
      </c>
      <c r="DQ990">
        <v>0</v>
      </c>
      <c r="DR990">
        <v>0</v>
      </c>
      <c r="DS990">
        <v>0</v>
      </c>
    </row>
    <row r="991" spans="1:123" x14ac:dyDescent="0.3">
      <c r="A991" t="str">
        <f>"10/04/2022 19:28:14.212"</f>
        <v>10/04/2022 19:28:14.212</v>
      </c>
      <c r="C991" t="str">
        <f t="shared" si="339"/>
        <v>FFDFD3C0</v>
      </c>
      <c r="D991" t="s">
        <v>134</v>
      </c>
      <c r="E991">
        <v>15</v>
      </c>
      <c r="J991" t="s">
        <v>135</v>
      </c>
      <c r="K991">
        <v>0</v>
      </c>
      <c r="L991">
        <v>3</v>
      </c>
      <c r="M991">
        <v>0</v>
      </c>
      <c r="N991">
        <v>2</v>
      </c>
      <c r="O991">
        <v>0</v>
      </c>
      <c r="P991">
        <v>1</v>
      </c>
      <c r="Q991">
        <v>0</v>
      </c>
      <c r="S991" t="str">
        <f t="shared" si="342"/>
        <v>19:28:13.016</v>
      </c>
      <c r="T991" t="str">
        <f t="shared" si="342"/>
        <v>19:28:13.016</v>
      </c>
      <c r="U991" t="str">
        <f t="shared" si="333"/>
        <v>AC3944</v>
      </c>
      <c r="V991">
        <v>0</v>
      </c>
      <c r="W991">
        <v>0</v>
      </c>
      <c r="X991">
        <v>2</v>
      </c>
      <c r="Y991">
        <v>0</v>
      </c>
      <c r="AA991">
        <v>0</v>
      </c>
      <c r="AB991">
        <v>8</v>
      </c>
      <c r="AC991">
        <v>3</v>
      </c>
      <c r="AD991">
        <v>0</v>
      </c>
      <c r="AE991">
        <v>9</v>
      </c>
      <c r="AF991" t="s">
        <v>138</v>
      </c>
      <c r="AG991">
        <v>0</v>
      </c>
      <c r="AH991">
        <v>3</v>
      </c>
      <c r="AI991">
        <v>1</v>
      </c>
      <c r="AJ991">
        <v>0</v>
      </c>
      <c r="AK991" t="s">
        <v>417</v>
      </c>
      <c r="AL991">
        <v>32.808222999999998</v>
      </c>
      <c r="AM991" t="s">
        <v>418</v>
      </c>
      <c r="AN991">
        <v>-116.93352</v>
      </c>
      <c r="AO991">
        <v>25</v>
      </c>
      <c r="AP991">
        <v>2000</v>
      </c>
      <c r="AQ991" t="s">
        <v>129</v>
      </c>
      <c r="AR991">
        <v>125</v>
      </c>
      <c r="AS991">
        <v>-25</v>
      </c>
      <c r="AT991">
        <v>-64</v>
      </c>
      <c r="BB991">
        <v>1200</v>
      </c>
      <c r="BC991">
        <v>1</v>
      </c>
      <c r="BD991" t="str">
        <f t="shared" si="334"/>
        <v xml:space="preserve">N887QR  </v>
      </c>
      <c r="BE991">
        <v>1</v>
      </c>
      <c r="BG991">
        <v>0</v>
      </c>
      <c r="BH991">
        <v>0</v>
      </c>
      <c r="BI991">
        <v>0</v>
      </c>
      <c r="BJ991">
        <v>1725</v>
      </c>
      <c r="BK991">
        <v>-275</v>
      </c>
      <c r="BL991" t="s">
        <v>163</v>
      </c>
      <c r="BM991">
        <v>1</v>
      </c>
      <c r="BN991">
        <v>1</v>
      </c>
      <c r="BO991">
        <v>1</v>
      </c>
      <c r="BP991">
        <v>0</v>
      </c>
      <c r="BS991">
        <v>0</v>
      </c>
      <c r="BT991">
        <v>0</v>
      </c>
      <c r="BU991">
        <v>0</v>
      </c>
      <c r="CE991" t="str">
        <f t="shared" si="343"/>
        <v>19:28:14.018</v>
      </c>
      <c r="CF991">
        <v>1018453102</v>
      </c>
      <c r="CS991">
        <v>3</v>
      </c>
      <c r="CT991">
        <v>2</v>
      </c>
      <c r="CU991">
        <v>0</v>
      </c>
      <c r="CV991">
        <v>2</v>
      </c>
      <c r="CW991">
        <v>0</v>
      </c>
      <c r="CX991">
        <v>4</v>
      </c>
      <c r="CY991">
        <v>7</v>
      </c>
      <c r="CZ991" t="s">
        <v>131</v>
      </c>
      <c r="DA991">
        <v>300</v>
      </c>
      <c r="DB991">
        <v>0</v>
      </c>
      <c r="DC991" t="s">
        <v>176</v>
      </c>
      <c r="DD991" t="s">
        <v>177</v>
      </c>
      <c r="DG991">
        <v>5375860</v>
      </c>
      <c r="DI991">
        <v>1</v>
      </c>
      <c r="DJ991">
        <v>0</v>
      </c>
      <c r="DK991">
        <v>1</v>
      </c>
      <c r="DL991">
        <v>0</v>
      </c>
      <c r="DM991">
        <v>0</v>
      </c>
      <c r="DN991">
        <v>1</v>
      </c>
      <c r="DO991">
        <v>0</v>
      </c>
      <c r="DP991">
        <v>0</v>
      </c>
      <c r="DQ991">
        <v>0</v>
      </c>
      <c r="DR991">
        <v>0</v>
      </c>
      <c r="DS991">
        <v>0</v>
      </c>
    </row>
    <row r="992" spans="1:123" x14ac:dyDescent="0.3">
      <c r="A992" t="str">
        <f>"10/04/2022 19:28:14.212"</f>
        <v>10/04/2022 19:28:14.212</v>
      </c>
      <c r="C992" t="str">
        <f t="shared" si="339"/>
        <v>FFDFD3C0</v>
      </c>
      <c r="D992" t="s">
        <v>141</v>
      </c>
      <c r="E992">
        <v>3</v>
      </c>
      <c r="H992">
        <v>3</v>
      </c>
      <c r="I992" t="s">
        <v>146</v>
      </c>
      <c r="J992" t="s">
        <v>138</v>
      </c>
      <c r="K992">
        <v>0</v>
      </c>
      <c r="L992">
        <v>3</v>
      </c>
      <c r="M992">
        <v>0</v>
      </c>
      <c r="N992">
        <v>2</v>
      </c>
      <c r="O992">
        <v>0</v>
      </c>
      <c r="P992">
        <v>1</v>
      </c>
      <c r="Q992">
        <v>0</v>
      </c>
      <c r="S992" t="str">
        <f t="shared" si="342"/>
        <v>19:28:13.016</v>
      </c>
      <c r="T992" t="str">
        <f t="shared" si="342"/>
        <v>19:28:13.016</v>
      </c>
      <c r="U992" t="str">
        <f t="shared" si="333"/>
        <v>AC3944</v>
      </c>
      <c r="V992">
        <v>0</v>
      </c>
      <c r="W992">
        <v>0</v>
      </c>
      <c r="X992">
        <v>2</v>
      </c>
      <c r="Y992">
        <v>0</v>
      </c>
      <c r="AA992">
        <v>0</v>
      </c>
      <c r="AB992">
        <v>8</v>
      </c>
      <c r="AC992">
        <v>3</v>
      </c>
      <c r="AD992">
        <v>0</v>
      </c>
      <c r="AE992">
        <v>9</v>
      </c>
      <c r="AF992" t="s">
        <v>138</v>
      </c>
      <c r="AG992">
        <v>0</v>
      </c>
      <c r="AH992">
        <v>3</v>
      </c>
      <c r="AI992">
        <v>1</v>
      </c>
      <c r="AJ992">
        <v>0</v>
      </c>
      <c r="AK992" t="s">
        <v>417</v>
      </c>
      <c r="AL992">
        <v>32.808222999999998</v>
      </c>
      <c r="AM992" t="s">
        <v>418</v>
      </c>
      <c r="AN992">
        <v>-116.93352</v>
      </c>
      <c r="AO992">
        <v>25</v>
      </c>
      <c r="AP992">
        <v>2000</v>
      </c>
      <c r="AQ992" t="s">
        <v>129</v>
      </c>
      <c r="AR992">
        <v>125</v>
      </c>
      <c r="AS992">
        <v>-25</v>
      </c>
      <c r="AT992">
        <v>-64</v>
      </c>
      <c r="BB992">
        <v>1200</v>
      </c>
      <c r="BC992">
        <v>1</v>
      </c>
      <c r="BD992" t="str">
        <f t="shared" si="334"/>
        <v xml:space="preserve">N887QR  </v>
      </c>
      <c r="BE992">
        <v>1</v>
      </c>
      <c r="BG992">
        <v>0</v>
      </c>
      <c r="BH992">
        <v>0</v>
      </c>
      <c r="BI992">
        <v>0</v>
      </c>
      <c r="BJ992">
        <v>1725</v>
      </c>
      <c r="BK992">
        <v>-275</v>
      </c>
      <c r="BL992" t="s">
        <v>163</v>
      </c>
      <c r="BM992">
        <v>1</v>
      </c>
      <c r="BN992">
        <v>1</v>
      </c>
      <c r="BO992">
        <v>1</v>
      </c>
      <c r="BP992">
        <v>0</v>
      </c>
      <c r="BS992">
        <v>0</v>
      </c>
      <c r="BT992">
        <v>0</v>
      </c>
      <c r="BU992">
        <v>0</v>
      </c>
      <c r="CE992" t="str">
        <f t="shared" si="343"/>
        <v>19:28:14.018</v>
      </c>
      <c r="CF992">
        <v>1018453102</v>
      </c>
      <c r="CS992">
        <v>3</v>
      </c>
      <c r="CT992">
        <v>2</v>
      </c>
      <c r="CU992">
        <v>0</v>
      </c>
      <c r="CV992">
        <v>2</v>
      </c>
      <c r="CW992">
        <v>0</v>
      </c>
      <c r="CX992">
        <v>4</v>
      </c>
      <c r="CY992">
        <v>7</v>
      </c>
      <c r="CZ992" t="s">
        <v>131</v>
      </c>
      <c r="DA992">
        <v>300</v>
      </c>
      <c r="DB992">
        <v>0</v>
      </c>
      <c r="DC992" t="s">
        <v>176</v>
      </c>
      <c r="DD992" t="s">
        <v>177</v>
      </c>
      <c r="DG992">
        <v>5375860</v>
      </c>
      <c r="DI992">
        <v>1</v>
      </c>
      <c r="DJ992">
        <v>0</v>
      </c>
      <c r="DK992">
        <v>1</v>
      </c>
      <c r="DL992">
        <v>0</v>
      </c>
      <c r="DM992">
        <v>0</v>
      </c>
      <c r="DN992">
        <v>1</v>
      </c>
      <c r="DO992">
        <v>0</v>
      </c>
      <c r="DP992">
        <v>0</v>
      </c>
      <c r="DQ992">
        <v>0</v>
      </c>
      <c r="DR992">
        <v>0</v>
      </c>
      <c r="DS992">
        <v>0</v>
      </c>
    </row>
    <row r="993" spans="1:123" x14ac:dyDescent="0.3">
      <c r="A993" t="str">
        <f>"10/04/2022 19:28:14.212"</f>
        <v>10/04/2022 19:28:14.212</v>
      </c>
      <c r="C993" t="str">
        <f t="shared" si="339"/>
        <v>FFDFD3C0</v>
      </c>
      <c r="D993" t="s">
        <v>141</v>
      </c>
      <c r="E993">
        <v>4</v>
      </c>
      <c r="H993">
        <v>4</v>
      </c>
      <c r="I993" t="s">
        <v>142</v>
      </c>
      <c r="J993" t="s">
        <v>138</v>
      </c>
      <c r="K993">
        <v>0</v>
      </c>
      <c r="L993">
        <v>3</v>
      </c>
      <c r="M993">
        <v>0</v>
      </c>
      <c r="N993">
        <v>2</v>
      </c>
      <c r="O993">
        <v>0</v>
      </c>
      <c r="P993">
        <v>1</v>
      </c>
      <c r="Q993">
        <v>0</v>
      </c>
      <c r="S993" t="str">
        <f t="shared" si="342"/>
        <v>19:28:13.016</v>
      </c>
      <c r="T993" t="str">
        <f t="shared" si="342"/>
        <v>19:28:13.016</v>
      </c>
      <c r="U993" t="str">
        <f t="shared" si="333"/>
        <v>AC3944</v>
      </c>
      <c r="V993">
        <v>0</v>
      </c>
      <c r="W993">
        <v>0</v>
      </c>
      <c r="X993">
        <v>2</v>
      </c>
      <c r="Y993">
        <v>0</v>
      </c>
      <c r="AA993">
        <v>0</v>
      </c>
      <c r="AB993">
        <v>8</v>
      </c>
      <c r="AC993">
        <v>3</v>
      </c>
      <c r="AD993">
        <v>0</v>
      </c>
      <c r="AE993">
        <v>9</v>
      </c>
      <c r="AF993" t="s">
        <v>138</v>
      </c>
      <c r="AG993">
        <v>0</v>
      </c>
      <c r="AH993">
        <v>3</v>
      </c>
      <c r="AI993">
        <v>1</v>
      </c>
      <c r="AJ993">
        <v>0</v>
      </c>
      <c r="AK993" t="s">
        <v>417</v>
      </c>
      <c r="AL993">
        <v>32.808222999999998</v>
      </c>
      <c r="AM993" t="s">
        <v>418</v>
      </c>
      <c r="AN993">
        <v>-116.93352</v>
      </c>
      <c r="AO993">
        <v>25</v>
      </c>
      <c r="AP993">
        <v>2000</v>
      </c>
      <c r="AQ993" t="s">
        <v>129</v>
      </c>
      <c r="AR993">
        <v>125</v>
      </c>
      <c r="AS993">
        <v>-25</v>
      </c>
      <c r="AT993">
        <v>-64</v>
      </c>
      <c r="BB993">
        <v>1200</v>
      </c>
      <c r="BC993">
        <v>1</v>
      </c>
      <c r="BD993" t="str">
        <f t="shared" si="334"/>
        <v xml:space="preserve">N887QR  </v>
      </c>
      <c r="BE993">
        <v>1</v>
      </c>
      <c r="BG993">
        <v>0</v>
      </c>
      <c r="BH993">
        <v>0</v>
      </c>
      <c r="BI993">
        <v>0</v>
      </c>
      <c r="BJ993">
        <v>1725</v>
      </c>
      <c r="BK993">
        <v>-275</v>
      </c>
      <c r="BL993" t="s">
        <v>163</v>
      </c>
      <c r="BM993">
        <v>1</v>
      </c>
      <c r="BN993">
        <v>1</v>
      </c>
      <c r="BO993">
        <v>1</v>
      </c>
      <c r="BP993">
        <v>0</v>
      </c>
      <c r="BS993">
        <v>0</v>
      </c>
      <c r="BT993">
        <v>0</v>
      </c>
      <c r="BU993">
        <v>0</v>
      </c>
      <c r="CE993" t="str">
        <f t="shared" si="343"/>
        <v>19:28:14.018</v>
      </c>
      <c r="CF993">
        <v>1018453102</v>
      </c>
      <c r="CS993">
        <v>3</v>
      </c>
      <c r="CT993">
        <v>2</v>
      </c>
      <c r="CU993">
        <v>0</v>
      </c>
      <c r="CV993">
        <v>2</v>
      </c>
      <c r="CW993">
        <v>0</v>
      </c>
      <c r="CX993">
        <v>4</v>
      </c>
      <c r="CY993">
        <v>7</v>
      </c>
      <c r="CZ993" t="s">
        <v>131</v>
      </c>
      <c r="DA993">
        <v>300</v>
      </c>
      <c r="DB993">
        <v>0</v>
      </c>
      <c r="DC993" t="s">
        <v>176</v>
      </c>
      <c r="DD993" t="s">
        <v>177</v>
      </c>
      <c r="DG993">
        <v>5375860</v>
      </c>
      <c r="DI993">
        <v>1</v>
      </c>
      <c r="DJ993">
        <v>0</v>
      </c>
      <c r="DK993">
        <v>1</v>
      </c>
      <c r="DL993">
        <v>0</v>
      </c>
      <c r="DM993">
        <v>0</v>
      </c>
      <c r="DN993">
        <v>1</v>
      </c>
      <c r="DO993">
        <v>0</v>
      </c>
      <c r="DP993">
        <v>0</v>
      </c>
      <c r="DQ993">
        <v>0</v>
      </c>
      <c r="DR993">
        <v>0</v>
      </c>
      <c r="DS993">
        <v>0</v>
      </c>
    </row>
    <row r="994" spans="1:123" x14ac:dyDescent="0.3">
      <c r="A994" t="str">
        <f>"10/04/2022 19:28:14.244"</f>
        <v>10/04/2022 19:28:14.244</v>
      </c>
      <c r="C994" t="str">
        <f t="shared" si="339"/>
        <v>FFDFD3C0</v>
      </c>
      <c r="D994" t="s">
        <v>147</v>
      </c>
      <c r="E994">
        <v>3</v>
      </c>
      <c r="H994">
        <v>166</v>
      </c>
      <c r="I994" t="s">
        <v>144</v>
      </c>
      <c r="J994" t="s">
        <v>148</v>
      </c>
      <c r="K994">
        <v>0</v>
      </c>
      <c r="L994">
        <v>3</v>
      </c>
      <c r="M994">
        <v>0</v>
      </c>
      <c r="N994">
        <v>2</v>
      </c>
      <c r="O994">
        <v>0</v>
      </c>
      <c r="P994">
        <v>1</v>
      </c>
      <c r="Q994">
        <v>0</v>
      </c>
      <c r="S994" t="str">
        <f t="shared" si="342"/>
        <v>19:28:13.016</v>
      </c>
      <c r="T994" t="str">
        <f t="shared" si="342"/>
        <v>19:28:13.016</v>
      </c>
      <c r="U994" t="str">
        <f t="shared" si="333"/>
        <v>AC3944</v>
      </c>
      <c r="V994">
        <v>0</v>
      </c>
      <c r="W994">
        <v>0</v>
      </c>
      <c r="X994">
        <v>2</v>
      </c>
      <c r="Y994">
        <v>0</v>
      </c>
      <c r="AA994">
        <v>0</v>
      </c>
      <c r="AB994">
        <v>8</v>
      </c>
      <c r="AC994">
        <v>3</v>
      </c>
      <c r="AD994">
        <v>0</v>
      </c>
      <c r="AE994">
        <v>9</v>
      </c>
      <c r="AF994" t="s">
        <v>138</v>
      </c>
      <c r="AG994">
        <v>0</v>
      </c>
      <c r="AH994">
        <v>3</v>
      </c>
      <c r="AI994">
        <v>1</v>
      </c>
      <c r="AJ994">
        <v>0</v>
      </c>
      <c r="AK994" t="s">
        <v>417</v>
      </c>
      <c r="AL994">
        <v>32.808222999999998</v>
      </c>
      <c r="AM994" t="s">
        <v>418</v>
      </c>
      <c r="AN994">
        <v>-116.93352</v>
      </c>
      <c r="AO994">
        <v>25</v>
      </c>
      <c r="AP994">
        <v>2000</v>
      </c>
      <c r="AQ994" t="s">
        <v>129</v>
      </c>
      <c r="AR994">
        <v>125</v>
      </c>
      <c r="AS994">
        <v>-25</v>
      </c>
      <c r="AT994">
        <v>-64</v>
      </c>
      <c r="BB994">
        <v>1200</v>
      </c>
      <c r="BC994">
        <v>1</v>
      </c>
      <c r="BD994" t="str">
        <f t="shared" si="334"/>
        <v xml:space="preserve">N887QR  </v>
      </c>
      <c r="BE994">
        <v>1</v>
      </c>
      <c r="BG994">
        <v>0</v>
      </c>
      <c r="BH994">
        <v>0</v>
      </c>
      <c r="BI994">
        <v>0</v>
      </c>
      <c r="BJ994">
        <v>1725</v>
      </c>
      <c r="BK994">
        <v>-275</v>
      </c>
      <c r="BL994" t="s">
        <v>163</v>
      </c>
      <c r="BM994">
        <v>1</v>
      </c>
      <c r="BN994">
        <v>1</v>
      </c>
      <c r="BO994">
        <v>1</v>
      </c>
      <c r="BP994">
        <v>0</v>
      </c>
      <c r="BS994">
        <v>0</v>
      </c>
      <c r="BT994">
        <v>0</v>
      </c>
      <c r="BU994">
        <v>0</v>
      </c>
      <c r="CE994" t="str">
        <f t="shared" si="343"/>
        <v>19:28:14.018</v>
      </c>
      <c r="CF994">
        <v>1018453102</v>
      </c>
      <c r="CS994">
        <v>3</v>
      </c>
      <c r="CT994">
        <v>2</v>
      </c>
      <c r="CU994">
        <v>0</v>
      </c>
      <c r="CV994">
        <v>2</v>
      </c>
      <c r="CW994">
        <v>0</v>
      </c>
      <c r="CX994">
        <v>4</v>
      </c>
      <c r="CY994">
        <v>7</v>
      </c>
      <c r="CZ994" t="s">
        <v>131</v>
      </c>
      <c r="DA994">
        <v>300</v>
      </c>
      <c r="DB994">
        <v>0</v>
      </c>
      <c r="DC994" t="s">
        <v>176</v>
      </c>
      <c r="DD994" t="s">
        <v>177</v>
      </c>
      <c r="DG994">
        <v>5375860</v>
      </c>
      <c r="DI994">
        <v>1</v>
      </c>
      <c r="DJ994">
        <v>0</v>
      </c>
      <c r="DK994">
        <v>1</v>
      </c>
      <c r="DL994">
        <v>0</v>
      </c>
      <c r="DM994">
        <v>0</v>
      </c>
      <c r="DN994">
        <v>1</v>
      </c>
      <c r="DO994">
        <v>0</v>
      </c>
      <c r="DP994">
        <v>0</v>
      </c>
      <c r="DQ994">
        <v>0</v>
      </c>
      <c r="DR994">
        <v>0</v>
      </c>
      <c r="DS994">
        <v>0</v>
      </c>
    </row>
    <row r="995" spans="1:123" x14ac:dyDescent="0.3">
      <c r="A995" t="str">
        <f>"10/04/2022 19:28:14.259"</f>
        <v>10/04/2022 19:28:14.259</v>
      </c>
      <c r="C995" t="str">
        <f t="shared" si="339"/>
        <v>FFDFD3C0</v>
      </c>
      <c r="D995" t="s">
        <v>136</v>
      </c>
      <c r="E995">
        <v>8</v>
      </c>
      <c r="H995">
        <v>225</v>
      </c>
      <c r="I995" t="s">
        <v>137</v>
      </c>
      <c r="J995" t="s">
        <v>138</v>
      </c>
      <c r="K995">
        <v>0</v>
      </c>
      <c r="L995">
        <v>3</v>
      </c>
      <c r="M995">
        <v>0</v>
      </c>
      <c r="N995">
        <v>2</v>
      </c>
      <c r="O995">
        <v>0</v>
      </c>
      <c r="P995">
        <v>1</v>
      </c>
      <c r="Q995">
        <v>0</v>
      </c>
      <c r="S995" t="str">
        <f t="shared" si="342"/>
        <v>19:28:13.016</v>
      </c>
      <c r="T995" t="str">
        <f t="shared" si="342"/>
        <v>19:28:13.016</v>
      </c>
      <c r="U995" t="str">
        <f t="shared" si="333"/>
        <v>AC3944</v>
      </c>
      <c r="V995">
        <v>0</v>
      </c>
      <c r="W995">
        <v>0</v>
      </c>
      <c r="X995">
        <v>2</v>
      </c>
      <c r="Y995">
        <v>0</v>
      </c>
      <c r="AA995">
        <v>0</v>
      </c>
      <c r="AB995">
        <v>8</v>
      </c>
      <c r="AC995">
        <v>3</v>
      </c>
      <c r="AD995">
        <v>0</v>
      </c>
      <c r="AE995">
        <v>9</v>
      </c>
      <c r="AF995" t="s">
        <v>138</v>
      </c>
      <c r="AG995">
        <v>0</v>
      </c>
      <c r="AH995">
        <v>3</v>
      </c>
      <c r="AI995">
        <v>1</v>
      </c>
      <c r="AJ995">
        <v>0</v>
      </c>
      <c r="AK995" t="s">
        <v>417</v>
      </c>
      <c r="AL995">
        <v>32.808222999999998</v>
      </c>
      <c r="AM995" t="s">
        <v>418</v>
      </c>
      <c r="AN995">
        <v>-116.93352</v>
      </c>
      <c r="AO995">
        <v>25</v>
      </c>
      <c r="AP995">
        <v>2000</v>
      </c>
      <c r="AQ995" t="s">
        <v>129</v>
      </c>
      <c r="AR995">
        <v>125</v>
      </c>
      <c r="AS995">
        <v>-25</v>
      </c>
      <c r="AT995">
        <v>-64</v>
      </c>
      <c r="BB995">
        <v>1200</v>
      </c>
      <c r="BC995">
        <v>1</v>
      </c>
      <c r="BD995" t="str">
        <f t="shared" si="334"/>
        <v xml:space="preserve">N887QR  </v>
      </c>
      <c r="BE995">
        <v>1</v>
      </c>
      <c r="BG995">
        <v>0</v>
      </c>
      <c r="BH995">
        <v>0</v>
      </c>
      <c r="BI995">
        <v>0</v>
      </c>
      <c r="BJ995">
        <v>1725</v>
      </c>
      <c r="BK995">
        <v>-275</v>
      </c>
      <c r="BL995" t="s">
        <v>163</v>
      </c>
      <c r="BM995">
        <v>1</v>
      </c>
      <c r="BN995">
        <v>1</v>
      </c>
      <c r="BO995">
        <v>1</v>
      </c>
      <c r="BP995">
        <v>0</v>
      </c>
      <c r="BS995">
        <v>0</v>
      </c>
      <c r="BT995">
        <v>0</v>
      </c>
      <c r="BU995">
        <v>0</v>
      </c>
      <c r="CE995" t="str">
        <f t="shared" si="343"/>
        <v>19:28:14.018</v>
      </c>
      <c r="CF995">
        <v>1018453102</v>
      </c>
      <c r="CS995">
        <v>3</v>
      </c>
      <c r="CT995">
        <v>2</v>
      </c>
      <c r="CU995">
        <v>0</v>
      </c>
      <c r="CV995">
        <v>2</v>
      </c>
      <c r="CW995">
        <v>0</v>
      </c>
      <c r="CX995">
        <v>4</v>
      </c>
      <c r="CY995">
        <v>7</v>
      </c>
      <c r="CZ995" t="s">
        <v>131</v>
      </c>
      <c r="DA995">
        <v>300</v>
      </c>
      <c r="DB995">
        <v>0</v>
      </c>
      <c r="DC995" t="s">
        <v>176</v>
      </c>
      <c r="DD995" t="s">
        <v>177</v>
      </c>
      <c r="DG995">
        <v>5375860</v>
      </c>
      <c r="DI995">
        <v>1</v>
      </c>
      <c r="DJ995">
        <v>0</v>
      </c>
      <c r="DK995">
        <v>1</v>
      </c>
      <c r="DL995">
        <v>0</v>
      </c>
      <c r="DM995">
        <v>0</v>
      </c>
      <c r="DN995">
        <v>1</v>
      </c>
      <c r="DO995">
        <v>0</v>
      </c>
      <c r="DP995">
        <v>0</v>
      </c>
      <c r="DQ995">
        <v>0</v>
      </c>
      <c r="DR995">
        <v>0</v>
      </c>
      <c r="DS995">
        <v>0</v>
      </c>
    </row>
    <row r="996" spans="1:123" x14ac:dyDescent="0.3">
      <c r="A996" t="str">
        <f>"10/04/2022 19:28:14.259"</f>
        <v>10/04/2022 19:28:14.259</v>
      </c>
      <c r="C996" t="str">
        <f t="shared" si="339"/>
        <v>FFDFD3C0</v>
      </c>
      <c r="D996" t="s">
        <v>143</v>
      </c>
      <c r="E996">
        <v>20</v>
      </c>
      <c r="F996">
        <v>1020</v>
      </c>
      <c r="G996" t="s">
        <v>144</v>
      </c>
      <c r="J996" t="s">
        <v>145</v>
      </c>
      <c r="K996">
        <v>0</v>
      </c>
      <c r="L996">
        <v>3</v>
      </c>
      <c r="M996">
        <v>0</v>
      </c>
      <c r="N996">
        <v>2</v>
      </c>
      <c r="O996">
        <v>0</v>
      </c>
      <c r="P996">
        <v>1</v>
      </c>
      <c r="Q996">
        <v>0</v>
      </c>
      <c r="S996" t="str">
        <f t="shared" si="342"/>
        <v>19:28:13.016</v>
      </c>
      <c r="T996" t="str">
        <f t="shared" si="342"/>
        <v>19:28:13.016</v>
      </c>
      <c r="U996" t="str">
        <f t="shared" si="333"/>
        <v>AC3944</v>
      </c>
      <c r="V996">
        <v>0</v>
      </c>
      <c r="W996">
        <v>0</v>
      </c>
      <c r="X996">
        <v>2</v>
      </c>
      <c r="Y996">
        <v>0</v>
      </c>
      <c r="AA996">
        <v>0</v>
      </c>
      <c r="AB996">
        <v>8</v>
      </c>
      <c r="AC996">
        <v>3</v>
      </c>
      <c r="AD996">
        <v>0</v>
      </c>
      <c r="AE996">
        <v>9</v>
      </c>
      <c r="AF996" t="s">
        <v>138</v>
      </c>
      <c r="AG996">
        <v>0</v>
      </c>
      <c r="AH996">
        <v>3</v>
      </c>
      <c r="AI996">
        <v>1</v>
      </c>
      <c r="AJ996">
        <v>0</v>
      </c>
      <c r="AK996" t="s">
        <v>417</v>
      </c>
      <c r="AL996">
        <v>32.808222999999998</v>
      </c>
      <c r="AM996" t="s">
        <v>418</v>
      </c>
      <c r="AN996">
        <v>-116.93352</v>
      </c>
      <c r="AO996">
        <v>25</v>
      </c>
      <c r="AP996">
        <v>2000</v>
      </c>
      <c r="AQ996" t="s">
        <v>129</v>
      </c>
      <c r="AR996">
        <v>125</v>
      </c>
      <c r="AS996">
        <v>-25</v>
      </c>
      <c r="AT996">
        <v>-64</v>
      </c>
      <c r="BB996">
        <v>1200</v>
      </c>
      <c r="BC996">
        <v>1</v>
      </c>
      <c r="BD996" t="str">
        <f t="shared" si="334"/>
        <v xml:space="preserve">N887QR  </v>
      </c>
      <c r="BE996">
        <v>1</v>
      </c>
      <c r="BG996">
        <v>0</v>
      </c>
      <c r="BH996">
        <v>0</v>
      </c>
      <c r="BI996">
        <v>0</v>
      </c>
      <c r="BJ996">
        <v>1725</v>
      </c>
      <c r="BK996">
        <v>-275</v>
      </c>
      <c r="BL996" t="s">
        <v>163</v>
      </c>
      <c r="BM996">
        <v>1</v>
      </c>
      <c r="BN996">
        <v>1</v>
      </c>
      <c r="BO996">
        <v>1</v>
      </c>
      <c r="BP996">
        <v>0</v>
      </c>
      <c r="BS996">
        <v>0</v>
      </c>
      <c r="BT996">
        <v>0</v>
      </c>
      <c r="BU996">
        <v>0</v>
      </c>
      <c r="CE996" t="str">
        <f t="shared" si="343"/>
        <v>19:28:14.018</v>
      </c>
      <c r="CF996">
        <v>1018453102</v>
      </c>
      <c r="CS996">
        <v>3</v>
      </c>
      <c r="CT996">
        <v>2</v>
      </c>
      <c r="CU996">
        <v>0</v>
      </c>
      <c r="CV996">
        <v>2</v>
      </c>
      <c r="CW996">
        <v>0</v>
      </c>
      <c r="CX996">
        <v>4</v>
      </c>
      <c r="CY996">
        <v>7</v>
      </c>
      <c r="CZ996" t="s">
        <v>131</v>
      </c>
      <c r="DA996">
        <v>300</v>
      </c>
      <c r="DB996">
        <v>0</v>
      </c>
      <c r="DC996" t="s">
        <v>176</v>
      </c>
      <c r="DD996" t="s">
        <v>177</v>
      </c>
      <c r="DG996">
        <v>5375860</v>
      </c>
      <c r="DI996">
        <v>1</v>
      </c>
      <c r="DJ996">
        <v>0</v>
      </c>
      <c r="DK996">
        <v>1</v>
      </c>
      <c r="DL996">
        <v>0</v>
      </c>
      <c r="DM996">
        <v>0</v>
      </c>
      <c r="DN996">
        <v>1</v>
      </c>
      <c r="DO996">
        <v>0</v>
      </c>
      <c r="DP996">
        <v>0</v>
      </c>
      <c r="DQ996">
        <v>0</v>
      </c>
      <c r="DR996">
        <v>0</v>
      </c>
      <c r="DS996">
        <v>0</v>
      </c>
    </row>
    <row r="997" spans="1:123" x14ac:dyDescent="0.3">
      <c r="A997" t="str">
        <f>"10/04/2022 19:28:15.682"</f>
        <v>10/04/2022 19:28:15.682</v>
      </c>
      <c r="C997" t="str">
        <f t="shared" si="339"/>
        <v>FFDFD3C0</v>
      </c>
      <c r="D997" t="s">
        <v>141</v>
      </c>
      <c r="E997">
        <v>3</v>
      </c>
      <c r="H997">
        <v>3</v>
      </c>
      <c r="I997" t="s">
        <v>146</v>
      </c>
      <c r="J997" t="s">
        <v>138</v>
      </c>
      <c r="K997">
        <v>0</v>
      </c>
      <c r="L997">
        <v>3</v>
      </c>
      <c r="M997">
        <v>0</v>
      </c>
      <c r="N997">
        <v>2</v>
      </c>
      <c r="O997">
        <v>0</v>
      </c>
      <c r="P997">
        <v>1</v>
      </c>
      <c r="Q997">
        <v>0</v>
      </c>
      <c r="S997" t="str">
        <f t="shared" ref="S997:T1003" si="344">"19:28:14.508"</f>
        <v>19:28:14.508</v>
      </c>
      <c r="T997" t="str">
        <f t="shared" si="344"/>
        <v>19:28:14.508</v>
      </c>
      <c r="U997" t="str">
        <f t="shared" si="333"/>
        <v>AC3944</v>
      </c>
      <c r="V997">
        <v>0</v>
      </c>
      <c r="W997">
        <v>0</v>
      </c>
      <c r="X997">
        <v>2</v>
      </c>
      <c r="Y997">
        <v>0</v>
      </c>
      <c r="AA997">
        <v>0</v>
      </c>
      <c r="AB997">
        <v>8</v>
      </c>
      <c r="AC997">
        <v>3</v>
      </c>
      <c r="AD997">
        <v>0</v>
      </c>
      <c r="AE997">
        <v>9</v>
      </c>
      <c r="AF997" t="s">
        <v>138</v>
      </c>
      <c r="AG997">
        <v>0</v>
      </c>
      <c r="AH997">
        <v>3</v>
      </c>
      <c r="AI997">
        <v>1</v>
      </c>
      <c r="AJ997">
        <v>0</v>
      </c>
      <c r="AK997" t="s">
        <v>419</v>
      </c>
      <c r="AL997">
        <v>32.808093999999997</v>
      </c>
      <c r="AM997" t="s">
        <v>420</v>
      </c>
      <c r="AN997">
        <v>-116.932833</v>
      </c>
      <c r="AO997">
        <v>25</v>
      </c>
      <c r="AP997">
        <v>2000</v>
      </c>
      <c r="AQ997" t="s">
        <v>129</v>
      </c>
      <c r="AR997">
        <v>128</v>
      </c>
      <c r="AS997">
        <v>-16</v>
      </c>
      <c r="AT997">
        <v>0</v>
      </c>
      <c r="BB997">
        <v>1200</v>
      </c>
      <c r="BC997">
        <v>1</v>
      </c>
      <c r="BD997" t="str">
        <f t="shared" si="334"/>
        <v xml:space="preserve">N887QR  </v>
      </c>
      <c r="BE997">
        <v>1</v>
      </c>
      <c r="BG997">
        <v>0</v>
      </c>
      <c r="BH997">
        <v>0</v>
      </c>
      <c r="BI997">
        <v>0</v>
      </c>
      <c r="BJ997">
        <v>1725</v>
      </c>
      <c r="BK997">
        <v>-275</v>
      </c>
      <c r="BL997" t="s">
        <v>163</v>
      </c>
      <c r="BM997">
        <v>1</v>
      </c>
      <c r="BN997">
        <v>1</v>
      </c>
      <c r="BO997">
        <v>1</v>
      </c>
      <c r="BP997">
        <v>0</v>
      </c>
      <c r="BS997">
        <v>0</v>
      </c>
      <c r="BT997">
        <v>0</v>
      </c>
      <c r="BU997">
        <v>0</v>
      </c>
      <c r="CE997" t="str">
        <f t="shared" ref="CE997:CE1003" si="345">"19:28:15.508"</f>
        <v>19:28:15.508</v>
      </c>
      <c r="CF997">
        <v>1508457993</v>
      </c>
      <c r="CS997">
        <v>3</v>
      </c>
      <c r="CT997">
        <v>2</v>
      </c>
      <c r="CU997">
        <v>0</v>
      </c>
      <c r="CV997">
        <v>2</v>
      </c>
      <c r="CW997">
        <v>0</v>
      </c>
      <c r="CX997">
        <v>4</v>
      </c>
      <c r="CY997">
        <v>7</v>
      </c>
      <c r="CZ997" t="s">
        <v>131</v>
      </c>
      <c r="DA997">
        <v>300</v>
      </c>
      <c r="DB997">
        <v>0</v>
      </c>
      <c r="DC997" t="s">
        <v>176</v>
      </c>
      <c r="DD997" t="s">
        <v>177</v>
      </c>
      <c r="DG997">
        <v>5376090</v>
      </c>
      <c r="DI997">
        <v>1</v>
      </c>
      <c r="DJ997">
        <v>0</v>
      </c>
      <c r="DK997">
        <v>0</v>
      </c>
      <c r="DL997">
        <v>0</v>
      </c>
      <c r="DM997">
        <v>0</v>
      </c>
      <c r="DN997">
        <v>1</v>
      </c>
      <c r="DO997">
        <v>0</v>
      </c>
      <c r="DP997">
        <v>0</v>
      </c>
      <c r="DQ997">
        <v>0</v>
      </c>
      <c r="DR997">
        <v>0</v>
      </c>
      <c r="DS997">
        <v>0</v>
      </c>
    </row>
    <row r="998" spans="1:123" x14ac:dyDescent="0.3">
      <c r="A998" t="str">
        <f>"10/04/2022 19:28:15.682"</f>
        <v>10/04/2022 19:28:15.682</v>
      </c>
      <c r="C998" t="str">
        <f t="shared" si="339"/>
        <v>FFDFD3C0</v>
      </c>
      <c r="D998" t="s">
        <v>141</v>
      </c>
      <c r="E998">
        <v>4</v>
      </c>
      <c r="H998">
        <v>4</v>
      </c>
      <c r="I998" t="s">
        <v>142</v>
      </c>
      <c r="J998" t="s">
        <v>138</v>
      </c>
      <c r="K998">
        <v>0</v>
      </c>
      <c r="L998">
        <v>3</v>
      </c>
      <c r="M998">
        <v>0</v>
      </c>
      <c r="N998">
        <v>2</v>
      </c>
      <c r="O998">
        <v>0</v>
      </c>
      <c r="P998">
        <v>1</v>
      </c>
      <c r="Q998">
        <v>0</v>
      </c>
      <c r="S998" t="str">
        <f t="shared" si="344"/>
        <v>19:28:14.508</v>
      </c>
      <c r="T998" t="str">
        <f t="shared" si="344"/>
        <v>19:28:14.508</v>
      </c>
      <c r="U998" t="str">
        <f t="shared" si="333"/>
        <v>AC3944</v>
      </c>
      <c r="V998">
        <v>0</v>
      </c>
      <c r="W998">
        <v>0</v>
      </c>
      <c r="X998">
        <v>2</v>
      </c>
      <c r="Y998">
        <v>0</v>
      </c>
      <c r="AA998">
        <v>0</v>
      </c>
      <c r="AB998">
        <v>8</v>
      </c>
      <c r="AC998">
        <v>3</v>
      </c>
      <c r="AD998">
        <v>0</v>
      </c>
      <c r="AE998">
        <v>9</v>
      </c>
      <c r="AF998" t="s">
        <v>138</v>
      </c>
      <c r="AG998">
        <v>0</v>
      </c>
      <c r="AH998">
        <v>3</v>
      </c>
      <c r="AI998">
        <v>1</v>
      </c>
      <c r="AJ998">
        <v>0</v>
      </c>
      <c r="AK998" t="s">
        <v>419</v>
      </c>
      <c r="AL998">
        <v>32.808093999999997</v>
      </c>
      <c r="AM998" t="s">
        <v>420</v>
      </c>
      <c r="AN998">
        <v>-116.932833</v>
      </c>
      <c r="AO998">
        <v>25</v>
      </c>
      <c r="AP998">
        <v>2000</v>
      </c>
      <c r="AQ998" t="s">
        <v>129</v>
      </c>
      <c r="AR998">
        <v>128</v>
      </c>
      <c r="AS998">
        <v>-16</v>
      </c>
      <c r="AT998">
        <v>0</v>
      </c>
      <c r="BB998">
        <v>1200</v>
      </c>
      <c r="BC998">
        <v>1</v>
      </c>
      <c r="BD998" t="str">
        <f t="shared" si="334"/>
        <v xml:space="preserve">N887QR  </v>
      </c>
      <c r="BE998">
        <v>1</v>
      </c>
      <c r="BG998">
        <v>0</v>
      </c>
      <c r="BH998">
        <v>0</v>
      </c>
      <c r="BI998">
        <v>0</v>
      </c>
      <c r="BJ998">
        <v>1725</v>
      </c>
      <c r="BK998">
        <v>-275</v>
      </c>
      <c r="BL998" t="s">
        <v>163</v>
      </c>
      <c r="BM998">
        <v>1</v>
      </c>
      <c r="BN998">
        <v>1</v>
      </c>
      <c r="BO998">
        <v>1</v>
      </c>
      <c r="BP998">
        <v>0</v>
      </c>
      <c r="BS998">
        <v>0</v>
      </c>
      <c r="BT998">
        <v>0</v>
      </c>
      <c r="BU998">
        <v>0</v>
      </c>
      <c r="CE998" t="str">
        <f t="shared" si="345"/>
        <v>19:28:15.508</v>
      </c>
      <c r="CF998">
        <v>1508457993</v>
      </c>
      <c r="CS998">
        <v>3</v>
      </c>
      <c r="CT998">
        <v>2</v>
      </c>
      <c r="CU998">
        <v>0</v>
      </c>
      <c r="CV998">
        <v>2</v>
      </c>
      <c r="CW998">
        <v>0</v>
      </c>
      <c r="CX998">
        <v>4</v>
      </c>
      <c r="CY998">
        <v>7</v>
      </c>
      <c r="CZ998" t="s">
        <v>131</v>
      </c>
      <c r="DA998">
        <v>300</v>
      </c>
      <c r="DB998">
        <v>0</v>
      </c>
      <c r="DC998" t="s">
        <v>176</v>
      </c>
      <c r="DD998" t="s">
        <v>177</v>
      </c>
      <c r="DG998">
        <v>5376090</v>
      </c>
      <c r="DI998">
        <v>1</v>
      </c>
      <c r="DJ998">
        <v>0</v>
      </c>
      <c r="DK998">
        <v>1</v>
      </c>
      <c r="DL998">
        <v>0</v>
      </c>
      <c r="DM998">
        <v>0</v>
      </c>
      <c r="DN998">
        <v>1</v>
      </c>
      <c r="DO998">
        <v>0</v>
      </c>
      <c r="DP998">
        <v>0</v>
      </c>
      <c r="DQ998">
        <v>0</v>
      </c>
      <c r="DR998">
        <v>0</v>
      </c>
      <c r="DS998">
        <v>0</v>
      </c>
    </row>
    <row r="999" spans="1:123" x14ac:dyDescent="0.3">
      <c r="A999" t="str">
        <f>"10/04/2022 19:28:15.682"</f>
        <v>10/04/2022 19:28:15.682</v>
      </c>
      <c r="C999" t="str">
        <f t="shared" si="339"/>
        <v>FFDFD3C0</v>
      </c>
      <c r="D999" t="s">
        <v>134</v>
      </c>
      <c r="E999">
        <v>15</v>
      </c>
      <c r="J999" t="s">
        <v>135</v>
      </c>
      <c r="K999">
        <v>0</v>
      </c>
      <c r="L999">
        <v>3</v>
      </c>
      <c r="M999">
        <v>0</v>
      </c>
      <c r="N999">
        <v>2</v>
      </c>
      <c r="O999">
        <v>0</v>
      </c>
      <c r="P999">
        <v>1</v>
      </c>
      <c r="Q999">
        <v>0</v>
      </c>
      <c r="S999" t="str">
        <f t="shared" si="344"/>
        <v>19:28:14.508</v>
      </c>
      <c r="T999" t="str">
        <f t="shared" si="344"/>
        <v>19:28:14.508</v>
      </c>
      <c r="U999" t="str">
        <f t="shared" si="333"/>
        <v>AC3944</v>
      </c>
      <c r="V999">
        <v>0</v>
      </c>
      <c r="W999">
        <v>0</v>
      </c>
      <c r="X999">
        <v>2</v>
      </c>
      <c r="Y999">
        <v>0</v>
      </c>
      <c r="AA999">
        <v>0</v>
      </c>
      <c r="AB999">
        <v>8</v>
      </c>
      <c r="AC999">
        <v>3</v>
      </c>
      <c r="AD999">
        <v>0</v>
      </c>
      <c r="AE999">
        <v>9</v>
      </c>
      <c r="AF999" t="s">
        <v>138</v>
      </c>
      <c r="AG999">
        <v>0</v>
      </c>
      <c r="AH999">
        <v>3</v>
      </c>
      <c r="AI999">
        <v>1</v>
      </c>
      <c r="AJ999">
        <v>0</v>
      </c>
      <c r="AK999" t="s">
        <v>419</v>
      </c>
      <c r="AL999">
        <v>32.808093999999997</v>
      </c>
      <c r="AM999" t="s">
        <v>420</v>
      </c>
      <c r="AN999">
        <v>-116.932833</v>
      </c>
      <c r="AO999">
        <v>25</v>
      </c>
      <c r="AP999">
        <v>2000</v>
      </c>
      <c r="AQ999" t="s">
        <v>129</v>
      </c>
      <c r="AR999">
        <v>128</v>
      </c>
      <c r="AS999">
        <v>-16</v>
      </c>
      <c r="AT999">
        <v>0</v>
      </c>
      <c r="BB999">
        <v>1200</v>
      </c>
      <c r="BC999">
        <v>1</v>
      </c>
      <c r="BD999" t="str">
        <f t="shared" si="334"/>
        <v xml:space="preserve">N887QR  </v>
      </c>
      <c r="BE999">
        <v>1</v>
      </c>
      <c r="BG999">
        <v>0</v>
      </c>
      <c r="BH999">
        <v>0</v>
      </c>
      <c r="BI999">
        <v>0</v>
      </c>
      <c r="BJ999">
        <v>1725</v>
      </c>
      <c r="BK999">
        <v>-275</v>
      </c>
      <c r="BL999" t="s">
        <v>163</v>
      </c>
      <c r="BM999">
        <v>1</v>
      </c>
      <c r="BN999">
        <v>1</v>
      </c>
      <c r="BO999">
        <v>1</v>
      </c>
      <c r="BP999">
        <v>0</v>
      </c>
      <c r="BS999">
        <v>0</v>
      </c>
      <c r="BT999">
        <v>0</v>
      </c>
      <c r="BU999">
        <v>0</v>
      </c>
      <c r="CE999" t="str">
        <f t="shared" si="345"/>
        <v>19:28:15.508</v>
      </c>
      <c r="CF999">
        <v>1508457993</v>
      </c>
      <c r="CS999">
        <v>3</v>
      </c>
      <c r="CT999">
        <v>2</v>
      </c>
      <c r="CU999">
        <v>0</v>
      </c>
      <c r="CV999">
        <v>2</v>
      </c>
      <c r="CW999">
        <v>0</v>
      </c>
      <c r="CX999">
        <v>4</v>
      </c>
      <c r="CY999">
        <v>7</v>
      </c>
      <c r="CZ999" t="s">
        <v>131</v>
      </c>
      <c r="DA999">
        <v>300</v>
      </c>
      <c r="DB999">
        <v>0</v>
      </c>
      <c r="DC999" t="s">
        <v>176</v>
      </c>
      <c r="DD999" t="s">
        <v>177</v>
      </c>
      <c r="DG999">
        <v>5376090</v>
      </c>
      <c r="DI999">
        <v>1</v>
      </c>
      <c r="DJ999">
        <v>0</v>
      </c>
      <c r="DK999">
        <v>1</v>
      </c>
      <c r="DL999">
        <v>0</v>
      </c>
      <c r="DM999">
        <v>0</v>
      </c>
      <c r="DN999">
        <v>1</v>
      </c>
      <c r="DO999">
        <v>0</v>
      </c>
      <c r="DP999">
        <v>0</v>
      </c>
      <c r="DQ999">
        <v>0</v>
      </c>
      <c r="DR999">
        <v>0</v>
      </c>
      <c r="DS999">
        <v>0</v>
      </c>
    </row>
    <row r="1000" spans="1:123" x14ac:dyDescent="0.3">
      <c r="A1000" t="str">
        <f>"10/04/2022 19:28:15.698"</f>
        <v>10/04/2022 19:28:15.698</v>
      </c>
      <c r="C1000" t="str">
        <f t="shared" si="339"/>
        <v>FFDFD3C0</v>
      </c>
      <c r="D1000" t="s">
        <v>147</v>
      </c>
      <c r="E1000">
        <v>3</v>
      </c>
      <c r="H1000">
        <v>166</v>
      </c>
      <c r="I1000" t="s">
        <v>144</v>
      </c>
      <c r="J1000" t="s">
        <v>148</v>
      </c>
      <c r="K1000">
        <v>0</v>
      </c>
      <c r="L1000">
        <v>3</v>
      </c>
      <c r="M1000">
        <v>0</v>
      </c>
      <c r="N1000">
        <v>2</v>
      </c>
      <c r="O1000">
        <v>0</v>
      </c>
      <c r="P1000">
        <v>1</v>
      </c>
      <c r="Q1000">
        <v>0</v>
      </c>
      <c r="S1000" t="str">
        <f t="shared" si="344"/>
        <v>19:28:14.508</v>
      </c>
      <c r="T1000" t="str">
        <f t="shared" si="344"/>
        <v>19:28:14.508</v>
      </c>
      <c r="U1000" t="str">
        <f t="shared" si="333"/>
        <v>AC3944</v>
      </c>
      <c r="V1000">
        <v>0</v>
      </c>
      <c r="W1000">
        <v>0</v>
      </c>
      <c r="X1000">
        <v>2</v>
      </c>
      <c r="Y1000">
        <v>0</v>
      </c>
      <c r="AA1000">
        <v>0</v>
      </c>
      <c r="AB1000">
        <v>8</v>
      </c>
      <c r="AC1000">
        <v>3</v>
      </c>
      <c r="AD1000">
        <v>0</v>
      </c>
      <c r="AE1000">
        <v>9</v>
      </c>
      <c r="AF1000" t="s">
        <v>138</v>
      </c>
      <c r="AG1000">
        <v>0</v>
      </c>
      <c r="AH1000">
        <v>3</v>
      </c>
      <c r="AI1000">
        <v>1</v>
      </c>
      <c r="AJ1000">
        <v>0</v>
      </c>
      <c r="AK1000" t="s">
        <v>419</v>
      </c>
      <c r="AL1000">
        <v>32.808093999999997</v>
      </c>
      <c r="AM1000" t="s">
        <v>420</v>
      </c>
      <c r="AN1000">
        <v>-116.932833</v>
      </c>
      <c r="AO1000">
        <v>25</v>
      </c>
      <c r="AP1000">
        <v>2000</v>
      </c>
      <c r="AQ1000" t="s">
        <v>129</v>
      </c>
      <c r="AR1000">
        <v>128</v>
      </c>
      <c r="AS1000">
        <v>-16</v>
      </c>
      <c r="AT1000">
        <v>0</v>
      </c>
      <c r="BB1000">
        <v>1200</v>
      </c>
      <c r="BC1000">
        <v>1</v>
      </c>
      <c r="BD1000" t="str">
        <f t="shared" si="334"/>
        <v xml:space="preserve">N887QR  </v>
      </c>
      <c r="BE1000">
        <v>1</v>
      </c>
      <c r="BG1000">
        <v>0</v>
      </c>
      <c r="BH1000">
        <v>0</v>
      </c>
      <c r="BI1000">
        <v>0</v>
      </c>
      <c r="BJ1000">
        <v>1725</v>
      </c>
      <c r="BK1000">
        <v>-275</v>
      </c>
      <c r="BL1000" t="s">
        <v>163</v>
      </c>
      <c r="BM1000">
        <v>1</v>
      </c>
      <c r="BN1000">
        <v>1</v>
      </c>
      <c r="BO1000">
        <v>1</v>
      </c>
      <c r="BP1000">
        <v>0</v>
      </c>
      <c r="BS1000">
        <v>0</v>
      </c>
      <c r="BT1000">
        <v>0</v>
      </c>
      <c r="BU1000">
        <v>0</v>
      </c>
      <c r="CE1000" t="str">
        <f t="shared" si="345"/>
        <v>19:28:15.508</v>
      </c>
      <c r="CF1000">
        <v>1508457993</v>
      </c>
      <c r="CS1000">
        <v>3</v>
      </c>
      <c r="CT1000">
        <v>2</v>
      </c>
      <c r="CU1000">
        <v>0</v>
      </c>
      <c r="CV1000">
        <v>2</v>
      </c>
      <c r="CW1000">
        <v>0</v>
      </c>
      <c r="CX1000">
        <v>4</v>
      </c>
      <c r="CY1000">
        <v>7</v>
      </c>
      <c r="CZ1000" t="s">
        <v>131</v>
      </c>
      <c r="DA1000">
        <v>300</v>
      </c>
      <c r="DB1000">
        <v>0</v>
      </c>
      <c r="DC1000" t="s">
        <v>176</v>
      </c>
      <c r="DD1000" t="s">
        <v>177</v>
      </c>
      <c r="DG1000">
        <v>5376090</v>
      </c>
      <c r="DI1000">
        <v>1</v>
      </c>
      <c r="DJ1000">
        <v>0</v>
      </c>
      <c r="DK1000">
        <v>1</v>
      </c>
      <c r="DL1000">
        <v>0</v>
      </c>
      <c r="DM1000">
        <v>0</v>
      </c>
      <c r="DN1000">
        <v>1</v>
      </c>
      <c r="DO1000">
        <v>0</v>
      </c>
      <c r="DP1000">
        <v>0</v>
      </c>
      <c r="DQ1000">
        <v>0</v>
      </c>
      <c r="DR1000">
        <v>0</v>
      </c>
      <c r="DS1000">
        <v>0</v>
      </c>
    </row>
    <row r="1001" spans="1:123" x14ac:dyDescent="0.3">
      <c r="A1001" t="str">
        <f>"10/04/2022 19:28:15.714"</f>
        <v>10/04/2022 19:28:15.714</v>
      </c>
      <c r="C1001" t="str">
        <f t="shared" si="339"/>
        <v>FFDFD3C0</v>
      </c>
      <c r="D1001" t="s">
        <v>143</v>
      </c>
      <c r="E1001">
        <v>20</v>
      </c>
      <c r="F1001">
        <v>1020</v>
      </c>
      <c r="G1001" t="s">
        <v>144</v>
      </c>
      <c r="J1001" t="s">
        <v>145</v>
      </c>
      <c r="K1001">
        <v>0</v>
      </c>
      <c r="L1001">
        <v>3</v>
      </c>
      <c r="M1001">
        <v>0</v>
      </c>
      <c r="N1001">
        <v>2</v>
      </c>
      <c r="O1001">
        <v>0</v>
      </c>
      <c r="P1001">
        <v>1</v>
      </c>
      <c r="Q1001">
        <v>0</v>
      </c>
      <c r="S1001" t="str">
        <f t="shared" si="344"/>
        <v>19:28:14.508</v>
      </c>
      <c r="T1001" t="str">
        <f t="shared" si="344"/>
        <v>19:28:14.508</v>
      </c>
      <c r="U1001" t="str">
        <f t="shared" si="333"/>
        <v>AC3944</v>
      </c>
      <c r="V1001">
        <v>0</v>
      </c>
      <c r="W1001">
        <v>0</v>
      </c>
      <c r="X1001">
        <v>2</v>
      </c>
      <c r="Y1001">
        <v>0</v>
      </c>
      <c r="AA1001">
        <v>0</v>
      </c>
      <c r="AB1001">
        <v>8</v>
      </c>
      <c r="AC1001">
        <v>3</v>
      </c>
      <c r="AD1001">
        <v>0</v>
      </c>
      <c r="AE1001">
        <v>9</v>
      </c>
      <c r="AF1001" t="s">
        <v>138</v>
      </c>
      <c r="AG1001">
        <v>0</v>
      </c>
      <c r="AH1001">
        <v>3</v>
      </c>
      <c r="AI1001">
        <v>1</v>
      </c>
      <c r="AJ1001">
        <v>0</v>
      </c>
      <c r="AK1001" t="s">
        <v>419</v>
      </c>
      <c r="AL1001">
        <v>32.808093999999997</v>
      </c>
      <c r="AM1001" t="s">
        <v>420</v>
      </c>
      <c r="AN1001">
        <v>-116.932833</v>
      </c>
      <c r="AO1001">
        <v>25</v>
      </c>
      <c r="AP1001">
        <v>2000</v>
      </c>
      <c r="AQ1001" t="s">
        <v>129</v>
      </c>
      <c r="AR1001">
        <v>128</v>
      </c>
      <c r="AS1001">
        <v>-16</v>
      </c>
      <c r="AT1001">
        <v>0</v>
      </c>
      <c r="BB1001">
        <v>1200</v>
      </c>
      <c r="BC1001">
        <v>1</v>
      </c>
      <c r="BD1001" t="str">
        <f t="shared" si="334"/>
        <v xml:space="preserve">N887QR  </v>
      </c>
      <c r="BE1001">
        <v>1</v>
      </c>
      <c r="BG1001">
        <v>0</v>
      </c>
      <c r="BH1001">
        <v>0</v>
      </c>
      <c r="BI1001">
        <v>0</v>
      </c>
      <c r="BJ1001">
        <v>1725</v>
      </c>
      <c r="BK1001">
        <v>-275</v>
      </c>
      <c r="BL1001" t="s">
        <v>163</v>
      </c>
      <c r="BM1001">
        <v>1</v>
      </c>
      <c r="BN1001">
        <v>1</v>
      </c>
      <c r="BO1001">
        <v>1</v>
      </c>
      <c r="BP1001">
        <v>0</v>
      </c>
      <c r="BS1001">
        <v>0</v>
      </c>
      <c r="BT1001">
        <v>0</v>
      </c>
      <c r="BU1001">
        <v>0</v>
      </c>
      <c r="CE1001" t="str">
        <f t="shared" si="345"/>
        <v>19:28:15.508</v>
      </c>
      <c r="CF1001">
        <v>1508457993</v>
      </c>
      <c r="CS1001">
        <v>3</v>
      </c>
      <c r="CT1001">
        <v>2</v>
      </c>
      <c r="CU1001">
        <v>0</v>
      </c>
      <c r="CV1001">
        <v>2</v>
      </c>
      <c r="CW1001">
        <v>0</v>
      </c>
      <c r="CX1001">
        <v>4</v>
      </c>
      <c r="CY1001">
        <v>7</v>
      </c>
      <c r="CZ1001" t="s">
        <v>131</v>
      </c>
      <c r="DA1001">
        <v>300</v>
      </c>
      <c r="DB1001">
        <v>0</v>
      </c>
      <c r="DC1001" t="s">
        <v>176</v>
      </c>
      <c r="DD1001" t="s">
        <v>177</v>
      </c>
      <c r="DG1001">
        <v>5376090</v>
      </c>
      <c r="DI1001">
        <v>1</v>
      </c>
      <c r="DJ1001">
        <v>0</v>
      </c>
      <c r="DK1001">
        <v>1</v>
      </c>
      <c r="DL1001">
        <v>0</v>
      </c>
      <c r="DM1001">
        <v>0</v>
      </c>
      <c r="DN1001">
        <v>1</v>
      </c>
      <c r="DO1001">
        <v>0</v>
      </c>
      <c r="DP1001">
        <v>0</v>
      </c>
      <c r="DQ1001">
        <v>0</v>
      </c>
      <c r="DR1001">
        <v>0</v>
      </c>
      <c r="DS1001">
        <v>0</v>
      </c>
    </row>
    <row r="1002" spans="1:123" x14ac:dyDescent="0.3">
      <c r="A1002" t="str">
        <f>"10/04/2022 19:28:15.714"</f>
        <v>10/04/2022 19:28:15.714</v>
      </c>
      <c r="C1002" t="str">
        <f t="shared" si="339"/>
        <v>FFDFD3C0</v>
      </c>
      <c r="D1002" t="s">
        <v>136</v>
      </c>
      <c r="E1002">
        <v>8</v>
      </c>
      <c r="H1002">
        <v>225</v>
      </c>
      <c r="I1002" t="s">
        <v>137</v>
      </c>
      <c r="J1002" t="s">
        <v>138</v>
      </c>
      <c r="K1002">
        <v>0</v>
      </c>
      <c r="L1002">
        <v>3</v>
      </c>
      <c r="M1002">
        <v>0</v>
      </c>
      <c r="N1002">
        <v>2</v>
      </c>
      <c r="O1002">
        <v>0</v>
      </c>
      <c r="P1002">
        <v>1</v>
      </c>
      <c r="Q1002">
        <v>0</v>
      </c>
      <c r="S1002" t="str">
        <f t="shared" si="344"/>
        <v>19:28:14.508</v>
      </c>
      <c r="T1002" t="str">
        <f t="shared" si="344"/>
        <v>19:28:14.508</v>
      </c>
      <c r="U1002" t="str">
        <f t="shared" si="333"/>
        <v>AC3944</v>
      </c>
      <c r="V1002">
        <v>0</v>
      </c>
      <c r="W1002">
        <v>0</v>
      </c>
      <c r="X1002">
        <v>2</v>
      </c>
      <c r="Y1002">
        <v>0</v>
      </c>
      <c r="AA1002">
        <v>0</v>
      </c>
      <c r="AB1002">
        <v>8</v>
      </c>
      <c r="AC1002">
        <v>3</v>
      </c>
      <c r="AD1002">
        <v>0</v>
      </c>
      <c r="AE1002">
        <v>9</v>
      </c>
      <c r="AF1002" t="s">
        <v>138</v>
      </c>
      <c r="AG1002">
        <v>0</v>
      </c>
      <c r="AH1002">
        <v>3</v>
      </c>
      <c r="AI1002">
        <v>1</v>
      </c>
      <c r="AJ1002">
        <v>0</v>
      </c>
      <c r="AK1002" t="s">
        <v>419</v>
      </c>
      <c r="AL1002">
        <v>32.808093999999997</v>
      </c>
      <c r="AM1002" t="s">
        <v>420</v>
      </c>
      <c r="AN1002">
        <v>-116.932833</v>
      </c>
      <c r="AO1002">
        <v>25</v>
      </c>
      <c r="AP1002">
        <v>2000</v>
      </c>
      <c r="AQ1002" t="s">
        <v>129</v>
      </c>
      <c r="AR1002">
        <v>128</v>
      </c>
      <c r="AS1002">
        <v>-16</v>
      </c>
      <c r="AT1002">
        <v>0</v>
      </c>
      <c r="BB1002">
        <v>1200</v>
      </c>
      <c r="BC1002">
        <v>1</v>
      </c>
      <c r="BD1002" t="str">
        <f t="shared" si="334"/>
        <v xml:space="preserve">N887QR  </v>
      </c>
      <c r="BE1002">
        <v>1</v>
      </c>
      <c r="BG1002">
        <v>0</v>
      </c>
      <c r="BH1002">
        <v>0</v>
      </c>
      <c r="BI1002">
        <v>0</v>
      </c>
      <c r="BJ1002">
        <v>1725</v>
      </c>
      <c r="BK1002">
        <v>-275</v>
      </c>
      <c r="BL1002" t="s">
        <v>163</v>
      </c>
      <c r="BM1002">
        <v>1</v>
      </c>
      <c r="BN1002">
        <v>1</v>
      </c>
      <c r="BO1002">
        <v>1</v>
      </c>
      <c r="BP1002">
        <v>0</v>
      </c>
      <c r="BS1002">
        <v>0</v>
      </c>
      <c r="BT1002">
        <v>0</v>
      </c>
      <c r="BU1002">
        <v>0</v>
      </c>
      <c r="CE1002" t="str">
        <f t="shared" si="345"/>
        <v>19:28:15.508</v>
      </c>
      <c r="CF1002">
        <v>1508457993</v>
      </c>
      <c r="CS1002">
        <v>3</v>
      </c>
      <c r="CT1002">
        <v>2</v>
      </c>
      <c r="CU1002">
        <v>0</v>
      </c>
      <c r="CV1002">
        <v>2</v>
      </c>
      <c r="CW1002">
        <v>0</v>
      </c>
      <c r="CX1002">
        <v>4</v>
      </c>
      <c r="CY1002">
        <v>7</v>
      </c>
      <c r="CZ1002" t="s">
        <v>131</v>
      </c>
      <c r="DA1002">
        <v>300</v>
      </c>
      <c r="DB1002">
        <v>0</v>
      </c>
      <c r="DC1002" t="s">
        <v>176</v>
      </c>
      <c r="DD1002" t="s">
        <v>177</v>
      </c>
      <c r="DG1002">
        <v>5376090</v>
      </c>
      <c r="DI1002">
        <v>1</v>
      </c>
      <c r="DJ1002">
        <v>0</v>
      </c>
      <c r="DK1002">
        <v>1</v>
      </c>
      <c r="DL1002">
        <v>0</v>
      </c>
      <c r="DM1002">
        <v>0</v>
      </c>
      <c r="DN1002">
        <v>1</v>
      </c>
      <c r="DO1002">
        <v>0</v>
      </c>
      <c r="DP1002">
        <v>0</v>
      </c>
      <c r="DQ1002">
        <v>0</v>
      </c>
      <c r="DR1002">
        <v>0</v>
      </c>
      <c r="DS1002">
        <v>0</v>
      </c>
    </row>
    <row r="1003" spans="1:123" x14ac:dyDescent="0.3">
      <c r="A1003" t="str">
        <f>"10/04/2022 19:28:15.729"</f>
        <v>10/04/2022 19:28:15.729</v>
      </c>
      <c r="C1003" t="str">
        <f t="shared" si="339"/>
        <v>FFDFD3C0</v>
      </c>
      <c r="D1003" t="s">
        <v>123</v>
      </c>
      <c r="E1003">
        <v>7</v>
      </c>
      <c r="F1003">
        <v>2007</v>
      </c>
      <c r="G1003" t="s">
        <v>124</v>
      </c>
      <c r="J1003" t="s">
        <v>125</v>
      </c>
      <c r="K1003">
        <v>0</v>
      </c>
      <c r="L1003">
        <v>3</v>
      </c>
      <c r="M1003">
        <v>0</v>
      </c>
      <c r="N1003">
        <v>2</v>
      </c>
      <c r="O1003">
        <v>0</v>
      </c>
      <c r="P1003">
        <v>1</v>
      </c>
      <c r="Q1003">
        <v>0</v>
      </c>
      <c r="S1003" t="str">
        <f t="shared" si="344"/>
        <v>19:28:14.508</v>
      </c>
      <c r="T1003" t="str">
        <f t="shared" si="344"/>
        <v>19:28:14.508</v>
      </c>
      <c r="U1003" t="str">
        <f t="shared" si="333"/>
        <v>AC3944</v>
      </c>
      <c r="V1003">
        <v>0</v>
      </c>
      <c r="W1003">
        <v>0</v>
      </c>
      <c r="X1003">
        <v>2</v>
      </c>
      <c r="Y1003">
        <v>0</v>
      </c>
      <c r="AA1003">
        <v>0</v>
      </c>
      <c r="AB1003">
        <v>8</v>
      </c>
      <c r="AC1003">
        <v>3</v>
      </c>
      <c r="AD1003">
        <v>0</v>
      </c>
      <c r="AE1003">
        <v>9</v>
      </c>
      <c r="AF1003" t="s">
        <v>138</v>
      </c>
      <c r="AG1003">
        <v>0</v>
      </c>
      <c r="AH1003">
        <v>3</v>
      </c>
      <c r="AI1003">
        <v>1</v>
      </c>
      <c r="AJ1003">
        <v>0</v>
      </c>
      <c r="AK1003" t="s">
        <v>419</v>
      </c>
      <c r="AL1003">
        <v>32.808093999999997</v>
      </c>
      <c r="AM1003" t="s">
        <v>420</v>
      </c>
      <c r="AN1003">
        <v>-116.932833</v>
      </c>
      <c r="AO1003">
        <v>25</v>
      </c>
      <c r="AP1003">
        <v>2000</v>
      </c>
      <c r="AQ1003" t="s">
        <v>129</v>
      </c>
      <c r="AR1003">
        <v>128</v>
      </c>
      <c r="AS1003">
        <v>-16</v>
      </c>
      <c r="AT1003">
        <v>0</v>
      </c>
      <c r="BB1003">
        <v>1200</v>
      </c>
      <c r="BC1003">
        <v>1</v>
      </c>
      <c r="BD1003" t="str">
        <f t="shared" si="334"/>
        <v xml:space="preserve">N887QR  </v>
      </c>
      <c r="BE1003">
        <v>1</v>
      </c>
      <c r="BG1003">
        <v>0</v>
      </c>
      <c r="BH1003">
        <v>0</v>
      </c>
      <c r="BI1003">
        <v>0</v>
      </c>
      <c r="BJ1003">
        <v>1725</v>
      </c>
      <c r="BK1003">
        <v>-275</v>
      </c>
      <c r="BL1003" t="s">
        <v>163</v>
      </c>
      <c r="BM1003">
        <v>1</v>
      </c>
      <c r="BN1003">
        <v>1</v>
      </c>
      <c r="BO1003">
        <v>1</v>
      </c>
      <c r="BP1003">
        <v>0</v>
      </c>
      <c r="BS1003">
        <v>0</v>
      </c>
      <c r="BT1003">
        <v>0</v>
      </c>
      <c r="BU1003">
        <v>0</v>
      </c>
      <c r="CE1003" t="str">
        <f t="shared" si="345"/>
        <v>19:28:15.508</v>
      </c>
      <c r="CF1003">
        <v>1508457993</v>
      </c>
      <c r="CS1003">
        <v>3</v>
      </c>
      <c r="CT1003">
        <v>2</v>
      </c>
      <c r="CU1003">
        <v>0</v>
      </c>
      <c r="CV1003">
        <v>2</v>
      </c>
      <c r="CW1003">
        <v>0</v>
      </c>
      <c r="CX1003">
        <v>4</v>
      </c>
      <c r="CY1003">
        <v>7</v>
      </c>
      <c r="CZ1003" t="s">
        <v>131</v>
      </c>
      <c r="DA1003">
        <v>300</v>
      </c>
      <c r="DB1003">
        <v>0</v>
      </c>
      <c r="DC1003" t="s">
        <v>176</v>
      </c>
      <c r="DD1003" t="s">
        <v>177</v>
      </c>
      <c r="DG1003">
        <v>5376090</v>
      </c>
      <c r="DI1003">
        <v>1</v>
      </c>
      <c r="DJ1003">
        <v>0</v>
      </c>
      <c r="DK1003">
        <v>1</v>
      </c>
      <c r="DL1003">
        <v>0</v>
      </c>
      <c r="DM1003">
        <v>0</v>
      </c>
      <c r="DN1003">
        <v>1</v>
      </c>
      <c r="DO1003">
        <v>0</v>
      </c>
      <c r="DP1003">
        <v>0</v>
      </c>
      <c r="DQ1003">
        <v>0</v>
      </c>
      <c r="DR1003">
        <v>0</v>
      </c>
      <c r="DS1003">
        <v>0</v>
      </c>
    </row>
    <row r="1004" spans="1:123" x14ac:dyDescent="0.3">
      <c r="A1004" t="str">
        <f>"10/04/2022 19:28:16.680"</f>
        <v>10/04/2022 19:28:16.680</v>
      </c>
      <c r="C1004" t="str">
        <f t="shared" si="339"/>
        <v>FFDFD3C0</v>
      </c>
      <c r="D1004" t="s">
        <v>123</v>
      </c>
      <c r="E1004">
        <v>7</v>
      </c>
      <c r="F1004">
        <v>2007</v>
      </c>
      <c r="G1004" t="s">
        <v>124</v>
      </c>
      <c r="J1004" t="s">
        <v>125</v>
      </c>
      <c r="K1004">
        <v>0</v>
      </c>
      <c r="L1004">
        <v>3</v>
      </c>
      <c r="M1004">
        <v>0</v>
      </c>
      <c r="N1004">
        <v>2</v>
      </c>
      <c r="O1004">
        <v>0</v>
      </c>
      <c r="P1004">
        <v>1</v>
      </c>
      <c r="Q1004">
        <v>0</v>
      </c>
      <c r="S1004" t="str">
        <f t="shared" ref="S1004:T1010" si="346">"19:28:15.492"</f>
        <v>19:28:15.492</v>
      </c>
      <c r="T1004" t="str">
        <f t="shared" si="346"/>
        <v>19:28:15.492</v>
      </c>
      <c r="U1004" t="str">
        <f t="shared" si="333"/>
        <v>AC3944</v>
      </c>
      <c r="V1004">
        <v>0</v>
      </c>
      <c r="W1004">
        <v>0</v>
      </c>
      <c r="X1004">
        <v>2</v>
      </c>
      <c r="Y1004">
        <v>0</v>
      </c>
      <c r="AA1004">
        <v>0</v>
      </c>
      <c r="AB1004">
        <v>8</v>
      </c>
      <c r="AC1004">
        <v>3</v>
      </c>
      <c r="AD1004">
        <v>0</v>
      </c>
      <c r="AE1004">
        <v>9</v>
      </c>
      <c r="AF1004" t="s">
        <v>138</v>
      </c>
      <c r="AG1004">
        <v>0</v>
      </c>
      <c r="AH1004">
        <v>3</v>
      </c>
      <c r="AI1004">
        <v>1</v>
      </c>
      <c r="AJ1004">
        <v>0</v>
      </c>
      <c r="AK1004" t="s">
        <v>421</v>
      </c>
      <c r="AL1004">
        <v>32.807986999999997</v>
      </c>
      <c r="AM1004" t="s">
        <v>422</v>
      </c>
      <c r="AN1004">
        <v>-116.931996</v>
      </c>
      <c r="AO1004">
        <v>25</v>
      </c>
      <c r="AP1004">
        <v>2000</v>
      </c>
      <c r="AQ1004" t="s">
        <v>129</v>
      </c>
      <c r="AR1004">
        <v>129</v>
      </c>
      <c r="AS1004">
        <v>-13</v>
      </c>
      <c r="AT1004">
        <v>-64</v>
      </c>
      <c r="BB1004">
        <v>1200</v>
      </c>
      <c r="BC1004">
        <v>1</v>
      </c>
      <c r="BD1004" t="str">
        <f t="shared" si="334"/>
        <v xml:space="preserve">N887QR  </v>
      </c>
      <c r="BE1004">
        <v>1</v>
      </c>
      <c r="BG1004">
        <v>0</v>
      </c>
      <c r="BH1004">
        <v>0</v>
      </c>
      <c r="BI1004">
        <v>0</v>
      </c>
      <c r="BJ1004">
        <v>1725</v>
      </c>
      <c r="BK1004">
        <v>-275</v>
      </c>
      <c r="BL1004" t="s">
        <v>163</v>
      </c>
      <c r="BM1004">
        <v>1</v>
      </c>
      <c r="BN1004">
        <v>1</v>
      </c>
      <c r="BO1004">
        <v>1</v>
      </c>
      <c r="BP1004">
        <v>0</v>
      </c>
      <c r="BS1004">
        <v>0</v>
      </c>
      <c r="BT1004">
        <v>0</v>
      </c>
      <c r="BU1004">
        <v>0</v>
      </c>
      <c r="CE1004" t="str">
        <f t="shared" ref="CE1004:CE1010" si="347">"19:28:16.496"</f>
        <v>19:28:16.496</v>
      </c>
      <c r="CF1004">
        <v>1495960990</v>
      </c>
      <c r="CS1004">
        <v>3</v>
      </c>
      <c r="CT1004">
        <v>2</v>
      </c>
      <c r="CU1004">
        <v>0</v>
      </c>
      <c r="CV1004">
        <v>2</v>
      </c>
      <c r="CW1004">
        <v>0</v>
      </c>
      <c r="CX1004">
        <v>5</v>
      </c>
      <c r="CY1004">
        <v>7</v>
      </c>
      <c r="CZ1004" t="s">
        <v>131</v>
      </c>
      <c r="DA1004">
        <v>300</v>
      </c>
      <c r="DB1004">
        <v>0</v>
      </c>
      <c r="DC1004" t="s">
        <v>176</v>
      </c>
      <c r="DD1004" t="s">
        <v>177</v>
      </c>
      <c r="DG1004">
        <v>5376256</v>
      </c>
      <c r="DI1004">
        <v>1</v>
      </c>
      <c r="DJ1004">
        <v>0</v>
      </c>
      <c r="DK1004">
        <v>0</v>
      </c>
      <c r="DL1004">
        <v>0</v>
      </c>
      <c r="DM1004">
        <v>0</v>
      </c>
      <c r="DN1004">
        <v>1</v>
      </c>
      <c r="DO1004">
        <v>0</v>
      </c>
      <c r="DP1004">
        <v>0</v>
      </c>
      <c r="DQ1004">
        <v>0</v>
      </c>
      <c r="DR1004">
        <v>0</v>
      </c>
      <c r="DS1004">
        <v>0</v>
      </c>
    </row>
    <row r="1005" spans="1:123" x14ac:dyDescent="0.3">
      <c r="A1005" t="str">
        <f>"10/04/2022 19:28:16.680"</f>
        <v>10/04/2022 19:28:16.680</v>
      </c>
      <c r="C1005" t="str">
        <f t="shared" si="339"/>
        <v>FFDFD3C0</v>
      </c>
      <c r="D1005" t="s">
        <v>141</v>
      </c>
      <c r="E1005">
        <v>4</v>
      </c>
      <c r="H1005">
        <v>4</v>
      </c>
      <c r="I1005" t="s">
        <v>142</v>
      </c>
      <c r="J1005" t="s">
        <v>138</v>
      </c>
      <c r="K1005">
        <v>0</v>
      </c>
      <c r="L1005">
        <v>3</v>
      </c>
      <c r="M1005">
        <v>0</v>
      </c>
      <c r="N1005">
        <v>2</v>
      </c>
      <c r="O1005">
        <v>0</v>
      </c>
      <c r="P1005">
        <v>1</v>
      </c>
      <c r="Q1005">
        <v>0</v>
      </c>
      <c r="S1005" t="str">
        <f t="shared" si="346"/>
        <v>19:28:15.492</v>
      </c>
      <c r="T1005" t="str">
        <f t="shared" si="346"/>
        <v>19:28:15.492</v>
      </c>
      <c r="U1005" t="str">
        <f t="shared" si="333"/>
        <v>AC3944</v>
      </c>
      <c r="V1005">
        <v>0</v>
      </c>
      <c r="W1005">
        <v>0</v>
      </c>
      <c r="X1005">
        <v>2</v>
      </c>
      <c r="Y1005">
        <v>0</v>
      </c>
      <c r="AA1005">
        <v>0</v>
      </c>
      <c r="AB1005">
        <v>8</v>
      </c>
      <c r="AC1005">
        <v>3</v>
      </c>
      <c r="AD1005">
        <v>0</v>
      </c>
      <c r="AE1005">
        <v>9</v>
      </c>
      <c r="AF1005" t="s">
        <v>138</v>
      </c>
      <c r="AG1005">
        <v>0</v>
      </c>
      <c r="AH1005">
        <v>3</v>
      </c>
      <c r="AI1005">
        <v>1</v>
      </c>
      <c r="AJ1005">
        <v>0</v>
      </c>
      <c r="AK1005" t="s">
        <v>421</v>
      </c>
      <c r="AL1005">
        <v>32.807986999999997</v>
      </c>
      <c r="AM1005" t="s">
        <v>422</v>
      </c>
      <c r="AN1005">
        <v>-116.931996</v>
      </c>
      <c r="AO1005">
        <v>25</v>
      </c>
      <c r="AP1005">
        <v>2000</v>
      </c>
      <c r="AQ1005" t="s">
        <v>129</v>
      </c>
      <c r="AR1005">
        <v>129</v>
      </c>
      <c r="AS1005">
        <v>-13</v>
      </c>
      <c r="AT1005">
        <v>-64</v>
      </c>
      <c r="BB1005">
        <v>1200</v>
      </c>
      <c r="BC1005">
        <v>1</v>
      </c>
      <c r="BD1005" t="str">
        <f t="shared" si="334"/>
        <v xml:space="preserve">N887QR  </v>
      </c>
      <c r="BE1005">
        <v>1</v>
      </c>
      <c r="BG1005">
        <v>0</v>
      </c>
      <c r="BH1005">
        <v>0</v>
      </c>
      <c r="BI1005">
        <v>0</v>
      </c>
      <c r="BJ1005">
        <v>1725</v>
      </c>
      <c r="BK1005">
        <v>-275</v>
      </c>
      <c r="BL1005" t="s">
        <v>163</v>
      </c>
      <c r="BM1005">
        <v>1</v>
      </c>
      <c r="BN1005">
        <v>1</v>
      </c>
      <c r="BO1005">
        <v>1</v>
      </c>
      <c r="BP1005">
        <v>0</v>
      </c>
      <c r="BS1005">
        <v>0</v>
      </c>
      <c r="BT1005">
        <v>0</v>
      </c>
      <c r="BU1005">
        <v>0</v>
      </c>
      <c r="CE1005" t="str">
        <f t="shared" si="347"/>
        <v>19:28:16.496</v>
      </c>
      <c r="CF1005">
        <v>1495960990</v>
      </c>
      <c r="CS1005">
        <v>3</v>
      </c>
      <c r="CT1005">
        <v>2</v>
      </c>
      <c r="CU1005">
        <v>0</v>
      </c>
      <c r="CV1005">
        <v>2</v>
      </c>
      <c r="CW1005">
        <v>0</v>
      </c>
      <c r="CX1005">
        <v>5</v>
      </c>
      <c r="CY1005">
        <v>7</v>
      </c>
      <c r="CZ1005" t="s">
        <v>131</v>
      </c>
      <c r="DA1005">
        <v>300</v>
      </c>
      <c r="DB1005">
        <v>0</v>
      </c>
      <c r="DC1005" t="s">
        <v>176</v>
      </c>
      <c r="DD1005" t="s">
        <v>177</v>
      </c>
      <c r="DG1005">
        <v>5376256</v>
      </c>
      <c r="DI1005">
        <v>1</v>
      </c>
      <c r="DJ1005">
        <v>0</v>
      </c>
      <c r="DK1005">
        <v>1</v>
      </c>
      <c r="DL1005">
        <v>0</v>
      </c>
      <c r="DM1005">
        <v>0</v>
      </c>
      <c r="DN1005">
        <v>1</v>
      </c>
      <c r="DO1005">
        <v>0</v>
      </c>
      <c r="DP1005">
        <v>0</v>
      </c>
      <c r="DQ1005">
        <v>0</v>
      </c>
      <c r="DR1005">
        <v>0</v>
      </c>
      <c r="DS1005">
        <v>0</v>
      </c>
    </row>
    <row r="1006" spans="1:123" x14ac:dyDescent="0.3">
      <c r="A1006" t="str">
        <f>"10/04/2022 19:28:16.696"</f>
        <v>10/04/2022 19:28:16.696</v>
      </c>
      <c r="C1006" t="str">
        <f t="shared" si="339"/>
        <v>FFDFD3C0</v>
      </c>
      <c r="D1006" t="s">
        <v>141</v>
      </c>
      <c r="E1006">
        <v>3</v>
      </c>
      <c r="H1006">
        <v>3</v>
      </c>
      <c r="I1006" t="s">
        <v>146</v>
      </c>
      <c r="J1006" t="s">
        <v>138</v>
      </c>
      <c r="K1006">
        <v>0</v>
      </c>
      <c r="L1006">
        <v>3</v>
      </c>
      <c r="M1006">
        <v>0</v>
      </c>
      <c r="N1006">
        <v>2</v>
      </c>
      <c r="O1006">
        <v>0</v>
      </c>
      <c r="P1006">
        <v>1</v>
      </c>
      <c r="Q1006">
        <v>0</v>
      </c>
      <c r="S1006" t="str">
        <f t="shared" si="346"/>
        <v>19:28:15.492</v>
      </c>
      <c r="T1006" t="str">
        <f t="shared" si="346"/>
        <v>19:28:15.492</v>
      </c>
      <c r="U1006" t="str">
        <f t="shared" si="333"/>
        <v>AC3944</v>
      </c>
      <c r="V1006">
        <v>0</v>
      </c>
      <c r="W1006">
        <v>0</v>
      </c>
      <c r="X1006">
        <v>2</v>
      </c>
      <c r="Y1006">
        <v>0</v>
      </c>
      <c r="AA1006">
        <v>0</v>
      </c>
      <c r="AB1006">
        <v>8</v>
      </c>
      <c r="AC1006">
        <v>3</v>
      </c>
      <c r="AD1006">
        <v>0</v>
      </c>
      <c r="AE1006">
        <v>9</v>
      </c>
      <c r="AF1006" t="s">
        <v>138</v>
      </c>
      <c r="AG1006">
        <v>0</v>
      </c>
      <c r="AH1006">
        <v>3</v>
      </c>
      <c r="AI1006">
        <v>1</v>
      </c>
      <c r="AJ1006">
        <v>0</v>
      </c>
      <c r="AK1006" t="s">
        <v>421</v>
      </c>
      <c r="AL1006">
        <v>32.807986999999997</v>
      </c>
      <c r="AM1006" t="s">
        <v>422</v>
      </c>
      <c r="AN1006">
        <v>-116.931996</v>
      </c>
      <c r="AO1006">
        <v>25</v>
      </c>
      <c r="AP1006">
        <v>2000</v>
      </c>
      <c r="AQ1006" t="s">
        <v>129</v>
      </c>
      <c r="AR1006">
        <v>129</v>
      </c>
      <c r="AS1006">
        <v>-13</v>
      </c>
      <c r="AT1006">
        <v>-64</v>
      </c>
      <c r="BB1006">
        <v>1200</v>
      </c>
      <c r="BC1006">
        <v>1</v>
      </c>
      <c r="BD1006" t="str">
        <f t="shared" si="334"/>
        <v xml:space="preserve">N887QR  </v>
      </c>
      <c r="BE1006">
        <v>1</v>
      </c>
      <c r="BG1006">
        <v>0</v>
      </c>
      <c r="BH1006">
        <v>0</v>
      </c>
      <c r="BI1006">
        <v>0</v>
      </c>
      <c r="BJ1006">
        <v>1725</v>
      </c>
      <c r="BK1006">
        <v>-275</v>
      </c>
      <c r="BL1006" t="s">
        <v>163</v>
      </c>
      <c r="BM1006">
        <v>1</v>
      </c>
      <c r="BN1006">
        <v>1</v>
      </c>
      <c r="BO1006">
        <v>1</v>
      </c>
      <c r="BP1006">
        <v>0</v>
      </c>
      <c r="BS1006">
        <v>0</v>
      </c>
      <c r="BT1006">
        <v>0</v>
      </c>
      <c r="BU1006">
        <v>0</v>
      </c>
      <c r="CE1006" t="str">
        <f t="shared" si="347"/>
        <v>19:28:16.496</v>
      </c>
      <c r="CF1006">
        <v>1495960990</v>
      </c>
      <c r="CS1006">
        <v>3</v>
      </c>
      <c r="CT1006">
        <v>2</v>
      </c>
      <c r="CU1006">
        <v>0</v>
      </c>
      <c r="CV1006">
        <v>2</v>
      </c>
      <c r="CW1006">
        <v>0</v>
      </c>
      <c r="CX1006">
        <v>5</v>
      </c>
      <c r="CY1006">
        <v>7</v>
      </c>
      <c r="CZ1006" t="s">
        <v>131</v>
      </c>
      <c r="DA1006">
        <v>300</v>
      </c>
      <c r="DB1006">
        <v>0</v>
      </c>
      <c r="DC1006" t="s">
        <v>176</v>
      </c>
      <c r="DD1006" t="s">
        <v>177</v>
      </c>
      <c r="DG1006">
        <v>5376256</v>
      </c>
      <c r="DI1006">
        <v>1</v>
      </c>
      <c r="DJ1006">
        <v>0</v>
      </c>
      <c r="DK1006">
        <v>1</v>
      </c>
      <c r="DL1006">
        <v>0</v>
      </c>
      <c r="DM1006">
        <v>0</v>
      </c>
      <c r="DN1006">
        <v>1</v>
      </c>
      <c r="DO1006">
        <v>0</v>
      </c>
      <c r="DP1006">
        <v>0</v>
      </c>
      <c r="DQ1006">
        <v>0</v>
      </c>
      <c r="DR1006">
        <v>0</v>
      </c>
      <c r="DS1006">
        <v>0</v>
      </c>
    </row>
    <row r="1007" spans="1:123" x14ac:dyDescent="0.3">
      <c r="A1007" t="str">
        <f>"10/04/2022 19:28:16.711"</f>
        <v>10/04/2022 19:28:16.711</v>
      </c>
      <c r="C1007" t="str">
        <f t="shared" si="339"/>
        <v>FFDFD3C0</v>
      </c>
      <c r="D1007" t="s">
        <v>134</v>
      </c>
      <c r="E1007">
        <v>15</v>
      </c>
      <c r="J1007" t="s">
        <v>135</v>
      </c>
      <c r="K1007">
        <v>0</v>
      </c>
      <c r="L1007">
        <v>3</v>
      </c>
      <c r="M1007">
        <v>0</v>
      </c>
      <c r="N1007">
        <v>2</v>
      </c>
      <c r="O1007">
        <v>0</v>
      </c>
      <c r="P1007">
        <v>1</v>
      </c>
      <c r="Q1007">
        <v>0</v>
      </c>
      <c r="S1007" t="str">
        <f t="shared" si="346"/>
        <v>19:28:15.492</v>
      </c>
      <c r="T1007" t="str">
        <f t="shared" si="346"/>
        <v>19:28:15.492</v>
      </c>
      <c r="U1007" t="str">
        <f t="shared" si="333"/>
        <v>AC3944</v>
      </c>
      <c r="V1007">
        <v>0</v>
      </c>
      <c r="W1007">
        <v>0</v>
      </c>
      <c r="X1007">
        <v>2</v>
      </c>
      <c r="Y1007">
        <v>0</v>
      </c>
      <c r="AA1007">
        <v>0</v>
      </c>
      <c r="AB1007">
        <v>8</v>
      </c>
      <c r="AC1007">
        <v>3</v>
      </c>
      <c r="AD1007">
        <v>0</v>
      </c>
      <c r="AE1007">
        <v>9</v>
      </c>
      <c r="AF1007" t="s">
        <v>138</v>
      </c>
      <c r="AG1007">
        <v>0</v>
      </c>
      <c r="AH1007">
        <v>3</v>
      </c>
      <c r="AI1007">
        <v>1</v>
      </c>
      <c r="AJ1007">
        <v>0</v>
      </c>
      <c r="AK1007" t="s">
        <v>421</v>
      </c>
      <c r="AL1007">
        <v>32.807986999999997</v>
      </c>
      <c r="AM1007" t="s">
        <v>422</v>
      </c>
      <c r="AN1007">
        <v>-116.931996</v>
      </c>
      <c r="AO1007">
        <v>25</v>
      </c>
      <c r="AP1007">
        <v>2000</v>
      </c>
      <c r="AQ1007" t="s">
        <v>129</v>
      </c>
      <c r="AR1007">
        <v>129</v>
      </c>
      <c r="AS1007">
        <v>-13</v>
      </c>
      <c r="AT1007">
        <v>-64</v>
      </c>
      <c r="BB1007">
        <v>1200</v>
      </c>
      <c r="BC1007">
        <v>1</v>
      </c>
      <c r="BD1007" t="str">
        <f t="shared" si="334"/>
        <v xml:space="preserve">N887QR  </v>
      </c>
      <c r="BE1007">
        <v>1</v>
      </c>
      <c r="BG1007">
        <v>0</v>
      </c>
      <c r="BH1007">
        <v>0</v>
      </c>
      <c r="BI1007">
        <v>0</v>
      </c>
      <c r="BJ1007">
        <v>1725</v>
      </c>
      <c r="BK1007">
        <v>-275</v>
      </c>
      <c r="BL1007" t="s">
        <v>163</v>
      </c>
      <c r="BM1007">
        <v>1</v>
      </c>
      <c r="BN1007">
        <v>1</v>
      </c>
      <c r="BO1007">
        <v>1</v>
      </c>
      <c r="BP1007">
        <v>0</v>
      </c>
      <c r="BS1007">
        <v>0</v>
      </c>
      <c r="BT1007">
        <v>0</v>
      </c>
      <c r="BU1007">
        <v>0</v>
      </c>
      <c r="CE1007" t="str">
        <f t="shared" si="347"/>
        <v>19:28:16.496</v>
      </c>
      <c r="CF1007">
        <v>1495960990</v>
      </c>
      <c r="CS1007">
        <v>3</v>
      </c>
      <c r="CT1007">
        <v>2</v>
      </c>
      <c r="CU1007">
        <v>0</v>
      </c>
      <c r="CV1007">
        <v>2</v>
      </c>
      <c r="CW1007">
        <v>0</v>
      </c>
      <c r="CX1007">
        <v>5</v>
      </c>
      <c r="CY1007">
        <v>7</v>
      </c>
      <c r="CZ1007" t="s">
        <v>131</v>
      </c>
      <c r="DA1007">
        <v>300</v>
      </c>
      <c r="DB1007">
        <v>0</v>
      </c>
      <c r="DC1007" t="s">
        <v>176</v>
      </c>
      <c r="DD1007" t="s">
        <v>177</v>
      </c>
      <c r="DG1007">
        <v>5376256</v>
      </c>
      <c r="DI1007">
        <v>1</v>
      </c>
      <c r="DJ1007">
        <v>0</v>
      </c>
      <c r="DK1007">
        <v>1</v>
      </c>
      <c r="DL1007">
        <v>0</v>
      </c>
      <c r="DM1007">
        <v>0</v>
      </c>
      <c r="DN1007">
        <v>1</v>
      </c>
      <c r="DO1007">
        <v>0</v>
      </c>
      <c r="DP1007">
        <v>0</v>
      </c>
      <c r="DQ1007">
        <v>0</v>
      </c>
      <c r="DR1007">
        <v>0</v>
      </c>
      <c r="DS1007">
        <v>0</v>
      </c>
    </row>
    <row r="1008" spans="1:123" x14ac:dyDescent="0.3">
      <c r="A1008" t="str">
        <f>"10/04/2022 19:28:16.711"</f>
        <v>10/04/2022 19:28:16.711</v>
      </c>
      <c r="C1008" t="str">
        <f t="shared" si="339"/>
        <v>FFDFD3C0</v>
      </c>
      <c r="D1008" t="s">
        <v>147</v>
      </c>
      <c r="E1008">
        <v>3</v>
      </c>
      <c r="H1008">
        <v>166</v>
      </c>
      <c r="I1008" t="s">
        <v>144</v>
      </c>
      <c r="J1008" t="s">
        <v>148</v>
      </c>
      <c r="K1008">
        <v>0</v>
      </c>
      <c r="L1008">
        <v>3</v>
      </c>
      <c r="M1008">
        <v>0</v>
      </c>
      <c r="N1008">
        <v>2</v>
      </c>
      <c r="O1008">
        <v>0</v>
      </c>
      <c r="P1008">
        <v>1</v>
      </c>
      <c r="Q1008">
        <v>0</v>
      </c>
      <c r="S1008" t="str">
        <f t="shared" si="346"/>
        <v>19:28:15.492</v>
      </c>
      <c r="T1008" t="str">
        <f t="shared" si="346"/>
        <v>19:28:15.492</v>
      </c>
      <c r="U1008" t="str">
        <f t="shared" si="333"/>
        <v>AC3944</v>
      </c>
      <c r="V1008">
        <v>0</v>
      </c>
      <c r="W1008">
        <v>0</v>
      </c>
      <c r="X1008">
        <v>2</v>
      </c>
      <c r="Y1008">
        <v>0</v>
      </c>
      <c r="AA1008">
        <v>0</v>
      </c>
      <c r="AB1008">
        <v>8</v>
      </c>
      <c r="AC1008">
        <v>3</v>
      </c>
      <c r="AD1008">
        <v>0</v>
      </c>
      <c r="AE1008">
        <v>9</v>
      </c>
      <c r="AF1008" t="s">
        <v>138</v>
      </c>
      <c r="AG1008">
        <v>0</v>
      </c>
      <c r="AH1008">
        <v>3</v>
      </c>
      <c r="AI1008">
        <v>1</v>
      </c>
      <c r="AJ1008">
        <v>0</v>
      </c>
      <c r="AK1008" t="s">
        <v>421</v>
      </c>
      <c r="AL1008">
        <v>32.807986999999997</v>
      </c>
      <c r="AM1008" t="s">
        <v>422</v>
      </c>
      <c r="AN1008">
        <v>-116.931996</v>
      </c>
      <c r="AO1008">
        <v>25</v>
      </c>
      <c r="AP1008">
        <v>2000</v>
      </c>
      <c r="AQ1008" t="s">
        <v>129</v>
      </c>
      <c r="AR1008">
        <v>129</v>
      </c>
      <c r="AS1008">
        <v>-13</v>
      </c>
      <c r="AT1008">
        <v>-64</v>
      </c>
      <c r="BB1008">
        <v>1200</v>
      </c>
      <c r="BC1008">
        <v>1</v>
      </c>
      <c r="BD1008" t="str">
        <f t="shared" si="334"/>
        <v xml:space="preserve">N887QR  </v>
      </c>
      <c r="BE1008">
        <v>1</v>
      </c>
      <c r="BG1008">
        <v>0</v>
      </c>
      <c r="BH1008">
        <v>0</v>
      </c>
      <c r="BI1008">
        <v>0</v>
      </c>
      <c r="BJ1008">
        <v>1725</v>
      </c>
      <c r="BK1008">
        <v>-275</v>
      </c>
      <c r="BL1008" t="s">
        <v>163</v>
      </c>
      <c r="BM1008">
        <v>1</v>
      </c>
      <c r="BN1008">
        <v>1</v>
      </c>
      <c r="BO1008">
        <v>1</v>
      </c>
      <c r="BP1008">
        <v>0</v>
      </c>
      <c r="BS1008">
        <v>0</v>
      </c>
      <c r="BT1008">
        <v>0</v>
      </c>
      <c r="BU1008">
        <v>0</v>
      </c>
      <c r="CE1008" t="str">
        <f t="shared" si="347"/>
        <v>19:28:16.496</v>
      </c>
      <c r="CF1008">
        <v>1495960990</v>
      </c>
      <c r="CS1008">
        <v>3</v>
      </c>
      <c r="CT1008">
        <v>2</v>
      </c>
      <c r="CU1008">
        <v>0</v>
      </c>
      <c r="CV1008">
        <v>2</v>
      </c>
      <c r="CW1008">
        <v>0</v>
      </c>
      <c r="CX1008">
        <v>5</v>
      </c>
      <c r="CY1008">
        <v>7</v>
      </c>
      <c r="CZ1008" t="s">
        <v>131</v>
      </c>
      <c r="DA1008">
        <v>300</v>
      </c>
      <c r="DB1008">
        <v>0</v>
      </c>
      <c r="DC1008" t="s">
        <v>176</v>
      </c>
      <c r="DD1008" t="s">
        <v>177</v>
      </c>
      <c r="DG1008">
        <v>5376256</v>
      </c>
      <c r="DI1008">
        <v>1</v>
      </c>
      <c r="DJ1008">
        <v>0</v>
      </c>
      <c r="DK1008">
        <v>1</v>
      </c>
      <c r="DL1008">
        <v>0</v>
      </c>
      <c r="DM1008">
        <v>0</v>
      </c>
      <c r="DN1008">
        <v>1</v>
      </c>
      <c r="DO1008">
        <v>0</v>
      </c>
      <c r="DP1008">
        <v>0</v>
      </c>
      <c r="DQ1008">
        <v>0</v>
      </c>
      <c r="DR1008">
        <v>0</v>
      </c>
      <c r="DS1008">
        <v>0</v>
      </c>
    </row>
    <row r="1009" spans="1:123" x14ac:dyDescent="0.3">
      <c r="A1009" t="str">
        <f>"10/04/2022 19:28:16.727"</f>
        <v>10/04/2022 19:28:16.727</v>
      </c>
      <c r="C1009" t="str">
        <f t="shared" si="339"/>
        <v>FFDFD3C0</v>
      </c>
      <c r="D1009" t="s">
        <v>143</v>
      </c>
      <c r="E1009">
        <v>20</v>
      </c>
      <c r="F1009">
        <v>1020</v>
      </c>
      <c r="G1009" t="s">
        <v>144</v>
      </c>
      <c r="J1009" t="s">
        <v>145</v>
      </c>
      <c r="K1009">
        <v>0</v>
      </c>
      <c r="L1009">
        <v>3</v>
      </c>
      <c r="M1009">
        <v>0</v>
      </c>
      <c r="N1009">
        <v>2</v>
      </c>
      <c r="O1009">
        <v>0</v>
      </c>
      <c r="P1009">
        <v>1</v>
      </c>
      <c r="Q1009">
        <v>0</v>
      </c>
      <c r="S1009" t="str">
        <f t="shared" si="346"/>
        <v>19:28:15.492</v>
      </c>
      <c r="T1009" t="str">
        <f t="shared" si="346"/>
        <v>19:28:15.492</v>
      </c>
      <c r="U1009" t="str">
        <f t="shared" si="333"/>
        <v>AC3944</v>
      </c>
      <c r="V1009">
        <v>0</v>
      </c>
      <c r="W1009">
        <v>0</v>
      </c>
      <c r="X1009">
        <v>2</v>
      </c>
      <c r="Y1009">
        <v>0</v>
      </c>
      <c r="AA1009">
        <v>0</v>
      </c>
      <c r="AB1009">
        <v>8</v>
      </c>
      <c r="AC1009">
        <v>3</v>
      </c>
      <c r="AD1009">
        <v>0</v>
      </c>
      <c r="AE1009">
        <v>9</v>
      </c>
      <c r="AF1009" t="s">
        <v>138</v>
      </c>
      <c r="AG1009">
        <v>0</v>
      </c>
      <c r="AH1009">
        <v>3</v>
      </c>
      <c r="AI1009">
        <v>1</v>
      </c>
      <c r="AJ1009">
        <v>0</v>
      </c>
      <c r="AK1009" t="s">
        <v>421</v>
      </c>
      <c r="AL1009">
        <v>32.807986999999997</v>
      </c>
      <c r="AM1009" t="s">
        <v>422</v>
      </c>
      <c r="AN1009">
        <v>-116.931996</v>
      </c>
      <c r="AO1009">
        <v>25</v>
      </c>
      <c r="AP1009">
        <v>2000</v>
      </c>
      <c r="AQ1009" t="s">
        <v>129</v>
      </c>
      <c r="AR1009">
        <v>129</v>
      </c>
      <c r="AS1009">
        <v>-13</v>
      </c>
      <c r="AT1009">
        <v>-64</v>
      </c>
      <c r="BB1009">
        <v>1200</v>
      </c>
      <c r="BC1009">
        <v>1</v>
      </c>
      <c r="BD1009" t="str">
        <f t="shared" si="334"/>
        <v xml:space="preserve">N887QR  </v>
      </c>
      <c r="BE1009">
        <v>1</v>
      </c>
      <c r="BG1009">
        <v>0</v>
      </c>
      <c r="BH1009">
        <v>0</v>
      </c>
      <c r="BI1009">
        <v>0</v>
      </c>
      <c r="BJ1009">
        <v>1725</v>
      </c>
      <c r="BK1009">
        <v>-275</v>
      </c>
      <c r="BL1009" t="s">
        <v>163</v>
      </c>
      <c r="BM1009">
        <v>1</v>
      </c>
      <c r="BN1009">
        <v>1</v>
      </c>
      <c r="BO1009">
        <v>1</v>
      </c>
      <c r="BP1009">
        <v>0</v>
      </c>
      <c r="BS1009">
        <v>0</v>
      </c>
      <c r="BT1009">
        <v>0</v>
      </c>
      <c r="BU1009">
        <v>0</v>
      </c>
      <c r="CE1009" t="str">
        <f t="shared" si="347"/>
        <v>19:28:16.496</v>
      </c>
      <c r="CF1009">
        <v>1495960990</v>
      </c>
      <c r="CS1009">
        <v>3</v>
      </c>
      <c r="CT1009">
        <v>2</v>
      </c>
      <c r="CU1009">
        <v>0</v>
      </c>
      <c r="CV1009">
        <v>2</v>
      </c>
      <c r="CW1009">
        <v>0</v>
      </c>
      <c r="CX1009">
        <v>5</v>
      </c>
      <c r="CY1009">
        <v>7</v>
      </c>
      <c r="CZ1009" t="s">
        <v>131</v>
      </c>
      <c r="DA1009">
        <v>300</v>
      </c>
      <c r="DB1009">
        <v>0</v>
      </c>
      <c r="DC1009" t="s">
        <v>176</v>
      </c>
      <c r="DD1009" t="s">
        <v>177</v>
      </c>
      <c r="DG1009">
        <v>5376256</v>
      </c>
      <c r="DI1009">
        <v>1</v>
      </c>
      <c r="DJ1009">
        <v>0</v>
      </c>
      <c r="DK1009">
        <v>1</v>
      </c>
      <c r="DL1009">
        <v>0</v>
      </c>
      <c r="DM1009">
        <v>0</v>
      </c>
      <c r="DN1009">
        <v>1</v>
      </c>
      <c r="DO1009">
        <v>0</v>
      </c>
      <c r="DP1009">
        <v>0</v>
      </c>
      <c r="DQ1009">
        <v>0</v>
      </c>
      <c r="DR1009">
        <v>0</v>
      </c>
      <c r="DS1009">
        <v>0</v>
      </c>
    </row>
    <row r="1010" spans="1:123" x14ac:dyDescent="0.3">
      <c r="A1010" t="str">
        <f>"10/04/2022 19:28:16.727"</f>
        <v>10/04/2022 19:28:16.727</v>
      </c>
      <c r="C1010" t="str">
        <f t="shared" si="339"/>
        <v>FFDFD3C0</v>
      </c>
      <c r="D1010" t="s">
        <v>136</v>
      </c>
      <c r="E1010">
        <v>8</v>
      </c>
      <c r="H1010">
        <v>225</v>
      </c>
      <c r="I1010" t="s">
        <v>137</v>
      </c>
      <c r="J1010" t="s">
        <v>138</v>
      </c>
      <c r="K1010">
        <v>0</v>
      </c>
      <c r="L1010">
        <v>3</v>
      </c>
      <c r="M1010">
        <v>0</v>
      </c>
      <c r="N1010">
        <v>2</v>
      </c>
      <c r="O1010">
        <v>0</v>
      </c>
      <c r="P1010">
        <v>1</v>
      </c>
      <c r="Q1010">
        <v>0</v>
      </c>
      <c r="S1010" t="str">
        <f t="shared" si="346"/>
        <v>19:28:15.492</v>
      </c>
      <c r="T1010" t="str">
        <f t="shared" si="346"/>
        <v>19:28:15.492</v>
      </c>
      <c r="U1010" t="str">
        <f t="shared" si="333"/>
        <v>AC3944</v>
      </c>
      <c r="V1010">
        <v>0</v>
      </c>
      <c r="W1010">
        <v>0</v>
      </c>
      <c r="X1010">
        <v>2</v>
      </c>
      <c r="Y1010">
        <v>0</v>
      </c>
      <c r="AA1010">
        <v>0</v>
      </c>
      <c r="AB1010">
        <v>8</v>
      </c>
      <c r="AC1010">
        <v>3</v>
      </c>
      <c r="AD1010">
        <v>0</v>
      </c>
      <c r="AE1010">
        <v>9</v>
      </c>
      <c r="AF1010" t="s">
        <v>138</v>
      </c>
      <c r="AG1010">
        <v>0</v>
      </c>
      <c r="AH1010">
        <v>3</v>
      </c>
      <c r="AI1010">
        <v>1</v>
      </c>
      <c r="AJ1010">
        <v>0</v>
      </c>
      <c r="AK1010" t="s">
        <v>421</v>
      </c>
      <c r="AL1010">
        <v>32.807986999999997</v>
      </c>
      <c r="AM1010" t="s">
        <v>422</v>
      </c>
      <c r="AN1010">
        <v>-116.931996</v>
      </c>
      <c r="AO1010">
        <v>25</v>
      </c>
      <c r="AP1010">
        <v>2000</v>
      </c>
      <c r="AQ1010" t="s">
        <v>129</v>
      </c>
      <c r="AR1010">
        <v>129</v>
      </c>
      <c r="AS1010">
        <v>-13</v>
      </c>
      <c r="AT1010">
        <v>-64</v>
      </c>
      <c r="BB1010">
        <v>1200</v>
      </c>
      <c r="BC1010">
        <v>1</v>
      </c>
      <c r="BD1010" t="str">
        <f t="shared" si="334"/>
        <v xml:space="preserve">N887QR  </v>
      </c>
      <c r="BE1010">
        <v>1</v>
      </c>
      <c r="BG1010">
        <v>0</v>
      </c>
      <c r="BH1010">
        <v>0</v>
      </c>
      <c r="BI1010">
        <v>0</v>
      </c>
      <c r="BJ1010">
        <v>1725</v>
      </c>
      <c r="BK1010">
        <v>-275</v>
      </c>
      <c r="BL1010" t="s">
        <v>163</v>
      </c>
      <c r="BM1010">
        <v>1</v>
      </c>
      <c r="BN1010">
        <v>1</v>
      </c>
      <c r="BO1010">
        <v>1</v>
      </c>
      <c r="BP1010">
        <v>0</v>
      </c>
      <c r="BS1010">
        <v>0</v>
      </c>
      <c r="BT1010">
        <v>0</v>
      </c>
      <c r="BU1010">
        <v>0</v>
      </c>
      <c r="CE1010" t="str">
        <f t="shared" si="347"/>
        <v>19:28:16.496</v>
      </c>
      <c r="CF1010">
        <v>1495960990</v>
      </c>
      <c r="CS1010">
        <v>3</v>
      </c>
      <c r="CT1010">
        <v>2</v>
      </c>
      <c r="CU1010">
        <v>0</v>
      </c>
      <c r="CV1010">
        <v>2</v>
      </c>
      <c r="CW1010">
        <v>0</v>
      </c>
      <c r="CX1010">
        <v>5</v>
      </c>
      <c r="CY1010">
        <v>7</v>
      </c>
      <c r="CZ1010" t="s">
        <v>131</v>
      </c>
      <c r="DA1010">
        <v>300</v>
      </c>
      <c r="DB1010">
        <v>0</v>
      </c>
      <c r="DC1010" t="s">
        <v>176</v>
      </c>
      <c r="DD1010" t="s">
        <v>177</v>
      </c>
      <c r="DG1010">
        <v>5376256</v>
      </c>
      <c r="DI1010">
        <v>1</v>
      </c>
      <c r="DJ1010">
        <v>0</v>
      </c>
      <c r="DK1010">
        <v>1</v>
      </c>
      <c r="DL1010">
        <v>0</v>
      </c>
      <c r="DM1010">
        <v>0</v>
      </c>
      <c r="DN1010">
        <v>1</v>
      </c>
      <c r="DO1010">
        <v>0</v>
      </c>
      <c r="DP1010">
        <v>0</v>
      </c>
      <c r="DQ1010">
        <v>0</v>
      </c>
      <c r="DR1010">
        <v>0</v>
      </c>
      <c r="DS1010">
        <v>0</v>
      </c>
    </row>
    <row r="1011" spans="1:123" x14ac:dyDescent="0.3">
      <c r="A1011" t="str">
        <f t="shared" ref="A1011:A1017" si="348">"10/04/2022 19:28:17.055"</f>
        <v>10/04/2022 19:28:17.055</v>
      </c>
      <c r="C1011" t="str">
        <f t="shared" si="339"/>
        <v>FFDFD3C0</v>
      </c>
      <c r="D1011" t="s">
        <v>141</v>
      </c>
      <c r="E1011">
        <v>4</v>
      </c>
      <c r="H1011">
        <v>4</v>
      </c>
      <c r="I1011" t="s">
        <v>142</v>
      </c>
      <c r="J1011" t="s">
        <v>138</v>
      </c>
      <c r="K1011">
        <v>0</v>
      </c>
      <c r="L1011">
        <v>3</v>
      </c>
      <c r="M1011">
        <v>0</v>
      </c>
      <c r="N1011">
        <v>2</v>
      </c>
      <c r="O1011">
        <v>0</v>
      </c>
      <c r="P1011">
        <v>1</v>
      </c>
      <c r="Q1011">
        <v>0</v>
      </c>
      <c r="S1011" t="str">
        <f t="shared" ref="S1011:T1017" si="349">"19:28:15.781"</f>
        <v>19:28:15.781</v>
      </c>
      <c r="T1011" t="str">
        <f t="shared" si="349"/>
        <v>19:28:15.781</v>
      </c>
      <c r="U1011" t="str">
        <f t="shared" si="333"/>
        <v>AC3944</v>
      </c>
      <c r="V1011">
        <v>0</v>
      </c>
      <c r="W1011">
        <v>0</v>
      </c>
      <c r="X1011">
        <v>2</v>
      </c>
      <c r="Y1011">
        <v>0</v>
      </c>
      <c r="AA1011">
        <v>0</v>
      </c>
      <c r="AB1011">
        <v>8</v>
      </c>
      <c r="AC1011">
        <v>3</v>
      </c>
      <c r="AD1011">
        <v>0</v>
      </c>
      <c r="AE1011">
        <v>9</v>
      </c>
      <c r="AF1011" t="s">
        <v>138</v>
      </c>
      <c r="AG1011">
        <v>0</v>
      </c>
      <c r="AH1011">
        <v>3</v>
      </c>
      <c r="AI1011">
        <v>1</v>
      </c>
      <c r="AJ1011">
        <v>0</v>
      </c>
      <c r="AK1011" t="s">
        <v>423</v>
      </c>
      <c r="AL1011">
        <v>32.807921999999998</v>
      </c>
      <c r="AM1011" t="s">
        <v>424</v>
      </c>
      <c r="AN1011">
        <v>-116.931288</v>
      </c>
      <c r="AO1011">
        <v>25</v>
      </c>
      <c r="AP1011">
        <v>2000</v>
      </c>
      <c r="AQ1011" t="s">
        <v>129</v>
      </c>
      <c r="AR1011">
        <v>129</v>
      </c>
      <c r="AS1011">
        <v>-12</v>
      </c>
      <c r="AT1011">
        <v>-64</v>
      </c>
      <c r="BB1011">
        <v>1200</v>
      </c>
      <c r="BC1011">
        <v>1</v>
      </c>
      <c r="BD1011" t="str">
        <f t="shared" si="334"/>
        <v xml:space="preserve">N887QR  </v>
      </c>
      <c r="BE1011">
        <v>1</v>
      </c>
      <c r="BG1011">
        <v>0</v>
      </c>
      <c r="BH1011">
        <v>0</v>
      </c>
      <c r="BI1011">
        <v>0</v>
      </c>
      <c r="BJ1011">
        <v>1725</v>
      </c>
      <c r="BK1011">
        <v>-275</v>
      </c>
      <c r="BL1011" t="s">
        <v>163</v>
      </c>
      <c r="BM1011">
        <v>1</v>
      </c>
      <c r="BN1011">
        <v>1</v>
      </c>
      <c r="BO1011">
        <v>1</v>
      </c>
      <c r="BP1011">
        <v>0</v>
      </c>
      <c r="BS1011">
        <v>0</v>
      </c>
      <c r="BT1011">
        <v>0</v>
      </c>
      <c r="BU1011">
        <v>0</v>
      </c>
      <c r="CE1011" t="str">
        <f t="shared" ref="CE1011:CE1017" si="350">"19:28:16.784"</f>
        <v>19:28:16.784</v>
      </c>
      <c r="CF1011">
        <v>1783970016</v>
      </c>
      <c r="CS1011">
        <v>3</v>
      </c>
      <c r="CT1011">
        <v>2</v>
      </c>
      <c r="CU1011">
        <v>0</v>
      </c>
      <c r="CV1011">
        <v>2</v>
      </c>
      <c r="CW1011">
        <v>0</v>
      </c>
      <c r="CX1011">
        <v>2</v>
      </c>
      <c r="CY1011">
        <v>7</v>
      </c>
      <c r="CZ1011" t="s">
        <v>131</v>
      </c>
      <c r="DA1011">
        <v>286</v>
      </c>
      <c r="DB1011">
        <v>0</v>
      </c>
      <c r="DC1011" t="s">
        <v>132</v>
      </c>
      <c r="DD1011" t="s">
        <v>133</v>
      </c>
      <c r="DG1011">
        <v>808750</v>
      </c>
      <c r="DI1011">
        <v>1</v>
      </c>
      <c r="DJ1011">
        <v>0</v>
      </c>
      <c r="DK1011">
        <v>0</v>
      </c>
      <c r="DL1011">
        <v>0</v>
      </c>
      <c r="DM1011">
        <v>0</v>
      </c>
      <c r="DN1011">
        <v>1</v>
      </c>
      <c r="DO1011">
        <v>0</v>
      </c>
      <c r="DP1011">
        <v>0</v>
      </c>
      <c r="DQ1011">
        <v>0</v>
      </c>
      <c r="DR1011">
        <v>0</v>
      </c>
      <c r="DS1011">
        <v>0</v>
      </c>
    </row>
    <row r="1012" spans="1:123" x14ac:dyDescent="0.3">
      <c r="A1012" t="str">
        <f t="shared" si="348"/>
        <v>10/04/2022 19:28:17.055</v>
      </c>
      <c r="C1012" t="str">
        <f t="shared" si="339"/>
        <v>FFDFD3C0</v>
      </c>
      <c r="D1012" t="s">
        <v>141</v>
      </c>
      <c r="E1012">
        <v>3</v>
      </c>
      <c r="H1012">
        <v>3</v>
      </c>
      <c r="I1012" t="s">
        <v>146</v>
      </c>
      <c r="J1012" t="s">
        <v>138</v>
      </c>
      <c r="K1012">
        <v>0</v>
      </c>
      <c r="L1012">
        <v>3</v>
      </c>
      <c r="M1012">
        <v>0</v>
      </c>
      <c r="N1012">
        <v>2</v>
      </c>
      <c r="O1012">
        <v>0</v>
      </c>
      <c r="P1012">
        <v>1</v>
      </c>
      <c r="Q1012">
        <v>0</v>
      </c>
      <c r="S1012" t="str">
        <f t="shared" si="349"/>
        <v>19:28:15.781</v>
      </c>
      <c r="T1012" t="str">
        <f t="shared" si="349"/>
        <v>19:28:15.781</v>
      </c>
      <c r="U1012" t="str">
        <f t="shared" si="333"/>
        <v>AC3944</v>
      </c>
      <c r="V1012">
        <v>0</v>
      </c>
      <c r="W1012">
        <v>0</v>
      </c>
      <c r="X1012">
        <v>2</v>
      </c>
      <c r="Y1012">
        <v>0</v>
      </c>
      <c r="AA1012">
        <v>0</v>
      </c>
      <c r="AB1012">
        <v>8</v>
      </c>
      <c r="AC1012">
        <v>3</v>
      </c>
      <c r="AD1012">
        <v>0</v>
      </c>
      <c r="AE1012">
        <v>9</v>
      </c>
      <c r="AF1012" t="s">
        <v>138</v>
      </c>
      <c r="AG1012">
        <v>0</v>
      </c>
      <c r="AH1012">
        <v>3</v>
      </c>
      <c r="AI1012">
        <v>1</v>
      </c>
      <c r="AJ1012">
        <v>0</v>
      </c>
      <c r="AK1012" t="s">
        <v>423</v>
      </c>
      <c r="AL1012">
        <v>32.807921999999998</v>
      </c>
      <c r="AM1012" t="s">
        <v>424</v>
      </c>
      <c r="AN1012">
        <v>-116.931288</v>
      </c>
      <c r="AO1012">
        <v>25</v>
      </c>
      <c r="AP1012">
        <v>2000</v>
      </c>
      <c r="AQ1012" t="s">
        <v>129</v>
      </c>
      <c r="AR1012">
        <v>129</v>
      </c>
      <c r="AS1012">
        <v>-12</v>
      </c>
      <c r="AT1012">
        <v>-64</v>
      </c>
      <c r="BB1012">
        <v>1200</v>
      </c>
      <c r="BC1012">
        <v>1</v>
      </c>
      <c r="BD1012" t="str">
        <f t="shared" si="334"/>
        <v xml:space="preserve">N887QR  </v>
      </c>
      <c r="BE1012">
        <v>1</v>
      </c>
      <c r="BG1012">
        <v>0</v>
      </c>
      <c r="BH1012">
        <v>0</v>
      </c>
      <c r="BI1012">
        <v>0</v>
      </c>
      <c r="BJ1012">
        <v>1725</v>
      </c>
      <c r="BK1012">
        <v>-275</v>
      </c>
      <c r="BL1012" t="s">
        <v>163</v>
      </c>
      <c r="BM1012">
        <v>1</v>
      </c>
      <c r="BN1012">
        <v>1</v>
      </c>
      <c r="BO1012">
        <v>1</v>
      </c>
      <c r="BP1012">
        <v>0</v>
      </c>
      <c r="BS1012">
        <v>0</v>
      </c>
      <c r="BT1012">
        <v>0</v>
      </c>
      <c r="BU1012">
        <v>0</v>
      </c>
      <c r="CE1012" t="str">
        <f t="shared" si="350"/>
        <v>19:28:16.784</v>
      </c>
      <c r="CF1012">
        <v>1783970016</v>
      </c>
      <c r="CS1012">
        <v>3</v>
      </c>
      <c r="CT1012">
        <v>2</v>
      </c>
      <c r="CU1012">
        <v>0</v>
      </c>
      <c r="CV1012">
        <v>2</v>
      </c>
      <c r="CW1012">
        <v>0</v>
      </c>
      <c r="CX1012">
        <v>2</v>
      </c>
      <c r="CY1012">
        <v>7</v>
      </c>
      <c r="CZ1012" t="s">
        <v>131</v>
      </c>
      <c r="DA1012">
        <v>286</v>
      </c>
      <c r="DB1012">
        <v>0</v>
      </c>
      <c r="DC1012" t="s">
        <v>132</v>
      </c>
      <c r="DD1012" t="s">
        <v>133</v>
      </c>
      <c r="DG1012">
        <v>808750</v>
      </c>
      <c r="DI1012">
        <v>1</v>
      </c>
      <c r="DJ1012">
        <v>0</v>
      </c>
      <c r="DK1012">
        <v>1</v>
      </c>
      <c r="DL1012">
        <v>0</v>
      </c>
      <c r="DM1012">
        <v>0</v>
      </c>
      <c r="DN1012">
        <v>1</v>
      </c>
      <c r="DO1012">
        <v>0</v>
      </c>
      <c r="DP1012">
        <v>0</v>
      </c>
      <c r="DQ1012">
        <v>0</v>
      </c>
      <c r="DR1012">
        <v>0</v>
      </c>
      <c r="DS1012">
        <v>0</v>
      </c>
    </row>
    <row r="1013" spans="1:123" x14ac:dyDescent="0.3">
      <c r="A1013" t="str">
        <f t="shared" si="348"/>
        <v>10/04/2022 19:28:17.055</v>
      </c>
      <c r="C1013" t="str">
        <f t="shared" si="339"/>
        <v>FFDFD3C0</v>
      </c>
      <c r="D1013" t="s">
        <v>134</v>
      </c>
      <c r="E1013">
        <v>15</v>
      </c>
      <c r="J1013" t="s">
        <v>135</v>
      </c>
      <c r="K1013">
        <v>0</v>
      </c>
      <c r="L1013">
        <v>3</v>
      </c>
      <c r="M1013">
        <v>0</v>
      </c>
      <c r="N1013">
        <v>2</v>
      </c>
      <c r="O1013">
        <v>0</v>
      </c>
      <c r="P1013">
        <v>1</v>
      </c>
      <c r="Q1013">
        <v>0</v>
      </c>
      <c r="S1013" t="str">
        <f t="shared" si="349"/>
        <v>19:28:15.781</v>
      </c>
      <c r="T1013" t="str">
        <f t="shared" si="349"/>
        <v>19:28:15.781</v>
      </c>
      <c r="U1013" t="str">
        <f t="shared" si="333"/>
        <v>AC3944</v>
      </c>
      <c r="V1013">
        <v>0</v>
      </c>
      <c r="W1013">
        <v>0</v>
      </c>
      <c r="X1013">
        <v>2</v>
      </c>
      <c r="Y1013">
        <v>0</v>
      </c>
      <c r="AA1013">
        <v>0</v>
      </c>
      <c r="AB1013">
        <v>8</v>
      </c>
      <c r="AC1013">
        <v>3</v>
      </c>
      <c r="AD1013">
        <v>0</v>
      </c>
      <c r="AE1013">
        <v>9</v>
      </c>
      <c r="AF1013" t="s">
        <v>138</v>
      </c>
      <c r="AG1013">
        <v>0</v>
      </c>
      <c r="AH1013">
        <v>3</v>
      </c>
      <c r="AI1013">
        <v>1</v>
      </c>
      <c r="AJ1013">
        <v>0</v>
      </c>
      <c r="AK1013" t="s">
        <v>423</v>
      </c>
      <c r="AL1013">
        <v>32.807921999999998</v>
      </c>
      <c r="AM1013" t="s">
        <v>424</v>
      </c>
      <c r="AN1013">
        <v>-116.931288</v>
      </c>
      <c r="AO1013">
        <v>25</v>
      </c>
      <c r="AP1013">
        <v>2000</v>
      </c>
      <c r="AQ1013" t="s">
        <v>129</v>
      </c>
      <c r="AR1013">
        <v>129</v>
      </c>
      <c r="AS1013">
        <v>-12</v>
      </c>
      <c r="AT1013">
        <v>-64</v>
      </c>
      <c r="BB1013">
        <v>1200</v>
      </c>
      <c r="BC1013">
        <v>1</v>
      </c>
      <c r="BD1013" t="str">
        <f t="shared" si="334"/>
        <v xml:space="preserve">N887QR  </v>
      </c>
      <c r="BE1013">
        <v>1</v>
      </c>
      <c r="BG1013">
        <v>0</v>
      </c>
      <c r="BH1013">
        <v>0</v>
      </c>
      <c r="BI1013">
        <v>0</v>
      </c>
      <c r="BJ1013">
        <v>1725</v>
      </c>
      <c r="BK1013">
        <v>-275</v>
      </c>
      <c r="BL1013" t="s">
        <v>163</v>
      </c>
      <c r="BM1013">
        <v>1</v>
      </c>
      <c r="BN1013">
        <v>1</v>
      </c>
      <c r="BO1013">
        <v>1</v>
      </c>
      <c r="BP1013">
        <v>0</v>
      </c>
      <c r="BS1013">
        <v>0</v>
      </c>
      <c r="BT1013">
        <v>0</v>
      </c>
      <c r="BU1013">
        <v>0</v>
      </c>
      <c r="CE1013" t="str">
        <f t="shared" si="350"/>
        <v>19:28:16.784</v>
      </c>
      <c r="CF1013">
        <v>1783970016</v>
      </c>
      <c r="CS1013">
        <v>3</v>
      </c>
      <c r="CT1013">
        <v>2</v>
      </c>
      <c r="CU1013">
        <v>0</v>
      </c>
      <c r="CV1013">
        <v>2</v>
      </c>
      <c r="CW1013">
        <v>0</v>
      </c>
      <c r="CX1013">
        <v>2</v>
      </c>
      <c r="CY1013">
        <v>7</v>
      </c>
      <c r="CZ1013" t="s">
        <v>131</v>
      </c>
      <c r="DA1013">
        <v>286</v>
      </c>
      <c r="DB1013">
        <v>0</v>
      </c>
      <c r="DC1013" t="s">
        <v>132</v>
      </c>
      <c r="DD1013" t="s">
        <v>133</v>
      </c>
      <c r="DG1013">
        <v>808750</v>
      </c>
      <c r="DI1013">
        <v>1</v>
      </c>
      <c r="DJ1013">
        <v>0</v>
      </c>
      <c r="DK1013">
        <v>1</v>
      </c>
      <c r="DL1013">
        <v>0</v>
      </c>
      <c r="DM1013">
        <v>0</v>
      </c>
      <c r="DN1013">
        <v>1</v>
      </c>
      <c r="DO1013">
        <v>0</v>
      </c>
      <c r="DP1013">
        <v>0</v>
      </c>
      <c r="DQ1013">
        <v>0</v>
      </c>
      <c r="DR1013">
        <v>0</v>
      </c>
      <c r="DS1013">
        <v>0</v>
      </c>
    </row>
    <row r="1014" spans="1:123" x14ac:dyDescent="0.3">
      <c r="A1014" t="str">
        <f t="shared" si="348"/>
        <v>10/04/2022 19:28:17.055</v>
      </c>
      <c r="C1014" t="str">
        <f t="shared" si="339"/>
        <v>FFDFD3C0</v>
      </c>
      <c r="D1014" t="s">
        <v>147</v>
      </c>
      <c r="E1014">
        <v>3</v>
      </c>
      <c r="H1014">
        <v>166</v>
      </c>
      <c r="I1014" t="s">
        <v>144</v>
      </c>
      <c r="J1014" t="s">
        <v>148</v>
      </c>
      <c r="K1014">
        <v>0</v>
      </c>
      <c r="L1014">
        <v>3</v>
      </c>
      <c r="M1014">
        <v>0</v>
      </c>
      <c r="N1014">
        <v>2</v>
      </c>
      <c r="O1014">
        <v>0</v>
      </c>
      <c r="P1014">
        <v>1</v>
      </c>
      <c r="Q1014">
        <v>0</v>
      </c>
      <c r="S1014" t="str">
        <f t="shared" si="349"/>
        <v>19:28:15.781</v>
      </c>
      <c r="T1014" t="str">
        <f t="shared" si="349"/>
        <v>19:28:15.781</v>
      </c>
      <c r="U1014" t="str">
        <f t="shared" si="333"/>
        <v>AC3944</v>
      </c>
      <c r="V1014">
        <v>0</v>
      </c>
      <c r="W1014">
        <v>0</v>
      </c>
      <c r="X1014">
        <v>2</v>
      </c>
      <c r="Y1014">
        <v>0</v>
      </c>
      <c r="AA1014">
        <v>0</v>
      </c>
      <c r="AB1014">
        <v>8</v>
      </c>
      <c r="AC1014">
        <v>3</v>
      </c>
      <c r="AD1014">
        <v>0</v>
      </c>
      <c r="AE1014">
        <v>9</v>
      </c>
      <c r="AF1014" t="s">
        <v>138</v>
      </c>
      <c r="AG1014">
        <v>0</v>
      </c>
      <c r="AH1014">
        <v>3</v>
      </c>
      <c r="AI1014">
        <v>1</v>
      </c>
      <c r="AJ1014">
        <v>0</v>
      </c>
      <c r="AK1014" t="s">
        <v>423</v>
      </c>
      <c r="AL1014">
        <v>32.807921999999998</v>
      </c>
      <c r="AM1014" t="s">
        <v>424</v>
      </c>
      <c r="AN1014">
        <v>-116.931288</v>
      </c>
      <c r="AO1014">
        <v>25</v>
      </c>
      <c r="AP1014">
        <v>2000</v>
      </c>
      <c r="AQ1014" t="s">
        <v>129</v>
      </c>
      <c r="AR1014">
        <v>129</v>
      </c>
      <c r="AS1014">
        <v>-12</v>
      </c>
      <c r="AT1014">
        <v>-64</v>
      </c>
      <c r="BB1014">
        <v>1200</v>
      </c>
      <c r="BC1014">
        <v>1</v>
      </c>
      <c r="BD1014" t="str">
        <f t="shared" si="334"/>
        <v xml:space="preserve">N887QR  </v>
      </c>
      <c r="BE1014">
        <v>1</v>
      </c>
      <c r="BG1014">
        <v>0</v>
      </c>
      <c r="BH1014">
        <v>0</v>
      </c>
      <c r="BI1014">
        <v>0</v>
      </c>
      <c r="BJ1014">
        <v>1725</v>
      </c>
      <c r="BK1014">
        <v>-275</v>
      </c>
      <c r="BL1014" t="s">
        <v>163</v>
      </c>
      <c r="BM1014">
        <v>1</v>
      </c>
      <c r="BN1014">
        <v>1</v>
      </c>
      <c r="BO1014">
        <v>1</v>
      </c>
      <c r="BP1014">
        <v>0</v>
      </c>
      <c r="BS1014">
        <v>0</v>
      </c>
      <c r="BT1014">
        <v>0</v>
      </c>
      <c r="BU1014">
        <v>0</v>
      </c>
      <c r="CE1014" t="str">
        <f t="shared" si="350"/>
        <v>19:28:16.784</v>
      </c>
      <c r="CF1014">
        <v>1783970016</v>
      </c>
      <c r="CS1014">
        <v>3</v>
      </c>
      <c r="CT1014">
        <v>2</v>
      </c>
      <c r="CU1014">
        <v>0</v>
      </c>
      <c r="CV1014">
        <v>2</v>
      </c>
      <c r="CW1014">
        <v>0</v>
      </c>
      <c r="CX1014">
        <v>2</v>
      </c>
      <c r="CY1014">
        <v>7</v>
      </c>
      <c r="CZ1014" t="s">
        <v>131</v>
      </c>
      <c r="DA1014">
        <v>286</v>
      </c>
      <c r="DB1014">
        <v>0</v>
      </c>
      <c r="DC1014" t="s">
        <v>132</v>
      </c>
      <c r="DD1014" t="s">
        <v>133</v>
      </c>
      <c r="DG1014">
        <v>808750</v>
      </c>
      <c r="DI1014">
        <v>1</v>
      </c>
      <c r="DJ1014">
        <v>0</v>
      </c>
      <c r="DK1014">
        <v>1</v>
      </c>
      <c r="DL1014">
        <v>0</v>
      </c>
      <c r="DM1014">
        <v>0</v>
      </c>
      <c r="DN1014">
        <v>1</v>
      </c>
      <c r="DO1014">
        <v>0</v>
      </c>
      <c r="DP1014">
        <v>0</v>
      </c>
      <c r="DQ1014">
        <v>0</v>
      </c>
      <c r="DR1014">
        <v>0</v>
      </c>
      <c r="DS1014">
        <v>0</v>
      </c>
    </row>
    <row r="1015" spans="1:123" x14ac:dyDescent="0.3">
      <c r="A1015" t="str">
        <f t="shared" si="348"/>
        <v>10/04/2022 19:28:17.055</v>
      </c>
      <c r="C1015" t="str">
        <f t="shared" ref="C1015:C1046" si="351">"FFDFD3C0"</f>
        <v>FFDFD3C0</v>
      </c>
      <c r="D1015" t="s">
        <v>143</v>
      </c>
      <c r="E1015">
        <v>20</v>
      </c>
      <c r="F1015">
        <v>1020</v>
      </c>
      <c r="G1015" t="s">
        <v>144</v>
      </c>
      <c r="J1015" t="s">
        <v>145</v>
      </c>
      <c r="K1015">
        <v>0</v>
      </c>
      <c r="L1015">
        <v>3</v>
      </c>
      <c r="M1015">
        <v>0</v>
      </c>
      <c r="N1015">
        <v>2</v>
      </c>
      <c r="O1015">
        <v>0</v>
      </c>
      <c r="P1015">
        <v>1</v>
      </c>
      <c r="Q1015">
        <v>0</v>
      </c>
      <c r="S1015" t="str">
        <f t="shared" si="349"/>
        <v>19:28:15.781</v>
      </c>
      <c r="T1015" t="str">
        <f t="shared" si="349"/>
        <v>19:28:15.781</v>
      </c>
      <c r="U1015" t="str">
        <f t="shared" si="333"/>
        <v>AC3944</v>
      </c>
      <c r="V1015">
        <v>0</v>
      </c>
      <c r="W1015">
        <v>0</v>
      </c>
      <c r="X1015">
        <v>2</v>
      </c>
      <c r="Y1015">
        <v>0</v>
      </c>
      <c r="AA1015">
        <v>0</v>
      </c>
      <c r="AB1015">
        <v>8</v>
      </c>
      <c r="AC1015">
        <v>3</v>
      </c>
      <c r="AD1015">
        <v>0</v>
      </c>
      <c r="AE1015">
        <v>9</v>
      </c>
      <c r="AF1015" t="s">
        <v>138</v>
      </c>
      <c r="AG1015">
        <v>0</v>
      </c>
      <c r="AH1015">
        <v>3</v>
      </c>
      <c r="AI1015">
        <v>1</v>
      </c>
      <c r="AJ1015">
        <v>0</v>
      </c>
      <c r="AK1015" t="s">
        <v>423</v>
      </c>
      <c r="AL1015">
        <v>32.807921999999998</v>
      </c>
      <c r="AM1015" t="s">
        <v>424</v>
      </c>
      <c r="AN1015">
        <v>-116.931288</v>
      </c>
      <c r="AO1015">
        <v>25</v>
      </c>
      <c r="AP1015">
        <v>2000</v>
      </c>
      <c r="AQ1015" t="s">
        <v>129</v>
      </c>
      <c r="AR1015">
        <v>129</v>
      </c>
      <c r="AS1015">
        <v>-12</v>
      </c>
      <c r="AT1015">
        <v>-64</v>
      </c>
      <c r="BB1015">
        <v>1200</v>
      </c>
      <c r="BC1015">
        <v>1</v>
      </c>
      <c r="BD1015" t="str">
        <f t="shared" si="334"/>
        <v xml:space="preserve">N887QR  </v>
      </c>
      <c r="BE1015">
        <v>1</v>
      </c>
      <c r="BG1015">
        <v>0</v>
      </c>
      <c r="BH1015">
        <v>0</v>
      </c>
      <c r="BI1015">
        <v>0</v>
      </c>
      <c r="BJ1015">
        <v>1725</v>
      </c>
      <c r="BK1015">
        <v>-275</v>
      </c>
      <c r="BL1015" t="s">
        <v>163</v>
      </c>
      <c r="BM1015">
        <v>1</v>
      </c>
      <c r="BN1015">
        <v>1</v>
      </c>
      <c r="BO1015">
        <v>1</v>
      </c>
      <c r="BP1015">
        <v>0</v>
      </c>
      <c r="BS1015">
        <v>0</v>
      </c>
      <c r="BT1015">
        <v>0</v>
      </c>
      <c r="BU1015">
        <v>0</v>
      </c>
      <c r="CE1015" t="str">
        <f t="shared" si="350"/>
        <v>19:28:16.784</v>
      </c>
      <c r="CF1015">
        <v>1783970016</v>
      </c>
      <c r="CS1015">
        <v>3</v>
      </c>
      <c r="CT1015">
        <v>2</v>
      </c>
      <c r="CU1015">
        <v>0</v>
      </c>
      <c r="CV1015">
        <v>2</v>
      </c>
      <c r="CW1015">
        <v>0</v>
      </c>
      <c r="CX1015">
        <v>2</v>
      </c>
      <c r="CY1015">
        <v>7</v>
      </c>
      <c r="CZ1015" t="s">
        <v>131</v>
      </c>
      <c r="DA1015">
        <v>286</v>
      </c>
      <c r="DB1015">
        <v>0</v>
      </c>
      <c r="DC1015" t="s">
        <v>132</v>
      </c>
      <c r="DD1015" t="s">
        <v>133</v>
      </c>
      <c r="DG1015">
        <v>808750</v>
      </c>
      <c r="DI1015">
        <v>1</v>
      </c>
      <c r="DJ1015">
        <v>0</v>
      </c>
      <c r="DK1015">
        <v>1</v>
      </c>
      <c r="DL1015">
        <v>0</v>
      </c>
      <c r="DM1015">
        <v>0</v>
      </c>
      <c r="DN1015">
        <v>1</v>
      </c>
      <c r="DO1015">
        <v>0</v>
      </c>
      <c r="DP1015">
        <v>0</v>
      </c>
      <c r="DQ1015">
        <v>0</v>
      </c>
      <c r="DR1015">
        <v>0</v>
      </c>
      <c r="DS1015">
        <v>0</v>
      </c>
    </row>
    <row r="1016" spans="1:123" x14ac:dyDescent="0.3">
      <c r="A1016" t="str">
        <f t="shared" si="348"/>
        <v>10/04/2022 19:28:17.055</v>
      </c>
      <c r="C1016" t="str">
        <f t="shared" si="351"/>
        <v>FFDFD3C0</v>
      </c>
      <c r="D1016" t="s">
        <v>136</v>
      </c>
      <c r="E1016">
        <v>8</v>
      </c>
      <c r="H1016">
        <v>225</v>
      </c>
      <c r="I1016" t="s">
        <v>137</v>
      </c>
      <c r="J1016" t="s">
        <v>138</v>
      </c>
      <c r="K1016">
        <v>0</v>
      </c>
      <c r="L1016">
        <v>3</v>
      </c>
      <c r="M1016">
        <v>0</v>
      </c>
      <c r="N1016">
        <v>2</v>
      </c>
      <c r="O1016">
        <v>0</v>
      </c>
      <c r="P1016">
        <v>1</v>
      </c>
      <c r="Q1016">
        <v>0</v>
      </c>
      <c r="S1016" t="str">
        <f t="shared" si="349"/>
        <v>19:28:15.781</v>
      </c>
      <c r="T1016" t="str">
        <f t="shared" si="349"/>
        <v>19:28:15.781</v>
      </c>
      <c r="U1016" t="str">
        <f t="shared" si="333"/>
        <v>AC3944</v>
      </c>
      <c r="V1016">
        <v>0</v>
      </c>
      <c r="W1016">
        <v>0</v>
      </c>
      <c r="X1016">
        <v>2</v>
      </c>
      <c r="Y1016">
        <v>0</v>
      </c>
      <c r="AA1016">
        <v>0</v>
      </c>
      <c r="AB1016">
        <v>8</v>
      </c>
      <c r="AC1016">
        <v>3</v>
      </c>
      <c r="AD1016">
        <v>0</v>
      </c>
      <c r="AE1016">
        <v>9</v>
      </c>
      <c r="AF1016" t="s">
        <v>138</v>
      </c>
      <c r="AG1016">
        <v>0</v>
      </c>
      <c r="AH1016">
        <v>3</v>
      </c>
      <c r="AI1016">
        <v>1</v>
      </c>
      <c r="AJ1016">
        <v>0</v>
      </c>
      <c r="AK1016" t="s">
        <v>423</v>
      </c>
      <c r="AL1016">
        <v>32.807921999999998</v>
      </c>
      <c r="AM1016" t="s">
        <v>424</v>
      </c>
      <c r="AN1016">
        <v>-116.931288</v>
      </c>
      <c r="AO1016">
        <v>25</v>
      </c>
      <c r="AP1016">
        <v>2000</v>
      </c>
      <c r="AQ1016" t="s">
        <v>129</v>
      </c>
      <c r="AR1016">
        <v>129</v>
      </c>
      <c r="AS1016">
        <v>-12</v>
      </c>
      <c r="AT1016">
        <v>-64</v>
      </c>
      <c r="BB1016">
        <v>1200</v>
      </c>
      <c r="BC1016">
        <v>1</v>
      </c>
      <c r="BD1016" t="str">
        <f t="shared" si="334"/>
        <v xml:space="preserve">N887QR  </v>
      </c>
      <c r="BE1016">
        <v>1</v>
      </c>
      <c r="BG1016">
        <v>0</v>
      </c>
      <c r="BH1016">
        <v>0</v>
      </c>
      <c r="BI1016">
        <v>0</v>
      </c>
      <c r="BJ1016">
        <v>1725</v>
      </c>
      <c r="BK1016">
        <v>-275</v>
      </c>
      <c r="BL1016" t="s">
        <v>163</v>
      </c>
      <c r="BM1016">
        <v>1</v>
      </c>
      <c r="BN1016">
        <v>1</v>
      </c>
      <c r="BO1016">
        <v>1</v>
      </c>
      <c r="BP1016">
        <v>0</v>
      </c>
      <c r="BS1016">
        <v>0</v>
      </c>
      <c r="BT1016">
        <v>0</v>
      </c>
      <c r="BU1016">
        <v>0</v>
      </c>
      <c r="CE1016" t="str">
        <f t="shared" si="350"/>
        <v>19:28:16.784</v>
      </c>
      <c r="CF1016">
        <v>1783970016</v>
      </c>
      <c r="CS1016">
        <v>3</v>
      </c>
      <c r="CT1016">
        <v>2</v>
      </c>
      <c r="CU1016">
        <v>0</v>
      </c>
      <c r="CV1016">
        <v>2</v>
      </c>
      <c r="CW1016">
        <v>0</v>
      </c>
      <c r="CX1016">
        <v>2</v>
      </c>
      <c r="CY1016">
        <v>7</v>
      </c>
      <c r="CZ1016" t="s">
        <v>131</v>
      </c>
      <c r="DA1016">
        <v>286</v>
      </c>
      <c r="DB1016">
        <v>0</v>
      </c>
      <c r="DC1016" t="s">
        <v>132</v>
      </c>
      <c r="DD1016" t="s">
        <v>133</v>
      </c>
      <c r="DG1016">
        <v>808750</v>
      </c>
      <c r="DI1016">
        <v>1</v>
      </c>
      <c r="DJ1016">
        <v>0</v>
      </c>
      <c r="DK1016">
        <v>1</v>
      </c>
      <c r="DL1016">
        <v>0</v>
      </c>
      <c r="DM1016">
        <v>0</v>
      </c>
      <c r="DN1016">
        <v>1</v>
      </c>
      <c r="DO1016">
        <v>0</v>
      </c>
      <c r="DP1016">
        <v>0</v>
      </c>
      <c r="DQ1016">
        <v>0</v>
      </c>
      <c r="DR1016">
        <v>0</v>
      </c>
      <c r="DS1016">
        <v>0</v>
      </c>
    </row>
    <row r="1017" spans="1:123" x14ac:dyDescent="0.3">
      <c r="A1017" t="str">
        <f t="shared" si="348"/>
        <v>10/04/2022 19:28:17.055</v>
      </c>
      <c r="C1017" t="str">
        <f t="shared" si="351"/>
        <v>FFDFD3C0</v>
      </c>
      <c r="D1017" t="s">
        <v>123</v>
      </c>
      <c r="E1017">
        <v>7</v>
      </c>
      <c r="F1017">
        <v>2007</v>
      </c>
      <c r="G1017" t="s">
        <v>124</v>
      </c>
      <c r="J1017" t="s">
        <v>125</v>
      </c>
      <c r="K1017">
        <v>0</v>
      </c>
      <c r="L1017">
        <v>3</v>
      </c>
      <c r="M1017">
        <v>0</v>
      </c>
      <c r="N1017">
        <v>2</v>
      </c>
      <c r="O1017">
        <v>0</v>
      </c>
      <c r="P1017">
        <v>1</v>
      </c>
      <c r="Q1017">
        <v>0</v>
      </c>
      <c r="S1017" t="str">
        <f t="shared" si="349"/>
        <v>19:28:15.781</v>
      </c>
      <c r="T1017" t="str">
        <f t="shared" si="349"/>
        <v>19:28:15.781</v>
      </c>
      <c r="U1017" t="str">
        <f t="shared" si="333"/>
        <v>AC3944</v>
      </c>
      <c r="V1017">
        <v>0</v>
      </c>
      <c r="W1017">
        <v>0</v>
      </c>
      <c r="X1017">
        <v>2</v>
      </c>
      <c r="Y1017">
        <v>0</v>
      </c>
      <c r="AA1017">
        <v>0</v>
      </c>
      <c r="AB1017">
        <v>8</v>
      </c>
      <c r="AC1017">
        <v>3</v>
      </c>
      <c r="AD1017">
        <v>0</v>
      </c>
      <c r="AE1017">
        <v>9</v>
      </c>
      <c r="AF1017" t="s">
        <v>138</v>
      </c>
      <c r="AG1017">
        <v>0</v>
      </c>
      <c r="AH1017">
        <v>3</v>
      </c>
      <c r="AI1017">
        <v>1</v>
      </c>
      <c r="AJ1017">
        <v>0</v>
      </c>
      <c r="AK1017" t="s">
        <v>423</v>
      </c>
      <c r="AL1017">
        <v>32.807921999999998</v>
      </c>
      <c r="AM1017" t="s">
        <v>424</v>
      </c>
      <c r="AN1017">
        <v>-116.931288</v>
      </c>
      <c r="AO1017">
        <v>25</v>
      </c>
      <c r="AP1017">
        <v>2000</v>
      </c>
      <c r="AQ1017" t="s">
        <v>129</v>
      </c>
      <c r="AR1017">
        <v>129</v>
      </c>
      <c r="AS1017">
        <v>-12</v>
      </c>
      <c r="AT1017">
        <v>-64</v>
      </c>
      <c r="BB1017">
        <v>1200</v>
      </c>
      <c r="BC1017">
        <v>1</v>
      </c>
      <c r="BD1017" t="str">
        <f t="shared" si="334"/>
        <v xml:space="preserve">N887QR  </v>
      </c>
      <c r="BE1017">
        <v>1</v>
      </c>
      <c r="BG1017">
        <v>0</v>
      </c>
      <c r="BH1017">
        <v>0</v>
      </c>
      <c r="BI1017">
        <v>0</v>
      </c>
      <c r="BJ1017">
        <v>1725</v>
      </c>
      <c r="BK1017">
        <v>-275</v>
      </c>
      <c r="BL1017" t="s">
        <v>163</v>
      </c>
      <c r="BM1017">
        <v>1</v>
      </c>
      <c r="BN1017">
        <v>1</v>
      </c>
      <c r="BO1017">
        <v>1</v>
      </c>
      <c r="BP1017">
        <v>0</v>
      </c>
      <c r="BS1017">
        <v>0</v>
      </c>
      <c r="BT1017">
        <v>0</v>
      </c>
      <c r="BU1017">
        <v>0</v>
      </c>
      <c r="CE1017" t="str">
        <f t="shared" si="350"/>
        <v>19:28:16.784</v>
      </c>
      <c r="CF1017">
        <v>1783970016</v>
      </c>
      <c r="CS1017">
        <v>3</v>
      </c>
      <c r="CT1017">
        <v>2</v>
      </c>
      <c r="CU1017">
        <v>0</v>
      </c>
      <c r="CV1017">
        <v>2</v>
      </c>
      <c r="CW1017">
        <v>0</v>
      </c>
      <c r="CX1017">
        <v>2</v>
      </c>
      <c r="CY1017">
        <v>7</v>
      </c>
      <c r="CZ1017" t="s">
        <v>131</v>
      </c>
      <c r="DA1017">
        <v>286</v>
      </c>
      <c r="DB1017">
        <v>0</v>
      </c>
      <c r="DC1017" t="s">
        <v>132</v>
      </c>
      <c r="DD1017" t="s">
        <v>133</v>
      </c>
      <c r="DG1017">
        <v>808750</v>
      </c>
      <c r="DI1017">
        <v>1</v>
      </c>
      <c r="DJ1017">
        <v>0</v>
      </c>
      <c r="DK1017">
        <v>1</v>
      </c>
      <c r="DL1017">
        <v>0</v>
      </c>
      <c r="DM1017">
        <v>0</v>
      </c>
      <c r="DN1017">
        <v>1</v>
      </c>
      <c r="DO1017">
        <v>0</v>
      </c>
      <c r="DP1017">
        <v>0</v>
      </c>
      <c r="DQ1017">
        <v>0</v>
      </c>
      <c r="DR1017">
        <v>0</v>
      </c>
      <c r="DS1017">
        <v>0</v>
      </c>
    </row>
    <row r="1018" spans="1:123" x14ac:dyDescent="0.3">
      <c r="A1018" t="str">
        <f>"10/04/2022 19:28:18.368"</f>
        <v>10/04/2022 19:28:18.368</v>
      </c>
      <c r="C1018" t="str">
        <f t="shared" si="351"/>
        <v>FFDFD3C0</v>
      </c>
      <c r="D1018" t="s">
        <v>141</v>
      </c>
      <c r="E1018">
        <v>4</v>
      </c>
      <c r="H1018">
        <v>4</v>
      </c>
      <c r="I1018" t="s">
        <v>142</v>
      </c>
      <c r="J1018" t="s">
        <v>138</v>
      </c>
      <c r="K1018">
        <v>0</v>
      </c>
      <c r="L1018">
        <v>3</v>
      </c>
      <c r="M1018">
        <v>0</v>
      </c>
      <c r="N1018">
        <v>2</v>
      </c>
      <c r="O1018">
        <v>0</v>
      </c>
      <c r="P1018">
        <v>1</v>
      </c>
      <c r="Q1018">
        <v>0</v>
      </c>
      <c r="S1018" t="str">
        <f t="shared" ref="S1018:T1024" si="352">"19:28:18.000"</f>
        <v>19:28:18.000</v>
      </c>
      <c r="T1018" t="str">
        <f t="shared" si="352"/>
        <v>19:28:18.000</v>
      </c>
      <c r="U1018" t="str">
        <f t="shared" si="333"/>
        <v>AC3944</v>
      </c>
      <c r="V1018">
        <v>0</v>
      </c>
      <c r="W1018">
        <v>0</v>
      </c>
      <c r="X1018">
        <v>2</v>
      </c>
      <c r="Y1018">
        <v>0</v>
      </c>
      <c r="AA1018">
        <v>1</v>
      </c>
      <c r="AB1018">
        <v>8</v>
      </c>
      <c r="AC1018">
        <v>3</v>
      </c>
      <c r="AD1018">
        <v>0</v>
      </c>
      <c r="AE1018">
        <v>9</v>
      </c>
      <c r="AF1018" t="s">
        <v>138</v>
      </c>
      <c r="AG1018">
        <v>0</v>
      </c>
      <c r="AH1018">
        <v>3</v>
      </c>
      <c r="AI1018">
        <v>1</v>
      </c>
      <c r="AJ1018">
        <v>0</v>
      </c>
      <c r="AK1018" t="s">
        <v>425</v>
      </c>
      <c r="AL1018">
        <v>32.807879</v>
      </c>
      <c r="AM1018" t="s">
        <v>426</v>
      </c>
      <c r="AN1018">
        <v>-116.93058000000001</v>
      </c>
      <c r="AO1018">
        <v>25</v>
      </c>
      <c r="AP1018">
        <v>2000</v>
      </c>
      <c r="AQ1018" t="s">
        <v>129</v>
      </c>
      <c r="AR1018">
        <v>130</v>
      </c>
      <c r="AS1018">
        <v>-9</v>
      </c>
      <c r="AT1018">
        <v>-192</v>
      </c>
      <c r="BB1018">
        <v>1200</v>
      </c>
      <c r="BC1018">
        <v>1</v>
      </c>
      <c r="BD1018" t="str">
        <f t="shared" si="334"/>
        <v xml:space="preserve">N887QR  </v>
      </c>
      <c r="BE1018">
        <v>1</v>
      </c>
      <c r="BG1018">
        <v>0</v>
      </c>
      <c r="BH1018">
        <v>0</v>
      </c>
      <c r="BI1018">
        <v>0</v>
      </c>
      <c r="BJ1018">
        <v>1700</v>
      </c>
      <c r="BK1018">
        <v>-300</v>
      </c>
      <c r="BL1018" t="s">
        <v>163</v>
      </c>
      <c r="BM1018">
        <v>1</v>
      </c>
      <c r="BN1018">
        <v>1</v>
      </c>
      <c r="BO1018">
        <v>1</v>
      </c>
      <c r="BP1018">
        <v>0</v>
      </c>
      <c r="BS1018">
        <v>0</v>
      </c>
      <c r="BT1018">
        <v>0</v>
      </c>
      <c r="BU1018">
        <v>0</v>
      </c>
      <c r="CE1018" t="str">
        <f t="shared" ref="CE1018:CE1024" si="353">"19:28:18.188"</f>
        <v>19:28:18.188</v>
      </c>
      <c r="CF1018">
        <v>187966393</v>
      </c>
      <c r="CS1018">
        <v>3</v>
      </c>
      <c r="CT1018">
        <v>2</v>
      </c>
      <c r="CU1018">
        <v>0</v>
      </c>
      <c r="CV1018">
        <v>2</v>
      </c>
      <c r="CW1018">
        <v>0</v>
      </c>
      <c r="CX1018">
        <v>5</v>
      </c>
      <c r="CY1018">
        <v>7</v>
      </c>
      <c r="CZ1018" t="s">
        <v>131</v>
      </c>
      <c r="DA1018">
        <v>300</v>
      </c>
      <c r="DB1018">
        <v>0</v>
      </c>
      <c r="DC1018" t="s">
        <v>176</v>
      </c>
      <c r="DD1018" t="s">
        <v>177</v>
      </c>
      <c r="DG1018">
        <v>5376506</v>
      </c>
      <c r="DI1018">
        <v>1</v>
      </c>
      <c r="DJ1018">
        <v>0</v>
      </c>
      <c r="DK1018">
        <v>0</v>
      </c>
      <c r="DL1018">
        <v>0</v>
      </c>
      <c r="DM1018">
        <v>0</v>
      </c>
      <c r="DN1018">
        <v>1</v>
      </c>
      <c r="DO1018">
        <v>0</v>
      </c>
      <c r="DP1018">
        <v>0</v>
      </c>
      <c r="DQ1018">
        <v>0</v>
      </c>
      <c r="DR1018">
        <v>0</v>
      </c>
      <c r="DS1018">
        <v>0</v>
      </c>
    </row>
    <row r="1019" spans="1:123" x14ac:dyDescent="0.3">
      <c r="A1019" t="str">
        <f>"10/04/2022 19:28:18.368"</f>
        <v>10/04/2022 19:28:18.368</v>
      </c>
      <c r="C1019" t="str">
        <f t="shared" si="351"/>
        <v>FFDFD3C0</v>
      </c>
      <c r="D1019" t="s">
        <v>141</v>
      </c>
      <c r="E1019">
        <v>3</v>
      </c>
      <c r="H1019">
        <v>3</v>
      </c>
      <c r="I1019" t="s">
        <v>146</v>
      </c>
      <c r="J1019" t="s">
        <v>138</v>
      </c>
      <c r="K1019">
        <v>0</v>
      </c>
      <c r="L1019">
        <v>3</v>
      </c>
      <c r="M1019">
        <v>0</v>
      </c>
      <c r="N1019">
        <v>2</v>
      </c>
      <c r="O1019">
        <v>0</v>
      </c>
      <c r="P1019">
        <v>1</v>
      </c>
      <c r="Q1019">
        <v>0</v>
      </c>
      <c r="S1019" t="str">
        <f t="shared" si="352"/>
        <v>19:28:18.000</v>
      </c>
      <c r="T1019" t="str">
        <f t="shared" si="352"/>
        <v>19:28:18.000</v>
      </c>
      <c r="U1019" t="str">
        <f t="shared" si="333"/>
        <v>AC3944</v>
      </c>
      <c r="V1019">
        <v>0</v>
      </c>
      <c r="W1019">
        <v>0</v>
      </c>
      <c r="X1019">
        <v>2</v>
      </c>
      <c r="Y1019">
        <v>0</v>
      </c>
      <c r="AA1019">
        <v>1</v>
      </c>
      <c r="AB1019">
        <v>8</v>
      </c>
      <c r="AC1019">
        <v>3</v>
      </c>
      <c r="AD1019">
        <v>0</v>
      </c>
      <c r="AE1019">
        <v>9</v>
      </c>
      <c r="AF1019" t="s">
        <v>138</v>
      </c>
      <c r="AG1019">
        <v>0</v>
      </c>
      <c r="AH1019">
        <v>3</v>
      </c>
      <c r="AI1019">
        <v>1</v>
      </c>
      <c r="AJ1019">
        <v>0</v>
      </c>
      <c r="AK1019" t="s">
        <v>425</v>
      </c>
      <c r="AL1019">
        <v>32.807879</v>
      </c>
      <c r="AM1019" t="s">
        <v>426</v>
      </c>
      <c r="AN1019">
        <v>-116.93058000000001</v>
      </c>
      <c r="AO1019">
        <v>25</v>
      </c>
      <c r="AP1019">
        <v>2000</v>
      </c>
      <c r="AQ1019" t="s">
        <v>129</v>
      </c>
      <c r="AR1019">
        <v>130</v>
      </c>
      <c r="AS1019">
        <v>-9</v>
      </c>
      <c r="AT1019">
        <v>-192</v>
      </c>
      <c r="BB1019">
        <v>1200</v>
      </c>
      <c r="BC1019">
        <v>1</v>
      </c>
      <c r="BD1019" t="str">
        <f t="shared" si="334"/>
        <v xml:space="preserve">N887QR  </v>
      </c>
      <c r="BE1019">
        <v>1</v>
      </c>
      <c r="BG1019">
        <v>0</v>
      </c>
      <c r="BH1019">
        <v>0</v>
      </c>
      <c r="BI1019">
        <v>0</v>
      </c>
      <c r="BJ1019">
        <v>1700</v>
      </c>
      <c r="BK1019">
        <v>-300</v>
      </c>
      <c r="BL1019" t="s">
        <v>163</v>
      </c>
      <c r="BM1019">
        <v>1</v>
      </c>
      <c r="BN1019">
        <v>1</v>
      </c>
      <c r="BO1019">
        <v>1</v>
      </c>
      <c r="BP1019">
        <v>0</v>
      </c>
      <c r="BS1019">
        <v>0</v>
      </c>
      <c r="BT1019">
        <v>0</v>
      </c>
      <c r="BU1019">
        <v>0</v>
      </c>
      <c r="CE1019" t="str">
        <f t="shared" si="353"/>
        <v>19:28:18.188</v>
      </c>
      <c r="CF1019">
        <v>187966393</v>
      </c>
      <c r="CS1019">
        <v>3</v>
      </c>
      <c r="CT1019">
        <v>2</v>
      </c>
      <c r="CU1019">
        <v>0</v>
      </c>
      <c r="CV1019">
        <v>2</v>
      </c>
      <c r="CW1019">
        <v>0</v>
      </c>
      <c r="CX1019">
        <v>5</v>
      </c>
      <c r="CY1019">
        <v>7</v>
      </c>
      <c r="CZ1019" t="s">
        <v>131</v>
      </c>
      <c r="DA1019">
        <v>300</v>
      </c>
      <c r="DB1019">
        <v>0</v>
      </c>
      <c r="DC1019" t="s">
        <v>176</v>
      </c>
      <c r="DD1019" t="s">
        <v>177</v>
      </c>
      <c r="DG1019">
        <v>5376506</v>
      </c>
      <c r="DI1019">
        <v>1</v>
      </c>
      <c r="DJ1019">
        <v>0</v>
      </c>
      <c r="DK1019">
        <v>1</v>
      </c>
      <c r="DL1019">
        <v>0</v>
      </c>
      <c r="DM1019">
        <v>0</v>
      </c>
      <c r="DN1019">
        <v>1</v>
      </c>
      <c r="DO1019">
        <v>0</v>
      </c>
      <c r="DP1019">
        <v>0</v>
      </c>
      <c r="DQ1019">
        <v>0</v>
      </c>
      <c r="DR1019">
        <v>0</v>
      </c>
      <c r="DS1019">
        <v>0</v>
      </c>
    </row>
    <row r="1020" spans="1:123" x14ac:dyDescent="0.3">
      <c r="A1020" t="str">
        <f>"10/04/2022 19:28:18.368"</f>
        <v>10/04/2022 19:28:18.368</v>
      </c>
      <c r="C1020" t="str">
        <f t="shared" si="351"/>
        <v>FFDFD3C0</v>
      </c>
      <c r="D1020" t="s">
        <v>134</v>
      </c>
      <c r="E1020">
        <v>15</v>
      </c>
      <c r="J1020" t="s">
        <v>135</v>
      </c>
      <c r="K1020">
        <v>0</v>
      </c>
      <c r="L1020">
        <v>3</v>
      </c>
      <c r="M1020">
        <v>0</v>
      </c>
      <c r="N1020">
        <v>2</v>
      </c>
      <c r="O1020">
        <v>0</v>
      </c>
      <c r="P1020">
        <v>1</v>
      </c>
      <c r="Q1020">
        <v>0</v>
      </c>
      <c r="S1020" t="str">
        <f t="shared" si="352"/>
        <v>19:28:18.000</v>
      </c>
      <c r="T1020" t="str">
        <f t="shared" si="352"/>
        <v>19:28:18.000</v>
      </c>
      <c r="U1020" t="str">
        <f t="shared" si="333"/>
        <v>AC3944</v>
      </c>
      <c r="V1020">
        <v>0</v>
      </c>
      <c r="W1020">
        <v>0</v>
      </c>
      <c r="X1020">
        <v>2</v>
      </c>
      <c r="Y1020">
        <v>0</v>
      </c>
      <c r="AA1020">
        <v>1</v>
      </c>
      <c r="AB1020">
        <v>8</v>
      </c>
      <c r="AC1020">
        <v>3</v>
      </c>
      <c r="AD1020">
        <v>0</v>
      </c>
      <c r="AE1020">
        <v>9</v>
      </c>
      <c r="AF1020" t="s">
        <v>138</v>
      </c>
      <c r="AG1020">
        <v>0</v>
      </c>
      <c r="AH1020">
        <v>3</v>
      </c>
      <c r="AI1020">
        <v>1</v>
      </c>
      <c r="AJ1020">
        <v>0</v>
      </c>
      <c r="AK1020" t="s">
        <v>425</v>
      </c>
      <c r="AL1020">
        <v>32.807879</v>
      </c>
      <c r="AM1020" t="s">
        <v>426</v>
      </c>
      <c r="AN1020">
        <v>-116.93058000000001</v>
      </c>
      <c r="AO1020">
        <v>25</v>
      </c>
      <c r="AP1020">
        <v>2000</v>
      </c>
      <c r="AQ1020" t="s">
        <v>129</v>
      </c>
      <c r="AR1020">
        <v>130</v>
      </c>
      <c r="AS1020">
        <v>-9</v>
      </c>
      <c r="AT1020">
        <v>-192</v>
      </c>
      <c r="BB1020">
        <v>1200</v>
      </c>
      <c r="BC1020">
        <v>1</v>
      </c>
      <c r="BD1020" t="str">
        <f t="shared" si="334"/>
        <v xml:space="preserve">N887QR  </v>
      </c>
      <c r="BE1020">
        <v>1</v>
      </c>
      <c r="BG1020">
        <v>0</v>
      </c>
      <c r="BH1020">
        <v>0</v>
      </c>
      <c r="BI1020">
        <v>0</v>
      </c>
      <c r="BJ1020">
        <v>1700</v>
      </c>
      <c r="BK1020">
        <v>-300</v>
      </c>
      <c r="BL1020" t="s">
        <v>163</v>
      </c>
      <c r="BM1020">
        <v>1</v>
      </c>
      <c r="BN1020">
        <v>1</v>
      </c>
      <c r="BO1020">
        <v>1</v>
      </c>
      <c r="BP1020">
        <v>0</v>
      </c>
      <c r="BS1020">
        <v>0</v>
      </c>
      <c r="BT1020">
        <v>0</v>
      </c>
      <c r="BU1020">
        <v>0</v>
      </c>
      <c r="CE1020" t="str">
        <f t="shared" si="353"/>
        <v>19:28:18.188</v>
      </c>
      <c r="CF1020">
        <v>187966393</v>
      </c>
      <c r="CS1020">
        <v>3</v>
      </c>
      <c r="CT1020">
        <v>2</v>
      </c>
      <c r="CU1020">
        <v>0</v>
      </c>
      <c r="CV1020">
        <v>2</v>
      </c>
      <c r="CW1020">
        <v>0</v>
      </c>
      <c r="CX1020">
        <v>5</v>
      </c>
      <c r="CY1020">
        <v>7</v>
      </c>
      <c r="CZ1020" t="s">
        <v>131</v>
      </c>
      <c r="DA1020">
        <v>300</v>
      </c>
      <c r="DB1020">
        <v>0</v>
      </c>
      <c r="DC1020" t="s">
        <v>176</v>
      </c>
      <c r="DD1020" t="s">
        <v>177</v>
      </c>
      <c r="DG1020">
        <v>5376506</v>
      </c>
      <c r="DI1020">
        <v>1</v>
      </c>
      <c r="DJ1020">
        <v>0</v>
      </c>
      <c r="DK1020">
        <v>1</v>
      </c>
      <c r="DL1020">
        <v>0</v>
      </c>
      <c r="DM1020">
        <v>0</v>
      </c>
      <c r="DN1020">
        <v>1</v>
      </c>
      <c r="DO1020">
        <v>0</v>
      </c>
      <c r="DP1020">
        <v>0</v>
      </c>
      <c r="DQ1020">
        <v>0</v>
      </c>
      <c r="DR1020">
        <v>0</v>
      </c>
      <c r="DS1020">
        <v>0</v>
      </c>
    </row>
    <row r="1021" spans="1:123" x14ac:dyDescent="0.3">
      <c r="A1021" t="str">
        <f>"10/04/2022 19:28:18.368"</f>
        <v>10/04/2022 19:28:18.368</v>
      </c>
      <c r="C1021" t="str">
        <f t="shared" si="351"/>
        <v>FFDFD3C0</v>
      </c>
      <c r="D1021" t="s">
        <v>147</v>
      </c>
      <c r="E1021">
        <v>3</v>
      </c>
      <c r="H1021">
        <v>166</v>
      </c>
      <c r="I1021" t="s">
        <v>144</v>
      </c>
      <c r="J1021" t="s">
        <v>148</v>
      </c>
      <c r="K1021">
        <v>0</v>
      </c>
      <c r="L1021">
        <v>3</v>
      </c>
      <c r="M1021">
        <v>0</v>
      </c>
      <c r="N1021">
        <v>2</v>
      </c>
      <c r="O1021">
        <v>0</v>
      </c>
      <c r="P1021">
        <v>1</v>
      </c>
      <c r="Q1021">
        <v>0</v>
      </c>
      <c r="S1021" t="str">
        <f t="shared" si="352"/>
        <v>19:28:18.000</v>
      </c>
      <c r="T1021" t="str">
        <f t="shared" si="352"/>
        <v>19:28:18.000</v>
      </c>
      <c r="U1021" t="str">
        <f t="shared" si="333"/>
        <v>AC3944</v>
      </c>
      <c r="V1021">
        <v>0</v>
      </c>
      <c r="W1021">
        <v>0</v>
      </c>
      <c r="X1021">
        <v>2</v>
      </c>
      <c r="Y1021">
        <v>0</v>
      </c>
      <c r="AA1021">
        <v>1</v>
      </c>
      <c r="AB1021">
        <v>8</v>
      </c>
      <c r="AC1021">
        <v>3</v>
      </c>
      <c r="AD1021">
        <v>0</v>
      </c>
      <c r="AE1021">
        <v>9</v>
      </c>
      <c r="AF1021" t="s">
        <v>138</v>
      </c>
      <c r="AG1021">
        <v>0</v>
      </c>
      <c r="AH1021">
        <v>3</v>
      </c>
      <c r="AI1021">
        <v>1</v>
      </c>
      <c r="AJ1021">
        <v>0</v>
      </c>
      <c r="AK1021" t="s">
        <v>425</v>
      </c>
      <c r="AL1021">
        <v>32.807879</v>
      </c>
      <c r="AM1021" t="s">
        <v>426</v>
      </c>
      <c r="AN1021">
        <v>-116.93058000000001</v>
      </c>
      <c r="AO1021">
        <v>25</v>
      </c>
      <c r="AP1021">
        <v>2000</v>
      </c>
      <c r="AQ1021" t="s">
        <v>129</v>
      </c>
      <c r="AR1021">
        <v>130</v>
      </c>
      <c r="AS1021">
        <v>-9</v>
      </c>
      <c r="AT1021">
        <v>-192</v>
      </c>
      <c r="BB1021">
        <v>1200</v>
      </c>
      <c r="BC1021">
        <v>1</v>
      </c>
      <c r="BD1021" t="str">
        <f t="shared" si="334"/>
        <v xml:space="preserve">N887QR  </v>
      </c>
      <c r="BE1021">
        <v>1</v>
      </c>
      <c r="BG1021">
        <v>0</v>
      </c>
      <c r="BH1021">
        <v>0</v>
      </c>
      <c r="BI1021">
        <v>0</v>
      </c>
      <c r="BJ1021">
        <v>1700</v>
      </c>
      <c r="BK1021">
        <v>-300</v>
      </c>
      <c r="BL1021" t="s">
        <v>163</v>
      </c>
      <c r="BM1021">
        <v>1</v>
      </c>
      <c r="BN1021">
        <v>1</v>
      </c>
      <c r="BO1021">
        <v>1</v>
      </c>
      <c r="BP1021">
        <v>0</v>
      </c>
      <c r="BS1021">
        <v>0</v>
      </c>
      <c r="BT1021">
        <v>0</v>
      </c>
      <c r="BU1021">
        <v>0</v>
      </c>
      <c r="CE1021" t="str">
        <f t="shared" si="353"/>
        <v>19:28:18.188</v>
      </c>
      <c r="CF1021">
        <v>187966393</v>
      </c>
      <c r="CS1021">
        <v>3</v>
      </c>
      <c r="CT1021">
        <v>2</v>
      </c>
      <c r="CU1021">
        <v>0</v>
      </c>
      <c r="CV1021">
        <v>2</v>
      </c>
      <c r="CW1021">
        <v>0</v>
      </c>
      <c r="CX1021">
        <v>5</v>
      </c>
      <c r="CY1021">
        <v>7</v>
      </c>
      <c r="CZ1021" t="s">
        <v>131</v>
      </c>
      <c r="DA1021">
        <v>300</v>
      </c>
      <c r="DB1021">
        <v>0</v>
      </c>
      <c r="DC1021" t="s">
        <v>176</v>
      </c>
      <c r="DD1021" t="s">
        <v>177</v>
      </c>
      <c r="DG1021">
        <v>5376506</v>
      </c>
      <c r="DI1021">
        <v>1</v>
      </c>
      <c r="DJ1021">
        <v>0</v>
      </c>
      <c r="DK1021">
        <v>1</v>
      </c>
      <c r="DL1021">
        <v>0</v>
      </c>
      <c r="DM1021">
        <v>0</v>
      </c>
      <c r="DN1021">
        <v>1</v>
      </c>
      <c r="DO1021">
        <v>0</v>
      </c>
      <c r="DP1021">
        <v>0</v>
      </c>
      <c r="DQ1021">
        <v>0</v>
      </c>
      <c r="DR1021">
        <v>0</v>
      </c>
      <c r="DS1021">
        <v>0</v>
      </c>
    </row>
    <row r="1022" spans="1:123" x14ac:dyDescent="0.3">
      <c r="A1022" t="str">
        <f>"10/04/2022 19:28:18.383"</f>
        <v>10/04/2022 19:28:18.383</v>
      </c>
      <c r="C1022" t="str">
        <f t="shared" si="351"/>
        <v>FFDFD3C0</v>
      </c>
      <c r="D1022" t="s">
        <v>143</v>
      </c>
      <c r="E1022">
        <v>20</v>
      </c>
      <c r="F1022">
        <v>1020</v>
      </c>
      <c r="G1022" t="s">
        <v>144</v>
      </c>
      <c r="J1022" t="s">
        <v>145</v>
      </c>
      <c r="K1022">
        <v>0</v>
      </c>
      <c r="L1022">
        <v>3</v>
      </c>
      <c r="M1022">
        <v>0</v>
      </c>
      <c r="N1022">
        <v>2</v>
      </c>
      <c r="O1022">
        <v>0</v>
      </c>
      <c r="P1022">
        <v>1</v>
      </c>
      <c r="Q1022">
        <v>0</v>
      </c>
      <c r="S1022" t="str">
        <f t="shared" si="352"/>
        <v>19:28:18.000</v>
      </c>
      <c r="T1022" t="str">
        <f t="shared" si="352"/>
        <v>19:28:18.000</v>
      </c>
      <c r="U1022" t="str">
        <f t="shared" si="333"/>
        <v>AC3944</v>
      </c>
      <c r="V1022">
        <v>0</v>
      </c>
      <c r="W1022">
        <v>0</v>
      </c>
      <c r="X1022">
        <v>2</v>
      </c>
      <c r="Y1022">
        <v>0</v>
      </c>
      <c r="AA1022">
        <v>1</v>
      </c>
      <c r="AB1022">
        <v>8</v>
      </c>
      <c r="AC1022">
        <v>3</v>
      </c>
      <c r="AD1022">
        <v>0</v>
      </c>
      <c r="AE1022">
        <v>9</v>
      </c>
      <c r="AF1022" t="s">
        <v>138</v>
      </c>
      <c r="AG1022">
        <v>0</v>
      </c>
      <c r="AH1022">
        <v>3</v>
      </c>
      <c r="AI1022">
        <v>1</v>
      </c>
      <c r="AJ1022">
        <v>0</v>
      </c>
      <c r="AK1022" t="s">
        <v>425</v>
      </c>
      <c r="AL1022">
        <v>32.807879</v>
      </c>
      <c r="AM1022" t="s">
        <v>426</v>
      </c>
      <c r="AN1022">
        <v>-116.93058000000001</v>
      </c>
      <c r="AO1022">
        <v>25</v>
      </c>
      <c r="AP1022">
        <v>2000</v>
      </c>
      <c r="AQ1022" t="s">
        <v>129</v>
      </c>
      <c r="AR1022">
        <v>130</v>
      </c>
      <c r="AS1022">
        <v>-9</v>
      </c>
      <c r="AT1022">
        <v>-192</v>
      </c>
      <c r="BB1022">
        <v>1200</v>
      </c>
      <c r="BC1022">
        <v>1</v>
      </c>
      <c r="BD1022" t="str">
        <f t="shared" si="334"/>
        <v xml:space="preserve">N887QR  </v>
      </c>
      <c r="BE1022">
        <v>1</v>
      </c>
      <c r="BG1022">
        <v>0</v>
      </c>
      <c r="BH1022">
        <v>0</v>
      </c>
      <c r="BI1022">
        <v>0</v>
      </c>
      <c r="BJ1022">
        <v>1700</v>
      </c>
      <c r="BK1022">
        <v>-300</v>
      </c>
      <c r="BL1022" t="s">
        <v>163</v>
      </c>
      <c r="BM1022">
        <v>1</v>
      </c>
      <c r="BN1022">
        <v>1</v>
      </c>
      <c r="BO1022">
        <v>1</v>
      </c>
      <c r="BP1022">
        <v>0</v>
      </c>
      <c r="BS1022">
        <v>0</v>
      </c>
      <c r="BT1022">
        <v>0</v>
      </c>
      <c r="BU1022">
        <v>0</v>
      </c>
      <c r="CE1022" t="str">
        <f t="shared" si="353"/>
        <v>19:28:18.188</v>
      </c>
      <c r="CF1022">
        <v>187966393</v>
      </c>
      <c r="CS1022">
        <v>3</v>
      </c>
      <c r="CT1022">
        <v>2</v>
      </c>
      <c r="CU1022">
        <v>0</v>
      </c>
      <c r="CV1022">
        <v>2</v>
      </c>
      <c r="CW1022">
        <v>0</v>
      </c>
      <c r="CX1022">
        <v>5</v>
      </c>
      <c r="CY1022">
        <v>7</v>
      </c>
      <c r="CZ1022" t="s">
        <v>131</v>
      </c>
      <c r="DA1022">
        <v>300</v>
      </c>
      <c r="DB1022">
        <v>0</v>
      </c>
      <c r="DC1022" t="s">
        <v>176</v>
      </c>
      <c r="DD1022" t="s">
        <v>177</v>
      </c>
      <c r="DG1022">
        <v>5376506</v>
      </c>
      <c r="DI1022">
        <v>1</v>
      </c>
      <c r="DJ1022">
        <v>0</v>
      </c>
      <c r="DK1022">
        <v>1</v>
      </c>
      <c r="DL1022">
        <v>0</v>
      </c>
      <c r="DM1022">
        <v>0</v>
      </c>
      <c r="DN1022">
        <v>1</v>
      </c>
      <c r="DO1022">
        <v>0</v>
      </c>
      <c r="DP1022">
        <v>0</v>
      </c>
      <c r="DQ1022">
        <v>0</v>
      </c>
      <c r="DR1022">
        <v>0</v>
      </c>
      <c r="DS1022">
        <v>0</v>
      </c>
    </row>
    <row r="1023" spans="1:123" x14ac:dyDescent="0.3">
      <c r="A1023" t="str">
        <f>"10/04/2022 19:28:18.383"</f>
        <v>10/04/2022 19:28:18.383</v>
      </c>
      <c r="C1023" t="str">
        <f t="shared" si="351"/>
        <v>FFDFD3C0</v>
      </c>
      <c r="D1023" t="s">
        <v>123</v>
      </c>
      <c r="E1023">
        <v>7</v>
      </c>
      <c r="F1023">
        <v>2007</v>
      </c>
      <c r="G1023" t="s">
        <v>124</v>
      </c>
      <c r="J1023" t="s">
        <v>125</v>
      </c>
      <c r="K1023">
        <v>0</v>
      </c>
      <c r="L1023">
        <v>3</v>
      </c>
      <c r="M1023">
        <v>0</v>
      </c>
      <c r="N1023">
        <v>2</v>
      </c>
      <c r="O1023">
        <v>0</v>
      </c>
      <c r="P1023">
        <v>1</v>
      </c>
      <c r="Q1023">
        <v>0</v>
      </c>
      <c r="S1023" t="str">
        <f t="shared" si="352"/>
        <v>19:28:18.000</v>
      </c>
      <c r="T1023" t="str">
        <f t="shared" si="352"/>
        <v>19:28:18.000</v>
      </c>
      <c r="U1023" t="str">
        <f t="shared" si="333"/>
        <v>AC3944</v>
      </c>
      <c r="V1023">
        <v>0</v>
      </c>
      <c r="W1023">
        <v>0</v>
      </c>
      <c r="X1023">
        <v>2</v>
      </c>
      <c r="Y1023">
        <v>0</v>
      </c>
      <c r="AA1023">
        <v>1</v>
      </c>
      <c r="AB1023">
        <v>8</v>
      </c>
      <c r="AC1023">
        <v>3</v>
      </c>
      <c r="AD1023">
        <v>0</v>
      </c>
      <c r="AE1023">
        <v>9</v>
      </c>
      <c r="AF1023" t="s">
        <v>138</v>
      </c>
      <c r="AG1023">
        <v>0</v>
      </c>
      <c r="AH1023">
        <v>3</v>
      </c>
      <c r="AI1023">
        <v>1</v>
      </c>
      <c r="AJ1023">
        <v>0</v>
      </c>
      <c r="AK1023" t="s">
        <v>425</v>
      </c>
      <c r="AL1023">
        <v>32.807879</v>
      </c>
      <c r="AM1023" t="s">
        <v>426</v>
      </c>
      <c r="AN1023">
        <v>-116.93058000000001</v>
      </c>
      <c r="AO1023">
        <v>25</v>
      </c>
      <c r="AP1023">
        <v>2000</v>
      </c>
      <c r="AQ1023" t="s">
        <v>129</v>
      </c>
      <c r="AR1023">
        <v>130</v>
      </c>
      <c r="AS1023">
        <v>-9</v>
      </c>
      <c r="AT1023">
        <v>-192</v>
      </c>
      <c r="BB1023">
        <v>1200</v>
      </c>
      <c r="BC1023">
        <v>1</v>
      </c>
      <c r="BD1023" t="str">
        <f t="shared" si="334"/>
        <v xml:space="preserve">N887QR  </v>
      </c>
      <c r="BE1023">
        <v>1</v>
      </c>
      <c r="BG1023">
        <v>0</v>
      </c>
      <c r="BH1023">
        <v>0</v>
      </c>
      <c r="BI1023">
        <v>0</v>
      </c>
      <c r="BJ1023">
        <v>1700</v>
      </c>
      <c r="BK1023">
        <v>-300</v>
      </c>
      <c r="BL1023" t="s">
        <v>163</v>
      </c>
      <c r="BM1023">
        <v>1</v>
      </c>
      <c r="BN1023">
        <v>1</v>
      </c>
      <c r="BO1023">
        <v>1</v>
      </c>
      <c r="BP1023">
        <v>0</v>
      </c>
      <c r="BS1023">
        <v>0</v>
      </c>
      <c r="BT1023">
        <v>0</v>
      </c>
      <c r="BU1023">
        <v>0</v>
      </c>
      <c r="CE1023" t="str">
        <f t="shared" si="353"/>
        <v>19:28:18.188</v>
      </c>
      <c r="CF1023">
        <v>187966393</v>
      </c>
      <c r="CS1023">
        <v>3</v>
      </c>
      <c r="CT1023">
        <v>2</v>
      </c>
      <c r="CU1023">
        <v>0</v>
      </c>
      <c r="CV1023">
        <v>2</v>
      </c>
      <c r="CW1023">
        <v>0</v>
      </c>
      <c r="CX1023">
        <v>5</v>
      </c>
      <c r="CY1023">
        <v>7</v>
      </c>
      <c r="CZ1023" t="s">
        <v>131</v>
      </c>
      <c r="DA1023">
        <v>300</v>
      </c>
      <c r="DB1023">
        <v>0</v>
      </c>
      <c r="DC1023" t="s">
        <v>176</v>
      </c>
      <c r="DD1023" t="s">
        <v>177</v>
      </c>
      <c r="DG1023">
        <v>5376506</v>
      </c>
      <c r="DI1023">
        <v>1</v>
      </c>
      <c r="DJ1023">
        <v>0</v>
      </c>
      <c r="DK1023">
        <v>1</v>
      </c>
      <c r="DL1023">
        <v>0</v>
      </c>
      <c r="DM1023">
        <v>0</v>
      </c>
      <c r="DN1023">
        <v>1</v>
      </c>
      <c r="DO1023">
        <v>0</v>
      </c>
      <c r="DP1023">
        <v>0</v>
      </c>
      <c r="DQ1023">
        <v>0</v>
      </c>
      <c r="DR1023">
        <v>0</v>
      </c>
      <c r="DS1023">
        <v>0</v>
      </c>
    </row>
    <row r="1024" spans="1:123" x14ac:dyDescent="0.3">
      <c r="A1024" t="str">
        <f>"10/04/2022 19:28:18.383"</f>
        <v>10/04/2022 19:28:18.383</v>
      </c>
      <c r="C1024" t="str">
        <f t="shared" si="351"/>
        <v>FFDFD3C0</v>
      </c>
      <c r="D1024" t="s">
        <v>136</v>
      </c>
      <c r="E1024">
        <v>8</v>
      </c>
      <c r="H1024">
        <v>225</v>
      </c>
      <c r="I1024" t="s">
        <v>137</v>
      </c>
      <c r="J1024" t="s">
        <v>138</v>
      </c>
      <c r="K1024">
        <v>0</v>
      </c>
      <c r="L1024">
        <v>3</v>
      </c>
      <c r="M1024">
        <v>0</v>
      </c>
      <c r="N1024">
        <v>2</v>
      </c>
      <c r="O1024">
        <v>0</v>
      </c>
      <c r="P1024">
        <v>1</v>
      </c>
      <c r="Q1024">
        <v>0</v>
      </c>
      <c r="S1024" t="str">
        <f t="shared" si="352"/>
        <v>19:28:18.000</v>
      </c>
      <c r="T1024" t="str">
        <f t="shared" si="352"/>
        <v>19:28:18.000</v>
      </c>
      <c r="U1024" t="str">
        <f t="shared" si="333"/>
        <v>AC3944</v>
      </c>
      <c r="V1024">
        <v>0</v>
      </c>
      <c r="W1024">
        <v>0</v>
      </c>
      <c r="X1024">
        <v>2</v>
      </c>
      <c r="Y1024">
        <v>0</v>
      </c>
      <c r="AA1024">
        <v>1</v>
      </c>
      <c r="AB1024">
        <v>8</v>
      </c>
      <c r="AC1024">
        <v>3</v>
      </c>
      <c r="AD1024">
        <v>0</v>
      </c>
      <c r="AE1024">
        <v>9</v>
      </c>
      <c r="AF1024" t="s">
        <v>138</v>
      </c>
      <c r="AG1024">
        <v>0</v>
      </c>
      <c r="AH1024">
        <v>3</v>
      </c>
      <c r="AI1024">
        <v>1</v>
      </c>
      <c r="AJ1024">
        <v>0</v>
      </c>
      <c r="AK1024" t="s">
        <v>425</v>
      </c>
      <c r="AL1024">
        <v>32.807879</v>
      </c>
      <c r="AM1024" t="s">
        <v>426</v>
      </c>
      <c r="AN1024">
        <v>-116.93058000000001</v>
      </c>
      <c r="AO1024">
        <v>25</v>
      </c>
      <c r="AP1024">
        <v>2000</v>
      </c>
      <c r="AQ1024" t="s">
        <v>129</v>
      </c>
      <c r="AR1024">
        <v>130</v>
      </c>
      <c r="AS1024">
        <v>-9</v>
      </c>
      <c r="AT1024">
        <v>-192</v>
      </c>
      <c r="BB1024">
        <v>1200</v>
      </c>
      <c r="BC1024">
        <v>1</v>
      </c>
      <c r="BD1024" t="str">
        <f t="shared" si="334"/>
        <v xml:space="preserve">N887QR  </v>
      </c>
      <c r="BE1024">
        <v>1</v>
      </c>
      <c r="BG1024">
        <v>0</v>
      </c>
      <c r="BH1024">
        <v>0</v>
      </c>
      <c r="BI1024">
        <v>0</v>
      </c>
      <c r="BJ1024">
        <v>1700</v>
      </c>
      <c r="BK1024">
        <v>-300</v>
      </c>
      <c r="BL1024" t="s">
        <v>163</v>
      </c>
      <c r="BM1024">
        <v>1</v>
      </c>
      <c r="BN1024">
        <v>1</v>
      </c>
      <c r="BO1024">
        <v>1</v>
      </c>
      <c r="BP1024">
        <v>0</v>
      </c>
      <c r="BS1024">
        <v>0</v>
      </c>
      <c r="BT1024">
        <v>0</v>
      </c>
      <c r="BU1024">
        <v>0</v>
      </c>
      <c r="CE1024" t="str">
        <f t="shared" si="353"/>
        <v>19:28:18.188</v>
      </c>
      <c r="CF1024">
        <v>187966393</v>
      </c>
      <c r="CS1024">
        <v>3</v>
      </c>
      <c r="CT1024">
        <v>2</v>
      </c>
      <c r="CU1024">
        <v>0</v>
      </c>
      <c r="CV1024">
        <v>2</v>
      </c>
      <c r="CW1024">
        <v>0</v>
      </c>
      <c r="CX1024">
        <v>5</v>
      </c>
      <c r="CY1024">
        <v>7</v>
      </c>
      <c r="CZ1024" t="s">
        <v>131</v>
      </c>
      <c r="DA1024">
        <v>300</v>
      </c>
      <c r="DB1024">
        <v>0</v>
      </c>
      <c r="DC1024" t="s">
        <v>176</v>
      </c>
      <c r="DD1024" t="s">
        <v>177</v>
      </c>
      <c r="DG1024">
        <v>5376506</v>
      </c>
      <c r="DI1024">
        <v>1</v>
      </c>
      <c r="DJ1024">
        <v>0</v>
      </c>
      <c r="DK1024">
        <v>1</v>
      </c>
      <c r="DL1024">
        <v>0</v>
      </c>
      <c r="DM1024">
        <v>0</v>
      </c>
      <c r="DN1024">
        <v>1</v>
      </c>
      <c r="DO1024">
        <v>0</v>
      </c>
      <c r="DP1024">
        <v>0</v>
      </c>
      <c r="DQ1024">
        <v>0</v>
      </c>
      <c r="DR1024">
        <v>0</v>
      </c>
      <c r="DS1024">
        <v>0</v>
      </c>
    </row>
    <row r="1025" spans="1:123" x14ac:dyDescent="0.3">
      <c r="A1025" t="str">
        <f t="shared" ref="A1025:A1031" si="354">"10/04/2022 19:28:19.524"</f>
        <v>10/04/2022 19:28:19.524</v>
      </c>
      <c r="C1025" t="str">
        <f t="shared" si="351"/>
        <v>FFDFD3C0</v>
      </c>
      <c r="D1025" t="s">
        <v>141</v>
      </c>
      <c r="E1025">
        <v>3</v>
      </c>
      <c r="H1025">
        <v>3</v>
      </c>
      <c r="I1025" t="s">
        <v>146</v>
      </c>
      <c r="J1025" t="s">
        <v>138</v>
      </c>
      <c r="K1025">
        <v>0</v>
      </c>
      <c r="L1025">
        <v>3</v>
      </c>
      <c r="M1025">
        <v>0</v>
      </c>
      <c r="N1025">
        <v>2</v>
      </c>
      <c r="O1025">
        <v>0</v>
      </c>
      <c r="P1025">
        <v>1</v>
      </c>
      <c r="Q1025">
        <v>0</v>
      </c>
      <c r="S1025" t="str">
        <f t="shared" ref="S1025:T1031" si="355">"19:28:19.000"</f>
        <v>19:28:19.000</v>
      </c>
      <c r="T1025" t="str">
        <f t="shared" si="355"/>
        <v>19:28:19.000</v>
      </c>
      <c r="U1025" t="str">
        <f t="shared" si="333"/>
        <v>AC3944</v>
      </c>
      <c r="V1025">
        <v>0</v>
      </c>
      <c r="W1025">
        <v>0</v>
      </c>
      <c r="X1025">
        <v>2</v>
      </c>
      <c r="Y1025">
        <v>0</v>
      </c>
      <c r="AA1025">
        <v>1</v>
      </c>
      <c r="AB1025">
        <v>8</v>
      </c>
      <c r="AC1025">
        <v>3</v>
      </c>
      <c r="AD1025">
        <v>0</v>
      </c>
      <c r="AE1025">
        <v>9</v>
      </c>
      <c r="AF1025" t="s">
        <v>138</v>
      </c>
      <c r="AG1025">
        <v>0</v>
      </c>
      <c r="AH1025">
        <v>3</v>
      </c>
      <c r="AI1025">
        <v>1</v>
      </c>
      <c r="AJ1025">
        <v>0</v>
      </c>
      <c r="AK1025" t="s">
        <v>427</v>
      </c>
      <c r="AL1025">
        <v>32.807814999999998</v>
      </c>
      <c r="AM1025" t="s">
        <v>428</v>
      </c>
      <c r="AN1025">
        <v>-116.929872</v>
      </c>
      <c r="AO1025">
        <v>25</v>
      </c>
      <c r="AP1025">
        <v>2000</v>
      </c>
      <c r="AQ1025" t="s">
        <v>129</v>
      </c>
      <c r="AR1025">
        <v>130</v>
      </c>
      <c r="AS1025">
        <v>-10</v>
      </c>
      <c r="AT1025">
        <v>-192</v>
      </c>
      <c r="BB1025">
        <v>1200</v>
      </c>
      <c r="BC1025">
        <v>1</v>
      </c>
      <c r="BD1025" t="str">
        <f t="shared" si="334"/>
        <v xml:space="preserve">N887QR  </v>
      </c>
      <c r="BE1025">
        <v>1</v>
      </c>
      <c r="BG1025">
        <v>0</v>
      </c>
      <c r="BH1025">
        <v>0</v>
      </c>
      <c r="BI1025">
        <v>0</v>
      </c>
      <c r="BJ1025">
        <v>1700</v>
      </c>
      <c r="BK1025">
        <v>-300</v>
      </c>
      <c r="BL1025" t="s">
        <v>163</v>
      </c>
      <c r="BM1025">
        <v>1</v>
      </c>
      <c r="BN1025">
        <v>1</v>
      </c>
      <c r="BO1025">
        <v>1</v>
      </c>
      <c r="BP1025">
        <v>0</v>
      </c>
      <c r="BS1025">
        <v>0</v>
      </c>
      <c r="BT1025">
        <v>0</v>
      </c>
      <c r="BU1025">
        <v>0</v>
      </c>
      <c r="CE1025" t="str">
        <f t="shared" ref="CE1025:CE1031" si="356">"19:28:19.275"</f>
        <v>19:28:19.275</v>
      </c>
      <c r="CF1025">
        <v>274719905</v>
      </c>
      <c r="CS1025">
        <v>3</v>
      </c>
      <c r="CT1025">
        <v>2</v>
      </c>
      <c r="CU1025">
        <v>0</v>
      </c>
      <c r="CV1025">
        <v>2</v>
      </c>
      <c r="CW1025">
        <v>2</v>
      </c>
      <c r="CX1025">
        <v>5</v>
      </c>
      <c r="CY1025">
        <v>7</v>
      </c>
      <c r="CZ1025" t="s">
        <v>131</v>
      </c>
      <c r="DA1025">
        <v>300</v>
      </c>
      <c r="DB1025">
        <v>0</v>
      </c>
      <c r="DC1025" t="s">
        <v>176</v>
      </c>
      <c r="DD1025" t="s">
        <v>177</v>
      </c>
      <c r="DG1025">
        <v>5376677</v>
      </c>
      <c r="DI1025">
        <v>1</v>
      </c>
      <c r="DJ1025">
        <v>0</v>
      </c>
      <c r="DK1025">
        <v>0</v>
      </c>
      <c r="DL1025">
        <v>0</v>
      </c>
      <c r="DM1025">
        <v>0</v>
      </c>
      <c r="DN1025">
        <v>1</v>
      </c>
      <c r="DO1025">
        <v>0</v>
      </c>
      <c r="DP1025">
        <v>0</v>
      </c>
      <c r="DQ1025">
        <v>0</v>
      </c>
      <c r="DR1025">
        <v>0</v>
      </c>
      <c r="DS1025">
        <v>0</v>
      </c>
    </row>
    <row r="1026" spans="1:123" x14ac:dyDescent="0.3">
      <c r="A1026" t="str">
        <f t="shared" si="354"/>
        <v>10/04/2022 19:28:19.524</v>
      </c>
      <c r="C1026" t="str">
        <f t="shared" si="351"/>
        <v>FFDFD3C0</v>
      </c>
      <c r="D1026" t="s">
        <v>147</v>
      </c>
      <c r="E1026">
        <v>3</v>
      </c>
      <c r="H1026">
        <v>166</v>
      </c>
      <c r="I1026" t="s">
        <v>144</v>
      </c>
      <c r="J1026" t="s">
        <v>148</v>
      </c>
      <c r="K1026">
        <v>0</v>
      </c>
      <c r="L1026">
        <v>3</v>
      </c>
      <c r="M1026">
        <v>0</v>
      </c>
      <c r="N1026">
        <v>2</v>
      </c>
      <c r="O1026">
        <v>0</v>
      </c>
      <c r="P1026">
        <v>1</v>
      </c>
      <c r="Q1026">
        <v>0</v>
      </c>
      <c r="S1026" t="str">
        <f t="shared" si="355"/>
        <v>19:28:19.000</v>
      </c>
      <c r="T1026" t="str">
        <f t="shared" si="355"/>
        <v>19:28:19.000</v>
      </c>
      <c r="U1026" t="str">
        <f t="shared" ref="U1026:U1089" si="357">"AC3944"</f>
        <v>AC3944</v>
      </c>
      <c r="V1026">
        <v>0</v>
      </c>
      <c r="W1026">
        <v>0</v>
      </c>
      <c r="X1026">
        <v>2</v>
      </c>
      <c r="Y1026">
        <v>0</v>
      </c>
      <c r="AA1026">
        <v>1</v>
      </c>
      <c r="AB1026">
        <v>8</v>
      </c>
      <c r="AC1026">
        <v>3</v>
      </c>
      <c r="AD1026">
        <v>0</v>
      </c>
      <c r="AE1026">
        <v>9</v>
      </c>
      <c r="AF1026" t="s">
        <v>138</v>
      </c>
      <c r="AG1026">
        <v>0</v>
      </c>
      <c r="AH1026">
        <v>3</v>
      </c>
      <c r="AI1026">
        <v>1</v>
      </c>
      <c r="AJ1026">
        <v>0</v>
      </c>
      <c r="AK1026" t="s">
        <v>427</v>
      </c>
      <c r="AL1026">
        <v>32.807814999999998</v>
      </c>
      <c r="AM1026" t="s">
        <v>428</v>
      </c>
      <c r="AN1026">
        <v>-116.929872</v>
      </c>
      <c r="AO1026">
        <v>25</v>
      </c>
      <c r="AP1026">
        <v>2000</v>
      </c>
      <c r="AQ1026" t="s">
        <v>129</v>
      </c>
      <c r="AR1026">
        <v>130</v>
      </c>
      <c r="AS1026">
        <v>-10</v>
      </c>
      <c r="AT1026">
        <v>-192</v>
      </c>
      <c r="BB1026">
        <v>1200</v>
      </c>
      <c r="BC1026">
        <v>1</v>
      </c>
      <c r="BD1026" t="str">
        <f t="shared" ref="BD1026:BD1089" si="358">"N887QR  "</f>
        <v xml:space="preserve">N887QR  </v>
      </c>
      <c r="BE1026">
        <v>1</v>
      </c>
      <c r="BG1026">
        <v>0</v>
      </c>
      <c r="BH1026">
        <v>0</v>
      </c>
      <c r="BI1026">
        <v>0</v>
      </c>
      <c r="BJ1026">
        <v>1700</v>
      </c>
      <c r="BK1026">
        <v>-300</v>
      </c>
      <c r="BL1026" t="s">
        <v>163</v>
      </c>
      <c r="BM1026">
        <v>1</v>
      </c>
      <c r="BN1026">
        <v>1</v>
      </c>
      <c r="BO1026">
        <v>1</v>
      </c>
      <c r="BP1026">
        <v>0</v>
      </c>
      <c r="BS1026">
        <v>0</v>
      </c>
      <c r="BT1026">
        <v>0</v>
      </c>
      <c r="BU1026">
        <v>0</v>
      </c>
      <c r="CE1026" t="str">
        <f t="shared" si="356"/>
        <v>19:28:19.275</v>
      </c>
      <c r="CF1026">
        <v>274719905</v>
      </c>
      <c r="CS1026">
        <v>3</v>
      </c>
      <c r="CT1026">
        <v>2</v>
      </c>
      <c r="CU1026">
        <v>0</v>
      </c>
      <c r="CV1026">
        <v>2</v>
      </c>
      <c r="CW1026">
        <v>2</v>
      </c>
      <c r="CX1026">
        <v>5</v>
      </c>
      <c r="CY1026">
        <v>7</v>
      </c>
      <c r="CZ1026" t="s">
        <v>131</v>
      </c>
      <c r="DA1026">
        <v>300</v>
      </c>
      <c r="DB1026">
        <v>0</v>
      </c>
      <c r="DC1026" t="s">
        <v>176</v>
      </c>
      <c r="DD1026" t="s">
        <v>177</v>
      </c>
      <c r="DG1026">
        <v>5376677</v>
      </c>
      <c r="DI1026">
        <v>1</v>
      </c>
      <c r="DJ1026">
        <v>0</v>
      </c>
      <c r="DK1026">
        <v>1</v>
      </c>
      <c r="DL1026">
        <v>0</v>
      </c>
      <c r="DM1026">
        <v>0</v>
      </c>
      <c r="DN1026">
        <v>1</v>
      </c>
      <c r="DO1026">
        <v>0</v>
      </c>
      <c r="DP1026">
        <v>0</v>
      </c>
      <c r="DQ1026">
        <v>0</v>
      </c>
      <c r="DR1026">
        <v>0</v>
      </c>
      <c r="DS1026">
        <v>0</v>
      </c>
    </row>
    <row r="1027" spans="1:123" x14ac:dyDescent="0.3">
      <c r="A1027" t="str">
        <f t="shared" si="354"/>
        <v>10/04/2022 19:28:19.524</v>
      </c>
      <c r="C1027" t="str">
        <f t="shared" si="351"/>
        <v>FFDFD3C0</v>
      </c>
      <c r="D1027" t="s">
        <v>143</v>
      </c>
      <c r="E1027">
        <v>20</v>
      </c>
      <c r="F1027">
        <v>1020</v>
      </c>
      <c r="G1027" t="s">
        <v>144</v>
      </c>
      <c r="J1027" t="s">
        <v>145</v>
      </c>
      <c r="K1027">
        <v>0</v>
      </c>
      <c r="L1027">
        <v>3</v>
      </c>
      <c r="M1027">
        <v>0</v>
      </c>
      <c r="N1027">
        <v>2</v>
      </c>
      <c r="O1027">
        <v>0</v>
      </c>
      <c r="P1027">
        <v>1</v>
      </c>
      <c r="Q1027">
        <v>0</v>
      </c>
      <c r="S1027" t="str">
        <f t="shared" si="355"/>
        <v>19:28:19.000</v>
      </c>
      <c r="T1027" t="str">
        <f t="shared" si="355"/>
        <v>19:28:19.000</v>
      </c>
      <c r="U1027" t="str">
        <f t="shared" si="357"/>
        <v>AC3944</v>
      </c>
      <c r="V1027">
        <v>0</v>
      </c>
      <c r="W1027">
        <v>0</v>
      </c>
      <c r="X1027">
        <v>2</v>
      </c>
      <c r="Y1027">
        <v>0</v>
      </c>
      <c r="AA1027">
        <v>1</v>
      </c>
      <c r="AB1027">
        <v>8</v>
      </c>
      <c r="AC1027">
        <v>3</v>
      </c>
      <c r="AD1027">
        <v>0</v>
      </c>
      <c r="AE1027">
        <v>9</v>
      </c>
      <c r="AF1027" t="s">
        <v>138</v>
      </c>
      <c r="AG1027">
        <v>0</v>
      </c>
      <c r="AH1027">
        <v>3</v>
      </c>
      <c r="AI1027">
        <v>1</v>
      </c>
      <c r="AJ1027">
        <v>0</v>
      </c>
      <c r="AK1027" t="s">
        <v>427</v>
      </c>
      <c r="AL1027">
        <v>32.807814999999998</v>
      </c>
      <c r="AM1027" t="s">
        <v>428</v>
      </c>
      <c r="AN1027">
        <v>-116.929872</v>
      </c>
      <c r="AO1027">
        <v>25</v>
      </c>
      <c r="AP1027">
        <v>2000</v>
      </c>
      <c r="AQ1027" t="s">
        <v>129</v>
      </c>
      <c r="AR1027">
        <v>130</v>
      </c>
      <c r="AS1027">
        <v>-10</v>
      </c>
      <c r="AT1027">
        <v>-192</v>
      </c>
      <c r="BB1027">
        <v>1200</v>
      </c>
      <c r="BC1027">
        <v>1</v>
      </c>
      <c r="BD1027" t="str">
        <f t="shared" si="358"/>
        <v xml:space="preserve">N887QR  </v>
      </c>
      <c r="BE1027">
        <v>1</v>
      </c>
      <c r="BG1027">
        <v>0</v>
      </c>
      <c r="BH1027">
        <v>0</v>
      </c>
      <c r="BI1027">
        <v>0</v>
      </c>
      <c r="BJ1027">
        <v>1700</v>
      </c>
      <c r="BK1027">
        <v>-300</v>
      </c>
      <c r="BL1027" t="s">
        <v>163</v>
      </c>
      <c r="BM1027">
        <v>1</v>
      </c>
      <c r="BN1027">
        <v>1</v>
      </c>
      <c r="BO1027">
        <v>1</v>
      </c>
      <c r="BP1027">
        <v>0</v>
      </c>
      <c r="BS1027">
        <v>0</v>
      </c>
      <c r="BT1027">
        <v>0</v>
      </c>
      <c r="BU1027">
        <v>0</v>
      </c>
      <c r="CE1027" t="str">
        <f t="shared" si="356"/>
        <v>19:28:19.275</v>
      </c>
      <c r="CF1027">
        <v>274719905</v>
      </c>
      <c r="CS1027">
        <v>3</v>
      </c>
      <c r="CT1027">
        <v>2</v>
      </c>
      <c r="CU1027">
        <v>0</v>
      </c>
      <c r="CV1027">
        <v>2</v>
      </c>
      <c r="CW1027">
        <v>2</v>
      </c>
      <c r="CX1027">
        <v>5</v>
      </c>
      <c r="CY1027">
        <v>7</v>
      </c>
      <c r="CZ1027" t="s">
        <v>131</v>
      </c>
      <c r="DA1027">
        <v>300</v>
      </c>
      <c r="DB1027">
        <v>0</v>
      </c>
      <c r="DC1027" t="s">
        <v>176</v>
      </c>
      <c r="DD1027" t="s">
        <v>177</v>
      </c>
      <c r="DG1027">
        <v>5376677</v>
      </c>
      <c r="DI1027">
        <v>1</v>
      </c>
      <c r="DJ1027">
        <v>0</v>
      </c>
      <c r="DK1027">
        <v>1</v>
      </c>
      <c r="DL1027">
        <v>0</v>
      </c>
      <c r="DM1027">
        <v>0</v>
      </c>
      <c r="DN1027">
        <v>1</v>
      </c>
      <c r="DO1027">
        <v>0</v>
      </c>
      <c r="DP1027">
        <v>0</v>
      </c>
      <c r="DQ1027">
        <v>0</v>
      </c>
      <c r="DR1027">
        <v>0</v>
      </c>
      <c r="DS1027">
        <v>0</v>
      </c>
    </row>
    <row r="1028" spans="1:123" x14ac:dyDescent="0.3">
      <c r="A1028" t="str">
        <f t="shared" si="354"/>
        <v>10/04/2022 19:28:19.524</v>
      </c>
      <c r="C1028" t="str">
        <f t="shared" si="351"/>
        <v>FFDFD3C0</v>
      </c>
      <c r="D1028" t="s">
        <v>134</v>
      </c>
      <c r="E1028">
        <v>15</v>
      </c>
      <c r="J1028" t="s">
        <v>135</v>
      </c>
      <c r="K1028">
        <v>0</v>
      </c>
      <c r="L1028">
        <v>3</v>
      </c>
      <c r="M1028">
        <v>0</v>
      </c>
      <c r="N1028">
        <v>2</v>
      </c>
      <c r="O1028">
        <v>0</v>
      </c>
      <c r="P1028">
        <v>1</v>
      </c>
      <c r="Q1028">
        <v>0</v>
      </c>
      <c r="S1028" t="str">
        <f t="shared" si="355"/>
        <v>19:28:19.000</v>
      </c>
      <c r="T1028" t="str">
        <f t="shared" si="355"/>
        <v>19:28:19.000</v>
      </c>
      <c r="U1028" t="str">
        <f t="shared" si="357"/>
        <v>AC3944</v>
      </c>
      <c r="V1028">
        <v>0</v>
      </c>
      <c r="W1028">
        <v>0</v>
      </c>
      <c r="X1028">
        <v>2</v>
      </c>
      <c r="Y1028">
        <v>0</v>
      </c>
      <c r="AA1028">
        <v>1</v>
      </c>
      <c r="AB1028">
        <v>8</v>
      </c>
      <c r="AC1028">
        <v>3</v>
      </c>
      <c r="AD1028">
        <v>0</v>
      </c>
      <c r="AE1028">
        <v>9</v>
      </c>
      <c r="AF1028" t="s">
        <v>138</v>
      </c>
      <c r="AG1028">
        <v>0</v>
      </c>
      <c r="AH1028">
        <v>3</v>
      </c>
      <c r="AI1028">
        <v>1</v>
      </c>
      <c r="AJ1028">
        <v>0</v>
      </c>
      <c r="AK1028" t="s">
        <v>427</v>
      </c>
      <c r="AL1028">
        <v>32.807814999999998</v>
      </c>
      <c r="AM1028" t="s">
        <v>428</v>
      </c>
      <c r="AN1028">
        <v>-116.929872</v>
      </c>
      <c r="AO1028">
        <v>25</v>
      </c>
      <c r="AP1028">
        <v>2000</v>
      </c>
      <c r="AQ1028" t="s">
        <v>129</v>
      </c>
      <c r="AR1028">
        <v>130</v>
      </c>
      <c r="AS1028">
        <v>-10</v>
      </c>
      <c r="AT1028">
        <v>-192</v>
      </c>
      <c r="BB1028">
        <v>1200</v>
      </c>
      <c r="BC1028">
        <v>1</v>
      </c>
      <c r="BD1028" t="str">
        <f t="shared" si="358"/>
        <v xml:space="preserve">N887QR  </v>
      </c>
      <c r="BE1028">
        <v>1</v>
      </c>
      <c r="BG1028">
        <v>0</v>
      </c>
      <c r="BH1028">
        <v>0</v>
      </c>
      <c r="BI1028">
        <v>0</v>
      </c>
      <c r="BJ1028">
        <v>1700</v>
      </c>
      <c r="BK1028">
        <v>-300</v>
      </c>
      <c r="BL1028" t="s">
        <v>163</v>
      </c>
      <c r="BM1028">
        <v>1</v>
      </c>
      <c r="BN1028">
        <v>1</v>
      </c>
      <c r="BO1028">
        <v>1</v>
      </c>
      <c r="BP1028">
        <v>0</v>
      </c>
      <c r="BS1028">
        <v>0</v>
      </c>
      <c r="BT1028">
        <v>0</v>
      </c>
      <c r="BU1028">
        <v>0</v>
      </c>
      <c r="CE1028" t="str">
        <f t="shared" si="356"/>
        <v>19:28:19.275</v>
      </c>
      <c r="CF1028">
        <v>274719905</v>
      </c>
      <c r="CS1028">
        <v>3</v>
      </c>
      <c r="CT1028">
        <v>2</v>
      </c>
      <c r="CU1028">
        <v>0</v>
      </c>
      <c r="CV1028">
        <v>2</v>
      </c>
      <c r="CW1028">
        <v>2</v>
      </c>
      <c r="CX1028">
        <v>5</v>
      </c>
      <c r="CY1028">
        <v>7</v>
      </c>
      <c r="CZ1028" t="s">
        <v>131</v>
      </c>
      <c r="DA1028">
        <v>300</v>
      </c>
      <c r="DB1028">
        <v>0</v>
      </c>
      <c r="DC1028" t="s">
        <v>176</v>
      </c>
      <c r="DD1028" t="s">
        <v>177</v>
      </c>
      <c r="DG1028">
        <v>5376677</v>
      </c>
      <c r="DI1028">
        <v>1</v>
      </c>
      <c r="DJ1028">
        <v>0</v>
      </c>
      <c r="DK1028">
        <v>1</v>
      </c>
      <c r="DL1028">
        <v>0</v>
      </c>
      <c r="DM1028">
        <v>0</v>
      </c>
      <c r="DN1028">
        <v>1</v>
      </c>
      <c r="DO1028">
        <v>0</v>
      </c>
      <c r="DP1028">
        <v>0</v>
      </c>
      <c r="DQ1028">
        <v>0</v>
      </c>
      <c r="DR1028">
        <v>0</v>
      </c>
      <c r="DS1028">
        <v>0</v>
      </c>
    </row>
    <row r="1029" spans="1:123" x14ac:dyDescent="0.3">
      <c r="A1029" t="str">
        <f t="shared" si="354"/>
        <v>10/04/2022 19:28:19.524</v>
      </c>
      <c r="C1029" t="str">
        <f t="shared" si="351"/>
        <v>FFDFD3C0</v>
      </c>
      <c r="D1029" t="s">
        <v>123</v>
      </c>
      <c r="E1029">
        <v>7</v>
      </c>
      <c r="F1029">
        <v>2007</v>
      </c>
      <c r="G1029" t="s">
        <v>124</v>
      </c>
      <c r="J1029" t="s">
        <v>125</v>
      </c>
      <c r="K1029">
        <v>0</v>
      </c>
      <c r="L1029">
        <v>3</v>
      </c>
      <c r="M1029">
        <v>0</v>
      </c>
      <c r="N1029">
        <v>2</v>
      </c>
      <c r="O1029">
        <v>0</v>
      </c>
      <c r="P1029">
        <v>1</v>
      </c>
      <c r="Q1029">
        <v>0</v>
      </c>
      <c r="S1029" t="str">
        <f t="shared" si="355"/>
        <v>19:28:19.000</v>
      </c>
      <c r="T1029" t="str">
        <f t="shared" si="355"/>
        <v>19:28:19.000</v>
      </c>
      <c r="U1029" t="str">
        <f t="shared" si="357"/>
        <v>AC3944</v>
      </c>
      <c r="V1029">
        <v>0</v>
      </c>
      <c r="W1029">
        <v>0</v>
      </c>
      <c r="X1029">
        <v>2</v>
      </c>
      <c r="Y1029">
        <v>0</v>
      </c>
      <c r="AA1029">
        <v>1</v>
      </c>
      <c r="AB1029">
        <v>8</v>
      </c>
      <c r="AC1029">
        <v>3</v>
      </c>
      <c r="AD1029">
        <v>0</v>
      </c>
      <c r="AE1029">
        <v>9</v>
      </c>
      <c r="AF1029" t="s">
        <v>138</v>
      </c>
      <c r="AG1029">
        <v>0</v>
      </c>
      <c r="AH1029">
        <v>3</v>
      </c>
      <c r="AI1029">
        <v>1</v>
      </c>
      <c r="AJ1029">
        <v>0</v>
      </c>
      <c r="AK1029" t="s">
        <v>427</v>
      </c>
      <c r="AL1029">
        <v>32.807814999999998</v>
      </c>
      <c r="AM1029" t="s">
        <v>428</v>
      </c>
      <c r="AN1029">
        <v>-116.929872</v>
      </c>
      <c r="AO1029">
        <v>25</v>
      </c>
      <c r="AP1029">
        <v>2000</v>
      </c>
      <c r="AQ1029" t="s">
        <v>129</v>
      </c>
      <c r="AR1029">
        <v>130</v>
      </c>
      <c r="AS1029">
        <v>-10</v>
      </c>
      <c r="AT1029">
        <v>-192</v>
      </c>
      <c r="BB1029">
        <v>1200</v>
      </c>
      <c r="BC1029">
        <v>1</v>
      </c>
      <c r="BD1029" t="str">
        <f t="shared" si="358"/>
        <v xml:space="preserve">N887QR  </v>
      </c>
      <c r="BE1029">
        <v>1</v>
      </c>
      <c r="BG1029">
        <v>0</v>
      </c>
      <c r="BH1029">
        <v>0</v>
      </c>
      <c r="BI1029">
        <v>0</v>
      </c>
      <c r="BJ1029">
        <v>1700</v>
      </c>
      <c r="BK1029">
        <v>-300</v>
      </c>
      <c r="BL1029" t="s">
        <v>163</v>
      </c>
      <c r="BM1029">
        <v>1</v>
      </c>
      <c r="BN1029">
        <v>1</v>
      </c>
      <c r="BO1029">
        <v>1</v>
      </c>
      <c r="BP1029">
        <v>0</v>
      </c>
      <c r="BS1029">
        <v>0</v>
      </c>
      <c r="BT1029">
        <v>0</v>
      </c>
      <c r="BU1029">
        <v>0</v>
      </c>
      <c r="CE1029" t="str">
        <f t="shared" si="356"/>
        <v>19:28:19.275</v>
      </c>
      <c r="CF1029">
        <v>274719905</v>
      </c>
      <c r="CS1029">
        <v>3</v>
      </c>
      <c r="CT1029">
        <v>2</v>
      </c>
      <c r="CU1029">
        <v>0</v>
      </c>
      <c r="CV1029">
        <v>2</v>
      </c>
      <c r="CW1029">
        <v>2</v>
      </c>
      <c r="CX1029">
        <v>5</v>
      </c>
      <c r="CY1029">
        <v>7</v>
      </c>
      <c r="CZ1029" t="s">
        <v>131</v>
      </c>
      <c r="DA1029">
        <v>300</v>
      </c>
      <c r="DB1029">
        <v>0</v>
      </c>
      <c r="DC1029" t="s">
        <v>176</v>
      </c>
      <c r="DD1029" t="s">
        <v>177</v>
      </c>
      <c r="DG1029">
        <v>5376677</v>
      </c>
      <c r="DI1029">
        <v>1</v>
      </c>
      <c r="DJ1029">
        <v>0</v>
      </c>
      <c r="DK1029">
        <v>1</v>
      </c>
      <c r="DL1029">
        <v>0</v>
      </c>
      <c r="DM1029">
        <v>0</v>
      </c>
      <c r="DN1029">
        <v>1</v>
      </c>
      <c r="DO1029">
        <v>0</v>
      </c>
      <c r="DP1029">
        <v>0</v>
      </c>
      <c r="DQ1029">
        <v>0</v>
      </c>
      <c r="DR1029">
        <v>0</v>
      </c>
      <c r="DS1029">
        <v>0</v>
      </c>
    </row>
    <row r="1030" spans="1:123" x14ac:dyDescent="0.3">
      <c r="A1030" t="str">
        <f t="shared" si="354"/>
        <v>10/04/2022 19:28:19.524</v>
      </c>
      <c r="C1030" t="str">
        <f t="shared" si="351"/>
        <v>FFDFD3C0</v>
      </c>
      <c r="D1030" t="s">
        <v>136</v>
      </c>
      <c r="E1030">
        <v>8</v>
      </c>
      <c r="H1030">
        <v>225</v>
      </c>
      <c r="I1030" t="s">
        <v>137</v>
      </c>
      <c r="J1030" t="s">
        <v>138</v>
      </c>
      <c r="K1030">
        <v>0</v>
      </c>
      <c r="L1030">
        <v>3</v>
      </c>
      <c r="M1030">
        <v>0</v>
      </c>
      <c r="N1030">
        <v>2</v>
      </c>
      <c r="O1030">
        <v>0</v>
      </c>
      <c r="P1030">
        <v>1</v>
      </c>
      <c r="Q1030">
        <v>0</v>
      </c>
      <c r="S1030" t="str">
        <f t="shared" si="355"/>
        <v>19:28:19.000</v>
      </c>
      <c r="T1030" t="str">
        <f t="shared" si="355"/>
        <v>19:28:19.000</v>
      </c>
      <c r="U1030" t="str">
        <f t="shared" si="357"/>
        <v>AC3944</v>
      </c>
      <c r="V1030">
        <v>0</v>
      </c>
      <c r="W1030">
        <v>0</v>
      </c>
      <c r="X1030">
        <v>2</v>
      </c>
      <c r="Y1030">
        <v>0</v>
      </c>
      <c r="AA1030">
        <v>1</v>
      </c>
      <c r="AB1030">
        <v>8</v>
      </c>
      <c r="AC1030">
        <v>3</v>
      </c>
      <c r="AD1030">
        <v>0</v>
      </c>
      <c r="AE1030">
        <v>9</v>
      </c>
      <c r="AF1030" t="s">
        <v>138</v>
      </c>
      <c r="AG1030">
        <v>0</v>
      </c>
      <c r="AH1030">
        <v>3</v>
      </c>
      <c r="AI1030">
        <v>1</v>
      </c>
      <c r="AJ1030">
        <v>0</v>
      </c>
      <c r="AK1030" t="s">
        <v>427</v>
      </c>
      <c r="AL1030">
        <v>32.807814999999998</v>
      </c>
      <c r="AM1030" t="s">
        <v>428</v>
      </c>
      <c r="AN1030">
        <v>-116.929872</v>
      </c>
      <c r="AO1030">
        <v>25</v>
      </c>
      <c r="AP1030">
        <v>2000</v>
      </c>
      <c r="AQ1030" t="s">
        <v>129</v>
      </c>
      <c r="AR1030">
        <v>130</v>
      </c>
      <c r="AS1030">
        <v>-10</v>
      </c>
      <c r="AT1030">
        <v>-192</v>
      </c>
      <c r="BB1030">
        <v>1200</v>
      </c>
      <c r="BC1030">
        <v>1</v>
      </c>
      <c r="BD1030" t="str">
        <f t="shared" si="358"/>
        <v xml:space="preserve">N887QR  </v>
      </c>
      <c r="BE1030">
        <v>1</v>
      </c>
      <c r="BG1030">
        <v>0</v>
      </c>
      <c r="BH1030">
        <v>0</v>
      </c>
      <c r="BI1030">
        <v>0</v>
      </c>
      <c r="BJ1030">
        <v>1700</v>
      </c>
      <c r="BK1030">
        <v>-300</v>
      </c>
      <c r="BL1030" t="s">
        <v>163</v>
      </c>
      <c r="BM1030">
        <v>1</v>
      </c>
      <c r="BN1030">
        <v>1</v>
      </c>
      <c r="BO1030">
        <v>1</v>
      </c>
      <c r="BP1030">
        <v>0</v>
      </c>
      <c r="BS1030">
        <v>0</v>
      </c>
      <c r="BT1030">
        <v>0</v>
      </c>
      <c r="BU1030">
        <v>0</v>
      </c>
      <c r="CE1030" t="str">
        <f t="shared" si="356"/>
        <v>19:28:19.275</v>
      </c>
      <c r="CF1030">
        <v>274719905</v>
      </c>
      <c r="CS1030">
        <v>3</v>
      </c>
      <c r="CT1030">
        <v>2</v>
      </c>
      <c r="CU1030">
        <v>0</v>
      </c>
      <c r="CV1030">
        <v>2</v>
      </c>
      <c r="CW1030">
        <v>2</v>
      </c>
      <c r="CX1030">
        <v>5</v>
      </c>
      <c r="CY1030">
        <v>7</v>
      </c>
      <c r="CZ1030" t="s">
        <v>131</v>
      </c>
      <c r="DA1030">
        <v>300</v>
      </c>
      <c r="DB1030">
        <v>0</v>
      </c>
      <c r="DC1030" t="s">
        <v>176</v>
      </c>
      <c r="DD1030" t="s">
        <v>177</v>
      </c>
      <c r="DG1030">
        <v>5376677</v>
      </c>
      <c r="DI1030">
        <v>1</v>
      </c>
      <c r="DJ1030">
        <v>0</v>
      </c>
      <c r="DK1030">
        <v>1</v>
      </c>
      <c r="DL1030">
        <v>0</v>
      </c>
      <c r="DM1030">
        <v>0</v>
      </c>
      <c r="DN1030">
        <v>1</v>
      </c>
      <c r="DO1030">
        <v>0</v>
      </c>
      <c r="DP1030">
        <v>0</v>
      </c>
      <c r="DQ1030">
        <v>0</v>
      </c>
      <c r="DR1030">
        <v>0</v>
      </c>
      <c r="DS1030">
        <v>0</v>
      </c>
    </row>
    <row r="1031" spans="1:123" x14ac:dyDescent="0.3">
      <c r="A1031" t="str">
        <f t="shared" si="354"/>
        <v>10/04/2022 19:28:19.524</v>
      </c>
      <c r="C1031" t="str">
        <f t="shared" si="351"/>
        <v>FFDFD3C0</v>
      </c>
      <c r="D1031" t="s">
        <v>141</v>
      </c>
      <c r="E1031">
        <v>4</v>
      </c>
      <c r="H1031">
        <v>4</v>
      </c>
      <c r="I1031" t="s">
        <v>142</v>
      </c>
      <c r="J1031" t="s">
        <v>138</v>
      </c>
      <c r="K1031">
        <v>0</v>
      </c>
      <c r="L1031">
        <v>3</v>
      </c>
      <c r="M1031">
        <v>0</v>
      </c>
      <c r="N1031">
        <v>2</v>
      </c>
      <c r="O1031">
        <v>0</v>
      </c>
      <c r="P1031">
        <v>1</v>
      </c>
      <c r="Q1031">
        <v>0</v>
      </c>
      <c r="S1031" t="str">
        <f t="shared" si="355"/>
        <v>19:28:19.000</v>
      </c>
      <c r="T1031" t="str">
        <f t="shared" si="355"/>
        <v>19:28:19.000</v>
      </c>
      <c r="U1031" t="str">
        <f t="shared" si="357"/>
        <v>AC3944</v>
      </c>
      <c r="V1031">
        <v>0</v>
      </c>
      <c r="W1031">
        <v>0</v>
      </c>
      <c r="X1031">
        <v>2</v>
      </c>
      <c r="Y1031">
        <v>0</v>
      </c>
      <c r="AA1031">
        <v>1</v>
      </c>
      <c r="AB1031">
        <v>8</v>
      </c>
      <c r="AC1031">
        <v>3</v>
      </c>
      <c r="AD1031">
        <v>0</v>
      </c>
      <c r="AE1031">
        <v>9</v>
      </c>
      <c r="AF1031" t="s">
        <v>138</v>
      </c>
      <c r="AG1031">
        <v>0</v>
      </c>
      <c r="AH1031">
        <v>3</v>
      </c>
      <c r="AI1031">
        <v>1</v>
      </c>
      <c r="AJ1031">
        <v>0</v>
      </c>
      <c r="AK1031" t="s">
        <v>427</v>
      </c>
      <c r="AL1031">
        <v>32.807814999999998</v>
      </c>
      <c r="AM1031" t="s">
        <v>428</v>
      </c>
      <c r="AN1031">
        <v>-116.929872</v>
      </c>
      <c r="AO1031">
        <v>25</v>
      </c>
      <c r="AP1031">
        <v>2000</v>
      </c>
      <c r="AQ1031" t="s">
        <v>129</v>
      </c>
      <c r="AR1031">
        <v>130</v>
      </c>
      <c r="AS1031">
        <v>-10</v>
      </c>
      <c r="AT1031">
        <v>-192</v>
      </c>
      <c r="BB1031">
        <v>1200</v>
      </c>
      <c r="BC1031">
        <v>1</v>
      </c>
      <c r="BD1031" t="str">
        <f t="shared" si="358"/>
        <v xml:space="preserve">N887QR  </v>
      </c>
      <c r="BE1031">
        <v>1</v>
      </c>
      <c r="BG1031">
        <v>0</v>
      </c>
      <c r="BH1031">
        <v>0</v>
      </c>
      <c r="BI1031">
        <v>0</v>
      </c>
      <c r="BJ1031">
        <v>1700</v>
      </c>
      <c r="BK1031">
        <v>-300</v>
      </c>
      <c r="BL1031" t="s">
        <v>163</v>
      </c>
      <c r="BM1031">
        <v>1</v>
      </c>
      <c r="BN1031">
        <v>1</v>
      </c>
      <c r="BO1031">
        <v>1</v>
      </c>
      <c r="BP1031">
        <v>0</v>
      </c>
      <c r="BS1031">
        <v>0</v>
      </c>
      <c r="BT1031">
        <v>0</v>
      </c>
      <c r="BU1031">
        <v>0</v>
      </c>
      <c r="CE1031" t="str">
        <f t="shared" si="356"/>
        <v>19:28:19.275</v>
      </c>
      <c r="CF1031">
        <v>274719905</v>
      </c>
      <c r="CS1031">
        <v>3</v>
      </c>
      <c r="CT1031">
        <v>2</v>
      </c>
      <c r="CU1031">
        <v>0</v>
      </c>
      <c r="CV1031">
        <v>2</v>
      </c>
      <c r="CW1031">
        <v>2</v>
      </c>
      <c r="CX1031">
        <v>5</v>
      </c>
      <c r="CY1031">
        <v>7</v>
      </c>
      <c r="CZ1031" t="s">
        <v>131</v>
      </c>
      <c r="DA1031">
        <v>300</v>
      </c>
      <c r="DB1031">
        <v>0</v>
      </c>
      <c r="DC1031" t="s">
        <v>176</v>
      </c>
      <c r="DD1031" t="s">
        <v>177</v>
      </c>
      <c r="DG1031">
        <v>5376677</v>
      </c>
      <c r="DI1031">
        <v>1</v>
      </c>
      <c r="DJ1031">
        <v>0</v>
      </c>
      <c r="DK1031">
        <v>1</v>
      </c>
      <c r="DL1031">
        <v>0</v>
      </c>
      <c r="DM1031">
        <v>0</v>
      </c>
      <c r="DN1031">
        <v>1</v>
      </c>
      <c r="DO1031">
        <v>0</v>
      </c>
      <c r="DP1031">
        <v>0</v>
      </c>
      <c r="DQ1031">
        <v>0</v>
      </c>
      <c r="DR1031">
        <v>0</v>
      </c>
      <c r="DS1031">
        <v>0</v>
      </c>
    </row>
    <row r="1032" spans="1:123" x14ac:dyDescent="0.3">
      <c r="A1032" t="str">
        <f>"10/04/2022 19:28:20.666"</f>
        <v>10/04/2022 19:28:20.666</v>
      </c>
      <c r="C1032" t="str">
        <f t="shared" si="351"/>
        <v>FFDFD3C0</v>
      </c>
      <c r="D1032" t="s">
        <v>141</v>
      </c>
      <c r="E1032">
        <v>4</v>
      </c>
      <c r="H1032">
        <v>4</v>
      </c>
      <c r="I1032" t="s">
        <v>142</v>
      </c>
      <c r="J1032" t="s">
        <v>138</v>
      </c>
      <c r="K1032">
        <v>0</v>
      </c>
      <c r="L1032">
        <v>3</v>
      </c>
      <c r="M1032">
        <v>0</v>
      </c>
      <c r="N1032">
        <v>2</v>
      </c>
      <c r="O1032">
        <v>0</v>
      </c>
      <c r="P1032">
        <v>1</v>
      </c>
      <c r="Q1032">
        <v>0</v>
      </c>
      <c r="S1032" t="str">
        <f t="shared" ref="S1032:T1038" si="359">"19:28:20.000"</f>
        <v>19:28:20.000</v>
      </c>
      <c r="T1032" t="str">
        <f t="shared" si="359"/>
        <v>19:28:20.000</v>
      </c>
      <c r="U1032" t="str">
        <f t="shared" si="357"/>
        <v>AC3944</v>
      </c>
      <c r="V1032">
        <v>0</v>
      </c>
      <c r="W1032">
        <v>0</v>
      </c>
      <c r="X1032">
        <v>2</v>
      </c>
      <c r="Y1032">
        <v>0</v>
      </c>
      <c r="AA1032">
        <v>1</v>
      </c>
      <c r="AB1032">
        <v>8</v>
      </c>
      <c r="AC1032">
        <v>3</v>
      </c>
      <c r="AD1032">
        <v>0</v>
      </c>
      <c r="AE1032">
        <v>9</v>
      </c>
      <c r="AF1032" t="s">
        <v>138</v>
      </c>
      <c r="AG1032">
        <v>0</v>
      </c>
      <c r="AH1032">
        <v>3</v>
      </c>
      <c r="AI1032">
        <v>1</v>
      </c>
      <c r="AJ1032">
        <v>0</v>
      </c>
      <c r="AK1032" t="s">
        <v>429</v>
      </c>
      <c r="AL1032">
        <v>32.807772</v>
      </c>
      <c r="AM1032" t="s">
        <v>430</v>
      </c>
      <c r="AN1032">
        <v>-116.929142</v>
      </c>
      <c r="AO1032">
        <v>25</v>
      </c>
      <c r="AP1032">
        <v>2000</v>
      </c>
      <c r="AQ1032" t="s">
        <v>129</v>
      </c>
      <c r="AR1032">
        <v>130</v>
      </c>
      <c r="AS1032">
        <v>-10</v>
      </c>
      <c r="AT1032">
        <v>-256</v>
      </c>
      <c r="BB1032">
        <v>1200</v>
      </c>
      <c r="BC1032">
        <v>1</v>
      </c>
      <c r="BD1032" t="str">
        <f t="shared" si="358"/>
        <v xml:space="preserve">N887QR  </v>
      </c>
      <c r="BE1032">
        <v>1</v>
      </c>
      <c r="BG1032">
        <v>0</v>
      </c>
      <c r="BH1032">
        <v>0</v>
      </c>
      <c r="BI1032">
        <v>0</v>
      </c>
      <c r="BJ1032">
        <v>1700</v>
      </c>
      <c r="BK1032">
        <v>-300</v>
      </c>
      <c r="BL1032" t="s">
        <v>163</v>
      </c>
      <c r="BM1032">
        <v>1</v>
      </c>
      <c r="BN1032">
        <v>1</v>
      </c>
      <c r="BO1032">
        <v>1</v>
      </c>
      <c r="BP1032">
        <v>0</v>
      </c>
      <c r="BS1032">
        <v>0</v>
      </c>
      <c r="BT1032">
        <v>0</v>
      </c>
      <c r="BU1032">
        <v>0</v>
      </c>
      <c r="CE1032" t="str">
        <f t="shared" ref="CE1032:CE1038" si="360">"19:28:20.495"</f>
        <v>19:28:20.495</v>
      </c>
      <c r="CF1032">
        <v>495473807</v>
      </c>
      <c r="CS1032">
        <v>3</v>
      </c>
      <c r="CT1032">
        <v>2</v>
      </c>
      <c r="CU1032">
        <v>0</v>
      </c>
      <c r="CV1032">
        <v>2</v>
      </c>
      <c r="CW1032">
        <v>0</v>
      </c>
      <c r="CX1032">
        <v>5</v>
      </c>
      <c r="CY1032">
        <v>7</v>
      </c>
      <c r="CZ1032" t="s">
        <v>131</v>
      </c>
      <c r="DA1032">
        <v>300</v>
      </c>
      <c r="DB1032">
        <v>0</v>
      </c>
      <c r="DC1032" t="s">
        <v>176</v>
      </c>
      <c r="DD1032" t="s">
        <v>177</v>
      </c>
      <c r="DG1032">
        <v>5376884</v>
      </c>
      <c r="DI1032">
        <v>1</v>
      </c>
      <c r="DJ1032">
        <v>0</v>
      </c>
      <c r="DK1032">
        <v>0</v>
      </c>
      <c r="DL1032">
        <v>0</v>
      </c>
      <c r="DM1032">
        <v>0</v>
      </c>
      <c r="DN1032">
        <v>1</v>
      </c>
      <c r="DO1032">
        <v>0</v>
      </c>
      <c r="DP1032">
        <v>0</v>
      </c>
      <c r="DQ1032">
        <v>0</v>
      </c>
      <c r="DR1032">
        <v>0</v>
      </c>
      <c r="DS1032">
        <v>0</v>
      </c>
    </row>
    <row r="1033" spans="1:123" x14ac:dyDescent="0.3">
      <c r="A1033" t="str">
        <f>"10/04/2022 19:28:20.713"</f>
        <v>10/04/2022 19:28:20.713</v>
      </c>
      <c r="C1033" t="str">
        <f t="shared" si="351"/>
        <v>FFDFD3C0</v>
      </c>
      <c r="D1033" t="s">
        <v>141</v>
      </c>
      <c r="E1033">
        <v>3</v>
      </c>
      <c r="H1033">
        <v>3</v>
      </c>
      <c r="I1033" t="s">
        <v>146</v>
      </c>
      <c r="J1033" t="s">
        <v>138</v>
      </c>
      <c r="K1033">
        <v>0</v>
      </c>
      <c r="L1033">
        <v>3</v>
      </c>
      <c r="M1033">
        <v>0</v>
      </c>
      <c r="N1033">
        <v>2</v>
      </c>
      <c r="O1033">
        <v>0</v>
      </c>
      <c r="P1033">
        <v>1</v>
      </c>
      <c r="Q1033">
        <v>0</v>
      </c>
      <c r="S1033" t="str">
        <f t="shared" si="359"/>
        <v>19:28:20.000</v>
      </c>
      <c r="T1033" t="str">
        <f t="shared" si="359"/>
        <v>19:28:20.000</v>
      </c>
      <c r="U1033" t="str">
        <f t="shared" si="357"/>
        <v>AC3944</v>
      </c>
      <c r="V1033">
        <v>0</v>
      </c>
      <c r="W1033">
        <v>0</v>
      </c>
      <c r="X1033">
        <v>2</v>
      </c>
      <c r="Y1033">
        <v>0</v>
      </c>
      <c r="AA1033">
        <v>1</v>
      </c>
      <c r="AB1033">
        <v>8</v>
      </c>
      <c r="AC1033">
        <v>3</v>
      </c>
      <c r="AD1033">
        <v>0</v>
      </c>
      <c r="AE1033">
        <v>9</v>
      </c>
      <c r="AF1033" t="s">
        <v>138</v>
      </c>
      <c r="AG1033">
        <v>0</v>
      </c>
      <c r="AH1033">
        <v>3</v>
      </c>
      <c r="AI1033">
        <v>1</v>
      </c>
      <c r="AJ1033">
        <v>0</v>
      </c>
      <c r="AK1033" t="s">
        <v>429</v>
      </c>
      <c r="AL1033">
        <v>32.807772</v>
      </c>
      <c r="AM1033" t="s">
        <v>430</v>
      </c>
      <c r="AN1033">
        <v>-116.929142</v>
      </c>
      <c r="AO1033">
        <v>25</v>
      </c>
      <c r="AP1033">
        <v>2000</v>
      </c>
      <c r="AQ1033" t="s">
        <v>129</v>
      </c>
      <c r="AR1033">
        <v>130</v>
      </c>
      <c r="AS1033">
        <v>-10</v>
      </c>
      <c r="AT1033">
        <v>-256</v>
      </c>
      <c r="BB1033">
        <v>1200</v>
      </c>
      <c r="BC1033">
        <v>1</v>
      </c>
      <c r="BD1033" t="str">
        <f t="shared" si="358"/>
        <v xml:space="preserve">N887QR  </v>
      </c>
      <c r="BE1033">
        <v>1</v>
      </c>
      <c r="BG1033">
        <v>0</v>
      </c>
      <c r="BH1033">
        <v>0</v>
      </c>
      <c r="BI1033">
        <v>0</v>
      </c>
      <c r="BJ1033">
        <v>1700</v>
      </c>
      <c r="BK1033">
        <v>-300</v>
      </c>
      <c r="BL1033" t="s">
        <v>163</v>
      </c>
      <c r="BM1033">
        <v>1</v>
      </c>
      <c r="BN1033">
        <v>1</v>
      </c>
      <c r="BO1033">
        <v>1</v>
      </c>
      <c r="BP1033">
        <v>0</v>
      </c>
      <c r="BS1033">
        <v>0</v>
      </c>
      <c r="BT1033">
        <v>0</v>
      </c>
      <c r="BU1033">
        <v>0</v>
      </c>
      <c r="CE1033" t="str">
        <f t="shared" si="360"/>
        <v>19:28:20.495</v>
      </c>
      <c r="CF1033">
        <v>495473807</v>
      </c>
      <c r="CS1033">
        <v>3</v>
      </c>
      <c r="CT1033">
        <v>2</v>
      </c>
      <c r="CU1033">
        <v>0</v>
      </c>
      <c r="CV1033">
        <v>2</v>
      </c>
      <c r="CW1033">
        <v>0</v>
      </c>
      <c r="CX1033">
        <v>5</v>
      </c>
      <c r="CY1033">
        <v>7</v>
      </c>
      <c r="CZ1033" t="s">
        <v>131</v>
      </c>
      <c r="DA1033">
        <v>300</v>
      </c>
      <c r="DB1033">
        <v>0</v>
      </c>
      <c r="DC1033" t="s">
        <v>176</v>
      </c>
      <c r="DD1033" t="s">
        <v>177</v>
      </c>
      <c r="DG1033">
        <v>5376884</v>
      </c>
      <c r="DI1033">
        <v>1</v>
      </c>
      <c r="DJ1033">
        <v>0</v>
      </c>
      <c r="DK1033">
        <v>1</v>
      </c>
      <c r="DL1033">
        <v>0</v>
      </c>
      <c r="DM1033">
        <v>0</v>
      </c>
      <c r="DN1033">
        <v>1</v>
      </c>
      <c r="DO1033">
        <v>0</v>
      </c>
      <c r="DP1033">
        <v>0</v>
      </c>
      <c r="DQ1033">
        <v>0</v>
      </c>
      <c r="DR1033">
        <v>0</v>
      </c>
      <c r="DS1033">
        <v>0</v>
      </c>
    </row>
    <row r="1034" spans="1:123" x14ac:dyDescent="0.3">
      <c r="A1034" t="str">
        <f>"10/04/2022 19:28:20.713"</f>
        <v>10/04/2022 19:28:20.713</v>
      </c>
      <c r="C1034" t="str">
        <f t="shared" si="351"/>
        <v>FFDFD3C0</v>
      </c>
      <c r="D1034" t="s">
        <v>143</v>
      </c>
      <c r="E1034">
        <v>20</v>
      </c>
      <c r="F1034">
        <v>1020</v>
      </c>
      <c r="G1034" t="s">
        <v>144</v>
      </c>
      <c r="J1034" t="s">
        <v>145</v>
      </c>
      <c r="K1034">
        <v>0</v>
      </c>
      <c r="L1034">
        <v>3</v>
      </c>
      <c r="M1034">
        <v>0</v>
      </c>
      <c r="N1034">
        <v>2</v>
      </c>
      <c r="O1034">
        <v>0</v>
      </c>
      <c r="P1034">
        <v>1</v>
      </c>
      <c r="Q1034">
        <v>0</v>
      </c>
      <c r="S1034" t="str">
        <f t="shared" si="359"/>
        <v>19:28:20.000</v>
      </c>
      <c r="T1034" t="str">
        <f t="shared" si="359"/>
        <v>19:28:20.000</v>
      </c>
      <c r="U1034" t="str">
        <f t="shared" si="357"/>
        <v>AC3944</v>
      </c>
      <c r="V1034">
        <v>0</v>
      </c>
      <c r="W1034">
        <v>0</v>
      </c>
      <c r="X1034">
        <v>2</v>
      </c>
      <c r="Y1034">
        <v>0</v>
      </c>
      <c r="AA1034">
        <v>1</v>
      </c>
      <c r="AB1034">
        <v>8</v>
      </c>
      <c r="AC1034">
        <v>3</v>
      </c>
      <c r="AD1034">
        <v>0</v>
      </c>
      <c r="AE1034">
        <v>9</v>
      </c>
      <c r="AF1034" t="s">
        <v>138</v>
      </c>
      <c r="AG1034">
        <v>0</v>
      </c>
      <c r="AH1034">
        <v>3</v>
      </c>
      <c r="AI1034">
        <v>1</v>
      </c>
      <c r="AJ1034">
        <v>0</v>
      </c>
      <c r="AK1034" t="s">
        <v>429</v>
      </c>
      <c r="AL1034">
        <v>32.807772</v>
      </c>
      <c r="AM1034" t="s">
        <v>430</v>
      </c>
      <c r="AN1034">
        <v>-116.929142</v>
      </c>
      <c r="AO1034">
        <v>25</v>
      </c>
      <c r="AP1034">
        <v>2000</v>
      </c>
      <c r="AQ1034" t="s">
        <v>129</v>
      </c>
      <c r="AR1034">
        <v>130</v>
      </c>
      <c r="AS1034">
        <v>-10</v>
      </c>
      <c r="AT1034">
        <v>-256</v>
      </c>
      <c r="BB1034">
        <v>1200</v>
      </c>
      <c r="BC1034">
        <v>1</v>
      </c>
      <c r="BD1034" t="str">
        <f t="shared" si="358"/>
        <v xml:space="preserve">N887QR  </v>
      </c>
      <c r="BE1034">
        <v>1</v>
      </c>
      <c r="BG1034">
        <v>0</v>
      </c>
      <c r="BH1034">
        <v>0</v>
      </c>
      <c r="BI1034">
        <v>0</v>
      </c>
      <c r="BJ1034">
        <v>1700</v>
      </c>
      <c r="BK1034">
        <v>-300</v>
      </c>
      <c r="BL1034" t="s">
        <v>163</v>
      </c>
      <c r="BM1034">
        <v>1</v>
      </c>
      <c r="BN1034">
        <v>1</v>
      </c>
      <c r="BO1034">
        <v>1</v>
      </c>
      <c r="BP1034">
        <v>0</v>
      </c>
      <c r="BS1034">
        <v>0</v>
      </c>
      <c r="BT1034">
        <v>0</v>
      </c>
      <c r="BU1034">
        <v>0</v>
      </c>
      <c r="CE1034" t="str">
        <f t="shared" si="360"/>
        <v>19:28:20.495</v>
      </c>
      <c r="CF1034">
        <v>495473807</v>
      </c>
      <c r="CS1034">
        <v>3</v>
      </c>
      <c r="CT1034">
        <v>2</v>
      </c>
      <c r="CU1034">
        <v>0</v>
      </c>
      <c r="CV1034">
        <v>2</v>
      </c>
      <c r="CW1034">
        <v>0</v>
      </c>
      <c r="CX1034">
        <v>5</v>
      </c>
      <c r="CY1034">
        <v>7</v>
      </c>
      <c r="CZ1034" t="s">
        <v>131</v>
      </c>
      <c r="DA1034">
        <v>300</v>
      </c>
      <c r="DB1034">
        <v>0</v>
      </c>
      <c r="DC1034" t="s">
        <v>176</v>
      </c>
      <c r="DD1034" t="s">
        <v>177</v>
      </c>
      <c r="DG1034">
        <v>5376884</v>
      </c>
      <c r="DI1034">
        <v>1</v>
      </c>
      <c r="DJ1034">
        <v>0</v>
      </c>
      <c r="DK1034">
        <v>1</v>
      </c>
      <c r="DL1034">
        <v>0</v>
      </c>
      <c r="DM1034">
        <v>0</v>
      </c>
      <c r="DN1034">
        <v>1</v>
      </c>
      <c r="DO1034">
        <v>0</v>
      </c>
      <c r="DP1034">
        <v>0</v>
      </c>
      <c r="DQ1034">
        <v>0</v>
      </c>
      <c r="DR1034">
        <v>0</v>
      </c>
      <c r="DS1034">
        <v>0</v>
      </c>
    </row>
    <row r="1035" spans="1:123" x14ac:dyDescent="0.3">
      <c r="A1035" t="str">
        <f>"10/04/2022 19:28:20.728"</f>
        <v>10/04/2022 19:28:20.728</v>
      </c>
      <c r="C1035" t="str">
        <f t="shared" si="351"/>
        <v>FFDFD3C0</v>
      </c>
      <c r="D1035" t="s">
        <v>147</v>
      </c>
      <c r="E1035">
        <v>3</v>
      </c>
      <c r="H1035">
        <v>166</v>
      </c>
      <c r="I1035" t="s">
        <v>144</v>
      </c>
      <c r="J1035" t="s">
        <v>148</v>
      </c>
      <c r="K1035">
        <v>0</v>
      </c>
      <c r="L1035">
        <v>3</v>
      </c>
      <c r="M1035">
        <v>0</v>
      </c>
      <c r="N1035">
        <v>2</v>
      </c>
      <c r="O1035">
        <v>0</v>
      </c>
      <c r="P1035">
        <v>1</v>
      </c>
      <c r="Q1035">
        <v>0</v>
      </c>
      <c r="S1035" t="str">
        <f t="shared" si="359"/>
        <v>19:28:20.000</v>
      </c>
      <c r="T1035" t="str">
        <f t="shared" si="359"/>
        <v>19:28:20.000</v>
      </c>
      <c r="U1035" t="str">
        <f t="shared" si="357"/>
        <v>AC3944</v>
      </c>
      <c r="V1035">
        <v>0</v>
      </c>
      <c r="W1035">
        <v>0</v>
      </c>
      <c r="X1035">
        <v>2</v>
      </c>
      <c r="Y1035">
        <v>0</v>
      </c>
      <c r="AA1035">
        <v>1</v>
      </c>
      <c r="AB1035">
        <v>8</v>
      </c>
      <c r="AC1035">
        <v>3</v>
      </c>
      <c r="AD1035">
        <v>0</v>
      </c>
      <c r="AE1035">
        <v>9</v>
      </c>
      <c r="AF1035" t="s">
        <v>138</v>
      </c>
      <c r="AG1035">
        <v>0</v>
      </c>
      <c r="AH1035">
        <v>3</v>
      </c>
      <c r="AI1035">
        <v>1</v>
      </c>
      <c r="AJ1035">
        <v>0</v>
      </c>
      <c r="AK1035" t="s">
        <v>429</v>
      </c>
      <c r="AL1035">
        <v>32.807772</v>
      </c>
      <c r="AM1035" t="s">
        <v>430</v>
      </c>
      <c r="AN1035">
        <v>-116.929142</v>
      </c>
      <c r="AO1035">
        <v>25</v>
      </c>
      <c r="AP1035">
        <v>2000</v>
      </c>
      <c r="AQ1035" t="s">
        <v>129</v>
      </c>
      <c r="AR1035">
        <v>130</v>
      </c>
      <c r="AS1035">
        <v>-10</v>
      </c>
      <c r="AT1035">
        <v>-256</v>
      </c>
      <c r="BB1035">
        <v>1200</v>
      </c>
      <c r="BC1035">
        <v>1</v>
      </c>
      <c r="BD1035" t="str">
        <f t="shared" si="358"/>
        <v xml:space="preserve">N887QR  </v>
      </c>
      <c r="BE1035">
        <v>1</v>
      </c>
      <c r="BG1035">
        <v>0</v>
      </c>
      <c r="BH1035">
        <v>0</v>
      </c>
      <c r="BI1035">
        <v>0</v>
      </c>
      <c r="BJ1035">
        <v>1700</v>
      </c>
      <c r="BK1035">
        <v>-300</v>
      </c>
      <c r="BL1035" t="s">
        <v>163</v>
      </c>
      <c r="BM1035">
        <v>1</v>
      </c>
      <c r="BN1035">
        <v>1</v>
      </c>
      <c r="BO1035">
        <v>1</v>
      </c>
      <c r="BP1035">
        <v>0</v>
      </c>
      <c r="BS1035">
        <v>0</v>
      </c>
      <c r="BT1035">
        <v>0</v>
      </c>
      <c r="BU1035">
        <v>0</v>
      </c>
      <c r="CE1035" t="str">
        <f t="shared" si="360"/>
        <v>19:28:20.495</v>
      </c>
      <c r="CF1035">
        <v>495473807</v>
      </c>
      <c r="CS1035">
        <v>3</v>
      </c>
      <c r="CT1035">
        <v>2</v>
      </c>
      <c r="CU1035">
        <v>0</v>
      </c>
      <c r="CV1035">
        <v>2</v>
      </c>
      <c r="CW1035">
        <v>0</v>
      </c>
      <c r="CX1035">
        <v>5</v>
      </c>
      <c r="CY1035">
        <v>7</v>
      </c>
      <c r="CZ1035" t="s">
        <v>131</v>
      </c>
      <c r="DA1035">
        <v>300</v>
      </c>
      <c r="DB1035">
        <v>0</v>
      </c>
      <c r="DC1035" t="s">
        <v>176</v>
      </c>
      <c r="DD1035" t="s">
        <v>177</v>
      </c>
      <c r="DG1035">
        <v>5376884</v>
      </c>
      <c r="DI1035">
        <v>1</v>
      </c>
      <c r="DJ1035">
        <v>0</v>
      </c>
      <c r="DK1035">
        <v>1</v>
      </c>
      <c r="DL1035">
        <v>0</v>
      </c>
      <c r="DM1035">
        <v>0</v>
      </c>
      <c r="DN1035">
        <v>1</v>
      </c>
      <c r="DO1035">
        <v>0</v>
      </c>
      <c r="DP1035">
        <v>0</v>
      </c>
      <c r="DQ1035">
        <v>0</v>
      </c>
      <c r="DR1035">
        <v>0</v>
      </c>
      <c r="DS1035">
        <v>0</v>
      </c>
    </row>
    <row r="1036" spans="1:123" x14ac:dyDescent="0.3">
      <c r="A1036" t="str">
        <f>"10/04/2022 19:28:20.728"</f>
        <v>10/04/2022 19:28:20.728</v>
      </c>
      <c r="C1036" t="str">
        <f t="shared" si="351"/>
        <v>FFDFD3C0</v>
      </c>
      <c r="D1036" t="s">
        <v>123</v>
      </c>
      <c r="E1036">
        <v>7</v>
      </c>
      <c r="F1036">
        <v>2007</v>
      </c>
      <c r="G1036" t="s">
        <v>124</v>
      </c>
      <c r="J1036" t="s">
        <v>125</v>
      </c>
      <c r="K1036">
        <v>0</v>
      </c>
      <c r="L1036">
        <v>3</v>
      </c>
      <c r="M1036">
        <v>0</v>
      </c>
      <c r="N1036">
        <v>2</v>
      </c>
      <c r="O1036">
        <v>0</v>
      </c>
      <c r="P1036">
        <v>1</v>
      </c>
      <c r="Q1036">
        <v>0</v>
      </c>
      <c r="S1036" t="str">
        <f t="shared" si="359"/>
        <v>19:28:20.000</v>
      </c>
      <c r="T1036" t="str">
        <f t="shared" si="359"/>
        <v>19:28:20.000</v>
      </c>
      <c r="U1036" t="str">
        <f t="shared" si="357"/>
        <v>AC3944</v>
      </c>
      <c r="V1036">
        <v>0</v>
      </c>
      <c r="W1036">
        <v>0</v>
      </c>
      <c r="X1036">
        <v>2</v>
      </c>
      <c r="Y1036">
        <v>0</v>
      </c>
      <c r="AA1036">
        <v>1</v>
      </c>
      <c r="AB1036">
        <v>8</v>
      </c>
      <c r="AC1036">
        <v>3</v>
      </c>
      <c r="AD1036">
        <v>0</v>
      </c>
      <c r="AE1036">
        <v>9</v>
      </c>
      <c r="AF1036" t="s">
        <v>138</v>
      </c>
      <c r="AG1036">
        <v>0</v>
      </c>
      <c r="AH1036">
        <v>3</v>
      </c>
      <c r="AI1036">
        <v>1</v>
      </c>
      <c r="AJ1036">
        <v>0</v>
      </c>
      <c r="AK1036" t="s">
        <v>429</v>
      </c>
      <c r="AL1036">
        <v>32.807772</v>
      </c>
      <c r="AM1036" t="s">
        <v>430</v>
      </c>
      <c r="AN1036">
        <v>-116.929142</v>
      </c>
      <c r="AO1036">
        <v>25</v>
      </c>
      <c r="AP1036">
        <v>2000</v>
      </c>
      <c r="AQ1036" t="s">
        <v>129</v>
      </c>
      <c r="AR1036">
        <v>130</v>
      </c>
      <c r="AS1036">
        <v>-10</v>
      </c>
      <c r="AT1036">
        <v>-256</v>
      </c>
      <c r="BB1036">
        <v>1200</v>
      </c>
      <c r="BC1036">
        <v>1</v>
      </c>
      <c r="BD1036" t="str">
        <f t="shared" si="358"/>
        <v xml:space="preserve">N887QR  </v>
      </c>
      <c r="BE1036">
        <v>1</v>
      </c>
      <c r="BG1036">
        <v>0</v>
      </c>
      <c r="BH1036">
        <v>0</v>
      </c>
      <c r="BI1036">
        <v>0</v>
      </c>
      <c r="BJ1036">
        <v>1700</v>
      </c>
      <c r="BK1036">
        <v>-300</v>
      </c>
      <c r="BL1036" t="s">
        <v>163</v>
      </c>
      <c r="BM1036">
        <v>1</v>
      </c>
      <c r="BN1036">
        <v>1</v>
      </c>
      <c r="BO1036">
        <v>1</v>
      </c>
      <c r="BP1036">
        <v>0</v>
      </c>
      <c r="BS1036">
        <v>0</v>
      </c>
      <c r="BT1036">
        <v>0</v>
      </c>
      <c r="BU1036">
        <v>0</v>
      </c>
      <c r="CE1036" t="str">
        <f t="shared" si="360"/>
        <v>19:28:20.495</v>
      </c>
      <c r="CF1036">
        <v>495473807</v>
      </c>
      <c r="CS1036">
        <v>3</v>
      </c>
      <c r="CT1036">
        <v>2</v>
      </c>
      <c r="CU1036">
        <v>0</v>
      </c>
      <c r="CV1036">
        <v>2</v>
      </c>
      <c r="CW1036">
        <v>0</v>
      </c>
      <c r="CX1036">
        <v>5</v>
      </c>
      <c r="CY1036">
        <v>7</v>
      </c>
      <c r="CZ1036" t="s">
        <v>131</v>
      </c>
      <c r="DA1036">
        <v>300</v>
      </c>
      <c r="DB1036">
        <v>0</v>
      </c>
      <c r="DC1036" t="s">
        <v>176</v>
      </c>
      <c r="DD1036" t="s">
        <v>177</v>
      </c>
      <c r="DG1036">
        <v>5376884</v>
      </c>
      <c r="DI1036">
        <v>1</v>
      </c>
      <c r="DJ1036">
        <v>0</v>
      </c>
      <c r="DK1036">
        <v>1</v>
      </c>
      <c r="DL1036">
        <v>0</v>
      </c>
      <c r="DM1036">
        <v>0</v>
      </c>
      <c r="DN1036">
        <v>1</v>
      </c>
      <c r="DO1036">
        <v>0</v>
      </c>
      <c r="DP1036">
        <v>0</v>
      </c>
      <c r="DQ1036">
        <v>0</v>
      </c>
      <c r="DR1036">
        <v>0</v>
      </c>
      <c r="DS1036">
        <v>0</v>
      </c>
    </row>
    <row r="1037" spans="1:123" x14ac:dyDescent="0.3">
      <c r="A1037" t="str">
        <f>"10/04/2022 19:28:20.728"</f>
        <v>10/04/2022 19:28:20.728</v>
      </c>
      <c r="C1037" t="str">
        <f t="shared" si="351"/>
        <v>FFDFD3C0</v>
      </c>
      <c r="D1037" t="s">
        <v>134</v>
      </c>
      <c r="E1037">
        <v>15</v>
      </c>
      <c r="J1037" t="s">
        <v>135</v>
      </c>
      <c r="K1037">
        <v>0</v>
      </c>
      <c r="L1037">
        <v>3</v>
      </c>
      <c r="M1037">
        <v>0</v>
      </c>
      <c r="N1037">
        <v>2</v>
      </c>
      <c r="O1037">
        <v>0</v>
      </c>
      <c r="P1037">
        <v>1</v>
      </c>
      <c r="Q1037">
        <v>0</v>
      </c>
      <c r="S1037" t="str">
        <f t="shared" si="359"/>
        <v>19:28:20.000</v>
      </c>
      <c r="T1037" t="str">
        <f t="shared" si="359"/>
        <v>19:28:20.000</v>
      </c>
      <c r="U1037" t="str">
        <f t="shared" si="357"/>
        <v>AC3944</v>
      </c>
      <c r="V1037">
        <v>0</v>
      </c>
      <c r="W1037">
        <v>0</v>
      </c>
      <c r="X1037">
        <v>2</v>
      </c>
      <c r="Y1037">
        <v>0</v>
      </c>
      <c r="AA1037">
        <v>1</v>
      </c>
      <c r="AB1037">
        <v>8</v>
      </c>
      <c r="AC1037">
        <v>3</v>
      </c>
      <c r="AD1037">
        <v>0</v>
      </c>
      <c r="AE1037">
        <v>9</v>
      </c>
      <c r="AF1037" t="s">
        <v>138</v>
      </c>
      <c r="AG1037">
        <v>0</v>
      </c>
      <c r="AH1037">
        <v>3</v>
      </c>
      <c r="AI1037">
        <v>1</v>
      </c>
      <c r="AJ1037">
        <v>0</v>
      </c>
      <c r="AK1037" t="s">
        <v>429</v>
      </c>
      <c r="AL1037">
        <v>32.807772</v>
      </c>
      <c r="AM1037" t="s">
        <v>430</v>
      </c>
      <c r="AN1037">
        <v>-116.929142</v>
      </c>
      <c r="AO1037">
        <v>25</v>
      </c>
      <c r="AP1037">
        <v>2000</v>
      </c>
      <c r="AQ1037" t="s">
        <v>129</v>
      </c>
      <c r="AR1037">
        <v>130</v>
      </c>
      <c r="AS1037">
        <v>-10</v>
      </c>
      <c r="AT1037">
        <v>-256</v>
      </c>
      <c r="BB1037">
        <v>1200</v>
      </c>
      <c r="BC1037">
        <v>1</v>
      </c>
      <c r="BD1037" t="str">
        <f t="shared" si="358"/>
        <v xml:space="preserve">N887QR  </v>
      </c>
      <c r="BE1037">
        <v>1</v>
      </c>
      <c r="BG1037">
        <v>0</v>
      </c>
      <c r="BH1037">
        <v>0</v>
      </c>
      <c r="BI1037">
        <v>0</v>
      </c>
      <c r="BJ1037">
        <v>1700</v>
      </c>
      <c r="BK1037">
        <v>-300</v>
      </c>
      <c r="BL1037" t="s">
        <v>163</v>
      </c>
      <c r="BM1037">
        <v>1</v>
      </c>
      <c r="BN1037">
        <v>1</v>
      </c>
      <c r="BO1037">
        <v>1</v>
      </c>
      <c r="BP1037">
        <v>0</v>
      </c>
      <c r="BS1037">
        <v>0</v>
      </c>
      <c r="BT1037">
        <v>0</v>
      </c>
      <c r="BU1037">
        <v>0</v>
      </c>
      <c r="CE1037" t="str">
        <f t="shared" si="360"/>
        <v>19:28:20.495</v>
      </c>
      <c r="CF1037">
        <v>495473807</v>
      </c>
      <c r="CS1037">
        <v>3</v>
      </c>
      <c r="CT1037">
        <v>2</v>
      </c>
      <c r="CU1037">
        <v>0</v>
      </c>
      <c r="CV1037">
        <v>2</v>
      </c>
      <c r="CW1037">
        <v>0</v>
      </c>
      <c r="CX1037">
        <v>5</v>
      </c>
      <c r="CY1037">
        <v>7</v>
      </c>
      <c r="CZ1037" t="s">
        <v>131</v>
      </c>
      <c r="DA1037">
        <v>300</v>
      </c>
      <c r="DB1037">
        <v>0</v>
      </c>
      <c r="DC1037" t="s">
        <v>176</v>
      </c>
      <c r="DD1037" t="s">
        <v>177</v>
      </c>
      <c r="DG1037">
        <v>5376884</v>
      </c>
      <c r="DI1037">
        <v>1</v>
      </c>
      <c r="DJ1037">
        <v>0</v>
      </c>
      <c r="DK1037">
        <v>1</v>
      </c>
      <c r="DL1037">
        <v>0</v>
      </c>
      <c r="DM1037">
        <v>0</v>
      </c>
      <c r="DN1037">
        <v>1</v>
      </c>
      <c r="DO1037">
        <v>0</v>
      </c>
      <c r="DP1037">
        <v>0</v>
      </c>
      <c r="DQ1037">
        <v>0</v>
      </c>
      <c r="DR1037">
        <v>0</v>
      </c>
      <c r="DS1037">
        <v>0</v>
      </c>
    </row>
    <row r="1038" spans="1:123" x14ac:dyDescent="0.3">
      <c r="A1038" t="str">
        <f>"10/04/2022 19:28:20.728"</f>
        <v>10/04/2022 19:28:20.728</v>
      </c>
      <c r="C1038" t="str">
        <f t="shared" si="351"/>
        <v>FFDFD3C0</v>
      </c>
      <c r="D1038" t="s">
        <v>136</v>
      </c>
      <c r="E1038">
        <v>8</v>
      </c>
      <c r="H1038">
        <v>225</v>
      </c>
      <c r="I1038" t="s">
        <v>137</v>
      </c>
      <c r="J1038" t="s">
        <v>138</v>
      </c>
      <c r="K1038">
        <v>0</v>
      </c>
      <c r="L1038">
        <v>3</v>
      </c>
      <c r="M1038">
        <v>0</v>
      </c>
      <c r="N1038">
        <v>2</v>
      </c>
      <c r="O1038">
        <v>0</v>
      </c>
      <c r="P1038">
        <v>1</v>
      </c>
      <c r="Q1038">
        <v>0</v>
      </c>
      <c r="S1038" t="str">
        <f t="shared" si="359"/>
        <v>19:28:20.000</v>
      </c>
      <c r="T1038" t="str">
        <f t="shared" si="359"/>
        <v>19:28:20.000</v>
      </c>
      <c r="U1038" t="str">
        <f t="shared" si="357"/>
        <v>AC3944</v>
      </c>
      <c r="V1038">
        <v>0</v>
      </c>
      <c r="W1038">
        <v>0</v>
      </c>
      <c r="X1038">
        <v>2</v>
      </c>
      <c r="Y1038">
        <v>0</v>
      </c>
      <c r="AA1038">
        <v>1</v>
      </c>
      <c r="AB1038">
        <v>8</v>
      </c>
      <c r="AC1038">
        <v>3</v>
      </c>
      <c r="AD1038">
        <v>0</v>
      </c>
      <c r="AE1038">
        <v>9</v>
      </c>
      <c r="AF1038" t="s">
        <v>138</v>
      </c>
      <c r="AG1038">
        <v>0</v>
      </c>
      <c r="AH1038">
        <v>3</v>
      </c>
      <c r="AI1038">
        <v>1</v>
      </c>
      <c r="AJ1038">
        <v>0</v>
      </c>
      <c r="AK1038" t="s">
        <v>429</v>
      </c>
      <c r="AL1038">
        <v>32.807772</v>
      </c>
      <c r="AM1038" t="s">
        <v>430</v>
      </c>
      <c r="AN1038">
        <v>-116.929142</v>
      </c>
      <c r="AO1038">
        <v>25</v>
      </c>
      <c r="AP1038">
        <v>2000</v>
      </c>
      <c r="AQ1038" t="s">
        <v>129</v>
      </c>
      <c r="AR1038">
        <v>130</v>
      </c>
      <c r="AS1038">
        <v>-10</v>
      </c>
      <c r="AT1038">
        <v>-256</v>
      </c>
      <c r="BB1038">
        <v>1200</v>
      </c>
      <c r="BC1038">
        <v>1</v>
      </c>
      <c r="BD1038" t="str">
        <f t="shared" si="358"/>
        <v xml:space="preserve">N887QR  </v>
      </c>
      <c r="BE1038">
        <v>1</v>
      </c>
      <c r="BG1038">
        <v>0</v>
      </c>
      <c r="BH1038">
        <v>0</v>
      </c>
      <c r="BI1038">
        <v>0</v>
      </c>
      <c r="BJ1038">
        <v>1700</v>
      </c>
      <c r="BK1038">
        <v>-300</v>
      </c>
      <c r="BL1038" t="s">
        <v>163</v>
      </c>
      <c r="BM1038">
        <v>1</v>
      </c>
      <c r="BN1038">
        <v>1</v>
      </c>
      <c r="BO1038">
        <v>1</v>
      </c>
      <c r="BP1038">
        <v>0</v>
      </c>
      <c r="BS1038">
        <v>0</v>
      </c>
      <c r="BT1038">
        <v>0</v>
      </c>
      <c r="BU1038">
        <v>0</v>
      </c>
      <c r="CE1038" t="str">
        <f t="shared" si="360"/>
        <v>19:28:20.495</v>
      </c>
      <c r="CF1038">
        <v>495473807</v>
      </c>
      <c r="CS1038">
        <v>3</v>
      </c>
      <c r="CT1038">
        <v>2</v>
      </c>
      <c r="CU1038">
        <v>0</v>
      </c>
      <c r="CV1038">
        <v>2</v>
      </c>
      <c r="CW1038">
        <v>0</v>
      </c>
      <c r="CX1038">
        <v>5</v>
      </c>
      <c r="CY1038">
        <v>7</v>
      </c>
      <c r="CZ1038" t="s">
        <v>131</v>
      </c>
      <c r="DA1038">
        <v>300</v>
      </c>
      <c r="DB1038">
        <v>0</v>
      </c>
      <c r="DC1038" t="s">
        <v>176</v>
      </c>
      <c r="DD1038" t="s">
        <v>177</v>
      </c>
      <c r="DG1038">
        <v>5376884</v>
      </c>
      <c r="DI1038">
        <v>1</v>
      </c>
      <c r="DJ1038">
        <v>0</v>
      </c>
      <c r="DK1038">
        <v>1</v>
      </c>
      <c r="DL1038">
        <v>0</v>
      </c>
      <c r="DM1038">
        <v>0</v>
      </c>
      <c r="DN1038">
        <v>1</v>
      </c>
      <c r="DO1038">
        <v>0</v>
      </c>
      <c r="DP1038">
        <v>0</v>
      </c>
      <c r="DQ1038">
        <v>0</v>
      </c>
      <c r="DR1038">
        <v>0</v>
      </c>
      <c r="DS1038">
        <v>0</v>
      </c>
    </row>
    <row r="1039" spans="1:123" x14ac:dyDescent="0.3">
      <c r="A1039" t="str">
        <f>"10/04/2022 19:28:21.368"</f>
        <v>10/04/2022 19:28:21.368</v>
      </c>
      <c r="C1039" t="str">
        <f t="shared" si="351"/>
        <v>FFDFD3C0</v>
      </c>
      <c r="D1039" t="s">
        <v>123</v>
      </c>
      <c r="E1039">
        <v>7</v>
      </c>
      <c r="F1039">
        <v>2007</v>
      </c>
      <c r="G1039" t="s">
        <v>124</v>
      </c>
      <c r="J1039" t="s">
        <v>125</v>
      </c>
      <c r="K1039">
        <v>0</v>
      </c>
      <c r="L1039">
        <v>3</v>
      </c>
      <c r="M1039">
        <v>0</v>
      </c>
      <c r="N1039">
        <v>2</v>
      </c>
      <c r="O1039">
        <v>0</v>
      </c>
      <c r="P1039">
        <v>1</v>
      </c>
      <c r="Q1039">
        <v>0</v>
      </c>
      <c r="S1039" t="str">
        <f t="shared" ref="S1039:T1045" si="361">"19:28:21.000"</f>
        <v>19:28:21.000</v>
      </c>
      <c r="T1039" t="str">
        <f t="shared" si="361"/>
        <v>19:28:21.000</v>
      </c>
      <c r="U1039" t="str">
        <f t="shared" si="357"/>
        <v>AC3944</v>
      </c>
      <c r="V1039">
        <v>0</v>
      </c>
      <c r="W1039">
        <v>0</v>
      </c>
      <c r="X1039">
        <v>2</v>
      </c>
      <c r="Y1039">
        <v>0</v>
      </c>
      <c r="AA1039">
        <v>1</v>
      </c>
      <c r="AB1039">
        <v>8</v>
      </c>
      <c r="AC1039">
        <v>3</v>
      </c>
      <c r="AD1039">
        <v>0</v>
      </c>
      <c r="AE1039">
        <v>9</v>
      </c>
      <c r="AF1039" t="s">
        <v>138</v>
      </c>
      <c r="AG1039">
        <v>0</v>
      </c>
      <c r="AH1039">
        <v>3</v>
      </c>
      <c r="AI1039">
        <v>1</v>
      </c>
      <c r="AJ1039">
        <v>0</v>
      </c>
      <c r="AK1039" t="s">
        <v>431</v>
      </c>
      <c r="AL1039">
        <v>32.807729000000002</v>
      </c>
      <c r="AM1039" t="s">
        <v>432</v>
      </c>
      <c r="AN1039">
        <v>-116.92841300000001</v>
      </c>
      <c r="AO1039">
        <v>25</v>
      </c>
      <c r="AP1039">
        <v>2000</v>
      </c>
      <c r="AQ1039" t="s">
        <v>129</v>
      </c>
      <c r="AR1039">
        <v>130</v>
      </c>
      <c r="AS1039">
        <v>-11</v>
      </c>
      <c r="AT1039">
        <v>-256</v>
      </c>
      <c r="BB1039">
        <v>1200</v>
      </c>
      <c r="BC1039">
        <v>1</v>
      </c>
      <c r="BD1039" t="str">
        <f t="shared" si="358"/>
        <v xml:space="preserve">N887QR  </v>
      </c>
      <c r="BE1039">
        <v>1</v>
      </c>
      <c r="BG1039">
        <v>0</v>
      </c>
      <c r="BH1039">
        <v>0</v>
      </c>
      <c r="BI1039">
        <v>0</v>
      </c>
      <c r="BJ1039">
        <v>1700</v>
      </c>
      <c r="BK1039">
        <v>-300</v>
      </c>
      <c r="BL1039" t="s">
        <v>163</v>
      </c>
      <c r="BM1039">
        <v>1</v>
      </c>
      <c r="BN1039">
        <v>1</v>
      </c>
      <c r="BO1039">
        <v>1</v>
      </c>
      <c r="BP1039">
        <v>0</v>
      </c>
      <c r="BS1039">
        <v>0</v>
      </c>
      <c r="BT1039">
        <v>0</v>
      </c>
      <c r="BU1039">
        <v>0</v>
      </c>
      <c r="CE1039" t="str">
        <f t="shared" ref="CE1039:CE1045" si="362">"19:28:21.181"</f>
        <v>19:28:21.181</v>
      </c>
      <c r="CF1039">
        <v>181226014</v>
      </c>
      <c r="CS1039">
        <v>3</v>
      </c>
      <c r="CT1039">
        <v>2</v>
      </c>
      <c r="CU1039">
        <v>0</v>
      </c>
      <c r="CV1039">
        <v>2</v>
      </c>
      <c r="CW1039">
        <v>0</v>
      </c>
      <c r="CX1039">
        <v>5</v>
      </c>
      <c r="CY1039">
        <v>7</v>
      </c>
      <c r="CZ1039" t="s">
        <v>131</v>
      </c>
      <c r="DA1039">
        <v>300</v>
      </c>
      <c r="DB1039">
        <v>0</v>
      </c>
      <c r="DC1039" t="s">
        <v>176</v>
      </c>
      <c r="DD1039" t="s">
        <v>177</v>
      </c>
      <c r="DG1039">
        <v>5376999</v>
      </c>
      <c r="DI1039">
        <v>1</v>
      </c>
      <c r="DJ1039">
        <v>0</v>
      </c>
      <c r="DK1039">
        <v>0</v>
      </c>
      <c r="DL1039">
        <v>0</v>
      </c>
      <c r="DM1039">
        <v>0</v>
      </c>
      <c r="DN1039">
        <v>1</v>
      </c>
      <c r="DO1039">
        <v>0</v>
      </c>
      <c r="DP1039">
        <v>0</v>
      </c>
      <c r="DQ1039">
        <v>0</v>
      </c>
      <c r="DR1039">
        <v>0</v>
      </c>
      <c r="DS1039">
        <v>0</v>
      </c>
    </row>
    <row r="1040" spans="1:123" x14ac:dyDescent="0.3">
      <c r="A1040" t="str">
        <f>"10/04/2022 19:28:21.368"</f>
        <v>10/04/2022 19:28:21.368</v>
      </c>
      <c r="C1040" t="str">
        <f t="shared" si="351"/>
        <v>FFDFD3C0</v>
      </c>
      <c r="D1040" t="s">
        <v>147</v>
      </c>
      <c r="E1040">
        <v>3</v>
      </c>
      <c r="H1040">
        <v>166</v>
      </c>
      <c r="I1040" t="s">
        <v>144</v>
      </c>
      <c r="J1040" t="s">
        <v>148</v>
      </c>
      <c r="K1040">
        <v>0</v>
      </c>
      <c r="L1040">
        <v>3</v>
      </c>
      <c r="M1040">
        <v>0</v>
      </c>
      <c r="N1040">
        <v>2</v>
      </c>
      <c r="O1040">
        <v>0</v>
      </c>
      <c r="P1040">
        <v>1</v>
      </c>
      <c r="Q1040">
        <v>0</v>
      </c>
      <c r="S1040" t="str">
        <f t="shared" si="361"/>
        <v>19:28:21.000</v>
      </c>
      <c r="T1040" t="str">
        <f t="shared" si="361"/>
        <v>19:28:21.000</v>
      </c>
      <c r="U1040" t="str">
        <f t="shared" si="357"/>
        <v>AC3944</v>
      </c>
      <c r="V1040">
        <v>0</v>
      </c>
      <c r="W1040">
        <v>0</v>
      </c>
      <c r="X1040">
        <v>2</v>
      </c>
      <c r="Y1040">
        <v>0</v>
      </c>
      <c r="AA1040">
        <v>1</v>
      </c>
      <c r="AB1040">
        <v>8</v>
      </c>
      <c r="AC1040">
        <v>3</v>
      </c>
      <c r="AD1040">
        <v>0</v>
      </c>
      <c r="AE1040">
        <v>9</v>
      </c>
      <c r="AF1040" t="s">
        <v>138</v>
      </c>
      <c r="AG1040">
        <v>0</v>
      </c>
      <c r="AH1040">
        <v>3</v>
      </c>
      <c r="AI1040">
        <v>1</v>
      </c>
      <c r="AJ1040">
        <v>0</v>
      </c>
      <c r="AK1040" t="s">
        <v>431</v>
      </c>
      <c r="AL1040">
        <v>32.807729000000002</v>
      </c>
      <c r="AM1040" t="s">
        <v>432</v>
      </c>
      <c r="AN1040">
        <v>-116.92841300000001</v>
      </c>
      <c r="AO1040">
        <v>25</v>
      </c>
      <c r="AP1040">
        <v>2000</v>
      </c>
      <c r="AQ1040" t="s">
        <v>129</v>
      </c>
      <c r="AR1040">
        <v>130</v>
      </c>
      <c r="AS1040">
        <v>-11</v>
      </c>
      <c r="AT1040">
        <v>-256</v>
      </c>
      <c r="BB1040">
        <v>1200</v>
      </c>
      <c r="BC1040">
        <v>1</v>
      </c>
      <c r="BD1040" t="str">
        <f t="shared" si="358"/>
        <v xml:space="preserve">N887QR  </v>
      </c>
      <c r="BE1040">
        <v>1</v>
      </c>
      <c r="BG1040">
        <v>0</v>
      </c>
      <c r="BH1040">
        <v>0</v>
      </c>
      <c r="BI1040">
        <v>0</v>
      </c>
      <c r="BJ1040">
        <v>1700</v>
      </c>
      <c r="BK1040">
        <v>-300</v>
      </c>
      <c r="BL1040" t="s">
        <v>163</v>
      </c>
      <c r="BM1040">
        <v>1</v>
      </c>
      <c r="BN1040">
        <v>1</v>
      </c>
      <c r="BO1040">
        <v>1</v>
      </c>
      <c r="BP1040">
        <v>0</v>
      </c>
      <c r="BS1040">
        <v>0</v>
      </c>
      <c r="BT1040">
        <v>0</v>
      </c>
      <c r="BU1040">
        <v>0</v>
      </c>
      <c r="CE1040" t="str">
        <f t="shared" si="362"/>
        <v>19:28:21.181</v>
      </c>
      <c r="CF1040">
        <v>181226014</v>
      </c>
      <c r="CS1040">
        <v>3</v>
      </c>
      <c r="CT1040">
        <v>2</v>
      </c>
      <c r="CU1040">
        <v>0</v>
      </c>
      <c r="CV1040">
        <v>2</v>
      </c>
      <c r="CW1040">
        <v>0</v>
      </c>
      <c r="CX1040">
        <v>5</v>
      </c>
      <c r="CY1040">
        <v>7</v>
      </c>
      <c r="CZ1040" t="s">
        <v>131</v>
      </c>
      <c r="DA1040">
        <v>300</v>
      </c>
      <c r="DB1040">
        <v>0</v>
      </c>
      <c r="DC1040" t="s">
        <v>176</v>
      </c>
      <c r="DD1040" t="s">
        <v>177</v>
      </c>
      <c r="DG1040">
        <v>5376999</v>
      </c>
      <c r="DI1040">
        <v>1</v>
      </c>
      <c r="DJ1040">
        <v>0</v>
      </c>
      <c r="DK1040">
        <v>1</v>
      </c>
      <c r="DL1040">
        <v>0</v>
      </c>
      <c r="DM1040">
        <v>0</v>
      </c>
      <c r="DN1040">
        <v>1</v>
      </c>
      <c r="DO1040">
        <v>0</v>
      </c>
      <c r="DP1040">
        <v>0</v>
      </c>
      <c r="DQ1040">
        <v>0</v>
      </c>
      <c r="DR1040">
        <v>0</v>
      </c>
      <c r="DS1040">
        <v>0</v>
      </c>
    </row>
    <row r="1041" spans="1:123" x14ac:dyDescent="0.3">
      <c r="A1041" t="str">
        <f>"10/04/2022 19:28:21.368"</f>
        <v>10/04/2022 19:28:21.368</v>
      </c>
      <c r="C1041" t="str">
        <f t="shared" si="351"/>
        <v>FFDFD3C0</v>
      </c>
      <c r="D1041" t="s">
        <v>136</v>
      </c>
      <c r="E1041">
        <v>8</v>
      </c>
      <c r="H1041">
        <v>225</v>
      </c>
      <c r="I1041" t="s">
        <v>137</v>
      </c>
      <c r="J1041" t="s">
        <v>138</v>
      </c>
      <c r="K1041">
        <v>0</v>
      </c>
      <c r="L1041">
        <v>3</v>
      </c>
      <c r="M1041">
        <v>0</v>
      </c>
      <c r="N1041">
        <v>2</v>
      </c>
      <c r="O1041">
        <v>0</v>
      </c>
      <c r="P1041">
        <v>1</v>
      </c>
      <c r="Q1041">
        <v>0</v>
      </c>
      <c r="S1041" t="str">
        <f t="shared" si="361"/>
        <v>19:28:21.000</v>
      </c>
      <c r="T1041" t="str">
        <f t="shared" si="361"/>
        <v>19:28:21.000</v>
      </c>
      <c r="U1041" t="str">
        <f t="shared" si="357"/>
        <v>AC3944</v>
      </c>
      <c r="V1041">
        <v>0</v>
      </c>
      <c r="W1041">
        <v>0</v>
      </c>
      <c r="X1041">
        <v>2</v>
      </c>
      <c r="Y1041">
        <v>0</v>
      </c>
      <c r="AA1041">
        <v>1</v>
      </c>
      <c r="AB1041">
        <v>8</v>
      </c>
      <c r="AC1041">
        <v>3</v>
      </c>
      <c r="AD1041">
        <v>0</v>
      </c>
      <c r="AE1041">
        <v>9</v>
      </c>
      <c r="AF1041" t="s">
        <v>138</v>
      </c>
      <c r="AG1041">
        <v>0</v>
      </c>
      <c r="AH1041">
        <v>3</v>
      </c>
      <c r="AI1041">
        <v>1</v>
      </c>
      <c r="AJ1041">
        <v>0</v>
      </c>
      <c r="AK1041" t="s">
        <v>431</v>
      </c>
      <c r="AL1041">
        <v>32.807729000000002</v>
      </c>
      <c r="AM1041" t="s">
        <v>432</v>
      </c>
      <c r="AN1041">
        <v>-116.92841300000001</v>
      </c>
      <c r="AO1041">
        <v>25</v>
      </c>
      <c r="AP1041">
        <v>2000</v>
      </c>
      <c r="AQ1041" t="s">
        <v>129</v>
      </c>
      <c r="AR1041">
        <v>130</v>
      </c>
      <c r="AS1041">
        <v>-11</v>
      </c>
      <c r="AT1041">
        <v>-256</v>
      </c>
      <c r="BB1041">
        <v>1200</v>
      </c>
      <c r="BC1041">
        <v>1</v>
      </c>
      <c r="BD1041" t="str">
        <f t="shared" si="358"/>
        <v xml:space="preserve">N887QR  </v>
      </c>
      <c r="BE1041">
        <v>1</v>
      </c>
      <c r="BG1041">
        <v>0</v>
      </c>
      <c r="BH1041">
        <v>0</v>
      </c>
      <c r="BI1041">
        <v>0</v>
      </c>
      <c r="BJ1041">
        <v>1700</v>
      </c>
      <c r="BK1041">
        <v>-300</v>
      </c>
      <c r="BL1041" t="s">
        <v>163</v>
      </c>
      <c r="BM1041">
        <v>1</v>
      </c>
      <c r="BN1041">
        <v>1</v>
      </c>
      <c r="BO1041">
        <v>1</v>
      </c>
      <c r="BP1041">
        <v>0</v>
      </c>
      <c r="BS1041">
        <v>0</v>
      </c>
      <c r="BT1041">
        <v>0</v>
      </c>
      <c r="BU1041">
        <v>0</v>
      </c>
      <c r="CE1041" t="str">
        <f t="shared" si="362"/>
        <v>19:28:21.181</v>
      </c>
      <c r="CF1041">
        <v>181226014</v>
      </c>
      <c r="CS1041">
        <v>3</v>
      </c>
      <c r="CT1041">
        <v>2</v>
      </c>
      <c r="CU1041">
        <v>0</v>
      </c>
      <c r="CV1041">
        <v>2</v>
      </c>
      <c r="CW1041">
        <v>0</v>
      </c>
      <c r="CX1041">
        <v>5</v>
      </c>
      <c r="CY1041">
        <v>7</v>
      </c>
      <c r="CZ1041" t="s">
        <v>131</v>
      </c>
      <c r="DA1041">
        <v>300</v>
      </c>
      <c r="DB1041">
        <v>0</v>
      </c>
      <c r="DC1041" t="s">
        <v>176</v>
      </c>
      <c r="DD1041" t="s">
        <v>177</v>
      </c>
      <c r="DG1041">
        <v>5376999</v>
      </c>
      <c r="DI1041">
        <v>1</v>
      </c>
      <c r="DJ1041">
        <v>0</v>
      </c>
      <c r="DK1041">
        <v>1</v>
      </c>
      <c r="DL1041">
        <v>0</v>
      </c>
      <c r="DM1041">
        <v>0</v>
      </c>
      <c r="DN1041">
        <v>1</v>
      </c>
      <c r="DO1041">
        <v>0</v>
      </c>
      <c r="DP1041">
        <v>0</v>
      </c>
      <c r="DQ1041">
        <v>0</v>
      </c>
      <c r="DR1041">
        <v>0</v>
      </c>
      <c r="DS1041">
        <v>0</v>
      </c>
    </row>
    <row r="1042" spans="1:123" x14ac:dyDescent="0.3">
      <c r="A1042" t="str">
        <f>"10/04/2022 19:28:21.368"</f>
        <v>10/04/2022 19:28:21.368</v>
      </c>
      <c r="C1042" t="str">
        <f t="shared" si="351"/>
        <v>FFDFD3C0</v>
      </c>
      <c r="D1042" t="s">
        <v>134</v>
      </c>
      <c r="E1042">
        <v>15</v>
      </c>
      <c r="J1042" t="s">
        <v>135</v>
      </c>
      <c r="K1042">
        <v>0</v>
      </c>
      <c r="L1042">
        <v>3</v>
      </c>
      <c r="M1042">
        <v>0</v>
      </c>
      <c r="N1042">
        <v>2</v>
      </c>
      <c r="O1042">
        <v>0</v>
      </c>
      <c r="P1042">
        <v>1</v>
      </c>
      <c r="Q1042">
        <v>0</v>
      </c>
      <c r="S1042" t="str">
        <f t="shared" si="361"/>
        <v>19:28:21.000</v>
      </c>
      <c r="T1042" t="str">
        <f t="shared" si="361"/>
        <v>19:28:21.000</v>
      </c>
      <c r="U1042" t="str">
        <f t="shared" si="357"/>
        <v>AC3944</v>
      </c>
      <c r="V1042">
        <v>0</v>
      </c>
      <c r="W1042">
        <v>0</v>
      </c>
      <c r="X1042">
        <v>2</v>
      </c>
      <c r="Y1042">
        <v>0</v>
      </c>
      <c r="AA1042">
        <v>1</v>
      </c>
      <c r="AB1042">
        <v>8</v>
      </c>
      <c r="AC1042">
        <v>3</v>
      </c>
      <c r="AD1042">
        <v>0</v>
      </c>
      <c r="AE1042">
        <v>9</v>
      </c>
      <c r="AF1042" t="s">
        <v>138</v>
      </c>
      <c r="AG1042">
        <v>0</v>
      </c>
      <c r="AH1042">
        <v>3</v>
      </c>
      <c r="AI1042">
        <v>1</v>
      </c>
      <c r="AJ1042">
        <v>0</v>
      </c>
      <c r="AK1042" t="s">
        <v>431</v>
      </c>
      <c r="AL1042">
        <v>32.807729000000002</v>
      </c>
      <c r="AM1042" t="s">
        <v>432</v>
      </c>
      <c r="AN1042">
        <v>-116.92841300000001</v>
      </c>
      <c r="AO1042">
        <v>25</v>
      </c>
      <c r="AP1042">
        <v>2000</v>
      </c>
      <c r="AQ1042" t="s">
        <v>129</v>
      </c>
      <c r="AR1042">
        <v>130</v>
      </c>
      <c r="AS1042">
        <v>-11</v>
      </c>
      <c r="AT1042">
        <v>-256</v>
      </c>
      <c r="BB1042">
        <v>1200</v>
      </c>
      <c r="BC1042">
        <v>1</v>
      </c>
      <c r="BD1042" t="str">
        <f t="shared" si="358"/>
        <v xml:space="preserve">N887QR  </v>
      </c>
      <c r="BE1042">
        <v>1</v>
      </c>
      <c r="BG1042">
        <v>0</v>
      </c>
      <c r="BH1042">
        <v>0</v>
      </c>
      <c r="BI1042">
        <v>0</v>
      </c>
      <c r="BJ1042">
        <v>1700</v>
      </c>
      <c r="BK1042">
        <v>-300</v>
      </c>
      <c r="BL1042" t="s">
        <v>163</v>
      </c>
      <c r="BM1042">
        <v>1</v>
      </c>
      <c r="BN1042">
        <v>1</v>
      </c>
      <c r="BO1042">
        <v>1</v>
      </c>
      <c r="BP1042">
        <v>0</v>
      </c>
      <c r="BS1042">
        <v>0</v>
      </c>
      <c r="BT1042">
        <v>0</v>
      </c>
      <c r="BU1042">
        <v>0</v>
      </c>
      <c r="CE1042" t="str">
        <f t="shared" si="362"/>
        <v>19:28:21.181</v>
      </c>
      <c r="CF1042">
        <v>181226014</v>
      </c>
      <c r="CS1042">
        <v>3</v>
      </c>
      <c r="CT1042">
        <v>2</v>
      </c>
      <c r="CU1042">
        <v>0</v>
      </c>
      <c r="CV1042">
        <v>2</v>
      </c>
      <c r="CW1042">
        <v>0</v>
      </c>
      <c r="CX1042">
        <v>5</v>
      </c>
      <c r="CY1042">
        <v>7</v>
      </c>
      <c r="CZ1042" t="s">
        <v>131</v>
      </c>
      <c r="DA1042">
        <v>300</v>
      </c>
      <c r="DB1042">
        <v>0</v>
      </c>
      <c r="DC1042" t="s">
        <v>176</v>
      </c>
      <c r="DD1042" t="s">
        <v>177</v>
      </c>
      <c r="DG1042">
        <v>5376999</v>
      </c>
      <c r="DI1042">
        <v>1</v>
      </c>
      <c r="DJ1042">
        <v>0</v>
      </c>
      <c r="DK1042">
        <v>1</v>
      </c>
      <c r="DL1042">
        <v>0</v>
      </c>
      <c r="DM1042">
        <v>0</v>
      </c>
      <c r="DN1042">
        <v>1</v>
      </c>
      <c r="DO1042">
        <v>0</v>
      </c>
      <c r="DP1042">
        <v>0</v>
      </c>
      <c r="DQ1042">
        <v>0</v>
      </c>
      <c r="DR1042">
        <v>0</v>
      </c>
      <c r="DS1042">
        <v>0</v>
      </c>
    </row>
    <row r="1043" spans="1:123" x14ac:dyDescent="0.3">
      <c r="A1043" t="str">
        <f>"10/04/2022 19:28:21.384"</f>
        <v>10/04/2022 19:28:21.384</v>
      </c>
      <c r="C1043" t="str">
        <f t="shared" si="351"/>
        <v>FFDFD3C0</v>
      </c>
      <c r="D1043" t="s">
        <v>141</v>
      </c>
      <c r="E1043">
        <v>4</v>
      </c>
      <c r="H1043">
        <v>4</v>
      </c>
      <c r="I1043" t="s">
        <v>142</v>
      </c>
      <c r="J1043" t="s">
        <v>138</v>
      </c>
      <c r="K1043">
        <v>0</v>
      </c>
      <c r="L1043">
        <v>3</v>
      </c>
      <c r="M1043">
        <v>0</v>
      </c>
      <c r="N1043">
        <v>2</v>
      </c>
      <c r="O1043">
        <v>0</v>
      </c>
      <c r="P1043">
        <v>1</v>
      </c>
      <c r="Q1043">
        <v>0</v>
      </c>
      <c r="S1043" t="str">
        <f t="shared" si="361"/>
        <v>19:28:21.000</v>
      </c>
      <c r="T1043" t="str">
        <f t="shared" si="361"/>
        <v>19:28:21.000</v>
      </c>
      <c r="U1043" t="str">
        <f t="shared" si="357"/>
        <v>AC3944</v>
      </c>
      <c r="V1043">
        <v>0</v>
      </c>
      <c r="W1043">
        <v>0</v>
      </c>
      <c r="X1043">
        <v>2</v>
      </c>
      <c r="Y1043">
        <v>0</v>
      </c>
      <c r="AA1043">
        <v>1</v>
      </c>
      <c r="AB1043">
        <v>8</v>
      </c>
      <c r="AC1043">
        <v>3</v>
      </c>
      <c r="AD1043">
        <v>0</v>
      </c>
      <c r="AE1043">
        <v>9</v>
      </c>
      <c r="AF1043" t="s">
        <v>138</v>
      </c>
      <c r="AG1043">
        <v>0</v>
      </c>
      <c r="AH1043">
        <v>3</v>
      </c>
      <c r="AI1043">
        <v>1</v>
      </c>
      <c r="AJ1043">
        <v>0</v>
      </c>
      <c r="AK1043" t="s">
        <v>431</v>
      </c>
      <c r="AL1043">
        <v>32.807729000000002</v>
      </c>
      <c r="AM1043" t="s">
        <v>432</v>
      </c>
      <c r="AN1043">
        <v>-116.92841300000001</v>
      </c>
      <c r="AO1043">
        <v>25</v>
      </c>
      <c r="AP1043">
        <v>2000</v>
      </c>
      <c r="AQ1043" t="s">
        <v>129</v>
      </c>
      <c r="AR1043">
        <v>130</v>
      </c>
      <c r="AS1043">
        <v>-11</v>
      </c>
      <c r="AT1043">
        <v>-256</v>
      </c>
      <c r="BB1043">
        <v>1200</v>
      </c>
      <c r="BC1043">
        <v>1</v>
      </c>
      <c r="BD1043" t="str">
        <f t="shared" si="358"/>
        <v xml:space="preserve">N887QR  </v>
      </c>
      <c r="BE1043">
        <v>1</v>
      </c>
      <c r="BG1043">
        <v>0</v>
      </c>
      <c r="BH1043">
        <v>0</v>
      </c>
      <c r="BI1043">
        <v>0</v>
      </c>
      <c r="BJ1043">
        <v>1700</v>
      </c>
      <c r="BK1043">
        <v>-300</v>
      </c>
      <c r="BL1043" t="s">
        <v>163</v>
      </c>
      <c r="BM1043">
        <v>1</v>
      </c>
      <c r="BN1043">
        <v>1</v>
      </c>
      <c r="BO1043">
        <v>1</v>
      </c>
      <c r="BP1043">
        <v>0</v>
      </c>
      <c r="BS1043">
        <v>0</v>
      </c>
      <c r="BT1043">
        <v>0</v>
      </c>
      <c r="BU1043">
        <v>0</v>
      </c>
      <c r="CE1043" t="str">
        <f t="shared" si="362"/>
        <v>19:28:21.181</v>
      </c>
      <c r="CF1043">
        <v>181226014</v>
      </c>
      <c r="CS1043">
        <v>3</v>
      </c>
      <c r="CT1043">
        <v>2</v>
      </c>
      <c r="CU1043">
        <v>0</v>
      </c>
      <c r="CV1043">
        <v>2</v>
      </c>
      <c r="CW1043">
        <v>0</v>
      </c>
      <c r="CX1043">
        <v>5</v>
      </c>
      <c r="CY1043">
        <v>7</v>
      </c>
      <c r="CZ1043" t="s">
        <v>131</v>
      </c>
      <c r="DA1043">
        <v>300</v>
      </c>
      <c r="DB1043">
        <v>0</v>
      </c>
      <c r="DC1043" t="s">
        <v>176</v>
      </c>
      <c r="DD1043" t="s">
        <v>177</v>
      </c>
      <c r="DG1043">
        <v>5376999</v>
      </c>
      <c r="DI1043">
        <v>1</v>
      </c>
      <c r="DJ1043">
        <v>0</v>
      </c>
      <c r="DK1043">
        <v>1</v>
      </c>
      <c r="DL1043">
        <v>0</v>
      </c>
      <c r="DM1043">
        <v>0</v>
      </c>
      <c r="DN1043">
        <v>1</v>
      </c>
      <c r="DO1043">
        <v>0</v>
      </c>
      <c r="DP1043">
        <v>0</v>
      </c>
      <c r="DQ1043">
        <v>0</v>
      </c>
      <c r="DR1043">
        <v>0</v>
      </c>
      <c r="DS1043">
        <v>0</v>
      </c>
    </row>
    <row r="1044" spans="1:123" x14ac:dyDescent="0.3">
      <c r="A1044" t="str">
        <f>"10/04/2022 19:28:21.399"</f>
        <v>10/04/2022 19:28:21.399</v>
      </c>
      <c r="C1044" t="str">
        <f t="shared" si="351"/>
        <v>FFDFD3C0</v>
      </c>
      <c r="D1044" t="s">
        <v>141</v>
      </c>
      <c r="E1044">
        <v>3</v>
      </c>
      <c r="H1044">
        <v>3</v>
      </c>
      <c r="I1044" t="s">
        <v>146</v>
      </c>
      <c r="J1044" t="s">
        <v>138</v>
      </c>
      <c r="K1044">
        <v>0</v>
      </c>
      <c r="L1044">
        <v>3</v>
      </c>
      <c r="M1044">
        <v>0</v>
      </c>
      <c r="N1044">
        <v>2</v>
      </c>
      <c r="O1044">
        <v>0</v>
      </c>
      <c r="P1044">
        <v>1</v>
      </c>
      <c r="Q1044">
        <v>0</v>
      </c>
      <c r="S1044" t="str">
        <f t="shared" si="361"/>
        <v>19:28:21.000</v>
      </c>
      <c r="T1044" t="str">
        <f t="shared" si="361"/>
        <v>19:28:21.000</v>
      </c>
      <c r="U1044" t="str">
        <f t="shared" si="357"/>
        <v>AC3944</v>
      </c>
      <c r="V1044">
        <v>0</v>
      </c>
      <c r="W1044">
        <v>0</v>
      </c>
      <c r="X1044">
        <v>2</v>
      </c>
      <c r="Y1044">
        <v>0</v>
      </c>
      <c r="AA1044">
        <v>1</v>
      </c>
      <c r="AB1044">
        <v>8</v>
      </c>
      <c r="AC1044">
        <v>3</v>
      </c>
      <c r="AD1044">
        <v>0</v>
      </c>
      <c r="AE1044">
        <v>9</v>
      </c>
      <c r="AF1044" t="s">
        <v>138</v>
      </c>
      <c r="AG1044">
        <v>0</v>
      </c>
      <c r="AH1044">
        <v>3</v>
      </c>
      <c r="AI1044">
        <v>1</v>
      </c>
      <c r="AJ1044">
        <v>0</v>
      </c>
      <c r="AK1044" t="s">
        <v>431</v>
      </c>
      <c r="AL1044">
        <v>32.807729000000002</v>
      </c>
      <c r="AM1044" t="s">
        <v>432</v>
      </c>
      <c r="AN1044">
        <v>-116.92841300000001</v>
      </c>
      <c r="AO1044">
        <v>25</v>
      </c>
      <c r="AP1044">
        <v>2000</v>
      </c>
      <c r="AQ1044" t="s">
        <v>129</v>
      </c>
      <c r="AR1044">
        <v>130</v>
      </c>
      <c r="AS1044">
        <v>-11</v>
      </c>
      <c r="AT1044">
        <v>-256</v>
      </c>
      <c r="BB1044">
        <v>1200</v>
      </c>
      <c r="BC1044">
        <v>1</v>
      </c>
      <c r="BD1044" t="str">
        <f t="shared" si="358"/>
        <v xml:space="preserve">N887QR  </v>
      </c>
      <c r="BE1044">
        <v>1</v>
      </c>
      <c r="BG1044">
        <v>0</v>
      </c>
      <c r="BH1044">
        <v>0</v>
      </c>
      <c r="BI1044">
        <v>0</v>
      </c>
      <c r="BJ1044">
        <v>1700</v>
      </c>
      <c r="BK1044">
        <v>-300</v>
      </c>
      <c r="BL1044" t="s">
        <v>163</v>
      </c>
      <c r="BM1044">
        <v>1</v>
      </c>
      <c r="BN1044">
        <v>1</v>
      </c>
      <c r="BO1044">
        <v>1</v>
      </c>
      <c r="BP1044">
        <v>0</v>
      </c>
      <c r="BS1044">
        <v>0</v>
      </c>
      <c r="BT1044">
        <v>0</v>
      </c>
      <c r="BU1044">
        <v>0</v>
      </c>
      <c r="CE1044" t="str">
        <f t="shared" si="362"/>
        <v>19:28:21.181</v>
      </c>
      <c r="CF1044">
        <v>181226014</v>
      </c>
      <c r="CS1044">
        <v>3</v>
      </c>
      <c r="CT1044">
        <v>2</v>
      </c>
      <c r="CU1044">
        <v>0</v>
      </c>
      <c r="CV1044">
        <v>2</v>
      </c>
      <c r="CW1044">
        <v>0</v>
      </c>
      <c r="CX1044">
        <v>5</v>
      </c>
      <c r="CY1044">
        <v>7</v>
      </c>
      <c r="CZ1044" t="s">
        <v>131</v>
      </c>
      <c r="DA1044">
        <v>300</v>
      </c>
      <c r="DB1044">
        <v>0</v>
      </c>
      <c r="DC1044" t="s">
        <v>176</v>
      </c>
      <c r="DD1044" t="s">
        <v>177</v>
      </c>
      <c r="DG1044">
        <v>5376999</v>
      </c>
      <c r="DI1044">
        <v>1</v>
      </c>
      <c r="DJ1044">
        <v>0</v>
      </c>
      <c r="DK1044">
        <v>1</v>
      </c>
      <c r="DL1044">
        <v>0</v>
      </c>
      <c r="DM1044">
        <v>0</v>
      </c>
      <c r="DN1044">
        <v>1</v>
      </c>
      <c r="DO1044">
        <v>0</v>
      </c>
      <c r="DP1044">
        <v>0</v>
      </c>
      <c r="DQ1044">
        <v>0</v>
      </c>
      <c r="DR1044">
        <v>0</v>
      </c>
      <c r="DS1044">
        <v>0</v>
      </c>
    </row>
    <row r="1045" spans="1:123" x14ac:dyDescent="0.3">
      <c r="A1045" t="str">
        <f>"10/04/2022 19:28:21.399"</f>
        <v>10/04/2022 19:28:21.399</v>
      </c>
      <c r="C1045" t="str">
        <f t="shared" si="351"/>
        <v>FFDFD3C0</v>
      </c>
      <c r="D1045" t="s">
        <v>143</v>
      </c>
      <c r="E1045">
        <v>20</v>
      </c>
      <c r="F1045">
        <v>1020</v>
      </c>
      <c r="G1045" t="s">
        <v>144</v>
      </c>
      <c r="J1045" t="s">
        <v>145</v>
      </c>
      <c r="K1045">
        <v>0</v>
      </c>
      <c r="L1045">
        <v>3</v>
      </c>
      <c r="M1045">
        <v>0</v>
      </c>
      <c r="N1045">
        <v>2</v>
      </c>
      <c r="O1045">
        <v>0</v>
      </c>
      <c r="P1045">
        <v>1</v>
      </c>
      <c r="Q1045">
        <v>0</v>
      </c>
      <c r="S1045" t="str">
        <f t="shared" si="361"/>
        <v>19:28:21.000</v>
      </c>
      <c r="T1045" t="str">
        <f t="shared" si="361"/>
        <v>19:28:21.000</v>
      </c>
      <c r="U1045" t="str">
        <f t="shared" si="357"/>
        <v>AC3944</v>
      </c>
      <c r="V1045">
        <v>0</v>
      </c>
      <c r="W1045">
        <v>0</v>
      </c>
      <c r="X1045">
        <v>2</v>
      </c>
      <c r="Y1045">
        <v>0</v>
      </c>
      <c r="AA1045">
        <v>1</v>
      </c>
      <c r="AB1045">
        <v>8</v>
      </c>
      <c r="AC1045">
        <v>3</v>
      </c>
      <c r="AD1045">
        <v>0</v>
      </c>
      <c r="AE1045">
        <v>9</v>
      </c>
      <c r="AF1045" t="s">
        <v>138</v>
      </c>
      <c r="AG1045">
        <v>0</v>
      </c>
      <c r="AH1045">
        <v>3</v>
      </c>
      <c r="AI1045">
        <v>1</v>
      </c>
      <c r="AJ1045">
        <v>0</v>
      </c>
      <c r="AK1045" t="s">
        <v>431</v>
      </c>
      <c r="AL1045">
        <v>32.807729000000002</v>
      </c>
      <c r="AM1045" t="s">
        <v>432</v>
      </c>
      <c r="AN1045">
        <v>-116.92841300000001</v>
      </c>
      <c r="AO1045">
        <v>25</v>
      </c>
      <c r="AP1045">
        <v>2000</v>
      </c>
      <c r="AQ1045" t="s">
        <v>129</v>
      </c>
      <c r="AR1045">
        <v>130</v>
      </c>
      <c r="AS1045">
        <v>-11</v>
      </c>
      <c r="AT1045">
        <v>-256</v>
      </c>
      <c r="BB1045">
        <v>1200</v>
      </c>
      <c r="BC1045">
        <v>1</v>
      </c>
      <c r="BD1045" t="str">
        <f t="shared" si="358"/>
        <v xml:space="preserve">N887QR  </v>
      </c>
      <c r="BE1045">
        <v>1</v>
      </c>
      <c r="BG1045">
        <v>0</v>
      </c>
      <c r="BH1045">
        <v>0</v>
      </c>
      <c r="BI1045">
        <v>0</v>
      </c>
      <c r="BJ1045">
        <v>1700</v>
      </c>
      <c r="BK1045">
        <v>-300</v>
      </c>
      <c r="BL1045" t="s">
        <v>163</v>
      </c>
      <c r="BM1045">
        <v>1</v>
      </c>
      <c r="BN1045">
        <v>1</v>
      </c>
      <c r="BO1045">
        <v>1</v>
      </c>
      <c r="BP1045">
        <v>0</v>
      </c>
      <c r="BS1045">
        <v>0</v>
      </c>
      <c r="BT1045">
        <v>0</v>
      </c>
      <c r="BU1045">
        <v>0</v>
      </c>
      <c r="CE1045" t="str">
        <f t="shared" si="362"/>
        <v>19:28:21.181</v>
      </c>
      <c r="CF1045">
        <v>181226014</v>
      </c>
      <c r="CS1045">
        <v>3</v>
      </c>
      <c r="CT1045">
        <v>2</v>
      </c>
      <c r="CU1045">
        <v>0</v>
      </c>
      <c r="CV1045">
        <v>2</v>
      </c>
      <c r="CW1045">
        <v>0</v>
      </c>
      <c r="CX1045">
        <v>5</v>
      </c>
      <c r="CY1045">
        <v>7</v>
      </c>
      <c r="CZ1045" t="s">
        <v>131</v>
      </c>
      <c r="DA1045">
        <v>300</v>
      </c>
      <c r="DB1045">
        <v>0</v>
      </c>
      <c r="DC1045" t="s">
        <v>176</v>
      </c>
      <c r="DD1045" t="s">
        <v>177</v>
      </c>
      <c r="DG1045">
        <v>5376999</v>
      </c>
      <c r="DI1045">
        <v>1</v>
      </c>
      <c r="DJ1045">
        <v>0</v>
      </c>
      <c r="DK1045">
        <v>1</v>
      </c>
      <c r="DL1045">
        <v>0</v>
      </c>
      <c r="DM1045">
        <v>0</v>
      </c>
      <c r="DN1045">
        <v>1</v>
      </c>
      <c r="DO1045">
        <v>0</v>
      </c>
      <c r="DP1045">
        <v>0</v>
      </c>
      <c r="DQ1045">
        <v>0</v>
      </c>
      <c r="DR1045">
        <v>0</v>
      </c>
      <c r="DS1045">
        <v>0</v>
      </c>
    </row>
    <row r="1046" spans="1:123" x14ac:dyDescent="0.3">
      <c r="A1046" t="str">
        <f t="shared" ref="A1046:A1051" si="363">"10/04/2022 19:28:22.227"</f>
        <v>10/04/2022 19:28:22.227</v>
      </c>
      <c r="C1046" t="str">
        <f t="shared" si="351"/>
        <v>FFDFD3C0</v>
      </c>
      <c r="D1046" t="s">
        <v>141</v>
      </c>
      <c r="E1046">
        <v>3</v>
      </c>
      <c r="H1046">
        <v>3</v>
      </c>
      <c r="I1046" t="s">
        <v>146</v>
      </c>
      <c r="J1046" t="s">
        <v>138</v>
      </c>
      <c r="K1046">
        <v>0</v>
      </c>
      <c r="L1046">
        <v>3</v>
      </c>
      <c r="M1046">
        <v>0</v>
      </c>
      <c r="N1046">
        <v>2</v>
      </c>
      <c r="O1046">
        <v>0</v>
      </c>
      <c r="P1046">
        <v>1</v>
      </c>
      <c r="Q1046">
        <v>0</v>
      </c>
      <c r="S1046" t="str">
        <f t="shared" ref="S1046:T1052" si="364">"19:28:22.000"</f>
        <v>19:28:22.000</v>
      </c>
      <c r="T1046" t="str">
        <f t="shared" si="364"/>
        <v>19:28:22.000</v>
      </c>
      <c r="U1046" t="str">
        <f t="shared" si="357"/>
        <v>AC3944</v>
      </c>
      <c r="V1046">
        <v>0</v>
      </c>
      <c r="W1046">
        <v>0</v>
      </c>
      <c r="X1046">
        <v>2</v>
      </c>
      <c r="Y1046">
        <v>0</v>
      </c>
      <c r="AA1046">
        <v>1</v>
      </c>
      <c r="AB1046">
        <v>8</v>
      </c>
      <c r="AC1046">
        <v>3</v>
      </c>
      <c r="AD1046">
        <v>0</v>
      </c>
      <c r="AE1046">
        <v>9</v>
      </c>
      <c r="AF1046" t="s">
        <v>138</v>
      </c>
      <c r="AG1046">
        <v>0</v>
      </c>
      <c r="AH1046">
        <v>3</v>
      </c>
      <c r="AI1046">
        <v>1</v>
      </c>
      <c r="AJ1046">
        <v>0</v>
      </c>
      <c r="AK1046" t="s">
        <v>433</v>
      </c>
      <c r="AL1046">
        <v>32.807685999999997</v>
      </c>
      <c r="AM1046" t="s">
        <v>434</v>
      </c>
      <c r="AN1046">
        <v>-116.92785499999999</v>
      </c>
      <c r="AO1046">
        <v>25</v>
      </c>
      <c r="AP1046">
        <v>2000</v>
      </c>
      <c r="AQ1046" t="s">
        <v>129</v>
      </c>
      <c r="AR1046">
        <v>130</v>
      </c>
      <c r="AS1046">
        <v>-11</v>
      </c>
      <c r="AT1046">
        <v>-256</v>
      </c>
      <c r="BB1046">
        <v>1200</v>
      </c>
      <c r="BC1046">
        <v>1</v>
      </c>
      <c r="BD1046" t="str">
        <f t="shared" si="358"/>
        <v xml:space="preserve">N887QR  </v>
      </c>
      <c r="BE1046">
        <v>1</v>
      </c>
      <c r="BG1046">
        <v>0</v>
      </c>
      <c r="BH1046">
        <v>0</v>
      </c>
      <c r="BI1046">
        <v>0</v>
      </c>
      <c r="BJ1046">
        <v>1700</v>
      </c>
      <c r="BK1046">
        <v>-300</v>
      </c>
      <c r="BL1046" t="s">
        <v>163</v>
      </c>
      <c r="BM1046">
        <v>1</v>
      </c>
      <c r="BN1046">
        <v>1</v>
      </c>
      <c r="BO1046">
        <v>1</v>
      </c>
      <c r="BP1046">
        <v>0</v>
      </c>
      <c r="BS1046">
        <v>0</v>
      </c>
      <c r="BT1046">
        <v>0</v>
      </c>
      <c r="BU1046">
        <v>0</v>
      </c>
      <c r="CE1046" t="str">
        <f t="shared" ref="CE1046:CE1052" si="365">"19:28:22.017"</f>
        <v>19:28:22.017</v>
      </c>
      <c r="CF1046">
        <v>16978741</v>
      </c>
      <c r="CS1046">
        <v>3</v>
      </c>
      <c r="CT1046">
        <v>2</v>
      </c>
      <c r="CU1046">
        <v>0</v>
      </c>
      <c r="CV1046">
        <v>2</v>
      </c>
      <c r="CW1046">
        <v>0</v>
      </c>
      <c r="CX1046">
        <v>5</v>
      </c>
      <c r="CY1046">
        <v>7</v>
      </c>
      <c r="CZ1046" t="s">
        <v>131</v>
      </c>
      <c r="DA1046">
        <v>300</v>
      </c>
      <c r="DB1046">
        <v>0</v>
      </c>
      <c r="DC1046" t="s">
        <v>176</v>
      </c>
      <c r="DD1046" t="s">
        <v>177</v>
      </c>
      <c r="DG1046">
        <v>5377140</v>
      </c>
      <c r="DI1046">
        <v>1</v>
      </c>
      <c r="DJ1046">
        <v>0</v>
      </c>
      <c r="DK1046">
        <v>0</v>
      </c>
      <c r="DL1046">
        <v>0</v>
      </c>
      <c r="DM1046">
        <v>0</v>
      </c>
      <c r="DN1046">
        <v>1</v>
      </c>
      <c r="DO1046">
        <v>0</v>
      </c>
      <c r="DP1046">
        <v>0</v>
      </c>
      <c r="DQ1046">
        <v>0</v>
      </c>
      <c r="DR1046">
        <v>0</v>
      </c>
      <c r="DS1046">
        <v>0</v>
      </c>
    </row>
    <row r="1047" spans="1:123" x14ac:dyDescent="0.3">
      <c r="A1047" t="str">
        <f t="shared" si="363"/>
        <v>10/04/2022 19:28:22.227</v>
      </c>
      <c r="C1047" t="str">
        <f t="shared" ref="C1047:C1078" si="366">"FFDFD3C0"</f>
        <v>FFDFD3C0</v>
      </c>
      <c r="D1047" t="s">
        <v>143</v>
      </c>
      <c r="E1047">
        <v>20</v>
      </c>
      <c r="F1047">
        <v>1020</v>
      </c>
      <c r="G1047" t="s">
        <v>144</v>
      </c>
      <c r="J1047" t="s">
        <v>145</v>
      </c>
      <c r="K1047">
        <v>0</v>
      </c>
      <c r="L1047">
        <v>3</v>
      </c>
      <c r="M1047">
        <v>0</v>
      </c>
      <c r="N1047">
        <v>2</v>
      </c>
      <c r="O1047">
        <v>0</v>
      </c>
      <c r="P1047">
        <v>1</v>
      </c>
      <c r="Q1047">
        <v>0</v>
      </c>
      <c r="S1047" t="str">
        <f t="shared" si="364"/>
        <v>19:28:22.000</v>
      </c>
      <c r="T1047" t="str">
        <f t="shared" si="364"/>
        <v>19:28:22.000</v>
      </c>
      <c r="U1047" t="str">
        <f t="shared" si="357"/>
        <v>AC3944</v>
      </c>
      <c r="V1047">
        <v>0</v>
      </c>
      <c r="W1047">
        <v>0</v>
      </c>
      <c r="X1047">
        <v>2</v>
      </c>
      <c r="Y1047">
        <v>0</v>
      </c>
      <c r="AA1047">
        <v>1</v>
      </c>
      <c r="AB1047">
        <v>8</v>
      </c>
      <c r="AC1047">
        <v>3</v>
      </c>
      <c r="AD1047">
        <v>0</v>
      </c>
      <c r="AE1047">
        <v>9</v>
      </c>
      <c r="AF1047" t="s">
        <v>138</v>
      </c>
      <c r="AG1047">
        <v>0</v>
      </c>
      <c r="AH1047">
        <v>3</v>
      </c>
      <c r="AI1047">
        <v>1</v>
      </c>
      <c r="AJ1047">
        <v>0</v>
      </c>
      <c r="AK1047" t="s">
        <v>433</v>
      </c>
      <c r="AL1047">
        <v>32.807685999999997</v>
      </c>
      <c r="AM1047" t="s">
        <v>434</v>
      </c>
      <c r="AN1047">
        <v>-116.92785499999999</v>
      </c>
      <c r="AO1047">
        <v>25</v>
      </c>
      <c r="AP1047">
        <v>2000</v>
      </c>
      <c r="AQ1047" t="s">
        <v>129</v>
      </c>
      <c r="AR1047">
        <v>130</v>
      </c>
      <c r="AS1047">
        <v>-11</v>
      </c>
      <c r="AT1047">
        <v>-256</v>
      </c>
      <c r="BB1047">
        <v>1200</v>
      </c>
      <c r="BC1047">
        <v>1</v>
      </c>
      <c r="BD1047" t="str">
        <f t="shared" si="358"/>
        <v xml:space="preserve">N887QR  </v>
      </c>
      <c r="BE1047">
        <v>1</v>
      </c>
      <c r="BG1047">
        <v>0</v>
      </c>
      <c r="BH1047">
        <v>0</v>
      </c>
      <c r="BI1047">
        <v>0</v>
      </c>
      <c r="BJ1047">
        <v>1700</v>
      </c>
      <c r="BK1047">
        <v>-300</v>
      </c>
      <c r="BL1047" t="s">
        <v>163</v>
      </c>
      <c r="BM1047">
        <v>1</v>
      </c>
      <c r="BN1047">
        <v>1</v>
      </c>
      <c r="BO1047">
        <v>1</v>
      </c>
      <c r="BP1047">
        <v>0</v>
      </c>
      <c r="BS1047">
        <v>0</v>
      </c>
      <c r="BT1047">
        <v>0</v>
      </c>
      <c r="BU1047">
        <v>0</v>
      </c>
      <c r="CE1047" t="str">
        <f t="shared" si="365"/>
        <v>19:28:22.017</v>
      </c>
      <c r="CF1047">
        <v>16978741</v>
      </c>
      <c r="CS1047">
        <v>3</v>
      </c>
      <c r="CT1047">
        <v>2</v>
      </c>
      <c r="CU1047">
        <v>0</v>
      </c>
      <c r="CV1047">
        <v>2</v>
      </c>
      <c r="CW1047">
        <v>0</v>
      </c>
      <c r="CX1047">
        <v>5</v>
      </c>
      <c r="CY1047">
        <v>7</v>
      </c>
      <c r="CZ1047" t="s">
        <v>131</v>
      </c>
      <c r="DA1047">
        <v>300</v>
      </c>
      <c r="DB1047">
        <v>0</v>
      </c>
      <c r="DC1047" t="s">
        <v>176</v>
      </c>
      <c r="DD1047" t="s">
        <v>177</v>
      </c>
      <c r="DG1047">
        <v>5377140</v>
      </c>
      <c r="DI1047">
        <v>1</v>
      </c>
      <c r="DJ1047">
        <v>0</v>
      </c>
      <c r="DK1047">
        <v>1</v>
      </c>
      <c r="DL1047">
        <v>0</v>
      </c>
      <c r="DM1047">
        <v>0</v>
      </c>
      <c r="DN1047">
        <v>1</v>
      </c>
      <c r="DO1047">
        <v>0</v>
      </c>
      <c r="DP1047">
        <v>0</v>
      </c>
      <c r="DQ1047">
        <v>0</v>
      </c>
      <c r="DR1047">
        <v>0</v>
      </c>
      <c r="DS1047">
        <v>0</v>
      </c>
    </row>
    <row r="1048" spans="1:123" x14ac:dyDescent="0.3">
      <c r="A1048" t="str">
        <f t="shared" si="363"/>
        <v>10/04/2022 19:28:22.227</v>
      </c>
      <c r="C1048" t="str">
        <f t="shared" si="366"/>
        <v>FFDFD3C0</v>
      </c>
      <c r="D1048" t="s">
        <v>123</v>
      </c>
      <c r="E1048">
        <v>7</v>
      </c>
      <c r="F1048">
        <v>2007</v>
      </c>
      <c r="G1048" t="s">
        <v>124</v>
      </c>
      <c r="J1048" t="s">
        <v>125</v>
      </c>
      <c r="K1048">
        <v>0</v>
      </c>
      <c r="L1048">
        <v>3</v>
      </c>
      <c r="M1048">
        <v>0</v>
      </c>
      <c r="N1048">
        <v>2</v>
      </c>
      <c r="O1048">
        <v>0</v>
      </c>
      <c r="P1048">
        <v>1</v>
      </c>
      <c r="Q1048">
        <v>0</v>
      </c>
      <c r="S1048" t="str">
        <f t="shared" si="364"/>
        <v>19:28:22.000</v>
      </c>
      <c r="T1048" t="str">
        <f t="shared" si="364"/>
        <v>19:28:22.000</v>
      </c>
      <c r="U1048" t="str">
        <f t="shared" si="357"/>
        <v>AC3944</v>
      </c>
      <c r="V1048">
        <v>0</v>
      </c>
      <c r="W1048">
        <v>0</v>
      </c>
      <c r="X1048">
        <v>2</v>
      </c>
      <c r="Y1048">
        <v>0</v>
      </c>
      <c r="AA1048">
        <v>1</v>
      </c>
      <c r="AB1048">
        <v>8</v>
      </c>
      <c r="AC1048">
        <v>3</v>
      </c>
      <c r="AD1048">
        <v>0</v>
      </c>
      <c r="AE1048">
        <v>9</v>
      </c>
      <c r="AF1048" t="s">
        <v>138</v>
      </c>
      <c r="AG1048">
        <v>0</v>
      </c>
      <c r="AH1048">
        <v>3</v>
      </c>
      <c r="AI1048">
        <v>1</v>
      </c>
      <c r="AJ1048">
        <v>0</v>
      </c>
      <c r="AK1048" t="s">
        <v>433</v>
      </c>
      <c r="AL1048">
        <v>32.807685999999997</v>
      </c>
      <c r="AM1048" t="s">
        <v>434</v>
      </c>
      <c r="AN1048">
        <v>-116.92785499999999</v>
      </c>
      <c r="AO1048">
        <v>25</v>
      </c>
      <c r="AP1048">
        <v>2000</v>
      </c>
      <c r="AQ1048" t="s">
        <v>129</v>
      </c>
      <c r="AR1048">
        <v>130</v>
      </c>
      <c r="AS1048">
        <v>-11</v>
      </c>
      <c r="AT1048">
        <v>-256</v>
      </c>
      <c r="BB1048">
        <v>1200</v>
      </c>
      <c r="BC1048">
        <v>1</v>
      </c>
      <c r="BD1048" t="str">
        <f t="shared" si="358"/>
        <v xml:space="preserve">N887QR  </v>
      </c>
      <c r="BE1048">
        <v>1</v>
      </c>
      <c r="BG1048">
        <v>0</v>
      </c>
      <c r="BH1048">
        <v>0</v>
      </c>
      <c r="BI1048">
        <v>0</v>
      </c>
      <c r="BJ1048">
        <v>1700</v>
      </c>
      <c r="BK1048">
        <v>-300</v>
      </c>
      <c r="BL1048" t="s">
        <v>163</v>
      </c>
      <c r="BM1048">
        <v>1</v>
      </c>
      <c r="BN1048">
        <v>1</v>
      </c>
      <c r="BO1048">
        <v>1</v>
      </c>
      <c r="BP1048">
        <v>0</v>
      </c>
      <c r="BS1048">
        <v>0</v>
      </c>
      <c r="BT1048">
        <v>0</v>
      </c>
      <c r="BU1048">
        <v>0</v>
      </c>
      <c r="CE1048" t="str">
        <f t="shared" si="365"/>
        <v>19:28:22.017</v>
      </c>
      <c r="CF1048">
        <v>16978741</v>
      </c>
      <c r="CS1048">
        <v>3</v>
      </c>
      <c r="CT1048">
        <v>2</v>
      </c>
      <c r="CU1048">
        <v>0</v>
      </c>
      <c r="CV1048">
        <v>2</v>
      </c>
      <c r="CW1048">
        <v>0</v>
      </c>
      <c r="CX1048">
        <v>5</v>
      </c>
      <c r="CY1048">
        <v>7</v>
      </c>
      <c r="CZ1048" t="s">
        <v>131</v>
      </c>
      <c r="DA1048">
        <v>300</v>
      </c>
      <c r="DB1048">
        <v>0</v>
      </c>
      <c r="DC1048" t="s">
        <v>176</v>
      </c>
      <c r="DD1048" t="s">
        <v>177</v>
      </c>
      <c r="DG1048">
        <v>5377140</v>
      </c>
      <c r="DI1048">
        <v>1</v>
      </c>
      <c r="DJ1048">
        <v>0</v>
      </c>
      <c r="DK1048">
        <v>1</v>
      </c>
      <c r="DL1048">
        <v>0</v>
      </c>
      <c r="DM1048">
        <v>0</v>
      </c>
      <c r="DN1048">
        <v>1</v>
      </c>
      <c r="DO1048">
        <v>0</v>
      </c>
      <c r="DP1048">
        <v>0</v>
      </c>
      <c r="DQ1048">
        <v>0</v>
      </c>
      <c r="DR1048">
        <v>0</v>
      </c>
      <c r="DS1048">
        <v>0</v>
      </c>
    </row>
    <row r="1049" spans="1:123" x14ac:dyDescent="0.3">
      <c r="A1049" t="str">
        <f t="shared" si="363"/>
        <v>10/04/2022 19:28:22.227</v>
      </c>
      <c r="C1049" t="str">
        <f t="shared" si="366"/>
        <v>FFDFD3C0</v>
      </c>
      <c r="D1049" t="s">
        <v>147</v>
      </c>
      <c r="E1049">
        <v>3</v>
      </c>
      <c r="H1049">
        <v>166</v>
      </c>
      <c r="I1049" t="s">
        <v>144</v>
      </c>
      <c r="J1049" t="s">
        <v>148</v>
      </c>
      <c r="K1049">
        <v>0</v>
      </c>
      <c r="L1049">
        <v>3</v>
      </c>
      <c r="M1049">
        <v>0</v>
      </c>
      <c r="N1049">
        <v>2</v>
      </c>
      <c r="O1049">
        <v>0</v>
      </c>
      <c r="P1049">
        <v>1</v>
      </c>
      <c r="Q1049">
        <v>0</v>
      </c>
      <c r="S1049" t="str">
        <f t="shared" si="364"/>
        <v>19:28:22.000</v>
      </c>
      <c r="T1049" t="str">
        <f t="shared" si="364"/>
        <v>19:28:22.000</v>
      </c>
      <c r="U1049" t="str">
        <f t="shared" si="357"/>
        <v>AC3944</v>
      </c>
      <c r="V1049">
        <v>0</v>
      </c>
      <c r="W1049">
        <v>0</v>
      </c>
      <c r="X1049">
        <v>2</v>
      </c>
      <c r="Y1049">
        <v>0</v>
      </c>
      <c r="AA1049">
        <v>1</v>
      </c>
      <c r="AB1049">
        <v>8</v>
      </c>
      <c r="AC1049">
        <v>3</v>
      </c>
      <c r="AD1049">
        <v>0</v>
      </c>
      <c r="AE1049">
        <v>9</v>
      </c>
      <c r="AF1049" t="s">
        <v>138</v>
      </c>
      <c r="AG1049">
        <v>0</v>
      </c>
      <c r="AH1049">
        <v>3</v>
      </c>
      <c r="AI1049">
        <v>1</v>
      </c>
      <c r="AJ1049">
        <v>0</v>
      </c>
      <c r="AK1049" t="s">
        <v>433</v>
      </c>
      <c r="AL1049">
        <v>32.807685999999997</v>
      </c>
      <c r="AM1049" t="s">
        <v>434</v>
      </c>
      <c r="AN1049">
        <v>-116.92785499999999</v>
      </c>
      <c r="AO1049">
        <v>25</v>
      </c>
      <c r="AP1049">
        <v>2000</v>
      </c>
      <c r="AQ1049" t="s">
        <v>129</v>
      </c>
      <c r="AR1049">
        <v>130</v>
      </c>
      <c r="AS1049">
        <v>-11</v>
      </c>
      <c r="AT1049">
        <v>-256</v>
      </c>
      <c r="BB1049">
        <v>1200</v>
      </c>
      <c r="BC1049">
        <v>1</v>
      </c>
      <c r="BD1049" t="str">
        <f t="shared" si="358"/>
        <v xml:space="preserve">N887QR  </v>
      </c>
      <c r="BE1049">
        <v>1</v>
      </c>
      <c r="BG1049">
        <v>0</v>
      </c>
      <c r="BH1049">
        <v>0</v>
      </c>
      <c r="BI1049">
        <v>0</v>
      </c>
      <c r="BJ1049">
        <v>1700</v>
      </c>
      <c r="BK1049">
        <v>-300</v>
      </c>
      <c r="BL1049" t="s">
        <v>163</v>
      </c>
      <c r="BM1049">
        <v>1</v>
      </c>
      <c r="BN1049">
        <v>1</v>
      </c>
      <c r="BO1049">
        <v>1</v>
      </c>
      <c r="BP1049">
        <v>0</v>
      </c>
      <c r="BS1049">
        <v>0</v>
      </c>
      <c r="BT1049">
        <v>0</v>
      </c>
      <c r="BU1049">
        <v>0</v>
      </c>
      <c r="CE1049" t="str">
        <f t="shared" si="365"/>
        <v>19:28:22.017</v>
      </c>
      <c r="CF1049">
        <v>16978741</v>
      </c>
      <c r="CS1049">
        <v>3</v>
      </c>
      <c r="CT1049">
        <v>2</v>
      </c>
      <c r="CU1049">
        <v>0</v>
      </c>
      <c r="CV1049">
        <v>2</v>
      </c>
      <c r="CW1049">
        <v>0</v>
      </c>
      <c r="CX1049">
        <v>5</v>
      </c>
      <c r="CY1049">
        <v>7</v>
      </c>
      <c r="CZ1049" t="s">
        <v>131</v>
      </c>
      <c r="DA1049">
        <v>300</v>
      </c>
      <c r="DB1049">
        <v>0</v>
      </c>
      <c r="DC1049" t="s">
        <v>176</v>
      </c>
      <c r="DD1049" t="s">
        <v>177</v>
      </c>
      <c r="DG1049">
        <v>5377140</v>
      </c>
      <c r="DI1049">
        <v>1</v>
      </c>
      <c r="DJ1049">
        <v>0</v>
      </c>
      <c r="DK1049">
        <v>1</v>
      </c>
      <c r="DL1049">
        <v>0</v>
      </c>
      <c r="DM1049">
        <v>0</v>
      </c>
      <c r="DN1049">
        <v>1</v>
      </c>
      <c r="DO1049">
        <v>0</v>
      </c>
      <c r="DP1049">
        <v>0</v>
      </c>
      <c r="DQ1049">
        <v>0</v>
      </c>
      <c r="DR1049">
        <v>0</v>
      </c>
      <c r="DS1049">
        <v>0</v>
      </c>
    </row>
    <row r="1050" spans="1:123" x14ac:dyDescent="0.3">
      <c r="A1050" t="str">
        <f t="shared" si="363"/>
        <v>10/04/2022 19:28:22.227</v>
      </c>
      <c r="C1050" t="str">
        <f t="shared" si="366"/>
        <v>FFDFD3C0</v>
      </c>
      <c r="D1050" t="s">
        <v>136</v>
      </c>
      <c r="E1050">
        <v>8</v>
      </c>
      <c r="H1050">
        <v>225</v>
      </c>
      <c r="I1050" t="s">
        <v>137</v>
      </c>
      <c r="J1050" t="s">
        <v>138</v>
      </c>
      <c r="K1050">
        <v>0</v>
      </c>
      <c r="L1050">
        <v>3</v>
      </c>
      <c r="M1050">
        <v>0</v>
      </c>
      <c r="N1050">
        <v>2</v>
      </c>
      <c r="O1050">
        <v>0</v>
      </c>
      <c r="P1050">
        <v>1</v>
      </c>
      <c r="Q1050">
        <v>0</v>
      </c>
      <c r="S1050" t="str">
        <f t="shared" si="364"/>
        <v>19:28:22.000</v>
      </c>
      <c r="T1050" t="str">
        <f t="shared" si="364"/>
        <v>19:28:22.000</v>
      </c>
      <c r="U1050" t="str">
        <f t="shared" si="357"/>
        <v>AC3944</v>
      </c>
      <c r="V1050">
        <v>0</v>
      </c>
      <c r="W1050">
        <v>0</v>
      </c>
      <c r="X1050">
        <v>2</v>
      </c>
      <c r="Y1050">
        <v>0</v>
      </c>
      <c r="AA1050">
        <v>1</v>
      </c>
      <c r="AB1050">
        <v>8</v>
      </c>
      <c r="AC1050">
        <v>3</v>
      </c>
      <c r="AD1050">
        <v>0</v>
      </c>
      <c r="AE1050">
        <v>9</v>
      </c>
      <c r="AF1050" t="s">
        <v>138</v>
      </c>
      <c r="AG1050">
        <v>0</v>
      </c>
      <c r="AH1050">
        <v>3</v>
      </c>
      <c r="AI1050">
        <v>1</v>
      </c>
      <c r="AJ1050">
        <v>0</v>
      </c>
      <c r="AK1050" t="s">
        <v>433</v>
      </c>
      <c r="AL1050">
        <v>32.807685999999997</v>
      </c>
      <c r="AM1050" t="s">
        <v>434</v>
      </c>
      <c r="AN1050">
        <v>-116.92785499999999</v>
      </c>
      <c r="AO1050">
        <v>25</v>
      </c>
      <c r="AP1050">
        <v>2000</v>
      </c>
      <c r="AQ1050" t="s">
        <v>129</v>
      </c>
      <c r="AR1050">
        <v>130</v>
      </c>
      <c r="AS1050">
        <v>-11</v>
      </c>
      <c r="AT1050">
        <v>-256</v>
      </c>
      <c r="BB1050">
        <v>1200</v>
      </c>
      <c r="BC1050">
        <v>1</v>
      </c>
      <c r="BD1050" t="str">
        <f t="shared" si="358"/>
        <v xml:space="preserve">N887QR  </v>
      </c>
      <c r="BE1050">
        <v>1</v>
      </c>
      <c r="BG1050">
        <v>0</v>
      </c>
      <c r="BH1050">
        <v>0</v>
      </c>
      <c r="BI1050">
        <v>0</v>
      </c>
      <c r="BJ1050">
        <v>1700</v>
      </c>
      <c r="BK1050">
        <v>-300</v>
      </c>
      <c r="BL1050" t="s">
        <v>163</v>
      </c>
      <c r="BM1050">
        <v>1</v>
      </c>
      <c r="BN1050">
        <v>1</v>
      </c>
      <c r="BO1050">
        <v>1</v>
      </c>
      <c r="BP1050">
        <v>0</v>
      </c>
      <c r="BS1050">
        <v>0</v>
      </c>
      <c r="BT1050">
        <v>0</v>
      </c>
      <c r="BU1050">
        <v>0</v>
      </c>
      <c r="CE1050" t="str">
        <f t="shared" si="365"/>
        <v>19:28:22.017</v>
      </c>
      <c r="CF1050">
        <v>16978741</v>
      </c>
      <c r="CS1050">
        <v>3</v>
      </c>
      <c r="CT1050">
        <v>2</v>
      </c>
      <c r="CU1050">
        <v>0</v>
      </c>
      <c r="CV1050">
        <v>2</v>
      </c>
      <c r="CW1050">
        <v>0</v>
      </c>
      <c r="CX1050">
        <v>5</v>
      </c>
      <c r="CY1050">
        <v>7</v>
      </c>
      <c r="CZ1050" t="s">
        <v>131</v>
      </c>
      <c r="DA1050">
        <v>300</v>
      </c>
      <c r="DB1050">
        <v>0</v>
      </c>
      <c r="DC1050" t="s">
        <v>176</v>
      </c>
      <c r="DD1050" t="s">
        <v>177</v>
      </c>
      <c r="DG1050">
        <v>5377140</v>
      </c>
      <c r="DI1050">
        <v>1</v>
      </c>
      <c r="DJ1050">
        <v>0</v>
      </c>
      <c r="DK1050">
        <v>1</v>
      </c>
      <c r="DL1050">
        <v>0</v>
      </c>
      <c r="DM1050">
        <v>0</v>
      </c>
      <c r="DN1050">
        <v>1</v>
      </c>
      <c r="DO1050">
        <v>0</v>
      </c>
      <c r="DP1050">
        <v>0</v>
      </c>
      <c r="DQ1050">
        <v>0</v>
      </c>
      <c r="DR1050">
        <v>0</v>
      </c>
      <c r="DS1050">
        <v>0</v>
      </c>
    </row>
    <row r="1051" spans="1:123" x14ac:dyDescent="0.3">
      <c r="A1051" t="str">
        <f t="shared" si="363"/>
        <v>10/04/2022 19:28:22.227</v>
      </c>
      <c r="C1051" t="str">
        <f t="shared" si="366"/>
        <v>FFDFD3C0</v>
      </c>
      <c r="D1051" t="s">
        <v>134</v>
      </c>
      <c r="E1051">
        <v>15</v>
      </c>
      <c r="J1051" t="s">
        <v>135</v>
      </c>
      <c r="K1051">
        <v>0</v>
      </c>
      <c r="L1051">
        <v>3</v>
      </c>
      <c r="M1051">
        <v>0</v>
      </c>
      <c r="N1051">
        <v>2</v>
      </c>
      <c r="O1051">
        <v>0</v>
      </c>
      <c r="P1051">
        <v>1</v>
      </c>
      <c r="Q1051">
        <v>0</v>
      </c>
      <c r="S1051" t="str">
        <f t="shared" si="364"/>
        <v>19:28:22.000</v>
      </c>
      <c r="T1051" t="str">
        <f t="shared" si="364"/>
        <v>19:28:22.000</v>
      </c>
      <c r="U1051" t="str">
        <f t="shared" si="357"/>
        <v>AC3944</v>
      </c>
      <c r="V1051">
        <v>0</v>
      </c>
      <c r="W1051">
        <v>0</v>
      </c>
      <c r="X1051">
        <v>2</v>
      </c>
      <c r="Y1051">
        <v>0</v>
      </c>
      <c r="AA1051">
        <v>1</v>
      </c>
      <c r="AB1051">
        <v>8</v>
      </c>
      <c r="AC1051">
        <v>3</v>
      </c>
      <c r="AD1051">
        <v>0</v>
      </c>
      <c r="AE1051">
        <v>9</v>
      </c>
      <c r="AF1051" t="s">
        <v>138</v>
      </c>
      <c r="AG1051">
        <v>0</v>
      </c>
      <c r="AH1051">
        <v>3</v>
      </c>
      <c r="AI1051">
        <v>1</v>
      </c>
      <c r="AJ1051">
        <v>0</v>
      </c>
      <c r="AK1051" t="s">
        <v>433</v>
      </c>
      <c r="AL1051">
        <v>32.807685999999997</v>
      </c>
      <c r="AM1051" t="s">
        <v>434</v>
      </c>
      <c r="AN1051">
        <v>-116.92785499999999</v>
      </c>
      <c r="AO1051">
        <v>25</v>
      </c>
      <c r="AP1051">
        <v>2000</v>
      </c>
      <c r="AQ1051" t="s">
        <v>129</v>
      </c>
      <c r="AR1051">
        <v>130</v>
      </c>
      <c r="AS1051">
        <v>-11</v>
      </c>
      <c r="AT1051">
        <v>-256</v>
      </c>
      <c r="BB1051">
        <v>1200</v>
      </c>
      <c r="BC1051">
        <v>1</v>
      </c>
      <c r="BD1051" t="str">
        <f t="shared" si="358"/>
        <v xml:space="preserve">N887QR  </v>
      </c>
      <c r="BE1051">
        <v>1</v>
      </c>
      <c r="BG1051">
        <v>0</v>
      </c>
      <c r="BH1051">
        <v>0</v>
      </c>
      <c r="BI1051">
        <v>0</v>
      </c>
      <c r="BJ1051">
        <v>1700</v>
      </c>
      <c r="BK1051">
        <v>-300</v>
      </c>
      <c r="BL1051" t="s">
        <v>163</v>
      </c>
      <c r="BM1051">
        <v>1</v>
      </c>
      <c r="BN1051">
        <v>1</v>
      </c>
      <c r="BO1051">
        <v>1</v>
      </c>
      <c r="BP1051">
        <v>0</v>
      </c>
      <c r="BS1051">
        <v>0</v>
      </c>
      <c r="BT1051">
        <v>0</v>
      </c>
      <c r="BU1051">
        <v>0</v>
      </c>
      <c r="CE1051" t="str">
        <f t="shared" si="365"/>
        <v>19:28:22.017</v>
      </c>
      <c r="CF1051">
        <v>16978741</v>
      </c>
      <c r="CS1051">
        <v>3</v>
      </c>
      <c r="CT1051">
        <v>2</v>
      </c>
      <c r="CU1051">
        <v>0</v>
      </c>
      <c r="CV1051">
        <v>2</v>
      </c>
      <c r="CW1051">
        <v>0</v>
      </c>
      <c r="CX1051">
        <v>5</v>
      </c>
      <c r="CY1051">
        <v>7</v>
      </c>
      <c r="CZ1051" t="s">
        <v>131</v>
      </c>
      <c r="DA1051">
        <v>300</v>
      </c>
      <c r="DB1051">
        <v>0</v>
      </c>
      <c r="DC1051" t="s">
        <v>176</v>
      </c>
      <c r="DD1051" t="s">
        <v>177</v>
      </c>
      <c r="DG1051">
        <v>5377140</v>
      </c>
      <c r="DI1051">
        <v>1</v>
      </c>
      <c r="DJ1051">
        <v>0</v>
      </c>
      <c r="DK1051">
        <v>1</v>
      </c>
      <c r="DL1051">
        <v>0</v>
      </c>
      <c r="DM1051">
        <v>0</v>
      </c>
      <c r="DN1051">
        <v>1</v>
      </c>
      <c r="DO1051">
        <v>0</v>
      </c>
      <c r="DP1051">
        <v>0</v>
      </c>
      <c r="DQ1051">
        <v>0</v>
      </c>
      <c r="DR1051">
        <v>0</v>
      </c>
      <c r="DS1051">
        <v>0</v>
      </c>
    </row>
    <row r="1052" spans="1:123" x14ac:dyDescent="0.3">
      <c r="A1052" t="str">
        <f>"10/04/2022 19:28:22.259"</f>
        <v>10/04/2022 19:28:22.259</v>
      </c>
      <c r="C1052" t="str">
        <f t="shared" si="366"/>
        <v>FFDFD3C0</v>
      </c>
      <c r="D1052" t="s">
        <v>141</v>
      </c>
      <c r="E1052">
        <v>4</v>
      </c>
      <c r="H1052">
        <v>4</v>
      </c>
      <c r="I1052" t="s">
        <v>142</v>
      </c>
      <c r="J1052" t="s">
        <v>138</v>
      </c>
      <c r="K1052">
        <v>0</v>
      </c>
      <c r="L1052">
        <v>3</v>
      </c>
      <c r="M1052">
        <v>0</v>
      </c>
      <c r="N1052">
        <v>2</v>
      </c>
      <c r="O1052">
        <v>0</v>
      </c>
      <c r="P1052">
        <v>1</v>
      </c>
      <c r="Q1052">
        <v>0</v>
      </c>
      <c r="S1052" t="str">
        <f t="shared" si="364"/>
        <v>19:28:22.000</v>
      </c>
      <c r="T1052" t="str">
        <f t="shared" si="364"/>
        <v>19:28:22.000</v>
      </c>
      <c r="U1052" t="str">
        <f t="shared" si="357"/>
        <v>AC3944</v>
      </c>
      <c r="V1052">
        <v>0</v>
      </c>
      <c r="W1052">
        <v>0</v>
      </c>
      <c r="X1052">
        <v>2</v>
      </c>
      <c r="Y1052">
        <v>0</v>
      </c>
      <c r="AA1052">
        <v>1</v>
      </c>
      <c r="AB1052">
        <v>8</v>
      </c>
      <c r="AC1052">
        <v>3</v>
      </c>
      <c r="AD1052">
        <v>0</v>
      </c>
      <c r="AE1052">
        <v>9</v>
      </c>
      <c r="AF1052" t="s">
        <v>138</v>
      </c>
      <c r="AG1052">
        <v>0</v>
      </c>
      <c r="AH1052">
        <v>3</v>
      </c>
      <c r="AI1052">
        <v>1</v>
      </c>
      <c r="AJ1052">
        <v>0</v>
      </c>
      <c r="AK1052" t="s">
        <v>433</v>
      </c>
      <c r="AL1052">
        <v>32.807685999999997</v>
      </c>
      <c r="AM1052" t="s">
        <v>434</v>
      </c>
      <c r="AN1052">
        <v>-116.92785499999999</v>
      </c>
      <c r="AO1052">
        <v>25</v>
      </c>
      <c r="AP1052">
        <v>2000</v>
      </c>
      <c r="AQ1052" t="s">
        <v>129</v>
      </c>
      <c r="AR1052">
        <v>130</v>
      </c>
      <c r="AS1052">
        <v>-11</v>
      </c>
      <c r="AT1052">
        <v>-256</v>
      </c>
      <c r="BB1052">
        <v>1200</v>
      </c>
      <c r="BC1052">
        <v>1</v>
      </c>
      <c r="BD1052" t="str">
        <f t="shared" si="358"/>
        <v xml:space="preserve">N887QR  </v>
      </c>
      <c r="BE1052">
        <v>1</v>
      </c>
      <c r="BG1052">
        <v>0</v>
      </c>
      <c r="BH1052">
        <v>0</v>
      </c>
      <c r="BI1052">
        <v>0</v>
      </c>
      <c r="BJ1052">
        <v>1700</v>
      </c>
      <c r="BK1052">
        <v>-300</v>
      </c>
      <c r="BL1052" t="s">
        <v>163</v>
      </c>
      <c r="BM1052">
        <v>1</v>
      </c>
      <c r="BN1052">
        <v>1</v>
      </c>
      <c r="BO1052">
        <v>1</v>
      </c>
      <c r="BP1052">
        <v>0</v>
      </c>
      <c r="BS1052">
        <v>0</v>
      </c>
      <c r="BT1052">
        <v>0</v>
      </c>
      <c r="BU1052">
        <v>0</v>
      </c>
      <c r="CE1052" t="str">
        <f t="shared" si="365"/>
        <v>19:28:22.017</v>
      </c>
      <c r="CF1052">
        <v>16978741</v>
      </c>
      <c r="CS1052">
        <v>3</v>
      </c>
      <c r="CT1052">
        <v>2</v>
      </c>
      <c r="CU1052">
        <v>0</v>
      </c>
      <c r="CV1052">
        <v>2</v>
      </c>
      <c r="CW1052">
        <v>0</v>
      </c>
      <c r="CX1052">
        <v>5</v>
      </c>
      <c r="CY1052">
        <v>7</v>
      </c>
      <c r="CZ1052" t="s">
        <v>131</v>
      </c>
      <c r="DA1052">
        <v>300</v>
      </c>
      <c r="DB1052">
        <v>0</v>
      </c>
      <c r="DC1052" t="s">
        <v>176</v>
      </c>
      <c r="DD1052" t="s">
        <v>177</v>
      </c>
      <c r="DG1052">
        <v>5377140</v>
      </c>
      <c r="DI1052">
        <v>1</v>
      </c>
      <c r="DJ1052">
        <v>0</v>
      </c>
      <c r="DK1052">
        <v>1</v>
      </c>
      <c r="DL1052">
        <v>0</v>
      </c>
      <c r="DM1052">
        <v>0</v>
      </c>
      <c r="DN1052">
        <v>1</v>
      </c>
      <c r="DO1052">
        <v>0</v>
      </c>
      <c r="DP1052">
        <v>0</v>
      </c>
      <c r="DQ1052">
        <v>0</v>
      </c>
      <c r="DR1052">
        <v>0</v>
      </c>
      <c r="DS1052">
        <v>0</v>
      </c>
    </row>
    <row r="1053" spans="1:123" x14ac:dyDescent="0.3">
      <c r="A1053" t="str">
        <f>"10/04/2022 19:28:23.274"</f>
        <v>10/04/2022 19:28:23.274</v>
      </c>
      <c r="C1053" t="str">
        <f t="shared" si="366"/>
        <v>FFDFD3C0</v>
      </c>
      <c r="D1053" t="s">
        <v>141</v>
      </c>
      <c r="E1053">
        <v>3</v>
      </c>
      <c r="H1053">
        <v>3</v>
      </c>
      <c r="I1053" t="s">
        <v>146</v>
      </c>
      <c r="J1053" t="s">
        <v>138</v>
      </c>
      <c r="K1053">
        <v>0</v>
      </c>
      <c r="L1053">
        <v>3</v>
      </c>
      <c r="M1053">
        <v>0</v>
      </c>
      <c r="N1053">
        <v>2</v>
      </c>
      <c r="O1053">
        <v>0</v>
      </c>
      <c r="P1053">
        <v>1</v>
      </c>
      <c r="Q1053">
        <v>0</v>
      </c>
      <c r="S1053" t="str">
        <f t="shared" ref="S1053:T1059" si="367">"19:28:23.000"</f>
        <v>19:28:23.000</v>
      </c>
      <c r="T1053" t="str">
        <f t="shared" si="367"/>
        <v>19:28:23.000</v>
      </c>
      <c r="U1053" t="str">
        <f t="shared" si="357"/>
        <v>AC3944</v>
      </c>
      <c r="V1053">
        <v>0</v>
      </c>
      <c r="W1053">
        <v>0</v>
      </c>
      <c r="X1053">
        <v>2</v>
      </c>
      <c r="Y1053">
        <v>0</v>
      </c>
      <c r="AA1053">
        <v>1</v>
      </c>
      <c r="AB1053">
        <v>8</v>
      </c>
      <c r="AC1053">
        <v>3</v>
      </c>
      <c r="AD1053">
        <v>0</v>
      </c>
      <c r="AE1053">
        <v>9</v>
      </c>
      <c r="AF1053" t="s">
        <v>138</v>
      </c>
      <c r="AG1053">
        <v>0</v>
      </c>
      <c r="AH1053">
        <v>3</v>
      </c>
      <c r="AI1053">
        <v>1</v>
      </c>
      <c r="AJ1053">
        <v>0</v>
      </c>
      <c r="AK1053" t="s">
        <v>435</v>
      </c>
      <c r="AL1053">
        <v>32.807642999999999</v>
      </c>
      <c r="AM1053" t="s">
        <v>436</v>
      </c>
      <c r="AN1053">
        <v>-116.92714700000001</v>
      </c>
      <c r="AO1053">
        <v>25</v>
      </c>
      <c r="AP1053">
        <v>2000</v>
      </c>
      <c r="AQ1053" t="s">
        <v>129</v>
      </c>
      <c r="AR1053">
        <v>130</v>
      </c>
      <c r="AS1053">
        <v>-12</v>
      </c>
      <c r="AT1053">
        <v>-128</v>
      </c>
      <c r="BB1053">
        <v>1200</v>
      </c>
      <c r="BC1053">
        <v>1</v>
      </c>
      <c r="BD1053" t="str">
        <f t="shared" si="358"/>
        <v xml:space="preserve">N887QR  </v>
      </c>
      <c r="BE1053">
        <v>1</v>
      </c>
      <c r="BG1053">
        <v>0</v>
      </c>
      <c r="BH1053">
        <v>0</v>
      </c>
      <c r="BI1053">
        <v>0</v>
      </c>
      <c r="BJ1053">
        <v>1700</v>
      </c>
      <c r="BK1053">
        <v>-300</v>
      </c>
      <c r="BL1053" t="s">
        <v>163</v>
      </c>
      <c r="BM1053">
        <v>1</v>
      </c>
      <c r="BN1053">
        <v>1</v>
      </c>
      <c r="BO1053">
        <v>1</v>
      </c>
      <c r="BP1053">
        <v>0</v>
      </c>
      <c r="BS1053">
        <v>0.12</v>
      </c>
      <c r="BT1053">
        <v>0</v>
      </c>
      <c r="BU1053">
        <v>0</v>
      </c>
      <c r="CE1053" t="str">
        <f t="shared" ref="CE1053:CE1059" si="368">"19:28:23.102"</f>
        <v>19:28:23.102</v>
      </c>
      <c r="CF1053">
        <v>101732212</v>
      </c>
      <c r="CS1053">
        <v>3</v>
      </c>
      <c r="CT1053">
        <v>2</v>
      </c>
      <c r="CU1053">
        <v>0</v>
      </c>
      <c r="CV1053">
        <v>2</v>
      </c>
      <c r="CW1053">
        <v>0</v>
      </c>
      <c r="CX1053">
        <v>6</v>
      </c>
      <c r="CY1053">
        <v>7</v>
      </c>
      <c r="CZ1053" t="s">
        <v>131</v>
      </c>
      <c r="DA1053">
        <v>300</v>
      </c>
      <c r="DB1053">
        <v>0</v>
      </c>
      <c r="DC1053" t="s">
        <v>176</v>
      </c>
      <c r="DD1053" t="s">
        <v>177</v>
      </c>
      <c r="DG1053">
        <v>5377323</v>
      </c>
      <c r="DI1053">
        <v>1</v>
      </c>
      <c r="DJ1053">
        <v>0</v>
      </c>
      <c r="DK1053">
        <v>0</v>
      </c>
      <c r="DL1053">
        <v>0</v>
      </c>
      <c r="DM1053">
        <v>0</v>
      </c>
      <c r="DN1053">
        <v>1</v>
      </c>
      <c r="DO1053">
        <v>0</v>
      </c>
      <c r="DP1053">
        <v>0</v>
      </c>
      <c r="DQ1053">
        <v>0</v>
      </c>
      <c r="DR1053">
        <v>0</v>
      </c>
      <c r="DS1053">
        <v>0</v>
      </c>
    </row>
    <row r="1054" spans="1:123" x14ac:dyDescent="0.3">
      <c r="A1054" t="str">
        <f>"10/04/2022 19:28:23.274"</f>
        <v>10/04/2022 19:28:23.274</v>
      </c>
      <c r="C1054" t="str">
        <f t="shared" si="366"/>
        <v>FFDFD3C0</v>
      </c>
      <c r="D1054" t="s">
        <v>143</v>
      </c>
      <c r="E1054">
        <v>20</v>
      </c>
      <c r="F1054">
        <v>1020</v>
      </c>
      <c r="G1054" t="s">
        <v>144</v>
      </c>
      <c r="J1054" t="s">
        <v>145</v>
      </c>
      <c r="K1054">
        <v>0</v>
      </c>
      <c r="L1054">
        <v>3</v>
      </c>
      <c r="M1054">
        <v>0</v>
      </c>
      <c r="N1054">
        <v>2</v>
      </c>
      <c r="O1054">
        <v>0</v>
      </c>
      <c r="P1054">
        <v>1</v>
      </c>
      <c r="Q1054">
        <v>0</v>
      </c>
      <c r="S1054" t="str">
        <f t="shared" si="367"/>
        <v>19:28:23.000</v>
      </c>
      <c r="T1054" t="str">
        <f t="shared" si="367"/>
        <v>19:28:23.000</v>
      </c>
      <c r="U1054" t="str">
        <f t="shared" si="357"/>
        <v>AC3944</v>
      </c>
      <c r="V1054">
        <v>0</v>
      </c>
      <c r="W1054">
        <v>0</v>
      </c>
      <c r="X1054">
        <v>2</v>
      </c>
      <c r="Y1054">
        <v>0</v>
      </c>
      <c r="AA1054">
        <v>1</v>
      </c>
      <c r="AB1054">
        <v>8</v>
      </c>
      <c r="AC1054">
        <v>3</v>
      </c>
      <c r="AD1054">
        <v>0</v>
      </c>
      <c r="AE1054">
        <v>9</v>
      </c>
      <c r="AF1054" t="s">
        <v>138</v>
      </c>
      <c r="AG1054">
        <v>0</v>
      </c>
      <c r="AH1054">
        <v>3</v>
      </c>
      <c r="AI1054">
        <v>1</v>
      </c>
      <c r="AJ1054">
        <v>0</v>
      </c>
      <c r="AK1054" t="s">
        <v>435</v>
      </c>
      <c r="AL1054">
        <v>32.807642999999999</v>
      </c>
      <c r="AM1054" t="s">
        <v>436</v>
      </c>
      <c r="AN1054">
        <v>-116.92714700000001</v>
      </c>
      <c r="AO1054">
        <v>25</v>
      </c>
      <c r="AP1054">
        <v>2000</v>
      </c>
      <c r="AQ1054" t="s">
        <v>129</v>
      </c>
      <c r="AR1054">
        <v>130</v>
      </c>
      <c r="AS1054">
        <v>-12</v>
      </c>
      <c r="AT1054">
        <v>-128</v>
      </c>
      <c r="BB1054">
        <v>1200</v>
      </c>
      <c r="BC1054">
        <v>1</v>
      </c>
      <c r="BD1054" t="str">
        <f t="shared" si="358"/>
        <v xml:space="preserve">N887QR  </v>
      </c>
      <c r="BE1054">
        <v>1</v>
      </c>
      <c r="BG1054">
        <v>0</v>
      </c>
      <c r="BH1054">
        <v>0</v>
      </c>
      <c r="BI1054">
        <v>0</v>
      </c>
      <c r="BJ1054">
        <v>1700</v>
      </c>
      <c r="BK1054">
        <v>-300</v>
      </c>
      <c r="BL1054" t="s">
        <v>163</v>
      </c>
      <c r="BM1054">
        <v>1</v>
      </c>
      <c r="BN1054">
        <v>1</v>
      </c>
      <c r="BO1054">
        <v>1</v>
      </c>
      <c r="BP1054">
        <v>0</v>
      </c>
      <c r="BS1054">
        <v>0.12</v>
      </c>
      <c r="BT1054">
        <v>0</v>
      </c>
      <c r="BU1054">
        <v>0</v>
      </c>
      <c r="CE1054" t="str">
        <f t="shared" si="368"/>
        <v>19:28:23.102</v>
      </c>
      <c r="CF1054">
        <v>101732212</v>
      </c>
      <c r="CS1054">
        <v>3</v>
      </c>
      <c r="CT1054">
        <v>2</v>
      </c>
      <c r="CU1054">
        <v>0</v>
      </c>
      <c r="CV1054">
        <v>2</v>
      </c>
      <c r="CW1054">
        <v>0</v>
      </c>
      <c r="CX1054">
        <v>6</v>
      </c>
      <c r="CY1054">
        <v>7</v>
      </c>
      <c r="CZ1054" t="s">
        <v>131</v>
      </c>
      <c r="DA1054">
        <v>300</v>
      </c>
      <c r="DB1054">
        <v>0</v>
      </c>
      <c r="DC1054" t="s">
        <v>176</v>
      </c>
      <c r="DD1054" t="s">
        <v>177</v>
      </c>
      <c r="DG1054">
        <v>5377323</v>
      </c>
      <c r="DI1054">
        <v>1</v>
      </c>
      <c r="DJ1054">
        <v>0</v>
      </c>
      <c r="DK1054">
        <v>1</v>
      </c>
      <c r="DL1054">
        <v>0</v>
      </c>
      <c r="DM1054">
        <v>0</v>
      </c>
      <c r="DN1054">
        <v>1</v>
      </c>
      <c r="DO1054">
        <v>0</v>
      </c>
      <c r="DP1054">
        <v>0</v>
      </c>
      <c r="DQ1054">
        <v>0</v>
      </c>
      <c r="DR1054">
        <v>0</v>
      </c>
      <c r="DS1054">
        <v>0</v>
      </c>
    </row>
    <row r="1055" spans="1:123" x14ac:dyDescent="0.3">
      <c r="A1055" t="str">
        <f>"10/04/2022 19:28:23.274"</f>
        <v>10/04/2022 19:28:23.274</v>
      </c>
      <c r="C1055" t="str">
        <f t="shared" si="366"/>
        <v>FFDFD3C0</v>
      </c>
      <c r="D1055" t="s">
        <v>123</v>
      </c>
      <c r="E1055">
        <v>7</v>
      </c>
      <c r="F1055">
        <v>2007</v>
      </c>
      <c r="G1055" t="s">
        <v>124</v>
      </c>
      <c r="J1055" t="s">
        <v>125</v>
      </c>
      <c r="K1055">
        <v>0</v>
      </c>
      <c r="L1055">
        <v>3</v>
      </c>
      <c r="M1055">
        <v>0</v>
      </c>
      <c r="N1055">
        <v>2</v>
      </c>
      <c r="O1055">
        <v>0</v>
      </c>
      <c r="P1055">
        <v>1</v>
      </c>
      <c r="Q1055">
        <v>0</v>
      </c>
      <c r="S1055" t="str">
        <f t="shared" si="367"/>
        <v>19:28:23.000</v>
      </c>
      <c r="T1055" t="str">
        <f t="shared" si="367"/>
        <v>19:28:23.000</v>
      </c>
      <c r="U1055" t="str">
        <f t="shared" si="357"/>
        <v>AC3944</v>
      </c>
      <c r="V1055">
        <v>0</v>
      </c>
      <c r="W1055">
        <v>0</v>
      </c>
      <c r="X1055">
        <v>2</v>
      </c>
      <c r="Y1055">
        <v>0</v>
      </c>
      <c r="AA1055">
        <v>1</v>
      </c>
      <c r="AB1055">
        <v>8</v>
      </c>
      <c r="AC1055">
        <v>3</v>
      </c>
      <c r="AD1055">
        <v>0</v>
      </c>
      <c r="AE1055">
        <v>9</v>
      </c>
      <c r="AF1055" t="s">
        <v>138</v>
      </c>
      <c r="AG1055">
        <v>0</v>
      </c>
      <c r="AH1055">
        <v>3</v>
      </c>
      <c r="AI1055">
        <v>1</v>
      </c>
      <c r="AJ1055">
        <v>0</v>
      </c>
      <c r="AK1055" t="s">
        <v>435</v>
      </c>
      <c r="AL1055">
        <v>32.807642999999999</v>
      </c>
      <c r="AM1055" t="s">
        <v>436</v>
      </c>
      <c r="AN1055">
        <v>-116.92714700000001</v>
      </c>
      <c r="AO1055">
        <v>25</v>
      </c>
      <c r="AP1055">
        <v>2000</v>
      </c>
      <c r="AQ1055" t="s">
        <v>129</v>
      </c>
      <c r="AR1055">
        <v>130</v>
      </c>
      <c r="AS1055">
        <v>-12</v>
      </c>
      <c r="AT1055">
        <v>-128</v>
      </c>
      <c r="BB1055">
        <v>1200</v>
      </c>
      <c r="BC1055">
        <v>1</v>
      </c>
      <c r="BD1055" t="str">
        <f t="shared" si="358"/>
        <v xml:space="preserve">N887QR  </v>
      </c>
      <c r="BE1055">
        <v>1</v>
      </c>
      <c r="BG1055">
        <v>0</v>
      </c>
      <c r="BH1055">
        <v>0</v>
      </c>
      <c r="BI1055">
        <v>0</v>
      </c>
      <c r="BJ1055">
        <v>1700</v>
      </c>
      <c r="BK1055">
        <v>-300</v>
      </c>
      <c r="BL1055" t="s">
        <v>163</v>
      </c>
      <c r="BM1055">
        <v>1</v>
      </c>
      <c r="BN1055">
        <v>1</v>
      </c>
      <c r="BO1055">
        <v>1</v>
      </c>
      <c r="BP1055">
        <v>0</v>
      </c>
      <c r="BS1055">
        <v>0.12</v>
      </c>
      <c r="BT1055">
        <v>0</v>
      </c>
      <c r="BU1055">
        <v>0</v>
      </c>
      <c r="CE1055" t="str">
        <f t="shared" si="368"/>
        <v>19:28:23.102</v>
      </c>
      <c r="CF1055">
        <v>101732212</v>
      </c>
      <c r="CS1055">
        <v>3</v>
      </c>
      <c r="CT1055">
        <v>2</v>
      </c>
      <c r="CU1055">
        <v>0</v>
      </c>
      <c r="CV1055">
        <v>2</v>
      </c>
      <c r="CW1055">
        <v>0</v>
      </c>
      <c r="CX1055">
        <v>6</v>
      </c>
      <c r="CY1055">
        <v>7</v>
      </c>
      <c r="CZ1055" t="s">
        <v>131</v>
      </c>
      <c r="DA1055">
        <v>300</v>
      </c>
      <c r="DB1055">
        <v>0</v>
      </c>
      <c r="DC1055" t="s">
        <v>176</v>
      </c>
      <c r="DD1055" t="s">
        <v>177</v>
      </c>
      <c r="DG1055">
        <v>5377323</v>
      </c>
      <c r="DI1055">
        <v>1</v>
      </c>
      <c r="DJ1055">
        <v>0</v>
      </c>
      <c r="DK1055">
        <v>1</v>
      </c>
      <c r="DL1055">
        <v>0</v>
      </c>
      <c r="DM1055">
        <v>0</v>
      </c>
      <c r="DN1055">
        <v>1</v>
      </c>
      <c r="DO1055">
        <v>0</v>
      </c>
      <c r="DP1055">
        <v>0</v>
      </c>
      <c r="DQ1055">
        <v>0</v>
      </c>
      <c r="DR1055">
        <v>0</v>
      </c>
      <c r="DS1055">
        <v>0</v>
      </c>
    </row>
    <row r="1056" spans="1:123" x14ac:dyDescent="0.3">
      <c r="A1056" t="str">
        <f>"10/04/2022 19:28:23.290"</f>
        <v>10/04/2022 19:28:23.290</v>
      </c>
      <c r="C1056" t="str">
        <f t="shared" si="366"/>
        <v>FFDFD3C0</v>
      </c>
      <c r="D1056" t="s">
        <v>147</v>
      </c>
      <c r="E1056">
        <v>3</v>
      </c>
      <c r="H1056">
        <v>166</v>
      </c>
      <c r="I1056" t="s">
        <v>144</v>
      </c>
      <c r="J1056" t="s">
        <v>148</v>
      </c>
      <c r="K1056">
        <v>0</v>
      </c>
      <c r="L1056">
        <v>3</v>
      </c>
      <c r="M1056">
        <v>0</v>
      </c>
      <c r="N1056">
        <v>2</v>
      </c>
      <c r="O1056">
        <v>0</v>
      </c>
      <c r="P1056">
        <v>1</v>
      </c>
      <c r="Q1056">
        <v>0</v>
      </c>
      <c r="S1056" t="str">
        <f t="shared" si="367"/>
        <v>19:28:23.000</v>
      </c>
      <c r="T1056" t="str">
        <f t="shared" si="367"/>
        <v>19:28:23.000</v>
      </c>
      <c r="U1056" t="str">
        <f t="shared" si="357"/>
        <v>AC3944</v>
      </c>
      <c r="V1056">
        <v>0</v>
      </c>
      <c r="W1056">
        <v>0</v>
      </c>
      <c r="X1056">
        <v>2</v>
      </c>
      <c r="Y1056">
        <v>0</v>
      </c>
      <c r="AA1056">
        <v>1</v>
      </c>
      <c r="AB1056">
        <v>8</v>
      </c>
      <c r="AC1056">
        <v>3</v>
      </c>
      <c r="AD1056">
        <v>0</v>
      </c>
      <c r="AE1056">
        <v>9</v>
      </c>
      <c r="AF1056" t="s">
        <v>138</v>
      </c>
      <c r="AG1056">
        <v>0</v>
      </c>
      <c r="AH1056">
        <v>3</v>
      </c>
      <c r="AI1056">
        <v>1</v>
      </c>
      <c r="AJ1056">
        <v>0</v>
      </c>
      <c r="AK1056" t="s">
        <v>435</v>
      </c>
      <c r="AL1056">
        <v>32.807642999999999</v>
      </c>
      <c r="AM1056" t="s">
        <v>436</v>
      </c>
      <c r="AN1056">
        <v>-116.92714700000001</v>
      </c>
      <c r="AO1056">
        <v>25</v>
      </c>
      <c r="AP1056">
        <v>2000</v>
      </c>
      <c r="AQ1056" t="s">
        <v>129</v>
      </c>
      <c r="AR1056">
        <v>130</v>
      </c>
      <c r="AS1056">
        <v>-12</v>
      </c>
      <c r="AT1056">
        <v>-128</v>
      </c>
      <c r="BB1056">
        <v>1200</v>
      </c>
      <c r="BC1056">
        <v>1</v>
      </c>
      <c r="BD1056" t="str">
        <f t="shared" si="358"/>
        <v xml:space="preserve">N887QR  </v>
      </c>
      <c r="BE1056">
        <v>1</v>
      </c>
      <c r="BG1056">
        <v>0</v>
      </c>
      <c r="BH1056">
        <v>0</v>
      </c>
      <c r="BI1056">
        <v>0</v>
      </c>
      <c r="BJ1056">
        <v>1700</v>
      </c>
      <c r="BK1056">
        <v>-300</v>
      </c>
      <c r="BL1056" t="s">
        <v>163</v>
      </c>
      <c r="BM1056">
        <v>1</v>
      </c>
      <c r="BN1056">
        <v>1</v>
      </c>
      <c r="BO1056">
        <v>1</v>
      </c>
      <c r="BP1056">
        <v>0</v>
      </c>
      <c r="BS1056">
        <v>0.12</v>
      </c>
      <c r="BT1056">
        <v>0</v>
      </c>
      <c r="BU1056">
        <v>0</v>
      </c>
      <c r="CE1056" t="str">
        <f t="shared" si="368"/>
        <v>19:28:23.102</v>
      </c>
      <c r="CF1056">
        <v>101732212</v>
      </c>
      <c r="CS1056">
        <v>3</v>
      </c>
      <c r="CT1056">
        <v>2</v>
      </c>
      <c r="CU1056">
        <v>0</v>
      </c>
      <c r="CV1056">
        <v>2</v>
      </c>
      <c r="CW1056">
        <v>0</v>
      </c>
      <c r="CX1056">
        <v>6</v>
      </c>
      <c r="CY1056">
        <v>7</v>
      </c>
      <c r="CZ1056" t="s">
        <v>131</v>
      </c>
      <c r="DA1056">
        <v>300</v>
      </c>
      <c r="DB1056">
        <v>0</v>
      </c>
      <c r="DC1056" t="s">
        <v>176</v>
      </c>
      <c r="DD1056" t="s">
        <v>177</v>
      </c>
      <c r="DG1056">
        <v>5377323</v>
      </c>
      <c r="DI1056">
        <v>1</v>
      </c>
      <c r="DJ1056">
        <v>0</v>
      </c>
      <c r="DK1056">
        <v>1</v>
      </c>
      <c r="DL1056">
        <v>0</v>
      </c>
      <c r="DM1056">
        <v>0</v>
      </c>
      <c r="DN1056">
        <v>1</v>
      </c>
      <c r="DO1056">
        <v>0</v>
      </c>
      <c r="DP1056">
        <v>0</v>
      </c>
      <c r="DQ1056">
        <v>0</v>
      </c>
      <c r="DR1056">
        <v>0</v>
      </c>
      <c r="DS1056">
        <v>0</v>
      </c>
    </row>
    <row r="1057" spans="1:123" x14ac:dyDescent="0.3">
      <c r="A1057" t="str">
        <f>"10/04/2022 19:28:23.290"</f>
        <v>10/04/2022 19:28:23.290</v>
      </c>
      <c r="C1057" t="str">
        <f t="shared" si="366"/>
        <v>FFDFD3C0</v>
      </c>
      <c r="D1057" t="s">
        <v>136</v>
      </c>
      <c r="E1057">
        <v>8</v>
      </c>
      <c r="H1057">
        <v>225</v>
      </c>
      <c r="I1057" t="s">
        <v>137</v>
      </c>
      <c r="J1057" t="s">
        <v>138</v>
      </c>
      <c r="K1057">
        <v>0</v>
      </c>
      <c r="L1057">
        <v>3</v>
      </c>
      <c r="M1057">
        <v>0</v>
      </c>
      <c r="N1057">
        <v>2</v>
      </c>
      <c r="O1057">
        <v>0</v>
      </c>
      <c r="P1057">
        <v>1</v>
      </c>
      <c r="Q1057">
        <v>0</v>
      </c>
      <c r="S1057" t="str">
        <f t="shared" si="367"/>
        <v>19:28:23.000</v>
      </c>
      <c r="T1057" t="str">
        <f t="shared" si="367"/>
        <v>19:28:23.000</v>
      </c>
      <c r="U1057" t="str">
        <f t="shared" si="357"/>
        <v>AC3944</v>
      </c>
      <c r="V1057">
        <v>0</v>
      </c>
      <c r="W1057">
        <v>0</v>
      </c>
      <c r="X1057">
        <v>2</v>
      </c>
      <c r="Y1057">
        <v>0</v>
      </c>
      <c r="AA1057">
        <v>1</v>
      </c>
      <c r="AB1057">
        <v>8</v>
      </c>
      <c r="AC1057">
        <v>3</v>
      </c>
      <c r="AD1057">
        <v>0</v>
      </c>
      <c r="AE1057">
        <v>9</v>
      </c>
      <c r="AF1057" t="s">
        <v>138</v>
      </c>
      <c r="AG1057">
        <v>0</v>
      </c>
      <c r="AH1057">
        <v>3</v>
      </c>
      <c r="AI1057">
        <v>1</v>
      </c>
      <c r="AJ1057">
        <v>0</v>
      </c>
      <c r="AK1057" t="s">
        <v>435</v>
      </c>
      <c r="AL1057">
        <v>32.807642999999999</v>
      </c>
      <c r="AM1057" t="s">
        <v>436</v>
      </c>
      <c r="AN1057">
        <v>-116.92714700000001</v>
      </c>
      <c r="AO1057">
        <v>25</v>
      </c>
      <c r="AP1057">
        <v>2000</v>
      </c>
      <c r="AQ1057" t="s">
        <v>129</v>
      </c>
      <c r="AR1057">
        <v>130</v>
      </c>
      <c r="AS1057">
        <v>-12</v>
      </c>
      <c r="AT1057">
        <v>-128</v>
      </c>
      <c r="BB1057">
        <v>1200</v>
      </c>
      <c r="BC1057">
        <v>1</v>
      </c>
      <c r="BD1057" t="str">
        <f t="shared" si="358"/>
        <v xml:space="preserve">N887QR  </v>
      </c>
      <c r="BE1057">
        <v>1</v>
      </c>
      <c r="BG1057">
        <v>0</v>
      </c>
      <c r="BH1057">
        <v>0</v>
      </c>
      <c r="BI1057">
        <v>0</v>
      </c>
      <c r="BJ1057">
        <v>1700</v>
      </c>
      <c r="BK1057">
        <v>-300</v>
      </c>
      <c r="BL1057" t="s">
        <v>163</v>
      </c>
      <c r="BM1057">
        <v>1</v>
      </c>
      <c r="BN1057">
        <v>1</v>
      </c>
      <c r="BO1057">
        <v>1</v>
      </c>
      <c r="BP1057">
        <v>0</v>
      </c>
      <c r="BS1057">
        <v>0.12</v>
      </c>
      <c r="BT1057">
        <v>0</v>
      </c>
      <c r="BU1057">
        <v>0</v>
      </c>
      <c r="CE1057" t="str">
        <f t="shared" si="368"/>
        <v>19:28:23.102</v>
      </c>
      <c r="CF1057">
        <v>101732212</v>
      </c>
      <c r="CS1057">
        <v>3</v>
      </c>
      <c r="CT1057">
        <v>2</v>
      </c>
      <c r="CU1057">
        <v>0</v>
      </c>
      <c r="CV1057">
        <v>2</v>
      </c>
      <c r="CW1057">
        <v>0</v>
      </c>
      <c r="CX1057">
        <v>6</v>
      </c>
      <c r="CY1057">
        <v>7</v>
      </c>
      <c r="CZ1057" t="s">
        <v>131</v>
      </c>
      <c r="DA1057">
        <v>300</v>
      </c>
      <c r="DB1057">
        <v>0</v>
      </c>
      <c r="DC1057" t="s">
        <v>176</v>
      </c>
      <c r="DD1057" t="s">
        <v>177</v>
      </c>
      <c r="DG1057">
        <v>5377323</v>
      </c>
      <c r="DI1057">
        <v>1</v>
      </c>
      <c r="DJ1057">
        <v>0</v>
      </c>
      <c r="DK1057">
        <v>1</v>
      </c>
      <c r="DL1057">
        <v>0</v>
      </c>
      <c r="DM1057">
        <v>0</v>
      </c>
      <c r="DN1057">
        <v>1</v>
      </c>
      <c r="DO1057">
        <v>0</v>
      </c>
      <c r="DP1057">
        <v>0</v>
      </c>
      <c r="DQ1057">
        <v>0</v>
      </c>
      <c r="DR1057">
        <v>0</v>
      </c>
      <c r="DS1057">
        <v>0</v>
      </c>
    </row>
    <row r="1058" spans="1:123" x14ac:dyDescent="0.3">
      <c r="A1058" t="str">
        <f>"10/04/2022 19:28:23.290"</f>
        <v>10/04/2022 19:28:23.290</v>
      </c>
      <c r="C1058" t="str">
        <f t="shared" si="366"/>
        <v>FFDFD3C0</v>
      </c>
      <c r="D1058" t="s">
        <v>141</v>
      </c>
      <c r="E1058">
        <v>4</v>
      </c>
      <c r="H1058">
        <v>4</v>
      </c>
      <c r="I1058" t="s">
        <v>142</v>
      </c>
      <c r="J1058" t="s">
        <v>138</v>
      </c>
      <c r="K1058">
        <v>0</v>
      </c>
      <c r="L1058">
        <v>3</v>
      </c>
      <c r="M1058">
        <v>0</v>
      </c>
      <c r="N1058">
        <v>2</v>
      </c>
      <c r="O1058">
        <v>0</v>
      </c>
      <c r="P1058">
        <v>1</v>
      </c>
      <c r="Q1058">
        <v>0</v>
      </c>
      <c r="S1058" t="str">
        <f t="shared" si="367"/>
        <v>19:28:23.000</v>
      </c>
      <c r="T1058" t="str">
        <f t="shared" si="367"/>
        <v>19:28:23.000</v>
      </c>
      <c r="U1058" t="str">
        <f t="shared" si="357"/>
        <v>AC3944</v>
      </c>
      <c r="V1058">
        <v>0</v>
      </c>
      <c r="W1058">
        <v>0</v>
      </c>
      <c r="X1058">
        <v>2</v>
      </c>
      <c r="Y1058">
        <v>0</v>
      </c>
      <c r="AA1058">
        <v>1</v>
      </c>
      <c r="AB1058">
        <v>8</v>
      </c>
      <c r="AC1058">
        <v>3</v>
      </c>
      <c r="AD1058">
        <v>0</v>
      </c>
      <c r="AE1058">
        <v>9</v>
      </c>
      <c r="AF1058" t="s">
        <v>138</v>
      </c>
      <c r="AG1058">
        <v>0</v>
      </c>
      <c r="AH1058">
        <v>3</v>
      </c>
      <c r="AI1058">
        <v>1</v>
      </c>
      <c r="AJ1058">
        <v>0</v>
      </c>
      <c r="AK1058" t="s">
        <v>435</v>
      </c>
      <c r="AL1058">
        <v>32.807642999999999</v>
      </c>
      <c r="AM1058" t="s">
        <v>436</v>
      </c>
      <c r="AN1058">
        <v>-116.92714700000001</v>
      </c>
      <c r="AO1058">
        <v>25</v>
      </c>
      <c r="AP1058">
        <v>2000</v>
      </c>
      <c r="AQ1058" t="s">
        <v>129</v>
      </c>
      <c r="AR1058">
        <v>130</v>
      </c>
      <c r="AS1058">
        <v>-12</v>
      </c>
      <c r="AT1058">
        <v>-128</v>
      </c>
      <c r="BB1058">
        <v>1200</v>
      </c>
      <c r="BC1058">
        <v>1</v>
      </c>
      <c r="BD1058" t="str">
        <f t="shared" si="358"/>
        <v xml:space="preserve">N887QR  </v>
      </c>
      <c r="BE1058">
        <v>1</v>
      </c>
      <c r="BG1058">
        <v>0</v>
      </c>
      <c r="BH1058">
        <v>0</v>
      </c>
      <c r="BI1058">
        <v>0</v>
      </c>
      <c r="BJ1058">
        <v>1700</v>
      </c>
      <c r="BK1058">
        <v>-300</v>
      </c>
      <c r="BL1058" t="s">
        <v>163</v>
      </c>
      <c r="BM1058">
        <v>1</v>
      </c>
      <c r="BN1058">
        <v>1</v>
      </c>
      <c r="BO1058">
        <v>1</v>
      </c>
      <c r="BP1058">
        <v>0</v>
      </c>
      <c r="BS1058">
        <v>0.12</v>
      </c>
      <c r="BT1058">
        <v>0</v>
      </c>
      <c r="BU1058">
        <v>0</v>
      </c>
      <c r="CE1058" t="str">
        <f t="shared" si="368"/>
        <v>19:28:23.102</v>
      </c>
      <c r="CF1058">
        <v>101732212</v>
      </c>
      <c r="CS1058">
        <v>3</v>
      </c>
      <c r="CT1058">
        <v>2</v>
      </c>
      <c r="CU1058">
        <v>0</v>
      </c>
      <c r="CV1058">
        <v>2</v>
      </c>
      <c r="CW1058">
        <v>0</v>
      </c>
      <c r="CX1058">
        <v>6</v>
      </c>
      <c r="CY1058">
        <v>7</v>
      </c>
      <c r="CZ1058" t="s">
        <v>131</v>
      </c>
      <c r="DA1058">
        <v>300</v>
      </c>
      <c r="DB1058">
        <v>0</v>
      </c>
      <c r="DC1058" t="s">
        <v>176</v>
      </c>
      <c r="DD1058" t="s">
        <v>177</v>
      </c>
      <c r="DG1058">
        <v>5377323</v>
      </c>
      <c r="DI1058">
        <v>1</v>
      </c>
      <c r="DJ1058">
        <v>0</v>
      </c>
      <c r="DK1058">
        <v>1</v>
      </c>
      <c r="DL1058">
        <v>0</v>
      </c>
      <c r="DM1058">
        <v>0</v>
      </c>
      <c r="DN1058">
        <v>1</v>
      </c>
      <c r="DO1058">
        <v>0</v>
      </c>
      <c r="DP1058">
        <v>0</v>
      </c>
      <c r="DQ1058">
        <v>0</v>
      </c>
      <c r="DR1058">
        <v>0</v>
      </c>
      <c r="DS1058">
        <v>0</v>
      </c>
    </row>
    <row r="1059" spans="1:123" x14ac:dyDescent="0.3">
      <c r="A1059" t="str">
        <f>"10/04/2022 19:28:23.306"</f>
        <v>10/04/2022 19:28:23.306</v>
      </c>
      <c r="C1059" t="str">
        <f t="shared" si="366"/>
        <v>FFDFD3C0</v>
      </c>
      <c r="D1059" t="s">
        <v>134</v>
      </c>
      <c r="E1059">
        <v>15</v>
      </c>
      <c r="J1059" t="s">
        <v>135</v>
      </c>
      <c r="K1059">
        <v>0</v>
      </c>
      <c r="L1059">
        <v>3</v>
      </c>
      <c r="M1059">
        <v>0</v>
      </c>
      <c r="N1059">
        <v>2</v>
      </c>
      <c r="O1059">
        <v>0</v>
      </c>
      <c r="P1059">
        <v>1</v>
      </c>
      <c r="Q1059">
        <v>0</v>
      </c>
      <c r="S1059" t="str">
        <f t="shared" si="367"/>
        <v>19:28:23.000</v>
      </c>
      <c r="T1059" t="str">
        <f t="shared" si="367"/>
        <v>19:28:23.000</v>
      </c>
      <c r="U1059" t="str">
        <f t="shared" si="357"/>
        <v>AC3944</v>
      </c>
      <c r="V1059">
        <v>0</v>
      </c>
      <c r="W1059">
        <v>0</v>
      </c>
      <c r="X1059">
        <v>2</v>
      </c>
      <c r="Y1059">
        <v>0</v>
      </c>
      <c r="AA1059">
        <v>1</v>
      </c>
      <c r="AB1059">
        <v>8</v>
      </c>
      <c r="AC1059">
        <v>3</v>
      </c>
      <c r="AD1059">
        <v>0</v>
      </c>
      <c r="AE1059">
        <v>9</v>
      </c>
      <c r="AF1059" t="s">
        <v>138</v>
      </c>
      <c r="AG1059">
        <v>0</v>
      </c>
      <c r="AH1059">
        <v>3</v>
      </c>
      <c r="AI1059">
        <v>1</v>
      </c>
      <c r="AJ1059">
        <v>0</v>
      </c>
      <c r="AK1059" t="s">
        <v>435</v>
      </c>
      <c r="AL1059">
        <v>32.807642999999999</v>
      </c>
      <c r="AM1059" t="s">
        <v>436</v>
      </c>
      <c r="AN1059">
        <v>-116.92714700000001</v>
      </c>
      <c r="AO1059">
        <v>25</v>
      </c>
      <c r="AP1059">
        <v>2000</v>
      </c>
      <c r="AQ1059" t="s">
        <v>129</v>
      </c>
      <c r="AR1059">
        <v>130</v>
      </c>
      <c r="AS1059">
        <v>-12</v>
      </c>
      <c r="AT1059">
        <v>-128</v>
      </c>
      <c r="BB1059">
        <v>1200</v>
      </c>
      <c r="BC1059">
        <v>1</v>
      </c>
      <c r="BD1059" t="str">
        <f t="shared" si="358"/>
        <v xml:space="preserve">N887QR  </v>
      </c>
      <c r="BE1059">
        <v>1</v>
      </c>
      <c r="BG1059">
        <v>0</v>
      </c>
      <c r="BH1059">
        <v>0</v>
      </c>
      <c r="BI1059">
        <v>0</v>
      </c>
      <c r="BJ1059">
        <v>1700</v>
      </c>
      <c r="BK1059">
        <v>-300</v>
      </c>
      <c r="BL1059" t="s">
        <v>163</v>
      </c>
      <c r="BM1059">
        <v>1</v>
      </c>
      <c r="BN1059">
        <v>1</v>
      </c>
      <c r="BO1059">
        <v>1</v>
      </c>
      <c r="BP1059">
        <v>0</v>
      </c>
      <c r="BS1059">
        <v>0.12</v>
      </c>
      <c r="BT1059">
        <v>0</v>
      </c>
      <c r="BU1059">
        <v>0</v>
      </c>
      <c r="CE1059" t="str">
        <f t="shared" si="368"/>
        <v>19:28:23.102</v>
      </c>
      <c r="CF1059">
        <v>101732212</v>
      </c>
      <c r="CS1059">
        <v>3</v>
      </c>
      <c r="CT1059">
        <v>2</v>
      </c>
      <c r="CU1059">
        <v>0</v>
      </c>
      <c r="CV1059">
        <v>2</v>
      </c>
      <c r="CW1059">
        <v>0</v>
      </c>
      <c r="CX1059">
        <v>6</v>
      </c>
      <c r="CY1059">
        <v>7</v>
      </c>
      <c r="CZ1059" t="s">
        <v>131</v>
      </c>
      <c r="DA1059">
        <v>300</v>
      </c>
      <c r="DB1059">
        <v>0</v>
      </c>
      <c r="DC1059" t="s">
        <v>176</v>
      </c>
      <c r="DD1059" t="s">
        <v>177</v>
      </c>
      <c r="DG1059">
        <v>5377323</v>
      </c>
      <c r="DI1059">
        <v>1</v>
      </c>
      <c r="DJ1059">
        <v>0</v>
      </c>
      <c r="DK1059">
        <v>1</v>
      </c>
      <c r="DL1059">
        <v>0</v>
      </c>
      <c r="DM1059">
        <v>0</v>
      </c>
      <c r="DN1059">
        <v>1</v>
      </c>
      <c r="DO1059">
        <v>0</v>
      </c>
      <c r="DP1059">
        <v>0</v>
      </c>
      <c r="DQ1059">
        <v>0</v>
      </c>
      <c r="DR1059">
        <v>0</v>
      </c>
      <c r="DS1059">
        <v>0</v>
      </c>
    </row>
    <row r="1060" spans="1:123" x14ac:dyDescent="0.3">
      <c r="A1060" t="str">
        <f>"10/04/2022 19:28:24.524"</f>
        <v>10/04/2022 19:28:24.524</v>
      </c>
      <c r="C1060" t="str">
        <f t="shared" si="366"/>
        <v>FFDFD3C0</v>
      </c>
      <c r="D1060" t="s">
        <v>141</v>
      </c>
      <c r="E1060">
        <v>3</v>
      </c>
      <c r="H1060">
        <v>3</v>
      </c>
      <c r="I1060" t="s">
        <v>146</v>
      </c>
      <c r="J1060" t="s">
        <v>138</v>
      </c>
      <c r="K1060">
        <v>0</v>
      </c>
      <c r="L1060">
        <v>3</v>
      </c>
      <c r="M1060">
        <v>0</v>
      </c>
      <c r="N1060">
        <v>2</v>
      </c>
      <c r="O1060">
        <v>0</v>
      </c>
      <c r="P1060">
        <v>1</v>
      </c>
      <c r="Q1060">
        <v>0</v>
      </c>
      <c r="S1060" t="str">
        <f t="shared" ref="S1060:T1066" si="369">"19:28:24.000"</f>
        <v>19:28:24.000</v>
      </c>
      <c r="T1060" t="str">
        <f t="shared" si="369"/>
        <v>19:28:24.000</v>
      </c>
      <c r="U1060" t="str">
        <f t="shared" si="357"/>
        <v>AC3944</v>
      </c>
      <c r="V1060">
        <v>0</v>
      </c>
      <c r="W1060">
        <v>0</v>
      </c>
      <c r="X1060">
        <v>2</v>
      </c>
      <c r="Y1060">
        <v>0</v>
      </c>
      <c r="AA1060">
        <v>1</v>
      </c>
      <c r="AB1060">
        <v>8</v>
      </c>
      <c r="AC1060">
        <v>3</v>
      </c>
      <c r="AD1060">
        <v>0</v>
      </c>
      <c r="AE1060">
        <v>9</v>
      </c>
      <c r="AF1060" t="s">
        <v>138</v>
      </c>
      <c r="AG1060">
        <v>0</v>
      </c>
      <c r="AH1060">
        <v>3</v>
      </c>
      <c r="AI1060">
        <v>1</v>
      </c>
      <c r="AJ1060">
        <v>0</v>
      </c>
      <c r="AK1060" t="s">
        <v>437</v>
      </c>
      <c r="AL1060">
        <v>32.807558</v>
      </c>
      <c r="AM1060" t="s">
        <v>438</v>
      </c>
      <c r="AN1060">
        <v>-116.926267</v>
      </c>
      <c r="AO1060">
        <v>25</v>
      </c>
      <c r="AP1060">
        <v>2000</v>
      </c>
      <c r="AQ1060" t="s">
        <v>129</v>
      </c>
      <c r="AR1060">
        <v>130</v>
      </c>
      <c r="AS1060">
        <v>-13</v>
      </c>
      <c r="AT1060">
        <v>0</v>
      </c>
      <c r="BB1060">
        <v>1200</v>
      </c>
      <c r="BC1060">
        <v>1</v>
      </c>
      <c r="BD1060" t="str">
        <f t="shared" si="358"/>
        <v xml:space="preserve">N887QR  </v>
      </c>
      <c r="BE1060">
        <v>1</v>
      </c>
      <c r="BG1060">
        <v>0</v>
      </c>
      <c r="BH1060">
        <v>0</v>
      </c>
      <c r="BI1060">
        <v>0</v>
      </c>
      <c r="BJ1060">
        <v>1700</v>
      </c>
      <c r="BK1060">
        <v>-300</v>
      </c>
      <c r="BL1060" t="s">
        <v>163</v>
      </c>
      <c r="BM1060">
        <v>1</v>
      </c>
      <c r="BN1060">
        <v>1</v>
      </c>
      <c r="BO1060">
        <v>1</v>
      </c>
      <c r="BP1060">
        <v>0</v>
      </c>
      <c r="BS1060">
        <v>0.08</v>
      </c>
      <c r="BT1060">
        <v>0</v>
      </c>
      <c r="BU1060">
        <v>0</v>
      </c>
      <c r="CE1060" t="str">
        <f t="shared" ref="CE1060:CE1066" si="370">"19:28:24.356"</f>
        <v>19:28:24.356</v>
      </c>
      <c r="CF1060">
        <v>355986308</v>
      </c>
      <c r="CS1060">
        <v>3</v>
      </c>
      <c r="CT1060">
        <v>2</v>
      </c>
      <c r="CU1060">
        <v>0</v>
      </c>
      <c r="CV1060">
        <v>2</v>
      </c>
      <c r="CW1060">
        <v>0</v>
      </c>
      <c r="CX1060">
        <v>6</v>
      </c>
      <c r="CY1060">
        <v>7</v>
      </c>
      <c r="CZ1060" t="s">
        <v>131</v>
      </c>
      <c r="DA1060">
        <v>300</v>
      </c>
      <c r="DB1060">
        <v>0</v>
      </c>
      <c r="DC1060" t="s">
        <v>176</v>
      </c>
      <c r="DD1060" t="s">
        <v>177</v>
      </c>
      <c r="DG1060">
        <v>5377517</v>
      </c>
      <c r="DI1060">
        <v>1</v>
      </c>
      <c r="DJ1060">
        <v>0</v>
      </c>
      <c r="DK1060">
        <v>0</v>
      </c>
      <c r="DL1060">
        <v>0</v>
      </c>
      <c r="DM1060">
        <v>0</v>
      </c>
      <c r="DN1060">
        <v>1</v>
      </c>
      <c r="DO1060">
        <v>0</v>
      </c>
      <c r="DP1060">
        <v>0</v>
      </c>
      <c r="DQ1060">
        <v>0</v>
      </c>
      <c r="DR1060">
        <v>0</v>
      </c>
      <c r="DS1060">
        <v>0</v>
      </c>
    </row>
    <row r="1061" spans="1:123" x14ac:dyDescent="0.3">
      <c r="A1061" t="str">
        <f>"10/04/2022 19:28:24.524"</f>
        <v>10/04/2022 19:28:24.524</v>
      </c>
      <c r="C1061" t="str">
        <f t="shared" si="366"/>
        <v>FFDFD3C0</v>
      </c>
      <c r="D1061" t="s">
        <v>123</v>
      </c>
      <c r="E1061">
        <v>7</v>
      </c>
      <c r="F1061">
        <v>2007</v>
      </c>
      <c r="G1061" t="s">
        <v>124</v>
      </c>
      <c r="J1061" t="s">
        <v>125</v>
      </c>
      <c r="K1061">
        <v>0</v>
      </c>
      <c r="L1061">
        <v>3</v>
      </c>
      <c r="M1061">
        <v>0</v>
      </c>
      <c r="N1061">
        <v>2</v>
      </c>
      <c r="O1061">
        <v>0</v>
      </c>
      <c r="P1061">
        <v>1</v>
      </c>
      <c r="Q1061">
        <v>0</v>
      </c>
      <c r="S1061" t="str">
        <f t="shared" si="369"/>
        <v>19:28:24.000</v>
      </c>
      <c r="T1061" t="str">
        <f t="shared" si="369"/>
        <v>19:28:24.000</v>
      </c>
      <c r="U1061" t="str">
        <f t="shared" si="357"/>
        <v>AC3944</v>
      </c>
      <c r="V1061">
        <v>0</v>
      </c>
      <c r="W1061">
        <v>0</v>
      </c>
      <c r="X1061">
        <v>2</v>
      </c>
      <c r="Y1061">
        <v>0</v>
      </c>
      <c r="AA1061">
        <v>1</v>
      </c>
      <c r="AB1061">
        <v>8</v>
      </c>
      <c r="AC1061">
        <v>3</v>
      </c>
      <c r="AD1061">
        <v>0</v>
      </c>
      <c r="AE1061">
        <v>9</v>
      </c>
      <c r="AF1061" t="s">
        <v>138</v>
      </c>
      <c r="AG1061">
        <v>0</v>
      </c>
      <c r="AH1061">
        <v>3</v>
      </c>
      <c r="AI1061">
        <v>1</v>
      </c>
      <c r="AJ1061">
        <v>0</v>
      </c>
      <c r="AK1061" t="s">
        <v>437</v>
      </c>
      <c r="AL1061">
        <v>32.807558</v>
      </c>
      <c r="AM1061" t="s">
        <v>438</v>
      </c>
      <c r="AN1061">
        <v>-116.926267</v>
      </c>
      <c r="AO1061">
        <v>25</v>
      </c>
      <c r="AP1061">
        <v>2000</v>
      </c>
      <c r="AQ1061" t="s">
        <v>129</v>
      </c>
      <c r="AR1061">
        <v>130</v>
      </c>
      <c r="AS1061">
        <v>-13</v>
      </c>
      <c r="AT1061">
        <v>0</v>
      </c>
      <c r="BB1061">
        <v>1200</v>
      </c>
      <c r="BC1061">
        <v>1</v>
      </c>
      <c r="BD1061" t="str">
        <f t="shared" si="358"/>
        <v xml:space="preserve">N887QR  </v>
      </c>
      <c r="BE1061">
        <v>1</v>
      </c>
      <c r="BG1061">
        <v>0</v>
      </c>
      <c r="BH1061">
        <v>0</v>
      </c>
      <c r="BI1061">
        <v>0</v>
      </c>
      <c r="BJ1061">
        <v>1700</v>
      </c>
      <c r="BK1061">
        <v>-300</v>
      </c>
      <c r="BL1061" t="s">
        <v>163</v>
      </c>
      <c r="BM1061">
        <v>1</v>
      </c>
      <c r="BN1061">
        <v>1</v>
      </c>
      <c r="BO1061">
        <v>1</v>
      </c>
      <c r="BP1061">
        <v>0</v>
      </c>
      <c r="BS1061">
        <v>0.08</v>
      </c>
      <c r="BT1061">
        <v>0</v>
      </c>
      <c r="BU1061">
        <v>0</v>
      </c>
      <c r="CE1061" t="str">
        <f t="shared" si="370"/>
        <v>19:28:24.356</v>
      </c>
      <c r="CF1061">
        <v>355986308</v>
      </c>
      <c r="CS1061">
        <v>3</v>
      </c>
      <c r="CT1061">
        <v>2</v>
      </c>
      <c r="CU1061">
        <v>0</v>
      </c>
      <c r="CV1061">
        <v>2</v>
      </c>
      <c r="CW1061">
        <v>0</v>
      </c>
      <c r="CX1061">
        <v>6</v>
      </c>
      <c r="CY1061">
        <v>7</v>
      </c>
      <c r="CZ1061" t="s">
        <v>131</v>
      </c>
      <c r="DA1061">
        <v>300</v>
      </c>
      <c r="DB1061">
        <v>0</v>
      </c>
      <c r="DC1061" t="s">
        <v>176</v>
      </c>
      <c r="DD1061" t="s">
        <v>177</v>
      </c>
      <c r="DG1061">
        <v>5377517</v>
      </c>
      <c r="DI1061">
        <v>1</v>
      </c>
      <c r="DJ1061">
        <v>0</v>
      </c>
      <c r="DK1061">
        <v>1</v>
      </c>
      <c r="DL1061">
        <v>0</v>
      </c>
      <c r="DM1061">
        <v>0</v>
      </c>
      <c r="DN1061">
        <v>1</v>
      </c>
      <c r="DO1061">
        <v>0</v>
      </c>
      <c r="DP1061">
        <v>0</v>
      </c>
      <c r="DQ1061">
        <v>0</v>
      </c>
      <c r="DR1061">
        <v>0</v>
      </c>
      <c r="DS1061">
        <v>0</v>
      </c>
    </row>
    <row r="1062" spans="1:123" x14ac:dyDescent="0.3">
      <c r="A1062" t="str">
        <f>"10/04/2022 19:28:24.571"</f>
        <v>10/04/2022 19:28:24.571</v>
      </c>
      <c r="C1062" t="str">
        <f t="shared" si="366"/>
        <v>FFDFD3C0</v>
      </c>
      <c r="D1062" t="s">
        <v>147</v>
      </c>
      <c r="E1062">
        <v>3</v>
      </c>
      <c r="H1062">
        <v>166</v>
      </c>
      <c r="I1062" t="s">
        <v>144</v>
      </c>
      <c r="J1062" t="s">
        <v>148</v>
      </c>
      <c r="K1062">
        <v>0</v>
      </c>
      <c r="L1062">
        <v>3</v>
      </c>
      <c r="M1062">
        <v>0</v>
      </c>
      <c r="N1062">
        <v>2</v>
      </c>
      <c r="O1062">
        <v>0</v>
      </c>
      <c r="P1062">
        <v>1</v>
      </c>
      <c r="Q1062">
        <v>0</v>
      </c>
      <c r="S1062" t="str">
        <f t="shared" si="369"/>
        <v>19:28:24.000</v>
      </c>
      <c r="T1062" t="str">
        <f t="shared" si="369"/>
        <v>19:28:24.000</v>
      </c>
      <c r="U1062" t="str">
        <f t="shared" si="357"/>
        <v>AC3944</v>
      </c>
      <c r="V1062">
        <v>0</v>
      </c>
      <c r="W1062">
        <v>0</v>
      </c>
      <c r="X1062">
        <v>2</v>
      </c>
      <c r="Y1062">
        <v>0</v>
      </c>
      <c r="AA1062">
        <v>1</v>
      </c>
      <c r="AB1062">
        <v>8</v>
      </c>
      <c r="AC1062">
        <v>3</v>
      </c>
      <c r="AD1062">
        <v>0</v>
      </c>
      <c r="AE1062">
        <v>9</v>
      </c>
      <c r="AF1062" t="s">
        <v>138</v>
      </c>
      <c r="AG1062">
        <v>0</v>
      </c>
      <c r="AH1062">
        <v>3</v>
      </c>
      <c r="AI1062">
        <v>1</v>
      </c>
      <c r="AJ1062">
        <v>0</v>
      </c>
      <c r="AK1062" t="s">
        <v>437</v>
      </c>
      <c r="AL1062">
        <v>32.807558</v>
      </c>
      <c r="AM1062" t="s">
        <v>438</v>
      </c>
      <c r="AN1062">
        <v>-116.926267</v>
      </c>
      <c r="AO1062">
        <v>25</v>
      </c>
      <c r="AP1062">
        <v>2000</v>
      </c>
      <c r="AQ1062" t="s">
        <v>129</v>
      </c>
      <c r="AR1062">
        <v>130</v>
      </c>
      <c r="AS1062">
        <v>-13</v>
      </c>
      <c r="AT1062">
        <v>0</v>
      </c>
      <c r="BB1062">
        <v>1200</v>
      </c>
      <c r="BC1062">
        <v>1</v>
      </c>
      <c r="BD1062" t="str">
        <f t="shared" si="358"/>
        <v xml:space="preserve">N887QR  </v>
      </c>
      <c r="BE1062">
        <v>1</v>
      </c>
      <c r="BG1062">
        <v>0</v>
      </c>
      <c r="BH1062">
        <v>0</v>
      </c>
      <c r="BI1062">
        <v>0</v>
      </c>
      <c r="BJ1062">
        <v>1700</v>
      </c>
      <c r="BK1062">
        <v>-300</v>
      </c>
      <c r="BL1062" t="s">
        <v>163</v>
      </c>
      <c r="BM1062">
        <v>1</v>
      </c>
      <c r="BN1062">
        <v>1</v>
      </c>
      <c r="BO1062">
        <v>1</v>
      </c>
      <c r="BP1062">
        <v>0</v>
      </c>
      <c r="BS1062">
        <v>0.08</v>
      </c>
      <c r="BT1062">
        <v>0</v>
      </c>
      <c r="BU1062">
        <v>0</v>
      </c>
      <c r="CE1062" t="str">
        <f t="shared" si="370"/>
        <v>19:28:24.356</v>
      </c>
      <c r="CF1062">
        <v>355986308</v>
      </c>
      <c r="CS1062">
        <v>3</v>
      </c>
      <c r="CT1062">
        <v>2</v>
      </c>
      <c r="CU1062">
        <v>0</v>
      </c>
      <c r="CV1062">
        <v>2</v>
      </c>
      <c r="CW1062">
        <v>0</v>
      </c>
      <c r="CX1062">
        <v>6</v>
      </c>
      <c r="CY1062">
        <v>7</v>
      </c>
      <c r="CZ1062" t="s">
        <v>131</v>
      </c>
      <c r="DA1062">
        <v>300</v>
      </c>
      <c r="DB1062">
        <v>0</v>
      </c>
      <c r="DC1062" t="s">
        <v>176</v>
      </c>
      <c r="DD1062" t="s">
        <v>177</v>
      </c>
      <c r="DG1062">
        <v>5377517</v>
      </c>
      <c r="DI1062">
        <v>1</v>
      </c>
      <c r="DJ1062">
        <v>0</v>
      </c>
      <c r="DK1062">
        <v>1</v>
      </c>
      <c r="DL1062">
        <v>0</v>
      </c>
      <c r="DM1062">
        <v>0</v>
      </c>
      <c r="DN1062">
        <v>1</v>
      </c>
      <c r="DO1062">
        <v>0</v>
      </c>
      <c r="DP1062">
        <v>0</v>
      </c>
      <c r="DQ1062">
        <v>0</v>
      </c>
      <c r="DR1062">
        <v>0</v>
      </c>
      <c r="DS1062">
        <v>0</v>
      </c>
    </row>
    <row r="1063" spans="1:123" x14ac:dyDescent="0.3">
      <c r="A1063" t="str">
        <f>"10/04/2022 19:28:24.571"</f>
        <v>10/04/2022 19:28:24.571</v>
      </c>
      <c r="C1063" t="str">
        <f t="shared" si="366"/>
        <v>FFDFD3C0</v>
      </c>
      <c r="D1063" t="s">
        <v>141</v>
      </c>
      <c r="E1063">
        <v>4</v>
      </c>
      <c r="H1063">
        <v>4</v>
      </c>
      <c r="I1063" t="s">
        <v>142</v>
      </c>
      <c r="J1063" t="s">
        <v>138</v>
      </c>
      <c r="K1063">
        <v>0</v>
      </c>
      <c r="L1063">
        <v>3</v>
      </c>
      <c r="M1063">
        <v>0</v>
      </c>
      <c r="N1063">
        <v>2</v>
      </c>
      <c r="O1063">
        <v>0</v>
      </c>
      <c r="P1063">
        <v>1</v>
      </c>
      <c r="Q1063">
        <v>0</v>
      </c>
      <c r="S1063" t="str">
        <f t="shared" si="369"/>
        <v>19:28:24.000</v>
      </c>
      <c r="T1063" t="str">
        <f t="shared" si="369"/>
        <v>19:28:24.000</v>
      </c>
      <c r="U1063" t="str">
        <f t="shared" si="357"/>
        <v>AC3944</v>
      </c>
      <c r="V1063">
        <v>0</v>
      </c>
      <c r="W1063">
        <v>0</v>
      </c>
      <c r="X1063">
        <v>2</v>
      </c>
      <c r="Y1063">
        <v>0</v>
      </c>
      <c r="AA1063">
        <v>1</v>
      </c>
      <c r="AB1063">
        <v>8</v>
      </c>
      <c r="AC1063">
        <v>3</v>
      </c>
      <c r="AD1063">
        <v>0</v>
      </c>
      <c r="AE1063">
        <v>9</v>
      </c>
      <c r="AF1063" t="s">
        <v>138</v>
      </c>
      <c r="AG1063">
        <v>0</v>
      </c>
      <c r="AH1063">
        <v>3</v>
      </c>
      <c r="AI1063">
        <v>1</v>
      </c>
      <c r="AJ1063">
        <v>0</v>
      </c>
      <c r="AK1063" t="s">
        <v>437</v>
      </c>
      <c r="AL1063">
        <v>32.807558</v>
      </c>
      <c r="AM1063" t="s">
        <v>438</v>
      </c>
      <c r="AN1063">
        <v>-116.926267</v>
      </c>
      <c r="AO1063">
        <v>25</v>
      </c>
      <c r="AP1063">
        <v>2000</v>
      </c>
      <c r="AQ1063" t="s">
        <v>129</v>
      </c>
      <c r="AR1063">
        <v>130</v>
      </c>
      <c r="AS1063">
        <v>-13</v>
      </c>
      <c r="AT1063">
        <v>0</v>
      </c>
      <c r="BB1063">
        <v>1200</v>
      </c>
      <c r="BC1063">
        <v>1</v>
      </c>
      <c r="BD1063" t="str">
        <f t="shared" si="358"/>
        <v xml:space="preserve">N887QR  </v>
      </c>
      <c r="BE1063">
        <v>1</v>
      </c>
      <c r="BG1063">
        <v>0</v>
      </c>
      <c r="BH1063">
        <v>0</v>
      </c>
      <c r="BI1063">
        <v>0</v>
      </c>
      <c r="BJ1063">
        <v>1700</v>
      </c>
      <c r="BK1063">
        <v>-300</v>
      </c>
      <c r="BL1063" t="s">
        <v>163</v>
      </c>
      <c r="BM1063">
        <v>1</v>
      </c>
      <c r="BN1063">
        <v>1</v>
      </c>
      <c r="BO1063">
        <v>1</v>
      </c>
      <c r="BP1063">
        <v>0</v>
      </c>
      <c r="BS1063">
        <v>0.08</v>
      </c>
      <c r="BT1063">
        <v>0</v>
      </c>
      <c r="BU1063">
        <v>0</v>
      </c>
      <c r="CE1063" t="str">
        <f t="shared" si="370"/>
        <v>19:28:24.356</v>
      </c>
      <c r="CF1063">
        <v>355986308</v>
      </c>
      <c r="CS1063">
        <v>3</v>
      </c>
      <c r="CT1063">
        <v>2</v>
      </c>
      <c r="CU1063">
        <v>0</v>
      </c>
      <c r="CV1063">
        <v>2</v>
      </c>
      <c r="CW1063">
        <v>0</v>
      </c>
      <c r="CX1063">
        <v>6</v>
      </c>
      <c r="CY1063">
        <v>7</v>
      </c>
      <c r="CZ1063" t="s">
        <v>131</v>
      </c>
      <c r="DA1063">
        <v>300</v>
      </c>
      <c r="DB1063">
        <v>0</v>
      </c>
      <c r="DC1063" t="s">
        <v>176</v>
      </c>
      <c r="DD1063" t="s">
        <v>177</v>
      </c>
      <c r="DG1063">
        <v>5377517</v>
      </c>
      <c r="DI1063">
        <v>1</v>
      </c>
      <c r="DJ1063">
        <v>0</v>
      </c>
      <c r="DK1063">
        <v>1</v>
      </c>
      <c r="DL1063">
        <v>0</v>
      </c>
      <c r="DM1063">
        <v>0</v>
      </c>
      <c r="DN1063">
        <v>1</v>
      </c>
      <c r="DO1063">
        <v>0</v>
      </c>
      <c r="DP1063">
        <v>0</v>
      </c>
      <c r="DQ1063">
        <v>0</v>
      </c>
      <c r="DR1063">
        <v>0</v>
      </c>
      <c r="DS1063">
        <v>0</v>
      </c>
    </row>
    <row r="1064" spans="1:123" x14ac:dyDescent="0.3">
      <c r="A1064" t="str">
        <f>"10/04/2022 19:28:24.571"</f>
        <v>10/04/2022 19:28:24.571</v>
      </c>
      <c r="C1064" t="str">
        <f t="shared" si="366"/>
        <v>FFDFD3C0</v>
      </c>
      <c r="D1064" t="s">
        <v>136</v>
      </c>
      <c r="E1064">
        <v>8</v>
      </c>
      <c r="H1064">
        <v>225</v>
      </c>
      <c r="I1064" t="s">
        <v>137</v>
      </c>
      <c r="J1064" t="s">
        <v>138</v>
      </c>
      <c r="K1064">
        <v>0</v>
      </c>
      <c r="L1064">
        <v>3</v>
      </c>
      <c r="M1064">
        <v>0</v>
      </c>
      <c r="N1064">
        <v>2</v>
      </c>
      <c r="O1064">
        <v>0</v>
      </c>
      <c r="P1064">
        <v>1</v>
      </c>
      <c r="Q1064">
        <v>0</v>
      </c>
      <c r="S1064" t="str">
        <f t="shared" si="369"/>
        <v>19:28:24.000</v>
      </c>
      <c r="T1064" t="str">
        <f t="shared" si="369"/>
        <v>19:28:24.000</v>
      </c>
      <c r="U1064" t="str">
        <f t="shared" si="357"/>
        <v>AC3944</v>
      </c>
      <c r="V1064">
        <v>0</v>
      </c>
      <c r="W1064">
        <v>0</v>
      </c>
      <c r="X1064">
        <v>2</v>
      </c>
      <c r="Y1064">
        <v>0</v>
      </c>
      <c r="AA1064">
        <v>1</v>
      </c>
      <c r="AB1064">
        <v>8</v>
      </c>
      <c r="AC1064">
        <v>3</v>
      </c>
      <c r="AD1064">
        <v>0</v>
      </c>
      <c r="AE1064">
        <v>9</v>
      </c>
      <c r="AF1064" t="s">
        <v>138</v>
      </c>
      <c r="AG1064">
        <v>0</v>
      </c>
      <c r="AH1064">
        <v>3</v>
      </c>
      <c r="AI1064">
        <v>1</v>
      </c>
      <c r="AJ1064">
        <v>0</v>
      </c>
      <c r="AK1064" t="s">
        <v>437</v>
      </c>
      <c r="AL1064">
        <v>32.807558</v>
      </c>
      <c r="AM1064" t="s">
        <v>438</v>
      </c>
      <c r="AN1064">
        <v>-116.926267</v>
      </c>
      <c r="AO1064">
        <v>25</v>
      </c>
      <c r="AP1064">
        <v>2000</v>
      </c>
      <c r="AQ1064" t="s">
        <v>129</v>
      </c>
      <c r="AR1064">
        <v>130</v>
      </c>
      <c r="AS1064">
        <v>-13</v>
      </c>
      <c r="AT1064">
        <v>0</v>
      </c>
      <c r="BB1064">
        <v>1200</v>
      </c>
      <c r="BC1064">
        <v>1</v>
      </c>
      <c r="BD1064" t="str">
        <f t="shared" si="358"/>
        <v xml:space="preserve">N887QR  </v>
      </c>
      <c r="BE1064">
        <v>1</v>
      </c>
      <c r="BG1064">
        <v>0</v>
      </c>
      <c r="BH1064">
        <v>0</v>
      </c>
      <c r="BI1064">
        <v>0</v>
      </c>
      <c r="BJ1064">
        <v>1700</v>
      </c>
      <c r="BK1064">
        <v>-300</v>
      </c>
      <c r="BL1064" t="s">
        <v>163</v>
      </c>
      <c r="BM1064">
        <v>1</v>
      </c>
      <c r="BN1064">
        <v>1</v>
      </c>
      <c r="BO1064">
        <v>1</v>
      </c>
      <c r="BP1064">
        <v>0</v>
      </c>
      <c r="BS1064">
        <v>0.08</v>
      </c>
      <c r="BT1064">
        <v>0</v>
      </c>
      <c r="BU1064">
        <v>0</v>
      </c>
      <c r="CE1064" t="str">
        <f t="shared" si="370"/>
        <v>19:28:24.356</v>
      </c>
      <c r="CF1064">
        <v>355986308</v>
      </c>
      <c r="CS1064">
        <v>3</v>
      </c>
      <c r="CT1064">
        <v>2</v>
      </c>
      <c r="CU1064">
        <v>0</v>
      </c>
      <c r="CV1064">
        <v>2</v>
      </c>
      <c r="CW1064">
        <v>0</v>
      </c>
      <c r="CX1064">
        <v>6</v>
      </c>
      <c r="CY1064">
        <v>7</v>
      </c>
      <c r="CZ1064" t="s">
        <v>131</v>
      </c>
      <c r="DA1064">
        <v>300</v>
      </c>
      <c r="DB1064">
        <v>0</v>
      </c>
      <c r="DC1064" t="s">
        <v>176</v>
      </c>
      <c r="DD1064" t="s">
        <v>177</v>
      </c>
      <c r="DG1064">
        <v>5377517</v>
      </c>
      <c r="DI1064">
        <v>1</v>
      </c>
      <c r="DJ1064">
        <v>0</v>
      </c>
      <c r="DK1064">
        <v>1</v>
      </c>
      <c r="DL1064">
        <v>0</v>
      </c>
      <c r="DM1064">
        <v>0</v>
      </c>
      <c r="DN1064">
        <v>1</v>
      </c>
      <c r="DO1064">
        <v>0</v>
      </c>
      <c r="DP1064">
        <v>0</v>
      </c>
      <c r="DQ1064">
        <v>0</v>
      </c>
      <c r="DR1064">
        <v>0</v>
      </c>
      <c r="DS1064">
        <v>0</v>
      </c>
    </row>
    <row r="1065" spans="1:123" x14ac:dyDescent="0.3">
      <c r="A1065" t="str">
        <f>"10/04/2022 19:28:24.571"</f>
        <v>10/04/2022 19:28:24.571</v>
      </c>
      <c r="C1065" t="str">
        <f t="shared" si="366"/>
        <v>FFDFD3C0</v>
      </c>
      <c r="D1065" t="s">
        <v>134</v>
      </c>
      <c r="E1065">
        <v>15</v>
      </c>
      <c r="J1065" t="s">
        <v>135</v>
      </c>
      <c r="K1065">
        <v>0</v>
      </c>
      <c r="L1065">
        <v>3</v>
      </c>
      <c r="M1065">
        <v>0</v>
      </c>
      <c r="N1065">
        <v>2</v>
      </c>
      <c r="O1065">
        <v>0</v>
      </c>
      <c r="P1065">
        <v>1</v>
      </c>
      <c r="Q1065">
        <v>0</v>
      </c>
      <c r="S1065" t="str">
        <f t="shared" si="369"/>
        <v>19:28:24.000</v>
      </c>
      <c r="T1065" t="str">
        <f t="shared" si="369"/>
        <v>19:28:24.000</v>
      </c>
      <c r="U1065" t="str">
        <f t="shared" si="357"/>
        <v>AC3944</v>
      </c>
      <c r="V1065">
        <v>0</v>
      </c>
      <c r="W1065">
        <v>0</v>
      </c>
      <c r="X1065">
        <v>2</v>
      </c>
      <c r="Y1065">
        <v>0</v>
      </c>
      <c r="AA1065">
        <v>1</v>
      </c>
      <c r="AB1065">
        <v>8</v>
      </c>
      <c r="AC1065">
        <v>3</v>
      </c>
      <c r="AD1065">
        <v>0</v>
      </c>
      <c r="AE1065">
        <v>9</v>
      </c>
      <c r="AF1065" t="s">
        <v>138</v>
      </c>
      <c r="AG1065">
        <v>0</v>
      </c>
      <c r="AH1065">
        <v>3</v>
      </c>
      <c r="AI1065">
        <v>1</v>
      </c>
      <c r="AJ1065">
        <v>0</v>
      </c>
      <c r="AK1065" t="s">
        <v>437</v>
      </c>
      <c r="AL1065">
        <v>32.807558</v>
      </c>
      <c r="AM1065" t="s">
        <v>438</v>
      </c>
      <c r="AN1065">
        <v>-116.926267</v>
      </c>
      <c r="AO1065">
        <v>25</v>
      </c>
      <c r="AP1065">
        <v>2000</v>
      </c>
      <c r="AQ1065" t="s">
        <v>129</v>
      </c>
      <c r="AR1065">
        <v>130</v>
      </c>
      <c r="AS1065">
        <v>-13</v>
      </c>
      <c r="AT1065">
        <v>0</v>
      </c>
      <c r="BB1065">
        <v>1200</v>
      </c>
      <c r="BC1065">
        <v>1</v>
      </c>
      <c r="BD1065" t="str">
        <f t="shared" si="358"/>
        <v xml:space="preserve">N887QR  </v>
      </c>
      <c r="BE1065">
        <v>1</v>
      </c>
      <c r="BG1065">
        <v>0</v>
      </c>
      <c r="BH1065">
        <v>0</v>
      </c>
      <c r="BI1065">
        <v>0</v>
      </c>
      <c r="BJ1065">
        <v>1700</v>
      </c>
      <c r="BK1065">
        <v>-300</v>
      </c>
      <c r="BL1065" t="s">
        <v>163</v>
      </c>
      <c r="BM1065">
        <v>1</v>
      </c>
      <c r="BN1065">
        <v>1</v>
      </c>
      <c r="BO1065">
        <v>1</v>
      </c>
      <c r="BP1065">
        <v>0</v>
      </c>
      <c r="BS1065">
        <v>0.08</v>
      </c>
      <c r="BT1065">
        <v>0</v>
      </c>
      <c r="BU1065">
        <v>0</v>
      </c>
      <c r="CE1065" t="str">
        <f t="shared" si="370"/>
        <v>19:28:24.356</v>
      </c>
      <c r="CF1065">
        <v>355986308</v>
      </c>
      <c r="CS1065">
        <v>3</v>
      </c>
      <c r="CT1065">
        <v>2</v>
      </c>
      <c r="CU1065">
        <v>0</v>
      </c>
      <c r="CV1065">
        <v>2</v>
      </c>
      <c r="CW1065">
        <v>0</v>
      </c>
      <c r="CX1065">
        <v>6</v>
      </c>
      <c r="CY1065">
        <v>7</v>
      </c>
      <c r="CZ1065" t="s">
        <v>131</v>
      </c>
      <c r="DA1065">
        <v>300</v>
      </c>
      <c r="DB1065">
        <v>0</v>
      </c>
      <c r="DC1065" t="s">
        <v>176</v>
      </c>
      <c r="DD1065" t="s">
        <v>177</v>
      </c>
      <c r="DG1065">
        <v>5377517</v>
      </c>
      <c r="DI1065">
        <v>1</v>
      </c>
      <c r="DJ1065">
        <v>0</v>
      </c>
      <c r="DK1065">
        <v>1</v>
      </c>
      <c r="DL1065">
        <v>0</v>
      </c>
      <c r="DM1065">
        <v>0</v>
      </c>
      <c r="DN1065">
        <v>1</v>
      </c>
      <c r="DO1065">
        <v>0</v>
      </c>
      <c r="DP1065">
        <v>0</v>
      </c>
      <c r="DQ1065">
        <v>0</v>
      </c>
      <c r="DR1065">
        <v>0</v>
      </c>
      <c r="DS1065">
        <v>0</v>
      </c>
    </row>
    <row r="1066" spans="1:123" x14ac:dyDescent="0.3">
      <c r="A1066" t="str">
        <f>"10/04/2022 19:28:24.603"</f>
        <v>10/04/2022 19:28:24.603</v>
      </c>
      <c r="C1066" t="str">
        <f t="shared" si="366"/>
        <v>FFDFD3C0</v>
      </c>
      <c r="D1066" t="s">
        <v>143</v>
      </c>
      <c r="E1066">
        <v>20</v>
      </c>
      <c r="F1066">
        <v>1020</v>
      </c>
      <c r="G1066" t="s">
        <v>144</v>
      </c>
      <c r="J1066" t="s">
        <v>145</v>
      </c>
      <c r="K1066">
        <v>0</v>
      </c>
      <c r="L1066">
        <v>3</v>
      </c>
      <c r="M1066">
        <v>0</v>
      </c>
      <c r="N1066">
        <v>2</v>
      </c>
      <c r="O1066">
        <v>0</v>
      </c>
      <c r="P1066">
        <v>1</v>
      </c>
      <c r="Q1066">
        <v>0</v>
      </c>
      <c r="S1066" t="str">
        <f t="shared" si="369"/>
        <v>19:28:24.000</v>
      </c>
      <c r="T1066" t="str">
        <f t="shared" si="369"/>
        <v>19:28:24.000</v>
      </c>
      <c r="U1066" t="str">
        <f t="shared" si="357"/>
        <v>AC3944</v>
      </c>
      <c r="V1066">
        <v>0</v>
      </c>
      <c r="W1066">
        <v>0</v>
      </c>
      <c r="X1066">
        <v>2</v>
      </c>
      <c r="Y1066">
        <v>0</v>
      </c>
      <c r="AA1066">
        <v>1</v>
      </c>
      <c r="AB1066">
        <v>8</v>
      </c>
      <c r="AC1066">
        <v>3</v>
      </c>
      <c r="AD1066">
        <v>0</v>
      </c>
      <c r="AE1066">
        <v>9</v>
      </c>
      <c r="AF1066" t="s">
        <v>138</v>
      </c>
      <c r="AG1066">
        <v>0</v>
      </c>
      <c r="AH1066">
        <v>3</v>
      </c>
      <c r="AI1066">
        <v>1</v>
      </c>
      <c r="AJ1066">
        <v>0</v>
      </c>
      <c r="AK1066" t="s">
        <v>437</v>
      </c>
      <c r="AL1066">
        <v>32.807558</v>
      </c>
      <c r="AM1066" t="s">
        <v>438</v>
      </c>
      <c r="AN1066">
        <v>-116.926267</v>
      </c>
      <c r="AO1066">
        <v>25</v>
      </c>
      <c r="AP1066">
        <v>2000</v>
      </c>
      <c r="AQ1066" t="s">
        <v>129</v>
      </c>
      <c r="AR1066">
        <v>130</v>
      </c>
      <c r="AS1066">
        <v>-13</v>
      </c>
      <c r="AT1066">
        <v>0</v>
      </c>
      <c r="BB1066">
        <v>1200</v>
      </c>
      <c r="BC1066">
        <v>1</v>
      </c>
      <c r="BD1066" t="str">
        <f t="shared" si="358"/>
        <v xml:space="preserve">N887QR  </v>
      </c>
      <c r="BE1066">
        <v>1</v>
      </c>
      <c r="BG1066">
        <v>0</v>
      </c>
      <c r="BH1066">
        <v>0</v>
      </c>
      <c r="BI1066">
        <v>0</v>
      </c>
      <c r="BJ1066">
        <v>1700</v>
      </c>
      <c r="BK1066">
        <v>-300</v>
      </c>
      <c r="BL1066" t="s">
        <v>163</v>
      </c>
      <c r="BM1066">
        <v>1</v>
      </c>
      <c r="BN1066">
        <v>1</v>
      </c>
      <c r="BO1066">
        <v>1</v>
      </c>
      <c r="BP1066">
        <v>0</v>
      </c>
      <c r="BS1066">
        <v>0.08</v>
      </c>
      <c r="BT1066">
        <v>0</v>
      </c>
      <c r="BU1066">
        <v>0</v>
      </c>
      <c r="CE1066" t="str">
        <f t="shared" si="370"/>
        <v>19:28:24.356</v>
      </c>
      <c r="CF1066">
        <v>355986308</v>
      </c>
      <c r="CS1066">
        <v>3</v>
      </c>
      <c r="CT1066">
        <v>2</v>
      </c>
      <c r="CU1066">
        <v>0</v>
      </c>
      <c r="CV1066">
        <v>2</v>
      </c>
      <c r="CW1066">
        <v>0</v>
      </c>
      <c r="CX1066">
        <v>6</v>
      </c>
      <c r="CY1066">
        <v>7</v>
      </c>
      <c r="CZ1066" t="s">
        <v>131</v>
      </c>
      <c r="DA1066">
        <v>300</v>
      </c>
      <c r="DB1066">
        <v>0</v>
      </c>
      <c r="DC1066" t="s">
        <v>176</v>
      </c>
      <c r="DD1066" t="s">
        <v>177</v>
      </c>
      <c r="DG1066">
        <v>5377517</v>
      </c>
      <c r="DI1066">
        <v>1</v>
      </c>
      <c r="DJ1066">
        <v>0</v>
      </c>
      <c r="DK1066">
        <v>1</v>
      </c>
      <c r="DL1066">
        <v>0</v>
      </c>
      <c r="DM1066">
        <v>0</v>
      </c>
      <c r="DN1066">
        <v>1</v>
      </c>
      <c r="DO1066">
        <v>0</v>
      </c>
      <c r="DP1066">
        <v>0</v>
      </c>
      <c r="DQ1066">
        <v>0</v>
      </c>
      <c r="DR1066">
        <v>0</v>
      </c>
      <c r="DS1066">
        <v>0</v>
      </c>
    </row>
    <row r="1067" spans="1:123" x14ac:dyDescent="0.3">
      <c r="A1067" t="str">
        <f>"10/04/2022 19:28:25.635"</f>
        <v>10/04/2022 19:28:25.635</v>
      </c>
      <c r="C1067" t="str">
        <f t="shared" si="366"/>
        <v>FFDFD3C0</v>
      </c>
      <c r="D1067" t="s">
        <v>141</v>
      </c>
      <c r="E1067">
        <v>3</v>
      </c>
      <c r="H1067">
        <v>3</v>
      </c>
      <c r="I1067" t="s">
        <v>146</v>
      </c>
      <c r="J1067" t="s">
        <v>138</v>
      </c>
      <c r="K1067">
        <v>0</v>
      </c>
      <c r="L1067">
        <v>3</v>
      </c>
      <c r="M1067">
        <v>0</v>
      </c>
      <c r="N1067">
        <v>2</v>
      </c>
      <c r="O1067">
        <v>0</v>
      </c>
      <c r="P1067">
        <v>1</v>
      </c>
      <c r="Q1067">
        <v>0</v>
      </c>
      <c r="S1067" t="str">
        <f t="shared" ref="S1067:T1073" si="371">"19:28:25.000"</f>
        <v>19:28:25.000</v>
      </c>
      <c r="T1067" t="str">
        <f t="shared" si="371"/>
        <v>19:28:25.000</v>
      </c>
      <c r="U1067" t="str">
        <f t="shared" si="357"/>
        <v>AC3944</v>
      </c>
      <c r="V1067">
        <v>0</v>
      </c>
      <c r="W1067">
        <v>0</v>
      </c>
      <c r="X1067">
        <v>2</v>
      </c>
      <c r="Y1067">
        <v>0</v>
      </c>
      <c r="AA1067">
        <v>1</v>
      </c>
      <c r="AB1067">
        <v>8</v>
      </c>
      <c r="AC1067">
        <v>3</v>
      </c>
      <c r="AD1067">
        <v>0</v>
      </c>
      <c r="AE1067">
        <v>9</v>
      </c>
      <c r="AF1067" t="s">
        <v>138</v>
      </c>
      <c r="AG1067">
        <v>0</v>
      </c>
      <c r="AH1067">
        <v>3</v>
      </c>
      <c r="AI1067">
        <v>1</v>
      </c>
      <c r="AJ1067">
        <v>0</v>
      </c>
      <c r="AK1067" t="s">
        <v>439</v>
      </c>
      <c r="AL1067">
        <v>32.807515000000002</v>
      </c>
      <c r="AM1067" t="s">
        <v>440</v>
      </c>
      <c r="AN1067">
        <v>-116.92555900000001</v>
      </c>
      <c r="AO1067">
        <v>25</v>
      </c>
      <c r="AP1067">
        <v>2000</v>
      </c>
      <c r="AQ1067" t="s">
        <v>129</v>
      </c>
      <c r="AR1067">
        <v>130</v>
      </c>
      <c r="AS1067">
        <v>-14</v>
      </c>
      <c r="AT1067">
        <v>0</v>
      </c>
      <c r="BB1067">
        <v>1200</v>
      </c>
      <c r="BC1067">
        <v>1</v>
      </c>
      <c r="BD1067" t="str">
        <f t="shared" si="358"/>
        <v xml:space="preserve">N887QR  </v>
      </c>
      <c r="BE1067">
        <v>1</v>
      </c>
      <c r="BG1067">
        <v>0</v>
      </c>
      <c r="BH1067">
        <v>0</v>
      </c>
      <c r="BI1067">
        <v>0</v>
      </c>
      <c r="BJ1067">
        <v>1700</v>
      </c>
      <c r="BK1067">
        <v>-300</v>
      </c>
      <c r="BL1067" t="s">
        <v>163</v>
      </c>
      <c r="BM1067">
        <v>1</v>
      </c>
      <c r="BN1067">
        <v>1</v>
      </c>
      <c r="BO1067">
        <v>1</v>
      </c>
      <c r="BP1067">
        <v>0</v>
      </c>
      <c r="BS1067">
        <v>0.08</v>
      </c>
      <c r="BT1067">
        <v>0</v>
      </c>
      <c r="BU1067">
        <v>0</v>
      </c>
      <c r="CE1067" t="str">
        <f t="shared" ref="CE1067:CE1073" si="372">"19:28:25.439"</f>
        <v>19:28:25.439</v>
      </c>
      <c r="CF1067">
        <v>439239784</v>
      </c>
      <c r="CS1067">
        <v>3</v>
      </c>
      <c r="CT1067">
        <v>2</v>
      </c>
      <c r="CU1067">
        <v>0</v>
      </c>
      <c r="CV1067">
        <v>2</v>
      </c>
      <c r="CW1067">
        <v>0</v>
      </c>
      <c r="CX1067">
        <v>6</v>
      </c>
      <c r="CY1067">
        <v>7</v>
      </c>
      <c r="CZ1067" t="s">
        <v>131</v>
      </c>
      <c r="DA1067">
        <v>300</v>
      </c>
      <c r="DB1067">
        <v>0</v>
      </c>
      <c r="DC1067" t="s">
        <v>176</v>
      </c>
      <c r="DD1067" t="s">
        <v>177</v>
      </c>
      <c r="DG1067">
        <v>5377688</v>
      </c>
      <c r="DI1067">
        <v>1</v>
      </c>
      <c r="DJ1067">
        <v>0</v>
      </c>
      <c r="DK1067">
        <v>0</v>
      </c>
      <c r="DL1067">
        <v>0</v>
      </c>
      <c r="DM1067">
        <v>0</v>
      </c>
      <c r="DN1067">
        <v>1</v>
      </c>
      <c r="DO1067">
        <v>0</v>
      </c>
      <c r="DP1067">
        <v>0</v>
      </c>
      <c r="DQ1067">
        <v>0</v>
      </c>
      <c r="DR1067">
        <v>0</v>
      </c>
      <c r="DS1067">
        <v>0</v>
      </c>
    </row>
    <row r="1068" spans="1:123" x14ac:dyDescent="0.3">
      <c r="A1068" t="str">
        <f>"10/04/2022 19:28:25.666"</f>
        <v>10/04/2022 19:28:25.666</v>
      </c>
      <c r="C1068" t="str">
        <f t="shared" si="366"/>
        <v>FFDFD3C0</v>
      </c>
      <c r="D1068" t="s">
        <v>141</v>
      </c>
      <c r="E1068">
        <v>4</v>
      </c>
      <c r="H1068">
        <v>4</v>
      </c>
      <c r="I1068" t="s">
        <v>142</v>
      </c>
      <c r="J1068" t="s">
        <v>138</v>
      </c>
      <c r="K1068">
        <v>0</v>
      </c>
      <c r="L1068">
        <v>3</v>
      </c>
      <c r="M1068">
        <v>0</v>
      </c>
      <c r="N1068">
        <v>2</v>
      </c>
      <c r="O1068">
        <v>0</v>
      </c>
      <c r="P1068">
        <v>1</v>
      </c>
      <c r="Q1068">
        <v>0</v>
      </c>
      <c r="S1068" t="str">
        <f t="shared" si="371"/>
        <v>19:28:25.000</v>
      </c>
      <c r="T1068" t="str">
        <f t="shared" si="371"/>
        <v>19:28:25.000</v>
      </c>
      <c r="U1068" t="str">
        <f t="shared" si="357"/>
        <v>AC3944</v>
      </c>
      <c r="V1068">
        <v>0</v>
      </c>
      <c r="W1068">
        <v>0</v>
      </c>
      <c r="X1068">
        <v>2</v>
      </c>
      <c r="Y1068">
        <v>0</v>
      </c>
      <c r="AA1068">
        <v>1</v>
      </c>
      <c r="AB1068">
        <v>8</v>
      </c>
      <c r="AC1068">
        <v>3</v>
      </c>
      <c r="AD1068">
        <v>0</v>
      </c>
      <c r="AE1068">
        <v>9</v>
      </c>
      <c r="AF1068" t="s">
        <v>138</v>
      </c>
      <c r="AG1068">
        <v>0</v>
      </c>
      <c r="AH1068">
        <v>3</v>
      </c>
      <c r="AI1068">
        <v>1</v>
      </c>
      <c r="AJ1068">
        <v>0</v>
      </c>
      <c r="AK1068" t="s">
        <v>439</v>
      </c>
      <c r="AL1068">
        <v>32.807515000000002</v>
      </c>
      <c r="AM1068" t="s">
        <v>440</v>
      </c>
      <c r="AN1068">
        <v>-116.92555900000001</v>
      </c>
      <c r="AO1068">
        <v>25</v>
      </c>
      <c r="AP1068">
        <v>2000</v>
      </c>
      <c r="AQ1068" t="s">
        <v>129</v>
      </c>
      <c r="AR1068">
        <v>130</v>
      </c>
      <c r="AS1068">
        <v>-14</v>
      </c>
      <c r="AT1068">
        <v>0</v>
      </c>
      <c r="BB1068">
        <v>1200</v>
      </c>
      <c r="BC1068">
        <v>1</v>
      </c>
      <c r="BD1068" t="str">
        <f t="shared" si="358"/>
        <v xml:space="preserve">N887QR  </v>
      </c>
      <c r="BE1068">
        <v>1</v>
      </c>
      <c r="BG1068">
        <v>0</v>
      </c>
      <c r="BH1068">
        <v>0</v>
      </c>
      <c r="BI1068">
        <v>0</v>
      </c>
      <c r="BJ1068">
        <v>1700</v>
      </c>
      <c r="BK1068">
        <v>-300</v>
      </c>
      <c r="BL1068" t="s">
        <v>163</v>
      </c>
      <c r="BM1068">
        <v>1</v>
      </c>
      <c r="BN1068">
        <v>1</v>
      </c>
      <c r="BO1068">
        <v>1</v>
      </c>
      <c r="BP1068">
        <v>0</v>
      </c>
      <c r="BS1068">
        <v>0.08</v>
      </c>
      <c r="BT1068">
        <v>0</v>
      </c>
      <c r="BU1068">
        <v>0</v>
      </c>
      <c r="CE1068" t="str">
        <f t="shared" si="372"/>
        <v>19:28:25.439</v>
      </c>
      <c r="CF1068">
        <v>439239784</v>
      </c>
      <c r="CS1068">
        <v>3</v>
      </c>
      <c r="CT1068">
        <v>2</v>
      </c>
      <c r="CU1068">
        <v>0</v>
      </c>
      <c r="CV1068">
        <v>2</v>
      </c>
      <c r="CW1068">
        <v>0</v>
      </c>
      <c r="CX1068">
        <v>6</v>
      </c>
      <c r="CY1068">
        <v>7</v>
      </c>
      <c r="CZ1068" t="s">
        <v>131</v>
      </c>
      <c r="DA1068">
        <v>300</v>
      </c>
      <c r="DB1068">
        <v>0</v>
      </c>
      <c r="DC1068" t="s">
        <v>176</v>
      </c>
      <c r="DD1068" t="s">
        <v>177</v>
      </c>
      <c r="DG1068">
        <v>5377688</v>
      </c>
      <c r="DI1068">
        <v>1</v>
      </c>
      <c r="DJ1068">
        <v>0</v>
      </c>
      <c r="DK1068">
        <v>1</v>
      </c>
      <c r="DL1068">
        <v>0</v>
      </c>
      <c r="DM1068">
        <v>0</v>
      </c>
      <c r="DN1068">
        <v>1</v>
      </c>
      <c r="DO1068">
        <v>0</v>
      </c>
      <c r="DP1068">
        <v>0</v>
      </c>
      <c r="DQ1068">
        <v>0</v>
      </c>
      <c r="DR1068">
        <v>0</v>
      </c>
      <c r="DS1068">
        <v>0</v>
      </c>
    </row>
    <row r="1069" spans="1:123" x14ac:dyDescent="0.3">
      <c r="A1069" t="str">
        <f>"10/04/2022 19:28:25.666"</f>
        <v>10/04/2022 19:28:25.666</v>
      </c>
      <c r="C1069" t="str">
        <f t="shared" si="366"/>
        <v>FFDFD3C0</v>
      </c>
      <c r="D1069" t="s">
        <v>147</v>
      </c>
      <c r="E1069">
        <v>3</v>
      </c>
      <c r="H1069">
        <v>166</v>
      </c>
      <c r="I1069" t="s">
        <v>144</v>
      </c>
      <c r="J1069" t="s">
        <v>148</v>
      </c>
      <c r="K1069">
        <v>0</v>
      </c>
      <c r="L1069">
        <v>3</v>
      </c>
      <c r="M1069">
        <v>0</v>
      </c>
      <c r="N1069">
        <v>2</v>
      </c>
      <c r="O1069">
        <v>0</v>
      </c>
      <c r="P1069">
        <v>1</v>
      </c>
      <c r="Q1069">
        <v>0</v>
      </c>
      <c r="S1069" t="str">
        <f t="shared" si="371"/>
        <v>19:28:25.000</v>
      </c>
      <c r="T1069" t="str">
        <f t="shared" si="371"/>
        <v>19:28:25.000</v>
      </c>
      <c r="U1069" t="str">
        <f t="shared" si="357"/>
        <v>AC3944</v>
      </c>
      <c r="V1069">
        <v>0</v>
      </c>
      <c r="W1069">
        <v>0</v>
      </c>
      <c r="X1069">
        <v>2</v>
      </c>
      <c r="Y1069">
        <v>0</v>
      </c>
      <c r="AA1069">
        <v>1</v>
      </c>
      <c r="AB1069">
        <v>8</v>
      </c>
      <c r="AC1069">
        <v>3</v>
      </c>
      <c r="AD1069">
        <v>0</v>
      </c>
      <c r="AE1069">
        <v>9</v>
      </c>
      <c r="AF1069" t="s">
        <v>138</v>
      </c>
      <c r="AG1069">
        <v>0</v>
      </c>
      <c r="AH1069">
        <v>3</v>
      </c>
      <c r="AI1069">
        <v>1</v>
      </c>
      <c r="AJ1069">
        <v>0</v>
      </c>
      <c r="AK1069" t="s">
        <v>439</v>
      </c>
      <c r="AL1069">
        <v>32.807515000000002</v>
      </c>
      <c r="AM1069" t="s">
        <v>440</v>
      </c>
      <c r="AN1069">
        <v>-116.92555900000001</v>
      </c>
      <c r="AO1069">
        <v>25</v>
      </c>
      <c r="AP1069">
        <v>2000</v>
      </c>
      <c r="AQ1069" t="s">
        <v>129</v>
      </c>
      <c r="AR1069">
        <v>130</v>
      </c>
      <c r="AS1069">
        <v>-14</v>
      </c>
      <c r="AT1069">
        <v>0</v>
      </c>
      <c r="BB1069">
        <v>1200</v>
      </c>
      <c r="BC1069">
        <v>1</v>
      </c>
      <c r="BD1069" t="str">
        <f t="shared" si="358"/>
        <v xml:space="preserve">N887QR  </v>
      </c>
      <c r="BE1069">
        <v>1</v>
      </c>
      <c r="BG1069">
        <v>0</v>
      </c>
      <c r="BH1069">
        <v>0</v>
      </c>
      <c r="BI1069">
        <v>0</v>
      </c>
      <c r="BJ1069">
        <v>1700</v>
      </c>
      <c r="BK1069">
        <v>-300</v>
      </c>
      <c r="BL1069" t="s">
        <v>163</v>
      </c>
      <c r="BM1069">
        <v>1</v>
      </c>
      <c r="BN1069">
        <v>1</v>
      </c>
      <c r="BO1069">
        <v>1</v>
      </c>
      <c r="BP1069">
        <v>0</v>
      </c>
      <c r="BS1069">
        <v>0.08</v>
      </c>
      <c r="BT1069">
        <v>0</v>
      </c>
      <c r="BU1069">
        <v>0</v>
      </c>
      <c r="CE1069" t="str">
        <f t="shared" si="372"/>
        <v>19:28:25.439</v>
      </c>
      <c r="CF1069">
        <v>439239784</v>
      </c>
      <c r="CS1069">
        <v>3</v>
      </c>
      <c r="CT1069">
        <v>2</v>
      </c>
      <c r="CU1069">
        <v>0</v>
      </c>
      <c r="CV1069">
        <v>2</v>
      </c>
      <c r="CW1069">
        <v>0</v>
      </c>
      <c r="CX1069">
        <v>6</v>
      </c>
      <c r="CY1069">
        <v>7</v>
      </c>
      <c r="CZ1069" t="s">
        <v>131</v>
      </c>
      <c r="DA1069">
        <v>300</v>
      </c>
      <c r="DB1069">
        <v>0</v>
      </c>
      <c r="DC1069" t="s">
        <v>176</v>
      </c>
      <c r="DD1069" t="s">
        <v>177</v>
      </c>
      <c r="DG1069">
        <v>5377688</v>
      </c>
      <c r="DI1069">
        <v>1</v>
      </c>
      <c r="DJ1069">
        <v>0</v>
      </c>
      <c r="DK1069">
        <v>1</v>
      </c>
      <c r="DL1069">
        <v>0</v>
      </c>
      <c r="DM1069">
        <v>0</v>
      </c>
      <c r="DN1069">
        <v>1</v>
      </c>
      <c r="DO1069">
        <v>0</v>
      </c>
      <c r="DP1069">
        <v>0</v>
      </c>
      <c r="DQ1069">
        <v>0</v>
      </c>
      <c r="DR1069">
        <v>0</v>
      </c>
      <c r="DS1069">
        <v>0</v>
      </c>
    </row>
    <row r="1070" spans="1:123" x14ac:dyDescent="0.3">
      <c r="A1070" t="str">
        <f>"10/04/2022 19:28:25.666"</f>
        <v>10/04/2022 19:28:25.666</v>
      </c>
      <c r="C1070" t="str">
        <f t="shared" si="366"/>
        <v>FFDFD3C0</v>
      </c>
      <c r="D1070" t="s">
        <v>136</v>
      </c>
      <c r="E1070">
        <v>8</v>
      </c>
      <c r="H1070">
        <v>225</v>
      </c>
      <c r="I1070" t="s">
        <v>137</v>
      </c>
      <c r="J1070" t="s">
        <v>138</v>
      </c>
      <c r="K1070">
        <v>0</v>
      </c>
      <c r="L1070">
        <v>3</v>
      </c>
      <c r="M1070">
        <v>0</v>
      </c>
      <c r="N1070">
        <v>2</v>
      </c>
      <c r="O1070">
        <v>0</v>
      </c>
      <c r="P1070">
        <v>1</v>
      </c>
      <c r="Q1070">
        <v>0</v>
      </c>
      <c r="S1070" t="str">
        <f t="shared" si="371"/>
        <v>19:28:25.000</v>
      </c>
      <c r="T1070" t="str">
        <f t="shared" si="371"/>
        <v>19:28:25.000</v>
      </c>
      <c r="U1070" t="str">
        <f t="shared" si="357"/>
        <v>AC3944</v>
      </c>
      <c r="V1070">
        <v>0</v>
      </c>
      <c r="W1070">
        <v>0</v>
      </c>
      <c r="X1070">
        <v>2</v>
      </c>
      <c r="Y1070">
        <v>0</v>
      </c>
      <c r="AA1070">
        <v>1</v>
      </c>
      <c r="AB1070">
        <v>8</v>
      </c>
      <c r="AC1070">
        <v>3</v>
      </c>
      <c r="AD1070">
        <v>0</v>
      </c>
      <c r="AE1070">
        <v>9</v>
      </c>
      <c r="AF1070" t="s">
        <v>138</v>
      </c>
      <c r="AG1070">
        <v>0</v>
      </c>
      <c r="AH1070">
        <v>3</v>
      </c>
      <c r="AI1070">
        <v>1</v>
      </c>
      <c r="AJ1070">
        <v>0</v>
      </c>
      <c r="AK1070" t="s">
        <v>439</v>
      </c>
      <c r="AL1070">
        <v>32.807515000000002</v>
      </c>
      <c r="AM1070" t="s">
        <v>440</v>
      </c>
      <c r="AN1070">
        <v>-116.92555900000001</v>
      </c>
      <c r="AO1070">
        <v>25</v>
      </c>
      <c r="AP1070">
        <v>2000</v>
      </c>
      <c r="AQ1070" t="s">
        <v>129</v>
      </c>
      <c r="AR1070">
        <v>130</v>
      </c>
      <c r="AS1070">
        <v>-14</v>
      </c>
      <c r="AT1070">
        <v>0</v>
      </c>
      <c r="BB1070">
        <v>1200</v>
      </c>
      <c r="BC1070">
        <v>1</v>
      </c>
      <c r="BD1070" t="str">
        <f t="shared" si="358"/>
        <v xml:space="preserve">N887QR  </v>
      </c>
      <c r="BE1070">
        <v>1</v>
      </c>
      <c r="BG1070">
        <v>0</v>
      </c>
      <c r="BH1070">
        <v>0</v>
      </c>
      <c r="BI1070">
        <v>0</v>
      </c>
      <c r="BJ1070">
        <v>1700</v>
      </c>
      <c r="BK1070">
        <v>-300</v>
      </c>
      <c r="BL1070" t="s">
        <v>163</v>
      </c>
      <c r="BM1070">
        <v>1</v>
      </c>
      <c r="BN1070">
        <v>1</v>
      </c>
      <c r="BO1070">
        <v>1</v>
      </c>
      <c r="BP1070">
        <v>0</v>
      </c>
      <c r="BS1070">
        <v>0.08</v>
      </c>
      <c r="BT1070">
        <v>0</v>
      </c>
      <c r="BU1070">
        <v>0</v>
      </c>
      <c r="CE1070" t="str">
        <f t="shared" si="372"/>
        <v>19:28:25.439</v>
      </c>
      <c r="CF1070">
        <v>439239784</v>
      </c>
      <c r="CS1070">
        <v>3</v>
      </c>
      <c r="CT1070">
        <v>2</v>
      </c>
      <c r="CU1070">
        <v>0</v>
      </c>
      <c r="CV1070">
        <v>2</v>
      </c>
      <c r="CW1070">
        <v>0</v>
      </c>
      <c r="CX1070">
        <v>6</v>
      </c>
      <c r="CY1070">
        <v>7</v>
      </c>
      <c r="CZ1070" t="s">
        <v>131</v>
      </c>
      <c r="DA1070">
        <v>300</v>
      </c>
      <c r="DB1070">
        <v>0</v>
      </c>
      <c r="DC1070" t="s">
        <v>176</v>
      </c>
      <c r="DD1070" t="s">
        <v>177</v>
      </c>
      <c r="DG1070">
        <v>5377688</v>
      </c>
      <c r="DI1070">
        <v>1</v>
      </c>
      <c r="DJ1070">
        <v>0</v>
      </c>
      <c r="DK1070">
        <v>1</v>
      </c>
      <c r="DL1070">
        <v>0</v>
      </c>
      <c r="DM1070">
        <v>0</v>
      </c>
      <c r="DN1070">
        <v>1</v>
      </c>
      <c r="DO1070">
        <v>0</v>
      </c>
      <c r="DP1070">
        <v>0</v>
      </c>
      <c r="DQ1070">
        <v>0</v>
      </c>
      <c r="DR1070">
        <v>0</v>
      </c>
      <c r="DS1070">
        <v>0</v>
      </c>
    </row>
    <row r="1071" spans="1:123" x14ac:dyDescent="0.3">
      <c r="A1071" t="str">
        <f>"10/04/2022 19:28:25.698"</f>
        <v>10/04/2022 19:28:25.698</v>
      </c>
      <c r="C1071" t="str">
        <f t="shared" si="366"/>
        <v>FFDFD3C0</v>
      </c>
      <c r="D1071" t="s">
        <v>134</v>
      </c>
      <c r="E1071">
        <v>15</v>
      </c>
      <c r="J1071" t="s">
        <v>135</v>
      </c>
      <c r="K1071">
        <v>0</v>
      </c>
      <c r="L1071">
        <v>3</v>
      </c>
      <c r="M1071">
        <v>0</v>
      </c>
      <c r="N1071">
        <v>2</v>
      </c>
      <c r="O1071">
        <v>0</v>
      </c>
      <c r="P1071">
        <v>1</v>
      </c>
      <c r="Q1071">
        <v>0</v>
      </c>
      <c r="S1071" t="str">
        <f t="shared" si="371"/>
        <v>19:28:25.000</v>
      </c>
      <c r="T1071" t="str">
        <f t="shared" si="371"/>
        <v>19:28:25.000</v>
      </c>
      <c r="U1071" t="str">
        <f t="shared" si="357"/>
        <v>AC3944</v>
      </c>
      <c r="V1071">
        <v>0</v>
      </c>
      <c r="W1071">
        <v>0</v>
      </c>
      <c r="X1071">
        <v>2</v>
      </c>
      <c r="Y1071">
        <v>0</v>
      </c>
      <c r="AA1071">
        <v>1</v>
      </c>
      <c r="AB1071">
        <v>8</v>
      </c>
      <c r="AC1071">
        <v>3</v>
      </c>
      <c r="AD1071">
        <v>0</v>
      </c>
      <c r="AE1071">
        <v>9</v>
      </c>
      <c r="AF1071" t="s">
        <v>138</v>
      </c>
      <c r="AG1071">
        <v>0</v>
      </c>
      <c r="AH1071">
        <v>3</v>
      </c>
      <c r="AI1071">
        <v>1</v>
      </c>
      <c r="AJ1071">
        <v>0</v>
      </c>
      <c r="AK1071" t="s">
        <v>439</v>
      </c>
      <c r="AL1071">
        <v>32.807515000000002</v>
      </c>
      <c r="AM1071" t="s">
        <v>440</v>
      </c>
      <c r="AN1071">
        <v>-116.92555900000001</v>
      </c>
      <c r="AO1071">
        <v>25</v>
      </c>
      <c r="AP1071">
        <v>2000</v>
      </c>
      <c r="AQ1071" t="s">
        <v>129</v>
      </c>
      <c r="AR1071">
        <v>130</v>
      </c>
      <c r="AS1071">
        <v>-14</v>
      </c>
      <c r="AT1071">
        <v>0</v>
      </c>
      <c r="BB1071">
        <v>1200</v>
      </c>
      <c r="BC1071">
        <v>1</v>
      </c>
      <c r="BD1071" t="str">
        <f t="shared" si="358"/>
        <v xml:space="preserve">N887QR  </v>
      </c>
      <c r="BE1071">
        <v>1</v>
      </c>
      <c r="BG1071">
        <v>0</v>
      </c>
      <c r="BH1071">
        <v>0</v>
      </c>
      <c r="BI1071">
        <v>0</v>
      </c>
      <c r="BJ1071">
        <v>1700</v>
      </c>
      <c r="BK1071">
        <v>-300</v>
      </c>
      <c r="BL1071" t="s">
        <v>163</v>
      </c>
      <c r="BM1071">
        <v>1</v>
      </c>
      <c r="BN1071">
        <v>1</v>
      </c>
      <c r="BO1071">
        <v>1</v>
      </c>
      <c r="BP1071">
        <v>0</v>
      </c>
      <c r="BS1071">
        <v>0.08</v>
      </c>
      <c r="BT1071">
        <v>0</v>
      </c>
      <c r="BU1071">
        <v>0</v>
      </c>
      <c r="CE1071" t="str">
        <f t="shared" si="372"/>
        <v>19:28:25.439</v>
      </c>
      <c r="CF1071">
        <v>439239784</v>
      </c>
      <c r="CS1071">
        <v>3</v>
      </c>
      <c r="CT1071">
        <v>2</v>
      </c>
      <c r="CU1071">
        <v>0</v>
      </c>
      <c r="CV1071">
        <v>2</v>
      </c>
      <c r="CW1071">
        <v>0</v>
      </c>
      <c r="CX1071">
        <v>6</v>
      </c>
      <c r="CY1071">
        <v>7</v>
      </c>
      <c r="CZ1071" t="s">
        <v>131</v>
      </c>
      <c r="DA1071">
        <v>300</v>
      </c>
      <c r="DB1071">
        <v>0</v>
      </c>
      <c r="DC1071" t="s">
        <v>176</v>
      </c>
      <c r="DD1071" t="s">
        <v>177</v>
      </c>
      <c r="DG1071">
        <v>5377688</v>
      </c>
      <c r="DI1071">
        <v>1</v>
      </c>
      <c r="DJ1071">
        <v>0</v>
      </c>
      <c r="DK1071">
        <v>1</v>
      </c>
      <c r="DL1071">
        <v>0</v>
      </c>
      <c r="DM1071">
        <v>0</v>
      </c>
      <c r="DN1071">
        <v>1</v>
      </c>
      <c r="DO1071">
        <v>0</v>
      </c>
      <c r="DP1071">
        <v>0</v>
      </c>
      <c r="DQ1071">
        <v>0</v>
      </c>
      <c r="DR1071">
        <v>0</v>
      </c>
      <c r="DS1071">
        <v>0</v>
      </c>
    </row>
    <row r="1072" spans="1:123" x14ac:dyDescent="0.3">
      <c r="A1072" t="str">
        <f>"10/04/2022 19:28:25.698"</f>
        <v>10/04/2022 19:28:25.698</v>
      </c>
      <c r="C1072" t="str">
        <f t="shared" si="366"/>
        <v>FFDFD3C0</v>
      </c>
      <c r="D1072" t="s">
        <v>143</v>
      </c>
      <c r="E1072">
        <v>20</v>
      </c>
      <c r="F1072">
        <v>1020</v>
      </c>
      <c r="G1072" t="s">
        <v>144</v>
      </c>
      <c r="J1072" t="s">
        <v>145</v>
      </c>
      <c r="K1072">
        <v>0</v>
      </c>
      <c r="L1072">
        <v>3</v>
      </c>
      <c r="M1072">
        <v>0</v>
      </c>
      <c r="N1072">
        <v>2</v>
      </c>
      <c r="O1072">
        <v>0</v>
      </c>
      <c r="P1072">
        <v>1</v>
      </c>
      <c r="Q1072">
        <v>0</v>
      </c>
      <c r="S1072" t="str">
        <f t="shared" si="371"/>
        <v>19:28:25.000</v>
      </c>
      <c r="T1072" t="str">
        <f t="shared" si="371"/>
        <v>19:28:25.000</v>
      </c>
      <c r="U1072" t="str">
        <f t="shared" si="357"/>
        <v>AC3944</v>
      </c>
      <c r="V1072">
        <v>0</v>
      </c>
      <c r="W1072">
        <v>0</v>
      </c>
      <c r="X1072">
        <v>2</v>
      </c>
      <c r="Y1072">
        <v>0</v>
      </c>
      <c r="AA1072">
        <v>1</v>
      </c>
      <c r="AB1072">
        <v>8</v>
      </c>
      <c r="AC1072">
        <v>3</v>
      </c>
      <c r="AD1072">
        <v>0</v>
      </c>
      <c r="AE1072">
        <v>9</v>
      </c>
      <c r="AF1072" t="s">
        <v>138</v>
      </c>
      <c r="AG1072">
        <v>0</v>
      </c>
      <c r="AH1072">
        <v>3</v>
      </c>
      <c r="AI1072">
        <v>1</v>
      </c>
      <c r="AJ1072">
        <v>0</v>
      </c>
      <c r="AK1072" t="s">
        <v>439</v>
      </c>
      <c r="AL1072">
        <v>32.807515000000002</v>
      </c>
      <c r="AM1072" t="s">
        <v>440</v>
      </c>
      <c r="AN1072">
        <v>-116.92555900000001</v>
      </c>
      <c r="AO1072">
        <v>25</v>
      </c>
      <c r="AP1072">
        <v>2000</v>
      </c>
      <c r="AQ1072" t="s">
        <v>129</v>
      </c>
      <c r="AR1072">
        <v>130</v>
      </c>
      <c r="AS1072">
        <v>-14</v>
      </c>
      <c r="AT1072">
        <v>0</v>
      </c>
      <c r="BB1072">
        <v>1200</v>
      </c>
      <c r="BC1072">
        <v>1</v>
      </c>
      <c r="BD1072" t="str">
        <f t="shared" si="358"/>
        <v xml:space="preserve">N887QR  </v>
      </c>
      <c r="BE1072">
        <v>1</v>
      </c>
      <c r="BG1072">
        <v>0</v>
      </c>
      <c r="BH1072">
        <v>0</v>
      </c>
      <c r="BI1072">
        <v>0</v>
      </c>
      <c r="BJ1072">
        <v>1700</v>
      </c>
      <c r="BK1072">
        <v>-300</v>
      </c>
      <c r="BL1072" t="s">
        <v>163</v>
      </c>
      <c r="BM1072">
        <v>1</v>
      </c>
      <c r="BN1072">
        <v>1</v>
      </c>
      <c r="BO1072">
        <v>1</v>
      </c>
      <c r="BP1072">
        <v>0</v>
      </c>
      <c r="BS1072">
        <v>0.08</v>
      </c>
      <c r="BT1072">
        <v>0</v>
      </c>
      <c r="BU1072">
        <v>0</v>
      </c>
      <c r="CE1072" t="str">
        <f t="shared" si="372"/>
        <v>19:28:25.439</v>
      </c>
      <c r="CF1072">
        <v>439239784</v>
      </c>
      <c r="CS1072">
        <v>3</v>
      </c>
      <c r="CT1072">
        <v>2</v>
      </c>
      <c r="CU1072">
        <v>0</v>
      </c>
      <c r="CV1072">
        <v>2</v>
      </c>
      <c r="CW1072">
        <v>0</v>
      </c>
      <c r="CX1072">
        <v>6</v>
      </c>
      <c r="CY1072">
        <v>7</v>
      </c>
      <c r="CZ1072" t="s">
        <v>131</v>
      </c>
      <c r="DA1072">
        <v>300</v>
      </c>
      <c r="DB1072">
        <v>0</v>
      </c>
      <c r="DC1072" t="s">
        <v>176</v>
      </c>
      <c r="DD1072" t="s">
        <v>177</v>
      </c>
      <c r="DG1072">
        <v>5377688</v>
      </c>
      <c r="DI1072">
        <v>1</v>
      </c>
      <c r="DJ1072">
        <v>0</v>
      </c>
      <c r="DK1072">
        <v>1</v>
      </c>
      <c r="DL1072">
        <v>0</v>
      </c>
      <c r="DM1072">
        <v>0</v>
      </c>
      <c r="DN1072">
        <v>1</v>
      </c>
      <c r="DO1072">
        <v>0</v>
      </c>
      <c r="DP1072">
        <v>0</v>
      </c>
      <c r="DQ1072">
        <v>0</v>
      </c>
      <c r="DR1072">
        <v>0</v>
      </c>
      <c r="DS1072">
        <v>0</v>
      </c>
    </row>
    <row r="1073" spans="1:123" x14ac:dyDescent="0.3">
      <c r="A1073" t="str">
        <f>"10/04/2022 19:28:25.698"</f>
        <v>10/04/2022 19:28:25.698</v>
      </c>
      <c r="C1073" t="str">
        <f t="shared" si="366"/>
        <v>FFDFD3C0</v>
      </c>
      <c r="D1073" t="s">
        <v>123</v>
      </c>
      <c r="E1073">
        <v>7</v>
      </c>
      <c r="F1073">
        <v>2007</v>
      </c>
      <c r="G1073" t="s">
        <v>124</v>
      </c>
      <c r="J1073" t="s">
        <v>125</v>
      </c>
      <c r="K1073">
        <v>0</v>
      </c>
      <c r="L1073">
        <v>3</v>
      </c>
      <c r="M1073">
        <v>0</v>
      </c>
      <c r="N1073">
        <v>2</v>
      </c>
      <c r="O1073">
        <v>0</v>
      </c>
      <c r="P1073">
        <v>1</v>
      </c>
      <c r="Q1073">
        <v>0</v>
      </c>
      <c r="S1073" t="str">
        <f t="shared" si="371"/>
        <v>19:28:25.000</v>
      </c>
      <c r="T1073" t="str">
        <f t="shared" si="371"/>
        <v>19:28:25.000</v>
      </c>
      <c r="U1073" t="str">
        <f t="shared" si="357"/>
        <v>AC3944</v>
      </c>
      <c r="V1073">
        <v>0</v>
      </c>
      <c r="W1073">
        <v>0</v>
      </c>
      <c r="X1073">
        <v>2</v>
      </c>
      <c r="Y1073">
        <v>0</v>
      </c>
      <c r="AA1073">
        <v>1</v>
      </c>
      <c r="AB1073">
        <v>8</v>
      </c>
      <c r="AC1073">
        <v>3</v>
      </c>
      <c r="AD1073">
        <v>0</v>
      </c>
      <c r="AE1073">
        <v>9</v>
      </c>
      <c r="AF1073" t="s">
        <v>138</v>
      </c>
      <c r="AG1073">
        <v>0</v>
      </c>
      <c r="AH1073">
        <v>3</v>
      </c>
      <c r="AI1073">
        <v>1</v>
      </c>
      <c r="AJ1073">
        <v>0</v>
      </c>
      <c r="AK1073" t="s">
        <v>439</v>
      </c>
      <c r="AL1073">
        <v>32.807515000000002</v>
      </c>
      <c r="AM1073" t="s">
        <v>440</v>
      </c>
      <c r="AN1073">
        <v>-116.92555900000001</v>
      </c>
      <c r="AO1073">
        <v>25</v>
      </c>
      <c r="AP1073">
        <v>2000</v>
      </c>
      <c r="AQ1073" t="s">
        <v>129</v>
      </c>
      <c r="AR1073">
        <v>130</v>
      </c>
      <c r="AS1073">
        <v>-14</v>
      </c>
      <c r="AT1073">
        <v>0</v>
      </c>
      <c r="BB1073">
        <v>1200</v>
      </c>
      <c r="BC1073">
        <v>1</v>
      </c>
      <c r="BD1073" t="str">
        <f t="shared" si="358"/>
        <v xml:space="preserve">N887QR  </v>
      </c>
      <c r="BE1073">
        <v>1</v>
      </c>
      <c r="BG1073">
        <v>0</v>
      </c>
      <c r="BH1073">
        <v>0</v>
      </c>
      <c r="BI1073">
        <v>0</v>
      </c>
      <c r="BJ1073">
        <v>1700</v>
      </c>
      <c r="BK1073">
        <v>-300</v>
      </c>
      <c r="BL1073" t="s">
        <v>163</v>
      </c>
      <c r="BM1073">
        <v>1</v>
      </c>
      <c r="BN1073">
        <v>1</v>
      </c>
      <c r="BO1073">
        <v>1</v>
      </c>
      <c r="BP1073">
        <v>0</v>
      </c>
      <c r="BS1073">
        <v>0.08</v>
      </c>
      <c r="BT1073">
        <v>0</v>
      </c>
      <c r="BU1073">
        <v>0</v>
      </c>
      <c r="CE1073" t="str">
        <f t="shared" si="372"/>
        <v>19:28:25.439</v>
      </c>
      <c r="CF1073">
        <v>439239784</v>
      </c>
      <c r="CS1073">
        <v>3</v>
      </c>
      <c r="CT1073">
        <v>2</v>
      </c>
      <c r="CU1073">
        <v>0</v>
      </c>
      <c r="CV1073">
        <v>2</v>
      </c>
      <c r="CW1073">
        <v>0</v>
      </c>
      <c r="CX1073">
        <v>6</v>
      </c>
      <c r="CY1073">
        <v>7</v>
      </c>
      <c r="CZ1073" t="s">
        <v>131</v>
      </c>
      <c r="DA1073">
        <v>300</v>
      </c>
      <c r="DB1073">
        <v>0</v>
      </c>
      <c r="DC1073" t="s">
        <v>176</v>
      </c>
      <c r="DD1073" t="s">
        <v>177</v>
      </c>
      <c r="DG1073">
        <v>5377688</v>
      </c>
      <c r="DI1073">
        <v>1</v>
      </c>
      <c r="DJ1073">
        <v>0</v>
      </c>
      <c r="DK1073">
        <v>1</v>
      </c>
      <c r="DL1073">
        <v>0</v>
      </c>
      <c r="DM1073">
        <v>0</v>
      </c>
      <c r="DN1073">
        <v>1</v>
      </c>
      <c r="DO1073">
        <v>0</v>
      </c>
      <c r="DP1073">
        <v>0</v>
      </c>
      <c r="DQ1073">
        <v>0</v>
      </c>
      <c r="DR1073">
        <v>0</v>
      </c>
      <c r="DS1073">
        <v>0</v>
      </c>
    </row>
    <row r="1074" spans="1:123" x14ac:dyDescent="0.3">
      <c r="A1074" t="str">
        <f t="shared" ref="A1074:A1080" si="373">"10/04/2022 19:28:26.525"</f>
        <v>10/04/2022 19:28:26.525</v>
      </c>
      <c r="C1074" t="str">
        <f t="shared" si="366"/>
        <v>FFDFD3C0</v>
      </c>
      <c r="D1074" t="s">
        <v>134</v>
      </c>
      <c r="E1074">
        <v>15</v>
      </c>
      <c r="J1074" t="s">
        <v>135</v>
      </c>
      <c r="K1074">
        <v>0</v>
      </c>
      <c r="L1074">
        <v>3</v>
      </c>
      <c r="M1074">
        <v>0</v>
      </c>
      <c r="N1074">
        <v>2</v>
      </c>
      <c r="O1074">
        <v>0</v>
      </c>
      <c r="P1074">
        <v>1</v>
      </c>
      <c r="Q1074">
        <v>0</v>
      </c>
      <c r="S1074" t="str">
        <f t="shared" ref="S1074:T1080" si="374">"19:28:26.000"</f>
        <v>19:28:26.000</v>
      </c>
      <c r="T1074" t="str">
        <f t="shared" si="374"/>
        <v>19:28:26.000</v>
      </c>
      <c r="U1074" t="str">
        <f t="shared" si="357"/>
        <v>AC3944</v>
      </c>
      <c r="V1074">
        <v>0</v>
      </c>
      <c r="W1074">
        <v>0</v>
      </c>
      <c r="X1074">
        <v>2</v>
      </c>
      <c r="Y1074">
        <v>0</v>
      </c>
      <c r="AA1074">
        <v>1</v>
      </c>
      <c r="AB1074">
        <v>8</v>
      </c>
      <c r="AC1074">
        <v>3</v>
      </c>
      <c r="AD1074">
        <v>0</v>
      </c>
      <c r="AE1074">
        <v>9</v>
      </c>
      <c r="AF1074" t="s">
        <v>138</v>
      </c>
      <c r="AG1074">
        <v>0</v>
      </c>
      <c r="AH1074">
        <v>3</v>
      </c>
      <c r="AI1074">
        <v>1</v>
      </c>
      <c r="AJ1074">
        <v>0</v>
      </c>
      <c r="AK1074" t="s">
        <v>441</v>
      </c>
      <c r="AL1074">
        <v>32.807450000000003</v>
      </c>
      <c r="AM1074" t="s">
        <v>442</v>
      </c>
      <c r="AN1074">
        <v>-116.924829</v>
      </c>
      <c r="AO1074">
        <v>25</v>
      </c>
      <c r="AP1074">
        <v>2000</v>
      </c>
      <c r="AQ1074" t="s">
        <v>129</v>
      </c>
      <c r="AR1074">
        <v>130</v>
      </c>
      <c r="AS1074">
        <v>-15</v>
      </c>
      <c r="AT1074">
        <v>192</v>
      </c>
      <c r="BB1074">
        <v>1200</v>
      </c>
      <c r="BC1074">
        <v>1</v>
      </c>
      <c r="BD1074" t="str">
        <f t="shared" si="358"/>
        <v xml:space="preserve">N887QR  </v>
      </c>
      <c r="BE1074">
        <v>1</v>
      </c>
      <c r="BG1074">
        <v>0</v>
      </c>
      <c r="BH1074">
        <v>0</v>
      </c>
      <c r="BI1074">
        <v>0</v>
      </c>
      <c r="BJ1074">
        <v>1725</v>
      </c>
      <c r="BK1074">
        <v>-275</v>
      </c>
      <c r="BL1074" t="s">
        <v>163</v>
      </c>
      <c r="BM1074">
        <v>1</v>
      </c>
      <c r="BN1074">
        <v>1</v>
      </c>
      <c r="BO1074">
        <v>1</v>
      </c>
      <c r="BP1074">
        <v>0</v>
      </c>
      <c r="BS1074">
        <v>0.08</v>
      </c>
      <c r="BT1074">
        <v>0</v>
      </c>
      <c r="BU1074">
        <v>0</v>
      </c>
      <c r="CE1074" t="str">
        <f t="shared" ref="CE1074:CE1080" si="375">"19:28:26.310"</f>
        <v>19:28:26.310</v>
      </c>
      <c r="CF1074">
        <v>310242590</v>
      </c>
      <c r="CS1074">
        <v>3</v>
      </c>
      <c r="CT1074">
        <v>2</v>
      </c>
      <c r="CU1074">
        <v>0</v>
      </c>
      <c r="CV1074">
        <v>2</v>
      </c>
      <c r="CW1074">
        <v>0</v>
      </c>
      <c r="CX1074">
        <v>5</v>
      </c>
      <c r="CY1074">
        <v>7</v>
      </c>
      <c r="CZ1074" t="s">
        <v>131</v>
      </c>
      <c r="DA1074">
        <v>300</v>
      </c>
      <c r="DB1074">
        <v>0</v>
      </c>
      <c r="DC1074" t="s">
        <v>176</v>
      </c>
      <c r="DD1074" t="s">
        <v>177</v>
      </c>
      <c r="DG1074">
        <v>5377831</v>
      </c>
      <c r="DI1074">
        <v>1</v>
      </c>
      <c r="DJ1074">
        <v>0</v>
      </c>
      <c r="DK1074">
        <v>0</v>
      </c>
      <c r="DL1074">
        <v>0</v>
      </c>
      <c r="DM1074">
        <v>0</v>
      </c>
      <c r="DN1074">
        <v>1</v>
      </c>
      <c r="DO1074">
        <v>0</v>
      </c>
      <c r="DP1074">
        <v>0</v>
      </c>
      <c r="DQ1074">
        <v>0</v>
      </c>
      <c r="DR1074">
        <v>0</v>
      </c>
      <c r="DS1074">
        <v>0</v>
      </c>
    </row>
    <row r="1075" spans="1:123" x14ac:dyDescent="0.3">
      <c r="A1075" t="str">
        <f t="shared" si="373"/>
        <v>10/04/2022 19:28:26.525</v>
      </c>
      <c r="C1075" t="str">
        <f t="shared" si="366"/>
        <v>FFDFD3C0</v>
      </c>
      <c r="D1075" t="s">
        <v>143</v>
      </c>
      <c r="E1075">
        <v>20</v>
      </c>
      <c r="F1075">
        <v>1020</v>
      </c>
      <c r="G1075" t="s">
        <v>144</v>
      </c>
      <c r="J1075" t="s">
        <v>145</v>
      </c>
      <c r="K1075">
        <v>0</v>
      </c>
      <c r="L1075">
        <v>3</v>
      </c>
      <c r="M1075">
        <v>0</v>
      </c>
      <c r="N1075">
        <v>2</v>
      </c>
      <c r="O1075">
        <v>0</v>
      </c>
      <c r="P1075">
        <v>1</v>
      </c>
      <c r="Q1075">
        <v>0</v>
      </c>
      <c r="S1075" t="str">
        <f t="shared" si="374"/>
        <v>19:28:26.000</v>
      </c>
      <c r="T1075" t="str">
        <f t="shared" si="374"/>
        <v>19:28:26.000</v>
      </c>
      <c r="U1075" t="str">
        <f t="shared" si="357"/>
        <v>AC3944</v>
      </c>
      <c r="V1075">
        <v>0</v>
      </c>
      <c r="W1075">
        <v>0</v>
      </c>
      <c r="X1075">
        <v>2</v>
      </c>
      <c r="Y1075">
        <v>0</v>
      </c>
      <c r="AA1075">
        <v>1</v>
      </c>
      <c r="AB1075">
        <v>8</v>
      </c>
      <c r="AC1075">
        <v>3</v>
      </c>
      <c r="AD1075">
        <v>0</v>
      </c>
      <c r="AE1075">
        <v>9</v>
      </c>
      <c r="AF1075" t="s">
        <v>138</v>
      </c>
      <c r="AG1075">
        <v>0</v>
      </c>
      <c r="AH1075">
        <v>3</v>
      </c>
      <c r="AI1075">
        <v>1</v>
      </c>
      <c r="AJ1075">
        <v>0</v>
      </c>
      <c r="AK1075" t="s">
        <v>441</v>
      </c>
      <c r="AL1075">
        <v>32.807450000000003</v>
      </c>
      <c r="AM1075" t="s">
        <v>442</v>
      </c>
      <c r="AN1075">
        <v>-116.924829</v>
      </c>
      <c r="AO1075">
        <v>25</v>
      </c>
      <c r="AP1075">
        <v>2000</v>
      </c>
      <c r="AQ1075" t="s">
        <v>129</v>
      </c>
      <c r="AR1075">
        <v>130</v>
      </c>
      <c r="AS1075">
        <v>-15</v>
      </c>
      <c r="AT1075">
        <v>192</v>
      </c>
      <c r="BB1075">
        <v>1200</v>
      </c>
      <c r="BC1075">
        <v>1</v>
      </c>
      <c r="BD1075" t="str">
        <f t="shared" si="358"/>
        <v xml:space="preserve">N887QR  </v>
      </c>
      <c r="BE1075">
        <v>1</v>
      </c>
      <c r="BG1075">
        <v>0</v>
      </c>
      <c r="BH1075">
        <v>0</v>
      </c>
      <c r="BI1075">
        <v>0</v>
      </c>
      <c r="BJ1075">
        <v>1725</v>
      </c>
      <c r="BK1075">
        <v>-275</v>
      </c>
      <c r="BL1075" t="s">
        <v>163</v>
      </c>
      <c r="BM1075">
        <v>1</v>
      </c>
      <c r="BN1075">
        <v>1</v>
      </c>
      <c r="BO1075">
        <v>1</v>
      </c>
      <c r="BP1075">
        <v>0</v>
      </c>
      <c r="BS1075">
        <v>0.08</v>
      </c>
      <c r="BT1075">
        <v>0</v>
      </c>
      <c r="BU1075">
        <v>0</v>
      </c>
      <c r="CE1075" t="str">
        <f t="shared" si="375"/>
        <v>19:28:26.310</v>
      </c>
      <c r="CF1075">
        <v>310242590</v>
      </c>
      <c r="CS1075">
        <v>3</v>
      </c>
      <c r="CT1075">
        <v>2</v>
      </c>
      <c r="CU1075">
        <v>0</v>
      </c>
      <c r="CV1075">
        <v>2</v>
      </c>
      <c r="CW1075">
        <v>0</v>
      </c>
      <c r="CX1075">
        <v>5</v>
      </c>
      <c r="CY1075">
        <v>7</v>
      </c>
      <c r="CZ1075" t="s">
        <v>131</v>
      </c>
      <c r="DA1075">
        <v>300</v>
      </c>
      <c r="DB1075">
        <v>0</v>
      </c>
      <c r="DC1075" t="s">
        <v>176</v>
      </c>
      <c r="DD1075" t="s">
        <v>177</v>
      </c>
      <c r="DG1075">
        <v>5377831</v>
      </c>
      <c r="DI1075">
        <v>1</v>
      </c>
      <c r="DJ1075">
        <v>0</v>
      </c>
      <c r="DK1075">
        <v>1</v>
      </c>
      <c r="DL1075">
        <v>0</v>
      </c>
      <c r="DM1075">
        <v>0</v>
      </c>
      <c r="DN1075">
        <v>1</v>
      </c>
      <c r="DO1075">
        <v>0</v>
      </c>
      <c r="DP1075">
        <v>0</v>
      </c>
      <c r="DQ1075">
        <v>0</v>
      </c>
      <c r="DR1075">
        <v>0</v>
      </c>
      <c r="DS1075">
        <v>0</v>
      </c>
    </row>
    <row r="1076" spans="1:123" x14ac:dyDescent="0.3">
      <c r="A1076" t="str">
        <f t="shared" si="373"/>
        <v>10/04/2022 19:28:26.525</v>
      </c>
      <c r="C1076" t="str">
        <f t="shared" si="366"/>
        <v>FFDFD3C0</v>
      </c>
      <c r="D1076" t="s">
        <v>123</v>
      </c>
      <c r="E1076">
        <v>7</v>
      </c>
      <c r="F1076">
        <v>2007</v>
      </c>
      <c r="G1076" t="s">
        <v>124</v>
      </c>
      <c r="J1076" t="s">
        <v>125</v>
      </c>
      <c r="K1076">
        <v>0</v>
      </c>
      <c r="L1076">
        <v>3</v>
      </c>
      <c r="M1076">
        <v>0</v>
      </c>
      <c r="N1076">
        <v>2</v>
      </c>
      <c r="O1076">
        <v>0</v>
      </c>
      <c r="P1076">
        <v>1</v>
      </c>
      <c r="Q1076">
        <v>0</v>
      </c>
      <c r="S1076" t="str">
        <f t="shared" si="374"/>
        <v>19:28:26.000</v>
      </c>
      <c r="T1076" t="str">
        <f t="shared" si="374"/>
        <v>19:28:26.000</v>
      </c>
      <c r="U1076" t="str">
        <f t="shared" si="357"/>
        <v>AC3944</v>
      </c>
      <c r="V1076">
        <v>0</v>
      </c>
      <c r="W1076">
        <v>0</v>
      </c>
      <c r="X1076">
        <v>2</v>
      </c>
      <c r="Y1076">
        <v>0</v>
      </c>
      <c r="AA1076">
        <v>1</v>
      </c>
      <c r="AB1076">
        <v>8</v>
      </c>
      <c r="AC1076">
        <v>3</v>
      </c>
      <c r="AD1076">
        <v>0</v>
      </c>
      <c r="AE1076">
        <v>9</v>
      </c>
      <c r="AF1076" t="s">
        <v>138</v>
      </c>
      <c r="AG1076">
        <v>0</v>
      </c>
      <c r="AH1076">
        <v>3</v>
      </c>
      <c r="AI1076">
        <v>1</v>
      </c>
      <c r="AJ1076">
        <v>0</v>
      </c>
      <c r="AK1076" t="s">
        <v>441</v>
      </c>
      <c r="AL1076">
        <v>32.807450000000003</v>
      </c>
      <c r="AM1076" t="s">
        <v>442</v>
      </c>
      <c r="AN1076">
        <v>-116.924829</v>
      </c>
      <c r="AO1076">
        <v>25</v>
      </c>
      <c r="AP1076">
        <v>2000</v>
      </c>
      <c r="AQ1076" t="s">
        <v>129</v>
      </c>
      <c r="AR1076">
        <v>130</v>
      </c>
      <c r="AS1076">
        <v>-15</v>
      </c>
      <c r="AT1076">
        <v>192</v>
      </c>
      <c r="BB1076">
        <v>1200</v>
      </c>
      <c r="BC1076">
        <v>1</v>
      </c>
      <c r="BD1076" t="str">
        <f t="shared" si="358"/>
        <v xml:space="preserve">N887QR  </v>
      </c>
      <c r="BE1076">
        <v>1</v>
      </c>
      <c r="BG1076">
        <v>0</v>
      </c>
      <c r="BH1076">
        <v>0</v>
      </c>
      <c r="BI1076">
        <v>0</v>
      </c>
      <c r="BJ1076">
        <v>1725</v>
      </c>
      <c r="BK1076">
        <v>-275</v>
      </c>
      <c r="BL1076" t="s">
        <v>163</v>
      </c>
      <c r="BM1076">
        <v>1</v>
      </c>
      <c r="BN1076">
        <v>1</v>
      </c>
      <c r="BO1076">
        <v>1</v>
      </c>
      <c r="BP1076">
        <v>0</v>
      </c>
      <c r="BS1076">
        <v>0.08</v>
      </c>
      <c r="BT1076">
        <v>0</v>
      </c>
      <c r="BU1076">
        <v>0</v>
      </c>
      <c r="CE1076" t="str">
        <f t="shared" si="375"/>
        <v>19:28:26.310</v>
      </c>
      <c r="CF1076">
        <v>310242590</v>
      </c>
      <c r="CS1076">
        <v>3</v>
      </c>
      <c r="CT1076">
        <v>2</v>
      </c>
      <c r="CU1076">
        <v>0</v>
      </c>
      <c r="CV1076">
        <v>2</v>
      </c>
      <c r="CW1076">
        <v>0</v>
      </c>
      <c r="CX1076">
        <v>5</v>
      </c>
      <c r="CY1076">
        <v>7</v>
      </c>
      <c r="CZ1076" t="s">
        <v>131</v>
      </c>
      <c r="DA1076">
        <v>300</v>
      </c>
      <c r="DB1076">
        <v>0</v>
      </c>
      <c r="DC1076" t="s">
        <v>176</v>
      </c>
      <c r="DD1076" t="s">
        <v>177</v>
      </c>
      <c r="DG1076">
        <v>5377831</v>
      </c>
      <c r="DI1076">
        <v>1</v>
      </c>
      <c r="DJ1076">
        <v>0</v>
      </c>
      <c r="DK1076">
        <v>1</v>
      </c>
      <c r="DL1076">
        <v>0</v>
      </c>
      <c r="DM1076">
        <v>0</v>
      </c>
      <c r="DN1076">
        <v>1</v>
      </c>
      <c r="DO1076">
        <v>0</v>
      </c>
      <c r="DP1076">
        <v>0</v>
      </c>
      <c r="DQ1076">
        <v>0</v>
      </c>
      <c r="DR1076">
        <v>0</v>
      </c>
      <c r="DS1076">
        <v>0</v>
      </c>
    </row>
    <row r="1077" spans="1:123" x14ac:dyDescent="0.3">
      <c r="A1077" t="str">
        <f t="shared" si="373"/>
        <v>10/04/2022 19:28:26.525</v>
      </c>
      <c r="C1077" t="str">
        <f t="shared" si="366"/>
        <v>FFDFD3C0</v>
      </c>
      <c r="D1077" t="s">
        <v>141</v>
      </c>
      <c r="E1077">
        <v>3</v>
      </c>
      <c r="H1077">
        <v>3</v>
      </c>
      <c r="I1077" t="s">
        <v>146</v>
      </c>
      <c r="J1077" t="s">
        <v>138</v>
      </c>
      <c r="K1077">
        <v>0</v>
      </c>
      <c r="L1077">
        <v>3</v>
      </c>
      <c r="M1077">
        <v>0</v>
      </c>
      <c r="N1077">
        <v>2</v>
      </c>
      <c r="O1077">
        <v>0</v>
      </c>
      <c r="P1077">
        <v>1</v>
      </c>
      <c r="Q1077">
        <v>0</v>
      </c>
      <c r="S1077" t="str">
        <f t="shared" si="374"/>
        <v>19:28:26.000</v>
      </c>
      <c r="T1077" t="str">
        <f t="shared" si="374"/>
        <v>19:28:26.000</v>
      </c>
      <c r="U1077" t="str">
        <f t="shared" si="357"/>
        <v>AC3944</v>
      </c>
      <c r="V1077">
        <v>0</v>
      </c>
      <c r="W1077">
        <v>0</v>
      </c>
      <c r="X1077">
        <v>2</v>
      </c>
      <c r="Y1077">
        <v>0</v>
      </c>
      <c r="AA1077">
        <v>1</v>
      </c>
      <c r="AB1077">
        <v>8</v>
      </c>
      <c r="AC1077">
        <v>3</v>
      </c>
      <c r="AD1077">
        <v>0</v>
      </c>
      <c r="AE1077">
        <v>9</v>
      </c>
      <c r="AF1077" t="s">
        <v>138</v>
      </c>
      <c r="AG1077">
        <v>0</v>
      </c>
      <c r="AH1077">
        <v>3</v>
      </c>
      <c r="AI1077">
        <v>1</v>
      </c>
      <c r="AJ1077">
        <v>0</v>
      </c>
      <c r="AK1077" t="s">
        <v>441</v>
      </c>
      <c r="AL1077">
        <v>32.807450000000003</v>
      </c>
      <c r="AM1077" t="s">
        <v>442</v>
      </c>
      <c r="AN1077">
        <v>-116.924829</v>
      </c>
      <c r="AO1077">
        <v>25</v>
      </c>
      <c r="AP1077">
        <v>2000</v>
      </c>
      <c r="AQ1077" t="s">
        <v>129</v>
      </c>
      <c r="AR1077">
        <v>130</v>
      </c>
      <c r="AS1077">
        <v>-15</v>
      </c>
      <c r="AT1077">
        <v>192</v>
      </c>
      <c r="BB1077">
        <v>1200</v>
      </c>
      <c r="BC1077">
        <v>1</v>
      </c>
      <c r="BD1077" t="str">
        <f t="shared" si="358"/>
        <v xml:space="preserve">N887QR  </v>
      </c>
      <c r="BE1077">
        <v>1</v>
      </c>
      <c r="BG1077">
        <v>0</v>
      </c>
      <c r="BH1077">
        <v>0</v>
      </c>
      <c r="BI1077">
        <v>0</v>
      </c>
      <c r="BJ1077">
        <v>1725</v>
      </c>
      <c r="BK1077">
        <v>-275</v>
      </c>
      <c r="BL1077" t="s">
        <v>163</v>
      </c>
      <c r="BM1077">
        <v>1</v>
      </c>
      <c r="BN1077">
        <v>1</v>
      </c>
      <c r="BO1077">
        <v>1</v>
      </c>
      <c r="BP1077">
        <v>0</v>
      </c>
      <c r="BS1077">
        <v>0.08</v>
      </c>
      <c r="BT1077">
        <v>0</v>
      </c>
      <c r="BU1077">
        <v>0</v>
      </c>
      <c r="CE1077" t="str">
        <f t="shared" si="375"/>
        <v>19:28:26.310</v>
      </c>
      <c r="CF1077">
        <v>310242590</v>
      </c>
      <c r="CS1077">
        <v>3</v>
      </c>
      <c r="CT1077">
        <v>2</v>
      </c>
      <c r="CU1077">
        <v>0</v>
      </c>
      <c r="CV1077">
        <v>2</v>
      </c>
      <c r="CW1077">
        <v>0</v>
      </c>
      <c r="CX1077">
        <v>5</v>
      </c>
      <c r="CY1077">
        <v>7</v>
      </c>
      <c r="CZ1077" t="s">
        <v>131</v>
      </c>
      <c r="DA1077">
        <v>300</v>
      </c>
      <c r="DB1077">
        <v>0</v>
      </c>
      <c r="DC1077" t="s">
        <v>176</v>
      </c>
      <c r="DD1077" t="s">
        <v>177</v>
      </c>
      <c r="DG1077">
        <v>5377831</v>
      </c>
      <c r="DI1077">
        <v>1</v>
      </c>
      <c r="DJ1077">
        <v>0</v>
      </c>
      <c r="DK1077">
        <v>1</v>
      </c>
      <c r="DL1077">
        <v>0</v>
      </c>
      <c r="DM1077">
        <v>0</v>
      </c>
      <c r="DN1077">
        <v>1</v>
      </c>
      <c r="DO1077">
        <v>0</v>
      </c>
      <c r="DP1077">
        <v>0</v>
      </c>
      <c r="DQ1077">
        <v>0</v>
      </c>
      <c r="DR1077">
        <v>0</v>
      </c>
      <c r="DS1077">
        <v>0</v>
      </c>
    </row>
    <row r="1078" spans="1:123" x14ac:dyDescent="0.3">
      <c r="A1078" t="str">
        <f t="shared" si="373"/>
        <v>10/04/2022 19:28:26.525</v>
      </c>
      <c r="C1078" t="str">
        <f t="shared" si="366"/>
        <v>FFDFD3C0</v>
      </c>
      <c r="D1078" t="s">
        <v>141</v>
      </c>
      <c r="E1078">
        <v>4</v>
      </c>
      <c r="H1078">
        <v>4</v>
      </c>
      <c r="I1078" t="s">
        <v>142</v>
      </c>
      <c r="J1078" t="s">
        <v>138</v>
      </c>
      <c r="K1078">
        <v>0</v>
      </c>
      <c r="L1078">
        <v>3</v>
      </c>
      <c r="M1078">
        <v>0</v>
      </c>
      <c r="N1078">
        <v>2</v>
      </c>
      <c r="O1078">
        <v>0</v>
      </c>
      <c r="P1078">
        <v>1</v>
      </c>
      <c r="Q1078">
        <v>0</v>
      </c>
      <c r="S1078" t="str">
        <f t="shared" si="374"/>
        <v>19:28:26.000</v>
      </c>
      <c r="T1078" t="str">
        <f t="shared" si="374"/>
        <v>19:28:26.000</v>
      </c>
      <c r="U1078" t="str">
        <f t="shared" si="357"/>
        <v>AC3944</v>
      </c>
      <c r="V1078">
        <v>0</v>
      </c>
      <c r="W1078">
        <v>0</v>
      </c>
      <c r="X1078">
        <v>2</v>
      </c>
      <c r="Y1078">
        <v>0</v>
      </c>
      <c r="AA1078">
        <v>1</v>
      </c>
      <c r="AB1078">
        <v>8</v>
      </c>
      <c r="AC1078">
        <v>3</v>
      </c>
      <c r="AD1078">
        <v>0</v>
      </c>
      <c r="AE1078">
        <v>9</v>
      </c>
      <c r="AF1078" t="s">
        <v>138</v>
      </c>
      <c r="AG1078">
        <v>0</v>
      </c>
      <c r="AH1078">
        <v>3</v>
      </c>
      <c r="AI1078">
        <v>1</v>
      </c>
      <c r="AJ1078">
        <v>0</v>
      </c>
      <c r="AK1078" t="s">
        <v>441</v>
      </c>
      <c r="AL1078">
        <v>32.807450000000003</v>
      </c>
      <c r="AM1078" t="s">
        <v>442</v>
      </c>
      <c r="AN1078">
        <v>-116.924829</v>
      </c>
      <c r="AO1078">
        <v>25</v>
      </c>
      <c r="AP1078">
        <v>2000</v>
      </c>
      <c r="AQ1078" t="s">
        <v>129</v>
      </c>
      <c r="AR1078">
        <v>130</v>
      </c>
      <c r="AS1078">
        <v>-15</v>
      </c>
      <c r="AT1078">
        <v>192</v>
      </c>
      <c r="BB1078">
        <v>1200</v>
      </c>
      <c r="BC1078">
        <v>1</v>
      </c>
      <c r="BD1078" t="str">
        <f t="shared" si="358"/>
        <v xml:space="preserve">N887QR  </v>
      </c>
      <c r="BE1078">
        <v>1</v>
      </c>
      <c r="BG1078">
        <v>0</v>
      </c>
      <c r="BH1078">
        <v>0</v>
      </c>
      <c r="BI1078">
        <v>0</v>
      </c>
      <c r="BJ1078">
        <v>1725</v>
      </c>
      <c r="BK1078">
        <v>-275</v>
      </c>
      <c r="BL1078" t="s">
        <v>163</v>
      </c>
      <c r="BM1078">
        <v>1</v>
      </c>
      <c r="BN1078">
        <v>1</v>
      </c>
      <c r="BO1078">
        <v>1</v>
      </c>
      <c r="BP1078">
        <v>0</v>
      </c>
      <c r="BS1078">
        <v>0.08</v>
      </c>
      <c r="BT1078">
        <v>0</v>
      </c>
      <c r="BU1078">
        <v>0</v>
      </c>
      <c r="CE1078" t="str">
        <f t="shared" si="375"/>
        <v>19:28:26.310</v>
      </c>
      <c r="CF1078">
        <v>310242590</v>
      </c>
      <c r="CS1078">
        <v>3</v>
      </c>
      <c r="CT1078">
        <v>2</v>
      </c>
      <c r="CU1078">
        <v>0</v>
      </c>
      <c r="CV1078">
        <v>2</v>
      </c>
      <c r="CW1078">
        <v>0</v>
      </c>
      <c r="CX1078">
        <v>5</v>
      </c>
      <c r="CY1078">
        <v>7</v>
      </c>
      <c r="CZ1078" t="s">
        <v>131</v>
      </c>
      <c r="DA1078">
        <v>300</v>
      </c>
      <c r="DB1078">
        <v>0</v>
      </c>
      <c r="DC1078" t="s">
        <v>176</v>
      </c>
      <c r="DD1078" t="s">
        <v>177</v>
      </c>
      <c r="DG1078">
        <v>5377831</v>
      </c>
      <c r="DI1078">
        <v>1</v>
      </c>
      <c r="DJ1078">
        <v>0</v>
      </c>
      <c r="DK1078">
        <v>1</v>
      </c>
      <c r="DL1078">
        <v>0</v>
      </c>
      <c r="DM1078">
        <v>0</v>
      </c>
      <c r="DN1078">
        <v>1</v>
      </c>
      <c r="DO1078">
        <v>0</v>
      </c>
      <c r="DP1078">
        <v>0</v>
      </c>
      <c r="DQ1078">
        <v>0</v>
      </c>
      <c r="DR1078">
        <v>0</v>
      </c>
      <c r="DS1078">
        <v>0</v>
      </c>
    </row>
    <row r="1079" spans="1:123" x14ac:dyDescent="0.3">
      <c r="A1079" t="str">
        <f t="shared" si="373"/>
        <v>10/04/2022 19:28:26.525</v>
      </c>
      <c r="C1079" t="str">
        <f t="shared" ref="C1079:C1110" si="376">"FFDFD3C0"</f>
        <v>FFDFD3C0</v>
      </c>
      <c r="D1079" t="s">
        <v>147</v>
      </c>
      <c r="E1079">
        <v>3</v>
      </c>
      <c r="H1079">
        <v>166</v>
      </c>
      <c r="I1079" t="s">
        <v>144</v>
      </c>
      <c r="J1079" t="s">
        <v>148</v>
      </c>
      <c r="K1079">
        <v>0</v>
      </c>
      <c r="L1079">
        <v>3</v>
      </c>
      <c r="M1079">
        <v>0</v>
      </c>
      <c r="N1079">
        <v>2</v>
      </c>
      <c r="O1079">
        <v>0</v>
      </c>
      <c r="P1079">
        <v>1</v>
      </c>
      <c r="Q1079">
        <v>0</v>
      </c>
      <c r="S1079" t="str">
        <f t="shared" si="374"/>
        <v>19:28:26.000</v>
      </c>
      <c r="T1079" t="str">
        <f t="shared" si="374"/>
        <v>19:28:26.000</v>
      </c>
      <c r="U1079" t="str">
        <f t="shared" si="357"/>
        <v>AC3944</v>
      </c>
      <c r="V1079">
        <v>0</v>
      </c>
      <c r="W1079">
        <v>0</v>
      </c>
      <c r="X1079">
        <v>2</v>
      </c>
      <c r="Y1079">
        <v>0</v>
      </c>
      <c r="AA1079">
        <v>1</v>
      </c>
      <c r="AB1079">
        <v>8</v>
      </c>
      <c r="AC1079">
        <v>3</v>
      </c>
      <c r="AD1079">
        <v>0</v>
      </c>
      <c r="AE1079">
        <v>9</v>
      </c>
      <c r="AF1079" t="s">
        <v>138</v>
      </c>
      <c r="AG1079">
        <v>0</v>
      </c>
      <c r="AH1079">
        <v>3</v>
      </c>
      <c r="AI1079">
        <v>1</v>
      </c>
      <c r="AJ1079">
        <v>0</v>
      </c>
      <c r="AK1079" t="s">
        <v>441</v>
      </c>
      <c r="AL1079">
        <v>32.807450000000003</v>
      </c>
      <c r="AM1079" t="s">
        <v>442</v>
      </c>
      <c r="AN1079">
        <v>-116.924829</v>
      </c>
      <c r="AO1079">
        <v>25</v>
      </c>
      <c r="AP1079">
        <v>2000</v>
      </c>
      <c r="AQ1079" t="s">
        <v>129</v>
      </c>
      <c r="AR1079">
        <v>130</v>
      </c>
      <c r="AS1079">
        <v>-15</v>
      </c>
      <c r="AT1079">
        <v>192</v>
      </c>
      <c r="BB1079">
        <v>1200</v>
      </c>
      <c r="BC1079">
        <v>1</v>
      </c>
      <c r="BD1079" t="str">
        <f t="shared" si="358"/>
        <v xml:space="preserve">N887QR  </v>
      </c>
      <c r="BE1079">
        <v>1</v>
      </c>
      <c r="BG1079">
        <v>0</v>
      </c>
      <c r="BH1079">
        <v>0</v>
      </c>
      <c r="BI1079">
        <v>0</v>
      </c>
      <c r="BJ1079">
        <v>1725</v>
      </c>
      <c r="BK1079">
        <v>-275</v>
      </c>
      <c r="BL1079" t="s">
        <v>163</v>
      </c>
      <c r="BM1079">
        <v>1</v>
      </c>
      <c r="BN1079">
        <v>1</v>
      </c>
      <c r="BO1079">
        <v>1</v>
      </c>
      <c r="BP1079">
        <v>0</v>
      </c>
      <c r="BS1079">
        <v>0.08</v>
      </c>
      <c r="BT1079">
        <v>0</v>
      </c>
      <c r="BU1079">
        <v>0</v>
      </c>
      <c r="CE1079" t="str">
        <f t="shared" si="375"/>
        <v>19:28:26.310</v>
      </c>
      <c r="CF1079">
        <v>310242590</v>
      </c>
      <c r="CS1079">
        <v>3</v>
      </c>
      <c r="CT1079">
        <v>2</v>
      </c>
      <c r="CU1079">
        <v>0</v>
      </c>
      <c r="CV1079">
        <v>2</v>
      </c>
      <c r="CW1079">
        <v>0</v>
      </c>
      <c r="CX1079">
        <v>5</v>
      </c>
      <c r="CY1079">
        <v>7</v>
      </c>
      <c r="CZ1079" t="s">
        <v>131</v>
      </c>
      <c r="DA1079">
        <v>300</v>
      </c>
      <c r="DB1079">
        <v>0</v>
      </c>
      <c r="DC1079" t="s">
        <v>176</v>
      </c>
      <c r="DD1079" t="s">
        <v>177</v>
      </c>
      <c r="DG1079">
        <v>5377831</v>
      </c>
      <c r="DI1079">
        <v>1</v>
      </c>
      <c r="DJ1079">
        <v>0</v>
      </c>
      <c r="DK1079">
        <v>1</v>
      </c>
      <c r="DL1079">
        <v>0</v>
      </c>
      <c r="DM1079">
        <v>0</v>
      </c>
      <c r="DN1079">
        <v>1</v>
      </c>
      <c r="DO1079">
        <v>0</v>
      </c>
      <c r="DP1079">
        <v>0</v>
      </c>
      <c r="DQ1079">
        <v>0</v>
      </c>
      <c r="DR1079">
        <v>0</v>
      </c>
      <c r="DS1079">
        <v>0</v>
      </c>
    </row>
    <row r="1080" spans="1:123" x14ac:dyDescent="0.3">
      <c r="A1080" t="str">
        <f t="shared" si="373"/>
        <v>10/04/2022 19:28:26.525</v>
      </c>
      <c r="C1080" t="str">
        <f t="shared" si="376"/>
        <v>FFDFD3C0</v>
      </c>
      <c r="D1080" t="s">
        <v>136</v>
      </c>
      <c r="E1080">
        <v>8</v>
      </c>
      <c r="H1080">
        <v>225</v>
      </c>
      <c r="I1080" t="s">
        <v>137</v>
      </c>
      <c r="J1080" t="s">
        <v>138</v>
      </c>
      <c r="K1080">
        <v>0</v>
      </c>
      <c r="L1080">
        <v>3</v>
      </c>
      <c r="M1080">
        <v>0</v>
      </c>
      <c r="N1080">
        <v>2</v>
      </c>
      <c r="O1080">
        <v>0</v>
      </c>
      <c r="P1080">
        <v>1</v>
      </c>
      <c r="Q1080">
        <v>0</v>
      </c>
      <c r="S1080" t="str">
        <f t="shared" si="374"/>
        <v>19:28:26.000</v>
      </c>
      <c r="T1080" t="str">
        <f t="shared" si="374"/>
        <v>19:28:26.000</v>
      </c>
      <c r="U1080" t="str">
        <f t="shared" si="357"/>
        <v>AC3944</v>
      </c>
      <c r="V1080">
        <v>0</v>
      </c>
      <c r="W1080">
        <v>0</v>
      </c>
      <c r="X1080">
        <v>2</v>
      </c>
      <c r="Y1080">
        <v>0</v>
      </c>
      <c r="AA1080">
        <v>1</v>
      </c>
      <c r="AB1080">
        <v>8</v>
      </c>
      <c r="AC1080">
        <v>3</v>
      </c>
      <c r="AD1080">
        <v>0</v>
      </c>
      <c r="AE1080">
        <v>9</v>
      </c>
      <c r="AF1080" t="s">
        <v>138</v>
      </c>
      <c r="AG1080">
        <v>0</v>
      </c>
      <c r="AH1080">
        <v>3</v>
      </c>
      <c r="AI1080">
        <v>1</v>
      </c>
      <c r="AJ1080">
        <v>0</v>
      </c>
      <c r="AK1080" t="s">
        <v>441</v>
      </c>
      <c r="AL1080">
        <v>32.807450000000003</v>
      </c>
      <c r="AM1080" t="s">
        <v>442</v>
      </c>
      <c r="AN1080">
        <v>-116.924829</v>
      </c>
      <c r="AO1080">
        <v>25</v>
      </c>
      <c r="AP1080">
        <v>2000</v>
      </c>
      <c r="AQ1080" t="s">
        <v>129</v>
      </c>
      <c r="AR1080">
        <v>130</v>
      </c>
      <c r="AS1080">
        <v>-15</v>
      </c>
      <c r="AT1080">
        <v>192</v>
      </c>
      <c r="BB1080">
        <v>1200</v>
      </c>
      <c r="BC1080">
        <v>1</v>
      </c>
      <c r="BD1080" t="str">
        <f t="shared" si="358"/>
        <v xml:space="preserve">N887QR  </v>
      </c>
      <c r="BE1080">
        <v>1</v>
      </c>
      <c r="BG1080">
        <v>0</v>
      </c>
      <c r="BH1080">
        <v>0</v>
      </c>
      <c r="BI1080">
        <v>0</v>
      </c>
      <c r="BJ1080">
        <v>1725</v>
      </c>
      <c r="BK1080">
        <v>-275</v>
      </c>
      <c r="BL1080" t="s">
        <v>163</v>
      </c>
      <c r="BM1080">
        <v>1</v>
      </c>
      <c r="BN1080">
        <v>1</v>
      </c>
      <c r="BO1080">
        <v>1</v>
      </c>
      <c r="BP1080">
        <v>0</v>
      </c>
      <c r="BS1080">
        <v>0.08</v>
      </c>
      <c r="BT1080">
        <v>0</v>
      </c>
      <c r="BU1080">
        <v>0</v>
      </c>
      <c r="CE1080" t="str">
        <f t="shared" si="375"/>
        <v>19:28:26.310</v>
      </c>
      <c r="CF1080">
        <v>310242590</v>
      </c>
      <c r="CS1080">
        <v>3</v>
      </c>
      <c r="CT1080">
        <v>2</v>
      </c>
      <c r="CU1080">
        <v>0</v>
      </c>
      <c r="CV1080">
        <v>2</v>
      </c>
      <c r="CW1080">
        <v>0</v>
      </c>
      <c r="CX1080">
        <v>5</v>
      </c>
      <c r="CY1080">
        <v>7</v>
      </c>
      <c r="CZ1080" t="s">
        <v>131</v>
      </c>
      <c r="DA1080">
        <v>300</v>
      </c>
      <c r="DB1080">
        <v>0</v>
      </c>
      <c r="DC1080" t="s">
        <v>176</v>
      </c>
      <c r="DD1080" t="s">
        <v>177</v>
      </c>
      <c r="DG1080">
        <v>5377831</v>
      </c>
      <c r="DI1080">
        <v>1</v>
      </c>
      <c r="DJ1080">
        <v>0</v>
      </c>
      <c r="DK1080">
        <v>1</v>
      </c>
      <c r="DL1080">
        <v>0</v>
      </c>
      <c r="DM1080">
        <v>0</v>
      </c>
      <c r="DN1080">
        <v>1</v>
      </c>
      <c r="DO1080">
        <v>0</v>
      </c>
      <c r="DP1080">
        <v>0</v>
      </c>
      <c r="DQ1080">
        <v>0</v>
      </c>
      <c r="DR1080">
        <v>0</v>
      </c>
      <c r="DS1080">
        <v>0</v>
      </c>
    </row>
    <row r="1081" spans="1:123" x14ac:dyDescent="0.3">
      <c r="A1081" t="str">
        <f>"10/04/2022 19:28:28.477"</f>
        <v>10/04/2022 19:28:28.477</v>
      </c>
      <c r="C1081" t="str">
        <f t="shared" si="376"/>
        <v>FFDFD3C0</v>
      </c>
      <c r="D1081" t="s">
        <v>143</v>
      </c>
      <c r="E1081">
        <v>20</v>
      </c>
      <c r="F1081">
        <v>1020</v>
      </c>
      <c r="G1081" t="s">
        <v>144</v>
      </c>
      <c r="J1081" t="s">
        <v>145</v>
      </c>
      <c r="K1081">
        <v>0</v>
      </c>
      <c r="L1081">
        <v>3</v>
      </c>
      <c r="M1081">
        <v>0</v>
      </c>
      <c r="N1081">
        <v>2</v>
      </c>
      <c r="O1081">
        <v>0</v>
      </c>
      <c r="P1081">
        <v>1</v>
      </c>
      <c r="Q1081">
        <v>0</v>
      </c>
      <c r="S1081" t="str">
        <f t="shared" ref="S1081:T1094" si="377">"19:28:28.000"</f>
        <v>19:28:28.000</v>
      </c>
      <c r="T1081" t="str">
        <f t="shared" si="377"/>
        <v>19:28:28.000</v>
      </c>
      <c r="U1081" t="str">
        <f t="shared" si="357"/>
        <v>AC3944</v>
      </c>
      <c r="V1081">
        <v>0</v>
      </c>
      <c r="W1081">
        <v>0</v>
      </c>
      <c r="X1081">
        <v>2</v>
      </c>
      <c r="Y1081">
        <v>0</v>
      </c>
      <c r="AA1081">
        <v>1</v>
      </c>
      <c r="AB1081">
        <v>8</v>
      </c>
      <c r="AC1081">
        <v>3</v>
      </c>
      <c r="AD1081">
        <v>0</v>
      </c>
      <c r="AE1081">
        <v>9</v>
      </c>
      <c r="AF1081" t="s">
        <v>138</v>
      </c>
      <c r="AG1081">
        <v>0</v>
      </c>
      <c r="AH1081">
        <v>3</v>
      </c>
      <c r="AI1081">
        <v>1</v>
      </c>
      <c r="AJ1081">
        <v>0</v>
      </c>
      <c r="AK1081" t="s">
        <v>443</v>
      </c>
      <c r="AL1081">
        <v>32.807299999999998</v>
      </c>
      <c r="AM1081" t="s">
        <v>444</v>
      </c>
      <c r="AN1081">
        <v>-116.923413</v>
      </c>
      <c r="AO1081">
        <v>25</v>
      </c>
      <c r="AP1081">
        <v>2100</v>
      </c>
      <c r="AQ1081" t="s">
        <v>129</v>
      </c>
      <c r="AR1081">
        <v>129</v>
      </c>
      <c r="AS1081">
        <v>-15</v>
      </c>
      <c r="AT1081">
        <v>448</v>
      </c>
      <c r="BB1081">
        <v>1200</v>
      </c>
      <c r="BC1081">
        <v>1</v>
      </c>
      <c r="BD1081" t="str">
        <f t="shared" si="358"/>
        <v xml:space="preserve">N887QR  </v>
      </c>
      <c r="BE1081">
        <v>1</v>
      </c>
      <c r="BG1081">
        <v>0</v>
      </c>
      <c r="BH1081">
        <v>0</v>
      </c>
      <c r="BI1081">
        <v>0</v>
      </c>
      <c r="BJ1081">
        <v>1725</v>
      </c>
      <c r="BK1081">
        <v>-375</v>
      </c>
      <c r="BL1081" t="s">
        <v>163</v>
      </c>
      <c r="BM1081">
        <v>1</v>
      </c>
      <c r="BN1081">
        <v>1</v>
      </c>
      <c r="BO1081">
        <v>1</v>
      </c>
      <c r="BP1081">
        <v>0</v>
      </c>
      <c r="BS1081">
        <v>0.08</v>
      </c>
      <c r="BT1081">
        <v>0</v>
      </c>
      <c r="BU1081">
        <v>0</v>
      </c>
      <c r="CE1081" t="str">
        <f t="shared" ref="CE1081:CE1087" si="378">"19:28:28.279"</f>
        <v>19:28:28.279</v>
      </c>
      <c r="CF1081">
        <v>279498974</v>
      </c>
      <c r="CS1081">
        <v>3</v>
      </c>
      <c r="CT1081">
        <v>2</v>
      </c>
      <c r="CU1081">
        <v>0</v>
      </c>
      <c r="CV1081">
        <v>2</v>
      </c>
      <c r="CW1081">
        <v>0</v>
      </c>
      <c r="CX1081">
        <v>5</v>
      </c>
      <c r="CY1081">
        <v>7</v>
      </c>
      <c r="CZ1081" t="s">
        <v>131</v>
      </c>
      <c r="DA1081">
        <v>300</v>
      </c>
      <c r="DB1081">
        <v>0</v>
      </c>
      <c r="DC1081" t="s">
        <v>176</v>
      </c>
      <c r="DD1081" t="s">
        <v>177</v>
      </c>
      <c r="DG1081">
        <v>5378154</v>
      </c>
      <c r="DI1081">
        <v>1</v>
      </c>
      <c r="DJ1081">
        <v>0</v>
      </c>
      <c r="DK1081">
        <v>0</v>
      </c>
      <c r="DL1081">
        <v>0</v>
      </c>
      <c r="DM1081">
        <v>0</v>
      </c>
      <c r="DN1081">
        <v>1</v>
      </c>
      <c r="DO1081">
        <v>0</v>
      </c>
      <c r="DP1081">
        <v>0</v>
      </c>
      <c r="DQ1081">
        <v>0</v>
      </c>
      <c r="DR1081">
        <v>0</v>
      </c>
      <c r="DS1081">
        <v>0</v>
      </c>
    </row>
    <row r="1082" spans="1:123" x14ac:dyDescent="0.3">
      <c r="A1082" t="str">
        <f>"10/04/2022 19:28:28.477"</f>
        <v>10/04/2022 19:28:28.477</v>
      </c>
      <c r="C1082" t="str">
        <f t="shared" si="376"/>
        <v>FFDFD3C0</v>
      </c>
      <c r="D1082" t="s">
        <v>123</v>
      </c>
      <c r="E1082">
        <v>7</v>
      </c>
      <c r="F1082">
        <v>2007</v>
      </c>
      <c r="G1082" t="s">
        <v>124</v>
      </c>
      <c r="J1082" t="s">
        <v>125</v>
      </c>
      <c r="K1082">
        <v>0</v>
      </c>
      <c r="L1082">
        <v>3</v>
      </c>
      <c r="M1082">
        <v>0</v>
      </c>
      <c r="N1082">
        <v>2</v>
      </c>
      <c r="O1082">
        <v>0</v>
      </c>
      <c r="P1082">
        <v>1</v>
      </c>
      <c r="Q1082">
        <v>0</v>
      </c>
      <c r="S1082" t="str">
        <f t="shared" si="377"/>
        <v>19:28:28.000</v>
      </c>
      <c r="T1082" t="str">
        <f t="shared" si="377"/>
        <v>19:28:28.000</v>
      </c>
      <c r="U1082" t="str">
        <f t="shared" si="357"/>
        <v>AC3944</v>
      </c>
      <c r="V1082">
        <v>0</v>
      </c>
      <c r="W1082">
        <v>0</v>
      </c>
      <c r="X1082">
        <v>2</v>
      </c>
      <c r="Y1082">
        <v>0</v>
      </c>
      <c r="AA1082">
        <v>1</v>
      </c>
      <c r="AB1082">
        <v>8</v>
      </c>
      <c r="AC1082">
        <v>3</v>
      </c>
      <c r="AD1082">
        <v>0</v>
      </c>
      <c r="AE1082">
        <v>9</v>
      </c>
      <c r="AF1082" t="s">
        <v>138</v>
      </c>
      <c r="AG1082">
        <v>0</v>
      </c>
      <c r="AH1082">
        <v>3</v>
      </c>
      <c r="AI1082">
        <v>1</v>
      </c>
      <c r="AJ1082">
        <v>0</v>
      </c>
      <c r="AK1082" t="s">
        <v>443</v>
      </c>
      <c r="AL1082">
        <v>32.807299999999998</v>
      </c>
      <c r="AM1082" t="s">
        <v>444</v>
      </c>
      <c r="AN1082">
        <v>-116.923413</v>
      </c>
      <c r="AO1082">
        <v>25</v>
      </c>
      <c r="AP1082">
        <v>2100</v>
      </c>
      <c r="AQ1082" t="s">
        <v>129</v>
      </c>
      <c r="AR1082">
        <v>129</v>
      </c>
      <c r="AS1082">
        <v>-15</v>
      </c>
      <c r="AT1082">
        <v>448</v>
      </c>
      <c r="BB1082">
        <v>1200</v>
      </c>
      <c r="BC1082">
        <v>1</v>
      </c>
      <c r="BD1082" t="str">
        <f t="shared" si="358"/>
        <v xml:space="preserve">N887QR  </v>
      </c>
      <c r="BE1082">
        <v>1</v>
      </c>
      <c r="BG1082">
        <v>0</v>
      </c>
      <c r="BH1082">
        <v>0</v>
      </c>
      <c r="BI1082">
        <v>0</v>
      </c>
      <c r="BJ1082">
        <v>1725</v>
      </c>
      <c r="BK1082">
        <v>-375</v>
      </c>
      <c r="BL1082" t="s">
        <v>163</v>
      </c>
      <c r="BM1082">
        <v>1</v>
      </c>
      <c r="BN1082">
        <v>1</v>
      </c>
      <c r="BO1082">
        <v>1</v>
      </c>
      <c r="BP1082">
        <v>0</v>
      </c>
      <c r="BS1082">
        <v>0.08</v>
      </c>
      <c r="BT1082">
        <v>0</v>
      </c>
      <c r="BU1082">
        <v>0</v>
      </c>
      <c r="CE1082" t="str">
        <f t="shared" si="378"/>
        <v>19:28:28.279</v>
      </c>
      <c r="CF1082">
        <v>279498974</v>
      </c>
      <c r="CS1082">
        <v>3</v>
      </c>
      <c r="CT1082">
        <v>2</v>
      </c>
      <c r="CU1082">
        <v>0</v>
      </c>
      <c r="CV1082">
        <v>2</v>
      </c>
      <c r="CW1082">
        <v>0</v>
      </c>
      <c r="CX1082">
        <v>5</v>
      </c>
      <c r="CY1082">
        <v>7</v>
      </c>
      <c r="CZ1082" t="s">
        <v>131</v>
      </c>
      <c r="DA1082">
        <v>300</v>
      </c>
      <c r="DB1082">
        <v>0</v>
      </c>
      <c r="DC1082" t="s">
        <v>176</v>
      </c>
      <c r="DD1082" t="s">
        <v>177</v>
      </c>
      <c r="DG1082">
        <v>5378154</v>
      </c>
      <c r="DI1082">
        <v>1</v>
      </c>
      <c r="DJ1082">
        <v>0</v>
      </c>
      <c r="DK1082">
        <v>1</v>
      </c>
      <c r="DL1082">
        <v>0</v>
      </c>
      <c r="DM1082">
        <v>0</v>
      </c>
      <c r="DN1082">
        <v>1</v>
      </c>
      <c r="DO1082">
        <v>0</v>
      </c>
      <c r="DP1082">
        <v>0</v>
      </c>
      <c r="DQ1082">
        <v>0</v>
      </c>
      <c r="DR1082">
        <v>0</v>
      </c>
      <c r="DS1082">
        <v>0</v>
      </c>
    </row>
    <row r="1083" spans="1:123" x14ac:dyDescent="0.3">
      <c r="A1083" t="str">
        <f>"10/04/2022 19:28:28.477"</f>
        <v>10/04/2022 19:28:28.477</v>
      </c>
      <c r="C1083" t="str">
        <f t="shared" si="376"/>
        <v>FFDFD3C0</v>
      </c>
      <c r="D1083" t="s">
        <v>134</v>
      </c>
      <c r="E1083">
        <v>15</v>
      </c>
      <c r="J1083" t="s">
        <v>135</v>
      </c>
      <c r="K1083">
        <v>0</v>
      </c>
      <c r="L1083">
        <v>3</v>
      </c>
      <c r="M1083">
        <v>0</v>
      </c>
      <c r="N1083">
        <v>2</v>
      </c>
      <c r="O1083">
        <v>0</v>
      </c>
      <c r="P1083">
        <v>1</v>
      </c>
      <c r="Q1083">
        <v>0</v>
      </c>
      <c r="S1083" t="str">
        <f t="shared" si="377"/>
        <v>19:28:28.000</v>
      </c>
      <c r="T1083" t="str">
        <f t="shared" si="377"/>
        <v>19:28:28.000</v>
      </c>
      <c r="U1083" t="str">
        <f t="shared" si="357"/>
        <v>AC3944</v>
      </c>
      <c r="V1083">
        <v>0</v>
      </c>
      <c r="W1083">
        <v>0</v>
      </c>
      <c r="X1083">
        <v>2</v>
      </c>
      <c r="Y1083">
        <v>0</v>
      </c>
      <c r="AA1083">
        <v>1</v>
      </c>
      <c r="AB1083">
        <v>8</v>
      </c>
      <c r="AC1083">
        <v>3</v>
      </c>
      <c r="AD1083">
        <v>0</v>
      </c>
      <c r="AE1083">
        <v>9</v>
      </c>
      <c r="AF1083" t="s">
        <v>138</v>
      </c>
      <c r="AG1083">
        <v>0</v>
      </c>
      <c r="AH1083">
        <v>3</v>
      </c>
      <c r="AI1083">
        <v>1</v>
      </c>
      <c r="AJ1083">
        <v>0</v>
      </c>
      <c r="AK1083" t="s">
        <v>443</v>
      </c>
      <c r="AL1083">
        <v>32.807299999999998</v>
      </c>
      <c r="AM1083" t="s">
        <v>444</v>
      </c>
      <c r="AN1083">
        <v>-116.923413</v>
      </c>
      <c r="AO1083">
        <v>25</v>
      </c>
      <c r="AP1083">
        <v>2100</v>
      </c>
      <c r="AQ1083" t="s">
        <v>129</v>
      </c>
      <c r="AR1083">
        <v>129</v>
      </c>
      <c r="AS1083">
        <v>-15</v>
      </c>
      <c r="AT1083">
        <v>448</v>
      </c>
      <c r="BB1083">
        <v>1200</v>
      </c>
      <c r="BC1083">
        <v>1</v>
      </c>
      <c r="BD1083" t="str">
        <f t="shared" si="358"/>
        <v xml:space="preserve">N887QR  </v>
      </c>
      <c r="BE1083">
        <v>1</v>
      </c>
      <c r="BG1083">
        <v>0</v>
      </c>
      <c r="BH1083">
        <v>0</v>
      </c>
      <c r="BI1083">
        <v>0</v>
      </c>
      <c r="BJ1083">
        <v>1725</v>
      </c>
      <c r="BK1083">
        <v>-375</v>
      </c>
      <c r="BL1083" t="s">
        <v>163</v>
      </c>
      <c r="BM1083">
        <v>1</v>
      </c>
      <c r="BN1083">
        <v>1</v>
      </c>
      <c r="BO1083">
        <v>1</v>
      </c>
      <c r="BP1083">
        <v>0</v>
      </c>
      <c r="BS1083">
        <v>0.08</v>
      </c>
      <c r="BT1083">
        <v>0</v>
      </c>
      <c r="BU1083">
        <v>0</v>
      </c>
      <c r="CE1083" t="str">
        <f t="shared" si="378"/>
        <v>19:28:28.279</v>
      </c>
      <c r="CF1083">
        <v>279498974</v>
      </c>
      <c r="CS1083">
        <v>3</v>
      </c>
      <c r="CT1083">
        <v>2</v>
      </c>
      <c r="CU1083">
        <v>0</v>
      </c>
      <c r="CV1083">
        <v>2</v>
      </c>
      <c r="CW1083">
        <v>0</v>
      </c>
      <c r="CX1083">
        <v>5</v>
      </c>
      <c r="CY1083">
        <v>7</v>
      </c>
      <c r="CZ1083" t="s">
        <v>131</v>
      </c>
      <c r="DA1083">
        <v>300</v>
      </c>
      <c r="DB1083">
        <v>0</v>
      </c>
      <c r="DC1083" t="s">
        <v>176</v>
      </c>
      <c r="DD1083" t="s">
        <v>177</v>
      </c>
      <c r="DG1083">
        <v>5378154</v>
      </c>
      <c r="DI1083">
        <v>1</v>
      </c>
      <c r="DJ1083">
        <v>0</v>
      </c>
      <c r="DK1083">
        <v>1</v>
      </c>
      <c r="DL1083">
        <v>0</v>
      </c>
      <c r="DM1083">
        <v>0</v>
      </c>
      <c r="DN1083">
        <v>1</v>
      </c>
      <c r="DO1083">
        <v>0</v>
      </c>
      <c r="DP1083">
        <v>0</v>
      </c>
      <c r="DQ1083">
        <v>0</v>
      </c>
      <c r="DR1083">
        <v>0</v>
      </c>
      <c r="DS1083">
        <v>0</v>
      </c>
    </row>
    <row r="1084" spans="1:123" x14ac:dyDescent="0.3">
      <c r="A1084" t="str">
        <f>"10/04/2022 19:28:28.477"</f>
        <v>10/04/2022 19:28:28.477</v>
      </c>
      <c r="C1084" t="str">
        <f t="shared" si="376"/>
        <v>FFDFD3C0</v>
      </c>
      <c r="D1084" t="s">
        <v>141</v>
      </c>
      <c r="E1084">
        <v>3</v>
      </c>
      <c r="H1084">
        <v>3</v>
      </c>
      <c r="I1084" t="s">
        <v>146</v>
      </c>
      <c r="J1084" t="s">
        <v>138</v>
      </c>
      <c r="K1084">
        <v>0</v>
      </c>
      <c r="L1084">
        <v>3</v>
      </c>
      <c r="M1084">
        <v>0</v>
      </c>
      <c r="N1084">
        <v>2</v>
      </c>
      <c r="O1084">
        <v>0</v>
      </c>
      <c r="P1084">
        <v>1</v>
      </c>
      <c r="Q1084">
        <v>0</v>
      </c>
      <c r="S1084" t="str">
        <f t="shared" si="377"/>
        <v>19:28:28.000</v>
      </c>
      <c r="T1084" t="str">
        <f t="shared" si="377"/>
        <v>19:28:28.000</v>
      </c>
      <c r="U1084" t="str">
        <f t="shared" si="357"/>
        <v>AC3944</v>
      </c>
      <c r="V1084">
        <v>0</v>
      </c>
      <c r="W1084">
        <v>0</v>
      </c>
      <c r="X1084">
        <v>2</v>
      </c>
      <c r="Y1084">
        <v>0</v>
      </c>
      <c r="AA1084">
        <v>1</v>
      </c>
      <c r="AB1084">
        <v>8</v>
      </c>
      <c r="AC1084">
        <v>3</v>
      </c>
      <c r="AD1084">
        <v>0</v>
      </c>
      <c r="AE1084">
        <v>9</v>
      </c>
      <c r="AF1084" t="s">
        <v>138</v>
      </c>
      <c r="AG1084">
        <v>0</v>
      </c>
      <c r="AH1084">
        <v>3</v>
      </c>
      <c r="AI1084">
        <v>1</v>
      </c>
      <c r="AJ1084">
        <v>0</v>
      </c>
      <c r="AK1084" t="s">
        <v>443</v>
      </c>
      <c r="AL1084">
        <v>32.807299999999998</v>
      </c>
      <c r="AM1084" t="s">
        <v>444</v>
      </c>
      <c r="AN1084">
        <v>-116.923413</v>
      </c>
      <c r="AO1084">
        <v>25</v>
      </c>
      <c r="AP1084">
        <v>2100</v>
      </c>
      <c r="AQ1084" t="s">
        <v>129</v>
      </c>
      <c r="AR1084">
        <v>129</v>
      </c>
      <c r="AS1084">
        <v>-15</v>
      </c>
      <c r="AT1084">
        <v>448</v>
      </c>
      <c r="BB1084">
        <v>1200</v>
      </c>
      <c r="BC1084">
        <v>1</v>
      </c>
      <c r="BD1084" t="str">
        <f t="shared" si="358"/>
        <v xml:space="preserve">N887QR  </v>
      </c>
      <c r="BE1084">
        <v>1</v>
      </c>
      <c r="BG1084">
        <v>0</v>
      </c>
      <c r="BH1084">
        <v>0</v>
      </c>
      <c r="BI1084">
        <v>0</v>
      </c>
      <c r="BJ1084">
        <v>1725</v>
      </c>
      <c r="BK1084">
        <v>-375</v>
      </c>
      <c r="BL1084" t="s">
        <v>163</v>
      </c>
      <c r="BM1084">
        <v>1</v>
      </c>
      <c r="BN1084">
        <v>1</v>
      </c>
      <c r="BO1084">
        <v>1</v>
      </c>
      <c r="BP1084">
        <v>0</v>
      </c>
      <c r="BS1084">
        <v>0.08</v>
      </c>
      <c r="BT1084">
        <v>0</v>
      </c>
      <c r="BU1084">
        <v>0</v>
      </c>
      <c r="CE1084" t="str">
        <f t="shared" si="378"/>
        <v>19:28:28.279</v>
      </c>
      <c r="CF1084">
        <v>279498974</v>
      </c>
      <c r="CS1084">
        <v>3</v>
      </c>
      <c r="CT1084">
        <v>2</v>
      </c>
      <c r="CU1084">
        <v>0</v>
      </c>
      <c r="CV1084">
        <v>2</v>
      </c>
      <c r="CW1084">
        <v>0</v>
      </c>
      <c r="CX1084">
        <v>5</v>
      </c>
      <c r="CY1084">
        <v>7</v>
      </c>
      <c r="CZ1084" t="s">
        <v>131</v>
      </c>
      <c r="DA1084">
        <v>300</v>
      </c>
      <c r="DB1084">
        <v>0</v>
      </c>
      <c r="DC1084" t="s">
        <v>176</v>
      </c>
      <c r="DD1084" t="s">
        <v>177</v>
      </c>
      <c r="DG1084">
        <v>5378154</v>
      </c>
      <c r="DI1084">
        <v>1</v>
      </c>
      <c r="DJ1084">
        <v>0</v>
      </c>
      <c r="DK1084">
        <v>1</v>
      </c>
      <c r="DL1084">
        <v>0</v>
      </c>
      <c r="DM1084">
        <v>0</v>
      </c>
      <c r="DN1084">
        <v>1</v>
      </c>
      <c r="DO1084">
        <v>0</v>
      </c>
      <c r="DP1084">
        <v>0</v>
      </c>
      <c r="DQ1084">
        <v>0</v>
      </c>
      <c r="DR1084">
        <v>0</v>
      </c>
      <c r="DS1084">
        <v>0</v>
      </c>
    </row>
    <row r="1085" spans="1:123" x14ac:dyDescent="0.3">
      <c r="A1085" t="str">
        <f>"10/04/2022 19:28:28.508"</f>
        <v>10/04/2022 19:28:28.508</v>
      </c>
      <c r="C1085" t="str">
        <f t="shared" si="376"/>
        <v>FFDFD3C0</v>
      </c>
      <c r="D1085" t="s">
        <v>141</v>
      </c>
      <c r="E1085">
        <v>4</v>
      </c>
      <c r="H1085">
        <v>4</v>
      </c>
      <c r="I1085" t="s">
        <v>142</v>
      </c>
      <c r="J1085" t="s">
        <v>138</v>
      </c>
      <c r="K1085">
        <v>0</v>
      </c>
      <c r="L1085">
        <v>3</v>
      </c>
      <c r="M1085">
        <v>0</v>
      </c>
      <c r="N1085">
        <v>2</v>
      </c>
      <c r="O1085">
        <v>0</v>
      </c>
      <c r="P1085">
        <v>1</v>
      </c>
      <c r="Q1085">
        <v>0</v>
      </c>
      <c r="S1085" t="str">
        <f t="shared" si="377"/>
        <v>19:28:28.000</v>
      </c>
      <c r="T1085" t="str">
        <f t="shared" si="377"/>
        <v>19:28:28.000</v>
      </c>
      <c r="U1085" t="str">
        <f t="shared" si="357"/>
        <v>AC3944</v>
      </c>
      <c r="V1085">
        <v>0</v>
      </c>
      <c r="W1085">
        <v>0</v>
      </c>
      <c r="X1085">
        <v>2</v>
      </c>
      <c r="Y1085">
        <v>0</v>
      </c>
      <c r="AA1085">
        <v>1</v>
      </c>
      <c r="AB1085">
        <v>8</v>
      </c>
      <c r="AC1085">
        <v>3</v>
      </c>
      <c r="AD1085">
        <v>0</v>
      </c>
      <c r="AE1085">
        <v>9</v>
      </c>
      <c r="AF1085" t="s">
        <v>138</v>
      </c>
      <c r="AG1085">
        <v>0</v>
      </c>
      <c r="AH1085">
        <v>3</v>
      </c>
      <c r="AI1085">
        <v>1</v>
      </c>
      <c r="AJ1085">
        <v>0</v>
      </c>
      <c r="AK1085" t="s">
        <v>443</v>
      </c>
      <c r="AL1085">
        <v>32.807299999999998</v>
      </c>
      <c r="AM1085" t="s">
        <v>444</v>
      </c>
      <c r="AN1085">
        <v>-116.923413</v>
      </c>
      <c r="AO1085">
        <v>25</v>
      </c>
      <c r="AP1085">
        <v>2100</v>
      </c>
      <c r="AQ1085" t="s">
        <v>129</v>
      </c>
      <c r="AR1085">
        <v>129</v>
      </c>
      <c r="AS1085">
        <v>-15</v>
      </c>
      <c r="AT1085">
        <v>448</v>
      </c>
      <c r="BB1085">
        <v>1200</v>
      </c>
      <c r="BC1085">
        <v>1</v>
      </c>
      <c r="BD1085" t="str">
        <f t="shared" si="358"/>
        <v xml:space="preserve">N887QR  </v>
      </c>
      <c r="BE1085">
        <v>1</v>
      </c>
      <c r="BG1085">
        <v>0</v>
      </c>
      <c r="BH1085">
        <v>0</v>
      </c>
      <c r="BI1085">
        <v>0</v>
      </c>
      <c r="BJ1085">
        <v>1725</v>
      </c>
      <c r="BK1085">
        <v>-375</v>
      </c>
      <c r="BL1085" t="s">
        <v>163</v>
      </c>
      <c r="BM1085">
        <v>1</v>
      </c>
      <c r="BN1085">
        <v>1</v>
      </c>
      <c r="BO1085">
        <v>1</v>
      </c>
      <c r="BP1085">
        <v>0</v>
      </c>
      <c r="BS1085">
        <v>0.08</v>
      </c>
      <c r="BT1085">
        <v>0</v>
      </c>
      <c r="BU1085">
        <v>0</v>
      </c>
      <c r="CE1085" t="str">
        <f t="shared" si="378"/>
        <v>19:28:28.279</v>
      </c>
      <c r="CF1085">
        <v>279498974</v>
      </c>
      <c r="CS1085">
        <v>3</v>
      </c>
      <c r="CT1085">
        <v>2</v>
      </c>
      <c r="CU1085">
        <v>0</v>
      </c>
      <c r="CV1085">
        <v>2</v>
      </c>
      <c r="CW1085">
        <v>0</v>
      </c>
      <c r="CX1085">
        <v>5</v>
      </c>
      <c r="CY1085">
        <v>7</v>
      </c>
      <c r="CZ1085" t="s">
        <v>131</v>
      </c>
      <c r="DA1085">
        <v>300</v>
      </c>
      <c r="DB1085">
        <v>0</v>
      </c>
      <c r="DC1085" t="s">
        <v>176</v>
      </c>
      <c r="DD1085" t="s">
        <v>177</v>
      </c>
      <c r="DG1085">
        <v>5378154</v>
      </c>
      <c r="DI1085">
        <v>1</v>
      </c>
      <c r="DJ1085">
        <v>0</v>
      </c>
      <c r="DK1085">
        <v>1</v>
      </c>
      <c r="DL1085">
        <v>0</v>
      </c>
      <c r="DM1085">
        <v>0</v>
      </c>
      <c r="DN1085">
        <v>1</v>
      </c>
      <c r="DO1085">
        <v>0</v>
      </c>
      <c r="DP1085">
        <v>0</v>
      </c>
      <c r="DQ1085">
        <v>0</v>
      </c>
      <c r="DR1085">
        <v>0</v>
      </c>
      <c r="DS1085">
        <v>0</v>
      </c>
    </row>
    <row r="1086" spans="1:123" x14ac:dyDescent="0.3">
      <c r="A1086" t="str">
        <f>"10/04/2022 19:28:28.477"</f>
        <v>10/04/2022 19:28:28.477</v>
      </c>
      <c r="C1086" t="str">
        <f t="shared" si="376"/>
        <v>FFDFD3C0</v>
      </c>
      <c r="D1086" t="s">
        <v>136</v>
      </c>
      <c r="E1086">
        <v>8</v>
      </c>
      <c r="H1086">
        <v>225</v>
      </c>
      <c r="I1086" t="s">
        <v>137</v>
      </c>
      <c r="J1086" t="s">
        <v>138</v>
      </c>
      <c r="K1086">
        <v>0</v>
      </c>
      <c r="L1086">
        <v>3</v>
      </c>
      <c r="M1086">
        <v>0</v>
      </c>
      <c r="N1086">
        <v>2</v>
      </c>
      <c r="O1086">
        <v>0</v>
      </c>
      <c r="P1086">
        <v>1</v>
      </c>
      <c r="Q1086">
        <v>0</v>
      </c>
      <c r="S1086" t="str">
        <f t="shared" si="377"/>
        <v>19:28:28.000</v>
      </c>
      <c r="T1086" t="str">
        <f t="shared" si="377"/>
        <v>19:28:28.000</v>
      </c>
      <c r="U1086" t="str">
        <f t="shared" si="357"/>
        <v>AC3944</v>
      </c>
      <c r="V1086">
        <v>0</v>
      </c>
      <c r="W1086">
        <v>0</v>
      </c>
      <c r="X1086">
        <v>2</v>
      </c>
      <c r="Y1086">
        <v>0</v>
      </c>
      <c r="AA1086">
        <v>1</v>
      </c>
      <c r="AB1086">
        <v>8</v>
      </c>
      <c r="AC1086">
        <v>3</v>
      </c>
      <c r="AD1086">
        <v>0</v>
      </c>
      <c r="AE1086">
        <v>9</v>
      </c>
      <c r="AF1086" t="s">
        <v>138</v>
      </c>
      <c r="AG1086">
        <v>0</v>
      </c>
      <c r="AH1086">
        <v>3</v>
      </c>
      <c r="AI1086">
        <v>1</v>
      </c>
      <c r="AJ1086">
        <v>0</v>
      </c>
      <c r="AK1086" t="s">
        <v>443</v>
      </c>
      <c r="AL1086">
        <v>32.807299999999998</v>
      </c>
      <c r="AM1086" t="s">
        <v>444</v>
      </c>
      <c r="AN1086">
        <v>-116.923413</v>
      </c>
      <c r="AO1086">
        <v>25</v>
      </c>
      <c r="AP1086">
        <v>2100</v>
      </c>
      <c r="AQ1086" t="s">
        <v>129</v>
      </c>
      <c r="AR1086">
        <v>129</v>
      </c>
      <c r="AS1086">
        <v>-15</v>
      </c>
      <c r="AT1086">
        <v>448</v>
      </c>
      <c r="BB1086">
        <v>1200</v>
      </c>
      <c r="BC1086">
        <v>1</v>
      </c>
      <c r="BD1086" t="str">
        <f t="shared" si="358"/>
        <v xml:space="preserve">N887QR  </v>
      </c>
      <c r="BE1086">
        <v>1</v>
      </c>
      <c r="BG1086">
        <v>0</v>
      </c>
      <c r="BH1086">
        <v>0</v>
      </c>
      <c r="BI1086">
        <v>0</v>
      </c>
      <c r="BJ1086">
        <v>1725</v>
      </c>
      <c r="BK1086">
        <v>-375</v>
      </c>
      <c r="BL1086" t="s">
        <v>163</v>
      </c>
      <c r="BM1086">
        <v>1</v>
      </c>
      <c r="BN1086">
        <v>1</v>
      </c>
      <c r="BO1086">
        <v>1</v>
      </c>
      <c r="BP1086">
        <v>0</v>
      </c>
      <c r="BS1086">
        <v>0.08</v>
      </c>
      <c r="BT1086">
        <v>0</v>
      </c>
      <c r="BU1086">
        <v>0</v>
      </c>
      <c r="CE1086" t="str">
        <f t="shared" si="378"/>
        <v>19:28:28.279</v>
      </c>
      <c r="CF1086">
        <v>279498974</v>
      </c>
      <c r="CS1086">
        <v>3</v>
      </c>
      <c r="CT1086">
        <v>2</v>
      </c>
      <c r="CU1086">
        <v>0</v>
      </c>
      <c r="CV1086">
        <v>2</v>
      </c>
      <c r="CW1086">
        <v>0</v>
      </c>
      <c r="CX1086">
        <v>5</v>
      </c>
      <c r="CY1086">
        <v>7</v>
      </c>
      <c r="CZ1086" t="s">
        <v>131</v>
      </c>
      <c r="DA1086">
        <v>300</v>
      </c>
      <c r="DB1086">
        <v>0</v>
      </c>
      <c r="DC1086" t="s">
        <v>176</v>
      </c>
      <c r="DD1086" t="s">
        <v>177</v>
      </c>
      <c r="DG1086">
        <v>5378154</v>
      </c>
      <c r="DI1086">
        <v>1</v>
      </c>
      <c r="DJ1086">
        <v>0</v>
      </c>
      <c r="DK1086">
        <v>1</v>
      </c>
      <c r="DL1086">
        <v>0</v>
      </c>
      <c r="DM1086">
        <v>0</v>
      </c>
      <c r="DN1086">
        <v>1</v>
      </c>
      <c r="DO1086">
        <v>0</v>
      </c>
      <c r="DP1086">
        <v>0</v>
      </c>
      <c r="DQ1086">
        <v>0</v>
      </c>
      <c r="DR1086">
        <v>0</v>
      </c>
      <c r="DS1086">
        <v>0</v>
      </c>
    </row>
    <row r="1087" spans="1:123" x14ac:dyDescent="0.3">
      <c r="A1087" t="str">
        <f>"10/04/2022 19:28:28.524"</f>
        <v>10/04/2022 19:28:28.524</v>
      </c>
      <c r="C1087" t="str">
        <f t="shared" si="376"/>
        <v>FFDFD3C0</v>
      </c>
      <c r="D1087" t="s">
        <v>147</v>
      </c>
      <c r="E1087">
        <v>3</v>
      </c>
      <c r="H1087">
        <v>166</v>
      </c>
      <c r="I1087" t="s">
        <v>144</v>
      </c>
      <c r="J1087" t="s">
        <v>148</v>
      </c>
      <c r="K1087">
        <v>0</v>
      </c>
      <c r="L1087">
        <v>3</v>
      </c>
      <c r="M1087">
        <v>0</v>
      </c>
      <c r="N1087">
        <v>2</v>
      </c>
      <c r="O1087">
        <v>0</v>
      </c>
      <c r="P1087">
        <v>1</v>
      </c>
      <c r="Q1087">
        <v>0</v>
      </c>
      <c r="S1087" t="str">
        <f t="shared" si="377"/>
        <v>19:28:28.000</v>
      </c>
      <c r="T1087" t="str">
        <f t="shared" si="377"/>
        <v>19:28:28.000</v>
      </c>
      <c r="U1087" t="str">
        <f t="shared" si="357"/>
        <v>AC3944</v>
      </c>
      <c r="V1087">
        <v>0</v>
      </c>
      <c r="W1087">
        <v>0</v>
      </c>
      <c r="X1087">
        <v>2</v>
      </c>
      <c r="Y1087">
        <v>0</v>
      </c>
      <c r="AA1087">
        <v>1</v>
      </c>
      <c r="AB1087">
        <v>8</v>
      </c>
      <c r="AC1087">
        <v>3</v>
      </c>
      <c r="AD1087">
        <v>0</v>
      </c>
      <c r="AE1087">
        <v>9</v>
      </c>
      <c r="AF1087" t="s">
        <v>138</v>
      </c>
      <c r="AG1087">
        <v>0</v>
      </c>
      <c r="AH1087">
        <v>3</v>
      </c>
      <c r="AI1087">
        <v>1</v>
      </c>
      <c r="AJ1087">
        <v>0</v>
      </c>
      <c r="AK1087" t="s">
        <v>443</v>
      </c>
      <c r="AL1087">
        <v>32.807299999999998</v>
      </c>
      <c r="AM1087" t="s">
        <v>444</v>
      </c>
      <c r="AN1087">
        <v>-116.923413</v>
      </c>
      <c r="AO1087">
        <v>25</v>
      </c>
      <c r="AP1087">
        <v>2100</v>
      </c>
      <c r="AQ1087" t="s">
        <v>129</v>
      </c>
      <c r="AR1087">
        <v>129</v>
      </c>
      <c r="AS1087">
        <v>-15</v>
      </c>
      <c r="AT1087">
        <v>448</v>
      </c>
      <c r="BB1087">
        <v>1200</v>
      </c>
      <c r="BC1087">
        <v>1</v>
      </c>
      <c r="BD1087" t="str">
        <f t="shared" si="358"/>
        <v xml:space="preserve">N887QR  </v>
      </c>
      <c r="BE1087">
        <v>1</v>
      </c>
      <c r="BG1087">
        <v>0</v>
      </c>
      <c r="BH1087">
        <v>0</v>
      </c>
      <c r="BI1087">
        <v>0</v>
      </c>
      <c r="BJ1087">
        <v>1725</v>
      </c>
      <c r="BK1087">
        <v>-375</v>
      </c>
      <c r="BL1087" t="s">
        <v>163</v>
      </c>
      <c r="BM1087">
        <v>1</v>
      </c>
      <c r="BN1087">
        <v>1</v>
      </c>
      <c r="BO1087">
        <v>1</v>
      </c>
      <c r="BP1087">
        <v>0</v>
      </c>
      <c r="BS1087">
        <v>0.08</v>
      </c>
      <c r="BT1087">
        <v>0</v>
      </c>
      <c r="BU1087">
        <v>0</v>
      </c>
      <c r="CE1087" t="str">
        <f t="shared" si="378"/>
        <v>19:28:28.279</v>
      </c>
      <c r="CF1087">
        <v>279498974</v>
      </c>
      <c r="CS1087">
        <v>3</v>
      </c>
      <c r="CT1087">
        <v>2</v>
      </c>
      <c r="CU1087">
        <v>0</v>
      </c>
      <c r="CV1087">
        <v>2</v>
      </c>
      <c r="CW1087">
        <v>0</v>
      </c>
      <c r="CX1087">
        <v>5</v>
      </c>
      <c r="CY1087">
        <v>7</v>
      </c>
      <c r="CZ1087" t="s">
        <v>131</v>
      </c>
      <c r="DA1087">
        <v>300</v>
      </c>
      <c r="DB1087">
        <v>0</v>
      </c>
      <c r="DC1087" t="s">
        <v>176</v>
      </c>
      <c r="DD1087" t="s">
        <v>177</v>
      </c>
      <c r="DG1087">
        <v>5378154</v>
      </c>
      <c r="DI1087">
        <v>1</v>
      </c>
      <c r="DJ1087">
        <v>0</v>
      </c>
      <c r="DK1087">
        <v>1</v>
      </c>
      <c r="DL1087">
        <v>0</v>
      </c>
      <c r="DM1087">
        <v>0</v>
      </c>
      <c r="DN1087">
        <v>1</v>
      </c>
      <c r="DO1087">
        <v>0</v>
      </c>
      <c r="DP1087">
        <v>0</v>
      </c>
      <c r="DQ1087">
        <v>0</v>
      </c>
      <c r="DR1087">
        <v>0</v>
      </c>
      <c r="DS1087">
        <v>0</v>
      </c>
    </row>
    <row r="1088" spans="1:123" x14ac:dyDescent="0.3">
      <c r="A1088" t="str">
        <f>"10/04/2022 19:28:29.149"</f>
        <v>10/04/2022 19:28:29.149</v>
      </c>
      <c r="C1088" t="str">
        <f t="shared" si="376"/>
        <v>FFDFD3C0</v>
      </c>
      <c r="D1088" t="s">
        <v>141</v>
      </c>
      <c r="E1088">
        <v>3</v>
      </c>
      <c r="H1088">
        <v>3</v>
      </c>
      <c r="I1088" t="s">
        <v>146</v>
      </c>
      <c r="J1088" t="s">
        <v>138</v>
      </c>
      <c r="K1088">
        <v>0</v>
      </c>
      <c r="L1088">
        <v>3</v>
      </c>
      <c r="M1088">
        <v>0</v>
      </c>
      <c r="N1088">
        <v>2</v>
      </c>
      <c r="O1088">
        <v>0</v>
      </c>
      <c r="P1088">
        <v>1</v>
      </c>
      <c r="Q1088">
        <v>0</v>
      </c>
      <c r="S1088" t="str">
        <f t="shared" si="377"/>
        <v>19:28:28.000</v>
      </c>
      <c r="T1088" t="str">
        <f t="shared" si="377"/>
        <v>19:28:28.000</v>
      </c>
      <c r="U1088" t="str">
        <f t="shared" si="357"/>
        <v>AC3944</v>
      </c>
      <c r="V1088">
        <v>0</v>
      </c>
      <c r="W1088">
        <v>0</v>
      </c>
      <c r="X1088">
        <v>2</v>
      </c>
      <c r="Y1088">
        <v>0</v>
      </c>
      <c r="AA1088">
        <v>1</v>
      </c>
      <c r="AB1088">
        <v>8</v>
      </c>
      <c r="AC1088">
        <v>3</v>
      </c>
      <c r="AD1088">
        <v>0</v>
      </c>
      <c r="AE1088">
        <v>9</v>
      </c>
      <c r="AF1088" t="s">
        <v>138</v>
      </c>
      <c r="AG1088">
        <v>0</v>
      </c>
      <c r="AH1088">
        <v>3</v>
      </c>
      <c r="AI1088">
        <v>1</v>
      </c>
      <c r="AJ1088">
        <v>0</v>
      </c>
      <c r="AK1088" t="s">
        <v>445</v>
      </c>
      <c r="AL1088">
        <v>32.807236000000003</v>
      </c>
      <c r="AM1088" t="s">
        <v>446</v>
      </c>
      <c r="AN1088">
        <v>-116.92270499999999</v>
      </c>
      <c r="AO1088">
        <v>25</v>
      </c>
      <c r="AP1088">
        <v>2100</v>
      </c>
      <c r="AQ1088" t="s">
        <v>129</v>
      </c>
      <c r="AR1088">
        <v>128</v>
      </c>
      <c r="AS1088">
        <v>-16</v>
      </c>
      <c r="AT1088">
        <v>448</v>
      </c>
      <c r="BB1088">
        <v>1200</v>
      </c>
      <c r="BC1088">
        <v>1</v>
      </c>
      <c r="BD1088" t="str">
        <f t="shared" si="358"/>
        <v xml:space="preserve">N887QR  </v>
      </c>
      <c r="BE1088">
        <v>1</v>
      </c>
      <c r="BG1088">
        <v>0</v>
      </c>
      <c r="BH1088">
        <v>0</v>
      </c>
      <c r="BI1088">
        <v>0</v>
      </c>
      <c r="BJ1088">
        <v>1750</v>
      </c>
      <c r="BK1088">
        <v>-350</v>
      </c>
      <c r="BL1088" t="s">
        <v>163</v>
      </c>
      <c r="BM1088">
        <v>1</v>
      </c>
      <c r="BN1088">
        <v>1</v>
      </c>
      <c r="BO1088">
        <v>1</v>
      </c>
      <c r="BP1088">
        <v>0</v>
      </c>
      <c r="BS1088">
        <v>0.04</v>
      </c>
      <c r="BT1088">
        <v>0</v>
      </c>
      <c r="BU1088">
        <v>0</v>
      </c>
      <c r="CE1088" t="str">
        <f t="shared" ref="CE1088:CE1094" si="379">"19:28:28.960"</f>
        <v>19:28:28.960</v>
      </c>
      <c r="CF1088">
        <v>959501144</v>
      </c>
      <c r="CS1088">
        <v>3</v>
      </c>
      <c r="CT1088">
        <v>2</v>
      </c>
      <c r="CU1088">
        <v>0</v>
      </c>
      <c r="CV1088">
        <v>2</v>
      </c>
      <c r="CW1088">
        <v>0</v>
      </c>
      <c r="CX1088">
        <v>5</v>
      </c>
      <c r="CY1088">
        <v>7</v>
      </c>
      <c r="CZ1088" t="s">
        <v>131</v>
      </c>
      <c r="DA1088">
        <v>300</v>
      </c>
      <c r="DB1088">
        <v>0</v>
      </c>
      <c r="DC1088" t="s">
        <v>176</v>
      </c>
      <c r="DD1088" t="s">
        <v>177</v>
      </c>
      <c r="DG1088">
        <v>5378270</v>
      </c>
      <c r="DI1088">
        <v>1</v>
      </c>
      <c r="DJ1088">
        <v>0</v>
      </c>
      <c r="DK1088">
        <v>0</v>
      </c>
      <c r="DL1088">
        <v>0</v>
      </c>
      <c r="DM1088">
        <v>0</v>
      </c>
      <c r="DN1088">
        <v>1</v>
      </c>
      <c r="DO1088">
        <v>0</v>
      </c>
      <c r="DP1088">
        <v>0</v>
      </c>
      <c r="DQ1088">
        <v>0</v>
      </c>
      <c r="DR1088">
        <v>0</v>
      </c>
      <c r="DS1088">
        <v>0</v>
      </c>
    </row>
    <row r="1089" spans="1:123" x14ac:dyDescent="0.3">
      <c r="A1089" t="str">
        <f>"10/04/2022 19:28:29.149"</f>
        <v>10/04/2022 19:28:29.149</v>
      </c>
      <c r="C1089" t="str">
        <f t="shared" si="376"/>
        <v>FFDFD3C0</v>
      </c>
      <c r="D1089" t="s">
        <v>134</v>
      </c>
      <c r="E1089">
        <v>15</v>
      </c>
      <c r="J1089" t="s">
        <v>135</v>
      </c>
      <c r="K1089">
        <v>0</v>
      </c>
      <c r="L1089">
        <v>3</v>
      </c>
      <c r="M1089">
        <v>0</v>
      </c>
      <c r="N1089">
        <v>2</v>
      </c>
      <c r="O1089">
        <v>0</v>
      </c>
      <c r="P1089">
        <v>1</v>
      </c>
      <c r="Q1089">
        <v>0</v>
      </c>
      <c r="S1089" t="str">
        <f t="shared" si="377"/>
        <v>19:28:28.000</v>
      </c>
      <c r="T1089" t="str">
        <f t="shared" si="377"/>
        <v>19:28:28.000</v>
      </c>
      <c r="U1089" t="str">
        <f t="shared" si="357"/>
        <v>AC3944</v>
      </c>
      <c r="V1089">
        <v>0</v>
      </c>
      <c r="W1089">
        <v>0</v>
      </c>
      <c r="X1089">
        <v>2</v>
      </c>
      <c r="Y1089">
        <v>0</v>
      </c>
      <c r="AA1089">
        <v>1</v>
      </c>
      <c r="AB1089">
        <v>8</v>
      </c>
      <c r="AC1089">
        <v>3</v>
      </c>
      <c r="AD1089">
        <v>0</v>
      </c>
      <c r="AE1089">
        <v>9</v>
      </c>
      <c r="AF1089" t="s">
        <v>138</v>
      </c>
      <c r="AG1089">
        <v>0</v>
      </c>
      <c r="AH1089">
        <v>3</v>
      </c>
      <c r="AI1089">
        <v>1</v>
      </c>
      <c r="AJ1089">
        <v>0</v>
      </c>
      <c r="AK1089" t="s">
        <v>445</v>
      </c>
      <c r="AL1089">
        <v>32.807236000000003</v>
      </c>
      <c r="AM1089" t="s">
        <v>446</v>
      </c>
      <c r="AN1089">
        <v>-116.92270499999999</v>
      </c>
      <c r="AO1089">
        <v>25</v>
      </c>
      <c r="AP1089">
        <v>2100</v>
      </c>
      <c r="AQ1089" t="s">
        <v>129</v>
      </c>
      <c r="AR1089">
        <v>128</v>
      </c>
      <c r="AS1089">
        <v>-16</v>
      </c>
      <c r="AT1089">
        <v>448</v>
      </c>
      <c r="BB1089">
        <v>1200</v>
      </c>
      <c r="BC1089">
        <v>1</v>
      </c>
      <c r="BD1089" t="str">
        <f t="shared" si="358"/>
        <v xml:space="preserve">N887QR  </v>
      </c>
      <c r="BE1089">
        <v>1</v>
      </c>
      <c r="BG1089">
        <v>0</v>
      </c>
      <c r="BH1089">
        <v>0</v>
      </c>
      <c r="BI1089">
        <v>0</v>
      </c>
      <c r="BJ1089">
        <v>1750</v>
      </c>
      <c r="BK1089">
        <v>-350</v>
      </c>
      <c r="BL1089" t="s">
        <v>163</v>
      </c>
      <c r="BM1089">
        <v>1</v>
      </c>
      <c r="BN1089">
        <v>1</v>
      </c>
      <c r="BO1089">
        <v>1</v>
      </c>
      <c r="BP1089">
        <v>0</v>
      </c>
      <c r="BS1089">
        <v>0.04</v>
      </c>
      <c r="BT1089">
        <v>0</v>
      </c>
      <c r="BU1089">
        <v>0</v>
      </c>
      <c r="CE1089" t="str">
        <f t="shared" si="379"/>
        <v>19:28:28.960</v>
      </c>
      <c r="CF1089">
        <v>959501144</v>
      </c>
      <c r="CS1089">
        <v>3</v>
      </c>
      <c r="CT1089">
        <v>2</v>
      </c>
      <c r="CU1089">
        <v>0</v>
      </c>
      <c r="CV1089">
        <v>2</v>
      </c>
      <c r="CW1089">
        <v>0</v>
      </c>
      <c r="CX1089">
        <v>5</v>
      </c>
      <c r="CY1089">
        <v>7</v>
      </c>
      <c r="CZ1089" t="s">
        <v>131</v>
      </c>
      <c r="DA1089">
        <v>300</v>
      </c>
      <c r="DB1089">
        <v>0</v>
      </c>
      <c r="DC1089" t="s">
        <v>176</v>
      </c>
      <c r="DD1089" t="s">
        <v>177</v>
      </c>
      <c r="DG1089">
        <v>5378270</v>
      </c>
      <c r="DI1089">
        <v>1</v>
      </c>
      <c r="DJ1089">
        <v>0</v>
      </c>
      <c r="DK1089">
        <v>1</v>
      </c>
      <c r="DL1089">
        <v>0</v>
      </c>
      <c r="DM1089">
        <v>0</v>
      </c>
      <c r="DN1089">
        <v>1</v>
      </c>
      <c r="DO1089">
        <v>0</v>
      </c>
      <c r="DP1089">
        <v>0</v>
      </c>
      <c r="DQ1089">
        <v>0</v>
      </c>
      <c r="DR1089">
        <v>0</v>
      </c>
      <c r="DS1089">
        <v>0</v>
      </c>
    </row>
    <row r="1090" spans="1:123" x14ac:dyDescent="0.3">
      <c r="A1090" t="str">
        <f>"10/04/2022 19:28:29.149"</f>
        <v>10/04/2022 19:28:29.149</v>
      </c>
      <c r="C1090" t="str">
        <f t="shared" si="376"/>
        <v>FFDFD3C0</v>
      </c>
      <c r="D1090" t="s">
        <v>141</v>
      </c>
      <c r="E1090">
        <v>4</v>
      </c>
      <c r="H1090">
        <v>4</v>
      </c>
      <c r="I1090" t="s">
        <v>142</v>
      </c>
      <c r="J1090" t="s">
        <v>138</v>
      </c>
      <c r="K1090">
        <v>0</v>
      </c>
      <c r="L1090">
        <v>3</v>
      </c>
      <c r="M1090">
        <v>0</v>
      </c>
      <c r="N1090">
        <v>2</v>
      </c>
      <c r="O1090">
        <v>0</v>
      </c>
      <c r="P1090">
        <v>1</v>
      </c>
      <c r="Q1090">
        <v>0</v>
      </c>
      <c r="S1090" t="str">
        <f t="shared" si="377"/>
        <v>19:28:28.000</v>
      </c>
      <c r="T1090" t="str">
        <f t="shared" si="377"/>
        <v>19:28:28.000</v>
      </c>
      <c r="U1090" t="str">
        <f t="shared" ref="U1090:U1153" si="380">"AC3944"</f>
        <v>AC3944</v>
      </c>
      <c r="V1090">
        <v>0</v>
      </c>
      <c r="W1090">
        <v>0</v>
      </c>
      <c r="X1090">
        <v>2</v>
      </c>
      <c r="Y1090">
        <v>0</v>
      </c>
      <c r="AA1090">
        <v>1</v>
      </c>
      <c r="AB1090">
        <v>8</v>
      </c>
      <c r="AC1090">
        <v>3</v>
      </c>
      <c r="AD1090">
        <v>0</v>
      </c>
      <c r="AE1090">
        <v>9</v>
      </c>
      <c r="AF1090" t="s">
        <v>138</v>
      </c>
      <c r="AG1090">
        <v>0</v>
      </c>
      <c r="AH1090">
        <v>3</v>
      </c>
      <c r="AI1090">
        <v>1</v>
      </c>
      <c r="AJ1090">
        <v>0</v>
      </c>
      <c r="AK1090" t="s">
        <v>445</v>
      </c>
      <c r="AL1090">
        <v>32.807236000000003</v>
      </c>
      <c r="AM1090" t="s">
        <v>446</v>
      </c>
      <c r="AN1090">
        <v>-116.92270499999999</v>
      </c>
      <c r="AO1090">
        <v>25</v>
      </c>
      <c r="AP1090">
        <v>2100</v>
      </c>
      <c r="AQ1090" t="s">
        <v>129</v>
      </c>
      <c r="AR1090">
        <v>128</v>
      </c>
      <c r="AS1090">
        <v>-16</v>
      </c>
      <c r="AT1090">
        <v>448</v>
      </c>
      <c r="BB1090">
        <v>1200</v>
      </c>
      <c r="BC1090">
        <v>1</v>
      </c>
      <c r="BD1090" t="str">
        <f t="shared" ref="BD1090:BD1153" si="381">"N887QR  "</f>
        <v xml:space="preserve">N887QR  </v>
      </c>
      <c r="BE1090">
        <v>1</v>
      </c>
      <c r="BG1090">
        <v>0</v>
      </c>
      <c r="BH1090">
        <v>0</v>
      </c>
      <c r="BI1090">
        <v>0</v>
      </c>
      <c r="BJ1090">
        <v>1750</v>
      </c>
      <c r="BK1090">
        <v>-350</v>
      </c>
      <c r="BL1090" t="s">
        <v>163</v>
      </c>
      <c r="BM1090">
        <v>1</v>
      </c>
      <c r="BN1090">
        <v>1</v>
      </c>
      <c r="BO1090">
        <v>1</v>
      </c>
      <c r="BP1090">
        <v>0</v>
      </c>
      <c r="BS1090">
        <v>0.04</v>
      </c>
      <c r="BT1090">
        <v>0</v>
      </c>
      <c r="BU1090">
        <v>0</v>
      </c>
      <c r="CE1090" t="str">
        <f t="shared" si="379"/>
        <v>19:28:28.960</v>
      </c>
      <c r="CF1090">
        <v>959501144</v>
      </c>
      <c r="CS1090">
        <v>3</v>
      </c>
      <c r="CT1090">
        <v>2</v>
      </c>
      <c r="CU1090">
        <v>0</v>
      </c>
      <c r="CV1090">
        <v>2</v>
      </c>
      <c r="CW1090">
        <v>0</v>
      </c>
      <c r="CX1090">
        <v>5</v>
      </c>
      <c r="CY1090">
        <v>7</v>
      </c>
      <c r="CZ1090" t="s">
        <v>131</v>
      </c>
      <c r="DA1090">
        <v>300</v>
      </c>
      <c r="DB1090">
        <v>0</v>
      </c>
      <c r="DC1090" t="s">
        <v>176</v>
      </c>
      <c r="DD1090" t="s">
        <v>177</v>
      </c>
      <c r="DG1090">
        <v>5378270</v>
      </c>
      <c r="DI1090">
        <v>1</v>
      </c>
      <c r="DJ1090">
        <v>0</v>
      </c>
      <c r="DK1090">
        <v>1</v>
      </c>
      <c r="DL1090">
        <v>0</v>
      </c>
      <c r="DM1090">
        <v>0</v>
      </c>
      <c r="DN1090">
        <v>1</v>
      </c>
      <c r="DO1090">
        <v>0</v>
      </c>
      <c r="DP1090">
        <v>0</v>
      </c>
      <c r="DQ1090">
        <v>0</v>
      </c>
      <c r="DR1090">
        <v>0</v>
      </c>
      <c r="DS1090">
        <v>0</v>
      </c>
    </row>
    <row r="1091" spans="1:123" x14ac:dyDescent="0.3">
      <c r="A1091" t="str">
        <f>"10/04/2022 19:28:29.149"</f>
        <v>10/04/2022 19:28:29.149</v>
      </c>
      <c r="C1091" t="str">
        <f t="shared" si="376"/>
        <v>FFDFD3C0</v>
      </c>
      <c r="D1091" t="s">
        <v>147</v>
      </c>
      <c r="E1091">
        <v>3</v>
      </c>
      <c r="H1091">
        <v>166</v>
      </c>
      <c r="I1091" t="s">
        <v>144</v>
      </c>
      <c r="J1091" t="s">
        <v>148</v>
      </c>
      <c r="K1091">
        <v>0</v>
      </c>
      <c r="L1091">
        <v>3</v>
      </c>
      <c r="M1091">
        <v>0</v>
      </c>
      <c r="N1091">
        <v>2</v>
      </c>
      <c r="O1091">
        <v>0</v>
      </c>
      <c r="P1091">
        <v>1</v>
      </c>
      <c r="Q1091">
        <v>0</v>
      </c>
      <c r="S1091" t="str">
        <f t="shared" si="377"/>
        <v>19:28:28.000</v>
      </c>
      <c r="T1091" t="str">
        <f t="shared" si="377"/>
        <v>19:28:28.000</v>
      </c>
      <c r="U1091" t="str">
        <f t="shared" si="380"/>
        <v>AC3944</v>
      </c>
      <c r="V1091">
        <v>0</v>
      </c>
      <c r="W1091">
        <v>0</v>
      </c>
      <c r="X1091">
        <v>2</v>
      </c>
      <c r="Y1091">
        <v>0</v>
      </c>
      <c r="AA1091">
        <v>1</v>
      </c>
      <c r="AB1091">
        <v>8</v>
      </c>
      <c r="AC1091">
        <v>3</v>
      </c>
      <c r="AD1091">
        <v>0</v>
      </c>
      <c r="AE1091">
        <v>9</v>
      </c>
      <c r="AF1091" t="s">
        <v>138</v>
      </c>
      <c r="AG1091">
        <v>0</v>
      </c>
      <c r="AH1091">
        <v>3</v>
      </c>
      <c r="AI1091">
        <v>1</v>
      </c>
      <c r="AJ1091">
        <v>0</v>
      </c>
      <c r="AK1091" t="s">
        <v>445</v>
      </c>
      <c r="AL1091">
        <v>32.807236000000003</v>
      </c>
      <c r="AM1091" t="s">
        <v>446</v>
      </c>
      <c r="AN1091">
        <v>-116.92270499999999</v>
      </c>
      <c r="AO1091">
        <v>25</v>
      </c>
      <c r="AP1091">
        <v>2100</v>
      </c>
      <c r="AQ1091" t="s">
        <v>129</v>
      </c>
      <c r="AR1091">
        <v>128</v>
      </c>
      <c r="AS1091">
        <v>-16</v>
      </c>
      <c r="AT1091">
        <v>448</v>
      </c>
      <c r="BB1091">
        <v>1200</v>
      </c>
      <c r="BC1091">
        <v>1</v>
      </c>
      <c r="BD1091" t="str">
        <f t="shared" si="381"/>
        <v xml:space="preserve">N887QR  </v>
      </c>
      <c r="BE1091">
        <v>1</v>
      </c>
      <c r="BG1091">
        <v>0</v>
      </c>
      <c r="BH1091">
        <v>0</v>
      </c>
      <c r="BI1091">
        <v>0</v>
      </c>
      <c r="BJ1091">
        <v>1750</v>
      </c>
      <c r="BK1091">
        <v>-350</v>
      </c>
      <c r="BL1091" t="s">
        <v>163</v>
      </c>
      <c r="BM1091">
        <v>1</v>
      </c>
      <c r="BN1091">
        <v>1</v>
      </c>
      <c r="BO1091">
        <v>1</v>
      </c>
      <c r="BP1091">
        <v>0</v>
      </c>
      <c r="BS1091">
        <v>0.04</v>
      </c>
      <c r="BT1091">
        <v>0</v>
      </c>
      <c r="BU1091">
        <v>0</v>
      </c>
      <c r="CE1091" t="str">
        <f t="shared" si="379"/>
        <v>19:28:28.960</v>
      </c>
      <c r="CF1091">
        <v>959501144</v>
      </c>
      <c r="CS1091">
        <v>3</v>
      </c>
      <c r="CT1091">
        <v>2</v>
      </c>
      <c r="CU1091">
        <v>0</v>
      </c>
      <c r="CV1091">
        <v>2</v>
      </c>
      <c r="CW1091">
        <v>0</v>
      </c>
      <c r="CX1091">
        <v>5</v>
      </c>
      <c r="CY1091">
        <v>7</v>
      </c>
      <c r="CZ1091" t="s">
        <v>131</v>
      </c>
      <c r="DA1091">
        <v>300</v>
      </c>
      <c r="DB1091">
        <v>0</v>
      </c>
      <c r="DC1091" t="s">
        <v>176</v>
      </c>
      <c r="DD1091" t="s">
        <v>177</v>
      </c>
      <c r="DG1091">
        <v>5378270</v>
      </c>
      <c r="DI1091">
        <v>1</v>
      </c>
      <c r="DJ1091">
        <v>0</v>
      </c>
      <c r="DK1091">
        <v>1</v>
      </c>
      <c r="DL1091">
        <v>0</v>
      </c>
      <c r="DM1091">
        <v>0</v>
      </c>
      <c r="DN1091">
        <v>1</v>
      </c>
      <c r="DO1091">
        <v>0</v>
      </c>
      <c r="DP1091">
        <v>0</v>
      </c>
      <c r="DQ1091">
        <v>0</v>
      </c>
      <c r="DR1091">
        <v>0</v>
      </c>
      <c r="DS1091">
        <v>0</v>
      </c>
    </row>
    <row r="1092" spans="1:123" x14ac:dyDescent="0.3">
      <c r="A1092" t="str">
        <f>"10/04/2022 19:28:29.165"</f>
        <v>10/04/2022 19:28:29.165</v>
      </c>
      <c r="C1092" t="str">
        <f t="shared" si="376"/>
        <v>FFDFD3C0</v>
      </c>
      <c r="D1092" t="s">
        <v>136</v>
      </c>
      <c r="E1092">
        <v>8</v>
      </c>
      <c r="H1092">
        <v>225</v>
      </c>
      <c r="I1092" t="s">
        <v>137</v>
      </c>
      <c r="J1092" t="s">
        <v>138</v>
      </c>
      <c r="K1092">
        <v>0</v>
      </c>
      <c r="L1092">
        <v>3</v>
      </c>
      <c r="M1092">
        <v>0</v>
      </c>
      <c r="N1092">
        <v>2</v>
      </c>
      <c r="O1092">
        <v>0</v>
      </c>
      <c r="P1092">
        <v>1</v>
      </c>
      <c r="Q1092">
        <v>0</v>
      </c>
      <c r="S1092" t="str">
        <f t="shared" si="377"/>
        <v>19:28:28.000</v>
      </c>
      <c r="T1092" t="str">
        <f t="shared" si="377"/>
        <v>19:28:28.000</v>
      </c>
      <c r="U1092" t="str">
        <f t="shared" si="380"/>
        <v>AC3944</v>
      </c>
      <c r="V1092">
        <v>0</v>
      </c>
      <c r="W1092">
        <v>0</v>
      </c>
      <c r="X1092">
        <v>2</v>
      </c>
      <c r="Y1092">
        <v>0</v>
      </c>
      <c r="AA1092">
        <v>1</v>
      </c>
      <c r="AB1092">
        <v>8</v>
      </c>
      <c r="AC1092">
        <v>3</v>
      </c>
      <c r="AD1092">
        <v>0</v>
      </c>
      <c r="AE1092">
        <v>9</v>
      </c>
      <c r="AF1092" t="s">
        <v>138</v>
      </c>
      <c r="AG1092">
        <v>0</v>
      </c>
      <c r="AH1092">
        <v>3</v>
      </c>
      <c r="AI1092">
        <v>1</v>
      </c>
      <c r="AJ1092">
        <v>0</v>
      </c>
      <c r="AK1092" t="s">
        <v>445</v>
      </c>
      <c r="AL1092">
        <v>32.807236000000003</v>
      </c>
      <c r="AM1092" t="s">
        <v>446</v>
      </c>
      <c r="AN1092">
        <v>-116.92270499999999</v>
      </c>
      <c r="AO1092">
        <v>25</v>
      </c>
      <c r="AP1092">
        <v>2100</v>
      </c>
      <c r="AQ1092" t="s">
        <v>129</v>
      </c>
      <c r="AR1092">
        <v>128</v>
      </c>
      <c r="AS1092">
        <v>-16</v>
      </c>
      <c r="AT1092">
        <v>448</v>
      </c>
      <c r="BB1092">
        <v>1200</v>
      </c>
      <c r="BC1092">
        <v>1</v>
      </c>
      <c r="BD1092" t="str">
        <f t="shared" si="381"/>
        <v xml:space="preserve">N887QR  </v>
      </c>
      <c r="BE1092">
        <v>1</v>
      </c>
      <c r="BG1092">
        <v>0</v>
      </c>
      <c r="BH1092">
        <v>0</v>
      </c>
      <c r="BI1092">
        <v>0</v>
      </c>
      <c r="BJ1092">
        <v>1750</v>
      </c>
      <c r="BK1092">
        <v>-350</v>
      </c>
      <c r="BL1092" t="s">
        <v>163</v>
      </c>
      <c r="BM1092">
        <v>1</v>
      </c>
      <c r="BN1092">
        <v>1</v>
      </c>
      <c r="BO1092">
        <v>1</v>
      </c>
      <c r="BP1092">
        <v>0</v>
      </c>
      <c r="BS1092">
        <v>0.04</v>
      </c>
      <c r="BT1092">
        <v>0</v>
      </c>
      <c r="BU1092">
        <v>0</v>
      </c>
      <c r="CE1092" t="str">
        <f t="shared" si="379"/>
        <v>19:28:28.960</v>
      </c>
      <c r="CF1092">
        <v>959501144</v>
      </c>
      <c r="CS1092">
        <v>3</v>
      </c>
      <c r="CT1092">
        <v>2</v>
      </c>
      <c r="CU1092">
        <v>0</v>
      </c>
      <c r="CV1092">
        <v>2</v>
      </c>
      <c r="CW1092">
        <v>0</v>
      </c>
      <c r="CX1092">
        <v>5</v>
      </c>
      <c r="CY1092">
        <v>7</v>
      </c>
      <c r="CZ1092" t="s">
        <v>131</v>
      </c>
      <c r="DA1092">
        <v>300</v>
      </c>
      <c r="DB1092">
        <v>0</v>
      </c>
      <c r="DC1092" t="s">
        <v>176</v>
      </c>
      <c r="DD1092" t="s">
        <v>177</v>
      </c>
      <c r="DG1092">
        <v>5378270</v>
      </c>
      <c r="DI1092">
        <v>1</v>
      </c>
      <c r="DJ1092">
        <v>0</v>
      </c>
      <c r="DK1092">
        <v>1</v>
      </c>
      <c r="DL1092">
        <v>0</v>
      </c>
      <c r="DM1092">
        <v>0</v>
      </c>
      <c r="DN1092">
        <v>1</v>
      </c>
      <c r="DO1092">
        <v>0</v>
      </c>
      <c r="DP1092">
        <v>0</v>
      </c>
      <c r="DQ1092">
        <v>0</v>
      </c>
      <c r="DR1092">
        <v>0</v>
      </c>
      <c r="DS1092">
        <v>0</v>
      </c>
    </row>
    <row r="1093" spans="1:123" x14ac:dyDescent="0.3">
      <c r="A1093" t="str">
        <f>"10/04/2022 19:28:29.180"</f>
        <v>10/04/2022 19:28:29.180</v>
      </c>
      <c r="C1093" t="str">
        <f t="shared" si="376"/>
        <v>FFDFD3C0</v>
      </c>
      <c r="D1093" t="s">
        <v>143</v>
      </c>
      <c r="E1093">
        <v>20</v>
      </c>
      <c r="F1093">
        <v>1020</v>
      </c>
      <c r="G1093" t="s">
        <v>144</v>
      </c>
      <c r="J1093" t="s">
        <v>145</v>
      </c>
      <c r="K1093">
        <v>0</v>
      </c>
      <c r="L1093">
        <v>3</v>
      </c>
      <c r="M1093">
        <v>0</v>
      </c>
      <c r="N1093">
        <v>2</v>
      </c>
      <c r="O1093">
        <v>0</v>
      </c>
      <c r="P1093">
        <v>1</v>
      </c>
      <c r="Q1093">
        <v>0</v>
      </c>
      <c r="S1093" t="str">
        <f t="shared" si="377"/>
        <v>19:28:28.000</v>
      </c>
      <c r="T1093" t="str">
        <f t="shared" si="377"/>
        <v>19:28:28.000</v>
      </c>
      <c r="U1093" t="str">
        <f t="shared" si="380"/>
        <v>AC3944</v>
      </c>
      <c r="V1093">
        <v>0</v>
      </c>
      <c r="W1093">
        <v>0</v>
      </c>
      <c r="X1093">
        <v>2</v>
      </c>
      <c r="Y1093">
        <v>0</v>
      </c>
      <c r="AA1093">
        <v>1</v>
      </c>
      <c r="AB1093">
        <v>8</v>
      </c>
      <c r="AC1093">
        <v>3</v>
      </c>
      <c r="AD1093">
        <v>0</v>
      </c>
      <c r="AE1093">
        <v>9</v>
      </c>
      <c r="AF1093" t="s">
        <v>138</v>
      </c>
      <c r="AG1093">
        <v>0</v>
      </c>
      <c r="AH1093">
        <v>3</v>
      </c>
      <c r="AI1093">
        <v>1</v>
      </c>
      <c r="AJ1093">
        <v>0</v>
      </c>
      <c r="AK1093" t="s">
        <v>445</v>
      </c>
      <c r="AL1093">
        <v>32.807236000000003</v>
      </c>
      <c r="AM1093" t="s">
        <v>446</v>
      </c>
      <c r="AN1093">
        <v>-116.92270499999999</v>
      </c>
      <c r="AO1093">
        <v>25</v>
      </c>
      <c r="AP1093">
        <v>2100</v>
      </c>
      <c r="AQ1093" t="s">
        <v>129</v>
      </c>
      <c r="AR1093">
        <v>128</v>
      </c>
      <c r="AS1093">
        <v>-16</v>
      </c>
      <c r="AT1093">
        <v>448</v>
      </c>
      <c r="BB1093">
        <v>1200</v>
      </c>
      <c r="BC1093">
        <v>1</v>
      </c>
      <c r="BD1093" t="str">
        <f t="shared" si="381"/>
        <v xml:space="preserve">N887QR  </v>
      </c>
      <c r="BE1093">
        <v>1</v>
      </c>
      <c r="BG1093">
        <v>0</v>
      </c>
      <c r="BH1093">
        <v>0</v>
      </c>
      <c r="BI1093">
        <v>0</v>
      </c>
      <c r="BJ1093">
        <v>1750</v>
      </c>
      <c r="BK1093">
        <v>-350</v>
      </c>
      <c r="BL1093" t="s">
        <v>163</v>
      </c>
      <c r="BM1093">
        <v>1</v>
      </c>
      <c r="BN1093">
        <v>1</v>
      </c>
      <c r="BO1093">
        <v>1</v>
      </c>
      <c r="BP1093">
        <v>0</v>
      </c>
      <c r="BS1093">
        <v>0.04</v>
      </c>
      <c r="BT1093">
        <v>0</v>
      </c>
      <c r="BU1093">
        <v>0</v>
      </c>
      <c r="CE1093" t="str">
        <f t="shared" si="379"/>
        <v>19:28:28.960</v>
      </c>
      <c r="CF1093">
        <v>959501144</v>
      </c>
      <c r="CS1093">
        <v>3</v>
      </c>
      <c r="CT1093">
        <v>2</v>
      </c>
      <c r="CU1093">
        <v>0</v>
      </c>
      <c r="CV1093">
        <v>2</v>
      </c>
      <c r="CW1093">
        <v>0</v>
      </c>
      <c r="CX1093">
        <v>5</v>
      </c>
      <c r="CY1093">
        <v>7</v>
      </c>
      <c r="CZ1093" t="s">
        <v>131</v>
      </c>
      <c r="DA1093">
        <v>300</v>
      </c>
      <c r="DB1093">
        <v>0</v>
      </c>
      <c r="DC1093" t="s">
        <v>176</v>
      </c>
      <c r="DD1093" t="s">
        <v>177</v>
      </c>
      <c r="DG1093">
        <v>5378270</v>
      </c>
      <c r="DI1093">
        <v>1</v>
      </c>
      <c r="DJ1093">
        <v>0</v>
      </c>
      <c r="DK1093">
        <v>1</v>
      </c>
      <c r="DL1093">
        <v>0</v>
      </c>
      <c r="DM1093">
        <v>0</v>
      </c>
      <c r="DN1093">
        <v>1</v>
      </c>
      <c r="DO1093">
        <v>0</v>
      </c>
      <c r="DP1093">
        <v>0</v>
      </c>
      <c r="DQ1093">
        <v>0</v>
      </c>
      <c r="DR1093">
        <v>0</v>
      </c>
      <c r="DS1093">
        <v>0</v>
      </c>
    </row>
    <row r="1094" spans="1:123" x14ac:dyDescent="0.3">
      <c r="A1094" t="str">
        <f>"10/04/2022 19:28:29.180"</f>
        <v>10/04/2022 19:28:29.180</v>
      </c>
      <c r="C1094" t="str">
        <f t="shared" si="376"/>
        <v>FFDFD3C0</v>
      </c>
      <c r="D1094" t="s">
        <v>123</v>
      </c>
      <c r="E1094">
        <v>7</v>
      </c>
      <c r="F1094">
        <v>2007</v>
      </c>
      <c r="G1094" t="s">
        <v>124</v>
      </c>
      <c r="J1094" t="s">
        <v>125</v>
      </c>
      <c r="K1094">
        <v>0</v>
      </c>
      <c r="L1094">
        <v>3</v>
      </c>
      <c r="M1094">
        <v>0</v>
      </c>
      <c r="N1094">
        <v>2</v>
      </c>
      <c r="O1094">
        <v>0</v>
      </c>
      <c r="P1094">
        <v>1</v>
      </c>
      <c r="Q1094">
        <v>0</v>
      </c>
      <c r="S1094" t="str">
        <f t="shared" si="377"/>
        <v>19:28:28.000</v>
      </c>
      <c r="T1094" t="str">
        <f t="shared" si="377"/>
        <v>19:28:28.000</v>
      </c>
      <c r="U1094" t="str">
        <f t="shared" si="380"/>
        <v>AC3944</v>
      </c>
      <c r="V1094">
        <v>0</v>
      </c>
      <c r="W1094">
        <v>0</v>
      </c>
      <c r="X1094">
        <v>2</v>
      </c>
      <c r="Y1094">
        <v>0</v>
      </c>
      <c r="AA1094">
        <v>1</v>
      </c>
      <c r="AB1094">
        <v>8</v>
      </c>
      <c r="AC1094">
        <v>3</v>
      </c>
      <c r="AD1094">
        <v>0</v>
      </c>
      <c r="AE1094">
        <v>9</v>
      </c>
      <c r="AF1094" t="s">
        <v>138</v>
      </c>
      <c r="AG1094">
        <v>0</v>
      </c>
      <c r="AH1094">
        <v>3</v>
      </c>
      <c r="AI1094">
        <v>1</v>
      </c>
      <c r="AJ1094">
        <v>0</v>
      </c>
      <c r="AK1094" t="s">
        <v>445</v>
      </c>
      <c r="AL1094">
        <v>32.807236000000003</v>
      </c>
      <c r="AM1094" t="s">
        <v>446</v>
      </c>
      <c r="AN1094">
        <v>-116.92270499999999</v>
      </c>
      <c r="AO1094">
        <v>25</v>
      </c>
      <c r="AP1094">
        <v>2100</v>
      </c>
      <c r="AQ1094" t="s">
        <v>129</v>
      </c>
      <c r="AR1094">
        <v>128</v>
      </c>
      <c r="AS1094">
        <v>-16</v>
      </c>
      <c r="AT1094">
        <v>448</v>
      </c>
      <c r="BB1094">
        <v>1200</v>
      </c>
      <c r="BC1094">
        <v>1</v>
      </c>
      <c r="BD1094" t="str">
        <f t="shared" si="381"/>
        <v xml:space="preserve">N887QR  </v>
      </c>
      <c r="BE1094">
        <v>1</v>
      </c>
      <c r="BG1094">
        <v>0</v>
      </c>
      <c r="BH1094">
        <v>0</v>
      </c>
      <c r="BI1094">
        <v>0</v>
      </c>
      <c r="BJ1094">
        <v>1750</v>
      </c>
      <c r="BK1094">
        <v>-350</v>
      </c>
      <c r="BL1094" t="s">
        <v>163</v>
      </c>
      <c r="BM1094">
        <v>1</v>
      </c>
      <c r="BN1094">
        <v>1</v>
      </c>
      <c r="BO1094">
        <v>1</v>
      </c>
      <c r="BP1094">
        <v>0</v>
      </c>
      <c r="BS1094">
        <v>0.04</v>
      </c>
      <c r="BT1094">
        <v>0</v>
      </c>
      <c r="BU1094">
        <v>0</v>
      </c>
      <c r="CE1094" t="str">
        <f t="shared" si="379"/>
        <v>19:28:28.960</v>
      </c>
      <c r="CF1094">
        <v>959501144</v>
      </c>
      <c r="CS1094">
        <v>3</v>
      </c>
      <c r="CT1094">
        <v>2</v>
      </c>
      <c r="CU1094">
        <v>0</v>
      </c>
      <c r="CV1094">
        <v>2</v>
      </c>
      <c r="CW1094">
        <v>0</v>
      </c>
      <c r="CX1094">
        <v>5</v>
      </c>
      <c r="CY1094">
        <v>7</v>
      </c>
      <c r="CZ1094" t="s">
        <v>131</v>
      </c>
      <c r="DA1094">
        <v>300</v>
      </c>
      <c r="DB1094">
        <v>0</v>
      </c>
      <c r="DC1094" t="s">
        <v>176</v>
      </c>
      <c r="DD1094" t="s">
        <v>177</v>
      </c>
      <c r="DG1094">
        <v>5378270</v>
      </c>
      <c r="DI1094">
        <v>1</v>
      </c>
      <c r="DJ1094">
        <v>0</v>
      </c>
      <c r="DK1094">
        <v>1</v>
      </c>
      <c r="DL1094">
        <v>0</v>
      </c>
      <c r="DM1094">
        <v>0</v>
      </c>
      <c r="DN1094">
        <v>1</v>
      </c>
      <c r="DO1094">
        <v>0</v>
      </c>
      <c r="DP1094">
        <v>0</v>
      </c>
      <c r="DQ1094">
        <v>0</v>
      </c>
      <c r="DR1094">
        <v>0</v>
      </c>
      <c r="DS1094">
        <v>0</v>
      </c>
    </row>
    <row r="1095" spans="1:123" x14ac:dyDescent="0.3">
      <c r="A1095" t="str">
        <f>"10/04/2022 19:28:31.305"</f>
        <v>10/04/2022 19:28:31.305</v>
      </c>
      <c r="C1095" t="str">
        <f t="shared" si="376"/>
        <v>FFDFD3C0</v>
      </c>
      <c r="D1095" t="s">
        <v>141</v>
      </c>
      <c r="E1095">
        <v>4</v>
      </c>
      <c r="H1095">
        <v>4</v>
      </c>
      <c r="I1095" t="s">
        <v>142</v>
      </c>
      <c r="J1095" t="s">
        <v>138</v>
      </c>
      <c r="K1095">
        <v>0</v>
      </c>
      <c r="L1095">
        <v>3</v>
      </c>
      <c r="M1095">
        <v>0</v>
      </c>
      <c r="N1095">
        <v>2</v>
      </c>
      <c r="O1095">
        <v>0</v>
      </c>
      <c r="P1095">
        <v>1</v>
      </c>
      <c r="Q1095">
        <v>0</v>
      </c>
      <c r="S1095" t="str">
        <f t="shared" ref="S1095:T1101" si="382">"19:28:31.000"</f>
        <v>19:28:31.000</v>
      </c>
      <c r="T1095" t="str">
        <f t="shared" si="382"/>
        <v>19:28:31.000</v>
      </c>
      <c r="U1095" t="str">
        <f t="shared" si="380"/>
        <v>AC3944</v>
      </c>
      <c r="V1095">
        <v>0</v>
      </c>
      <c r="W1095">
        <v>0</v>
      </c>
      <c r="X1095">
        <v>2</v>
      </c>
      <c r="Y1095">
        <v>0</v>
      </c>
      <c r="AA1095">
        <v>1</v>
      </c>
      <c r="AB1095">
        <v>8</v>
      </c>
      <c r="AC1095">
        <v>3</v>
      </c>
      <c r="AD1095">
        <v>0</v>
      </c>
      <c r="AE1095">
        <v>9</v>
      </c>
      <c r="AF1095" t="s">
        <v>138</v>
      </c>
      <c r="AG1095">
        <v>0</v>
      </c>
      <c r="AH1095">
        <v>3</v>
      </c>
      <c r="AI1095">
        <v>1</v>
      </c>
      <c r="AJ1095">
        <v>0</v>
      </c>
      <c r="AK1095" t="s">
        <v>447</v>
      </c>
      <c r="AL1095">
        <v>32.807107000000002</v>
      </c>
      <c r="AM1095" t="s">
        <v>448</v>
      </c>
      <c r="AN1095">
        <v>-116.92143900000001</v>
      </c>
      <c r="AO1095">
        <v>25</v>
      </c>
      <c r="AP1095">
        <v>2100</v>
      </c>
      <c r="AQ1095" t="s">
        <v>129</v>
      </c>
      <c r="AR1095">
        <v>128</v>
      </c>
      <c r="AS1095">
        <v>-15</v>
      </c>
      <c r="AT1095">
        <v>576</v>
      </c>
      <c r="BB1095">
        <v>1200</v>
      </c>
      <c r="BC1095">
        <v>1</v>
      </c>
      <c r="BD1095" t="str">
        <f t="shared" si="381"/>
        <v xml:space="preserve">N887QR  </v>
      </c>
      <c r="BE1095">
        <v>1</v>
      </c>
      <c r="BG1095">
        <v>0</v>
      </c>
      <c r="BH1095">
        <v>0</v>
      </c>
      <c r="BI1095">
        <v>0</v>
      </c>
      <c r="BJ1095">
        <v>1775</v>
      </c>
      <c r="BK1095">
        <v>-325</v>
      </c>
      <c r="BL1095" t="s">
        <v>163</v>
      </c>
      <c r="BM1095">
        <v>1</v>
      </c>
      <c r="BN1095">
        <v>1</v>
      </c>
      <c r="BO1095">
        <v>1</v>
      </c>
      <c r="BP1095">
        <v>0</v>
      </c>
      <c r="BS1095">
        <v>0.04</v>
      </c>
      <c r="BT1095">
        <v>0</v>
      </c>
      <c r="BU1095">
        <v>0</v>
      </c>
      <c r="CE1095" t="str">
        <f t="shared" ref="CE1095:CE1101" si="383">"19:28:31.141"</f>
        <v>19:28:31.141</v>
      </c>
      <c r="CF1095">
        <v>140508206</v>
      </c>
      <c r="CS1095">
        <v>3</v>
      </c>
      <c r="CT1095">
        <v>2</v>
      </c>
      <c r="CU1095">
        <v>0</v>
      </c>
      <c r="CV1095">
        <v>2</v>
      </c>
      <c r="CW1095">
        <v>0</v>
      </c>
      <c r="CX1095">
        <v>5</v>
      </c>
      <c r="CY1095">
        <v>7</v>
      </c>
      <c r="CZ1095" t="s">
        <v>131</v>
      </c>
      <c r="DA1095">
        <v>300</v>
      </c>
      <c r="DB1095">
        <v>0</v>
      </c>
      <c r="DC1095" t="s">
        <v>176</v>
      </c>
      <c r="DD1095" t="s">
        <v>177</v>
      </c>
      <c r="DG1095">
        <v>5378605</v>
      </c>
      <c r="DI1095">
        <v>1</v>
      </c>
      <c r="DJ1095">
        <v>0</v>
      </c>
      <c r="DK1095">
        <v>0</v>
      </c>
      <c r="DL1095">
        <v>0</v>
      </c>
      <c r="DM1095">
        <v>0</v>
      </c>
      <c r="DN1095">
        <v>1</v>
      </c>
      <c r="DO1095">
        <v>0</v>
      </c>
      <c r="DP1095">
        <v>0</v>
      </c>
      <c r="DQ1095">
        <v>0</v>
      </c>
      <c r="DR1095">
        <v>0</v>
      </c>
      <c r="DS1095">
        <v>0</v>
      </c>
    </row>
    <row r="1096" spans="1:123" x14ac:dyDescent="0.3">
      <c r="A1096" t="str">
        <f>"10/04/2022 19:28:31.321"</f>
        <v>10/04/2022 19:28:31.321</v>
      </c>
      <c r="C1096" t="str">
        <f t="shared" si="376"/>
        <v>FFDFD3C0</v>
      </c>
      <c r="D1096" t="s">
        <v>141</v>
      </c>
      <c r="E1096">
        <v>3</v>
      </c>
      <c r="H1096">
        <v>3</v>
      </c>
      <c r="I1096" t="s">
        <v>146</v>
      </c>
      <c r="J1096" t="s">
        <v>138</v>
      </c>
      <c r="K1096">
        <v>0</v>
      </c>
      <c r="L1096">
        <v>3</v>
      </c>
      <c r="M1096">
        <v>0</v>
      </c>
      <c r="N1096">
        <v>2</v>
      </c>
      <c r="O1096">
        <v>0</v>
      </c>
      <c r="P1096">
        <v>1</v>
      </c>
      <c r="Q1096">
        <v>0</v>
      </c>
      <c r="S1096" t="str">
        <f t="shared" si="382"/>
        <v>19:28:31.000</v>
      </c>
      <c r="T1096" t="str">
        <f t="shared" si="382"/>
        <v>19:28:31.000</v>
      </c>
      <c r="U1096" t="str">
        <f t="shared" si="380"/>
        <v>AC3944</v>
      </c>
      <c r="V1096">
        <v>0</v>
      </c>
      <c r="W1096">
        <v>0</v>
      </c>
      <c r="X1096">
        <v>2</v>
      </c>
      <c r="Y1096">
        <v>0</v>
      </c>
      <c r="AA1096">
        <v>1</v>
      </c>
      <c r="AB1096">
        <v>8</v>
      </c>
      <c r="AC1096">
        <v>3</v>
      </c>
      <c r="AD1096">
        <v>0</v>
      </c>
      <c r="AE1096">
        <v>9</v>
      </c>
      <c r="AF1096" t="s">
        <v>138</v>
      </c>
      <c r="AG1096">
        <v>0</v>
      </c>
      <c r="AH1096">
        <v>3</v>
      </c>
      <c r="AI1096">
        <v>1</v>
      </c>
      <c r="AJ1096">
        <v>0</v>
      </c>
      <c r="AK1096" t="s">
        <v>447</v>
      </c>
      <c r="AL1096">
        <v>32.807107000000002</v>
      </c>
      <c r="AM1096" t="s">
        <v>448</v>
      </c>
      <c r="AN1096">
        <v>-116.92143900000001</v>
      </c>
      <c r="AO1096">
        <v>25</v>
      </c>
      <c r="AP1096">
        <v>2100</v>
      </c>
      <c r="AQ1096" t="s">
        <v>129</v>
      </c>
      <c r="AR1096">
        <v>128</v>
      </c>
      <c r="AS1096">
        <v>-15</v>
      </c>
      <c r="AT1096">
        <v>576</v>
      </c>
      <c r="BB1096">
        <v>1200</v>
      </c>
      <c r="BC1096">
        <v>1</v>
      </c>
      <c r="BD1096" t="str">
        <f t="shared" si="381"/>
        <v xml:space="preserve">N887QR  </v>
      </c>
      <c r="BE1096">
        <v>1</v>
      </c>
      <c r="BG1096">
        <v>0</v>
      </c>
      <c r="BH1096">
        <v>0</v>
      </c>
      <c r="BI1096">
        <v>0</v>
      </c>
      <c r="BJ1096">
        <v>1775</v>
      </c>
      <c r="BK1096">
        <v>-325</v>
      </c>
      <c r="BL1096" t="s">
        <v>163</v>
      </c>
      <c r="BM1096">
        <v>1</v>
      </c>
      <c r="BN1096">
        <v>1</v>
      </c>
      <c r="BO1096">
        <v>1</v>
      </c>
      <c r="BP1096">
        <v>0</v>
      </c>
      <c r="BS1096">
        <v>0.04</v>
      </c>
      <c r="BT1096">
        <v>0</v>
      </c>
      <c r="BU1096">
        <v>0</v>
      </c>
      <c r="CE1096" t="str">
        <f t="shared" si="383"/>
        <v>19:28:31.141</v>
      </c>
      <c r="CF1096">
        <v>140508206</v>
      </c>
      <c r="CS1096">
        <v>3</v>
      </c>
      <c r="CT1096">
        <v>2</v>
      </c>
      <c r="CU1096">
        <v>0</v>
      </c>
      <c r="CV1096">
        <v>2</v>
      </c>
      <c r="CW1096">
        <v>0</v>
      </c>
      <c r="CX1096">
        <v>5</v>
      </c>
      <c r="CY1096">
        <v>7</v>
      </c>
      <c r="CZ1096" t="s">
        <v>131</v>
      </c>
      <c r="DA1096">
        <v>300</v>
      </c>
      <c r="DB1096">
        <v>0</v>
      </c>
      <c r="DC1096" t="s">
        <v>176</v>
      </c>
      <c r="DD1096" t="s">
        <v>177</v>
      </c>
      <c r="DG1096">
        <v>5378605</v>
      </c>
      <c r="DI1096">
        <v>1</v>
      </c>
      <c r="DJ1096">
        <v>0</v>
      </c>
      <c r="DK1096">
        <v>1</v>
      </c>
      <c r="DL1096">
        <v>0</v>
      </c>
      <c r="DM1096">
        <v>0</v>
      </c>
      <c r="DN1096">
        <v>1</v>
      </c>
      <c r="DO1096">
        <v>0</v>
      </c>
      <c r="DP1096">
        <v>0</v>
      </c>
      <c r="DQ1096">
        <v>0</v>
      </c>
      <c r="DR1096">
        <v>0</v>
      </c>
      <c r="DS1096">
        <v>0</v>
      </c>
    </row>
    <row r="1097" spans="1:123" x14ac:dyDescent="0.3">
      <c r="A1097" t="str">
        <f>"10/04/2022 19:28:31.321"</f>
        <v>10/04/2022 19:28:31.321</v>
      </c>
      <c r="C1097" t="str">
        <f t="shared" si="376"/>
        <v>FFDFD3C0</v>
      </c>
      <c r="D1097" t="s">
        <v>134</v>
      </c>
      <c r="E1097">
        <v>15</v>
      </c>
      <c r="J1097" t="s">
        <v>135</v>
      </c>
      <c r="K1097">
        <v>0</v>
      </c>
      <c r="L1097">
        <v>3</v>
      </c>
      <c r="M1097">
        <v>0</v>
      </c>
      <c r="N1097">
        <v>2</v>
      </c>
      <c r="O1097">
        <v>0</v>
      </c>
      <c r="P1097">
        <v>1</v>
      </c>
      <c r="Q1097">
        <v>0</v>
      </c>
      <c r="S1097" t="str">
        <f t="shared" si="382"/>
        <v>19:28:31.000</v>
      </c>
      <c r="T1097" t="str">
        <f t="shared" si="382"/>
        <v>19:28:31.000</v>
      </c>
      <c r="U1097" t="str">
        <f t="shared" si="380"/>
        <v>AC3944</v>
      </c>
      <c r="V1097">
        <v>0</v>
      </c>
      <c r="W1097">
        <v>0</v>
      </c>
      <c r="X1097">
        <v>2</v>
      </c>
      <c r="Y1097">
        <v>0</v>
      </c>
      <c r="AA1097">
        <v>1</v>
      </c>
      <c r="AB1097">
        <v>8</v>
      </c>
      <c r="AC1097">
        <v>3</v>
      </c>
      <c r="AD1097">
        <v>0</v>
      </c>
      <c r="AE1097">
        <v>9</v>
      </c>
      <c r="AF1097" t="s">
        <v>138</v>
      </c>
      <c r="AG1097">
        <v>0</v>
      </c>
      <c r="AH1097">
        <v>3</v>
      </c>
      <c r="AI1097">
        <v>1</v>
      </c>
      <c r="AJ1097">
        <v>0</v>
      </c>
      <c r="AK1097" t="s">
        <v>447</v>
      </c>
      <c r="AL1097">
        <v>32.807107000000002</v>
      </c>
      <c r="AM1097" t="s">
        <v>448</v>
      </c>
      <c r="AN1097">
        <v>-116.92143900000001</v>
      </c>
      <c r="AO1097">
        <v>25</v>
      </c>
      <c r="AP1097">
        <v>2100</v>
      </c>
      <c r="AQ1097" t="s">
        <v>129</v>
      </c>
      <c r="AR1097">
        <v>128</v>
      </c>
      <c r="AS1097">
        <v>-15</v>
      </c>
      <c r="AT1097">
        <v>576</v>
      </c>
      <c r="BB1097">
        <v>1200</v>
      </c>
      <c r="BC1097">
        <v>1</v>
      </c>
      <c r="BD1097" t="str">
        <f t="shared" si="381"/>
        <v xml:space="preserve">N887QR  </v>
      </c>
      <c r="BE1097">
        <v>1</v>
      </c>
      <c r="BG1097">
        <v>0</v>
      </c>
      <c r="BH1097">
        <v>0</v>
      </c>
      <c r="BI1097">
        <v>0</v>
      </c>
      <c r="BJ1097">
        <v>1775</v>
      </c>
      <c r="BK1097">
        <v>-325</v>
      </c>
      <c r="BL1097" t="s">
        <v>163</v>
      </c>
      <c r="BM1097">
        <v>1</v>
      </c>
      <c r="BN1097">
        <v>1</v>
      </c>
      <c r="BO1097">
        <v>1</v>
      </c>
      <c r="BP1097">
        <v>0</v>
      </c>
      <c r="BS1097">
        <v>0.04</v>
      </c>
      <c r="BT1097">
        <v>0</v>
      </c>
      <c r="BU1097">
        <v>0</v>
      </c>
      <c r="CE1097" t="str">
        <f t="shared" si="383"/>
        <v>19:28:31.141</v>
      </c>
      <c r="CF1097">
        <v>141147216</v>
      </c>
      <c r="CS1097">
        <v>3</v>
      </c>
      <c r="CT1097">
        <v>2</v>
      </c>
      <c r="CU1097">
        <v>0</v>
      </c>
      <c r="CV1097">
        <v>2</v>
      </c>
      <c r="CW1097">
        <v>0</v>
      </c>
      <c r="CX1097">
        <v>5</v>
      </c>
      <c r="CY1097">
        <v>7</v>
      </c>
      <c r="CZ1097" t="s">
        <v>131</v>
      </c>
      <c r="DA1097">
        <v>292</v>
      </c>
      <c r="DB1097">
        <v>0</v>
      </c>
      <c r="DC1097" t="s">
        <v>254</v>
      </c>
      <c r="DD1097" t="s">
        <v>255</v>
      </c>
      <c r="DG1097">
        <v>3377190</v>
      </c>
      <c r="DI1097">
        <v>1</v>
      </c>
      <c r="DJ1097">
        <v>0</v>
      </c>
      <c r="DK1097">
        <v>1</v>
      </c>
      <c r="DL1097">
        <v>0</v>
      </c>
      <c r="DM1097">
        <v>0</v>
      </c>
      <c r="DN1097">
        <v>1</v>
      </c>
      <c r="DO1097">
        <v>0</v>
      </c>
      <c r="DP1097">
        <v>0</v>
      </c>
      <c r="DQ1097">
        <v>0</v>
      </c>
      <c r="DR1097">
        <v>0</v>
      </c>
      <c r="DS1097">
        <v>0</v>
      </c>
    </row>
    <row r="1098" spans="1:123" x14ac:dyDescent="0.3">
      <c r="A1098" t="str">
        <f>"10/04/2022 19:28:31.337"</f>
        <v>10/04/2022 19:28:31.337</v>
      </c>
      <c r="C1098" t="str">
        <f t="shared" si="376"/>
        <v>FFDFD3C0</v>
      </c>
      <c r="D1098" t="s">
        <v>147</v>
      </c>
      <c r="E1098">
        <v>3</v>
      </c>
      <c r="H1098">
        <v>166</v>
      </c>
      <c r="I1098" t="s">
        <v>144</v>
      </c>
      <c r="J1098" t="s">
        <v>148</v>
      </c>
      <c r="K1098">
        <v>0</v>
      </c>
      <c r="L1098">
        <v>3</v>
      </c>
      <c r="M1098">
        <v>0</v>
      </c>
      <c r="N1098">
        <v>2</v>
      </c>
      <c r="O1098">
        <v>0</v>
      </c>
      <c r="P1098">
        <v>1</v>
      </c>
      <c r="Q1098">
        <v>0</v>
      </c>
      <c r="S1098" t="str">
        <f t="shared" si="382"/>
        <v>19:28:31.000</v>
      </c>
      <c r="T1098" t="str">
        <f t="shared" si="382"/>
        <v>19:28:31.000</v>
      </c>
      <c r="U1098" t="str">
        <f t="shared" si="380"/>
        <v>AC3944</v>
      </c>
      <c r="V1098">
        <v>0</v>
      </c>
      <c r="W1098">
        <v>0</v>
      </c>
      <c r="X1098">
        <v>2</v>
      </c>
      <c r="Y1098">
        <v>0</v>
      </c>
      <c r="AA1098">
        <v>1</v>
      </c>
      <c r="AB1098">
        <v>8</v>
      </c>
      <c r="AC1098">
        <v>3</v>
      </c>
      <c r="AD1098">
        <v>0</v>
      </c>
      <c r="AE1098">
        <v>9</v>
      </c>
      <c r="AF1098" t="s">
        <v>138</v>
      </c>
      <c r="AG1098">
        <v>0</v>
      </c>
      <c r="AH1098">
        <v>3</v>
      </c>
      <c r="AI1098">
        <v>1</v>
      </c>
      <c r="AJ1098">
        <v>0</v>
      </c>
      <c r="AK1098" t="s">
        <v>447</v>
      </c>
      <c r="AL1098">
        <v>32.807107000000002</v>
      </c>
      <c r="AM1098" t="s">
        <v>448</v>
      </c>
      <c r="AN1098">
        <v>-116.92143900000001</v>
      </c>
      <c r="AO1098">
        <v>25</v>
      </c>
      <c r="AP1098">
        <v>2100</v>
      </c>
      <c r="AQ1098" t="s">
        <v>129</v>
      </c>
      <c r="AR1098">
        <v>128</v>
      </c>
      <c r="AS1098">
        <v>-15</v>
      </c>
      <c r="AT1098">
        <v>576</v>
      </c>
      <c r="BB1098">
        <v>1200</v>
      </c>
      <c r="BC1098">
        <v>1</v>
      </c>
      <c r="BD1098" t="str">
        <f t="shared" si="381"/>
        <v xml:space="preserve">N887QR  </v>
      </c>
      <c r="BE1098">
        <v>1</v>
      </c>
      <c r="BG1098">
        <v>0</v>
      </c>
      <c r="BH1098">
        <v>0</v>
      </c>
      <c r="BI1098">
        <v>0</v>
      </c>
      <c r="BJ1098">
        <v>1775</v>
      </c>
      <c r="BK1098">
        <v>-325</v>
      </c>
      <c r="BL1098" t="s">
        <v>163</v>
      </c>
      <c r="BM1098">
        <v>1</v>
      </c>
      <c r="BN1098">
        <v>1</v>
      </c>
      <c r="BO1098">
        <v>1</v>
      </c>
      <c r="BP1098">
        <v>0</v>
      </c>
      <c r="BS1098">
        <v>0.04</v>
      </c>
      <c r="BT1098">
        <v>0</v>
      </c>
      <c r="BU1098">
        <v>0</v>
      </c>
      <c r="CE1098" t="str">
        <f t="shared" si="383"/>
        <v>19:28:31.141</v>
      </c>
      <c r="CF1098">
        <v>141147216</v>
      </c>
      <c r="CS1098">
        <v>3</v>
      </c>
      <c r="CT1098">
        <v>2</v>
      </c>
      <c r="CU1098">
        <v>0</v>
      </c>
      <c r="CV1098">
        <v>2</v>
      </c>
      <c r="CW1098">
        <v>0</v>
      </c>
      <c r="CX1098">
        <v>5</v>
      </c>
      <c r="CY1098">
        <v>7</v>
      </c>
      <c r="CZ1098" t="s">
        <v>131</v>
      </c>
      <c r="DA1098">
        <v>292</v>
      </c>
      <c r="DB1098">
        <v>0</v>
      </c>
      <c r="DC1098" t="s">
        <v>254</v>
      </c>
      <c r="DD1098" t="s">
        <v>255</v>
      </c>
      <c r="DG1098">
        <v>3377190</v>
      </c>
      <c r="DI1098">
        <v>1</v>
      </c>
      <c r="DJ1098">
        <v>0</v>
      </c>
      <c r="DK1098">
        <v>1</v>
      </c>
      <c r="DL1098">
        <v>0</v>
      </c>
      <c r="DM1098">
        <v>0</v>
      </c>
      <c r="DN1098">
        <v>1</v>
      </c>
      <c r="DO1098">
        <v>0</v>
      </c>
      <c r="DP1098">
        <v>0</v>
      </c>
      <c r="DQ1098">
        <v>0</v>
      </c>
      <c r="DR1098">
        <v>0</v>
      </c>
      <c r="DS1098">
        <v>0</v>
      </c>
    </row>
    <row r="1099" spans="1:123" x14ac:dyDescent="0.3">
      <c r="A1099" t="str">
        <f>"10/04/2022 19:28:31.337"</f>
        <v>10/04/2022 19:28:31.337</v>
      </c>
      <c r="C1099" t="str">
        <f t="shared" si="376"/>
        <v>FFDFD3C0</v>
      </c>
      <c r="D1099" t="s">
        <v>136</v>
      </c>
      <c r="E1099">
        <v>8</v>
      </c>
      <c r="H1099">
        <v>225</v>
      </c>
      <c r="I1099" t="s">
        <v>137</v>
      </c>
      <c r="J1099" t="s">
        <v>138</v>
      </c>
      <c r="K1099">
        <v>0</v>
      </c>
      <c r="L1099">
        <v>3</v>
      </c>
      <c r="M1099">
        <v>0</v>
      </c>
      <c r="N1099">
        <v>2</v>
      </c>
      <c r="O1099">
        <v>0</v>
      </c>
      <c r="P1099">
        <v>1</v>
      </c>
      <c r="Q1099">
        <v>0</v>
      </c>
      <c r="S1099" t="str">
        <f t="shared" si="382"/>
        <v>19:28:31.000</v>
      </c>
      <c r="T1099" t="str">
        <f t="shared" si="382"/>
        <v>19:28:31.000</v>
      </c>
      <c r="U1099" t="str">
        <f t="shared" si="380"/>
        <v>AC3944</v>
      </c>
      <c r="V1099">
        <v>0</v>
      </c>
      <c r="W1099">
        <v>0</v>
      </c>
      <c r="X1099">
        <v>2</v>
      </c>
      <c r="Y1099">
        <v>0</v>
      </c>
      <c r="AA1099">
        <v>1</v>
      </c>
      <c r="AB1099">
        <v>8</v>
      </c>
      <c r="AC1099">
        <v>3</v>
      </c>
      <c r="AD1099">
        <v>0</v>
      </c>
      <c r="AE1099">
        <v>9</v>
      </c>
      <c r="AF1099" t="s">
        <v>138</v>
      </c>
      <c r="AG1099">
        <v>0</v>
      </c>
      <c r="AH1099">
        <v>3</v>
      </c>
      <c r="AI1099">
        <v>1</v>
      </c>
      <c r="AJ1099">
        <v>0</v>
      </c>
      <c r="AK1099" t="s">
        <v>447</v>
      </c>
      <c r="AL1099">
        <v>32.807107000000002</v>
      </c>
      <c r="AM1099" t="s">
        <v>448</v>
      </c>
      <c r="AN1099">
        <v>-116.92143900000001</v>
      </c>
      <c r="AO1099">
        <v>25</v>
      </c>
      <c r="AP1099">
        <v>2100</v>
      </c>
      <c r="AQ1099" t="s">
        <v>129</v>
      </c>
      <c r="AR1099">
        <v>128</v>
      </c>
      <c r="AS1099">
        <v>-15</v>
      </c>
      <c r="AT1099">
        <v>576</v>
      </c>
      <c r="BB1099">
        <v>1200</v>
      </c>
      <c r="BC1099">
        <v>1</v>
      </c>
      <c r="BD1099" t="str">
        <f t="shared" si="381"/>
        <v xml:space="preserve">N887QR  </v>
      </c>
      <c r="BE1099">
        <v>1</v>
      </c>
      <c r="BG1099">
        <v>0</v>
      </c>
      <c r="BH1099">
        <v>0</v>
      </c>
      <c r="BI1099">
        <v>0</v>
      </c>
      <c r="BJ1099">
        <v>1775</v>
      </c>
      <c r="BK1099">
        <v>-325</v>
      </c>
      <c r="BL1099" t="s">
        <v>163</v>
      </c>
      <c r="BM1099">
        <v>1</v>
      </c>
      <c r="BN1099">
        <v>1</v>
      </c>
      <c r="BO1099">
        <v>1</v>
      </c>
      <c r="BP1099">
        <v>0</v>
      </c>
      <c r="BS1099">
        <v>0.04</v>
      </c>
      <c r="BT1099">
        <v>0</v>
      </c>
      <c r="BU1099">
        <v>0</v>
      </c>
      <c r="CE1099" t="str">
        <f t="shared" si="383"/>
        <v>19:28:31.141</v>
      </c>
      <c r="CF1099">
        <v>140508206</v>
      </c>
      <c r="CS1099">
        <v>3</v>
      </c>
      <c r="CT1099">
        <v>2</v>
      </c>
      <c r="CU1099">
        <v>0</v>
      </c>
      <c r="CV1099">
        <v>2</v>
      </c>
      <c r="CW1099">
        <v>0</v>
      </c>
      <c r="CX1099">
        <v>5</v>
      </c>
      <c r="CY1099">
        <v>7</v>
      </c>
      <c r="CZ1099" t="s">
        <v>131</v>
      </c>
      <c r="DA1099">
        <v>300</v>
      </c>
      <c r="DB1099">
        <v>0</v>
      </c>
      <c r="DC1099" t="s">
        <v>176</v>
      </c>
      <c r="DD1099" t="s">
        <v>177</v>
      </c>
      <c r="DG1099">
        <v>5378605</v>
      </c>
      <c r="DI1099">
        <v>1</v>
      </c>
      <c r="DJ1099">
        <v>0</v>
      </c>
      <c r="DK1099">
        <v>1</v>
      </c>
      <c r="DL1099">
        <v>0</v>
      </c>
      <c r="DM1099">
        <v>0</v>
      </c>
      <c r="DN1099">
        <v>1</v>
      </c>
      <c r="DO1099">
        <v>0</v>
      </c>
      <c r="DP1099">
        <v>0</v>
      </c>
      <c r="DQ1099">
        <v>0</v>
      </c>
      <c r="DR1099">
        <v>0</v>
      </c>
      <c r="DS1099">
        <v>0</v>
      </c>
    </row>
    <row r="1100" spans="1:123" x14ac:dyDescent="0.3">
      <c r="A1100" t="str">
        <f>"10/04/2022 19:28:31.352"</f>
        <v>10/04/2022 19:28:31.352</v>
      </c>
      <c r="C1100" t="str">
        <f t="shared" si="376"/>
        <v>FFDFD3C0</v>
      </c>
      <c r="D1100" t="s">
        <v>143</v>
      </c>
      <c r="E1100">
        <v>20</v>
      </c>
      <c r="F1100">
        <v>1020</v>
      </c>
      <c r="G1100" t="s">
        <v>144</v>
      </c>
      <c r="J1100" t="s">
        <v>145</v>
      </c>
      <c r="K1100">
        <v>0</v>
      </c>
      <c r="L1100">
        <v>3</v>
      </c>
      <c r="M1100">
        <v>0</v>
      </c>
      <c r="N1100">
        <v>2</v>
      </c>
      <c r="O1100">
        <v>0</v>
      </c>
      <c r="P1100">
        <v>1</v>
      </c>
      <c r="Q1100">
        <v>0</v>
      </c>
      <c r="S1100" t="str">
        <f t="shared" si="382"/>
        <v>19:28:31.000</v>
      </c>
      <c r="T1100" t="str">
        <f t="shared" si="382"/>
        <v>19:28:31.000</v>
      </c>
      <c r="U1100" t="str">
        <f t="shared" si="380"/>
        <v>AC3944</v>
      </c>
      <c r="V1100">
        <v>0</v>
      </c>
      <c r="W1100">
        <v>0</v>
      </c>
      <c r="X1100">
        <v>2</v>
      </c>
      <c r="Y1100">
        <v>0</v>
      </c>
      <c r="AA1100">
        <v>1</v>
      </c>
      <c r="AB1100">
        <v>8</v>
      </c>
      <c r="AC1100">
        <v>3</v>
      </c>
      <c r="AD1100">
        <v>0</v>
      </c>
      <c r="AE1100">
        <v>9</v>
      </c>
      <c r="AF1100" t="s">
        <v>138</v>
      </c>
      <c r="AG1100">
        <v>0</v>
      </c>
      <c r="AH1100">
        <v>3</v>
      </c>
      <c r="AI1100">
        <v>1</v>
      </c>
      <c r="AJ1100">
        <v>0</v>
      </c>
      <c r="AK1100" t="s">
        <v>447</v>
      </c>
      <c r="AL1100">
        <v>32.807107000000002</v>
      </c>
      <c r="AM1100" t="s">
        <v>448</v>
      </c>
      <c r="AN1100">
        <v>-116.92143900000001</v>
      </c>
      <c r="AO1100">
        <v>25</v>
      </c>
      <c r="AP1100">
        <v>2100</v>
      </c>
      <c r="AQ1100" t="s">
        <v>129</v>
      </c>
      <c r="AR1100">
        <v>128</v>
      </c>
      <c r="AS1100">
        <v>-15</v>
      </c>
      <c r="AT1100">
        <v>576</v>
      </c>
      <c r="BB1100">
        <v>1200</v>
      </c>
      <c r="BC1100">
        <v>1</v>
      </c>
      <c r="BD1100" t="str">
        <f t="shared" si="381"/>
        <v xml:space="preserve">N887QR  </v>
      </c>
      <c r="BE1100">
        <v>1</v>
      </c>
      <c r="BG1100">
        <v>0</v>
      </c>
      <c r="BH1100">
        <v>0</v>
      </c>
      <c r="BI1100">
        <v>0</v>
      </c>
      <c r="BJ1100">
        <v>1775</v>
      </c>
      <c r="BK1100">
        <v>-325</v>
      </c>
      <c r="BL1100" t="s">
        <v>163</v>
      </c>
      <c r="BM1100">
        <v>1</v>
      </c>
      <c r="BN1100">
        <v>1</v>
      </c>
      <c r="BO1100">
        <v>1</v>
      </c>
      <c r="BP1100">
        <v>0</v>
      </c>
      <c r="BS1100">
        <v>0.04</v>
      </c>
      <c r="BT1100">
        <v>0</v>
      </c>
      <c r="BU1100">
        <v>0</v>
      </c>
      <c r="CE1100" t="str">
        <f t="shared" si="383"/>
        <v>19:28:31.141</v>
      </c>
      <c r="CF1100">
        <v>141147216</v>
      </c>
      <c r="CS1100">
        <v>3</v>
      </c>
      <c r="CT1100">
        <v>2</v>
      </c>
      <c r="CU1100">
        <v>0</v>
      </c>
      <c r="CV1100">
        <v>2</v>
      </c>
      <c r="CW1100">
        <v>0</v>
      </c>
      <c r="CX1100">
        <v>5</v>
      </c>
      <c r="CY1100">
        <v>7</v>
      </c>
      <c r="CZ1100" t="s">
        <v>131</v>
      </c>
      <c r="DA1100">
        <v>292</v>
      </c>
      <c r="DB1100">
        <v>0</v>
      </c>
      <c r="DC1100" t="s">
        <v>254</v>
      </c>
      <c r="DD1100" t="s">
        <v>255</v>
      </c>
      <c r="DG1100">
        <v>3377190</v>
      </c>
      <c r="DI1100">
        <v>1</v>
      </c>
      <c r="DJ1100">
        <v>0</v>
      </c>
      <c r="DK1100">
        <v>1</v>
      </c>
      <c r="DL1100">
        <v>0</v>
      </c>
      <c r="DM1100">
        <v>0</v>
      </c>
      <c r="DN1100">
        <v>1</v>
      </c>
      <c r="DO1100">
        <v>0</v>
      </c>
      <c r="DP1100">
        <v>0</v>
      </c>
      <c r="DQ1100">
        <v>0</v>
      </c>
      <c r="DR1100">
        <v>0</v>
      </c>
      <c r="DS1100">
        <v>0</v>
      </c>
    </row>
    <row r="1101" spans="1:123" x14ac:dyDescent="0.3">
      <c r="A1101" t="str">
        <f>"10/04/2022 19:28:31.352"</f>
        <v>10/04/2022 19:28:31.352</v>
      </c>
      <c r="C1101" t="str">
        <f t="shared" si="376"/>
        <v>FFDFD3C0</v>
      </c>
      <c r="D1101" t="s">
        <v>123</v>
      </c>
      <c r="E1101">
        <v>7</v>
      </c>
      <c r="F1101">
        <v>2007</v>
      </c>
      <c r="G1101" t="s">
        <v>124</v>
      </c>
      <c r="J1101" t="s">
        <v>125</v>
      </c>
      <c r="K1101">
        <v>0</v>
      </c>
      <c r="L1101">
        <v>3</v>
      </c>
      <c r="M1101">
        <v>0</v>
      </c>
      <c r="N1101">
        <v>2</v>
      </c>
      <c r="O1101">
        <v>0</v>
      </c>
      <c r="P1101">
        <v>1</v>
      </c>
      <c r="Q1101">
        <v>0</v>
      </c>
      <c r="S1101" t="str">
        <f t="shared" si="382"/>
        <v>19:28:31.000</v>
      </c>
      <c r="T1101" t="str">
        <f t="shared" si="382"/>
        <v>19:28:31.000</v>
      </c>
      <c r="U1101" t="str">
        <f t="shared" si="380"/>
        <v>AC3944</v>
      </c>
      <c r="V1101">
        <v>0</v>
      </c>
      <c r="W1101">
        <v>0</v>
      </c>
      <c r="X1101">
        <v>2</v>
      </c>
      <c r="Y1101">
        <v>0</v>
      </c>
      <c r="AA1101">
        <v>1</v>
      </c>
      <c r="AB1101">
        <v>8</v>
      </c>
      <c r="AC1101">
        <v>3</v>
      </c>
      <c r="AD1101">
        <v>0</v>
      </c>
      <c r="AE1101">
        <v>9</v>
      </c>
      <c r="AF1101" t="s">
        <v>138</v>
      </c>
      <c r="AG1101">
        <v>0</v>
      </c>
      <c r="AH1101">
        <v>3</v>
      </c>
      <c r="AI1101">
        <v>1</v>
      </c>
      <c r="AJ1101">
        <v>0</v>
      </c>
      <c r="AK1101" t="s">
        <v>447</v>
      </c>
      <c r="AL1101">
        <v>32.807107000000002</v>
      </c>
      <c r="AM1101" t="s">
        <v>448</v>
      </c>
      <c r="AN1101">
        <v>-116.92143900000001</v>
      </c>
      <c r="AO1101">
        <v>25</v>
      </c>
      <c r="AP1101">
        <v>2100</v>
      </c>
      <c r="AQ1101" t="s">
        <v>129</v>
      </c>
      <c r="AR1101">
        <v>128</v>
      </c>
      <c r="AS1101">
        <v>-15</v>
      </c>
      <c r="AT1101">
        <v>576</v>
      </c>
      <c r="BB1101">
        <v>1200</v>
      </c>
      <c r="BC1101">
        <v>1</v>
      </c>
      <c r="BD1101" t="str">
        <f t="shared" si="381"/>
        <v xml:space="preserve">N887QR  </v>
      </c>
      <c r="BE1101">
        <v>1</v>
      </c>
      <c r="BG1101">
        <v>0</v>
      </c>
      <c r="BH1101">
        <v>0</v>
      </c>
      <c r="BI1101">
        <v>0</v>
      </c>
      <c r="BJ1101">
        <v>1775</v>
      </c>
      <c r="BK1101">
        <v>-325</v>
      </c>
      <c r="BL1101" t="s">
        <v>163</v>
      </c>
      <c r="BM1101">
        <v>1</v>
      </c>
      <c r="BN1101">
        <v>1</v>
      </c>
      <c r="BO1101">
        <v>1</v>
      </c>
      <c r="BP1101">
        <v>0</v>
      </c>
      <c r="BS1101">
        <v>0.04</v>
      </c>
      <c r="BT1101">
        <v>0</v>
      </c>
      <c r="BU1101">
        <v>0</v>
      </c>
      <c r="CE1101" t="str">
        <f t="shared" si="383"/>
        <v>19:28:31.141</v>
      </c>
      <c r="CF1101">
        <v>141147216</v>
      </c>
      <c r="CS1101">
        <v>3</v>
      </c>
      <c r="CT1101">
        <v>2</v>
      </c>
      <c r="CU1101">
        <v>0</v>
      </c>
      <c r="CV1101">
        <v>2</v>
      </c>
      <c r="CW1101">
        <v>0</v>
      </c>
      <c r="CX1101">
        <v>5</v>
      </c>
      <c r="CY1101">
        <v>7</v>
      </c>
      <c r="CZ1101" t="s">
        <v>131</v>
      </c>
      <c r="DA1101">
        <v>292</v>
      </c>
      <c r="DB1101">
        <v>0</v>
      </c>
      <c r="DC1101" t="s">
        <v>254</v>
      </c>
      <c r="DD1101" t="s">
        <v>255</v>
      </c>
      <c r="DG1101">
        <v>3377190</v>
      </c>
      <c r="DI1101">
        <v>1</v>
      </c>
      <c r="DJ1101">
        <v>0</v>
      </c>
      <c r="DK1101">
        <v>1</v>
      </c>
      <c r="DL1101">
        <v>0</v>
      </c>
      <c r="DM1101">
        <v>0</v>
      </c>
      <c r="DN1101">
        <v>1</v>
      </c>
      <c r="DO1101">
        <v>0</v>
      </c>
      <c r="DP1101">
        <v>0</v>
      </c>
      <c r="DQ1101">
        <v>0</v>
      </c>
      <c r="DR1101">
        <v>0</v>
      </c>
      <c r="DS1101">
        <v>0</v>
      </c>
    </row>
    <row r="1102" spans="1:123" x14ac:dyDescent="0.3">
      <c r="A1102" t="str">
        <f>"10/04/2022 19:28:32.446"</f>
        <v>10/04/2022 19:28:32.446</v>
      </c>
      <c r="C1102" t="str">
        <f t="shared" si="376"/>
        <v>FFDFD3C0</v>
      </c>
      <c r="D1102" t="s">
        <v>141</v>
      </c>
      <c r="E1102">
        <v>3</v>
      </c>
      <c r="H1102">
        <v>3</v>
      </c>
      <c r="I1102" t="s">
        <v>146</v>
      </c>
      <c r="J1102" t="s">
        <v>138</v>
      </c>
      <c r="K1102">
        <v>0</v>
      </c>
      <c r="L1102">
        <v>3</v>
      </c>
      <c r="M1102">
        <v>0</v>
      </c>
      <c r="N1102">
        <v>2</v>
      </c>
      <c r="O1102">
        <v>0</v>
      </c>
      <c r="P1102">
        <v>1</v>
      </c>
      <c r="Q1102">
        <v>0</v>
      </c>
      <c r="S1102" t="str">
        <f t="shared" ref="S1102:T1108" si="384">"19:28:32.000"</f>
        <v>19:28:32.000</v>
      </c>
      <c r="T1102" t="str">
        <f t="shared" si="384"/>
        <v>19:28:32.000</v>
      </c>
      <c r="U1102" t="str">
        <f t="shared" si="380"/>
        <v>AC3944</v>
      </c>
      <c r="V1102">
        <v>0</v>
      </c>
      <c r="W1102">
        <v>0</v>
      </c>
      <c r="X1102">
        <v>2</v>
      </c>
      <c r="Y1102">
        <v>0</v>
      </c>
      <c r="AA1102">
        <v>1</v>
      </c>
      <c r="AB1102">
        <v>8</v>
      </c>
      <c r="AC1102">
        <v>3</v>
      </c>
      <c r="AD1102">
        <v>0</v>
      </c>
      <c r="AE1102">
        <v>9</v>
      </c>
      <c r="AF1102" t="s">
        <v>138</v>
      </c>
      <c r="AG1102">
        <v>0</v>
      </c>
      <c r="AH1102">
        <v>3</v>
      </c>
      <c r="AI1102">
        <v>1</v>
      </c>
      <c r="AJ1102">
        <v>0</v>
      </c>
      <c r="AK1102" t="s">
        <v>449</v>
      </c>
      <c r="AL1102">
        <v>32.807020999999999</v>
      </c>
      <c r="AM1102" t="s">
        <v>450</v>
      </c>
      <c r="AN1102">
        <v>-116.920581</v>
      </c>
      <c r="AO1102">
        <v>25</v>
      </c>
      <c r="AP1102">
        <v>2100</v>
      </c>
      <c r="AQ1102" t="s">
        <v>129</v>
      </c>
      <c r="AR1102">
        <v>127</v>
      </c>
      <c r="AS1102">
        <v>-16</v>
      </c>
      <c r="AT1102">
        <v>640</v>
      </c>
      <c r="BB1102">
        <v>1200</v>
      </c>
      <c r="BC1102">
        <v>1</v>
      </c>
      <c r="BD1102" t="str">
        <f t="shared" si="381"/>
        <v xml:space="preserve">N887QR  </v>
      </c>
      <c r="BE1102">
        <v>1</v>
      </c>
      <c r="BG1102">
        <v>0</v>
      </c>
      <c r="BH1102">
        <v>0</v>
      </c>
      <c r="BI1102">
        <v>0</v>
      </c>
      <c r="BJ1102">
        <v>1800</v>
      </c>
      <c r="BK1102">
        <v>-300</v>
      </c>
      <c r="BL1102" t="s">
        <v>163</v>
      </c>
      <c r="BM1102">
        <v>1</v>
      </c>
      <c r="BN1102">
        <v>1</v>
      </c>
      <c r="BO1102">
        <v>1</v>
      </c>
      <c r="BP1102">
        <v>0</v>
      </c>
      <c r="BS1102">
        <v>0.04</v>
      </c>
      <c r="BT1102">
        <v>0</v>
      </c>
      <c r="BU1102">
        <v>0</v>
      </c>
      <c r="CE1102" t="str">
        <f t="shared" ref="CE1102:CE1108" si="385">"19:28:32.261"</f>
        <v>19:28:32.261</v>
      </c>
      <c r="CF1102">
        <v>261011880</v>
      </c>
      <c r="CS1102">
        <v>3</v>
      </c>
      <c r="CT1102">
        <v>2</v>
      </c>
      <c r="CU1102">
        <v>0</v>
      </c>
      <c r="CV1102">
        <v>2</v>
      </c>
      <c r="CW1102">
        <v>0</v>
      </c>
      <c r="CX1102">
        <v>5</v>
      </c>
      <c r="CY1102">
        <v>7</v>
      </c>
      <c r="CZ1102" t="s">
        <v>131</v>
      </c>
      <c r="DA1102">
        <v>300</v>
      </c>
      <c r="DB1102">
        <v>0</v>
      </c>
      <c r="DC1102" t="s">
        <v>176</v>
      </c>
      <c r="DD1102" t="s">
        <v>177</v>
      </c>
      <c r="DG1102">
        <v>5378792</v>
      </c>
      <c r="DI1102">
        <v>1</v>
      </c>
      <c r="DJ1102">
        <v>0</v>
      </c>
      <c r="DK1102">
        <v>0</v>
      </c>
      <c r="DL1102">
        <v>0</v>
      </c>
      <c r="DM1102">
        <v>0</v>
      </c>
      <c r="DN1102">
        <v>1</v>
      </c>
      <c r="DO1102">
        <v>0</v>
      </c>
      <c r="DP1102">
        <v>0</v>
      </c>
      <c r="DQ1102">
        <v>0</v>
      </c>
      <c r="DR1102">
        <v>0</v>
      </c>
      <c r="DS1102">
        <v>0</v>
      </c>
    </row>
    <row r="1103" spans="1:123" x14ac:dyDescent="0.3">
      <c r="A1103" t="str">
        <f>"10/04/2022 19:28:32.446"</f>
        <v>10/04/2022 19:28:32.446</v>
      </c>
      <c r="C1103" t="str">
        <f t="shared" si="376"/>
        <v>FFDFD3C0</v>
      </c>
      <c r="D1103" t="s">
        <v>134</v>
      </c>
      <c r="E1103">
        <v>15</v>
      </c>
      <c r="J1103" t="s">
        <v>135</v>
      </c>
      <c r="K1103">
        <v>0</v>
      </c>
      <c r="L1103">
        <v>3</v>
      </c>
      <c r="M1103">
        <v>0</v>
      </c>
      <c r="N1103">
        <v>2</v>
      </c>
      <c r="O1103">
        <v>0</v>
      </c>
      <c r="P1103">
        <v>1</v>
      </c>
      <c r="Q1103">
        <v>0</v>
      </c>
      <c r="S1103" t="str">
        <f t="shared" si="384"/>
        <v>19:28:32.000</v>
      </c>
      <c r="T1103" t="str">
        <f t="shared" si="384"/>
        <v>19:28:32.000</v>
      </c>
      <c r="U1103" t="str">
        <f t="shared" si="380"/>
        <v>AC3944</v>
      </c>
      <c r="V1103">
        <v>0</v>
      </c>
      <c r="W1103">
        <v>0</v>
      </c>
      <c r="X1103">
        <v>2</v>
      </c>
      <c r="Y1103">
        <v>0</v>
      </c>
      <c r="AA1103">
        <v>1</v>
      </c>
      <c r="AB1103">
        <v>8</v>
      </c>
      <c r="AC1103">
        <v>3</v>
      </c>
      <c r="AD1103">
        <v>0</v>
      </c>
      <c r="AE1103">
        <v>9</v>
      </c>
      <c r="AF1103" t="s">
        <v>138</v>
      </c>
      <c r="AG1103">
        <v>0</v>
      </c>
      <c r="AH1103">
        <v>3</v>
      </c>
      <c r="AI1103">
        <v>1</v>
      </c>
      <c r="AJ1103">
        <v>0</v>
      </c>
      <c r="AK1103" t="s">
        <v>449</v>
      </c>
      <c r="AL1103">
        <v>32.807020999999999</v>
      </c>
      <c r="AM1103" t="s">
        <v>450</v>
      </c>
      <c r="AN1103">
        <v>-116.920581</v>
      </c>
      <c r="AO1103">
        <v>25</v>
      </c>
      <c r="AP1103">
        <v>2100</v>
      </c>
      <c r="AQ1103" t="s">
        <v>129</v>
      </c>
      <c r="AR1103">
        <v>127</v>
      </c>
      <c r="AS1103">
        <v>-16</v>
      </c>
      <c r="AT1103">
        <v>640</v>
      </c>
      <c r="BB1103">
        <v>1200</v>
      </c>
      <c r="BC1103">
        <v>1</v>
      </c>
      <c r="BD1103" t="str">
        <f t="shared" si="381"/>
        <v xml:space="preserve">N887QR  </v>
      </c>
      <c r="BE1103">
        <v>1</v>
      </c>
      <c r="BG1103">
        <v>0</v>
      </c>
      <c r="BH1103">
        <v>0</v>
      </c>
      <c r="BI1103">
        <v>0</v>
      </c>
      <c r="BJ1103">
        <v>1800</v>
      </c>
      <c r="BK1103">
        <v>-300</v>
      </c>
      <c r="BL1103" t="s">
        <v>163</v>
      </c>
      <c r="BM1103">
        <v>1</v>
      </c>
      <c r="BN1103">
        <v>1</v>
      </c>
      <c r="BO1103">
        <v>1</v>
      </c>
      <c r="BP1103">
        <v>0</v>
      </c>
      <c r="BS1103">
        <v>0.04</v>
      </c>
      <c r="BT1103">
        <v>0</v>
      </c>
      <c r="BU1103">
        <v>0</v>
      </c>
      <c r="CE1103" t="str">
        <f t="shared" si="385"/>
        <v>19:28:32.261</v>
      </c>
      <c r="CF1103">
        <v>261011880</v>
      </c>
      <c r="CS1103">
        <v>3</v>
      </c>
      <c r="CT1103">
        <v>2</v>
      </c>
      <c r="CU1103">
        <v>0</v>
      </c>
      <c r="CV1103">
        <v>2</v>
      </c>
      <c r="CW1103">
        <v>0</v>
      </c>
      <c r="CX1103">
        <v>5</v>
      </c>
      <c r="CY1103">
        <v>7</v>
      </c>
      <c r="CZ1103" t="s">
        <v>131</v>
      </c>
      <c r="DA1103">
        <v>300</v>
      </c>
      <c r="DB1103">
        <v>0</v>
      </c>
      <c r="DC1103" t="s">
        <v>176</v>
      </c>
      <c r="DD1103" t="s">
        <v>177</v>
      </c>
      <c r="DG1103">
        <v>5378792</v>
      </c>
      <c r="DI1103">
        <v>1</v>
      </c>
      <c r="DJ1103">
        <v>0</v>
      </c>
      <c r="DK1103">
        <v>1</v>
      </c>
      <c r="DL1103">
        <v>0</v>
      </c>
      <c r="DM1103">
        <v>0</v>
      </c>
      <c r="DN1103">
        <v>1</v>
      </c>
      <c r="DO1103">
        <v>0</v>
      </c>
      <c r="DP1103">
        <v>0</v>
      </c>
      <c r="DQ1103">
        <v>0</v>
      </c>
      <c r="DR1103">
        <v>0</v>
      </c>
      <c r="DS1103">
        <v>0</v>
      </c>
    </row>
    <row r="1104" spans="1:123" x14ac:dyDescent="0.3">
      <c r="A1104" t="str">
        <f>"10/04/2022 19:28:32.446"</f>
        <v>10/04/2022 19:28:32.446</v>
      </c>
      <c r="C1104" t="str">
        <f t="shared" si="376"/>
        <v>FFDFD3C0</v>
      </c>
      <c r="D1104" t="s">
        <v>136</v>
      </c>
      <c r="E1104">
        <v>8</v>
      </c>
      <c r="H1104">
        <v>225</v>
      </c>
      <c r="I1104" t="s">
        <v>137</v>
      </c>
      <c r="J1104" t="s">
        <v>138</v>
      </c>
      <c r="K1104">
        <v>0</v>
      </c>
      <c r="L1104">
        <v>3</v>
      </c>
      <c r="M1104">
        <v>0</v>
      </c>
      <c r="N1104">
        <v>2</v>
      </c>
      <c r="O1104">
        <v>0</v>
      </c>
      <c r="P1104">
        <v>1</v>
      </c>
      <c r="Q1104">
        <v>0</v>
      </c>
      <c r="S1104" t="str">
        <f t="shared" si="384"/>
        <v>19:28:32.000</v>
      </c>
      <c r="T1104" t="str">
        <f t="shared" si="384"/>
        <v>19:28:32.000</v>
      </c>
      <c r="U1104" t="str">
        <f t="shared" si="380"/>
        <v>AC3944</v>
      </c>
      <c r="V1104">
        <v>0</v>
      </c>
      <c r="W1104">
        <v>0</v>
      </c>
      <c r="X1104">
        <v>2</v>
      </c>
      <c r="Y1104">
        <v>0</v>
      </c>
      <c r="AA1104">
        <v>1</v>
      </c>
      <c r="AB1104">
        <v>8</v>
      </c>
      <c r="AC1104">
        <v>3</v>
      </c>
      <c r="AD1104">
        <v>0</v>
      </c>
      <c r="AE1104">
        <v>9</v>
      </c>
      <c r="AF1104" t="s">
        <v>138</v>
      </c>
      <c r="AG1104">
        <v>0</v>
      </c>
      <c r="AH1104">
        <v>3</v>
      </c>
      <c r="AI1104">
        <v>1</v>
      </c>
      <c r="AJ1104">
        <v>0</v>
      </c>
      <c r="AK1104" t="s">
        <v>449</v>
      </c>
      <c r="AL1104">
        <v>32.807020999999999</v>
      </c>
      <c r="AM1104" t="s">
        <v>450</v>
      </c>
      <c r="AN1104">
        <v>-116.920581</v>
      </c>
      <c r="AO1104">
        <v>25</v>
      </c>
      <c r="AP1104">
        <v>2100</v>
      </c>
      <c r="AQ1104" t="s">
        <v>129</v>
      </c>
      <c r="AR1104">
        <v>127</v>
      </c>
      <c r="AS1104">
        <v>-16</v>
      </c>
      <c r="AT1104">
        <v>640</v>
      </c>
      <c r="BB1104">
        <v>1200</v>
      </c>
      <c r="BC1104">
        <v>1</v>
      </c>
      <c r="BD1104" t="str">
        <f t="shared" si="381"/>
        <v xml:space="preserve">N887QR  </v>
      </c>
      <c r="BE1104">
        <v>1</v>
      </c>
      <c r="BG1104">
        <v>0</v>
      </c>
      <c r="BH1104">
        <v>0</v>
      </c>
      <c r="BI1104">
        <v>0</v>
      </c>
      <c r="BJ1104">
        <v>1800</v>
      </c>
      <c r="BK1104">
        <v>-300</v>
      </c>
      <c r="BL1104" t="s">
        <v>163</v>
      </c>
      <c r="BM1104">
        <v>1</v>
      </c>
      <c r="BN1104">
        <v>1</v>
      </c>
      <c r="BO1104">
        <v>1</v>
      </c>
      <c r="BP1104">
        <v>0</v>
      </c>
      <c r="BS1104">
        <v>0.04</v>
      </c>
      <c r="BT1104">
        <v>0</v>
      </c>
      <c r="BU1104">
        <v>0</v>
      </c>
      <c r="CE1104" t="str">
        <f t="shared" si="385"/>
        <v>19:28:32.261</v>
      </c>
      <c r="CF1104">
        <v>261011880</v>
      </c>
      <c r="CS1104">
        <v>3</v>
      </c>
      <c r="CT1104">
        <v>2</v>
      </c>
      <c r="CU1104">
        <v>0</v>
      </c>
      <c r="CV1104">
        <v>2</v>
      </c>
      <c r="CW1104">
        <v>0</v>
      </c>
      <c r="CX1104">
        <v>5</v>
      </c>
      <c r="CY1104">
        <v>7</v>
      </c>
      <c r="CZ1104" t="s">
        <v>131</v>
      </c>
      <c r="DA1104">
        <v>300</v>
      </c>
      <c r="DB1104">
        <v>0</v>
      </c>
      <c r="DC1104" t="s">
        <v>176</v>
      </c>
      <c r="DD1104" t="s">
        <v>177</v>
      </c>
      <c r="DG1104">
        <v>5378792</v>
      </c>
      <c r="DI1104">
        <v>1</v>
      </c>
      <c r="DJ1104">
        <v>0</v>
      </c>
      <c r="DK1104">
        <v>1</v>
      </c>
      <c r="DL1104">
        <v>0</v>
      </c>
      <c r="DM1104">
        <v>0</v>
      </c>
      <c r="DN1104">
        <v>1</v>
      </c>
      <c r="DO1104">
        <v>0</v>
      </c>
      <c r="DP1104">
        <v>0</v>
      </c>
      <c r="DQ1104">
        <v>0</v>
      </c>
      <c r="DR1104">
        <v>0</v>
      </c>
      <c r="DS1104">
        <v>0</v>
      </c>
    </row>
    <row r="1105" spans="1:123" x14ac:dyDescent="0.3">
      <c r="A1105" t="str">
        <f>"10/04/2022 19:28:32.446"</f>
        <v>10/04/2022 19:28:32.446</v>
      </c>
      <c r="C1105" t="str">
        <f t="shared" si="376"/>
        <v>FFDFD3C0</v>
      </c>
      <c r="D1105" t="s">
        <v>147</v>
      </c>
      <c r="E1105">
        <v>3</v>
      </c>
      <c r="H1105">
        <v>166</v>
      </c>
      <c r="I1105" t="s">
        <v>144</v>
      </c>
      <c r="J1105" t="s">
        <v>148</v>
      </c>
      <c r="K1105">
        <v>0</v>
      </c>
      <c r="L1105">
        <v>3</v>
      </c>
      <c r="M1105">
        <v>0</v>
      </c>
      <c r="N1105">
        <v>2</v>
      </c>
      <c r="O1105">
        <v>0</v>
      </c>
      <c r="P1105">
        <v>1</v>
      </c>
      <c r="Q1105">
        <v>0</v>
      </c>
      <c r="S1105" t="str">
        <f t="shared" si="384"/>
        <v>19:28:32.000</v>
      </c>
      <c r="T1105" t="str">
        <f t="shared" si="384"/>
        <v>19:28:32.000</v>
      </c>
      <c r="U1105" t="str">
        <f t="shared" si="380"/>
        <v>AC3944</v>
      </c>
      <c r="V1105">
        <v>0</v>
      </c>
      <c r="W1105">
        <v>0</v>
      </c>
      <c r="X1105">
        <v>2</v>
      </c>
      <c r="Y1105">
        <v>0</v>
      </c>
      <c r="AA1105">
        <v>1</v>
      </c>
      <c r="AB1105">
        <v>8</v>
      </c>
      <c r="AC1105">
        <v>3</v>
      </c>
      <c r="AD1105">
        <v>0</v>
      </c>
      <c r="AE1105">
        <v>9</v>
      </c>
      <c r="AF1105" t="s">
        <v>138</v>
      </c>
      <c r="AG1105">
        <v>0</v>
      </c>
      <c r="AH1105">
        <v>3</v>
      </c>
      <c r="AI1105">
        <v>1</v>
      </c>
      <c r="AJ1105">
        <v>0</v>
      </c>
      <c r="AK1105" t="s">
        <v>449</v>
      </c>
      <c r="AL1105">
        <v>32.807020999999999</v>
      </c>
      <c r="AM1105" t="s">
        <v>450</v>
      </c>
      <c r="AN1105">
        <v>-116.920581</v>
      </c>
      <c r="AO1105">
        <v>25</v>
      </c>
      <c r="AP1105">
        <v>2100</v>
      </c>
      <c r="AQ1105" t="s">
        <v>129</v>
      </c>
      <c r="AR1105">
        <v>127</v>
      </c>
      <c r="AS1105">
        <v>-16</v>
      </c>
      <c r="AT1105">
        <v>640</v>
      </c>
      <c r="BB1105">
        <v>1200</v>
      </c>
      <c r="BC1105">
        <v>1</v>
      </c>
      <c r="BD1105" t="str">
        <f t="shared" si="381"/>
        <v xml:space="preserve">N887QR  </v>
      </c>
      <c r="BE1105">
        <v>1</v>
      </c>
      <c r="BG1105">
        <v>0</v>
      </c>
      <c r="BH1105">
        <v>0</v>
      </c>
      <c r="BI1105">
        <v>0</v>
      </c>
      <c r="BJ1105">
        <v>1800</v>
      </c>
      <c r="BK1105">
        <v>-300</v>
      </c>
      <c r="BL1105" t="s">
        <v>163</v>
      </c>
      <c r="BM1105">
        <v>1</v>
      </c>
      <c r="BN1105">
        <v>1</v>
      </c>
      <c r="BO1105">
        <v>1</v>
      </c>
      <c r="BP1105">
        <v>0</v>
      </c>
      <c r="BS1105">
        <v>0.04</v>
      </c>
      <c r="BT1105">
        <v>0</v>
      </c>
      <c r="BU1105">
        <v>0</v>
      </c>
      <c r="CE1105" t="str">
        <f t="shared" si="385"/>
        <v>19:28:32.261</v>
      </c>
      <c r="CF1105">
        <v>261011880</v>
      </c>
      <c r="CS1105">
        <v>3</v>
      </c>
      <c r="CT1105">
        <v>2</v>
      </c>
      <c r="CU1105">
        <v>0</v>
      </c>
      <c r="CV1105">
        <v>2</v>
      </c>
      <c r="CW1105">
        <v>0</v>
      </c>
      <c r="CX1105">
        <v>5</v>
      </c>
      <c r="CY1105">
        <v>7</v>
      </c>
      <c r="CZ1105" t="s">
        <v>131</v>
      </c>
      <c r="DA1105">
        <v>300</v>
      </c>
      <c r="DB1105">
        <v>0</v>
      </c>
      <c r="DC1105" t="s">
        <v>176</v>
      </c>
      <c r="DD1105" t="s">
        <v>177</v>
      </c>
      <c r="DG1105">
        <v>5378792</v>
      </c>
      <c r="DI1105">
        <v>1</v>
      </c>
      <c r="DJ1105">
        <v>0</v>
      </c>
      <c r="DK1105">
        <v>1</v>
      </c>
      <c r="DL1105">
        <v>0</v>
      </c>
      <c r="DM1105">
        <v>0</v>
      </c>
      <c r="DN1105">
        <v>1</v>
      </c>
      <c r="DO1105">
        <v>0</v>
      </c>
      <c r="DP1105">
        <v>0</v>
      </c>
      <c r="DQ1105">
        <v>0</v>
      </c>
      <c r="DR1105">
        <v>0</v>
      </c>
      <c r="DS1105">
        <v>0</v>
      </c>
    </row>
    <row r="1106" spans="1:123" x14ac:dyDescent="0.3">
      <c r="A1106" t="str">
        <f>"10/04/2022 19:28:32.446"</f>
        <v>10/04/2022 19:28:32.446</v>
      </c>
      <c r="C1106" t="str">
        <f t="shared" si="376"/>
        <v>FFDFD3C0</v>
      </c>
      <c r="D1106" t="s">
        <v>143</v>
      </c>
      <c r="E1106">
        <v>20</v>
      </c>
      <c r="F1106">
        <v>1020</v>
      </c>
      <c r="G1106" t="s">
        <v>144</v>
      </c>
      <c r="J1106" t="s">
        <v>145</v>
      </c>
      <c r="K1106">
        <v>0</v>
      </c>
      <c r="L1106">
        <v>3</v>
      </c>
      <c r="M1106">
        <v>0</v>
      </c>
      <c r="N1106">
        <v>2</v>
      </c>
      <c r="O1106">
        <v>0</v>
      </c>
      <c r="P1106">
        <v>1</v>
      </c>
      <c r="Q1106">
        <v>0</v>
      </c>
      <c r="S1106" t="str">
        <f t="shared" si="384"/>
        <v>19:28:32.000</v>
      </c>
      <c r="T1106" t="str">
        <f t="shared" si="384"/>
        <v>19:28:32.000</v>
      </c>
      <c r="U1106" t="str">
        <f t="shared" si="380"/>
        <v>AC3944</v>
      </c>
      <c r="V1106">
        <v>0</v>
      </c>
      <c r="W1106">
        <v>0</v>
      </c>
      <c r="X1106">
        <v>2</v>
      </c>
      <c r="Y1106">
        <v>0</v>
      </c>
      <c r="AA1106">
        <v>1</v>
      </c>
      <c r="AB1106">
        <v>8</v>
      </c>
      <c r="AC1106">
        <v>3</v>
      </c>
      <c r="AD1106">
        <v>0</v>
      </c>
      <c r="AE1106">
        <v>9</v>
      </c>
      <c r="AF1106" t="s">
        <v>138</v>
      </c>
      <c r="AG1106">
        <v>0</v>
      </c>
      <c r="AH1106">
        <v>3</v>
      </c>
      <c r="AI1106">
        <v>1</v>
      </c>
      <c r="AJ1106">
        <v>0</v>
      </c>
      <c r="AK1106" t="s">
        <v>449</v>
      </c>
      <c r="AL1106">
        <v>32.807020999999999</v>
      </c>
      <c r="AM1106" t="s">
        <v>450</v>
      </c>
      <c r="AN1106">
        <v>-116.920581</v>
      </c>
      <c r="AO1106">
        <v>25</v>
      </c>
      <c r="AP1106">
        <v>2100</v>
      </c>
      <c r="AQ1106" t="s">
        <v>129</v>
      </c>
      <c r="AR1106">
        <v>127</v>
      </c>
      <c r="AS1106">
        <v>-16</v>
      </c>
      <c r="AT1106">
        <v>640</v>
      </c>
      <c r="BB1106">
        <v>1200</v>
      </c>
      <c r="BC1106">
        <v>1</v>
      </c>
      <c r="BD1106" t="str">
        <f t="shared" si="381"/>
        <v xml:space="preserve">N887QR  </v>
      </c>
      <c r="BE1106">
        <v>1</v>
      </c>
      <c r="BG1106">
        <v>0</v>
      </c>
      <c r="BH1106">
        <v>0</v>
      </c>
      <c r="BI1106">
        <v>0</v>
      </c>
      <c r="BJ1106">
        <v>1800</v>
      </c>
      <c r="BK1106">
        <v>-300</v>
      </c>
      <c r="BL1106" t="s">
        <v>163</v>
      </c>
      <c r="BM1106">
        <v>1</v>
      </c>
      <c r="BN1106">
        <v>1</v>
      </c>
      <c r="BO1106">
        <v>1</v>
      </c>
      <c r="BP1106">
        <v>0</v>
      </c>
      <c r="BS1106">
        <v>0.04</v>
      </c>
      <c r="BT1106">
        <v>0</v>
      </c>
      <c r="BU1106">
        <v>0</v>
      </c>
      <c r="CE1106" t="str">
        <f t="shared" si="385"/>
        <v>19:28:32.261</v>
      </c>
      <c r="CF1106">
        <v>261011880</v>
      </c>
      <c r="CS1106">
        <v>3</v>
      </c>
      <c r="CT1106">
        <v>2</v>
      </c>
      <c r="CU1106">
        <v>0</v>
      </c>
      <c r="CV1106">
        <v>2</v>
      </c>
      <c r="CW1106">
        <v>0</v>
      </c>
      <c r="CX1106">
        <v>5</v>
      </c>
      <c r="CY1106">
        <v>7</v>
      </c>
      <c r="CZ1106" t="s">
        <v>131</v>
      </c>
      <c r="DA1106">
        <v>300</v>
      </c>
      <c r="DB1106">
        <v>0</v>
      </c>
      <c r="DC1106" t="s">
        <v>176</v>
      </c>
      <c r="DD1106" t="s">
        <v>177</v>
      </c>
      <c r="DG1106">
        <v>5378792</v>
      </c>
      <c r="DI1106">
        <v>1</v>
      </c>
      <c r="DJ1106">
        <v>0</v>
      </c>
      <c r="DK1106">
        <v>1</v>
      </c>
      <c r="DL1106">
        <v>0</v>
      </c>
      <c r="DM1106">
        <v>0</v>
      </c>
      <c r="DN1106">
        <v>1</v>
      </c>
      <c r="DO1106">
        <v>0</v>
      </c>
      <c r="DP1106">
        <v>0</v>
      </c>
      <c r="DQ1106">
        <v>0</v>
      </c>
      <c r="DR1106">
        <v>0</v>
      </c>
      <c r="DS1106">
        <v>0</v>
      </c>
    </row>
    <row r="1107" spans="1:123" x14ac:dyDescent="0.3">
      <c r="A1107" t="str">
        <f>"10/04/2022 19:28:32.477"</f>
        <v>10/04/2022 19:28:32.477</v>
      </c>
      <c r="C1107" t="str">
        <f t="shared" si="376"/>
        <v>FFDFD3C0</v>
      </c>
      <c r="D1107" t="s">
        <v>123</v>
      </c>
      <c r="E1107">
        <v>7</v>
      </c>
      <c r="F1107">
        <v>2007</v>
      </c>
      <c r="G1107" t="s">
        <v>124</v>
      </c>
      <c r="J1107" t="s">
        <v>125</v>
      </c>
      <c r="K1107">
        <v>0</v>
      </c>
      <c r="L1107">
        <v>3</v>
      </c>
      <c r="M1107">
        <v>0</v>
      </c>
      <c r="N1107">
        <v>2</v>
      </c>
      <c r="O1107">
        <v>0</v>
      </c>
      <c r="P1107">
        <v>1</v>
      </c>
      <c r="Q1107">
        <v>0</v>
      </c>
      <c r="S1107" t="str">
        <f t="shared" si="384"/>
        <v>19:28:32.000</v>
      </c>
      <c r="T1107" t="str">
        <f t="shared" si="384"/>
        <v>19:28:32.000</v>
      </c>
      <c r="U1107" t="str">
        <f t="shared" si="380"/>
        <v>AC3944</v>
      </c>
      <c r="V1107">
        <v>0</v>
      </c>
      <c r="W1107">
        <v>0</v>
      </c>
      <c r="X1107">
        <v>2</v>
      </c>
      <c r="Y1107">
        <v>0</v>
      </c>
      <c r="AA1107">
        <v>1</v>
      </c>
      <c r="AB1107">
        <v>8</v>
      </c>
      <c r="AC1107">
        <v>3</v>
      </c>
      <c r="AD1107">
        <v>0</v>
      </c>
      <c r="AE1107">
        <v>9</v>
      </c>
      <c r="AF1107" t="s">
        <v>138</v>
      </c>
      <c r="AG1107">
        <v>0</v>
      </c>
      <c r="AH1107">
        <v>3</v>
      </c>
      <c r="AI1107">
        <v>1</v>
      </c>
      <c r="AJ1107">
        <v>0</v>
      </c>
      <c r="AK1107" t="s">
        <v>449</v>
      </c>
      <c r="AL1107">
        <v>32.807020999999999</v>
      </c>
      <c r="AM1107" t="s">
        <v>450</v>
      </c>
      <c r="AN1107">
        <v>-116.920581</v>
      </c>
      <c r="AO1107">
        <v>25</v>
      </c>
      <c r="AP1107">
        <v>2100</v>
      </c>
      <c r="AQ1107" t="s">
        <v>129</v>
      </c>
      <c r="AR1107">
        <v>127</v>
      </c>
      <c r="AS1107">
        <v>-16</v>
      </c>
      <c r="AT1107">
        <v>640</v>
      </c>
      <c r="BB1107">
        <v>1200</v>
      </c>
      <c r="BC1107">
        <v>1</v>
      </c>
      <c r="BD1107" t="str">
        <f t="shared" si="381"/>
        <v xml:space="preserve">N887QR  </v>
      </c>
      <c r="BE1107">
        <v>1</v>
      </c>
      <c r="BG1107">
        <v>0</v>
      </c>
      <c r="BH1107">
        <v>0</v>
      </c>
      <c r="BI1107">
        <v>0</v>
      </c>
      <c r="BJ1107">
        <v>1800</v>
      </c>
      <c r="BK1107">
        <v>-300</v>
      </c>
      <c r="BL1107" t="s">
        <v>163</v>
      </c>
      <c r="BM1107">
        <v>1</v>
      </c>
      <c r="BN1107">
        <v>1</v>
      </c>
      <c r="BO1107">
        <v>1</v>
      </c>
      <c r="BP1107">
        <v>0</v>
      </c>
      <c r="BS1107">
        <v>0.04</v>
      </c>
      <c r="BT1107">
        <v>0</v>
      </c>
      <c r="BU1107">
        <v>0</v>
      </c>
      <c r="CE1107" t="str">
        <f t="shared" si="385"/>
        <v>19:28:32.261</v>
      </c>
      <c r="CF1107">
        <v>261011880</v>
      </c>
      <c r="CS1107">
        <v>3</v>
      </c>
      <c r="CT1107">
        <v>2</v>
      </c>
      <c r="CU1107">
        <v>0</v>
      </c>
      <c r="CV1107">
        <v>2</v>
      </c>
      <c r="CW1107">
        <v>0</v>
      </c>
      <c r="CX1107">
        <v>5</v>
      </c>
      <c r="CY1107">
        <v>7</v>
      </c>
      <c r="CZ1107" t="s">
        <v>131</v>
      </c>
      <c r="DA1107">
        <v>300</v>
      </c>
      <c r="DB1107">
        <v>0</v>
      </c>
      <c r="DC1107" t="s">
        <v>176</v>
      </c>
      <c r="DD1107" t="s">
        <v>177</v>
      </c>
      <c r="DG1107">
        <v>5378792</v>
      </c>
      <c r="DI1107">
        <v>1</v>
      </c>
      <c r="DJ1107">
        <v>0</v>
      </c>
      <c r="DK1107">
        <v>1</v>
      </c>
      <c r="DL1107">
        <v>0</v>
      </c>
      <c r="DM1107">
        <v>0</v>
      </c>
      <c r="DN1107">
        <v>1</v>
      </c>
      <c r="DO1107">
        <v>0</v>
      </c>
      <c r="DP1107">
        <v>0</v>
      </c>
      <c r="DQ1107">
        <v>0</v>
      </c>
      <c r="DR1107">
        <v>0</v>
      </c>
      <c r="DS1107">
        <v>0</v>
      </c>
    </row>
    <row r="1108" spans="1:123" x14ac:dyDescent="0.3">
      <c r="A1108" t="str">
        <f>"10/04/2022 19:28:32.477"</f>
        <v>10/04/2022 19:28:32.477</v>
      </c>
      <c r="C1108" t="str">
        <f t="shared" si="376"/>
        <v>FFDFD3C0</v>
      </c>
      <c r="D1108" t="s">
        <v>141</v>
      </c>
      <c r="E1108">
        <v>4</v>
      </c>
      <c r="H1108">
        <v>4</v>
      </c>
      <c r="I1108" t="s">
        <v>142</v>
      </c>
      <c r="J1108" t="s">
        <v>138</v>
      </c>
      <c r="K1108">
        <v>0</v>
      </c>
      <c r="L1108">
        <v>3</v>
      </c>
      <c r="M1108">
        <v>0</v>
      </c>
      <c r="N1108">
        <v>2</v>
      </c>
      <c r="O1108">
        <v>0</v>
      </c>
      <c r="P1108">
        <v>1</v>
      </c>
      <c r="Q1108">
        <v>0</v>
      </c>
      <c r="S1108" t="str">
        <f t="shared" si="384"/>
        <v>19:28:32.000</v>
      </c>
      <c r="T1108" t="str">
        <f t="shared" si="384"/>
        <v>19:28:32.000</v>
      </c>
      <c r="U1108" t="str">
        <f t="shared" si="380"/>
        <v>AC3944</v>
      </c>
      <c r="V1108">
        <v>0</v>
      </c>
      <c r="W1108">
        <v>0</v>
      </c>
      <c r="X1108">
        <v>2</v>
      </c>
      <c r="Y1108">
        <v>0</v>
      </c>
      <c r="AA1108">
        <v>1</v>
      </c>
      <c r="AB1108">
        <v>8</v>
      </c>
      <c r="AC1108">
        <v>3</v>
      </c>
      <c r="AD1108">
        <v>0</v>
      </c>
      <c r="AE1108">
        <v>9</v>
      </c>
      <c r="AF1108" t="s">
        <v>138</v>
      </c>
      <c r="AG1108">
        <v>0</v>
      </c>
      <c r="AH1108">
        <v>3</v>
      </c>
      <c r="AI1108">
        <v>1</v>
      </c>
      <c r="AJ1108">
        <v>0</v>
      </c>
      <c r="AK1108" t="s">
        <v>449</v>
      </c>
      <c r="AL1108">
        <v>32.807020999999999</v>
      </c>
      <c r="AM1108" t="s">
        <v>450</v>
      </c>
      <c r="AN1108">
        <v>-116.920581</v>
      </c>
      <c r="AO1108">
        <v>25</v>
      </c>
      <c r="AP1108">
        <v>2100</v>
      </c>
      <c r="AQ1108" t="s">
        <v>129</v>
      </c>
      <c r="AR1108">
        <v>127</v>
      </c>
      <c r="AS1108">
        <v>-16</v>
      </c>
      <c r="AT1108">
        <v>640</v>
      </c>
      <c r="BB1108">
        <v>1200</v>
      </c>
      <c r="BC1108">
        <v>1</v>
      </c>
      <c r="BD1108" t="str">
        <f t="shared" si="381"/>
        <v xml:space="preserve">N887QR  </v>
      </c>
      <c r="BE1108">
        <v>1</v>
      </c>
      <c r="BG1108">
        <v>0</v>
      </c>
      <c r="BH1108">
        <v>0</v>
      </c>
      <c r="BI1108">
        <v>0</v>
      </c>
      <c r="BJ1108">
        <v>1800</v>
      </c>
      <c r="BK1108">
        <v>-300</v>
      </c>
      <c r="BL1108" t="s">
        <v>163</v>
      </c>
      <c r="BM1108">
        <v>1</v>
      </c>
      <c r="BN1108">
        <v>1</v>
      </c>
      <c r="BO1108">
        <v>1</v>
      </c>
      <c r="BP1108">
        <v>0</v>
      </c>
      <c r="BS1108">
        <v>0.04</v>
      </c>
      <c r="BT1108">
        <v>0</v>
      </c>
      <c r="BU1108">
        <v>0</v>
      </c>
      <c r="CE1108" t="str">
        <f t="shared" si="385"/>
        <v>19:28:32.261</v>
      </c>
      <c r="CF1108">
        <v>261011880</v>
      </c>
      <c r="CS1108">
        <v>3</v>
      </c>
      <c r="CT1108">
        <v>2</v>
      </c>
      <c r="CU1108">
        <v>0</v>
      </c>
      <c r="CV1108">
        <v>2</v>
      </c>
      <c r="CW1108">
        <v>0</v>
      </c>
      <c r="CX1108">
        <v>5</v>
      </c>
      <c r="CY1108">
        <v>7</v>
      </c>
      <c r="CZ1108" t="s">
        <v>131</v>
      </c>
      <c r="DA1108">
        <v>300</v>
      </c>
      <c r="DB1108">
        <v>0</v>
      </c>
      <c r="DC1108" t="s">
        <v>176</v>
      </c>
      <c r="DD1108" t="s">
        <v>177</v>
      </c>
      <c r="DG1108">
        <v>5378792</v>
      </c>
      <c r="DI1108">
        <v>1</v>
      </c>
      <c r="DJ1108">
        <v>0</v>
      </c>
      <c r="DK1108">
        <v>1</v>
      </c>
      <c r="DL1108">
        <v>0</v>
      </c>
      <c r="DM1108">
        <v>0</v>
      </c>
      <c r="DN1108">
        <v>1</v>
      </c>
      <c r="DO1108">
        <v>0</v>
      </c>
      <c r="DP1108">
        <v>0</v>
      </c>
      <c r="DQ1108">
        <v>0</v>
      </c>
      <c r="DR1108">
        <v>0</v>
      </c>
      <c r="DS1108">
        <v>0</v>
      </c>
    </row>
    <row r="1109" spans="1:123" x14ac:dyDescent="0.3">
      <c r="A1109" t="str">
        <f t="shared" ref="A1109:A1115" si="386">"10/04/2022 19:28:33.587"</f>
        <v>10/04/2022 19:28:33.587</v>
      </c>
      <c r="C1109" t="str">
        <f t="shared" si="376"/>
        <v>FFDFD3C0</v>
      </c>
      <c r="D1109" t="s">
        <v>141</v>
      </c>
      <c r="E1109">
        <v>4</v>
      </c>
      <c r="H1109">
        <v>4</v>
      </c>
      <c r="I1109" t="s">
        <v>142</v>
      </c>
      <c r="J1109" t="s">
        <v>138</v>
      </c>
      <c r="K1109">
        <v>0</v>
      </c>
      <c r="L1109">
        <v>3</v>
      </c>
      <c r="M1109">
        <v>0</v>
      </c>
      <c r="N1109">
        <v>2</v>
      </c>
      <c r="O1109">
        <v>0</v>
      </c>
      <c r="P1109">
        <v>1</v>
      </c>
      <c r="Q1109">
        <v>0</v>
      </c>
      <c r="S1109" t="str">
        <f t="shared" ref="S1109:T1115" si="387">"19:28:33.000"</f>
        <v>19:28:33.000</v>
      </c>
      <c r="T1109" t="str">
        <f t="shared" si="387"/>
        <v>19:28:33.000</v>
      </c>
      <c r="U1109" t="str">
        <f t="shared" si="380"/>
        <v>AC3944</v>
      </c>
      <c r="V1109">
        <v>0</v>
      </c>
      <c r="W1109">
        <v>0</v>
      </c>
      <c r="X1109">
        <v>2</v>
      </c>
      <c r="Y1109">
        <v>0</v>
      </c>
      <c r="AA1109">
        <v>1</v>
      </c>
      <c r="AB1109">
        <v>8</v>
      </c>
      <c r="AC1109">
        <v>3</v>
      </c>
      <c r="AD1109">
        <v>0</v>
      </c>
      <c r="AE1109">
        <v>9</v>
      </c>
      <c r="AF1109" t="s">
        <v>138</v>
      </c>
      <c r="AG1109">
        <v>0</v>
      </c>
      <c r="AH1109">
        <v>3</v>
      </c>
      <c r="AI1109">
        <v>1</v>
      </c>
      <c r="AJ1109">
        <v>0</v>
      </c>
      <c r="AK1109" t="s">
        <v>451</v>
      </c>
      <c r="AL1109">
        <v>32.806935000000003</v>
      </c>
      <c r="AM1109" t="s">
        <v>452</v>
      </c>
      <c r="AN1109">
        <v>-116.919873</v>
      </c>
      <c r="AO1109">
        <v>25</v>
      </c>
      <c r="AP1109">
        <v>2100</v>
      </c>
      <c r="AQ1109" t="s">
        <v>129</v>
      </c>
      <c r="AR1109">
        <v>127</v>
      </c>
      <c r="AS1109">
        <v>-16</v>
      </c>
      <c r="AT1109">
        <v>640</v>
      </c>
      <c r="BB1109">
        <v>1200</v>
      </c>
      <c r="BC1109">
        <v>1</v>
      </c>
      <c r="BD1109" t="str">
        <f t="shared" si="381"/>
        <v xml:space="preserve">N887QR  </v>
      </c>
      <c r="BE1109">
        <v>1</v>
      </c>
      <c r="BG1109">
        <v>0</v>
      </c>
      <c r="BH1109">
        <v>0</v>
      </c>
      <c r="BI1109">
        <v>0</v>
      </c>
      <c r="BJ1109">
        <v>1800</v>
      </c>
      <c r="BK1109">
        <v>-300</v>
      </c>
      <c r="BL1109" t="s">
        <v>163</v>
      </c>
      <c r="BM1109">
        <v>1</v>
      </c>
      <c r="BN1109">
        <v>1</v>
      </c>
      <c r="BO1109">
        <v>1</v>
      </c>
      <c r="BP1109">
        <v>0</v>
      </c>
      <c r="BS1109">
        <v>0.04</v>
      </c>
      <c r="BT1109">
        <v>0</v>
      </c>
      <c r="BU1109">
        <v>0</v>
      </c>
      <c r="CE1109" t="str">
        <f t="shared" ref="CE1109:CE1115" si="388">"19:28:33.338"</f>
        <v>19:28:33.338</v>
      </c>
      <c r="CF1109">
        <v>337515308</v>
      </c>
      <c r="CS1109">
        <v>3</v>
      </c>
      <c r="CT1109">
        <v>2</v>
      </c>
      <c r="CU1109">
        <v>0</v>
      </c>
      <c r="CV1109">
        <v>2</v>
      </c>
      <c r="CW1109">
        <v>0</v>
      </c>
      <c r="CX1109">
        <v>5</v>
      </c>
      <c r="CY1109">
        <v>7</v>
      </c>
      <c r="CZ1109" t="s">
        <v>131</v>
      </c>
      <c r="DA1109">
        <v>300</v>
      </c>
      <c r="DB1109">
        <v>0</v>
      </c>
      <c r="DC1109" t="s">
        <v>176</v>
      </c>
      <c r="DD1109" t="s">
        <v>177</v>
      </c>
      <c r="DG1109">
        <v>5378960</v>
      </c>
      <c r="DI1109">
        <v>1</v>
      </c>
      <c r="DJ1109">
        <v>0</v>
      </c>
      <c r="DK1109">
        <v>0</v>
      </c>
      <c r="DL1109">
        <v>0</v>
      </c>
      <c r="DM1109">
        <v>0</v>
      </c>
      <c r="DN1109">
        <v>1</v>
      </c>
      <c r="DO1109">
        <v>0</v>
      </c>
      <c r="DP1109">
        <v>0</v>
      </c>
      <c r="DQ1109">
        <v>0</v>
      </c>
      <c r="DR1109">
        <v>0</v>
      </c>
      <c r="DS1109">
        <v>0</v>
      </c>
    </row>
    <row r="1110" spans="1:123" x14ac:dyDescent="0.3">
      <c r="A1110" t="str">
        <f t="shared" si="386"/>
        <v>10/04/2022 19:28:33.587</v>
      </c>
      <c r="C1110" t="str">
        <f t="shared" si="376"/>
        <v>FFDFD3C0</v>
      </c>
      <c r="D1110" t="s">
        <v>141</v>
      </c>
      <c r="E1110">
        <v>3</v>
      </c>
      <c r="H1110">
        <v>3</v>
      </c>
      <c r="I1110" t="s">
        <v>146</v>
      </c>
      <c r="J1110" t="s">
        <v>138</v>
      </c>
      <c r="K1110">
        <v>0</v>
      </c>
      <c r="L1110">
        <v>3</v>
      </c>
      <c r="M1110">
        <v>0</v>
      </c>
      <c r="N1110">
        <v>2</v>
      </c>
      <c r="O1110">
        <v>0</v>
      </c>
      <c r="P1110">
        <v>1</v>
      </c>
      <c r="Q1110">
        <v>0</v>
      </c>
      <c r="S1110" t="str">
        <f t="shared" si="387"/>
        <v>19:28:33.000</v>
      </c>
      <c r="T1110" t="str">
        <f t="shared" si="387"/>
        <v>19:28:33.000</v>
      </c>
      <c r="U1110" t="str">
        <f t="shared" si="380"/>
        <v>AC3944</v>
      </c>
      <c r="V1110">
        <v>0</v>
      </c>
      <c r="W1110">
        <v>0</v>
      </c>
      <c r="X1110">
        <v>2</v>
      </c>
      <c r="Y1110">
        <v>0</v>
      </c>
      <c r="AA1110">
        <v>1</v>
      </c>
      <c r="AB1110">
        <v>8</v>
      </c>
      <c r="AC1110">
        <v>3</v>
      </c>
      <c r="AD1110">
        <v>0</v>
      </c>
      <c r="AE1110">
        <v>9</v>
      </c>
      <c r="AF1110" t="s">
        <v>138</v>
      </c>
      <c r="AG1110">
        <v>0</v>
      </c>
      <c r="AH1110">
        <v>3</v>
      </c>
      <c r="AI1110">
        <v>1</v>
      </c>
      <c r="AJ1110">
        <v>0</v>
      </c>
      <c r="AK1110" t="s">
        <v>451</v>
      </c>
      <c r="AL1110">
        <v>32.806935000000003</v>
      </c>
      <c r="AM1110" t="s">
        <v>452</v>
      </c>
      <c r="AN1110">
        <v>-116.919873</v>
      </c>
      <c r="AO1110">
        <v>25</v>
      </c>
      <c r="AP1110">
        <v>2100</v>
      </c>
      <c r="AQ1110" t="s">
        <v>129</v>
      </c>
      <c r="AR1110">
        <v>127</v>
      </c>
      <c r="AS1110">
        <v>-16</v>
      </c>
      <c r="AT1110">
        <v>640</v>
      </c>
      <c r="BB1110">
        <v>1200</v>
      </c>
      <c r="BC1110">
        <v>1</v>
      </c>
      <c r="BD1110" t="str">
        <f t="shared" si="381"/>
        <v xml:space="preserve">N887QR  </v>
      </c>
      <c r="BE1110">
        <v>1</v>
      </c>
      <c r="BG1110">
        <v>0</v>
      </c>
      <c r="BH1110">
        <v>0</v>
      </c>
      <c r="BI1110">
        <v>0</v>
      </c>
      <c r="BJ1110">
        <v>1800</v>
      </c>
      <c r="BK1110">
        <v>-300</v>
      </c>
      <c r="BL1110" t="s">
        <v>163</v>
      </c>
      <c r="BM1110">
        <v>1</v>
      </c>
      <c r="BN1110">
        <v>1</v>
      </c>
      <c r="BO1110">
        <v>1</v>
      </c>
      <c r="BP1110">
        <v>0</v>
      </c>
      <c r="BS1110">
        <v>0.04</v>
      </c>
      <c r="BT1110">
        <v>0</v>
      </c>
      <c r="BU1110">
        <v>0</v>
      </c>
      <c r="CE1110" t="str">
        <f t="shared" si="388"/>
        <v>19:28:33.338</v>
      </c>
      <c r="CF1110">
        <v>337515308</v>
      </c>
      <c r="CS1110">
        <v>3</v>
      </c>
      <c r="CT1110">
        <v>2</v>
      </c>
      <c r="CU1110">
        <v>0</v>
      </c>
      <c r="CV1110">
        <v>2</v>
      </c>
      <c r="CW1110">
        <v>0</v>
      </c>
      <c r="CX1110">
        <v>5</v>
      </c>
      <c r="CY1110">
        <v>7</v>
      </c>
      <c r="CZ1110" t="s">
        <v>131</v>
      </c>
      <c r="DA1110">
        <v>300</v>
      </c>
      <c r="DB1110">
        <v>0</v>
      </c>
      <c r="DC1110" t="s">
        <v>176</v>
      </c>
      <c r="DD1110" t="s">
        <v>177</v>
      </c>
      <c r="DG1110">
        <v>5378960</v>
      </c>
      <c r="DI1110">
        <v>1</v>
      </c>
      <c r="DJ1110">
        <v>0</v>
      </c>
      <c r="DK1110">
        <v>1</v>
      </c>
      <c r="DL1110">
        <v>0</v>
      </c>
      <c r="DM1110">
        <v>0</v>
      </c>
      <c r="DN1110">
        <v>1</v>
      </c>
      <c r="DO1110">
        <v>0</v>
      </c>
      <c r="DP1110">
        <v>0</v>
      </c>
      <c r="DQ1110">
        <v>0</v>
      </c>
      <c r="DR1110">
        <v>0</v>
      </c>
      <c r="DS1110">
        <v>0</v>
      </c>
    </row>
    <row r="1111" spans="1:123" x14ac:dyDescent="0.3">
      <c r="A1111" t="str">
        <f t="shared" si="386"/>
        <v>10/04/2022 19:28:33.587</v>
      </c>
      <c r="C1111" t="str">
        <f t="shared" ref="C1111:C1136" si="389">"FFDFD3C0"</f>
        <v>FFDFD3C0</v>
      </c>
      <c r="D1111" t="s">
        <v>136</v>
      </c>
      <c r="E1111">
        <v>8</v>
      </c>
      <c r="H1111">
        <v>225</v>
      </c>
      <c r="I1111" t="s">
        <v>137</v>
      </c>
      <c r="J1111" t="s">
        <v>138</v>
      </c>
      <c r="K1111">
        <v>0</v>
      </c>
      <c r="L1111">
        <v>3</v>
      </c>
      <c r="M1111">
        <v>0</v>
      </c>
      <c r="N1111">
        <v>2</v>
      </c>
      <c r="O1111">
        <v>0</v>
      </c>
      <c r="P1111">
        <v>1</v>
      </c>
      <c r="Q1111">
        <v>0</v>
      </c>
      <c r="S1111" t="str">
        <f t="shared" si="387"/>
        <v>19:28:33.000</v>
      </c>
      <c r="T1111" t="str">
        <f t="shared" si="387"/>
        <v>19:28:33.000</v>
      </c>
      <c r="U1111" t="str">
        <f t="shared" si="380"/>
        <v>AC3944</v>
      </c>
      <c r="V1111">
        <v>0</v>
      </c>
      <c r="W1111">
        <v>0</v>
      </c>
      <c r="X1111">
        <v>2</v>
      </c>
      <c r="Y1111">
        <v>0</v>
      </c>
      <c r="AA1111">
        <v>1</v>
      </c>
      <c r="AB1111">
        <v>8</v>
      </c>
      <c r="AC1111">
        <v>3</v>
      </c>
      <c r="AD1111">
        <v>0</v>
      </c>
      <c r="AE1111">
        <v>9</v>
      </c>
      <c r="AF1111" t="s">
        <v>138</v>
      </c>
      <c r="AG1111">
        <v>0</v>
      </c>
      <c r="AH1111">
        <v>3</v>
      </c>
      <c r="AI1111">
        <v>1</v>
      </c>
      <c r="AJ1111">
        <v>0</v>
      </c>
      <c r="AK1111" t="s">
        <v>451</v>
      </c>
      <c r="AL1111">
        <v>32.806935000000003</v>
      </c>
      <c r="AM1111" t="s">
        <v>452</v>
      </c>
      <c r="AN1111">
        <v>-116.919873</v>
      </c>
      <c r="AO1111">
        <v>25</v>
      </c>
      <c r="AP1111">
        <v>2100</v>
      </c>
      <c r="AQ1111" t="s">
        <v>129</v>
      </c>
      <c r="AR1111">
        <v>127</v>
      </c>
      <c r="AS1111">
        <v>-16</v>
      </c>
      <c r="AT1111">
        <v>640</v>
      </c>
      <c r="BB1111">
        <v>1200</v>
      </c>
      <c r="BC1111">
        <v>1</v>
      </c>
      <c r="BD1111" t="str">
        <f t="shared" si="381"/>
        <v xml:space="preserve">N887QR  </v>
      </c>
      <c r="BE1111">
        <v>1</v>
      </c>
      <c r="BG1111">
        <v>0</v>
      </c>
      <c r="BH1111">
        <v>0</v>
      </c>
      <c r="BI1111">
        <v>0</v>
      </c>
      <c r="BJ1111">
        <v>1800</v>
      </c>
      <c r="BK1111">
        <v>-300</v>
      </c>
      <c r="BL1111" t="s">
        <v>163</v>
      </c>
      <c r="BM1111">
        <v>1</v>
      </c>
      <c r="BN1111">
        <v>1</v>
      </c>
      <c r="BO1111">
        <v>1</v>
      </c>
      <c r="BP1111">
        <v>0</v>
      </c>
      <c r="BS1111">
        <v>0.04</v>
      </c>
      <c r="BT1111">
        <v>0</v>
      </c>
      <c r="BU1111">
        <v>0</v>
      </c>
      <c r="CE1111" t="str">
        <f t="shared" si="388"/>
        <v>19:28:33.338</v>
      </c>
      <c r="CF1111">
        <v>337515308</v>
      </c>
      <c r="CS1111">
        <v>3</v>
      </c>
      <c r="CT1111">
        <v>2</v>
      </c>
      <c r="CU1111">
        <v>0</v>
      </c>
      <c r="CV1111">
        <v>2</v>
      </c>
      <c r="CW1111">
        <v>0</v>
      </c>
      <c r="CX1111">
        <v>5</v>
      </c>
      <c r="CY1111">
        <v>7</v>
      </c>
      <c r="CZ1111" t="s">
        <v>131</v>
      </c>
      <c r="DA1111">
        <v>300</v>
      </c>
      <c r="DB1111">
        <v>0</v>
      </c>
      <c r="DC1111" t="s">
        <v>176</v>
      </c>
      <c r="DD1111" t="s">
        <v>177</v>
      </c>
      <c r="DG1111">
        <v>5378960</v>
      </c>
      <c r="DI1111">
        <v>1</v>
      </c>
      <c r="DJ1111">
        <v>0</v>
      </c>
      <c r="DK1111">
        <v>1</v>
      </c>
      <c r="DL1111">
        <v>0</v>
      </c>
      <c r="DM1111">
        <v>0</v>
      </c>
      <c r="DN1111">
        <v>1</v>
      </c>
      <c r="DO1111">
        <v>0</v>
      </c>
      <c r="DP1111">
        <v>0</v>
      </c>
      <c r="DQ1111">
        <v>0</v>
      </c>
      <c r="DR1111">
        <v>0</v>
      </c>
      <c r="DS1111">
        <v>0</v>
      </c>
    </row>
    <row r="1112" spans="1:123" x14ac:dyDescent="0.3">
      <c r="A1112" t="str">
        <f t="shared" si="386"/>
        <v>10/04/2022 19:28:33.587</v>
      </c>
      <c r="C1112" t="str">
        <f t="shared" si="389"/>
        <v>FFDFD3C0</v>
      </c>
      <c r="D1112" t="s">
        <v>143</v>
      </c>
      <c r="E1112">
        <v>20</v>
      </c>
      <c r="F1112">
        <v>1020</v>
      </c>
      <c r="G1112" t="s">
        <v>144</v>
      </c>
      <c r="J1112" t="s">
        <v>145</v>
      </c>
      <c r="K1112">
        <v>0</v>
      </c>
      <c r="L1112">
        <v>3</v>
      </c>
      <c r="M1112">
        <v>0</v>
      </c>
      <c r="N1112">
        <v>2</v>
      </c>
      <c r="O1112">
        <v>0</v>
      </c>
      <c r="P1112">
        <v>1</v>
      </c>
      <c r="Q1112">
        <v>0</v>
      </c>
      <c r="S1112" t="str">
        <f t="shared" si="387"/>
        <v>19:28:33.000</v>
      </c>
      <c r="T1112" t="str">
        <f t="shared" si="387"/>
        <v>19:28:33.000</v>
      </c>
      <c r="U1112" t="str">
        <f t="shared" si="380"/>
        <v>AC3944</v>
      </c>
      <c r="V1112">
        <v>0</v>
      </c>
      <c r="W1112">
        <v>0</v>
      </c>
      <c r="X1112">
        <v>2</v>
      </c>
      <c r="Y1112">
        <v>0</v>
      </c>
      <c r="AA1112">
        <v>1</v>
      </c>
      <c r="AB1112">
        <v>8</v>
      </c>
      <c r="AC1112">
        <v>3</v>
      </c>
      <c r="AD1112">
        <v>0</v>
      </c>
      <c r="AE1112">
        <v>9</v>
      </c>
      <c r="AF1112" t="s">
        <v>138</v>
      </c>
      <c r="AG1112">
        <v>0</v>
      </c>
      <c r="AH1112">
        <v>3</v>
      </c>
      <c r="AI1112">
        <v>1</v>
      </c>
      <c r="AJ1112">
        <v>0</v>
      </c>
      <c r="AK1112" t="s">
        <v>451</v>
      </c>
      <c r="AL1112">
        <v>32.806935000000003</v>
      </c>
      <c r="AM1112" t="s">
        <v>452</v>
      </c>
      <c r="AN1112">
        <v>-116.919873</v>
      </c>
      <c r="AO1112">
        <v>25</v>
      </c>
      <c r="AP1112">
        <v>2100</v>
      </c>
      <c r="AQ1112" t="s">
        <v>129</v>
      </c>
      <c r="AR1112">
        <v>127</v>
      </c>
      <c r="AS1112">
        <v>-16</v>
      </c>
      <c r="AT1112">
        <v>640</v>
      </c>
      <c r="BB1112">
        <v>1200</v>
      </c>
      <c r="BC1112">
        <v>1</v>
      </c>
      <c r="BD1112" t="str">
        <f t="shared" si="381"/>
        <v xml:space="preserve">N887QR  </v>
      </c>
      <c r="BE1112">
        <v>1</v>
      </c>
      <c r="BG1112">
        <v>0</v>
      </c>
      <c r="BH1112">
        <v>0</v>
      </c>
      <c r="BI1112">
        <v>0</v>
      </c>
      <c r="BJ1112">
        <v>1800</v>
      </c>
      <c r="BK1112">
        <v>-300</v>
      </c>
      <c r="BL1112" t="s">
        <v>163</v>
      </c>
      <c r="BM1112">
        <v>1</v>
      </c>
      <c r="BN1112">
        <v>1</v>
      </c>
      <c r="BO1112">
        <v>1</v>
      </c>
      <c r="BP1112">
        <v>0</v>
      </c>
      <c r="BS1112">
        <v>0.04</v>
      </c>
      <c r="BT1112">
        <v>0</v>
      </c>
      <c r="BU1112">
        <v>0</v>
      </c>
      <c r="CE1112" t="str">
        <f t="shared" si="388"/>
        <v>19:28:33.338</v>
      </c>
      <c r="CF1112">
        <v>337515308</v>
      </c>
      <c r="CS1112">
        <v>3</v>
      </c>
      <c r="CT1112">
        <v>2</v>
      </c>
      <c r="CU1112">
        <v>0</v>
      </c>
      <c r="CV1112">
        <v>2</v>
      </c>
      <c r="CW1112">
        <v>0</v>
      </c>
      <c r="CX1112">
        <v>5</v>
      </c>
      <c r="CY1112">
        <v>7</v>
      </c>
      <c r="CZ1112" t="s">
        <v>131</v>
      </c>
      <c r="DA1112">
        <v>300</v>
      </c>
      <c r="DB1112">
        <v>0</v>
      </c>
      <c r="DC1112" t="s">
        <v>176</v>
      </c>
      <c r="DD1112" t="s">
        <v>177</v>
      </c>
      <c r="DG1112">
        <v>5378960</v>
      </c>
      <c r="DI1112">
        <v>1</v>
      </c>
      <c r="DJ1112">
        <v>0</v>
      </c>
      <c r="DK1112">
        <v>1</v>
      </c>
      <c r="DL1112">
        <v>0</v>
      </c>
      <c r="DM1112">
        <v>0</v>
      </c>
      <c r="DN1112">
        <v>1</v>
      </c>
      <c r="DO1112">
        <v>0</v>
      </c>
      <c r="DP1112">
        <v>0</v>
      </c>
      <c r="DQ1112">
        <v>0</v>
      </c>
      <c r="DR1112">
        <v>0</v>
      </c>
      <c r="DS1112">
        <v>0</v>
      </c>
    </row>
    <row r="1113" spans="1:123" x14ac:dyDescent="0.3">
      <c r="A1113" t="str">
        <f t="shared" si="386"/>
        <v>10/04/2022 19:28:33.587</v>
      </c>
      <c r="C1113" t="str">
        <f t="shared" si="389"/>
        <v>FFDFD3C0</v>
      </c>
      <c r="D1113" t="s">
        <v>147</v>
      </c>
      <c r="E1113">
        <v>3</v>
      </c>
      <c r="H1113">
        <v>166</v>
      </c>
      <c r="I1113" t="s">
        <v>144</v>
      </c>
      <c r="J1113" t="s">
        <v>148</v>
      </c>
      <c r="K1113">
        <v>0</v>
      </c>
      <c r="L1113">
        <v>3</v>
      </c>
      <c r="M1113">
        <v>0</v>
      </c>
      <c r="N1113">
        <v>2</v>
      </c>
      <c r="O1113">
        <v>0</v>
      </c>
      <c r="P1113">
        <v>1</v>
      </c>
      <c r="Q1113">
        <v>0</v>
      </c>
      <c r="S1113" t="str">
        <f t="shared" si="387"/>
        <v>19:28:33.000</v>
      </c>
      <c r="T1113" t="str">
        <f t="shared" si="387"/>
        <v>19:28:33.000</v>
      </c>
      <c r="U1113" t="str">
        <f t="shared" si="380"/>
        <v>AC3944</v>
      </c>
      <c r="V1113">
        <v>0</v>
      </c>
      <c r="W1113">
        <v>0</v>
      </c>
      <c r="X1113">
        <v>2</v>
      </c>
      <c r="Y1113">
        <v>0</v>
      </c>
      <c r="AA1113">
        <v>1</v>
      </c>
      <c r="AB1113">
        <v>8</v>
      </c>
      <c r="AC1113">
        <v>3</v>
      </c>
      <c r="AD1113">
        <v>0</v>
      </c>
      <c r="AE1113">
        <v>9</v>
      </c>
      <c r="AF1113" t="s">
        <v>138</v>
      </c>
      <c r="AG1113">
        <v>0</v>
      </c>
      <c r="AH1113">
        <v>3</v>
      </c>
      <c r="AI1113">
        <v>1</v>
      </c>
      <c r="AJ1113">
        <v>0</v>
      </c>
      <c r="AK1113" t="s">
        <v>451</v>
      </c>
      <c r="AL1113">
        <v>32.806935000000003</v>
      </c>
      <c r="AM1113" t="s">
        <v>452</v>
      </c>
      <c r="AN1113">
        <v>-116.919873</v>
      </c>
      <c r="AO1113">
        <v>25</v>
      </c>
      <c r="AP1113">
        <v>2100</v>
      </c>
      <c r="AQ1113" t="s">
        <v>129</v>
      </c>
      <c r="AR1113">
        <v>127</v>
      </c>
      <c r="AS1113">
        <v>-16</v>
      </c>
      <c r="AT1113">
        <v>640</v>
      </c>
      <c r="BB1113">
        <v>1200</v>
      </c>
      <c r="BC1113">
        <v>1</v>
      </c>
      <c r="BD1113" t="str">
        <f t="shared" si="381"/>
        <v xml:space="preserve">N887QR  </v>
      </c>
      <c r="BE1113">
        <v>1</v>
      </c>
      <c r="BG1113">
        <v>0</v>
      </c>
      <c r="BH1113">
        <v>0</v>
      </c>
      <c r="BI1113">
        <v>0</v>
      </c>
      <c r="BJ1113">
        <v>1800</v>
      </c>
      <c r="BK1113">
        <v>-300</v>
      </c>
      <c r="BL1113" t="s">
        <v>163</v>
      </c>
      <c r="BM1113">
        <v>1</v>
      </c>
      <c r="BN1113">
        <v>1</v>
      </c>
      <c r="BO1113">
        <v>1</v>
      </c>
      <c r="BP1113">
        <v>0</v>
      </c>
      <c r="BS1113">
        <v>0.04</v>
      </c>
      <c r="BT1113">
        <v>0</v>
      </c>
      <c r="BU1113">
        <v>0</v>
      </c>
      <c r="CE1113" t="str">
        <f t="shared" si="388"/>
        <v>19:28:33.338</v>
      </c>
      <c r="CF1113">
        <v>337515308</v>
      </c>
      <c r="CS1113">
        <v>3</v>
      </c>
      <c r="CT1113">
        <v>2</v>
      </c>
      <c r="CU1113">
        <v>0</v>
      </c>
      <c r="CV1113">
        <v>2</v>
      </c>
      <c r="CW1113">
        <v>0</v>
      </c>
      <c r="CX1113">
        <v>5</v>
      </c>
      <c r="CY1113">
        <v>7</v>
      </c>
      <c r="CZ1113" t="s">
        <v>131</v>
      </c>
      <c r="DA1113">
        <v>300</v>
      </c>
      <c r="DB1113">
        <v>0</v>
      </c>
      <c r="DC1113" t="s">
        <v>176</v>
      </c>
      <c r="DD1113" t="s">
        <v>177</v>
      </c>
      <c r="DG1113">
        <v>5378960</v>
      </c>
      <c r="DI1113">
        <v>1</v>
      </c>
      <c r="DJ1113">
        <v>0</v>
      </c>
      <c r="DK1113">
        <v>1</v>
      </c>
      <c r="DL1113">
        <v>0</v>
      </c>
      <c r="DM1113">
        <v>0</v>
      </c>
      <c r="DN1113">
        <v>1</v>
      </c>
      <c r="DO1113">
        <v>0</v>
      </c>
      <c r="DP1113">
        <v>0</v>
      </c>
      <c r="DQ1113">
        <v>0</v>
      </c>
      <c r="DR1113">
        <v>0</v>
      </c>
      <c r="DS1113">
        <v>0</v>
      </c>
    </row>
    <row r="1114" spans="1:123" x14ac:dyDescent="0.3">
      <c r="A1114" t="str">
        <f t="shared" si="386"/>
        <v>10/04/2022 19:28:33.587</v>
      </c>
      <c r="C1114" t="str">
        <f t="shared" si="389"/>
        <v>FFDFD3C0</v>
      </c>
      <c r="D1114" t="s">
        <v>134</v>
      </c>
      <c r="E1114">
        <v>15</v>
      </c>
      <c r="J1114" t="s">
        <v>135</v>
      </c>
      <c r="K1114">
        <v>0</v>
      </c>
      <c r="L1114">
        <v>3</v>
      </c>
      <c r="M1114">
        <v>0</v>
      </c>
      <c r="N1114">
        <v>2</v>
      </c>
      <c r="O1114">
        <v>0</v>
      </c>
      <c r="P1114">
        <v>1</v>
      </c>
      <c r="Q1114">
        <v>0</v>
      </c>
      <c r="S1114" t="str">
        <f t="shared" si="387"/>
        <v>19:28:33.000</v>
      </c>
      <c r="T1114" t="str">
        <f t="shared" si="387"/>
        <v>19:28:33.000</v>
      </c>
      <c r="U1114" t="str">
        <f t="shared" si="380"/>
        <v>AC3944</v>
      </c>
      <c r="V1114">
        <v>0</v>
      </c>
      <c r="W1114">
        <v>0</v>
      </c>
      <c r="X1114">
        <v>2</v>
      </c>
      <c r="Y1114">
        <v>0</v>
      </c>
      <c r="AA1114">
        <v>1</v>
      </c>
      <c r="AB1114">
        <v>8</v>
      </c>
      <c r="AC1114">
        <v>3</v>
      </c>
      <c r="AD1114">
        <v>0</v>
      </c>
      <c r="AE1114">
        <v>9</v>
      </c>
      <c r="AF1114" t="s">
        <v>138</v>
      </c>
      <c r="AG1114">
        <v>0</v>
      </c>
      <c r="AH1114">
        <v>3</v>
      </c>
      <c r="AI1114">
        <v>1</v>
      </c>
      <c r="AJ1114">
        <v>0</v>
      </c>
      <c r="AK1114" t="s">
        <v>451</v>
      </c>
      <c r="AL1114">
        <v>32.806935000000003</v>
      </c>
      <c r="AM1114" t="s">
        <v>452</v>
      </c>
      <c r="AN1114">
        <v>-116.919873</v>
      </c>
      <c r="AO1114">
        <v>25</v>
      </c>
      <c r="AP1114">
        <v>2100</v>
      </c>
      <c r="AQ1114" t="s">
        <v>129</v>
      </c>
      <c r="AR1114">
        <v>127</v>
      </c>
      <c r="AS1114">
        <v>-16</v>
      </c>
      <c r="AT1114">
        <v>640</v>
      </c>
      <c r="BB1114">
        <v>1200</v>
      </c>
      <c r="BC1114">
        <v>1</v>
      </c>
      <c r="BD1114" t="str">
        <f t="shared" si="381"/>
        <v xml:space="preserve">N887QR  </v>
      </c>
      <c r="BE1114">
        <v>1</v>
      </c>
      <c r="BG1114">
        <v>0</v>
      </c>
      <c r="BH1114">
        <v>0</v>
      </c>
      <c r="BI1114">
        <v>0</v>
      </c>
      <c r="BJ1114">
        <v>1800</v>
      </c>
      <c r="BK1114">
        <v>-300</v>
      </c>
      <c r="BL1114" t="s">
        <v>163</v>
      </c>
      <c r="BM1114">
        <v>1</v>
      </c>
      <c r="BN1114">
        <v>1</v>
      </c>
      <c r="BO1114">
        <v>1</v>
      </c>
      <c r="BP1114">
        <v>0</v>
      </c>
      <c r="BS1114">
        <v>0.04</v>
      </c>
      <c r="BT1114">
        <v>0</v>
      </c>
      <c r="BU1114">
        <v>0</v>
      </c>
      <c r="CE1114" t="str">
        <f t="shared" si="388"/>
        <v>19:28:33.338</v>
      </c>
      <c r="CF1114">
        <v>337515308</v>
      </c>
      <c r="CS1114">
        <v>3</v>
      </c>
      <c r="CT1114">
        <v>2</v>
      </c>
      <c r="CU1114">
        <v>0</v>
      </c>
      <c r="CV1114">
        <v>2</v>
      </c>
      <c r="CW1114">
        <v>0</v>
      </c>
      <c r="CX1114">
        <v>5</v>
      </c>
      <c r="CY1114">
        <v>7</v>
      </c>
      <c r="CZ1114" t="s">
        <v>131</v>
      </c>
      <c r="DA1114">
        <v>300</v>
      </c>
      <c r="DB1114">
        <v>0</v>
      </c>
      <c r="DC1114" t="s">
        <v>176</v>
      </c>
      <c r="DD1114" t="s">
        <v>177</v>
      </c>
      <c r="DG1114">
        <v>5378960</v>
      </c>
      <c r="DI1114">
        <v>1</v>
      </c>
      <c r="DJ1114">
        <v>0</v>
      </c>
      <c r="DK1114">
        <v>1</v>
      </c>
      <c r="DL1114">
        <v>0</v>
      </c>
      <c r="DM1114">
        <v>0</v>
      </c>
      <c r="DN1114">
        <v>1</v>
      </c>
      <c r="DO1114">
        <v>0</v>
      </c>
      <c r="DP1114">
        <v>0</v>
      </c>
      <c r="DQ1114">
        <v>0</v>
      </c>
      <c r="DR1114">
        <v>0</v>
      </c>
      <c r="DS1114">
        <v>0</v>
      </c>
    </row>
    <row r="1115" spans="1:123" x14ac:dyDescent="0.3">
      <c r="A1115" t="str">
        <f t="shared" si="386"/>
        <v>10/04/2022 19:28:33.587</v>
      </c>
      <c r="C1115" t="str">
        <f t="shared" si="389"/>
        <v>FFDFD3C0</v>
      </c>
      <c r="D1115" t="s">
        <v>123</v>
      </c>
      <c r="E1115">
        <v>7</v>
      </c>
      <c r="F1115">
        <v>2007</v>
      </c>
      <c r="G1115" t="s">
        <v>124</v>
      </c>
      <c r="J1115" t="s">
        <v>125</v>
      </c>
      <c r="K1115">
        <v>0</v>
      </c>
      <c r="L1115">
        <v>3</v>
      </c>
      <c r="M1115">
        <v>0</v>
      </c>
      <c r="N1115">
        <v>2</v>
      </c>
      <c r="O1115">
        <v>0</v>
      </c>
      <c r="P1115">
        <v>1</v>
      </c>
      <c r="Q1115">
        <v>0</v>
      </c>
      <c r="S1115" t="str">
        <f t="shared" si="387"/>
        <v>19:28:33.000</v>
      </c>
      <c r="T1115" t="str">
        <f t="shared" si="387"/>
        <v>19:28:33.000</v>
      </c>
      <c r="U1115" t="str">
        <f t="shared" si="380"/>
        <v>AC3944</v>
      </c>
      <c r="V1115">
        <v>0</v>
      </c>
      <c r="W1115">
        <v>0</v>
      </c>
      <c r="X1115">
        <v>2</v>
      </c>
      <c r="Y1115">
        <v>0</v>
      </c>
      <c r="AA1115">
        <v>1</v>
      </c>
      <c r="AB1115">
        <v>8</v>
      </c>
      <c r="AC1115">
        <v>3</v>
      </c>
      <c r="AD1115">
        <v>0</v>
      </c>
      <c r="AE1115">
        <v>9</v>
      </c>
      <c r="AF1115" t="s">
        <v>138</v>
      </c>
      <c r="AG1115">
        <v>0</v>
      </c>
      <c r="AH1115">
        <v>3</v>
      </c>
      <c r="AI1115">
        <v>1</v>
      </c>
      <c r="AJ1115">
        <v>0</v>
      </c>
      <c r="AK1115" t="s">
        <v>451</v>
      </c>
      <c r="AL1115">
        <v>32.806935000000003</v>
      </c>
      <c r="AM1115" t="s">
        <v>452</v>
      </c>
      <c r="AN1115">
        <v>-116.919873</v>
      </c>
      <c r="AO1115">
        <v>25</v>
      </c>
      <c r="AP1115">
        <v>2100</v>
      </c>
      <c r="AQ1115" t="s">
        <v>129</v>
      </c>
      <c r="AR1115">
        <v>127</v>
      </c>
      <c r="AS1115">
        <v>-16</v>
      </c>
      <c r="AT1115">
        <v>640</v>
      </c>
      <c r="BB1115">
        <v>1200</v>
      </c>
      <c r="BC1115">
        <v>1</v>
      </c>
      <c r="BD1115" t="str">
        <f t="shared" si="381"/>
        <v xml:space="preserve">N887QR  </v>
      </c>
      <c r="BE1115">
        <v>1</v>
      </c>
      <c r="BG1115">
        <v>0</v>
      </c>
      <c r="BH1115">
        <v>0</v>
      </c>
      <c r="BI1115">
        <v>0</v>
      </c>
      <c r="BJ1115">
        <v>1800</v>
      </c>
      <c r="BK1115">
        <v>-300</v>
      </c>
      <c r="BL1115" t="s">
        <v>163</v>
      </c>
      <c r="BM1115">
        <v>1</v>
      </c>
      <c r="BN1115">
        <v>1</v>
      </c>
      <c r="BO1115">
        <v>1</v>
      </c>
      <c r="BP1115">
        <v>0</v>
      </c>
      <c r="BS1115">
        <v>0.04</v>
      </c>
      <c r="BT1115">
        <v>0</v>
      </c>
      <c r="BU1115">
        <v>0</v>
      </c>
      <c r="CE1115" t="str">
        <f t="shared" si="388"/>
        <v>19:28:33.338</v>
      </c>
      <c r="CF1115">
        <v>337515308</v>
      </c>
      <c r="CS1115">
        <v>3</v>
      </c>
      <c r="CT1115">
        <v>2</v>
      </c>
      <c r="CU1115">
        <v>0</v>
      </c>
      <c r="CV1115">
        <v>2</v>
      </c>
      <c r="CW1115">
        <v>0</v>
      </c>
      <c r="CX1115">
        <v>5</v>
      </c>
      <c r="CY1115">
        <v>7</v>
      </c>
      <c r="CZ1115" t="s">
        <v>131</v>
      </c>
      <c r="DA1115">
        <v>300</v>
      </c>
      <c r="DB1115">
        <v>0</v>
      </c>
      <c r="DC1115" t="s">
        <v>176</v>
      </c>
      <c r="DD1115" t="s">
        <v>177</v>
      </c>
      <c r="DG1115">
        <v>5378960</v>
      </c>
      <c r="DI1115">
        <v>1</v>
      </c>
      <c r="DJ1115">
        <v>0</v>
      </c>
      <c r="DK1115">
        <v>1</v>
      </c>
      <c r="DL1115">
        <v>0</v>
      </c>
      <c r="DM1115">
        <v>0</v>
      </c>
      <c r="DN1115">
        <v>1</v>
      </c>
      <c r="DO1115">
        <v>0</v>
      </c>
      <c r="DP1115">
        <v>0</v>
      </c>
      <c r="DQ1115">
        <v>0</v>
      </c>
      <c r="DR1115">
        <v>0</v>
      </c>
      <c r="DS1115">
        <v>0</v>
      </c>
    </row>
    <row r="1116" spans="1:123" x14ac:dyDescent="0.3">
      <c r="A1116" t="str">
        <f>"10/04/2022 19:28:34.681"</f>
        <v>10/04/2022 19:28:34.681</v>
      </c>
      <c r="C1116" t="str">
        <f t="shared" si="389"/>
        <v>FFDFD3C0</v>
      </c>
      <c r="D1116" t="s">
        <v>141</v>
      </c>
      <c r="E1116">
        <v>3</v>
      </c>
      <c r="H1116">
        <v>3</v>
      </c>
      <c r="I1116" t="s">
        <v>146</v>
      </c>
      <c r="J1116" t="s">
        <v>138</v>
      </c>
      <c r="K1116">
        <v>0</v>
      </c>
      <c r="L1116">
        <v>3</v>
      </c>
      <c r="M1116">
        <v>0</v>
      </c>
      <c r="N1116">
        <v>2</v>
      </c>
      <c r="O1116">
        <v>0</v>
      </c>
      <c r="P1116">
        <v>1</v>
      </c>
      <c r="Q1116">
        <v>0</v>
      </c>
      <c r="S1116" t="str">
        <f t="shared" ref="S1116:T1129" si="390">"19:28:34.000"</f>
        <v>19:28:34.000</v>
      </c>
      <c r="T1116" t="str">
        <f t="shared" si="390"/>
        <v>19:28:34.000</v>
      </c>
      <c r="U1116" t="str">
        <f t="shared" si="380"/>
        <v>AC3944</v>
      </c>
      <c r="V1116">
        <v>0</v>
      </c>
      <c r="W1116">
        <v>0</v>
      </c>
      <c r="X1116">
        <v>2</v>
      </c>
      <c r="Y1116">
        <v>0</v>
      </c>
      <c r="AA1116">
        <v>1</v>
      </c>
      <c r="AB1116">
        <v>8</v>
      </c>
      <c r="AC1116">
        <v>3</v>
      </c>
      <c r="AD1116">
        <v>0</v>
      </c>
      <c r="AE1116">
        <v>9</v>
      </c>
      <c r="AF1116" t="s">
        <v>138</v>
      </c>
      <c r="AG1116">
        <v>0</v>
      </c>
      <c r="AH1116">
        <v>3</v>
      </c>
      <c r="AI1116">
        <v>1</v>
      </c>
      <c r="AJ1116">
        <v>0</v>
      </c>
      <c r="AK1116" t="s">
        <v>453</v>
      </c>
      <c r="AL1116">
        <v>32.806871000000001</v>
      </c>
      <c r="AM1116" t="s">
        <v>454</v>
      </c>
      <c r="AN1116">
        <v>-116.919186</v>
      </c>
      <c r="AO1116">
        <v>25</v>
      </c>
      <c r="AP1116">
        <v>2100</v>
      </c>
      <c r="AQ1116" t="s">
        <v>129</v>
      </c>
      <c r="AR1116">
        <v>127</v>
      </c>
      <c r="AS1116">
        <v>-14</v>
      </c>
      <c r="AT1116">
        <v>704</v>
      </c>
      <c r="BB1116">
        <v>1200</v>
      </c>
      <c r="BC1116">
        <v>1</v>
      </c>
      <c r="BD1116" t="str">
        <f t="shared" si="381"/>
        <v xml:space="preserve">N887QR  </v>
      </c>
      <c r="BE1116">
        <v>1</v>
      </c>
      <c r="BG1116">
        <v>0</v>
      </c>
      <c r="BH1116">
        <v>0</v>
      </c>
      <c r="BI1116">
        <v>0</v>
      </c>
      <c r="BJ1116">
        <v>1825</v>
      </c>
      <c r="BK1116">
        <v>-275</v>
      </c>
      <c r="BL1116" t="s">
        <v>163</v>
      </c>
      <c r="BM1116">
        <v>1</v>
      </c>
      <c r="BN1116">
        <v>1</v>
      </c>
      <c r="BO1116">
        <v>1</v>
      </c>
      <c r="BP1116">
        <v>0</v>
      </c>
      <c r="BS1116">
        <v>0</v>
      </c>
      <c r="BT1116">
        <v>0</v>
      </c>
      <c r="BU1116">
        <v>0</v>
      </c>
      <c r="CE1116" t="str">
        <f t="shared" ref="CE1116:CE1122" si="391">"19:28:34.474"</f>
        <v>19:28:34.474</v>
      </c>
      <c r="CF1116">
        <v>474269015</v>
      </c>
      <c r="CS1116">
        <v>3</v>
      </c>
      <c r="CT1116">
        <v>2</v>
      </c>
      <c r="CU1116">
        <v>0</v>
      </c>
      <c r="CV1116">
        <v>2</v>
      </c>
      <c r="CW1116">
        <v>0</v>
      </c>
      <c r="CX1116">
        <v>5</v>
      </c>
      <c r="CY1116">
        <v>7</v>
      </c>
      <c r="CZ1116" t="s">
        <v>131</v>
      </c>
      <c r="DA1116">
        <v>300</v>
      </c>
      <c r="DB1116">
        <v>0</v>
      </c>
      <c r="DC1116" t="s">
        <v>176</v>
      </c>
      <c r="DD1116" t="s">
        <v>177</v>
      </c>
      <c r="DG1116">
        <v>5379146</v>
      </c>
      <c r="DI1116">
        <v>1</v>
      </c>
      <c r="DJ1116">
        <v>0</v>
      </c>
      <c r="DK1116">
        <v>0</v>
      </c>
      <c r="DL1116">
        <v>0</v>
      </c>
      <c r="DM1116">
        <v>0</v>
      </c>
      <c r="DN1116">
        <v>1</v>
      </c>
      <c r="DO1116">
        <v>0</v>
      </c>
      <c r="DP1116">
        <v>0</v>
      </c>
      <c r="DQ1116">
        <v>0</v>
      </c>
      <c r="DR1116">
        <v>0</v>
      </c>
      <c r="DS1116">
        <v>0</v>
      </c>
    </row>
    <row r="1117" spans="1:123" x14ac:dyDescent="0.3">
      <c r="A1117" t="str">
        <f>"10/04/2022 19:28:34.681"</f>
        <v>10/04/2022 19:28:34.681</v>
      </c>
      <c r="C1117" t="str">
        <f t="shared" si="389"/>
        <v>FFDFD3C0</v>
      </c>
      <c r="D1117" t="s">
        <v>143</v>
      </c>
      <c r="E1117">
        <v>20</v>
      </c>
      <c r="F1117">
        <v>1020</v>
      </c>
      <c r="G1117" t="s">
        <v>144</v>
      </c>
      <c r="J1117" t="s">
        <v>145</v>
      </c>
      <c r="K1117">
        <v>0</v>
      </c>
      <c r="L1117">
        <v>3</v>
      </c>
      <c r="M1117">
        <v>0</v>
      </c>
      <c r="N1117">
        <v>2</v>
      </c>
      <c r="O1117">
        <v>0</v>
      </c>
      <c r="P1117">
        <v>1</v>
      </c>
      <c r="Q1117">
        <v>0</v>
      </c>
      <c r="S1117" t="str">
        <f t="shared" si="390"/>
        <v>19:28:34.000</v>
      </c>
      <c r="T1117" t="str">
        <f t="shared" si="390"/>
        <v>19:28:34.000</v>
      </c>
      <c r="U1117" t="str">
        <f t="shared" si="380"/>
        <v>AC3944</v>
      </c>
      <c r="V1117">
        <v>0</v>
      </c>
      <c r="W1117">
        <v>0</v>
      </c>
      <c r="X1117">
        <v>2</v>
      </c>
      <c r="Y1117">
        <v>0</v>
      </c>
      <c r="AA1117">
        <v>1</v>
      </c>
      <c r="AB1117">
        <v>8</v>
      </c>
      <c r="AC1117">
        <v>3</v>
      </c>
      <c r="AD1117">
        <v>0</v>
      </c>
      <c r="AE1117">
        <v>9</v>
      </c>
      <c r="AF1117" t="s">
        <v>138</v>
      </c>
      <c r="AG1117">
        <v>0</v>
      </c>
      <c r="AH1117">
        <v>3</v>
      </c>
      <c r="AI1117">
        <v>1</v>
      </c>
      <c r="AJ1117">
        <v>0</v>
      </c>
      <c r="AK1117" t="s">
        <v>453</v>
      </c>
      <c r="AL1117">
        <v>32.806871000000001</v>
      </c>
      <c r="AM1117" t="s">
        <v>454</v>
      </c>
      <c r="AN1117">
        <v>-116.919186</v>
      </c>
      <c r="AO1117">
        <v>25</v>
      </c>
      <c r="AP1117">
        <v>2100</v>
      </c>
      <c r="AQ1117" t="s">
        <v>129</v>
      </c>
      <c r="AR1117">
        <v>127</v>
      </c>
      <c r="AS1117">
        <v>-14</v>
      </c>
      <c r="AT1117">
        <v>704</v>
      </c>
      <c r="BB1117">
        <v>1200</v>
      </c>
      <c r="BC1117">
        <v>1</v>
      </c>
      <c r="BD1117" t="str">
        <f t="shared" si="381"/>
        <v xml:space="preserve">N887QR  </v>
      </c>
      <c r="BE1117">
        <v>1</v>
      </c>
      <c r="BG1117">
        <v>0</v>
      </c>
      <c r="BH1117">
        <v>0</v>
      </c>
      <c r="BI1117">
        <v>0</v>
      </c>
      <c r="BJ1117">
        <v>1825</v>
      </c>
      <c r="BK1117">
        <v>-275</v>
      </c>
      <c r="BL1117" t="s">
        <v>163</v>
      </c>
      <c r="BM1117">
        <v>1</v>
      </c>
      <c r="BN1117">
        <v>1</v>
      </c>
      <c r="BO1117">
        <v>1</v>
      </c>
      <c r="BP1117">
        <v>0</v>
      </c>
      <c r="BS1117">
        <v>0</v>
      </c>
      <c r="BT1117">
        <v>0</v>
      </c>
      <c r="BU1117">
        <v>0</v>
      </c>
      <c r="CE1117" t="str">
        <f t="shared" si="391"/>
        <v>19:28:34.474</v>
      </c>
      <c r="CF1117">
        <v>474269015</v>
      </c>
      <c r="CS1117">
        <v>3</v>
      </c>
      <c r="CT1117">
        <v>2</v>
      </c>
      <c r="CU1117">
        <v>0</v>
      </c>
      <c r="CV1117">
        <v>2</v>
      </c>
      <c r="CW1117">
        <v>0</v>
      </c>
      <c r="CX1117">
        <v>5</v>
      </c>
      <c r="CY1117">
        <v>7</v>
      </c>
      <c r="CZ1117" t="s">
        <v>131</v>
      </c>
      <c r="DA1117">
        <v>300</v>
      </c>
      <c r="DB1117">
        <v>0</v>
      </c>
      <c r="DC1117" t="s">
        <v>176</v>
      </c>
      <c r="DD1117" t="s">
        <v>177</v>
      </c>
      <c r="DG1117">
        <v>5379146</v>
      </c>
      <c r="DI1117">
        <v>1</v>
      </c>
      <c r="DJ1117">
        <v>0</v>
      </c>
      <c r="DK1117">
        <v>1</v>
      </c>
      <c r="DL1117">
        <v>0</v>
      </c>
      <c r="DM1117">
        <v>0</v>
      </c>
      <c r="DN1117">
        <v>1</v>
      </c>
      <c r="DO1117">
        <v>0</v>
      </c>
      <c r="DP1117">
        <v>0</v>
      </c>
      <c r="DQ1117">
        <v>0</v>
      </c>
      <c r="DR1117">
        <v>0</v>
      </c>
      <c r="DS1117">
        <v>0</v>
      </c>
    </row>
    <row r="1118" spans="1:123" x14ac:dyDescent="0.3">
      <c r="A1118" t="str">
        <f>"10/04/2022 19:28:34.681"</f>
        <v>10/04/2022 19:28:34.681</v>
      </c>
      <c r="C1118" t="str">
        <f t="shared" si="389"/>
        <v>FFDFD3C0</v>
      </c>
      <c r="D1118" t="s">
        <v>136</v>
      </c>
      <c r="E1118">
        <v>8</v>
      </c>
      <c r="H1118">
        <v>225</v>
      </c>
      <c r="I1118" t="s">
        <v>137</v>
      </c>
      <c r="J1118" t="s">
        <v>138</v>
      </c>
      <c r="K1118">
        <v>0</v>
      </c>
      <c r="L1118">
        <v>3</v>
      </c>
      <c r="M1118">
        <v>0</v>
      </c>
      <c r="N1118">
        <v>2</v>
      </c>
      <c r="O1118">
        <v>0</v>
      </c>
      <c r="P1118">
        <v>1</v>
      </c>
      <c r="Q1118">
        <v>0</v>
      </c>
      <c r="S1118" t="str">
        <f t="shared" si="390"/>
        <v>19:28:34.000</v>
      </c>
      <c r="T1118" t="str">
        <f t="shared" si="390"/>
        <v>19:28:34.000</v>
      </c>
      <c r="U1118" t="str">
        <f t="shared" si="380"/>
        <v>AC3944</v>
      </c>
      <c r="V1118">
        <v>0</v>
      </c>
      <c r="W1118">
        <v>0</v>
      </c>
      <c r="X1118">
        <v>2</v>
      </c>
      <c r="Y1118">
        <v>0</v>
      </c>
      <c r="AA1118">
        <v>1</v>
      </c>
      <c r="AB1118">
        <v>8</v>
      </c>
      <c r="AC1118">
        <v>3</v>
      </c>
      <c r="AD1118">
        <v>0</v>
      </c>
      <c r="AE1118">
        <v>9</v>
      </c>
      <c r="AF1118" t="s">
        <v>138</v>
      </c>
      <c r="AG1118">
        <v>0</v>
      </c>
      <c r="AH1118">
        <v>3</v>
      </c>
      <c r="AI1118">
        <v>1</v>
      </c>
      <c r="AJ1118">
        <v>0</v>
      </c>
      <c r="AK1118" t="s">
        <v>453</v>
      </c>
      <c r="AL1118">
        <v>32.806871000000001</v>
      </c>
      <c r="AM1118" t="s">
        <v>454</v>
      </c>
      <c r="AN1118">
        <v>-116.919186</v>
      </c>
      <c r="AO1118">
        <v>25</v>
      </c>
      <c r="AP1118">
        <v>2100</v>
      </c>
      <c r="AQ1118" t="s">
        <v>129</v>
      </c>
      <c r="AR1118">
        <v>127</v>
      </c>
      <c r="AS1118">
        <v>-14</v>
      </c>
      <c r="AT1118">
        <v>704</v>
      </c>
      <c r="BB1118">
        <v>1200</v>
      </c>
      <c r="BC1118">
        <v>1</v>
      </c>
      <c r="BD1118" t="str">
        <f t="shared" si="381"/>
        <v xml:space="preserve">N887QR  </v>
      </c>
      <c r="BE1118">
        <v>1</v>
      </c>
      <c r="BG1118">
        <v>0</v>
      </c>
      <c r="BH1118">
        <v>0</v>
      </c>
      <c r="BI1118">
        <v>0</v>
      </c>
      <c r="BJ1118">
        <v>1825</v>
      </c>
      <c r="BK1118">
        <v>-275</v>
      </c>
      <c r="BL1118" t="s">
        <v>163</v>
      </c>
      <c r="BM1118">
        <v>1</v>
      </c>
      <c r="BN1118">
        <v>1</v>
      </c>
      <c r="BO1118">
        <v>1</v>
      </c>
      <c r="BP1118">
        <v>0</v>
      </c>
      <c r="BS1118">
        <v>0</v>
      </c>
      <c r="BT1118">
        <v>0</v>
      </c>
      <c r="BU1118">
        <v>0</v>
      </c>
      <c r="CE1118" t="str">
        <f t="shared" si="391"/>
        <v>19:28:34.474</v>
      </c>
      <c r="CF1118">
        <v>474269015</v>
      </c>
      <c r="CS1118">
        <v>3</v>
      </c>
      <c r="CT1118">
        <v>2</v>
      </c>
      <c r="CU1118">
        <v>0</v>
      </c>
      <c r="CV1118">
        <v>2</v>
      </c>
      <c r="CW1118">
        <v>0</v>
      </c>
      <c r="CX1118">
        <v>5</v>
      </c>
      <c r="CY1118">
        <v>7</v>
      </c>
      <c r="CZ1118" t="s">
        <v>131</v>
      </c>
      <c r="DA1118">
        <v>300</v>
      </c>
      <c r="DB1118">
        <v>0</v>
      </c>
      <c r="DC1118" t="s">
        <v>176</v>
      </c>
      <c r="DD1118" t="s">
        <v>177</v>
      </c>
      <c r="DG1118">
        <v>5379146</v>
      </c>
      <c r="DI1118">
        <v>1</v>
      </c>
      <c r="DJ1118">
        <v>0</v>
      </c>
      <c r="DK1118">
        <v>1</v>
      </c>
      <c r="DL1118">
        <v>0</v>
      </c>
      <c r="DM1118">
        <v>0</v>
      </c>
      <c r="DN1118">
        <v>1</v>
      </c>
      <c r="DO1118">
        <v>0</v>
      </c>
      <c r="DP1118">
        <v>0</v>
      </c>
      <c r="DQ1118">
        <v>0</v>
      </c>
      <c r="DR1118">
        <v>0</v>
      </c>
      <c r="DS1118">
        <v>0</v>
      </c>
    </row>
    <row r="1119" spans="1:123" x14ac:dyDescent="0.3">
      <c r="A1119" t="str">
        <f>"10/04/2022 19:28:34.696"</f>
        <v>10/04/2022 19:28:34.696</v>
      </c>
      <c r="C1119" t="str">
        <f t="shared" si="389"/>
        <v>FFDFD3C0</v>
      </c>
      <c r="D1119" t="s">
        <v>147</v>
      </c>
      <c r="E1119">
        <v>3</v>
      </c>
      <c r="H1119">
        <v>166</v>
      </c>
      <c r="I1119" t="s">
        <v>144</v>
      </c>
      <c r="J1119" t="s">
        <v>148</v>
      </c>
      <c r="K1119">
        <v>0</v>
      </c>
      <c r="L1119">
        <v>3</v>
      </c>
      <c r="M1119">
        <v>0</v>
      </c>
      <c r="N1119">
        <v>2</v>
      </c>
      <c r="O1119">
        <v>0</v>
      </c>
      <c r="P1119">
        <v>1</v>
      </c>
      <c r="Q1119">
        <v>0</v>
      </c>
      <c r="S1119" t="str">
        <f t="shared" si="390"/>
        <v>19:28:34.000</v>
      </c>
      <c r="T1119" t="str">
        <f t="shared" si="390"/>
        <v>19:28:34.000</v>
      </c>
      <c r="U1119" t="str">
        <f t="shared" si="380"/>
        <v>AC3944</v>
      </c>
      <c r="V1119">
        <v>0</v>
      </c>
      <c r="W1119">
        <v>0</v>
      </c>
      <c r="X1119">
        <v>2</v>
      </c>
      <c r="Y1119">
        <v>0</v>
      </c>
      <c r="AA1119">
        <v>1</v>
      </c>
      <c r="AB1119">
        <v>8</v>
      </c>
      <c r="AC1119">
        <v>3</v>
      </c>
      <c r="AD1119">
        <v>0</v>
      </c>
      <c r="AE1119">
        <v>9</v>
      </c>
      <c r="AF1119" t="s">
        <v>138</v>
      </c>
      <c r="AG1119">
        <v>0</v>
      </c>
      <c r="AH1119">
        <v>3</v>
      </c>
      <c r="AI1119">
        <v>1</v>
      </c>
      <c r="AJ1119">
        <v>0</v>
      </c>
      <c r="AK1119" t="s">
        <v>453</v>
      </c>
      <c r="AL1119">
        <v>32.806871000000001</v>
      </c>
      <c r="AM1119" t="s">
        <v>454</v>
      </c>
      <c r="AN1119">
        <v>-116.919186</v>
      </c>
      <c r="AO1119">
        <v>25</v>
      </c>
      <c r="AP1119">
        <v>2100</v>
      </c>
      <c r="AQ1119" t="s">
        <v>129</v>
      </c>
      <c r="AR1119">
        <v>127</v>
      </c>
      <c r="AS1119">
        <v>-14</v>
      </c>
      <c r="AT1119">
        <v>704</v>
      </c>
      <c r="BB1119">
        <v>1200</v>
      </c>
      <c r="BC1119">
        <v>1</v>
      </c>
      <c r="BD1119" t="str">
        <f t="shared" si="381"/>
        <v xml:space="preserve">N887QR  </v>
      </c>
      <c r="BE1119">
        <v>1</v>
      </c>
      <c r="BG1119">
        <v>0</v>
      </c>
      <c r="BH1119">
        <v>0</v>
      </c>
      <c r="BI1119">
        <v>0</v>
      </c>
      <c r="BJ1119">
        <v>1825</v>
      </c>
      <c r="BK1119">
        <v>-275</v>
      </c>
      <c r="BL1119" t="s">
        <v>163</v>
      </c>
      <c r="BM1119">
        <v>1</v>
      </c>
      <c r="BN1119">
        <v>1</v>
      </c>
      <c r="BO1119">
        <v>1</v>
      </c>
      <c r="BP1119">
        <v>0</v>
      </c>
      <c r="BS1119">
        <v>0</v>
      </c>
      <c r="BT1119">
        <v>0</v>
      </c>
      <c r="BU1119">
        <v>0</v>
      </c>
      <c r="CE1119" t="str">
        <f t="shared" si="391"/>
        <v>19:28:34.474</v>
      </c>
      <c r="CF1119">
        <v>474269015</v>
      </c>
      <c r="CS1119">
        <v>3</v>
      </c>
      <c r="CT1119">
        <v>2</v>
      </c>
      <c r="CU1119">
        <v>0</v>
      </c>
      <c r="CV1119">
        <v>2</v>
      </c>
      <c r="CW1119">
        <v>0</v>
      </c>
      <c r="CX1119">
        <v>5</v>
      </c>
      <c r="CY1119">
        <v>7</v>
      </c>
      <c r="CZ1119" t="s">
        <v>131</v>
      </c>
      <c r="DA1119">
        <v>300</v>
      </c>
      <c r="DB1119">
        <v>0</v>
      </c>
      <c r="DC1119" t="s">
        <v>176</v>
      </c>
      <c r="DD1119" t="s">
        <v>177</v>
      </c>
      <c r="DG1119">
        <v>5379146</v>
      </c>
      <c r="DI1119">
        <v>1</v>
      </c>
      <c r="DJ1119">
        <v>0</v>
      </c>
      <c r="DK1119">
        <v>1</v>
      </c>
      <c r="DL1119">
        <v>0</v>
      </c>
      <c r="DM1119">
        <v>0</v>
      </c>
      <c r="DN1119">
        <v>1</v>
      </c>
      <c r="DO1119">
        <v>0</v>
      </c>
      <c r="DP1119">
        <v>0</v>
      </c>
      <c r="DQ1119">
        <v>0</v>
      </c>
      <c r="DR1119">
        <v>0</v>
      </c>
      <c r="DS1119">
        <v>0</v>
      </c>
    </row>
    <row r="1120" spans="1:123" x14ac:dyDescent="0.3">
      <c r="A1120" t="str">
        <f>"10/04/2022 19:28:34.696"</f>
        <v>10/04/2022 19:28:34.696</v>
      </c>
      <c r="C1120" t="str">
        <f t="shared" si="389"/>
        <v>FFDFD3C0</v>
      </c>
      <c r="D1120" t="s">
        <v>123</v>
      </c>
      <c r="E1120">
        <v>7</v>
      </c>
      <c r="F1120">
        <v>2007</v>
      </c>
      <c r="G1120" t="s">
        <v>124</v>
      </c>
      <c r="J1120" t="s">
        <v>125</v>
      </c>
      <c r="K1120">
        <v>0</v>
      </c>
      <c r="L1120">
        <v>3</v>
      </c>
      <c r="M1120">
        <v>0</v>
      </c>
      <c r="N1120">
        <v>2</v>
      </c>
      <c r="O1120">
        <v>0</v>
      </c>
      <c r="P1120">
        <v>1</v>
      </c>
      <c r="Q1120">
        <v>0</v>
      </c>
      <c r="S1120" t="str">
        <f t="shared" si="390"/>
        <v>19:28:34.000</v>
      </c>
      <c r="T1120" t="str">
        <f t="shared" si="390"/>
        <v>19:28:34.000</v>
      </c>
      <c r="U1120" t="str">
        <f t="shared" si="380"/>
        <v>AC3944</v>
      </c>
      <c r="V1120">
        <v>0</v>
      </c>
      <c r="W1120">
        <v>0</v>
      </c>
      <c r="X1120">
        <v>2</v>
      </c>
      <c r="Y1120">
        <v>0</v>
      </c>
      <c r="AA1120">
        <v>1</v>
      </c>
      <c r="AB1120">
        <v>8</v>
      </c>
      <c r="AC1120">
        <v>3</v>
      </c>
      <c r="AD1120">
        <v>0</v>
      </c>
      <c r="AE1120">
        <v>9</v>
      </c>
      <c r="AF1120" t="s">
        <v>138</v>
      </c>
      <c r="AG1120">
        <v>0</v>
      </c>
      <c r="AH1120">
        <v>3</v>
      </c>
      <c r="AI1120">
        <v>1</v>
      </c>
      <c r="AJ1120">
        <v>0</v>
      </c>
      <c r="AK1120" t="s">
        <v>453</v>
      </c>
      <c r="AL1120">
        <v>32.806871000000001</v>
      </c>
      <c r="AM1120" t="s">
        <v>454</v>
      </c>
      <c r="AN1120">
        <v>-116.919186</v>
      </c>
      <c r="AO1120">
        <v>25</v>
      </c>
      <c r="AP1120">
        <v>2100</v>
      </c>
      <c r="AQ1120" t="s">
        <v>129</v>
      </c>
      <c r="AR1120">
        <v>127</v>
      </c>
      <c r="AS1120">
        <v>-14</v>
      </c>
      <c r="AT1120">
        <v>704</v>
      </c>
      <c r="BB1120">
        <v>1200</v>
      </c>
      <c r="BC1120">
        <v>1</v>
      </c>
      <c r="BD1120" t="str">
        <f t="shared" si="381"/>
        <v xml:space="preserve">N887QR  </v>
      </c>
      <c r="BE1120">
        <v>1</v>
      </c>
      <c r="BG1120">
        <v>0</v>
      </c>
      <c r="BH1120">
        <v>0</v>
      </c>
      <c r="BI1120">
        <v>0</v>
      </c>
      <c r="BJ1120">
        <v>1825</v>
      </c>
      <c r="BK1120">
        <v>-275</v>
      </c>
      <c r="BL1120" t="s">
        <v>163</v>
      </c>
      <c r="BM1120">
        <v>1</v>
      </c>
      <c r="BN1120">
        <v>1</v>
      </c>
      <c r="BO1120">
        <v>1</v>
      </c>
      <c r="BP1120">
        <v>0</v>
      </c>
      <c r="BS1120">
        <v>0</v>
      </c>
      <c r="BT1120">
        <v>0</v>
      </c>
      <c r="BU1120">
        <v>0</v>
      </c>
      <c r="CE1120" t="str">
        <f t="shared" si="391"/>
        <v>19:28:34.474</v>
      </c>
      <c r="CF1120">
        <v>474269015</v>
      </c>
      <c r="CS1120">
        <v>3</v>
      </c>
      <c r="CT1120">
        <v>2</v>
      </c>
      <c r="CU1120">
        <v>0</v>
      </c>
      <c r="CV1120">
        <v>2</v>
      </c>
      <c r="CW1120">
        <v>0</v>
      </c>
      <c r="CX1120">
        <v>5</v>
      </c>
      <c r="CY1120">
        <v>7</v>
      </c>
      <c r="CZ1120" t="s">
        <v>131</v>
      </c>
      <c r="DA1120">
        <v>300</v>
      </c>
      <c r="DB1120">
        <v>0</v>
      </c>
      <c r="DC1120" t="s">
        <v>176</v>
      </c>
      <c r="DD1120" t="s">
        <v>177</v>
      </c>
      <c r="DG1120">
        <v>5379146</v>
      </c>
      <c r="DI1120">
        <v>1</v>
      </c>
      <c r="DJ1120">
        <v>0</v>
      </c>
      <c r="DK1120">
        <v>1</v>
      </c>
      <c r="DL1120">
        <v>0</v>
      </c>
      <c r="DM1120">
        <v>0</v>
      </c>
      <c r="DN1120">
        <v>1</v>
      </c>
      <c r="DO1120">
        <v>0</v>
      </c>
      <c r="DP1120">
        <v>0</v>
      </c>
      <c r="DQ1120">
        <v>0</v>
      </c>
      <c r="DR1120">
        <v>0</v>
      </c>
      <c r="DS1120">
        <v>0</v>
      </c>
    </row>
    <row r="1121" spans="1:123" x14ac:dyDescent="0.3">
      <c r="A1121" t="str">
        <f>"10/04/2022 19:28:34.696"</f>
        <v>10/04/2022 19:28:34.696</v>
      </c>
      <c r="C1121" t="str">
        <f t="shared" si="389"/>
        <v>FFDFD3C0</v>
      </c>
      <c r="D1121" t="s">
        <v>134</v>
      </c>
      <c r="E1121">
        <v>15</v>
      </c>
      <c r="J1121" t="s">
        <v>135</v>
      </c>
      <c r="K1121">
        <v>0</v>
      </c>
      <c r="L1121">
        <v>3</v>
      </c>
      <c r="M1121">
        <v>0</v>
      </c>
      <c r="N1121">
        <v>2</v>
      </c>
      <c r="O1121">
        <v>0</v>
      </c>
      <c r="P1121">
        <v>1</v>
      </c>
      <c r="Q1121">
        <v>0</v>
      </c>
      <c r="S1121" t="str">
        <f t="shared" si="390"/>
        <v>19:28:34.000</v>
      </c>
      <c r="T1121" t="str">
        <f t="shared" si="390"/>
        <v>19:28:34.000</v>
      </c>
      <c r="U1121" t="str">
        <f t="shared" si="380"/>
        <v>AC3944</v>
      </c>
      <c r="V1121">
        <v>0</v>
      </c>
      <c r="W1121">
        <v>0</v>
      </c>
      <c r="X1121">
        <v>2</v>
      </c>
      <c r="Y1121">
        <v>0</v>
      </c>
      <c r="AA1121">
        <v>1</v>
      </c>
      <c r="AB1121">
        <v>8</v>
      </c>
      <c r="AC1121">
        <v>3</v>
      </c>
      <c r="AD1121">
        <v>0</v>
      </c>
      <c r="AE1121">
        <v>9</v>
      </c>
      <c r="AF1121" t="s">
        <v>138</v>
      </c>
      <c r="AG1121">
        <v>0</v>
      </c>
      <c r="AH1121">
        <v>3</v>
      </c>
      <c r="AI1121">
        <v>1</v>
      </c>
      <c r="AJ1121">
        <v>0</v>
      </c>
      <c r="AK1121" t="s">
        <v>453</v>
      </c>
      <c r="AL1121">
        <v>32.806871000000001</v>
      </c>
      <c r="AM1121" t="s">
        <v>454</v>
      </c>
      <c r="AN1121">
        <v>-116.919186</v>
      </c>
      <c r="AO1121">
        <v>25</v>
      </c>
      <c r="AP1121">
        <v>2100</v>
      </c>
      <c r="AQ1121" t="s">
        <v>129</v>
      </c>
      <c r="AR1121">
        <v>127</v>
      </c>
      <c r="AS1121">
        <v>-14</v>
      </c>
      <c r="AT1121">
        <v>704</v>
      </c>
      <c r="BB1121">
        <v>1200</v>
      </c>
      <c r="BC1121">
        <v>1</v>
      </c>
      <c r="BD1121" t="str">
        <f t="shared" si="381"/>
        <v xml:space="preserve">N887QR  </v>
      </c>
      <c r="BE1121">
        <v>1</v>
      </c>
      <c r="BG1121">
        <v>0</v>
      </c>
      <c r="BH1121">
        <v>0</v>
      </c>
      <c r="BI1121">
        <v>0</v>
      </c>
      <c r="BJ1121">
        <v>1825</v>
      </c>
      <c r="BK1121">
        <v>-275</v>
      </c>
      <c r="BL1121" t="s">
        <v>163</v>
      </c>
      <c r="BM1121">
        <v>1</v>
      </c>
      <c r="BN1121">
        <v>1</v>
      </c>
      <c r="BO1121">
        <v>1</v>
      </c>
      <c r="BP1121">
        <v>0</v>
      </c>
      <c r="BS1121">
        <v>0</v>
      </c>
      <c r="BT1121">
        <v>0</v>
      </c>
      <c r="BU1121">
        <v>0</v>
      </c>
      <c r="CE1121" t="str">
        <f t="shared" si="391"/>
        <v>19:28:34.474</v>
      </c>
      <c r="CF1121">
        <v>474269015</v>
      </c>
      <c r="CS1121">
        <v>3</v>
      </c>
      <c r="CT1121">
        <v>2</v>
      </c>
      <c r="CU1121">
        <v>0</v>
      </c>
      <c r="CV1121">
        <v>2</v>
      </c>
      <c r="CW1121">
        <v>0</v>
      </c>
      <c r="CX1121">
        <v>5</v>
      </c>
      <c r="CY1121">
        <v>7</v>
      </c>
      <c r="CZ1121" t="s">
        <v>131</v>
      </c>
      <c r="DA1121">
        <v>300</v>
      </c>
      <c r="DB1121">
        <v>0</v>
      </c>
      <c r="DC1121" t="s">
        <v>176</v>
      </c>
      <c r="DD1121" t="s">
        <v>177</v>
      </c>
      <c r="DG1121">
        <v>5379146</v>
      </c>
      <c r="DI1121">
        <v>1</v>
      </c>
      <c r="DJ1121">
        <v>0</v>
      </c>
      <c r="DK1121">
        <v>1</v>
      </c>
      <c r="DL1121">
        <v>0</v>
      </c>
      <c r="DM1121">
        <v>0</v>
      </c>
      <c r="DN1121">
        <v>1</v>
      </c>
      <c r="DO1121">
        <v>0</v>
      </c>
      <c r="DP1121">
        <v>0</v>
      </c>
      <c r="DQ1121">
        <v>0</v>
      </c>
      <c r="DR1121">
        <v>0</v>
      </c>
      <c r="DS1121">
        <v>0</v>
      </c>
    </row>
    <row r="1122" spans="1:123" x14ac:dyDescent="0.3">
      <c r="A1122" t="str">
        <f>"10/04/2022 19:28:34.696"</f>
        <v>10/04/2022 19:28:34.696</v>
      </c>
      <c r="C1122" t="str">
        <f t="shared" si="389"/>
        <v>FFDFD3C0</v>
      </c>
      <c r="D1122" t="s">
        <v>141</v>
      </c>
      <c r="E1122">
        <v>4</v>
      </c>
      <c r="H1122">
        <v>4</v>
      </c>
      <c r="I1122" t="s">
        <v>142</v>
      </c>
      <c r="J1122" t="s">
        <v>138</v>
      </c>
      <c r="K1122">
        <v>0</v>
      </c>
      <c r="L1122">
        <v>3</v>
      </c>
      <c r="M1122">
        <v>0</v>
      </c>
      <c r="N1122">
        <v>2</v>
      </c>
      <c r="O1122">
        <v>0</v>
      </c>
      <c r="P1122">
        <v>1</v>
      </c>
      <c r="Q1122">
        <v>0</v>
      </c>
      <c r="S1122" t="str">
        <f t="shared" si="390"/>
        <v>19:28:34.000</v>
      </c>
      <c r="T1122" t="str">
        <f t="shared" si="390"/>
        <v>19:28:34.000</v>
      </c>
      <c r="U1122" t="str">
        <f t="shared" si="380"/>
        <v>AC3944</v>
      </c>
      <c r="V1122">
        <v>0</v>
      </c>
      <c r="W1122">
        <v>0</v>
      </c>
      <c r="X1122">
        <v>2</v>
      </c>
      <c r="Y1122">
        <v>0</v>
      </c>
      <c r="AA1122">
        <v>1</v>
      </c>
      <c r="AB1122">
        <v>8</v>
      </c>
      <c r="AC1122">
        <v>3</v>
      </c>
      <c r="AD1122">
        <v>0</v>
      </c>
      <c r="AE1122">
        <v>9</v>
      </c>
      <c r="AF1122" t="s">
        <v>138</v>
      </c>
      <c r="AG1122">
        <v>0</v>
      </c>
      <c r="AH1122">
        <v>3</v>
      </c>
      <c r="AI1122">
        <v>1</v>
      </c>
      <c r="AJ1122">
        <v>0</v>
      </c>
      <c r="AK1122" t="s">
        <v>453</v>
      </c>
      <c r="AL1122">
        <v>32.806871000000001</v>
      </c>
      <c r="AM1122" t="s">
        <v>454</v>
      </c>
      <c r="AN1122">
        <v>-116.919186</v>
      </c>
      <c r="AO1122">
        <v>25</v>
      </c>
      <c r="AP1122">
        <v>2100</v>
      </c>
      <c r="AQ1122" t="s">
        <v>129</v>
      </c>
      <c r="AR1122">
        <v>127</v>
      </c>
      <c r="AS1122">
        <v>-14</v>
      </c>
      <c r="AT1122">
        <v>704</v>
      </c>
      <c r="BB1122">
        <v>1200</v>
      </c>
      <c r="BC1122">
        <v>1</v>
      </c>
      <c r="BD1122" t="str">
        <f t="shared" si="381"/>
        <v xml:space="preserve">N887QR  </v>
      </c>
      <c r="BE1122">
        <v>1</v>
      </c>
      <c r="BG1122">
        <v>0</v>
      </c>
      <c r="BH1122">
        <v>0</v>
      </c>
      <c r="BI1122">
        <v>0</v>
      </c>
      <c r="BJ1122">
        <v>1825</v>
      </c>
      <c r="BK1122">
        <v>-275</v>
      </c>
      <c r="BL1122" t="s">
        <v>163</v>
      </c>
      <c r="BM1122">
        <v>1</v>
      </c>
      <c r="BN1122">
        <v>1</v>
      </c>
      <c r="BO1122">
        <v>1</v>
      </c>
      <c r="BP1122">
        <v>0</v>
      </c>
      <c r="BS1122">
        <v>0</v>
      </c>
      <c r="BT1122">
        <v>0</v>
      </c>
      <c r="BU1122">
        <v>0</v>
      </c>
      <c r="CE1122" t="str">
        <f t="shared" si="391"/>
        <v>19:28:34.474</v>
      </c>
      <c r="CF1122">
        <v>474269015</v>
      </c>
      <c r="CS1122">
        <v>3</v>
      </c>
      <c r="CT1122">
        <v>2</v>
      </c>
      <c r="CU1122">
        <v>0</v>
      </c>
      <c r="CV1122">
        <v>2</v>
      </c>
      <c r="CW1122">
        <v>0</v>
      </c>
      <c r="CX1122">
        <v>5</v>
      </c>
      <c r="CY1122">
        <v>7</v>
      </c>
      <c r="CZ1122" t="s">
        <v>131</v>
      </c>
      <c r="DA1122">
        <v>300</v>
      </c>
      <c r="DB1122">
        <v>0</v>
      </c>
      <c r="DC1122" t="s">
        <v>176</v>
      </c>
      <c r="DD1122" t="s">
        <v>177</v>
      </c>
      <c r="DG1122">
        <v>5379146</v>
      </c>
      <c r="DI1122">
        <v>1</v>
      </c>
      <c r="DJ1122">
        <v>0</v>
      </c>
      <c r="DK1122">
        <v>1</v>
      </c>
      <c r="DL1122">
        <v>0</v>
      </c>
      <c r="DM1122">
        <v>0</v>
      </c>
      <c r="DN1122">
        <v>1</v>
      </c>
      <c r="DO1122">
        <v>0</v>
      </c>
      <c r="DP1122">
        <v>0</v>
      </c>
      <c r="DQ1122">
        <v>0</v>
      </c>
      <c r="DR1122">
        <v>0</v>
      </c>
      <c r="DS1122">
        <v>0</v>
      </c>
    </row>
    <row r="1123" spans="1:123" x14ac:dyDescent="0.3">
      <c r="A1123" t="str">
        <f>"10/04/2022 19:28:35.151"</f>
        <v>10/04/2022 19:28:35.151</v>
      </c>
      <c r="C1123" t="str">
        <f t="shared" si="389"/>
        <v>FFDFD3C0</v>
      </c>
      <c r="D1123" t="s">
        <v>136</v>
      </c>
      <c r="E1123">
        <v>8</v>
      </c>
      <c r="H1123">
        <v>225</v>
      </c>
      <c r="I1123" t="s">
        <v>137</v>
      </c>
      <c r="J1123" t="s">
        <v>138</v>
      </c>
      <c r="K1123">
        <v>0</v>
      </c>
      <c r="L1123">
        <v>3</v>
      </c>
      <c r="M1123">
        <v>0</v>
      </c>
      <c r="N1123">
        <v>2</v>
      </c>
      <c r="O1123">
        <v>0</v>
      </c>
      <c r="P1123">
        <v>1</v>
      </c>
      <c r="Q1123">
        <v>0</v>
      </c>
      <c r="S1123" t="str">
        <f t="shared" si="390"/>
        <v>19:28:34.000</v>
      </c>
      <c r="T1123" t="str">
        <f t="shared" si="390"/>
        <v>19:28:34.000</v>
      </c>
      <c r="U1123" t="str">
        <f t="shared" si="380"/>
        <v>AC3944</v>
      </c>
      <c r="V1123">
        <v>0</v>
      </c>
      <c r="W1123">
        <v>0</v>
      </c>
      <c r="X1123">
        <v>2</v>
      </c>
      <c r="Y1123">
        <v>0</v>
      </c>
      <c r="AA1123">
        <v>1</v>
      </c>
      <c r="AB1123">
        <v>8</v>
      </c>
      <c r="AC1123">
        <v>3</v>
      </c>
      <c r="AD1123">
        <v>0</v>
      </c>
      <c r="AE1123">
        <v>9</v>
      </c>
      <c r="AF1123" t="s">
        <v>138</v>
      </c>
      <c r="AG1123">
        <v>0</v>
      </c>
      <c r="AH1123">
        <v>3</v>
      </c>
      <c r="AI1123">
        <v>1</v>
      </c>
      <c r="AJ1123">
        <v>0</v>
      </c>
      <c r="AK1123" t="s">
        <v>455</v>
      </c>
      <c r="AL1123">
        <v>32.806784999999998</v>
      </c>
      <c r="AM1123" t="s">
        <v>456</v>
      </c>
      <c r="AN1123">
        <v>-116.91847799999999</v>
      </c>
      <c r="AO1123">
        <v>25</v>
      </c>
      <c r="AP1123">
        <v>2100</v>
      </c>
      <c r="AQ1123" t="s">
        <v>129</v>
      </c>
      <c r="AR1123">
        <v>127</v>
      </c>
      <c r="AS1123">
        <v>-14</v>
      </c>
      <c r="AT1123">
        <v>704</v>
      </c>
      <c r="BB1123">
        <v>1200</v>
      </c>
      <c r="BC1123">
        <v>1</v>
      </c>
      <c r="BD1123" t="str">
        <f t="shared" si="381"/>
        <v xml:space="preserve">N887QR  </v>
      </c>
      <c r="BE1123">
        <v>1</v>
      </c>
      <c r="BG1123">
        <v>0</v>
      </c>
      <c r="BH1123">
        <v>0</v>
      </c>
      <c r="BI1123">
        <v>0</v>
      </c>
      <c r="BJ1123">
        <v>1825</v>
      </c>
      <c r="BK1123">
        <v>-275</v>
      </c>
      <c r="BL1123" t="s">
        <v>163</v>
      </c>
      <c r="BM1123">
        <v>1</v>
      </c>
      <c r="BN1123">
        <v>1</v>
      </c>
      <c r="BO1123">
        <v>1</v>
      </c>
      <c r="BP1123">
        <v>0</v>
      </c>
      <c r="BS1123">
        <v>0</v>
      </c>
      <c r="BT1123">
        <v>0</v>
      </c>
      <c r="BU1123">
        <v>0</v>
      </c>
      <c r="CE1123" t="str">
        <f t="shared" ref="CE1123:CE1129" si="392">"19:28:34.949"</f>
        <v>19:28:34.949</v>
      </c>
      <c r="CF1123">
        <v>949020512</v>
      </c>
      <c r="CS1123">
        <v>3</v>
      </c>
      <c r="CT1123">
        <v>2</v>
      </c>
      <c r="CU1123">
        <v>0</v>
      </c>
      <c r="CV1123">
        <v>2</v>
      </c>
      <c r="CW1123">
        <v>0</v>
      </c>
      <c r="CX1123">
        <v>5</v>
      </c>
      <c r="CY1123">
        <v>7</v>
      </c>
      <c r="CZ1123" t="s">
        <v>131</v>
      </c>
      <c r="DA1123">
        <v>300</v>
      </c>
      <c r="DB1123">
        <v>0</v>
      </c>
      <c r="DC1123" t="s">
        <v>176</v>
      </c>
      <c r="DD1123" t="s">
        <v>177</v>
      </c>
      <c r="DG1123">
        <v>5379220</v>
      </c>
      <c r="DI1123">
        <v>1</v>
      </c>
      <c r="DJ1123">
        <v>0</v>
      </c>
      <c r="DK1123">
        <v>0</v>
      </c>
      <c r="DL1123">
        <v>0</v>
      </c>
      <c r="DM1123">
        <v>0</v>
      </c>
      <c r="DN1123">
        <v>1</v>
      </c>
      <c r="DO1123">
        <v>0</v>
      </c>
      <c r="DP1123">
        <v>0</v>
      </c>
      <c r="DQ1123">
        <v>0</v>
      </c>
      <c r="DR1123">
        <v>0</v>
      </c>
      <c r="DS1123">
        <v>0</v>
      </c>
    </row>
    <row r="1124" spans="1:123" x14ac:dyDescent="0.3">
      <c r="A1124" t="str">
        <f>"10/04/2022 19:28:35.151"</f>
        <v>10/04/2022 19:28:35.151</v>
      </c>
      <c r="C1124" t="str">
        <f t="shared" si="389"/>
        <v>FFDFD3C0</v>
      </c>
      <c r="D1124" t="s">
        <v>123</v>
      </c>
      <c r="E1124">
        <v>7</v>
      </c>
      <c r="F1124">
        <v>2007</v>
      </c>
      <c r="G1124" t="s">
        <v>124</v>
      </c>
      <c r="J1124" t="s">
        <v>125</v>
      </c>
      <c r="K1124">
        <v>0</v>
      </c>
      <c r="L1124">
        <v>3</v>
      </c>
      <c r="M1124">
        <v>0</v>
      </c>
      <c r="N1124">
        <v>2</v>
      </c>
      <c r="O1124">
        <v>0</v>
      </c>
      <c r="P1124">
        <v>1</v>
      </c>
      <c r="Q1124">
        <v>0</v>
      </c>
      <c r="S1124" t="str">
        <f t="shared" si="390"/>
        <v>19:28:34.000</v>
      </c>
      <c r="T1124" t="str">
        <f t="shared" si="390"/>
        <v>19:28:34.000</v>
      </c>
      <c r="U1124" t="str">
        <f t="shared" si="380"/>
        <v>AC3944</v>
      </c>
      <c r="V1124">
        <v>0</v>
      </c>
      <c r="W1124">
        <v>0</v>
      </c>
      <c r="X1124">
        <v>2</v>
      </c>
      <c r="Y1124">
        <v>0</v>
      </c>
      <c r="AA1124">
        <v>1</v>
      </c>
      <c r="AB1124">
        <v>8</v>
      </c>
      <c r="AC1124">
        <v>3</v>
      </c>
      <c r="AD1124">
        <v>0</v>
      </c>
      <c r="AE1124">
        <v>9</v>
      </c>
      <c r="AF1124" t="s">
        <v>138</v>
      </c>
      <c r="AG1124">
        <v>0</v>
      </c>
      <c r="AH1124">
        <v>3</v>
      </c>
      <c r="AI1124">
        <v>1</v>
      </c>
      <c r="AJ1124">
        <v>0</v>
      </c>
      <c r="AK1124" t="s">
        <v>455</v>
      </c>
      <c r="AL1124">
        <v>32.806784999999998</v>
      </c>
      <c r="AM1124" t="s">
        <v>456</v>
      </c>
      <c r="AN1124">
        <v>-116.91847799999999</v>
      </c>
      <c r="AO1124">
        <v>25</v>
      </c>
      <c r="AP1124">
        <v>2100</v>
      </c>
      <c r="AQ1124" t="s">
        <v>129</v>
      </c>
      <c r="AR1124">
        <v>127</v>
      </c>
      <c r="AS1124">
        <v>-14</v>
      </c>
      <c r="AT1124">
        <v>704</v>
      </c>
      <c r="BB1124">
        <v>1200</v>
      </c>
      <c r="BC1124">
        <v>1</v>
      </c>
      <c r="BD1124" t="str">
        <f t="shared" si="381"/>
        <v xml:space="preserve">N887QR  </v>
      </c>
      <c r="BE1124">
        <v>1</v>
      </c>
      <c r="BG1124">
        <v>0</v>
      </c>
      <c r="BH1124">
        <v>0</v>
      </c>
      <c r="BI1124">
        <v>0</v>
      </c>
      <c r="BJ1124">
        <v>1825</v>
      </c>
      <c r="BK1124">
        <v>-275</v>
      </c>
      <c r="BL1124" t="s">
        <v>163</v>
      </c>
      <c r="BM1124">
        <v>1</v>
      </c>
      <c r="BN1124">
        <v>1</v>
      </c>
      <c r="BO1124">
        <v>1</v>
      </c>
      <c r="BP1124">
        <v>0</v>
      </c>
      <c r="BS1124">
        <v>0</v>
      </c>
      <c r="BT1124">
        <v>0</v>
      </c>
      <c r="BU1124">
        <v>0</v>
      </c>
      <c r="CE1124" t="str">
        <f t="shared" si="392"/>
        <v>19:28:34.949</v>
      </c>
      <c r="CF1124">
        <v>949020512</v>
      </c>
      <c r="CS1124">
        <v>3</v>
      </c>
      <c r="CT1124">
        <v>2</v>
      </c>
      <c r="CU1124">
        <v>0</v>
      </c>
      <c r="CV1124">
        <v>2</v>
      </c>
      <c r="CW1124">
        <v>0</v>
      </c>
      <c r="CX1124">
        <v>5</v>
      </c>
      <c r="CY1124">
        <v>7</v>
      </c>
      <c r="CZ1124" t="s">
        <v>131</v>
      </c>
      <c r="DA1124">
        <v>300</v>
      </c>
      <c r="DB1124">
        <v>0</v>
      </c>
      <c r="DC1124" t="s">
        <v>176</v>
      </c>
      <c r="DD1124" t="s">
        <v>177</v>
      </c>
      <c r="DG1124">
        <v>5379220</v>
      </c>
      <c r="DI1124">
        <v>1</v>
      </c>
      <c r="DJ1124">
        <v>0</v>
      </c>
      <c r="DK1124">
        <v>1</v>
      </c>
      <c r="DL1124">
        <v>0</v>
      </c>
      <c r="DM1124">
        <v>0</v>
      </c>
      <c r="DN1124">
        <v>1</v>
      </c>
      <c r="DO1124">
        <v>0</v>
      </c>
      <c r="DP1124">
        <v>0</v>
      </c>
      <c r="DQ1124">
        <v>0</v>
      </c>
      <c r="DR1124">
        <v>0</v>
      </c>
      <c r="DS1124">
        <v>0</v>
      </c>
    </row>
    <row r="1125" spans="1:123" x14ac:dyDescent="0.3">
      <c r="A1125" t="str">
        <f>"10/04/2022 19:28:35.151"</f>
        <v>10/04/2022 19:28:35.151</v>
      </c>
      <c r="C1125" t="str">
        <f t="shared" si="389"/>
        <v>FFDFD3C0</v>
      </c>
      <c r="D1125" t="s">
        <v>147</v>
      </c>
      <c r="E1125">
        <v>3</v>
      </c>
      <c r="H1125">
        <v>166</v>
      </c>
      <c r="I1125" t="s">
        <v>144</v>
      </c>
      <c r="J1125" t="s">
        <v>148</v>
      </c>
      <c r="K1125">
        <v>0</v>
      </c>
      <c r="L1125">
        <v>3</v>
      </c>
      <c r="M1125">
        <v>0</v>
      </c>
      <c r="N1125">
        <v>2</v>
      </c>
      <c r="O1125">
        <v>0</v>
      </c>
      <c r="P1125">
        <v>1</v>
      </c>
      <c r="Q1125">
        <v>0</v>
      </c>
      <c r="S1125" t="str">
        <f t="shared" si="390"/>
        <v>19:28:34.000</v>
      </c>
      <c r="T1125" t="str">
        <f t="shared" si="390"/>
        <v>19:28:34.000</v>
      </c>
      <c r="U1125" t="str">
        <f t="shared" si="380"/>
        <v>AC3944</v>
      </c>
      <c r="V1125">
        <v>0</v>
      </c>
      <c r="W1125">
        <v>0</v>
      </c>
      <c r="X1125">
        <v>2</v>
      </c>
      <c r="Y1125">
        <v>0</v>
      </c>
      <c r="AA1125">
        <v>1</v>
      </c>
      <c r="AB1125">
        <v>8</v>
      </c>
      <c r="AC1125">
        <v>3</v>
      </c>
      <c r="AD1125">
        <v>0</v>
      </c>
      <c r="AE1125">
        <v>9</v>
      </c>
      <c r="AF1125" t="s">
        <v>138</v>
      </c>
      <c r="AG1125">
        <v>0</v>
      </c>
      <c r="AH1125">
        <v>3</v>
      </c>
      <c r="AI1125">
        <v>1</v>
      </c>
      <c r="AJ1125">
        <v>0</v>
      </c>
      <c r="AK1125" t="s">
        <v>455</v>
      </c>
      <c r="AL1125">
        <v>32.806784999999998</v>
      </c>
      <c r="AM1125" t="s">
        <v>456</v>
      </c>
      <c r="AN1125">
        <v>-116.91847799999999</v>
      </c>
      <c r="AO1125">
        <v>25</v>
      </c>
      <c r="AP1125">
        <v>2100</v>
      </c>
      <c r="AQ1125" t="s">
        <v>129</v>
      </c>
      <c r="AR1125">
        <v>127</v>
      </c>
      <c r="AS1125">
        <v>-14</v>
      </c>
      <c r="AT1125">
        <v>704</v>
      </c>
      <c r="BB1125">
        <v>1200</v>
      </c>
      <c r="BC1125">
        <v>1</v>
      </c>
      <c r="BD1125" t="str">
        <f t="shared" si="381"/>
        <v xml:space="preserve">N887QR  </v>
      </c>
      <c r="BE1125">
        <v>1</v>
      </c>
      <c r="BG1125">
        <v>0</v>
      </c>
      <c r="BH1125">
        <v>0</v>
      </c>
      <c r="BI1125">
        <v>0</v>
      </c>
      <c r="BJ1125">
        <v>1825</v>
      </c>
      <c r="BK1125">
        <v>-275</v>
      </c>
      <c r="BL1125" t="s">
        <v>163</v>
      </c>
      <c r="BM1125">
        <v>1</v>
      </c>
      <c r="BN1125">
        <v>1</v>
      </c>
      <c r="BO1125">
        <v>1</v>
      </c>
      <c r="BP1125">
        <v>0</v>
      </c>
      <c r="BS1125">
        <v>0</v>
      </c>
      <c r="BT1125">
        <v>0</v>
      </c>
      <c r="BU1125">
        <v>0</v>
      </c>
      <c r="CE1125" t="str">
        <f t="shared" si="392"/>
        <v>19:28:34.949</v>
      </c>
      <c r="CF1125">
        <v>949020512</v>
      </c>
      <c r="CS1125">
        <v>3</v>
      </c>
      <c r="CT1125">
        <v>2</v>
      </c>
      <c r="CU1125">
        <v>0</v>
      </c>
      <c r="CV1125">
        <v>2</v>
      </c>
      <c r="CW1125">
        <v>0</v>
      </c>
      <c r="CX1125">
        <v>5</v>
      </c>
      <c r="CY1125">
        <v>7</v>
      </c>
      <c r="CZ1125" t="s">
        <v>131</v>
      </c>
      <c r="DA1125">
        <v>300</v>
      </c>
      <c r="DB1125">
        <v>0</v>
      </c>
      <c r="DC1125" t="s">
        <v>176</v>
      </c>
      <c r="DD1125" t="s">
        <v>177</v>
      </c>
      <c r="DG1125">
        <v>5379220</v>
      </c>
      <c r="DI1125">
        <v>1</v>
      </c>
      <c r="DJ1125">
        <v>0</v>
      </c>
      <c r="DK1125">
        <v>1</v>
      </c>
      <c r="DL1125">
        <v>0</v>
      </c>
      <c r="DM1125">
        <v>0</v>
      </c>
      <c r="DN1125">
        <v>1</v>
      </c>
      <c r="DO1125">
        <v>0</v>
      </c>
      <c r="DP1125">
        <v>0</v>
      </c>
      <c r="DQ1125">
        <v>0</v>
      </c>
      <c r="DR1125">
        <v>0</v>
      </c>
      <c r="DS1125">
        <v>0</v>
      </c>
    </row>
    <row r="1126" spans="1:123" x14ac:dyDescent="0.3">
      <c r="A1126" t="str">
        <f>"10/04/2022 19:28:35.151"</f>
        <v>10/04/2022 19:28:35.151</v>
      </c>
      <c r="C1126" t="str">
        <f t="shared" si="389"/>
        <v>FFDFD3C0</v>
      </c>
      <c r="D1126" t="s">
        <v>134</v>
      </c>
      <c r="E1126">
        <v>15</v>
      </c>
      <c r="J1126" t="s">
        <v>135</v>
      </c>
      <c r="K1126">
        <v>0</v>
      </c>
      <c r="L1126">
        <v>3</v>
      </c>
      <c r="M1126">
        <v>0</v>
      </c>
      <c r="N1126">
        <v>2</v>
      </c>
      <c r="O1126">
        <v>0</v>
      </c>
      <c r="P1126">
        <v>1</v>
      </c>
      <c r="Q1126">
        <v>0</v>
      </c>
      <c r="S1126" t="str">
        <f t="shared" si="390"/>
        <v>19:28:34.000</v>
      </c>
      <c r="T1126" t="str">
        <f t="shared" si="390"/>
        <v>19:28:34.000</v>
      </c>
      <c r="U1126" t="str">
        <f t="shared" si="380"/>
        <v>AC3944</v>
      </c>
      <c r="V1126">
        <v>0</v>
      </c>
      <c r="W1126">
        <v>0</v>
      </c>
      <c r="X1126">
        <v>2</v>
      </c>
      <c r="Y1126">
        <v>0</v>
      </c>
      <c r="AA1126">
        <v>1</v>
      </c>
      <c r="AB1126">
        <v>8</v>
      </c>
      <c r="AC1126">
        <v>3</v>
      </c>
      <c r="AD1126">
        <v>0</v>
      </c>
      <c r="AE1126">
        <v>9</v>
      </c>
      <c r="AF1126" t="s">
        <v>138</v>
      </c>
      <c r="AG1126">
        <v>0</v>
      </c>
      <c r="AH1126">
        <v>3</v>
      </c>
      <c r="AI1126">
        <v>1</v>
      </c>
      <c r="AJ1126">
        <v>0</v>
      </c>
      <c r="AK1126" t="s">
        <v>455</v>
      </c>
      <c r="AL1126">
        <v>32.806784999999998</v>
      </c>
      <c r="AM1126" t="s">
        <v>456</v>
      </c>
      <c r="AN1126">
        <v>-116.91847799999999</v>
      </c>
      <c r="AO1126">
        <v>25</v>
      </c>
      <c r="AP1126">
        <v>2100</v>
      </c>
      <c r="AQ1126" t="s">
        <v>129</v>
      </c>
      <c r="AR1126">
        <v>127</v>
      </c>
      <c r="AS1126">
        <v>-14</v>
      </c>
      <c r="AT1126">
        <v>704</v>
      </c>
      <c r="BB1126">
        <v>1200</v>
      </c>
      <c r="BC1126">
        <v>1</v>
      </c>
      <c r="BD1126" t="str">
        <f t="shared" si="381"/>
        <v xml:space="preserve">N887QR  </v>
      </c>
      <c r="BE1126">
        <v>1</v>
      </c>
      <c r="BG1126">
        <v>0</v>
      </c>
      <c r="BH1126">
        <v>0</v>
      </c>
      <c r="BI1126">
        <v>0</v>
      </c>
      <c r="BJ1126">
        <v>1825</v>
      </c>
      <c r="BK1126">
        <v>-275</v>
      </c>
      <c r="BL1126" t="s">
        <v>163</v>
      </c>
      <c r="BM1126">
        <v>1</v>
      </c>
      <c r="BN1126">
        <v>1</v>
      </c>
      <c r="BO1126">
        <v>1</v>
      </c>
      <c r="BP1126">
        <v>0</v>
      </c>
      <c r="BS1126">
        <v>0</v>
      </c>
      <c r="BT1126">
        <v>0</v>
      </c>
      <c r="BU1126">
        <v>0</v>
      </c>
      <c r="CE1126" t="str">
        <f t="shared" si="392"/>
        <v>19:28:34.949</v>
      </c>
      <c r="CF1126">
        <v>949020512</v>
      </c>
      <c r="CS1126">
        <v>3</v>
      </c>
      <c r="CT1126">
        <v>2</v>
      </c>
      <c r="CU1126">
        <v>0</v>
      </c>
      <c r="CV1126">
        <v>2</v>
      </c>
      <c r="CW1126">
        <v>0</v>
      </c>
      <c r="CX1126">
        <v>5</v>
      </c>
      <c r="CY1126">
        <v>7</v>
      </c>
      <c r="CZ1126" t="s">
        <v>131</v>
      </c>
      <c r="DA1126">
        <v>300</v>
      </c>
      <c r="DB1126">
        <v>0</v>
      </c>
      <c r="DC1126" t="s">
        <v>176</v>
      </c>
      <c r="DD1126" t="s">
        <v>177</v>
      </c>
      <c r="DG1126">
        <v>5379220</v>
      </c>
      <c r="DI1126">
        <v>1</v>
      </c>
      <c r="DJ1126">
        <v>0</v>
      </c>
      <c r="DK1126">
        <v>1</v>
      </c>
      <c r="DL1126">
        <v>0</v>
      </c>
      <c r="DM1126">
        <v>0</v>
      </c>
      <c r="DN1126">
        <v>1</v>
      </c>
      <c r="DO1126">
        <v>0</v>
      </c>
      <c r="DP1126">
        <v>0</v>
      </c>
      <c r="DQ1126">
        <v>0</v>
      </c>
      <c r="DR1126">
        <v>0</v>
      </c>
      <c r="DS1126">
        <v>0</v>
      </c>
    </row>
    <row r="1127" spans="1:123" x14ac:dyDescent="0.3">
      <c r="A1127" t="str">
        <f>"10/04/2022 19:28:35.151"</f>
        <v>10/04/2022 19:28:35.151</v>
      </c>
      <c r="C1127" t="str">
        <f t="shared" si="389"/>
        <v>FFDFD3C0</v>
      </c>
      <c r="D1127" t="s">
        <v>141</v>
      </c>
      <c r="E1127">
        <v>4</v>
      </c>
      <c r="H1127">
        <v>4</v>
      </c>
      <c r="I1127" t="s">
        <v>142</v>
      </c>
      <c r="J1127" t="s">
        <v>138</v>
      </c>
      <c r="K1127">
        <v>0</v>
      </c>
      <c r="L1127">
        <v>3</v>
      </c>
      <c r="M1127">
        <v>0</v>
      </c>
      <c r="N1127">
        <v>2</v>
      </c>
      <c r="O1127">
        <v>0</v>
      </c>
      <c r="P1127">
        <v>1</v>
      </c>
      <c r="Q1127">
        <v>0</v>
      </c>
      <c r="S1127" t="str">
        <f t="shared" si="390"/>
        <v>19:28:34.000</v>
      </c>
      <c r="T1127" t="str">
        <f t="shared" si="390"/>
        <v>19:28:34.000</v>
      </c>
      <c r="U1127" t="str">
        <f t="shared" si="380"/>
        <v>AC3944</v>
      </c>
      <c r="V1127">
        <v>0</v>
      </c>
      <c r="W1127">
        <v>0</v>
      </c>
      <c r="X1127">
        <v>2</v>
      </c>
      <c r="Y1127">
        <v>0</v>
      </c>
      <c r="AA1127">
        <v>1</v>
      </c>
      <c r="AB1127">
        <v>8</v>
      </c>
      <c r="AC1127">
        <v>3</v>
      </c>
      <c r="AD1127">
        <v>0</v>
      </c>
      <c r="AE1127">
        <v>9</v>
      </c>
      <c r="AF1127" t="s">
        <v>138</v>
      </c>
      <c r="AG1127">
        <v>0</v>
      </c>
      <c r="AH1127">
        <v>3</v>
      </c>
      <c r="AI1127">
        <v>1</v>
      </c>
      <c r="AJ1127">
        <v>0</v>
      </c>
      <c r="AK1127" t="s">
        <v>455</v>
      </c>
      <c r="AL1127">
        <v>32.806784999999998</v>
      </c>
      <c r="AM1127" t="s">
        <v>456</v>
      </c>
      <c r="AN1127">
        <v>-116.91847799999999</v>
      </c>
      <c r="AO1127">
        <v>25</v>
      </c>
      <c r="AP1127">
        <v>2100</v>
      </c>
      <c r="AQ1127" t="s">
        <v>129</v>
      </c>
      <c r="AR1127">
        <v>127</v>
      </c>
      <c r="AS1127">
        <v>-14</v>
      </c>
      <c r="AT1127">
        <v>704</v>
      </c>
      <c r="BB1127">
        <v>1200</v>
      </c>
      <c r="BC1127">
        <v>1</v>
      </c>
      <c r="BD1127" t="str">
        <f t="shared" si="381"/>
        <v xml:space="preserve">N887QR  </v>
      </c>
      <c r="BE1127">
        <v>1</v>
      </c>
      <c r="BG1127">
        <v>0</v>
      </c>
      <c r="BH1127">
        <v>0</v>
      </c>
      <c r="BI1127">
        <v>0</v>
      </c>
      <c r="BJ1127">
        <v>1825</v>
      </c>
      <c r="BK1127">
        <v>-275</v>
      </c>
      <c r="BL1127" t="s">
        <v>163</v>
      </c>
      <c r="BM1127">
        <v>1</v>
      </c>
      <c r="BN1127">
        <v>1</v>
      </c>
      <c r="BO1127">
        <v>1</v>
      </c>
      <c r="BP1127">
        <v>0</v>
      </c>
      <c r="BS1127">
        <v>0</v>
      </c>
      <c r="BT1127">
        <v>0</v>
      </c>
      <c r="BU1127">
        <v>0</v>
      </c>
      <c r="CE1127" t="str">
        <f t="shared" si="392"/>
        <v>19:28:34.949</v>
      </c>
      <c r="CF1127">
        <v>949020512</v>
      </c>
      <c r="CS1127">
        <v>3</v>
      </c>
      <c r="CT1127">
        <v>2</v>
      </c>
      <c r="CU1127">
        <v>0</v>
      </c>
      <c r="CV1127">
        <v>2</v>
      </c>
      <c r="CW1127">
        <v>0</v>
      </c>
      <c r="CX1127">
        <v>5</v>
      </c>
      <c r="CY1127">
        <v>7</v>
      </c>
      <c r="CZ1127" t="s">
        <v>131</v>
      </c>
      <c r="DA1127">
        <v>300</v>
      </c>
      <c r="DB1127">
        <v>0</v>
      </c>
      <c r="DC1127" t="s">
        <v>176</v>
      </c>
      <c r="DD1127" t="s">
        <v>177</v>
      </c>
      <c r="DG1127">
        <v>5379220</v>
      </c>
      <c r="DI1127">
        <v>1</v>
      </c>
      <c r="DJ1127">
        <v>0</v>
      </c>
      <c r="DK1127">
        <v>1</v>
      </c>
      <c r="DL1127">
        <v>0</v>
      </c>
      <c r="DM1127">
        <v>0</v>
      </c>
      <c r="DN1127">
        <v>1</v>
      </c>
      <c r="DO1127">
        <v>0</v>
      </c>
      <c r="DP1127">
        <v>0</v>
      </c>
      <c r="DQ1127">
        <v>0</v>
      </c>
      <c r="DR1127">
        <v>0</v>
      </c>
      <c r="DS1127">
        <v>0</v>
      </c>
    </row>
    <row r="1128" spans="1:123" x14ac:dyDescent="0.3">
      <c r="A1128" t="str">
        <f>"10/04/2022 19:28:35.197"</f>
        <v>10/04/2022 19:28:35.197</v>
      </c>
      <c r="C1128" t="str">
        <f t="shared" si="389"/>
        <v>FFDFD3C0</v>
      </c>
      <c r="D1128" t="s">
        <v>141</v>
      </c>
      <c r="E1128">
        <v>3</v>
      </c>
      <c r="H1128">
        <v>3</v>
      </c>
      <c r="I1128" t="s">
        <v>146</v>
      </c>
      <c r="J1128" t="s">
        <v>138</v>
      </c>
      <c r="K1128">
        <v>0</v>
      </c>
      <c r="L1128">
        <v>3</v>
      </c>
      <c r="M1128">
        <v>0</v>
      </c>
      <c r="N1128">
        <v>2</v>
      </c>
      <c r="O1128">
        <v>0</v>
      </c>
      <c r="P1128">
        <v>1</v>
      </c>
      <c r="Q1128">
        <v>0</v>
      </c>
      <c r="S1128" t="str">
        <f t="shared" si="390"/>
        <v>19:28:34.000</v>
      </c>
      <c r="T1128" t="str">
        <f t="shared" si="390"/>
        <v>19:28:34.000</v>
      </c>
      <c r="U1128" t="str">
        <f t="shared" si="380"/>
        <v>AC3944</v>
      </c>
      <c r="V1128">
        <v>0</v>
      </c>
      <c r="W1128">
        <v>0</v>
      </c>
      <c r="X1128">
        <v>2</v>
      </c>
      <c r="Y1128">
        <v>0</v>
      </c>
      <c r="AA1128">
        <v>1</v>
      </c>
      <c r="AB1128">
        <v>8</v>
      </c>
      <c r="AC1128">
        <v>3</v>
      </c>
      <c r="AD1128">
        <v>0</v>
      </c>
      <c r="AE1128">
        <v>9</v>
      </c>
      <c r="AF1128" t="s">
        <v>138</v>
      </c>
      <c r="AG1128">
        <v>0</v>
      </c>
      <c r="AH1128">
        <v>3</v>
      </c>
      <c r="AI1128">
        <v>1</v>
      </c>
      <c r="AJ1128">
        <v>0</v>
      </c>
      <c r="AK1128" t="s">
        <v>455</v>
      </c>
      <c r="AL1128">
        <v>32.806784999999998</v>
      </c>
      <c r="AM1128" t="s">
        <v>456</v>
      </c>
      <c r="AN1128">
        <v>-116.91847799999999</v>
      </c>
      <c r="AO1128">
        <v>25</v>
      </c>
      <c r="AP1128">
        <v>2100</v>
      </c>
      <c r="AQ1128" t="s">
        <v>129</v>
      </c>
      <c r="AR1128">
        <v>127</v>
      </c>
      <c r="AS1128">
        <v>-14</v>
      </c>
      <c r="AT1128">
        <v>704</v>
      </c>
      <c r="BB1128">
        <v>1200</v>
      </c>
      <c r="BC1128">
        <v>1</v>
      </c>
      <c r="BD1128" t="str">
        <f t="shared" si="381"/>
        <v xml:space="preserve">N887QR  </v>
      </c>
      <c r="BE1128">
        <v>1</v>
      </c>
      <c r="BG1128">
        <v>0</v>
      </c>
      <c r="BH1128">
        <v>0</v>
      </c>
      <c r="BI1128">
        <v>0</v>
      </c>
      <c r="BJ1128">
        <v>1825</v>
      </c>
      <c r="BK1128">
        <v>-275</v>
      </c>
      <c r="BL1128" t="s">
        <v>163</v>
      </c>
      <c r="BM1128">
        <v>1</v>
      </c>
      <c r="BN1128">
        <v>1</v>
      </c>
      <c r="BO1128">
        <v>1</v>
      </c>
      <c r="BP1128">
        <v>0</v>
      </c>
      <c r="BS1128">
        <v>0</v>
      </c>
      <c r="BT1128">
        <v>0</v>
      </c>
      <c r="BU1128">
        <v>0</v>
      </c>
      <c r="CE1128" t="str">
        <f t="shared" si="392"/>
        <v>19:28:34.949</v>
      </c>
      <c r="CF1128">
        <v>949020512</v>
      </c>
      <c r="CS1128">
        <v>3</v>
      </c>
      <c r="CT1128">
        <v>2</v>
      </c>
      <c r="CU1128">
        <v>0</v>
      </c>
      <c r="CV1128">
        <v>2</v>
      </c>
      <c r="CW1128">
        <v>0</v>
      </c>
      <c r="CX1128">
        <v>5</v>
      </c>
      <c r="CY1128">
        <v>7</v>
      </c>
      <c r="CZ1128" t="s">
        <v>131</v>
      </c>
      <c r="DA1128">
        <v>300</v>
      </c>
      <c r="DB1128">
        <v>0</v>
      </c>
      <c r="DC1128" t="s">
        <v>176</v>
      </c>
      <c r="DD1128" t="s">
        <v>177</v>
      </c>
      <c r="DG1128">
        <v>5379220</v>
      </c>
      <c r="DI1128">
        <v>1</v>
      </c>
      <c r="DJ1128">
        <v>0</v>
      </c>
      <c r="DK1128">
        <v>1</v>
      </c>
      <c r="DL1128">
        <v>0</v>
      </c>
      <c r="DM1128">
        <v>0</v>
      </c>
      <c r="DN1128">
        <v>1</v>
      </c>
      <c r="DO1128">
        <v>0</v>
      </c>
      <c r="DP1128">
        <v>0</v>
      </c>
      <c r="DQ1128">
        <v>0</v>
      </c>
      <c r="DR1128">
        <v>0</v>
      </c>
      <c r="DS1128">
        <v>0</v>
      </c>
    </row>
    <row r="1129" spans="1:123" x14ac:dyDescent="0.3">
      <c r="A1129" t="str">
        <f>"10/04/2022 19:28:35.197"</f>
        <v>10/04/2022 19:28:35.197</v>
      </c>
      <c r="C1129" t="str">
        <f t="shared" si="389"/>
        <v>FFDFD3C0</v>
      </c>
      <c r="D1129" t="s">
        <v>143</v>
      </c>
      <c r="E1129">
        <v>20</v>
      </c>
      <c r="F1129">
        <v>1020</v>
      </c>
      <c r="G1129" t="s">
        <v>144</v>
      </c>
      <c r="J1129" t="s">
        <v>145</v>
      </c>
      <c r="K1129">
        <v>0</v>
      </c>
      <c r="L1129">
        <v>3</v>
      </c>
      <c r="M1129">
        <v>0</v>
      </c>
      <c r="N1129">
        <v>2</v>
      </c>
      <c r="O1129">
        <v>0</v>
      </c>
      <c r="P1129">
        <v>1</v>
      </c>
      <c r="Q1129">
        <v>0</v>
      </c>
      <c r="S1129" t="str">
        <f t="shared" si="390"/>
        <v>19:28:34.000</v>
      </c>
      <c r="T1129" t="str">
        <f t="shared" si="390"/>
        <v>19:28:34.000</v>
      </c>
      <c r="U1129" t="str">
        <f t="shared" si="380"/>
        <v>AC3944</v>
      </c>
      <c r="V1129">
        <v>0</v>
      </c>
      <c r="W1129">
        <v>0</v>
      </c>
      <c r="X1129">
        <v>2</v>
      </c>
      <c r="Y1129">
        <v>0</v>
      </c>
      <c r="AA1129">
        <v>1</v>
      </c>
      <c r="AB1129">
        <v>8</v>
      </c>
      <c r="AC1129">
        <v>3</v>
      </c>
      <c r="AD1129">
        <v>0</v>
      </c>
      <c r="AE1129">
        <v>9</v>
      </c>
      <c r="AF1129" t="s">
        <v>138</v>
      </c>
      <c r="AG1129">
        <v>0</v>
      </c>
      <c r="AH1129">
        <v>3</v>
      </c>
      <c r="AI1129">
        <v>1</v>
      </c>
      <c r="AJ1129">
        <v>0</v>
      </c>
      <c r="AK1129" t="s">
        <v>455</v>
      </c>
      <c r="AL1129">
        <v>32.806784999999998</v>
      </c>
      <c r="AM1129" t="s">
        <v>456</v>
      </c>
      <c r="AN1129">
        <v>-116.91847799999999</v>
      </c>
      <c r="AO1129">
        <v>25</v>
      </c>
      <c r="AP1129">
        <v>2100</v>
      </c>
      <c r="AQ1129" t="s">
        <v>129</v>
      </c>
      <c r="AR1129">
        <v>127</v>
      </c>
      <c r="AS1129">
        <v>-14</v>
      </c>
      <c r="AT1129">
        <v>704</v>
      </c>
      <c r="BB1129">
        <v>1200</v>
      </c>
      <c r="BC1129">
        <v>1</v>
      </c>
      <c r="BD1129" t="str">
        <f t="shared" si="381"/>
        <v xml:space="preserve">N887QR  </v>
      </c>
      <c r="BE1129">
        <v>1</v>
      </c>
      <c r="BG1129">
        <v>0</v>
      </c>
      <c r="BH1129">
        <v>0</v>
      </c>
      <c r="BI1129">
        <v>0</v>
      </c>
      <c r="BJ1129">
        <v>1825</v>
      </c>
      <c r="BK1129">
        <v>-275</v>
      </c>
      <c r="BL1129" t="s">
        <v>163</v>
      </c>
      <c r="BM1129">
        <v>1</v>
      </c>
      <c r="BN1129">
        <v>1</v>
      </c>
      <c r="BO1129">
        <v>1</v>
      </c>
      <c r="BP1129">
        <v>0</v>
      </c>
      <c r="BS1129">
        <v>0</v>
      </c>
      <c r="BT1129">
        <v>0</v>
      </c>
      <c r="BU1129">
        <v>0</v>
      </c>
      <c r="CE1129" t="str">
        <f t="shared" si="392"/>
        <v>19:28:34.949</v>
      </c>
      <c r="CF1129">
        <v>949020512</v>
      </c>
      <c r="CS1129">
        <v>3</v>
      </c>
      <c r="CT1129">
        <v>2</v>
      </c>
      <c r="CU1129">
        <v>0</v>
      </c>
      <c r="CV1129">
        <v>2</v>
      </c>
      <c r="CW1129">
        <v>0</v>
      </c>
      <c r="CX1129">
        <v>5</v>
      </c>
      <c r="CY1129">
        <v>7</v>
      </c>
      <c r="CZ1129" t="s">
        <v>131</v>
      </c>
      <c r="DA1129">
        <v>300</v>
      </c>
      <c r="DB1129">
        <v>0</v>
      </c>
      <c r="DC1129" t="s">
        <v>176</v>
      </c>
      <c r="DD1129" t="s">
        <v>177</v>
      </c>
      <c r="DG1129">
        <v>5379220</v>
      </c>
      <c r="DI1129">
        <v>1</v>
      </c>
      <c r="DJ1129">
        <v>0</v>
      </c>
      <c r="DK1129">
        <v>1</v>
      </c>
      <c r="DL1129">
        <v>0</v>
      </c>
      <c r="DM1129">
        <v>0</v>
      </c>
      <c r="DN1129">
        <v>1</v>
      </c>
      <c r="DO1129">
        <v>0</v>
      </c>
      <c r="DP1129">
        <v>0</v>
      </c>
      <c r="DQ1129">
        <v>0</v>
      </c>
      <c r="DR1129">
        <v>0</v>
      </c>
      <c r="DS1129">
        <v>0</v>
      </c>
    </row>
    <row r="1130" spans="1:123" x14ac:dyDescent="0.3">
      <c r="A1130" t="str">
        <f>"10/04/2022 19:28:36.696"</f>
        <v>10/04/2022 19:28:36.696</v>
      </c>
      <c r="C1130" t="str">
        <f t="shared" si="389"/>
        <v>FFDFD3C0</v>
      </c>
      <c r="D1130" t="s">
        <v>143</v>
      </c>
      <c r="E1130">
        <v>20</v>
      </c>
      <c r="F1130">
        <v>1020</v>
      </c>
      <c r="G1130" t="s">
        <v>144</v>
      </c>
      <c r="J1130" t="s">
        <v>145</v>
      </c>
      <c r="K1130">
        <v>0</v>
      </c>
      <c r="L1130">
        <v>3</v>
      </c>
      <c r="M1130">
        <v>0</v>
      </c>
      <c r="N1130">
        <v>2</v>
      </c>
      <c r="O1130">
        <v>0</v>
      </c>
      <c r="P1130">
        <v>1</v>
      </c>
      <c r="Q1130">
        <v>0</v>
      </c>
      <c r="S1130" t="str">
        <f t="shared" ref="S1130:T1143" si="393">"19:28:36.000"</f>
        <v>19:28:36.000</v>
      </c>
      <c r="T1130" t="str">
        <f t="shared" si="393"/>
        <v>19:28:36.000</v>
      </c>
      <c r="U1130" t="str">
        <f t="shared" si="380"/>
        <v>AC3944</v>
      </c>
      <c r="V1130">
        <v>0</v>
      </c>
      <c r="W1130">
        <v>0</v>
      </c>
      <c r="X1130">
        <v>2</v>
      </c>
      <c r="Y1130">
        <v>0</v>
      </c>
      <c r="AA1130">
        <v>1</v>
      </c>
      <c r="AB1130">
        <v>8</v>
      </c>
      <c r="AC1130">
        <v>3</v>
      </c>
      <c r="AD1130">
        <v>0</v>
      </c>
      <c r="AE1130">
        <v>9</v>
      </c>
      <c r="AF1130" t="s">
        <v>138</v>
      </c>
      <c r="AG1130">
        <v>0</v>
      </c>
      <c r="AH1130">
        <v>3</v>
      </c>
      <c r="AI1130">
        <v>1</v>
      </c>
      <c r="AJ1130">
        <v>0</v>
      </c>
      <c r="AK1130" t="s">
        <v>457</v>
      </c>
      <c r="AL1130">
        <v>32.806742</v>
      </c>
      <c r="AM1130" t="s">
        <v>458</v>
      </c>
      <c r="AN1130">
        <v>-116.91777</v>
      </c>
      <c r="AO1130">
        <v>25</v>
      </c>
      <c r="AP1130">
        <v>2200</v>
      </c>
      <c r="AQ1130" t="s">
        <v>129</v>
      </c>
      <c r="AR1130">
        <v>127</v>
      </c>
      <c r="AS1130">
        <v>-11</v>
      </c>
      <c r="AT1130">
        <v>768</v>
      </c>
      <c r="BB1130">
        <v>1200</v>
      </c>
      <c r="BC1130">
        <v>1</v>
      </c>
      <c r="BD1130" t="str">
        <f t="shared" si="381"/>
        <v xml:space="preserve">N887QR  </v>
      </c>
      <c r="BE1130">
        <v>1</v>
      </c>
      <c r="BG1130">
        <v>0</v>
      </c>
      <c r="BH1130">
        <v>0</v>
      </c>
      <c r="BI1130">
        <v>0</v>
      </c>
      <c r="BJ1130">
        <v>1825</v>
      </c>
      <c r="BK1130">
        <v>-375</v>
      </c>
      <c r="BL1130" t="s">
        <v>163</v>
      </c>
      <c r="BM1130">
        <v>1</v>
      </c>
      <c r="BN1130">
        <v>1</v>
      </c>
      <c r="BO1130">
        <v>1</v>
      </c>
      <c r="BP1130">
        <v>0</v>
      </c>
      <c r="BS1130">
        <v>0</v>
      </c>
      <c r="BT1130">
        <v>0</v>
      </c>
      <c r="BU1130">
        <v>0</v>
      </c>
      <c r="CE1130" t="str">
        <f t="shared" ref="CE1130:CE1136" si="394">"19:28:36.502"</f>
        <v>19:28:36.502</v>
      </c>
      <c r="CF1130">
        <v>502275486</v>
      </c>
      <c r="CS1130">
        <v>3</v>
      </c>
      <c r="CT1130">
        <v>2</v>
      </c>
      <c r="CU1130">
        <v>0</v>
      </c>
      <c r="CV1130">
        <v>2</v>
      </c>
      <c r="CW1130">
        <v>0</v>
      </c>
      <c r="CX1130">
        <v>5</v>
      </c>
      <c r="CY1130">
        <v>7</v>
      </c>
      <c r="CZ1130" t="s">
        <v>131</v>
      </c>
      <c r="DA1130">
        <v>300</v>
      </c>
      <c r="DB1130">
        <v>0</v>
      </c>
      <c r="DC1130" t="s">
        <v>176</v>
      </c>
      <c r="DD1130" t="s">
        <v>177</v>
      </c>
      <c r="DG1130">
        <v>5379459</v>
      </c>
      <c r="DI1130">
        <v>1</v>
      </c>
      <c r="DJ1130">
        <v>0</v>
      </c>
      <c r="DK1130">
        <v>0</v>
      </c>
      <c r="DL1130">
        <v>0</v>
      </c>
      <c r="DM1130">
        <v>0</v>
      </c>
      <c r="DN1130">
        <v>1</v>
      </c>
      <c r="DO1130">
        <v>0</v>
      </c>
      <c r="DP1130">
        <v>0</v>
      </c>
      <c r="DQ1130">
        <v>0</v>
      </c>
      <c r="DR1130">
        <v>0</v>
      </c>
      <c r="DS1130">
        <v>0</v>
      </c>
    </row>
    <row r="1131" spans="1:123" x14ac:dyDescent="0.3">
      <c r="A1131" t="str">
        <f>"10/04/2022 19:28:36.712"</f>
        <v>10/04/2022 19:28:36.712</v>
      </c>
      <c r="C1131" t="str">
        <f t="shared" si="389"/>
        <v>FFDFD3C0</v>
      </c>
      <c r="D1131" t="s">
        <v>136</v>
      </c>
      <c r="E1131">
        <v>8</v>
      </c>
      <c r="H1131">
        <v>225</v>
      </c>
      <c r="I1131" t="s">
        <v>137</v>
      </c>
      <c r="J1131" t="s">
        <v>138</v>
      </c>
      <c r="K1131">
        <v>0</v>
      </c>
      <c r="L1131">
        <v>3</v>
      </c>
      <c r="M1131">
        <v>0</v>
      </c>
      <c r="N1131">
        <v>2</v>
      </c>
      <c r="O1131">
        <v>0</v>
      </c>
      <c r="P1131">
        <v>1</v>
      </c>
      <c r="Q1131">
        <v>0</v>
      </c>
      <c r="S1131" t="str">
        <f t="shared" si="393"/>
        <v>19:28:36.000</v>
      </c>
      <c r="T1131" t="str">
        <f t="shared" si="393"/>
        <v>19:28:36.000</v>
      </c>
      <c r="U1131" t="str">
        <f t="shared" si="380"/>
        <v>AC3944</v>
      </c>
      <c r="V1131">
        <v>0</v>
      </c>
      <c r="W1131">
        <v>0</v>
      </c>
      <c r="X1131">
        <v>2</v>
      </c>
      <c r="Y1131">
        <v>0</v>
      </c>
      <c r="AA1131">
        <v>1</v>
      </c>
      <c r="AB1131">
        <v>8</v>
      </c>
      <c r="AC1131">
        <v>3</v>
      </c>
      <c r="AD1131">
        <v>0</v>
      </c>
      <c r="AE1131">
        <v>9</v>
      </c>
      <c r="AF1131" t="s">
        <v>138</v>
      </c>
      <c r="AG1131">
        <v>0</v>
      </c>
      <c r="AH1131">
        <v>3</v>
      </c>
      <c r="AI1131">
        <v>1</v>
      </c>
      <c r="AJ1131">
        <v>0</v>
      </c>
      <c r="AK1131" t="s">
        <v>457</v>
      </c>
      <c r="AL1131">
        <v>32.806742</v>
      </c>
      <c r="AM1131" t="s">
        <v>458</v>
      </c>
      <c r="AN1131">
        <v>-116.91777</v>
      </c>
      <c r="AO1131">
        <v>25</v>
      </c>
      <c r="AP1131">
        <v>2200</v>
      </c>
      <c r="AQ1131" t="s">
        <v>129</v>
      </c>
      <c r="AR1131">
        <v>127</v>
      </c>
      <c r="AS1131">
        <v>-11</v>
      </c>
      <c r="AT1131">
        <v>768</v>
      </c>
      <c r="BB1131">
        <v>1200</v>
      </c>
      <c r="BC1131">
        <v>1</v>
      </c>
      <c r="BD1131" t="str">
        <f t="shared" si="381"/>
        <v xml:space="preserve">N887QR  </v>
      </c>
      <c r="BE1131">
        <v>1</v>
      </c>
      <c r="BG1131">
        <v>0</v>
      </c>
      <c r="BH1131">
        <v>0</v>
      </c>
      <c r="BI1131">
        <v>0</v>
      </c>
      <c r="BJ1131">
        <v>1825</v>
      </c>
      <c r="BK1131">
        <v>-375</v>
      </c>
      <c r="BL1131" t="s">
        <v>163</v>
      </c>
      <c r="BM1131">
        <v>1</v>
      </c>
      <c r="BN1131">
        <v>1</v>
      </c>
      <c r="BO1131">
        <v>1</v>
      </c>
      <c r="BP1131">
        <v>0</v>
      </c>
      <c r="BS1131">
        <v>0</v>
      </c>
      <c r="BT1131">
        <v>0</v>
      </c>
      <c r="BU1131">
        <v>0</v>
      </c>
      <c r="CE1131" t="str">
        <f t="shared" si="394"/>
        <v>19:28:36.502</v>
      </c>
      <c r="CF1131">
        <v>502275486</v>
      </c>
      <c r="CS1131">
        <v>3</v>
      </c>
      <c r="CT1131">
        <v>2</v>
      </c>
      <c r="CU1131">
        <v>0</v>
      </c>
      <c r="CV1131">
        <v>2</v>
      </c>
      <c r="CW1131">
        <v>0</v>
      </c>
      <c r="CX1131">
        <v>5</v>
      </c>
      <c r="CY1131">
        <v>7</v>
      </c>
      <c r="CZ1131" t="s">
        <v>131</v>
      </c>
      <c r="DA1131">
        <v>300</v>
      </c>
      <c r="DB1131">
        <v>0</v>
      </c>
      <c r="DC1131" t="s">
        <v>176</v>
      </c>
      <c r="DD1131" t="s">
        <v>177</v>
      </c>
      <c r="DG1131">
        <v>5379459</v>
      </c>
      <c r="DI1131">
        <v>1</v>
      </c>
      <c r="DJ1131">
        <v>0</v>
      </c>
      <c r="DK1131">
        <v>1</v>
      </c>
      <c r="DL1131">
        <v>0</v>
      </c>
      <c r="DM1131">
        <v>0</v>
      </c>
      <c r="DN1131">
        <v>1</v>
      </c>
      <c r="DO1131">
        <v>0</v>
      </c>
      <c r="DP1131">
        <v>0</v>
      </c>
      <c r="DQ1131">
        <v>0</v>
      </c>
      <c r="DR1131">
        <v>0</v>
      </c>
      <c r="DS1131">
        <v>0</v>
      </c>
    </row>
    <row r="1132" spans="1:123" x14ac:dyDescent="0.3">
      <c r="A1132" t="str">
        <f>"10/04/2022 19:28:36.712"</f>
        <v>10/04/2022 19:28:36.712</v>
      </c>
      <c r="C1132" t="str">
        <f t="shared" si="389"/>
        <v>FFDFD3C0</v>
      </c>
      <c r="D1132" t="s">
        <v>147</v>
      </c>
      <c r="E1132">
        <v>3</v>
      </c>
      <c r="H1132">
        <v>166</v>
      </c>
      <c r="I1132" t="s">
        <v>144</v>
      </c>
      <c r="J1132" t="s">
        <v>148</v>
      </c>
      <c r="K1132">
        <v>0</v>
      </c>
      <c r="L1132">
        <v>3</v>
      </c>
      <c r="M1132">
        <v>0</v>
      </c>
      <c r="N1132">
        <v>2</v>
      </c>
      <c r="O1132">
        <v>0</v>
      </c>
      <c r="P1132">
        <v>1</v>
      </c>
      <c r="Q1132">
        <v>0</v>
      </c>
      <c r="S1132" t="str">
        <f t="shared" si="393"/>
        <v>19:28:36.000</v>
      </c>
      <c r="T1132" t="str">
        <f t="shared" si="393"/>
        <v>19:28:36.000</v>
      </c>
      <c r="U1132" t="str">
        <f t="shared" si="380"/>
        <v>AC3944</v>
      </c>
      <c r="V1132">
        <v>0</v>
      </c>
      <c r="W1132">
        <v>0</v>
      </c>
      <c r="X1132">
        <v>2</v>
      </c>
      <c r="Y1132">
        <v>0</v>
      </c>
      <c r="AA1132">
        <v>1</v>
      </c>
      <c r="AB1132">
        <v>8</v>
      </c>
      <c r="AC1132">
        <v>3</v>
      </c>
      <c r="AD1132">
        <v>0</v>
      </c>
      <c r="AE1132">
        <v>9</v>
      </c>
      <c r="AF1132" t="s">
        <v>138</v>
      </c>
      <c r="AG1132">
        <v>0</v>
      </c>
      <c r="AH1132">
        <v>3</v>
      </c>
      <c r="AI1132">
        <v>1</v>
      </c>
      <c r="AJ1132">
        <v>0</v>
      </c>
      <c r="AK1132" t="s">
        <v>457</v>
      </c>
      <c r="AL1132">
        <v>32.806742</v>
      </c>
      <c r="AM1132" t="s">
        <v>458</v>
      </c>
      <c r="AN1132">
        <v>-116.91777</v>
      </c>
      <c r="AO1132">
        <v>25</v>
      </c>
      <c r="AP1132">
        <v>2200</v>
      </c>
      <c r="AQ1132" t="s">
        <v>129</v>
      </c>
      <c r="AR1132">
        <v>127</v>
      </c>
      <c r="AS1132">
        <v>-11</v>
      </c>
      <c r="AT1132">
        <v>768</v>
      </c>
      <c r="BB1132">
        <v>1200</v>
      </c>
      <c r="BC1132">
        <v>1</v>
      </c>
      <c r="BD1132" t="str">
        <f t="shared" si="381"/>
        <v xml:space="preserve">N887QR  </v>
      </c>
      <c r="BE1132">
        <v>1</v>
      </c>
      <c r="BG1132">
        <v>0</v>
      </c>
      <c r="BH1132">
        <v>0</v>
      </c>
      <c r="BI1132">
        <v>0</v>
      </c>
      <c r="BJ1132">
        <v>1825</v>
      </c>
      <c r="BK1132">
        <v>-375</v>
      </c>
      <c r="BL1132" t="s">
        <v>163</v>
      </c>
      <c r="BM1132">
        <v>1</v>
      </c>
      <c r="BN1132">
        <v>1</v>
      </c>
      <c r="BO1132">
        <v>1</v>
      </c>
      <c r="BP1132">
        <v>0</v>
      </c>
      <c r="BS1132">
        <v>0</v>
      </c>
      <c r="BT1132">
        <v>0</v>
      </c>
      <c r="BU1132">
        <v>0</v>
      </c>
      <c r="CE1132" t="str">
        <f t="shared" si="394"/>
        <v>19:28:36.502</v>
      </c>
      <c r="CF1132">
        <v>502275486</v>
      </c>
      <c r="CS1132">
        <v>3</v>
      </c>
      <c r="CT1132">
        <v>2</v>
      </c>
      <c r="CU1132">
        <v>0</v>
      </c>
      <c r="CV1132">
        <v>2</v>
      </c>
      <c r="CW1132">
        <v>0</v>
      </c>
      <c r="CX1132">
        <v>5</v>
      </c>
      <c r="CY1132">
        <v>7</v>
      </c>
      <c r="CZ1132" t="s">
        <v>131</v>
      </c>
      <c r="DA1132">
        <v>300</v>
      </c>
      <c r="DB1132">
        <v>0</v>
      </c>
      <c r="DC1132" t="s">
        <v>176</v>
      </c>
      <c r="DD1132" t="s">
        <v>177</v>
      </c>
      <c r="DG1132">
        <v>5379459</v>
      </c>
      <c r="DI1132">
        <v>1</v>
      </c>
      <c r="DJ1132">
        <v>0</v>
      </c>
      <c r="DK1132">
        <v>1</v>
      </c>
      <c r="DL1132">
        <v>0</v>
      </c>
      <c r="DM1132">
        <v>0</v>
      </c>
      <c r="DN1132">
        <v>1</v>
      </c>
      <c r="DO1132">
        <v>0</v>
      </c>
      <c r="DP1132">
        <v>0</v>
      </c>
      <c r="DQ1132">
        <v>0</v>
      </c>
      <c r="DR1132">
        <v>0</v>
      </c>
      <c r="DS1132">
        <v>0</v>
      </c>
    </row>
    <row r="1133" spans="1:123" x14ac:dyDescent="0.3">
      <c r="A1133" t="str">
        <f>"10/04/2022 19:28:36.696"</f>
        <v>10/04/2022 19:28:36.696</v>
      </c>
      <c r="C1133" t="str">
        <f t="shared" si="389"/>
        <v>FFDFD3C0</v>
      </c>
      <c r="D1133" t="s">
        <v>141</v>
      </c>
      <c r="E1133">
        <v>3</v>
      </c>
      <c r="H1133">
        <v>3</v>
      </c>
      <c r="I1133" t="s">
        <v>146</v>
      </c>
      <c r="J1133" t="s">
        <v>138</v>
      </c>
      <c r="K1133">
        <v>0</v>
      </c>
      <c r="L1133">
        <v>3</v>
      </c>
      <c r="M1133">
        <v>0</v>
      </c>
      <c r="N1133">
        <v>2</v>
      </c>
      <c r="O1133">
        <v>0</v>
      </c>
      <c r="P1133">
        <v>1</v>
      </c>
      <c r="Q1133">
        <v>0</v>
      </c>
      <c r="S1133" t="str">
        <f t="shared" si="393"/>
        <v>19:28:36.000</v>
      </c>
      <c r="T1133" t="str">
        <f t="shared" si="393"/>
        <v>19:28:36.000</v>
      </c>
      <c r="U1133" t="str">
        <f t="shared" si="380"/>
        <v>AC3944</v>
      </c>
      <c r="V1133">
        <v>0</v>
      </c>
      <c r="W1133">
        <v>0</v>
      </c>
      <c r="X1133">
        <v>2</v>
      </c>
      <c r="Y1133">
        <v>0</v>
      </c>
      <c r="AA1133">
        <v>1</v>
      </c>
      <c r="AB1133">
        <v>8</v>
      </c>
      <c r="AC1133">
        <v>3</v>
      </c>
      <c r="AD1133">
        <v>0</v>
      </c>
      <c r="AE1133">
        <v>9</v>
      </c>
      <c r="AF1133" t="s">
        <v>138</v>
      </c>
      <c r="AG1133">
        <v>0</v>
      </c>
      <c r="AH1133">
        <v>3</v>
      </c>
      <c r="AI1133">
        <v>1</v>
      </c>
      <c r="AJ1133">
        <v>0</v>
      </c>
      <c r="AK1133" t="s">
        <v>457</v>
      </c>
      <c r="AL1133">
        <v>32.806742</v>
      </c>
      <c r="AM1133" t="s">
        <v>458</v>
      </c>
      <c r="AN1133">
        <v>-116.91777</v>
      </c>
      <c r="AO1133">
        <v>25</v>
      </c>
      <c r="AP1133">
        <v>2200</v>
      </c>
      <c r="AQ1133" t="s">
        <v>129</v>
      </c>
      <c r="AR1133">
        <v>127</v>
      </c>
      <c r="AS1133">
        <v>-11</v>
      </c>
      <c r="AT1133">
        <v>768</v>
      </c>
      <c r="BB1133">
        <v>1200</v>
      </c>
      <c r="BC1133">
        <v>1</v>
      </c>
      <c r="BD1133" t="str">
        <f t="shared" si="381"/>
        <v xml:space="preserve">N887QR  </v>
      </c>
      <c r="BE1133">
        <v>1</v>
      </c>
      <c r="BG1133">
        <v>0</v>
      </c>
      <c r="BH1133">
        <v>0</v>
      </c>
      <c r="BI1133">
        <v>0</v>
      </c>
      <c r="BJ1133">
        <v>1825</v>
      </c>
      <c r="BK1133">
        <v>-375</v>
      </c>
      <c r="BL1133" t="s">
        <v>163</v>
      </c>
      <c r="BM1133">
        <v>1</v>
      </c>
      <c r="BN1133">
        <v>1</v>
      </c>
      <c r="BO1133">
        <v>1</v>
      </c>
      <c r="BP1133">
        <v>0</v>
      </c>
      <c r="BS1133">
        <v>0</v>
      </c>
      <c r="BT1133">
        <v>0</v>
      </c>
      <c r="BU1133">
        <v>0</v>
      </c>
      <c r="CE1133" t="str">
        <f t="shared" si="394"/>
        <v>19:28:36.502</v>
      </c>
      <c r="CF1133">
        <v>502275486</v>
      </c>
      <c r="CS1133">
        <v>3</v>
      </c>
      <c r="CT1133">
        <v>2</v>
      </c>
      <c r="CU1133">
        <v>0</v>
      </c>
      <c r="CV1133">
        <v>2</v>
      </c>
      <c r="CW1133">
        <v>0</v>
      </c>
      <c r="CX1133">
        <v>5</v>
      </c>
      <c r="CY1133">
        <v>7</v>
      </c>
      <c r="CZ1133" t="s">
        <v>131</v>
      </c>
      <c r="DA1133">
        <v>300</v>
      </c>
      <c r="DB1133">
        <v>0</v>
      </c>
      <c r="DC1133" t="s">
        <v>176</v>
      </c>
      <c r="DD1133" t="s">
        <v>177</v>
      </c>
      <c r="DG1133">
        <v>5379459</v>
      </c>
      <c r="DI1133">
        <v>1</v>
      </c>
      <c r="DJ1133">
        <v>0</v>
      </c>
      <c r="DK1133">
        <v>1</v>
      </c>
      <c r="DL1133">
        <v>0</v>
      </c>
      <c r="DM1133">
        <v>0</v>
      </c>
      <c r="DN1133">
        <v>1</v>
      </c>
      <c r="DO1133">
        <v>0</v>
      </c>
      <c r="DP1133">
        <v>0</v>
      </c>
      <c r="DQ1133">
        <v>0</v>
      </c>
      <c r="DR1133">
        <v>0</v>
      </c>
      <c r="DS1133">
        <v>0</v>
      </c>
    </row>
    <row r="1134" spans="1:123" x14ac:dyDescent="0.3">
      <c r="A1134" t="str">
        <f>"10/04/2022 19:28:36.712"</f>
        <v>10/04/2022 19:28:36.712</v>
      </c>
      <c r="C1134" t="str">
        <f t="shared" si="389"/>
        <v>FFDFD3C0</v>
      </c>
      <c r="D1134" t="s">
        <v>123</v>
      </c>
      <c r="E1134">
        <v>7</v>
      </c>
      <c r="F1134">
        <v>2007</v>
      </c>
      <c r="G1134" t="s">
        <v>124</v>
      </c>
      <c r="J1134" t="s">
        <v>125</v>
      </c>
      <c r="K1134">
        <v>0</v>
      </c>
      <c r="L1134">
        <v>3</v>
      </c>
      <c r="M1134">
        <v>0</v>
      </c>
      <c r="N1134">
        <v>2</v>
      </c>
      <c r="O1134">
        <v>0</v>
      </c>
      <c r="P1134">
        <v>1</v>
      </c>
      <c r="Q1134">
        <v>0</v>
      </c>
      <c r="S1134" t="str">
        <f t="shared" si="393"/>
        <v>19:28:36.000</v>
      </c>
      <c r="T1134" t="str">
        <f t="shared" si="393"/>
        <v>19:28:36.000</v>
      </c>
      <c r="U1134" t="str">
        <f t="shared" si="380"/>
        <v>AC3944</v>
      </c>
      <c r="V1134">
        <v>0</v>
      </c>
      <c r="W1134">
        <v>0</v>
      </c>
      <c r="X1134">
        <v>2</v>
      </c>
      <c r="Y1134">
        <v>0</v>
      </c>
      <c r="AA1134">
        <v>1</v>
      </c>
      <c r="AB1134">
        <v>8</v>
      </c>
      <c r="AC1134">
        <v>3</v>
      </c>
      <c r="AD1134">
        <v>0</v>
      </c>
      <c r="AE1134">
        <v>9</v>
      </c>
      <c r="AF1134" t="s">
        <v>138</v>
      </c>
      <c r="AG1134">
        <v>0</v>
      </c>
      <c r="AH1134">
        <v>3</v>
      </c>
      <c r="AI1134">
        <v>1</v>
      </c>
      <c r="AJ1134">
        <v>0</v>
      </c>
      <c r="AK1134" t="s">
        <v>457</v>
      </c>
      <c r="AL1134">
        <v>32.806742</v>
      </c>
      <c r="AM1134" t="s">
        <v>458</v>
      </c>
      <c r="AN1134">
        <v>-116.91777</v>
      </c>
      <c r="AO1134">
        <v>25</v>
      </c>
      <c r="AP1134">
        <v>2200</v>
      </c>
      <c r="AQ1134" t="s">
        <v>129</v>
      </c>
      <c r="AR1134">
        <v>127</v>
      </c>
      <c r="AS1134">
        <v>-11</v>
      </c>
      <c r="AT1134">
        <v>768</v>
      </c>
      <c r="BB1134">
        <v>1200</v>
      </c>
      <c r="BC1134">
        <v>1</v>
      </c>
      <c r="BD1134" t="str">
        <f t="shared" si="381"/>
        <v xml:space="preserve">N887QR  </v>
      </c>
      <c r="BE1134">
        <v>1</v>
      </c>
      <c r="BG1134">
        <v>0</v>
      </c>
      <c r="BH1134">
        <v>0</v>
      </c>
      <c r="BI1134">
        <v>0</v>
      </c>
      <c r="BJ1134">
        <v>1825</v>
      </c>
      <c r="BK1134">
        <v>-375</v>
      </c>
      <c r="BL1134" t="s">
        <v>163</v>
      </c>
      <c r="BM1134">
        <v>1</v>
      </c>
      <c r="BN1134">
        <v>1</v>
      </c>
      <c r="BO1134">
        <v>1</v>
      </c>
      <c r="BP1134">
        <v>0</v>
      </c>
      <c r="BS1134">
        <v>0</v>
      </c>
      <c r="BT1134">
        <v>0</v>
      </c>
      <c r="BU1134">
        <v>0</v>
      </c>
      <c r="CE1134" t="str">
        <f t="shared" si="394"/>
        <v>19:28:36.502</v>
      </c>
      <c r="CF1134">
        <v>502275486</v>
      </c>
      <c r="CS1134">
        <v>3</v>
      </c>
      <c r="CT1134">
        <v>2</v>
      </c>
      <c r="CU1134">
        <v>0</v>
      </c>
      <c r="CV1134">
        <v>2</v>
      </c>
      <c r="CW1134">
        <v>0</v>
      </c>
      <c r="CX1134">
        <v>5</v>
      </c>
      <c r="CY1134">
        <v>7</v>
      </c>
      <c r="CZ1134" t="s">
        <v>131</v>
      </c>
      <c r="DA1134">
        <v>300</v>
      </c>
      <c r="DB1134">
        <v>0</v>
      </c>
      <c r="DC1134" t="s">
        <v>176</v>
      </c>
      <c r="DD1134" t="s">
        <v>177</v>
      </c>
      <c r="DG1134">
        <v>5379459</v>
      </c>
      <c r="DI1134">
        <v>1</v>
      </c>
      <c r="DJ1134">
        <v>0</v>
      </c>
      <c r="DK1134">
        <v>1</v>
      </c>
      <c r="DL1134">
        <v>0</v>
      </c>
      <c r="DM1134">
        <v>0</v>
      </c>
      <c r="DN1134">
        <v>1</v>
      </c>
      <c r="DO1134">
        <v>0</v>
      </c>
      <c r="DP1134">
        <v>0</v>
      </c>
      <c r="DQ1134">
        <v>0</v>
      </c>
      <c r="DR1134">
        <v>0</v>
      </c>
      <c r="DS1134">
        <v>0</v>
      </c>
    </row>
    <row r="1135" spans="1:123" x14ac:dyDescent="0.3">
      <c r="A1135" t="str">
        <f>"10/04/2022 19:28:36.728"</f>
        <v>10/04/2022 19:28:36.728</v>
      </c>
      <c r="C1135" t="str">
        <f t="shared" si="389"/>
        <v>FFDFD3C0</v>
      </c>
      <c r="D1135" t="s">
        <v>141</v>
      </c>
      <c r="E1135">
        <v>4</v>
      </c>
      <c r="H1135">
        <v>4</v>
      </c>
      <c r="I1135" t="s">
        <v>142</v>
      </c>
      <c r="J1135" t="s">
        <v>138</v>
      </c>
      <c r="K1135">
        <v>0</v>
      </c>
      <c r="L1135">
        <v>3</v>
      </c>
      <c r="M1135">
        <v>0</v>
      </c>
      <c r="N1135">
        <v>2</v>
      </c>
      <c r="O1135">
        <v>0</v>
      </c>
      <c r="P1135">
        <v>1</v>
      </c>
      <c r="Q1135">
        <v>0</v>
      </c>
      <c r="S1135" t="str">
        <f t="shared" si="393"/>
        <v>19:28:36.000</v>
      </c>
      <c r="T1135" t="str">
        <f t="shared" si="393"/>
        <v>19:28:36.000</v>
      </c>
      <c r="U1135" t="str">
        <f t="shared" si="380"/>
        <v>AC3944</v>
      </c>
      <c r="V1135">
        <v>0</v>
      </c>
      <c r="W1135">
        <v>0</v>
      </c>
      <c r="X1135">
        <v>2</v>
      </c>
      <c r="Y1135">
        <v>0</v>
      </c>
      <c r="AA1135">
        <v>1</v>
      </c>
      <c r="AB1135">
        <v>8</v>
      </c>
      <c r="AC1135">
        <v>3</v>
      </c>
      <c r="AD1135">
        <v>0</v>
      </c>
      <c r="AE1135">
        <v>9</v>
      </c>
      <c r="AF1135" t="s">
        <v>138</v>
      </c>
      <c r="AG1135">
        <v>0</v>
      </c>
      <c r="AH1135">
        <v>3</v>
      </c>
      <c r="AI1135">
        <v>1</v>
      </c>
      <c r="AJ1135">
        <v>0</v>
      </c>
      <c r="AK1135" t="s">
        <v>457</v>
      </c>
      <c r="AL1135">
        <v>32.806742</v>
      </c>
      <c r="AM1135" t="s">
        <v>458</v>
      </c>
      <c r="AN1135">
        <v>-116.91777</v>
      </c>
      <c r="AO1135">
        <v>25</v>
      </c>
      <c r="AP1135">
        <v>2200</v>
      </c>
      <c r="AQ1135" t="s">
        <v>129</v>
      </c>
      <c r="AR1135">
        <v>127</v>
      </c>
      <c r="AS1135">
        <v>-11</v>
      </c>
      <c r="AT1135">
        <v>768</v>
      </c>
      <c r="BB1135">
        <v>1200</v>
      </c>
      <c r="BC1135">
        <v>1</v>
      </c>
      <c r="BD1135" t="str">
        <f t="shared" si="381"/>
        <v xml:space="preserve">N887QR  </v>
      </c>
      <c r="BE1135">
        <v>1</v>
      </c>
      <c r="BG1135">
        <v>0</v>
      </c>
      <c r="BH1135">
        <v>0</v>
      </c>
      <c r="BI1135">
        <v>0</v>
      </c>
      <c r="BJ1135">
        <v>1825</v>
      </c>
      <c r="BK1135">
        <v>-375</v>
      </c>
      <c r="BL1135" t="s">
        <v>163</v>
      </c>
      <c r="BM1135">
        <v>1</v>
      </c>
      <c r="BN1135">
        <v>1</v>
      </c>
      <c r="BO1135">
        <v>1</v>
      </c>
      <c r="BP1135">
        <v>0</v>
      </c>
      <c r="BS1135">
        <v>0</v>
      </c>
      <c r="BT1135">
        <v>0</v>
      </c>
      <c r="BU1135">
        <v>0</v>
      </c>
      <c r="CE1135" t="str">
        <f t="shared" si="394"/>
        <v>19:28:36.502</v>
      </c>
      <c r="CF1135">
        <v>502275486</v>
      </c>
      <c r="CS1135">
        <v>3</v>
      </c>
      <c r="CT1135">
        <v>2</v>
      </c>
      <c r="CU1135">
        <v>0</v>
      </c>
      <c r="CV1135">
        <v>2</v>
      </c>
      <c r="CW1135">
        <v>0</v>
      </c>
      <c r="CX1135">
        <v>5</v>
      </c>
      <c r="CY1135">
        <v>7</v>
      </c>
      <c r="CZ1135" t="s">
        <v>131</v>
      </c>
      <c r="DA1135">
        <v>300</v>
      </c>
      <c r="DB1135">
        <v>0</v>
      </c>
      <c r="DC1135" t="s">
        <v>176</v>
      </c>
      <c r="DD1135" t="s">
        <v>177</v>
      </c>
      <c r="DG1135">
        <v>5379459</v>
      </c>
      <c r="DI1135">
        <v>1</v>
      </c>
      <c r="DJ1135">
        <v>0</v>
      </c>
      <c r="DK1135">
        <v>1</v>
      </c>
      <c r="DL1135">
        <v>0</v>
      </c>
      <c r="DM1135">
        <v>0</v>
      </c>
      <c r="DN1135">
        <v>1</v>
      </c>
      <c r="DO1135">
        <v>0</v>
      </c>
      <c r="DP1135">
        <v>0</v>
      </c>
      <c r="DQ1135">
        <v>0</v>
      </c>
      <c r="DR1135">
        <v>0</v>
      </c>
      <c r="DS1135">
        <v>0</v>
      </c>
    </row>
    <row r="1136" spans="1:123" x14ac:dyDescent="0.3">
      <c r="A1136" t="str">
        <f>"10/04/2022 19:28:36.728"</f>
        <v>10/04/2022 19:28:36.728</v>
      </c>
      <c r="C1136" t="str">
        <f t="shared" si="389"/>
        <v>FFDFD3C0</v>
      </c>
      <c r="D1136" t="s">
        <v>134</v>
      </c>
      <c r="E1136">
        <v>15</v>
      </c>
      <c r="J1136" t="s">
        <v>135</v>
      </c>
      <c r="K1136">
        <v>0</v>
      </c>
      <c r="L1136">
        <v>3</v>
      </c>
      <c r="M1136">
        <v>0</v>
      </c>
      <c r="N1136">
        <v>2</v>
      </c>
      <c r="O1136">
        <v>0</v>
      </c>
      <c r="P1136">
        <v>1</v>
      </c>
      <c r="Q1136">
        <v>0</v>
      </c>
      <c r="S1136" t="str">
        <f t="shared" si="393"/>
        <v>19:28:36.000</v>
      </c>
      <c r="T1136" t="str">
        <f t="shared" si="393"/>
        <v>19:28:36.000</v>
      </c>
      <c r="U1136" t="str">
        <f t="shared" si="380"/>
        <v>AC3944</v>
      </c>
      <c r="V1136">
        <v>0</v>
      </c>
      <c r="W1136">
        <v>0</v>
      </c>
      <c r="X1136">
        <v>2</v>
      </c>
      <c r="Y1136">
        <v>0</v>
      </c>
      <c r="AA1136">
        <v>1</v>
      </c>
      <c r="AB1136">
        <v>8</v>
      </c>
      <c r="AC1136">
        <v>3</v>
      </c>
      <c r="AD1136">
        <v>0</v>
      </c>
      <c r="AE1136">
        <v>9</v>
      </c>
      <c r="AF1136" t="s">
        <v>138</v>
      </c>
      <c r="AG1136">
        <v>0</v>
      </c>
      <c r="AH1136">
        <v>3</v>
      </c>
      <c r="AI1136">
        <v>1</v>
      </c>
      <c r="AJ1136">
        <v>0</v>
      </c>
      <c r="AK1136" t="s">
        <v>457</v>
      </c>
      <c r="AL1136">
        <v>32.806742</v>
      </c>
      <c r="AM1136" t="s">
        <v>458</v>
      </c>
      <c r="AN1136">
        <v>-116.91777</v>
      </c>
      <c r="AO1136">
        <v>25</v>
      </c>
      <c r="AP1136">
        <v>2200</v>
      </c>
      <c r="AQ1136" t="s">
        <v>129</v>
      </c>
      <c r="AR1136">
        <v>127</v>
      </c>
      <c r="AS1136">
        <v>-11</v>
      </c>
      <c r="AT1136">
        <v>768</v>
      </c>
      <c r="BB1136">
        <v>1200</v>
      </c>
      <c r="BC1136">
        <v>1</v>
      </c>
      <c r="BD1136" t="str">
        <f t="shared" si="381"/>
        <v xml:space="preserve">N887QR  </v>
      </c>
      <c r="BE1136">
        <v>1</v>
      </c>
      <c r="BG1136">
        <v>0</v>
      </c>
      <c r="BH1136">
        <v>0</v>
      </c>
      <c r="BI1136">
        <v>0</v>
      </c>
      <c r="BJ1136">
        <v>1825</v>
      </c>
      <c r="BK1136">
        <v>-375</v>
      </c>
      <c r="BL1136" t="s">
        <v>163</v>
      </c>
      <c r="BM1136">
        <v>1</v>
      </c>
      <c r="BN1136">
        <v>1</v>
      </c>
      <c r="BO1136">
        <v>1</v>
      </c>
      <c r="BP1136">
        <v>0</v>
      </c>
      <c r="BS1136">
        <v>0</v>
      </c>
      <c r="BT1136">
        <v>0</v>
      </c>
      <c r="BU1136">
        <v>0</v>
      </c>
      <c r="CE1136" t="str">
        <f t="shared" si="394"/>
        <v>19:28:36.502</v>
      </c>
      <c r="CF1136">
        <v>502275486</v>
      </c>
      <c r="CS1136">
        <v>3</v>
      </c>
      <c r="CT1136">
        <v>2</v>
      </c>
      <c r="CU1136">
        <v>0</v>
      </c>
      <c r="CV1136">
        <v>2</v>
      </c>
      <c r="CW1136">
        <v>0</v>
      </c>
      <c r="CX1136">
        <v>5</v>
      </c>
      <c r="CY1136">
        <v>7</v>
      </c>
      <c r="CZ1136" t="s">
        <v>131</v>
      </c>
      <c r="DA1136">
        <v>300</v>
      </c>
      <c r="DB1136">
        <v>0</v>
      </c>
      <c r="DC1136" t="s">
        <v>176</v>
      </c>
      <c r="DD1136" t="s">
        <v>177</v>
      </c>
      <c r="DG1136">
        <v>5379459</v>
      </c>
      <c r="DI1136">
        <v>1</v>
      </c>
      <c r="DJ1136">
        <v>0</v>
      </c>
      <c r="DK1136">
        <v>1</v>
      </c>
      <c r="DL1136">
        <v>0</v>
      </c>
      <c r="DM1136">
        <v>0</v>
      </c>
      <c r="DN1136">
        <v>1</v>
      </c>
      <c r="DO1136">
        <v>0</v>
      </c>
      <c r="DP1136">
        <v>0</v>
      </c>
      <c r="DQ1136">
        <v>0</v>
      </c>
      <c r="DR1136">
        <v>0</v>
      </c>
      <c r="DS1136">
        <v>0</v>
      </c>
    </row>
    <row r="1137" spans="1:123" x14ac:dyDescent="0.3">
      <c r="A1137" t="str">
        <f t="shared" ref="A1137:A1143" si="395">"10/04/2022 19:28:37.212"</f>
        <v>10/04/2022 19:28:37.212</v>
      </c>
      <c r="C1137" t="str">
        <f t="shared" ref="C1137:C1200" si="396">"FFDDD3C0"</f>
        <v>FFDDD3C0</v>
      </c>
      <c r="D1137" t="s">
        <v>143</v>
      </c>
      <c r="E1137">
        <v>20</v>
      </c>
      <c r="F1137">
        <v>1020</v>
      </c>
      <c r="G1137" t="s">
        <v>144</v>
      </c>
      <c r="J1137" t="s">
        <v>145</v>
      </c>
      <c r="K1137">
        <v>0</v>
      </c>
      <c r="L1137">
        <v>3</v>
      </c>
      <c r="M1137">
        <v>0</v>
      </c>
      <c r="N1137">
        <v>2</v>
      </c>
      <c r="O1137">
        <v>0</v>
      </c>
      <c r="P1137">
        <v>1</v>
      </c>
      <c r="Q1137">
        <v>0</v>
      </c>
      <c r="S1137" t="str">
        <f t="shared" si="393"/>
        <v>19:28:36.000</v>
      </c>
      <c r="T1137" t="str">
        <f t="shared" si="393"/>
        <v>19:28:36.000</v>
      </c>
      <c r="U1137" t="str">
        <f t="shared" si="380"/>
        <v>AC3944</v>
      </c>
      <c r="V1137">
        <v>0</v>
      </c>
      <c r="W1137">
        <v>0</v>
      </c>
      <c r="X1137">
        <v>2</v>
      </c>
      <c r="Y1137">
        <v>0</v>
      </c>
      <c r="AA1137">
        <v>1</v>
      </c>
      <c r="AB1137">
        <v>8</v>
      </c>
      <c r="AC1137">
        <v>3</v>
      </c>
      <c r="AD1137">
        <v>0</v>
      </c>
      <c r="AE1137">
        <v>9</v>
      </c>
      <c r="AF1137" t="s">
        <v>138</v>
      </c>
      <c r="AG1137">
        <v>0</v>
      </c>
      <c r="AH1137">
        <v>3</v>
      </c>
      <c r="AI1137">
        <v>1</v>
      </c>
      <c r="AJ1137">
        <v>0</v>
      </c>
      <c r="AK1137" t="s">
        <v>459</v>
      </c>
      <c r="AL1137">
        <v>32.806677999999998</v>
      </c>
      <c r="AM1137" t="s">
        <v>460</v>
      </c>
      <c r="AN1137">
        <v>-116.917062</v>
      </c>
      <c r="AO1137">
        <v>25</v>
      </c>
      <c r="AP1137">
        <v>2200</v>
      </c>
      <c r="AQ1137" t="s">
        <v>129</v>
      </c>
      <c r="AR1137">
        <v>127</v>
      </c>
      <c r="AS1137">
        <v>-11</v>
      </c>
      <c r="AT1137">
        <v>768</v>
      </c>
      <c r="BB1137">
        <v>1200</v>
      </c>
      <c r="BC1137">
        <v>1</v>
      </c>
      <c r="BD1137" t="str">
        <f t="shared" si="381"/>
        <v xml:space="preserve">N887QR  </v>
      </c>
      <c r="BE1137">
        <v>1</v>
      </c>
      <c r="BJ1137">
        <v>1850</v>
      </c>
      <c r="BK1137">
        <v>-350</v>
      </c>
      <c r="BL1137" t="s">
        <v>163</v>
      </c>
      <c r="BM1137">
        <v>1</v>
      </c>
      <c r="BN1137">
        <v>1</v>
      </c>
      <c r="BO1137">
        <v>1</v>
      </c>
      <c r="BP1137">
        <v>0</v>
      </c>
      <c r="BS1137">
        <v>0</v>
      </c>
      <c r="BT1137">
        <v>0</v>
      </c>
      <c r="BU1137">
        <v>0</v>
      </c>
      <c r="CE1137" t="str">
        <f t="shared" ref="CE1137:CE1143" si="397">"19:28:36.976"</f>
        <v>19:28:36.976</v>
      </c>
      <c r="CF1137">
        <v>975777105</v>
      </c>
      <c r="CS1137">
        <v>3</v>
      </c>
      <c r="CT1137">
        <v>2</v>
      </c>
      <c r="CU1137">
        <v>0</v>
      </c>
      <c r="CV1137">
        <v>2</v>
      </c>
      <c r="CW1137">
        <v>0</v>
      </c>
      <c r="CX1137">
        <v>5</v>
      </c>
      <c r="CY1137">
        <v>7</v>
      </c>
      <c r="CZ1137" t="s">
        <v>131</v>
      </c>
      <c r="DA1137">
        <v>300</v>
      </c>
      <c r="DB1137">
        <v>0</v>
      </c>
      <c r="DC1137" t="s">
        <v>176</v>
      </c>
      <c r="DD1137" t="s">
        <v>177</v>
      </c>
      <c r="DG1137">
        <v>5379526</v>
      </c>
      <c r="DI1137">
        <v>1</v>
      </c>
      <c r="DJ1137">
        <v>0</v>
      </c>
      <c r="DK1137">
        <v>0</v>
      </c>
      <c r="DL1137">
        <v>0</v>
      </c>
      <c r="DM1137">
        <v>0</v>
      </c>
      <c r="DN1137">
        <v>1</v>
      </c>
      <c r="DO1137">
        <v>0</v>
      </c>
      <c r="DP1137">
        <v>0</v>
      </c>
      <c r="DQ1137">
        <v>0</v>
      </c>
      <c r="DR1137">
        <v>0</v>
      </c>
      <c r="DS1137">
        <v>0</v>
      </c>
    </row>
    <row r="1138" spans="1:123" x14ac:dyDescent="0.3">
      <c r="A1138" t="str">
        <f t="shared" si="395"/>
        <v>10/04/2022 19:28:37.212</v>
      </c>
      <c r="C1138" t="str">
        <f t="shared" si="396"/>
        <v>FFDDD3C0</v>
      </c>
      <c r="D1138" t="s">
        <v>141</v>
      </c>
      <c r="E1138">
        <v>3</v>
      </c>
      <c r="H1138">
        <v>3</v>
      </c>
      <c r="I1138" t="s">
        <v>146</v>
      </c>
      <c r="J1138" t="s">
        <v>138</v>
      </c>
      <c r="K1138">
        <v>0</v>
      </c>
      <c r="L1138">
        <v>3</v>
      </c>
      <c r="M1138">
        <v>0</v>
      </c>
      <c r="N1138">
        <v>2</v>
      </c>
      <c r="O1138">
        <v>0</v>
      </c>
      <c r="P1138">
        <v>1</v>
      </c>
      <c r="Q1138">
        <v>0</v>
      </c>
      <c r="S1138" t="str">
        <f t="shared" si="393"/>
        <v>19:28:36.000</v>
      </c>
      <c r="T1138" t="str">
        <f t="shared" si="393"/>
        <v>19:28:36.000</v>
      </c>
      <c r="U1138" t="str">
        <f t="shared" si="380"/>
        <v>AC3944</v>
      </c>
      <c r="V1138">
        <v>0</v>
      </c>
      <c r="W1138">
        <v>0</v>
      </c>
      <c r="X1138">
        <v>2</v>
      </c>
      <c r="Y1138">
        <v>0</v>
      </c>
      <c r="AA1138">
        <v>1</v>
      </c>
      <c r="AB1138">
        <v>8</v>
      </c>
      <c r="AC1138">
        <v>3</v>
      </c>
      <c r="AD1138">
        <v>0</v>
      </c>
      <c r="AE1138">
        <v>9</v>
      </c>
      <c r="AF1138" t="s">
        <v>138</v>
      </c>
      <c r="AG1138">
        <v>0</v>
      </c>
      <c r="AH1138">
        <v>3</v>
      </c>
      <c r="AI1138">
        <v>1</v>
      </c>
      <c r="AJ1138">
        <v>0</v>
      </c>
      <c r="AK1138" t="s">
        <v>459</v>
      </c>
      <c r="AL1138">
        <v>32.806677999999998</v>
      </c>
      <c r="AM1138" t="s">
        <v>460</v>
      </c>
      <c r="AN1138">
        <v>-116.917062</v>
      </c>
      <c r="AO1138">
        <v>25</v>
      </c>
      <c r="AP1138">
        <v>2200</v>
      </c>
      <c r="AQ1138" t="s">
        <v>129</v>
      </c>
      <c r="AR1138">
        <v>127</v>
      </c>
      <c r="AS1138">
        <v>-11</v>
      </c>
      <c r="AT1138">
        <v>768</v>
      </c>
      <c r="BB1138">
        <v>1200</v>
      </c>
      <c r="BC1138">
        <v>1</v>
      </c>
      <c r="BD1138" t="str">
        <f t="shared" si="381"/>
        <v xml:space="preserve">N887QR  </v>
      </c>
      <c r="BE1138">
        <v>1</v>
      </c>
      <c r="BJ1138">
        <v>1850</v>
      </c>
      <c r="BK1138">
        <v>-350</v>
      </c>
      <c r="BL1138" t="s">
        <v>163</v>
      </c>
      <c r="BM1138">
        <v>1</v>
      </c>
      <c r="BN1138">
        <v>1</v>
      </c>
      <c r="BO1138">
        <v>1</v>
      </c>
      <c r="BP1138">
        <v>0</v>
      </c>
      <c r="BS1138">
        <v>0</v>
      </c>
      <c r="BT1138">
        <v>0</v>
      </c>
      <c r="BU1138">
        <v>0</v>
      </c>
      <c r="CE1138" t="str">
        <f t="shared" si="397"/>
        <v>19:28:36.976</v>
      </c>
      <c r="CF1138">
        <v>975777105</v>
      </c>
      <c r="CS1138">
        <v>3</v>
      </c>
      <c r="CT1138">
        <v>2</v>
      </c>
      <c r="CU1138">
        <v>0</v>
      </c>
      <c r="CV1138">
        <v>2</v>
      </c>
      <c r="CW1138">
        <v>0</v>
      </c>
      <c r="CX1138">
        <v>5</v>
      </c>
      <c r="CY1138">
        <v>7</v>
      </c>
      <c r="CZ1138" t="s">
        <v>131</v>
      </c>
      <c r="DA1138">
        <v>300</v>
      </c>
      <c r="DB1138">
        <v>0</v>
      </c>
      <c r="DC1138" t="s">
        <v>176</v>
      </c>
      <c r="DD1138" t="s">
        <v>177</v>
      </c>
      <c r="DG1138">
        <v>5379526</v>
      </c>
      <c r="DI1138">
        <v>1</v>
      </c>
      <c r="DJ1138">
        <v>0</v>
      </c>
      <c r="DK1138">
        <v>1</v>
      </c>
      <c r="DL1138">
        <v>0</v>
      </c>
      <c r="DM1138">
        <v>0</v>
      </c>
      <c r="DN1138">
        <v>1</v>
      </c>
      <c r="DO1138">
        <v>0</v>
      </c>
      <c r="DP1138">
        <v>0</v>
      </c>
      <c r="DQ1138">
        <v>0</v>
      </c>
      <c r="DR1138">
        <v>0</v>
      </c>
      <c r="DS1138">
        <v>0</v>
      </c>
    </row>
    <row r="1139" spans="1:123" x14ac:dyDescent="0.3">
      <c r="A1139" t="str">
        <f t="shared" si="395"/>
        <v>10/04/2022 19:28:37.212</v>
      </c>
      <c r="C1139" t="str">
        <f t="shared" si="396"/>
        <v>FFDDD3C0</v>
      </c>
      <c r="D1139" t="s">
        <v>147</v>
      </c>
      <c r="E1139">
        <v>3</v>
      </c>
      <c r="H1139">
        <v>166</v>
      </c>
      <c r="I1139" t="s">
        <v>144</v>
      </c>
      <c r="J1139" t="s">
        <v>148</v>
      </c>
      <c r="K1139">
        <v>0</v>
      </c>
      <c r="L1139">
        <v>3</v>
      </c>
      <c r="M1139">
        <v>0</v>
      </c>
      <c r="N1139">
        <v>2</v>
      </c>
      <c r="O1139">
        <v>0</v>
      </c>
      <c r="P1139">
        <v>1</v>
      </c>
      <c r="Q1139">
        <v>0</v>
      </c>
      <c r="S1139" t="str">
        <f t="shared" si="393"/>
        <v>19:28:36.000</v>
      </c>
      <c r="T1139" t="str">
        <f t="shared" si="393"/>
        <v>19:28:36.000</v>
      </c>
      <c r="U1139" t="str">
        <f t="shared" si="380"/>
        <v>AC3944</v>
      </c>
      <c r="V1139">
        <v>0</v>
      </c>
      <c r="W1139">
        <v>0</v>
      </c>
      <c r="X1139">
        <v>2</v>
      </c>
      <c r="Y1139">
        <v>0</v>
      </c>
      <c r="AA1139">
        <v>1</v>
      </c>
      <c r="AB1139">
        <v>8</v>
      </c>
      <c r="AC1139">
        <v>3</v>
      </c>
      <c r="AD1139">
        <v>0</v>
      </c>
      <c r="AE1139">
        <v>9</v>
      </c>
      <c r="AF1139" t="s">
        <v>138</v>
      </c>
      <c r="AG1139">
        <v>0</v>
      </c>
      <c r="AH1139">
        <v>3</v>
      </c>
      <c r="AI1139">
        <v>1</v>
      </c>
      <c r="AJ1139">
        <v>0</v>
      </c>
      <c r="AK1139" t="s">
        <v>459</v>
      </c>
      <c r="AL1139">
        <v>32.806677999999998</v>
      </c>
      <c r="AM1139" t="s">
        <v>460</v>
      </c>
      <c r="AN1139">
        <v>-116.917062</v>
      </c>
      <c r="AO1139">
        <v>25</v>
      </c>
      <c r="AP1139">
        <v>2200</v>
      </c>
      <c r="AQ1139" t="s">
        <v>129</v>
      </c>
      <c r="AR1139">
        <v>127</v>
      </c>
      <c r="AS1139">
        <v>-11</v>
      </c>
      <c r="AT1139">
        <v>768</v>
      </c>
      <c r="BB1139">
        <v>1200</v>
      </c>
      <c r="BC1139">
        <v>1</v>
      </c>
      <c r="BD1139" t="str">
        <f t="shared" si="381"/>
        <v xml:space="preserve">N887QR  </v>
      </c>
      <c r="BE1139">
        <v>1</v>
      </c>
      <c r="BJ1139">
        <v>1850</v>
      </c>
      <c r="BK1139">
        <v>-350</v>
      </c>
      <c r="BL1139" t="s">
        <v>163</v>
      </c>
      <c r="BM1139">
        <v>1</v>
      </c>
      <c r="BN1139">
        <v>1</v>
      </c>
      <c r="BO1139">
        <v>1</v>
      </c>
      <c r="BP1139">
        <v>0</v>
      </c>
      <c r="BS1139">
        <v>0</v>
      </c>
      <c r="BT1139">
        <v>0</v>
      </c>
      <c r="BU1139">
        <v>0</v>
      </c>
      <c r="CE1139" t="str">
        <f t="shared" si="397"/>
        <v>19:28:36.976</v>
      </c>
      <c r="CF1139">
        <v>975777105</v>
      </c>
      <c r="CS1139">
        <v>3</v>
      </c>
      <c r="CT1139">
        <v>2</v>
      </c>
      <c r="CU1139">
        <v>0</v>
      </c>
      <c r="CV1139">
        <v>2</v>
      </c>
      <c r="CW1139">
        <v>0</v>
      </c>
      <c r="CX1139">
        <v>5</v>
      </c>
      <c r="CY1139">
        <v>7</v>
      </c>
      <c r="CZ1139" t="s">
        <v>131</v>
      </c>
      <c r="DA1139">
        <v>300</v>
      </c>
      <c r="DB1139">
        <v>0</v>
      </c>
      <c r="DC1139" t="s">
        <v>176</v>
      </c>
      <c r="DD1139" t="s">
        <v>177</v>
      </c>
      <c r="DG1139">
        <v>5379526</v>
      </c>
      <c r="DI1139">
        <v>1</v>
      </c>
      <c r="DJ1139">
        <v>0</v>
      </c>
      <c r="DK1139">
        <v>1</v>
      </c>
      <c r="DL1139">
        <v>0</v>
      </c>
      <c r="DM1139">
        <v>0</v>
      </c>
      <c r="DN1139">
        <v>1</v>
      </c>
      <c r="DO1139">
        <v>0</v>
      </c>
      <c r="DP1139">
        <v>0</v>
      </c>
      <c r="DQ1139">
        <v>0</v>
      </c>
      <c r="DR1139">
        <v>0</v>
      </c>
      <c r="DS1139">
        <v>0</v>
      </c>
    </row>
    <row r="1140" spans="1:123" x14ac:dyDescent="0.3">
      <c r="A1140" t="str">
        <f t="shared" si="395"/>
        <v>10/04/2022 19:28:37.212</v>
      </c>
      <c r="C1140" t="str">
        <f t="shared" si="396"/>
        <v>FFDDD3C0</v>
      </c>
      <c r="D1140" t="s">
        <v>136</v>
      </c>
      <c r="E1140">
        <v>8</v>
      </c>
      <c r="H1140">
        <v>225</v>
      </c>
      <c r="I1140" t="s">
        <v>137</v>
      </c>
      <c r="J1140" t="s">
        <v>138</v>
      </c>
      <c r="K1140">
        <v>0</v>
      </c>
      <c r="L1140">
        <v>3</v>
      </c>
      <c r="M1140">
        <v>0</v>
      </c>
      <c r="N1140">
        <v>2</v>
      </c>
      <c r="O1140">
        <v>0</v>
      </c>
      <c r="P1140">
        <v>1</v>
      </c>
      <c r="Q1140">
        <v>0</v>
      </c>
      <c r="S1140" t="str">
        <f t="shared" si="393"/>
        <v>19:28:36.000</v>
      </c>
      <c r="T1140" t="str">
        <f t="shared" si="393"/>
        <v>19:28:36.000</v>
      </c>
      <c r="U1140" t="str">
        <f t="shared" si="380"/>
        <v>AC3944</v>
      </c>
      <c r="V1140">
        <v>0</v>
      </c>
      <c r="W1140">
        <v>0</v>
      </c>
      <c r="X1140">
        <v>2</v>
      </c>
      <c r="Y1140">
        <v>0</v>
      </c>
      <c r="AA1140">
        <v>1</v>
      </c>
      <c r="AB1140">
        <v>8</v>
      </c>
      <c r="AC1140">
        <v>3</v>
      </c>
      <c r="AD1140">
        <v>0</v>
      </c>
      <c r="AE1140">
        <v>9</v>
      </c>
      <c r="AF1140" t="s">
        <v>138</v>
      </c>
      <c r="AG1140">
        <v>0</v>
      </c>
      <c r="AH1140">
        <v>3</v>
      </c>
      <c r="AI1140">
        <v>1</v>
      </c>
      <c r="AJ1140">
        <v>0</v>
      </c>
      <c r="AK1140" t="s">
        <v>459</v>
      </c>
      <c r="AL1140">
        <v>32.806677999999998</v>
      </c>
      <c r="AM1140" t="s">
        <v>460</v>
      </c>
      <c r="AN1140">
        <v>-116.917062</v>
      </c>
      <c r="AO1140">
        <v>25</v>
      </c>
      <c r="AP1140">
        <v>2200</v>
      </c>
      <c r="AQ1140" t="s">
        <v>129</v>
      </c>
      <c r="AR1140">
        <v>127</v>
      </c>
      <c r="AS1140">
        <v>-11</v>
      </c>
      <c r="AT1140">
        <v>768</v>
      </c>
      <c r="BB1140">
        <v>1200</v>
      </c>
      <c r="BC1140">
        <v>1</v>
      </c>
      <c r="BD1140" t="str">
        <f t="shared" si="381"/>
        <v xml:space="preserve">N887QR  </v>
      </c>
      <c r="BE1140">
        <v>1</v>
      </c>
      <c r="BJ1140">
        <v>1850</v>
      </c>
      <c r="BK1140">
        <v>-350</v>
      </c>
      <c r="BL1140" t="s">
        <v>163</v>
      </c>
      <c r="BM1140">
        <v>1</v>
      </c>
      <c r="BN1140">
        <v>1</v>
      </c>
      <c r="BO1140">
        <v>1</v>
      </c>
      <c r="BP1140">
        <v>0</v>
      </c>
      <c r="BS1140">
        <v>0</v>
      </c>
      <c r="BT1140">
        <v>0</v>
      </c>
      <c r="BU1140">
        <v>0</v>
      </c>
      <c r="CE1140" t="str">
        <f t="shared" si="397"/>
        <v>19:28:36.976</v>
      </c>
      <c r="CF1140">
        <v>975777105</v>
      </c>
      <c r="CS1140">
        <v>3</v>
      </c>
      <c r="CT1140">
        <v>2</v>
      </c>
      <c r="CU1140">
        <v>0</v>
      </c>
      <c r="CV1140">
        <v>2</v>
      </c>
      <c r="CW1140">
        <v>0</v>
      </c>
      <c r="CX1140">
        <v>5</v>
      </c>
      <c r="CY1140">
        <v>7</v>
      </c>
      <c r="CZ1140" t="s">
        <v>131</v>
      </c>
      <c r="DA1140">
        <v>300</v>
      </c>
      <c r="DB1140">
        <v>0</v>
      </c>
      <c r="DC1140" t="s">
        <v>176</v>
      </c>
      <c r="DD1140" t="s">
        <v>177</v>
      </c>
      <c r="DG1140">
        <v>5379526</v>
      </c>
      <c r="DI1140">
        <v>1</v>
      </c>
      <c r="DJ1140">
        <v>0</v>
      </c>
      <c r="DK1140">
        <v>1</v>
      </c>
      <c r="DL1140">
        <v>0</v>
      </c>
      <c r="DM1140">
        <v>0</v>
      </c>
      <c r="DN1140">
        <v>1</v>
      </c>
      <c r="DO1140">
        <v>0</v>
      </c>
      <c r="DP1140">
        <v>0</v>
      </c>
      <c r="DQ1140">
        <v>0</v>
      </c>
      <c r="DR1140">
        <v>0</v>
      </c>
      <c r="DS1140">
        <v>0</v>
      </c>
    </row>
    <row r="1141" spans="1:123" x14ac:dyDescent="0.3">
      <c r="A1141" t="str">
        <f t="shared" si="395"/>
        <v>10/04/2022 19:28:37.212</v>
      </c>
      <c r="C1141" t="str">
        <f t="shared" si="396"/>
        <v>FFDDD3C0</v>
      </c>
      <c r="D1141" t="s">
        <v>123</v>
      </c>
      <c r="E1141">
        <v>7</v>
      </c>
      <c r="F1141">
        <v>2007</v>
      </c>
      <c r="G1141" t="s">
        <v>124</v>
      </c>
      <c r="J1141" t="s">
        <v>125</v>
      </c>
      <c r="K1141">
        <v>0</v>
      </c>
      <c r="L1141">
        <v>3</v>
      </c>
      <c r="M1141">
        <v>0</v>
      </c>
      <c r="N1141">
        <v>2</v>
      </c>
      <c r="O1141">
        <v>0</v>
      </c>
      <c r="P1141">
        <v>1</v>
      </c>
      <c r="Q1141">
        <v>0</v>
      </c>
      <c r="S1141" t="str">
        <f t="shared" si="393"/>
        <v>19:28:36.000</v>
      </c>
      <c r="T1141" t="str">
        <f t="shared" si="393"/>
        <v>19:28:36.000</v>
      </c>
      <c r="U1141" t="str">
        <f t="shared" si="380"/>
        <v>AC3944</v>
      </c>
      <c r="V1141">
        <v>0</v>
      </c>
      <c r="W1141">
        <v>0</v>
      </c>
      <c r="X1141">
        <v>2</v>
      </c>
      <c r="Y1141">
        <v>0</v>
      </c>
      <c r="AA1141">
        <v>1</v>
      </c>
      <c r="AB1141">
        <v>8</v>
      </c>
      <c r="AC1141">
        <v>3</v>
      </c>
      <c r="AD1141">
        <v>0</v>
      </c>
      <c r="AE1141">
        <v>9</v>
      </c>
      <c r="AF1141" t="s">
        <v>138</v>
      </c>
      <c r="AG1141">
        <v>0</v>
      </c>
      <c r="AH1141">
        <v>3</v>
      </c>
      <c r="AI1141">
        <v>1</v>
      </c>
      <c r="AJ1141">
        <v>0</v>
      </c>
      <c r="AK1141" t="s">
        <v>459</v>
      </c>
      <c r="AL1141">
        <v>32.806677999999998</v>
      </c>
      <c r="AM1141" t="s">
        <v>460</v>
      </c>
      <c r="AN1141">
        <v>-116.917062</v>
      </c>
      <c r="AO1141">
        <v>25</v>
      </c>
      <c r="AP1141">
        <v>2200</v>
      </c>
      <c r="AQ1141" t="s">
        <v>129</v>
      </c>
      <c r="AR1141">
        <v>127</v>
      </c>
      <c r="AS1141">
        <v>-11</v>
      </c>
      <c r="AT1141">
        <v>768</v>
      </c>
      <c r="BB1141">
        <v>1200</v>
      </c>
      <c r="BC1141">
        <v>1</v>
      </c>
      <c r="BD1141" t="str">
        <f t="shared" si="381"/>
        <v xml:space="preserve">N887QR  </v>
      </c>
      <c r="BE1141">
        <v>1</v>
      </c>
      <c r="BJ1141">
        <v>1850</v>
      </c>
      <c r="BK1141">
        <v>-350</v>
      </c>
      <c r="BL1141" t="s">
        <v>163</v>
      </c>
      <c r="BM1141">
        <v>1</v>
      </c>
      <c r="BN1141">
        <v>1</v>
      </c>
      <c r="BO1141">
        <v>1</v>
      </c>
      <c r="BP1141">
        <v>0</v>
      </c>
      <c r="BS1141">
        <v>0</v>
      </c>
      <c r="BT1141">
        <v>0</v>
      </c>
      <c r="BU1141">
        <v>0</v>
      </c>
      <c r="CE1141" t="str">
        <f t="shared" si="397"/>
        <v>19:28:36.976</v>
      </c>
      <c r="CF1141">
        <v>975777105</v>
      </c>
      <c r="CS1141">
        <v>3</v>
      </c>
      <c r="CT1141">
        <v>2</v>
      </c>
      <c r="CU1141">
        <v>0</v>
      </c>
      <c r="CV1141">
        <v>2</v>
      </c>
      <c r="CW1141">
        <v>0</v>
      </c>
      <c r="CX1141">
        <v>5</v>
      </c>
      <c r="CY1141">
        <v>7</v>
      </c>
      <c r="CZ1141" t="s">
        <v>131</v>
      </c>
      <c r="DA1141">
        <v>300</v>
      </c>
      <c r="DB1141">
        <v>0</v>
      </c>
      <c r="DC1141" t="s">
        <v>176</v>
      </c>
      <c r="DD1141" t="s">
        <v>177</v>
      </c>
      <c r="DG1141">
        <v>5379526</v>
      </c>
      <c r="DI1141">
        <v>1</v>
      </c>
      <c r="DJ1141">
        <v>0</v>
      </c>
      <c r="DK1141">
        <v>1</v>
      </c>
      <c r="DL1141">
        <v>0</v>
      </c>
      <c r="DM1141">
        <v>0</v>
      </c>
      <c r="DN1141">
        <v>1</v>
      </c>
      <c r="DO1141">
        <v>0</v>
      </c>
      <c r="DP1141">
        <v>0</v>
      </c>
      <c r="DQ1141">
        <v>0</v>
      </c>
      <c r="DR1141">
        <v>0</v>
      </c>
      <c r="DS1141">
        <v>0</v>
      </c>
    </row>
    <row r="1142" spans="1:123" x14ac:dyDescent="0.3">
      <c r="A1142" t="str">
        <f t="shared" si="395"/>
        <v>10/04/2022 19:28:37.212</v>
      </c>
      <c r="C1142" t="str">
        <f t="shared" si="396"/>
        <v>FFDDD3C0</v>
      </c>
      <c r="D1142" t="s">
        <v>141</v>
      </c>
      <c r="E1142">
        <v>4</v>
      </c>
      <c r="H1142">
        <v>4</v>
      </c>
      <c r="I1142" t="s">
        <v>142</v>
      </c>
      <c r="J1142" t="s">
        <v>138</v>
      </c>
      <c r="K1142">
        <v>0</v>
      </c>
      <c r="L1142">
        <v>3</v>
      </c>
      <c r="M1142">
        <v>0</v>
      </c>
      <c r="N1142">
        <v>2</v>
      </c>
      <c r="O1142">
        <v>0</v>
      </c>
      <c r="P1142">
        <v>1</v>
      </c>
      <c r="Q1142">
        <v>0</v>
      </c>
      <c r="S1142" t="str">
        <f t="shared" si="393"/>
        <v>19:28:36.000</v>
      </c>
      <c r="T1142" t="str">
        <f t="shared" si="393"/>
        <v>19:28:36.000</v>
      </c>
      <c r="U1142" t="str">
        <f t="shared" si="380"/>
        <v>AC3944</v>
      </c>
      <c r="V1142">
        <v>0</v>
      </c>
      <c r="W1142">
        <v>0</v>
      </c>
      <c r="X1142">
        <v>2</v>
      </c>
      <c r="Y1142">
        <v>0</v>
      </c>
      <c r="AA1142">
        <v>1</v>
      </c>
      <c r="AB1142">
        <v>8</v>
      </c>
      <c r="AC1142">
        <v>3</v>
      </c>
      <c r="AD1142">
        <v>0</v>
      </c>
      <c r="AE1142">
        <v>9</v>
      </c>
      <c r="AF1142" t="s">
        <v>138</v>
      </c>
      <c r="AG1142">
        <v>0</v>
      </c>
      <c r="AH1142">
        <v>3</v>
      </c>
      <c r="AI1142">
        <v>1</v>
      </c>
      <c r="AJ1142">
        <v>0</v>
      </c>
      <c r="AK1142" t="s">
        <v>459</v>
      </c>
      <c r="AL1142">
        <v>32.806677999999998</v>
      </c>
      <c r="AM1142" t="s">
        <v>460</v>
      </c>
      <c r="AN1142">
        <v>-116.917062</v>
      </c>
      <c r="AO1142">
        <v>25</v>
      </c>
      <c r="AP1142">
        <v>2200</v>
      </c>
      <c r="AQ1142" t="s">
        <v>129</v>
      </c>
      <c r="AR1142">
        <v>127</v>
      </c>
      <c r="AS1142">
        <v>-11</v>
      </c>
      <c r="AT1142">
        <v>768</v>
      </c>
      <c r="BB1142">
        <v>1200</v>
      </c>
      <c r="BC1142">
        <v>1</v>
      </c>
      <c r="BD1142" t="str">
        <f t="shared" si="381"/>
        <v xml:space="preserve">N887QR  </v>
      </c>
      <c r="BE1142">
        <v>1</v>
      </c>
      <c r="BJ1142">
        <v>1850</v>
      </c>
      <c r="BK1142">
        <v>-350</v>
      </c>
      <c r="BL1142" t="s">
        <v>163</v>
      </c>
      <c r="BM1142">
        <v>1</v>
      </c>
      <c r="BN1142">
        <v>1</v>
      </c>
      <c r="BO1142">
        <v>1</v>
      </c>
      <c r="BP1142">
        <v>0</v>
      </c>
      <c r="BS1142">
        <v>0</v>
      </c>
      <c r="BT1142">
        <v>0</v>
      </c>
      <c r="BU1142">
        <v>0</v>
      </c>
      <c r="CE1142" t="str">
        <f t="shared" si="397"/>
        <v>19:28:36.976</v>
      </c>
      <c r="CF1142">
        <v>975777105</v>
      </c>
      <c r="CS1142">
        <v>3</v>
      </c>
      <c r="CT1142">
        <v>2</v>
      </c>
      <c r="CU1142">
        <v>0</v>
      </c>
      <c r="CV1142">
        <v>2</v>
      </c>
      <c r="CW1142">
        <v>0</v>
      </c>
      <c r="CX1142">
        <v>5</v>
      </c>
      <c r="CY1142">
        <v>7</v>
      </c>
      <c r="CZ1142" t="s">
        <v>131</v>
      </c>
      <c r="DA1142">
        <v>300</v>
      </c>
      <c r="DB1142">
        <v>0</v>
      </c>
      <c r="DC1142" t="s">
        <v>176</v>
      </c>
      <c r="DD1142" t="s">
        <v>177</v>
      </c>
      <c r="DG1142">
        <v>5379526</v>
      </c>
      <c r="DI1142">
        <v>1</v>
      </c>
      <c r="DJ1142">
        <v>0</v>
      </c>
      <c r="DK1142">
        <v>1</v>
      </c>
      <c r="DL1142">
        <v>0</v>
      </c>
      <c r="DM1142">
        <v>0</v>
      </c>
      <c r="DN1142">
        <v>1</v>
      </c>
      <c r="DO1142">
        <v>0</v>
      </c>
      <c r="DP1142">
        <v>0</v>
      </c>
      <c r="DQ1142">
        <v>0</v>
      </c>
      <c r="DR1142">
        <v>0</v>
      </c>
      <c r="DS1142">
        <v>0</v>
      </c>
    </row>
    <row r="1143" spans="1:123" x14ac:dyDescent="0.3">
      <c r="A1143" t="str">
        <f t="shared" si="395"/>
        <v>10/04/2022 19:28:37.212</v>
      </c>
      <c r="C1143" t="str">
        <f t="shared" si="396"/>
        <v>FFDDD3C0</v>
      </c>
      <c r="D1143" t="s">
        <v>134</v>
      </c>
      <c r="E1143">
        <v>15</v>
      </c>
      <c r="J1143" t="s">
        <v>135</v>
      </c>
      <c r="K1143">
        <v>0</v>
      </c>
      <c r="L1143">
        <v>3</v>
      </c>
      <c r="M1143">
        <v>0</v>
      </c>
      <c r="N1143">
        <v>2</v>
      </c>
      <c r="O1143">
        <v>0</v>
      </c>
      <c r="P1143">
        <v>1</v>
      </c>
      <c r="Q1143">
        <v>0</v>
      </c>
      <c r="S1143" t="str">
        <f t="shared" si="393"/>
        <v>19:28:36.000</v>
      </c>
      <c r="T1143" t="str">
        <f t="shared" si="393"/>
        <v>19:28:36.000</v>
      </c>
      <c r="U1143" t="str">
        <f t="shared" si="380"/>
        <v>AC3944</v>
      </c>
      <c r="V1143">
        <v>0</v>
      </c>
      <c r="W1143">
        <v>0</v>
      </c>
      <c r="X1143">
        <v>2</v>
      </c>
      <c r="Y1143">
        <v>0</v>
      </c>
      <c r="AA1143">
        <v>1</v>
      </c>
      <c r="AB1143">
        <v>8</v>
      </c>
      <c r="AC1143">
        <v>3</v>
      </c>
      <c r="AD1143">
        <v>0</v>
      </c>
      <c r="AE1143">
        <v>9</v>
      </c>
      <c r="AF1143" t="s">
        <v>138</v>
      </c>
      <c r="AG1143">
        <v>0</v>
      </c>
      <c r="AH1143">
        <v>3</v>
      </c>
      <c r="AI1143">
        <v>1</v>
      </c>
      <c r="AJ1143">
        <v>0</v>
      </c>
      <c r="AK1143" t="s">
        <v>459</v>
      </c>
      <c r="AL1143">
        <v>32.806677999999998</v>
      </c>
      <c r="AM1143" t="s">
        <v>460</v>
      </c>
      <c r="AN1143">
        <v>-116.917062</v>
      </c>
      <c r="AO1143">
        <v>25</v>
      </c>
      <c r="AP1143">
        <v>2200</v>
      </c>
      <c r="AQ1143" t="s">
        <v>129</v>
      </c>
      <c r="AR1143">
        <v>127</v>
      </c>
      <c r="AS1143">
        <v>-11</v>
      </c>
      <c r="AT1143">
        <v>768</v>
      </c>
      <c r="BB1143">
        <v>1200</v>
      </c>
      <c r="BC1143">
        <v>1</v>
      </c>
      <c r="BD1143" t="str">
        <f t="shared" si="381"/>
        <v xml:space="preserve">N887QR  </v>
      </c>
      <c r="BE1143">
        <v>1</v>
      </c>
      <c r="BJ1143">
        <v>1850</v>
      </c>
      <c r="BK1143">
        <v>-350</v>
      </c>
      <c r="BL1143" t="s">
        <v>163</v>
      </c>
      <c r="BM1143">
        <v>1</v>
      </c>
      <c r="BN1143">
        <v>1</v>
      </c>
      <c r="BO1143">
        <v>1</v>
      </c>
      <c r="BP1143">
        <v>0</v>
      </c>
      <c r="BS1143">
        <v>0</v>
      </c>
      <c r="BT1143">
        <v>0</v>
      </c>
      <c r="BU1143">
        <v>0</v>
      </c>
      <c r="CE1143" t="str">
        <f t="shared" si="397"/>
        <v>19:28:36.976</v>
      </c>
      <c r="CF1143">
        <v>975777105</v>
      </c>
      <c r="CS1143">
        <v>3</v>
      </c>
      <c r="CT1143">
        <v>2</v>
      </c>
      <c r="CU1143">
        <v>0</v>
      </c>
      <c r="CV1143">
        <v>2</v>
      </c>
      <c r="CW1143">
        <v>0</v>
      </c>
      <c r="CX1143">
        <v>5</v>
      </c>
      <c r="CY1143">
        <v>7</v>
      </c>
      <c r="CZ1143" t="s">
        <v>131</v>
      </c>
      <c r="DA1143">
        <v>300</v>
      </c>
      <c r="DB1143">
        <v>0</v>
      </c>
      <c r="DC1143" t="s">
        <v>176</v>
      </c>
      <c r="DD1143" t="s">
        <v>177</v>
      </c>
      <c r="DG1143">
        <v>5379526</v>
      </c>
      <c r="DI1143">
        <v>1</v>
      </c>
      <c r="DJ1143">
        <v>0</v>
      </c>
      <c r="DK1143">
        <v>1</v>
      </c>
      <c r="DL1143">
        <v>0</v>
      </c>
      <c r="DM1143">
        <v>0</v>
      </c>
      <c r="DN1143">
        <v>1</v>
      </c>
      <c r="DO1143">
        <v>0</v>
      </c>
      <c r="DP1143">
        <v>0</v>
      </c>
      <c r="DQ1143">
        <v>0</v>
      </c>
      <c r="DR1143">
        <v>0</v>
      </c>
      <c r="DS1143">
        <v>0</v>
      </c>
    </row>
    <row r="1144" spans="1:123" x14ac:dyDescent="0.3">
      <c r="A1144" t="str">
        <f>"10/04/2022 19:28:38.525"</f>
        <v>10/04/2022 19:28:38.525</v>
      </c>
      <c r="C1144" t="str">
        <f t="shared" si="396"/>
        <v>FFDDD3C0</v>
      </c>
      <c r="D1144" t="s">
        <v>123</v>
      </c>
      <c r="E1144">
        <v>7</v>
      </c>
      <c r="F1144">
        <v>2007</v>
      </c>
      <c r="G1144" t="s">
        <v>124</v>
      </c>
      <c r="J1144" t="s">
        <v>125</v>
      </c>
      <c r="K1144">
        <v>0</v>
      </c>
      <c r="L1144">
        <v>3</v>
      </c>
      <c r="M1144">
        <v>0</v>
      </c>
      <c r="N1144">
        <v>2</v>
      </c>
      <c r="O1144">
        <v>0</v>
      </c>
      <c r="P1144">
        <v>1</v>
      </c>
      <c r="Q1144">
        <v>0</v>
      </c>
      <c r="S1144" t="str">
        <f t="shared" ref="S1144:T1150" si="398">"19:28:38.000"</f>
        <v>19:28:38.000</v>
      </c>
      <c r="T1144" t="str">
        <f t="shared" si="398"/>
        <v>19:28:38.000</v>
      </c>
      <c r="U1144" t="str">
        <f t="shared" si="380"/>
        <v>AC3944</v>
      </c>
      <c r="V1144">
        <v>0</v>
      </c>
      <c r="W1144">
        <v>0</v>
      </c>
      <c r="X1144">
        <v>2</v>
      </c>
      <c r="Y1144">
        <v>0</v>
      </c>
      <c r="AA1144">
        <v>1</v>
      </c>
      <c r="AB1144">
        <v>8</v>
      </c>
      <c r="AC1144">
        <v>3</v>
      </c>
      <c r="AD1144">
        <v>0</v>
      </c>
      <c r="AE1144">
        <v>9</v>
      </c>
      <c r="AF1144" t="s">
        <v>138</v>
      </c>
      <c r="AG1144">
        <v>0</v>
      </c>
      <c r="AH1144">
        <v>3</v>
      </c>
      <c r="AI1144">
        <v>1</v>
      </c>
      <c r="AJ1144">
        <v>0</v>
      </c>
      <c r="AK1144" t="s">
        <v>461</v>
      </c>
      <c r="AL1144">
        <v>32.806635</v>
      </c>
      <c r="AM1144" t="s">
        <v>462</v>
      </c>
      <c r="AN1144">
        <v>-116.91652499999999</v>
      </c>
      <c r="AO1144">
        <v>25</v>
      </c>
      <c r="AP1144">
        <v>2200</v>
      </c>
      <c r="AQ1144" t="s">
        <v>129</v>
      </c>
      <c r="AR1144">
        <v>127</v>
      </c>
      <c r="AS1144">
        <v>-10</v>
      </c>
      <c r="AT1144">
        <v>704</v>
      </c>
      <c r="BB1144">
        <v>1200</v>
      </c>
      <c r="BC1144">
        <v>1</v>
      </c>
      <c r="BD1144" t="str">
        <f t="shared" si="381"/>
        <v xml:space="preserve">N887QR  </v>
      </c>
      <c r="BE1144">
        <v>1</v>
      </c>
      <c r="BJ1144">
        <v>1850</v>
      </c>
      <c r="BK1144">
        <v>-350</v>
      </c>
      <c r="BL1144" t="s">
        <v>163</v>
      </c>
      <c r="BM1144">
        <v>1</v>
      </c>
      <c r="BN1144">
        <v>1</v>
      </c>
      <c r="BO1144">
        <v>1</v>
      </c>
      <c r="BP1144">
        <v>0</v>
      </c>
      <c r="BS1144">
        <v>0</v>
      </c>
      <c r="BT1144">
        <v>0</v>
      </c>
      <c r="BU1144">
        <v>0</v>
      </c>
      <c r="CE1144" t="str">
        <f t="shared" ref="CE1144:CE1150" si="399">"19:28:38.344"</f>
        <v>19:28:38.344</v>
      </c>
      <c r="CF1144">
        <v>343531522</v>
      </c>
      <c r="CS1144">
        <v>3</v>
      </c>
      <c r="CT1144">
        <v>2</v>
      </c>
      <c r="CU1144">
        <v>0</v>
      </c>
      <c r="CV1144">
        <v>2</v>
      </c>
      <c r="CW1144">
        <v>0</v>
      </c>
      <c r="CX1144">
        <v>5</v>
      </c>
      <c r="CY1144">
        <v>7</v>
      </c>
      <c r="CZ1144" t="s">
        <v>131</v>
      </c>
      <c r="DA1144">
        <v>300</v>
      </c>
      <c r="DB1144">
        <v>0</v>
      </c>
      <c r="DC1144" t="s">
        <v>176</v>
      </c>
      <c r="DD1144" t="s">
        <v>177</v>
      </c>
      <c r="DG1144">
        <v>5379724</v>
      </c>
      <c r="DI1144">
        <v>1</v>
      </c>
      <c r="DJ1144">
        <v>0</v>
      </c>
      <c r="DK1144">
        <v>0</v>
      </c>
      <c r="DL1144">
        <v>0</v>
      </c>
      <c r="DM1144">
        <v>0</v>
      </c>
      <c r="DN1144">
        <v>1</v>
      </c>
      <c r="DO1144">
        <v>0</v>
      </c>
      <c r="DP1144">
        <v>0</v>
      </c>
      <c r="DQ1144">
        <v>0</v>
      </c>
      <c r="DR1144">
        <v>0</v>
      </c>
      <c r="DS1144">
        <v>0</v>
      </c>
    </row>
    <row r="1145" spans="1:123" x14ac:dyDescent="0.3">
      <c r="A1145" t="str">
        <f>"10/04/2022 19:28:38.540"</f>
        <v>10/04/2022 19:28:38.540</v>
      </c>
      <c r="C1145" t="str">
        <f t="shared" si="396"/>
        <v>FFDDD3C0</v>
      </c>
      <c r="D1145" t="s">
        <v>147</v>
      </c>
      <c r="E1145">
        <v>3</v>
      </c>
      <c r="H1145">
        <v>166</v>
      </c>
      <c r="I1145" t="s">
        <v>144</v>
      </c>
      <c r="J1145" t="s">
        <v>148</v>
      </c>
      <c r="K1145">
        <v>0</v>
      </c>
      <c r="L1145">
        <v>3</v>
      </c>
      <c r="M1145">
        <v>0</v>
      </c>
      <c r="N1145">
        <v>2</v>
      </c>
      <c r="O1145">
        <v>0</v>
      </c>
      <c r="P1145">
        <v>1</v>
      </c>
      <c r="Q1145">
        <v>0</v>
      </c>
      <c r="S1145" t="str">
        <f t="shared" si="398"/>
        <v>19:28:38.000</v>
      </c>
      <c r="T1145" t="str">
        <f t="shared" si="398"/>
        <v>19:28:38.000</v>
      </c>
      <c r="U1145" t="str">
        <f t="shared" si="380"/>
        <v>AC3944</v>
      </c>
      <c r="V1145">
        <v>0</v>
      </c>
      <c r="W1145">
        <v>0</v>
      </c>
      <c r="X1145">
        <v>2</v>
      </c>
      <c r="Y1145">
        <v>0</v>
      </c>
      <c r="AA1145">
        <v>1</v>
      </c>
      <c r="AB1145">
        <v>8</v>
      </c>
      <c r="AC1145">
        <v>3</v>
      </c>
      <c r="AD1145">
        <v>0</v>
      </c>
      <c r="AE1145">
        <v>9</v>
      </c>
      <c r="AF1145" t="s">
        <v>138</v>
      </c>
      <c r="AG1145">
        <v>0</v>
      </c>
      <c r="AH1145">
        <v>3</v>
      </c>
      <c r="AI1145">
        <v>1</v>
      </c>
      <c r="AJ1145">
        <v>0</v>
      </c>
      <c r="AK1145" t="s">
        <v>461</v>
      </c>
      <c r="AL1145">
        <v>32.806635</v>
      </c>
      <c r="AM1145" t="s">
        <v>462</v>
      </c>
      <c r="AN1145">
        <v>-116.91652499999999</v>
      </c>
      <c r="AO1145">
        <v>25</v>
      </c>
      <c r="AP1145">
        <v>2200</v>
      </c>
      <c r="AQ1145" t="s">
        <v>129</v>
      </c>
      <c r="AR1145">
        <v>127</v>
      </c>
      <c r="AS1145">
        <v>-10</v>
      </c>
      <c r="AT1145">
        <v>704</v>
      </c>
      <c r="BB1145">
        <v>1200</v>
      </c>
      <c r="BC1145">
        <v>1</v>
      </c>
      <c r="BD1145" t="str">
        <f t="shared" si="381"/>
        <v xml:space="preserve">N887QR  </v>
      </c>
      <c r="BE1145">
        <v>1</v>
      </c>
      <c r="BJ1145">
        <v>1850</v>
      </c>
      <c r="BK1145">
        <v>-350</v>
      </c>
      <c r="BL1145" t="s">
        <v>163</v>
      </c>
      <c r="BM1145">
        <v>1</v>
      </c>
      <c r="BN1145">
        <v>1</v>
      </c>
      <c r="BO1145">
        <v>1</v>
      </c>
      <c r="BP1145">
        <v>0</v>
      </c>
      <c r="BS1145">
        <v>0</v>
      </c>
      <c r="BT1145">
        <v>0</v>
      </c>
      <c r="BU1145">
        <v>0</v>
      </c>
      <c r="CE1145" t="str">
        <f t="shared" si="399"/>
        <v>19:28:38.344</v>
      </c>
      <c r="CF1145">
        <v>343531522</v>
      </c>
      <c r="CS1145">
        <v>3</v>
      </c>
      <c r="CT1145">
        <v>2</v>
      </c>
      <c r="CU1145">
        <v>0</v>
      </c>
      <c r="CV1145">
        <v>2</v>
      </c>
      <c r="CW1145">
        <v>0</v>
      </c>
      <c r="CX1145">
        <v>5</v>
      </c>
      <c r="CY1145">
        <v>7</v>
      </c>
      <c r="CZ1145" t="s">
        <v>131</v>
      </c>
      <c r="DA1145">
        <v>300</v>
      </c>
      <c r="DB1145">
        <v>0</v>
      </c>
      <c r="DC1145" t="s">
        <v>176</v>
      </c>
      <c r="DD1145" t="s">
        <v>177</v>
      </c>
      <c r="DG1145">
        <v>5379724</v>
      </c>
      <c r="DI1145">
        <v>1</v>
      </c>
      <c r="DJ1145">
        <v>0</v>
      </c>
      <c r="DK1145">
        <v>0</v>
      </c>
      <c r="DL1145">
        <v>0</v>
      </c>
      <c r="DM1145">
        <v>0</v>
      </c>
      <c r="DN1145">
        <v>1</v>
      </c>
      <c r="DO1145">
        <v>0</v>
      </c>
      <c r="DP1145">
        <v>0</v>
      </c>
      <c r="DQ1145">
        <v>0</v>
      </c>
      <c r="DR1145">
        <v>0</v>
      </c>
      <c r="DS1145">
        <v>0</v>
      </c>
    </row>
    <row r="1146" spans="1:123" x14ac:dyDescent="0.3">
      <c r="A1146" t="str">
        <f>"10/04/2022 19:28:38.540"</f>
        <v>10/04/2022 19:28:38.540</v>
      </c>
      <c r="C1146" t="str">
        <f t="shared" si="396"/>
        <v>FFDDD3C0</v>
      </c>
      <c r="D1146" t="s">
        <v>136</v>
      </c>
      <c r="E1146">
        <v>8</v>
      </c>
      <c r="H1146">
        <v>225</v>
      </c>
      <c r="I1146" t="s">
        <v>137</v>
      </c>
      <c r="J1146" t="s">
        <v>138</v>
      </c>
      <c r="K1146">
        <v>0</v>
      </c>
      <c r="L1146">
        <v>3</v>
      </c>
      <c r="M1146">
        <v>0</v>
      </c>
      <c r="N1146">
        <v>2</v>
      </c>
      <c r="O1146">
        <v>0</v>
      </c>
      <c r="P1146">
        <v>1</v>
      </c>
      <c r="Q1146">
        <v>0</v>
      </c>
      <c r="S1146" t="str">
        <f t="shared" si="398"/>
        <v>19:28:38.000</v>
      </c>
      <c r="T1146" t="str">
        <f t="shared" si="398"/>
        <v>19:28:38.000</v>
      </c>
      <c r="U1146" t="str">
        <f t="shared" si="380"/>
        <v>AC3944</v>
      </c>
      <c r="V1146">
        <v>0</v>
      </c>
      <c r="W1146">
        <v>0</v>
      </c>
      <c r="X1146">
        <v>2</v>
      </c>
      <c r="Y1146">
        <v>0</v>
      </c>
      <c r="AA1146">
        <v>1</v>
      </c>
      <c r="AB1146">
        <v>8</v>
      </c>
      <c r="AC1146">
        <v>3</v>
      </c>
      <c r="AD1146">
        <v>0</v>
      </c>
      <c r="AE1146">
        <v>9</v>
      </c>
      <c r="AF1146" t="s">
        <v>138</v>
      </c>
      <c r="AG1146">
        <v>0</v>
      </c>
      <c r="AH1146">
        <v>3</v>
      </c>
      <c r="AI1146">
        <v>1</v>
      </c>
      <c r="AJ1146">
        <v>0</v>
      </c>
      <c r="AK1146" t="s">
        <v>461</v>
      </c>
      <c r="AL1146">
        <v>32.806635</v>
      </c>
      <c r="AM1146" t="s">
        <v>462</v>
      </c>
      <c r="AN1146">
        <v>-116.91652499999999</v>
      </c>
      <c r="AO1146">
        <v>25</v>
      </c>
      <c r="AP1146">
        <v>2200</v>
      </c>
      <c r="AQ1146" t="s">
        <v>129</v>
      </c>
      <c r="AR1146">
        <v>127</v>
      </c>
      <c r="AS1146">
        <v>-10</v>
      </c>
      <c r="AT1146">
        <v>704</v>
      </c>
      <c r="BB1146">
        <v>1200</v>
      </c>
      <c r="BC1146">
        <v>1</v>
      </c>
      <c r="BD1146" t="str">
        <f t="shared" si="381"/>
        <v xml:space="preserve">N887QR  </v>
      </c>
      <c r="BE1146">
        <v>1</v>
      </c>
      <c r="BJ1146">
        <v>1850</v>
      </c>
      <c r="BK1146">
        <v>-350</v>
      </c>
      <c r="BL1146" t="s">
        <v>163</v>
      </c>
      <c r="BM1146">
        <v>1</v>
      </c>
      <c r="BN1146">
        <v>1</v>
      </c>
      <c r="BO1146">
        <v>1</v>
      </c>
      <c r="BP1146">
        <v>0</v>
      </c>
      <c r="BS1146">
        <v>0</v>
      </c>
      <c r="BT1146">
        <v>0</v>
      </c>
      <c r="BU1146">
        <v>0</v>
      </c>
      <c r="CE1146" t="str">
        <f t="shared" si="399"/>
        <v>19:28:38.344</v>
      </c>
      <c r="CF1146">
        <v>343531522</v>
      </c>
      <c r="CS1146">
        <v>3</v>
      </c>
      <c r="CT1146">
        <v>2</v>
      </c>
      <c r="CU1146">
        <v>0</v>
      </c>
      <c r="CV1146">
        <v>2</v>
      </c>
      <c r="CW1146">
        <v>0</v>
      </c>
      <c r="CX1146">
        <v>5</v>
      </c>
      <c r="CY1146">
        <v>7</v>
      </c>
      <c r="CZ1146" t="s">
        <v>131</v>
      </c>
      <c r="DA1146">
        <v>300</v>
      </c>
      <c r="DB1146">
        <v>0</v>
      </c>
      <c r="DC1146" t="s">
        <v>176</v>
      </c>
      <c r="DD1146" t="s">
        <v>177</v>
      </c>
      <c r="DG1146">
        <v>5379724</v>
      </c>
      <c r="DI1146">
        <v>1</v>
      </c>
      <c r="DJ1146">
        <v>0</v>
      </c>
      <c r="DK1146">
        <v>1</v>
      </c>
      <c r="DL1146">
        <v>0</v>
      </c>
      <c r="DM1146">
        <v>0</v>
      </c>
      <c r="DN1146">
        <v>1</v>
      </c>
      <c r="DO1146">
        <v>0</v>
      </c>
      <c r="DP1146">
        <v>0</v>
      </c>
      <c r="DQ1146">
        <v>0</v>
      </c>
      <c r="DR1146">
        <v>0</v>
      </c>
      <c r="DS1146">
        <v>0</v>
      </c>
    </row>
    <row r="1147" spans="1:123" x14ac:dyDescent="0.3">
      <c r="A1147" t="str">
        <f>"10/04/2022 19:28:38.540"</f>
        <v>10/04/2022 19:28:38.540</v>
      </c>
      <c r="C1147" t="str">
        <f t="shared" si="396"/>
        <v>FFDDD3C0</v>
      </c>
      <c r="D1147" t="s">
        <v>141</v>
      </c>
      <c r="E1147">
        <v>4</v>
      </c>
      <c r="H1147">
        <v>4</v>
      </c>
      <c r="I1147" t="s">
        <v>142</v>
      </c>
      <c r="J1147" t="s">
        <v>138</v>
      </c>
      <c r="K1147">
        <v>0</v>
      </c>
      <c r="L1147">
        <v>3</v>
      </c>
      <c r="M1147">
        <v>0</v>
      </c>
      <c r="N1147">
        <v>2</v>
      </c>
      <c r="O1147">
        <v>0</v>
      </c>
      <c r="P1147">
        <v>1</v>
      </c>
      <c r="Q1147">
        <v>0</v>
      </c>
      <c r="S1147" t="str">
        <f t="shared" si="398"/>
        <v>19:28:38.000</v>
      </c>
      <c r="T1147" t="str">
        <f t="shared" si="398"/>
        <v>19:28:38.000</v>
      </c>
      <c r="U1147" t="str">
        <f t="shared" si="380"/>
        <v>AC3944</v>
      </c>
      <c r="V1147">
        <v>0</v>
      </c>
      <c r="W1147">
        <v>0</v>
      </c>
      <c r="X1147">
        <v>2</v>
      </c>
      <c r="Y1147">
        <v>0</v>
      </c>
      <c r="AA1147">
        <v>1</v>
      </c>
      <c r="AB1147">
        <v>8</v>
      </c>
      <c r="AC1147">
        <v>3</v>
      </c>
      <c r="AD1147">
        <v>0</v>
      </c>
      <c r="AE1147">
        <v>9</v>
      </c>
      <c r="AF1147" t="s">
        <v>138</v>
      </c>
      <c r="AG1147">
        <v>0</v>
      </c>
      <c r="AH1147">
        <v>3</v>
      </c>
      <c r="AI1147">
        <v>1</v>
      </c>
      <c r="AJ1147">
        <v>0</v>
      </c>
      <c r="AK1147" t="s">
        <v>461</v>
      </c>
      <c r="AL1147">
        <v>32.806635</v>
      </c>
      <c r="AM1147" t="s">
        <v>462</v>
      </c>
      <c r="AN1147">
        <v>-116.91652499999999</v>
      </c>
      <c r="AO1147">
        <v>25</v>
      </c>
      <c r="AP1147">
        <v>2200</v>
      </c>
      <c r="AQ1147" t="s">
        <v>129</v>
      </c>
      <c r="AR1147">
        <v>127</v>
      </c>
      <c r="AS1147">
        <v>-10</v>
      </c>
      <c r="AT1147">
        <v>704</v>
      </c>
      <c r="BB1147">
        <v>1200</v>
      </c>
      <c r="BC1147">
        <v>1</v>
      </c>
      <c r="BD1147" t="str">
        <f t="shared" si="381"/>
        <v xml:space="preserve">N887QR  </v>
      </c>
      <c r="BE1147">
        <v>1</v>
      </c>
      <c r="BJ1147">
        <v>1850</v>
      </c>
      <c r="BK1147">
        <v>-350</v>
      </c>
      <c r="BL1147" t="s">
        <v>163</v>
      </c>
      <c r="BM1147">
        <v>1</v>
      </c>
      <c r="BN1147">
        <v>1</v>
      </c>
      <c r="BO1147">
        <v>1</v>
      </c>
      <c r="BP1147">
        <v>0</v>
      </c>
      <c r="BS1147">
        <v>0</v>
      </c>
      <c r="BT1147">
        <v>0</v>
      </c>
      <c r="BU1147">
        <v>0</v>
      </c>
      <c r="CE1147" t="str">
        <f t="shared" si="399"/>
        <v>19:28:38.344</v>
      </c>
      <c r="CF1147">
        <v>343531522</v>
      </c>
      <c r="CS1147">
        <v>3</v>
      </c>
      <c r="CT1147">
        <v>2</v>
      </c>
      <c r="CU1147">
        <v>0</v>
      </c>
      <c r="CV1147">
        <v>2</v>
      </c>
      <c r="CW1147">
        <v>0</v>
      </c>
      <c r="CX1147">
        <v>5</v>
      </c>
      <c r="CY1147">
        <v>7</v>
      </c>
      <c r="CZ1147" t="s">
        <v>131</v>
      </c>
      <c r="DA1147">
        <v>300</v>
      </c>
      <c r="DB1147">
        <v>0</v>
      </c>
      <c r="DC1147" t="s">
        <v>176</v>
      </c>
      <c r="DD1147" t="s">
        <v>177</v>
      </c>
      <c r="DG1147">
        <v>5379724</v>
      </c>
      <c r="DI1147">
        <v>1</v>
      </c>
      <c r="DJ1147">
        <v>0</v>
      </c>
      <c r="DK1147">
        <v>1</v>
      </c>
      <c r="DL1147">
        <v>0</v>
      </c>
      <c r="DM1147">
        <v>0</v>
      </c>
      <c r="DN1147">
        <v>1</v>
      </c>
      <c r="DO1147">
        <v>0</v>
      </c>
      <c r="DP1147">
        <v>0</v>
      </c>
      <c r="DQ1147">
        <v>0</v>
      </c>
      <c r="DR1147">
        <v>0</v>
      </c>
      <c r="DS1147">
        <v>0</v>
      </c>
    </row>
    <row r="1148" spans="1:123" x14ac:dyDescent="0.3">
      <c r="A1148" t="str">
        <f>"10/04/2022 19:28:38.540"</f>
        <v>10/04/2022 19:28:38.540</v>
      </c>
      <c r="C1148" t="str">
        <f t="shared" si="396"/>
        <v>FFDDD3C0</v>
      </c>
      <c r="D1148" t="s">
        <v>134</v>
      </c>
      <c r="E1148">
        <v>15</v>
      </c>
      <c r="J1148" t="s">
        <v>135</v>
      </c>
      <c r="K1148">
        <v>0</v>
      </c>
      <c r="L1148">
        <v>3</v>
      </c>
      <c r="M1148">
        <v>0</v>
      </c>
      <c r="N1148">
        <v>2</v>
      </c>
      <c r="O1148">
        <v>0</v>
      </c>
      <c r="P1148">
        <v>1</v>
      </c>
      <c r="Q1148">
        <v>0</v>
      </c>
      <c r="S1148" t="str">
        <f t="shared" si="398"/>
        <v>19:28:38.000</v>
      </c>
      <c r="T1148" t="str">
        <f t="shared" si="398"/>
        <v>19:28:38.000</v>
      </c>
      <c r="U1148" t="str">
        <f t="shared" si="380"/>
        <v>AC3944</v>
      </c>
      <c r="V1148">
        <v>0</v>
      </c>
      <c r="W1148">
        <v>0</v>
      </c>
      <c r="X1148">
        <v>2</v>
      </c>
      <c r="Y1148">
        <v>0</v>
      </c>
      <c r="AA1148">
        <v>1</v>
      </c>
      <c r="AB1148">
        <v>8</v>
      </c>
      <c r="AC1148">
        <v>3</v>
      </c>
      <c r="AD1148">
        <v>0</v>
      </c>
      <c r="AE1148">
        <v>9</v>
      </c>
      <c r="AF1148" t="s">
        <v>138</v>
      </c>
      <c r="AG1148">
        <v>0</v>
      </c>
      <c r="AH1148">
        <v>3</v>
      </c>
      <c r="AI1148">
        <v>1</v>
      </c>
      <c r="AJ1148">
        <v>0</v>
      </c>
      <c r="AK1148" t="s">
        <v>461</v>
      </c>
      <c r="AL1148">
        <v>32.806635</v>
      </c>
      <c r="AM1148" t="s">
        <v>462</v>
      </c>
      <c r="AN1148">
        <v>-116.91652499999999</v>
      </c>
      <c r="AO1148">
        <v>25</v>
      </c>
      <c r="AP1148">
        <v>2200</v>
      </c>
      <c r="AQ1148" t="s">
        <v>129</v>
      </c>
      <c r="AR1148">
        <v>127</v>
      </c>
      <c r="AS1148">
        <v>-10</v>
      </c>
      <c r="AT1148">
        <v>704</v>
      </c>
      <c r="BB1148">
        <v>1200</v>
      </c>
      <c r="BC1148">
        <v>1</v>
      </c>
      <c r="BD1148" t="str">
        <f t="shared" si="381"/>
        <v xml:space="preserve">N887QR  </v>
      </c>
      <c r="BE1148">
        <v>1</v>
      </c>
      <c r="BJ1148">
        <v>1850</v>
      </c>
      <c r="BK1148">
        <v>-350</v>
      </c>
      <c r="BL1148" t="s">
        <v>163</v>
      </c>
      <c r="BM1148">
        <v>1</v>
      </c>
      <c r="BN1148">
        <v>1</v>
      </c>
      <c r="BO1148">
        <v>1</v>
      </c>
      <c r="BP1148">
        <v>0</v>
      </c>
      <c r="BS1148">
        <v>0</v>
      </c>
      <c r="BT1148">
        <v>0</v>
      </c>
      <c r="BU1148">
        <v>0</v>
      </c>
      <c r="CE1148" t="str">
        <f t="shared" si="399"/>
        <v>19:28:38.344</v>
      </c>
      <c r="CF1148">
        <v>343531522</v>
      </c>
      <c r="CS1148">
        <v>3</v>
      </c>
      <c r="CT1148">
        <v>2</v>
      </c>
      <c r="CU1148">
        <v>0</v>
      </c>
      <c r="CV1148">
        <v>2</v>
      </c>
      <c r="CW1148">
        <v>0</v>
      </c>
      <c r="CX1148">
        <v>5</v>
      </c>
      <c r="CY1148">
        <v>7</v>
      </c>
      <c r="CZ1148" t="s">
        <v>131</v>
      </c>
      <c r="DA1148">
        <v>300</v>
      </c>
      <c r="DB1148">
        <v>0</v>
      </c>
      <c r="DC1148" t="s">
        <v>176</v>
      </c>
      <c r="DD1148" t="s">
        <v>177</v>
      </c>
      <c r="DG1148">
        <v>5379724</v>
      </c>
      <c r="DI1148">
        <v>1</v>
      </c>
      <c r="DJ1148">
        <v>0</v>
      </c>
      <c r="DK1148">
        <v>1</v>
      </c>
      <c r="DL1148">
        <v>0</v>
      </c>
      <c r="DM1148">
        <v>0</v>
      </c>
      <c r="DN1148">
        <v>1</v>
      </c>
      <c r="DO1148">
        <v>0</v>
      </c>
      <c r="DP1148">
        <v>0</v>
      </c>
      <c r="DQ1148">
        <v>0</v>
      </c>
      <c r="DR1148">
        <v>0</v>
      </c>
      <c r="DS1148">
        <v>0</v>
      </c>
    </row>
    <row r="1149" spans="1:123" x14ac:dyDescent="0.3">
      <c r="A1149" t="str">
        <f>"10/04/2022 19:28:38.556"</f>
        <v>10/04/2022 19:28:38.556</v>
      </c>
      <c r="C1149" t="str">
        <f t="shared" si="396"/>
        <v>FFDDD3C0</v>
      </c>
      <c r="D1149" t="s">
        <v>143</v>
      </c>
      <c r="E1149">
        <v>20</v>
      </c>
      <c r="F1149">
        <v>1020</v>
      </c>
      <c r="G1149" t="s">
        <v>144</v>
      </c>
      <c r="J1149" t="s">
        <v>145</v>
      </c>
      <c r="K1149">
        <v>0</v>
      </c>
      <c r="L1149">
        <v>3</v>
      </c>
      <c r="M1149">
        <v>0</v>
      </c>
      <c r="N1149">
        <v>2</v>
      </c>
      <c r="O1149">
        <v>0</v>
      </c>
      <c r="P1149">
        <v>1</v>
      </c>
      <c r="Q1149">
        <v>0</v>
      </c>
      <c r="S1149" t="str">
        <f t="shared" si="398"/>
        <v>19:28:38.000</v>
      </c>
      <c r="T1149" t="str">
        <f t="shared" si="398"/>
        <v>19:28:38.000</v>
      </c>
      <c r="U1149" t="str">
        <f t="shared" si="380"/>
        <v>AC3944</v>
      </c>
      <c r="V1149">
        <v>0</v>
      </c>
      <c r="W1149">
        <v>0</v>
      </c>
      <c r="X1149">
        <v>2</v>
      </c>
      <c r="Y1149">
        <v>0</v>
      </c>
      <c r="AA1149">
        <v>1</v>
      </c>
      <c r="AB1149">
        <v>8</v>
      </c>
      <c r="AC1149">
        <v>3</v>
      </c>
      <c r="AD1149">
        <v>0</v>
      </c>
      <c r="AE1149">
        <v>9</v>
      </c>
      <c r="AF1149" t="s">
        <v>138</v>
      </c>
      <c r="AG1149">
        <v>0</v>
      </c>
      <c r="AH1149">
        <v>3</v>
      </c>
      <c r="AI1149">
        <v>1</v>
      </c>
      <c r="AJ1149">
        <v>0</v>
      </c>
      <c r="AK1149" t="s">
        <v>461</v>
      </c>
      <c r="AL1149">
        <v>32.806635</v>
      </c>
      <c r="AM1149" t="s">
        <v>462</v>
      </c>
      <c r="AN1149">
        <v>-116.91652499999999</v>
      </c>
      <c r="AO1149">
        <v>25</v>
      </c>
      <c r="AP1149">
        <v>2200</v>
      </c>
      <c r="AQ1149" t="s">
        <v>129</v>
      </c>
      <c r="AR1149">
        <v>127</v>
      </c>
      <c r="AS1149">
        <v>-10</v>
      </c>
      <c r="AT1149">
        <v>704</v>
      </c>
      <c r="BB1149">
        <v>1200</v>
      </c>
      <c r="BC1149">
        <v>1</v>
      </c>
      <c r="BD1149" t="str">
        <f t="shared" si="381"/>
        <v xml:space="preserve">N887QR  </v>
      </c>
      <c r="BE1149">
        <v>1</v>
      </c>
      <c r="BJ1149">
        <v>1850</v>
      </c>
      <c r="BK1149">
        <v>-350</v>
      </c>
      <c r="BL1149" t="s">
        <v>163</v>
      </c>
      <c r="BM1149">
        <v>1</v>
      </c>
      <c r="BN1149">
        <v>1</v>
      </c>
      <c r="BO1149">
        <v>1</v>
      </c>
      <c r="BP1149">
        <v>0</v>
      </c>
      <c r="BS1149">
        <v>0</v>
      </c>
      <c r="BT1149">
        <v>0</v>
      </c>
      <c r="BU1149">
        <v>0</v>
      </c>
      <c r="CE1149" t="str">
        <f t="shared" si="399"/>
        <v>19:28:38.344</v>
      </c>
      <c r="CF1149">
        <v>343531522</v>
      </c>
      <c r="CS1149">
        <v>3</v>
      </c>
      <c r="CT1149">
        <v>2</v>
      </c>
      <c r="CU1149">
        <v>0</v>
      </c>
      <c r="CV1149">
        <v>2</v>
      </c>
      <c r="CW1149">
        <v>0</v>
      </c>
      <c r="CX1149">
        <v>5</v>
      </c>
      <c r="CY1149">
        <v>7</v>
      </c>
      <c r="CZ1149" t="s">
        <v>131</v>
      </c>
      <c r="DA1149">
        <v>300</v>
      </c>
      <c r="DB1149">
        <v>0</v>
      </c>
      <c r="DC1149" t="s">
        <v>176</v>
      </c>
      <c r="DD1149" t="s">
        <v>177</v>
      </c>
      <c r="DG1149">
        <v>5379724</v>
      </c>
      <c r="DI1149">
        <v>1</v>
      </c>
      <c r="DJ1149">
        <v>0</v>
      </c>
      <c r="DK1149">
        <v>0</v>
      </c>
      <c r="DL1149">
        <v>0</v>
      </c>
      <c r="DM1149">
        <v>0</v>
      </c>
      <c r="DN1149">
        <v>1</v>
      </c>
      <c r="DO1149">
        <v>0</v>
      </c>
      <c r="DP1149">
        <v>0</v>
      </c>
      <c r="DQ1149">
        <v>0</v>
      </c>
      <c r="DR1149">
        <v>0</v>
      </c>
      <c r="DS1149">
        <v>0</v>
      </c>
    </row>
    <row r="1150" spans="1:123" x14ac:dyDescent="0.3">
      <c r="A1150" t="str">
        <f>"10/04/2022 19:28:38.556"</f>
        <v>10/04/2022 19:28:38.556</v>
      </c>
      <c r="C1150" t="str">
        <f t="shared" si="396"/>
        <v>FFDDD3C0</v>
      </c>
      <c r="D1150" t="s">
        <v>141</v>
      </c>
      <c r="E1150">
        <v>3</v>
      </c>
      <c r="H1150">
        <v>3</v>
      </c>
      <c r="I1150" t="s">
        <v>146</v>
      </c>
      <c r="J1150" t="s">
        <v>138</v>
      </c>
      <c r="K1150">
        <v>0</v>
      </c>
      <c r="L1150">
        <v>3</v>
      </c>
      <c r="M1150">
        <v>0</v>
      </c>
      <c r="N1150">
        <v>2</v>
      </c>
      <c r="O1150">
        <v>0</v>
      </c>
      <c r="P1150">
        <v>1</v>
      </c>
      <c r="Q1150">
        <v>0</v>
      </c>
      <c r="S1150" t="str">
        <f t="shared" si="398"/>
        <v>19:28:38.000</v>
      </c>
      <c r="T1150" t="str">
        <f t="shared" si="398"/>
        <v>19:28:38.000</v>
      </c>
      <c r="U1150" t="str">
        <f t="shared" si="380"/>
        <v>AC3944</v>
      </c>
      <c r="V1150">
        <v>0</v>
      </c>
      <c r="W1150">
        <v>0</v>
      </c>
      <c r="X1150">
        <v>2</v>
      </c>
      <c r="Y1150">
        <v>0</v>
      </c>
      <c r="AA1150">
        <v>1</v>
      </c>
      <c r="AB1150">
        <v>8</v>
      </c>
      <c r="AC1150">
        <v>3</v>
      </c>
      <c r="AD1150">
        <v>0</v>
      </c>
      <c r="AE1150">
        <v>9</v>
      </c>
      <c r="AF1150" t="s">
        <v>138</v>
      </c>
      <c r="AG1150">
        <v>0</v>
      </c>
      <c r="AH1150">
        <v>3</v>
      </c>
      <c r="AI1150">
        <v>1</v>
      </c>
      <c r="AJ1150">
        <v>0</v>
      </c>
      <c r="AK1150" t="s">
        <v>461</v>
      </c>
      <c r="AL1150">
        <v>32.806635</v>
      </c>
      <c r="AM1150" t="s">
        <v>462</v>
      </c>
      <c r="AN1150">
        <v>-116.91652499999999</v>
      </c>
      <c r="AO1150">
        <v>25</v>
      </c>
      <c r="AP1150">
        <v>2200</v>
      </c>
      <c r="AQ1150" t="s">
        <v>129</v>
      </c>
      <c r="AR1150">
        <v>127</v>
      </c>
      <c r="AS1150">
        <v>-10</v>
      </c>
      <c r="AT1150">
        <v>704</v>
      </c>
      <c r="BB1150">
        <v>1200</v>
      </c>
      <c r="BC1150">
        <v>1</v>
      </c>
      <c r="BD1150" t="str">
        <f t="shared" si="381"/>
        <v xml:space="preserve">N887QR  </v>
      </c>
      <c r="BE1150">
        <v>1</v>
      </c>
      <c r="BJ1150">
        <v>1850</v>
      </c>
      <c r="BK1150">
        <v>-350</v>
      </c>
      <c r="BL1150" t="s">
        <v>163</v>
      </c>
      <c r="BM1150">
        <v>1</v>
      </c>
      <c r="BN1150">
        <v>1</v>
      </c>
      <c r="BO1150">
        <v>1</v>
      </c>
      <c r="BP1150">
        <v>0</v>
      </c>
      <c r="BS1150">
        <v>0</v>
      </c>
      <c r="BT1150">
        <v>0</v>
      </c>
      <c r="BU1150">
        <v>0</v>
      </c>
      <c r="CE1150" t="str">
        <f t="shared" si="399"/>
        <v>19:28:38.344</v>
      </c>
      <c r="CF1150">
        <v>343531522</v>
      </c>
      <c r="CS1150">
        <v>3</v>
      </c>
      <c r="CT1150">
        <v>2</v>
      </c>
      <c r="CU1150">
        <v>0</v>
      </c>
      <c r="CV1150">
        <v>2</v>
      </c>
      <c r="CW1150">
        <v>0</v>
      </c>
      <c r="CX1150">
        <v>5</v>
      </c>
      <c r="CY1150">
        <v>7</v>
      </c>
      <c r="CZ1150" t="s">
        <v>131</v>
      </c>
      <c r="DA1150">
        <v>300</v>
      </c>
      <c r="DB1150">
        <v>0</v>
      </c>
      <c r="DC1150" t="s">
        <v>176</v>
      </c>
      <c r="DD1150" t="s">
        <v>177</v>
      </c>
      <c r="DG1150">
        <v>5379724</v>
      </c>
      <c r="DI1150">
        <v>1</v>
      </c>
      <c r="DJ1150">
        <v>0</v>
      </c>
      <c r="DK1150">
        <v>1</v>
      </c>
      <c r="DL1150">
        <v>0</v>
      </c>
      <c r="DM1150">
        <v>0</v>
      </c>
      <c r="DN1150">
        <v>1</v>
      </c>
      <c r="DO1150">
        <v>0</v>
      </c>
      <c r="DP1150">
        <v>0</v>
      </c>
      <c r="DQ1150">
        <v>0</v>
      </c>
      <c r="DR1150">
        <v>0</v>
      </c>
      <c r="DS1150">
        <v>0</v>
      </c>
    </row>
    <row r="1151" spans="1:123" x14ac:dyDescent="0.3">
      <c r="A1151" t="str">
        <f>"10/04/2022 19:28:39.228"</f>
        <v>10/04/2022 19:28:39.228</v>
      </c>
      <c r="C1151" t="str">
        <f t="shared" si="396"/>
        <v>FFDDD3C0</v>
      </c>
      <c r="D1151" t="s">
        <v>134</v>
      </c>
      <c r="E1151">
        <v>15</v>
      </c>
      <c r="J1151" t="s">
        <v>135</v>
      </c>
      <c r="K1151">
        <v>0</v>
      </c>
      <c r="L1151">
        <v>3</v>
      </c>
      <c r="M1151">
        <v>0</v>
      </c>
      <c r="N1151">
        <v>2</v>
      </c>
      <c r="O1151">
        <v>0</v>
      </c>
      <c r="P1151">
        <v>1</v>
      </c>
      <c r="Q1151">
        <v>0</v>
      </c>
      <c r="S1151" t="str">
        <f t="shared" ref="S1151:T1161" si="400">"19:28:39.000"</f>
        <v>19:28:39.000</v>
      </c>
      <c r="T1151" t="str">
        <f t="shared" si="400"/>
        <v>19:28:39.000</v>
      </c>
      <c r="U1151" t="str">
        <f t="shared" si="380"/>
        <v>AC3944</v>
      </c>
      <c r="V1151">
        <v>0</v>
      </c>
      <c r="W1151">
        <v>0</v>
      </c>
      <c r="X1151">
        <v>2</v>
      </c>
      <c r="Y1151">
        <v>0</v>
      </c>
      <c r="AA1151">
        <v>1</v>
      </c>
      <c r="AB1151">
        <v>8</v>
      </c>
      <c r="AC1151">
        <v>3</v>
      </c>
      <c r="AD1151">
        <v>0</v>
      </c>
      <c r="AE1151">
        <v>9</v>
      </c>
      <c r="AF1151" t="s">
        <v>138</v>
      </c>
      <c r="AG1151">
        <v>0</v>
      </c>
      <c r="AH1151">
        <v>3</v>
      </c>
      <c r="AI1151">
        <v>1</v>
      </c>
      <c r="AJ1151">
        <v>0</v>
      </c>
      <c r="AK1151" t="s">
        <v>463</v>
      </c>
      <c r="AL1151">
        <v>32.806592000000002</v>
      </c>
      <c r="AM1151" t="s">
        <v>464</v>
      </c>
      <c r="AN1151">
        <v>-116.915796</v>
      </c>
      <c r="AO1151">
        <v>25</v>
      </c>
      <c r="AP1151">
        <v>2200</v>
      </c>
      <c r="AQ1151" t="s">
        <v>129</v>
      </c>
      <c r="AR1151">
        <v>127</v>
      </c>
      <c r="AS1151">
        <v>-9</v>
      </c>
      <c r="AT1151">
        <v>704</v>
      </c>
      <c r="BB1151">
        <v>1200</v>
      </c>
      <c r="BC1151">
        <v>1</v>
      </c>
      <c r="BD1151" t="str">
        <f t="shared" si="381"/>
        <v xml:space="preserve">N887QR  </v>
      </c>
      <c r="BE1151">
        <v>1</v>
      </c>
      <c r="BJ1151">
        <v>1875</v>
      </c>
      <c r="BK1151">
        <v>-325</v>
      </c>
      <c r="BL1151" t="s">
        <v>163</v>
      </c>
      <c r="BM1151">
        <v>1</v>
      </c>
      <c r="BN1151">
        <v>1</v>
      </c>
      <c r="BO1151">
        <v>1</v>
      </c>
      <c r="BP1151">
        <v>0</v>
      </c>
      <c r="BS1151">
        <v>0.04</v>
      </c>
      <c r="BT1151">
        <v>0</v>
      </c>
      <c r="BU1151">
        <v>0</v>
      </c>
      <c r="CE1151" t="str">
        <f t="shared" ref="CE1151:CE1157" si="401">"19:28:39.016"</f>
        <v>19:28:39.016</v>
      </c>
      <c r="CF1151">
        <v>16033730</v>
      </c>
      <c r="CS1151">
        <v>3</v>
      </c>
      <c r="CT1151">
        <v>2</v>
      </c>
      <c r="CU1151">
        <v>0</v>
      </c>
      <c r="CV1151">
        <v>2</v>
      </c>
      <c r="CW1151">
        <v>0</v>
      </c>
      <c r="CX1151">
        <v>5</v>
      </c>
      <c r="CY1151">
        <v>7</v>
      </c>
      <c r="CZ1151" t="s">
        <v>131</v>
      </c>
      <c r="DA1151">
        <v>300</v>
      </c>
      <c r="DB1151">
        <v>0</v>
      </c>
      <c r="DC1151" t="s">
        <v>176</v>
      </c>
      <c r="DD1151" t="s">
        <v>177</v>
      </c>
      <c r="DG1151">
        <v>5379859</v>
      </c>
      <c r="DI1151">
        <v>1</v>
      </c>
      <c r="DJ1151">
        <v>0</v>
      </c>
      <c r="DK1151">
        <v>0</v>
      </c>
      <c r="DL1151">
        <v>0</v>
      </c>
      <c r="DM1151">
        <v>0</v>
      </c>
      <c r="DN1151">
        <v>1</v>
      </c>
      <c r="DO1151">
        <v>0</v>
      </c>
      <c r="DP1151">
        <v>0</v>
      </c>
      <c r="DQ1151">
        <v>0</v>
      </c>
      <c r="DR1151">
        <v>0</v>
      </c>
      <c r="DS1151">
        <v>0</v>
      </c>
    </row>
    <row r="1152" spans="1:123" x14ac:dyDescent="0.3">
      <c r="A1152" t="str">
        <f>"10/04/2022 19:28:39.228"</f>
        <v>10/04/2022 19:28:39.228</v>
      </c>
      <c r="C1152" t="str">
        <f t="shared" si="396"/>
        <v>FFDDD3C0</v>
      </c>
      <c r="D1152" t="s">
        <v>143</v>
      </c>
      <c r="E1152">
        <v>20</v>
      </c>
      <c r="F1152">
        <v>1020</v>
      </c>
      <c r="G1152" t="s">
        <v>144</v>
      </c>
      <c r="J1152" t="s">
        <v>145</v>
      </c>
      <c r="K1152">
        <v>0</v>
      </c>
      <c r="L1152">
        <v>3</v>
      </c>
      <c r="M1152">
        <v>0</v>
      </c>
      <c r="N1152">
        <v>2</v>
      </c>
      <c r="O1152">
        <v>0</v>
      </c>
      <c r="P1152">
        <v>1</v>
      </c>
      <c r="Q1152">
        <v>0</v>
      </c>
      <c r="S1152" t="str">
        <f t="shared" si="400"/>
        <v>19:28:39.000</v>
      </c>
      <c r="T1152" t="str">
        <f t="shared" si="400"/>
        <v>19:28:39.000</v>
      </c>
      <c r="U1152" t="str">
        <f t="shared" si="380"/>
        <v>AC3944</v>
      </c>
      <c r="V1152">
        <v>0</v>
      </c>
      <c r="W1152">
        <v>0</v>
      </c>
      <c r="X1152">
        <v>2</v>
      </c>
      <c r="Y1152">
        <v>0</v>
      </c>
      <c r="AA1152">
        <v>1</v>
      </c>
      <c r="AB1152">
        <v>8</v>
      </c>
      <c r="AC1152">
        <v>3</v>
      </c>
      <c r="AD1152">
        <v>0</v>
      </c>
      <c r="AE1152">
        <v>9</v>
      </c>
      <c r="AF1152" t="s">
        <v>138</v>
      </c>
      <c r="AG1152">
        <v>0</v>
      </c>
      <c r="AH1152">
        <v>3</v>
      </c>
      <c r="AI1152">
        <v>1</v>
      </c>
      <c r="AJ1152">
        <v>0</v>
      </c>
      <c r="AK1152" t="s">
        <v>463</v>
      </c>
      <c r="AL1152">
        <v>32.806592000000002</v>
      </c>
      <c r="AM1152" t="s">
        <v>464</v>
      </c>
      <c r="AN1152">
        <v>-116.915796</v>
      </c>
      <c r="AO1152">
        <v>25</v>
      </c>
      <c r="AP1152">
        <v>2200</v>
      </c>
      <c r="AQ1152" t="s">
        <v>129</v>
      </c>
      <c r="AR1152">
        <v>127</v>
      </c>
      <c r="AS1152">
        <v>-9</v>
      </c>
      <c r="AT1152">
        <v>704</v>
      </c>
      <c r="BB1152">
        <v>1200</v>
      </c>
      <c r="BC1152">
        <v>1</v>
      </c>
      <c r="BD1152" t="str">
        <f t="shared" si="381"/>
        <v xml:space="preserve">N887QR  </v>
      </c>
      <c r="BE1152">
        <v>1</v>
      </c>
      <c r="BJ1152">
        <v>1875</v>
      </c>
      <c r="BK1152">
        <v>-325</v>
      </c>
      <c r="BL1152" t="s">
        <v>163</v>
      </c>
      <c r="BM1152">
        <v>1</v>
      </c>
      <c r="BN1152">
        <v>1</v>
      </c>
      <c r="BO1152">
        <v>1</v>
      </c>
      <c r="BP1152">
        <v>0</v>
      </c>
      <c r="BS1152">
        <v>0.04</v>
      </c>
      <c r="BT1152">
        <v>0</v>
      </c>
      <c r="BU1152">
        <v>0</v>
      </c>
      <c r="CE1152" t="str">
        <f t="shared" si="401"/>
        <v>19:28:39.016</v>
      </c>
      <c r="CF1152">
        <v>16033730</v>
      </c>
      <c r="CS1152">
        <v>3</v>
      </c>
      <c r="CT1152">
        <v>2</v>
      </c>
      <c r="CU1152">
        <v>0</v>
      </c>
      <c r="CV1152">
        <v>2</v>
      </c>
      <c r="CW1152">
        <v>0</v>
      </c>
      <c r="CX1152">
        <v>5</v>
      </c>
      <c r="CY1152">
        <v>7</v>
      </c>
      <c r="CZ1152" t="s">
        <v>131</v>
      </c>
      <c r="DA1152">
        <v>300</v>
      </c>
      <c r="DB1152">
        <v>0</v>
      </c>
      <c r="DC1152" t="s">
        <v>176</v>
      </c>
      <c r="DD1152" t="s">
        <v>177</v>
      </c>
      <c r="DG1152">
        <v>5379859</v>
      </c>
      <c r="DI1152">
        <v>1</v>
      </c>
      <c r="DJ1152">
        <v>0</v>
      </c>
      <c r="DK1152">
        <v>1</v>
      </c>
      <c r="DL1152">
        <v>0</v>
      </c>
      <c r="DM1152">
        <v>0</v>
      </c>
      <c r="DN1152">
        <v>1</v>
      </c>
      <c r="DO1152">
        <v>0</v>
      </c>
      <c r="DP1152">
        <v>0</v>
      </c>
      <c r="DQ1152">
        <v>0</v>
      </c>
      <c r="DR1152">
        <v>0</v>
      </c>
      <c r="DS1152">
        <v>0</v>
      </c>
    </row>
    <row r="1153" spans="1:123" x14ac:dyDescent="0.3">
      <c r="A1153" t="str">
        <f>"10/04/2022 19:28:39.290"</f>
        <v>10/04/2022 19:28:39.290</v>
      </c>
      <c r="C1153" t="str">
        <f t="shared" si="396"/>
        <v>FFDDD3C0</v>
      </c>
      <c r="D1153" t="s">
        <v>141</v>
      </c>
      <c r="E1153">
        <v>3</v>
      </c>
      <c r="H1153">
        <v>3</v>
      </c>
      <c r="I1153" t="s">
        <v>146</v>
      </c>
      <c r="J1153" t="s">
        <v>138</v>
      </c>
      <c r="K1153">
        <v>0</v>
      </c>
      <c r="L1153">
        <v>3</v>
      </c>
      <c r="M1153">
        <v>0</v>
      </c>
      <c r="N1153">
        <v>2</v>
      </c>
      <c r="O1153">
        <v>0</v>
      </c>
      <c r="P1153">
        <v>1</v>
      </c>
      <c r="Q1153">
        <v>0</v>
      </c>
      <c r="S1153" t="str">
        <f t="shared" si="400"/>
        <v>19:28:39.000</v>
      </c>
      <c r="T1153" t="str">
        <f t="shared" si="400"/>
        <v>19:28:39.000</v>
      </c>
      <c r="U1153" t="str">
        <f t="shared" si="380"/>
        <v>AC3944</v>
      </c>
      <c r="V1153">
        <v>0</v>
      </c>
      <c r="W1153">
        <v>0</v>
      </c>
      <c r="X1153">
        <v>2</v>
      </c>
      <c r="Y1153">
        <v>0</v>
      </c>
      <c r="AA1153">
        <v>1</v>
      </c>
      <c r="AB1153">
        <v>8</v>
      </c>
      <c r="AC1153">
        <v>3</v>
      </c>
      <c r="AD1153">
        <v>0</v>
      </c>
      <c r="AE1153">
        <v>9</v>
      </c>
      <c r="AF1153" t="s">
        <v>138</v>
      </c>
      <c r="AG1153">
        <v>0</v>
      </c>
      <c r="AH1153">
        <v>3</v>
      </c>
      <c r="AI1153">
        <v>1</v>
      </c>
      <c r="AJ1153">
        <v>0</v>
      </c>
      <c r="AK1153" t="s">
        <v>463</v>
      </c>
      <c r="AL1153">
        <v>32.806592000000002</v>
      </c>
      <c r="AM1153" t="s">
        <v>464</v>
      </c>
      <c r="AN1153">
        <v>-116.915796</v>
      </c>
      <c r="AO1153">
        <v>25</v>
      </c>
      <c r="AP1153">
        <v>2200</v>
      </c>
      <c r="AQ1153" t="s">
        <v>129</v>
      </c>
      <c r="AR1153">
        <v>127</v>
      </c>
      <c r="AS1153">
        <v>-9</v>
      </c>
      <c r="AT1153">
        <v>704</v>
      </c>
      <c r="BB1153">
        <v>1200</v>
      </c>
      <c r="BC1153">
        <v>1</v>
      </c>
      <c r="BD1153" t="str">
        <f t="shared" si="381"/>
        <v xml:space="preserve">N887QR  </v>
      </c>
      <c r="BE1153">
        <v>1</v>
      </c>
      <c r="BJ1153">
        <v>1875</v>
      </c>
      <c r="BK1153">
        <v>-325</v>
      </c>
      <c r="BL1153" t="s">
        <v>163</v>
      </c>
      <c r="BM1153">
        <v>1</v>
      </c>
      <c r="BN1153">
        <v>1</v>
      </c>
      <c r="BO1153">
        <v>1</v>
      </c>
      <c r="BP1153">
        <v>0</v>
      </c>
      <c r="BS1153">
        <v>0.08</v>
      </c>
      <c r="BT1153">
        <v>0</v>
      </c>
      <c r="BU1153">
        <v>0</v>
      </c>
      <c r="CE1153" t="str">
        <f t="shared" si="401"/>
        <v>19:28:39.016</v>
      </c>
      <c r="CF1153">
        <v>16033730</v>
      </c>
      <c r="CS1153">
        <v>3</v>
      </c>
      <c r="CT1153">
        <v>2</v>
      </c>
      <c r="CU1153">
        <v>0</v>
      </c>
      <c r="CV1153">
        <v>2</v>
      </c>
      <c r="CW1153">
        <v>0</v>
      </c>
      <c r="CX1153">
        <v>5</v>
      </c>
      <c r="CY1153">
        <v>7</v>
      </c>
      <c r="CZ1153" t="s">
        <v>131</v>
      </c>
      <c r="DA1153">
        <v>300</v>
      </c>
      <c r="DB1153">
        <v>0</v>
      </c>
      <c r="DC1153" t="s">
        <v>176</v>
      </c>
      <c r="DD1153" t="s">
        <v>177</v>
      </c>
      <c r="DG1153">
        <v>5379859</v>
      </c>
      <c r="DI1153">
        <v>1</v>
      </c>
      <c r="DJ1153">
        <v>0</v>
      </c>
      <c r="DK1153">
        <v>1</v>
      </c>
      <c r="DL1153">
        <v>0</v>
      </c>
      <c r="DM1153">
        <v>0</v>
      </c>
      <c r="DN1153">
        <v>1</v>
      </c>
      <c r="DO1153">
        <v>0</v>
      </c>
      <c r="DP1153">
        <v>0</v>
      </c>
      <c r="DQ1153">
        <v>0</v>
      </c>
      <c r="DR1153">
        <v>0</v>
      </c>
      <c r="DS1153">
        <v>0</v>
      </c>
    </row>
    <row r="1154" spans="1:123" x14ac:dyDescent="0.3">
      <c r="A1154" t="str">
        <f>"10/04/2022 19:28:39.290"</f>
        <v>10/04/2022 19:28:39.290</v>
      </c>
      <c r="C1154" t="str">
        <f t="shared" si="396"/>
        <v>FFDDD3C0</v>
      </c>
      <c r="D1154" t="s">
        <v>123</v>
      </c>
      <c r="E1154">
        <v>7</v>
      </c>
      <c r="F1154">
        <v>2007</v>
      </c>
      <c r="G1154" t="s">
        <v>124</v>
      </c>
      <c r="J1154" t="s">
        <v>125</v>
      </c>
      <c r="K1154">
        <v>0</v>
      </c>
      <c r="L1154">
        <v>3</v>
      </c>
      <c r="M1154">
        <v>0</v>
      </c>
      <c r="N1154">
        <v>2</v>
      </c>
      <c r="O1154">
        <v>0</v>
      </c>
      <c r="P1154">
        <v>1</v>
      </c>
      <c r="Q1154">
        <v>0</v>
      </c>
      <c r="S1154" t="str">
        <f t="shared" si="400"/>
        <v>19:28:39.000</v>
      </c>
      <c r="T1154" t="str">
        <f t="shared" si="400"/>
        <v>19:28:39.000</v>
      </c>
      <c r="U1154" t="str">
        <f t="shared" ref="U1154:U1217" si="402">"AC3944"</f>
        <v>AC3944</v>
      </c>
      <c r="V1154">
        <v>0</v>
      </c>
      <c r="W1154">
        <v>0</v>
      </c>
      <c r="X1154">
        <v>2</v>
      </c>
      <c r="Y1154">
        <v>0</v>
      </c>
      <c r="AA1154">
        <v>1</v>
      </c>
      <c r="AB1154">
        <v>8</v>
      </c>
      <c r="AC1154">
        <v>3</v>
      </c>
      <c r="AD1154">
        <v>0</v>
      </c>
      <c r="AE1154">
        <v>9</v>
      </c>
      <c r="AF1154" t="s">
        <v>138</v>
      </c>
      <c r="AG1154">
        <v>0</v>
      </c>
      <c r="AH1154">
        <v>3</v>
      </c>
      <c r="AI1154">
        <v>1</v>
      </c>
      <c r="AJ1154">
        <v>0</v>
      </c>
      <c r="AK1154" t="s">
        <v>463</v>
      </c>
      <c r="AL1154">
        <v>32.806592000000002</v>
      </c>
      <c r="AM1154" t="s">
        <v>464</v>
      </c>
      <c r="AN1154">
        <v>-116.915796</v>
      </c>
      <c r="AO1154">
        <v>25</v>
      </c>
      <c r="AP1154">
        <v>2200</v>
      </c>
      <c r="AQ1154" t="s">
        <v>129</v>
      </c>
      <c r="AR1154">
        <v>127</v>
      </c>
      <c r="AS1154">
        <v>-9</v>
      </c>
      <c r="AT1154">
        <v>704</v>
      </c>
      <c r="BB1154">
        <v>1200</v>
      </c>
      <c r="BC1154">
        <v>1</v>
      </c>
      <c r="BD1154" t="str">
        <f t="shared" ref="BD1154:BD1217" si="403">"N887QR  "</f>
        <v xml:space="preserve">N887QR  </v>
      </c>
      <c r="BE1154">
        <v>1</v>
      </c>
      <c r="BJ1154">
        <v>1875</v>
      </c>
      <c r="BK1154">
        <v>-325</v>
      </c>
      <c r="BL1154" t="s">
        <v>163</v>
      </c>
      <c r="BM1154">
        <v>1</v>
      </c>
      <c r="BN1154">
        <v>1</v>
      </c>
      <c r="BO1154">
        <v>1</v>
      </c>
      <c r="BP1154">
        <v>0</v>
      </c>
      <c r="BS1154">
        <v>0.04</v>
      </c>
      <c r="BT1154">
        <v>0</v>
      </c>
      <c r="BU1154">
        <v>0</v>
      </c>
      <c r="CE1154" t="str">
        <f t="shared" si="401"/>
        <v>19:28:39.016</v>
      </c>
      <c r="CF1154">
        <v>16033730</v>
      </c>
      <c r="CS1154">
        <v>3</v>
      </c>
      <c r="CT1154">
        <v>2</v>
      </c>
      <c r="CU1154">
        <v>0</v>
      </c>
      <c r="CV1154">
        <v>2</v>
      </c>
      <c r="CW1154">
        <v>0</v>
      </c>
      <c r="CX1154">
        <v>5</v>
      </c>
      <c r="CY1154">
        <v>7</v>
      </c>
      <c r="CZ1154" t="s">
        <v>131</v>
      </c>
      <c r="DA1154">
        <v>300</v>
      </c>
      <c r="DB1154">
        <v>0</v>
      </c>
      <c r="DC1154" t="s">
        <v>176</v>
      </c>
      <c r="DD1154" t="s">
        <v>177</v>
      </c>
      <c r="DG1154">
        <v>5379859</v>
      </c>
      <c r="DI1154">
        <v>1</v>
      </c>
      <c r="DJ1154">
        <v>0</v>
      </c>
      <c r="DK1154">
        <v>1</v>
      </c>
      <c r="DL1154">
        <v>0</v>
      </c>
      <c r="DM1154">
        <v>0</v>
      </c>
      <c r="DN1154">
        <v>1</v>
      </c>
      <c r="DO1154">
        <v>0</v>
      </c>
      <c r="DP1154">
        <v>0</v>
      </c>
      <c r="DQ1154">
        <v>0</v>
      </c>
      <c r="DR1154">
        <v>0</v>
      </c>
      <c r="DS1154">
        <v>0</v>
      </c>
    </row>
    <row r="1155" spans="1:123" x14ac:dyDescent="0.3">
      <c r="A1155" t="str">
        <f>"10/04/2022 19:28:39.290"</f>
        <v>10/04/2022 19:28:39.290</v>
      </c>
      <c r="C1155" t="str">
        <f t="shared" si="396"/>
        <v>FFDDD3C0</v>
      </c>
      <c r="D1155" t="s">
        <v>147</v>
      </c>
      <c r="E1155">
        <v>3</v>
      </c>
      <c r="H1155">
        <v>166</v>
      </c>
      <c r="I1155" t="s">
        <v>144</v>
      </c>
      <c r="J1155" t="s">
        <v>148</v>
      </c>
      <c r="K1155">
        <v>0</v>
      </c>
      <c r="L1155">
        <v>3</v>
      </c>
      <c r="M1155">
        <v>0</v>
      </c>
      <c r="N1155">
        <v>2</v>
      </c>
      <c r="O1155">
        <v>0</v>
      </c>
      <c r="P1155">
        <v>1</v>
      </c>
      <c r="Q1155">
        <v>0</v>
      </c>
      <c r="S1155" t="str">
        <f t="shared" si="400"/>
        <v>19:28:39.000</v>
      </c>
      <c r="T1155" t="str">
        <f t="shared" si="400"/>
        <v>19:28:39.000</v>
      </c>
      <c r="U1155" t="str">
        <f t="shared" si="402"/>
        <v>AC3944</v>
      </c>
      <c r="V1155">
        <v>0</v>
      </c>
      <c r="W1155">
        <v>0</v>
      </c>
      <c r="X1155">
        <v>2</v>
      </c>
      <c r="Y1155">
        <v>0</v>
      </c>
      <c r="AA1155">
        <v>1</v>
      </c>
      <c r="AB1155">
        <v>8</v>
      </c>
      <c r="AC1155">
        <v>3</v>
      </c>
      <c r="AD1155">
        <v>0</v>
      </c>
      <c r="AE1155">
        <v>9</v>
      </c>
      <c r="AF1155" t="s">
        <v>138</v>
      </c>
      <c r="AG1155">
        <v>0</v>
      </c>
      <c r="AH1155">
        <v>3</v>
      </c>
      <c r="AI1155">
        <v>1</v>
      </c>
      <c r="AJ1155">
        <v>0</v>
      </c>
      <c r="AK1155" t="s">
        <v>463</v>
      </c>
      <c r="AL1155">
        <v>32.806592000000002</v>
      </c>
      <c r="AM1155" t="s">
        <v>464</v>
      </c>
      <c r="AN1155">
        <v>-116.915796</v>
      </c>
      <c r="AO1155">
        <v>25</v>
      </c>
      <c r="AP1155">
        <v>2200</v>
      </c>
      <c r="AQ1155" t="s">
        <v>129</v>
      </c>
      <c r="AR1155">
        <v>127</v>
      </c>
      <c r="AS1155">
        <v>-9</v>
      </c>
      <c r="AT1155">
        <v>704</v>
      </c>
      <c r="BB1155">
        <v>1200</v>
      </c>
      <c r="BC1155">
        <v>1</v>
      </c>
      <c r="BD1155" t="str">
        <f t="shared" si="403"/>
        <v xml:space="preserve">N887QR  </v>
      </c>
      <c r="BE1155">
        <v>1</v>
      </c>
      <c r="BJ1155">
        <v>1875</v>
      </c>
      <c r="BK1155">
        <v>-325</v>
      </c>
      <c r="BL1155" t="s">
        <v>163</v>
      </c>
      <c r="BM1155">
        <v>1</v>
      </c>
      <c r="BN1155">
        <v>1</v>
      </c>
      <c r="BO1155">
        <v>1</v>
      </c>
      <c r="BP1155">
        <v>0</v>
      </c>
      <c r="BS1155">
        <v>0.08</v>
      </c>
      <c r="BT1155">
        <v>0</v>
      </c>
      <c r="BU1155">
        <v>0</v>
      </c>
      <c r="CE1155" t="str">
        <f t="shared" si="401"/>
        <v>19:28:39.016</v>
      </c>
      <c r="CF1155">
        <v>16033730</v>
      </c>
      <c r="CS1155">
        <v>3</v>
      </c>
      <c r="CT1155">
        <v>2</v>
      </c>
      <c r="CU1155">
        <v>0</v>
      </c>
      <c r="CV1155">
        <v>2</v>
      </c>
      <c r="CW1155">
        <v>0</v>
      </c>
      <c r="CX1155">
        <v>5</v>
      </c>
      <c r="CY1155">
        <v>7</v>
      </c>
      <c r="CZ1155" t="s">
        <v>131</v>
      </c>
      <c r="DA1155">
        <v>300</v>
      </c>
      <c r="DB1155">
        <v>0</v>
      </c>
      <c r="DC1155" t="s">
        <v>176</v>
      </c>
      <c r="DD1155" t="s">
        <v>177</v>
      </c>
      <c r="DG1155">
        <v>5379859</v>
      </c>
      <c r="DI1155">
        <v>1</v>
      </c>
      <c r="DJ1155">
        <v>0</v>
      </c>
      <c r="DK1155">
        <v>1</v>
      </c>
      <c r="DL1155">
        <v>0</v>
      </c>
      <c r="DM1155">
        <v>0</v>
      </c>
      <c r="DN1155">
        <v>1</v>
      </c>
      <c r="DO1155">
        <v>0</v>
      </c>
      <c r="DP1155">
        <v>0</v>
      </c>
      <c r="DQ1155">
        <v>0</v>
      </c>
      <c r="DR1155">
        <v>0</v>
      </c>
      <c r="DS1155">
        <v>0</v>
      </c>
    </row>
    <row r="1156" spans="1:123" x14ac:dyDescent="0.3">
      <c r="A1156" t="str">
        <f>"10/04/2022 19:28:39.290"</f>
        <v>10/04/2022 19:28:39.290</v>
      </c>
      <c r="C1156" t="str">
        <f t="shared" si="396"/>
        <v>FFDDD3C0</v>
      </c>
      <c r="D1156" t="s">
        <v>136</v>
      </c>
      <c r="E1156">
        <v>8</v>
      </c>
      <c r="H1156">
        <v>225</v>
      </c>
      <c r="I1156" t="s">
        <v>137</v>
      </c>
      <c r="J1156" t="s">
        <v>138</v>
      </c>
      <c r="K1156">
        <v>0</v>
      </c>
      <c r="L1156">
        <v>3</v>
      </c>
      <c r="M1156">
        <v>0</v>
      </c>
      <c r="N1156">
        <v>2</v>
      </c>
      <c r="O1156">
        <v>0</v>
      </c>
      <c r="P1156">
        <v>1</v>
      </c>
      <c r="Q1156">
        <v>0</v>
      </c>
      <c r="S1156" t="str">
        <f t="shared" si="400"/>
        <v>19:28:39.000</v>
      </c>
      <c r="T1156" t="str">
        <f t="shared" si="400"/>
        <v>19:28:39.000</v>
      </c>
      <c r="U1156" t="str">
        <f t="shared" si="402"/>
        <v>AC3944</v>
      </c>
      <c r="V1156">
        <v>0</v>
      </c>
      <c r="W1156">
        <v>0</v>
      </c>
      <c r="X1156">
        <v>2</v>
      </c>
      <c r="Y1156">
        <v>0</v>
      </c>
      <c r="AA1156">
        <v>1</v>
      </c>
      <c r="AB1156">
        <v>8</v>
      </c>
      <c r="AC1156">
        <v>3</v>
      </c>
      <c r="AD1156">
        <v>0</v>
      </c>
      <c r="AE1156">
        <v>9</v>
      </c>
      <c r="AF1156" t="s">
        <v>138</v>
      </c>
      <c r="AG1156">
        <v>0</v>
      </c>
      <c r="AH1156">
        <v>3</v>
      </c>
      <c r="AI1156">
        <v>1</v>
      </c>
      <c r="AJ1156">
        <v>0</v>
      </c>
      <c r="AK1156" t="s">
        <v>463</v>
      </c>
      <c r="AL1156">
        <v>32.806592000000002</v>
      </c>
      <c r="AM1156" t="s">
        <v>464</v>
      </c>
      <c r="AN1156">
        <v>-116.915796</v>
      </c>
      <c r="AO1156">
        <v>25</v>
      </c>
      <c r="AP1156">
        <v>2200</v>
      </c>
      <c r="AQ1156" t="s">
        <v>129</v>
      </c>
      <c r="AR1156">
        <v>127</v>
      </c>
      <c r="AS1156">
        <v>-9</v>
      </c>
      <c r="AT1156">
        <v>704</v>
      </c>
      <c r="BB1156">
        <v>1200</v>
      </c>
      <c r="BC1156">
        <v>1</v>
      </c>
      <c r="BD1156" t="str">
        <f t="shared" si="403"/>
        <v xml:space="preserve">N887QR  </v>
      </c>
      <c r="BE1156">
        <v>1</v>
      </c>
      <c r="BJ1156">
        <v>1875</v>
      </c>
      <c r="BK1156">
        <v>-325</v>
      </c>
      <c r="BL1156" t="s">
        <v>163</v>
      </c>
      <c r="BM1156">
        <v>1</v>
      </c>
      <c r="BN1156">
        <v>1</v>
      </c>
      <c r="BO1156">
        <v>1</v>
      </c>
      <c r="BP1156">
        <v>0</v>
      </c>
      <c r="BS1156">
        <v>0.08</v>
      </c>
      <c r="BT1156">
        <v>0</v>
      </c>
      <c r="BU1156">
        <v>0</v>
      </c>
      <c r="CE1156" t="str">
        <f t="shared" si="401"/>
        <v>19:28:39.016</v>
      </c>
      <c r="CF1156">
        <v>16033730</v>
      </c>
      <c r="CS1156">
        <v>3</v>
      </c>
      <c r="CT1156">
        <v>2</v>
      </c>
      <c r="CU1156">
        <v>0</v>
      </c>
      <c r="CV1156">
        <v>2</v>
      </c>
      <c r="CW1156">
        <v>0</v>
      </c>
      <c r="CX1156">
        <v>5</v>
      </c>
      <c r="CY1156">
        <v>7</v>
      </c>
      <c r="CZ1156" t="s">
        <v>131</v>
      </c>
      <c r="DA1156">
        <v>300</v>
      </c>
      <c r="DB1156">
        <v>0</v>
      </c>
      <c r="DC1156" t="s">
        <v>176</v>
      </c>
      <c r="DD1156" t="s">
        <v>177</v>
      </c>
      <c r="DG1156">
        <v>5379859</v>
      </c>
      <c r="DI1156">
        <v>1</v>
      </c>
      <c r="DJ1156">
        <v>0</v>
      </c>
      <c r="DK1156">
        <v>1</v>
      </c>
      <c r="DL1156">
        <v>0</v>
      </c>
      <c r="DM1156">
        <v>0</v>
      </c>
      <c r="DN1156">
        <v>1</v>
      </c>
      <c r="DO1156">
        <v>0</v>
      </c>
      <c r="DP1156">
        <v>0</v>
      </c>
      <c r="DQ1156">
        <v>0</v>
      </c>
      <c r="DR1156">
        <v>0</v>
      </c>
      <c r="DS1156">
        <v>0</v>
      </c>
    </row>
    <row r="1157" spans="1:123" x14ac:dyDescent="0.3">
      <c r="A1157" t="str">
        <f>"10/04/2022 19:28:39.290"</f>
        <v>10/04/2022 19:28:39.290</v>
      </c>
      <c r="C1157" t="str">
        <f t="shared" si="396"/>
        <v>FFDDD3C0</v>
      </c>
      <c r="D1157" t="s">
        <v>141</v>
      </c>
      <c r="E1157">
        <v>4</v>
      </c>
      <c r="H1157">
        <v>4</v>
      </c>
      <c r="I1157" t="s">
        <v>142</v>
      </c>
      <c r="J1157" t="s">
        <v>138</v>
      </c>
      <c r="K1157">
        <v>0</v>
      </c>
      <c r="L1157">
        <v>3</v>
      </c>
      <c r="M1157">
        <v>0</v>
      </c>
      <c r="N1157">
        <v>2</v>
      </c>
      <c r="O1157">
        <v>0</v>
      </c>
      <c r="P1157">
        <v>1</v>
      </c>
      <c r="Q1157">
        <v>0</v>
      </c>
      <c r="S1157" t="str">
        <f t="shared" si="400"/>
        <v>19:28:39.000</v>
      </c>
      <c r="T1157" t="str">
        <f t="shared" si="400"/>
        <v>19:28:39.000</v>
      </c>
      <c r="U1157" t="str">
        <f t="shared" si="402"/>
        <v>AC3944</v>
      </c>
      <c r="V1157">
        <v>0</v>
      </c>
      <c r="W1157">
        <v>0</v>
      </c>
      <c r="X1157">
        <v>2</v>
      </c>
      <c r="Y1157">
        <v>0</v>
      </c>
      <c r="AA1157">
        <v>1</v>
      </c>
      <c r="AB1157">
        <v>8</v>
      </c>
      <c r="AC1157">
        <v>3</v>
      </c>
      <c r="AD1157">
        <v>0</v>
      </c>
      <c r="AE1157">
        <v>9</v>
      </c>
      <c r="AF1157" t="s">
        <v>138</v>
      </c>
      <c r="AG1157">
        <v>0</v>
      </c>
      <c r="AH1157">
        <v>3</v>
      </c>
      <c r="AI1157">
        <v>1</v>
      </c>
      <c r="AJ1157">
        <v>0</v>
      </c>
      <c r="AK1157" t="s">
        <v>463</v>
      </c>
      <c r="AL1157">
        <v>32.806592000000002</v>
      </c>
      <c r="AM1157" t="s">
        <v>464</v>
      </c>
      <c r="AN1157">
        <v>-116.915796</v>
      </c>
      <c r="AO1157">
        <v>25</v>
      </c>
      <c r="AP1157">
        <v>2200</v>
      </c>
      <c r="AQ1157" t="s">
        <v>129</v>
      </c>
      <c r="AR1157">
        <v>127</v>
      </c>
      <c r="AS1157">
        <v>-9</v>
      </c>
      <c r="AT1157">
        <v>704</v>
      </c>
      <c r="BB1157">
        <v>1200</v>
      </c>
      <c r="BC1157">
        <v>1</v>
      </c>
      <c r="BD1157" t="str">
        <f t="shared" si="403"/>
        <v xml:space="preserve">N887QR  </v>
      </c>
      <c r="BE1157">
        <v>1</v>
      </c>
      <c r="BJ1157">
        <v>1875</v>
      </c>
      <c r="BK1157">
        <v>-325</v>
      </c>
      <c r="BL1157" t="s">
        <v>163</v>
      </c>
      <c r="BM1157">
        <v>1</v>
      </c>
      <c r="BN1157">
        <v>1</v>
      </c>
      <c r="BO1157">
        <v>1</v>
      </c>
      <c r="BP1157">
        <v>0</v>
      </c>
      <c r="BS1157">
        <v>0.08</v>
      </c>
      <c r="BT1157">
        <v>0</v>
      </c>
      <c r="BU1157">
        <v>0</v>
      </c>
      <c r="CE1157" t="str">
        <f t="shared" si="401"/>
        <v>19:28:39.016</v>
      </c>
      <c r="CF1157">
        <v>16033730</v>
      </c>
      <c r="CS1157">
        <v>3</v>
      </c>
      <c r="CT1157">
        <v>2</v>
      </c>
      <c r="CU1157">
        <v>0</v>
      </c>
      <c r="CV1157">
        <v>2</v>
      </c>
      <c r="CW1157">
        <v>0</v>
      </c>
      <c r="CX1157">
        <v>5</v>
      </c>
      <c r="CY1157">
        <v>7</v>
      </c>
      <c r="CZ1157" t="s">
        <v>131</v>
      </c>
      <c r="DA1157">
        <v>300</v>
      </c>
      <c r="DB1157">
        <v>0</v>
      </c>
      <c r="DC1157" t="s">
        <v>176</v>
      </c>
      <c r="DD1157" t="s">
        <v>177</v>
      </c>
      <c r="DG1157">
        <v>5379859</v>
      </c>
      <c r="DI1157">
        <v>1</v>
      </c>
      <c r="DJ1157">
        <v>0</v>
      </c>
      <c r="DK1157">
        <v>1</v>
      </c>
      <c r="DL1157">
        <v>0</v>
      </c>
      <c r="DM1157">
        <v>0</v>
      </c>
      <c r="DN1157">
        <v>1</v>
      </c>
      <c r="DO1157">
        <v>0</v>
      </c>
      <c r="DP1157">
        <v>0</v>
      </c>
      <c r="DQ1157">
        <v>0</v>
      </c>
      <c r="DR1157">
        <v>0</v>
      </c>
      <c r="DS1157">
        <v>0</v>
      </c>
    </row>
    <row r="1158" spans="1:123" x14ac:dyDescent="0.3">
      <c r="A1158" t="str">
        <f>"10/04/2022 19:28:40.046"</f>
        <v>10/04/2022 19:28:40.046</v>
      </c>
      <c r="C1158" t="str">
        <f t="shared" si="396"/>
        <v>FFDDD3C0</v>
      </c>
      <c r="D1158" t="s">
        <v>134</v>
      </c>
      <c r="E1158">
        <v>15</v>
      </c>
      <c r="J1158" t="s">
        <v>135</v>
      </c>
      <c r="K1158">
        <v>0</v>
      </c>
      <c r="L1158">
        <v>3</v>
      </c>
      <c r="M1158">
        <v>0</v>
      </c>
      <c r="N1158">
        <v>2</v>
      </c>
      <c r="O1158">
        <v>0</v>
      </c>
      <c r="P1158">
        <v>1</v>
      </c>
      <c r="Q1158">
        <v>0</v>
      </c>
      <c r="S1158" t="str">
        <f t="shared" si="400"/>
        <v>19:28:39.000</v>
      </c>
      <c r="T1158" t="str">
        <f t="shared" si="400"/>
        <v>19:28:39.000</v>
      </c>
      <c r="U1158" t="str">
        <f t="shared" si="402"/>
        <v>AC3944</v>
      </c>
      <c r="V1158">
        <v>0</v>
      </c>
      <c r="W1158">
        <v>0</v>
      </c>
      <c r="X1158">
        <v>2</v>
      </c>
      <c r="Y1158">
        <v>0</v>
      </c>
      <c r="AA1158">
        <v>1</v>
      </c>
      <c r="AB1158">
        <v>8</v>
      </c>
      <c r="AC1158">
        <v>3</v>
      </c>
      <c r="AD1158">
        <v>0</v>
      </c>
      <c r="AE1158">
        <v>9</v>
      </c>
      <c r="AF1158" t="s">
        <v>138</v>
      </c>
      <c r="AG1158">
        <v>0</v>
      </c>
      <c r="AH1158">
        <v>3</v>
      </c>
      <c r="AI1158">
        <v>1</v>
      </c>
      <c r="AJ1158">
        <v>0</v>
      </c>
      <c r="AK1158" t="s">
        <v>465</v>
      </c>
      <c r="AL1158">
        <v>32.806528</v>
      </c>
      <c r="AM1158" t="s">
        <v>466</v>
      </c>
      <c r="AN1158">
        <v>-116.914959</v>
      </c>
      <c r="AO1158">
        <v>25</v>
      </c>
      <c r="AP1158">
        <v>2200</v>
      </c>
      <c r="AQ1158" t="s">
        <v>129</v>
      </c>
      <c r="AR1158">
        <v>127</v>
      </c>
      <c r="AS1158">
        <v>-9</v>
      </c>
      <c r="AT1158">
        <v>704</v>
      </c>
      <c r="BB1158">
        <v>1200</v>
      </c>
      <c r="BC1158">
        <v>1</v>
      </c>
      <c r="BD1158" t="str">
        <f t="shared" si="403"/>
        <v xml:space="preserve">N887QR  </v>
      </c>
      <c r="BE1158">
        <v>1</v>
      </c>
      <c r="BJ1158">
        <v>1875</v>
      </c>
      <c r="BK1158">
        <v>-325</v>
      </c>
      <c r="BL1158" t="s">
        <v>163</v>
      </c>
      <c r="BM1158">
        <v>1</v>
      </c>
      <c r="BN1158">
        <v>1</v>
      </c>
      <c r="BO1158">
        <v>1</v>
      </c>
      <c r="BP1158">
        <v>0</v>
      </c>
      <c r="BS1158">
        <v>0.04</v>
      </c>
      <c r="BT1158">
        <v>0</v>
      </c>
      <c r="BU1158">
        <v>0</v>
      </c>
      <c r="CE1158" t="str">
        <f>"19:28:39.803"</f>
        <v>19:28:39.803</v>
      </c>
      <c r="CF1158">
        <v>802676110</v>
      </c>
      <c r="CS1158">
        <v>3</v>
      </c>
      <c r="CT1158">
        <v>2</v>
      </c>
      <c r="CU1158">
        <v>0</v>
      </c>
      <c r="CV1158">
        <v>2</v>
      </c>
      <c r="CW1158">
        <v>0</v>
      </c>
      <c r="CX1158">
        <v>4</v>
      </c>
      <c r="CY1158">
        <v>7</v>
      </c>
      <c r="CZ1158" t="s">
        <v>131</v>
      </c>
      <c r="DA1158">
        <v>292</v>
      </c>
      <c r="DB1158">
        <v>0</v>
      </c>
      <c r="DC1158" t="s">
        <v>254</v>
      </c>
      <c r="DD1158" t="s">
        <v>255</v>
      </c>
      <c r="DG1158">
        <v>3378126</v>
      </c>
      <c r="DI1158">
        <v>1</v>
      </c>
      <c r="DJ1158">
        <v>0</v>
      </c>
      <c r="DK1158">
        <v>0</v>
      </c>
      <c r="DL1158">
        <v>0</v>
      </c>
      <c r="DM1158">
        <v>0</v>
      </c>
      <c r="DN1158">
        <v>1</v>
      </c>
      <c r="DO1158">
        <v>0</v>
      </c>
      <c r="DP1158">
        <v>0</v>
      </c>
      <c r="DQ1158">
        <v>0</v>
      </c>
      <c r="DR1158">
        <v>0</v>
      </c>
      <c r="DS1158">
        <v>0</v>
      </c>
    </row>
    <row r="1159" spans="1:123" x14ac:dyDescent="0.3">
      <c r="A1159" t="str">
        <f>"10/04/2022 19:28:40.046"</f>
        <v>10/04/2022 19:28:40.046</v>
      </c>
      <c r="C1159" t="str">
        <f t="shared" si="396"/>
        <v>FFDDD3C0</v>
      </c>
      <c r="D1159" t="s">
        <v>143</v>
      </c>
      <c r="E1159">
        <v>20</v>
      </c>
      <c r="F1159">
        <v>1020</v>
      </c>
      <c r="G1159" t="s">
        <v>144</v>
      </c>
      <c r="J1159" t="s">
        <v>145</v>
      </c>
      <c r="K1159">
        <v>0</v>
      </c>
      <c r="L1159">
        <v>3</v>
      </c>
      <c r="M1159">
        <v>0</v>
      </c>
      <c r="N1159">
        <v>2</v>
      </c>
      <c r="O1159">
        <v>0</v>
      </c>
      <c r="P1159">
        <v>1</v>
      </c>
      <c r="Q1159">
        <v>0</v>
      </c>
      <c r="S1159" t="str">
        <f t="shared" si="400"/>
        <v>19:28:39.000</v>
      </c>
      <c r="T1159" t="str">
        <f t="shared" si="400"/>
        <v>19:28:39.000</v>
      </c>
      <c r="U1159" t="str">
        <f t="shared" si="402"/>
        <v>AC3944</v>
      </c>
      <c r="V1159">
        <v>0</v>
      </c>
      <c r="W1159">
        <v>0</v>
      </c>
      <c r="X1159">
        <v>2</v>
      </c>
      <c r="Y1159">
        <v>0</v>
      </c>
      <c r="AA1159">
        <v>1</v>
      </c>
      <c r="AB1159">
        <v>8</v>
      </c>
      <c r="AC1159">
        <v>3</v>
      </c>
      <c r="AD1159">
        <v>0</v>
      </c>
      <c r="AE1159">
        <v>9</v>
      </c>
      <c r="AF1159" t="s">
        <v>138</v>
      </c>
      <c r="AG1159">
        <v>0</v>
      </c>
      <c r="AH1159">
        <v>3</v>
      </c>
      <c r="AI1159">
        <v>1</v>
      </c>
      <c r="AJ1159">
        <v>0</v>
      </c>
      <c r="AK1159" t="s">
        <v>465</v>
      </c>
      <c r="AL1159">
        <v>32.806528</v>
      </c>
      <c r="AM1159" t="s">
        <v>466</v>
      </c>
      <c r="AN1159">
        <v>-116.914959</v>
      </c>
      <c r="AO1159">
        <v>25</v>
      </c>
      <c r="AP1159">
        <v>2200</v>
      </c>
      <c r="AQ1159" t="s">
        <v>129</v>
      </c>
      <c r="AR1159">
        <v>127</v>
      </c>
      <c r="AS1159">
        <v>-9</v>
      </c>
      <c r="AT1159">
        <v>704</v>
      </c>
      <c r="BB1159">
        <v>1200</v>
      </c>
      <c r="BC1159">
        <v>1</v>
      </c>
      <c r="BD1159" t="str">
        <f t="shared" si="403"/>
        <v xml:space="preserve">N887QR  </v>
      </c>
      <c r="BE1159">
        <v>1</v>
      </c>
      <c r="BJ1159">
        <v>1875</v>
      </c>
      <c r="BK1159">
        <v>-325</v>
      </c>
      <c r="BL1159" t="s">
        <v>163</v>
      </c>
      <c r="BM1159">
        <v>1</v>
      </c>
      <c r="BN1159">
        <v>1</v>
      </c>
      <c r="BO1159">
        <v>1</v>
      </c>
      <c r="BP1159">
        <v>0</v>
      </c>
      <c r="BS1159">
        <v>0.04</v>
      </c>
      <c r="BT1159">
        <v>0</v>
      </c>
      <c r="BU1159">
        <v>0</v>
      </c>
      <c r="CE1159" t="str">
        <f>"19:28:39.803"</f>
        <v>19:28:39.803</v>
      </c>
      <c r="CF1159">
        <v>802676110</v>
      </c>
      <c r="CS1159">
        <v>3</v>
      </c>
      <c r="CT1159">
        <v>2</v>
      </c>
      <c r="CU1159">
        <v>0</v>
      </c>
      <c r="CV1159">
        <v>2</v>
      </c>
      <c r="CW1159">
        <v>0</v>
      </c>
      <c r="CX1159">
        <v>4</v>
      </c>
      <c r="CY1159">
        <v>7</v>
      </c>
      <c r="CZ1159" t="s">
        <v>131</v>
      </c>
      <c r="DA1159">
        <v>292</v>
      </c>
      <c r="DB1159">
        <v>0</v>
      </c>
      <c r="DC1159" t="s">
        <v>254</v>
      </c>
      <c r="DD1159" t="s">
        <v>255</v>
      </c>
      <c r="DG1159">
        <v>3378126</v>
      </c>
      <c r="DI1159">
        <v>1</v>
      </c>
      <c r="DJ1159">
        <v>0</v>
      </c>
      <c r="DK1159">
        <v>1</v>
      </c>
      <c r="DL1159">
        <v>0</v>
      </c>
      <c r="DM1159">
        <v>0</v>
      </c>
      <c r="DN1159">
        <v>1</v>
      </c>
      <c r="DO1159">
        <v>0</v>
      </c>
      <c r="DP1159">
        <v>0</v>
      </c>
      <c r="DQ1159">
        <v>0</v>
      </c>
      <c r="DR1159">
        <v>0</v>
      </c>
      <c r="DS1159">
        <v>0</v>
      </c>
    </row>
    <row r="1160" spans="1:123" x14ac:dyDescent="0.3">
      <c r="A1160" t="str">
        <f>"10/04/2022 19:28:40.046"</f>
        <v>10/04/2022 19:28:40.046</v>
      </c>
      <c r="C1160" t="str">
        <f t="shared" si="396"/>
        <v>FFDDD3C0</v>
      </c>
      <c r="D1160" t="s">
        <v>123</v>
      </c>
      <c r="E1160">
        <v>7</v>
      </c>
      <c r="F1160">
        <v>2007</v>
      </c>
      <c r="G1160" t="s">
        <v>124</v>
      </c>
      <c r="J1160" t="s">
        <v>125</v>
      </c>
      <c r="K1160">
        <v>0</v>
      </c>
      <c r="L1160">
        <v>3</v>
      </c>
      <c r="M1160">
        <v>0</v>
      </c>
      <c r="N1160">
        <v>2</v>
      </c>
      <c r="O1160">
        <v>0</v>
      </c>
      <c r="P1160">
        <v>1</v>
      </c>
      <c r="Q1160">
        <v>0</v>
      </c>
      <c r="S1160" t="str">
        <f t="shared" si="400"/>
        <v>19:28:39.000</v>
      </c>
      <c r="T1160" t="str">
        <f t="shared" si="400"/>
        <v>19:28:39.000</v>
      </c>
      <c r="U1160" t="str">
        <f t="shared" si="402"/>
        <v>AC3944</v>
      </c>
      <c r="V1160">
        <v>0</v>
      </c>
      <c r="W1160">
        <v>0</v>
      </c>
      <c r="X1160">
        <v>2</v>
      </c>
      <c r="Y1160">
        <v>0</v>
      </c>
      <c r="AA1160">
        <v>1</v>
      </c>
      <c r="AB1160">
        <v>8</v>
      </c>
      <c r="AC1160">
        <v>3</v>
      </c>
      <c r="AD1160">
        <v>0</v>
      </c>
      <c r="AE1160">
        <v>9</v>
      </c>
      <c r="AF1160" t="s">
        <v>138</v>
      </c>
      <c r="AG1160">
        <v>0</v>
      </c>
      <c r="AH1160">
        <v>3</v>
      </c>
      <c r="AI1160">
        <v>1</v>
      </c>
      <c r="AJ1160">
        <v>0</v>
      </c>
      <c r="AK1160" t="s">
        <v>465</v>
      </c>
      <c r="AL1160">
        <v>32.806528</v>
      </c>
      <c r="AM1160" t="s">
        <v>466</v>
      </c>
      <c r="AN1160">
        <v>-116.914959</v>
      </c>
      <c r="AO1160">
        <v>25</v>
      </c>
      <c r="AP1160">
        <v>2200</v>
      </c>
      <c r="AQ1160" t="s">
        <v>129</v>
      </c>
      <c r="AR1160">
        <v>127</v>
      </c>
      <c r="AS1160">
        <v>-9</v>
      </c>
      <c r="AT1160">
        <v>704</v>
      </c>
      <c r="BB1160">
        <v>1200</v>
      </c>
      <c r="BC1160">
        <v>1</v>
      </c>
      <c r="BD1160" t="str">
        <f t="shared" si="403"/>
        <v xml:space="preserve">N887QR  </v>
      </c>
      <c r="BE1160">
        <v>1</v>
      </c>
      <c r="BJ1160">
        <v>1875</v>
      </c>
      <c r="BK1160">
        <v>-325</v>
      </c>
      <c r="BL1160" t="s">
        <v>163</v>
      </c>
      <c r="BM1160">
        <v>1</v>
      </c>
      <c r="BN1160">
        <v>1</v>
      </c>
      <c r="BO1160">
        <v>1</v>
      </c>
      <c r="BP1160">
        <v>0</v>
      </c>
      <c r="BS1160">
        <v>0.04</v>
      </c>
      <c r="BT1160">
        <v>0</v>
      </c>
      <c r="BU1160">
        <v>0</v>
      </c>
      <c r="CE1160" t="str">
        <f>"19:28:39.803"</f>
        <v>19:28:39.803</v>
      </c>
      <c r="CF1160">
        <v>802676110</v>
      </c>
      <c r="CS1160">
        <v>3</v>
      </c>
      <c r="CT1160">
        <v>2</v>
      </c>
      <c r="CU1160">
        <v>0</v>
      </c>
      <c r="CV1160">
        <v>2</v>
      </c>
      <c r="CW1160">
        <v>0</v>
      </c>
      <c r="CX1160">
        <v>4</v>
      </c>
      <c r="CY1160">
        <v>7</v>
      </c>
      <c r="CZ1160" t="s">
        <v>131</v>
      </c>
      <c r="DA1160">
        <v>292</v>
      </c>
      <c r="DB1160">
        <v>0</v>
      </c>
      <c r="DC1160" t="s">
        <v>254</v>
      </c>
      <c r="DD1160" t="s">
        <v>255</v>
      </c>
      <c r="DG1160">
        <v>3378126</v>
      </c>
      <c r="DI1160">
        <v>1</v>
      </c>
      <c r="DJ1160">
        <v>0</v>
      </c>
      <c r="DK1160">
        <v>1</v>
      </c>
      <c r="DL1160">
        <v>0</v>
      </c>
      <c r="DM1160">
        <v>0</v>
      </c>
      <c r="DN1160">
        <v>1</v>
      </c>
      <c r="DO1160">
        <v>0</v>
      </c>
      <c r="DP1160">
        <v>0</v>
      </c>
      <c r="DQ1160">
        <v>0</v>
      </c>
      <c r="DR1160">
        <v>0</v>
      </c>
      <c r="DS1160">
        <v>0</v>
      </c>
    </row>
    <row r="1161" spans="1:123" x14ac:dyDescent="0.3">
      <c r="A1161" t="str">
        <f>"10/04/2022 19:28:40.046"</f>
        <v>10/04/2022 19:28:40.046</v>
      </c>
      <c r="C1161" t="str">
        <f t="shared" si="396"/>
        <v>FFDDD3C0</v>
      </c>
      <c r="D1161" t="s">
        <v>147</v>
      </c>
      <c r="E1161">
        <v>3</v>
      </c>
      <c r="H1161">
        <v>166</v>
      </c>
      <c r="I1161" t="s">
        <v>144</v>
      </c>
      <c r="J1161" t="s">
        <v>148</v>
      </c>
      <c r="K1161">
        <v>0</v>
      </c>
      <c r="L1161">
        <v>3</v>
      </c>
      <c r="M1161">
        <v>0</v>
      </c>
      <c r="N1161">
        <v>2</v>
      </c>
      <c r="O1161">
        <v>0</v>
      </c>
      <c r="P1161">
        <v>1</v>
      </c>
      <c r="Q1161">
        <v>0</v>
      </c>
      <c r="S1161" t="str">
        <f t="shared" si="400"/>
        <v>19:28:39.000</v>
      </c>
      <c r="T1161" t="str">
        <f t="shared" si="400"/>
        <v>19:28:39.000</v>
      </c>
      <c r="U1161" t="str">
        <f t="shared" si="402"/>
        <v>AC3944</v>
      </c>
      <c r="V1161">
        <v>0</v>
      </c>
      <c r="W1161">
        <v>0</v>
      </c>
      <c r="X1161">
        <v>2</v>
      </c>
      <c r="Y1161">
        <v>0</v>
      </c>
      <c r="AA1161">
        <v>1</v>
      </c>
      <c r="AB1161">
        <v>8</v>
      </c>
      <c r="AC1161">
        <v>3</v>
      </c>
      <c r="AD1161">
        <v>0</v>
      </c>
      <c r="AE1161">
        <v>9</v>
      </c>
      <c r="AF1161" t="s">
        <v>138</v>
      </c>
      <c r="AG1161">
        <v>0</v>
      </c>
      <c r="AH1161">
        <v>3</v>
      </c>
      <c r="AI1161">
        <v>1</v>
      </c>
      <c r="AJ1161">
        <v>0</v>
      </c>
      <c r="AK1161" t="s">
        <v>465</v>
      </c>
      <c r="AL1161">
        <v>32.806528</v>
      </c>
      <c r="AM1161" t="s">
        <v>466</v>
      </c>
      <c r="AN1161">
        <v>-116.914959</v>
      </c>
      <c r="AO1161">
        <v>25</v>
      </c>
      <c r="AP1161">
        <v>2200</v>
      </c>
      <c r="AQ1161" t="s">
        <v>129</v>
      </c>
      <c r="AR1161">
        <v>127</v>
      </c>
      <c r="AS1161">
        <v>-9</v>
      </c>
      <c r="AT1161">
        <v>704</v>
      </c>
      <c r="BB1161">
        <v>1200</v>
      </c>
      <c r="BC1161">
        <v>1</v>
      </c>
      <c r="BD1161" t="str">
        <f t="shared" si="403"/>
        <v xml:space="preserve">N887QR  </v>
      </c>
      <c r="BE1161">
        <v>1</v>
      </c>
      <c r="BJ1161">
        <v>1875</v>
      </c>
      <c r="BK1161">
        <v>-325</v>
      </c>
      <c r="BL1161" t="s">
        <v>163</v>
      </c>
      <c r="BM1161">
        <v>1</v>
      </c>
      <c r="BN1161">
        <v>1</v>
      </c>
      <c r="BO1161">
        <v>1</v>
      </c>
      <c r="BP1161">
        <v>0</v>
      </c>
      <c r="BS1161">
        <v>0.08</v>
      </c>
      <c r="BT1161">
        <v>0</v>
      </c>
      <c r="BU1161">
        <v>0</v>
      </c>
      <c r="CE1161" t="str">
        <f>"19:28:39.803"</f>
        <v>19:28:39.803</v>
      </c>
      <c r="CF1161">
        <v>802676110</v>
      </c>
      <c r="CS1161">
        <v>3</v>
      </c>
      <c r="CT1161">
        <v>2</v>
      </c>
      <c r="CU1161">
        <v>0</v>
      </c>
      <c r="CV1161">
        <v>2</v>
      </c>
      <c r="CW1161">
        <v>0</v>
      </c>
      <c r="CX1161">
        <v>4</v>
      </c>
      <c r="CY1161">
        <v>7</v>
      </c>
      <c r="CZ1161" t="s">
        <v>131</v>
      </c>
      <c r="DA1161">
        <v>292</v>
      </c>
      <c r="DB1161">
        <v>0</v>
      </c>
      <c r="DC1161" t="s">
        <v>254</v>
      </c>
      <c r="DD1161" t="s">
        <v>255</v>
      </c>
      <c r="DG1161">
        <v>3378126</v>
      </c>
      <c r="DI1161">
        <v>1</v>
      </c>
      <c r="DJ1161">
        <v>0</v>
      </c>
      <c r="DK1161">
        <v>1</v>
      </c>
      <c r="DL1161">
        <v>0</v>
      </c>
      <c r="DM1161">
        <v>0</v>
      </c>
      <c r="DN1161">
        <v>1</v>
      </c>
      <c r="DO1161">
        <v>0</v>
      </c>
      <c r="DP1161">
        <v>0</v>
      </c>
      <c r="DQ1161">
        <v>0</v>
      </c>
      <c r="DR1161">
        <v>0</v>
      </c>
      <c r="DS1161">
        <v>0</v>
      </c>
    </row>
    <row r="1162" spans="1:123" x14ac:dyDescent="0.3">
      <c r="A1162" t="str">
        <f>"10/04/2022 19:28:41.092"</f>
        <v>10/04/2022 19:28:41.092</v>
      </c>
      <c r="C1162" t="str">
        <f t="shared" si="396"/>
        <v>FFDDD3C0</v>
      </c>
      <c r="D1162" t="s">
        <v>134</v>
      </c>
      <c r="E1162">
        <v>15</v>
      </c>
      <c r="J1162" t="s">
        <v>135</v>
      </c>
      <c r="K1162">
        <v>0</v>
      </c>
      <c r="L1162">
        <v>3</v>
      </c>
      <c r="M1162">
        <v>0</v>
      </c>
      <c r="N1162">
        <v>2</v>
      </c>
      <c r="O1162">
        <v>0</v>
      </c>
      <c r="P1162">
        <v>1</v>
      </c>
      <c r="Q1162">
        <v>0</v>
      </c>
      <c r="S1162" t="str">
        <f t="shared" ref="S1162:T1168" si="404">"19:28:40.000"</f>
        <v>19:28:40.000</v>
      </c>
      <c r="T1162" t="str">
        <f t="shared" si="404"/>
        <v>19:28:40.000</v>
      </c>
      <c r="U1162" t="str">
        <f t="shared" si="402"/>
        <v>AC3944</v>
      </c>
      <c r="V1162">
        <v>0</v>
      </c>
      <c r="W1162">
        <v>0</v>
      </c>
      <c r="X1162">
        <v>2</v>
      </c>
      <c r="Y1162">
        <v>0</v>
      </c>
      <c r="AA1162">
        <v>1</v>
      </c>
      <c r="AB1162">
        <v>8</v>
      </c>
      <c r="AC1162">
        <v>3</v>
      </c>
      <c r="AD1162">
        <v>0</v>
      </c>
      <c r="AE1162">
        <v>9</v>
      </c>
      <c r="AF1162" t="s">
        <v>138</v>
      </c>
      <c r="AG1162">
        <v>0</v>
      </c>
      <c r="AH1162">
        <v>3</v>
      </c>
      <c r="AI1162">
        <v>1</v>
      </c>
      <c r="AJ1162">
        <v>0</v>
      </c>
      <c r="AK1162" t="s">
        <v>467</v>
      </c>
      <c r="AL1162">
        <v>32.806485000000002</v>
      </c>
      <c r="AM1162" t="s">
        <v>468</v>
      </c>
      <c r="AN1162">
        <v>-116.914272</v>
      </c>
      <c r="AO1162">
        <v>25</v>
      </c>
      <c r="AP1162">
        <v>2200</v>
      </c>
      <c r="AQ1162" t="s">
        <v>129</v>
      </c>
      <c r="AR1162">
        <v>127</v>
      </c>
      <c r="AS1162">
        <v>-9</v>
      </c>
      <c r="AT1162">
        <v>576</v>
      </c>
      <c r="BB1162">
        <v>1200</v>
      </c>
      <c r="BC1162">
        <v>1</v>
      </c>
      <c r="BD1162" t="str">
        <f t="shared" si="403"/>
        <v xml:space="preserve">N887QR  </v>
      </c>
      <c r="BE1162">
        <v>1</v>
      </c>
      <c r="BJ1162">
        <v>1875</v>
      </c>
      <c r="BK1162">
        <v>-325</v>
      </c>
      <c r="BL1162" t="s">
        <v>163</v>
      </c>
      <c r="BM1162">
        <v>1</v>
      </c>
      <c r="BN1162">
        <v>1</v>
      </c>
      <c r="BO1162">
        <v>1</v>
      </c>
      <c r="BP1162">
        <v>0</v>
      </c>
      <c r="BS1162">
        <v>0.04</v>
      </c>
      <c r="BT1162">
        <v>0</v>
      </c>
      <c r="BU1162">
        <v>0</v>
      </c>
      <c r="CE1162" t="str">
        <f t="shared" ref="CE1162:CE1168" si="405">"19:28:40.873"</f>
        <v>19:28:40.873</v>
      </c>
      <c r="CF1162">
        <v>873289690</v>
      </c>
      <c r="CS1162">
        <v>3</v>
      </c>
      <c r="CT1162">
        <v>2</v>
      </c>
      <c r="CU1162">
        <v>0</v>
      </c>
      <c r="CV1162">
        <v>2</v>
      </c>
      <c r="CW1162">
        <v>0</v>
      </c>
      <c r="CX1162">
        <v>5</v>
      </c>
      <c r="CY1162">
        <v>7</v>
      </c>
      <c r="CZ1162" t="s">
        <v>131</v>
      </c>
      <c r="DA1162">
        <v>300</v>
      </c>
      <c r="DB1162">
        <v>0</v>
      </c>
      <c r="DC1162" t="s">
        <v>176</v>
      </c>
      <c r="DD1162" t="s">
        <v>177</v>
      </c>
      <c r="DG1162">
        <v>5380153</v>
      </c>
      <c r="DI1162">
        <v>1</v>
      </c>
      <c r="DJ1162">
        <v>0</v>
      </c>
      <c r="DK1162">
        <v>0</v>
      </c>
      <c r="DL1162">
        <v>0</v>
      </c>
      <c r="DM1162">
        <v>0</v>
      </c>
      <c r="DN1162">
        <v>1</v>
      </c>
      <c r="DO1162">
        <v>0</v>
      </c>
      <c r="DP1162">
        <v>0</v>
      </c>
      <c r="DQ1162">
        <v>0</v>
      </c>
      <c r="DR1162">
        <v>0</v>
      </c>
      <c r="DS1162">
        <v>0</v>
      </c>
    </row>
    <row r="1163" spans="1:123" x14ac:dyDescent="0.3">
      <c r="A1163" t="str">
        <f>"10/04/2022 19:28:41.092"</f>
        <v>10/04/2022 19:28:41.092</v>
      </c>
      <c r="C1163" t="str">
        <f t="shared" si="396"/>
        <v>FFDDD3C0</v>
      </c>
      <c r="D1163" t="s">
        <v>143</v>
      </c>
      <c r="E1163">
        <v>20</v>
      </c>
      <c r="F1163">
        <v>1020</v>
      </c>
      <c r="G1163" t="s">
        <v>144</v>
      </c>
      <c r="J1163" t="s">
        <v>145</v>
      </c>
      <c r="K1163">
        <v>0</v>
      </c>
      <c r="L1163">
        <v>3</v>
      </c>
      <c r="M1163">
        <v>0</v>
      </c>
      <c r="N1163">
        <v>2</v>
      </c>
      <c r="O1163">
        <v>0</v>
      </c>
      <c r="P1163">
        <v>1</v>
      </c>
      <c r="Q1163">
        <v>0</v>
      </c>
      <c r="S1163" t="str">
        <f t="shared" si="404"/>
        <v>19:28:40.000</v>
      </c>
      <c r="T1163" t="str">
        <f t="shared" si="404"/>
        <v>19:28:40.000</v>
      </c>
      <c r="U1163" t="str">
        <f t="shared" si="402"/>
        <v>AC3944</v>
      </c>
      <c r="V1163">
        <v>0</v>
      </c>
      <c r="W1163">
        <v>0</v>
      </c>
      <c r="X1163">
        <v>2</v>
      </c>
      <c r="Y1163">
        <v>0</v>
      </c>
      <c r="AA1163">
        <v>1</v>
      </c>
      <c r="AB1163">
        <v>8</v>
      </c>
      <c r="AC1163">
        <v>3</v>
      </c>
      <c r="AD1163">
        <v>0</v>
      </c>
      <c r="AE1163">
        <v>9</v>
      </c>
      <c r="AF1163" t="s">
        <v>138</v>
      </c>
      <c r="AG1163">
        <v>0</v>
      </c>
      <c r="AH1163">
        <v>3</v>
      </c>
      <c r="AI1163">
        <v>1</v>
      </c>
      <c r="AJ1163">
        <v>0</v>
      </c>
      <c r="AK1163" t="s">
        <v>467</v>
      </c>
      <c r="AL1163">
        <v>32.806485000000002</v>
      </c>
      <c r="AM1163" t="s">
        <v>468</v>
      </c>
      <c r="AN1163">
        <v>-116.914272</v>
      </c>
      <c r="AO1163">
        <v>25</v>
      </c>
      <c r="AP1163">
        <v>2200</v>
      </c>
      <c r="AQ1163" t="s">
        <v>129</v>
      </c>
      <c r="AR1163">
        <v>127</v>
      </c>
      <c r="AS1163">
        <v>-9</v>
      </c>
      <c r="AT1163">
        <v>576</v>
      </c>
      <c r="BB1163">
        <v>1200</v>
      </c>
      <c r="BC1163">
        <v>1</v>
      </c>
      <c r="BD1163" t="str">
        <f t="shared" si="403"/>
        <v xml:space="preserve">N887QR  </v>
      </c>
      <c r="BE1163">
        <v>1</v>
      </c>
      <c r="BJ1163">
        <v>1875</v>
      </c>
      <c r="BK1163">
        <v>-325</v>
      </c>
      <c r="BL1163" t="s">
        <v>163</v>
      </c>
      <c r="BM1163">
        <v>1</v>
      </c>
      <c r="BN1163">
        <v>1</v>
      </c>
      <c r="BO1163">
        <v>1</v>
      </c>
      <c r="BP1163">
        <v>0</v>
      </c>
      <c r="BS1163">
        <v>0.04</v>
      </c>
      <c r="BT1163">
        <v>0</v>
      </c>
      <c r="BU1163">
        <v>0</v>
      </c>
      <c r="CE1163" t="str">
        <f t="shared" si="405"/>
        <v>19:28:40.873</v>
      </c>
      <c r="CF1163">
        <v>873289690</v>
      </c>
      <c r="CS1163">
        <v>3</v>
      </c>
      <c r="CT1163">
        <v>2</v>
      </c>
      <c r="CU1163">
        <v>0</v>
      </c>
      <c r="CV1163">
        <v>2</v>
      </c>
      <c r="CW1163">
        <v>0</v>
      </c>
      <c r="CX1163">
        <v>5</v>
      </c>
      <c r="CY1163">
        <v>7</v>
      </c>
      <c r="CZ1163" t="s">
        <v>131</v>
      </c>
      <c r="DA1163">
        <v>300</v>
      </c>
      <c r="DB1163">
        <v>0</v>
      </c>
      <c r="DC1163" t="s">
        <v>176</v>
      </c>
      <c r="DD1163" t="s">
        <v>177</v>
      </c>
      <c r="DG1163">
        <v>5380153</v>
      </c>
      <c r="DI1163">
        <v>1</v>
      </c>
      <c r="DJ1163">
        <v>0</v>
      </c>
      <c r="DK1163">
        <v>1</v>
      </c>
      <c r="DL1163">
        <v>0</v>
      </c>
      <c r="DM1163">
        <v>0</v>
      </c>
      <c r="DN1163">
        <v>1</v>
      </c>
      <c r="DO1163">
        <v>0</v>
      </c>
      <c r="DP1163">
        <v>0</v>
      </c>
      <c r="DQ1163">
        <v>0</v>
      </c>
      <c r="DR1163">
        <v>0</v>
      </c>
      <c r="DS1163">
        <v>0</v>
      </c>
    </row>
    <row r="1164" spans="1:123" x14ac:dyDescent="0.3">
      <c r="A1164" t="str">
        <f>"10/04/2022 19:28:41.092"</f>
        <v>10/04/2022 19:28:41.092</v>
      </c>
      <c r="C1164" t="str">
        <f t="shared" si="396"/>
        <v>FFDDD3C0</v>
      </c>
      <c r="D1164" t="s">
        <v>123</v>
      </c>
      <c r="E1164">
        <v>7</v>
      </c>
      <c r="F1164">
        <v>2007</v>
      </c>
      <c r="G1164" t="s">
        <v>124</v>
      </c>
      <c r="J1164" t="s">
        <v>125</v>
      </c>
      <c r="K1164">
        <v>0</v>
      </c>
      <c r="L1164">
        <v>3</v>
      </c>
      <c r="M1164">
        <v>0</v>
      </c>
      <c r="N1164">
        <v>2</v>
      </c>
      <c r="O1164">
        <v>0</v>
      </c>
      <c r="P1164">
        <v>1</v>
      </c>
      <c r="Q1164">
        <v>0</v>
      </c>
      <c r="S1164" t="str">
        <f t="shared" si="404"/>
        <v>19:28:40.000</v>
      </c>
      <c r="T1164" t="str">
        <f t="shared" si="404"/>
        <v>19:28:40.000</v>
      </c>
      <c r="U1164" t="str">
        <f t="shared" si="402"/>
        <v>AC3944</v>
      </c>
      <c r="V1164">
        <v>0</v>
      </c>
      <c r="W1164">
        <v>0</v>
      </c>
      <c r="X1164">
        <v>2</v>
      </c>
      <c r="Y1164">
        <v>0</v>
      </c>
      <c r="AA1164">
        <v>1</v>
      </c>
      <c r="AB1164">
        <v>8</v>
      </c>
      <c r="AC1164">
        <v>3</v>
      </c>
      <c r="AD1164">
        <v>0</v>
      </c>
      <c r="AE1164">
        <v>9</v>
      </c>
      <c r="AF1164" t="s">
        <v>138</v>
      </c>
      <c r="AG1164">
        <v>0</v>
      </c>
      <c r="AH1164">
        <v>3</v>
      </c>
      <c r="AI1164">
        <v>1</v>
      </c>
      <c r="AJ1164">
        <v>0</v>
      </c>
      <c r="AK1164" t="s">
        <v>467</v>
      </c>
      <c r="AL1164">
        <v>32.806485000000002</v>
      </c>
      <c r="AM1164" t="s">
        <v>468</v>
      </c>
      <c r="AN1164">
        <v>-116.914272</v>
      </c>
      <c r="AO1164">
        <v>25</v>
      </c>
      <c r="AP1164">
        <v>2200</v>
      </c>
      <c r="AQ1164" t="s">
        <v>129</v>
      </c>
      <c r="AR1164">
        <v>127</v>
      </c>
      <c r="AS1164">
        <v>-9</v>
      </c>
      <c r="AT1164">
        <v>576</v>
      </c>
      <c r="BB1164">
        <v>1200</v>
      </c>
      <c r="BC1164">
        <v>1</v>
      </c>
      <c r="BD1164" t="str">
        <f t="shared" si="403"/>
        <v xml:space="preserve">N887QR  </v>
      </c>
      <c r="BE1164">
        <v>1</v>
      </c>
      <c r="BJ1164">
        <v>1875</v>
      </c>
      <c r="BK1164">
        <v>-325</v>
      </c>
      <c r="BL1164" t="s">
        <v>163</v>
      </c>
      <c r="BM1164">
        <v>1</v>
      </c>
      <c r="BN1164">
        <v>1</v>
      </c>
      <c r="BO1164">
        <v>1</v>
      </c>
      <c r="BP1164">
        <v>0</v>
      </c>
      <c r="BS1164">
        <v>0.04</v>
      </c>
      <c r="BT1164">
        <v>0</v>
      </c>
      <c r="BU1164">
        <v>0</v>
      </c>
      <c r="CE1164" t="str">
        <f t="shared" si="405"/>
        <v>19:28:40.873</v>
      </c>
      <c r="CF1164">
        <v>873289690</v>
      </c>
      <c r="CS1164">
        <v>3</v>
      </c>
      <c r="CT1164">
        <v>2</v>
      </c>
      <c r="CU1164">
        <v>0</v>
      </c>
      <c r="CV1164">
        <v>2</v>
      </c>
      <c r="CW1164">
        <v>0</v>
      </c>
      <c r="CX1164">
        <v>5</v>
      </c>
      <c r="CY1164">
        <v>7</v>
      </c>
      <c r="CZ1164" t="s">
        <v>131</v>
      </c>
      <c r="DA1164">
        <v>300</v>
      </c>
      <c r="DB1164">
        <v>0</v>
      </c>
      <c r="DC1164" t="s">
        <v>176</v>
      </c>
      <c r="DD1164" t="s">
        <v>177</v>
      </c>
      <c r="DG1164">
        <v>5380153</v>
      </c>
      <c r="DI1164">
        <v>1</v>
      </c>
      <c r="DJ1164">
        <v>0</v>
      </c>
      <c r="DK1164">
        <v>1</v>
      </c>
      <c r="DL1164">
        <v>0</v>
      </c>
      <c r="DM1164">
        <v>0</v>
      </c>
      <c r="DN1164">
        <v>1</v>
      </c>
      <c r="DO1164">
        <v>0</v>
      </c>
      <c r="DP1164">
        <v>0</v>
      </c>
      <c r="DQ1164">
        <v>0</v>
      </c>
      <c r="DR1164">
        <v>0</v>
      </c>
      <c r="DS1164">
        <v>0</v>
      </c>
    </row>
    <row r="1165" spans="1:123" x14ac:dyDescent="0.3">
      <c r="A1165" t="str">
        <f>"10/04/2022 19:28:41.108"</f>
        <v>10/04/2022 19:28:41.108</v>
      </c>
      <c r="C1165" t="str">
        <f t="shared" si="396"/>
        <v>FFDDD3C0</v>
      </c>
      <c r="D1165" t="s">
        <v>141</v>
      </c>
      <c r="E1165">
        <v>3</v>
      </c>
      <c r="H1165">
        <v>3</v>
      </c>
      <c r="I1165" t="s">
        <v>146</v>
      </c>
      <c r="J1165" t="s">
        <v>138</v>
      </c>
      <c r="K1165">
        <v>0</v>
      </c>
      <c r="L1165">
        <v>3</v>
      </c>
      <c r="M1165">
        <v>0</v>
      </c>
      <c r="N1165">
        <v>2</v>
      </c>
      <c r="O1165">
        <v>0</v>
      </c>
      <c r="P1165">
        <v>1</v>
      </c>
      <c r="Q1165">
        <v>0</v>
      </c>
      <c r="S1165" t="str">
        <f t="shared" si="404"/>
        <v>19:28:40.000</v>
      </c>
      <c r="T1165" t="str">
        <f t="shared" si="404"/>
        <v>19:28:40.000</v>
      </c>
      <c r="U1165" t="str">
        <f t="shared" si="402"/>
        <v>AC3944</v>
      </c>
      <c r="V1165">
        <v>0</v>
      </c>
      <c r="W1165">
        <v>0</v>
      </c>
      <c r="X1165">
        <v>2</v>
      </c>
      <c r="Y1165">
        <v>0</v>
      </c>
      <c r="AA1165">
        <v>1</v>
      </c>
      <c r="AB1165">
        <v>8</v>
      </c>
      <c r="AC1165">
        <v>3</v>
      </c>
      <c r="AD1165">
        <v>0</v>
      </c>
      <c r="AE1165">
        <v>9</v>
      </c>
      <c r="AF1165" t="s">
        <v>138</v>
      </c>
      <c r="AG1165">
        <v>0</v>
      </c>
      <c r="AH1165">
        <v>3</v>
      </c>
      <c r="AI1165">
        <v>1</v>
      </c>
      <c r="AJ1165">
        <v>0</v>
      </c>
      <c r="AK1165" t="s">
        <v>467</v>
      </c>
      <c r="AL1165">
        <v>32.806485000000002</v>
      </c>
      <c r="AM1165" t="s">
        <v>468</v>
      </c>
      <c r="AN1165">
        <v>-116.914272</v>
      </c>
      <c r="AO1165">
        <v>25</v>
      </c>
      <c r="AP1165">
        <v>2200</v>
      </c>
      <c r="AQ1165" t="s">
        <v>129</v>
      </c>
      <c r="AR1165">
        <v>127</v>
      </c>
      <c r="AS1165">
        <v>-9</v>
      </c>
      <c r="AT1165">
        <v>576</v>
      </c>
      <c r="BB1165">
        <v>1200</v>
      </c>
      <c r="BC1165">
        <v>1</v>
      </c>
      <c r="BD1165" t="str">
        <f t="shared" si="403"/>
        <v xml:space="preserve">N887QR  </v>
      </c>
      <c r="BE1165">
        <v>1</v>
      </c>
      <c r="BJ1165">
        <v>1875</v>
      </c>
      <c r="BK1165">
        <v>-325</v>
      </c>
      <c r="BL1165" t="s">
        <v>163</v>
      </c>
      <c r="BM1165">
        <v>1</v>
      </c>
      <c r="BN1165">
        <v>1</v>
      </c>
      <c r="BO1165">
        <v>1</v>
      </c>
      <c r="BP1165">
        <v>0</v>
      </c>
      <c r="BS1165">
        <v>0.08</v>
      </c>
      <c r="BT1165">
        <v>0</v>
      </c>
      <c r="BU1165">
        <v>0</v>
      </c>
      <c r="CE1165" t="str">
        <f t="shared" si="405"/>
        <v>19:28:40.873</v>
      </c>
      <c r="CF1165">
        <v>873289690</v>
      </c>
      <c r="CS1165">
        <v>3</v>
      </c>
      <c r="CT1165">
        <v>2</v>
      </c>
      <c r="CU1165">
        <v>0</v>
      </c>
      <c r="CV1165">
        <v>2</v>
      </c>
      <c r="CW1165">
        <v>0</v>
      </c>
      <c r="CX1165">
        <v>5</v>
      </c>
      <c r="CY1165">
        <v>7</v>
      </c>
      <c r="CZ1165" t="s">
        <v>131</v>
      </c>
      <c r="DA1165">
        <v>300</v>
      </c>
      <c r="DB1165">
        <v>0</v>
      </c>
      <c r="DC1165" t="s">
        <v>176</v>
      </c>
      <c r="DD1165" t="s">
        <v>177</v>
      </c>
      <c r="DG1165">
        <v>5380153</v>
      </c>
      <c r="DI1165">
        <v>1</v>
      </c>
      <c r="DJ1165">
        <v>0</v>
      </c>
      <c r="DK1165">
        <v>1</v>
      </c>
      <c r="DL1165">
        <v>0</v>
      </c>
      <c r="DM1165">
        <v>0</v>
      </c>
      <c r="DN1165">
        <v>1</v>
      </c>
      <c r="DO1165">
        <v>0</v>
      </c>
      <c r="DP1165">
        <v>0</v>
      </c>
      <c r="DQ1165">
        <v>0</v>
      </c>
      <c r="DR1165">
        <v>0</v>
      </c>
      <c r="DS1165">
        <v>0</v>
      </c>
    </row>
    <row r="1166" spans="1:123" x14ac:dyDescent="0.3">
      <c r="A1166" t="str">
        <f>"10/04/2022 19:28:41.108"</f>
        <v>10/04/2022 19:28:41.108</v>
      </c>
      <c r="C1166" t="str">
        <f t="shared" si="396"/>
        <v>FFDDD3C0</v>
      </c>
      <c r="D1166" t="s">
        <v>147</v>
      </c>
      <c r="E1166">
        <v>3</v>
      </c>
      <c r="H1166">
        <v>166</v>
      </c>
      <c r="I1166" t="s">
        <v>144</v>
      </c>
      <c r="J1166" t="s">
        <v>148</v>
      </c>
      <c r="K1166">
        <v>0</v>
      </c>
      <c r="L1166">
        <v>3</v>
      </c>
      <c r="M1166">
        <v>0</v>
      </c>
      <c r="N1166">
        <v>2</v>
      </c>
      <c r="O1166">
        <v>0</v>
      </c>
      <c r="P1166">
        <v>1</v>
      </c>
      <c r="Q1166">
        <v>0</v>
      </c>
      <c r="S1166" t="str">
        <f t="shared" si="404"/>
        <v>19:28:40.000</v>
      </c>
      <c r="T1166" t="str">
        <f t="shared" si="404"/>
        <v>19:28:40.000</v>
      </c>
      <c r="U1166" t="str">
        <f t="shared" si="402"/>
        <v>AC3944</v>
      </c>
      <c r="V1166">
        <v>0</v>
      </c>
      <c r="W1166">
        <v>0</v>
      </c>
      <c r="X1166">
        <v>2</v>
      </c>
      <c r="Y1166">
        <v>0</v>
      </c>
      <c r="AA1166">
        <v>1</v>
      </c>
      <c r="AB1166">
        <v>8</v>
      </c>
      <c r="AC1166">
        <v>3</v>
      </c>
      <c r="AD1166">
        <v>0</v>
      </c>
      <c r="AE1166">
        <v>9</v>
      </c>
      <c r="AF1166" t="s">
        <v>138</v>
      </c>
      <c r="AG1166">
        <v>0</v>
      </c>
      <c r="AH1166">
        <v>3</v>
      </c>
      <c r="AI1166">
        <v>1</v>
      </c>
      <c r="AJ1166">
        <v>0</v>
      </c>
      <c r="AK1166" t="s">
        <v>467</v>
      </c>
      <c r="AL1166">
        <v>32.806485000000002</v>
      </c>
      <c r="AM1166" t="s">
        <v>468</v>
      </c>
      <c r="AN1166">
        <v>-116.914272</v>
      </c>
      <c r="AO1166">
        <v>25</v>
      </c>
      <c r="AP1166">
        <v>2200</v>
      </c>
      <c r="AQ1166" t="s">
        <v>129</v>
      </c>
      <c r="AR1166">
        <v>127</v>
      </c>
      <c r="AS1166">
        <v>-9</v>
      </c>
      <c r="AT1166">
        <v>576</v>
      </c>
      <c r="BB1166">
        <v>1200</v>
      </c>
      <c r="BC1166">
        <v>1</v>
      </c>
      <c r="BD1166" t="str">
        <f t="shared" si="403"/>
        <v xml:space="preserve">N887QR  </v>
      </c>
      <c r="BE1166">
        <v>1</v>
      </c>
      <c r="BJ1166">
        <v>1875</v>
      </c>
      <c r="BK1166">
        <v>-325</v>
      </c>
      <c r="BL1166" t="s">
        <v>163</v>
      </c>
      <c r="BM1166">
        <v>1</v>
      </c>
      <c r="BN1166">
        <v>1</v>
      </c>
      <c r="BO1166">
        <v>1</v>
      </c>
      <c r="BP1166">
        <v>0</v>
      </c>
      <c r="BS1166">
        <v>0.08</v>
      </c>
      <c r="BT1166">
        <v>0</v>
      </c>
      <c r="BU1166">
        <v>0</v>
      </c>
      <c r="CE1166" t="str">
        <f t="shared" si="405"/>
        <v>19:28:40.873</v>
      </c>
      <c r="CF1166">
        <v>873289690</v>
      </c>
      <c r="CS1166">
        <v>3</v>
      </c>
      <c r="CT1166">
        <v>2</v>
      </c>
      <c r="CU1166">
        <v>0</v>
      </c>
      <c r="CV1166">
        <v>2</v>
      </c>
      <c r="CW1166">
        <v>0</v>
      </c>
      <c r="CX1166">
        <v>5</v>
      </c>
      <c r="CY1166">
        <v>7</v>
      </c>
      <c r="CZ1166" t="s">
        <v>131</v>
      </c>
      <c r="DA1166">
        <v>300</v>
      </c>
      <c r="DB1166">
        <v>0</v>
      </c>
      <c r="DC1166" t="s">
        <v>176</v>
      </c>
      <c r="DD1166" t="s">
        <v>177</v>
      </c>
      <c r="DG1166">
        <v>5380153</v>
      </c>
      <c r="DI1166">
        <v>1</v>
      </c>
      <c r="DJ1166">
        <v>0</v>
      </c>
      <c r="DK1166">
        <v>1</v>
      </c>
      <c r="DL1166">
        <v>0</v>
      </c>
      <c r="DM1166">
        <v>0</v>
      </c>
      <c r="DN1166">
        <v>1</v>
      </c>
      <c r="DO1166">
        <v>0</v>
      </c>
      <c r="DP1166">
        <v>0</v>
      </c>
      <c r="DQ1166">
        <v>0</v>
      </c>
      <c r="DR1166">
        <v>0</v>
      </c>
      <c r="DS1166">
        <v>0</v>
      </c>
    </row>
    <row r="1167" spans="1:123" x14ac:dyDescent="0.3">
      <c r="A1167" t="str">
        <f>"10/04/2022 19:28:41.108"</f>
        <v>10/04/2022 19:28:41.108</v>
      </c>
      <c r="C1167" t="str">
        <f t="shared" si="396"/>
        <v>FFDDD3C0</v>
      </c>
      <c r="D1167" t="s">
        <v>136</v>
      </c>
      <c r="E1167">
        <v>8</v>
      </c>
      <c r="H1167">
        <v>225</v>
      </c>
      <c r="I1167" t="s">
        <v>137</v>
      </c>
      <c r="J1167" t="s">
        <v>138</v>
      </c>
      <c r="K1167">
        <v>0</v>
      </c>
      <c r="L1167">
        <v>3</v>
      </c>
      <c r="M1167">
        <v>0</v>
      </c>
      <c r="N1167">
        <v>2</v>
      </c>
      <c r="O1167">
        <v>0</v>
      </c>
      <c r="P1167">
        <v>1</v>
      </c>
      <c r="Q1167">
        <v>0</v>
      </c>
      <c r="S1167" t="str">
        <f t="shared" si="404"/>
        <v>19:28:40.000</v>
      </c>
      <c r="T1167" t="str">
        <f t="shared" si="404"/>
        <v>19:28:40.000</v>
      </c>
      <c r="U1167" t="str">
        <f t="shared" si="402"/>
        <v>AC3944</v>
      </c>
      <c r="V1167">
        <v>0</v>
      </c>
      <c r="W1167">
        <v>0</v>
      </c>
      <c r="X1167">
        <v>2</v>
      </c>
      <c r="Y1167">
        <v>0</v>
      </c>
      <c r="AA1167">
        <v>1</v>
      </c>
      <c r="AB1167">
        <v>8</v>
      </c>
      <c r="AC1167">
        <v>3</v>
      </c>
      <c r="AD1167">
        <v>0</v>
      </c>
      <c r="AE1167">
        <v>9</v>
      </c>
      <c r="AF1167" t="s">
        <v>138</v>
      </c>
      <c r="AG1167">
        <v>0</v>
      </c>
      <c r="AH1167">
        <v>3</v>
      </c>
      <c r="AI1167">
        <v>1</v>
      </c>
      <c r="AJ1167">
        <v>0</v>
      </c>
      <c r="AK1167" t="s">
        <v>467</v>
      </c>
      <c r="AL1167">
        <v>32.806485000000002</v>
      </c>
      <c r="AM1167" t="s">
        <v>468</v>
      </c>
      <c r="AN1167">
        <v>-116.914272</v>
      </c>
      <c r="AO1167">
        <v>25</v>
      </c>
      <c r="AP1167">
        <v>2200</v>
      </c>
      <c r="AQ1167" t="s">
        <v>129</v>
      </c>
      <c r="AR1167">
        <v>127</v>
      </c>
      <c r="AS1167">
        <v>-9</v>
      </c>
      <c r="AT1167">
        <v>576</v>
      </c>
      <c r="BB1167">
        <v>1200</v>
      </c>
      <c r="BC1167">
        <v>1</v>
      </c>
      <c r="BD1167" t="str">
        <f t="shared" si="403"/>
        <v xml:space="preserve">N887QR  </v>
      </c>
      <c r="BE1167">
        <v>1</v>
      </c>
      <c r="BJ1167">
        <v>1875</v>
      </c>
      <c r="BK1167">
        <v>-325</v>
      </c>
      <c r="BL1167" t="s">
        <v>163</v>
      </c>
      <c r="BM1167">
        <v>1</v>
      </c>
      <c r="BN1167">
        <v>1</v>
      </c>
      <c r="BO1167">
        <v>1</v>
      </c>
      <c r="BP1167">
        <v>0</v>
      </c>
      <c r="BS1167">
        <v>0.08</v>
      </c>
      <c r="BT1167">
        <v>0</v>
      </c>
      <c r="BU1167">
        <v>0</v>
      </c>
      <c r="CE1167" t="str">
        <f t="shared" si="405"/>
        <v>19:28:40.873</v>
      </c>
      <c r="CF1167">
        <v>873289690</v>
      </c>
      <c r="CS1167">
        <v>3</v>
      </c>
      <c r="CT1167">
        <v>2</v>
      </c>
      <c r="CU1167">
        <v>0</v>
      </c>
      <c r="CV1167">
        <v>2</v>
      </c>
      <c r="CW1167">
        <v>0</v>
      </c>
      <c r="CX1167">
        <v>5</v>
      </c>
      <c r="CY1167">
        <v>7</v>
      </c>
      <c r="CZ1167" t="s">
        <v>131</v>
      </c>
      <c r="DA1167">
        <v>300</v>
      </c>
      <c r="DB1167">
        <v>0</v>
      </c>
      <c r="DC1167" t="s">
        <v>176</v>
      </c>
      <c r="DD1167" t="s">
        <v>177</v>
      </c>
      <c r="DG1167">
        <v>5380153</v>
      </c>
      <c r="DI1167">
        <v>1</v>
      </c>
      <c r="DJ1167">
        <v>0</v>
      </c>
      <c r="DK1167">
        <v>1</v>
      </c>
      <c r="DL1167">
        <v>0</v>
      </c>
      <c r="DM1167">
        <v>0</v>
      </c>
      <c r="DN1167">
        <v>1</v>
      </c>
      <c r="DO1167">
        <v>0</v>
      </c>
      <c r="DP1167">
        <v>0</v>
      </c>
      <c r="DQ1167">
        <v>0</v>
      </c>
      <c r="DR1167">
        <v>0</v>
      </c>
      <c r="DS1167">
        <v>0</v>
      </c>
    </row>
    <row r="1168" spans="1:123" x14ac:dyDescent="0.3">
      <c r="A1168" t="str">
        <f>"10/04/2022 19:28:41.108"</f>
        <v>10/04/2022 19:28:41.108</v>
      </c>
      <c r="C1168" t="str">
        <f t="shared" si="396"/>
        <v>FFDDD3C0</v>
      </c>
      <c r="D1168" t="s">
        <v>141</v>
      </c>
      <c r="E1168">
        <v>4</v>
      </c>
      <c r="H1168">
        <v>4</v>
      </c>
      <c r="I1168" t="s">
        <v>142</v>
      </c>
      <c r="J1168" t="s">
        <v>138</v>
      </c>
      <c r="K1168">
        <v>0</v>
      </c>
      <c r="L1168">
        <v>3</v>
      </c>
      <c r="M1168">
        <v>0</v>
      </c>
      <c r="N1168">
        <v>2</v>
      </c>
      <c r="O1168">
        <v>0</v>
      </c>
      <c r="P1168">
        <v>1</v>
      </c>
      <c r="Q1168">
        <v>0</v>
      </c>
      <c r="S1168" t="str">
        <f t="shared" si="404"/>
        <v>19:28:40.000</v>
      </c>
      <c r="T1168" t="str">
        <f t="shared" si="404"/>
        <v>19:28:40.000</v>
      </c>
      <c r="U1168" t="str">
        <f t="shared" si="402"/>
        <v>AC3944</v>
      </c>
      <c r="V1168">
        <v>0</v>
      </c>
      <c r="W1168">
        <v>0</v>
      </c>
      <c r="X1168">
        <v>2</v>
      </c>
      <c r="Y1168">
        <v>0</v>
      </c>
      <c r="AA1168">
        <v>1</v>
      </c>
      <c r="AB1168">
        <v>8</v>
      </c>
      <c r="AC1168">
        <v>3</v>
      </c>
      <c r="AD1168">
        <v>0</v>
      </c>
      <c r="AE1168">
        <v>9</v>
      </c>
      <c r="AF1168" t="s">
        <v>138</v>
      </c>
      <c r="AG1168">
        <v>0</v>
      </c>
      <c r="AH1168">
        <v>3</v>
      </c>
      <c r="AI1168">
        <v>1</v>
      </c>
      <c r="AJ1168">
        <v>0</v>
      </c>
      <c r="AK1168" t="s">
        <v>467</v>
      </c>
      <c r="AL1168">
        <v>32.806485000000002</v>
      </c>
      <c r="AM1168" t="s">
        <v>468</v>
      </c>
      <c r="AN1168">
        <v>-116.914272</v>
      </c>
      <c r="AO1168">
        <v>25</v>
      </c>
      <c r="AP1168">
        <v>2200</v>
      </c>
      <c r="AQ1168" t="s">
        <v>129</v>
      </c>
      <c r="AR1168">
        <v>127</v>
      </c>
      <c r="AS1168">
        <v>-9</v>
      </c>
      <c r="AT1168">
        <v>576</v>
      </c>
      <c r="BB1168">
        <v>1200</v>
      </c>
      <c r="BC1168">
        <v>1</v>
      </c>
      <c r="BD1168" t="str">
        <f t="shared" si="403"/>
        <v xml:space="preserve">N887QR  </v>
      </c>
      <c r="BE1168">
        <v>1</v>
      </c>
      <c r="BJ1168">
        <v>1875</v>
      </c>
      <c r="BK1168">
        <v>-325</v>
      </c>
      <c r="BL1168" t="s">
        <v>163</v>
      </c>
      <c r="BM1168">
        <v>1</v>
      </c>
      <c r="BN1168">
        <v>1</v>
      </c>
      <c r="BO1168">
        <v>1</v>
      </c>
      <c r="BP1168">
        <v>0</v>
      </c>
      <c r="BS1168">
        <v>0.08</v>
      </c>
      <c r="BT1168">
        <v>0</v>
      </c>
      <c r="BU1168">
        <v>0</v>
      </c>
      <c r="CE1168" t="str">
        <f t="shared" si="405"/>
        <v>19:28:40.873</v>
      </c>
      <c r="CF1168">
        <v>873289690</v>
      </c>
      <c r="CS1168">
        <v>3</v>
      </c>
      <c r="CT1168">
        <v>2</v>
      </c>
      <c r="CU1168">
        <v>0</v>
      </c>
      <c r="CV1168">
        <v>2</v>
      </c>
      <c r="CW1168">
        <v>0</v>
      </c>
      <c r="CX1168">
        <v>5</v>
      </c>
      <c r="CY1168">
        <v>7</v>
      </c>
      <c r="CZ1168" t="s">
        <v>131</v>
      </c>
      <c r="DA1168">
        <v>300</v>
      </c>
      <c r="DB1168">
        <v>0</v>
      </c>
      <c r="DC1168" t="s">
        <v>176</v>
      </c>
      <c r="DD1168" t="s">
        <v>177</v>
      </c>
      <c r="DG1168">
        <v>5380153</v>
      </c>
      <c r="DI1168">
        <v>1</v>
      </c>
      <c r="DJ1168">
        <v>0</v>
      </c>
      <c r="DK1168">
        <v>1</v>
      </c>
      <c r="DL1168">
        <v>0</v>
      </c>
      <c r="DM1168">
        <v>0</v>
      </c>
      <c r="DN1168">
        <v>1</v>
      </c>
      <c r="DO1168">
        <v>0</v>
      </c>
      <c r="DP1168">
        <v>0</v>
      </c>
      <c r="DQ1168">
        <v>0</v>
      </c>
      <c r="DR1168">
        <v>0</v>
      </c>
      <c r="DS1168">
        <v>0</v>
      </c>
    </row>
    <row r="1169" spans="1:123" x14ac:dyDescent="0.3">
      <c r="A1169" t="str">
        <f t="shared" ref="A1169:A1175" si="406">"10/04/2022 19:28:42.102"</f>
        <v>10/04/2022 19:28:42.102</v>
      </c>
      <c r="C1169" t="str">
        <f t="shared" si="396"/>
        <v>FFDDD3C0</v>
      </c>
      <c r="D1169" t="s">
        <v>143</v>
      </c>
      <c r="E1169">
        <v>20</v>
      </c>
      <c r="F1169">
        <v>1020</v>
      </c>
      <c r="G1169" t="s">
        <v>144</v>
      </c>
      <c r="J1169" t="s">
        <v>145</v>
      </c>
      <c r="K1169">
        <v>0</v>
      </c>
      <c r="L1169">
        <v>3</v>
      </c>
      <c r="M1169">
        <v>0</v>
      </c>
      <c r="N1169">
        <v>2</v>
      </c>
      <c r="O1169">
        <v>0</v>
      </c>
      <c r="P1169">
        <v>1</v>
      </c>
      <c r="Q1169">
        <v>0</v>
      </c>
      <c r="S1169" t="str">
        <f t="shared" ref="S1169:T1175" si="407">"19:28:41.000"</f>
        <v>19:28:41.000</v>
      </c>
      <c r="T1169" t="str">
        <f t="shared" si="407"/>
        <v>19:28:41.000</v>
      </c>
      <c r="U1169" t="str">
        <f t="shared" si="402"/>
        <v>AC3944</v>
      </c>
      <c r="V1169">
        <v>0</v>
      </c>
      <c r="W1169">
        <v>0</v>
      </c>
      <c r="X1169">
        <v>2</v>
      </c>
      <c r="Y1169">
        <v>0</v>
      </c>
      <c r="AA1169">
        <v>1</v>
      </c>
      <c r="AB1169">
        <v>8</v>
      </c>
      <c r="AC1169">
        <v>3</v>
      </c>
      <c r="AD1169">
        <v>0</v>
      </c>
      <c r="AE1169">
        <v>9</v>
      </c>
      <c r="AF1169" t="s">
        <v>138</v>
      </c>
      <c r="AG1169">
        <v>0</v>
      </c>
      <c r="AH1169">
        <v>3</v>
      </c>
      <c r="AI1169">
        <v>1</v>
      </c>
      <c r="AJ1169">
        <v>0</v>
      </c>
      <c r="AK1169" t="s">
        <v>469</v>
      </c>
      <c r="AL1169">
        <v>32.806441999999997</v>
      </c>
      <c r="AM1169" t="s">
        <v>470</v>
      </c>
      <c r="AN1169">
        <v>-116.91356399999999</v>
      </c>
      <c r="AO1169">
        <v>25</v>
      </c>
      <c r="AP1169">
        <v>2200</v>
      </c>
      <c r="AQ1169" t="s">
        <v>129</v>
      </c>
      <c r="AR1169">
        <v>126</v>
      </c>
      <c r="AS1169">
        <v>-9</v>
      </c>
      <c r="AT1169">
        <v>576</v>
      </c>
      <c r="BB1169">
        <v>1200</v>
      </c>
      <c r="BC1169">
        <v>1</v>
      </c>
      <c r="BD1169" t="str">
        <f t="shared" si="403"/>
        <v xml:space="preserve">N887QR  </v>
      </c>
      <c r="BE1169">
        <v>1</v>
      </c>
      <c r="BJ1169">
        <v>1900</v>
      </c>
      <c r="BK1169">
        <v>-300</v>
      </c>
      <c r="BL1169" t="s">
        <v>163</v>
      </c>
      <c r="BM1169">
        <v>1</v>
      </c>
      <c r="BN1169">
        <v>1</v>
      </c>
      <c r="BO1169">
        <v>1</v>
      </c>
      <c r="BP1169">
        <v>0</v>
      </c>
      <c r="BS1169">
        <v>0.04</v>
      </c>
      <c r="BT1169">
        <v>0</v>
      </c>
      <c r="BU1169">
        <v>0</v>
      </c>
      <c r="CE1169" t="str">
        <f t="shared" ref="CE1169:CE1175" si="408">"19:28:41.876"</f>
        <v>19:28:41.876</v>
      </c>
      <c r="CF1169">
        <v>875542886</v>
      </c>
      <c r="CS1169">
        <v>3</v>
      </c>
      <c r="CT1169">
        <v>2</v>
      </c>
      <c r="CU1169">
        <v>0</v>
      </c>
      <c r="CV1169">
        <v>2</v>
      </c>
      <c r="CW1169">
        <v>0</v>
      </c>
      <c r="CX1169">
        <v>5</v>
      </c>
      <c r="CY1169">
        <v>7</v>
      </c>
      <c r="CZ1169" t="s">
        <v>131</v>
      </c>
      <c r="DA1169">
        <v>300</v>
      </c>
      <c r="DB1169">
        <v>0</v>
      </c>
      <c r="DC1169" t="s">
        <v>176</v>
      </c>
      <c r="DD1169" t="s">
        <v>177</v>
      </c>
      <c r="DG1169">
        <v>5380306</v>
      </c>
      <c r="DI1169">
        <v>1</v>
      </c>
      <c r="DJ1169">
        <v>0</v>
      </c>
      <c r="DK1169">
        <v>0</v>
      </c>
      <c r="DL1169">
        <v>0</v>
      </c>
      <c r="DM1169">
        <v>0</v>
      </c>
      <c r="DN1169">
        <v>1</v>
      </c>
      <c r="DO1169">
        <v>0</v>
      </c>
      <c r="DP1169">
        <v>0</v>
      </c>
      <c r="DQ1169">
        <v>0</v>
      </c>
      <c r="DR1169">
        <v>0</v>
      </c>
      <c r="DS1169">
        <v>0</v>
      </c>
    </row>
    <row r="1170" spans="1:123" x14ac:dyDescent="0.3">
      <c r="A1170" t="str">
        <f t="shared" si="406"/>
        <v>10/04/2022 19:28:42.102</v>
      </c>
      <c r="C1170" t="str">
        <f t="shared" si="396"/>
        <v>FFDDD3C0</v>
      </c>
      <c r="D1170" t="s">
        <v>134</v>
      </c>
      <c r="E1170">
        <v>15</v>
      </c>
      <c r="J1170" t="s">
        <v>135</v>
      </c>
      <c r="K1170">
        <v>0</v>
      </c>
      <c r="L1170">
        <v>3</v>
      </c>
      <c r="M1170">
        <v>0</v>
      </c>
      <c r="N1170">
        <v>2</v>
      </c>
      <c r="O1170">
        <v>0</v>
      </c>
      <c r="P1170">
        <v>1</v>
      </c>
      <c r="Q1170">
        <v>0</v>
      </c>
      <c r="S1170" t="str">
        <f t="shared" si="407"/>
        <v>19:28:41.000</v>
      </c>
      <c r="T1170" t="str">
        <f t="shared" si="407"/>
        <v>19:28:41.000</v>
      </c>
      <c r="U1170" t="str">
        <f t="shared" si="402"/>
        <v>AC3944</v>
      </c>
      <c r="V1170">
        <v>0</v>
      </c>
      <c r="W1170">
        <v>0</v>
      </c>
      <c r="X1170">
        <v>2</v>
      </c>
      <c r="Y1170">
        <v>0</v>
      </c>
      <c r="AA1170">
        <v>1</v>
      </c>
      <c r="AB1170">
        <v>8</v>
      </c>
      <c r="AC1170">
        <v>3</v>
      </c>
      <c r="AD1170">
        <v>0</v>
      </c>
      <c r="AE1170">
        <v>9</v>
      </c>
      <c r="AF1170" t="s">
        <v>138</v>
      </c>
      <c r="AG1170">
        <v>0</v>
      </c>
      <c r="AH1170">
        <v>3</v>
      </c>
      <c r="AI1170">
        <v>1</v>
      </c>
      <c r="AJ1170">
        <v>0</v>
      </c>
      <c r="AK1170" t="s">
        <v>469</v>
      </c>
      <c r="AL1170">
        <v>32.806441999999997</v>
      </c>
      <c r="AM1170" t="s">
        <v>470</v>
      </c>
      <c r="AN1170">
        <v>-116.91356399999999</v>
      </c>
      <c r="AO1170">
        <v>25</v>
      </c>
      <c r="AP1170">
        <v>2200</v>
      </c>
      <c r="AQ1170" t="s">
        <v>129</v>
      </c>
      <c r="AR1170">
        <v>126</v>
      </c>
      <c r="AS1170">
        <v>-9</v>
      </c>
      <c r="AT1170">
        <v>576</v>
      </c>
      <c r="BB1170">
        <v>1200</v>
      </c>
      <c r="BC1170">
        <v>1</v>
      </c>
      <c r="BD1170" t="str">
        <f t="shared" si="403"/>
        <v xml:space="preserve">N887QR  </v>
      </c>
      <c r="BE1170">
        <v>1</v>
      </c>
      <c r="BJ1170">
        <v>1900</v>
      </c>
      <c r="BK1170">
        <v>-300</v>
      </c>
      <c r="BL1170" t="s">
        <v>163</v>
      </c>
      <c r="BM1170">
        <v>1</v>
      </c>
      <c r="BN1170">
        <v>1</v>
      </c>
      <c r="BO1170">
        <v>1</v>
      </c>
      <c r="BP1170">
        <v>0</v>
      </c>
      <c r="BS1170">
        <v>0.04</v>
      </c>
      <c r="BT1170">
        <v>0</v>
      </c>
      <c r="BU1170">
        <v>0</v>
      </c>
      <c r="CE1170" t="str">
        <f t="shared" si="408"/>
        <v>19:28:41.876</v>
      </c>
      <c r="CF1170">
        <v>875542886</v>
      </c>
      <c r="CS1170">
        <v>3</v>
      </c>
      <c r="CT1170">
        <v>2</v>
      </c>
      <c r="CU1170">
        <v>0</v>
      </c>
      <c r="CV1170">
        <v>2</v>
      </c>
      <c r="CW1170">
        <v>0</v>
      </c>
      <c r="CX1170">
        <v>5</v>
      </c>
      <c r="CY1170">
        <v>7</v>
      </c>
      <c r="CZ1170" t="s">
        <v>131</v>
      </c>
      <c r="DA1170">
        <v>300</v>
      </c>
      <c r="DB1170">
        <v>0</v>
      </c>
      <c r="DC1170" t="s">
        <v>176</v>
      </c>
      <c r="DD1170" t="s">
        <v>177</v>
      </c>
      <c r="DG1170">
        <v>5380306</v>
      </c>
      <c r="DI1170">
        <v>1</v>
      </c>
      <c r="DJ1170">
        <v>0</v>
      </c>
      <c r="DK1170">
        <v>1</v>
      </c>
      <c r="DL1170">
        <v>0</v>
      </c>
      <c r="DM1170">
        <v>0</v>
      </c>
      <c r="DN1170">
        <v>1</v>
      </c>
      <c r="DO1170">
        <v>0</v>
      </c>
      <c r="DP1170">
        <v>0</v>
      </c>
      <c r="DQ1170">
        <v>0</v>
      </c>
      <c r="DR1170">
        <v>0</v>
      </c>
      <c r="DS1170">
        <v>0</v>
      </c>
    </row>
    <row r="1171" spans="1:123" x14ac:dyDescent="0.3">
      <c r="A1171" t="str">
        <f t="shared" si="406"/>
        <v>10/04/2022 19:28:42.102</v>
      </c>
      <c r="C1171" t="str">
        <f t="shared" si="396"/>
        <v>FFDDD3C0</v>
      </c>
      <c r="D1171" t="s">
        <v>123</v>
      </c>
      <c r="E1171">
        <v>7</v>
      </c>
      <c r="F1171">
        <v>2007</v>
      </c>
      <c r="G1171" t="s">
        <v>124</v>
      </c>
      <c r="J1171" t="s">
        <v>125</v>
      </c>
      <c r="K1171">
        <v>0</v>
      </c>
      <c r="L1171">
        <v>3</v>
      </c>
      <c r="M1171">
        <v>0</v>
      </c>
      <c r="N1171">
        <v>2</v>
      </c>
      <c r="O1171">
        <v>0</v>
      </c>
      <c r="P1171">
        <v>1</v>
      </c>
      <c r="Q1171">
        <v>0</v>
      </c>
      <c r="S1171" t="str">
        <f t="shared" si="407"/>
        <v>19:28:41.000</v>
      </c>
      <c r="T1171" t="str">
        <f t="shared" si="407"/>
        <v>19:28:41.000</v>
      </c>
      <c r="U1171" t="str">
        <f t="shared" si="402"/>
        <v>AC3944</v>
      </c>
      <c r="V1171">
        <v>0</v>
      </c>
      <c r="W1171">
        <v>0</v>
      </c>
      <c r="X1171">
        <v>2</v>
      </c>
      <c r="Y1171">
        <v>0</v>
      </c>
      <c r="AA1171">
        <v>1</v>
      </c>
      <c r="AB1171">
        <v>8</v>
      </c>
      <c r="AC1171">
        <v>3</v>
      </c>
      <c r="AD1171">
        <v>0</v>
      </c>
      <c r="AE1171">
        <v>9</v>
      </c>
      <c r="AF1171" t="s">
        <v>138</v>
      </c>
      <c r="AG1171">
        <v>0</v>
      </c>
      <c r="AH1171">
        <v>3</v>
      </c>
      <c r="AI1171">
        <v>1</v>
      </c>
      <c r="AJ1171">
        <v>0</v>
      </c>
      <c r="AK1171" t="s">
        <v>469</v>
      </c>
      <c r="AL1171">
        <v>32.806441999999997</v>
      </c>
      <c r="AM1171" t="s">
        <v>470</v>
      </c>
      <c r="AN1171">
        <v>-116.91356399999999</v>
      </c>
      <c r="AO1171">
        <v>25</v>
      </c>
      <c r="AP1171">
        <v>2200</v>
      </c>
      <c r="AQ1171" t="s">
        <v>129</v>
      </c>
      <c r="AR1171">
        <v>126</v>
      </c>
      <c r="AS1171">
        <v>-9</v>
      </c>
      <c r="AT1171">
        <v>576</v>
      </c>
      <c r="BB1171">
        <v>1200</v>
      </c>
      <c r="BC1171">
        <v>1</v>
      </c>
      <c r="BD1171" t="str">
        <f t="shared" si="403"/>
        <v xml:space="preserve">N887QR  </v>
      </c>
      <c r="BE1171">
        <v>1</v>
      </c>
      <c r="BJ1171">
        <v>1900</v>
      </c>
      <c r="BK1171">
        <v>-300</v>
      </c>
      <c r="BL1171" t="s">
        <v>163</v>
      </c>
      <c r="BM1171">
        <v>1</v>
      </c>
      <c r="BN1171">
        <v>1</v>
      </c>
      <c r="BO1171">
        <v>1</v>
      </c>
      <c r="BP1171">
        <v>0</v>
      </c>
      <c r="BS1171">
        <v>0.04</v>
      </c>
      <c r="BT1171">
        <v>0</v>
      </c>
      <c r="BU1171">
        <v>0</v>
      </c>
      <c r="CE1171" t="str">
        <f t="shared" si="408"/>
        <v>19:28:41.876</v>
      </c>
      <c r="CF1171">
        <v>875542886</v>
      </c>
      <c r="CS1171">
        <v>3</v>
      </c>
      <c r="CT1171">
        <v>2</v>
      </c>
      <c r="CU1171">
        <v>0</v>
      </c>
      <c r="CV1171">
        <v>2</v>
      </c>
      <c r="CW1171">
        <v>0</v>
      </c>
      <c r="CX1171">
        <v>5</v>
      </c>
      <c r="CY1171">
        <v>7</v>
      </c>
      <c r="CZ1171" t="s">
        <v>131</v>
      </c>
      <c r="DA1171">
        <v>300</v>
      </c>
      <c r="DB1171">
        <v>0</v>
      </c>
      <c r="DC1171" t="s">
        <v>176</v>
      </c>
      <c r="DD1171" t="s">
        <v>177</v>
      </c>
      <c r="DG1171">
        <v>5380306</v>
      </c>
      <c r="DI1171">
        <v>1</v>
      </c>
      <c r="DJ1171">
        <v>0</v>
      </c>
      <c r="DK1171">
        <v>1</v>
      </c>
      <c r="DL1171">
        <v>0</v>
      </c>
      <c r="DM1171">
        <v>0</v>
      </c>
      <c r="DN1171">
        <v>1</v>
      </c>
      <c r="DO1171">
        <v>0</v>
      </c>
      <c r="DP1171">
        <v>0</v>
      </c>
      <c r="DQ1171">
        <v>0</v>
      </c>
      <c r="DR1171">
        <v>0</v>
      </c>
      <c r="DS1171">
        <v>0</v>
      </c>
    </row>
    <row r="1172" spans="1:123" x14ac:dyDescent="0.3">
      <c r="A1172" t="str">
        <f t="shared" si="406"/>
        <v>10/04/2022 19:28:42.102</v>
      </c>
      <c r="C1172" t="str">
        <f t="shared" si="396"/>
        <v>FFDDD3C0</v>
      </c>
      <c r="D1172" t="s">
        <v>141</v>
      </c>
      <c r="E1172">
        <v>3</v>
      </c>
      <c r="H1172">
        <v>3</v>
      </c>
      <c r="I1172" t="s">
        <v>146</v>
      </c>
      <c r="J1172" t="s">
        <v>138</v>
      </c>
      <c r="K1172">
        <v>0</v>
      </c>
      <c r="L1172">
        <v>3</v>
      </c>
      <c r="M1172">
        <v>0</v>
      </c>
      <c r="N1172">
        <v>2</v>
      </c>
      <c r="O1172">
        <v>0</v>
      </c>
      <c r="P1172">
        <v>1</v>
      </c>
      <c r="Q1172">
        <v>0</v>
      </c>
      <c r="S1172" t="str">
        <f t="shared" si="407"/>
        <v>19:28:41.000</v>
      </c>
      <c r="T1172" t="str">
        <f t="shared" si="407"/>
        <v>19:28:41.000</v>
      </c>
      <c r="U1172" t="str">
        <f t="shared" si="402"/>
        <v>AC3944</v>
      </c>
      <c r="V1172">
        <v>0</v>
      </c>
      <c r="W1172">
        <v>0</v>
      </c>
      <c r="X1172">
        <v>2</v>
      </c>
      <c r="Y1172">
        <v>0</v>
      </c>
      <c r="AA1172">
        <v>1</v>
      </c>
      <c r="AB1172">
        <v>8</v>
      </c>
      <c r="AC1172">
        <v>3</v>
      </c>
      <c r="AD1172">
        <v>0</v>
      </c>
      <c r="AE1172">
        <v>9</v>
      </c>
      <c r="AF1172" t="s">
        <v>138</v>
      </c>
      <c r="AG1172">
        <v>0</v>
      </c>
      <c r="AH1172">
        <v>3</v>
      </c>
      <c r="AI1172">
        <v>1</v>
      </c>
      <c r="AJ1172">
        <v>0</v>
      </c>
      <c r="AK1172" t="s">
        <v>469</v>
      </c>
      <c r="AL1172">
        <v>32.806441999999997</v>
      </c>
      <c r="AM1172" t="s">
        <v>470</v>
      </c>
      <c r="AN1172">
        <v>-116.91356399999999</v>
      </c>
      <c r="AO1172">
        <v>25</v>
      </c>
      <c r="AP1172">
        <v>2200</v>
      </c>
      <c r="AQ1172" t="s">
        <v>129</v>
      </c>
      <c r="AR1172">
        <v>126</v>
      </c>
      <c r="AS1172">
        <v>-9</v>
      </c>
      <c r="AT1172">
        <v>576</v>
      </c>
      <c r="BB1172">
        <v>1200</v>
      </c>
      <c r="BC1172">
        <v>1</v>
      </c>
      <c r="BD1172" t="str">
        <f t="shared" si="403"/>
        <v xml:space="preserve">N887QR  </v>
      </c>
      <c r="BE1172">
        <v>1</v>
      </c>
      <c r="BJ1172">
        <v>1900</v>
      </c>
      <c r="BK1172">
        <v>-300</v>
      </c>
      <c r="BL1172" t="s">
        <v>163</v>
      </c>
      <c r="BM1172">
        <v>1</v>
      </c>
      <c r="BN1172">
        <v>1</v>
      </c>
      <c r="BO1172">
        <v>1</v>
      </c>
      <c r="BP1172">
        <v>0</v>
      </c>
      <c r="BS1172">
        <v>0.08</v>
      </c>
      <c r="BT1172">
        <v>0</v>
      </c>
      <c r="BU1172">
        <v>0</v>
      </c>
      <c r="CE1172" t="str">
        <f t="shared" si="408"/>
        <v>19:28:41.876</v>
      </c>
      <c r="CF1172">
        <v>875542886</v>
      </c>
      <c r="CS1172">
        <v>3</v>
      </c>
      <c r="CT1172">
        <v>2</v>
      </c>
      <c r="CU1172">
        <v>0</v>
      </c>
      <c r="CV1172">
        <v>2</v>
      </c>
      <c r="CW1172">
        <v>0</v>
      </c>
      <c r="CX1172">
        <v>5</v>
      </c>
      <c r="CY1172">
        <v>7</v>
      </c>
      <c r="CZ1172" t="s">
        <v>131</v>
      </c>
      <c r="DA1172">
        <v>300</v>
      </c>
      <c r="DB1172">
        <v>0</v>
      </c>
      <c r="DC1172" t="s">
        <v>176</v>
      </c>
      <c r="DD1172" t="s">
        <v>177</v>
      </c>
      <c r="DG1172">
        <v>5380306</v>
      </c>
      <c r="DI1172">
        <v>1</v>
      </c>
      <c r="DJ1172">
        <v>0</v>
      </c>
      <c r="DK1172">
        <v>1</v>
      </c>
      <c r="DL1172">
        <v>0</v>
      </c>
      <c r="DM1172">
        <v>0</v>
      </c>
      <c r="DN1172">
        <v>1</v>
      </c>
      <c r="DO1172">
        <v>0</v>
      </c>
      <c r="DP1172">
        <v>0</v>
      </c>
      <c r="DQ1172">
        <v>0</v>
      </c>
      <c r="DR1172">
        <v>0</v>
      </c>
      <c r="DS1172">
        <v>0</v>
      </c>
    </row>
    <row r="1173" spans="1:123" x14ac:dyDescent="0.3">
      <c r="A1173" t="str">
        <f t="shared" si="406"/>
        <v>10/04/2022 19:28:42.102</v>
      </c>
      <c r="C1173" t="str">
        <f t="shared" si="396"/>
        <v>FFDDD3C0</v>
      </c>
      <c r="D1173" t="s">
        <v>147</v>
      </c>
      <c r="E1173">
        <v>3</v>
      </c>
      <c r="H1173">
        <v>166</v>
      </c>
      <c r="I1173" t="s">
        <v>144</v>
      </c>
      <c r="J1173" t="s">
        <v>148</v>
      </c>
      <c r="K1173">
        <v>0</v>
      </c>
      <c r="L1173">
        <v>3</v>
      </c>
      <c r="M1173">
        <v>0</v>
      </c>
      <c r="N1173">
        <v>2</v>
      </c>
      <c r="O1173">
        <v>0</v>
      </c>
      <c r="P1173">
        <v>1</v>
      </c>
      <c r="Q1173">
        <v>0</v>
      </c>
      <c r="S1173" t="str">
        <f t="shared" si="407"/>
        <v>19:28:41.000</v>
      </c>
      <c r="T1173" t="str">
        <f t="shared" si="407"/>
        <v>19:28:41.000</v>
      </c>
      <c r="U1173" t="str">
        <f t="shared" si="402"/>
        <v>AC3944</v>
      </c>
      <c r="V1173">
        <v>0</v>
      </c>
      <c r="W1173">
        <v>0</v>
      </c>
      <c r="X1173">
        <v>2</v>
      </c>
      <c r="Y1173">
        <v>0</v>
      </c>
      <c r="AA1173">
        <v>1</v>
      </c>
      <c r="AB1173">
        <v>8</v>
      </c>
      <c r="AC1173">
        <v>3</v>
      </c>
      <c r="AD1173">
        <v>0</v>
      </c>
      <c r="AE1173">
        <v>9</v>
      </c>
      <c r="AF1173" t="s">
        <v>138</v>
      </c>
      <c r="AG1173">
        <v>0</v>
      </c>
      <c r="AH1173">
        <v>3</v>
      </c>
      <c r="AI1173">
        <v>1</v>
      </c>
      <c r="AJ1173">
        <v>0</v>
      </c>
      <c r="AK1173" t="s">
        <v>469</v>
      </c>
      <c r="AL1173">
        <v>32.806441999999997</v>
      </c>
      <c r="AM1173" t="s">
        <v>470</v>
      </c>
      <c r="AN1173">
        <v>-116.91356399999999</v>
      </c>
      <c r="AO1173">
        <v>25</v>
      </c>
      <c r="AP1173">
        <v>2200</v>
      </c>
      <c r="AQ1173" t="s">
        <v>129</v>
      </c>
      <c r="AR1173">
        <v>126</v>
      </c>
      <c r="AS1173">
        <v>-9</v>
      </c>
      <c r="AT1173">
        <v>576</v>
      </c>
      <c r="BB1173">
        <v>1200</v>
      </c>
      <c r="BC1173">
        <v>1</v>
      </c>
      <c r="BD1173" t="str">
        <f t="shared" si="403"/>
        <v xml:space="preserve">N887QR  </v>
      </c>
      <c r="BE1173">
        <v>1</v>
      </c>
      <c r="BJ1173">
        <v>1900</v>
      </c>
      <c r="BK1173">
        <v>-300</v>
      </c>
      <c r="BL1173" t="s">
        <v>163</v>
      </c>
      <c r="BM1173">
        <v>1</v>
      </c>
      <c r="BN1173">
        <v>1</v>
      </c>
      <c r="BO1173">
        <v>1</v>
      </c>
      <c r="BP1173">
        <v>0</v>
      </c>
      <c r="BS1173">
        <v>0.08</v>
      </c>
      <c r="BT1173">
        <v>0</v>
      </c>
      <c r="BU1173">
        <v>0</v>
      </c>
      <c r="CE1173" t="str">
        <f t="shared" si="408"/>
        <v>19:28:41.876</v>
      </c>
      <c r="CF1173">
        <v>875542886</v>
      </c>
      <c r="CS1173">
        <v>3</v>
      </c>
      <c r="CT1173">
        <v>2</v>
      </c>
      <c r="CU1173">
        <v>0</v>
      </c>
      <c r="CV1173">
        <v>2</v>
      </c>
      <c r="CW1173">
        <v>0</v>
      </c>
      <c r="CX1173">
        <v>5</v>
      </c>
      <c r="CY1173">
        <v>7</v>
      </c>
      <c r="CZ1173" t="s">
        <v>131</v>
      </c>
      <c r="DA1173">
        <v>300</v>
      </c>
      <c r="DB1173">
        <v>0</v>
      </c>
      <c r="DC1173" t="s">
        <v>176</v>
      </c>
      <c r="DD1173" t="s">
        <v>177</v>
      </c>
      <c r="DG1173">
        <v>5380306</v>
      </c>
      <c r="DI1173">
        <v>1</v>
      </c>
      <c r="DJ1173">
        <v>0</v>
      </c>
      <c r="DK1173">
        <v>1</v>
      </c>
      <c r="DL1173">
        <v>0</v>
      </c>
      <c r="DM1173">
        <v>0</v>
      </c>
      <c r="DN1173">
        <v>1</v>
      </c>
      <c r="DO1173">
        <v>0</v>
      </c>
      <c r="DP1173">
        <v>0</v>
      </c>
      <c r="DQ1173">
        <v>0</v>
      </c>
      <c r="DR1173">
        <v>0</v>
      </c>
      <c r="DS1173">
        <v>0</v>
      </c>
    </row>
    <row r="1174" spans="1:123" x14ac:dyDescent="0.3">
      <c r="A1174" t="str">
        <f t="shared" si="406"/>
        <v>10/04/2022 19:28:42.102</v>
      </c>
      <c r="C1174" t="str">
        <f t="shared" si="396"/>
        <v>FFDDD3C0</v>
      </c>
      <c r="D1174" t="s">
        <v>141</v>
      </c>
      <c r="E1174">
        <v>4</v>
      </c>
      <c r="H1174">
        <v>4</v>
      </c>
      <c r="I1174" t="s">
        <v>142</v>
      </c>
      <c r="J1174" t="s">
        <v>138</v>
      </c>
      <c r="K1174">
        <v>0</v>
      </c>
      <c r="L1174">
        <v>3</v>
      </c>
      <c r="M1174">
        <v>0</v>
      </c>
      <c r="N1174">
        <v>2</v>
      </c>
      <c r="O1174">
        <v>0</v>
      </c>
      <c r="P1174">
        <v>1</v>
      </c>
      <c r="Q1174">
        <v>0</v>
      </c>
      <c r="S1174" t="str">
        <f t="shared" si="407"/>
        <v>19:28:41.000</v>
      </c>
      <c r="T1174" t="str">
        <f t="shared" si="407"/>
        <v>19:28:41.000</v>
      </c>
      <c r="U1174" t="str">
        <f t="shared" si="402"/>
        <v>AC3944</v>
      </c>
      <c r="V1174">
        <v>0</v>
      </c>
      <c r="W1174">
        <v>0</v>
      </c>
      <c r="X1174">
        <v>2</v>
      </c>
      <c r="Y1174">
        <v>0</v>
      </c>
      <c r="AA1174">
        <v>1</v>
      </c>
      <c r="AB1174">
        <v>8</v>
      </c>
      <c r="AC1174">
        <v>3</v>
      </c>
      <c r="AD1174">
        <v>0</v>
      </c>
      <c r="AE1174">
        <v>9</v>
      </c>
      <c r="AF1174" t="s">
        <v>138</v>
      </c>
      <c r="AG1174">
        <v>0</v>
      </c>
      <c r="AH1174">
        <v>3</v>
      </c>
      <c r="AI1174">
        <v>1</v>
      </c>
      <c r="AJ1174">
        <v>0</v>
      </c>
      <c r="AK1174" t="s">
        <v>469</v>
      </c>
      <c r="AL1174">
        <v>32.806441999999997</v>
      </c>
      <c r="AM1174" t="s">
        <v>470</v>
      </c>
      <c r="AN1174">
        <v>-116.91356399999999</v>
      </c>
      <c r="AO1174">
        <v>25</v>
      </c>
      <c r="AP1174">
        <v>2200</v>
      </c>
      <c r="AQ1174" t="s">
        <v>129</v>
      </c>
      <c r="AR1174">
        <v>126</v>
      </c>
      <c r="AS1174">
        <v>-9</v>
      </c>
      <c r="AT1174">
        <v>576</v>
      </c>
      <c r="BB1174">
        <v>1200</v>
      </c>
      <c r="BC1174">
        <v>1</v>
      </c>
      <c r="BD1174" t="str">
        <f t="shared" si="403"/>
        <v xml:space="preserve">N887QR  </v>
      </c>
      <c r="BE1174">
        <v>1</v>
      </c>
      <c r="BJ1174">
        <v>1900</v>
      </c>
      <c r="BK1174">
        <v>-300</v>
      </c>
      <c r="BL1174" t="s">
        <v>163</v>
      </c>
      <c r="BM1174">
        <v>1</v>
      </c>
      <c r="BN1174">
        <v>1</v>
      </c>
      <c r="BO1174">
        <v>1</v>
      </c>
      <c r="BP1174">
        <v>0</v>
      </c>
      <c r="BS1174">
        <v>0.08</v>
      </c>
      <c r="BT1174">
        <v>0</v>
      </c>
      <c r="BU1174">
        <v>0</v>
      </c>
      <c r="CE1174" t="str">
        <f t="shared" si="408"/>
        <v>19:28:41.876</v>
      </c>
      <c r="CF1174">
        <v>875542886</v>
      </c>
      <c r="CS1174">
        <v>3</v>
      </c>
      <c r="CT1174">
        <v>2</v>
      </c>
      <c r="CU1174">
        <v>0</v>
      </c>
      <c r="CV1174">
        <v>2</v>
      </c>
      <c r="CW1174">
        <v>0</v>
      </c>
      <c r="CX1174">
        <v>5</v>
      </c>
      <c r="CY1174">
        <v>7</v>
      </c>
      <c r="CZ1174" t="s">
        <v>131</v>
      </c>
      <c r="DA1174">
        <v>300</v>
      </c>
      <c r="DB1174">
        <v>0</v>
      </c>
      <c r="DC1174" t="s">
        <v>176</v>
      </c>
      <c r="DD1174" t="s">
        <v>177</v>
      </c>
      <c r="DG1174">
        <v>5380306</v>
      </c>
      <c r="DI1174">
        <v>1</v>
      </c>
      <c r="DJ1174">
        <v>0</v>
      </c>
      <c r="DK1174">
        <v>1</v>
      </c>
      <c r="DL1174">
        <v>0</v>
      </c>
      <c r="DM1174">
        <v>0</v>
      </c>
      <c r="DN1174">
        <v>1</v>
      </c>
      <c r="DO1174">
        <v>0</v>
      </c>
      <c r="DP1174">
        <v>0</v>
      </c>
      <c r="DQ1174">
        <v>0</v>
      </c>
      <c r="DR1174">
        <v>0</v>
      </c>
      <c r="DS1174">
        <v>0</v>
      </c>
    </row>
    <row r="1175" spans="1:123" x14ac:dyDescent="0.3">
      <c r="A1175" t="str">
        <f t="shared" si="406"/>
        <v>10/04/2022 19:28:42.102</v>
      </c>
      <c r="C1175" t="str">
        <f t="shared" si="396"/>
        <v>FFDDD3C0</v>
      </c>
      <c r="D1175" t="s">
        <v>136</v>
      </c>
      <c r="E1175">
        <v>8</v>
      </c>
      <c r="H1175">
        <v>225</v>
      </c>
      <c r="I1175" t="s">
        <v>137</v>
      </c>
      <c r="J1175" t="s">
        <v>138</v>
      </c>
      <c r="K1175">
        <v>0</v>
      </c>
      <c r="L1175">
        <v>3</v>
      </c>
      <c r="M1175">
        <v>0</v>
      </c>
      <c r="N1175">
        <v>2</v>
      </c>
      <c r="O1175">
        <v>0</v>
      </c>
      <c r="P1175">
        <v>1</v>
      </c>
      <c r="Q1175">
        <v>0</v>
      </c>
      <c r="S1175" t="str">
        <f t="shared" si="407"/>
        <v>19:28:41.000</v>
      </c>
      <c r="T1175" t="str">
        <f t="shared" si="407"/>
        <v>19:28:41.000</v>
      </c>
      <c r="U1175" t="str">
        <f t="shared" si="402"/>
        <v>AC3944</v>
      </c>
      <c r="V1175">
        <v>0</v>
      </c>
      <c r="W1175">
        <v>0</v>
      </c>
      <c r="X1175">
        <v>2</v>
      </c>
      <c r="Y1175">
        <v>0</v>
      </c>
      <c r="AA1175">
        <v>1</v>
      </c>
      <c r="AB1175">
        <v>8</v>
      </c>
      <c r="AC1175">
        <v>3</v>
      </c>
      <c r="AD1175">
        <v>0</v>
      </c>
      <c r="AE1175">
        <v>9</v>
      </c>
      <c r="AF1175" t="s">
        <v>138</v>
      </c>
      <c r="AG1175">
        <v>0</v>
      </c>
      <c r="AH1175">
        <v>3</v>
      </c>
      <c r="AI1175">
        <v>1</v>
      </c>
      <c r="AJ1175">
        <v>0</v>
      </c>
      <c r="AK1175" t="s">
        <v>469</v>
      </c>
      <c r="AL1175">
        <v>32.806441999999997</v>
      </c>
      <c r="AM1175" t="s">
        <v>470</v>
      </c>
      <c r="AN1175">
        <v>-116.91356399999999</v>
      </c>
      <c r="AO1175">
        <v>25</v>
      </c>
      <c r="AP1175">
        <v>2200</v>
      </c>
      <c r="AQ1175" t="s">
        <v>129</v>
      </c>
      <c r="AR1175">
        <v>126</v>
      </c>
      <c r="AS1175">
        <v>-9</v>
      </c>
      <c r="AT1175">
        <v>576</v>
      </c>
      <c r="BB1175">
        <v>1200</v>
      </c>
      <c r="BC1175">
        <v>1</v>
      </c>
      <c r="BD1175" t="str">
        <f t="shared" si="403"/>
        <v xml:space="preserve">N887QR  </v>
      </c>
      <c r="BE1175">
        <v>1</v>
      </c>
      <c r="BJ1175">
        <v>1900</v>
      </c>
      <c r="BK1175">
        <v>-300</v>
      </c>
      <c r="BL1175" t="s">
        <v>163</v>
      </c>
      <c r="BM1175">
        <v>1</v>
      </c>
      <c r="BN1175">
        <v>1</v>
      </c>
      <c r="BO1175">
        <v>1</v>
      </c>
      <c r="BP1175">
        <v>0</v>
      </c>
      <c r="BS1175">
        <v>0.08</v>
      </c>
      <c r="BT1175">
        <v>0</v>
      </c>
      <c r="BU1175">
        <v>0</v>
      </c>
      <c r="CE1175" t="str">
        <f t="shared" si="408"/>
        <v>19:28:41.876</v>
      </c>
      <c r="CF1175">
        <v>875542886</v>
      </c>
      <c r="CS1175">
        <v>3</v>
      </c>
      <c r="CT1175">
        <v>2</v>
      </c>
      <c r="CU1175">
        <v>0</v>
      </c>
      <c r="CV1175">
        <v>2</v>
      </c>
      <c r="CW1175">
        <v>0</v>
      </c>
      <c r="CX1175">
        <v>5</v>
      </c>
      <c r="CY1175">
        <v>7</v>
      </c>
      <c r="CZ1175" t="s">
        <v>131</v>
      </c>
      <c r="DA1175">
        <v>300</v>
      </c>
      <c r="DB1175">
        <v>0</v>
      </c>
      <c r="DC1175" t="s">
        <v>176</v>
      </c>
      <c r="DD1175" t="s">
        <v>177</v>
      </c>
      <c r="DG1175">
        <v>5380306</v>
      </c>
      <c r="DI1175">
        <v>1</v>
      </c>
      <c r="DJ1175">
        <v>0</v>
      </c>
      <c r="DK1175">
        <v>1</v>
      </c>
      <c r="DL1175">
        <v>0</v>
      </c>
      <c r="DM1175">
        <v>0</v>
      </c>
      <c r="DN1175">
        <v>1</v>
      </c>
      <c r="DO1175">
        <v>0</v>
      </c>
      <c r="DP1175">
        <v>0</v>
      </c>
      <c r="DQ1175">
        <v>0</v>
      </c>
      <c r="DR1175">
        <v>0</v>
      </c>
      <c r="DS1175">
        <v>0</v>
      </c>
    </row>
    <row r="1176" spans="1:123" x14ac:dyDescent="0.3">
      <c r="A1176" t="str">
        <f>"10/04/2022 19:28:43.587"</f>
        <v>10/04/2022 19:28:43.587</v>
      </c>
      <c r="C1176" t="str">
        <f t="shared" si="396"/>
        <v>FFDDD3C0</v>
      </c>
      <c r="D1176" t="s">
        <v>134</v>
      </c>
      <c r="E1176">
        <v>15</v>
      </c>
      <c r="J1176" t="s">
        <v>135</v>
      </c>
      <c r="K1176">
        <v>0</v>
      </c>
      <c r="L1176">
        <v>3</v>
      </c>
      <c r="M1176">
        <v>0</v>
      </c>
      <c r="N1176">
        <v>2</v>
      </c>
      <c r="O1176">
        <v>0</v>
      </c>
      <c r="P1176">
        <v>1</v>
      </c>
      <c r="Q1176">
        <v>0</v>
      </c>
      <c r="S1176" t="str">
        <f t="shared" ref="S1176:T1189" si="409">"19:28:43.000"</f>
        <v>19:28:43.000</v>
      </c>
      <c r="T1176" t="str">
        <f t="shared" si="409"/>
        <v>19:28:43.000</v>
      </c>
      <c r="U1176" t="str">
        <f t="shared" si="402"/>
        <v>AC3944</v>
      </c>
      <c r="V1176">
        <v>0</v>
      </c>
      <c r="W1176">
        <v>0</v>
      </c>
      <c r="X1176">
        <v>2</v>
      </c>
      <c r="Y1176">
        <v>0</v>
      </c>
      <c r="AA1176">
        <v>1</v>
      </c>
      <c r="AB1176">
        <v>8</v>
      </c>
      <c r="AC1176">
        <v>3</v>
      </c>
      <c r="AD1176">
        <v>0</v>
      </c>
      <c r="AE1176">
        <v>9</v>
      </c>
      <c r="AF1176" t="s">
        <v>138</v>
      </c>
      <c r="AG1176">
        <v>0</v>
      </c>
      <c r="AH1176">
        <v>3</v>
      </c>
      <c r="AI1176">
        <v>1</v>
      </c>
      <c r="AJ1176">
        <v>0</v>
      </c>
      <c r="AK1176" t="s">
        <v>471</v>
      </c>
      <c r="AL1176">
        <v>32.806398999999999</v>
      </c>
      <c r="AM1176" t="s">
        <v>472</v>
      </c>
      <c r="AN1176">
        <v>-116.91287800000001</v>
      </c>
      <c r="AO1176">
        <v>25</v>
      </c>
      <c r="AP1176">
        <v>2200</v>
      </c>
      <c r="AQ1176" t="s">
        <v>129</v>
      </c>
      <c r="AR1176">
        <v>125</v>
      </c>
      <c r="AS1176">
        <v>-9</v>
      </c>
      <c r="AT1176">
        <v>576</v>
      </c>
      <c r="BB1176">
        <v>1200</v>
      </c>
      <c r="BC1176">
        <v>1</v>
      </c>
      <c r="BD1176" t="str">
        <f t="shared" si="403"/>
        <v xml:space="preserve">N887QR  </v>
      </c>
      <c r="BE1176">
        <v>1</v>
      </c>
      <c r="BJ1176">
        <v>1900</v>
      </c>
      <c r="BK1176">
        <v>-300</v>
      </c>
      <c r="BL1176" t="s">
        <v>163</v>
      </c>
      <c r="BM1176">
        <v>1</v>
      </c>
      <c r="BN1176">
        <v>1</v>
      </c>
      <c r="BO1176">
        <v>1</v>
      </c>
      <c r="BP1176">
        <v>0</v>
      </c>
      <c r="BS1176">
        <v>0.04</v>
      </c>
      <c r="BT1176">
        <v>0</v>
      </c>
      <c r="BU1176">
        <v>0</v>
      </c>
      <c r="CE1176" t="str">
        <f t="shared" ref="CE1176:CE1182" si="410">"19:28:43.346"</f>
        <v>19:28:43.346</v>
      </c>
      <c r="CF1176">
        <v>345797658</v>
      </c>
      <c r="CS1176">
        <v>3</v>
      </c>
      <c r="CT1176">
        <v>2</v>
      </c>
      <c r="CU1176">
        <v>0</v>
      </c>
      <c r="CV1176">
        <v>2</v>
      </c>
      <c r="CW1176">
        <v>0</v>
      </c>
      <c r="CX1176">
        <v>5</v>
      </c>
      <c r="CY1176">
        <v>7</v>
      </c>
      <c r="CZ1176" t="s">
        <v>131</v>
      </c>
      <c r="DA1176">
        <v>300</v>
      </c>
      <c r="DB1176">
        <v>0</v>
      </c>
      <c r="DC1176" t="s">
        <v>176</v>
      </c>
      <c r="DD1176" t="s">
        <v>177</v>
      </c>
      <c r="DG1176">
        <v>5380557</v>
      </c>
      <c r="DI1176">
        <v>1</v>
      </c>
      <c r="DJ1176">
        <v>0</v>
      </c>
      <c r="DK1176">
        <v>0</v>
      </c>
      <c r="DL1176">
        <v>0</v>
      </c>
      <c r="DM1176">
        <v>0</v>
      </c>
      <c r="DN1176">
        <v>1</v>
      </c>
      <c r="DO1176">
        <v>0</v>
      </c>
      <c r="DP1176">
        <v>0</v>
      </c>
      <c r="DQ1176">
        <v>0</v>
      </c>
      <c r="DR1176">
        <v>0</v>
      </c>
      <c r="DS1176">
        <v>0</v>
      </c>
    </row>
    <row r="1177" spans="1:123" x14ac:dyDescent="0.3">
      <c r="A1177" t="str">
        <f>"10/04/2022 19:28:43.587"</f>
        <v>10/04/2022 19:28:43.587</v>
      </c>
      <c r="C1177" t="str">
        <f t="shared" si="396"/>
        <v>FFDDD3C0</v>
      </c>
      <c r="D1177" t="s">
        <v>141</v>
      </c>
      <c r="E1177">
        <v>3</v>
      </c>
      <c r="H1177">
        <v>3</v>
      </c>
      <c r="I1177" t="s">
        <v>146</v>
      </c>
      <c r="J1177" t="s">
        <v>138</v>
      </c>
      <c r="K1177">
        <v>0</v>
      </c>
      <c r="L1177">
        <v>3</v>
      </c>
      <c r="M1177">
        <v>0</v>
      </c>
      <c r="N1177">
        <v>2</v>
      </c>
      <c r="O1177">
        <v>0</v>
      </c>
      <c r="P1177">
        <v>1</v>
      </c>
      <c r="Q1177">
        <v>0</v>
      </c>
      <c r="S1177" t="str">
        <f t="shared" si="409"/>
        <v>19:28:43.000</v>
      </c>
      <c r="T1177" t="str">
        <f t="shared" si="409"/>
        <v>19:28:43.000</v>
      </c>
      <c r="U1177" t="str">
        <f t="shared" si="402"/>
        <v>AC3944</v>
      </c>
      <c r="V1177">
        <v>0</v>
      </c>
      <c r="W1177">
        <v>0</v>
      </c>
      <c r="X1177">
        <v>2</v>
      </c>
      <c r="Y1177">
        <v>0</v>
      </c>
      <c r="AA1177">
        <v>1</v>
      </c>
      <c r="AB1177">
        <v>8</v>
      </c>
      <c r="AC1177">
        <v>3</v>
      </c>
      <c r="AD1177">
        <v>0</v>
      </c>
      <c r="AE1177">
        <v>9</v>
      </c>
      <c r="AF1177" t="s">
        <v>138</v>
      </c>
      <c r="AG1177">
        <v>0</v>
      </c>
      <c r="AH1177">
        <v>3</v>
      </c>
      <c r="AI1177">
        <v>1</v>
      </c>
      <c r="AJ1177">
        <v>0</v>
      </c>
      <c r="AK1177" t="s">
        <v>471</v>
      </c>
      <c r="AL1177">
        <v>32.806398999999999</v>
      </c>
      <c r="AM1177" t="s">
        <v>472</v>
      </c>
      <c r="AN1177">
        <v>-116.91287800000001</v>
      </c>
      <c r="AO1177">
        <v>25</v>
      </c>
      <c r="AP1177">
        <v>2200</v>
      </c>
      <c r="AQ1177" t="s">
        <v>129</v>
      </c>
      <c r="AR1177">
        <v>125</v>
      </c>
      <c r="AS1177">
        <v>-9</v>
      </c>
      <c r="AT1177">
        <v>576</v>
      </c>
      <c r="BB1177">
        <v>1200</v>
      </c>
      <c r="BC1177">
        <v>1</v>
      </c>
      <c r="BD1177" t="str">
        <f t="shared" si="403"/>
        <v xml:space="preserve">N887QR  </v>
      </c>
      <c r="BE1177">
        <v>1</v>
      </c>
      <c r="BJ1177">
        <v>1900</v>
      </c>
      <c r="BK1177">
        <v>-300</v>
      </c>
      <c r="BL1177" t="s">
        <v>163</v>
      </c>
      <c r="BM1177">
        <v>1</v>
      </c>
      <c r="BN1177">
        <v>1</v>
      </c>
      <c r="BO1177">
        <v>1</v>
      </c>
      <c r="BP1177">
        <v>0</v>
      </c>
      <c r="BS1177">
        <v>0.08</v>
      </c>
      <c r="BT1177">
        <v>0</v>
      </c>
      <c r="BU1177">
        <v>0</v>
      </c>
      <c r="CE1177" t="str">
        <f t="shared" si="410"/>
        <v>19:28:43.346</v>
      </c>
      <c r="CF1177">
        <v>345797658</v>
      </c>
      <c r="CS1177">
        <v>3</v>
      </c>
      <c r="CT1177">
        <v>2</v>
      </c>
      <c r="CU1177">
        <v>0</v>
      </c>
      <c r="CV1177">
        <v>2</v>
      </c>
      <c r="CW1177">
        <v>0</v>
      </c>
      <c r="CX1177">
        <v>5</v>
      </c>
      <c r="CY1177">
        <v>7</v>
      </c>
      <c r="CZ1177" t="s">
        <v>131</v>
      </c>
      <c r="DA1177">
        <v>300</v>
      </c>
      <c r="DB1177">
        <v>0</v>
      </c>
      <c r="DC1177" t="s">
        <v>176</v>
      </c>
      <c r="DD1177" t="s">
        <v>177</v>
      </c>
      <c r="DG1177">
        <v>5380557</v>
      </c>
      <c r="DI1177">
        <v>1</v>
      </c>
      <c r="DJ1177">
        <v>0</v>
      </c>
      <c r="DK1177">
        <v>1</v>
      </c>
      <c r="DL1177">
        <v>0</v>
      </c>
      <c r="DM1177">
        <v>0</v>
      </c>
      <c r="DN1177">
        <v>1</v>
      </c>
      <c r="DO1177">
        <v>0</v>
      </c>
      <c r="DP1177">
        <v>0</v>
      </c>
      <c r="DQ1177">
        <v>0</v>
      </c>
      <c r="DR1177">
        <v>0</v>
      </c>
      <c r="DS1177">
        <v>0</v>
      </c>
    </row>
    <row r="1178" spans="1:123" x14ac:dyDescent="0.3">
      <c r="A1178" t="str">
        <f>"10/04/2022 19:28:43.587"</f>
        <v>10/04/2022 19:28:43.587</v>
      </c>
      <c r="C1178" t="str">
        <f t="shared" si="396"/>
        <v>FFDDD3C0</v>
      </c>
      <c r="D1178" t="s">
        <v>141</v>
      </c>
      <c r="E1178">
        <v>4</v>
      </c>
      <c r="H1178">
        <v>4</v>
      </c>
      <c r="I1178" t="s">
        <v>142</v>
      </c>
      <c r="J1178" t="s">
        <v>138</v>
      </c>
      <c r="K1178">
        <v>0</v>
      </c>
      <c r="L1178">
        <v>3</v>
      </c>
      <c r="M1178">
        <v>0</v>
      </c>
      <c r="N1178">
        <v>2</v>
      </c>
      <c r="O1178">
        <v>0</v>
      </c>
      <c r="P1178">
        <v>1</v>
      </c>
      <c r="Q1178">
        <v>0</v>
      </c>
      <c r="S1178" t="str">
        <f t="shared" si="409"/>
        <v>19:28:43.000</v>
      </c>
      <c r="T1178" t="str">
        <f t="shared" si="409"/>
        <v>19:28:43.000</v>
      </c>
      <c r="U1178" t="str">
        <f t="shared" si="402"/>
        <v>AC3944</v>
      </c>
      <c r="V1178">
        <v>0</v>
      </c>
      <c r="W1178">
        <v>0</v>
      </c>
      <c r="X1178">
        <v>2</v>
      </c>
      <c r="Y1178">
        <v>0</v>
      </c>
      <c r="AA1178">
        <v>1</v>
      </c>
      <c r="AB1178">
        <v>8</v>
      </c>
      <c r="AC1178">
        <v>3</v>
      </c>
      <c r="AD1178">
        <v>0</v>
      </c>
      <c r="AE1178">
        <v>9</v>
      </c>
      <c r="AF1178" t="s">
        <v>138</v>
      </c>
      <c r="AG1178">
        <v>0</v>
      </c>
      <c r="AH1178">
        <v>3</v>
      </c>
      <c r="AI1178">
        <v>1</v>
      </c>
      <c r="AJ1178">
        <v>0</v>
      </c>
      <c r="AK1178" t="s">
        <v>471</v>
      </c>
      <c r="AL1178">
        <v>32.806398999999999</v>
      </c>
      <c r="AM1178" t="s">
        <v>472</v>
      </c>
      <c r="AN1178">
        <v>-116.91287800000001</v>
      </c>
      <c r="AO1178">
        <v>25</v>
      </c>
      <c r="AP1178">
        <v>2200</v>
      </c>
      <c r="AQ1178" t="s">
        <v>129</v>
      </c>
      <c r="AR1178">
        <v>125</v>
      </c>
      <c r="AS1178">
        <v>-9</v>
      </c>
      <c r="AT1178">
        <v>576</v>
      </c>
      <c r="BB1178">
        <v>1200</v>
      </c>
      <c r="BC1178">
        <v>1</v>
      </c>
      <c r="BD1178" t="str">
        <f t="shared" si="403"/>
        <v xml:space="preserve">N887QR  </v>
      </c>
      <c r="BE1178">
        <v>1</v>
      </c>
      <c r="BJ1178">
        <v>1900</v>
      </c>
      <c r="BK1178">
        <v>-300</v>
      </c>
      <c r="BL1178" t="s">
        <v>163</v>
      </c>
      <c r="BM1178">
        <v>1</v>
      </c>
      <c r="BN1178">
        <v>1</v>
      </c>
      <c r="BO1178">
        <v>1</v>
      </c>
      <c r="BP1178">
        <v>0</v>
      </c>
      <c r="BS1178">
        <v>0.08</v>
      </c>
      <c r="BT1178">
        <v>0</v>
      </c>
      <c r="BU1178">
        <v>0</v>
      </c>
      <c r="CE1178" t="str">
        <f t="shared" si="410"/>
        <v>19:28:43.346</v>
      </c>
      <c r="CF1178">
        <v>345797658</v>
      </c>
      <c r="CS1178">
        <v>3</v>
      </c>
      <c r="CT1178">
        <v>2</v>
      </c>
      <c r="CU1178">
        <v>0</v>
      </c>
      <c r="CV1178">
        <v>2</v>
      </c>
      <c r="CW1178">
        <v>0</v>
      </c>
      <c r="CX1178">
        <v>5</v>
      </c>
      <c r="CY1178">
        <v>7</v>
      </c>
      <c r="CZ1178" t="s">
        <v>131</v>
      </c>
      <c r="DA1178">
        <v>300</v>
      </c>
      <c r="DB1178">
        <v>0</v>
      </c>
      <c r="DC1178" t="s">
        <v>176</v>
      </c>
      <c r="DD1178" t="s">
        <v>177</v>
      </c>
      <c r="DG1178">
        <v>5380557</v>
      </c>
      <c r="DI1178">
        <v>1</v>
      </c>
      <c r="DJ1178">
        <v>0</v>
      </c>
      <c r="DK1178">
        <v>1</v>
      </c>
      <c r="DL1178">
        <v>0</v>
      </c>
      <c r="DM1178">
        <v>0</v>
      </c>
      <c r="DN1178">
        <v>1</v>
      </c>
      <c r="DO1178">
        <v>0</v>
      </c>
      <c r="DP1178">
        <v>0</v>
      </c>
      <c r="DQ1178">
        <v>0</v>
      </c>
      <c r="DR1178">
        <v>0</v>
      </c>
      <c r="DS1178">
        <v>0</v>
      </c>
    </row>
    <row r="1179" spans="1:123" x14ac:dyDescent="0.3">
      <c r="A1179" t="str">
        <f>"10/04/2022 19:28:43.587"</f>
        <v>10/04/2022 19:28:43.587</v>
      </c>
      <c r="C1179" t="str">
        <f t="shared" si="396"/>
        <v>FFDDD3C0</v>
      </c>
      <c r="D1179" t="s">
        <v>147</v>
      </c>
      <c r="E1179">
        <v>3</v>
      </c>
      <c r="H1179">
        <v>166</v>
      </c>
      <c r="I1179" t="s">
        <v>144</v>
      </c>
      <c r="J1179" t="s">
        <v>148</v>
      </c>
      <c r="K1179">
        <v>0</v>
      </c>
      <c r="L1179">
        <v>3</v>
      </c>
      <c r="M1179">
        <v>0</v>
      </c>
      <c r="N1179">
        <v>2</v>
      </c>
      <c r="O1179">
        <v>0</v>
      </c>
      <c r="P1179">
        <v>1</v>
      </c>
      <c r="Q1179">
        <v>0</v>
      </c>
      <c r="S1179" t="str">
        <f t="shared" si="409"/>
        <v>19:28:43.000</v>
      </c>
      <c r="T1179" t="str">
        <f t="shared" si="409"/>
        <v>19:28:43.000</v>
      </c>
      <c r="U1179" t="str">
        <f t="shared" si="402"/>
        <v>AC3944</v>
      </c>
      <c r="V1179">
        <v>0</v>
      </c>
      <c r="W1179">
        <v>0</v>
      </c>
      <c r="X1179">
        <v>2</v>
      </c>
      <c r="Y1179">
        <v>0</v>
      </c>
      <c r="AA1179">
        <v>1</v>
      </c>
      <c r="AB1179">
        <v>8</v>
      </c>
      <c r="AC1179">
        <v>3</v>
      </c>
      <c r="AD1179">
        <v>0</v>
      </c>
      <c r="AE1179">
        <v>9</v>
      </c>
      <c r="AF1179" t="s">
        <v>138</v>
      </c>
      <c r="AG1179">
        <v>0</v>
      </c>
      <c r="AH1179">
        <v>3</v>
      </c>
      <c r="AI1179">
        <v>1</v>
      </c>
      <c r="AJ1179">
        <v>0</v>
      </c>
      <c r="AK1179" t="s">
        <v>471</v>
      </c>
      <c r="AL1179">
        <v>32.806398999999999</v>
      </c>
      <c r="AM1179" t="s">
        <v>472</v>
      </c>
      <c r="AN1179">
        <v>-116.91287800000001</v>
      </c>
      <c r="AO1179">
        <v>25</v>
      </c>
      <c r="AP1179">
        <v>2200</v>
      </c>
      <c r="AQ1179" t="s">
        <v>129</v>
      </c>
      <c r="AR1179">
        <v>125</v>
      </c>
      <c r="AS1179">
        <v>-9</v>
      </c>
      <c r="AT1179">
        <v>576</v>
      </c>
      <c r="BB1179">
        <v>1200</v>
      </c>
      <c r="BC1179">
        <v>1</v>
      </c>
      <c r="BD1179" t="str">
        <f t="shared" si="403"/>
        <v xml:space="preserve">N887QR  </v>
      </c>
      <c r="BE1179">
        <v>1</v>
      </c>
      <c r="BJ1179">
        <v>1900</v>
      </c>
      <c r="BK1179">
        <v>-300</v>
      </c>
      <c r="BL1179" t="s">
        <v>163</v>
      </c>
      <c r="BM1179">
        <v>1</v>
      </c>
      <c r="BN1179">
        <v>1</v>
      </c>
      <c r="BO1179">
        <v>1</v>
      </c>
      <c r="BP1179">
        <v>0</v>
      </c>
      <c r="BS1179">
        <v>0.08</v>
      </c>
      <c r="BT1179">
        <v>0</v>
      </c>
      <c r="BU1179">
        <v>0</v>
      </c>
      <c r="CE1179" t="str">
        <f t="shared" si="410"/>
        <v>19:28:43.346</v>
      </c>
      <c r="CF1179">
        <v>345797658</v>
      </c>
      <c r="CS1179">
        <v>3</v>
      </c>
      <c r="CT1179">
        <v>2</v>
      </c>
      <c r="CU1179">
        <v>0</v>
      </c>
      <c r="CV1179">
        <v>2</v>
      </c>
      <c r="CW1179">
        <v>0</v>
      </c>
      <c r="CX1179">
        <v>5</v>
      </c>
      <c r="CY1179">
        <v>7</v>
      </c>
      <c r="CZ1179" t="s">
        <v>131</v>
      </c>
      <c r="DA1179">
        <v>300</v>
      </c>
      <c r="DB1179">
        <v>0</v>
      </c>
      <c r="DC1179" t="s">
        <v>176</v>
      </c>
      <c r="DD1179" t="s">
        <v>177</v>
      </c>
      <c r="DG1179">
        <v>5380557</v>
      </c>
      <c r="DI1179">
        <v>1</v>
      </c>
      <c r="DJ1179">
        <v>0</v>
      </c>
      <c r="DK1179">
        <v>1</v>
      </c>
      <c r="DL1179">
        <v>0</v>
      </c>
      <c r="DM1179">
        <v>0</v>
      </c>
      <c r="DN1179">
        <v>1</v>
      </c>
      <c r="DO1179">
        <v>0</v>
      </c>
      <c r="DP1179">
        <v>0</v>
      </c>
      <c r="DQ1179">
        <v>0</v>
      </c>
      <c r="DR1179">
        <v>0</v>
      </c>
      <c r="DS1179">
        <v>0</v>
      </c>
    </row>
    <row r="1180" spans="1:123" x14ac:dyDescent="0.3">
      <c r="A1180" t="str">
        <f>"10/04/2022 19:28:43.587"</f>
        <v>10/04/2022 19:28:43.587</v>
      </c>
      <c r="C1180" t="str">
        <f t="shared" si="396"/>
        <v>FFDDD3C0</v>
      </c>
      <c r="D1180" t="s">
        <v>136</v>
      </c>
      <c r="E1180">
        <v>8</v>
      </c>
      <c r="H1180">
        <v>225</v>
      </c>
      <c r="I1180" t="s">
        <v>137</v>
      </c>
      <c r="J1180" t="s">
        <v>138</v>
      </c>
      <c r="K1180">
        <v>0</v>
      </c>
      <c r="L1180">
        <v>3</v>
      </c>
      <c r="M1180">
        <v>0</v>
      </c>
      <c r="N1180">
        <v>2</v>
      </c>
      <c r="O1180">
        <v>0</v>
      </c>
      <c r="P1180">
        <v>1</v>
      </c>
      <c r="Q1180">
        <v>0</v>
      </c>
      <c r="S1180" t="str">
        <f t="shared" si="409"/>
        <v>19:28:43.000</v>
      </c>
      <c r="T1180" t="str">
        <f t="shared" si="409"/>
        <v>19:28:43.000</v>
      </c>
      <c r="U1180" t="str">
        <f t="shared" si="402"/>
        <v>AC3944</v>
      </c>
      <c r="V1180">
        <v>0</v>
      </c>
      <c r="W1180">
        <v>0</v>
      </c>
      <c r="X1180">
        <v>2</v>
      </c>
      <c r="Y1180">
        <v>0</v>
      </c>
      <c r="AA1180">
        <v>1</v>
      </c>
      <c r="AB1180">
        <v>8</v>
      </c>
      <c r="AC1180">
        <v>3</v>
      </c>
      <c r="AD1180">
        <v>0</v>
      </c>
      <c r="AE1180">
        <v>9</v>
      </c>
      <c r="AF1180" t="s">
        <v>138</v>
      </c>
      <c r="AG1180">
        <v>0</v>
      </c>
      <c r="AH1180">
        <v>3</v>
      </c>
      <c r="AI1180">
        <v>1</v>
      </c>
      <c r="AJ1180">
        <v>0</v>
      </c>
      <c r="AK1180" t="s">
        <v>471</v>
      </c>
      <c r="AL1180">
        <v>32.806398999999999</v>
      </c>
      <c r="AM1180" t="s">
        <v>472</v>
      </c>
      <c r="AN1180">
        <v>-116.91287800000001</v>
      </c>
      <c r="AO1180">
        <v>25</v>
      </c>
      <c r="AP1180">
        <v>2200</v>
      </c>
      <c r="AQ1180" t="s">
        <v>129</v>
      </c>
      <c r="AR1180">
        <v>125</v>
      </c>
      <c r="AS1180">
        <v>-9</v>
      </c>
      <c r="AT1180">
        <v>576</v>
      </c>
      <c r="BB1180">
        <v>1200</v>
      </c>
      <c r="BC1180">
        <v>1</v>
      </c>
      <c r="BD1180" t="str">
        <f t="shared" si="403"/>
        <v xml:space="preserve">N887QR  </v>
      </c>
      <c r="BE1180">
        <v>1</v>
      </c>
      <c r="BJ1180">
        <v>1900</v>
      </c>
      <c r="BK1180">
        <v>-300</v>
      </c>
      <c r="BL1180" t="s">
        <v>163</v>
      </c>
      <c r="BM1180">
        <v>1</v>
      </c>
      <c r="BN1180">
        <v>1</v>
      </c>
      <c r="BO1180">
        <v>1</v>
      </c>
      <c r="BP1180">
        <v>0</v>
      </c>
      <c r="BS1180">
        <v>0.08</v>
      </c>
      <c r="BT1180">
        <v>0</v>
      </c>
      <c r="BU1180">
        <v>0</v>
      </c>
      <c r="CE1180" t="str">
        <f t="shared" si="410"/>
        <v>19:28:43.346</v>
      </c>
      <c r="CF1180">
        <v>345797658</v>
      </c>
      <c r="CS1180">
        <v>3</v>
      </c>
      <c r="CT1180">
        <v>2</v>
      </c>
      <c r="CU1180">
        <v>0</v>
      </c>
      <c r="CV1180">
        <v>2</v>
      </c>
      <c r="CW1180">
        <v>0</v>
      </c>
      <c r="CX1180">
        <v>5</v>
      </c>
      <c r="CY1180">
        <v>7</v>
      </c>
      <c r="CZ1180" t="s">
        <v>131</v>
      </c>
      <c r="DA1180">
        <v>300</v>
      </c>
      <c r="DB1180">
        <v>0</v>
      </c>
      <c r="DC1180" t="s">
        <v>176</v>
      </c>
      <c r="DD1180" t="s">
        <v>177</v>
      </c>
      <c r="DG1180">
        <v>5380557</v>
      </c>
      <c r="DI1180">
        <v>1</v>
      </c>
      <c r="DJ1180">
        <v>0</v>
      </c>
      <c r="DK1180">
        <v>1</v>
      </c>
      <c r="DL1180">
        <v>0</v>
      </c>
      <c r="DM1180">
        <v>0</v>
      </c>
      <c r="DN1180">
        <v>1</v>
      </c>
      <c r="DO1180">
        <v>0</v>
      </c>
      <c r="DP1180">
        <v>0</v>
      </c>
      <c r="DQ1180">
        <v>0</v>
      </c>
      <c r="DR1180">
        <v>0</v>
      </c>
      <c r="DS1180">
        <v>0</v>
      </c>
    </row>
    <row r="1181" spans="1:123" x14ac:dyDescent="0.3">
      <c r="A1181" t="str">
        <f>"10/04/2022 19:28:43.602"</f>
        <v>10/04/2022 19:28:43.602</v>
      </c>
      <c r="C1181" t="str">
        <f t="shared" si="396"/>
        <v>FFDDD3C0</v>
      </c>
      <c r="D1181" t="s">
        <v>143</v>
      </c>
      <c r="E1181">
        <v>20</v>
      </c>
      <c r="F1181">
        <v>1020</v>
      </c>
      <c r="G1181" t="s">
        <v>144</v>
      </c>
      <c r="J1181" t="s">
        <v>145</v>
      </c>
      <c r="K1181">
        <v>0</v>
      </c>
      <c r="L1181">
        <v>3</v>
      </c>
      <c r="M1181">
        <v>0</v>
      </c>
      <c r="N1181">
        <v>2</v>
      </c>
      <c r="O1181">
        <v>0</v>
      </c>
      <c r="P1181">
        <v>1</v>
      </c>
      <c r="Q1181">
        <v>0</v>
      </c>
      <c r="S1181" t="str">
        <f t="shared" si="409"/>
        <v>19:28:43.000</v>
      </c>
      <c r="T1181" t="str">
        <f t="shared" si="409"/>
        <v>19:28:43.000</v>
      </c>
      <c r="U1181" t="str">
        <f t="shared" si="402"/>
        <v>AC3944</v>
      </c>
      <c r="V1181">
        <v>0</v>
      </c>
      <c r="W1181">
        <v>0</v>
      </c>
      <c r="X1181">
        <v>2</v>
      </c>
      <c r="Y1181">
        <v>0</v>
      </c>
      <c r="AA1181">
        <v>1</v>
      </c>
      <c r="AB1181">
        <v>8</v>
      </c>
      <c r="AC1181">
        <v>3</v>
      </c>
      <c r="AD1181">
        <v>0</v>
      </c>
      <c r="AE1181">
        <v>9</v>
      </c>
      <c r="AF1181" t="s">
        <v>138</v>
      </c>
      <c r="AG1181">
        <v>0</v>
      </c>
      <c r="AH1181">
        <v>3</v>
      </c>
      <c r="AI1181">
        <v>1</v>
      </c>
      <c r="AJ1181">
        <v>0</v>
      </c>
      <c r="AK1181" t="s">
        <v>471</v>
      </c>
      <c r="AL1181">
        <v>32.806398999999999</v>
      </c>
      <c r="AM1181" t="s">
        <v>472</v>
      </c>
      <c r="AN1181">
        <v>-116.91287800000001</v>
      </c>
      <c r="AO1181">
        <v>25</v>
      </c>
      <c r="AP1181">
        <v>2200</v>
      </c>
      <c r="AQ1181" t="s">
        <v>129</v>
      </c>
      <c r="AR1181">
        <v>125</v>
      </c>
      <c r="AS1181">
        <v>-9</v>
      </c>
      <c r="AT1181">
        <v>576</v>
      </c>
      <c r="BB1181">
        <v>1200</v>
      </c>
      <c r="BC1181">
        <v>1</v>
      </c>
      <c r="BD1181" t="str">
        <f t="shared" si="403"/>
        <v xml:space="preserve">N887QR  </v>
      </c>
      <c r="BE1181">
        <v>1</v>
      </c>
      <c r="BJ1181">
        <v>1900</v>
      </c>
      <c r="BK1181">
        <v>-300</v>
      </c>
      <c r="BL1181" t="s">
        <v>163</v>
      </c>
      <c r="BM1181">
        <v>1</v>
      </c>
      <c r="BN1181">
        <v>1</v>
      </c>
      <c r="BO1181">
        <v>1</v>
      </c>
      <c r="BP1181">
        <v>0</v>
      </c>
      <c r="BS1181">
        <v>0.04</v>
      </c>
      <c r="BT1181">
        <v>0</v>
      </c>
      <c r="BU1181">
        <v>0</v>
      </c>
      <c r="CE1181" t="str">
        <f t="shared" si="410"/>
        <v>19:28:43.346</v>
      </c>
      <c r="CF1181">
        <v>345797658</v>
      </c>
      <c r="CS1181">
        <v>3</v>
      </c>
      <c r="CT1181">
        <v>2</v>
      </c>
      <c r="CU1181">
        <v>0</v>
      </c>
      <c r="CV1181">
        <v>2</v>
      </c>
      <c r="CW1181">
        <v>0</v>
      </c>
      <c r="CX1181">
        <v>5</v>
      </c>
      <c r="CY1181">
        <v>7</v>
      </c>
      <c r="CZ1181" t="s">
        <v>131</v>
      </c>
      <c r="DA1181">
        <v>300</v>
      </c>
      <c r="DB1181">
        <v>0</v>
      </c>
      <c r="DC1181" t="s">
        <v>176</v>
      </c>
      <c r="DD1181" t="s">
        <v>177</v>
      </c>
      <c r="DG1181">
        <v>5380557</v>
      </c>
      <c r="DI1181">
        <v>1</v>
      </c>
      <c r="DJ1181">
        <v>0</v>
      </c>
      <c r="DK1181">
        <v>1</v>
      </c>
      <c r="DL1181">
        <v>0</v>
      </c>
      <c r="DM1181">
        <v>0</v>
      </c>
      <c r="DN1181">
        <v>1</v>
      </c>
      <c r="DO1181">
        <v>0</v>
      </c>
      <c r="DP1181">
        <v>0</v>
      </c>
      <c r="DQ1181">
        <v>0</v>
      </c>
      <c r="DR1181">
        <v>0</v>
      </c>
      <c r="DS1181">
        <v>0</v>
      </c>
    </row>
    <row r="1182" spans="1:123" x14ac:dyDescent="0.3">
      <c r="A1182" t="str">
        <f>"10/04/2022 19:28:43.633"</f>
        <v>10/04/2022 19:28:43.633</v>
      </c>
      <c r="C1182" t="str">
        <f t="shared" si="396"/>
        <v>FFDDD3C0</v>
      </c>
      <c r="D1182" t="s">
        <v>123</v>
      </c>
      <c r="E1182">
        <v>7</v>
      </c>
      <c r="F1182">
        <v>2007</v>
      </c>
      <c r="G1182" t="s">
        <v>124</v>
      </c>
      <c r="J1182" t="s">
        <v>125</v>
      </c>
      <c r="K1182">
        <v>0</v>
      </c>
      <c r="L1182">
        <v>3</v>
      </c>
      <c r="M1182">
        <v>0</v>
      </c>
      <c r="N1182">
        <v>2</v>
      </c>
      <c r="O1182">
        <v>0</v>
      </c>
      <c r="P1182">
        <v>1</v>
      </c>
      <c r="Q1182">
        <v>0</v>
      </c>
      <c r="S1182" t="str">
        <f t="shared" si="409"/>
        <v>19:28:43.000</v>
      </c>
      <c r="T1182" t="str">
        <f t="shared" si="409"/>
        <v>19:28:43.000</v>
      </c>
      <c r="U1182" t="str">
        <f t="shared" si="402"/>
        <v>AC3944</v>
      </c>
      <c r="V1182">
        <v>0</v>
      </c>
      <c r="W1182">
        <v>0</v>
      </c>
      <c r="X1182">
        <v>2</v>
      </c>
      <c r="Y1182">
        <v>0</v>
      </c>
      <c r="AA1182">
        <v>1</v>
      </c>
      <c r="AB1182">
        <v>8</v>
      </c>
      <c r="AC1182">
        <v>3</v>
      </c>
      <c r="AD1182">
        <v>0</v>
      </c>
      <c r="AE1182">
        <v>9</v>
      </c>
      <c r="AF1182" t="s">
        <v>138</v>
      </c>
      <c r="AG1182">
        <v>0</v>
      </c>
      <c r="AH1182">
        <v>3</v>
      </c>
      <c r="AI1182">
        <v>1</v>
      </c>
      <c r="AJ1182">
        <v>0</v>
      </c>
      <c r="AK1182" t="s">
        <v>471</v>
      </c>
      <c r="AL1182">
        <v>32.806398999999999</v>
      </c>
      <c r="AM1182" t="s">
        <v>472</v>
      </c>
      <c r="AN1182">
        <v>-116.91287800000001</v>
      </c>
      <c r="AO1182">
        <v>25</v>
      </c>
      <c r="AP1182">
        <v>2200</v>
      </c>
      <c r="AQ1182" t="s">
        <v>129</v>
      </c>
      <c r="AR1182">
        <v>125</v>
      </c>
      <c r="AS1182">
        <v>-9</v>
      </c>
      <c r="AT1182">
        <v>576</v>
      </c>
      <c r="BB1182">
        <v>1200</v>
      </c>
      <c r="BC1182">
        <v>1</v>
      </c>
      <c r="BD1182" t="str">
        <f t="shared" si="403"/>
        <v xml:space="preserve">N887QR  </v>
      </c>
      <c r="BE1182">
        <v>1</v>
      </c>
      <c r="BJ1182">
        <v>1900</v>
      </c>
      <c r="BK1182">
        <v>-300</v>
      </c>
      <c r="BL1182" t="s">
        <v>163</v>
      </c>
      <c r="BM1182">
        <v>1</v>
      </c>
      <c r="BN1182">
        <v>1</v>
      </c>
      <c r="BO1182">
        <v>1</v>
      </c>
      <c r="BP1182">
        <v>0</v>
      </c>
      <c r="BS1182">
        <v>0.04</v>
      </c>
      <c r="BT1182">
        <v>0</v>
      </c>
      <c r="BU1182">
        <v>0</v>
      </c>
      <c r="CE1182" t="str">
        <f t="shared" si="410"/>
        <v>19:28:43.346</v>
      </c>
      <c r="CF1182">
        <v>345797658</v>
      </c>
      <c r="CS1182">
        <v>3</v>
      </c>
      <c r="CT1182">
        <v>2</v>
      </c>
      <c r="CU1182">
        <v>0</v>
      </c>
      <c r="CV1182">
        <v>2</v>
      </c>
      <c r="CW1182">
        <v>0</v>
      </c>
      <c r="CX1182">
        <v>5</v>
      </c>
      <c r="CY1182">
        <v>7</v>
      </c>
      <c r="CZ1182" t="s">
        <v>131</v>
      </c>
      <c r="DA1182">
        <v>300</v>
      </c>
      <c r="DB1182">
        <v>0</v>
      </c>
      <c r="DC1182" t="s">
        <v>176</v>
      </c>
      <c r="DD1182" t="s">
        <v>177</v>
      </c>
      <c r="DG1182">
        <v>5380557</v>
      </c>
      <c r="DI1182">
        <v>1</v>
      </c>
      <c r="DJ1182">
        <v>0</v>
      </c>
      <c r="DK1182">
        <v>1</v>
      </c>
      <c r="DL1182">
        <v>0</v>
      </c>
      <c r="DM1182">
        <v>0</v>
      </c>
      <c r="DN1182">
        <v>1</v>
      </c>
      <c r="DO1182">
        <v>0</v>
      </c>
      <c r="DP1182">
        <v>0</v>
      </c>
      <c r="DQ1182">
        <v>0</v>
      </c>
      <c r="DR1182">
        <v>0</v>
      </c>
      <c r="DS1182">
        <v>0</v>
      </c>
    </row>
    <row r="1183" spans="1:123" x14ac:dyDescent="0.3">
      <c r="A1183" t="str">
        <f>"10/04/2022 19:28:44.149"</f>
        <v>10/04/2022 19:28:44.149</v>
      </c>
      <c r="C1183" t="str">
        <f t="shared" si="396"/>
        <v>FFDDD3C0</v>
      </c>
      <c r="D1183" t="s">
        <v>143</v>
      </c>
      <c r="E1183">
        <v>20</v>
      </c>
      <c r="F1183">
        <v>1020</v>
      </c>
      <c r="G1183" t="s">
        <v>144</v>
      </c>
      <c r="J1183" t="s">
        <v>145</v>
      </c>
      <c r="K1183">
        <v>0</v>
      </c>
      <c r="L1183">
        <v>3</v>
      </c>
      <c r="M1183">
        <v>0</v>
      </c>
      <c r="N1183">
        <v>2</v>
      </c>
      <c r="O1183">
        <v>0</v>
      </c>
      <c r="P1183">
        <v>1</v>
      </c>
      <c r="Q1183">
        <v>0</v>
      </c>
      <c r="S1183" t="str">
        <f t="shared" si="409"/>
        <v>19:28:43.000</v>
      </c>
      <c r="T1183" t="str">
        <f t="shared" si="409"/>
        <v>19:28:43.000</v>
      </c>
      <c r="U1183" t="str">
        <f t="shared" si="402"/>
        <v>AC3944</v>
      </c>
      <c r="V1183">
        <v>0</v>
      </c>
      <c r="W1183">
        <v>0</v>
      </c>
      <c r="X1183">
        <v>2</v>
      </c>
      <c r="Y1183">
        <v>0</v>
      </c>
      <c r="AA1183">
        <v>1</v>
      </c>
      <c r="AB1183">
        <v>8</v>
      </c>
      <c r="AC1183">
        <v>3</v>
      </c>
      <c r="AD1183">
        <v>0</v>
      </c>
      <c r="AE1183">
        <v>9</v>
      </c>
      <c r="AF1183" t="s">
        <v>138</v>
      </c>
      <c r="AG1183">
        <v>0</v>
      </c>
      <c r="AH1183">
        <v>3</v>
      </c>
      <c r="AI1183">
        <v>1</v>
      </c>
      <c r="AJ1183">
        <v>0</v>
      </c>
      <c r="AK1183" t="s">
        <v>473</v>
      </c>
      <c r="AL1183">
        <v>32.806356000000001</v>
      </c>
      <c r="AM1183" t="s">
        <v>474</v>
      </c>
      <c r="AN1183">
        <v>-116.91219100000001</v>
      </c>
      <c r="AO1183">
        <v>25</v>
      </c>
      <c r="AP1183">
        <v>2200</v>
      </c>
      <c r="AQ1183" t="s">
        <v>129</v>
      </c>
      <c r="AR1183">
        <v>124</v>
      </c>
      <c r="AS1183">
        <v>-9</v>
      </c>
      <c r="AT1183">
        <v>576</v>
      </c>
      <c r="BB1183">
        <v>1200</v>
      </c>
      <c r="BC1183">
        <v>1</v>
      </c>
      <c r="BD1183" t="str">
        <f t="shared" si="403"/>
        <v xml:space="preserve">N887QR  </v>
      </c>
      <c r="BE1183">
        <v>1</v>
      </c>
      <c r="BJ1183">
        <v>1900</v>
      </c>
      <c r="BK1183">
        <v>-300</v>
      </c>
      <c r="BL1183" t="s">
        <v>163</v>
      </c>
      <c r="BM1183">
        <v>1</v>
      </c>
      <c r="BN1183">
        <v>1</v>
      </c>
      <c r="BO1183">
        <v>1</v>
      </c>
      <c r="BP1183">
        <v>0</v>
      </c>
      <c r="BS1183">
        <v>0.04</v>
      </c>
      <c r="BT1183">
        <v>0</v>
      </c>
      <c r="BU1183">
        <v>0</v>
      </c>
      <c r="CE1183" t="str">
        <f t="shared" ref="CE1183:CE1189" si="411">"19:28:43.964"</f>
        <v>19:28:43.964</v>
      </c>
      <c r="CF1183">
        <v>964049710</v>
      </c>
      <c r="CS1183">
        <v>3</v>
      </c>
      <c r="CT1183">
        <v>2</v>
      </c>
      <c r="CU1183">
        <v>0</v>
      </c>
      <c r="CV1183">
        <v>2</v>
      </c>
      <c r="CW1183">
        <v>0</v>
      </c>
      <c r="CX1183">
        <v>5</v>
      </c>
      <c r="CY1183">
        <v>7</v>
      </c>
      <c r="CZ1183" t="s">
        <v>131</v>
      </c>
      <c r="DA1183">
        <v>300</v>
      </c>
      <c r="DB1183">
        <v>0</v>
      </c>
      <c r="DC1183" t="s">
        <v>176</v>
      </c>
      <c r="DD1183" t="s">
        <v>177</v>
      </c>
      <c r="DG1183">
        <v>5380648</v>
      </c>
      <c r="DI1183">
        <v>1</v>
      </c>
      <c r="DJ1183">
        <v>0</v>
      </c>
      <c r="DK1183">
        <v>0</v>
      </c>
      <c r="DL1183">
        <v>0</v>
      </c>
      <c r="DM1183">
        <v>0</v>
      </c>
      <c r="DN1183">
        <v>1</v>
      </c>
      <c r="DO1183">
        <v>0</v>
      </c>
      <c r="DP1183">
        <v>0</v>
      </c>
      <c r="DQ1183">
        <v>0</v>
      </c>
      <c r="DR1183">
        <v>0</v>
      </c>
      <c r="DS1183">
        <v>0</v>
      </c>
    </row>
    <row r="1184" spans="1:123" x14ac:dyDescent="0.3">
      <c r="A1184" t="str">
        <f>"10/04/2022 19:28:44.149"</f>
        <v>10/04/2022 19:28:44.149</v>
      </c>
      <c r="C1184" t="str">
        <f t="shared" si="396"/>
        <v>FFDDD3C0</v>
      </c>
      <c r="D1184" t="s">
        <v>123</v>
      </c>
      <c r="E1184">
        <v>7</v>
      </c>
      <c r="F1184">
        <v>2007</v>
      </c>
      <c r="G1184" t="s">
        <v>124</v>
      </c>
      <c r="J1184" t="s">
        <v>125</v>
      </c>
      <c r="K1184">
        <v>0</v>
      </c>
      <c r="L1184">
        <v>3</v>
      </c>
      <c r="M1184">
        <v>0</v>
      </c>
      <c r="N1184">
        <v>2</v>
      </c>
      <c r="O1184">
        <v>0</v>
      </c>
      <c r="P1184">
        <v>1</v>
      </c>
      <c r="Q1184">
        <v>0</v>
      </c>
      <c r="S1184" t="str">
        <f t="shared" si="409"/>
        <v>19:28:43.000</v>
      </c>
      <c r="T1184" t="str">
        <f t="shared" si="409"/>
        <v>19:28:43.000</v>
      </c>
      <c r="U1184" t="str">
        <f t="shared" si="402"/>
        <v>AC3944</v>
      </c>
      <c r="V1184">
        <v>0</v>
      </c>
      <c r="W1184">
        <v>0</v>
      </c>
      <c r="X1184">
        <v>2</v>
      </c>
      <c r="Y1184">
        <v>0</v>
      </c>
      <c r="AA1184">
        <v>1</v>
      </c>
      <c r="AB1184">
        <v>8</v>
      </c>
      <c r="AC1184">
        <v>3</v>
      </c>
      <c r="AD1184">
        <v>0</v>
      </c>
      <c r="AE1184">
        <v>9</v>
      </c>
      <c r="AF1184" t="s">
        <v>138</v>
      </c>
      <c r="AG1184">
        <v>0</v>
      </c>
      <c r="AH1184">
        <v>3</v>
      </c>
      <c r="AI1184">
        <v>1</v>
      </c>
      <c r="AJ1184">
        <v>0</v>
      </c>
      <c r="AK1184" t="s">
        <v>473</v>
      </c>
      <c r="AL1184">
        <v>32.806356000000001</v>
      </c>
      <c r="AM1184" t="s">
        <v>474</v>
      </c>
      <c r="AN1184">
        <v>-116.91219100000001</v>
      </c>
      <c r="AO1184">
        <v>25</v>
      </c>
      <c r="AP1184">
        <v>2200</v>
      </c>
      <c r="AQ1184" t="s">
        <v>129</v>
      </c>
      <c r="AR1184">
        <v>124</v>
      </c>
      <c r="AS1184">
        <v>-9</v>
      </c>
      <c r="AT1184">
        <v>576</v>
      </c>
      <c r="BB1184">
        <v>1200</v>
      </c>
      <c r="BC1184">
        <v>1</v>
      </c>
      <c r="BD1184" t="str">
        <f t="shared" si="403"/>
        <v xml:space="preserve">N887QR  </v>
      </c>
      <c r="BE1184">
        <v>1</v>
      </c>
      <c r="BJ1184">
        <v>1900</v>
      </c>
      <c r="BK1184">
        <v>-300</v>
      </c>
      <c r="BL1184" t="s">
        <v>163</v>
      </c>
      <c r="BM1184">
        <v>1</v>
      </c>
      <c r="BN1184">
        <v>1</v>
      </c>
      <c r="BO1184">
        <v>1</v>
      </c>
      <c r="BP1184">
        <v>0</v>
      </c>
      <c r="BS1184">
        <v>0.04</v>
      </c>
      <c r="BT1184">
        <v>0</v>
      </c>
      <c r="BU1184">
        <v>0</v>
      </c>
      <c r="CE1184" t="str">
        <f t="shared" si="411"/>
        <v>19:28:43.964</v>
      </c>
      <c r="CF1184">
        <v>964049710</v>
      </c>
      <c r="CS1184">
        <v>3</v>
      </c>
      <c r="CT1184">
        <v>2</v>
      </c>
      <c r="CU1184">
        <v>0</v>
      </c>
      <c r="CV1184">
        <v>2</v>
      </c>
      <c r="CW1184">
        <v>0</v>
      </c>
      <c r="CX1184">
        <v>5</v>
      </c>
      <c r="CY1184">
        <v>7</v>
      </c>
      <c r="CZ1184" t="s">
        <v>131</v>
      </c>
      <c r="DA1184">
        <v>300</v>
      </c>
      <c r="DB1184">
        <v>0</v>
      </c>
      <c r="DC1184" t="s">
        <v>176</v>
      </c>
      <c r="DD1184" t="s">
        <v>177</v>
      </c>
      <c r="DG1184">
        <v>5380648</v>
      </c>
      <c r="DI1184">
        <v>1</v>
      </c>
      <c r="DJ1184">
        <v>0</v>
      </c>
      <c r="DK1184">
        <v>1</v>
      </c>
      <c r="DL1184">
        <v>0</v>
      </c>
      <c r="DM1184">
        <v>0</v>
      </c>
      <c r="DN1184">
        <v>1</v>
      </c>
      <c r="DO1184">
        <v>0</v>
      </c>
      <c r="DP1184">
        <v>0</v>
      </c>
      <c r="DQ1184">
        <v>0</v>
      </c>
      <c r="DR1184">
        <v>0</v>
      </c>
      <c r="DS1184">
        <v>0</v>
      </c>
    </row>
    <row r="1185" spans="1:123" x14ac:dyDescent="0.3">
      <c r="A1185" t="str">
        <f>"10/04/2022 19:28:44.165"</f>
        <v>10/04/2022 19:28:44.165</v>
      </c>
      <c r="C1185" t="str">
        <f t="shared" si="396"/>
        <v>FFDDD3C0</v>
      </c>
      <c r="D1185" t="s">
        <v>134</v>
      </c>
      <c r="E1185">
        <v>15</v>
      </c>
      <c r="J1185" t="s">
        <v>135</v>
      </c>
      <c r="K1185">
        <v>0</v>
      </c>
      <c r="L1185">
        <v>3</v>
      </c>
      <c r="M1185">
        <v>0</v>
      </c>
      <c r="N1185">
        <v>2</v>
      </c>
      <c r="O1185">
        <v>0</v>
      </c>
      <c r="P1185">
        <v>1</v>
      </c>
      <c r="Q1185">
        <v>0</v>
      </c>
      <c r="S1185" t="str">
        <f t="shared" si="409"/>
        <v>19:28:43.000</v>
      </c>
      <c r="T1185" t="str">
        <f t="shared" si="409"/>
        <v>19:28:43.000</v>
      </c>
      <c r="U1185" t="str">
        <f t="shared" si="402"/>
        <v>AC3944</v>
      </c>
      <c r="V1185">
        <v>0</v>
      </c>
      <c r="W1185">
        <v>0</v>
      </c>
      <c r="X1185">
        <v>2</v>
      </c>
      <c r="Y1185">
        <v>0</v>
      </c>
      <c r="AA1185">
        <v>1</v>
      </c>
      <c r="AB1185">
        <v>8</v>
      </c>
      <c r="AC1185">
        <v>3</v>
      </c>
      <c r="AD1185">
        <v>0</v>
      </c>
      <c r="AE1185">
        <v>9</v>
      </c>
      <c r="AF1185" t="s">
        <v>138</v>
      </c>
      <c r="AG1185">
        <v>0</v>
      </c>
      <c r="AH1185">
        <v>3</v>
      </c>
      <c r="AI1185">
        <v>1</v>
      </c>
      <c r="AJ1185">
        <v>0</v>
      </c>
      <c r="AK1185" t="s">
        <v>473</v>
      </c>
      <c r="AL1185">
        <v>32.806356000000001</v>
      </c>
      <c r="AM1185" t="s">
        <v>474</v>
      </c>
      <c r="AN1185">
        <v>-116.91219100000001</v>
      </c>
      <c r="AO1185">
        <v>25</v>
      </c>
      <c r="AP1185">
        <v>2200</v>
      </c>
      <c r="AQ1185" t="s">
        <v>129</v>
      </c>
      <c r="AR1185">
        <v>124</v>
      </c>
      <c r="AS1185">
        <v>-9</v>
      </c>
      <c r="AT1185">
        <v>576</v>
      </c>
      <c r="BB1185">
        <v>1200</v>
      </c>
      <c r="BC1185">
        <v>1</v>
      </c>
      <c r="BD1185" t="str">
        <f t="shared" si="403"/>
        <v xml:space="preserve">N887QR  </v>
      </c>
      <c r="BE1185">
        <v>1</v>
      </c>
      <c r="BJ1185">
        <v>1900</v>
      </c>
      <c r="BK1185">
        <v>-300</v>
      </c>
      <c r="BL1185" t="s">
        <v>163</v>
      </c>
      <c r="BM1185">
        <v>1</v>
      </c>
      <c r="BN1185">
        <v>1</v>
      </c>
      <c r="BO1185">
        <v>1</v>
      </c>
      <c r="BP1185">
        <v>0</v>
      </c>
      <c r="BS1185">
        <v>0.04</v>
      </c>
      <c r="BT1185">
        <v>0</v>
      </c>
      <c r="BU1185">
        <v>0</v>
      </c>
      <c r="CE1185" t="str">
        <f t="shared" si="411"/>
        <v>19:28:43.964</v>
      </c>
      <c r="CF1185">
        <v>964049710</v>
      </c>
      <c r="CS1185">
        <v>3</v>
      </c>
      <c r="CT1185">
        <v>2</v>
      </c>
      <c r="CU1185">
        <v>0</v>
      </c>
      <c r="CV1185">
        <v>2</v>
      </c>
      <c r="CW1185">
        <v>0</v>
      </c>
      <c r="CX1185">
        <v>5</v>
      </c>
      <c r="CY1185">
        <v>7</v>
      </c>
      <c r="CZ1185" t="s">
        <v>131</v>
      </c>
      <c r="DA1185">
        <v>300</v>
      </c>
      <c r="DB1185">
        <v>0</v>
      </c>
      <c r="DC1185" t="s">
        <v>176</v>
      </c>
      <c r="DD1185" t="s">
        <v>177</v>
      </c>
      <c r="DG1185">
        <v>5380648</v>
      </c>
      <c r="DI1185">
        <v>1</v>
      </c>
      <c r="DJ1185">
        <v>0</v>
      </c>
      <c r="DK1185">
        <v>1</v>
      </c>
      <c r="DL1185">
        <v>0</v>
      </c>
      <c r="DM1185">
        <v>0</v>
      </c>
      <c r="DN1185">
        <v>1</v>
      </c>
      <c r="DO1185">
        <v>0</v>
      </c>
      <c r="DP1185">
        <v>0</v>
      </c>
      <c r="DQ1185">
        <v>0</v>
      </c>
      <c r="DR1185">
        <v>0</v>
      </c>
      <c r="DS1185">
        <v>0</v>
      </c>
    </row>
    <row r="1186" spans="1:123" x14ac:dyDescent="0.3">
      <c r="A1186" t="str">
        <f>"10/04/2022 19:28:44.180"</f>
        <v>10/04/2022 19:28:44.180</v>
      </c>
      <c r="C1186" t="str">
        <f t="shared" si="396"/>
        <v>FFDDD3C0</v>
      </c>
      <c r="D1186" t="s">
        <v>141</v>
      </c>
      <c r="E1186">
        <v>4</v>
      </c>
      <c r="H1186">
        <v>4</v>
      </c>
      <c r="I1186" t="s">
        <v>142</v>
      </c>
      <c r="J1186" t="s">
        <v>138</v>
      </c>
      <c r="K1186">
        <v>0</v>
      </c>
      <c r="L1186">
        <v>3</v>
      </c>
      <c r="M1186">
        <v>0</v>
      </c>
      <c r="N1186">
        <v>2</v>
      </c>
      <c r="O1186">
        <v>0</v>
      </c>
      <c r="P1186">
        <v>1</v>
      </c>
      <c r="Q1186">
        <v>0</v>
      </c>
      <c r="S1186" t="str">
        <f t="shared" si="409"/>
        <v>19:28:43.000</v>
      </c>
      <c r="T1186" t="str">
        <f t="shared" si="409"/>
        <v>19:28:43.000</v>
      </c>
      <c r="U1186" t="str">
        <f t="shared" si="402"/>
        <v>AC3944</v>
      </c>
      <c r="V1186">
        <v>0</v>
      </c>
      <c r="W1186">
        <v>0</v>
      </c>
      <c r="X1186">
        <v>2</v>
      </c>
      <c r="Y1186">
        <v>0</v>
      </c>
      <c r="AA1186">
        <v>1</v>
      </c>
      <c r="AB1186">
        <v>8</v>
      </c>
      <c r="AC1186">
        <v>3</v>
      </c>
      <c r="AD1186">
        <v>0</v>
      </c>
      <c r="AE1186">
        <v>9</v>
      </c>
      <c r="AF1186" t="s">
        <v>138</v>
      </c>
      <c r="AG1186">
        <v>0</v>
      </c>
      <c r="AH1186">
        <v>3</v>
      </c>
      <c r="AI1186">
        <v>1</v>
      </c>
      <c r="AJ1186">
        <v>0</v>
      </c>
      <c r="AK1186" t="s">
        <v>473</v>
      </c>
      <c r="AL1186">
        <v>32.806356000000001</v>
      </c>
      <c r="AM1186" t="s">
        <v>474</v>
      </c>
      <c r="AN1186">
        <v>-116.91219100000001</v>
      </c>
      <c r="AO1186">
        <v>25</v>
      </c>
      <c r="AP1186">
        <v>2200</v>
      </c>
      <c r="AQ1186" t="s">
        <v>129</v>
      </c>
      <c r="AR1186">
        <v>124</v>
      </c>
      <c r="AS1186">
        <v>-9</v>
      </c>
      <c r="AT1186">
        <v>576</v>
      </c>
      <c r="BB1186">
        <v>1200</v>
      </c>
      <c r="BC1186">
        <v>1</v>
      </c>
      <c r="BD1186" t="str">
        <f t="shared" si="403"/>
        <v xml:space="preserve">N887QR  </v>
      </c>
      <c r="BE1186">
        <v>1</v>
      </c>
      <c r="BJ1186">
        <v>1900</v>
      </c>
      <c r="BK1186">
        <v>-300</v>
      </c>
      <c r="BL1186" t="s">
        <v>163</v>
      </c>
      <c r="BM1186">
        <v>1</v>
      </c>
      <c r="BN1186">
        <v>1</v>
      </c>
      <c r="BO1186">
        <v>1</v>
      </c>
      <c r="BP1186">
        <v>0</v>
      </c>
      <c r="BS1186">
        <v>0.08</v>
      </c>
      <c r="BT1186">
        <v>0</v>
      </c>
      <c r="BU1186">
        <v>0</v>
      </c>
      <c r="CE1186" t="str">
        <f t="shared" si="411"/>
        <v>19:28:43.964</v>
      </c>
      <c r="CF1186">
        <v>964049710</v>
      </c>
      <c r="CS1186">
        <v>3</v>
      </c>
      <c r="CT1186">
        <v>2</v>
      </c>
      <c r="CU1186">
        <v>0</v>
      </c>
      <c r="CV1186">
        <v>2</v>
      </c>
      <c r="CW1186">
        <v>0</v>
      </c>
      <c r="CX1186">
        <v>5</v>
      </c>
      <c r="CY1186">
        <v>7</v>
      </c>
      <c r="CZ1186" t="s">
        <v>131</v>
      </c>
      <c r="DA1186">
        <v>300</v>
      </c>
      <c r="DB1186">
        <v>0</v>
      </c>
      <c r="DC1186" t="s">
        <v>176</v>
      </c>
      <c r="DD1186" t="s">
        <v>177</v>
      </c>
      <c r="DG1186">
        <v>5380648</v>
      </c>
      <c r="DI1186">
        <v>1</v>
      </c>
      <c r="DJ1186">
        <v>0</v>
      </c>
      <c r="DK1186">
        <v>1</v>
      </c>
      <c r="DL1186">
        <v>0</v>
      </c>
      <c r="DM1186">
        <v>0</v>
      </c>
      <c r="DN1186">
        <v>1</v>
      </c>
      <c r="DO1186">
        <v>0</v>
      </c>
      <c r="DP1186">
        <v>0</v>
      </c>
      <c r="DQ1186">
        <v>0</v>
      </c>
      <c r="DR1186">
        <v>0</v>
      </c>
      <c r="DS1186">
        <v>0</v>
      </c>
    </row>
    <row r="1187" spans="1:123" x14ac:dyDescent="0.3">
      <c r="A1187" t="str">
        <f>"10/04/2022 19:28:44.180"</f>
        <v>10/04/2022 19:28:44.180</v>
      </c>
      <c r="C1187" t="str">
        <f t="shared" si="396"/>
        <v>FFDDD3C0</v>
      </c>
      <c r="D1187" t="s">
        <v>141</v>
      </c>
      <c r="E1187">
        <v>3</v>
      </c>
      <c r="H1187">
        <v>3</v>
      </c>
      <c r="I1187" t="s">
        <v>146</v>
      </c>
      <c r="J1187" t="s">
        <v>138</v>
      </c>
      <c r="K1187">
        <v>0</v>
      </c>
      <c r="L1187">
        <v>3</v>
      </c>
      <c r="M1187">
        <v>0</v>
      </c>
      <c r="N1187">
        <v>2</v>
      </c>
      <c r="O1187">
        <v>0</v>
      </c>
      <c r="P1187">
        <v>1</v>
      </c>
      <c r="Q1187">
        <v>0</v>
      </c>
      <c r="S1187" t="str">
        <f t="shared" si="409"/>
        <v>19:28:43.000</v>
      </c>
      <c r="T1187" t="str">
        <f t="shared" si="409"/>
        <v>19:28:43.000</v>
      </c>
      <c r="U1187" t="str">
        <f t="shared" si="402"/>
        <v>AC3944</v>
      </c>
      <c r="V1187">
        <v>0</v>
      </c>
      <c r="W1187">
        <v>0</v>
      </c>
      <c r="X1187">
        <v>2</v>
      </c>
      <c r="Y1187">
        <v>0</v>
      </c>
      <c r="AA1187">
        <v>1</v>
      </c>
      <c r="AB1187">
        <v>8</v>
      </c>
      <c r="AC1187">
        <v>3</v>
      </c>
      <c r="AD1187">
        <v>0</v>
      </c>
      <c r="AE1187">
        <v>9</v>
      </c>
      <c r="AF1187" t="s">
        <v>138</v>
      </c>
      <c r="AG1187">
        <v>0</v>
      </c>
      <c r="AH1187">
        <v>3</v>
      </c>
      <c r="AI1187">
        <v>1</v>
      </c>
      <c r="AJ1187">
        <v>0</v>
      </c>
      <c r="AK1187" t="s">
        <v>473</v>
      </c>
      <c r="AL1187">
        <v>32.806356000000001</v>
      </c>
      <c r="AM1187" t="s">
        <v>474</v>
      </c>
      <c r="AN1187">
        <v>-116.91219100000001</v>
      </c>
      <c r="AO1187">
        <v>25</v>
      </c>
      <c r="AP1187">
        <v>2200</v>
      </c>
      <c r="AQ1187" t="s">
        <v>129</v>
      </c>
      <c r="AR1187">
        <v>124</v>
      </c>
      <c r="AS1187">
        <v>-9</v>
      </c>
      <c r="AT1187">
        <v>576</v>
      </c>
      <c r="BB1187">
        <v>1200</v>
      </c>
      <c r="BC1187">
        <v>1</v>
      </c>
      <c r="BD1187" t="str">
        <f t="shared" si="403"/>
        <v xml:space="preserve">N887QR  </v>
      </c>
      <c r="BE1187">
        <v>1</v>
      </c>
      <c r="BJ1187">
        <v>1900</v>
      </c>
      <c r="BK1187">
        <v>-300</v>
      </c>
      <c r="BL1187" t="s">
        <v>163</v>
      </c>
      <c r="BM1187">
        <v>1</v>
      </c>
      <c r="BN1187">
        <v>1</v>
      </c>
      <c r="BO1187">
        <v>1</v>
      </c>
      <c r="BP1187">
        <v>0</v>
      </c>
      <c r="BS1187">
        <v>0.08</v>
      </c>
      <c r="BT1187">
        <v>0</v>
      </c>
      <c r="BU1187">
        <v>0</v>
      </c>
      <c r="CE1187" t="str">
        <f t="shared" si="411"/>
        <v>19:28:43.964</v>
      </c>
      <c r="CF1187">
        <v>964049710</v>
      </c>
      <c r="CS1187">
        <v>3</v>
      </c>
      <c r="CT1187">
        <v>2</v>
      </c>
      <c r="CU1187">
        <v>0</v>
      </c>
      <c r="CV1187">
        <v>2</v>
      </c>
      <c r="CW1187">
        <v>0</v>
      </c>
      <c r="CX1187">
        <v>5</v>
      </c>
      <c r="CY1187">
        <v>7</v>
      </c>
      <c r="CZ1187" t="s">
        <v>131</v>
      </c>
      <c r="DA1187">
        <v>300</v>
      </c>
      <c r="DB1187">
        <v>0</v>
      </c>
      <c r="DC1187" t="s">
        <v>176</v>
      </c>
      <c r="DD1187" t="s">
        <v>177</v>
      </c>
      <c r="DG1187">
        <v>5380648</v>
      </c>
      <c r="DI1187">
        <v>1</v>
      </c>
      <c r="DJ1187">
        <v>0</v>
      </c>
      <c r="DK1187">
        <v>1</v>
      </c>
      <c r="DL1187">
        <v>0</v>
      </c>
      <c r="DM1187">
        <v>0</v>
      </c>
      <c r="DN1187">
        <v>1</v>
      </c>
      <c r="DO1187">
        <v>0</v>
      </c>
      <c r="DP1187">
        <v>0</v>
      </c>
      <c r="DQ1187">
        <v>0</v>
      </c>
      <c r="DR1187">
        <v>0</v>
      </c>
      <c r="DS1187">
        <v>0</v>
      </c>
    </row>
    <row r="1188" spans="1:123" x14ac:dyDescent="0.3">
      <c r="A1188" t="str">
        <f>"10/04/2022 19:28:44.180"</f>
        <v>10/04/2022 19:28:44.180</v>
      </c>
      <c r="C1188" t="str">
        <f t="shared" si="396"/>
        <v>FFDDD3C0</v>
      </c>
      <c r="D1188" t="s">
        <v>147</v>
      </c>
      <c r="E1188">
        <v>3</v>
      </c>
      <c r="H1188">
        <v>166</v>
      </c>
      <c r="I1188" t="s">
        <v>144</v>
      </c>
      <c r="J1188" t="s">
        <v>148</v>
      </c>
      <c r="K1188">
        <v>0</v>
      </c>
      <c r="L1188">
        <v>3</v>
      </c>
      <c r="M1188">
        <v>0</v>
      </c>
      <c r="N1188">
        <v>2</v>
      </c>
      <c r="O1188">
        <v>0</v>
      </c>
      <c r="P1188">
        <v>1</v>
      </c>
      <c r="Q1188">
        <v>0</v>
      </c>
      <c r="S1188" t="str">
        <f t="shared" si="409"/>
        <v>19:28:43.000</v>
      </c>
      <c r="T1188" t="str">
        <f t="shared" si="409"/>
        <v>19:28:43.000</v>
      </c>
      <c r="U1188" t="str">
        <f t="shared" si="402"/>
        <v>AC3944</v>
      </c>
      <c r="V1188">
        <v>0</v>
      </c>
      <c r="W1188">
        <v>0</v>
      </c>
      <c r="X1188">
        <v>2</v>
      </c>
      <c r="Y1188">
        <v>0</v>
      </c>
      <c r="AA1188">
        <v>1</v>
      </c>
      <c r="AB1188">
        <v>8</v>
      </c>
      <c r="AC1188">
        <v>3</v>
      </c>
      <c r="AD1188">
        <v>0</v>
      </c>
      <c r="AE1188">
        <v>9</v>
      </c>
      <c r="AF1188" t="s">
        <v>138</v>
      </c>
      <c r="AG1188">
        <v>0</v>
      </c>
      <c r="AH1188">
        <v>3</v>
      </c>
      <c r="AI1188">
        <v>1</v>
      </c>
      <c r="AJ1188">
        <v>0</v>
      </c>
      <c r="AK1188" t="s">
        <v>473</v>
      </c>
      <c r="AL1188">
        <v>32.806356000000001</v>
      </c>
      <c r="AM1188" t="s">
        <v>474</v>
      </c>
      <c r="AN1188">
        <v>-116.91219100000001</v>
      </c>
      <c r="AO1188">
        <v>25</v>
      </c>
      <c r="AP1188">
        <v>2200</v>
      </c>
      <c r="AQ1188" t="s">
        <v>129</v>
      </c>
      <c r="AR1188">
        <v>124</v>
      </c>
      <c r="AS1188">
        <v>-9</v>
      </c>
      <c r="AT1188">
        <v>576</v>
      </c>
      <c r="BB1188">
        <v>1200</v>
      </c>
      <c r="BC1188">
        <v>1</v>
      </c>
      <c r="BD1188" t="str">
        <f t="shared" si="403"/>
        <v xml:space="preserve">N887QR  </v>
      </c>
      <c r="BE1188">
        <v>1</v>
      </c>
      <c r="BJ1188">
        <v>1900</v>
      </c>
      <c r="BK1188">
        <v>-300</v>
      </c>
      <c r="BL1188" t="s">
        <v>163</v>
      </c>
      <c r="BM1188">
        <v>1</v>
      </c>
      <c r="BN1188">
        <v>1</v>
      </c>
      <c r="BO1188">
        <v>1</v>
      </c>
      <c r="BP1188">
        <v>0</v>
      </c>
      <c r="BS1188">
        <v>0.08</v>
      </c>
      <c r="BT1188">
        <v>0</v>
      </c>
      <c r="BU1188">
        <v>0</v>
      </c>
      <c r="CE1188" t="str">
        <f t="shared" si="411"/>
        <v>19:28:43.964</v>
      </c>
      <c r="CF1188">
        <v>964049710</v>
      </c>
      <c r="CS1188">
        <v>3</v>
      </c>
      <c r="CT1188">
        <v>2</v>
      </c>
      <c r="CU1188">
        <v>0</v>
      </c>
      <c r="CV1188">
        <v>2</v>
      </c>
      <c r="CW1188">
        <v>0</v>
      </c>
      <c r="CX1188">
        <v>5</v>
      </c>
      <c r="CY1188">
        <v>7</v>
      </c>
      <c r="CZ1188" t="s">
        <v>131</v>
      </c>
      <c r="DA1188">
        <v>300</v>
      </c>
      <c r="DB1188">
        <v>0</v>
      </c>
      <c r="DC1188" t="s">
        <v>176</v>
      </c>
      <c r="DD1188" t="s">
        <v>177</v>
      </c>
      <c r="DG1188">
        <v>5380648</v>
      </c>
      <c r="DI1188">
        <v>1</v>
      </c>
      <c r="DJ1188">
        <v>0</v>
      </c>
      <c r="DK1188">
        <v>1</v>
      </c>
      <c r="DL1188">
        <v>0</v>
      </c>
      <c r="DM1188">
        <v>0</v>
      </c>
      <c r="DN1188">
        <v>1</v>
      </c>
      <c r="DO1188">
        <v>0</v>
      </c>
      <c r="DP1188">
        <v>0</v>
      </c>
      <c r="DQ1188">
        <v>0</v>
      </c>
      <c r="DR1188">
        <v>0</v>
      </c>
      <c r="DS1188">
        <v>0</v>
      </c>
    </row>
    <row r="1189" spans="1:123" x14ac:dyDescent="0.3">
      <c r="A1189" t="str">
        <f>"10/04/2022 19:28:44.180"</f>
        <v>10/04/2022 19:28:44.180</v>
      </c>
      <c r="C1189" t="str">
        <f t="shared" si="396"/>
        <v>FFDDD3C0</v>
      </c>
      <c r="D1189" t="s">
        <v>136</v>
      </c>
      <c r="E1189">
        <v>8</v>
      </c>
      <c r="H1189">
        <v>225</v>
      </c>
      <c r="I1189" t="s">
        <v>137</v>
      </c>
      <c r="J1189" t="s">
        <v>138</v>
      </c>
      <c r="K1189">
        <v>0</v>
      </c>
      <c r="L1189">
        <v>3</v>
      </c>
      <c r="M1189">
        <v>0</v>
      </c>
      <c r="N1189">
        <v>2</v>
      </c>
      <c r="O1189">
        <v>0</v>
      </c>
      <c r="P1189">
        <v>1</v>
      </c>
      <c r="Q1189">
        <v>0</v>
      </c>
      <c r="S1189" t="str">
        <f t="shared" si="409"/>
        <v>19:28:43.000</v>
      </c>
      <c r="T1189" t="str">
        <f t="shared" si="409"/>
        <v>19:28:43.000</v>
      </c>
      <c r="U1189" t="str">
        <f t="shared" si="402"/>
        <v>AC3944</v>
      </c>
      <c r="V1189">
        <v>0</v>
      </c>
      <c r="W1189">
        <v>0</v>
      </c>
      <c r="X1189">
        <v>2</v>
      </c>
      <c r="Y1189">
        <v>0</v>
      </c>
      <c r="AA1189">
        <v>1</v>
      </c>
      <c r="AB1189">
        <v>8</v>
      </c>
      <c r="AC1189">
        <v>3</v>
      </c>
      <c r="AD1189">
        <v>0</v>
      </c>
      <c r="AE1189">
        <v>9</v>
      </c>
      <c r="AF1189" t="s">
        <v>138</v>
      </c>
      <c r="AG1189">
        <v>0</v>
      </c>
      <c r="AH1189">
        <v>3</v>
      </c>
      <c r="AI1189">
        <v>1</v>
      </c>
      <c r="AJ1189">
        <v>0</v>
      </c>
      <c r="AK1189" t="s">
        <v>473</v>
      </c>
      <c r="AL1189">
        <v>32.806356000000001</v>
      </c>
      <c r="AM1189" t="s">
        <v>474</v>
      </c>
      <c r="AN1189">
        <v>-116.91219100000001</v>
      </c>
      <c r="AO1189">
        <v>25</v>
      </c>
      <c r="AP1189">
        <v>2200</v>
      </c>
      <c r="AQ1189" t="s">
        <v>129</v>
      </c>
      <c r="AR1189">
        <v>124</v>
      </c>
      <c r="AS1189">
        <v>-9</v>
      </c>
      <c r="AT1189">
        <v>576</v>
      </c>
      <c r="BB1189">
        <v>1200</v>
      </c>
      <c r="BC1189">
        <v>1</v>
      </c>
      <c r="BD1189" t="str">
        <f t="shared" si="403"/>
        <v xml:space="preserve">N887QR  </v>
      </c>
      <c r="BE1189">
        <v>1</v>
      </c>
      <c r="BJ1189">
        <v>1900</v>
      </c>
      <c r="BK1189">
        <v>-300</v>
      </c>
      <c r="BL1189" t="s">
        <v>163</v>
      </c>
      <c r="BM1189">
        <v>1</v>
      </c>
      <c r="BN1189">
        <v>1</v>
      </c>
      <c r="BO1189">
        <v>1</v>
      </c>
      <c r="BP1189">
        <v>0</v>
      </c>
      <c r="BS1189">
        <v>0.08</v>
      </c>
      <c r="BT1189">
        <v>0</v>
      </c>
      <c r="BU1189">
        <v>0</v>
      </c>
      <c r="CE1189" t="str">
        <f t="shared" si="411"/>
        <v>19:28:43.964</v>
      </c>
      <c r="CF1189">
        <v>964049710</v>
      </c>
      <c r="CS1189">
        <v>3</v>
      </c>
      <c r="CT1189">
        <v>2</v>
      </c>
      <c r="CU1189">
        <v>0</v>
      </c>
      <c r="CV1189">
        <v>2</v>
      </c>
      <c r="CW1189">
        <v>0</v>
      </c>
      <c r="CX1189">
        <v>5</v>
      </c>
      <c r="CY1189">
        <v>7</v>
      </c>
      <c r="CZ1189" t="s">
        <v>131</v>
      </c>
      <c r="DA1189">
        <v>300</v>
      </c>
      <c r="DB1189">
        <v>0</v>
      </c>
      <c r="DC1189" t="s">
        <v>176</v>
      </c>
      <c r="DD1189" t="s">
        <v>177</v>
      </c>
      <c r="DG1189">
        <v>5380648</v>
      </c>
      <c r="DI1189">
        <v>1</v>
      </c>
      <c r="DJ1189">
        <v>0</v>
      </c>
      <c r="DK1189">
        <v>1</v>
      </c>
      <c r="DL1189">
        <v>0</v>
      </c>
      <c r="DM1189">
        <v>0</v>
      </c>
      <c r="DN1189">
        <v>1</v>
      </c>
      <c r="DO1189">
        <v>0</v>
      </c>
      <c r="DP1189">
        <v>0</v>
      </c>
      <c r="DQ1189">
        <v>0</v>
      </c>
      <c r="DR1189">
        <v>0</v>
      </c>
      <c r="DS1189">
        <v>0</v>
      </c>
    </row>
    <row r="1190" spans="1:123" x14ac:dyDescent="0.3">
      <c r="A1190" t="str">
        <f>"10/04/2022 19:28:46.272"</f>
        <v>10/04/2022 19:28:46.272</v>
      </c>
      <c r="C1190" t="str">
        <f t="shared" si="396"/>
        <v>FFDDD3C0</v>
      </c>
      <c r="D1190" t="s">
        <v>123</v>
      </c>
      <c r="E1190">
        <v>7</v>
      </c>
      <c r="F1190">
        <v>2007</v>
      </c>
      <c r="G1190" t="s">
        <v>124</v>
      </c>
      <c r="J1190" t="s">
        <v>125</v>
      </c>
      <c r="K1190">
        <v>0</v>
      </c>
      <c r="L1190">
        <v>3</v>
      </c>
      <c r="M1190">
        <v>0</v>
      </c>
      <c r="N1190">
        <v>2</v>
      </c>
      <c r="O1190">
        <v>0</v>
      </c>
      <c r="P1190">
        <v>1</v>
      </c>
      <c r="Q1190">
        <v>0</v>
      </c>
      <c r="S1190" t="str">
        <f t="shared" ref="S1190:T1203" si="412">"19:28:46.000"</f>
        <v>19:28:46.000</v>
      </c>
      <c r="T1190" t="str">
        <f t="shared" si="412"/>
        <v>19:28:46.000</v>
      </c>
      <c r="U1190" t="str">
        <f t="shared" si="402"/>
        <v>AC3944</v>
      </c>
      <c r="V1190">
        <v>0</v>
      </c>
      <c r="W1190">
        <v>0</v>
      </c>
      <c r="X1190">
        <v>2</v>
      </c>
      <c r="Y1190">
        <v>0</v>
      </c>
      <c r="AA1190">
        <v>1</v>
      </c>
      <c r="AB1190">
        <v>8</v>
      </c>
      <c r="AC1190">
        <v>3</v>
      </c>
      <c r="AD1190">
        <v>0</v>
      </c>
      <c r="AE1190">
        <v>9</v>
      </c>
      <c r="AF1190" t="s">
        <v>138</v>
      </c>
      <c r="AG1190">
        <v>0</v>
      </c>
      <c r="AH1190">
        <v>3</v>
      </c>
      <c r="AI1190">
        <v>1</v>
      </c>
      <c r="AJ1190">
        <v>0</v>
      </c>
      <c r="AK1190" t="s">
        <v>475</v>
      </c>
      <c r="AL1190">
        <v>32.806291999999999</v>
      </c>
      <c r="AM1190" t="s">
        <v>476</v>
      </c>
      <c r="AN1190">
        <v>-116.910968</v>
      </c>
      <c r="AO1190">
        <v>25</v>
      </c>
      <c r="AP1190">
        <v>2300</v>
      </c>
      <c r="AQ1190" t="s">
        <v>129</v>
      </c>
      <c r="AR1190">
        <v>122</v>
      </c>
      <c r="AS1190">
        <v>-8</v>
      </c>
      <c r="AT1190">
        <v>576</v>
      </c>
      <c r="BB1190">
        <v>1200</v>
      </c>
      <c r="BC1190">
        <v>1</v>
      </c>
      <c r="BD1190" t="str">
        <f t="shared" si="403"/>
        <v xml:space="preserve">N887QR  </v>
      </c>
      <c r="BE1190">
        <v>1</v>
      </c>
      <c r="BJ1190">
        <v>1900</v>
      </c>
      <c r="BK1190">
        <v>-400</v>
      </c>
      <c r="BL1190" t="s">
        <v>163</v>
      </c>
      <c r="BM1190">
        <v>1</v>
      </c>
      <c r="BN1190">
        <v>1</v>
      </c>
      <c r="BO1190">
        <v>1</v>
      </c>
      <c r="BP1190">
        <v>0</v>
      </c>
      <c r="BS1190">
        <v>0.04</v>
      </c>
      <c r="BT1190">
        <v>0</v>
      </c>
      <c r="BU1190">
        <v>0</v>
      </c>
      <c r="CE1190" t="str">
        <f t="shared" ref="CE1190:CE1196" si="413">"19:28:46.066"</f>
        <v>19:28:46.066</v>
      </c>
      <c r="CF1190">
        <v>65806416</v>
      </c>
      <c r="CS1190">
        <v>3</v>
      </c>
      <c r="CT1190">
        <v>2</v>
      </c>
      <c r="CU1190">
        <v>0</v>
      </c>
      <c r="CV1190">
        <v>2</v>
      </c>
      <c r="CW1190">
        <v>1</v>
      </c>
      <c r="CX1190">
        <v>5</v>
      </c>
      <c r="CY1190">
        <v>7</v>
      </c>
      <c r="CZ1190" t="s">
        <v>131</v>
      </c>
      <c r="DA1190">
        <v>300</v>
      </c>
      <c r="DB1190">
        <v>0</v>
      </c>
      <c r="DC1190" t="s">
        <v>176</v>
      </c>
      <c r="DD1190" t="s">
        <v>177</v>
      </c>
      <c r="DG1190">
        <v>5380975</v>
      </c>
      <c r="DI1190">
        <v>1</v>
      </c>
      <c r="DJ1190">
        <v>0</v>
      </c>
      <c r="DK1190">
        <v>0</v>
      </c>
      <c r="DL1190">
        <v>0</v>
      </c>
      <c r="DM1190">
        <v>0</v>
      </c>
      <c r="DN1190">
        <v>1</v>
      </c>
      <c r="DO1190">
        <v>0</v>
      </c>
      <c r="DP1190">
        <v>0</v>
      </c>
      <c r="DQ1190">
        <v>0</v>
      </c>
      <c r="DR1190">
        <v>0</v>
      </c>
      <c r="DS1190">
        <v>0</v>
      </c>
    </row>
    <row r="1191" spans="1:123" x14ac:dyDescent="0.3">
      <c r="A1191" t="str">
        <f t="shared" ref="A1191:A1196" si="414">"10/04/2022 19:28:46.307"</f>
        <v>10/04/2022 19:28:46.307</v>
      </c>
      <c r="C1191" t="str">
        <f t="shared" si="396"/>
        <v>FFDDD3C0</v>
      </c>
      <c r="D1191" t="s">
        <v>141</v>
      </c>
      <c r="E1191">
        <v>4</v>
      </c>
      <c r="H1191">
        <v>4</v>
      </c>
      <c r="I1191" t="s">
        <v>142</v>
      </c>
      <c r="J1191" t="s">
        <v>138</v>
      </c>
      <c r="K1191">
        <v>0</v>
      </c>
      <c r="L1191">
        <v>3</v>
      </c>
      <c r="M1191">
        <v>0</v>
      </c>
      <c r="N1191">
        <v>2</v>
      </c>
      <c r="O1191">
        <v>0</v>
      </c>
      <c r="P1191">
        <v>1</v>
      </c>
      <c r="Q1191">
        <v>0</v>
      </c>
      <c r="S1191" t="str">
        <f t="shared" si="412"/>
        <v>19:28:46.000</v>
      </c>
      <c r="T1191" t="str">
        <f t="shared" si="412"/>
        <v>19:28:46.000</v>
      </c>
      <c r="U1191" t="str">
        <f t="shared" si="402"/>
        <v>AC3944</v>
      </c>
      <c r="V1191">
        <v>0</v>
      </c>
      <c r="W1191">
        <v>0</v>
      </c>
      <c r="X1191">
        <v>2</v>
      </c>
      <c r="Y1191">
        <v>0</v>
      </c>
      <c r="AA1191">
        <v>1</v>
      </c>
      <c r="AB1191">
        <v>8</v>
      </c>
      <c r="AC1191">
        <v>3</v>
      </c>
      <c r="AD1191">
        <v>0</v>
      </c>
      <c r="AE1191">
        <v>9</v>
      </c>
      <c r="AF1191" t="s">
        <v>138</v>
      </c>
      <c r="AG1191">
        <v>0</v>
      </c>
      <c r="AH1191">
        <v>3</v>
      </c>
      <c r="AI1191">
        <v>1</v>
      </c>
      <c r="AJ1191">
        <v>0</v>
      </c>
      <c r="AK1191" t="s">
        <v>475</v>
      </c>
      <c r="AL1191">
        <v>32.806291999999999</v>
      </c>
      <c r="AM1191" t="s">
        <v>476</v>
      </c>
      <c r="AN1191">
        <v>-116.910968</v>
      </c>
      <c r="AO1191">
        <v>25</v>
      </c>
      <c r="AP1191">
        <v>2300</v>
      </c>
      <c r="AQ1191" t="s">
        <v>129</v>
      </c>
      <c r="AR1191">
        <v>122</v>
      </c>
      <c r="AS1191">
        <v>-8</v>
      </c>
      <c r="AT1191">
        <v>576</v>
      </c>
      <c r="BB1191">
        <v>1200</v>
      </c>
      <c r="BC1191">
        <v>1</v>
      </c>
      <c r="BD1191" t="str">
        <f t="shared" si="403"/>
        <v xml:space="preserve">N887QR  </v>
      </c>
      <c r="BE1191">
        <v>1</v>
      </c>
      <c r="BJ1191">
        <v>1900</v>
      </c>
      <c r="BK1191">
        <v>-400</v>
      </c>
      <c r="BL1191" t="s">
        <v>163</v>
      </c>
      <c r="BM1191">
        <v>1</v>
      </c>
      <c r="BN1191">
        <v>1</v>
      </c>
      <c r="BO1191">
        <v>1</v>
      </c>
      <c r="BP1191">
        <v>0</v>
      </c>
      <c r="BS1191">
        <v>0.08</v>
      </c>
      <c r="BT1191">
        <v>0</v>
      </c>
      <c r="BU1191">
        <v>0</v>
      </c>
      <c r="CE1191" t="str">
        <f t="shared" si="413"/>
        <v>19:28:46.066</v>
      </c>
      <c r="CF1191">
        <v>65806416</v>
      </c>
      <c r="CS1191">
        <v>3</v>
      </c>
      <c r="CT1191">
        <v>2</v>
      </c>
      <c r="CU1191">
        <v>0</v>
      </c>
      <c r="CV1191">
        <v>2</v>
      </c>
      <c r="CW1191">
        <v>1</v>
      </c>
      <c r="CX1191">
        <v>5</v>
      </c>
      <c r="CY1191">
        <v>7</v>
      </c>
      <c r="CZ1191" t="s">
        <v>131</v>
      </c>
      <c r="DA1191">
        <v>300</v>
      </c>
      <c r="DB1191">
        <v>0</v>
      </c>
      <c r="DC1191" t="s">
        <v>176</v>
      </c>
      <c r="DD1191" t="s">
        <v>177</v>
      </c>
      <c r="DG1191">
        <v>5380975</v>
      </c>
      <c r="DI1191">
        <v>1</v>
      </c>
      <c r="DJ1191">
        <v>0</v>
      </c>
      <c r="DK1191">
        <v>1</v>
      </c>
      <c r="DL1191">
        <v>0</v>
      </c>
      <c r="DM1191">
        <v>0</v>
      </c>
      <c r="DN1191">
        <v>1</v>
      </c>
      <c r="DO1191">
        <v>0</v>
      </c>
      <c r="DP1191">
        <v>0</v>
      </c>
      <c r="DQ1191">
        <v>0</v>
      </c>
      <c r="DR1191">
        <v>0</v>
      </c>
      <c r="DS1191">
        <v>0</v>
      </c>
    </row>
    <row r="1192" spans="1:123" x14ac:dyDescent="0.3">
      <c r="A1192" t="str">
        <f t="shared" si="414"/>
        <v>10/04/2022 19:28:46.307</v>
      </c>
      <c r="C1192" t="str">
        <f t="shared" si="396"/>
        <v>FFDDD3C0</v>
      </c>
      <c r="D1192" t="s">
        <v>134</v>
      </c>
      <c r="E1192">
        <v>15</v>
      </c>
      <c r="J1192" t="s">
        <v>135</v>
      </c>
      <c r="K1192">
        <v>0</v>
      </c>
      <c r="L1192">
        <v>3</v>
      </c>
      <c r="M1192">
        <v>0</v>
      </c>
      <c r="N1192">
        <v>2</v>
      </c>
      <c r="O1192">
        <v>0</v>
      </c>
      <c r="P1192">
        <v>1</v>
      </c>
      <c r="Q1192">
        <v>0</v>
      </c>
      <c r="S1192" t="str">
        <f t="shared" si="412"/>
        <v>19:28:46.000</v>
      </c>
      <c r="T1192" t="str">
        <f t="shared" si="412"/>
        <v>19:28:46.000</v>
      </c>
      <c r="U1192" t="str">
        <f t="shared" si="402"/>
        <v>AC3944</v>
      </c>
      <c r="V1192">
        <v>0</v>
      </c>
      <c r="W1192">
        <v>0</v>
      </c>
      <c r="X1192">
        <v>2</v>
      </c>
      <c r="Y1192">
        <v>0</v>
      </c>
      <c r="AA1192">
        <v>1</v>
      </c>
      <c r="AB1192">
        <v>8</v>
      </c>
      <c r="AC1192">
        <v>3</v>
      </c>
      <c r="AD1192">
        <v>0</v>
      </c>
      <c r="AE1192">
        <v>9</v>
      </c>
      <c r="AF1192" t="s">
        <v>138</v>
      </c>
      <c r="AG1192">
        <v>0</v>
      </c>
      <c r="AH1192">
        <v>3</v>
      </c>
      <c r="AI1192">
        <v>1</v>
      </c>
      <c r="AJ1192">
        <v>0</v>
      </c>
      <c r="AK1192" t="s">
        <v>475</v>
      </c>
      <c r="AL1192">
        <v>32.806291999999999</v>
      </c>
      <c r="AM1192" t="s">
        <v>476</v>
      </c>
      <c r="AN1192">
        <v>-116.910968</v>
      </c>
      <c r="AO1192">
        <v>25</v>
      </c>
      <c r="AP1192">
        <v>2300</v>
      </c>
      <c r="AQ1192" t="s">
        <v>129</v>
      </c>
      <c r="AR1192">
        <v>122</v>
      </c>
      <c r="AS1192">
        <v>-8</v>
      </c>
      <c r="AT1192">
        <v>576</v>
      </c>
      <c r="BB1192">
        <v>1200</v>
      </c>
      <c r="BC1192">
        <v>1</v>
      </c>
      <c r="BD1192" t="str">
        <f t="shared" si="403"/>
        <v xml:space="preserve">N887QR  </v>
      </c>
      <c r="BE1192">
        <v>1</v>
      </c>
      <c r="BJ1192">
        <v>1900</v>
      </c>
      <c r="BK1192">
        <v>-400</v>
      </c>
      <c r="BL1192" t="s">
        <v>163</v>
      </c>
      <c r="BM1192">
        <v>1</v>
      </c>
      <c r="BN1192">
        <v>1</v>
      </c>
      <c r="BO1192">
        <v>1</v>
      </c>
      <c r="BP1192">
        <v>0</v>
      </c>
      <c r="BS1192">
        <v>0.04</v>
      </c>
      <c r="BT1192">
        <v>0</v>
      </c>
      <c r="BU1192">
        <v>0</v>
      </c>
      <c r="CE1192" t="str">
        <f t="shared" si="413"/>
        <v>19:28:46.066</v>
      </c>
      <c r="CF1192">
        <v>65806416</v>
      </c>
      <c r="CS1192">
        <v>3</v>
      </c>
      <c r="CT1192">
        <v>2</v>
      </c>
      <c r="CU1192">
        <v>0</v>
      </c>
      <c r="CV1192">
        <v>2</v>
      </c>
      <c r="CW1192">
        <v>1</v>
      </c>
      <c r="CX1192">
        <v>5</v>
      </c>
      <c r="CY1192">
        <v>7</v>
      </c>
      <c r="CZ1192" t="s">
        <v>131</v>
      </c>
      <c r="DA1192">
        <v>300</v>
      </c>
      <c r="DB1192">
        <v>0</v>
      </c>
      <c r="DC1192" t="s">
        <v>176</v>
      </c>
      <c r="DD1192" t="s">
        <v>177</v>
      </c>
      <c r="DG1192">
        <v>5380975</v>
      </c>
      <c r="DI1192">
        <v>1</v>
      </c>
      <c r="DJ1192">
        <v>0</v>
      </c>
      <c r="DK1192">
        <v>1</v>
      </c>
      <c r="DL1192">
        <v>0</v>
      </c>
      <c r="DM1192">
        <v>0</v>
      </c>
      <c r="DN1192">
        <v>1</v>
      </c>
      <c r="DO1192">
        <v>0</v>
      </c>
      <c r="DP1192">
        <v>0</v>
      </c>
      <c r="DQ1192">
        <v>0</v>
      </c>
      <c r="DR1192">
        <v>0</v>
      </c>
      <c r="DS1192">
        <v>0</v>
      </c>
    </row>
    <row r="1193" spans="1:123" x14ac:dyDescent="0.3">
      <c r="A1193" t="str">
        <f t="shared" si="414"/>
        <v>10/04/2022 19:28:46.307</v>
      </c>
      <c r="C1193" t="str">
        <f t="shared" si="396"/>
        <v>FFDDD3C0</v>
      </c>
      <c r="D1193" t="s">
        <v>147</v>
      </c>
      <c r="E1193">
        <v>3</v>
      </c>
      <c r="H1193">
        <v>166</v>
      </c>
      <c r="I1193" t="s">
        <v>144</v>
      </c>
      <c r="J1193" t="s">
        <v>148</v>
      </c>
      <c r="K1193">
        <v>0</v>
      </c>
      <c r="L1193">
        <v>3</v>
      </c>
      <c r="M1193">
        <v>0</v>
      </c>
      <c r="N1193">
        <v>2</v>
      </c>
      <c r="O1193">
        <v>0</v>
      </c>
      <c r="P1193">
        <v>1</v>
      </c>
      <c r="Q1193">
        <v>0</v>
      </c>
      <c r="S1193" t="str">
        <f t="shared" si="412"/>
        <v>19:28:46.000</v>
      </c>
      <c r="T1193" t="str">
        <f t="shared" si="412"/>
        <v>19:28:46.000</v>
      </c>
      <c r="U1193" t="str">
        <f t="shared" si="402"/>
        <v>AC3944</v>
      </c>
      <c r="V1193">
        <v>0</v>
      </c>
      <c r="W1193">
        <v>0</v>
      </c>
      <c r="X1193">
        <v>2</v>
      </c>
      <c r="Y1193">
        <v>0</v>
      </c>
      <c r="AA1193">
        <v>1</v>
      </c>
      <c r="AB1193">
        <v>8</v>
      </c>
      <c r="AC1193">
        <v>3</v>
      </c>
      <c r="AD1193">
        <v>0</v>
      </c>
      <c r="AE1193">
        <v>9</v>
      </c>
      <c r="AF1193" t="s">
        <v>138</v>
      </c>
      <c r="AG1193">
        <v>0</v>
      </c>
      <c r="AH1193">
        <v>3</v>
      </c>
      <c r="AI1193">
        <v>1</v>
      </c>
      <c r="AJ1193">
        <v>0</v>
      </c>
      <c r="AK1193" t="s">
        <v>475</v>
      </c>
      <c r="AL1193">
        <v>32.806291999999999</v>
      </c>
      <c r="AM1193" t="s">
        <v>476</v>
      </c>
      <c r="AN1193">
        <v>-116.910968</v>
      </c>
      <c r="AO1193">
        <v>25</v>
      </c>
      <c r="AP1193">
        <v>2300</v>
      </c>
      <c r="AQ1193" t="s">
        <v>129</v>
      </c>
      <c r="AR1193">
        <v>122</v>
      </c>
      <c r="AS1193">
        <v>-8</v>
      </c>
      <c r="AT1193">
        <v>576</v>
      </c>
      <c r="BB1193">
        <v>1200</v>
      </c>
      <c r="BC1193">
        <v>1</v>
      </c>
      <c r="BD1193" t="str">
        <f t="shared" si="403"/>
        <v xml:space="preserve">N887QR  </v>
      </c>
      <c r="BE1193">
        <v>1</v>
      </c>
      <c r="BJ1193">
        <v>1900</v>
      </c>
      <c r="BK1193">
        <v>-400</v>
      </c>
      <c r="BL1193" t="s">
        <v>163</v>
      </c>
      <c r="BM1193">
        <v>1</v>
      </c>
      <c r="BN1193">
        <v>1</v>
      </c>
      <c r="BO1193">
        <v>1</v>
      </c>
      <c r="BP1193">
        <v>0</v>
      </c>
      <c r="BS1193">
        <v>0.08</v>
      </c>
      <c r="BT1193">
        <v>0</v>
      </c>
      <c r="BU1193">
        <v>0</v>
      </c>
      <c r="CE1193" t="str">
        <f t="shared" si="413"/>
        <v>19:28:46.066</v>
      </c>
      <c r="CF1193">
        <v>65806416</v>
      </c>
      <c r="CS1193">
        <v>3</v>
      </c>
      <c r="CT1193">
        <v>2</v>
      </c>
      <c r="CU1193">
        <v>0</v>
      </c>
      <c r="CV1193">
        <v>2</v>
      </c>
      <c r="CW1193">
        <v>1</v>
      </c>
      <c r="CX1193">
        <v>5</v>
      </c>
      <c r="CY1193">
        <v>7</v>
      </c>
      <c r="CZ1193" t="s">
        <v>131</v>
      </c>
      <c r="DA1193">
        <v>300</v>
      </c>
      <c r="DB1193">
        <v>0</v>
      </c>
      <c r="DC1193" t="s">
        <v>176</v>
      </c>
      <c r="DD1193" t="s">
        <v>177</v>
      </c>
      <c r="DG1193">
        <v>5380975</v>
      </c>
      <c r="DI1193">
        <v>1</v>
      </c>
      <c r="DJ1193">
        <v>0</v>
      </c>
      <c r="DK1193">
        <v>1</v>
      </c>
      <c r="DL1193">
        <v>0</v>
      </c>
      <c r="DM1193">
        <v>0</v>
      </c>
      <c r="DN1193">
        <v>1</v>
      </c>
      <c r="DO1193">
        <v>0</v>
      </c>
      <c r="DP1193">
        <v>0</v>
      </c>
      <c r="DQ1193">
        <v>0</v>
      </c>
      <c r="DR1193">
        <v>0</v>
      </c>
      <c r="DS1193">
        <v>0</v>
      </c>
    </row>
    <row r="1194" spans="1:123" x14ac:dyDescent="0.3">
      <c r="A1194" t="str">
        <f t="shared" si="414"/>
        <v>10/04/2022 19:28:46.307</v>
      </c>
      <c r="C1194" t="str">
        <f t="shared" si="396"/>
        <v>FFDDD3C0</v>
      </c>
      <c r="D1194" t="s">
        <v>141</v>
      </c>
      <c r="E1194">
        <v>3</v>
      </c>
      <c r="H1194">
        <v>3</v>
      </c>
      <c r="I1194" t="s">
        <v>146</v>
      </c>
      <c r="J1194" t="s">
        <v>138</v>
      </c>
      <c r="K1194">
        <v>0</v>
      </c>
      <c r="L1194">
        <v>3</v>
      </c>
      <c r="M1194">
        <v>0</v>
      </c>
      <c r="N1194">
        <v>2</v>
      </c>
      <c r="O1194">
        <v>0</v>
      </c>
      <c r="P1194">
        <v>1</v>
      </c>
      <c r="Q1194">
        <v>0</v>
      </c>
      <c r="S1194" t="str">
        <f t="shared" si="412"/>
        <v>19:28:46.000</v>
      </c>
      <c r="T1194" t="str">
        <f t="shared" si="412"/>
        <v>19:28:46.000</v>
      </c>
      <c r="U1194" t="str">
        <f t="shared" si="402"/>
        <v>AC3944</v>
      </c>
      <c r="V1194">
        <v>0</v>
      </c>
      <c r="W1194">
        <v>0</v>
      </c>
      <c r="X1194">
        <v>2</v>
      </c>
      <c r="Y1194">
        <v>0</v>
      </c>
      <c r="AA1194">
        <v>1</v>
      </c>
      <c r="AB1194">
        <v>8</v>
      </c>
      <c r="AC1194">
        <v>3</v>
      </c>
      <c r="AD1194">
        <v>0</v>
      </c>
      <c r="AE1194">
        <v>9</v>
      </c>
      <c r="AF1194" t="s">
        <v>138</v>
      </c>
      <c r="AG1194">
        <v>0</v>
      </c>
      <c r="AH1194">
        <v>3</v>
      </c>
      <c r="AI1194">
        <v>1</v>
      </c>
      <c r="AJ1194">
        <v>0</v>
      </c>
      <c r="AK1194" t="s">
        <v>475</v>
      </c>
      <c r="AL1194">
        <v>32.806291999999999</v>
      </c>
      <c r="AM1194" t="s">
        <v>476</v>
      </c>
      <c r="AN1194">
        <v>-116.910968</v>
      </c>
      <c r="AO1194">
        <v>25</v>
      </c>
      <c r="AP1194">
        <v>2300</v>
      </c>
      <c r="AQ1194" t="s">
        <v>129</v>
      </c>
      <c r="AR1194">
        <v>122</v>
      </c>
      <c r="AS1194">
        <v>-8</v>
      </c>
      <c r="AT1194">
        <v>576</v>
      </c>
      <c r="BB1194">
        <v>1200</v>
      </c>
      <c r="BC1194">
        <v>1</v>
      </c>
      <c r="BD1194" t="str">
        <f t="shared" si="403"/>
        <v xml:space="preserve">N887QR  </v>
      </c>
      <c r="BE1194">
        <v>1</v>
      </c>
      <c r="BJ1194">
        <v>1900</v>
      </c>
      <c r="BK1194">
        <v>-400</v>
      </c>
      <c r="BL1194" t="s">
        <v>163</v>
      </c>
      <c r="BM1194">
        <v>1</v>
      </c>
      <c r="BN1194">
        <v>1</v>
      </c>
      <c r="BO1194">
        <v>1</v>
      </c>
      <c r="BP1194">
        <v>0</v>
      </c>
      <c r="BS1194">
        <v>0.08</v>
      </c>
      <c r="BT1194">
        <v>0</v>
      </c>
      <c r="BU1194">
        <v>0</v>
      </c>
      <c r="CE1194" t="str">
        <f t="shared" si="413"/>
        <v>19:28:46.066</v>
      </c>
      <c r="CF1194">
        <v>65806416</v>
      </c>
      <c r="CS1194">
        <v>3</v>
      </c>
      <c r="CT1194">
        <v>2</v>
      </c>
      <c r="CU1194">
        <v>0</v>
      </c>
      <c r="CV1194">
        <v>2</v>
      </c>
      <c r="CW1194">
        <v>1</v>
      </c>
      <c r="CX1194">
        <v>5</v>
      </c>
      <c r="CY1194">
        <v>7</v>
      </c>
      <c r="CZ1194" t="s">
        <v>131</v>
      </c>
      <c r="DA1194">
        <v>300</v>
      </c>
      <c r="DB1194">
        <v>0</v>
      </c>
      <c r="DC1194" t="s">
        <v>176</v>
      </c>
      <c r="DD1194" t="s">
        <v>177</v>
      </c>
      <c r="DG1194">
        <v>5380975</v>
      </c>
      <c r="DI1194">
        <v>1</v>
      </c>
      <c r="DJ1194">
        <v>0</v>
      </c>
      <c r="DK1194">
        <v>1</v>
      </c>
      <c r="DL1194">
        <v>0</v>
      </c>
      <c r="DM1194">
        <v>0</v>
      </c>
      <c r="DN1194">
        <v>1</v>
      </c>
      <c r="DO1194">
        <v>0</v>
      </c>
      <c r="DP1194">
        <v>0</v>
      </c>
      <c r="DQ1194">
        <v>0</v>
      </c>
      <c r="DR1194">
        <v>0</v>
      </c>
      <c r="DS1194">
        <v>0</v>
      </c>
    </row>
    <row r="1195" spans="1:123" x14ac:dyDescent="0.3">
      <c r="A1195" t="str">
        <f t="shared" si="414"/>
        <v>10/04/2022 19:28:46.307</v>
      </c>
      <c r="C1195" t="str">
        <f t="shared" si="396"/>
        <v>FFDDD3C0</v>
      </c>
      <c r="D1195" t="s">
        <v>136</v>
      </c>
      <c r="E1195">
        <v>8</v>
      </c>
      <c r="H1195">
        <v>225</v>
      </c>
      <c r="I1195" t="s">
        <v>137</v>
      </c>
      <c r="J1195" t="s">
        <v>138</v>
      </c>
      <c r="K1195">
        <v>0</v>
      </c>
      <c r="L1195">
        <v>3</v>
      </c>
      <c r="M1195">
        <v>0</v>
      </c>
      <c r="N1195">
        <v>2</v>
      </c>
      <c r="O1195">
        <v>0</v>
      </c>
      <c r="P1195">
        <v>1</v>
      </c>
      <c r="Q1195">
        <v>0</v>
      </c>
      <c r="S1195" t="str">
        <f t="shared" si="412"/>
        <v>19:28:46.000</v>
      </c>
      <c r="T1195" t="str">
        <f t="shared" si="412"/>
        <v>19:28:46.000</v>
      </c>
      <c r="U1195" t="str">
        <f t="shared" si="402"/>
        <v>AC3944</v>
      </c>
      <c r="V1195">
        <v>0</v>
      </c>
      <c r="W1195">
        <v>0</v>
      </c>
      <c r="X1195">
        <v>2</v>
      </c>
      <c r="Y1195">
        <v>0</v>
      </c>
      <c r="AA1195">
        <v>1</v>
      </c>
      <c r="AB1195">
        <v>8</v>
      </c>
      <c r="AC1195">
        <v>3</v>
      </c>
      <c r="AD1195">
        <v>0</v>
      </c>
      <c r="AE1195">
        <v>9</v>
      </c>
      <c r="AF1195" t="s">
        <v>138</v>
      </c>
      <c r="AG1195">
        <v>0</v>
      </c>
      <c r="AH1195">
        <v>3</v>
      </c>
      <c r="AI1195">
        <v>1</v>
      </c>
      <c r="AJ1195">
        <v>0</v>
      </c>
      <c r="AK1195" t="s">
        <v>475</v>
      </c>
      <c r="AL1195">
        <v>32.806291999999999</v>
      </c>
      <c r="AM1195" t="s">
        <v>476</v>
      </c>
      <c r="AN1195">
        <v>-116.910968</v>
      </c>
      <c r="AO1195">
        <v>25</v>
      </c>
      <c r="AP1195">
        <v>2300</v>
      </c>
      <c r="AQ1195" t="s">
        <v>129</v>
      </c>
      <c r="AR1195">
        <v>122</v>
      </c>
      <c r="AS1195">
        <v>-8</v>
      </c>
      <c r="AT1195">
        <v>576</v>
      </c>
      <c r="BB1195">
        <v>1200</v>
      </c>
      <c r="BC1195">
        <v>1</v>
      </c>
      <c r="BD1195" t="str">
        <f t="shared" si="403"/>
        <v xml:space="preserve">N887QR  </v>
      </c>
      <c r="BE1195">
        <v>1</v>
      </c>
      <c r="BJ1195">
        <v>1900</v>
      </c>
      <c r="BK1195">
        <v>-400</v>
      </c>
      <c r="BL1195" t="s">
        <v>163</v>
      </c>
      <c r="BM1195">
        <v>1</v>
      </c>
      <c r="BN1195">
        <v>1</v>
      </c>
      <c r="BO1195">
        <v>1</v>
      </c>
      <c r="BP1195">
        <v>0</v>
      </c>
      <c r="BS1195">
        <v>0.08</v>
      </c>
      <c r="BT1195">
        <v>0</v>
      </c>
      <c r="BU1195">
        <v>0</v>
      </c>
      <c r="CE1195" t="str">
        <f t="shared" si="413"/>
        <v>19:28:46.066</v>
      </c>
      <c r="CF1195">
        <v>65806416</v>
      </c>
      <c r="CS1195">
        <v>3</v>
      </c>
      <c r="CT1195">
        <v>2</v>
      </c>
      <c r="CU1195">
        <v>0</v>
      </c>
      <c r="CV1195">
        <v>2</v>
      </c>
      <c r="CW1195">
        <v>1</v>
      </c>
      <c r="CX1195">
        <v>5</v>
      </c>
      <c r="CY1195">
        <v>7</v>
      </c>
      <c r="CZ1195" t="s">
        <v>131</v>
      </c>
      <c r="DA1195">
        <v>300</v>
      </c>
      <c r="DB1195">
        <v>0</v>
      </c>
      <c r="DC1195" t="s">
        <v>176</v>
      </c>
      <c r="DD1195" t="s">
        <v>177</v>
      </c>
      <c r="DG1195">
        <v>5380975</v>
      </c>
      <c r="DI1195">
        <v>1</v>
      </c>
      <c r="DJ1195">
        <v>0</v>
      </c>
      <c r="DK1195">
        <v>1</v>
      </c>
      <c r="DL1195">
        <v>0</v>
      </c>
      <c r="DM1195">
        <v>0</v>
      </c>
      <c r="DN1195">
        <v>1</v>
      </c>
      <c r="DO1195">
        <v>0</v>
      </c>
      <c r="DP1195">
        <v>0</v>
      </c>
      <c r="DQ1195">
        <v>0</v>
      </c>
      <c r="DR1195">
        <v>0</v>
      </c>
      <c r="DS1195">
        <v>0</v>
      </c>
    </row>
    <row r="1196" spans="1:123" x14ac:dyDescent="0.3">
      <c r="A1196" t="str">
        <f t="shared" si="414"/>
        <v>10/04/2022 19:28:46.307</v>
      </c>
      <c r="C1196" t="str">
        <f t="shared" si="396"/>
        <v>FFDDD3C0</v>
      </c>
      <c r="D1196" t="s">
        <v>143</v>
      </c>
      <c r="E1196">
        <v>20</v>
      </c>
      <c r="F1196">
        <v>1020</v>
      </c>
      <c r="G1196" t="s">
        <v>144</v>
      </c>
      <c r="J1196" t="s">
        <v>145</v>
      </c>
      <c r="K1196">
        <v>0</v>
      </c>
      <c r="L1196">
        <v>3</v>
      </c>
      <c r="M1196">
        <v>0</v>
      </c>
      <c r="N1196">
        <v>2</v>
      </c>
      <c r="O1196">
        <v>0</v>
      </c>
      <c r="P1196">
        <v>1</v>
      </c>
      <c r="Q1196">
        <v>0</v>
      </c>
      <c r="S1196" t="str">
        <f t="shared" si="412"/>
        <v>19:28:46.000</v>
      </c>
      <c r="T1196" t="str">
        <f t="shared" si="412"/>
        <v>19:28:46.000</v>
      </c>
      <c r="U1196" t="str">
        <f t="shared" si="402"/>
        <v>AC3944</v>
      </c>
      <c r="V1196">
        <v>0</v>
      </c>
      <c r="W1196">
        <v>0</v>
      </c>
      <c r="X1196">
        <v>2</v>
      </c>
      <c r="Y1196">
        <v>0</v>
      </c>
      <c r="AA1196">
        <v>1</v>
      </c>
      <c r="AB1196">
        <v>8</v>
      </c>
      <c r="AC1196">
        <v>3</v>
      </c>
      <c r="AD1196">
        <v>0</v>
      </c>
      <c r="AE1196">
        <v>9</v>
      </c>
      <c r="AF1196" t="s">
        <v>138</v>
      </c>
      <c r="AG1196">
        <v>0</v>
      </c>
      <c r="AH1196">
        <v>3</v>
      </c>
      <c r="AI1196">
        <v>1</v>
      </c>
      <c r="AJ1196">
        <v>0</v>
      </c>
      <c r="AK1196" t="s">
        <v>475</v>
      </c>
      <c r="AL1196">
        <v>32.806291999999999</v>
      </c>
      <c r="AM1196" t="s">
        <v>476</v>
      </c>
      <c r="AN1196">
        <v>-116.910968</v>
      </c>
      <c r="AO1196">
        <v>25</v>
      </c>
      <c r="AP1196">
        <v>2300</v>
      </c>
      <c r="AQ1196" t="s">
        <v>129</v>
      </c>
      <c r="AR1196">
        <v>122</v>
      </c>
      <c r="AS1196">
        <v>-8</v>
      </c>
      <c r="AT1196">
        <v>576</v>
      </c>
      <c r="BB1196">
        <v>1200</v>
      </c>
      <c r="BC1196">
        <v>1</v>
      </c>
      <c r="BD1196" t="str">
        <f t="shared" si="403"/>
        <v xml:space="preserve">N887QR  </v>
      </c>
      <c r="BE1196">
        <v>1</v>
      </c>
      <c r="BJ1196">
        <v>1900</v>
      </c>
      <c r="BK1196">
        <v>-400</v>
      </c>
      <c r="BL1196" t="s">
        <v>163</v>
      </c>
      <c r="BM1196">
        <v>1</v>
      </c>
      <c r="BN1196">
        <v>1</v>
      </c>
      <c r="BO1196">
        <v>1</v>
      </c>
      <c r="BP1196">
        <v>0</v>
      </c>
      <c r="BS1196">
        <v>0.04</v>
      </c>
      <c r="BT1196">
        <v>0</v>
      </c>
      <c r="BU1196">
        <v>0</v>
      </c>
      <c r="CE1196" t="str">
        <f t="shared" si="413"/>
        <v>19:28:46.066</v>
      </c>
      <c r="CF1196">
        <v>65806416</v>
      </c>
      <c r="CS1196">
        <v>3</v>
      </c>
      <c r="CT1196">
        <v>2</v>
      </c>
      <c r="CU1196">
        <v>0</v>
      </c>
      <c r="CV1196">
        <v>2</v>
      </c>
      <c r="CW1196">
        <v>1</v>
      </c>
      <c r="CX1196">
        <v>5</v>
      </c>
      <c r="CY1196">
        <v>7</v>
      </c>
      <c r="CZ1196" t="s">
        <v>131</v>
      </c>
      <c r="DA1196">
        <v>300</v>
      </c>
      <c r="DB1196">
        <v>0</v>
      </c>
      <c r="DC1196" t="s">
        <v>176</v>
      </c>
      <c r="DD1196" t="s">
        <v>177</v>
      </c>
      <c r="DG1196">
        <v>5380975</v>
      </c>
      <c r="DI1196">
        <v>1</v>
      </c>
      <c r="DJ1196">
        <v>0</v>
      </c>
      <c r="DK1196">
        <v>1</v>
      </c>
      <c r="DL1196">
        <v>0</v>
      </c>
      <c r="DM1196">
        <v>0</v>
      </c>
      <c r="DN1196">
        <v>1</v>
      </c>
      <c r="DO1196">
        <v>0</v>
      </c>
      <c r="DP1196">
        <v>0</v>
      </c>
      <c r="DQ1196">
        <v>0</v>
      </c>
      <c r="DR1196">
        <v>0</v>
      </c>
      <c r="DS1196">
        <v>0</v>
      </c>
    </row>
    <row r="1197" spans="1:123" x14ac:dyDescent="0.3">
      <c r="A1197" t="str">
        <f>"10/04/2022 19:28:47.104"</f>
        <v>10/04/2022 19:28:47.104</v>
      </c>
      <c r="C1197" t="str">
        <f t="shared" si="396"/>
        <v>FFDDD3C0</v>
      </c>
      <c r="D1197" t="s">
        <v>147</v>
      </c>
      <c r="E1197">
        <v>3</v>
      </c>
      <c r="H1197">
        <v>166</v>
      </c>
      <c r="I1197" t="s">
        <v>144</v>
      </c>
      <c r="J1197" t="s">
        <v>148</v>
      </c>
      <c r="K1197">
        <v>0</v>
      </c>
      <c r="L1197">
        <v>3</v>
      </c>
      <c r="M1197">
        <v>0</v>
      </c>
      <c r="N1197">
        <v>2</v>
      </c>
      <c r="O1197">
        <v>0</v>
      </c>
      <c r="P1197">
        <v>1</v>
      </c>
      <c r="Q1197">
        <v>0</v>
      </c>
      <c r="S1197" t="str">
        <f t="shared" si="412"/>
        <v>19:28:46.000</v>
      </c>
      <c r="T1197" t="str">
        <f t="shared" si="412"/>
        <v>19:28:46.000</v>
      </c>
      <c r="U1197" t="str">
        <f t="shared" si="402"/>
        <v>AC3944</v>
      </c>
      <c r="V1197">
        <v>0</v>
      </c>
      <c r="W1197">
        <v>0</v>
      </c>
      <c r="X1197">
        <v>2</v>
      </c>
      <c r="Y1197">
        <v>0</v>
      </c>
      <c r="AA1197">
        <v>1</v>
      </c>
      <c r="AB1197">
        <v>8</v>
      </c>
      <c r="AC1197">
        <v>3</v>
      </c>
      <c r="AD1197">
        <v>0</v>
      </c>
      <c r="AE1197">
        <v>9</v>
      </c>
      <c r="AF1197" t="s">
        <v>138</v>
      </c>
      <c r="AG1197">
        <v>0</v>
      </c>
      <c r="AH1197">
        <v>3</v>
      </c>
      <c r="AI1197">
        <v>1</v>
      </c>
      <c r="AJ1197">
        <v>0</v>
      </c>
      <c r="AK1197" t="s">
        <v>477</v>
      </c>
      <c r="AL1197">
        <v>32.806249000000001</v>
      </c>
      <c r="AM1197" t="s">
        <v>478</v>
      </c>
      <c r="AN1197">
        <v>-116.910281</v>
      </c>
      <c r="AO1197">
        <v>25</v>
      </c>
      <c r="AP1197">
        <v>2300</v>
      </c>
      <c r="AQ1197" t="s">
        <v>129</v>
      </c>
      <c r="AR1197">
        <v>121</v>
      </c>
      <c r="AS1197">
        <v>-7</v>
      </c>
      <c r="AT1197">
        <v>704</v>
      </c>
      <c r="BB1197">
        <v>1200</v>
      </c>
      <c r="BC1197">
        <v>1</v>
      </c>
      <c r="BD1197" t="str">
        <f t="shared" si="403"/>
        <v xml:space="preserve">N887QR  </v>
      </c>
      <c r="BE1197">
        <v>1</v>
      </c>
      <c r="BJ1197">
        <v>1975</v>
      </c>
      <c r="BK1197">
        <v>-325</v>
      </c>
      <c r="BL1197" t="s">
        <v>163</v>
      </c>
      <c r="BM1197">
        <v>1</v>
      </c>
      <c r="BN1197">
        <v>1</v>
      </c>
      <c r="BO1197">
        <v>1</v>
      </c>
      <c r="BP1197">
        <v>0</v>
      </c>
      <c r="BS1197">
        <v>0.08</v>
      </c>
      <c r="BT1197">
        <v>0</v>
      </c>
      <c r="BU1197">
        <v>0</v>
      </c>
      <c r="CE1197" t="str">
        <f t="shared" ref="CE1197:CE1203" si="415">"19:28:46.934"</f>
        <v>19:28:46.934</v>
      </c>
      <c r="CF1197">
        <v>934309258</v>
      </c>
      <c r="CS1197">
        <v>3</v>
      </c>
      <c r="CT1197">
        <v>2</v>
      </c>
      <c r="CU1197">
        <v>0</v>
      </c>
      <c r="CV1197">
        <v>2</v>
      </c>
      <c r="CW1197">
        <v>0</v>
      </c>
      <c r="CX1197">
        <v>5</v>
      </c>
      <c r="CY1197">
        <v>7</v>
      </c>
      <c r="CZ1197" t="s">
        <v>131</v>
      </c>
      <c r="DA1197">
        <v>300</v>
      </c>
      <c r="DB1197">
        <v>0</v>
      </c>
      <c r="DC1197" t="s">
        <v>176</v>
      </c>
      <c r="DD1197" t="s">
        <v>177</v>
      </c>
      <c r="DG1197">
        <v>5381101</v>
      </c>
      <c r="DI1197">
        <v>1</v>
      </c>
      <c r="DJ1197">
        <v>0</v>
      </c>
      <c r="DK1197">
        <v>0</v>
      </c>
      <c r="DL1197">
        <v>0</v>
      </c>
      <c r="DM1197">
        <v>0</v>
      </c>
      <c r="DN1197">
        <v>1</v>
      </c>
      <c r="DO1197">
        <v>0</v>
      </c>
      <c r="DP1197">
        <v>0</v>
      </c>
      <c r="DQ1197">
        <v>0</v>
      </c>
      <c r="DR1197">
        <v>0</v>
      </c>
      <c r="DS1197">
        <v>0</v>
      </c>
    </row>
    <row r="1198" spans="1:123" x14ac:dyDescent="0.3">
      <c r="A1198" t="str">
        <f>"10/04/2022 19:28:47.104"</f>
        <v>10/04/2022 19:28:47.104</v>
      </c>
      <c r="C1198" t="str">
        <f t="shared" si="396"/>
        <v>FFDDD3C0</v>
      </c>
      <c r="D1198" t="s">
        <v>134</v>
      </c>
      <c r="E1198">
        <v>15</v>
      </c>
      <c r="J1198" t="s">
        <v>135</v>
      </c>
      <c r="K1198">
        <v>0</v>
      </c>
      <c r="L1198">
        <v>3</v>
      </c>
      <c r="M1198">
        <v>0</v>
      </c>
      <c r="N1198">
        <v>2</v>
      </c>
      <c r="O1198">
        <v>0</v>
      </c>
      <c r="P1198">
        <v>1</v>
      </c>
      <c r="Q1198">
        <v>0</v>
      </c>
      <c r="S1198" t="str">
        <f t="shared" si="412"/>
        <v>19:28:46.000</v>
      </c>
      <c r="T1198" t="str">
        <f t="shared" si="412"/>
        <v>19:28:46.000</v>
      </c>
      <c r="U1198" t="str">
        <f t="shared" si="402"/>
        <v>AC3944</v>
      </c>
      <c r="V1198">
        <v>0</v>
      </c>
      <c r="W1198">
        <v>0</v>
      </c>
      <c r="X1198">
        <v>2</v>
      </c>
      <c r="Y1198">
        <v>0</v>
      </c>
      <c r="AA1198">
        <v>1</v>
      </c>
      <c r="AB1198">
        <v>8</v>
      </c>
      <c r="AC1198">
        <v>3</v>
      </c>
      <c r="AD1198">
        <v>0</v>
      </c>
      <c r="AE1198">
        <v>9</v>
      </c>
      <c r="AF1198" t="s">
        <v>138</v>
      </c>
      <c r="AG1198">
        <v>0</v>
      </c>
      <c r="AH1198">
        <v>3</v>
      </c>
      <c r="AI1198">
        <v>1</v>
      </c>
      <c r="AJ1198">
        <v>0</v>
      </c>
      <c r="AK1198" t="s">
        <v>477</v>
      </c>
      <c r="AL1198">
        <v>32.806249000000001</v>
      </c>
      <c r="AM1198" t="s">
        <v>478</v>
      </c>
      <c r="AN1198">
        <v>-116.910281</v>
      </c>
      <c r="AO1198">
        <v>25</v>
      </c>
      <c r="AP1198">
        <v>2300</v>
      </c>
      <c r="AQ1198" t="s">
        <v>129</v>
      </c>
      <c r="AR1198">
        <v>121</v>
      </c>
      <c r="AS1198">
        <v>-7</v>
      </c>
      <c r="AT1198">
        <v>704</v>
      </c>
      <c r="BB1198">
        <v>1200</v>
      </c>
      <c r="BC1198">
        <v>1</v>
      </c>
      <c r="BD1198" t="str">
        <f t="shared" si="403"/>
        <v xml:space="preserve">N887QR  </v>
      </c>
      <c r="BE1198">
        <v>1</v>
      </c>
      <c r="BJ1198">
        <v>1975</v>
      </c>
      <c r="BK1198">
        <v>-325</v>
      </c>
      <c r="BL1198" t="s">
        <v>163</v>
      </c>
      <c r="BM1198">
        <v>1</v>
      </c>
      <c r="BN1198">
        <v>1</v>
      </c>
      <c r="BO1198">
        <v>1</v>
      </c>
      <c r="BP1198">
        <v>0</v>
      </c>
      <c r="BS1198">
        <v>0.04</v>
      </c>
      <c r="BT1198">
        <v>0</v>
      </c>
      <c r="BU1198">
        <v>0</v>
      </c>
      <c r="CE1198" t="str">
        <f t="shared" si="415"/>
        <v>19:28:46.934</v>
      </c>
      <c r="CF1198">
        <v>934309258</v>
      </c>
      <c r="CS1198">
        <v>3</v>
      </c>
      <c r="CT1198">
        <v>2</v>
      </c>
      <c r="CU1198">
        <v>0</v>
      </c>
      <c r="CV1198">
        <v>2</v>
      </c>
      <c r="CW1198">
        <v>0</v>
      </c>
      <c r="CX1198">
        <v>5</v>
      </c>
      <c r="CY1198">
        <v>7</v>
      </c>
      <c r="CZ1198" t="s">
        <v>131</v>
      </c>
      <c r="DA1198">
        <v>300</v>
      </c>
      <c r="DB1198">
        <v>0</v>
      </c>
      <c r="DC1198" t="s">
        <v>176</v>
      </c>
      <c r="DD1198" t="s">
        <v>177</v>
      </c>
      <c r="DG1198">
        <v>5381101</v>
      </c>
      <c r="DI1198">
        <v>1</v>
      </c>
      <c r="DJ1198">
        <v>0</v>
      </c>
      <c r="DK1198">
        <v>1</v>
      </c>
      <c r="DL1198">
        <v>0</v>
      </c>
      <c r="DM1198">
        <v>0</v>
      </c>
      <c r="DN1198">
        <v>1</v>
      </c>
      <c r="DO1198">
        <v>0</v>
      </c>
      <c r="DP1198">
        <v>0</v>
      </c>
      <c r="DQ1198">
        <v>0</v>
      </c>
      <c r="DR1198">
        <v>0</v>
      </c>
      <c r="DS1198">
        <v>0</v>
      </c>
    </row>
    <row r="1199" spans="1:123" x14ac:dyDescent="0.3">
      <c r="A1199" t="str">
        <f>"10/04/2022 19:28:47.119"</f>
        <v>10/04/2022 19:28:47.119</v>
      </c>
      <c r="C1199" t="str">
        <f t="shared" si="396"/>
        <v>FFDDD3C0</v>
      </c>
      <c r="D1199" t="s">
        <v>141</v>
      </c>
      <c r="E1199">
        <v>3</v>
      </c>
      <c r="H1199">
        <v>3</v>
      </c>
      <c r="I1199" t="s">
        <v>146</v>
      </c>
      <c r="J1199" t="s">
        <v>138</v>
      </c>
      <c r="K1199">
        <v>0</v>
      </c>
      <c r="L1199">
        <v>3</v>
      </c>
      <c r="M1199">
        <v>0</v>
      </c>
      <c r="N1199">
        <v>2</v>
      </c>
      <c r="O1199">
        <v>0</v>
      </c>
      <c r="P1199">
        <v>1</v>
      </c>
      <c r="Q1199">
        <v>0</v>
      </c>
      <c r="S1199" t="str">
        <f t="shared" si="412"/>
        <v>19:28:46.000</v>
      </c>
      <c r="T1199" t="str">
        <f t="shared" si="412"/>
        <v>19:28:46.000</v>
      </c>
      <c r="U1199" t="str">
        <f t="shared" si="402"/>
        <v>AC3944</v>
      </c>
      <c r="V1199">
        <v>0</v>
      </c>
      <c r="W1199">
        <v>0</v>
      </c>
      <c r="X1199">
        <v>2</v>
      </c>
      <c r="Y1199">
        <v>0</v>
      </c>
      <c r="AA1199">
        <v>1</v>
      </c>
      <c r="AB1199">
        <v>8</v>
      </c>
      <c r="AC1199">
        <v>3</v>
      </c>
      <c r="AD1199">
        <v>0</v>
      </c>
      <c r="AE1199">
        <v>9</v>
      </c>
      <c r="AF1199" t="s">
        <v>138</v>
      </c>
      <c r="AG1199">
        <v>0</v>
      </c>
      <c r="AH1199">
        <v>3</v>
      </c>
      <c r="AI1199">
        <v>1</v>
      </c>
      <c r="AJ1199">
        <v>0</v>
      </c>
      <c r="AK1199" t="s">
        <v>477</v>
      </c>
      <c r="AL1199">
        <v>32.806249000000001</v>
      </c>
      <c r="AM1199" t="s">
        <v>478</v>
      </c>
      <c r="AN1199">
        <v>-116.910281</v>
      </c>
      <c r="AO1199">
        <v>25</v>
      </c>
      <c r="AP1199">
        <v>2300</v>
      </c>
      <c r="AQ1199" t="s">
        <v>129</v>
      </c>
      <c r="AR1199">
        <v>121</v>
      </c>
      <c r="AS1199">
        <v>-7</v>
      </c>
      <c r="AT1199">
        <v>704</v>
      </c>
      <c r="BB1199">
        <v>1200</v>
      </c>
      <c r="BC1199">
        <v>1</v>
      </c>
      <c r="BD1199" t="str">
        <f t="shared" si="403"/>
        <v xml:space="preserve">N887QR  </v>
      </c>
      <c r="BE1199">
        <v>1</v>
      </c>
      <c r="BJ1199">
        <v>1975</v>
      </c>
      <c r="BK1199">
        <v>-325</v>
      </c>
      <c r="BL1199" t="s">
        <v>163</v>
      </c>
      <c r="BM1199">
        <v>1</v>
      </c>
      <c r="BN1199">
        <v>1</v>
      </c>
      <c r="BO1199">
        <v>1</v>
      </c>
      <c r="BP1199">
        <v>0</v>
      </c>
      <c r="BS1199">
        <v>0.08</v>
      </c>
      <c r="BT1199">
        <v>0</v>
      </c>
      <c r="BU1199">
        <v>0</v>
      </c>
      <c r="CE1199" t="str">
        <f t="shared" si="415"/>
        <v>19:28:46.934</v>
      </c>
      <c r="CF1199">
        <v>934309258</v>
      </c>
      <c r="CS1199">
        <v>3</v>
      </c>
      <c r="CT1199">
        <v>2</v>
      </c>
      <c r="CU1199">
        <v>0</v>
      </c>
      <c r="CV1199">
        <v>2</v>
      </c>
      <c r="CW1199">
        <v>0</v>
      </c>
      <c r="CX1199">
        <v>5</v>
      </c>
      <c r="CY1199">
        <v>7</v>
      </c>
      <c r="CZ1199" t="s">
        <v>131</v>
      </c>
      <c r="DA1199">
        <v>300</v>
      </c>
      <c r="DB1199">
        <v>0</v>
      </c>
      <c r="DC1199" t="s">
        <v>176</v>
      </c>
      <c r="DD1199" t="s">
        <v>177</v>
      </c>
      <c r="DG1199">
        <v>5381101</v>
      </c>
      <c r="DI1199">
        <v>1</v>
      </c>
      <c r="DJ1199">
        <v>0</v>
      </c>
      <c r="DK1199">
        <v>1</v>
      </c>
      <c r="DL1199">
        <v>0</v>
      </c>
      <c r="DM1199">
        <v>0</v>
      </c>
      <c r="DN1199">
        <v>1</v>
      </c>
      <c r="DO1199">
        <v>0</v>
      </c>
      <c r="DP1199">
        <v>0</v>
      </c>
      <c r="DQ1199">
        <v>0</v>
      </c>
      <c r="DR1199">
        <v>0</v>
      </c>
      <c r="DS1199">
        <v>0</v>
      </c>
    </row>
    <row r="1200" spans="1:123" x14ac:dyDescent="0.3">
      <c r="A1200" t="str">
        <f>"10/04/2022 19:28:47.119"</f>
        <v>10/04/2022 19:28:47.119</v>
      </c>
      <c r="C1200" t="str">
        <f t="shared" si="396"/>
        <v>FFDDD3C0</v>
      </c>
      <c r="D1200" t="s">
        <v>136</v>
      </c>
      <c r="E1200">
        <v>8</v>
      </c>
      <c r="H1200">
        <v>225</v>
      </c>
      <c r="I1200" t="s">
        <v>137</v>
      </c>
      <c r="J1200" t="s">
        <v>138</v>
      </c>
      <c r="K1200">
        <v>0</v>
      </c>
      <c r="L1200">
        <v>3</v>
      </c>
      <c r="M1200">
        <v>0</v>
      </c>
      <c r="N1200">
        <v>2</v>
      </c>
      <c r="O1200">
        <v>0</v>
      </c>
      <c r="P1200">
        <v>1</v>
      </c>
      <c r="Q1200">
        <v>0</v>
      </c>
      <c r="S1200" t="str">
        <f t="shared" si="412"/>
        <v>19:28:46.000</v>
      </c>
      <c r="T1200" t="str">
        <f t="shared" si="412"/>
        <v>19:28:46.000</v>
      </c>
      <c r="U1200" t="str">
        <f t="shared" si="402"/>
        <v>AC3944</v>
      </c>
      <c r="V1200">
        <v>0</v>
      </c>
      <c r="W1200">
        <v>0</v>
      </c>
      <c r="X1200">
        <v>2</v>
      </c>
      <c r="Y1200">
        <v>0</v>
      </c>
      <c r="AA1200">
        <v>1</v>
      </c>
      <c r="AB1200">
        <v>8</v>
      </c>
      <c r="AC1200">
        <v>3</v>
      </c>
      <c r="AD1200">
        <v>0</v>
      </c>
      <c r="AE1200">
        <v>9</v>
      </c>
      <c r="AF1200" t="s">
        <v>138</v>
      </c>
      <c r="AG1200">
        <v>0</v>
      </c>
      <c r="AH1200">
        <v>3</v>
      </c>
      <c r="AI1200">
        <v>1</v>
      </c>
      <c r="AJ1200">
        <v>0</v>
      </c>
      <c r="AK1200" t="s">
        <v>477</v>
      </c>
      <c r="AL1200">
        <v>32.806249000000001</v>
      </c>
      <c r="AM1200" t="s">
        <v>478</v>
      </c>
      <c r="AN1200">
        <v>-116.910281</v>
      </c>
      <c r="AO1200">
        <v>25</v>
      </c>
      <c r="AP1200">
        <v>2300</v>
      </c>
      <c r="AQ1200" t="s">
        <v>129</v>
      </c>
      <c r="AR1200">
        <v>121</v>
      </c>
      <c r="AS1200">
        <v>-7</v>
      </c>
      <c r="AT1200">
        <v>704</v>
      </c>
      <c r="BB1200">
        <v>1200</v>
      </c>
      <c r="BC1200">
        <v>1</v>
      </c>
      <c r="BD1200" t="str">
        <f t="shared" si="403"/>
        <v xml:space="preserve">N887QR  </v>
      </c>
      <c r="BE1200">
        <v>1</v>
      </c>
      <c r="BJ1200">
        <v>1975</v>
      </c>
      <c r="BK1200">
        <v>-325</v>
      </c>
      <c r="BL1200" t="s">
        <v>163</v>
      </c>
      <c r="BM1200">
        <v>1</v>
      </c>
      <c r="BN1200">
        <v>1</v>
      </c>
      <c r="BO1200">
        <v>1</v>
      </c>
      <c r="BP1200">
        <v>0</v>
      </c>
      <c r="BS1200">
        <v>0.08</v>
      </c>
      <c r="BT1200">
        <v>0</v>
      </c>
      <c r="BU1200">
        <v>0</v>
      </c>
      <c r="CE1200" t="str">
        <f t="shared" si="415"/>
        <v>19:28:46.934</v>
      </c>
      <c r="CF1200">
        <v>934309258</v>
      </c>
      <c r="CS1200">
        <v>3</v>
      </c>
      <c r="CT1200">
        <v>2</v>
      </c>
      <c r="CU1200">
        <v>0</v>
      </c>
      <c r="CV1200">
        <v>2</v>
      </c>
      <c r="CW1200">
        <v>0</v>
      </c>
      <c r="CX1200">
        <v>5</v>
      </c>
      <c r="CY1200">
        <v>7</v>
      </c>
      <c r="CZ1200" t="s">
        <v>131</v>
      </c>
      <c r="DA1200">
        <v>300</v>
      </c>
      <c r="DB1200">
        <v>0</v>
      </c>
      <c r="DC1200" t="s">
        <v>176</v>
      </c>
      <c r="DD1200" t="s">
        <v>177</v>
      </c>
      <c r="DG1200">
        <v>5381101</v>
      </c>
      <c r="DI1200">
        <v>1</v>
      </c>
      <c r="DJ1200">
        <v>0</v>
      </c>
      <c r="DK1200">
        <v>1</v>
      </c>
      <c r="DL1200">
        <v>0</v>
      </c>
      <c r="DM1200">
        <v>0</v>
      </c>
      <c r="DN1200">
        <v>1</v>
      </c>
      <c r="DO1200">
        <v>0</v>
      </c>
      <c r="DP1200">
        <v>0</v>
      </c>
      <c r="DQ1200">
        <v>0</v>
      </c>
      <c r="DR1200">
        <v>0</v>
      </c>
      <c r="DS1200">
        <v>0</v>
      </c>
    </row>
    <row r="1201" spans="1:123" x14ac:dyDescent="0.3">
      <c r="A1201" t="str">
        <f>"10/04/2022 19:28:47.151"</f>
        <v>10/04/2022 19:28:47.151</v>
      </c>
      <c r="C1201" t="str">
        <f t="shared" ref="C1201:C1264" si="416">"FFDDD3C0"</f>
        <v>FFDDD3C0</v>
      </c>
      <c r="D1201" t="s">
        <v>143</v>
      </c>
      <c r="E1201">
        <v>20</v>
      </c>
      <c r="F1201">
        <v>1020</v>
      </c>
      <c r="G1201" t="s">
        <v>144</v>
      </c>
      <c r="J1201" t="s">
        <v>145</v>
      </c>
      <c r="K1201">
        <v>0</v>
      </c>
      <c r="L1201">
        <v>3</v>
      </c>
      <c r="M1201">
        <v>0</v>
      </c>
      <c r="N1201">
        <v>2</v>
      </c>
      <c r="O1201">
        <v>0</v>
      </c>
      <c r="P1201">
        <v>1</v>
      </c>
      <c r="Q1201">
        <v>0</v>
      </c>
      <c r="S1201" t="str">
        <f t="shared" si="412"/>
        <v>19:28:46.000</v>
      </c>
      <c r="T1201" t="str">
        <f t="shared" si="412"/>
        <v>19:28:46.000</v>
      </c>
      <c r="U1201" t="str">
        <f t="shared" si="402"/>
        <v>AC3944</v>
      </c>
      <c r="V1201">
        <v>0</v>
      </c>
      <c r="W1201">
        <v>0</v>
      </c>
      <c r="X1201">
        <v>2</v>
      </c>
      <c r="Y1201">
        <v>0</v>
      </c>
      <c r="AA1201">
        <v>1</v>
      </c>
      <c r="AB1201">
        <v>8</v>
      </c>
      <c r="AC1201">
        <v>3</v>
      </c>
      <c r="AD1201">
        <v>0</v>
      </c>
      <c r="AE1201">
        <v>9</v>
      </c>
      <c r="AF1201" t="s">
        <v>138</v>
      </c>
      <c r="AG1201">
        <v>0</v>
      </c>
      <c r="AH1201">
        <v>3</v>
      </c>
      <c r="AI1201">
        <v>1</v>
      </c>
      <c r="AJ1201">
        <v>0</v>
      </c>
      <c r="AK1201" t="s">
        <v>477</v>
      </c>
      <c r="AL1201">
        <v>32.806249000000001</v>
      </c>
      <c r="AM1201" t="s">
        <v>478</v>
      </c>
      <c r="AN1201">
        <v>-116.910281</v>
      </c>
      <c r="AO1201">
        <v>25</v>
      </c>
      <c r="AP1201">
        <v>2300</v>
      </c>
      <c r="AQ1201" t="s">
        <v>129</v>
      </c>
      <c r="AR1201">
        <v>121</v>
      </c>
      <c r="AS1201">
        <v>-7</v>
      </c>
      <c r="AT1201">
        <v>704</v>
      </c>
      <c r="BB1201">
        <v>1200</v>
      </c>
      <c r="BC1201">
        <v>1</v>
      </c>
      <c r="BD1201" t="str">
        <f t="shared" si="403"/>
        <v xml:space="preserve">N887QR  </v>
      </c>
      <c r="BE1201">
        <v>1</v>
      </c>
      <c r="BJ1201">
        <v>1975</v>
      </c>
      <c r="BK1201">
        <v>-325</v>
      </c>
      <c r="BL1201" t="s">
        <v>163</v>
      </c>
      <c r="BM1201">
        <v>1</v>
      </c>
      <c r="BN1201">
        <v>1</v>
      </c>
      <c r="BO1201">
        <v>1</v>
      </c>
      <c r="BP1201">
        <v>0</v>
      </c>
      <c r="BS1201">
        <v>0.04</v>
      </c>
      <c r="BT1201">
        <v>0</v>
      </c>
      <c r="BU1201">
        <v>0</v>
      </c>
      <c r="CE1201" t="str">
        <f t="shared" si="415"/>
        <v>19:28:46.934</v>
      </c>
      <c r="CF1201">
        <v>934309258</v>
      </c>
      <c r="CS1201">
        <v>3</v>
      </c>
      <c r="CT1201">
        <v>2</v>
      </c>
      <c r="CU1201">
        <v>0</v>
      </c>
      <c r="CV1201">
        <v>2</v>
      </c>
      <c r="CW1201">
        <v>0</v>
      </c>
      <c r="CX1201">
        <v>5</v>
      </c>
      <c r="CY1201">
        <v>7</v>
      </c>
      <c r="CZ1201" t="s">
        <v>131</v>
      </c>
      <c r="DA1201">
        <v>300</v>
      </c>
      <c r="DB1201">
        <v>0</v>
      </c>
      <c r="DC1201" t="s">
        <v>176</v>
      </c>
      <c r="DD1201" t="s">
        <v>177</v>
      </c>
      <c r="DG1201">
        <v>5381101</v>
      </c>
      <c r="DI1201">
        <v>1</v>
      </c>
      <c r="DJ1201">
        <v>0</v>
      </c>
      <c r="DK1201">
        <v>1</v>
      </c>
      <c r="DL1201">
        <v>0</v>
      </c>
      <c r="DM1201">
        <v>0</v>
      </c>
      <c r="DN1201">
        <v>1</v>
      </c>
      <c r="DO1201">
        <v>0</v>
      </c>
      <c r="DP1201">
        <v>0</v>
      </c>
      <c r="DQ1201">
        <v>0</v>
      </c>
      <c r="DR1201">
        <v>0</v>
      </c>
      <c r="DS1201">
        <v>0</v>
      </c>
    </row>
    <row r="1202" spans="1:123" x14ac:dyDescent="0.3">
      <c r="A1202" t="str">
        <f>"10/04/2022 19:28:47.151"</f>
        <v>10/04/2022 19:28:47.151</v>
      </c>
      <c r="C1202" t="str">
        <f t="shared" si="416"/>
        <v>FFDDD3C0</v>
      </c>
      <c r="D1202" t="s">
        <v>123</v>
      </c>
      <c r="E1202">
        <v>7</v>
      </c>
      <c r="F1202">
        <v>2007</v>
      </c>
      <c r="G1202" t="s">
        <v>124</v>
      </c>
      <c r="J1202" t="s">
        <v>125</v>
      </c>
      <c r="K1202">
        <v>0</v>
      </c>
      <c r="L1202">
        <v>3</v>
      </c>
      <c r="M1202">
        <v>0</v>
      </c>
      <c r="N1202">
        <v>2</v>
      </c>
      <c r="O1202">
        <v>0</v>
      </c>
      <c r="P1202">
        <v>1</v>
      </c>
      <c r="Q1202">
        <v>0</v>
      </c>
      <c r="S1202" t="str">
        <f t="shared" si="412"/>
        <v>19:28:46.000</v>
      </c>
      <c r="T1202" t="str">
        <f t="shared" si="412"/>
        <v>19:28:46.000</v>
      </c>
      <c r="U1202" t="str">
        <f t="shared" si="402"/>
        <v>AC3944</v>
      </c>
      <c r="V1202">
        <v>0</v>
      </c>
      <c r="W1202">
        <v>0</v>
      </c>
      <c r="X1202">
        <v>2</v>
      </c>
      <c r="Y1202">
        <v>0</v>
      </c>
      <c r="AA1202">
        <v>1</v>
      </c>
      <c r="AB1202">
        <v>8</v>
      </c>
      <c r="AC1202">
        <v>3</v>
      </c>
      <c r="AD1202">
        <v>0</v>
      </c>
      <c r="AE1202">
        <v>9</v>
      </c>
      <c r="AF1202" t="s">
        <v>138</v>
      </c>
      <c r="AG1202">
        <v>0</v>
      </c>
      <c r="AH1202">
        <v>3</v>
      </c>
      <c r="AI1202">
        <v>1</v>
      </c>
      <c r="AJ1202">
        <v>0</v>
      </c>
      <c r="AK1202" t="s">
        <v>477</v>
      </c>
      <c r="AL1202">
        <v>32.806249000000001</v>
      </c>
      <c r="AM1202" t="s">
        <v>478</v>
      </c>
      <c r="AN1202">
        <v>-116.910281</v>
      </c>
      <c r="AO1202">
        <v>25</v>
      </c>
      <c r="AP1202">
        <v>2300</v>
      </c>
      <c r="AQ1202" t="s">
        <v>129</v>
      </c>
      <c r="AR1202">
        <v>121</v>
      </c>
      <c r="AS1202">
        <v>-7</v>
      </c>
      <c r="AT1202">
        <v>704</v>
      </c>
      <c r="BB1202">
        <v>1200</v>
      </c>
      <c r="BC1202">
        <v>1</v>
      </c>
      <c r="BD1202" t="str">
        <f t="shared" si="403"/>
        <v xml:space="preserve">N887QR  </v>
      </c>
      <c r="BE1202">
        <v>1</v>
      </c>
      <c r="BJ1202">
        <v>1975</v>
      </c>
      <c r="BK1202">
        <v>-325</v>
      </c>
      <c r="BL1202" t="s">
        <v>163</v>
      </c>
      <c r="BM1202">
        <v>1</v>
      </c>
      <c r="BN1202">
        <v>1</v>
      </c>
      <c r="BO1202">
        <v>1</v>
      </c>
      <c r="BP1202">
        <v>0</v>
      </c>
      <c r="BS1202">
        <v>0.04</v>
      </c>
      <c r="BT1202">
        <v>0</v>
      </c>
      <c r="BU1202">
        <v>0</v>
      </c>
      <c r="CE1202" t="str">
        <f t="shared" si="415"/>
        <v>19:28:46.934</v>
      </c>
      <c r="CF1202">
        <v>934309258</v>
      </c>
      <c r="CS1202">
        <v>3</v>
      </c>
      <c r="CT1202">
        <v>2</v>
      </c>
      <c r="CU1202">
        <v>0</v>
      </c>
      <c r="CV1202">
        <v>2</v>
      </c>
      <c r="CW1202">
        <v>0</v>
      </c>
      <c r="CX1202">
        <v>5</v>
      </c>
      <c r="CY1202">
        <v>7</v>
      </c>
      <c r="CZ1202" t="s">
        <v>131</v>
      </c>
      <c r="DA1202">
        <v>300</v>
      </c>
      <c r="DB1202">
        <v>0</v>
      </c>
      <c r="DC1202" t="s">
        <v>176</v>
      </c>
      <c r="DD1202" t="s">
        <v>177</v>
      </c>
      <c r="DG1202">
        <v>5381101</v>
      </c>
      <c r="DI1202">
        <v>1</v>
      </c>
      <c r="DJ1202">
        <v>0</v>
      </c>
      <c r="DK1202">
        <v>1</v>
      </c>
      <c r="DL1202">
        <v>0</v>
      </c>
      <c r="DM1202">
        <v>0</v>
      </c>
      <c r="DN1202">
        <v>1</v>
      </c>
      <c r="DO1202">
        <v>0</v>
      </c>
      <c r="DP1202">
        <v>0</v>
      </c>
      <c r="DQ1202">
        <v>0</v>
      </c>
      <c r="DR1202">
        <v>0</v>
      </c>
      <c r="DS1202">
        <v>0</v>
      </c>
    </row>
    <row r="1203" spans="1:123" x14ac:dyDescent="0.3">
      <c r="A1203" t="str">
        <f>"10/04/2022 19:28:47.151"</f>
        <v>10/04/2022 19:28:47.151</v>
      </c>
      <c r="C1203" t="str">
        <f t="shared" si="416"/>
        <v>FFDDD3C0</v>
      </c>
      <c r="D1203" t="s">
        <v>141</v>
      </c>
      <c r="E1203">
        <v>4</v>
      </c>
      <c r="H1203">
        <v>4</v>
      </c>
      <c r="I1203" t="s">
        <v>142</v>
      </c>
      <c r="J1203" t="s">
        <v>138</v>
      </c>
      <c r="K1203">
        <v>0</v>
      </c>
      <c r="L1203">
        <v>3</v>
      </c>
      <c r="M1203">
        <v>0</v>
      </c>
      <c r="N1203">
        <v>2</v>
      </c>
      <c r="O1203">
        <v>0</v>
      </c>
      <c r="P1203">
        <v>1</v>
      </c>
      <c r="Q1203">
        <v>0</v>
      </c>
      <c r="S1203" t="str">
        <f t="shared" si="412"/>
        <v>19:28:46.000</v>
      </c>
      <c r="T1203" t="str">
        <f t="shared" si="412"/>
        <v>19:28:46.000</v>
      </c>
      <c r="U1203" t="str">
        <f t="shared" si="402"/>
        <v>AC3944</v>
      </c>
      <c r="V1203">
        <v>0</v>
      </c>
      <c r="W1203">
        <v>0</v>
      </c>
      <c r="X1203">
        <v>2</v>
      </c>
      <c r="Y1203">
        <v>0</v>
      </c>
      <c r="AA1203">
        <v>1</v>
      </c>
      <c r="AB1203">
        <v>8</v>
      </c>
      <c r="AC1203">
        <v>3</v>
      </c>
      <c r="AD1203">
        <v>0</v>
      </c>
      <c r="AE1203">
        <v>9</v>
      </c>
      <c r="AF1203" t="s">
        <v>138</v>
      </c>
      <c r="AG1203">
        <v>0</v>
      </c>
      <c r="AH1203">
        <v>3</v>
      </c>
      <c r="AI1203">
        <v>1</v>
      </c>
      <c r="AJ1203">
        <v>0</v>
      </c>
      <c r="AK1203" t="s">
        <v>477</v>
      </c>
      <c r="AL1203">
        <v>32.806249000000001</v>
      </c>
      <c r="AM1203" t="s">
        <v>478</v>
      </c>
      <c r="AN1203">
        <v>-116.910281</v>
      </c>
      <c r="AO1203">
        <v>25</v>
      </c>
      <c r="AP1203">
        <v>2300</v>
      </c>
      <c r="AQ1203" t="s">
        <v>129</v>
      </c>
      <c r="AR1203">
        <v>121</v>
      </c>
      <c r="AS1203">
        <v>-7</v>
      </c>
      <c r="AT1203">
        <v>704</v>
      </c>
      <c r="BB1203">
        <v>1200</v>
      </c>
      <c r="BC1203">
        <v>1</v>
      </c>
      <c r="BD1203" t="str">
        <f t="shared" si="403"/>
        <v xml:space="preserve">N887QR  </v>
      </c>
      <c r="BE1203">
        <v>1</v>
      </c>
      <c r="BJ1203">
        <v>1975</v>
      </c>
      <c r="BK1203">
        <v>-325</v>
      </c>
      <c r="BL1203" t="s">
        <v>163</v>
      </c>
      <c r="BM1203">
        <v>1</v>
      </c>
      <c r="BN1203">
        <v>1</v>
      </c>
      <c r="BO1203">
        <v>1</v>
      </c>
      <c r="BP1203">
        <v>0</v>
      </c>
      <c r="BS1203">
        <v>0.08</v>
      </c>
      <c r="BT1203">
        <v>0</v>
      </c>
      <c r="BU1203">
        <v>0</v>
      </c>
      <c r="CE1203" t="str">
        <f t="shared" si="415"/>
        <v>19:28:46.934</v>
      </c>
      <c r="CF1203">
        <v>934309258</v>
      </c>
      <c r="CS1203">
        <v>3</v>
      </c>
      <c r="CT1203">
        <v>2</v>
      </c>
      <c r="CU1203">
        <v>0</v>
      </c>
      <c r="CV1203">
        <v>2</v>
      </c>
      <c r="CW1203">
        <v>0</v>
      </c>
      <c r="CX1203">
        <v>5</v>
      </c>
      <c r="CY1203">
        <v>7</v>
      </c>
      <c r="CZ1203" t="s">
        <v>131</v>
      </c>
      <c r="DA1203">
        <v>300</v>
      </c>
      <c r="DB1203">
        <v>0</v>
      </c>
      <c r="DC1203" t="s">
        <v>176</v>
      </c>
      <c r="DD1203" t="s">
        <v>177</v>
      </c>
      <c r="DG1203">
        <v>5381101</v>
      </c>
      <c r="DI1203">
        <v>1</v>
      </c>
      <c r="DJ1203">
        <v>0</v>
      </c>
      <c r="DK1203">
        <v>1</v>
      </c>
      <c r="DL1203">
        <v>0</v>
      </c>
      <c r="DM1203">
        <v>0</v>
      </c>
      <c r="DN1203">
        <v>1</v>
      </c>
      <c r="DO1203">
        <v>0</v>
      </c>
      <c r="DP1203">
        <v>0</v>
      </c>
      <c r="DQ1203">
        <v>0</v>
      </c>
      <c r="DR1203">
        <v>0</v>
      </c>
      <c r="DS1203">
        <v>0</v>
      </c>
    </row>
    <row r="1204" spans="1:123" x14ac:dyDescent="0.3">
      <c r="A1204" t="str">
        <f>"10/04/2022 19:28:48.166"</f>
        <v>10/04/2022 19:28:48.166</v>
      </c>
      <c r="C1204" t="str">
        <f t="shared" si="416"/>
        <v>FFDDD3C0</v>
      </c>
      <c r="D1204" t="s">
        <v>141</v>
      </c>
      <c r="E1204">
        <v>4</v>
      </c>
      <c r="H1204">
        <v>4</v>
      </c>
      <c r="I1204" t="s">
        <v>142</v>
      </c>
      <c r="J1204" t="s">
        <v>138</v>
      </c>
      <c r="K1204">
        <v>0</v>
      </c>
      <c r="L1204">
        <v>3</v>
      </c>
      <c r="M1204">
        <v>0</v>
      </c>
      <c r="N1204">
        <v>2</v>
      </c>
      <c r="O1204">
        <v>0</v>
      </c>
      <c r="P1204">
        <v>1</v>
      </c>
      <c r="Q1204">
        <v>0</v>
      </c>
      <c r="S1204" t="str">
        <f t="shared" ref="S1204:T1210" si="417">"19:28:47.000"</f>
        <v>19:28:47.000</v>
      </c>
      <c r="T1204" t="str">
        <f t="shared" si="417"/>
        <v>19:28:47.000</v>
      </c>
      <c r="U1204" t="str">
        <f t="shared" si="402"/>
        <v>AC3944</v>
      </c>
      <c r="V1204">
        <v>0</v>
      </c>
      <c r="W1204">
        <v>0</v>
      </c>
      <c r="X1204">
        <v>2</v>
      </c>
      <c r="Y1204">
        <v>0</v>
      </c>
      <c r="AA1204">
        <v>1</v>
      </c>
      <c r="AB1204">
        <v>8</v>
      </c>
      <c r="AC1204">
        <v>3</v>
      </c>
      <c r="AD1204">
        <v>0</v>
      </c>
      <c r="AE1204">
        <v>9</v>
      </c>
      <c r="AF1204" t="s">
        <v>138</v>
      </c>
      <c r="AG1204">
        <v>0</v>
      </c>
      <c r="AH1204">
        <v>3</v>
      </c>
      <c r="AI1204">
        <v>1</v>
      </c>
      <c r="AJ1204">
        <v>0</v>
      </c>
      <c r="AK1204" t="s">
        <v>479</v>
      </c>
      <c r="AL1204">
        <v>32.806206000000003</v>
      </c>
      <c r="AM1204" t="s">
        <v>480</v>
      </c>
      <c r="AN1204">
        <v>-116.909616</v>
      </c>
      <c r="AO1204">
        <v>25</v>
      </c>
      <c r="AP1204">
        <v>2300</v>
      </c>
      <c r="AQ1204" t="s">
        <v>129</v>
      </c>
      <c r="AR1204">
        <v>120</v>
      </c>
      <c r="AS1204">
        <v>-6</v>
      </c>
      <c r="AT1204">
        <v>704</v>
      </c>
      <c r="BB1204">
        <v>1200</v>
      </c>
      <c r="BC1204">
        <v>1</v>
      </c>
      <c r="BD1204" t="str">
        <f t="shared" si="403"/>
        <v xml:space="preserve">N887QR  </v>
      </c>
      <c r="BE1204">
        <v>1</v>
      </c>
      <c r="BJ1204">
        <v>1975</v>
      </c>
      <c r="BK1204">
        <v>-325</v>
      </c>
      <c r="BL1204" t="s">
        <v>163</v>
      </c>
      <c r="BM1204">
        <v>1</v>
      </c>
      <c r="BN1204">
        <v>1</v>
      </c>
      <c r="BO1204">
        <v>1</v>
      </c>
      <c r="BP1204">
        <v>0</v>
      </c>
      <c r="BS1204">
        <v>0.08</v>
      </c>
      <c r="BT1204">
        <v>0</v>
      </c>
      <c r="BU1204">
        <v>0</v>
      </c>
      <c r="CE1204" t="str">
        <f t="shared" ref="CE1204:CE1210" si="418">"19:28:47.983"</f>
        <v>19:28:47.983</v>
      </c>
      <c r="CF1204">
        <v>982562647</v>
      </c>
      <c r="CS1204">
        <v>3</v>
      </c>
      <c r="CT1204">
        <v>2</v>
      </c>
      <c r="CU1204">
        <v>0</v>
      </c>
      <c r="CV1204">
        <v>2</v>
      </c>
      <c r="CW1204">
        <v>0</v>
      </c>
      <c r="CX1204">
        <v>5</v>
      </c>
      <c r="CY1204">
        <v>7</v>
      </c>
      <c r="CZ1204" t="s">
        <v>131</v>
      </c>
      <c r="DA1204">
        <v>300</v>
      </c>
      <c r="DB1204">
        <v>0</v>
      </c>
      <c r="DC1204" t="s">
        <v>176</v>
      </c>
      <c r="DD1204" t="s">
        <v>177</v>
      </c>
      <c r="DG1204">
        <v>5381273</v>
      </c>
      <c r="DI1204">
        <v>1</v>
      </c>
      <c r="DJ1204">
        <v>0</v>
      </c>
      <c r="DK1204">
        <v>0</v>
      </c>
      <c r="DL1204">
        <v>0</v>
      </c>
      <c r="DM1204">
        <v>0</v>
      </c>
      <c r="DN1204">
        <v>1</v>
      </c>
      <c r="DO1204">
        <v>0</v>
      </c>
      <c r="DP1204">
        <v>0</v>
      </c>
      <c r="DQ1204">
        <v>0</v>
      </c>
      <c r="DR1204">
        <v>0</v>
      </c>
      <c r="DS1204">
        <v>0</v>
      </c>
    </row>
    <row r="1205" spans="1:123" x14ac:dyDescent="0.3">
      <c r="A1205" t="str">
        <f>"10/04/2022 19:28:48.182"</f>
        <v>10/04/2022 19:28:48.182</v>
      </c>
      <c r="C1205" t="str">
        <f t="shared" si="416"/>
        <v>FFDDD3C0</v>
      </c>
      <c r="D1205" t="s">
        <v>147</v>
      </c>
      <c r="E1205">
        <v>3</v>
      </c>
      <c r="H1205">
        <v>166</v>
      </c>
      <c r="I1205" t="s">
        <v>144</v>
      </c>
      <c r="J1205" t="s">
        <v>148</v>
      </c>
      <c r="K1205">
        <v>0</v>
      </c>
      <c r="L1205">
        <v>3</v>
      </c>
      <c r="M1205">
        <v>0</v>
      </c>
      <c r="N1205">
        <v>2</v>
      </c>
      <c r="O1205">
        <v>0</v>
      </c>
      <c r="P1205">
        <v>1</v>
      </c>
      <c r="Q1205">
        <v>0</v>
      </c>
      <c r="S1205" t="str">
        <f t="shared" si="417"/>
        <v>19:28:47.000</v>
      </c>
      <c r="T1205" t="str">
        <f t="shared" si="417"/>
        <v>19:28:47.000</v>
      </c>
      <c r="U1205" t="str">
        <f t="shared" si="402"/>
        <v>AC3944</v>
      </c>
      <c r="V1205">
        <v>0</v>
      </c>
      <c r="W1205">
        <v>0</v>
      </c>
      <c r="X1205">
        <v>2</v>
      </c>
      <c r="Y1205">
        <v>0</v>
      </c>
      <c r="AA1205">
        <v>1</v>
      </c>
      <c r="AB1205">
        <v>8</v>
      </c>
      <c r="AC1205">
        <v>3</v>
      </c>
      <c r="AD1205">
        <v>0</v>
      </c>
      <c r="AE1205">
        <v>9</v>
      </c>
      <c r="AF1205" t="s">
        <v>138</v>
      </c>
      <c r="AG1205">
        <v>0</v>
      </c>
      <c r="AH1205">
        <v>3</v>
      </c>
      <c r="AI1205">
        <v>1</v>
      </c>
      <c r="AJ1205">
        <v>0</v>
      </c>
      <c r="AK1205" t="s">
        <v>479</v>
      </c>
      <c r="AL1205">
        <v>32.806206000000003</v>
      </c>
      <c r="AM1205" t="s">
        <v>480</v>
      </c>
      <c r="AN1205">
        <v>-116.909616</v>
      </c>
      <c r="AO1205">
        <v>25</v>
      </c>
      <c r="AP1205">
        <v>2300</v>
      </c>
      <c r="AQ1205" t="s">
        <v>129</v>
      </c>
      <c r="AR1205">
        <v>120</v>
      </c>
      <c r="AS1205">
        <v>-6</v>
      </c>
      <c r="AT1205">
        <v>704</v>
      </c>
      <c r="BB1205">
        <v>1200</v>
      </c>
      <c r="BC1205">
        <v>1</v>
      </c>
      <c r="BD1205" t="str">
        <f t="shared" si="403"/>
        <v xml:space="preserve">N887QR  </v>
      </c>
      <c r="BE1205">
        <v>1</v>
      </c>
      <c r="BJ1205">
        <v>1975</v>
      </c>
      <c r="BK1205">
        <v>-325</v>
      </c>
      <c r="BL1205" t="s">
        <v>163</v>
      </c>
      <c r="BM1205">
        <v>1</v>
      </c>
      <c r="BN1205">
        <v>1</v>
      </c>
      <c r="BO1205">
        <v>1</v>
      </c>
      <c r="BP1205">
        <v>0</v>
      </c>
      <c r="BS1205">
        <v>0.08</v>
      </c>
      <c r="BT1205">
        <v>0</v>
      </c>
      <c r="BU1205">
        <v>0</v>
      </c>
      <c r="CE1205" t="str">
        <f t="shared" si="418"/>
        <v>19:28:47.983</v>
      </c>
      <c r="CF1205">
        <v>982562647</v>
      </c>
      <c r="CS1205">
        <v>3</v>
      </c>
      <c r="CT1205">
        <v>2</v>
      </c>
      <c r="CU1205">
        <v>0</v>
      </c>
      <c r="CV1205">
        <v>2</v>
      </c>
      <c r="CW1205">
        <v>0</v>
      </c>
      <c r="CX1205">
        <v>5</v>
      </c>
      <c r="CY1205">
        <v>7</v>
      </c>
      <c r="CZ1205" t="s">
        <v>131</v>
      </c>
      <c r="DA1205">
        <v>300</v>
      </c>
      <c r="DB1205">
        <v>0</v>
      </c>
      <c r="DC1205" t="s">
        <v>176</v>
      </c>
      <c r="DD1205" t="s">
        <v>177</v>
      </c>
      <c r="DG1205">
        <v>5381273</v>
      </c>
      <c r="DI1205">
        <v>1</v>
      </c>
      <c r="DJ1205">
        <v>0</v>
      </c>
      <c r="DK1205">
        <v>1</v>
      </c>
      <c r="DL1205">
        <v>0</v>
      </c>
      <c r="DM1205">
        <v>0</v>
      </c>
      <c r="DN1205">
        <v>1</v>
      </c>
      <c r="DO1205">
        <v>0</v>
      </c>
      <c r="DP1205">
        <v>0</v>
      </c>
      <c r="DQ1205">
        <v>0</v>
      </c>
      <c r="DR1205">
        <v>0</v>
      </c>
      <c r="DS1205">
        <v>0</v>
      </c>
    </row>
    <row r="1206" spans="1:123" x14ac:dyDescent="0.3">
      <c r="A1206" t="str">
        <f>"10/04/2022 19:28:48.182"</f>
        <v>10/04/2022 19:28:48.182</v>
      </c>
      <c r="C1206" t="str">
        <f t="shared" si="416"/>
        <v>FFDDD3C0</v>
      </c>
      <c r="D1206" t="s">
        <v>141</v>
      </c>
      <c r="E1206">
        <v>3</v>
      </c>
      <c r="H1206">
        <v>3</v>
      </c>
      <c r="I1206" t="s">
        <v>146</v>
      </c>
      <c r="J1206" t="s">
        <v>138</v>
      </c>
      <c r="K1206">
        <v>0</v>
      </c>
      <c r="L1206">
        <v>3</v>
      </c>
      <c r="M1206">
        <v>0</v>
      </c>
      <c r="N1206">
        <v>2</v>
      </c>
      <c r="O1206">
        <v>0</v>
      </c>
      <c r="P1206">
        <v>1</v>
      </c>
      <c r="Q1206">
        <v>0</v>
      </c>
      <c r="S1206" t="str">
        <f t="shared" si="417"/>
        <v>19:28:47.000</v>
      </c>
      <c r="T1206" t="str">
        <f t="shared" si="417"/>
        <v>19:28:47.000</v>
      </c>
      <c r="U1206" t="str">
        <f t="shared" si="402"/>
        <v>AC3944</v>
      </c>
      <c r="V1206">
        <v>0</v>
      </c>
      <c r="W1206">
        <v>0</v>
      </c>
      <c r="X1206">
        <v>2</v>
      </c>
      <c r="Y1206">
        <v>0</v>
      </c>
      <c r="AA1206">
        <v>1</v>
      </c>
      <c r="AB1206">
        <v>8</v>
      </c>
      <c r="AC1206">
        <v>3</v>
      </c>
      <c r="AD1206">
        <v>0</v>
      </c>
      <c r="AE1206">
        <v>9</v>
      </c>
      <c r="AF1206" t="s">
        <v>138</v>
      </c>
      <c r="AG1206">
        <v>0</v>
      </c>
      <c r="AH1206">
        <v>3</v>
      </c>
      <c r="AI1206">
        <v>1</v>
      </c>
      <c r="AJ1206">
        <v>0</v>
      </c>
      <c r="AK1206" t="s">
        <v>479</v>
      </c>
      <c r="AL1206">
        <v>32.806206000000003</v>
      </c>
      <c r="AM1206" t="s">
        <v>480</v>
      </c>
      <c r="AN1206">
        <v>-116.909616</v>
      </c>
      <c r="AO1206">
        <v>25</v>
      </c>
      <c r="AP1206">
        <v>2300</v>
      </c>
      <c r="AQ1206" t="s">
        <v>129</v>
      </c>
      <c r="AR1206">
        <v>120</v>
      </c>
      <c r="AS1206">
        <v>-6</v>
      </c>
      <c r="AT1206">
        <v>704</v>
      </c>
      <c r="BB1206">
        <v>1200</v>
      </c>
      <c r="BC1206">
        <v>1</v>
      </c>
      <c r="BD1206" t="str">
        <f t="shared" si="403"/>
        <v xml:space="preserve">N887QR  </v>
      </c>
      <c r="BE1206">
        <v>1</v>
      </c>
      <c r="BJ1206">
        <v>1975</v>
      </c>
      <c r="BK1206">
        <v>-325</v>
      </c>
      <c r="BL1206" t="s">
        <v>163</v>
      </c>
      <c r="BM1206">
        <v>1</v>
      </c>
      <c r="BN1206">
        <v>1</v>
      </c>
      <c r="BO1206">
        <v>1</v>
      </c>
      <c r="BP1206">
        <v>0</v>
      </c>
      <c r="BS1206">
        <v>0.08</v>
      </c>
      <c r="BT1206">
        <v>0</v>
      </c>
      <c r="BU1206">
        <v>0</v>
      </c>
      <c r="CE1206" t="str">
        <f t="shared" si="418"/>
        <v>19:28:47.983</v>
      </c>
      <c r="CF1206">
        <v>982562647</v>
      </c>
      <c r="CS1206">
        <v>3</v>
      </c>
      <c r="CT1206">
        <v>2</v>
      </c>
      <c r="CU1206">
        <v>0</v>
      </c>
      <c r="CV1206">
        <v>2</v>
      </c>
      <c r="CW1206">
        <v>0</v>
      </c>
      <c r="CX1206">
        <v>5</v>
      </c>
      <c r="CY1206">
        <v>7</v>
      </c>
      <c r="CZ1206" t="s">
        <v>131</v>
      </c>
      <c r="DA1206">
        <v>300</v>
      </c>
      <c r="DB1206">
        <v>0</v>
      </c>
      <c r="DC1206" t="s">
        <v>176</v>
      </c>
      <c r="DD1206" t="s">
        <v>177</v>
      </c>
      <c r="DG1206">
        <v>5381273</v>
      </c>
      <c r="DI1206">
        <v>1</v>
      </c>
      <c r="DJ1206">
        <v>0</v>
      </c>
      <c r="DK1206">
        <v>1</v>
      </c>
      <c r="DL1206">
        <v>0</v>
      </c>
      <c r="DM1206">
        <v>0</v>
      </c>
      <c r="DN1206">
        <v>1</v>
      </c>
      <c r="DO1206">
        <v>0</v>
      </c>
      <c r="DP1206">
        <v>0</v>
      </c>
      <c r="DQ1206">
        <v>0</v>
      </c>
      <c r="DR1206">
        <v>0</v>
      </c>
      <c r="DS1206">
        <v>0</v>
      </c>
    </row>
    <row r="1207" spans="1:123" x14ac:dyDescent="0.3">
      <c r="A1207" t="str">
        <f>"10/04/2022 19:28:48.182"</f>
        <v>10/04/2022 19:28:48.182</v>
      </c>
      <c r="C1207" t="str">
        <f t="shared" si="416"/>
        <v>FFDDD3C0</v>
      </c>
      <c r="D1207" t="s">
        <v>134</v>
      </c>
      <c r="E1207">
        <v>15</v>
      </c>
      <c r="J1207" t="s">
        <v>135</v>
      </c>
      <c r="K1207">
        <v>0</v>
      </c>
      <c r="L1207">
        <v>3</v>
      </c>
      <c r="M1207">
        <v>0</v>
      </c>
      <c r="N1207">
        <v>2</v>
      </c>
      <c r="O1207">
        <v>0</v>
      </c>
      <c r="P1207">
        <v>1</v>
      </c>
      <c r="Q1207">
        <v>0</v>
      </c>
      <c r="S1207" t="str">
        <f t="shared" si="417"/>
        <v>19:28:47.000</v>
      </c>
      <c r="T1207" t="str">
        <f t="shared" si="417"/>
        <v>19:28:47.000</v>
      </c>
      <c r="U1207" t="str">
        <f t="shared" si="402"/>
        <v>AC3944</v>
      </c>
      <c r="V1207">
        <v>0</v>
      </c>
      <c r="W1207">
        <v>0</v>
      </c>
      <c r="X1207">
        <v>2</v>
      </c>
      <c r="Y1207">
        <v>0</v>
      </c>
      <c r="AA1207">
        <v>1</v>
      </c>
      <c r="AB1207">
        <v>8</v>
      </c>
      <c r="AC1207">
        <v>3</v>
      </c>
      <c r="AD1207">
        <v>0</v>
      </c>
      <c r="AE1207">
        <v>9</v>
      </c>
      <c r="AF1207" t="s">
        <v>138</v>
      </c>
      <c r="AG1207">
        <v>0</v>
      </c>
      <c r="AH1207">
        <v>3</v>
      </c>
      <c r="AI1207">
        <v>1</v>
      </c>
      <c r="AJ1207">
        <v>0</v>
      </c>
      <c r="AK1207" t="s">
        <v>479</v>
      </c>
      <c r="AL1207">
        <v>32.806206000000003</v>
      </c>
      <c r="AM1207" t="s">
        <v>480</v>
      </c>
      <c r="AN1207">
        <v>-116.909616</v>
      </c>
      <c r="AO1207">
        <v>25</v>
      </c>
      <c r="AP1207">
        <v>2300</v>
      </c>
      <c r="AQ1207" t="s">
        <v>129</v>
      </c>
      <c r="AR1207">
        <v>120</v>
      </c>
      <c r="AS1207">
        <v>-6</v>
      </c>
      <c r="AT1207">
        <v>704</v>
      </c>
      <c r="BB1207">
        <v>1200</v>
      </c>
      <c r="BC1207">
        <v>1</v>
      </c>
      <c r="BD1207" t="str">
        <f t="shared" si="403"/>
        <v xml:space="preserve">N887QR  </v>
      </c>
      <c r="BE1207">
        <v>1</v>
      </c>
      <c r="BJ1207">
        <v>1975</v>
      </c>
      <c r="BK1207">
        <v>-325</v>
      </c>
      <c r="BL1207" t="s">
        <v>163</v>
      </c>
      <c r="BM1207">
        <v>1</v>
      </c>
      <c r="BN1207">
        <v>1</v>
      </c>
      <c r="BO1207">
        <v>1</v>
      </c>
      <c r="BP1207">
        <v>0</v>
      </c>
      <c r="BS1207">
        <v>0.04</v>
      </c>
      <c r="BT1207">
        <v>0</v>
      </c>
      <c r="BU1207">
        <v>0</v>
      </c>
      <c r="CE1207" t="str">
        <f t="shared" si="418"/>
        <v>19:28:47.983</v>
      </c>
      <c r="CF1207">
        <v>982562647</v>
      </c>
      <c r="CS1207">
        <v>3</v>
      </c>
      <c r="CT1207">
        <v>2</v>
      </c>
      <c r="CU1207">
        <v>0</v>
      </c>
      <c r="CV1207">
        <v>2</v>
      </c>
      <c r="CW1207">
        <v>0</v>
      </c>
      <c r="CX1207">
        <v>5</v>
      </c>
      <c r="CY1207">
        <v>7</v>
      </c>
      <c r="CZ1207" t="s">
        <v>131</v>
      </c>
      <c r="DA1207">
        <v>300</v>
      </c>
      <c r="DB1207">
        <v>0</v>
      </c>
      <c r="DC1207" t="s">
        <v>176</v>
      </c>
      <c r="DD1207" t="s">
        <v>177</v>
      </c>
      <c r="DG1207">
        <v>5381273</v>
      </c>
      <c r="DI1207">
        <v>1</v>
      </c>
      <c r="DJ1207">
        <v>0</v>
      </c>
      <c r="DK1207">
        <v>1</v>
      </c>
      <c r="DL1207">
        <v>0</v>
      </c>
      <c r="DM1207">
        <v>0</v>
      </c>
      <c r="DN1207">
        <v>1</v>
      </c>
      <c r="DO1207">
        <v>0</v>
      </c>
      <c r="DP1207">
        <v>0</v>
      </c>
      <c r="DQ1207">
        <v>0</v>
      </c>
      <c r="DR1207">
        <v>0</v>
      </c>
      <c r="DS1207">
        <v>0</v>
      </c>
    </row>
    <row r="1208" spans="1:123" x14ac:dyDescent="0.3">
      <c r="A1208" t="str">
        <f>"10/04/2022 19:28:48.182"</f>
        <v>10/04/2022 19:28:48.182</v>
      </c>
      <c r="C1208" t="str">
        <f t="shared" si="416"/>
        <v>FFDDD3C0</v>
      </c>
      <c r="D1208" t="s">
        <v>136</v>
      </c>
      <c r="E1208">
        <v>8</v>
      </c>
      <c r="H1208">
        <v>225</v>
      </c>
      <c r="I1208" t="s">
        <v>137</v>
      </c>
      <c r="J1208" t="s">
        <v>138</v>
      </c>
      <c r="K1208">
        <v>0</v>
      </c>
      <c r="L1208">
        <v>3</v>
      </c>
      <c r="M1208">
        <v>0</v>
      </c>
      <c r="N1208">
        <v>2</v>
      </c>
      <c r="O1208">
        <v>0</v>
      </c>
      <c r="P1208">
        <v>1</v>
      </c>
      <c r="Q1208">
        <v>0</v>
      </c>
      <c r="S1208" t="str">
        <f t="shared" si="417"/>
        <v>19:28:47.000</v>
      </c>
      <c r="T1208" t="str">
        <f t="shared" si="417"/>
        <v>19:28:47.000</v>
      </c>
      <c r="U1208" t="str">
        <f t="shared" si="402"/>
        <v>AC3944</v>
      </c>
      <c r="V1208">
        <v>0</v>
      </c>
      <c r="W1208">
        <v>0</v>
      </c>
      <c r="X1208">
        <v>2</v>
      </c>
      <c r="Y1208">
        <v>0</v>
      </c>
      <c r="AA1208">
        <v>1</v>
      </c>
      <c r="AB1208">
        <v>8</v>
      </c>
      <c r="AC1208">
        <v>3</v>
      </c>
      <c r="AD1208">
        <v>0</v>
      </c>
      <c r="AE1208">
        <v>9</v>
      </c>
      <c r="AF1208" t="s">
        <v>138</v>
      </c>
      <c r="AG1208">
        <v>0</v>
      </c>
      <c r="AH1208">
        <v>3</v>
      </c>
      <c r="AI1208">
        <v>1</v>
      </c>
      <c r="AJ1208">
        <v>0</v>
      </c>
      <c r="AK1208" t="s">
        <v>479</v>
      </c>
      <c r="AL1208">
        <v>32.806206000000003</v>
      </c>
      <c r="AM1208" t="s">
        <v>480</v>
      </c>
      <c r="AN1208">
        <v>-116.909616</v>
      </c>
      <c r="AO1208">
        <v>25</v>
      </c>
      <c r="AP1208">
        <v>2300</v>
      </c>
      <c r="AQ1208" t="s">
        <v>129</v>
      </c>
      <c r="AR1208">
        <v>120</v>
      </c>
      <c r="AS1208">
        <v>-6</v>
      </c>
      <c r="AT1208">
        <v>704</v>
      </c>
      <c r="BB1208">
        <v>1200</v>
      </c>
      <c r="BC1208">
        <v>1</v>
      </c>
      <c r="BD1208" t="str">
        <f t="shared" si="403"/>
        <v xml:space="preserve">N887QR  </v>
      </c>
      <c r="BE1208">
        <v>1</v>
      </c>
      <c r="BJ1208">
        <v>1975</v>
      </c>
      <c r="BK1208">
        <v>-325</v>
      </c>
      <c r="BL1208" t="s">
        <v>163</v>
      </c>
      <c r="BM1208">
        <v>1</v>
      </c>
      <c r="BN1208">
        <v>1</v>
      </c>
      <c r="BO1208">
        <v>1</v>
      </c>
      <c r="BP1208">
        <v>0</v>
      </c>
      <c r="BS1208">
        <v>0.08</v>
      </c>
      <c r="BT1208">
        <v>0</v>
      </c>
      <c r="BU1208">
        <v>0</v>
      </c>
      <c r="CE1208" t="str">
        <f t="shared" si="418"/>
        <v>19:28:47.983</v>
      </c>
      <c r="CF1208">
        <v>982562647</v>
      </c>
      <c r="CS1208">
        <v>3</v>
      </c>
      <c r="CT1208">
        <v>2</v>
      </c>
      <c r="CU1208">
        <v>0</v>
      </c>
      <c r="CV1208">
        <v>2</v>
      </c>
      <c r="CW1208">
        <v>0</v>
      </c>
      <c r="CX1208">
        <v>5</v>
      </c>
      <c r="CY1208">
        <v>7</v>
      </c>
      <c r="CZ1208" t="s">
        <v>131</v>
      </c>
      <c r="DA1208">
        <v>300</v>
      </c>
      <c r="DB1208">
        <v>0</v>
      </c>
      <c r="DC1208" t="s">
        <v>176</v>
      </c>
      <c r="DD1208" t="s">
        <v>177</v>
      </c>
      <c r="DG1208">
        <v>5381273</v>
      </c>
      <c r="DI1208">
        <v>1</v>
      </c>
      <c r="DJ1208">
        <v>0</v>
      </c>
      <c r="DK1208">
        <v>1</v>
      </c>
      <c r="DL1208">
        <v>0</v>
      </c>
      <c r="DM1208">
        <v>0</v>
      </c>
      <c r="DN1208">
        <v>1</v>
      </c>
      <c r="DO1208">
        <v>0</v>
      </c>
      <c r="DP1208">
        <v>0</v>
      </c>
      <c r="DQ1208">
        <v>0</v>
      </c>
      <c r="DR1208">
        <v>0</v>
      </c>
      <c r="DS1208">
        <v>0</v>
      </c>
    </row>
    <row r="1209" spans="1:123" x14ac:dyDescent="0.3">
      <c r="A1209" t="str">
        <f>"10/04/2022 19:28:48.182"</f>
        <v>10/04/2022 19:28:48.182</v>
      </c>
      <c r="C1209" t="str">
        <f t="shared" si="416"/>
        <v>FFDDD3C0</v>
      </c>
      <c r="D1209" t="s">
        <v>143</v>
      </c>
      <c r="E1209">
        <v>20</v>
      </c>
      <c r="F1209">
        <v>1020</v>
      </c>
      <c r="G1209" t="s">
        <v>144</v>
      </c>
      <c r="J1209" t="s">
        <v>145</v>
      </c>
      <c r="K1209">
        <v>0</v>
      </c>
      <c r="L1209">
        <v>3</v>
      </c>
      <c r="M1209">
        <v>0</v>
      </c>
      <c r="N1209">
        <v>2</v>
      </c>
      <c r="O1209">
        <v>0</v>
      </c>
      <c r="P1209">
        <v>1</v>
      </c>
      <c r="Q1209">
        <v>0</v>
      </c>
      <c r="S1209" t="str">
        <f t="shared" si="417"/>
        <v>19:28:47.000</v>
      </c>
      <c r="T1209" t="str">
        <f t="shared" si="417"/>
        <v>19:28:47.000</v>
      </c>
      <c r="U1209" t="str">
        <f t="shared" si="402"/>
        <v>AC3944</v>
      </c>
      <c r="V1209">
        <v>0</v>
      </c>
      <c r="W1209">
        <v>0</v>
      </c>
      <c r="X1209">
        <v>2</v>
      </c>
      <c r="Y1209">
        <v>0</v>
      </c>
      <c r="AA1209">
        <v>1</v>
      </c>
      <c r="AB1209">
        <v>8</v>
      </c>
      <c r="AC1209">
        <v>3</v>
      </c>
      <c r="AD1209">
        <v>0</v>
      </c>
      <c r="AE1209">
        <v>9</v>
      </c>
      <c r="AF1209" t="s">
        <v>138</v>
      </c>
      <c r="AG1209">
        <v>0</v>
      </c>
      <c r="AH1209">
        <v>3</v>
      </c>
      <c r="AI1209">
        <v>1</v>
      </c>
      <c r="AJ1209">
        <v>0</v>
      </c>
      <c r="AK1209" t="s">
        <v>479</v>
      </c>
      <c r="AL1209">
        <v>32.806206000000003</v>
      </c>
      <c r="AM1209" t="s">
        <v>480</v>
      </c>
      <c r="AN1209">
        <v>-116.909616</v>
      </c>
      <c r="AO1209">
        <v>25</v>
      </c>
      <c r="AP1209">
        <v>2300</v>
      </c>
      <c r="AQ1209" t="s">
        <v>129</v>
      </c>
      <c r="AR1209">
        <v>120</v>
      </c>
      <c r="AS1209">
        <v>-6</v>
      </c>
      <c r="AT1209">
        <v>704</v>
      </c>
      <c r="BB1209">
        <v>1200</v>
      </c>
      <c r="BC1209">
        <v>1</v>
      </c>
      <c r="BD1209" t="str">
        <f t="shared" si="403"/>
        <v xml:space="preserve">N887QR  </v>
      </c>
      <c r="BE1209">
        <v>1</v>
      </c>
      <c r="BJ1209">
        <v>1975</v>
      </c>
      <c r="BK1209">
        <v>-325</v>
      </c>
      <c r="BL1209" t="s">
        <v>163</v>
      </c>
      <c r="BM1209">
        <v>1</v>
      </c>
      <c r="BN1209">
        <v>1</v>
      </c>
      <c r="BO1209">
        <v>1</v>
      </c>
      <c r="BP1209">
        <v>0</v>
      </c>
      <c r="BS1209">
        <v>0.04</v>
      </c>
      <c r="BT1209">
        <v>0</v>
      </c>
      <c r="BU1209">
        <v>0</v>
      </c>
      <c r="CE1209" t="str">
        <f t="shared" si="418"/>
        <v>19:28:47.983</v>
      </c>
      <c r="CF1209">
        <v>982562647</v>
      </c>
      <c r="CS1209">
        <v>3</v>
      </c>
      <c r="CT1209">
        <v>2</v>
      </c>
      <c r="CU1209">
        <v>0</v>
      </c>
      <c r="CV1209">
        <v>2</v>
      </c>
      <c r="CW1209">
        <v>0</v>
      </c>
      <c r="CX1209">
        <v>5</v>
      </c>
      <c r="CY1209">
        <v>7</v>
      </c>
      <c r="CZ1209" t="s">
        <v>131</v>
      </c>
      <c r="DA1209">
        <v>300</v>
      </c>
      <c r="DB1209">
        <v>0</v>
      </c>
      <c r="DC1209" t="s">
        <v>176</v>
      </c>
      <c r="DD1209" t="s">
        <v>177</v>
      </c>
      <c r="DG1209">
        <v>5381273</v>
      </c>
      <c r="DI1209">
        <v>1</v>
      </c>
      <c r="DJ1209">
        <v>0</v>
      </c>
      <c r="DK1209">
        <v>1</v>
      </c>
      <c r="DL1209">
        <v>0</v>
      </c>
      <c r="DM1209">
        <v>0</v>
      </c>
      <c r="DN1209">
        <v>1</v>
      </c>
      <c r="DO1209">
        <v>0</v>
      </c>
      <c r="DP1209">
        <v>0</v>
      </c>
      <c r="DQ1209">
        <v>0</v>
      </c>
      <c r="DR1209">
        <v>0</v>
      </c>
      <c r="DS1209">
        <v>0</v>
      </c>
    </row>
    <row r="1210" spans="1:123" x14ac:dyDescent="0.3">
      <c r="A1210" t="str">
        <f>"10/04/2022 19:28:48.213"</f>
        <v>10/04/2022 19:28:48.213</v>
      </c>
      <c r="C1210" t="str">
        <f t="shared" si="416"/>
        <v>FFDDD3C0</v>
      </c>
      <c r="D1210" t="s">
        <v>123</v>
      </c>
      <c r="E1210">
        <v>7</v>
      </c>
      <c r="F1210">
        <v>2007</v>
      </c>
      <c r="G1210" t="s">
        <v>124</v>
      </c>
      <c r="J1210" t="s">
        <v>125</v>
      </c>
      <c r="K1210">
        <v>0</v>
      </c>
      <c r="L1210">
        <v>3</v>
      </c>
      <c r="M1210">
        <v>0</v>
      </c>
      <c r="N1210">
        <v>2</v>
      </c>
      <c r="O1210">
        <v>0</v>
      </c>
      <c r="P1210">
        <v>1</v>
      </c>
      <c r="Q1210">
        <v>0</v>
      </c>
      <c r="S1210" t="str">
        <f t="shared" si="417"/>
        <v>19:28:47.000</v>
      </c>
      <c r="T1210" t="str">
        <f t="shared" si="417"/>
        <v>19:28:47.000</v>
      </c>
      <c r="U1210" t="str">
        <f t="shared" si="402"/>
        <v>AC3944</v>
      </c>
      <c r="V1210">
        <v>0</v>
      </c>
      <c r="W1210">
        <v>0</v>
      </c>
      <c r="X1210">
        <v>2</v>
      </c>
      <c r="Y1210">
        <v>0</v>
      </c>
      <c r="AA1210">
        <v>1</v>
      </c>
      <c r="AB1210">
        <v>8</v>
      </c>
      <c r="AC1210">
        <v>3</v>
      </c>
      <c r="AD1210">
        <v>0</v>
      </c>
      <c r="AE1210">
        <v>9</v>
      </c>
      <c r="AF1210" t="s">
        <v>138</v>
      </c>
      <c r="AG1210">
        <v>0</v>
      </c>
      <c r="AH1210">
        <v>3</v>
      </c>
      <c r="AI1210">
        <v>1</v>
      </c>
      <c r="AJ1210">
        <v>0</v>
      </c>
      <c r="AK1210" t="s">
        <v>479</v>
      </c>
      <c r="AL1210">
        <v>32.806206000000003</v>
      </c>
      <c r="AM1210" t="s">
        <v>480</v>
      </c>
      <c r="AN1210">
        <v>-116.909616</v>
      </c>
      <c r="AO1210">
        <v>25</v>
      </c>
      <c r="AP1210">
        <v>2300</v>
      </c>
      <c r="AQ1210" t="s">
        <v>129</v>
      </c>
      <c r="AR1210">
        <v>120</v>
      </c>
      <c r="AS1210">
        <v>-6</v>
      </c>
      <c r="AT1210">
        <v>704</v>
      </c>
      <c r="BB1210">
        <v>1200</v>
      </c>
      <c r="BC1210">
        <v>1</v>
      </c>
      <c r="BD1210" t="str">
        <f t="shared" si="403"/>
        <v xml:space="preserve">N887QR  </v>
      </c>
      <c r="BE1210">
        <v>1</v>
      </c>
      <c r="BJ1210">
        <v>1975</v>
      </c>
      <c r="BK1210">
        <v>-325</v>
      </c>
      <c r="BL1210" t="s">
        <v>163</v>
      </c>
      <c r="BM1210">
        <v>1</v>
      </c>
      <c r="BN1210">
        <v>1</v>
      </c>
      <c r="BO1210">
        <v>1</v>
      </c>
      <c r="BP1210">
        <v>0</v>
      </c>
      <c r="BS1210">
        <v>0.04</v>
      </c>
      <c r="BT1210">
        <v>0</v>
      </c>
      <c r="BU1210">
        <v>0</v>
      </c>
      <c r="CE1210" t="str">
        <f t="shared" si="418"/>
        <v>19:28:47.983</v>
      </c>
      <c r="CF1210">
        <v>982562647</v>
      </c>
      <c r="CS1210">
        <v>3</v>
      </c>
      <c r="CT1210">
        <v>2</v>
      </c>
      <c r="CU1210">
        <v>0</v>
      </c>
      <c r="CV1210">
        <v>2</v>
      </c>
      <c r="CW1210">
        <v>0</v>
      </c>
      <c r="CX1210">
        <v>5</v>
      </c>
      <c r="CY1210">
        <v>7</v>
      </c>
      <c r="CZ1210" t="s">
        <v>131</v>
      </c>
      <c r="DA1210">
        <v>300</v>
      </c>
      <c r="DB1210">
        <v>0</v>
      </c>
      <c r="DC1210" t="s">
        <v>176</v>
      </c>
      <c r="DD1210" t="s">
        <v>177</v>
      </c>
      <c r="DG1210">
        <v>5381273</v>
      </c>
      <c r="DI1210">
        <v>1</v>
      </c>
      <c r="DJ1210">
        <v>0</v>
      </c>
      <c r="DK1210">
        <v>1</v>
      </c>
      <c r="DL1210">
        <v>0</v>
      </c>
      <c r="DM1210">
        <v>0</v>
      </c>
      <c r="DN1210">
        <v>1</v>
      </c>
      <c r="DO1210">
        <v>0</v>
      </c>
      <c r="DP1210">
        <v>0</v>
      </c>
      <c r="DQ1210">
        <v>0</v>
      </c>
      <c r="DR1210">
        <v>0</v>
      </c>
      <c r="DS1210">
        <v>0</v>
      </c>
    </row>
    <row r="1211" spans="1:123" x14ac:dyDescent="0.3">
      <c r="A1211" t="str">
        <f t="shared" ref="A1211:A1216" si="419">"10/04/2022 19:28:49.651"</f>
        <v>10/04/2022 19:28:49.651</v>
      </c>
      <c r="C1211" t="str">
        <f t="shared" si="416"/>
        <v>FFDDD3C0</v>
      </c>
      <c r="D1211" t="s">
        <v>141</v>
      </c>
      <c r="E1211">
        <v>3</v>
      </c>
      <c r="H1211">
        <v>3</v>
      </c>
      <c r="I1211" t="s">
        <v>146</v>
      </c>
      <c r="J1211" t="s">
        <v>138</v>
      </c>
      <c r="K1211">
        <v>0</v>
      </c>
      <c r="L1211">
        <v>3</v>
      </c>
      <c r="M1211">
        <v>0</v>
      </c>
      <c r="N1211">
        <v>2</v>
      </c>
      <c r="O1211">
        <v>0</v>
      </c>
      <c r="P1211">
        <v>1</v>
      </c>
      <c r="Q1211">
        <v>0</v>
      </c>
      <c r="S1211" t="str">
        <f t="shared" ref="S1211:T1217" si="420">"19:28:49.000"</f>
        <v>19:28:49.000</v>
      </c>
      <c r="T1211" t="str">
        <f t="shared" si="420"/>
        <v>19:28:49.000</v>
      </c>
      <c r="U1211" t="str">
        <f t="shared" si="402"/>
        <v>AC3944</v>
      </c>
      <c r="V1211">
        <v>0</v>
      </c>
      <c r="W1211">
        <v>0</v>
      </c>
      <c r="X1211">
        <v>2</v>
      </c>
      <c r="Y1211">
        <v>0</v>
      </c>
      <c r="AA1211">
        <v>1</v>
      </c>
      <c r="AB1211">
        <v>8</v>
      </c>
      <c r="AC1211">
        <v>3</v>
      </c>
      <c r="AD1211">
        <v>0</v>
      </c>
      <c r="AE1211">
        <v>9</v>
      </c>
      <c r="AF1211" t="s">
        <v>138</v>
      </c>
      <c r="AG1211">
        <v>0</v>
      </c>
      <c r="AH1211">
        <v>3</v>
      </c>
      <c r="AI1211">
        <v>1</v>
      </c>
      <c r="AJ1211">
        <v>0</v>
      </c>
      <c r="AK1211" t="s">
        <v>481</v>
      </c>
      <c r="AL1211">
        <v>32.806162999999998</v>
      </c>
      <c r="AM1211" t="s">
        <v>482</v>
      </c>
      <c r="AN1211">
        <v>-116.908822</v>
      </c>
      <c r="AO1211">
        <v>25</v>
      </c>
      <c r="AP1211">
        <v>2300</v>
      </c>
      <c r="AQ1211" t="s">
        <v>129</v>
      </c>
      <c r="AR1211">
        <v>119</v>
      </c>
      <c r="AS1211">
        <v>-5</v>
      </c>
      <c r="AT1211">
        <v>832</v>
      </c>
      <c r="BB1211">
        <v>1200</v>
      </c>
      <c r="BC1211">
        <v>1</v>
      </c>
      <c r="BD1211" t="str">
        <f t="shared" si="403"/>
        <v xml:space="preserve">N887QR  </v>
      </c>
      <c r="BE1211">
        <v>1</v>
      </c>
      <c r="BJ1211">
        <v>1975</v>
      </c>
      <c r="BK1211">
        <v>-325</v>
      </c>
      <c r="BL1211" t="s">
        <v>163</v>
      </c>
      <c r="BM1211">
        <v>1</v>
      </c>
      <c r="BN1211">
        <v>1</v>
      </c>
      <c r="BO1211">
        <v>1</v>
      </c>
      <c r="BP1211">
        <v>0</v>
      </c>
      <c r="BS1211">
        <v>0.08</v>
      </c>
      <c r="BT1211">
        <v>0</v>
      </c>
      <c r="BU1211">
        <v>0</v>
      </c>
      <c r="CE1211" t="str">
        <f t="shared" ref="CE1211:CE1217" si="421">"19:28:49.450"</f>
        <v>19:28:49.450</v>
      </c>
      <c r="CF1211">
        <v>450067380</v>
      </c>
      <c r="CS1211">
        <v>3</v>
      </c>
      <c r="CT1211">
        <v>2</v>
      </c>
      <c r="CU1211">
        <v>0</v>
      </c>
      <c r="CV1211">
        <v>2</v>
      </c>
      <c r="CW1211">
        <v>0</v>
      </c>
      <c r="CX1211">
        <v>5</v>
      </c>
      <c r="CY1211">
        <v>7</v>
      </c>
      <c r="CZ1211" t="s">
        <v>131</v>
      </c>
      <c r="DA1211">
        <v>300</v>
      </c>
      <c r="DB1211">
        <v>0</v>
      </c>
      <c r="DC1211" t="s">
        <v>176</v>
      </c>
      <c r="DD1211" t="s">
        <v>177</v>
      </c>
      <c r="DG1211">
        <v>5381496</v>
      </c>
      <c r="DI1211">
        <v>1</v>
      </c>
      <c r="DJ1211">
        <v>0</v>
      </c>
      <c r="DK1211">
        <v>0</v>
      </c>
      <c r="DL1211">
        <v>0</v>
      </c>
      <c r="DM1211">
        <v>0</v>
      </c>
      <c r="DN1211">
        <v>1</v>
      </c>
      <c r="DO1211">
        <v>0</v>
      </c>
      <c r="DP1211">
        <v>0</v>
      </c>
      <c r="DQ1211">
        <v>0</v>
      </c>
      <c r="DR1211">
        <v>0</v>
      </c>
      <c r="DS1211">
        <v>0</v>
      </c>
    </row>
    <row r="1212" spans="1:123" x14ac:dyDescent="0.3">
      <c r="A1212" t="str">
        <f t="shared" si="419"/>
        <v>10/04/2022 19:28:49.651</v>
      </c>
      <c r="C1212" t="str">
        <f t="shared" si="416"/>
        <v>FFDDD3C0</v>
      </c>
      <c r="D1212" t="s">
        <v>136</v>
      </c>
      <c r="E1212">
        <v>8</v>
      </c>
      <c r="H1212">
        <v>225</v>
      </c>
      <c r="I1212" t="s">
        <v>137</v>
      </c>
      <c r="J1212" t="s">
        <v>138</v>
      </c>
      <c r="K1212">
        <v>0</v>
      </c>
      <c r="L1212">
        <v>3</v>
      </c>
      <c r="M1212">
        <v>0</v>
      </c>
      <c r="N1212">
        <v>2</v>
      </c>
      <c r="O1212">
        <v>0</v>
      </c>
      <c r="P1212">
        <v>1</v>
      </c>
      <c r="Q1212">
        <v>0</v>
      </c>
      <c r="S1212" t="str">
        <f t="shared" si="420"/>
        <v>19:28:49.000</v>
      </c>
      <c r="T1212" t="str">
        <f t="shared" si="420"/>
        <v>19:28:49.000</v>
      </c>
      <c r="U1212" t="str">
        <f t="shared" si="402"/>
        <v>AC3944</v>
      </c>
      <c r="V1212">
        <v>0</v>
      </c>
      <c r="W1212">
        <v>0</v>
      </c>
      <c r="X1212">
        <v>2</v>
      </c>
      <c r="Y1212">
        <v>0</v>
      </c>
      <c r="AA1212">
        <v>1</v>
      </c>
      <c r="AB1212">
        <v>8</v>
      </c>
      <c r="AC1212">
        <v>3</v>
      </c>
      <c r="AD1212">
        <v>0</v>
      </c>
      <c r="AE1212">
        <v>9</v>
      </c>
      <c r="AF1212" t="s">
        <v>138</v>
      </c>
      <c r="AG1212">
        <v>0</v>
      </c>
      <c r="AH1212">
        <v>3</v>
      </c>
      <c r="AI1212">
        <v>1</v>
      </c>
      <c r="AJ1212">
        <v>0</v>
      </c>
      <c r="AK1212" t="s">
        <v>481</v>
      </c>
      <c r="AL1212">
        <v>32.806162999999998</v>
      </c>
      <c r="AM1212" t="s">
        <v>482</v>
      </c>
      <c r="AN1212">
        <v>-116.908822</v>
      </c>
      <c r="AO1212">
        <v>25</v>
      </c>
      <c r="AP1212">
        <v>2300</v>
      </c>
      <c r="AQ1212" t="s">
        <v>129</v>
      </c>
      <c r="AR1212">
        <v>119</v>
      </c>
      <c r="AS1212">
        <v>-5</v>
      </c>
      <c r="AT1212">
        <v>832</v>
      </c>
      <c r="BB1212">
        <v>1200</v>
      </c>
      <c r="BC1212">
        <v>1</v>
      </c>
      <c r="BD1212" t="str">
        <f t="shared" si="403"/>
        <v xml:space="preserve">N887QR  </v>
      </c>
      <c r="BE1212">
        <v>1</v>
      </c>
      <c r="BJ1212">
        <v>1975</v>
      </c>
      <c r="BK1212">
        <v>-325</v>
      </c>
      <c r="BL1212" t="s">
        <v>163</v>
      </c>
      <c r="BM1212">
        <v>1</v>
      </c>
      <c r="BN1212">
        <v>1</v>
      </c>
      <c r="BO1212">
        <v>1</v>
      </c>
      <c r="BP1212">
        <v>0</v>
      </c>
      <c r="BS1212">
        <v>0.08</v>
      </c>
      <c r="BT1212">
        <v>0</v>
      </c>
      <c r="BU1212">
        <v>0</v>
      </c>
      <c r="CE1212" t="str">
        <f t="shared" si="421"/>
        <v>19:28:49.450</v>
      </c>
      <c r="CF1212">
        <v>450067380</v>
      </c>
      <c r="CS1212">
        <v>3</v>
      </c>
      <c r="CT1212">
        <v>2</v>
      </c>
      <c r="CU1212">
        <v>0</v>
      </c>
      <c r="CV1212">
        <v>2</v>
      </c>
      <c r="CW1212">
        <v>0</v>
      </c>
      <c r="CX1212">
        <v>5</v>
      </c>
      <c r="CY1212">
        <v>7</v>
      </c>
      <c r="CZ1212" t="s">
        <v>131</v>
      </c>
      <c r="DA1212">
        <v>300</v>
      </c>
      <c r="DB1212">
        <v>0</v>
      </c>
      <c r="DC1212" t="s">
        <v>176</v>
      </c>
      <c r="DD1212" t="s">
        <v>177</v>
      </c>
      <c r="DG1212">
        <v>5381496</v>
      </c>
      <c r="DI1212">
        <v>1</v>
      </c>
      <c r="DJ1212">
        <v>0</v>
      </c>
      <c r="DK1212">
        <v>1</v>
      </c>
      <c r="DL1212">
        <v>0</v>
      </c>
      <c r="DM1212">
        <v>0</v>
      </c>
      <c r="DN1212">
        <v>1</v>
      </c>
      <c r="DO1212">
        <v>0</v>
      </c>
      <c r="DP1212">
        <v>0</v>
      </c>
      <c r="DQ1212">
        <v>0</v>
      </c>
      <c r="DR1212">
        <v>0</v>
      </c>
      <c r="DS1212">
        <v>0</v>
      </c>
    </row>
    <row r="1213" spans="1:123" x14ac:dyDescent="0.3">
      <c r="A1213" t="str">
        <f t="shared" si="419"/>
        <v>10/04/2022 19:28:49.651</v>
      </c>
      <c r="C1213" t="str">
        <f t="shared" si="416"/>
        <v>FFDDD3C0</v>
      </c>
      <c r="D1213" t="s">
        <v>147</v>
      </c>
      <c r="E1213">
        <v>3</v>
      </c>
      <c r="H1213">
        <v>166</v>
      </c>
      <c r="I1213" t="s">
        <v>144</v>
      </c>
      <c r="J1213" t="s">
        <v>148</v>
      </c>
      <c r="K1213">
        <v>0</v>
      </c>
      <c r="L1213">
        <v>3</v>
      </c>
      <c r="M1213">
        <v>0</v>
      </c>
      <c r="N1213">
        <v>2</v>
      </c>
      <c r="O1213">
        <v>0</v>
      </c>
      <c r="P1213">
        <v>1</v>
      </c>
      <c r="Q1213">
        <v>0</v>
      </c>
      <c r="S1213" t="str">
        <f t="shared" si="420"/>
        <v>19:28:49.000</v>
      </c>
      <c r="T1213" t="str">
        <f t="shared" si="420"/>
        <v>19:28:49.000</v>
      </c>
      <c r="U1213" t="str">
        <f t="shared" si="402"/>
        <v>AC3944</v>
      </c>
      <c r="V1213">
        <v>0</v>
      </c>
      <c r="W1213">
        <v>0</v>
      </c>
      <c r="X1213">
        <v>2</v>
      </c>
      <c r="Y1213">
        <v>0</v>
      </c>
      <c r="AA1213">
        <v>1</v>
      </c>
      <c r="AB1213">
        <v>8</v>
      </c>
      <c r="AC1213">
        <v>3</v>
      </c>
      <c r="AD1213">
        <v>0</v>
      </c>
      <c r="AE1213">
        <v>9</v>
      </c>
      <c r="AF1213" t="s">
        <v>138</v>
      </c>
      <c r="AG1213">
        <v>0</v>
      </c>
      <c r="AH1213">
        <v>3</v>
      </c>
      <c r="AI1213">
        <v>1</v>
      </c>
      <c r="AJ1213">
        <v>0</v>
      </c>
      <c r="AK1213" t="s">
        <v>481</v>
      </c>
      <c r="AL1213">
        <v>32.806162999999998</v>
      </c>
      <c r="AM1213" t="s">
        <v>482</v>
      </c>
      <c r="AN1213">
        <v>-116.908822</v>
      </c>
      <c r="AO1213">
        <v>25</v>
      </c>
      <c r="AP1213">
        <v>2300</v>
      </c>
      <c r="AQ1213" t="s">
        <v>129</v>
      </c>
      <c r="AR1213">
        <v>119</v>
      </c>
      <c r="AS1213">
        <v>-5</v>
      </c>
      <c r="AT1213">
        <v>832</v>
      </c>
      <c r="BB1213">
        <v>1200</v>
      </c>
      <c r="BC1213">
        <v>1</v>
      </c>
      <c r="BD1213" t="str">
        <f t="shared" si="403"/>
        <v xml:space="preserve">N887QR  </v>
      </c>
      <c r="BE1213">
        <v>1</v>
      </c>
      <c r="BJ1213">
        <v>1975</v>
      </c>
      <c r="BK1213">
        <v>-325</v>
      </c>
      <c r="BL1213" t="s">
        <v>163</v>
      </c>
      <c r="BM1213">
        <v>1</v>
      </c>
      <c r="BN1213">
        <v>1</v>
      </c>
      <c r="BO1213">
        <v>1</v>
      </c>
      <c r="BP1213">
        <v>0</v>
      </c>
      <c r="BS1213">
        <v>0.08</v>
      </c>
      <c r="BT1213">
        <v>0</v>
      </c>
      <c r="BU1213">
        <v>0</v>
      </c>
      <c r="CE1213" t="str">
        <f t="shared" si="421"/>
        <v>19:28:49.450</v>
      </c>
      <c r="CF1213">
        <v>450067380</v>
      </c>
      <c r="CS1213">
        <v>3</v>
      </c>
      <c r="CT1213">
        <v>2</v>
      </c>
      <c r="CU1213">
        <v>0</v>
      </c>
      <c r="CV1213">
        <v>2</v>
      </c>
      <c r="CW1213">
        <v>0</v>
      </c>
      <c r="CX1213">
        <v>5</v>
      </c>
      <c r="CY1213">
        <v>7</v>
      </c>
      <c r="CZ1213" t="s">
        <v>131</v>
      </c>
      <c r="DA1213">
        <v>300</v>
      </c>
      <c r="DB1213">
        <v>0</v>
      </c>
      <c r="DC1213" t="s">
        <v>176</v>
      </c>
      <c r="DD1213" t="s">
        <v>177</v>
      </c>
      <c r="DG1213">
        <v>5381496</v>
      </c>
      <c r="DI1213">
        <v>1</v>
      </c>
      <c r="DJ1213">
        <v>0</v>
      </c>
      <c r="DK1213">
        <v>1</v>
      </c>
      <c r="DL1213">
        <v>0</v>
      </c>
      <c r="DM1213">
        <v>0</v>
      </c>
      <c r="DN1213">
        <v>1</v>
      </c>
      <c r="DO1213">
        <v>0</v>
      </c>
      <c r="DP1213">
        <v>0</v>
      </c>
      <c r="DQ1213">
        <v>0</v>
      </c>
      <c r="DR1213">
        <v>0</v>
      </c>
      <c r="DS1213">
        <v>0</v>
      </c>
    </row>
    <row r="1214" spans="1:123" x14ac:dyDescent="0.3">
      <c r="A1214" t="str">
        <f t="shared" si="419"/>
        <v>10/04/2022 19:28:49.651</v>
      </c>
      <c r="C1214" t="str">
        <f t="shared" si="416"/>
        <v>FFDDD3C0</v>
      </c>
      <c r="D1214" t="s">
        <v>143</v>
      </c>
      <c r="E1214">
        <v>20</v>
      </c>
      <c r="F1214">
        <v>1020</v>
      </c>
      <c r="G1214" t="s">
        <v>144</v>
      </c>
      <c r="J1214" t="s">
        <v>145</v>
      </c>
      <c r="K1214">
        <v>0</v>
      </c>
      <c r="L1214">
        <v>3</v>
      </c>
      <c r="M1214">
        <v>0</v>
      </c>
      <c r="N1214">
        <v>2</v>
      </c>
      <c r="O1214">
        <v>0</v>
      </c>
      <c r="P1214">
        <v>1</v>
      </c>
      <c r="Q1214">
        <v>0</v>
      </c>
      <c r="S1214" t="str">
        <f t="shared" si="420"/>
        <v>19:28:49.000</v>
      </c>
      <c r="T1214" t="str">
        <f t="shared" si="420"/>
        <v>19:28:49.000</v>
      </c>
      <c r="U1214" t="str">
        <f t="shared" si="402"/>
        <v>AC3944</v>
      </c>
      <c r="V1214">
        <v>0</v>
      </c>
      <c r="W1214">
        <v>0</v>
      </c>
      <c r="X1214">
        <v>2</v>
      </c>
      <c r="Y1214">
        <v>0</v>
      </c>
      <c r="AA1214">
        <v>1</v>
      </c>
      <c r="AB1214">
        <v>8</v>
      </c>
      <c r="AC1214">
        <v>3</v>
      </c>
      <c r="AD1214">
        <v>0</v>
      </c>
      <c r="AE1214">
        <v>9</v>
      </c>
      <c r="AF1214" t="s">
        <v>138</v>
      </c>
      <c r="AG1214">
        <v>0</v>
      </c>
      <c r="AH1214">
        <v>3</v>
      </c>
      <c r="AI1214">
        <v>1</v>
      </c>
      <c r="AJ1214">
        <v>0</v>
      </c>
      <c r="AK1214" t="s">
        <v>481</v>
      </c>
      <c r="AL1214">
        <v>32.806162999999998</v>
      </c>
      <c r="AM1214" t="s">
        <v>482</v>
      </c>
      <c r="AN1214">
        <v>-116.908822</v>
      </c>
      <c r="AO1214">
        <v>25</v>
      </c>
      <c r="AP1214">
        <v>2300</v>
      </c>
      <c r="AQ1214" t="s">
        <v>129</v>
      </c>
      <c r="AR1214">
        <v>119</v>
      </c>
      <c r="AS1214">
        <v>-5</v>
      </c>
      <c r="AT1214">
        <v>832</v>
      </c>
      <c r="BB1214">
        <v>1200</v>
      </c>
      <c r="BC1214">
        <v>1</v>
      </c>
      <c r="BD1214" t="str">
        <f t="shared" si="403"/>
        <v xml:space="preserve">N887QR  </v>
      </c>
      <c r="BE1214">
        <v>1</v>
      </c>
      <c r="BJ1214">
        <v>1975</v>
      </c>
      <c r="BK1214">
        <v>-325</v>
      </c>
      <c r="BL1214" t="s">
        <v>163</v>
      </c>
      <c r="BM1214">
        <v>1</v>
      </c>
      <c r="BN1214">
        <v>1</v>
      </c>
      <c r="BO1214">
        <v>1</v>
      </c>
      <c r="BP1214">
        <v>0</v>
      </c>
      <c r="BS1214">
        <v>0.04</v>
      </c>
      <c r="BT1214">
        <v>0</v>
      </c>
      <c r="BU1214">
        <v>0</v>
      </c>
      <c r="CE1214" t="str">
        <f t="shared" si="421"/>
        <v>19:28:49.450</v>
      </c>
      <c r="CF1214">
        <v>450067380</v>
      </c>
      <c r="CS1214">
        <v>3</v>
      </c>
      <c r="CT1214">
        <v>2</v>
      </c>
      <c r="CU1214">
        <v>0</v>
      </c>
      <c r="CV1214">
        <v>2</v>
      </c>
      <c r="CW1214">
        <v>0</v>
      </c>
      <c r="CX1214">
        <v>5</v>
      </c>
      <c r="CY1214">
        <v>7</v>
      </c>
      <c r="CZ1214" t="s">
        <v>131</v>
      </c>
      <c r="DA1214">
        <v>300</v>
      </c>
      <c r="DB1214">
        <v>0</v>
      </c>
      <c r="DC1214" t="s">
        <v>176</v>
      </c>
      <c r="DD1214" t="s">
        <v>177</v>
      </c>
      <c r="DG1214">
        <v>5381496</v>
      </c>
      <c r="DI1214">
        <v>1</v>
      </c>
      <c r="DJ1214">
        <v>0</v>
      </c>
      <c r="DK1214">
        <v>1</v>
      </c>
      <c r="DL1214">
        <v>0</v>
      </c>
      <c r="DM1214">
        <v>0</v>
      </c>
      <c r="DN1214">
        <v>1</v>
      </c>
      <c r="DO1214">
        <v>0</v>
      </c>
      <c r="DP1214">
        <v>0</v>
      </c>
      <c r="DQ1214">
        <v>0</v>
      </c>
      <c r="DR1214">
        <v>0</v>
      </c>
      <c r="DS1214">
        <v>0</v>
      </c>
    </row>
    <row r="1215" spans="1:123" x14ac:dyDescent="0.3">
      <c r="A1215" t="str">
        <f t="shared" si="419"/>
        <v>10/04/2022 19:28:49.651</v>
      </c>
      <c r="C1215" t="str">
        <f t="shared" si="416"/>
        <v>FFDDD3C0</v>
      </c>
      <c r="D1215" t="s">
        <v>134</v>
      </c>
      <c r="E1215">
        <v>15</v>
      </c>
      <c r="J1215" t="s">
        <v>135</v>
      </c>
      <c r="K1215">
        <v>0</v>
      </c>
      <c r="L1215">
        <v>3</v>
      </c>
      <c r="M1215">
        <v>0</v>
      </c>
      <c r="N1215">
        <v>2</v>
      </c>
      <c r="O1215">
        <v>0</v>
      </c>
      <c r="P1215">
        <v>1</v>
      </c>
      <c r="Q1215">
        <v>0</v>
      </c>
      <c r="S1215" t="str">
        <f t="shared" si="420"/>
        <v>19:28:49.000</v>
      </c>
      <c r="T1215" t="str">
        <f t="shared" si="420"/>
        <v>19:28:49.000</v>
      </c>
      <c r="U1215" t="str">
        <f t="shared" si="402"/>
        <v>AC3944</v>
      </c>
      <c r="V1215">
        <v>0</v>
      </c>
      <c r="W1215">
        <v>0</v>
      </c>
      <c r="X1215">
        <v>2</v>
      </c>
      <c r="Y1215">
        <v>0</v>
      </c>
      <c r="AA1215">
        <v>1</v>
      </c>
      <c r="AB1215">
        <v>8</v>
      </c>
      <c r="AC1215">
        <v>3</v>
      </c>
      <c r="AD1215">
        <v>0</v>
      </c>
      <c r="AE1215">
        <v>9</v>
      </c>
      <c r="AF1215" t="s">
        <v>138</v>
      </c>
      <c r="AG1215">
        <v>0</v>
      </c>
      <c r="AH1215">
        <v>3</v>
      </c>
      <c r="AI1215">
        <v>1</v>
      </c>
      <c r="AJ1215">
        <v>0</v>
      </c>
      <c r="AK1215" t="s">
        <v>481</v>
      </c>
      <c r="AL1215">
        <v>32.806162999999998</v>
      </c>
      <c r="AM1215" t="s">
        <v>482</v>
      </c>
      <c r="AN1215">
        <v>-116.908822</v>
      </c>
      <c r="AO1215">
        <v>25</v>
      </c>
      <c r="AP1215">
        <v>2300</v>
      </c>
      <c r="AQ1215" t="s">
        <v>129</v>
      </c>
      <c r="AR1215">
        <v>119</v>
      </c>
      <c r="AS1215">
        <v>-5</v>
      </c>
      <c r="AT1215">
        <v>832</v>
      </c>
      <c r="BB1215">
        <v>1200</v>
      </c>
      <c r="BC1215">
        <v>1</v>
      </c>
      <c r="BD1215" t="str">
        <f t="shared" si="403"/>
        <v xml:space="preserve">N887QR  </v>
      </c>
      <c r="BE1215">
        <v>1</v>
      </c>
      <c r="BJ1215">
        <v>1975</v>
      </c>
      <c r="BK1215">
        <v>-325</v>
      </c>
      <c r="BL1215" t="s">
        <v>163</v>
      </c>
      <c r="BM1215">
        <v>1</v>
      </c>
      <c r="BN1215">
        <v>1</v>
      </c>
      <c r="BO1215">
        <v>1</v>
      </c>
      <c r="BP1215">
        <v>0</v>
      </c>
      <c r="BS1215">
        <v>0.04</v>
      </c>
      <c r="BT1215">
        <v>0</v>
      </c>
      <c r="BU1215">
        <v>0</v>
      </c>
      <c r="CE1215" t="str">
        <f t="shared" si="421"/>
        <v>19:28:49.450</v>
      </c>
      <c r="CF1215">
        <v>450067380</v>
      </c>
      <c r="CS1215">
        <v>3</v>
      </c>
      <c r="CT1215">
        <v>2</v>
      </c>
      <c r="CU1215">
        <v>0</v>
      </c>
      <c r="CV1215">
        <v>2</v>
      </c>
      <c r="CW1215">
        <v>0</v>
      </c>
      <c r="CX1215">
        <v>5</v>
      </c>
      <c r="CY1215">
        <v>7</v>
      </c>
      <c r="CZ1215" t="s">
        <v>131</v>
      </c>
      <c r="DA1215">
        <v>300</v>
      </c>
      <c r="DB1215">
        <v>0</v>
      </c>
      <c r="DC1215" t="s">
        <v>176</v>
      </c>
      <c r="DD1215" t="s">
        <v>177</v>
      </c>
      <c r="DG1215">
        <v>5381496</v>
      </c>
      <c r="DI1215">
        <v>1</v>
      </c>
      <c r="DJ1215">
        <v>0</v>
      </c>
      <c r="DK1215">
        <v>1</v>
      </c>
      <c r="DL1215">
        <v>0</v>
      </c>
      <c r="DM1215">
        <v>0</v>
      </c>
      <c r="DN1215">
        <v>1</v>
      </c>
      <c r="DO1215">
        <v>0</v>
      </c>
      <c r="DP1215">
        <v>0</v>
      </c>
      <c r="DQ1215">
        <v>0</v>
      </c>
      <c r="DR1215">
        <v>0</v>
      </c>
      <c r="DS1215">
        <v>0</v>
      </c>
    </row>
    <row r="1216" spans="1:123" x14ac:dyDescent="0.3">
      <c r="A1216" t="str">
        <f t="shared" si="419"/>
        <v>10/04/2022 19:28:49.651</v>
      </c>
      <c r="C1216" t="str">
        <f t="shared" si="416"/>
        <v>FFDDD3C0</v>
      </c>
      <c r="D1216" t="s">
        <v>123</v>
      </c>
      <c r="E1216">
        <v>7</v>
      </c>
      <c r="F1216">
        <v>2007</v>
      </c>
      <c r="G1216" t="s">
        <v>124</v>
      </c>
      <c r="J1216" t="s">
        <v>125</v>
      </c>
      <c r="K1216">
        <v>0</v>
      </c>
      <c r="L1216">
        <v>3</v>
      </c>
      <c r="M1216">
        <v>0</v>
      </c>
      <c r="N1216">
        <v>2</v>
      </c>
      <c r="O1216">
        <v>0</v>
      </c>
      <c r="P1216">
        <v>1</v>
      </c>
      <c r="Q1216">
        <v>0</v>
      </c>
      <c r="S1216" t="str">
        <f t="shared" si="420"/>
        <v>19:28:49.000</v>
      </c>
      <c r="T1216" t="str">
        <f t="shared" si="420"/>
        <v>19:28:49.000</v>
      </c>
      <c r="U1216" t="str">
        <f t="shared" si="402"/>
        <v>AC3944</v>
      </c>
      <c r="V1216">
        <v>0</v>
      </c>
      <c r="W1216">
        <v>0</v>
      </c>
      <c r="X1216">
        <v>2</v>
      </c>
      <c r="Y1216">
        <v>0</v>
      </c>
      <c r="AA1216">
        <v>1</v>
      </c>
      <c r="AB1216">
        <v>8</v>
      </c>
      <c r="AC1216">
        <v>3</v>
      </c>
      <c r="AD1216">
        <v>0</v>
      </c>
      <c r="AE1216">
        <v>9</v>
      </c>
      <c r="AF1216" t="s">
        <v>138</v>
      </c>
      <c r="AG1216">
        <v>0</v>
      </c>
      <c r="AH1216">
        <v>3</v>
      </c>
      <c r="AI1216">
        <v>1</v>
      </c>
      <c r="AJ1216">
        <v>0</v>
      </c>
      <c r="AK1216" t="s">
        <v>481</v>
      </c>
      <c r="AL1216">
        <v>32.806162999999998</v>
      </c>
      <c r="AM1216" t="s">
        <v>482</v>
      </c>
      <c r="AN1216">
        <v>-116.908822</v>
      </c>
      <c r="AO1216">
        <v>25</v>
      </c>
      <c r="AP1216">
        <v>2300</v>
      </c>
      <c r="AQ1216" t="s">
        <v>129</v>
      </c>
      <c r="AR1216">
        <v>119</v>
      </c>
      <c r="AS1216">
        <v>-5</v>
      </c>
      <c r="AT1216">
        <v>832</v>
      </c>
      <c r="BB1216">
        <v>1200</v>
      </c>
      <c r="BC1216">
        <v>1</v>
      </c>
      <c r="BD1216" t="str">
        <f t="shared" si="403"/>
        <v xml:space="preserve">N887QR  </v>
      </c>
      <c r="BE1216">
        <v>1</v>
      </c>
      <c r="BJ1216">
        <v>1975</v>
      </c>
      <c r="BK1216">
        <v>-325</v>
      </c>
      <c r="BL1216" t="s">
        <v>163</v>
      </c>
      <c r="BM1216">
        <v>1</v>
      </c>
      <c r="BN1216">
        <v>1</v>
      </c>
      <c r="BO1216">
        <v>1</v>
      </c>
      <c r="BP1216">
        <v>0</v>
      </c>
      <c r="BS1216">
        <v>0.04</v>
      </c>
      <c r="BT1216">
        <v>0</v>
      </c>
      <c r="BU1216">
        <v>0</v>
      </c>
      <c r="CE1216" t="str">
        <f t="shared" si="421"/>
        <v>19:28:49.450</v>
      </c>
      <c r="CF1216">
        <v>450067380</v>
      </c>
      <c r="CS1216">
        <v>3</v>
      </c>
      <c r="CT1216">
        <v>2</v>
      </c>
      <c r="CU1216">
        <v>0</v>
      </c>
      <c r="CV1216">
        <v>2</v>
      </c>
      <c r="CW1216">
        <v>0</v>
      </c>
      <c r="CX1216">
        <v>5</v>
      </c>
      <c r="CY1216">
        <v>7</v>
      </c>
      <c r="CZ1216" t="s">
        <v>131</v>
      </c>
      <c r="DA1216">
        <v>300</v>
      </c>
      <c r="DB1216">
        <v>0</v>
      </c>
      <c r="DC1216" t="s">
        <v>176</v>
      </c>
      <c r="DD1216" t="s">
        <v>177</v>
      </c>
      <c r="DG1216">
        <v>5381496</v>
      </c>
      <c r="DI1216">
        <v>1</v>
      </c>
      <c r="DJ1216">
        <v>0</v>
      </c>
      <c r="DK1216">
        <v>1</v>
      </c>
      <c r="DL1216">
        <v>0</v>
      </c>
      <c r="DM1216">
        <v>0</v>
      </c>
      <c r="DN1216">
        <v>1</v>
      </c>
      <c r="DO1216">
        <v>0</v>
      </c>
      <c r="DP1216">
        <v>0</v>
      </c>
      <c r="DQ1216">
        <v>0</v>
      </c>
      <c r="DR1216">
        <v>0</v>
      </c>
      <c r="DS1216">
        <v>0</v>
      </c>
    </row>
    <row r="1217" spans="1:123" x14ac:dyDescent="0.3">
      <c r="A1217" t="str">
        <f>"10/04/2022 19:28:49.746"</f>
        <v>10/04/2022 19:28:49.746</v>
      </c>
      <c r="C1217" t="str">
        <f t="shared" si="416"/>
        <v>FFDDD3C0</v>
      </c>
      <c r="D1217" t="s">
        <v>141</v>
      </c>
      <c r="E1217">
        <v>4</v>
      </c>
      <c r="H1217">
        <v>4</v>
      </c>
      <c r="I1217" t="s">
        <v>142</v>
      </c>
      <c r="J1217" t="s">
        <v>138</v>
      </c>
      <c r="K1217">
        <v>0</v>
      </c>
      <c r="L1217">
        <v>3</v>
      </c>
      <c r="M1217">
        <v>0</v>
      </c>
      <c r="N1217">
        <v>2</v>
      </c>
      <c r="O1217">
        <v>0</v>
      </c>
      <c r="P1217">
        <v>1</v>
      </c>
      <c r="Q1217">
        <v>0</v>
      </c>
      <c r="S1217" t="str">
        <f t="shared" si="420"/>
        <v>19:28:49.000</v>
      </c>
      <c r="T1217" t="str">
        <f t="shared" si="420"/>
        <v>19:28:49.000</v>
      </c>
      <c r="U1217" t="str">
        <f t="shared" si="402"/>
        <v>AC3944</v>
      </c>
      <c r="V1217">
        <v>0</v>
      </c>
      <c r="W1217">
        <v>0</v>
      </c>
      <c r="X1217">
        <v>2</v>
      </c>
      <c r="Y1217">
        <v>0</v>
      </c>
      <c r="AA1217">
        <v>1</v>
      </c>
      <c r="AB1217">
        <v>8</v>
      </c>
      <c r="AC1217">
        <v>3</v>
      </c>
      <c r="AD1217">
        <v>0</v>
      </c>
      <c r="AE1217">
        <v>9</v>
      </c>
      <c r="AF1217" t="s">
        <v>138</v>
      </c>
      <c r="AG1217">
        <v>0</v>
      </c>
      <c r="AH1217">
        <v>3</v>
      </c>
      <c r="AI1217">
        <v>1</v>
      </c>
      <c r="AJ1217">
        <v>0</v>
      </c>
      <c r="AK1217" t="s">
        <v>481</v>
      </c>
      <c r="AL1217">
        <v>32.806162999999998</v>
      </c>
      <c r="AM1217" t="s">
        <v>482</v>
      </c>
      <c r="AN1217">
        <v>-116.908822</v>
      </c>
      <c r="AO1217">
        <v>25</v>
      </c>
      <c r="AP1217">
        <v>2300</v>
      </c>
      <c r="AQ1217" t="s">
        <v>129</v>
      </c>
      <c r="AR1217">
        <v>119</v>
      </c>
      <c r="AS1217">
        <v>-5</v>
      </c>
      <c r="AT1217">
        <v>832</v>
      </c>
      <c r="BB1217">
        <v>1200</v>
      </c>
      <c r="BC1217">
        <v>1</v>
      </c>
      <c r="BD1217" t="str">
        <f t="shared" si="403"/>
        <v xml:space="preserve">N887QR  </v>
      </c>
      <c r="BE1217">
        <v>1</v>
      </c>
      <c r="BJ1217">
        <v>1975</v>
      </c>
      <c r="BK1217">
        <v>-325</v>
      </c>
      <c r="BL1217" t="s">
        <v>163</v>
      </c>
      <c r="BM1217">
        <v>1</v>
      </c>
      <c r="BN1217">
        <v>1</v>
      </c>
      <c r="BO1217">
        <v>1</v>
      </c>
      <c r="BP1217">
        <v>0</v>
      </c>
      <c r="BS1217">
        <v>0.08</v>
      </c>
      <c r="BT1217">
        <v>0</v>
      </c>
      <c r="BU1217">
        <v>0</v>
      </c>
      <c r="CE1217" t="str">
        <f t="shared" si="421"/>
        <v>19:28:49.450</v>
      </c>
      <c r="CF1217">
        <v>450067380</v>
      </c>
      <c r="CS1217">
        <v>3</v>
      </c>
      <c r="CT1217">
        <v>2</v>
      </c>
      <c r="CU1217">
        <v>0</v>
      </c>
      <c r="CV1217">
        <v>2</v>
      </c>
      <c r="CW1217">
        <v>0</v>
      </c>
      <c r="CX1217">
        <v>5</v>
      </c>
      <c r="CY1217">
        <v>7</v>
      </c>
      <c r="CZ1217" t="s">
        <v>131</v>
      </c>
      <c r="DA1217">
        <v>300</v>
      </c>
      <c r="DB1217">
        <v>0</v>
      </c>
      <c r="DC1217" t="s">
        <v>176</v>
      </c>
      <c r="DD1217" t="s">
        <v>177</v>
      </c>
      <c r="DG1217">
        <v>5381496</v>
      </c>
      <c r="DI1217">
        <v>1</v>
      </c>
      <c r="DJ1217">
        <v>0</v>
      </c>
      <c r="DK1217">
        <v>1</v>
      </c>
      <c r="DL1217">
        <v>0</v>
      </c>
      <c r="DM1217">
        <v>0</v>
      </c>
      <c r="DN1217">
        <v>1</v>
      </c>
      <c r="DO1217">
        <v>0</v>
      </c>
      <c r="DP1217">
        <v>0</v>
      </c>
      <c r="DQ1217">
        <v>0</v>
      </c>
      <c r="DR1217">
        <v>0</v>
      </c>
      <c r="DS1217">
        <v>0</v>
      </c>
    </row>
    <row r="1218" spans="1:123" x14ac:dyDescent="0.3">
      <c r="A1218" t="str">
        <f>"10/04/2022 19:28:50.511"</f>
        <v>10/04/2022 19:28:50.511</v>
      </c>
      <c r="C1218" t="str">
        <f t="shared" si="416"/>
        <v>FFDDD3C0</v>
      </c>
      <c r="D1218" t="s">
        <v>143</v>
      </c>
      <c r="E1218">
        <v>20</v>
      </c>
      <c r="F1218">
        <v>1020</v>
      </c>
      <c r="G1218" t="s">
        <v>144</v>
      </c>
      <c r="J1218" t="s">
        <v>145</v>
      </c>
      <c r="K1218">
        <v>0</v>
      </c>
      <c r="L1218">
        <v>3</v>
      </c>
      <c r="M1218">
        <v>0</v>
      </c>
      <c r="N1218">
        <v>2</v>
      </c>
      <c r="O1218">
        <v>0</v>
      </c>
      <c r="P1218">
        <v>1</v>
      </c>
      <c r="Q1218">
        <v>0</v>
      </c>
      <c r="S1218" t="str">
        <f t="shared" ref="S1218:T1224" si="422">"19:28:50.000"</f>
        <v>19:28:50.000</v>
      </c>
      <c r="T1218" t="str">
        <f t="shared" si="422"/>
        <v>19:28:50.000</v>
      </c>
      <c r="U1218" t="str">
        <f t="shared" ref="U1218:U1281" si="423">"AC3944"</f>
        <v>AC3944</v>
      </c>
      <c r="V1218">
        <v>0</v>
      </c>
      <c r="W1218">
        <v>0</v>
      </c>
      <c r="X1218">
        <v>2</v>
      </c>
      <c r="Y1218">
        <v>0</v>
      </c>
      <c r="AA1218">
        <v>1</v>
      </c>
      <c r="AB1218">
        <v>8</v>
      </c>
      <c r="AC1218">
        <v>3</v>
      </c>
      <c r="AD1218">
        <v>0</v>
      </c>
      <c r="AE1218">
        <v>9</v>
      </c>
      <c r="AF1218" t="s">
        <v>138</v>
      </c>
      <c r="AG1218">
        <v>0</v>
      </c>
      <c r="AH1218">
        <v>3</v>
      </c>
      <c r="AI1218">
        <v>1</v>
      </c>
      <c r="AJ1218">
        <v>0</v>
      </c>
      <c r="AK1218" t="s">
        <v>483</v>
      </c>
      <c r="AL1218">
        <v>32.806140999999997</v>
      </c>
      <c r="AM1218" t="s">
        <v>484</v>
      </c>
      <c r="AN1218">
        <v>-116.90817800000001</v>
      </c>
      <c r="AO1218">
        <v>25</v>
      </c>
      <c r="AP1218">
        <v>2300</v>
      </c>
      <c r="AQ1218" t="s">
        <v>129</v>
      </c>
      <c r="AR1218">
        <v>118</v>
      </c>
      <c r="AS1218">
        <v>-4</v>
      </c>
      <c r="AT1218">
        <v>960</v>
      </c>
      <c r="BB1218">
        <v>1200</v>
      </c>
      <c r="BC1218">
        <v>1</v>
      </c>
      <c r="BD1218" t="str">
        <f t="shared" ref="BD1218:BD1281" si="424">"N887QR  "</f>
        <v xml:space="preserve">N887QR  </v>
      </c>
      <c r="BE1218">
        <v>1</v>
      </c>
      <c r="BJ1218">
        <v>2025</v>
      </c>
      <c r="BK1218">
        <v>-275</v>
      </c>
      <c r="BL1218" t="s">
        <v>163</v>
      </c>
      <c r="BM1218">
        <v>1</v>
      </c>
      <c r="BN1218">
        <v>1</v>
      </c>
      <c r="BO1218">
        <v>1</v>
      </c>
      <c r="BP1218">
        <v>0</v>
      </c>
      <c r="BS1218">
        <v>0.04</v>
      </c>
      <c r="BT1218">
        <v>0</v>
      </c>
      <c r="BU1218">
        <v>0</v>
      </c>
      <c r="CE1218" t="str">
        <f t="shared" ref="CE1218:CE1224" si="425">"19:28:50.315"</f>
        <v>19:28:50.315</v>
      </c>
      <c r="CF1218">
        <v>315070144</v>
      </c>
      <c r="CS1218">
        <v>3</v>
      </c>
      <c r="CT1218">
        <v>2</v>
      </c>
      <c r="CU1218">
        <v>0</v>
      </c>
      <c r="CV1218">
        <v>2</v>
      </c>
      <c r="CW1218">
        <v>0</v>
      </c>
      <c r="CX1218">
        <v>5</v>
      </c>
      <c r="CY1218">
        <v>7</v>
      </c>
      <c r="CZ1218" t="s">
        <v>131</v>
      </c>
      <c r="DA1218">
        <v>300</v>
      </c>
      <c r="DB1218">
        <v>0</v>
      </c>
      <c r="DC1218" t="s">
        <v>176</v>
      </c>
      <c r="DD1218" t="s">
        <v>177</v>
      </c>
      <c r="DG1218">
        <v>5381609</v>
      </c>
      <c r="DI1218">
        <v>1</v>
      </c>
      <c r="DJ1218">
        <v>0</v>
      </c>
      <c r="DK1218">
        <v>0</v>
      </c>
      <c r="DL1218">
        <v>0</v>
      </c>
      <c r="DM1218">
        <v>0</v>
      </c>
      <c r="DN1218">
        <v>1</v>
      </c>
      <c r="DO1218">
        <v>0</v>
      </c>
      <c r="DP1218">
        <v>0</v>
      </c>
      <c r="DQ1218">
        <v>0</v>
      </c>
      <c r="DR1218">
        <v>0</v>
      </c>
      <c r="DS1218">
        <v>0</v>
      </c>
    </row>
    <row r="1219" spans="1:123" x14ac:dyDescent="0.3">
      <c r="A1219" t="str">
        <f>"10/04/2022 19:28:50.527"</f>
        <v>10/04/2022 19:28:50.527</v>
      </c>
      <c r="C1219" t="str">
        <f t="shared" si="416"/>
        <v>FFDDD3C0</v>
      </c>
      <c r="D1219" t="s">
        <v>134</v>
      </c>
      <c r="E1219">
        <v>15</v>
      </c>
      <c r="J1219" t="s">
        <v>135</v>
      </c>
      <c r="K1219">
        <v>0</v>
      </c>
      <c r="L1219">
        <v>3</v>
      </c>
      <c r="M1219">
        <v>0</v>
      </c>
      <c r="N1219">
        <v>2</v>
      </c>
      <c r="O1219">
        <v>0</v>
      </c>
      <c r="P1219">
        <v>1</v>
      </c>
      <c r="Q1219">
        <v>0</v>
      </c>
      <c r="S1219" t="str">
        <f t="shared" si="422"/>
        <v>19:28:50.000</v>
      </c>
      <c r="T1219" t="str">
        <f t="shared" si="422"/>
        <v>19:28:50.000</v>
      </c>
      <c r="U1219" t="str">
        <f t="shared" si="423"/>
        <v>AC3944</v>
      </c>
      <c r="V1219">
        <v>0</v>
      </c>
      <c r="W1219">
        <v>0</v>
      </c>
      <c r="X1219">
        <v>2</v>
      </c>
      <c r="Y1219">
        <v>0</v>
      </c>
      <c r="AA1219">
        <v>1</v>
      </c>
      <c r="AB1219">
        <v>8</v>
      </c>
      <c r="AC1219">
        <v>3</v>
      </c>
      <c r="AD1219">
        <v>0</v>
      </c>
      <c r="AE1219">
        <v>9</v>
      </c>
      <c r="AF1219" t="s">
        <v>138</v>
      </c>
      <c r="AG1219">
        <v>0</v>
      </c>
      <c r="AH1219">
        <v>3</v>
      </c>
      <c r="AI1219">
        <v>1</v>
      </c>
      <c r="AJ1219">
        <v>0</v>
      </c>
      <c r="AK1219" t="s">
        <v>483</v>
      </c>
      <c r="AL1219">
        <v>32.806140999999997</v>
      </c>
      <c r="AM1219" t="s">
        <v>484</v>
      </c>
      <c r="AN1219">
        <v>-116.90817800000001</v>
      </c>
      <c r="AO1219">
        <v>25</v>
      </c>
      <c r="AP1219">
        <v>2300</v>
      </c>
      <c r="AQ1219" t="s">
        <v>129</v>
      </c>
      <c r="AR1219">
        <v>118</v>
      </c>
      <c r="AS1219">
        <v>-4</v>
      </c>
      <c r="AT1219">
        <v>960</v>
      </c>
      <c r="BB1219">
        <v>1200</v>
      </c>
      <c r="BC1219">
        <v>1</v>
      </c>
      <c r="BD1219" t="str">
        <f t="shared" si="424"/>
        <v xml:space="preserve">N887QR  </v>
      </c>
      <c r="BE1219">
        <v>1</v>
      </c>
      <c r="BJ1219">
        <v>2025</v>
      </c>
      <c r="BK1219">
        <v>-275</v>
      </c>
      <c r="BL1219" t="s">
        <v>163</v>
      </c>
      <c r="BM1219">
        <v>1</v>
      </c>
      <c r="BN1219">
        <v>1</v>
      </c>
      <c r="BO1219">
        <v>1</v>
      </c>
      <c r="BP1219">
        <v>0</v>
      </c>
      <c r="BS1219">
        <v>0.04</v>
      </c>
      <c r="BT1219">
        <v>0</v>
      </c>
      <c r="BU1219">
        <v>0</v>
      </c>
      <c r="CE1219" t="str">
        <f t="shared" si="425"/>
        <v>19:28:50.315</v>
      </c>
      <c r="CF1219">
        <v>315070144</v>
      </c>
      <c r="CS1219">
        <v>3</v>
      </c>
      <c r="CT1219">
        <v>2</v>
      </c>
      <c r="CU1219">
        <v>0</v>
      </c>
      <c r="CV1219">
        <v>2</v>
      </c>
      <c r="CW1219">
        <v>0</v>
      </c>
      <c r="CX1219">
        <v>5</v>
      </c>
      <c r="CY1219">
        <v>7</v>
      </c>
      <c r="CZ1219" t="s">
        <v>131</v>
      </c>
      <c r="DA1219">
        <v>300</v>
      </c>
      <c r="DB1219">
        <v>0</v>
      </c>
      <c r="DC1219" t="s">
        <v>176</v>
      </c>
      <c r="DD1219" t="s">
        <v>177</v>
      </c>
      <c r="DG1219">
        <v>5381609</v>
      </c>
      <c r="DI1219">
        <v>1</v>
      </c>
      <c r="DJ1219">
        <v>0</v>
      </c>
      <c r="DK1219">
        <v>1</v>
      </c>
      <c r="DL1219">
        <v>0</v>
      </c>
      <c r="DM1219">
        <v>0</v>
      </c>
      <c r="DN1219">
        <v>1</v>
      </c>
      <c r="DO1219">
        <v>0</v>
      </c>
      <c r="DP1219">
        <v>0</v>
      </c>
      <c r="DQ1219">
        <v>0</v>
      </c>
      <c r="DR1219">
        <v>0</v>
      </c>
      <c r="DS1219">
        <v>0</v>
      </c>
    </row>
    <row r="1220" spans="1:123" x14ac:dyDescent="0.3">
      <c r="A1220" t="str">
        <f>"10/04/2022 19:28:50.527"</f>
        <v>10/04/2022 19:28:50.527</v>
      </c>
      <c r="C1220" t="str">
        <f t="shared" si="416"/>
        <v>FFDDD3C0</v>
      </c>
      <c r="D1220" t="s">
        <v>123</v>
      </c>
      <c r="E1220">
        <v>7</v>
      </c>
      <c r="F1220">
        <v>2007</v>
      </c>
      <c r="G1220" t="s">
        <v>124</v>
      </c>
      <c r="J1220" t="s">
        <v>125</v>
      </c>
      <c r="K1220">
        <v>0</v>
      </c>
      <c r="L1220">
        <v>3</v>
      </c>
      <c r="M1220">
        <v>0</v>
      </c>
      <c r="N1220">
        <v>2</v>
      </c>
      <c r="O1220">
        <v>0</v>
      </c>
      <c r="P1220">
        <v>1</v>
      </c>
      <c r="Q1220">
        <v>0</v>
      </c>
      <c r="S1220" t="str">
        <f t="shared" si="422"/>
        <v>19:28:50.000</v>
      </c>
      <c r="T1220" t="str">
        <f t="shared" si="422"/>
        <v>19:28:50.000</v>
      </c>
      <c r="U1220" t="str">
        <f t="shared" si="423"/>
        <v>AC3944</v>
      </c>
      <c r="V1220">
        <v>0</v>
      </c>
      <c r="W1220">
        <v>0</v>
      </c>
      <c r="X1220">
        <v>2</v>
      </c>
      <c r="Y1220">
        <v>0</v>
      </c>
      <c r="AA1220">
        <v>1</v>
      </c>
      <c r="AB1220">
        <v>8</v>
      </c>
      <c r="AC1220">
        <v>3</v>
      </c>
      <c r="AD1220">
        <v>0</v>
      </c>
      <c r="AE1220">
        <v>9</v>
      </c>
      <c r="AF1220" t="s">
        <v>138</v>
      </c>
      <c r="AG1220">
        <v>0</v>
      </c>
      <c r="AH1220">
        <v>3</v>
      </c>
      <c r="AI1220">
        <v>1</v>
      </c>
      <c r="AJ1220">
        <v>0</v>
      </c>
      <c r="AK1220" t="s">
        <v>483</v>
      </c>
      <c r="AL1220">
        <v>32.806140999999997</v>
      </c>
      <c r="AM1220" t="s">
        <v>484</v>
      </c>
      <c r="AN1220">
        <v>-116.90817800000001</v>
      </c>
      <c r="AO1220">
        <v>25</v>
      </c>
      <c r="AP1220">
        <v>2300</v>
      </c>
      <c r="AQ1220" t="s">
        <v>129</v>
      </c>
      <c r="AR1220">
        <v>118</v>
      </c>
      <c r="AS1220">
        <v>-4</v>
      </c>
      <c r="AT1220">
        <v>960</v>
      </c>
      <c r="BB1220">
        <v>1200</v>
      </c>
      <c r="BC1220">
        <v>1</v>
      </c>
      <c r="BD1220" t="str">
        <f t="shared" si="424"/>
        <v xml:space="preserve">N887QR  </v>
      </c>
      <c r="BE1220">
        <v>1</v>
      </c>
      <c r="BJ1220">
        <v>2025</v>
      </c>
      <c r="BK1220">
        <v>-275</v>
      </c>
      <c r="BL1220" t="s">
        <v>163</v>
      </c>
      <c r="BM1220">
        <v>1</v>
      </c>
      <c r="BN1220">
        <v>1</v>
      </c>
      <c r="BO1220">
        <v>1</v>
      </c>
      <c r="BP1220">
        <v>0</v>
      </c>
      <c r="BS1220">
        <v>0.04</v>
      </c>
      <c r="BT1220">
        <v>0</v>
      </c>
      <c r="BU1220">
        <v>0</v>
      </c>
      <c r="CE1220" t="str">
        <f t="shared" si="425"/>
        <v>19:28:50.315</v>
      </c>
      <c r="CF1220">
        <v>315070144</v>
      </c>
      <c r="CS1220">
        <v>3</v>
      </c>
      <c r="CT1220">
        <v>2</v>
      </c>
      <c r="CU1220">
        <v>0</v>
      </c>
      <c r="CV1220">
        <v>2</v>
      </c>
      <c r="CW1220">
        <v>0</v>
      </c>
      <c r="CX1220">
        <v>5</v>
      </c>
      <c r="CY1220">
        <v>7</v>
      </c>
      <c r="CZ1220" t="s">
        <v>131</v>
      </c>
      <c r="DA1220">
        <v>300</v>
      </c>
      <c r="DB1220">
        <v>0</v>
      </c>
      <c r="DC1220" t="s">
        <v>176</v>
      </c>
      <c r="DD1220" t="s">
        <v>177</v>
      </c>
      <c r="DG1220">
        <v>5381609</v>
      </c>
      <c r="DI1220">
        <v>1</v>
      </c>
      <c r="DJ1220">
        <v>0</v>
      </c>
      <c r="DK1220">
        <v>1</v>
      </c>
      <c r="DL1220">
        <v>0</v>
      </c>
      <c r="DM1220">
        <v>0</v>
      </c>
      <c r="DN1220">
        <v>1</v>
      </c>
      <c r="DO1220">
        <v>0</v>
      </c>
      <c r="DP1220">
        <v>0</v>
      </c>
      <c r="DQ1220">
        <v>0</v>
      </c>
      <c r="DR1220">
        <v>0</v>
      </c>
      <c r="DS1220">
        <v>0</v>
      </c>
    </row>
    <row r="1221" spans="1:123" x14ac:dyDescent="0.3">
      <c r="A1221" t="str">
        <f>"10/04/2022 19:28:50.543"</f>
        <v>10/04/2022 19:28:50.543</v>
      </c>
      <c r="C1221" t="str">
        <f t="shared" si="416"/>
        <v>FFDDD3C0</v>
      </c>
      <c r="D1221" t="s">
        <v>141</v>
      </c>
      <c r="E1221">
        <v>4</v>
      </c>
      <c r="H1221">
        <v>4</v>
      </c>
      <c r="I1221" t="s">
        <v>142</v>
      </c>
      <c r="J1221" t="s">
        <v>138</v>
      </c>
      <c r="K1221">
        <v>0</v>
      </c>
      <c r="L1221">
        <v>3</v>
      </c>
      <c r="M1221">
        <v>0</v>
      </c>
      <c r="N1221">
        <v>2</v>
      </c>
      <c r="O1221">
        <v>0</v>
      </c>
      <c r="P1221">
        <v>1</v>
      </c>
      <c r="Q1221">
        <v>0</v>
      </c>
      <c r="S1221" t="str">
        <f t="shared" si="422"/>
        <v>19:28:50.000</v>
      </c>
      <c r="T1221" t="str">
        <f t="shared" si="422"/>
        <v>19:28:50.000</v>
      </c>
      <c r="U1221" t="str">
        <f t="shared" si="423"/>
        <v>AC3944</v>
      </c>
      <c r="V1221">
        <v>0</v>
      </c>
      <c r="W1221">
        <v>0</v>
      </c>
      <c r="X1221">
        <v>2</v>
      </c>
      <c r="Y1221">
        <v>0</v>
      </c>
      <c r="AA1221">
        <v>1</v>
      </c>
      <c r="AB1221">
        <v>8</v>
      </c>
      <c r="AC1221">
        <v>3</v>
      </c>
      <c r="AD1221">
        <v>0</v>
      </c>
      <c r="AE1221">
        <v>9</v>
      </c>
      <c r="AF1221" t="s">
        <v>138</v>
      </c>
      <c r="AG1221">
        <v>0</v>
      </c>
      <c r="AH1221">
        <v>3</v>
      </c>
      <c r="AI1221">
        <v>1</v>
      </c>
      <c r="AJ1221">
        <v>0</v>
      </c>
      <c r="AK1221" t="s">
        <v>483</v>
      </c>
      <c r="AL1221">
        <v>32.806140999999997</v>
      </c>
      <c r="AM1221" t="s">
        <v>484</v>
      </c>
      <c r="AN1221">
        <v>-116.90817800000001</v>
      </c>
      <c r="AO1221">
        <v>25</v>
      </c>
      <c r="AP1221">
        <v>2300</v>
      </c>
      <c r="AQ1221" t="s">
        <v>129</v>
      </c>
      <c r="AR1221">
        <v>118</v>
      </c>
      <c r="AS1221">
        <v>-4</v>
      </c>
      <c r="AT1221">
        <v>960</v>
      </c>
      <c r="BB1221">
        <v>1200</v>
      </c>
      <c r="BC1221">
        <v>1</v>
      </c>
      <c r="BD1221" t="str">
        <f t="shared" si="424"/>
        <v xml:space="preserve">N887QR  </v>
      </c>
      <c r="BE1221">
        <v>1</v>
      </c>
      <c r="BJ1221">
        <v>2025</v>
      </c>
      <c r="BK1221">
        <v>-275</v>
      </c>
      <c r="BL1221" t="s">
        <v>163</v>
      </c>
      <c r="BM1221">
        <v>1</v>
      </c>
      <c r="BN1221">
        <v>1</v>
      </c>
      <c r="BO1221">
        <v>1</v>
      </c>
      <c r="BP1221">
        <v>0</v>
      </c>
      <c r="BS1221">
        <v>0.04</v>
      </c>
      <c r="BT1221">
        <v>0</v>
      </c>
      <c r="BU1221">
        <v>0</v>
      </c>
      <c r="CE1221" t="str">
        <f t="shared" si="425"/>
        <v>19:28:50.315</v>
      </c>
      <c r="CF1221">
        <v>315070144</v>
      </c>
      <c r="CS1221">
        <v>3</v>
      </c>
      <c r="CT1221">
        <v>2</v>
      </c>
      <c r="CU1221">
        <v>0</v>
      </c>
      <c r="CV1221">
        <v>2</v>
      </c>
      <c r="CW1221">
        <v>0</v>
      </c>
      <c r="CX1221">
        <v>5</v>
      </c>
      <c r="CY1221">
        <v>7</v>
      </c>
      <c r="CZ1221" t="s">
        <v>131</v>
      </c>
      <c r="DA1221">
        <v>300</v>
      </c>
      <c r="DB1221">
        <v>0</v>
      </c>
      <c r="DC1221" t="s">
        <v>176</v>
      </c>
      <c r="DD1221" t="s">
        <v>177</v>
      </c>
      <c r="DG1221">
        <v>5381609</v>
      </c>
      <c r="DI1221">
        <v>1</v>
      </c>
      <c r="DJ1221">
        <v>0</v>
      </c>
      <c r="DK1221">
        <v>1</v>
      </c>
      <c r="DL1221">
        <v>0</v>
      </c>
      <c r="DM1221">
        <v>0</v>
      </c>
      <c r="DN1221">
        <v>1</v>
      </c>
      <c r="DO1221">
        <v>0</v>
      </c>
      <c r="DP1221">
        <v>0</v>
      </c>
      <c r="DQ1221">
        <v>0</v>
      </c>
      <c r="DR1221">
        <v>0</v>
      </c>
      <c r="DS1221">
        <v>0</v>
      </c>
    </row>
    <row r="1222" spans="1:123" x14ac:dyDescent="0.3">
      <c r="A1222" t="str">
        <f>"10/04/2022 19:28:50.543"</f>
        <v>10/04/2022 19:28:50.543</v>
      </c>
      <c r="C1222" t="str">
        <f t="shared" si="416"/>
        <v>FFDDD3C0</v>
      </c>
      <c r="D1222" t="s">
        <v>147</v>
      </c>
      <c r="E1222">
        <v>3</v>
      </c>
      <c r="H1222">
        <v>166</v>
      </c>
      <c r="I1222" t="s">
        <v>144</v>
      </c>
      <c r="J1222" t="s">
        <v>148</v>
      </c>
      <c r="K1222">
        <v>0</v>
      </c>
      <c r="L1222">
        <v>3</v>
      </c>
      <c r="M1222">
        <v>0</v>
      </c>
      <c r="N1222">
        <v>2</v>
      </c>
      <c r="O1222">
        <v>0</v>
      </c>
      <c r="P1222">
        <v>1</v>
      </c>
      <c r="Q1222">
        <v>0</v>
      </c>
      <c r="S1222" t="str">
        <f t="shared" si="422"/>
        <v>19:28:50.000</v>
      </c>
      <c r="T1222" t="str">
        <f t="shared" si="422"/>
        <v>19:28:50.000</v>
      </c>
      <c r="U1222" t="str">
        <f t="shared" si="423"/>
        <v>AC3944</v>
      </c>
      <c r="V1222">
        <v>0</v>
      </c>
      <c r="W1222">
        <v>0</v>
      </c>
      <c r="X1222">
        <v>2</v>
      </c>
      <c r="Y1222">
        <v>0</v>
      </c>
      <c r="AA1222">
        <v>1</v>
      </c>
      <c r="AB1222">
        <v>8</v>
      </c>
      <c r="AC1222">
        <v>3</v>
      </c>
      <c r="AD1222">
        <v>0</v>
      </c>
      <c r="AE1222">
        <v>9</v>
      </c>
      <c r="AF1222" t="s">
        <v>138</v>
      </c>
      <c r="AG1222">
        <v>0</v>
      </c>
      <c r="AH1222">
        <v>3</v>
      </c>
      <c r="AI1222">
        <v>1</v>
      </c>
      <c r="AJ1222">
        <v>0</v>
      </c>
      <c r="AK1222" t="s">
        <v>483</v>
      </c>
      <c r="AL1222">
        <v>32.806140999999997</v>
      </c>
      <c r="AM1222" t="s">
        <v>484</v>
      </c>
      <c r="AN1222">
        <v>-116.90817800000001</v>
      </c>
      <c r="AO1222">
        <v>25</v>
      </c>
      <c r="AP1222">
        <v>2300</v>
      </c>
      <c r="AQ1222" t="s">
        <v>129</v>
      </c>
      <c r="AR1222">
        <v>118</v>
      </c>
      <c r="AS1222">
        <v>-4</v>
      </c>
      <c r="AT1222">
        <v>960</v>
      </c>
      <c r="BB1222">
        <v>1200</v>
      </c>
      <c r="BC1222">
        <v>1</v>
      </c>
      <c r="BD1222" t="str">
        <f t="shared" si="424"/>
        <v xml:space="preserve">N887QR  </v>
      </c>
      <c r="BE1222">
        <v>1</v>
      </c>
      <c r="BJ1222">
        <v>2025</v>
      </c>
      <c r="BK1222">
        <v>-275</v>
      </c>
      <c r="BL1222" t="s">
        <v>163</v>
      </c>
      <c r="BM1222">
        <v>1</v>
      </c>
      <c r="BN1222">
        <v>1</v>
      </c>
      <c r="BO1222">
        <v>1</v>
      </c>
      <c r="BP1222">
        <v>0</v>
      </c>
      <c r="BS1222">
        <v>0.04</v>
      </c>
      <c r="BT1222">
        <v>0</v>
      </c>
      <c r="BU1222">
        <v>0</v>
      </c>
      <c r="CE1222" t="str">
        <f t="shared" si="425"/>
        <v>19:28:50.315</v>
      </c>
      <c r="CF1222">
        <v>315070144</v>
      </c>
      <c r="CS1222">
        <v>3</v>
      </c>
      <c r="CT1222">
        <v>2</v>
      </c>
      <c r="CU1222">
        <v>0</v>
      </c>
      <c r="CV1222">
        <v>2</v>
      </c>
      <c r="CW1222">
        <v>0</v>
      </c>
      <c r="CX1222">
        <v>5</v>
      </c>
      <c r="CY1222">
        <v>7</v>
      </c>
      <c r="CZ1222" t="s">
        <v>131</v>
      </c>
      <c r="DA1222">
        <v>300</v>
      </c>
      <c r="DB1222">
        <v>0</v>
      </c>
      <c r="DC1222" t="s">
        <v>176</v>
      </c>
      <c r="DD1222" t="s">
        <v>177</v>
      </c>
      <c r="DG1222">
        <v>5381609</v>
      </c>
      <c r="DI1222">
        <v>1</v>
      </c>
      <c r="DJ1222">
        <v>0</v>
      </c>
      <c r="DK1222">
        <v>1</v>
      </c>
      <c r="DL1222">
        <v>0</v>
      </c>
      <c r="DM1222">
        <v>0</v>
      </c>
      <c r="DN1222">
        <v>1</v>
      </c>
      <c r="DO1222">
        <v>0</v>
      </c>
      <c r="DP1222">
        <v>0</v>
      </c>
      <c r="DQ1222">
        <v>0</v>
      </c>
      <c r="DR1222">
        <v>0</v>
      </c>
      <c r="DS1222">
        <v>0</v>
      </c>
    </row>
    <row r="1223" spans="1:123" x14ac:dyDescent="0.3">
      <c r="A1223" t="str">
        <f>"10/04/2022 19:28:50.543"</f>
        <v>10/04/2022 19:28:50.543</v>
      </c>
      <c r="C1223" t="str">
        <f t="shared" si="416"/>
        <v>FFDDD3C0</v>
      </c>
      <c r="D1223" t="s">
        <v>141</v>
      </c>
      <c r="E1223">
        <v>3</v>
      </c>
      <c r="H1223">
        <v>3</v>
      </c>
      <c r="I1223" t="s">
        <v>146</v>
      </c>
      <c r="J1223" t="s">
        <v>138</v>
      </c>
      <c r="K1223">
        <v>0</v>
      </c>
      <c r="L1223">
        <v>3</v>
      </c>
      <c r="M1223">
        <v>0</v>
      </c>
      <c r="N1223">
        <v>2</v>
      </c>
      <c r="O1223">
        <v>0</v>
      </c>
      <c r="P1223">
        <v>1</v>
      </c>
      <c r="Q1223">
        <v>0</v>
      </c>
      <c r="S1223" t="str">
        <f t="shared" si="422"/>
        <v>19:28:50.000</v>
      </c>
      <c r="T1223" t="str">
        <f t="shared" si="422"/>
        <v>19:28:50.000</v>
      </c>
      <c r="U1223" t="str">
        <f t="shared" si="423"/>
        <v>AC3944</v>
      </c>
      <c r="V1223">
        <v>0</v>
      </c>
      <c r="W1223">
        <v>0</v>
      </c>
      <c r="X1223">
        <v>2</v>
      </c>
      <c r="Y1223">
        <v>0</v>
      </c>
      <c r="AA1223">
        <v>1</v>
      </c>
      <c r="AB1223">
        <v>8</v>
      </c>
      <c r="AC1223">
        <v>3</v>
      </c>
      <c r="AD1223">
        <v>0</v>
      </c>
      <c r="AE1223">
        <v>9</v>
      </c>
      <c r="AF1223" t="s">
        <v>138</v>
      </c>
      <c r="AG1223">
        <v>0</v>
      </c>
      <c r="AH1223">
        <v>3</v>
      </c>
      <c r="AI1223">
        <v>1</v>
      </c>
      <c r="AJ1223">
        <v>0</v>
      </c>
      <c r="AK1223" t="s">
        <v>483</v>
      </c>
      <c r="AL1223">
        <v>32.806140999999997</v>
      </c>
      <c r="AM1223" t="s">
        <v>484</v>
      </c>
      <c r="AN1223">
        <v>-116.90817800000001</v>
      </c>
      <c r="AO1223">
        <v>25</v>
      </c>
      <c r="AP1223">
        <v>2300</v>
      </c>
      <c r="AQ1223" t="s">
        <v>129</v>
      </c>
      <c r="AR1223">
        <v>118</v>
      </c>
      <c r="AS1223">
        <v>-4</v>
      </c>
      <c r="AT1223">
        <v>960</v>
      </c>
      <c r="BB1223">
        <v>1200</v>
      </c>
      <c r="BC1223">
        <v>1</v>
      </c>
      <c r="BD1223" t="str">
        <f t="shared" si="424"/>
        <v xml:space="preserve">N887QR  </v>
      </c>
      <c r="BE1223">
        <v>1</v>
      </c>
      <c r="BJ1223">
        <v>2025</v>
      </c>
      <c r="BK1223">
        <v>-275</v>
      </c>
      <c r="BL1223" t="s">
        <v>163</v>
      </c>
      <c r="BM1223">
        <v>1</v>
      </c>
      <c r="BN1223">
        <v>1</v>
      </c>
      <c r="BO1223">
        <v>1</v>
      </c>
      <c r="BP1223">
        <v>0</v>
      </c>
      <c r="BS1223">
        <v>0.04</v>
      </c>
      <c r="BT1223">
        <v>0</v>
      </c>
      <c r="BU1223">
        <v>0</v>
      </c>
      <c r="CE1223" t="str">
        <f t="shared" si="425"/>
        <v>19:28:50.315</v>
      </c>
      <c r="CF1223">
        <v>315070144</v>
      </c>
      <c r="CS1223">
        <v>3</v>
      </c>
      <c r="CT1223">
        <v>2</v>
      </c>
      <c r="CU1223">
        <v>0</v>
      </c>
      <c r="CV1223">
        <v>2</v>
      </c>
      <c r="CW1223">
        <v>0</v>
      </c>
      <c r="CX1223">
        <v>5</v>
      </c>
      <c r="CY1223">
        <v>7</v>
      </c>
      <c r="CZ1223" t="s">
        <v>131</v>
      </c>
      <c r="DA1223">
        <v>300</v>
      </c>
      <c r="DB1223">
        <v>0</v>
      </c>
      <c r="DC1223" t="s">
        <v>176</v>
      </c>
      <c r="DD1223" t="s">
        <v>177</v>
      </c>
      <c r="DG1223">
        <v>5381609</v>
      </c>
      <c r="DI1223">
        <v>1</v>
      </c>
      <c r="DJ1223">
        <v>0</v>
      </c>
      <c r="DK1223">
        <v>1</v>
      </c>
      <c r="DL1223">
        <v>0</v>
      </c>
      <c r="DM1223">
        <v>0</v>
      </c>
      <c r="DN1223">
        <v>1</v>
      </c>
      <c r="DO1223">
        <v>0</v>
      </c>
      <c r="DP1223">
        <v>0</v>
      </c>
      <c r="DQ1223">
        <v>0</v>
      </c>
      <c r="DR1223">
        <v>0</v>
      </c>
      <c r="DS1223">
        <v>0</v>
      </c>
    </row>
    <row r="1224" spans="1:123" x14ac:dyDescent="0.3">
      <c r="A1224" t="str">
        <f>"10/04/2022 19:28:50.558"</f>
        <v>10/04/2022 19:28:50.558</v>
      </c>
      <c r="C1224" t="str">
        <f t="shared" si="416"/>
        <v>FFDDD3C0</v>
      </c>
      <c r="D1224" t="s">
        <v>136</v>
      </c>
      <c r="E1224">
        <v>8</v>
      </c>
      <c r="H1224">
        <v>225</v>
      </c>
      <c r="I1224" t="s">
        <v>137</v>
      </c>
      <c r="J1224" t="s">
        <v>138</v>
      </c>
      <c r="K1224">
        <v>0</v>
      </c>
      <c r="L1224">
        <v>3</v>
      </c>
      <c r="M1224">
        <v>0</v>
      </c>
      <c r="N1224">
        <v>2</v>
      </c>
      <c r="O1224">
        <v>0</v>
      </c>
      <c r="P1224">
        <v>1</v>
      </c>
      <c r="Q1224">
        <v>0</v>
      </c>
      <c r="S1224" t="str">
        <f t="shared" si="422"/>
        <v>19:28:50.000</v>
      </c>
      <c r="T1224" t="str">
        <f t="shared" si="422"/>
        <v>19:28:50.000</v>
      </c>
      <c r="U1224" t="str">
        <f t="shared" si="423"/>
        <v>AC3944</v>
      </c>
      <c r="V1224">
        <v>0</v>
      </c>
      <c r="W1224">
        <v>0</v>
      </c>
      <c r="X1224">
        <v>2</v>
      </c>
      <c r="Y1224">
        <v>0</v>
      </c>
      <c r="AA1224">
        <v>1</v>
      </c>
      <c r="AB1224">
        <v>8</v>
      </c>
      <c r="AC1224">
        <v>3</v>
      </c>
      <c r="AD1224">
        <v>0</v>
      </c>
      <c r="AE1224">
        <v>9</v>
      </c>
      <c r="AF1224" t="s">
        <v>138</v>
      </c>
      <c r="AG1224">
        <v>0</v>
      </c>
      <c r="AH1224">
        <v>3</v>
      </c>
      <c r="AI1224">
        <v>1</v>
      </c>
      <c r="AJ1224">
        <v>0</v>
      </c>
      <c r="AK1224" t="s">
        <v>483</v>
      </c>
      <c r="AL1224">
        <v>32.806140999999997</v>
      </c>
      <c r="AM1224" t="s">
        <v>484</v>
      </c>
      <c r="AN1224">
        <v>-116.90817800000001</v>
      </c>
      <c r="AO1224">
        <v>25</v>
      </c>
      <c r="AP1224">
        <v>2300</v>
      </c>
      <c r="AQ1224" t="s">
        <v>129</v>
      </c>
      <c r="AR1224">
        <v>118</v>
      </c>
      <c r="AS1224">
        <v>-4</v>
      </c>
      <c r="AT1224">
        <v>960</v>
      </c>
      <c r="BB1224">
        <v>1200</v>
      </c>
      <c r="BC1224">
        <v>1</v>
      </c>
      <c r="BD1224" t="str">
        <f t="shared" si="424"/>
        <v xml:space="preserve">N887QR  </v>
      </c>
      <c r="BE1224">
        <v>1</v>
      </c>
      <c r="BJ1224">
        <v>2025</v>
      </c>
      <c r="BK1224">
        <v>-275</v>
      </c>
      <c r="BL1224" t="s">
        <v>163</v>
      </c>
      <c r="BM1224">
        <v>1</v>
      </c>
      <c r="BN1224">
        <v>1</v>
      </c>
      <c r="BO1224">
        <v>1</v>
      </c>
      <c r="BP1224">
        <v>0</v>
      </c>
      <c r="BS1224">
        <v>0.04</v>
      </c>
      <c r="BT1224">
        <v>0</v>
      </c>
      <c r="BU1224">
        <v>0</v>
      </c>
      <c r="CE1224" t="str">
        <f t="shared" si="425"/>
        <v>19:28:50.315</v>
      </c>
      <c r="CF1224">
        <v>315070144</v>
      </c>
      <c r="CS1224">
        <v>3</v>
      </c>
      <c r="CT1224">
        <v>2</v>
      </c>
      <c r="CU1224">
        <v>0</v>
      </c>
      <c r="CV1224">
        <v>2</v>
      </c>
      <c r="CW1224">
        <v>0</v>
      </c>
      <c r="CX1224">
        <v>5</v>
      </c>
      <c r="CY1224">
        <v>7</v>
      </c>
      <c r="CZ1224" t="s">
        <v>131</v>
      </c>
      <c r="DA1224">
        <v>300</v>
      </c>
      <c r="DB1224">
        <v>0</v>
      </c>
      <c r="DC1224" t="s">
        <v>176</v>
      </c>
      <c r="DD1224" t="s">
        <v>177</v>
      </c>
      <c r="DG1224">
        <v>5381609</v>
      </c>
      <c r="DI1224">
        <v>1</v>
      </c>
      <c r="DJ1224">
        <v>0</v>
      </c>
      <c r="DK1224">
        <v>1</v>
      </c>
      <c r="DL1224">
        <v>0</v>
      </c>
      <c r="DM1224">
        <v>0</v>
      </c>
      <c r="DN1224">
        <v>1</v>
      </c>
      <c r="DO1224">
        <v>0</v>
      </c>
      <c r="DP1224">
        <v>0</v>
      </c>
      <c r="DQ1224">
        <v>0</v>
      </c>
      <c r="DR1224">
        <v>0</v>
      </c>
      <c r="DS1224">
        <v>0</v>
      </c>
    </row>
    <row r="1225" spans="1:123" x14ac:dyDescent="0.3">
      <c r="A1225" t="str">
        <f>"10/04/2022 19:28:51.603"</f>
        <v>10/04/2022 19:28:51.603</v>
      </c>
      <c r="C1225" t="str">
        <f t="shared" si="416"/>
        <v>FFDDD3C0</v>
      </c>
      <c r="D1225" t="s">
        <v>147</v>
      </c>
      <c r="E1225">
        <v>3</v>
      </c>
      <c r="H1225">
        <v>166</v>
      </c>
      <c r="I1225" t="s">
        <v>144</v>
      </c>
      <c r="J1225" t="s">
        <v>148</v>
      </c>
      <c r="K1225">
        <v>0</v>
      </c>
      <c r="L1225">
        <v>3</v>
      </c>
      <c r="M1225">
        <v>0</v>
      </c>
      <c r="N1225">
        <v>2</v>
      </c>
      <c r="O1225">
        <v>0</v>
      </c>
      <c r="P1225">
        <v>1</v>
      </c>
      <c r="Q1225">
        <v>0</v>
      </c>
      <c r="S1225" t="str">
        <f t="shared" ref="S1225:T1231" si="426">"19:28:51.000"</f>
        <v>19:28:51.000</v>
      </c>
      <c r="T1225" t="str">
        <f t="shared" si="426"/>
        <v>19:28:51.000</v>
      </c>
      <c r="U1225" t="str">
        <f t="shared" si="423"/>
        <v>AC3944</v>
      </c>
      <c r="V1225">
        <v>0</v>
      </c>
      <c r="W1225">
        <v>0</v>
      </c>
      <c r="X1225">
        <v>2</v>
      </c>
      <c r="Y1225">
        <v>0</v>
      </c>
      <c r="AA1225">
        <v>1</v>
      </c>
      <c r="AB1225">
        <v>8</v>
      </c>
      <c r="AC1225">
        <v>3</v>
      </c>
      <c r="AD1225">
        <v>0</v>
      </c>
      <c r="AE1225">
        <v>9</v>
      </c>
      <c r="AF1225" t="s">
        <v>138</v>
      </c>
      <c r="AG1225">
        <v>0</v>
      </c>
      <c r="AH1225">
        <v>3</v>
      </c>
      <c r="AI1225">
        <v>1</v>
      </c>
      <c r="AJ1225">
        <v>0</v>
      </c>
      <c r="AK1225" t="s">
        <v>485</v>
      </c>
      <c r="AL1225">
        <v>32.80612</v>
      </c>
      <c r="AM1225" t="s">
        <v>486</v>
      </c>
      <c r="AN1225">
        <v>-116.90751299999999</v>
      </c>
      <c r="AO1225">
        <v>25</v>
      </c>
      <c r="AP1225">
        <v>2300</v>
      </c>
      <c r="AQ1225" t="s">
        <v>129</v>
      </c>
      <c r="AR1225">
        <v>117</v>
      </c>
      <c r="AS1225">
        <v>-3</v>
      </c>
      <c r="AT1225">
        <v>960</v>
      </c>
      <c r="BB1225">
        <v>1200</v>
      </c>
      <c r="BC1225">
        <v>1</v>
      </c>
      <c r="BD1225" t="str">
        <f t="shared" si="424"/>
        <v xml:space="preserve">N887QR  </v>
      </c>
      <c r="BE1225">
        <v>1</v>
      </c>
      <c r="BJ1225">
        <v>2025</v>
      </c>
      <c r="BK1225">
        <v>-275</v>
      </c>
      <c r="BL1225" t="s">
        <v>163</v>
      </c>
      <c r="BM1225">
        <v>1</v>
      </c>
      <c r="BN1225">
        <v>1</v>
      </c>
      <c r="BO1225">
        <v>1</v>
      </c>
      <c r="BP1225">
        <v>0</v>
      </c>
      <c r="BS1225">
        <v>0.04</v>
      </c>
      <c r="BT1225">
        <v>0</v>
      </c>
      <c r="BU1225">
        <v>0</v>
      </c>
      <c r="CE1225" t="str">
        <f t="shared" ref="CE1225:CE1231" si="427">"19:28:51.382"</f>
        <v>19:28:51.382</v>
      </c>
      <c r="CF1225">
        <v>382073609</v>
      </c>
      <c r="CS1225">
        <v>3</v>
      </c>
      <c r="CT1225">
        <v>2</v>
      </c>
      <c r="CU1225">
        <v>0</v>
      </c>
      <c r="CV1225">
        <v>2</v>
      </c>
      <c r="CW1225">
        <v>1</v>
      </c>
      <c r="CX1225">
        <v>5</v>
      </c>
      <c r="CY1225">
        <v>7</v>
      </c>
      <c r="CZ1225" t="s">
        <v>131</v>
      </c>
      <c r="DA1225">
        <v>300</v>
      </c>
      <c r="DB1225">
        <v>0</v>
      </c>
      <c r="DC1225" t="s">
        <v>176</v>
      </c>
      <c r="DD1225" t="s">
        <v>177</v>
      </c>
      <c r="DG1225">
        <v>5381762</v>
      </c>
      <c r="DI1225">
        <v>1</v>
      </c>
      <c r="DJ1225">
        <v>0</v>
      </c>
      <c r="DK1225">
        <v>0</v>
      </c>
      <c r="DL1225">
        <v>0</v>
      </c>
      <c r="DM1225">
        <v>0</v>
      </c>
      <c r="DN1225">
        <v>1</v>
      </c>
      <c r="DO1225">
        <v>0</v>
      </c>
      <c r="DP1225">
        <v>0</v>
      </c>
      <c r="DQ1225">
        <v>0</v>
      </c>
      <c r="DR1225">
        <v>0</v>
      </c>
      <c r="DS1225">
        <v>0</v>
      </c>
    </row>
    <row r="1226" spans="1:123" x14ac:dyDescent="0.3">
      <c r="A1226" t="str">
        <f>"10/04/2022 19:28:51.619"</f>
        <v>10/04/2022 19:28:51.619</v>
      </c>
      <c r="C1226" t="str">
        <f t="shared" si="416"/>
        <v>FFDDD3C0</v>
      </c>
      <c r="D1226" t="s">
        <v>141</v>
      </c>
      <c r="E1226">
        <v>3</v>
      </c>
      <c r="H1226">
        <v>3</v>
      </c>
      <c r="I1226" t="s">
        <v>146</v>
      </c>
      <c r="J1226" t="s">
        <v>138</v>
      </c>
      <c r="K1226">
        <v>0</v>
      </c>
      <c r="L1226">
        <v>3</v>
      </c>
      <c r="M1226">
        <v>0</v>
      </c>
      <c r="N1226">
        <v>2</v>
      </c>
      <c r="O1226">
        <v>0</v>
      </c>
      <c r="P1226">
        <v>1</v>
      </c>
      <c r="Q1226">
        <v>0</v>
      </c>
      <c r="S1226" t="str">
        <f t="shared" si="426"/>
        <v>19:28:51.000</v>
      </c>
      <c r="T1226" t="str">
        <f t="shared" si="426"/>
        <v>19:28:51.000</v>
      </c>
      <c r="U1226" t="str">
        <f t="shared" si="423"/>
        <v>AC3944</v>
      </c>
      <c r="V1226">
        <v>0</v>
      </c>
      <c r="W1226">
        <v>0</v>
      </c>
      <c r="X1226">
        <v>2</v>
      </c>
      <c r="Y1226">
        <v>0</v>
      </c>
      <c r="AA1226">
        <v>1</v>
      </c>
      <c r="AB1226">
        <v>8</v>
      </c>
      <c r="AC1226">
        <v>3</v>
      </c>
      <c r="AD1226">
        <v>0</v>
      </c>
      <c r="AE1226">
        <v>9</v>
      </c>
      <c r="AF1226" t="s">
        <v>138</v>
      </c>
      <c r="AG1226">
        <v>0</v>
      </c>
      <c r="AH1226">
        <v>3</v>
      </c>
      <c r="AI1226">
        <v>1</v>
      </c>
      <c r="AJ1226">
        <v>0</v>
      </c>
      <c r="AK1226" t="s">
        <v>485</v>
      </c>
      <c r="AL1226">
        <v>32.80612</v>
      </c>
      <c r="AM1226" t="s">
        <v>486</v>
      </c>
      <c r="AN1226">
        <v>-116.90751299999999</v>
      </c>
      <c r="AO1226">
        <v>25</v>
      </c>
      <c r="AP1226">
        <v>2300</v>
      </c>
      <c r="AQ1226" t="s">
        <v>129</v>
      </c>
      <c r="AR1226">
        <v>117</v>
      </c>
      <c r="AS1226">
        <v>-3</v>
      </c>
      <c r="AT1226">
        <v>960</v>
      </c>
      <c r="BB1226">
        <v>1200</v>
      </c>
      <c r="BC1226">
        <v>1</v>
      </c>
      <c r="BD1226" t="str">
        <f t="shared" si="424"/>
        <v xml:space="preserve">N887QR  </v>
      </c>
      <c r="BE1226">
        <v>1</v>
      </c>
      <c r="BJ1226">
        <v>2025</v>
      </c>
      <c r="BK1226">
        <v>-275</v>
      </c>
      <c r="BL1226" t="s">
        <v>163</v>
      </c>
      <c r="BM1226">
        <v>1</v>
      </c>
      <c r="BN1226">
        <v>1</v>
      </c>
      <c r="BO1226">
        <v>1</v>
      </c>
      <c r="BP1226">
        <v>0</v>
      </c>
      <c r="BS1226">
        <v>0.04</v>
      </c>
      <c r="BT1226">
        <v>0</v>
      </c>
      <c r="BU1226">
        <v>0</v>
      </c>
      <c r="CE1226" t="str">
        <f t="shared" si="427"/>
        <v>19:28:51.382</v>
      </c>
      <c r="CF1226">
        <v>382073609</v>
      </c>
      <c r="CS1226">
        <v>3</v>
      </c>
      <c r="CT1226">
        <v>2</v>
      </c>
      <c r="CU1226">
        <v>0</v>
      </c>
      <c r="CV1226">
        <v>2</v>
      </c>
      <c r="CW1226">
        <v>1</v>
      </c>
      <c r="CX1226">
        <v>5</v>
      </c>
      <c r="CY1226">
        <v>7</v>
      </c>
      <c r="CZ1226" t="s">
        <v>131</v>
      </c>
      <c r="DA1226">
        <v>300</v>
      </c>
      <c r="DB1226">
        <v>0</v>
      </c>
      <c r="DC1226" t="s">
        <v>176</v>
      </c>
      <c r="DD1226" t="s">
        <v>177</v>
      </c>
      <c r="DG1226">
        <v>5381762</v>
      </c>
      <c r="DI1226">
        <v>1</v>
      </c>
      <c r="DJ1226">
        <v>0</v>
      </c>
      <c r="DK1226">
        <v>1</v>
      </c>
      <c r="DL1226">
        <v>0</v>
      </c>
      <c r="DM1226">
        <v>0</v>
      </c>
      <c r="DN1226">
        <v>1</v>
      </c>
      <c r="DO1226">
        <v>0</v>
      </c>
      <c r="DP1226">
        <v>0</v>
      </c>
      <c r="DQ1226">
        <v>0</v>
      </c>
      <c r="DR1226">
        <v>0</v>
      </c>
      <c r="DS1226">
        <v>0</v>
      </c>
    </row>
    <row r="1227" spans="1:123" x14ac:dyDescent="0.3">
      <c r="A1227" t="str">
        <f>"10/04/2022 19:28:51.619"</f>
        <v>10/04/2022 19:28:51.619</v>
      </c>
      <c r="C1227" t="str">
        <f t="shared" si="416"/>
        <v>FFDDD3C0</v>
      </c>
      <c r="D1227" t="s">
        <v>136</v>
      </c>
      <c r="E1227">
        <v>8</v>
      </c>
      <c r="H1227">
        <v>225</v>
      </c>
      <c r="I1227" t="s">
        <v>137</v>
      </c>
      <c r="J1227" t="s">
        <v>138</v>
      </c>
      <c r="K1227">
        <v>0</v>
      </c>
      <c r="L1227">
        <v>3</v>
      </c>
      <c r="M1227">
        <v>0</v>
      </c>
      <c r="N1227">
        <v>2</v>
      </c>
      <c r="O1227">
        <v>0</v>
      </c>
      <c r="P1227">
        <v>1</v>
      </c>
      <c r="Q1227">
        <v>0</v>
      </c>
      <c r="S1227" t="str">
        <f t="shared" si="426"/>
        <v>19:28:51.000</v>
      </c>
      <c r="T1227" t="str">
        <f t="shared" si="426"/>
        <v>19:28:51.000</v>
      </c>
      <c r="U1227" t="str">
        <f t="shared" si="423"/>
        <v>AC3944</v>
      </c>
      <c r="V1227">
        <v>0</v>
      </c>
      <c r="W1227">
        <v>0</v>
      </c>
      <c r="X1227">
        <v>2</v>
      </c>
      <c r="Y1227">
        <v>0</v>
      </c>
      <c r="AA1227">
        <v>1</v>
      </c>
      <c r="AB1227">
        <v>8</v>
      </c>
      <c r="AC1227">
        <v>3</v>
      </c>
      <c r="AD1227">
        <v>0</v>
      </c>
      <c r="AE1227">
        <v>9</v>
      </c>
      <c r="AF1227" t="s">
        <v>138</v>
      </c>
      <c r="AG1227">
        <v>0</v>
      </c>
      <c r="AH1227">
        <v>3</v>
      </c>
      <c r="AI1227">
        <v>1</v>
      </c>
      <c r="AJ1227">
        <v>0</v>
      </c>
      <c r="AK1227" t="s">
        <v>485</v>
      </c>
      <c r="AL1227">
        <v>32.80612</v>
      </c>
      <c r="AM1227" t="s">
        <v>486</v>
      </c>
      <c r="AN1227">
        <v>-116.90751299999999</v>
      </c>
      <c r="AO1227">
        <v>25</v>
      </c>
      <c r="AP1227">
        <v>2300</v>
      </c>
      <c r="AQ1227" t="s">
        <v>129</v>
      </c>
      <c r="AR1227">
        <v>117</v>
      </c>
      <c r="AS1227">
        <v>-3</v>
      </c>
      <c r="AT1227">
        <v>960</v>
      </c>
      <c r="BB1227">
        <v>1200</v>
      </c>
      <c r="BC1227">
        <v>1</v>
      </c>
      <c r="BD1227" t="str">
        <f t="shared" si="424"/>
        <v xml:space="preserve">N887QR  </v>
      </c>
      <c r="BE1227">
        <v>1</v>
      </c>
      <c r="BJ1227">
        <v>2025</v>
      </c>
      <c r="BK1227">
        <v>-275</v>
      </c>
      <c r="BL1227" t="s">
        <v>163</v>
      </c>
      <c r="BM1227">
        <v>1</v>
      </c>
      <c r="BN1227">
        <v>1</v>
      </c>
      <c r="BO1227">
        <v>1</v>
      </c>
      <c r="BP1227">
        <v>0</v>
      </c>
      <c r="BS1227">
        <v>0.04</v>
      </c>
      <c r="BT1227">
        <v>0</v>
      </c>
      <c r="BU1227">
        <v>0</v>
      </c>
      <c r="CE1227" t="str">
        <f t="shared" si="427"/>
        <v>19:28:51.382</v>
      </c>
      <c r="CF1227">
        <v>382073609</v>
      </c>
      <c r="CS1227">
        <v>3</v>
      </c>
      <c r="CT1227">
        <v>2</v>
      </c>
      <c r="CU1227">
        <v>0</v>
      </c>
      <c r="CV1227">
        <v>2</v>
      </c>
      <c r="CW1227">
        <v>1</v>
      </c>
      <c r="CX1227">
        <v>5</v>
      </c>
      <c r="CY1227">
        <v>7</v>
      </c>
      <c r="CZ1227" t="s">
        <v>131</v>
      </c>
      <c r="DA1227">
        <v>300</v>
      </c>
      <c r="DB1227">
        <v>0</v>
      </c>
      <c r="DC1227" t="s">
        <v>176</v>
      </c>
      <c r="DD1227" t="s">
        <v>177</v>
      </c>
      <c r="DG1227">
        <v>5381762</v>
      </c>
      <c r="DI1227">
        <v>1</v>
      </c>
      <c r="DJ1227">
        <v>0</v>
      </c>
      <c r="DK1227">
        <v>1</v>
      </c>
      <c r="DL1227">
        <v>0</v>
      </c>
      <c r="DM1227">
        <v>0</v>
      </c>
      <c r="DN1227">
        <v>1</v>
      </c>
      <c r="DO1227">
        <v>0</v>
      </c>
      <c r="DP1227">
        <v>0</v>
      </c>
      <c r="DQ1227">
        <v>0</v>
      </c>
      <c r="DR1227">
        <v>0</v>
      </c>
      <c r="DS1227">
        <v>0</v>
      </c>
    </row>
    <row r="1228" spans="1:123" x14ac:dyDescent="0.3">
      <c r="A1228" t="str">
        <f>"10/04/2022 19:28:51.634"</f>
        <v>10/04/2022 19:28:51.634</v>
      </c>
      <c r="C1228" t="str">
        <f t="shared" si="416"/>
        <v>FFDDD3C0</v>
      </c>
      <c r="D1228" t="s">
        <v>143</v>
      </c>
      <c r="E1228">
        <v>20</v>
      </c>
      <c r="F1228">
        <v>1020</v>
      </c>
      <c r="G1228" t="s">
        <v>144</v>
      </c>
      <c r="J1228" t="s">
        <v>145</v>
      </c>
      <c r="K1228">
        <v>0</v>
      </c>
      <c r="L1228">
        <v>3</v>
      </c>
      <c r="M1228">
        <v>0</v>
      </c>
      <c r="N1228">
        <v>2</v>
      </c>
      <c r="O1228">
        <v>0</v>
      </c>
      <c r="P1228">
        <v>1</v>
      </c>
      <c r="Q1228">
        <v>0</v>
      </c>
      <c r="S1228" t="str">
        <f t="shared" si="426"/>
        <v>19:28:51.000</v>
      </c>
      <c r="T1228" t="str">
        <f t="shared" si="426"/>
        <v>19:28:51.000</v>
      </c>
      <c r="U1228" t="str">
        <f t="shared" si="423"/>
        <v>AC3944</v>
      </c>
      <c r="V1228">
        <v>0</v>
      </c>
      <c r="W1228">
        <v>0</v>
      </c>
      <c r="X1228">
        <v>2</v>
      </c>
      <c r="Y1228">
        <v>0</v>
      </c>
      <c r="AA1228">
        <v>1</v>
      </c>
      <c r="AB1228">
        <v>8</v>
      </c>
      <c r="AC1228">
        <v>3</v>
      </c>
      <c r="AD1228">
        <v>0</v>
      </c>
      <c r="AE1228">
        <v>9</v>
      </c>
      <c r="AF1228" t="s">
        <v>138</v>
      </c>
      <c r="AG1228">
        <v>0</v>
      </c>
      <c r="AH1228">
        <v>3</v>
      </c>
      <c r="AI1228">
        <v>1</v>
      </c>
      <c r="AJ1228">
        <v>0</v>
      </c>
      <c r="AK1228" t="s">
        <v>485</v>
      </c>
      <c r="AL1228">
        <v>32.80612</v>
      </c>
      <c r="AM1228" t="s">
        <v>486</v>
      </c>
      <c r="AN1228">
        <v>-116.90751299999999</v>
      </c>
      <c r="AO1228">
        <v>25</v>
      </c>
      <c r="AP1228">
        <v>2300</v>
      </c>
      <c r="AQ1228" t="s">
        <v>129</v>
      </c>
      <c r="AR1228">
        <v>117</v>
      </c>
      <c r="AS1228">
        <v>-3</v>
      </c>
      <c r="AT1228">
        <v>960</v>
      </c>
      <c r="BB1228">
        <v>1200</v>
      </c>
      <c r="BC1228">
        <v>1</v>
      </c>
      <c r="BD1228" t="str">
        <f t="shared" si="424"/>
        <v xml:space="preserve">N887QR  </v>
      </c>
      <c r="BE1228">
        <v>1</v>
      </c>
      <c r="BJ1228">
        <v>2025</v>
      </c>
      <c r="BK1228">
        <v>-275</v>
      </c>
      <c r="BL1228" t="s">
        <v>163</v>
      </c>
      <c r="BM1228">
        <v>1</v>
      </c>
      <c r="BN1228">
        <v>1</v>
      </c>
      <c r="BO1228">
        <v>1</v>
      </c>
      <c r="BP1228">
        <v>0</v>
      </c>
      <c r="BS1228">
        <v>0.04</v>
      </c>
      <c r="BT1228">
        <v>0</v>
      </c>
      <c r="BU1228">
        <v>0</v>
      </c>
      <c r="CE1228" t="str">
        <f t="shared" si="427"/>
        <v>19:28:51.382</v>
      </c>
      <c r="CF1228">
        <v>382073609</v>
      </c>
      <c r="CS1228">
        <v>3</v>
      </c>
      <c r="CT1228">
        <v>2</v>
      </c>
      <c r="CU1228">
        <v>0</v>
      </c>
      <c r="CV1228">
        <v>2</v>
      </c>
      <c r="CW1228">
        <v>1</v>
      </c>
      <c r="CX1228">
        <v>5</v>
      </c>
      <c r="CY1228">
        <v>7</v>
      </c>
      <c r="CZ1228" t="s">
        <v>131</v>
      </c>
      <c r="DA1228">
        <v>300</v>
      </c>
      <c r="DB1228">
        <v>0</v>
      </c>
      <c r="DC1228" t="s">
        <v>176</v>
      </c>
      <c r="DD1228" t="s">
        <v>177</v>
      </c>
      <c r="DG1228">
        <v>5381762</v>
      </c>
      <c r="DI1228">
        <v>1</v>
      </c>
      <c r="DJ1228">
        <v>0</v>
      </c>
      <c r="DK1228">
        <v>1</v>
      </c>
      <c r="DL1228">
        <v>0</v>
      </c>
      <c r="DM1228">
        <v>0</v>
      </c>
      <c r="DN1228">
        <v>1</v>
      </c>
      <c r="DO1228">
        <v>0</v>
      </c>
      <c r="DP1228">
        <v>0</v>
      </c>
      <c r="DQ1228">
        <v>0</v>
      </c>
      <c r="DR1228">
        <v>0</v>
      </c>
      <c r="DS1228">
        <v>0</v>
      </c>
    </row>
    <row r="1229" spans="1:123" x14ac:dyDescent="0.3">
      <c r="A1229" t="str">
        <f>"10/04/2022 19:28:51.634"</f>
        <v>10/04/2022 19:28:51.634</v>
      </c>
      <c r="C1229" t="str">
        <f t="shared" si="416"/>
        <v>FFDDD3C0</v>
      </c>
      <c r="D1229" t="s">
        <v>123</v>
      </c>
      <c r="E1229">
        <v>7</v>
      </c>
      <c r="F1229">
        <v>2007</v>
      </c>
      <c r="G1229" t="s">
        <v>124</v>
      </c>
      <c r="J1229" t="s">
        <v>125</v>
      </c>
      <c r="K1229">
        <v>0</v>
      </c>
      <c r="L1229">
        <v>3</v>
      </c>
      <c r="M1229">
        <v>0</v>
      </c>
      <c r="N1229">
        <v>2</v>
      </c>
      <c r="O1229">
        <v>0</v>
      </c>
      <c r="P1229">
        <v>1</v>
      </c>
      <c r="Q1229">
        <v>0</v>
      </c>
      <c r="S1229" t="str">
        <f t="shared" si="426"/>
        <v>19:28:51.000</v>
      </c>
      <c r="T1229" t="str">
        <f t="shared" si="426"/>
        <v>19:28:51.000</v>
      </c>
      <c r="U1229" t="str">
        <f t="shared" si="423"/>
        <v>AC3944</v>
      </c>
      <c r="V1229">
        <v>0</v>
      </c>
      <c r="W1229">
        <v>0</v>
      </c>
      <c r="X1229">
        <v>2</v>
      </c>
      <c r="Y1229">
        <v>0</v>
      </c>
      <c r="AA1229">
        <v>1</v>
      </c>
      <c r="AB1229">
        <v>8</v>
      </c>
      <c r="AC1229">
        <v>3</v>
      </c>
      <c r="AD1229">
        <v>0</v>
      </c>
      <c r="AE1229">
        <v>9</v>
      </c>
      <c r="AF1229" t="s">
        <v>138</v>
      </c>
      <c r="AG1229">
        <v>0</v>
      </c>
      <c r="AH1229">
        <v>3</v>
      </c>
      <c r="AI1229">
        <v>1</v>
      </c>
      <c r="AJ1229">
        <v>0</v>
      </c>
      <c r="AK1229" t="s">
        <v>485</v>
      </c>
      <c r="AL1229">
        <v>32.80612</v>
      </c>
      <c r="AM1229" t="s">
        <v>486</v>
      </c>
      <c r="AN1229">
        <v>-116.90751299999999</v>
      </c>
      <c r="AO1229">
        <v>25</v>
      </c>
      <c r="AP1229">
        <v>2300</v>
      </c>
      <c r="AQ1229" t="s">
        <v>129</v>
      </c>
      <c r="AR1229">
        <v>117</v>
      </c>
      <c r="AS1229">
        <v>-3</v>
      </c>
      <c r="AT1229">
        <v>960</v>
      </c>
      <c r="BB1229">
        <v>1200</v>
      </c>
      <c r="BC1229">
        <v>1</v>
      </c>
      <c r="BD1229" t="str">
        <f t="shared" si="424"/>
        <v xml:space="preserve">N887QR  </v>
      </c>
      <c r="BE1229">
        <v>1</v>
      </c>
      <c r="BJ1229">
        <v>2025</v>
      </c>
      <c r="BK1229">
        <v>-275</v>
      </c>
      <c r="BL1229" t="s">
        <v>163</v>
      </c>
      <c r="BM1229">
        <v>1</v>
      </c>
      <c r="BN1229">
        <v>1</v>
      </c>
      <c r="BO1229">
        <v>1</v>
      </c>
      <c r="BP1229">
        <v>0</v>
      </c>
      <c r="BS1229">
        <v>0.04</v>
      </c>
      <c r="BT1229">
        <v>0</v>
      </c>
      <c r="BU1229">
        <v>0</v>
      </c>
      <c r="CE1229" t="str">
        <f t="shared" si="427"/>
        <v>19:28:51.382</v>
      </c>
      <c r="CF1229">
        <v>382073609</v>
      </c>
      <c r="CS1229">
        <v>3</v>
      </c>
      <c r="CT1229">
        <v>2</v>
      </c>
      <c r="CU1229">
        <v>0</v>
      </c>
      <c r="CV1229">
        <v>2</v>
      </c>
      <c r="CW1229">
        <v>1</v>
      </c>
      <c r="CX1229">
        <v>5</v>
      </c>
      <c r="CY1229">
        <v>7</v>
      </c>
      <c r="CZ1229" t="s">
        <v>131</v>
      </c>
      <c r="DA1229">
        <v>300</v>
      </c>
      <c r="DB1229">
        <v>0</v>
      </c>
      <c r="DC1229" t="s">
        <v>176</v>
      </c>
      <c r="DD1229" t="s">
        <v>177</v>
      </c>
      <c r="DG1229">
        <v>5381762</v>
      </c>
      <c r="DI1229">
        <v>1</v>
      </c>
      <c r="DJ1229">
        <v>0</v>
      </c>
      <c r="DK1229">
        <v>1</v>
      </c>
      <c r="DL1229">
        <v>0</v>
      </c>
      <c r="DM1229">
        <v>0</v>
      </c>
      <c r="DN1229">
        <v>1</v>
      </c>
      <c r="DO1229">
        <v>0</v>
      </c>
      <c r="DP1229">
        <v>0</v>
      </c>
      <c r="DQ1229">
        <v>0</v>
      </c>
      <c r="DR1229">
        <v>0</v>
      </c>
      <c r="DS1229">
        <v>0</v>
      </c>
    </row>
    <row r="1230" spans="1:123" x14ac:dyDescent="0.3">
      <c r="A1230" t="str">
        <f>"10/04/2022 19:28:51.634"</f>
        <v>10/04/2022 19:28:51.634</v>
      </c>
      <c r="C1230" t="str">
        <f t="shared" si="416"/>
        <v>FFDDD3C0</v>
      </c>
      <c r="D1230" t="s">
        <v>134</v>
      </c>
      <c r="E1230">
        <v>15</v>
      </c>
      <c r="J1230" t="s">
        <v>135</v>
      </c>
      <c r="K1230">
        <v>0</v>
      </c>
      <c r="L1230">
        <v>3</v>
      </c>
      <c r="M1230">
        <v>0</v>
      </c>
      <c r="N1230">
        <v>2</v>
      </c>
      <c r="O1230">
        <v>0</v>
      </c>
      <c r="P1230">
        <v>1</v>
      </c>
      <c r="Q1230">
        <v>0</v>
      </c>
      <c r="S1230" t="str">
        <f t="shared" si="426"/>
        <v>19:28:51.000</v>
      </c>
      <c r="T1230" t="str">
        <f t="shared" si="426"/>
        <v>19:28:51.000</v>
      </c>
      <c r="U1230" t="str">
        <f t="shared" si="423"/>
        <v>AC3944</v>
      </c>
      <c r="V1230">
        <v>0</v>
      </c>
      <c r="W1230">
        <v>0</v>
      </c>
      <c r="X1230">
        <v>2</v>
      </c>
      <c r="Y1230">
        <v>0</v>
      </c>
      <c r="AA1230">
        <v>1</v>
      </c>
      <c r="AB1230">
        <v>8</v>
      </c>
      <c r="AC1230">
        <v>3</v>
      </c>
      <c r="AD1230">
        <v>0</v>
      </c>
      <c r="AE1230">
        <v>9</v>
      </c>
      <c r="AF1230" t="s">
        <v>138</v>
      </c>
      <c r="AG1230">
        <v>0</v>
      </c>
      <c r="AH1230">
        <v>3</v>
      </c>
      <c r="AI1230">
        <v>1</v>
      </c>
      <c r="AJ1230">
        <v>0</v>
      </c>
      <c r="AK1230" t="s">
        <v>485</v>
      </c>
      <c r="AL1230">
        <v>32.80612</v>
      </c>
      <c r="AM1230" t="s">
        <v>486</v>
      </c>
      <c r="AN1230">
        <v>-116.90751299999999</v>
      </c>
      <c r="AO1230">
        <v>25</v>
      </c>
      <c r="AP1230">
        <v>2300</v>
      </c>
      <c r="AQ1230" t="s">
        <v>129</v>
      </c>
      <c r="AR1230">
        <v>117</v>
      </c>
      <c r="AS1230">
        <v>-3</v>
      </c>
      <c r="AT1230">
        <v>960</v>
      </c>
      <c r="BB1230">
        <v>1200</v>
      </c>
      <c r="BC1230">
        <v>1</v>
      </c>
      <c r="BD1230" t="str">
        <f t="shared" si="424"/>
        <v xml:space="preserve">N887QR  </v>
      </c>
      <c r="BE1230">
        <v>1</v>
      </c>
      <c r="BJ1230">
        <v>2025</v>
      </c>
      <c r="BK1230">
        <v>-275</v>
      </c>
      <c r="BL1230" t="s">
        <v>163</v>
      </c>
      <c r="BM1230">
        <v>1</v>
      </c>
      <c r="BN1230">
        <v>1</v>
      </c>
      <c r="BO1230">
        <v>1</v>
      </c>
      <c r="BP1230">
        <v>0</v>
      </c>
      <c r="BS1230">
        <v>0.04</v>
      </c>
      <c r="BT1230">
        <v>0</v>
      </c>
      <c r="BU1230">
        <v>0</v>
      </c>
      <c r="CE1230" t="str">
        <f t="shared" si="427"/>
        <v>19:28:51.382</v>
      </c>
      <c r="CF1230">
        <v>382073609</v>
      </c>
      <c r="CS1230">
        <v>3</v>
      </c>
      <c r="CT1230">
        <v>2</v>
      </c>
      <c r="CU1230">
        <v>0</v>
      </c>
      <c r="CV1230">
        <v>2</v>
      </c>
      <c r="CW1230">
        <v>1</v>
      </c>
      <c r="CX1230">
        <v>5</v>
      </c>
      <c r="CY1230">
        <v>7</v>
      </c>
      <c r="CZ1230" t="s">
        <v>131</v>
      </c>
      <c r="DA1230">
        <v>300</v>
      </c>
      <c r="DB1230">
        <v>0</v>
      </c>
      <c r="DC1230" t="s">
        <v>176</v>
      </c>
      <c r="DD1230" t="s">
        <v>177</v>
      </c>
      <c r="DG1230">
        <v>5381762</v>
      </c>
      <c r="DI1230">
        <v>1</v>
      </c>
      <c r="DJ1230">
        <v>0</v>
      </c>
      <c r="DK1230">
        <v>1</v>
      </c>
      <c r="DL1230">
        <v>0</v>
      </c>
      <c r="DM1230">
        <v>0</v>
      </c>
      <c r="DN1230">
        <v>1</v>
      </c>
      <c r="DO1230">
        <v>0</v>
      </c>
      <c r="DP1230">
        <v>0</v>
      </c>
      <c r="DQ1230">
        <v>0</v>
      </c>
      <c r="DR1230">
        <v>0</v>
      </c>
      <c r="DS1230">
        <v>0</v>
      </c>
    </row>
    <row r="1231" spans="1:123" x14ac:dyDescent="0.3">
      <c r="A1231" t="str">
        <f>"10/04/2022 19:28:51.634"</f>
        <v>10/04/2022 19:28:51.634</v>
      </c>
      <c r="C1231" t="str">
        <f t="shared" si="416"/>
        <v>FFDDD3C0</v>
      </c>
      <c r="D1231" t="s">
        <v>141</v>
      </c>
      <c r="E1231">
        <v>4</v>
      </c>
      <c r="H1231">
        <v>4</v>
      </c>
      <c r="I1231" t="s">
        <v>142</v>
      </c>
      <c r="J1231" t="s">
        <v>138</v>
      </c>
      <c r="K1231">
        <v>0</v>
      </c>
      <c r="L1231">
        <v>3</v>
      </c>
      <c r="M1231">
        <v>0</v>
      </c>
      <c r="N1231">
        <v>2</v>
      </c>
      <c r="O1231">
        <v>0</v>
      </c>
      <c r="P1231">
        <v>1</v>
      </c>
      <c r="Q1231">
        <v>0</v>
      </c>
      <c r="S1231" t="str">
        <f t="shared" si="426"/>
        <v>19:28:51.000</v>
      </c>
      <c r="T1231" t="str">
        <f t="shared" si="426"/>
        <v>19:28:51.000</v>
      </c>
      <c r="U1231" t="str">
        <f t="shared" si="423"/>
        <v>AC3944</v>
      </c>
      <c r="V1231">
        <v>0</v>
      </c>
      <c r="W1231">
        <v>0</v>
      </c>
      <c r="X1231">
        <v>2</v>
      </c>
      <c r="Y1231">
        <v>0</v>
      </c>
      <c r="AA1231">
        <v>1</v>
      </c>
      <c r="AB1231">
        <v>8</v>
      </c>
      <c r="AC1231">
        <v>3</v>
      </c>
      <c r="AD1231">
        <v>0</v>
      </c>
      <c r="AE1231">
        <v>9</v>
      </c>
      <c r="AF1231" t="s">
        <v>138</v>
      </c>
      <c r="AG1231">
        <v>0</v>
      </c>
      <c r="AH1231">
        <v>3</v>
      </c>
      <c r="AI1231">
        <v>1</v>
      </c>
      <c r="AJ1231">
        <v>0</v>
      </c>
      <c r="AK1231" t="s">
        <v>485</v>
      </c>
      <c r="AL1231">
        <v>32.80612</v>
      </c>
      <c r="AM1231" t="s">
        <v>486</v>
      </c>
      <c r="AN1231">
        <v>-116.90751299999999</v>
      </c>
      <c r="AO1231">
        <v>25</v>
      </c>
      <c r="AP1231">
        <v>2300</v>
      </c>
      <c r="AQ1231" t="s">
        <v>129</v>
      </c>
      <c r="AR1231">
        <v>117</v>
      </c>
      <c r="AS1231">
        <v>-3</v>
      </c>
      <c r="AT1231">
        <v>960</v>
      </c>
      <c r="BB1231">
        <v>1200</v>
      </c>
      <c r="BC1231">
        <v>1</v>
      </c>
      <c r="BD1231" t="str">
        <f t="shared" si="424"/>
        <v xml:space="preserve">N887QR  </v>
      </c>
      <c r="BE1231">
        <v>1</v>
      </c>
      <c r="BJ1231">
        <v>2025</v>
      </c>
      <c r="BK1231">
        <v>-275</v>
      </c>
      <c r="BL1231" t="s">
        <v>163</v>
      </c>
      <c r="BM1231">
        <v>1</v>
      </c>
      <c r="BN1231">
        <v>1</v>
      </c>
      <c r="BO1231">
        <v>1</v>
      </c>
      <c r="BP1231">
        <v>0</v>
      </c>
      <c r="BS1231">
        <v>0.04</v>
      </c>
      <c r="BT1231">
        <v>0</v>
      </c>
      <c r="BU1231">
        <v>0</v>
      </c>
      <c r="CE1231" t="str">
        <f t="shared" si="427"/>
        <v>19:28:51.382</v>
      </c>
      <c r="CF1231">
        <v>382073609</v>
      </c>
      <c r="CS1231">
        <v>3</v>
      </c>
      <c r="CT1231">
        <v>2</v>
      </c>
      <c r="CU1231">
        <v>0</v>
      </c>
      <c r="CV1231">
        <v>2</v>
      </c>
      <c r="CW1231">
        <v>1</v>
      </c>
      <c r="CX1231">
        <v>5</v>
      </c>
      <c r="CY1231">
        <v>7</v>
      </c>
      <c r="CZ1231" t="s">
        <v>131</v>
      </c>
      <c r="DA1231">
        <v>300</v>
      </c>
      <c r="DB1231">
        <v>0</v>
      </c>
      <c r="DC1231" t="s">
        <v>176</v>
      </c>
      <c r="DD1231" t="s">
        <v>177</v>
      </c>
      <c r="DG1231">
        <v>5381762</v>
      </c>
      <c r="DI1231">
        <v>1</v>
      </c>
      <c r="DJ1231">
        <v>0</v>
      </c>
      <c r="DK1231">
        <v>1</v>
      </c>
      <c r="DL1231">
        <v>0</v>
      </c>
      <c r="DM1231">
        <v>0</v>
      </c>
      <c r="DN1231">
        <v>1</v>
      </c>
      <c r="DO1231">
        <v>0</v>
      </c>
      <c r="DP1231">
        <v>0</v>
      </c>
      <c r="DQ1231">
        <v>0</v>
      </c>
      <c r="DR1231">
        <v>0</v>
      </c>
      <c r="DS1231">
        <v>0</v>
      </c>
    </row>
    <row r="1232" spans="1:123" x14ac:dyDescent="0.3">
      <c r="A1232" t="str">
        <f>"10/04/2022 19:28:52.447"</f>
        <v>10/04/2022 19:28:52.447</v>
      </c>
      <c r="C1232" t="str">
        <f t="shared" si="416"/>
        <v>FFDDD3C0</v>
      </c>
      <c r="D1232" t="s">
        <v>123</v>
      </c>
      <c r="E1232">
        <v>7</v>
      </c>
      <c r="F1232">
        <v>2007</v>
      </c>
      <c r="G1232" t="s">
        <v>124</v>
      </c>
      <c r="J1232" t="s">
        <v>125</v>
      </c>
      <c r="K1232">
        <v>0</v>
      </c>
      <c r="L1232">
        <v>3</v>
      </c>
      <c r="M1232">
        <v>0</v>
      </c>
      <c r="N1232">
        <v>2</v>
      </c>
      <c r="O1232">
        <v>0</v>
      </c>
      <c r="P1232">
        <v>1</v>
      </c>
      <c r="Q1232">
        <v>0</v>
      </c>
      <c r="S1232" t="str">
        <f t="shared" ref="S1232:T1238" si="428">"19:28:52.000"</f>
        <v>19:28:52.000</v>
      </c>
      <c r="T1232" t="str">
        <f t="shared" si="428"/>
        <v>19:28:52.000</v>
      </c>
      <c r="U1232" t="str">
        <f t="shared" si="423"/>
        <v>AC3944</v>
      </c>
      <c r="V1232">
        <v>0</v>
      </c>
      <c r="W1232">
        <v>0</v>
      </c>
      <c r="X1232">
        <v>2</v>
      </c>
      <c r="Y1232">
        <v>0</v>
      </c>
      <c r="AA1232">
        <v>1</v>
      </c>
      <c r="AB1232">
        <v>8</v>
      </c>
      <c r="AC1232">
        <v>3</v>
      </c>
      <c r="AD1232">
        <v>0</v>
      </c>
      <c r="AE1232">
        <v>9</v>
      </c>
      <c r="AF1232" t="s">
        <v>138</v>
      </c>
      <c r="AG1232">
        <v>0</v>
      </c>
      <c r="AH1232">
        <v>3</v>
      </c>
      <c r="AI1232">
        <v>1</v>
      </c>
      <c r="AJ1232">
        <v>0</v>
      </c>
      <c r="AK1232" t="s">
        <v>487</v>
      </c>
      <c r="AL1232">
        <v>32.806097999999999</v>
      </c>
      <c r="AM1232" t="s">
        <v>488</v>
      </c>
      <c r="AN1232">
        <v>-116.906869</v>
      </c>
      <c r="AO1232">
        <v>25</v>
      </c>
      <c r="AP1232">
        <v>2300</v>
      </c>
      <c r="AQ1232" t="s">
        <v>129</v>
      </c>
      <c r="AR1232">
        <v>117</v>
      </c>
      <c r="AS1232">
        <v>-3</v>
      </c>
      <c r="AT1232">
        <v>960</v>
      </c>
      <c r="BB1232">
        <v>1200</v>
      </c>
      <c r="BC1232">
        <v>1</v>
      </c>
      <c r="BD1232" t="str">
        <f t="shared" si="424"/>
        <v xml:space="preserve">N887QR  </v>
      </c>
      <c r="BE1232">
        <v>1</v>
      </c>
      <c r="BJ1232">
        <v>2025</v>
      </c>
      <c r="BK1232">
        <v>-275</v>
      </c>
      <c r="BL1232" t="s">
        <v>163</v>
      </c>
      <c r="BM1232">
        <v>1</v>
      </c>
      <c r="BN1232">
        <v>1</v>
      </c>
      <c r="BO1232">
        <v>1</v>
      </c>
      <c r="BP1232">
        <v>0</v>
      </c>
      <c r="BS1232">
        <v>0.04</v>
      </c>
      <c r="BT1232">
        <v>0</v>
      </c>
      <c r="BU1232">
        <v>0</v>
      </c>
      <c r="CE1232" t="str">
        <f t="shared" ref="CE1232:CE1238" si="429">"19:28:52.262"</f>
        <v>19:28:52.262</v>
      </c>
      <c r="CF1232">
        <v>262326454</v>
      </c>
      <c r="CS1232">
        <v>3</v>
      </c>
      <c r="CT1232">
        <v>2</v>
      </c>
      <c r="CU1232">
        <v>0</v>
      </c>
      <c r="CV1232">
        <v>2</v>
      </c>
      <c r="CW1232">
        <v>0</v>
      </c>
      <c r="CX1232">
        <v>5</v>
      </c>
      <c r="CY1232">
        <v>7</v>
      </c>
      <c r="CZ1232" t="s">
        <v>131</v>
      </c>
      <c r="DA1232">
        <v>300</v>
      </c>
      <c r="DB1232">
        <v>0</v>
      </c>
      <c r="DC1232" t="s">
        <v>176</v>
      </c>
      <c r="DD1232" t="s">
        <v>177</v>
      </c>
      <c r="DG1232">
        <v>5381895</v>
      </c>
      <c r="DI1232">
        <v>1</v>
      </c>
      <c r="DJ1232">
        <v>0</v>
      </c>
      <c r="DK1232">
        <v>0</v>
      </c>
      <c r="DL1232">
        <v>0</v>
      </c>
      <c r="DM1232">
        <v>0</v>
      </c>
      <c r="DN1232">
        <v>1</v>
      </c>
      <c r="DO1232">
        <v>0</v>
      </c>
      <c r="DP1232">
        <v>0</v>
      </c>
      <c r="DQ1232">
        <v>0</v>
      </c>
      <c r="DR1232">
        <v>0</v>
      </c>
      <c r="DS1232">
        <v>0</v>
      </c>
    </row>
    <row r="1233" spans="1:123" x14ac:dyDescent="0.3">
      <c r="A1233" t="str">
        <f>"10/04/2022 19:28:52.447"</f>
        <v>10/04/2022 19:28:52.447</v>
      </c>
      <c r="C1233" t="str">
        <f t="shared" si="416"/>
        <v>FFDDD3C0</v>
      </c>
      <c r="D1233" t="s">
        <v>134</v>
      </c>
      <c r="E1233">
        <v>15</v>
      </c>
      <c r="J1233" t="s">
        <v>135</v>
      </c>
      <c r="K1233">
        <v>0</v>
      </c>
      <c r="L1233">
        <v>3</v>
      </c>
      <c r="M1233">
        <v>0</v>
      </c>
      <c r="N1233">
        <v>2</v>
      </c>
      <c r="O1233">
        <v>0</v>
      </c>
      <c r="P1233">
        <v>1</v>
      </c>
      <c r="Q1233">
        <v>0</v>
      </c>
      <c r="S1233" t="str">
        <f t="shared" si="428"/>
        <v>19:28:52.000</v>
      </c>
      <c r="T1233" t="str">
        <f t="shared" si="428"/>
        <v>19:28:52.000</v>
      </c>
      <c r="U1233" t="str">
        <f t="shared" si="423"/>
        <v>AC3944</v>
      </c>
      <c r="V1233">
        <v>0</v>
      </c>
      <c r="W1233">
        <v>0</v>
      </c>
      <c r="X1233">
        <v>2</v>
      </c>
      <c r="Y1233">
        <v>0</v>
      </c>
      <c r="AA1233">
        <v>1</v>
      </c>
      <c r="AB1233">
        <v>8</v>
      </c>
      <c r="AC1233">
        <v>3</v>
      </c>
      <c r="AD1233">
        <v>0</v>
      </c>
      <c r="AE1233">
        <v>9</v>
      </c>
      <c r="AF1233" t="s">
        <v>138</v>
      </c>
      <c r="AG1233">
        <v>0</v>
      </c>
      <c r="AH1233">
        <v>3</v>
      </c>
      <c r="AI1233">
        <v>1</v>
      </c>
      <c r="AJ1233">
        <v>0</v>
      </c>
      <c r="AK1233" t="s">
        <v>487</v>
      </c>
      <c r="AL1233">
        <v>32.806097999999999</v>
      </c>
      <c r="AM1233" t="s">
        <v>488</v>
      </c>
      <c r="AN1233">
        <v>-116.906869</v>
      </c>
      <c r="AO1233">
        <v>25</v>
      </c>
      <c r="AP1233">
        <v>2300</v>
      </c>
      <c r="AQ1233" t="s">
        <v>129</v>
      </c>
      <c r="AR1233">
        <v>117</v>
      </c>
      <c r="AS1233">
        <v>-3</v>
      </c>
      <c r="AT1233">
        <v>960</v>
      </c>
      <c r="BB1233">
        <v>1200</v>
      </c>
      <c r="BC1233">
        <v>1</v>
      </c>
      <c r="BD1233" t="str">
        <f t="shared" si="424"/>
        <v xml:space="preserve">N887QR  </v>
      </c>
      <c r="BE1233">
        <v>1</v>
      </c>
      <c r="BJ1233">
        <v>2025</v>
      </c>
      <c r="BK1233">
        <v>-275</v>
      </c>
      <c r="BL1233" t="s">
        <v>163</v>
      </c>
      <c r="BM1233">
        <v>1</v>
      </c>
      <c r="BN1233">
        <v>1</v>
      </c>
      <c r="BO1233">
        <v>1</v>
      </c>
      <c r="BP1233">
        <v>0</v>
      </c>
      <c r="BS1233">
        <v>0.04</v>
      </c>
      <c r="BT1233">
        <v>0</v>
      </c>
      <c r="BU1233">
        <v>0</v>
      </c>
      <c r="CE1233" t="str">
        <f t="shared" si="429"/>
        <v>19:28:52.262</v>
      </c>
      <c r="CF1233">
        <v>262326454</v>
      </c>
      <c r="CS1233">
        <v>3</v>
      </c>
      <c r="CT1233">
        <v>2</v>
      </c>
      <c r="CU1233">
        <v>0</v>
      </c>
      <c r="CV1233">
        <v>2</v>
      </c>
      <c r="CW1233">
        <v>0</v>
      </c>
      <c r="CX1233">
        <v>5</v>
      </c>
      <c r="CY1233">
        <v>7</v>
      </c>
      <c r="CZ1233" t="s">
        <v>131</v>
      </c>
      <c r="DA1233">
        <v>300</v>
      </c>
      <c r="DB1233">
        <v>0</v>
      </c>
      <c r="DC1233" t="s">
        <v>176</v>
      </c>
      <c r="DD1233" t="s">
        <v>177</v>
      </c>
      <c r="DG1233">
        <v>5381895</v>
      </c>
      <c r="DI1233">
        <v>1</v>
      </c>
      <c r="DJ1233">
        <v>0</v>
      </c>
      <c r="DK1233">
        <v>1</v>
      </c>
      <c r="DL1233">
        <v>0</v>
      </c>
      <c r="DM1233">
        <v>0</v>
      </c>
      <c r="DN1233">
        <v>1</v>
      </c>
      <c r="DO1233">
        <v>0</v>
      </c>
      <c r="DP1233">
        <v>0</v>
      </c>
      <c r="DQ1233">
        <v>0</v>
      </c>
      <c r="DR1233">
        <v>0</v>
      </c>
      <c r="DS1233">
        <v>0</v>
      </c>
    </row>
    <row r="1234" spans="1:123" x14ac:dyDescent="0.3">
      <c r="A1234" t="str">
        <f>"10/04/2022 19:28:52.447"</f>
        <v>10/04/2022 19:28:52.447</v>
      </c>
      <c r="C1234" t="str">
        <f t="shared" si="416"/>
        <v>FFDDD3C0</v>
      </c>
      <c r="D1234" t="s">
        <v>141</v>
      </c>
      <c r="E1234">
        <v>4</v>
      </c>
      <c r="H1234">
        <v>4</v>
      </c>
      <c r="I1234" t="s">
        <v>142</v>
      </c>
      <c r="J1234" t="s">
        <v>138</v>
      </c>
      <c r="K1234">
        <v>0</v>
      </c>
      <c r="L1234">
        <v>3</v>
      </c>
      <c r="M1234">
        <v>0</v>
      </c>
      <c r="N1234">
        <v>2</v>
      </c>
      <c r="O1234">
        <v>0</v>
      </c>
      <c r="P1234">
        <v>1</v>
      </c>
      <c r="Q1234">
        <v>0</v>
      </c>
      <c r="S1234" t="str">
        <f t="shared" si="428"/>
        <v>19:28:52.000</v>
      </c>
      <c r="T1234" t="str">
        <f t="shared" si="428"/>
        <v>19:28:52.000</v>
      </c>
      <c r="U1234" t="str">
        <f t="shared" si="423"/>
        <v>AC3944</v>
      </c>
      <c r="V1234">
        <v>0</v>
      </c>
      <c r="W1234">
        <v>0</v>
      </c>
      <c r="X1234">
        <v>2</v>
      </c>
      <c r="Y1234">
        <v>0</v>
      </c>
      <c r="AA1234">
        <v>1</v>
      </c>
      <c r="AB1234">
        <v>8</v>
      </c>
      <c r="AC1234">
        <v>3</v>
      </c>
      <c r="AD1234">
        <v>0</v>
      </c>
      <c r="AE1234">
        <v>9</v>
      </c>
      <c r="AF1234" t="s">
        <v>138</v>
      </c>
      <c r="AG1234">
        <v>0</v>
      </c>
      <c r="AH1234">
        <v>3</v>
      </c>
      <c r="AI1234">
        <v>1</v>
      </c>
      <c r="AJ1234">
        <v>0</v>
      </c>
      <c r="AK1234" t="s">
        <v>487</v>
      </c>
      <c r="AL1234">
        <v>32.806097999999999</v>
      </c>
      <c r="AM1234" t="s">
        <v>488</v>
      </c>
      <c r="AN1234">
        <v>-116.906869</v>
      </c>
      <c r="AO1234">
        <v>25</v>
      </c>
      <c r="AP1234">
        <v>2300</v>
      </c>
      <c r="AQ1234" t="s">
        <v>129</v>
      </c>
      <c r="AR1234">
        <v>117</v>
      </c>
      <c r="AS1234">
        <v>-3</v>
      </c>
      <c r="AT1234">
        <v>960</v>
      </c>
      <c r="BB1234">
        <v>1200</v>
      </c>
      <c r="BC1234">
        <v>1</v>
      </c>
      <c r="BD1234" t="str">
        <f t="shared" si="424"/>
        <v xml:space="preserve">N887QR  </v>
      </c>
      <c r="BE1234">
        <v>1</v>
      </c>
      <c r="BJ1234">
        <v>2025</v>
      </c>
      <c r="BK1234">
        <v>-275</v>
      </c>
      <c r="BL1234" t="s">
        <v>163</v>
      </c>
      <c r="BM1234">
        <v>1</v>
      </c>
      <c r="BN1234">
        <v>1</v>
      </c>
      <c r="BO1234">
        <v>1</v>
      </c>
      <c r="BP1234">
        <v>0</v>
      </c>
      <c r="BS1234">
        <v>0.04</v>
      </c>
      <c r="BT1234">
        <v>0</v>
      </c>
      <c r="BU1234">
        <v>0</v>
      </c>
      <c r="CE1234" t="str">
        <f t="shared" si="429"/>
        <v>19:28:52.262</v>
      </c>
      <c r="CF1234">
        <v>262326454</v>
      </c>
      <c r="CS1234">
        <v>3</v>
      </c>
      <c r="CT1234">
        <v>2</v>
      </c>
      <c r="CU1234">
        <v>0</v>
      </c>
      <c r="CV1234">
        <v>2</v>
      </c>
      <c r="CW1234">
        <v>0</v>
      </c>
      <c r="CX1234">
        <v>5</v>
      </c>
      <c r="CY1234">
        <v>7</v>
      </c>
      <c r="CZ1234" t="s">
        <v>131</v>
      </c>
      <c r="DA1234">
        <v>300</v>
      </c>
      <c r="DB1234">
        <v>0</v>
      </c>
      <c r="DC1234" t="s">
        <v>176</v>
      </c>
      <c r="DD1234" t="s">
        <v>177</v>
      </c>
      <c r="DG1234">
        <v>5381895</v>
      </c>
      <c r="DI1234">
        <v>1</v>
      </c>
      <c r="DJ1234">
        <v>0</v>
      </c>
      <c r="DK1234">
        <v>1</v>
      </c>
      <c r="DL1234">
        <v>0</v>
      </c>
      <c r="DM1234">
        <v>0</v>
      </c>
      <c r="DN1234">
        <v>1</v>
      </c>
      <c r="DO1234">
        <v>0</v>
      </c>
      <c r="DP1234">
        <v>0</v>
      </c>
      <c r="DQ1234">
        <v>0</v>
      </c>
      <c r="DR1234">
        <v>0</v>
      </c>
      <c r="DS1234">
        <v>0</v>
      </c>
    </row>
    <row r="1235" spans="1:123" x14ac:dyDescent="0.3">
      <c r="A1235" t="str">
        <f>"10/04/2022 19:28:52.509"</f>
        <v>10/04/2022 19:28:52.509</v>
      </c>
      <c r="C1235" t="str">
        <f t="shared" si="416"/>
        <v>FFDDD3C0</v>
      </c>
      <c r="D1235" t="s">
        <v>136</v>
      </c>
      <c r="E1235">
        <v>8</v>
      </c>
      <c r="H1235">
        <v>225</v>
      </c>
      <c r="I1235" t="s">
        <v>137</v>
      </c>
      <c r="J1235" t="s">
        <v>138</v>
      </c>
      <c r="K1235">
        <v>0</v>
      </c>
      <c r="L1235">
        <v>3</v>
      </c>
      <c r="M1235">
        <v>0</v>
      </c>
      <c r="N1235">
        <v>2</v>
      </c>
      <c r="O1235">
        <v>0</v>
      </c>
      <c r="P1235">
        <v>1</v>
      </c>
      <c r="Q1235">
        <v>0</v>
      </c>
      <c r="S1235" t="str">
        <f t="shared" si="428"/>
        <v>19:28:52.000</v>
      </c>
      <c r="T1235" t="str">
        <f t="shared" si="428"/>
        <v>19:28:52.000</v>
      </c>
      <c r="U1235" t="str">
        <f t="shared" si="423"/>
        <v>AC3944</v>
      </c>
      <c r="V1235">
        <v>0</v>
      </c>
      <c r="W1235">
        <v>0</v>
      </c>
      <c r="X1235">
        <v>2</v>
      </c>
      <c r="Y1235">
        <v>0</v>
      </c>
      <c r="AA1235">
        <v>1</v>
      </c>
      <c r="AB1235">
        <v>8</v>
      </c>
      <c r="AC1235">
        <v>3</v>
      </c>
      <c r="AD1235">
        <v>0</v>
      </c>
      <c r="AE1235">
        <v>9</v>
      </c>
      <c r="AF1235" t="s">
        <v>138</v>
      </c>
      <c r="AG1235">
        <v>0</v>
      </c>
      <c r="AH1235">
        <v>3</v>
      </c>
      <c r="AI1235">
        <v>1</v>
      </c>
      <c r="AJ1235">
        <v>0</v>
      </c>
      <c r="AK1235" t="s">
        <v>487</v>
      </c>
      <c r="AL1235">
        <v>32.806097999999999</v>
      </c>
      <c r="AM1235" t="s">
        <v>488</v>
      </c>
      <c r="AN1235">
        <v>-116.906869</v>
      </c>
      <c r="AO1235">
        <v>25</v>
      </c>
      <c r="AP1235">
        <v>2300</v>
      </c>
      <c r="AQ1235" t="s">
        <v>129</v>
      </c>
      <c r="AR1235">
        <v>117</v>
      </c>
      <c r="AS1235">
        <v>-3</v>
      </c>
      <c r="AT1235">
        <v>960</v>
      </c>
      <c r="BB1235">
        <v>1200</v>
      </c>
      <c r="BC1235">
        <v>1</v>
      </c>
      <c r="BD1235" t="str">
        <f t="shared" si="424"/>
        <v xml:space="preserve">N887QR  </v>
      </c>
      <c r="BE1235">
        <v>1</v>
      </c>
      <c r="BJ1235">
        <v>2025</v>
      </c>
      <c r="BK1235">
        <v>-275</v>
      </c>
      <c r="BL1235" t="s">
        <v>163</v>
      </c>
      <c r="BM1235">
        <v>1</v>
      </c>
      <c r="BN1235">
        <v>1</v>
      </c>
      <c r="BO1235">
        <v>1</v>
      </c>
      <c r="BP1235">
        <v>0</v>
      </c>
      <c r="BS1235">
        <v>0.04</v>
      </c>
      <c r="BT1235">
        <v>0</v>
      </c>
      <c r="BU1235">
        <v>0</v>
      </c>
      <c r="CE1235" t="str">
        <f t="shared" si="429"/>
        <v>19:28:52.262</v>
      </c>
      <c r="CF1235">
        <v>262326454</v>
      </c>
      <c r="CS1235">
        <v>3</v>
      </c>
      <c r="CT1235">
        <v>2</v>
      </c>
      <c r="CU1235">
        <v>0</v>
      </c>
      <c r="CV1235">
        <v>2</v>
      </c>
      <c r="CW1235">
        <v>0</v>
      </c>
      <c r="CX1235">
        <v>5</v>
      </c>
      <c r="CY1235">
        <v>7</v>
      </c>
      <c r="CZ1235" t="s">
        <v>131</v>
      </c>
      <c r="DA1235">
        <v>300</v>
      </c>
      <c r="DB1235">
        <v>0</v>
      </c>
      <c r="DC1235" t="s">
        <v>176</v>
      </c>
      <c r="DD1235" t="s">
        <v>177</v>
      </c>
      <c r="DG1235">
        <v>5381895</v>
      </c>
      <c r="DI1235">
        <v>1</v>
      </c>
      <c r="DJ1235">
        <v>0</v>
      </c>
      <c r="DK1235">
        <v>1</v>
      </c>
      <c r="DL1235">
        <v>0</v>
      </c>
      <c r="DM1235">
        <v>0</v>
      </c>
      <c r="DN1235">
        <v>1</v>
      </c>
      <c r="DO1235">
        <v>0</v>
      </c>
      <c r="DP1235">
        <v>0</v>
      </c>
      <c r="DQ1235">
        <v>0</v>
      </c>
      <c r="DR1235">
        <v>0</v>
      </c>
      <c r="DS1235">
        <v>0</v>
      </c>
    </row>
    <row r="1236" spans="1:123" x14ac:dyDescent="0.3">
      <c r="A1236" t="str">
        <f>"10/04/2022 19:28:52.509"</f>
        <v>10/04/2022 19:28:52.509</v>
      </c>
      <c r="C1236" t="str">
        <f t="shared" si="416"/>
        <v>FFDDD3C0</v>
      </c>
      <c r="D1236" t="s">
        <v>147</v>
      </c>
      <c r="E1236">
        <v>3</v>
      </c>
      <c r="H1236">
        <v>166</v>
      </c>
      <c r="I1236" t="s">
        <v>144</v>
      </c>
      <c r="J1236" t="s">
        <v>148</v>
      </c>
      <c r="K1236">
        <v>0</v>
      </c>
      <c r="L1236">
        <v>3</v>
      </c>
      <c r="M1236">
        <v>0</v>
      </c>
      <c r="N1236">
        <v>2</v>
      </c>
      <c r="O1236">
        <v>0</v>
      </c>
      <c r="P1236">
        <v>1</v>
      </c>
      <c r="Q1236">
        <v>0</v>
      </c>
      <c r="S1236" t="str">
        <f t="shared" si="428"/>
        <v>19:28:52.000</v>
      </c>
      <c r="T1236" t="str">
        <f t="shared" si="428"/>
        <v>19:28:52.000</v>
      </c>
      <c r="U1236" t="str">
        <f t="shared" si="423"/>
        <v>AC3944</v>
      </c>
      <c r="V1236">
        <v>0</v>
      </c>
      <c r="W1236">
        <v>0</v>
      </c>
      <c r="X1236">
        <v>2</v>
      </c>
      <c r="Y1236">
        <v>0</v>
      </c>
      <c r="AA1236">
        <v>1</v>
      </c>
      <c r="AB1236">
        <v>8</v>
      </c>
      <c r="AC1236">
        <v>3</v>
      </c>
      <c r="AD1236">
        <v>0</v>
      </c>
      <c r="AE1236">
        <v>9</v>
      </c>
      <c r="AF1236" t="s">
        <v>138</v>
      </c>
      <c r="AG1236">
        <v>0</v>
      </c>
      <c r="AH1236">
        <v>3</v>
      </c>
      <c r="AI1236">
        <v>1</v>
      </c>
      <c r="AJ1236">
        <v>0</v>
      </c>
      <c r="AK1236" t="s">
        <v>487</v>
      </c>
      <c r="AL1236">
        <v>32.806097999999999</v>
      </c>
      <c r="AM1236" t="s">
        <v>488</v>
      </c>
      <c r="AN1236">
        <v>-116.906869</v>
      </c>
      <c r="AO1236">
        <v>25</v>
      </c>
      <c r="AP1236">
        <v>2300</v>
      </c>
      <c r="AQ1236" t="s">
        <v>129</v>
      </c>
      <c r="AR1236">
        <v>117</v>
      </c>
      <c r="AS1236">
        <v>-3</v>
      </c>
      <c r="AT1236">
        <v>960</v>
      </c>
      <c r="BB1236">
        <v>1200</v>
      </c>
      <c r="BC1236">
        <v>1</v>
      </c>
      <c r="BD1236" t="str">
        <f t="shared" si="424"/>
        <v xml:space="preserve">N887QR  </v>
      </c>
      <c r="BE1236">
        <v>1</v>
      </c>
      <c r="BJ1236">
        <v>2025</v>
      </c>
      <c r="BK1236">
        <v>-275</v>
      </c>
      <c r="BL1236" t="s">
        <v>163</v>
      </c>
      <c r="BM1236">
        <v>1</v>
      </c>
      <c r="BN1236">
        <v>1</v>
      </c>
      <c r="BO1236">
        <v>1</v>
      </c>
      <c r="BP1236">
        <v>0</v>
      </c>
      <c r="BS1236">
        <v>0.04</v>
      </c>
      <c r="BT1236">
        <v>0</v>
      </c>
      <c r="BU1236">
        <v>0</v>
      </c>
      <c r="CE1236" t="str">
        <f t="shared" si="429"/>
        <v>19:28:52.262</v>
      </c>
      <c r="CF1236">
        <v>262326454</v>
      </c>
      <c r="CS1236">
        <v>3</v>
      </c>
      <c r="CT1236">
        <v>2</v>
      </c>
      <c r="CU1236">
        <v>0</v>
      </c>
      <c r="CV1236">
        <v>2</v>
      </c>
      <c r="CW1236">
        <v>0</v>
      </c>
      <c r="CX1236">
        <v>5</v>
      </c>
      <c r="CY1236">
        <v>7</v>
      </c>
      <c r="CZ1236" t="s">
        <v>131</v>
      </c>
      <c r="DA1236">
        <v>300</v>
      </c>
      <c r="DB1236">
        <v>0</v>
      </c>
      <c r="DC1236" t="s">
        <v>176</v>
      </c>
      <c r="DD1236" t="s">
        <v>177</v>
      </c>
      <c r="DG1236">
        <v>5381895</v>
      </c>
      <c r="DI1236">
        <v>1</v>
      </c>
      <c r="DJ1236">
        <v>0</v>
      </c>
      <c r="DK1236">
        <v>1</v>
      </c>
      <c r="DL1236">
        <v>0</v>
      </c>
      <c r="DM1236">
        <v>0</v>
      </c>
      <c r="DN1236">
        <v>1</v>
      </c>
      <c r="DO1236">
        <v>0</v>
      </c>
      <c r="DP1236">
        <v>0</v>
      </c>
      <c r="DQ1236">
        <v>0</v>
      </c>
      <c r="DR1236">
        <v>0</v>
      </c>
      <c r="DS1236">
        <v>0</v>
      </c>
    </row>
    <row r="1237" spans="1:123" x14ac:dyDescent="0.3">
      <c r="A1237" t="str">
        <f>"10/04/2022 19:28:52.509"</f>
        <v>10/04/2022 19:28:52.509</v>
      </c>
      <c r="C1237" t="str">
        <f t="shared" si="416"/>
        <v>FFDDD3C0</v>
      </c>
      <c r="D1237" t="s">
        <v>143</v>
      </c>
      <c r="E1237">
        <v>20</v>
      </c>
      <c r="F1237">
        <v>1020</v>
      </c>
      <c r="G1237" t="s">
        <v>144</v>
      </c>
      <c r="J1237" t="s">
        <v>145</v>
      </c>
      <c r="K1237">
        <v>0</v>
      </c>
      <c r="L1237">
        <v>3</v>
      </c>
      <c r="M1237">
        <v>0</v>
      </c>
      <c r="N1237">
        <v>2</v>
      </c>
      <c r="O1237">
        <v>0</v>
      </c>
      <c r="P1237">
        <v>1</v>
      </c>
      <c r="Q1237">
        <v>0</v>
      </c>
      <c r="S1237" t="str">
        <f t="shared" si="428"/>
        <v>19:28:52.000</v>
      </c>
      <c r="T1237" t="str">
        <f t="shared" si="428"/>
        <v>19:28:52.000</v>
      </c>
      <c r="U1237" t="str">
        <f t="shared" si="423"/>
        <v>AC3944</v>
      </c>
      <c r="V1237">
        <v>0</v>
      </c>
      <c r="W1237">
        <v>0</v>
      </c>
      <c r="X1237">
        <v>2</v>
      </c>
      <c r="Y1237">
        <v>0</v>
      </c>
      <c r="AA1237">
        <v>1</v>
      </c>
      <c r="AB1237">
        <v>8</v>
      </c>
      <c r="AC1237">
        <v>3</v>
      </c>
      <c r="AD1237">
        <v>0</v>
      </c>
      <c r="AE1237">
        <v>9</v>
      </c>
      <c r="AF1237" t="s">
        <v>138</v>
      </c>
      <c r="AG1237">
        <v>0</v>
      </c>
      <c r="AH1237">
        <v>3</v>
      </c>
      <c r="AI1237">
        <v>1</v>
      </c>
      <c r="AJ1237">
        <v>0</v>
      </c>
      <c r="AK1237" t="s">
        <v>487</v>
      </c>
      <c r="AL1237">
        <v>32.806097999999999</v>
      </c>
      <c r="AM1237" t="s">
        <v>488</v>
      </c>
      <c r="AN1237">
        <v>-116.906869</v>
      </c>
      <c r="AO1237">
        <v>25</v>
      </c>
      <c r="AP1237">
        <v>2300</v>
      </c>
      <c r="AQ1237" t="s">
        <v>129</v>
      </c>
      <c r="AR1237">
        <v>117</v>
      </c>
      <c r="AS1237">
        <v>-3</v>
      </c>
      <c r="AT1237">
        <v>960</v>
      </c>
      <c r="BB1237">
        <v>1200</v>
      </c>
      <c r="BC1237">
        <v>1</v>
      </c>
      <c r="BD1237" t="str">
        <f t="shared" si="424"/>
        <v xml:space="preserve">N887QR  </v>
      </c>
      <c r="BE1237">
        <v>1</v>
      </c>
      <c r="BJ1237">
        <v>2025</v>
      </c>
      <c r="BK1237">
        <v>-275</v>
      </c>
      <c r="BL1237" t="s">
        <v>163</v>
      </c>
      <c r="BM1237">
        <v>1</v>
      </c>
      <c r="BN1237">
        <v>1</v>
      </c>
      <c r="BO1237">
        <v>1</v>
      </c>
      <c r="BP1237">
        <v>0</v>
      </c>
      <c r="BS1237">
        <v>0.04</v>
      </c>
      <c r="BT1237">
        <v>0</v>
      </c>
      <c r="BU1237">
        <v>0</v>
      </c>
      <c r="CE1237" t="str">
        <f t="shared" si="429"/>
        <v>19:28:52.262</v>
      </c>
      <c r="CF1237">
        <v>262326454</v>
      </c>
      <c r="CS1237">
        <v>3</v>
      </c>
      <c r="CT1237">
        <v>2</v>
      </c>
      <c r="CU1237">
        <v>0</v>
      </c>
      <c r="CV1237">
        <v>2</v>
      </c>
      <c r="CW1237">
        <v>0</v>
      </c>
      <c r="CX1237">
        <v>5</v>
      </c>
      <c r="CY1237">
        <v>7</v>
      </c>
      <c r="CZ1237" t="s">
        <v>131</v>
      </c>
      <c r="DA1237">
        <v>300</v>
      </c>
      <c r="DB1237">
        <v>0</v>
      </c>
      <c r="DC1237" t="s">
        <v>176</v>
      </c>
      <c r="DD1237" t="s">
        <v>177</v>
      </c>
      <c r="DG1237">
        <v>5381895</v>
      </c>
      <c r="DI1237">
        <v>1</v>
      </c>
      <c r="DJ1237">
        <v>0</v>
      </c>
      <c r="DK1237">
        <v>1</v>
      </c>
      <c r="DL1237">
        <v>0</v>
      </c>
      <c r="DM1237">
        <v>0</v>
      </c>
      <c r="DN1237">
        <v>1</v>
      </c>
      <c r="DO1237">
        <v>0</v>
      </c>
      <c r="DP1237">
        <v>0</v>
      </c>
      <c r="DQ1237">
        <v>0</v>
      </c>
      <c r="DR1237">
        <v>0</v>
      </c>
      <c r="DS1237">
        <v>0</v>
      </c>
    </row>
    <row r="1238" spans="1:123" x14ac:dyDescent="0.3">
      <c r="A1238" t="str">
        <f>"10/04/2022 19:28:52.509"</f>
        <v>10/04/2022 19:28:52.509</v>
      </c>
      <c r="C1238" t="str">
        <f t="shared" si="416"/>
        <v>FFDDD3C0</v>
      </c>
      <c r="D1238" t="s">
        <v>141</v>
      </c>
      <c r="E1238">
        <v>3</v>
      </c>
      <c r="H1238">
        <v>3</v>
      </c>
      <c r="I1238" t="s">
        <v>146</v>
      </c>
      <c r="J1238" t="s">
        <v>138</v>
      </c>
      <c r="K1238">
        <v>0</v>
      </c>
      <c r="L1238">
        <v>3</v>
      </c>
      <c r="M1238">
        <v>0</v>
      </c>
      <c r="N1238">
        <v>2</v>
      </c>
      <c r="O1238">
        <v>0</v>
      </c>
      <c r="P1238">
        <v>1</v>
      </c>
      <c r="Q1238">
        <v>0</v>
      </c>
      <c r="S1238" t="str">
        <f t="shared" si="428"/>
        <v>19:28:52.000</v>
      </c>
      <c r="T1238" t="str">
        <f t="shared" si="428"/>
        <v>19:28:52.000</v>
      </c>
      <c r="U1238" t="str">
        <f t="shared" si="423"/>
        <v>AC3944</v>
      </c>
      <c r="V1238">
        <v>0</v>
      </c>
      <c r="W1238">
        <v>0</v>
      </c>
      <c r="X1238">
        <v>2</v>
      </c>
      <c r="Y1238">
        <v>0</v>
      </c>
      <c r="AA1238">
        <v>1</v>
      </c>
      <c r="AB1238">
        <v>8</v>
      </c>
      <c r="AC1238">
        <v>3</v>
      </c>
      <c r="AD1238">
        <v>0</v>
      </c>
      <c r="AE1238">
        <v>9</v>
      </c>
      <c r="AF1238" t="s">
        <v>138</v>
      </c>
      <c r="AG1238">
        <v>0</v>
      </c>
      <c r="AH1238">
        <v>3</v>
      </c>
      <c r="AI1238">
        <v>1</v>
      </c>
      <c r="AJ1238">
        <v>0</v>
      </c>
      <c r="AK1238" t="s">
        <v>487</v>
      </c>
      <c r="AL1238">
        <v>32.806097999999999</v>
      </c>
      <c r="AM1238" t="s">
        <v>488</v>
      </c>
      <c r="AN1238">
        <v>-116.906869</v>
      </c>
      <c r="AO1238">
        <v>25</v>
      </c>
      <c r="AP1238">
        <v>2300</v>
      </c>
      <c r="AQ1238" t="s">
        <v>129</v>
      </c>
      <c r="AR1238">
        <v>117</v>
      </c>
      <c r="AS1238">
        <v>-3</v>
      </c>
      <c r="AT1238">
        <v>960</v>
      </c>
      <c r="BB1238">
        <v>1200</v>
      </c>
      <c r="BC1238">
        <v>1</v>
      </c>
      <c r="BD1238" t="str">
        <f t="shared" si="424"/>
        <v xml:space="preserve">N887QR  </v>
      </c>
      <c r="BE1238">
        <v>1</v>
      </c>
      <c r="BJ1238">
        <v>2025</v>
      </c>
      <c r="BK1238">
        <v>-275</v>
      </c>
      <c r="BL1238" t="s">
        <v>163</v>
      </c>
      <c r="BM1238">
        <v>1</v>
      </c>
      <c r="BN1238">
        <v>1</v>
      </c>
      <c r="BO1238">
        <v>1</v>
      </c>
      <c r="BP1238">
        <v>0</v>
      </c>
      <c r="BS1238">
        <v>0.04</v>
      </c>
      <c r="BT1238">
        <v>0</v>
      </c>
      <c r="BU1238">
        <v>0</v>
      </c>
      <c r="CE1238" t="str">
        <f t="shared" si="429"/>
        <v>19:28:52.262</v>
      </c>
      <c r="CF1238">
        <v>262326454</v>
      </c>
      <c r="CS1238">
        <v>3</v>
      </c>
      <c r="CT1238">
        <v>2</v>
      </c>
      <c r="CU1238">
        <v>0</v>
      </c>
      <c r="CV1238">
        <v>2</v>
      </c>
      <c r="CW1238">
        <v>0</v>
      </c>
      <c r="CX1238">
        <v>5</v>
      </c>
      <c r="CY1238">
        <v>7</v>
      </c>
      <c r="CZ1238" t="s">
        <v>131</v>
      </c>
      <c r="DA1238">
        <v>300</v>
      </c>
      <c r="DB1238">
        <v>0</v>
      </c>
      <c r="DC1238" t="s">
        <v>176</v>
      </c>
      <c r="DD1238" t="s">
        <v>177</v>
      </c>
      <c r="DG1238">
        <v>5381895</v>
      </c>
      <c r="DI1238">
        <v>1</v>
      </c>
      <c r="DJ1238">
        <v>0</v>
      </c>
      <c r="DK1238">
        <v>1</v>
      </c>
      <c r="DL1238">
        <v>0</v>
      </c>
      <c r="DM1238">
        <v>0</v>
      </c>
      <c r="DN1238">
        <v>1</v>
      </c>
      <c r="DO1238">
        <v>0</v>
      </c>
      <c r="DP1238">
        <v>0</v>
      </c>
      <c r="DQ1238">
        <v>0</v>
      </c>
      <c r="DR1238">
        <v>0</v>
      </c>
      <c r="DS1238">
        <v>0</v>
      </c>
    </row>
    <row r="1239" spans="1:123" x14ac:dyDescent="0.3">
      <c r="A1239" t="str">
        <f>"10/04/2022 19:28:53.744"</f>
        <v>10/04/2022 19:28:53.744</v>
      </c>
      <c r="C1239" t="str">
        <f t="shared" si="416"/>
        <v>FFDDD3C0</v>
      </c>
      <c r="D1239" t="s">
        <v>141</v>
      </c>
      <c r="E1239">
        <v>4</v>
      </c>
      <c r="H1239">
        <v>4</v>
      </c>
      <c r="I1239" t="s">
        <v>142</v>
      </c>
      <c r="J1239" t="s">
        <v>138</v>
      </c>
      <c r="K1239">
        <v>0</v>
      </c>
      <c r="L1239">
        <v>3</v>
      </c>
      <c r="M1239">
        <v>0</v>
      </c>
      <c r="N1239">
        <v>2</v>
      </c>
      <c r="O1239">
        <v>0</v>
      </c>
      <c r="P1239">
        <v>1</v>
      </c>
      <c r="Q1239">
        <v>0</v>
      </c>
      <c r="S1239" t="str">
        <f t="shared" ref="S1239:T1245" si="430">"19:28:53.000"</f>
        <v>19:28:53.000</v>
      </c>
      <c r="T1239" t="str">
        <f t="shared" si="430"/>
        <v>19:28:53.000</v>
      </c>
      <c r="U1239" t="str">
        <f t="shared" si="423"/>
        <v>AC3944</v>
      </c>
      <c r="V1239">
        <v>0</v>
      </c>
      <c r="W1239">
        <v>0</v>
      </c>
      <c r="X1239">
        <v>2</v>
      </c>
      <c r="Y1239">
        <v>0</v>
      </c>
      <c r="AA1239">
        <v>1</v>
      </c>
      <c r="AB1239">
        <v>8</v>
      </c>
      <c r="AC1239">
        <v>3</v>
      </c>
      <c r="AD1239">
        <v>0</v>
      </c>
      <c r="AE1239">
        <v>9</v>
      </c>
      <c r="AF1239" t="s">
        <v>138</v>
      </c>
      <c r="AG1239">
        <v>0</v>
      </c>
      <c r="AH1239">
        <v>3</v>
      </c>
      <c r="AI1239">
        <v>1</v>
      </c>
      <c r="AJ1239">
        <v>0</v>
      </c>
      <c r="AK1239" t="s">
        <v>487</v>
      </c>
      <c r="AL1239">
        <v>32.806097999999999</v>
      </c>
      <c r="AM1239" t="s">
        <v>489</v>
      </c>
      <c r="AN1239">
        <v>-116.906226</v>
      </c>
      <c r="AO1239">
        <v>25</v>
      </c>
      <c r="AP1239">
        <v>2400</v>
      </c>
      <c r="AQ1239" t="s">
        <v>129</v>
      </c>
      <c r="AR1239">
        <v>117</v>
      </c>
      <c r="AS1239">
        <v>-2</v>
      </c>
      <c r="AT1239">
        <v>960</v>
      </c>
      <c r="BB1239">
        <v>1200</v>
      </c>
      <c r="BC1239">
        <v>1</v>
      </c>
      <c r="BD1239" t="str">
        <f t="shared" si="424"/>
        <v xml:space="preserve">N887QR  </v>
      </c>
      <c r="BE1239">
        <v>1</v>
      </c>
      <c r="BJ1239">
        <v>2075</v>
      </c>
      <c r="BK1239">
        <v>-325</v>
      </c>
      <c r="BL1239" t="s">
        <v>163</v>
      </c>
      <c r="BM1239">
        <v>1</v>
      </c>
      <c r="BN1239">
        <v>1</v>
      </c>
      <c r="BO1239">
        <v>1</v>
      </c>
      <c r="BP1239">
        <v>0</v>
      </c>
      <c r="BS1239">
        <v>0.04</v>
      </c>
      <c r="BT1239">
        <v>0</v>
      </c>
      <c r="BU1239">
        <v>0</v>
      </c>
      <c r="CE1239" t="str">
        <f t="shared" ref="CE1239:CE1245" si="431">"19:28:53.529"</f>
        <v>19:28:53.529</v>
      </c>
      <c r="CF1239">
        <v>529080558</v>
      </c>
      <c r="CS1239">
        <v>3</v>
      </c>
      <c r="CT1239">
        <v>2</v>
      </c>
      <c r="CU1239">
        <v>0</v>
      </c>
      <c r="CV1239">
        <v>2</v>
      </c>
      <c r="CW1239">
        <v>0</v>
      </c>
      <c r="CX1239">
        <v>6</v>
      </c>
      <c r="CY1239">
        <v>7</v>
      </c>
      <c r="CZ1239" t="s">
        <v>131</v>
      </c>
      <c r="DA1239">
        <v>300</v>
      </c>
      <c r="DB1239">
        <v>0</v>
      </c>
      <c r="DC1239" t="s">
        <v>176</v>
      </c>
      <c r="DD1239" t="s">
        <v>177</v>
      </c>
      <c r="DG1239">
        <v>5382112</v>
      </c>
      <c r="DI1239">
        <v>1</v>
      </c>
      <c r="DJ1239">
        <v>0</v>
      </c>
      <c r="DK1239">
        <v>0</v>
      </c>
      <c r="DL1239">
        <v>0</v>
      </c>
      <c r="DM1239">
        <v>0</v>
      </c>
      <c r="DN1239">
        <v>1</v>
      </c>
      <c r="DO1239">
        <v>0</v>
      </c>
      <c r="DP1239">
        <v>0</v>
      </c>
      <c r="DQ1239">
        <v>0</v>
      </c>
      <c r="DR1239">
        <v>0</v>
      </c>
      <c r="DS1239">
        <v>0</v>
      </c>
    </row>
    <row r="1240" spans="1:123" x14ac:dyDescent="0.3">
      <c r="A1240" t="str">
        <f>"10/04/2022 19:28:53.744"</f>
        <v>10/04/2022 19:28:53.744</v>
      </c>
      <c r="C1240" t="str">
        <f t="shared" si="416"/>
        <v>FFDDD3C0</v>
      </c>
      <c r="D1240" t="s">
        <v>134</v>
      </c>
      <c r="E1240">
        <v>15</v>
      </c>
      <c r="J1240" t="s">
        <v>135</v>
      </c>
      <c r="K1240">
        <v>0</v>
      </c>
      <c r="L1240">
        <v>3</v>
      </c>
      <c r="M1240">
        <v>0</v>
      </c>
      <c r="N1240">
        <v>2</v>
      </c>
      <c r="O1240">
        <v>0</v>
      </c>
      <c r="P1240">
        <v>1</v>
      </c>
      <c r="Q1240">
        <v>0</v>
      </c>
      <c r="S1240" t="str">
        <f t="shared" si="430"/>
        <v>19:28:53.000</v>
      </c>
      <c r="T1240" t="str">
        <f t="shared" si="430"/>
        <v>19:28:53.000</v>
      </c>
      <c r="U1240" t="str">
        <f t="shared" si="423"/>
        <v>AC3944</v>
      </c>
      <c r="V1240">
        <v>0</v>
      </c>
      <c r="W1240">
        <v>0</v>
      </c>
      <c r="X1240">
        <v>2</v>
      </c>
      <c r="Y1240">
        <v>0</v>
      </c>
      <c r="AA1240">
        <v>1</v>
      </c>
      <c r="AB1240">
        <v>8</v>
      </c>
      <c r="AC1240">
        <v>3</v>
      </c>
      <c r="AD1240">
        <v>0</v>
      </c>
      <c r="AE1240">
        <v>9</v>
      </c>
      <c r="AF1240" t="s">
        <v>138</v>
      </c>
      <c r="AG1240">
        <v>0</v>
      </c>
      <c r="AH1240">
        <v>3</v>
      </c>
      <c r="AI1240">
        <v>1</v>
      </c>
      <c r="AJ1240">
        <v>0</v>
      </c>
      <c r="AK1240" t="s">
        <v>487</v>
      </c>
      <c r="AL1240">
        <v>32.806097999999999</v>
      </c>
      <c r="AM1240" t="s">
        <v>489</v>
      </c>
      <c r="AN1240">
        <v>-116.906226</v>
      </c>
      <c r="AO1240">
        <v>25</v>
      </c>
      <c r="AP1240">
        <v>2400</v>
      </c>
      <c r="AQ1240" t="s">
        <v>129</v>
      </c>
      <c r="AR1240">
        <v>117</v>
      </c>
      <c r="AS1240">
        <v>-2</v>
      </c>
      <c r="AT1240">
        <v>960</v>
      </c>
      <c r="BB1240">
        <v>1200</v>
      </c>
      <c r="BC1240">
        <v>1</v>
      </c>
      <c r="BD1240" t="str">
        <f t="shared" si="424"/>
        <v xml:space="preserve">N887QR  </v>
      </c>
      <c r="BE1240">
        <v>1</v>
      </c>
      <c r="BJ1240">
        <v>2075</v>
      </c>
      <c r="BK1240">
        <v>-325</v>
      </c>
      <c r="BL1240" t="s">
        <v>163</v>
      </c>
      <c r="BM1240">
        <v>1</v>
      </c>
      <c r="BN1240">
        <v>1</v>
      </c>
      <c r="BO1240">
        <v>1</v>
      </c>
      <c r="BP1240">
        <v>0</v>
      </c>
      <c r="BS1240">
        <v>0.04</v>
      </c>
      <c r="BT1240">
        <v>0</v>
      </c>
      <c r="BU1240">
        <v>0</v>
      </c>
      <c r="CE1240" t="str">
        <f t="shared" si="431"/>
        <v>19:28:53.529</v>
      </c>
      <c r="CF1240">
        <v>529080558</v>
      </c>
      <c r="CS1240">
        <v>3</v>
      </c>
      <c r="CT1240">
        <v>2</v>
      </c>
      <c r="CU1240">
        <v>0</v>
      </c>
      <c r="CV1240">
        <v>2</v>
      </c>
      <c r="CW1240">
        <v>0</v>
      </c>
      <c r="CX1240">
        <v>6</v>
      </c>
      <c r="CY1240">
        <v>7</v>
      </c>
      <c r="CZ1240" t="s">
        <v>131</v>
      </c>
      <c r="DA1240">
        <v>300</v>
      </c>
      <c r="DB1240">
        <v>0</v>
      </c>
      <c r="DC1240" t="s">
        <v>176</v>
      </c>
      <c r="DD1240" t="s">
        <v>177</v>
      </c>
      <c r="DG1240">
        <v>5382112</v>
      </c>
      <c r="DI1240">
        <v>1</v>
      </c>
      <c r="DJ1240">
        <v>0</v>
      </c>
      <c r="DK1240">
        <v>1</v>
      </c>
      <c r="DL1240">
        <v>0</v>
      </c>
      <c r="DM1240">
        <v>0</v>
      </c>
      <c r="DN1240">
        <v>1</v>
      </c>
      <c r="DO1240">
        <v>0</v>
      </c>
      <c r="DP1240">
        <v>0</v>
      </c>
      <c r="DQ1240">
        <v>0</v>
      </c>
      <c r="DR1240">
        <v>0</v>
      </c>
      <c r="DS1240">
        <v>0</v>
      </c>
    </row>
    <row r="1241" spans="1:123" x14ac:dyDescent="0.3">
      <c r="A1241" t="str">
        <f>"10/04/2022 19:28:53.759"</f>
        <v>10/04/2022 19:28:53.759</v>
      </c>
      <c r="C1241" t="str">
        <f t="shared" si="416"/>
        <v>FFDDD3C0</v>
      </c>
      <c r="D1241" t="s">
        <v>143</v>
      </c>
      <c r="E1241">
        <v>20</v>
      </c>
      <c r="F1241">
        <v>1020</v>
      </c>
      <c r="G1241" t="s">
        <v>144</v>
      </c>
      <c r="J1241" t="s">
        <v>145</v>
      </c>
      <c r="K1241">
        <v>0</v>
      </c>
      <c r="L1241">
        <v>3</v>
      </c>
      <c r="M1241">
        <v>0</v>
      </c>
      <c r="N1241">
        <v>2</v>
      </c>
      <c r="O1241">
        <v>0</v>
      </c>
      <c r="P1241">
        <v>1</v>
      </c>
      <c r="Q1241">
        <v>0</v>
      </c>
      <c r="S1241" t="str">
        <f t="shared" si="430"/>
        <v>19:28:53.000</v>
      </c>
      <c r="T1241" t="str">
        <f t="shared" si="430"/>
        <v>19:28:53.000</v>
      </c>
      <c r="U1241" t="str">
        <f t="shared" si="423"/>
        <v>AC3944</v>
      </c>
      <c r="V1241">
        <v>0</v>
      </c>
      <c r="W1241">
        <v>0</v>
      </c>
      <c r="X1241">
        <v>2</v>
      </c>
      <c r="Y1241">
        <v>0</v>
      </c>
      <c r="AA1241">
        <v>1</v>
      </c>
      <c r="AB1241">
        <v>8</v>
      </c>
      <c r="AC1241">
        <v>3</v>
      </c>
      <c r="AD1241">
        <v>0</v>
      </c>
      <c r="AE1241">
        <v>9</v>
      </c>
      <c r="AF1241" t="s">
        <v>138</v>
      </c>
      <c r="AG1241">
        <v>0</v>
      </c>
      <c r="AH1241">
        <v>3</v>
      </c>
      <c r="AI1241">
        <v>1</v>
      </c>
      <c r="AJ1241">
        <v>0</v>
      </c>
      <c r="AK1241" t="s">
        <v>487</v>
      </c>
      <c r="AL1241">
        <v>32.806097999999999</v>
      </c>
      <c r="AM1241" t="s">
        <v>489</v>
      </c>
      <c r="AN1241">
        <v>-116.906226</v>
      </c>
      <c r="AO1241">
        <v>25</v>
      </c>
      <c r="AP1241">
        <v>2400</v>
      </c>
      <c r="AQ1241" t="s">
        <v>129</v>
      </c>
      <c r="AR1241">
        <v>117</v>
      </c>
      <c r="AS1241">
        <v>-2</v>
      </c>
      <c r="AT1241">
        <v>960</v>
      </c>
      <c r="BB1241">
        <v>1200</v>
      </c>
      <c r="BC1241">
        <v>1</v>
      </c>
      <c r="BD1241" t="str">
        <f t="shared" si="424"/>
        <v xml:space="preserve">N887QR  </v>
      </c>
      <c r="BE1241">
        <v>1</v>
      </c>
      <c r="BJ1241">
        <v>2075</v>
      </c>
      <c r="BK1241">
        <v>-325</v>
      </c>
      <c r="BL1241" t="s">
        <v>163</v>
      </c>
      <c r="BM1241">
        <v>1</v>
      </c>
      <c r="BN1241">
        <v>1</v>
      </c>
      <c r="BO1241">
        <v>1</v>
      </c>
      <c r="BP1241">
        <v>0</v>
      </c>
      <c r="BS1241">
        <v>0.04</v>
      </c>
      <c r="BT1241">
        <v>0</v>
      </c>
      <c r="BU1241">
        <v>0</v>
      </c>
      <c r="CE1241" t="str">
        <f t="shared" si="431"/>
        <v>19:28:53.529</v>
      </c>
      <c r="CF1241">
        <v>529080558</v>
      </c>
      <c r="CS1241">
        <v>3</v>
      </c>
      <c r="CT1241">
        <v>2</v>
      </c>
      <c r="CU1241">
        <v>0</v>
      </c>
      <c r="CV1241">
        <v>2</v>
      </c>
      <c r="CW1241">
        <v>0</v>
      </c>
      <c r="CX1241">
        <v>6</v>
      </c>
      <c r="CY1241">
        <v>7</v>
      </c>
      <c r="CZ1241" t="s">
        <v>131</v>
      </c>
      <c r="DA1241">
        <v>300</v>
      </c>
      <c r="DB1241">
        <v>0</v>
      </c>
      <c r="DC1241" t="s">
        <v>176</v>
      </c>
      <c r="DD1241" t="s">
        <v>177</v>
      </c>
      <c r="DG1241">
        <v>5382112</v>
      </c>
      <c r="DI1241">
        <v>1</v>
      </c>
      <c r="DJ1241">
        <v>0</v>
      </c>
      <c r="DK1241">
        <v>1</v>
      </c>
      <c r="DL1241">
        <v>0</v>
      </c>
      <c r="DM1241">
        <v>0</v>
      </c>
      <c r="DN1241">
        <v>1</v>
      </c>
      <c r="DO1241">
        <v>0</v>
      </c>
      <c r="DP1241">
        <v>0</v>
      </c>
      <c r="DQ1241">
        <v>0</v>
      </c>
      <c r="DR1241">
        <v>0</v>
      </c>
      <c r="DS1241">
        <v>0</v>
      </c>
    </row>
    <row r="1242" spans="1:123" x14ac:dyDescent="0.3">
      <c r="A1242" t="str">
        <f>"10/04/2022 19:28:53.759"</f>
        <v>10/04/2022 19:28:53.759</v>
      </c>
      <c r="C1242" t="str">
        <f t="shared" si="416"/>
        <v>FFDDD3C0</v>
      </c>
      <c r="D1242" t="s">
        <v>136</v>
      </c>
      <c r="E1242">
        <v>8</v>
      </c>
      <c r="H1242">
        <v>225</v>
      </c>
      <c r="I1242" t="s">
        <v>137</v>
      </c>
      <c r="J1242" t="s">
        <v>138</v>
      </c>
      <c r="K1242">
        <v>0</v>
      </c>
      <c r="L1242">
        <v>3</v>
      </c>
      <c r="M1242">
        <v>0</v>
      </c>
      <c r="N1242">
        <v>2</v>
      </c>
      <c r="O1242">
        <v>0</v>
      </c>
      <c r="P1242">
        <v>1</v>
      </c>
      <c r="Q1242">
        <v>0</v>
      </c>
      <c r="S1242" t="str">
        <f t="shared" si="430"/>
        <v>19:28:53.000</v>
      </c>
      <c r="T1242" t="str">
        <f t="shared" si="430"/>
        <v>19:28:53.000</v>
      </c>
      <c r="U1242" t="str">
        <f t="shared" si="423"/>
        <v>AC3944</v>
      </c>
      <c r="V1242">
        <v>0</v>
      </c>
      <c r="W1242">
        <v>0</v>
      </c>
      <c r="X1242">
        <v>2</v>
      </c>
      <c r="Y1242">
        <v>0</v>
      </c>
      <c r="AA1242">
        <v>1</v>
      </c>
      <c r="AB1242">
        <v>8</v>
      </c>
      <c r="AC1242">
        <v>3</v>
      </c>
      <c r="AD1242">
        <v>0</v>
      </c>
      <c r="AE1242">
        <v>9</v>
      </c>
      <c r="AF1242" t="s">
        <v>138</v>
      </c>
      <c r="AG1242">
        <v>0</v>
      </c>
      <c r="AH1242">
        <v>3</v>
      </c>
      <c r="AI1242">
        <v>1</v>
      </c>
      <c r="AJ1242">
        <v>0</v>
      </c>
      <c r="AK1242" t="s">
        <v>487</v>
      </c>
      <c r="AL1242">
        <v>32.806097999999999</v>
      </c>
      <c r="AM1242" t="s">
        <v>489</v>
      </c>
      <c r="AN1242">
        <v>-116.906226</v>
      </c>
      <c r="AO1242">
        <v>25</v>
      </c>
      <c r="AP1242">
        <v>2400</v>
      </c>
      <c r="AQ1242" t="s">
        <v>129</v>
      </c>
      <c r="AR1242">
        <v>117</v>
      </c>
      <c r="AS1242">
        <v>-2</v>
      </c>
      <c r="AT1242">
        <v>960</v>
      </c>
      <c r="BB1242">
        <v>1200</v>
      </c>
      <c r="BC1242">
        <v>1</v>
      </c>
      <c r="BD1242" t="str">
        <f t="shared" si="424"/>
        <v xml:space="preserve">N887QR  </v>
      </c>
      <c r="BE1242">
        <v>1</v>
      </c>
      <c r="BJ1242">
        <v>2075</v>
      </c>
      <c r="BK1242">
        <v>-325</v>
      </c>
      <c r="BL1242" t="s">
        <v>163</v>
      </c>
      <c r="BM1242">
        <v>1</v>
      </c>
      <c r="BN1242">
        <v>1</v>
      </c>
      <c r="BO1242">
        <v>1</v>
      </c>
      <c r="BP1242">
        <v>0</v>
      </c>
      <c r="BS1242">
        <v>0.04</v>
      </c>
      <c r="BT1242">
        <v>0</v>
      </c>
      <c r="BU1242">
        <v>0</v>
      </c>
      <c r="CE1242" t="str">
        <f t="shared" si="431"/>
        <v>19:28:53.529</v>
      </c>
      <c r="CF1242">
        <v>529080558</v>
      </c>
      <c r="CS1242">
        <v>3</v>
      </c>
      <c r="CT1242">
        <v>2</v>
      </c>
      <c r="CU1242">
        <v>0</v>
      </c>
      <c r="CV1242">
        <v>2</v>
      </c>
      <c r="CW1242">
        <v>0</v>
      </c>
      <c r="CX1242">
        <v>6</v>
      </c>
      <c r="CY1242">
        <v>7</v>
      </c>
      <c r="CZ1242" t="s">
        <v>131</v>
      </c>
      <c r="DA1242">
        <v>300</v>
      </c>
      <c r="DB1242">
        <v>0</v>
      </c>
      <c r="DC1242" t="s">
        <v>176</v>
      </c>
      <c r="DD1242" t="s">
        <v>177</v>
      </c>
      <c r="DG1242">
        <v>5382112</v>
      </c>
      <c r="DI1242">
        <v>1</v>
      </c>
      <c r="DJ1242">
        <v>0</v>
      </c>
      <c r="DK1242">
        <v>1</v>
      </c>
      <c r="DL1242">
        <v>0</v>
      </c>
      <c r="DM1242">
        <v>0</v>
      </c>
      <c r="DN1242">
        <v>1</v>
      </c>
      <c r="DO1242">
        <v>0</v>
      </c>
      <c r="DP1242">
        <v>0</v>
      </c>
      <c r="DQ1242">
        <v>0</v>
      </c>
      <c r="DR1242">
        <v>0</v>
      </c>
      <c r="DS1242">
        <v>0</v>
      </c>
    </row>
    <row r="1243" spans="1:123" x14ac:dyDescent="0.3">
      <c r="A1243" t="str">
        <f>"10/04/2022 19:28:53.759"</f>
        <v>10/04/2022 19:28:53.759</v>
      </c>
      <c r="C1243" t="str">
        <f t="shared" si="416"/>
        <v>FFDDD3C0</v>
      </c>
      <c r="D1243" t="s">
        <v>147</v>
      </c>
      <c r="E1243">
        <v>3</v>
      </c>
      <c r="H1243">
        <v>166</v>
      </c>
      <c r="I1243" t="s">
        <v>144</v>
      </c>
      <c r="J1243" t="s">
        <v>148</v>
      </c>
      <c r="K1243">
        <v>0</v>
      </c>
      <c r="L1243">
        <v>3</v>
      </c>
      <c r="M1243">
        <v>0</v>
      </c>
      <c r="N1243">
        <v>2</v>
      </c>
      <c r="O1243">
        <v>0</v>
      </c>
      <c r="P1243">
        <v>1</v>
      </c>
      <c r="Q1243">
        <v>0</v>
      </c>
      <c r="S1243" t="str">
        <f t="shared" si="430"/>
        <v>19:28:53.000</v>
      </c>
      <c r="T1243" t="str">
        <f t="shared" si="430"/>
        <v>19:28:53.000</v>
      </c>
      <c r="U1243" t="str">
        <f t="shared" si="423"/>
        <v>AC3944</v>
      </c>
      <c r="V1243">
        <v>0</v>
      </c>
      <c r="W1243">
        <v>0</v>
      </c>
      <c r="X1243">
        <v>2</v>
      </c>
      <c r="Y1243">
        <v>0</v>
      </c>
      <c r="AA1243">
        <v>1</v>
      </c>
      <c r="AB1243">
        <v>8</v>
      </c>
      <c r="AC1243">
        <v>3</v>
      </c>
      <c r="AD1243">
        <v>0</v>
      </c>
      <c r="AE1243">
        <v>9</v>
      </c>
      <c r="AF1243" t="s">
        <v>138</v>
      </c>
      <c r="AG1243">
        <v>0</v>
      </c>
      <c r="AH1243">
        <v>3</v>
      </c>
      <c r="AI1243">
        <v>1</v>
      </c>
      <c r="AJ1243">
        <v>0</v>
      </c>
      <c r="AK1243" t="s">
        <v>487</v>
      </c>
      <c r="AL1243">
        <v>32.806097999999999</v>
      </c>
      <c r="AM1243" t="s">
        <v>489</v>
      </c>
      <c r="AN1243">
        <v>-116.906226</v>
      </c>
      <c r="AO1243">
        <v>25</v>
      </c>
      <c r="AP1243">
        <v>2400</v>
      </c>
      <c r="AQ1243" t="s">
        <v>129</v>
      </c>
      <c r="AR1243">
        <v>117</v>
      </c>
      <c r="AS1243">
        <v>-2</v>
      </c>
      <c r="AT1243">
        <v>960</v>
      </c>
      <c r="BB1243">
        <v>1200</v>
      </c>
      <c r="BC1243">
        <v>1</v>
      </c>
      <c r="BD1243" t="str">
        <f t="shared" si="424"/>
        <v xml:space="preserve">N887QR  </v>
      </c>
      <c r="BE1243">
        <v>1</v>
      </c>
      <c r="BJ1243">
        <v>2075</v>
      </c>
      <c r="BK1243">
        <v>-325</v>
      </c>
      <c r="BL1243" t="s">
        <v>163</v>
      </c>
      <c r="BM1243">
        <v>1</v>
      </c>
      <c r="BN1243">
        <v>1</v>
      </c>
      <c r="BO1243">
        <v>1</v>
      </c>
      <c r="BP1243">
        <v>0</v>
      </c>
      <c r="BS1243">
        <v>0.04</v>
      </c>
      <c r="BT1243">
        <v>0</v>
      </c>
      <c r="BU1243">
        <v>0</v>
      </c>
      <c r="CE1243" t="str">
        <f t="shared" si="431"/>
        <v>19:28:53.529</v>
      </c>
      <c r="CF1243">
        <v>529080558</v>
      </c>
      <c r="CS1243">
        <v>3</v>
      </c>
      <c r="CT1243">
        <v>2</v>
      </c>
      <c r="CU1243">
        <v>0</v>
      </c>
      <c r="CV1243">
        <v>2</v>
      </c>
      <c r="CW1243">
        <v>0</v>
      </c>
      <c r="CX1243">
        <v>6</v>
      </c>
      <c r="CY1243">
        <v>7</v>
      </c>
      <c r="CZ1243" t="s">
        <v>131</v>
      </c>
      <c r="DA1243">
        <v>300</v>
      </c>
      <c r="DB1243">
        <v>0</v>
      </c>
      <c r="DC1243" t="s">
        <v>176</v>
      </c>
      <c r="DD1243" t="s">
        <v>177</v>
      </c>
      <c r="DG1243">
        <v>5382112</v>
      </c>
      <c r="DI1243">
        <v>1</v>
      </c>
      <c r="DJ1243">
        <v>0</v>
      </c>
      <c r="DK1243">
        <v>1</v>
      </c>
      <c r="DL1243">
        <v>0</v>
      </c>
      <c r="DM1243">
        <v>0</v>
      </c>
      <c r="DN1243">
        <v>1</v>
      </c>
      <c r="DO1243">
        <v>0</v>
      </c>
      <c r="DP1243">
        <v>0</v>
      </c>
      <c r="DQ1243">
        <v>0</v>
      </c>
      <c r="DR1243">
        <v>0</v>
      </c>
      <c r="DS1243">
        <v>0</v>
      </c>
    </row>
    <row r="1244" spans="1:123" x14ac:dyDescent="0.3">
      <c r="A1244" t="str">
        <f>"10/04/2022 19:28:53.759"</f>
        <v>10/04/2022 19:28:53.759</v>
      </c>
      <c r="C1244" t="str">
        <f t="shared" si="416"/>
        <v>FFDDD3C0</v>
      </c>
      <c r="D1244" t="s">
        <v>123</v>
      </c>
      <c r="E1244">
        <v>7</v>
      </c>
      <c r="F1244">
        <v>2007</v>
      </c>
      <c r="G1244" t="s">
        <v>124</v>
      </c>
      <c r="J1244" t="s">
        <v>125</v>
      </c>
      <c r="K1244">
        <v>0</v>
      </c>
      <c r="L1244">
        <v>3</v>
      </c>
      <c r="M1244">
        <v>0</v>
      </c>
      <c r="N1244">
        <v>2</v>
      </c>
      <c r="O1244">
        <v>0</v>
      </c>
      <c r="P1244">
        <v>1</v>
      </c>
      <c r="Q1244">
        <v>0</v>
      </c>
      <c r="S1244" t="str">
        <f t="shared" si="430"/>
        <v>19:28:53.000</v>
      </c>
      <c r="T1244" t="str">
        <f t="shared" si="430"/>
        <v>19:28:53.000</v>
      </c>
      <c r="U1244" t="str">
        <f t="shared" si="423"/>
        <v>AC3944</v>
      </c>
      <c r="V1244">
        <v>0</v>
      </c>
      <c r="W1244">
        <v>0</v>
      </c>
      <c r="X1244">
        <v>2</v>
      </c>
      <c r="Y1244">
        <v>0</v>
      </c>
      <c r="AA1244">
        <v>1</v>
      </c>
      <c r="AB1244">
        <v>8</v>
      </c>
      <c r="AC1244">
        <v>3</v>
      </c>
      <c r="AD1244">
        <v>0</v>
      </c>
      <c r="AE1244">
        <v>9</v>
      </c>
      <c r="AF1244" t="s">
        <v>138</v>
      </c>
      <c r="AG1244">
        <v>0</v>
      </c>
      <c r="AH1244">
        <v>3</v>
      </c>
      <c r="AI1244">
        <v>1</v>
      </c>
      <c r="AJ1244">
        <v>0</v>
      </c>
      <c r="AK1244" t="s">
        <v>487</v>
      </c>
      <c r="AL1244">
        <v>32.806097999999999</v>
      </c>
      <c r="AM1244" t="s">
        <v>489</v>
      </c>
      <c r="AN1244">
        <v>-116.906226</v>
      </c>
      <c r="AO1244">
        <v>25</v>
      </c>
      <c r="AP1244">
        <v>2400</v>
      </c>
      <c r="AQ1244" t="s">
        <v>129</v>
      </c>
      <c r="AR1244">
        <v>117</v>
      </c>
      <c r="AS1244">
        <v>-2</v>
      </c>
      <c r="AT1244">
        <v>960</v>
      </c>
      <c r="BB1244">
        <v>1200</v>
      </c>
      <c r="BC1244">
        <v>1</v>
      </c>
      <c r="BD1244" t="str">
        <f t="shared" si="424"/>
        <v xml:space="preserve">N887QR  </v>
      </c>
      <c r="BE1244">
        <v>1</v>
      </c>
      <c r="BJ1244">
        <v>2075</v>
      </c>
      <c r="BK1244">
        <v>-325</v>
      </c>
      <c r="BL1244" t="s">
        <v>163</v>
      </c>
      <c r="BM1244">
        <v>1</v>
      </c>
      <c r="BN1244">
        <v>1</v>
      </c>
      <c r="BO1244">
        <v>1</v>
      </c>
      <c r="BP1244">
        <v>0</v>
      </c>
      <c r="BS1244">
        <v>0.04</v>
      </c>
      <c r="BT1244">
        <v>0</v>
      </c>
      <c r="BU1244">
        <v>0</v>
      </c>
      <c r="CE1244" t="str">
        <f t="shared" si="431"/>
        <v>19:28:53.529</v>
      </c>
      <c r="CF1244">
        <v>529080558</v>
      </c>
      <c r="CS1244">
        <v>3</v>
      </c>
      <c r="CT1244">
        <v>2</v>
      </c>
      <c r="CU1244">
        <v>0</v>
      </c>
      <c r="CV1244">
        <v>2</v>
      </c>
      <c r="CW1244">
        <v>0</v>
      </c>
      <c r="CX1244">
        <v>6</v>
      </c>
      <c r="CY1244">
        <v>7</v>
      </c>
      <c r="CZ1244" t="s">
        <v>131</v>
      </c>
      <c r="DA1244">
        <v>300</v>
      </c>
      <c r="DB1244">
        <v>0</v>
      </c>
      <c r="DC1244" t="s">
        <v>176</v>
      </c>
      <c r="DD1244" t="s">
        <v>177</v>
      </c>
      <c r="DG1244">
        <v>5382112</v>
      </c>
      <c r="DI1244">
        <v>1</v>
      </c>
      <c r="DJ1244">
        <v>0</v>
      </c>
      <c r="DK1244">
        <v>1</v>
      </c>
      <c r="DL1244">
        <v>0</v>
      </c>
      <c r="DM1244">
        <v>0</v>
      </c>
      <c r="DN1244">
        <v>1</v>
      </c>
      <c r="DO1244">
        <v>0</v>
      </c>
      <c r="DP1244">
        <v>0</v>
      </c>
      <c r="DQ1244">
        <v>0</v>
      </c>
      <c r="DR1244">
        <v>0</v>
      </c>
      <c r="DS1244">
        <v>0</v>
      </c>
    </row>
    <row r="1245" spans="1:123" x14ac:dyDescent="0.3">
      <c r="A1245" t="str">
        <f>"10/04/2022 19:28:53.759"</f>
        <v>10/04/2022 19:28:53.759</v>
      </c>
      <c r="C1245" t="str">
        <f t="shared" si="416"/>
        <v>FFDDD3C0</v>
      </c>
      <c r="D1245" t="s">
        <v>141</v>
      </c>
      <c r="E1245">
        <v>3</v>
      </c>
      <c r="H1245">
        <v>3</v>
      </c>
      <c r="I1245" t="s">
        <v>146</v>
      </c>
      <c r="J1245" t="s">
        <v>138</v>
      </c>
      <c r="K1245">
        <v>0</v>
      </c>
      <c r="L1245">
        <v>3</v>
      </c>
      <c r="M1245">
        <v>0</v>
      </c>
      <c r="N1245">
        <v>2</v>
      </c>
      <c r="O1245">
        <v>0</v>
      </c>
      <c r="P1245">
        <v>1</v>
      </c>
      <c r="Q1245">
        <v>0</v>
      </c>
      <c r="S1245" t="str">
        <f t="shared" si="430"/>
        <v>19:28:53.000</v>
      </c>
      <c r="T1245" t="str">
        <f t="shared" si="430"/>
        <v>19:28:53.000</v>
      </c>
      <c r="U1245" t="str">
        <f t="shared" si="423"/>
        <v>AC3944</v>
      </c>
      <c r="V1245">
        <v>0</v>
      </c>
      <c r="W1245">
        <v>0</v>
      </c>
      <c r="X1245">
        <v>2</v>
      </c>
      <c r="Y1245">
        <v>0</v>
      </c>
      <c r="AA1245">
        <v>1</v>
      </c>
      <c r="AB1245">
        <v>8</v>
      </c>
      <c r="AC1245">
        <v>3</v>
      </c>
      <c r="AD1245">
        <v>0</v>
      </c>
      <c r="AE1245">
        <v>9</v>
      </c>
      <c r="AF1245" t="s">
        <v>138</v>
      </c>
      <c r="AG1245">
        <v>0</v>
      </c>
      <c r="AH1245">
        <v>3</v>
      </c>
      <c r="AI1245">
        <v>1</v>
      </c>
      <c r="AJ1245">
        <v>0</v>
      </c>
      <c r="AK1245" t="s">
        <v>487</v>
      </c>
      <c r="AL1245">
        <v>32.806097999999999</v>
      </c>
      <c r="AM1245" t="s">
        <v>489</v>
      </c>
      <c r="AN1245">
        <v>-116.906226</v>
      </c>
      <c r="AO1245">
        <v>25</v>
      </c>
      <c r="AP1245">
        <v>2400</v>
      </c>
      <c r="AQ1245" t="s">
        <v>129</v>
      </c>
      <c r="AR1245">
        <v>117</v>
      </c>
      <c r="AS1245">
        <v>-2</v>
      </c>
      <c r="AT1245">
        <v>960</v>
      </c>
      <c r="BB1245">
        <v>1200</v>
      </c>
      <c r="BC1245">
        <v>1</v>
      </c>
      <c r="BD1245" t="str">
        <f t="shared" si="424"/>
        <v xml:space="preserve">N887QR  </v>
      </c>
      <c r="BE1245">
        <v>1</v>
      </c>
      <c r="BJ1245">
        <v>2075</v>
      </c>
      <c r="BK1245">
        <v>-325</v>
      </c>
      <c r="BL1245" t="s">
        <v>163</v>
      </c>
      <c r="BM1245">
        <v>1</v>
      </c>
      <c r="BN1245">
        <v>1</v>
      </c>
      <c r="BO1245">
        <v>1</v>
      </c>
      <c r="BP1245">
        <v>0</v>
      </c>
      <c r="BS1245">
        <v>0.04</v>
      </c>
      <c r="BT1245">
        <v>0</v>
      </c>
      <c r="BU1245">
        <v>0</v>
      </c>
      <c r="CE1245" t="str">
        <f t="shared" si="431"/>
        <v>19:28:53.529</v>
      </c>
      <c r="CF1245">
        <v>529080558</v>
      </c>
      <c r="CS1245">
        <v>3</v>
      </c>
      <c r="CT1245">
        <v>2</v>
      </c>
      <c r="CU1245">
        <v>0</v>
      </c>
      <c r="CV1245">
        <v>2</v>
      </c>
      <c r="CW1245">
        <v>0</v>
      </c>
      <c r="CX1245">
        <v>6</v>
      </c>
      <c r="CY1245">
        <v>7</v>
      </c>
      <c r="CZ1245" t="s">
        <v>131</v>
      </c>
      <c r="DA1245">
        <v>300</v>
      </c>
      <c r="DB1245">
        <v>0</v>
      </c>
      <c r="DC1245" t="s">
        <v>176</v>
      </c>
      <c r="DD1245" t="s">
        <v>177</v>
      </c>
      <c r="DG1245">
        <v>5382112</v>
      </c>
      <c r="DI1245">
        <v>1</v>
      </c>
      <c r="DJ1245">
        <v>0</v>
      </c>
      <c r="DK1245">
        <v>1</v>
      </c>
      <c r="DL1245">
        <v>0</v>
      </c>
      <c r="DM1245">
        <v>0</v>
      </c>
      <c r="DN1245">
        <v>1</v>
      </c>
      <c r="DO1245">
        <v>0</v>
      </c>
      <c r="DP1245">
        <v>0</v>
      </c>
      <c r="DQ1245">
        <v>0</v>
      </c>
      <c r="DR1245">
        <v>0</v>
      </c>
      <c r="DS1245">
        <v>0</v>
      </c>
    </row>
    <row r="1246" spans="1:123" x14ac:dyDescent="0.3">
      <c r="A1246" t="str">
        <f>"10/04/2022 19:28:54.650"</f>
        <v>10/04/2022 19:28:54.650</v>
      </c>
      <c r="C1246" t="str">
        <f t="shared" si="416"/>
        <v>FFDDD3C0</v>
      </c>
      <c r="D1246" t="s">
        <v>143</v>
      </c>
      <c r="E1246">
        <v>20</v>
      </c>
      <c r="F1246">
        <v>1020</v>
      </c>
      <c r="G1246" t="s">
        <v>144</v>
      </c>
      <c r="J1246" t="s">
        <v>145</v>
      </c>
      <c r="K1246">
        <v>0</v>
      </c>
      <c r="L1246">
        <v>3</v>
      </c>
      <c r="M1246">
        <v>0</v>
      </c>
      <c r="N1246">
        <v>2</v>
      </c>
      <c r="O1246">
        <v>0</v>
      </c>
      <c r="P1246">
        <v>1</v>
      </c>
      <c r="Q1246">
        <v>0</v>
      </c>
      <c r="S1246" t="str">
        <f t="shared" ref="S1246:T1252" si="432">"19:28:54.000"</f>
        <v>19:28:54.000</v>
      </c>
      <c r="T1246" t="str">
        <f t="shared" si="432"/>
        <v>19:28:54.000</v>
      </c>
      <c r="U1246" t="str">
        <f t="shared" si="423"/>
        <v>AC3944</v>
      </c>
      <c r="V1246">
        <v>0</v>
      </c>
      <c r="W1246">
        <v>0</v>
      </c>
      <c r="X1246">
        <v>2</v>
      </c>
      <c r="Y1246">
        <v>0</v>
      </c>
      <c r="AA1246">
        <v>1</v>
      </c>
      <c r="AB1246">
        <v>8</v>
      </c>
      <c r="AC1246">
        <v>3</v>
      </c>
      <c r="AD1246">
        <v>0</v>
      </c>
      <c r="AE1246">
        <v>9</v>
      </c>
      <c r="AF1246" t="s">
        <v>138</v>
      </c>
      <c r="AG1246">
        <v>0</v>
      </c>
      <c r="AH1246">
        <v>3</v>
      </c>
      <c r="AI1246">
        <v>1</v>
      </c>
      <c r="AJ1246">
        <v>0</v>
      </c>
      <c r="AK1246" t="s">
        <v>490</v>
      </c>
      <c r="AL1246">
        <v>32.806077000000002</v>
      </c>
      <c r="AM1246" t="s">
        <v>491</v>
      </c>
      <c r="AN1246">
        <v>-116.905582</v>
      </c>
      <c r="AO1246">
        <v>25</v>
      </c>
      <c r="AP1246">
        <v>2400</v>
      </c>
      <c r="AQ1246" t="s">
        <v>129</v>
      </c>
      <c r="AR1246">
        <v>116</v>
      </c>
      <c r="AS1246">
        <v>-1</v>
      </c>
      <c r="AT1246">
        <v>832</v>
      </c>
      <c r="BB1246">
        <v>1200</v>
      </c>
      <c r="BC1246">
        <v>1</v>
      </c>
      <c r="BD1246" t="str">
        <f t="shared" si="424"/>
        <v xml:space="preserve">N887QR  </v>
      </c>
      <c r="BE1246">
        <v>1</v>
      </c>
      <c r="BJ1246">
        <v>2075</v>
      </c>
      <c r="BK1246">
        <v>-325</v>
      </c>
      <c r="BL1246" t="s">
        <v>163</v>
      </c>
      <c r="BM1246">
        <v>1</v>
      </c>
      <c r="BN1246">
        <v>1</v>
      </c>
      <c r="BO1246">
        <v>1</v>
      </c>
      <c r="BP1246">
        <v>0</v>
      </c>
      <c r="BS1246">
        <v>0.04</v>
      </c>
      <c r="BT1246">
        <v>0</v>
      </c>
      <c r="BU1246">
        <v>0</v>
      </c>
      <c r="CE1246" t="str">
        <f t="shared" ref="CE1246:CE1252" si="433">"19:28:54.424"</f>
        <v>19:28:54.424</v>
      </c>
      <c r="CF1246">
        <v>424333436</v>
      </c>
      <c r="CS1246">
        <v>3</v>
      </c>
      <c r="CT1246">
        <v>2</v>
      </c>
      <c r="CU1246">
        <v>0</v>
      </c>
      <c r="CV1246">
        <v>2</v>
      </c>
      <c r="CW1246">
        <v>0</v>
      </c>
      <c r="CX1246">
        <v>5</v>
      </c>
      <c r="CY1246">
        <v>7</v>
      </c>
      <c r="CZ1246" t="s">
        <v>131</v>
      </c>
      <c r="DA1246">
        <v>300</v>
      </c>
      <c r="DB1246">
        <v>0</v>
      </c>
      <c r="DC1246" t="s">
        <v>176</v>
      </c>
      <c r="DD1246" t="s">
        <v>177</v>
      </c>
      <c r="DG1246">
        <v>5382245</v>
      </c>
      <c r="DI1246">
        <v>1</v>
      </c>
      <c r="DJ1246">
        <v>0</v>
      </c>
      <c r="DK1246">
        <v>0</v>
      </c>
      <c r="DL1246">
        <v>0</v>
      </c>
      <c r="DM1246">
        <v>0</v>
      </c>
      <c r="DN1246">
        <v>1</v>
      </c>
      <c r="DO1246">
        <v>0</v>
      </c>
      <c r="DP1246">
        <v>0</v>
      </c>
      <c r="DQ1246">
        <v>0</v>
      </c>
      <c r="DR1246">
        <v>0</v>
      </c>
      <c r="DS1246">
        <v>0</v>
      </c>
    </row>
    <row r="1247" spans="1:123" x14ac:dyDescent="0.3">
      <c r="A1247" t="str">
        <f>"10/04/2022 19:28:54.650"</f>
        <v>10/04/2022 19:28:54.650</v>
      </c>
      <c r="C1247" t="str">
        <f t="shared" si="416"/>
        <v>FFDDD3C0</v>
      </c>
      <c r="D1247" t="s">
        <v>147</v>
      </c>
      <c r="E1247">
        <v>3</v>
      </c>
      <c r="H1247">
        <v>166</v>
      </c>
      <c r="I1247" t="s">
        <v>144</v>
      </c>
      <c r="J1247" t="s">
        <v>148</v>
      </c>
      <c r="K1247">
        <v>0</v>
      </c>
      <c r="L1247">
        <v>3</v>
      </c>
      <c r="M1247">
        <v>0</v>
      </c>
      <c r="N1247">
        <v>2</v>
      </c>
      <c r="O1247">
        <v>0</v>
      </c>
      <c r="P1247">
        <v>1</v>
      </c>
      <c r="Q1247">
        <v>0</v>
      </c>
      <c r="S1247" t="str">
        <f t="shared" si="432"/>
        <v>19:28:54.000</v>
      </c>
      <c r="T1247" t="str">
        <f t="shared" si="432"/>
        <v>19:28:54.000</v>
      </c>
      <c r="U1247" t="str">
        <f t="shared" si="423"/>
        <v>AC3944</v>
      </c>
      <c r="V1247">
        <v>0</v>
      </c>
      <c r="W1247">
        <v>0</v>
      </c>
      <c r="X1247">
        <v>2</v>
      </c>
      <c r="Y1247">
        <v>0</v>
      </c>
      <c r="AA1247">
        <v>1</v>
      </c>
      <c r="AB1247">
        <v>8</v>
      </c>
      <c r="AC1247">
        <v>3</v>
      </c>
      <c r="AD1247">
        <v>0</v>
      </c>
      <c r="AE1247">
        <v>9</v>
      </c>
      <c r="AF1247" t="s">
        <v>138</v>
      </c>
      <c r="AG1247">
        <v>0</v>
      </c>
      <c r="AH1247">
        <v>3</v>
      </c>
      <c r="AI1247">
        <v>1</v>
      </c>
      <c r="AJ1247">
        <v>0</v>
      </c>
      <c r="AK1247" t="s">
        <v>490</v>
      </c>
      <c r="AL1247">
        <v>32.806077000000002</v>
      </c>
      <c r="AM1247" t="s">
        <v>491</v>
      </c>
      <c r="AN1247">
        <v>-116.905582</v>
      </c>
      <c r="AO1247">
        <v>25</v>
      </c>
      <c r="AP1247">
        <v>2400</v>
      </c>
      <c r="AQ1247" t="s">
        <v>129</v>
      </c>
      <c r="AR1247">
        <v>116</v>
      </c>
      <c r="AS1247">
        <v>-1</v>
      </c>
      <c r="AT1247">
        <v>832</v>
      </c>
      <c r="BB1247">
        <v>1200</v>
      </c>
      <c r="BC1247">
        <v>1</v>
      </c>
      <c r="BD1247" t="str">
        <f t="shared" si="424"/>
        <v xml:space="preserve">N887QR  </v>
      </c>
      <c r="BE1247">
        <v>1</v>
      </c>
      <c r="BJ1247">
        <v>2075</v>
      </c>
      <c r="BK1247">
        <v>-325</v>
      </c>
      <c r="BL1247" t="s">
        <v>163</v>
      </c>
      <c r="BM1247">
        <v>1</v>
      </c>
      <c r="BN1247">
        <v>1</v>
      </c>
      <c r="BO1247">
        <v>1</v>
      </c>
      <c r="BP1247">
        <v>0</v>
      </c>
      <c r="BS1247">
        <v>0.04</v>
      </c>
      <c r="BT1247">
        <v>0</v>
      </c>
      <c r="BU1247">
        <v>0</v>
      </c>
      <c r="CE1247" t="str">
        <f t="shared" si="433"/>
        <v>19:28:54.424</v>
      </c>
      <c r="CF1247">
        <v>424333436</v>
      </c>
      <c r="CS1247">
        <v>3</v>
      </c>
      <c r="CT1247">
        <v>2</v>
      </c>
      <c r="CU1247">
        <v>0</v>
      </c>
      <c r="CV1247">
        <v>2</v>
      </c>
      <c r="CW1247">
        <v>0</v>
      </c>
      <c r="CX1247">
        <v>5</v>
      </c>
      <c r="CY1247">
        <v>7</v>
      </c>
      <c r="CZ1247" t="s">
        <v>131</v>
      </c>
      <c r="DA1247">
        <v>300</v>
      </c>
      <c r="DB1247">
        <v>0</v>
      </c>
      <c r="DC1247" t="s">
        <v>176</v>
      </c>
      <c r="DD1247" t="s">
        <v>177</v>
      </c>
      <c r="DG1247">
        <v>5382245</v>
      </c>
      <c r="DI1247">
        <v>1</v>
      </c>
      <c r="DJ1247">
        <v>0</v>
      </c>
      <c r="DK1247">
        <v>1</v>
      </c>
      <c r="DL1247">
        <v>0</v>
      </c>
      <c r="DM1247">
        <v>0</v>
      </c>
      <c r="DN1247">
        <v>1</v>
      </c>
      <c r="DO1247">
        <v>0</v>
      </c>
      <c r="DP1247">
        <v>0</v>
      </c>
      <c r="DQ1247">
        <v>0</v>
      </c>
      <c r="DR1247">
        <v>0</v>
      </c>
      <c r="DS1247">
        <v>0</v>
      </c>
    </row>
    <row r="1248" spans="1:123" x14ac:dyDescent="0.3">
      <c r="A1248" t="str">
        <f>"10/04/2022 19:28:54.650"</f>
        <v>10/04/2022 19:28:54.650</v>
      </c>
      <c r="C1248" t="str">
        <f t="shared" si="416"/>
        <v>FFDDD3C0</v>
      </c>
      <c r="D1248" t="s">
        <v>136</v>
      </c>
      <c r="E1248">
        <v>8</v>
      </c>
      <c r="H1248">
        <v>225</v>
      </c>
      <c r="I1248" t="s">
        <v>137</v>
      </c>
      <c r="J1248" t="s">
        <v>138</v>
      </c>
      <c r="K1248">
        <v>0</v>
      </c>
      <c r="L1248">
        <v>3</v>
      </c>
      <c r="M1248">
        <v>0</v>
      </c>
      <c r="N1248">
        <v>2</v>
      </c>
      <c r="O1248">
        <v>0</v>
      </c>
      <c r="P1248">
        <v>1</v>
      </c>
      <c r="Q1248">
        <v>0</v>
      </c>
      <c r="S1248" t="str">
        <f t="shared" si="432"/>
        <v>19:28:54.000</v>
      </c>
      <c r="T1248" t="str">
        <f t="shared" si="432"/>
        <v>19:28:54.000</v>
      </c>
      <c r="U1248" t="str">
        <f t="shared" si="423"/>
        <v>AC3944</v>
      </c>
      <c r="V1248">
        <v>0</v>
      </c>
      <c r="W1248">
        <v>0</v>
      </c>
      <c r="X1248">
        <v>2</v>
      </c>
      <c r="Y1248">
        <v>0</v>
      </c>
      <c r="AA1248">
        <v>1</v>
      </c>
      <c r="AB1248">
        <v>8</v>
      </c>
      <c r="AC1248">
        <v>3</v>
      </c>
      <c r="AD1248">
        <v>0</v>
      </c>
      <c r="AE1248">
        <v>9</v>
      </c>
      <c r="AF1248" t="s">
        <v>138</v>
      </c>
      <c r="AG1248">
        <v>0</v>
      </c>
      <c r="AH1248">
        <v>3</v>
      </c>
      <c r="AI1248">
        <v>1</v>
      </c>
      <c r="AJ1248">
        <v>0</v>
      </c>
      <c r="AK1248" t="s">
        <v>490</v>
      </c>
      <c r="AL1248">
        <v>32.806077000000002</v>
      </c>
      <c r="AM1248" t="s">
        <v>491</v>
      </c>
      <c r="AN1248">
        <v>-116.905582</v>
      </c>
      <c r="AO1248">
        <v>25</v>
      </c>
      <c r="AP1248">
        <v>2400</v>
      </c>
      <c r="AQ1248" t="s">
        <v>129</v>
      </c>
      <c r="AR1248">
        <v>116</v>
      </c>
      <c r="AS1248">
        <v>-1</v>
      </c>
      <c r="AT1248">
        <v>832</v>
      </c>
      <c r="BB1248">
        <v>1200</v>
      </c>
      <c r="BC1248">
        <v>1</v>
      </c>
      <c r="BD1248" t="str">
        <f t="shared" si="424"/>
        <v xml:space="preserve">N887QR  </v>
      </c>
      <c r="BE1248">
        <v>1</v>
      </c>
      <c r="BJ1248">
        <v>2075</v>
      </c>
      <c r="BK1248">
        <v>-325</v>
      </c>
      <c r="BL1248" t="s">
        <v>163</v>
      </c>
      <c r="BM1248">
        <v>1</v>
      </c>
      <c r="BN1248">
        <v>1</v>
      </c>
      <c r="BO1248">
        <v>1</v>
      </c>
      <c r="BP1248">
        <v>0</v>
      </c>
      <c r="BS1248">
        <v>0.04</v>
      </c>
      <c r="BT1248">
        <v>0</v>
      </c>
      <c r="BU1248">
        <v>0</v>
      </c>
      <c r="CE1248" t="str">
        <f t="shared" si="433"/>
        <v>19:28:54.424</v>
      </c>
      <c r="CF1248">
        <v>424333436</v>
      </c>
      <c r="CS1248">
        <v>3</v>
      </c>
      <c r="CT1248">
        <v>2</v>
      </c>
      <c r="CU1248">
        <v>0</v>
      </c>
      <c r="CV1248">
        <v>2</v>
      </c>
      <c r="CW1248">
        <v>0</v>
      </c>
      <c r="CX1248">
        <v>5</v>
      </c>
      <c r="CY1248">
        <v>7</v>
      </c>
      <c r="CZ1248" t="s">
        <v>131</v>
      </c>
      <c r="DA1248">
        <v>300</v>
      </c>
      <c r="DB1248">
        <v>0</v>
      </c>
      <c r="DC1248" t="s">
        <v>176</v>
      </c>
      <c r="DD1248" t="s">
        <v>177</v>
      </c>
      <c r="DG1248">
        <v>5382245</v>
      </c>
      <c r="DI1248">
        <v>1</v>
      </c>
      <c r="DJ1248">
        <v>0</v>
      </c>
      <c r="DK1248">
        <v>1</v>
      </c>
      <c r="DL1248">
        <v>0</v>
      </c>
      <c r="DM1248">
        <v>0</v>
      </c>
      <c r="DN1248">
        <v>1</v>
      </c>
      <c r="DO1248">
        <v>0</v>
      </c>
      <c r="DP1248">
        <v>0</v>
      </c>
      <c r="DQ1248">
        <v>0</v>
      </c>
      <c r="DR1248">
        <v>0</v>
      </c>
      <c r="DS1248">
        <v>0</v>
      </c>
    </row>
    <row r="1249" spans="1:123" x14ac:dyDescent="0.3">
      <c r="A1249" t="str">
        <f>"10/04/2022 19:28:54.650"</f>
        <v>10/04/2022 19:28:54.650</v>
      </c>
      <c r="C1249" t="str">
        <f t="shared" si="416"/>
        <v>FFDDD3C0</v>
      </c>
      <c r="D1249" t="s">
        <v>123</v>
      </c>
      <c r="E1249">
        <v>7</v>
      </c>
      <c r="F1249">
        <v>2007</v>
      </c>
      <c r="G1249" t="s">
        <v>124</v>
      </c>
      <c r="J1249" t="s">
        <v>125</v>
      </c>
      <c r="K1249">
        <v>0</v>
      </c>
      <c r="L1249">
        <v>3</v>
      </c>
      <c r="M1249">
        <v>0</v>
      </c>
      <c r="N1249">
        <v>2</v>
      </c>
      <c r="O1249">
        <v>0</v>
      </c>
      <c r="P1249">
        <v>1</v>
      </c>
      <c r="Q1249">
        <v>0</v>
      </c>
      <c r="S1249" t="str">
        <f t="shared" si="432"/>
        <v>19:28:54.000</v>
      </c>
      <c r="T1249" t="str">
        <f t="shared" si="432"/>
        <v>19:28:54.000</v>
      </c>
      <c r="U1249" t="str">
        <f t="shared" si="423"/>
        <v>AC3944</v>
      </c>
      <c r="V1249">
        <v>0</v>
      </c>
      <c r="W1249">
        <v>0</v>
      </c>
      <c r="X1249">
        <v>2</v>
      </c>
      <c r="Y1249">
        <v>0</v>
      </c>
      <c r="AA1249">
        <v>1</v>
      </c>
      <c r="AB1249">
        <v>8</v>
      </c>
      <c r="AC1249">
        <v>3</v>
      </c>
      <c r="AD1249">
        <v>0</v>
      </c>
      <c r="AE1249">
        <v>9</v>
      </c>
      <c r="AF1249" t="s">
        <v>138</v>
      </c>
      <c r="AG1249">
        <v>0</v>
      </c>
      <c r="AH1249">
        <v>3</v>
      </c>
      <c r="AI1249">
        <v>1</v>
      </c>
      <c r="AJ1249">
        <v>0</v>
      </c>
      <c r="AK1249" t="s">
        <v>490</v>
      </c>
      <c r="AL1249">
        <v>32.806077000000002</v>
      </c>
      <c r="AM1249" t="s">
        <v>491</v>
      </c>
      <c r="AN1249">
        <v>-116.905582</v>
      </c>
      <c r="AO1249">
        <v>25</v>
      </c>
      <c r="AP1249">
        <v>2400</v>
      </c>
      <c r="AQ1249" t="s">
        <v>129</v>
      </c>
      <c r="AR1249">
        <v>116</v>
      </c>
      <c r="AS1249">
        <v>-1</v>
      </c>
      <c r="AT1249">
        <v>832</v>
      </c>
      <c r="BB1249">
        <v>1200</v>
      </c>
      <c r="BC1249">
        <v>1</v>
      </c>
      <c r="BD1249" t="str">
        <f t="shared" si="424"/>
        <v xml:space="preserve">N887QR  </v>
      </c>
      <c r="BE1249">
        <v>1</v>
      </c>
      <c r="BJ1249">
        <v>2075</v>
      </c>
      <c r="BK1249">
        <v>-325</v>
      </c>
      <c r="BL1249" t="s">
        <v>163</v>
      </c>
      <c r="BM1249">
        <v>1</v>
      </c>
      <c r="BN1249">
        <v>1</v>
      </c>
      <c r="BO1249">
        <v>1</v>
      </c>
      <c r="BP1249">
        <v>0</v>
      </c>
      <c r="BS1249">
        <v>0.04</v>
      </c>
      <c r="BT1249">
        <v>0</v>
      </c>
      <c r="BU1249">
        <v>0</v>
      </c>
      <c r="CE1249" t="str">
        <f t="shared" si="433"/>
        <v>19:28:54.424</v>
      </c>
      <c r="CF1249">
        <v>424333436</v>
      </c>
      <c r="CS1249">
        <v>3</v>
      </c>
      <c r="CT1249">
        <v>2</v>
      </c>
      <c r="CU1249">
        <v>0</v>
      </c>
      <c r="CV1249">
        <v>2</v>
      </c>
      <c r="CW1249">
        <v>0</v>
      </c>
      <c r="CX1249">
        <v>5</v>
      </c>
      <c r="CY1249">
        <v>7</v>
      </c>
      <c r="CZ1249" t="s">
        <v>131</v>
      </c>
      <c r="DA1249">
        <v>300</v>
      </c>
      <c r="DB1249">
        <v>0</v>
      </c>
      <c r="DC1249" t="s">
        <v>176</v>
      </c>
      <c r="DD1249" t="s">
        <v>177</v>
      </c>
      <c r="DG1249">
        <v>5382245</v>
      </c>
      <c r="DI1249">
        <v>1</v>
      </c>
      <c r="DJ1249">
        <v>0</v>
      </c>
      <c r="DK1249">
        <v>1</v>
      </c>
      <c r="DL1249">
        <v>0</v>
      </c>
      <c r="DM1249">
        <v>0</v>
      </c>
      <c r="DN1249">
        <v>1</v>
      </c>
      <c r="DO1249">
        <v>0</v>
      </c>
      <c r="DP1249">
        <v>0</v>
      </c>
      <c r="DQ1249">
        <v>0</v>
      </c>
      <c r="DR1249">
        <v>0</v>
      </c>
      <c r="DS1249">
        <v>0</v>
      </c>
    </row>
    <row r="1250" spans="1:123" x14ac:dyDescent="0.3">
      <c r="A1250" t="str">
        <f>"10/04/2022 19:28:54.650"</f>
        <v>10/04/2022 19:28:54.650</v>
      </c>
      <c r="C1250" t="str">
        <f t="shared" si="416"/>
        <v>FFDDD3C0</v>
      </c>
      <c r="D1250" t="s">
        <v>141</v>
      </c>
      <c r="E1250">
        <v>3</v>
      </c>
      <c r="H1250">
        <v>3</v>
      </c>
      <c r="I1250" t="s">
        <v>146</v>
      </c>
      <c r="J1250" t="s">
        <v>138</v>
      </c>
      <c r="K1250">
        <v>0</v>
      </c>
      <c r="L1250">
        <v>3</v>
      </c>
      <c r="M1250">
        <v>0</v>
      </c>
      <c r="N1250">
        <v>2</v>
      </c>
      <c r="O1250">
        <v>0</v>
      </c>
      <c r="P1250">
        <v>1</v>
      </c>
      <c r="Q1250">
        <v>0</v>
      </c>
      <c r="S1250" t="str">
        <f t="shared" si="432"/>
        <v>19:28:54.000</v>
      </c>
      <c r="T1250" t="str">
        <f t="shared" si="432"/>
        <v>19:28:54.000</v>
      </c>
      <c r="U1250" t="str">
        <f t="shared" si="423"/>
        <v>AC3944</v>
      </c>
      <c r="V1250">
        <v>0</v>
      </c>
      <c r="W1250">
        <v>0</v>
      </c>
      <c r="X1250">
        <v>2</v>
      </c>
      <c r="Y1250">
        <v>0</v>
      </c>
      <c r="AA1250">
        <v>1</v>
      </c>
      <c r="AB1250">
        <v>8</v>
      </c>
      <c r="AC1250">
        <v>3</v>
      </c>
      <c r="AD1250">
        <v>0</v>
      </c>
      <c r="AE1250">
        <v>9</v>
      </c>
      <c r="AF1250" t="s">
        <v>138</v>
      </c>
      <c r="AG1250">
        <v>0</v>
      </c>
      <c r="AH1250">
        <v>3</v>
      </c>
      <c r="AI1250">
        <v>1</v>
      </c>
      <c r="AJ1250">
        <v>0</v>
      </c>
      <c r="AK1250" t="s">
        <v>490</v>
      </c>
      <c r="AL1250">
        <v>32.806077000000002</v>
      </c>
      <c r="AM1250" t="s">
        <v>491</v>
      </c>
      <c r="AN1250">
        <v>-116.905582</v>
      </c>
      <c r="AO1250">
        <v>25</v>
      </c>
      <c r="AP1250">
        <v>2400</v>
      </c>
      <c r="AQ1250" t="s">
        <v>129</v>
      </c>
      <c r="AR1250">
        <v>116</v>
      </c>
      <c r="AS1250">
        <v>-1</v>
      </c>
      <c r="AT1250">
        <v>832</v>
      </c>
      <c r="BB1250">
        <v>1200</v>
      </c>
      <c r="BC1250">
        <v>1</v>
      </c>
      <c r="BD1250" t="str">
        <f t="shared" si="424"/>
        <v xml:space="preserve">N887QR  </v>
      </c>
      <c r="BE1250">
        <v>1</v>
      </c>
      <c r="BJ1250">
        <v>2075</v>
      </c>
      <c r="BK1250">
        <v>-325</v>
      </c>
      <c r="BL1250" t="s">
        <v>163</v>
      </c>
      <c r="BM1250">
        <v>1</v>
      </c>
      <c r="BN1250">
        <v>1</v>
      </c>
      <c r="BO1250">
        <v>1</v>
      </c>
      <c r="BP1250">
        <v>0</v>
      </c>
      <c r="BS1250">
        <v>0.04</v>
      </c>
      <c r="BT1250">
        <v>0</v>
      </c>
      <c r="BU1250">
        <v>0</v>
      </c>
      <c r="CE1250" t="str">
        <f t="shared" si="433"/>
        <v>19:28:54.424</v>
      </c>
      <c r="CF1250">
        <v>424333436</v>
      </c>
      <c r="CS1250">
        <v>3</v>
      </c>
      <c r="CT1250">
        <v>2</v>
      </c>
      <c r="CU1250">
        <v>0</v>
      </c>
      <c r="CV1250">
        <v>2</v>
      </c>
      <c r="CW1250">
        <v>0</v>
      </c>
      <c r="CX1250">
        <v>5</v>
      </c>
      <c r="CY1250">
        <v>7</v>
      </c>
      <c r="CZ1250" t="s">
        <v>131</v>
      </c>
      <c r="DA1250">
        <v>300</v>
      </c>
      <c r="DB1250">
        <v>0</v>
      </c>
      <c r="DC1250" t="s">
        <v>176</v>
      </c>
      <c r="DD1250" t="s">
        <v>177</v>
      </c>
      <c r="DG1250">
        <v>5382245</v>
      </c>
      <c r="DI1250">
        <v>1</v>
      </c>
      <c r="DJ1250">
        <v>0</v>
      </c>
      <c r="DK1250">
        <v>1</v>
      </c>
      <c r="DL1250">
        <v>0</v>
      </c>
      <c r="DM1250">
        <v>0</v>
      </c>
      <c r="DN1250">
        <v>1</v>
      </c>
      <c r="DO1250">
        <v>0</v>
      </c>
      <c r="DP1250">
        <v>0</v>
      </c>
      <c r="DQ1250">
        <v>0</v>
      </c>
      <c r="DR1250">
        <v>0</v>
      </c>
      <c r="DS1250">
        <v>0</v>
      </c>
    </row>
    <row r="1251" spans="1:123" x14ac:dyDescent="0.3">
      <c r="A1251" t="str">
        <f>"10/04/2022 19:28:54.666"</f>
        <v>10/04/2022 19:28:54.666</v>
      </c>
      <c r="C1251" t="str">
        <f t="shared" si="416"/>
        <v>FFDDD3C0</v>
      </c>
      <c r="D1251" t="s">
        <v>141</v>
      </c>
      <c r="E1251">
        <v>4</v>
      </c>
      <c r="H1251">
        <v>4</v>
      </c>
      <c r="I1251" t="s">
        <v>142</v>
      </c>
      <c r="J1251" t="s">
        <v>138</v>
      </c>
      <c r="K1251">
        <v>0</v>
      </c>
      <c r="L1251">
        <v>3</v>
      </c>
      <c r="M1251">
        <v>0</v>
      </c>
      <c r="N1251">
        <v>2</v>
      </c>
      <c r="O1251">
        <v>0</v>
      </c>
      <c r="P1251">
        <v>1</v>
      </c>
      <c r="Q1251">
        <v>0</v>
      </c>
      <c r="S1251" t="str">
        <f t="shared" si="432"/>
        <v>19:28:54.000</v>
      </c>
      <c r="T1251" t="str">
        <f t="shared" si="432"/>
        <v>19:28:54.000</v>
      </c>
      <c r="U1251" t="str">
        <f t="shared" si="423"/>
        <v>AC3944</v>
      </c>
      <c r="V1251">
        <v>0</v>
      </c>
      <c r="W1251">
        <v>0</v>
      </c>
      <c r="X1251">
        <v>2</v>
      </c>
      <c r="Y1251">
        <v>0</v>
      </c>
      <c r="AA1251">
        <v>1</v>
      </c>
      <c r="AB1251">
        <v>8</v>
      </c>
      <c r="AC1251">
        <v>3</v>
      </c>
      <c r="AD1251">
        <v>0</v>
      </c>
      <c r="AE1251">
        <v>9</v>
      </c>
      <c r="AF1251" t="s">
        <v>138</v>
      </c>
      <c r="AG1251">
        <v>0</v>
      </c>
      <c r="AH1251">
        <v>3</v>
      </c>
      <c r="AI1251">
        <v>1</v>
      </c>
      <c r="AJ1251">
        <v>0</v>
      </c>
      <c r="AK1251" t="s">
        <v>490</v>
      </c>
      <c r="AL1251">
        <v>32.806077000000002</v>
      </c>
      <c r="AM1251" t="s">
        <v>491</v>
      </c>
      <c r="AN1251">
        <v>-116.905582</v>
      </c>
      <c r="AO1251">
        <v>25</v>
      </c>
      <c r="AP1251">
        <v>2400</v>
      </c>
      <c r="AQ1251" t="s">
        <v>129</v>
      </c>
      <c r="AR1251">
        <v>116</v>
      </c>
      <c r="AS1251">
        <v>-1</v>
      </c>
      <c r="AT1251">
        <v>832</v>
      </c>
      <c r="BB1251">
        <v>1200</v>
      </c>
      <c r="BC1251">
        <v>1</v>
      </c>
      <c r="BD1251" t="str">
        <f t="shared" si="424"/>
        <v xml:space="preserve">N887QR  </v>
      </c>
      <c r="BE1251">
        <v>1</v>
      </c>
      <c r="BJ1251">
        <v>2075</v>
      </c>
      <c r="BK1251">
        <v>-325</v>
      </c>
      <c r="BL1251" t="s">
        <v>163</v>
      </c>
      <c r="BM1251">
        <v>1</v>
      </c>
      <c r="BN1251">
        <v>1</v>
      </c>
      <c r="BO1251">
        <v>1</v>
      </c>
      <c r="BP1251">
        <v>0</v>
      </c>
      <c r="BS1251">
        <v>0.04</v>
      </c>
      <c r="BT1251">
        <v>0</v>
      </c>
      <c r="BU1251">
        <v>0</v>
      </c>
      <c r="CE1251" t="str">
        <f t="shared" si="433"/>
        <v>19:28:54.424</v>
      </c>
      <c r="CF1251">
        <v>424333436</v>
      </c>
      <c r="CS1251">
        <v>3</v>
      </c>
      <c r="CT1251">
        <v>2</v>
      </c>
      <c r="CU1251">
        <v>0</v>
      </c>
      <c r="CV1251">
        <v>2</v>
      </c>
      <c r="CW1251">
        <v>0</v>
      </c>
      <c r="CX1251">
        <v>5</v>
      </c>
      <c r="CY1251">
        <v>7</v>
      </c>
      <c r="CZ1251" t="s">
        <v>131</v>
      </c>
      <c r="DA1251">
        <v>300</v>
      </c>
      <c r="DB1251">
        <v>0</v>
      </c>
      <c r="DC1251" t="s">
        <v>176</v>
      </c>
      <c r="DD1251" t="s">
        <v>177</v>
      </c>
      <c r="DG1251">
        <v>5382245</v>
      </c>
      <c r="DI1251">
        <v>1</v>
      </c>
      <c r="DJ1251">
        <v>0</v>
      </c>
      <c r="DK1251">
        <v>1</v>
      </c>
      <c r="DL1251">
        <v>0</v>
      </c>
      <c r="DM1251">
        <v>0</v>
      </c>
      <c r="DN1251">
        <v>1</v>
      </c>
      <c r="DO1251">
        <v>0</v>
      </c>
      <c r="DP1251">
        <v>0</v>
      </c>
      <c r="DQ1251">
        <v>0</v>
      </c>
      <c r="DR1251">
        <v>0</v>
      </c>
      <c r="DS1251">
        <v>0</v>
      </c>
    </row>
    <row r="1252" spans="1:123" x14ac:dyDescent="0.3">
      <c r="A1252" t="str">
        <f>"10/04/2022 19:28:54.681"</f>
        <v>10/04/2022 19:28:54.681</v>
      </c>
      <c r="C1252" t="str">
        <f t="shared" si="416"/>
        <v>FFDDD3C0</v>
      </c>
      <c r="D1252" t="s">
        <v>134</v>
      </c>
      <c r="E1252">
        <v>15</v>
      </c>
      <c r="J1252" t="s">
        <v>135</v>
      </c>
      <c r="K1252">
        <v>0</v>
      </c>
      <c r="L1252">
        <v>3</v>
      </c>
      <c r="M1252">
        <v>0</v>
      </c>
      <c r="N1252">
        <v>2</v>
      </c>
      <c r="O1252">
        <v>0</v>
      </c>
      <c r="P1252">
        <v>1</v>
      </c>
      <c r="Q1252">
        <v>0</v>
      </c>
      <c r="S1252" t="str">
        <f t="shared" si="432"/>
        <v>19:28:54.000</v>
      </c>
      <c r="T1252" t="str">
        <f t="shared" si="432"/>
        <v>19:28:54.000</v>
      </c>
      <c r="U1252" t="str">
        <f t="shared" si="423"/>
        <v>AC3944</v>
      </c>
      <c r="V1252">
        <v>0</v>
      </c>
      <c r="W1252">
        <v>0</v>
      </c>
      <c r="X1252">
        <v>2</v>
      </c>
      <c r="Y1252">
        <v>0</v>
      </c>
      <c r="AA1252">
        <v>1</v>
      </c>
      <c r="AB1252">
        <v>8</v>
      </c>
      <c r="AC1252">
        <v>3</v>
      </c>
      <c r="AD1252">
        <v>0</v>
      </c>
      <c r="AE1252">
        <v>9</v>
      </c>
      <c r="AF1252" t="s">
        <v>138</v>
      </c>
      <c r="AG1252">
        <v>0</v>
      </c>
      <c r="AH1252">
        <v>3</v>
      </c>
      <c r="AI1252">
        <v>1</v>
      </c>
      <c r="AJ1252">
        <v>0</v>
      </c>
      <c r="AK1252" t="s">
        <v>490</v>
      </c>
      <c r="AL1252">
        <v>32.806077000000002</v>
      </c>
      <c r="AM1252" t="s">
        <v>491</v>
      </c>
      <c r="AN1252">
        <v>-116.905582</v>
      </c>
      <c r="AO1252">
        <v>25</v>
      </c>
      <c r="AP1252">
        <v>2400</v>
      </c>
      <c r="AQ1252" t="s">
        <v>129</v>
      </c>
      <c r="AR1252">
        <v>116</v>
      </c>
      <c r="AS1252">
        <v>-1</v>
      </c>
      <c r="AT1252">
        <v>832</v>
      </c>
      <c r="BB1252">
        <v>1200</v>
      </c>
      <c r="BC1252">
        <v>1</v>
      </c>
      <c r="BD1252" t="str">
        <f t="shared" si="424"/>
        <v xml:space="preserve">N887QR  </v>
      </c>
      <c r="BE1252">
        <v>1</v>
      </c>
      <c r="BJ1252">
        <v>2075</v>
      </c>
      <c r="BK1252">
        <v>-325</v>
      </c>
      <c r="BL1252" t="s">
        <v>163</v>
      </c>
      <c r="BM1252">
        <v>1</v>
      </c>
      <c r="BN1252">
        <v>1</v>
      </c>
      <c r="BO1252">
        <v>1</v>
      </c>
      <c r="BP1252">
        <v>0</v>
      </c>
      <c r="BS1252">
        <v>0.04</v>
      </c>
      <c r="BT1252">
        <v>0</v>
      </c>
      <c r="BU1252">
        <v>0</v>
      </c>
      <c r="CE1252" t="str">
        <f t="shared" si="433"/>
        <v>19:28:54.424</v>
      </c>
      <c r="CF1252">
        <v>424333436</v>
      </c>
      <c r="CS1252">
        <v>3</v>
      </c>
      <c r="CT1252">
        <v>2</v>
      </c>
      <c r="CU1252">
        <v>0</v>
      </c>
      <c r="CV1252">
        <v>2</v>
      </c>
      <c r="CW1252">
        <v>0</v>
      </c>
      <c r="CX1252">
        <v>5</v>
      </c>
      <c r="CY1252">
        <v>7</v>
      </c>
      <c r="CZ1252" t="s">
        <v>131</v>
      </c>
      <c r="DA1252">
        <v>300</v>
      </c>
      <c r="DB1252">
        <v>0</v>
      </c>
      <c r="DC1252" t="s">
        <v>176</v>
      </c>
      <c r="DD1252" t="s">
        <v>177</v>
      </c>
      <c r="DG1252">
        <v>5382245</v>
      </c>
      <c r="DI1252">
        <v>1</v>
      </c>
      <c r="DJ1252">
        <v>0</v>
      </c>
      <c r="DK1252">
        <v>1</v>
      </c>
      <c r="DL1252">
        <v>0</v>
      </c>
      <c r="DM1252">
        <v>0</v>
      </c>
      <c r="DN1252">
        <v>1</v>
      </c>
      <c r="DO1252">
        <v>0</v>
      </c>
      <c r="DP1252">
        <v>0</v>
      </c>
      <c r="DQ1252">
        <v>0</v>
      </c>
      <c r="DR1252">
        <v>0</v>
      </c>
      <c r="DS1252">
        <v>0</v>
      </c>
    </row>
    <row r="1253" spans="1:123" x14ac:dyDescent="0.3">
      <c r="A1253" t="str">
        <f>"10/04/2022 19:28:56.430"</f>
        <v>10/04/2022 19:28:56.430</v>
      </c>
      <c r="C1253" t="str">
        <f t="shared" si="416"/>
        <v>FFDDD3C0</v>
      </c>
      <c r="D1253" t="s">
        <v>123</v>
      </c>
      <c r="E1253">
        <v>7</v>
      </c>
      <c r="F1253">
        <v>2007</v>
      </c>
      <c r="G1253" t="s">
        <v>124</v>
      </c>
      <c r="J1253" t="s">
        <v>125</v>
      </c>
      <c r="K1253">
        <v>0</v>
      </c>
      <c r="L1253">
        <v>3</v>
      </c>
      <c r="M1253">
        <v>0</v>
      </c>
      <c r="N1253">
        <v>2</v>
      </c>
      <c r="O1253">
        <v>0</v>
      </c>
      <c r="P1253">
        <v>1</v>
      </c>
      <c r="Q1253">
        <v>0</v>
      </c>
      <c r="S1253" t="str">
        <f t="shared" ref="S1253:T1259" si="434">"19:28:56.000"</f>
        <v>19:28:56.000</v>
      </c>
      <c r="T1253" t="str">
        <f t="shared" si="434"/>
        <v>19:28:56.000</v>
      </c>
      <c r="U1253" t="str">
        <f t="shared" si="423"/>
        <v>AC3944</v>
      </c>
      <c r="V1253">
        <v>0</v>
      </c>
      <c r="W1253">
        <v>0</v>
      </c>
      <c r="X1253">
        <v>2</v>
      </c>
      <c r="Y1253">
        <v>0</v>
      </c>
      <c r="AA1253">
        <v>1</v>
      </c>
      <c r="AB1253">
        <v>8</v>
      </c>
      <c r="AC1253">
        <v>3</v>
      </c>
      <c r="AD1253">
        <v>0</v>
      </c>
      <c r="AE1253">
        <v>9</v>
      </c>
      <c r="AF1253" t="s">
        <v>138</v>
      </c>
      <c r="AG1253">
        <v>0</v>
      </c>
      <c r="AH1253">
        <v>3</v>
      </c>
      <c r="AI1253">
        <v>1</v>
      </c>
      <c r="AJ1253">
        <v>0</v>
      </c>
      <c r="AK1253" t="s">
        <v>492</v>
      </c>
      <c r="AL1253">
        <v>32.806055999999998</v>
      </c>
      <c r="AM1253" t="s">
        <v>493</v>
      </c>
      <c r="AN1253">
        <v>-116.90442299999999</v>
      </c>
      <c r="AO1253">
        <v>25</v>
      </c>
      <c r="AP1253">
        <v>2400</v>
      </c>
      <c r="AQ1253" t="s">
        <v>129</v>
      </c>
      <c r="AR1253">
        <v>116</v>
      </c>
      <c r="AS1253">
        <v>-1</v>
      </c>
      <c r="AT1253">
        <v>768</v>
      </c>
      <c r="BB1253">
        <v>1200</v>
      </c>
      <c r="BC1253">
        <v>1</v>
      </c>
      <c r="BD1253" t="str">
        <f t="shared" si="424"/>
        <v xml:space="preserve">N887QR  </v>
      </c>
      <c r="BE1253">
        <v>1</v>
      </c>
      <c r="BJ1253">
        <v>2100</v>
      </c>
      <c r="BK1253">
        <v>-300</v>
      </c>
      <c r="BL1253" t="s">
        <v>163</v>
      </c>
      <c r="BM1253">
        <v>1</v>
      </c>
      <c r="BN1253">
        <v>1</v>
      </c>
      <c r="BO1253">
        <v>1</v>
      </c>
      <c r="BP1253">
        <v>0</v>
      </c>
      <c r="BS1253">
        <v>0.08</v>
      </c>
      <c r="BT1253">
        <v>0</v>
      </c>
      <c r="BU1253">
        <v>0</v>
      </c>
      <c r="CE1253" t="str">
        <f t="shared" ref="CE1253:CE1259" si="435">"19:28:56.199"</f>
        <v>19:28:56.199</v>
      </c>
      <c r="CF1253">
        <v>199339116</v>
      </c>
      <c r="CS1253">
        <v>3</v>
      </c>
      <c r="CT1253">
        <v>2</v>
      </c>
      <c r="CU1253">
        <v>0</v>
      </c>
      <c r="CV1253">
        <v>2</v>
      </c>
      <c r="CW1253">
        <v>0</v>
      </c>
      <c r="CX1253">
        <v>5</v>
      </c>
      <c r="CY1253">
        <v>7</v>
      </c>
      <c r="CZ1253" t="s">
        <v>131</v>
      </c>
      <c r="DA1253">
        <v>300</v>
      </c>
      <c r="DB1253">
        <v>0</v>
      </c>
      <c r="DC1253" t="s">
        <v>176</v>
      </c>
      <c r="DD1253" t="s">
        <v>177</v>
      </c>
      <c r="DG1253">
        <v>5382547</v>
      </c>
      <c r="DI1253">
        <v>1</v>
      </c>
      <c r="DJ1253">
        <v>0</v>
      </c>
      <c r="DK1253">
        <v>0</v>
      </c>
      <c r="DL1253">
        <v>0</v>
      </c>
      <c r="DM1253">
        <v>0</v>
      </c>
      <c r="DN1253">
        <v>1</v>
      </c>
      <c r="DO1253">
        <v>0</v>
      </c>
      <c r="DP1253">
        <v>0</v>
      </c>
      <c r="DQ1253">
        <v>0</v>
      </c>
      <c r="DR1253">
        <v>0</v>
      </c>
      <c r="DS1253">
        <v>0</v>
      </c>
    </row>
    <row r="1254" spans="1:123" x14ac:dyDescent="0.3">
      <c r="A1254" t="str">
        <f>"10/04/2022 19:28:56.430"</f>
        <v>10/04/2022 19:28:56.430</v>
      </c>
      <c r="C1254" t="str">
        <f t="shared" si="416"/>
        <v>FFDDD3C0</v>
      </c>
      <c r="D1254" t="s">
        <v>147</v>
      </c>
      <c r="E1254">
        <v>3</v>
      </c>
      <c r="H1254">
        <v>166</v>
      </c>
      <c r="I1254" t="s">
        <v>144</v>
      </c>
      <c r="J1254" t="s">
        <v>148</v>
      </c>
      <c r="K1254">
        <v>0</v>
      </c>
      <c r="L1254">
        <v>3</v>
      </c>
      <c r="M1254">
        <v>0</v>
      </c>
      <c r="N1254">
        <v>2</v>
      </c>
      <c r="O1254">
        <v>0</v>
      </c>
      <c r="P1254">
        <v>1</v>
      </c>
      <c r="Q1254">
        <v>0</v>
      </c>
      <c r="S1254" t="str">
        <f t="shared" si="434"/>
        <v>19:28:56.000</v>
      </c>
      <c r="T1254" t="str">
        <f t="shared" si="434"/>
        <v>19:28:56.000</v>
      </c>
      <c r="U1254" t="str">
        <f t="shared" si="423"/>
        <v>AC3944</v>
      </c>
      <c r="V1254">
        <v>0</v>
      </c>
      <c r="W1254">
        <v>0</v>
      </c>
      <c r="X1254">
        <v>2</v>
      </c>
      <c r="Y1254">
        <v>0</v>
      </c>
      <c r="AA1254">
        <v>1</v>
      </c>
      <c r="AB1254">
        <v>8</v>
      </c>
      <c r="AC1254">
        <v>3</v>
      </c>
      <c r="AD1254">
        <v>0</v>
      </c>
      <c r="AE1254">
        <v>9</v>
      </c>
      <c r="AF1254" t="s">
        <v>138</v>
      </c>
      <c r="AG1254">
        <v>0</v>
      </c>
      <c r="AH1254">
        <v>3</v>
      </c>
      <c r="AI1254">
        <v>1</v>
      </c>
      <c r="AJ1254">
        <v>0</v>
      </c>
      <c r="AK1254" t="s">
        <v>492</v>
      </c>
      <c r="AL1254">
        <v>32.806055999999998</v>
      </c>
      <c r="AM1254" t="s">
        <v>493</v>
      </c>
      <c r="AN1254">
        <v>-116.90442299999999</v>
      </c>
      <c r="AO1254">
        <v>25</v>
      </c>
      <c r="AP1254">
        <v>2400</v>
      </c>
      <c r="AQ1254" t="s">
        <v>129</v>
      </c>
      <c r="AR1254">
        <v>116</v>
      </c>
      <c r="AS1254">
        <v>-1</v>
      </c>
      <c r="AT1254">
        <v>768</v>
      </c>
      <c r="BB1254">
        <v>1200</v>
      </c>
      <c r="BC1254">
        <v>1</v>
      </c>
      <c r="BD1254" t="str">
        <f t="shared" si="424"/>
        <v xml:space="preserve">N887QR  </v>
      </c>
      <c r="BE1254">
        <v>1</v>
      </c>
      <c r="BJ1254">
        <v>2100</v>
      </c>
      <c r="BK1254">
        <v>-300</v>
      </c>
      <c r="BL1254" t="s">
        <v>163</v>
      </c>
      <c r="BM1254">
        <v>1</v>
      </c>
      <c r="BN1254">
        <v>1</v>
      </c>
      <c r="BO1254">
        <v>1</v>
      </c>
      <c r="BP1254">
        <v>0</v>
      </c>
      <c r="BS1254">
        <v>0.08</v>
      </c>
      <c r="BT1254">
        <v>0</v>
      </c>
      <c r="BU1254">
        <v>0</v>
      </c>
      <c r="CE1254" t="str">
        <f t="shared" si="435"/>
        <v>19:28:56.199</v>
      </c>
      <c r="CF1254">
        <v>199339116</v>
      </c>
      <c r="CS1254">
        <v>3</v>
      </c>
      <c r="CT1254">
        <v>2</v>
      </c>
      <c r="CU1254">
        <v>0</v>
      </c>
      <c r="CV1254">
        <v>2</v>
      </c>
      <c r="CW1254">
        <v>0</v>
      </c>
      <c r="CX1254">
        <v>5</v>
      </c>
      <c r="CY1254">
        <v>7</v>
      </c>
      <c r="CZ1254" t="s">
        <v>131</v>
      </c>
      <c r="DA1254">
        <v>300</v>
      </c>
      <c r="DB1254">
        <v>0</v>
      </c>
      <c r="DC1254" t="s">
        <v>176</v>
      </c>
      <c r="DD1254" t="s">
        <v>177</v>
      </c>
      <c r="DG1254">
        <v>5382547</v>
      </c>
      <c r="DI1254">
        <v>1</v>
      </c>
      <c r="DJ1254">
        <v>0</v>
      </c>
      <c r="DK1254">
        <v>1</v>
      </c>
      <c r="DL1254">
        <v>0</v>
      </c>
      <c r="DM1254">
        <v>0</v>
      </c>
      <c r="DN1254">
        <v>1</v>
      </c>
      <c r="DO1254">
        <v>0</v>
      </c>
      <c r="DP1254">
        <v>0</v>
      </c>
      <c r="DQ1254">
        <v>0</v>
      </c>
      <c r="DR1254">
        <v>0</v>
      </c>
      <c r="DS1254">
        <v>0</v>
      </c>
    </row>
    <row r="1255" spans="1:123" x14ac:dyDescent="0.3">
      <c r="A1255" t="str">
        <f>"10/04/2022 19:28:56.430"</f>
        <v>10/04/2022 19:28:56.430</v>
      </c>
      <c r="C1255" t="str">
        <f t="shared" si="416"/>
        <v>FFDDD3C0</v>
      </c>
      <c r="D1255" t="s">
        <v>136</v>
      </c>
      <c r="E1255">
        <v>8</v>
      </c>
      <c r="H1255">
        <v>225</v>
      </c>
      <c r="I1255" t="s">
        <v>137</v>
      </c>
      <c r="J1255" t="s">
        <v>138</v>
      </c>
      <c r="K1255">
        <v>0</v>
      </c>
      <c r="L1255">
        <v>3</v>
      </c>
      <c r="M1255">
        <v>0</v>
      </c>
      <c r="N1255">
        <v>2</v>
      </c>
      <c r="O1255">
        <v>0</v>
      </c>
      <c r="P1255">
        <v>1</v>
      </c>
      <c r="Q1255">
        <v>0</v>
      </c>
      <c r="S1255" t="str">
        <f t="shared" si="434"/>
        <v>19:28:56.000</v>
      </c>
      <c r="T1255" t="str">
        <f t="shared" si="434"/>
        <v>19:28:56.000</v>
      </c>
      <c r="U1255" t="str">
        <f t="shared" si="423"/>
        <v>AC3944</v>
      </c>
      <c r="V1255">
        <v>0</v>
      </c>
      <c r="W1255">
        <v>0</v>
      </c>
      <c r="X1255">
        <v>2</v>
      </c>
      <c r="Y1255">
        <v>0</v>
      </c>
      <c r="AA1255">
        <v>1</v>
      </c>
      <c r="AB1255">
        <v>8</v>
      </c>
      <c r="AC1255">
        <v>3</v>
      </c>
      <c r="AD1255">
        <v>0</v>
      </c>
      <c r="AE1255">
        <v>9</v>
      </c>
      <c r="AF1255" t="s">
        <v>138</v>
      </c>
      <c r="AG1255">
        <v>0</v>
      </c>
      <c r="AH1255">
        <v>3</v>
      </c>
      <c r="AI1255">
        <v>1</v>
      </c>
      <c r="AJ1255">
        <v>0</v>
      </c>
      <c r="AK1255" t="s">
        <v>492</v>
      </c>
      <c r="AL1255">
        <v>32.806055999999998</v>
      </c>
      <c r="AM1255" t="s">
        <v>493</v>
      </c>
      <c r="AN1255">
        <v>-116.90442299999999</v>
      </c>
      <c r="AO1255">
        <v>25</v>
      </c>
      <c r="AP1255">
        <v>2400</v>
      </c>
      <c r="AQ1255" t="s">
        <v>129</v>
      </c>
      <c r="AR1255">
        <v>116</v>
      </c>
      <c r="AS1255">
        <v>-1</v>
      </c>
      <c r="AT1255">
        <v>768</v>
      </c>
      <c r="BB1255">
        <v>1200</v>
      </c>
      <c r="BC1255">
        <v>1</v>
      </c>
      <c r="BD1255" t="str">
        <f t="shared" si="424"/>
        <v xml:space="preserve">N887QR  </v>
      </c>
      <c r="BE1255">
        <v>1</v>
      </c>
      <c r="BJ1255">
        <v>2100</v>
      </c>
      <c r="BK1255">
        <v>-300</v>
      </c>
      <c r="BL1255" t="s">
        <v>163</v>
      </c>
      <c r="BM1255">
        <v>1</v>
      </c>
      <c r="BN1255">
        <v>1</v>
      </c>
      <c r="BO1255">
        <v>1</v>
      </c>
      <c r="BP1255">
        <v>0</v>
      </c>
      <c r="BS1255">
        <v>0.08</v>
      </c>
      <c r="BT1255">
        <v>0</v>
      </c>
      <c r="BU1255">
        <v>0</v>
      </c>
      <c r="CE1255" t="str">
        <f t="shared" si="435"/>
        <v>19:28:56.199</v>
      </c>
      <c r="CF1255">
        <v>199339116</v>
      </c>
      <c r="CS1255">
        <v>3</v>
      </c>
      <c r="CT1255">
        <v>2</v>
      </c>
      <c r="CU1255">
        <v>0</v>
      </c>
      <c r="CV1255">
        <v>2</v>
      </c>
      <c r="CW1255">
        <v>0</v>
      </c>
      <c r="CX1255">
        <v>5</v>
      </c>
      <c r="CY1255">
        <v>7</v>
      </c>
      <c r="CZ1255" t="s">
        <v>131</v>
      </c>
      <c r="DA1255">
        <v>300</v>
      </c>
      <c r="DB1255">
        <v>0</v>
      </c>
      <c r="DC1255" t="s">
        <v>176</v>
      </c>
      <c r="DD1255" t="s">
        <v>177</v>
      </c>
      <c r="DG1255">
        <v>5382547</v>
      </c>
      <c r="DI1255">
        <v>1</v>
      </c>
      <c r="DJ1255">
        <v>0</v>
      </c>
      <c r="DK1255">
        <v>1</v>
      </c>
      <c r="DL1255">
        <v>0</v>
      </c>
      <c r="DM1255">
        <v>0</v>
      </c>
      <c r="DN1255">
        <v>1</v>
      </c>
      <c r="DO1255">
        <v>0</v>
      </c>
      <c r="DP1255">
        <v>0</v>
      </c>
      <c r="DQ1255">
        <v>0</v>
      </c>
      <c r="DR1255">
        <v>0</v>
      </c>
      <c r="DS1255">
        <v>0</v>
      </c>
    </row>
    <row r="1256" spans="1:123" x14ac:dyDescent="0.3">
      <c r="A1256" t="str">
        <f>"10/04/2022 19:28:56.430"</f>
        <v>10/04/2022 19:28:56.430</v>
      </c>
      <c r="C1256" t="str">
        <f t="shared" si="416"/>
        <v>FFDDD3C0</v>
      </c>
      <c r="D1256" t="s">
        <v>141</v>
      </c>
      <c r="E1256">
        <v>3</v>
      </c>
      <c r="H1256">
        <v>3</v>
      </c>
      <c r="I1256" t="s">
        <v>146</v>
      </c>
      <c r="J1256" t="s">
        <v>138</v>
      </c>
      <c r="K1256">
        <v>0</v>
      </c>
      <c r="L1256">
        <v>3</v>
      </c>
      <c r="M1256">
        <v>0</v>
      </c>
      <c r="N1256">
        <v>2</v>
      </c>
      <c r="O1256">
        <v>0</v>
      </c>
      <c r="P1256">
        <v>1</v>
      </c>
      <c r="Q1256">
        <v>0</v>
      </c>
      <c r="S1256" t="str">
        <f t="shared" si="434"/>
        <v>19:28:56.000</v>
      </c>
      <c r="T1256" t="str">
        <f t="shared" si="434"/>
        <v>19:28:56.000</v>
      </c>
      <c r="U1256" t="str">
        <f t="shared" si="423"/>
        <v>AC3944</v>
      </c>
      <c r="V1256">
        <v>0</v>
      </c>
      <c r="W1256">
        <v>0</v>
      </c>
      <c r="X1256">
        <v>2</v>
      </c>
      <c r="Y1256">
        <v>0</v>
      </c>
      <c r="AA1256">
        <v>1</v>
      </c>
      <c r="AB1256">
        <v>8</v>
      </c>
      <c r="AC1256">
        <v>3</v>
      </c>
      <c r="AD1256">
        <v>0</v>
      </c>
      <c r="AE1256">
        <v>9</v>
      </c>
      <c r="AF1256" t="s">
        <v>138</v>
      </c>
      <c r="AG1256">
        <v>0</v>
      </c>
      <c r="AH1256">
        <v>3</v>
      </c>
      <c r="AI1256">
        <v>1</v>
      </c>
      <c r="AJ1256">
        <v>0</v>
      </c>
      <c r="AK1256" t="s">
        <v>492</v>
      </c>
      <c r="AL1256">
        <v>32.806055999999998</v>
      </c>
      <c r="AM1256" t="s">
        <v>493</v>
      </c>
      <c r="AN1256">
        <v>-116.90442299999999</v>
      </c>
      <c r="AO1256">
        <v>25</v>
      </c>
      <c r="AP1256">
        <v>2400</v>
      </c>
      <c r="AQ1256" t="s">
        <v>129</v>
      </c>
      <c r="AR1256">
        <v>116</v>
      </c>
      <c r="AS1256">
        <v>-1</v>
      </c>
      <c r="AT1256">
        <v>768</v>
      </c>
      <c r="BB1256">
        <v>1200</v>
      </c>
      <c r="BC1256">
        <v>1</v>
      </c>
      <c r="BD1256" t="str">
        <f t="shared" si="424"/>
        <v xml:space="preserve">N887QR  </v>
      </c>
      <c r="BE1256">
        <v>1</v>
      </c>
      <c r="BJ1256">
        <v>2100</v>
      </c>
      <c r="BK1256">
        <v>-300</v>
      </c>
      <c r="BL1256" t="s">
        <v>163</v>
      </c>
      <c r="BM1256">
        <v>1</v>
      </c>
      <c r="BN1256">
        <v>1</v>
      </c>
      <c r="BO1256">
        <v>1</v>
      </c>
      <c r="BP1256">
        <v>0</v>
      </c>
      <c r="BS1256">
        <v>0.08</v>
      </c>
      <c r="BT1256">
        <v>0</v>
      </c>
      <c r="BU1256">
        <v>0</v>
      </c>
      <c r="CE1256" t="str">
        <f t="shared" si="435"/>
        <v>19:28:56.199</v>
      </c>
      <c r="CF1256">
        <v>199339116</v>
      </c>
      <c r="CS1256">
        <v>3</v>
      </c>
      <c r="CT1256">
        <v>2</v>
      </c>
      <c r="CU1256">
        <v>0</v>
      </c>
      <c r="CV1256">
        <v>2</v>
      </c>
      <c r="CW1256">
        <v>0</v>
      </c>
      <c r="CX1256">
        <v>5</v>
      </c>
      <c r="CY1256">
        <v>7</v>
      </c>
      <c r="CZ1256" t="s">
        <v>131</v>
      </c>
      <c r="DA1256">
        <v>300</v>
      </c>
      <c r="DB1256">
        <v>0</v>
      </c>
      <c r="DC1256" t="s">
        <v>176</v>
      </c>
      <c r="DD1256" t="s">
        <v>177</v>
      </c>
      <c r="DG1256">
        <v>5382547</v>
      </c>
      <c r="DI1256">
        <v>1</v>
      </c>
      <c r="DJ1256">
        <v>0</v>
      </c>
      <c r="DK1256">
        <v>1</v>
      </c>
      <c r="DL1256">
        <v>0</v>
      </c>
      <c r="DM1256">
        <v>0</v>
      </c>
      <c r="DN1256">
        <v>1</v>
      </c>
      <c r="DO1256">
        <v>0</v>
      </c>
      <c r="DP1256">
        <v>0</v>
      </c>
      <c r="DQ1256">
        <v>0</v>
      </c>
      <c r="DR1256">
        <v>0</v>
      </c>
      <c r="DS1256">
        <v>0</v>
      </c>
    </row>
    <row r="1257" spans="1:123" x14ac:dyDescent="0.3">
      <c r="A1257" t="str">
        <f>"10/04/2022 19:28:56.430"</f>
        <v>10/04/2022 19:28:56.430</v>
      </c>
      <c r="C1257" t="str">
        <f t="shared" si="416"/>
        <v>FFDDD3C0</v>
      </c>
      <c r="D1257" t="s">
        <v>141</v>
      </c>
      <c r="E1257">
        <v>4</v>
      </c>
      <c r="H1257">
        <v>4</v>
      </c>
      <c r="I1257" t="s">
        <v>142</v>
      </c>
      <c r="J1257" t="s">
        <v>138</v>
      </c>
      <c r="K1257">
        <v>0</v>
      </c>
      <c r="L1257">
        <v>3</v>
      </c>
      <c r="M1257">
        <v>0</v>
      </c>
      <c r="N1257">
        <v>2</v>
      </c>
      <c r="O1257">
        <v>0</v>
      </c>
      <c r="P1257">
        <v>1</v>
      </c>
      <c r="Q1257">
        <v>0</v>
      </c>
      <c r="S1257" t="str">
        <f t="shared" si="434"/>
        <v>19:28:56.000</v>
      </c>
      <c r="T1257" t="str">
        <f t="shared" si="434"/>
        <v>19:28:56.000</v>
      </c>
      <c r="U1257" t="str">
        <f t="shared" si="423"/>
        <v>AC3944</v>
      </c>
      <c r="V1257">
        <v>0</v>
      </c>
      <c r="W1257">
        <v>0</v>
      </c>
      <c r="X1257">
        <v>2</v>
      </c>
      <c r="Y1257">
        <v>0</v>
      </c>
      <c r="AA1257">
        <v>1</v>
      </c>
      <c r="AB1257">
        <v>8</v>
      </c>
      <c r="AC1257">
        <v>3</v>
      </c>
      <c r="AD1257">
        <v>0</v>
      </c>
      <c r="AE1257">
        <v>9</v>
      </c>
      <c r="AF1257" t="s">
        <v>138</v>
      </c>
      <c r="AG1257">
        <v>0</v>
      </c>
      <c r="AH1257">
        <v>3</v>
      </c>
      <c r="AI1257">
        <v>1</v>
      </c>
      <c r="AJ1257">
        <v>0</v>
      </c>
      <c r="AK1257" t="s">
        <v>492</v>
      </c>
      <c r="AL1257">
        <v>32.806055999999998</v>
      </c>
      <c r="AM1257" t="s">
        <v>493</v>
      </c>
      <c r="AN1257">
        <v>-116.90442299999999</v>
      </c>
      <c r="AO1257">
        <v>25</v>
      </c>
      <c r="AP1257">
        <v>2400</v>
      </c>
      <c r="AQ1257" t="s">
        <v>129</v>
      </c>
      <c r="AR1257">
        <v>116</v>
      </c>
      <c r="AS1257">
        <v>-1</v>
      </c>
      <c r="AT1257">
        <v>768</v>
      </c>
      <c r="BB1257">
        <v>1200</v>
      </c>
      <c r="BC1257">
        <v>1</v>
      </c>
      <c r="BD1257" t="str">
        <f t="shared" si="424"/>
        <v xml:space="preserve">N887QR  </v>
      </c>
      <c r="BE1257">
        <v>1</v>
      </c>
      <c r="BJ1257">
        <v>2100</v>
      </c>
      <c r="BK1257">
        <v>-300</v>
      </c>
      <c r="BL1257" t="s">
        <v>163</v>
      </c>
      <c r="BM1257">
        <v>1</v>
      </c>
      <c r="BN1257">
        <v>1</v>
      </c>
      <c r="BO1257">
        <v>1</v>
      </c>
      <c r="BP1257">
        <v>0</v>
      </c>
      <c r="BS1257">
        <v>0.08</v>
      </c>
      <c r="BT1257">
        <v>0</v>
      </c>
      <c r="BU1257">
        <v>0</v>
      </c>
      <c r="CE1257" t="str">
        <f t="shared" si="435"/>
        <v>19:28:56.199</v>
      </c>
      <c r="CF1257">
        <v>199339116</v>
      </c>
      <c r="CS1257">
        <v>3</v>
      </c>
      <c r="CT1257">
        <v>2</v>
      </c>
      <c r="CU1257">
        <v>0</v>
      </c>
      <c r="CV1257">
        <v>2</v>
      </c>
      <c r="CW1257">
        <v>0</v>
      </c>
      <c r="CX1257">
        <v>5</v>
      </c>
      <c r="CY1257">
        <v>7</v>
      </c>
      <c r="CZ1257" t="s">
        <v>131</v>
      </c>
      <c r="DA1257">
        <v>300</v>
      </c>
      <c r="DB1257">
        <v>0</v>
      </c>
      <c r="DC1257" t="s">
        <v>176</v>
      </c>
      <c r="DD1257" t="s">
        <v>177</v>
      </c>
      <c r="DG1257">
        <v>5382547</v>
      </c>
      <c r="DI1257">
        <v>1</v>
      </c>
      <c r="DJ1257">
        <v>0</v>
      </c>
      <c r="DK1257">
        <v>1</v>
      </c>
      <c r="DL1257">
        <v>0</v>
      </c>
      <c r="DM1257">
        <v>0</v>
      </c>
      <c r="DN1257">
        <v>1</v>
      </c>
      <c r="DO1257">
        <v>0</v>
      </c>
      <c r="DP1257">
        <v>0</v>
      </c>
      <c r="DQ1257">
        <v>0</v>
      </c>
      <c r="DR1257">
        <v>0</v>
      </c>
      <c r="DS1257">
        <v>0</v>
      </c>
    </row>
    <row r="1258" spans="1:123" x14ac:dyDescent="0.3">
      <c r="A1258" t="str">
        <f>"10/04/2022 19:28:56.462"</f>
        <v>10/04/2022 19:28:56.462</v>
      </c>
      <c r="C1258" t="str">
        <f t="shared" si="416"/>
        <v>FFDDD3C0</v>
      </c>
      <c r="D1258" t="s">
        <v>134</v>
      </c>
      <c r="E1258">
        <v>15</v>
      </c>
      <c r="J1258" t="s">
        <v>135</v>
      </c>
      <c r="K1258">
        <v>0</v>
      </c>
      <c r="L1258">
        <v>3</v>
      </c>
      <c r="M1258">
        <v>0</v>
      </c>
      <c r="N1258">
        <v>2</v>
      </c>
      <c r="O1258">
        <v>0</v>
      </c>
      <c r="P1258">
        <v>1</v>
      </c>
      <c r="Q1258">
        <v>0</v>
      </c>
      <c r="S1258" t="str">
        <f t="shared" si="434"/>
        <v>19:28:56.000</v>
      </c>
      <c r="T1258" t="str">
        <f t="shared" si="434"/>
        <v>19:28:56.000</v>
      </c>
      <c r="U1258" t="str">
        <f t="shared" si="423"/>
        <v>AC3944</v>
      </c>
      <c r="V1258">
        <v>0</v>
      </c>
      <c r="W1258">
        <v>0</v>
      </c>
      <c r="X1258">
        <v>2</v>
      </c>
      <c r="Y1258">
        <v>0</v>
      </c>
      <c r="AA1258">
        <v>1</v>
      </c>
      <c r="AB1258">
        <v>8</v>
      </c>
      <c r="AC1258">
        <v>3</v>
      </c>
      <c r="AD1258">
        <v>0</v>
      </c>
      <c r="AE1258">
        <v>9</v>
      </c>
      <c r="AF1258" t="s">
        <v>138</v>
      </c>
      <c r="AG1258">
        <v>0</v>
      </c>
      <c r="AH1258">
        <v>3</v>
      </c>
      <c r="AI1258">
        <v>1</v>
      </c>
      <c r="AJ1258">
        <v>0</v>
      </c>
      <c r="AK1258" t="s">
        <v>492</v>
      </c>
      <c r="AL1258">
        <v>32.806055999999998</v>
      </c>
      <c r="AM1258" t="s">
        <v>493</v>
      </c>
      <c r="AN1258">
        <v>-116.90442299999999</v>
      </c>
      <c r="AO1258">
        <v>25</v>
      </c>
      <c r="AP1258">
        <v>2400</v>
      </c>
      <c r="AQ1258" t="s">
        <v>129</v>
      </c>
      <c r="AR1258">
        <v>116</v>
      </c>
      <c r="AS1258">
        <v>-1</v>
      </c>
      <c r="AT1258">
        <v>768</v>
      </c>
      <c r="BB1258">
        <v>1200</v>
      </c>
      <c r="BC1258">
        <v>1</v>
      </c>
      <c r="BD1258" t="str">
        <f t="shared" si="424"/>
        <v xml:space="preserve">N887QR  </v>
      </c>
      <c r="BE1258">
        <v>1</v>
      </c>
      <c r="BJ1258">
        <v>2100</v>
      </c>
      <c r="BK1258">
        <v>-300</v>
      </c>
      <c r="BL1258" t="s">
        <v>163</v>
      </c>
      <c r="BM1258">
        <v>1</v>
      </c>
      <c r="BN1258">
        <v>1</v>
      </c>
      <c r="BO1258">
        <v>1</v>
      </c>
      <c r="BP1258">
        <v>0</v>
      </c>
      <c r="BS1258">
        <v>0.08</v>
      </c>
      <c r="BT1258">
        <v>0</v>
      </c>
      <c r="BU1258">
        <v>0</v>
      </c>
      <c r="CE1258" t="str">
        <f t="shared" si="435"/>
        <v>19:28:56.199</v>
      </c>
      <c r="CF1258">
        <v>199339116</v>
      </c>
      <c r="CS1258">
        <v>3</v>
      </c>
      <c r="CT1258">
        <v>2</v>
      </c>
      <c r="CU1258">
        <v>0</v>
      </c>
      <c r="CV1258">
        <v>2</v>
      </c>
      <c r="CW1258">
        <v>0</v>
      </c>
      <c r="CX1258">
        <v>5</v>
      </c>
      <c r="CY1258">
        <v>7</v>
      </c>
      <c r="CZ1258" t="s">
        <v>131</v>
      </c>
      <c r="DA1258">
        <v>300</v>
      </c>
      <c r="DB1258">
        <v>0</v>
      </c>
      <c r="DC1258" t="s">
        <v>176</v>
      </c>
      <c r="DD1258" t="s">
        <v>177</v>
      </c>
      <c r="DG1258">
        <v>5382547</v>
      </c>
      <c r="DI1258">
        <v>1</v>
      </c>
      <c r="DJ1258">
        <v>0</v>
      </c>
      <c r="DK1258">
        <v>1</v>
      </c>
      <c r="DL1258">
        <v>0</v>
      </c>
      <c r="DM1258">
        <v>0</v>
      </c>
      <c r="DN1258">
        <v>1</v>
      </c>
      <c r="DO1258">
        <v>0</v>
      </c>
      <c r="DP1258">
        <v>0</v>
      </c>
      <c r="DQ1258">
        <v>0</v>
      </c>
      <c r="DR1258">
        <v>0</v>
      </c>
      <c r="DS1258">
        <v>0</v>
      </c>
    </row>
    <row r="1259" spans="1:123" x14ac:dyDescent="0.3">
      <c r="A1259" t="str">
        <f>"10/04/2022 19:28:56.462"</f>
        <v>10/04/2022 19:28:56.462</v>
      </c>
      <c r="C1259" t="str">
        <f t="shared" si="416"/>
        <v>FFDDD3C0</v>
      </c>
      <c r="D1259" t="s">
        <v>143</v>
      </c>
      <c r="E1259">
        <v>20</v>
      </c>
      <c r="F1259">
        <v>1020</v>
      </c>
      <c r="G1259" t="s">
        <v>144</v>
      </c>
      <c r="J1259" t="s">
        <v>145</v>
      </c>
      <c r="K1259">
        <v>0</v>
      </c>
      <c r="L1259">
        <v>3</v>
      </c>
      <c r="M1259">
        <v>0</v>
      </c>
      <c r="N1259">
        <v>2</v>
      </c>
      <c r="O1259">
        <v>0</v>
      </c>
      <c r="P1259">
        <v>1</v>
      </c>
      <c r="Q1259">
        <v>0</v>
      </c>
      <c r="S1259" t="str">
        <f t="shared" si="434"/>
        <v>19:28:56.000</v>
      </c>
      <c r="T1259" t="str">
        <f t="shared" si="434"/>
        <v>19:28:56.000</v>
      </c>
      <c r="U1259" t="str">
        <f t="shared" si="423"/>
        <v>AC3944</v>
      </c>
      <c r="V1259">
        <v>0</v>
      </c>
      <c r="W1259">
        <v>0</v>
      </c>
      <c r="X1259">
        <v>2</v>
      </c>
      <c r="Y1259">
        <v>0</v>
      </c>
      <c r="AA1259">
        <v>1</v>
      </c>
      <c r="AB1259">
        <v>8</v>
      </c>
      <c r="AC1259">
        <v>3</v>
      </c>
      <c r="AD1259">
        <v>0</v>
      </c>
      <c r="AE1259">
        <v>9</v>
      </c>
      <c r="AF1259" t="s">
        <v>138</v>
      </c>
      <c r="AG1259">
        <v>0</v>
      </c>
      <c r="AH1259">
        <v>3</v>
      </c>
      <c r="AI1259">
        <v>1</v>
      </c>
      <c r="AJ1259">
        <v>0</v>
      </c>
      <c r="AK1259" t="s">
        <v>492</v>
      </c>
      <c r="AL1259">
        <v>32.806055999999998</v>
      </c>
      <c r="AM1259" t="s">
        <v>493</v>
      </c>
      <c r="AN1259">
        <v>-116.90442299999999</v>
      </c>
      <c r="AO1259">
        <v>25</v>
      </c>
      <c r="AP1259">
        <v>2400</v>
      </c>
      <c r="AQ1259" t="s">
        <v>129</v>
      </c>
      <c r="AR1259">
        <v>116</v>
      </c>
      <c r="AS1259">
        <v>-1</v>
      </c>
      <c r="AT1259">
        <v>768</v>
      </c>
      <c r="BB1259">
        <v>1200</v>
      </c>
      <c r="BC1259">
        <v>1</v>
      </c>
      <c r="BD1259" t="str">
        <f t="shared" si="424"/>
        <v xml:space="preserve">N887QR  </v>
      </c>
      <c r="BE1259">
        <v>1</v>
      </c>
      <c r="BJ1259">
        <v>2100</v>
      </c>
      <c r="BK1259">
        <v>-300</v>
      </c>
      <c r="BL1259" t="s">
        <v>163</v>
      </c>
      <c r="BM1259">
        <v>1</v>
      </c>
      <c r="BN1259">
        <v>1</v>
      </c>
      <c r="BO1259">
        <v>1</v>
      </c>
      <c r="BP1259">
        <v>0</v>
      </c>
      <c r="BS1259">
        <v>0.08</v>
      </c>
      <c r="BT1259">
        <v>0</v>
      </c>
      <c r="BU1259">
        <v>0</v>
      </c>
      <c r="CE1259" t="str">
        <f t="shared" si="435"/>
        <v>19:28:56.199</v>
      </c>
      <c r="CF1259">
        <v>199339116</v>
      </c>
      <c r="CS1259">
        <v>3</v>
      </c>
      <c r="CT1259">
        <v>2</v>
      </c>
      <c r="CU1259">
        <v>0</v>
      </c>
      <c r="CV1259">
        <v>2</v>
      </c>
      <c r="CW1259">
        <v>0</v>
      </c>
      <c r="CX1259">
        <v>5</v>
      </c>
      <c r="CY1259">
        <v>7</v>
      </c>
      <c r="CZ1259" t="s">
        <v>131</v>
      </c>
      <c r="DA1259">
        <v>300</v>
      </c>
      <c r="DB1259">
        <v>0</v>
      </c>
      <c r="DC1259" t="s">
        <v>176</v>
      </c>
      <c r="DD1259" t="s">
        <v>177</v>
      </c>
      <c r="DG1259">
        <v>5382547</v>
      </c>
      <c r="DI1259">
        <v>1</v>
      </c>
      <c r="DJ1259">
        <v>0</v>
      </c>
      <c r="DK1259">
        <v>1</v>
      </c>
      <c r="DL1259">
        <v>0</v>
      </c>
      <c r="DM1259">
        <v>0</v>
      </c>
      <c r="DN1259">
        <v>1</v>
      </c>
      <c r="DO1259">
        <v>0</v>
      </c>
      <c r="DP1259">
        <v>0</v>
      </c>
      <c r="DQ1259">
        <v>0</v>
      </c>
      <c r="DR1259">
        <v>0</v>
      </c>
      <c r="DS1259">
        <v>0</v>
      </c>
    </row>
    <row r="1260" spans="1:123" x14ac:dyDescent="0.3">
      <c r="A1260" t="str">
        <f>"10/04/2022 19:28:57.668"</f>
        <v>10/04/2022 19:28:57.668</v>
      </c>
      <c r="C1260" t="str">
        <f t="shared" si="416"/>
        <v>FFDDD3C0</v>
      </c>
      <c r="D1260" t="s">
        <v>134</v>
      </c>
      <c r="E1260">
        <v>15</v>
      </c>
      <c r="J1260" t="s">
        <v>135</v>
      </c>
      <c r="K1260">
        <v>0</v>
      </c>
      <c r="L1260">
        <v>3</v>
      </c>
      <c r="M1260">
        <v>0</v>
      </c>
      <c r="N1260">
        <v>2</v>
      </c>
      <c r="O1260">
        <v>0</v>
      </c>
      <c r="P1260">
        <v>1</v>
      </c>
      <c r="Q1260">
        <v>0</v>
      </c>
      <c r="S1260" t="str">
        <f t="shared" ref="S1260:T1270" si="436">"19:28:57.000"</f>
        <v>19:28:57.000</v>
      </c>
      <c r="T1260" t="str">
        <f t="shared" si="436"/>
        <v>19:28:57.000</v>
      </c>
      <c r="U1260" t="str">
        <f t="shared" si="423"/>
        <v>AC3944</v>
      </c>
      <c r="V1260">
        <v>0</v>
      </c>
      <c r="W1260">
        <v>0</v>
      </c>
      <c r="X1260">
        <v>2</v>
      </c>
      <c r="Y1260">
        <v>0</v>
      </c>
      <c r="AA1260">
        <v>1</v>
      </c>
      <c r="AB1260">
        <v>8</v>
      </c>
      <c r="AC1260">
        <v>3</v>
      </c>
      <c r="AD1260">
        <v>0</v>
      </c>
      <c r="AE1260">
        <v>9</v>
      </c>
      <c r="AF1260" t="s">
        <v>138</v>
      </c>
      <c r="AG1260">
        <v>0</v>
      </c>
      <c r="AH1260">
        <v>3</v>
      </c>
      <c r="AI1260">
        <v>1</v>
      </c>
      <c r="AJ1260">
        <v>0</v>
      </c>
      <c r="AK1260" t="s">
        <v>492</v>
      </c>
      <c r="AL1260">
        <v>32.806055999999998</v>
      </c>
      <c r="AM1260" t="s">
        <v>494</v>
      </c>
      <c r="AN1260">
        <v>-116.903672</v>
      </c>
      <c r="AO1260">
        <v>25</v>
      </c>
      <c r="AP1260">
        <v>2400</v>
      </c>
      <c r="AQ1260" t="s">
        <v>129</v>
      </c>
      <c r="AR1260">
        <v>116</v>
      </c>
      <c r="AS1260">
        <v>-1</v>
      </c>
      <c r="AT1260">
        <v>768</v>
      </c>
      <c r="BB1260">
        <v>1200</v>
      </c>
      <c r="BC1260">
        <v>1</v>
      </c>
      <c r="BD1260" t="str">
        <f t="shared" si="424"/>
        <v xml:space="preserve">N887QR  </v>
      </c>
      <c r="BE1260">
        <v>1</v>
      </c>
      <c r="BJ1260">
        <v>2100</v>
      </c>
      <c r="BK1260">
        <v>-300</v>
      </c>
      <c r="BL1260" t="s">
        <v>163</v>
      </c>
      <c r="BM1260">
        <v>1</v>
      </c>
      <c r="BN1260">
        <v>1</v>
      </c>
      <c r="BO1260">
        <v>1</v>
      </c>
      <c r="BP1260">
        <v>0</v>
      </c>
      <c r="BS1260">
        <v>0.08</v>
      </c>
      <c r="BT1260">
        <v>0</v>
      </c>
      <c r="BU1260">
        <v>0</v>
      </c>
      <c r="CE1260" t="str">
        <f t="shared" ref="CE1260:CE1266" si="437">"19:28:57.466"</f>
        <v>19:28:57.466</v>
      </c>
      <c r="CF1260">
        <v>465593174</v>
      </c>
      <c r="CS1260">
        <v>3</v>
      </c>
      <c r="CT1260">
        <v>2</v>
      </c>
      <c r="CU1260">
        <v>0</v>
      </c>
      <c r="CV1260">
        <v>2</v>
      </c>
      <c r="CW1260">
        <v>0</v>
      </c>
      <c r="CX1260">
        <v>6</v>
      </c>
      <c r="CY1260">
        <v>7</v>
      </c>
      <c r="CZ1260" t="s">
        <v>131</v>
      </c>
      <c r="DA1260">
        <v>300</v>
      </c>
      <c r="DB1260">
        <v>0</v>
      </c>
      <c r="DC1260" t="s">
        <v>176</v>
      </c>
      <c r="DD1260" t="s">
        <v>177</v>
      </c>
      <c r="DG1260">
        <v>5382741</v>
      </c>
      <c r="DI1260">
        <v>1</v>
      </c>
      <c r="DJ1260">
        <v>0</v>
      </c>
      <c r="DK1260">
        <v>0</v>
      </c>
      <c r="DL1260">
        <v>0</v>
      </c>
      <c r="DM1260">
        <v>0</v>
      </c>
      <c r="DN1260">
        <v>1</v>
      </c>
      <c r="DO1260">
        <v>0</v>
      </c>
      <c r="DP1260">
        <v>0</v>
      </c>
      <c r="DQ1260">
        <v>0</v>
      </c>
      <c r="DR1260">
        <v>0</v>
      </c>
      <c r="DS1260">
        <v>0</v>
      </c>
    </row>
    <row r="1261" spans="1:123" x14ac:dyDescent="0.3">
      <c r="A1261" t="str">
        <f>"10/04/2022 19:28:57.668"</f>
        <v>10/04/2022 19:28:57.668</v>
      </c>
      <c r="C1261" t="str">
        <f t="shared" si="416"/>
        <v>FFDDD3C0</v>
      </c>
      <c r="D1261" t="s">
        <v>123</v>
      </c>
      <c r="E1261">
        <v>7</v>
      </c>
      <c r="F1261">
        <v>2007</v>
      </c>
      <c r="G1261" t="s">
        <v>124</v>
      </c>
      <c r="J1261" t="s">
        <v>125</v>
      </c>
      <c r="K1261">
        <v>0</v>
      </c>
      <c r="L1261">
        <v>3</v>
      </c>
      <c r="M1261">
        <v>0</v>
      </c>
      <c r="N1261">
        <v>2</v>
      </c>
      <c r="O1261">
        <v>0</v>
      </c>
      <c r="P1261">
        <v>1</v>
      </c>
      <c r="Q1261">
        <v>0</v>
      </c>
      <c r="S1261" t="str">
        <f t="shared" si="436"/>
        <v>19:28:57.000</v>
      </c>
      <c r="T1261" t="str">
        <f t="shared" si="436"/>
        <v>19:28:57.000</v>
      </c>
      <c r="U1261" t="str">
        <f t="shared" si="423"/>
        <v>AC3944</v>
      </c>
      <c r="V1261">
        <v>0</v>
      </c>
      <c r="W1261">
        <v>0</v>
      </c>
      <c r="X1261">
        <v>2</v>
      </c>
      <c r="Y1261">
        <v>0</v>
      </c>
      <c r="AA1261">
        <v>1</v>
      </c>
      <c r="AB1261">
        <v>8</v>
      </c>
      <c r="AC1261">
        <v>3</v>
      </c>
      <c r="AD1261">
        <v>0</v>
      </c>
      <c r="AE1261">
        <v>9</v>
      </c>
      <c r="AF1261" t="s">
        <v>138</v>
      </c>
      <c r="AG1261">
        <v>0</v>
      </c>
      <c r="AH1261">
        <v>3</v>
      </c>
      <c r="AI1261">
        <v>1</v>
      </c>
      <c r="AJ1261">
        <v>0</v>
      </c>
      <c r="AK1261" t="s">
        <v>492</v>
      </c>
      <c r="AL1261">
        <v>32.806055999999998</v>
      </c>
      <c r="AM1261" t="s">
        <v>494</v>
      </c>
      <c r="AN1261">
        <v>-116.903672</v>
      </c>
      <c r="AO1261">
        <v>25</v>
      </c>
      <c r="AP1261">
        <v>2400</v>
      </c>
      <c r="AQ1261" t="s">
        <v>129</v>
      </c>
      <c r="AR1261">
        <v>116</v>
      </c>
      <c r="AS1261">
        <v>-1</v>
      </c>
      <c r="AT1261">
        <v>768</v>
      </c>
      <c r="BB1261">
        <v>1200</v>
      </c>
      <c r="BC1261">
        <v>1</v>
      </c>
      <c r="BD1261" t="str">
        <f t="shared" si="424"/>
        <v xml:space="preserve">N887QR  </v>
      </c>
      <c r="BE1261">
        <v>1</v>
      </c>
      <c r="BJ1261">
        <v>2100</v>
      </c>
      <c r="BK1261">
        <v>-300</v>
      </c>
      <c r="BL1261" t="s">
        <v>163</v>
      </c>
      <c r="BM1261">
        <v>1</v>
      </c>
      <c r="BN1261">
        <v>1</v>
      </c>
      <c r="BO1261">
        <v>1</v>
      </c>
      <c r="BP1261">
        <v>0</v>
      </c>
      <c r="BS1261">
        <v>0.08</v>
      </c>
      <c r="BT1261">
        <v>0</v>
      </c>
      <c r="BU1261">
        <v>0</v>
      </c>
      <c r="CE1261" t="str">
        <f t="shared" si="437"/>
        <v>19:28:57.466</v>
      </c>
      <c r="CF1261">
        <v>465593174</v>
      </c>
      <c r="CS1261">
        <v>3</v>
      </c>
      <c r="CT1261">
        <v>2</v>
      </c>
      <c r="CU1261">
        <v>0</v>
      </c>
      <c r="CV1261">
        <v>2</v>
      </c>
      <c r="CW1261">
        <v>0</v>
      </c>
      <c r="CX1261">
        <v>6</v>
      </c>
      <c r="CY1261">
        <v>7</v>
      </c>
      <c r="CZ1261" t="s">
        <v>131</v>
      </c>
      <c r="DA1261">
        <v>300</v>
      </c>
      <c r="DB1261">
        <v>0</v>
      </c>
      <c r="DC1261" t="s">
        <v>176</v>
      </c>
      <c r="DD1261" t="s">
        <v>177</v>
      </c>
      <c r="DG1261">
        <v>5382741</v>
      </c>
      <c r="DI1261">
        <v>1</v>
      </c>
      <c r="DJ1261">
        <v>0</v>
      </c>
      <c r="DK1261">
        <v>1</v>
      </c>
      <c r="DL1261">
        <v>0</v>
      </c>
      <c r="DM1261">
        <v>0</v>
      </c>
      <c r="DN1261">
        <v>1</v>
      </c>
      <c r="DO1261">
        <v>0</v>
      </c>
      <c r="DP1261">
        <v>0</v>
      </c>
      <c r="DQ1261">
        <v>0</v>
      </c>
      <c r="DR1261">
        <v>0</v>
      </c>
      <c r="DS1261">
        <v>0</v>
      </c>
    </row>
    <row r="1262" spans="1:123" x14ac:dyDescent="0.3">
      <c r="A1262" t="str">
        <f>"10/04/2022 19:28:57.668"</f>
        <v>10/04/2022 19:28:57.668</v>
      </c>
      <c r="C1262" t="str">
        <f t="shared" si="416"/>
        <v>FFDDD3C0</v>
      </c>
      <c r="D1262" t="s">
        <v>147</v>
      </c>
      <c r="E1262">
        <v>3</v>
      </c>
      <c r="H1262">
        <v>166</v>
      </c>
      <c r="I1262" t="s">
        <v>144</v>
      </c>
      <c r="J1262" t="s">
        <v>148</v>
      </c>
      <c r="K1262">
        <v>0</v>
      </c>
      <c r="L1262">
        <v>3</v>
      </c>
      <c r="M1262">
        <v>0</v>
      </c>
      <c r="N1262">
        <v>2</v>
      </c>
      <c r="O1262">
        <v>0</v>
      </c>
      <c r="P1262">
        <v>1</v>
      </c>
      <c r="Q1262">
        <v>0</v>
      </c>
      <c r="S1262" t="str">
        <f t="shared" si="436"/>
        <v>19:28:57.000</v>
      </c>
      <c r="T1262" t="str">
        <f t="shared" si="436"/>
        <v>19:28:57.000</v>
      </c>
      <c r="U1262" t="str">
        <f t="shared" si="423"/>
        <v>AC3944</v>
      </c>
      <c r="V1262">
        <v>0</v>
      </c>
      <c r="W1262">
        <v>0</v>
      </c>
      <c r="X1262">
        <v>2</v>
      </c>
      <c r="Y1262">
        <v>0</v>
      </c>
      <c r="AA1262">
        <v>1</v>
      </c>
      <c r="AB1262">
        <v>8</v>
      </c>
      <c r="AC1262">
        <v>3</v>
      </c>
      <c r="AD1262">
        <v>0</v>
      </c>
      <c r="AE1262">
        <v>9</v>
      </c>
      <c r="AF1262" t="s">
        <v>138</v>
      </c>
      <c r="AG1262">
        <v>0</v>
      </c>
      <c r="AH1262">
        <v>3</v>
      </c>
      <c r="AI1262">
        <v>1</v>
      </c>
      <c r="AJ1262">
        <v>0</v>
      </c>
      <c r="AK1262" t="s">
        <v>492</v>
      </c>
      <c r="AL1262">
        <v>32.806055999999998</v>
      </c>
      <c r="AM1262" t="s">
        <v>494</v>
      </c>
      <c r="AN1262">
        <v>-116.903672</v>
      </c>
      <c r="AO1262">
        <v>25</v>
      </c>
      <c r="AP1262">
        <v>2400</v>
      </c>
      <c r="AQ1262" t="s">
        <v>129</v>
      </c>
      <c r="AR1262">
        <v>116</v>
      </c>
      <c r="AS1262">
        <v>-1</v>
      </c>
      <c r="AT1262">
        <v>768</v>
      </c>
      <c r="BB1262">
        <v>1200</v>
      </c>
      <c r="BC1262">
        <v>1</v>
      </c>
      <c r="BD1262" t="str">
        <f t="shared" si="424"/>
        <v xml:space="preserve">N887QR  </v>
      </c>
      <c r="BE1262">
        <v>1</v>
      </c>
      <c r="BJ1262">
        <v>2100</v>
      </c>
      <c r="BK1262">
        <v>-300</v>
      </c>
      <c r="BL1262" t="s">
        <v>163</v>
      </c>
      <c r="BM1262">
        <v>1</v>
      </c>
      <c r="BN1262">
        <v>1</v>
      </c>
      <c r="BO1262">
        <v>1</v>
      </c>
      <c r="BP1262">
        <v>0</v>
      </c>
      <c r="BS1262">
        <v>0.08</v>
      </c>
      <c r="BT1262">
        <v>0</v>
      </c>
      <c r="BU1262">
        <v>0</v>
      </c>
      <c r="CE1262" t="str">
        <f t="shared" si="437"/>
        <v>19:28:57.466</v>
      </c>
      <c r="CF1262">
        <v>465593174</v>
      </c>
      <c r="CS1262">
        <v>3</v>
      </c>
      <c r="CT1262">
        <v>2</v>
      </c>
      <c r="CU1262">
        <v>0</v>
      </c>
      <c r="CV1262">
        <v>2</v>
      </c>
      <c r="CW1262">
        <v>0</v>
      </c>
      <c r="CX1262">
        <v>6</v>
      </c>
      <c r="CY1262">
        <v>7</v>
      </c>
      <c r="CZ1262" t="s">
        <v>131</v>
      </c>
      <c r="DA1262">
        <v>300</v>
      </c>
      <c r="DB1262">
        <v>0</v>
      </c>
      <c r="DC1262" t="s">
        <v>176</v>
      </c>
      <c r="DD1262" t="s">
        <v>177</v>
      </c>
      <c r="DG1262">
        <v>5382741</v>
      </c>
      <c r="DI1262">
        <v>1</v>
      </c>
      <c r="DJ1262">
        <v>0</v>
      </c>
      <c r="DK1262">
        <v>1</v>
      </c>
      <c r="DL1262">
        <v>0</v>
      </c>
      <c r="DM1262">
        <v>0</v>
      </c>
      <c r="DN1262">
        <v>1</v>
      </c>
      <c r="DO1262">
        <v>0</v>
      </c>
      <c r="DP1262">
        <v>0</v>
      </c>
      <c r="DQ1262">
        <v>0</v>
      </c>
      <c r="DR1262">
        <v>0</v>
      </c>
      <c r="DS1262">
        <v>0</v>
      </c>
    </row>
    <row r="1263" spans="1:123" x14ac:dyDescent="0.3">
      <c r="A1263" t="str">
        <f>"10/04/2022 19:28:57.668"</f>
        <v>10/04/2022 19:28:57.668</v>
      </c>
      <c r="C1263" t="str">
        <f t="shared" si="416"/>
        <v>FFDDD3C0</v>
      </c>
      <c r="D1263" t="s">
        <v>143</v>
      </c>
      <c r="E1263">
        <v>20</v>
      </c>
      <c r="F1263">
        <v>1020</v>
      </c>
      <c r="G1263" t="s">
        <v>144</v>
      </c>
      <c r="J1263" t="s">
        <v>145</v>
      </c>
      <c r="K1263">
        <v>0</v>
      </c>
      <c r="L1263">
        <v>3</v>
      </c>
      <c r="M1263">
        <v>0</v>
      </c>
      <c r="N1263">
        <v>2</v>
      </c>
      <c r="O1263">
        <v>0</v>
      </c>
      <c r="P1263">
        <v>1</v>
      </c>
      <c r="Q1263">
        <v>0</v>
      </c>
      <c r="S1263" t="str">
        <f t="shared" si="436"/>
        <v>19:28:57.000</v>
      </c>
      <c r="T1263" t="str">
        <f t="shared" si="436"/>
        <v>19:28:57.000</v>
      </c>
      <c r="U1263" t="str">
        <f t="shared" si="423"/>
        <v>AC3944</v>
      </c>
      <c r="V1263">
        <v>0</v>
      </c>
      <c r="W1263">
        <v>0</v>
      </c>
      <c r="X1263">
        <v>2</v>
      </c>
      <c r="Y1263">
        <v>0</v>
      </c>
      <c r="AA1263">
        <v>1</v>
      </c>
      <c r="AB1263">
        <v>8</v>
      </c>
      <c r="AC1263">
        <v>3</v>
      </c>
      <c r="AD1263">
        <v>0</v>
      </c>
      <c r="AE1263">
        <v>9</v>
      </c>
      <c r="AF1263" t="s">
        <v>138</v>
      </c>
      <c r="AG1263">
        <v>0</v>
      </c>
      <c r="AH1263">
        <v>3</v>
      </c>
      <c r="AI1263">
        <v>1</v>
      </c>
      <c r="AJ1263">
        <v>0</v>
      </c>
      <c r="AK1263" t="s">
        <v>492</v>
      </c>
      <c r="AL1263">
        <v>32.806055999999998</v>
      </c>
      <c r="AM1263" t="s">
        <v>494</v>
      </c>
      <c r="AN1263">
        <v>-116.903672</v>
      </c>
      <c r="AO1263">
        <v>25</v>
      </c>
      <c r="AP1263">
        <v>2400</v>
      </c>
      <c r="AQ1263" t="s">
        <v>129</v>
      </c>
      <c r="AR1263">
        <v>116</v>
      </c>
      <c r="AS1263">
        <v>-1</v>
      </c>
      <c r="AT1263">
        <v>768</v>
      </c>
      <c r="BB1263">
        <v>1200</v>
      </c>
      <c r="BC1263">
        <v>1</v>
      </c>
      <c r="BD1263" t="str">
        <f t="shared" si="424"/>
        <v xml:space="preserve">N887QR  </v>
      </c>
      <c r="BE1263">
        <v>1</v>
      </c>
      <c r="BJ1263">
        <v>2100</v>
      </c>
      <c r="BK1263">
        <v>-300</v>
      </c>
      <c r="BL1263" t="s">
        <v>163</v>
      </c>
      <c r="BM1263">
        <v>1</v>
      </c>
      <c r="BN1263">
        <v>1</v>
      </c>
      <c r="BO1263">
        <v>1</v>
      </c>
      <c r="BP1263">
        <v>0</v>
      </c>
      <c r="BS1263">
        <v>0.08</v>
      </c>
      <c r="BT1263">
        <v>0</v>
      </c>
      <c r="BU1263">
        <v>0</v>
      </c>
      <c r="CE1263" t="str">
        <f t="shared" si="437"/>
        <v>19:28:57.466</v>
      </c>
      <c r="CF1263">
        <v>465593174</v>
      </c>
      <c r="CS1263">
        <v>3</v>
      </c>
      <c r="CT1263">
        <v>2</v>
      </c>
      <c r="CU1263">
        <v>0</v>
      </c>
      <c r="CV1263">
        <v>2</v>
      </c>
      <c r="CW1263">
        <v>0</v>
      </c>
      <c r="CX1263">
        <v>6</v>
      </c>
      <c r="CY1263">
        <v>7</v>
      </c>
      <c r="CZ1263" t="s">
        <v>131</v>
      </c>
      <c r="DA1263">
        <v>300</v>
      </c>
      <c r="DB1263">
        <v>0</v>
      </c>
      <c r="DC1263" t="s">
        <v>176</v>
      </c>
      <c r="DD1263" t="s">
        <v>177</v>
      </c>
      <c r="DG1263">
        <v>5382741</v>
      </c>
      <c r="DI1263">
        <v>1</v>
      </c>
      <c r="DJ1263">
        <v>0</v>
      </c>
      <c r="DK1263">
        <v>1</v>
      </c>
      <c r="DL1263">
        <v>0</v>
      </c>
      <c r="DM1263">
        <v>0</v>
      </c>
      <c r="DN1263">
        <v>1</v>
      </c>
      <c r="DO1263">
        <v>0</v>
      </c>
      <c r="DP1263">
        <v>0</v>
      </c>
      <c r="DQ1263">
        <v>0</v>
      </c>
      <c r="DR1263">
        <v>0</v>
      </c>
      <c r="DS1263">
        <v>0</v>
      </c>
    </row>
    <row r="1264" spans="1:123" x14ac:dyDescent="0.3">
      <c r="A1264" t="str">
        <f>"10/04/2022 19:28:57.731"</f>
        <v>10/04/2022 19:28:57.731</v>
      </c>
      <c r="C1264" t="str">
        <f t="shared" si="416"/>
        <v>FFDDD3C0</v>
      </c>
      <c r="D1264" t="s">
        <v>141</v>
      </c>
      <c r="E1264">
        <v>3</v>
      </c>
      <c r="H1264">
        <v>3</v>
      </c>
      <c r="I1264" t="s">
        <v>146</v>
      </c>
      <c r="J1264" t="s">
        <v>138</v>
      </c>
      <c r="K1264">
        <v>0</v>
      </c>
      <c r="L1264">
        <v>3</v>
      </c>
      <c r="M1264">
        <v>0</v>
      </c>
      <c r="N1264">
        <v>2</v>
      </c>
      <c r="O1264">
        <v>0</v>
      </c>
      <c r="P1264">
        <v>1</v>
      </c>
      <c r="Q1264">
        <v>0</v>
      </c>
      <c r="S1264" t="str">
        <f t="shared" si="436"/>
        <v>19:28:57.000</v>
      </c>
      <c r="T1264" t="str">
        <f t="shared" si="436"/>
        <v>19:28:57.000</v>
      </c>
      <c r="U1264" t="str">
        <f t="shared" si="423"/>
        <v>AC3944</v>
      </c>
      <c r="V1264">
        <v>0</v>
      </c>
      <c r="W1264">
        <v>0</v>
      </c>
      <c r="X1264">
        <v>2</v>
      </c>
      <c r="Y1264">
        <v>0</v>
      </c>
      <c r="AA1264">
        <v>1</v>
      </c>
      <c r="AB1264">
        <v>8</v>
      </c>
      <c r="AC1264">
        <v>3</v>
      </c>
      <c r="AD1264">
        <v>0</v>
      </c>
      <c r="AE1264">
        <v>9</v>
      </c>
      <c r="AF1264" t="s">
        <v>138</v>
      </c>
      <c r="AG1264">
        <v>0</v>
      </c>
      <c r="AH1264">
        <v>3</v>
      </c>
      <c r="AI1264">
        <v>1</v>
      </c>
      <c r="AJ1264">
        <v>0</v>
      </c>
      <c r="AK1264" t="s">
        <v>492</v>
      </c>
      <c r="AL1264">
        <v>32.806055999999998</v>
      </c>
      <c r="AM1264" t="s">
        <v>494</v>
      </c>
      <c r="AN1264">
        <v>-116.903672</v>
      </c>
      <c r="AO1264">
        <v>25</v>
      </c>
      <c r="AP1264">
        <v>2400</v>
      </c>
      <c r="AQ1264" t="s">
        <v>129</v>
      </c>
      <c r="AR1264">
        <v>116</v>
      </c>
      <c r="AS1264">
        <v>-1</v>
      </c>
      <c r="AT1264">
        <v>768</v>
      </c>
      <c r="BB1264">
        <v>1200</v>
      </c>
      <c r="BC1264">
        <v>1</v>
      </c>
      <c r="BD1264" t="str">
        <f t="shared" si="424"/>
        <v xml:space="preserve">N887QR  </v>
      </c>
      <c r="BE1264">
        <v>1</v>
      </c>
      <c r="BJ1264">
        <v>2100</v>
      </c>
      <c r="BK1264">
        <v>-300</v>
      </c>
      <c r="BL1264" t="s">
        <v>163</v>
      </c>
      <c r="BM1264">
        <v>1</v>
      </c>
      <c r="BN1264">
        <v>1</v>
      </c>
      <c r="BO1264">
        <v>1</v>
      </c>
      <c r="BP1264">
        <v>0</v>
      </c>
      <c r="BS1264">
        <v>0.08</v>
      </c>
      <c r="BT1264">
        <v>0</v>
      </c>
      <c r="BU1264">
        <v>0</v>
      </c>
      <c r="CE1264" t="str">
        <f t="shared" si="437"/>
        <v>19:28:57.466</v>
      </c>
      <c r="CF1264">
        <v>465593174</v>
      </c>
      <c r="CS1264">
        <v>3</v>
      </c>
      <c r="CT1264">
        <v>2</v>
      </c>
      <c r="CU1264">
        <v>0</v>
      </c>
      <c r="CV1264">
        <v>2</v>
      </c>
      <c r="CW1264">
        <v>0</v>
      </c>
      <c r="CX1264">
        <v>6</v>
      </c>
      <c r="CY1264">
        <v>7</v>
      </c>
      <c r="CZ1264" t="s">
        <v>131</v>
      </c>
      <c r="DA1264">
        <v>300</v>
      </c>
      <c r="DB1264">
        <v>0</v>
      </c>
      <c r="DC1264" t="s">
        <v>176</v>
      </c>
      <c r="DD1264" t="s">
        <v>177</v>
      </c>
      <c r="DG1264">
        <v>5382741</v>
      </c>
      <c r="DI1264">
        <v>1</v>
      </c>
      <c r="DJ1264">
        <v>0</v>
      </c>
      <c r="DK1264">
        <v>1</v>
      </c>
      <c r="DL1264">
        <v>0</v>
      </c>
      <c r="DM1264">
        <v>0</v>
      </c>
      <c r="DN1264">
        <v>1</v>
      </c>
      <c r="DO1264">
        <v>0</v>
      </c>
      <c r="DP1264">
        <v>0</v>
      </c>
      <c r="DQ1264">
        <v>0</v>
      </c>
      <c r="DR1264">
        <v>0</v>
      </c>
      <c r="DS1264">
        <v>0</v>
      </c>
    </row>
    <row r="1265" spans="1:123" x14ac:dyDescent="0.3">
      <c r="A1265" t="str">
        <f>"10/04/2022 19:28:57.731"</f>
        <v>10/04/2022 19:28:57.731</v>
      </c>
      <c r="C1265" t="str">
        <f t="shared" ref="C1265:C1328" si="438">"FFDDD3C0"</f>
        <v>FFDDD3C0</v>
      </c>
      <c r="D1265" t="s">
        <v>136</v>
      </c>
      <c r="E1265">
        <v>8</v>
      </c>
      <c r="H1265">
        <v>225</v>
      </c>
      <c r="I1265" t="s">
        <v>137</v>
      </c>
      <c r="J1265" t="s">
        <v>138</v>
      </c>
      <c r="K1265">
        <v>0</v>
      </c>
      <c r="L1265">
        <v>3</v>
      </c>
      <c r="M1265">
        <v>0</v>
      </c>
      <c r="N1265">
        <v>2</v>
      </c>
      <c r="O1265">
        <v>0</v>
      </c>
      <c r="P1265">
        <v>1</v>
      </c>
      <c r="Q1265">
        <v>0</v>
      </c>
      <c r="S1265" t="str">
        <f t="shared" si="436"/>
        <v>19:28:57.000</v>
      </c>
      <c r="T1265" t="str">
        <f t="shared" si="436"/>
        <v>19:28:57.000</v>
      </c>
      <c r="U1265" t="str">
        <f t="shared" si="423"/>
        <v>AC3944</v>
      </c>
      <c r="V1265">
        <v>0</v>
      </c>
      <c r="W1265">
        <v>0</v>
      </c>
      <c r="X1265">
        <v>2</v>
      </c>
      <c r="Y1265">
        <v>0</v>
      </c>
      <c r="AA1265">
        <v>1</v>
      </c>
      <c r="AB1265">
        <v>8</v>
      </c>
      <c r="AC1265">
        <v>3</v>
      </c>
      <c r="AD1265">
        <v>0</v>
      </c>
      <c r="AE1265">
        <v>9</v>
      </c>
      <c r="AF1265" t="s">
        <v>138</v>
      </c>
      <c r="AG1265">
        <v>0</v>
      </c>
      <c r="AH1265">
        <v>3</v>
      </c>
      <c r="AI1265">
        <v>1</v>
      </c>
      <c r="AJ1265">
        <v>0</v>
      </c>
      <c r="AK1265" t="s">
        <v>492</v>
      </c>
      <c r="AL1265">
        <v>32.806055999999998</v>
      </c>
      <c r="AM1265" t="s">
        <v>494</v>
      </c>
      <c r="AN1265">
        <v>-116.903672</v>
      </c>
      <c r="AO1265">
        <v>25</v>
      </c>
      <c r="AP1265">
        <v>2400</v>
      </c>
      <c r="AQ1265" t="s">
        <v>129</v>
      </c>
      <c r="AR1265">
        <v>116</v>
      </c>
      <c r="AS1265">
        <v>-1</v>
      </c>
      <c r="AT1265">
        <v>768</v>
      </c>
      <c r="BB1265">
        <v>1200</v>
      </c>
      <c r="BC1265">
        <v>1</v>
      </c>
      <c r="BD1265" t="str">
        <f t="shared" si="424"/>
        <v xml:space="preserve">N887QR  </v>
      </c>
      <c r="BE1265">
        <v>1</v>
      </c>
      <c r="BJ1265">
        <v>2100</v>
      </c>
      <c r="BK1265">
        <v>-300</v>
      </c>
      <c r="BL1265" t="s">
        <v>163</v>
      </c>
      <c r="BM1265">
        <v>1</v>
      </c>
      <c r="BN1265">
        <v>1</v>
      </c>
      <c r="BO1265">
        <v>1</v>
      </c>
      <c r="BP1265">
        <v>0</v>
      </c>
      <c r="BS1265">
        <v>0.08</v>
      </c>
      <c r="BT1265">
        <v>0</v>
      </c>
      <c r="BU1265">
        <v>0</v>
      </c>
      <c r="CE1265" t="str">
        <f t="shared" si="437"/>
        <v>19:28:57.466</v>
      </c>
      <c r="CF1265">
        <v>465593174</v>
      </c>
      <c r="CS1265">
        <v>3</v>
      </c>
      <c r="CT1265">
        <v>2</v>
      </c>
      <c r="CU1265">
        <v>0</v>
      </c>
      <c r="CV1265">
        <v>2</v>
      </c>
      <c r="CW1265">
        <v>0</v>
      </c>
      <c r="CX1265">
        <v>6</v>
      </c>
      <c r="CY1265">
        <v>7</v>
      </c>
      <c r="CZ1265" t="s">
        <v>131</v>
      </c>
      <c r="DA1265">
        <v>300</v>
      </c>
      <c r="DB1265">
        <v>0</v>
      </c>
      <c r="DC1265" t="s">
        <v>176</v>
      </c>
      <c r="DD1265" t="s">
        <v>177</v>
      </c>
      <c r="DG1265">
        <v>5382741</v>
      </c>
      <c r="DI1265">
        <v>1</v>
      </c>
      <c r="DJ1265">
        <v>0</v>
      </c>
      <c r="DK1265">
        <v>1</v>
      </c>
      <c r="DL1265">
        <v>0</v>
      </c>
      <c r="DM1265">
        <v>0</v>
      </c>
      <c r="DN1265">
        <v>1</v>
      </c>
      <c r="DO1265">
        <v>0</v>
      </c>
      <c r="DP1265">
        <v>0</v>
      </c>
      <c r="DQ1265">
        <v>0</v>
      </c>
      <c r="DR1265">
        <v>0</v>
      </c>
      <c r="DS1265">
        <v>0</v>
      </c>
    </row>
    <row r="1266" spans="1:123" x14ac:dyDescent="0.3">
      <c r="A1266" t="str">
        <f>"10/04/2022 19:28:57.731"</f>
        <v>10/04/2022 19:28:57.731</v>
      </c>
      <c r="C1266" t="str">
        <f t="shared" si="438"/>
        <v>FFDDD3C0</v>
      </c>
      <c r="D1266" t="s">
        <v>141</v>
      </c>
      <c r="E1266">
        <v>4</v>
      </c>
      <c r="H1266">
        <v>4</v>
      </c>
      <c r="I1266" t="s">
        <v>142</v>
      </c>
      <c r="J1266" t="s">
        <v>138</v>
      </c>
      <c r="K1266">
        <v>0</v>
      </c>
      <c r="L1266">
        <v>3</v>
      </c>
      <c r="M1266">
        <v>0</v>
      </c>
      <c r="N1266">
        <v>2</v>
      </c>
      <c r="O1266">
        <v>0</v>
      </c>
      <c r="P1266">
        <v>1</v>
      </c>
      <c r="Q1266">
        <v>0</v>
      </c>
      <c r="S1266" t="str">
        <f t="shared" si="436"/>
        <v>19:28:57.000</v>
      </c>
      <c r="T1266" t="str">
        <f t="shared" si="436"/>
        <v>19:28:57.000</v>
      </c>
      <c r="U1266" t="str">
        <f t="shared" si="423"/>
        <v>AC3944</v>
      </c>
      <c r="V1266">
        <v>0</v>
      </c>
      <c r="W1266">
        <v>0</v>
      </c>
      <c r="X1266">
        <v>2</v>
      </c>
      <c r="Y1266">
        <v>0</v>
      </c>
      <c r="AA1266">
        <v>1</v>
      </c>
      <c r="AB1266">
        <v>8</v>
      </c>
      <c r="AC1266">
        <v>3</v>
      </c>
      <c r="AD1266">
        <v>0</v>
      </c>
      <c r="AE1266">
        <v>9</v>
      </c>
      <c r="AF1266" t="s">
        <v>138</v>
      </c>
      <c r="AG1266">
        <v>0</v>
      </c>
      <c r="AH1266">
        <v>3</v>
      </c>
      <c r="AI1266">
        <v>1</v>
      </c>
      <c r="AJ1266">
        <v>0</v>
      </c>
      <c r="AK1266" t="s">
        <v>492</v>
      </c>
      <c r="AL1266">
        <v>32.806055999999998</v>
      </c>
      <c r="AM1266" t="s">
        <v>494</v>
      </c>
      <c r="AN1266">
        <v>-116.903672</v>
      </c>
      <c r="AO1266">
        <v>25</v>
      </c>
      <c r="AP1266">
        <v>2400</v>
      </c>
      <c r="AQ1266" t="s">
        <v>129</v>
      </c>
      <c r="AR1266">
        <v>116</v>
      </c>
      <c r="AS1266">
        <v>-1</v>
      </c>
      <c r="AT1266">
        <v>768</v>
      </c>
      <c r="BB1266">
        <v>1200</v>
      </c>
      <c r="BC1266">
        <v>1</v>
      </c>
      <c r="BD1266" t="str">
        <f t="shared" si="424"/>
        <v xml:space="preserve">N887QR  </v>
      </c>
      <c r="BE1266">
        <v>1</v>
      </c>
      <c r="BJ1266">
        <v>2100</v>
      </c>
      <c r="BK1266">
        <v>-300</v>
      </c>
      <c r="BL1266" t="s">
        <v>163</v>
      </c>
      <c r="BM1266">
        <v>1</v>
      </c>
      <c r="BN1266">
        <v>1</v>
      </c>
      <c r="BO1266">
        <v>1</v>
      </c>
      <c r="BP1266">
        <v>0</v>
      </c>
      <c r="BS1266">
        <v>0.08</v>
      </c>
      <c r="BT1266">
        <v>0</v>
      </c>
      <c r="BU1266">
        <v>0</v>
      </c>
      <c r="CE1266" t="str">
        <f t="shared" si="437"/>
        <v>19:28:57.466</v>
      </c>
      <c r="CF1266">
        <v>465593174</v>
      </c>
      <c r="CS1266">
        <v>3</v>
      </c>
      <c r="CT1266">
        <v>2</v>
      </c>
      <c r="CU1266">
        <v>0</v>
      </c>
      <c r="CV1266">
        <v>2</v>
      </c>
      <c r="CW1266">
        <v>0</v>
      </c>
      <c r="CX1266">
        <v>6</v>
      </c>
      <c r="CY1266">
        <v>7</v>
      </c>
      <c r="CZ1266" t="s">
        <v>131</v>
      </c>
      <c r="DA1266">
        <v>300</v>
      </c>
      <c r="DB1266">
        <v>0</v>
      </c>
      <c r="DC1266" t="s">
        <v>176</v>
      </c>
      <c r="DD1266" t="s">
        <v>177</v>
      </c>
      <c r="DG1266">
        <v>5382741</v>
      </c>
      <c r="DI1266">
        <v>1</v>
      </c>
      <c r="DJ1266">
        <v>0</v>
      </c>
      <c r="DK1266">
        <v>1</v>
      </c>
      <c r="DL1266">
        <v>0</v>
      </c>
      <c r="DM1266">
        <v>0</v>
      </c>
      <c r="DN1266">
        <v>1</v>
      </c>
      <c r="DO1266">
        <v>0</v>
      </c>
      <c r="DP1266">
        <v>0</v>
      </c>
      <c r="DQ1266">
        <v>0</v>
      </c>
      <c r="DR1266">
        <v>0</v>
      </c>
      <c r="DS1266">
        <v>0</v>
      </c>
    </row>
    <row r="1267" spans="1:123" x14ac:dyDescent="0.3">
      <c r="A1267" t="str">
        <f>"10/04/2022 19:28:58.184"</f>
        <v>10/04/2022 19:28:58.184</v>
      </c>
      <c r="C1267" t="str">
        <f t="shared" si="438"/>
        <v>FFDDD3C0</v>
      </c>
      <c r="D1267" t="s">
        <v>143</v>
      </c>
      <c r="E1267">
        <v>20</v>
      </c>
      <c r="F1267">
        <v>1020</v>
      </c>
      <c r="G1267" t="s">
        <v>144</v>
      </c>
      <c r="J1267" t="s">
        <v>145</v>
      </c>
      <c r="K1267">
        <v>0</v>
      </c>
      <c r="L1267">
        <v>3</v>
      </c>
      <c r="M1267">
        <v>0</v>
      </c>
      <c r="N1267">
        <v>2</v>
      </c>
      <c r="O1267">
        <v>0</v>
      </c>
      <c r="P1267">
        <v>1</v>
      </c>
      <c r="Q1267">
        <v>0</v>
      </c>
      <c r="S1267" t="str">
        <f t="shared" si="436"/>
        <v>19:28:57.000</v>
      </c>
      <c r="T1267" t="str">
        <f t="shared" si="436"/>
        <v>19:28:57.000</v>
      </c>
      <c r="U1267" t="str">
        <f t="shared" si="423"/>
        <v>AC3944</v>
      </c>
      <c r="V1267">
        <v>0</v>
      </c>
      <c r="W1267">
        <v>0</v>
      </c>
      <c r="X1267">
        <v>2</v>
      </c>
      <c r="Y1267">
        <v>0</v>
      </c>
      <c r="AA1267">
        <v>1</v>
      </c>
      <c r="AB1267">
        <v>8</v>
      </c>
      <c r="AC1267">
        <v>3</v>
      </c>
      <c r="AD1267">
        <v>0</v>
      </c>
      <c r="AE1267">
        <v>9</v>
      </c>
      <c r="AF1267" t="s">
        <v>138</v>
      </c>
      <c r="AG1267">
        <v>0</v>
      </c>
      <c r="AH1267">
        <v>3</v>
      </c>
      <c r="AI1267">
        <v>1</v>
      </c>
      <c r="AJ1267">
        <v>0</v>
      </c>
      <c r="AK1267" t="s">
        <v>492</v>
      </c>
      <c r="AL1267">
        <v>32.806055999999998</v>
      </c>
      <c r="AM1267" t="s">
        <v>495</v>
      </c>
      <c r="AN1267">
        <v>-116.90302800000001</v>
      </c>
      <c r="AO1267">
        <v>25</v>
      </c>
      <c r="AP1267">
        <v>2400</v>
      </c>
      <c r="AQ1267" t="s">
        <v>129</v>
      </c>
      <c r="AR1267">
        <v>116</v>
      </c>
      <c r="AS1267">
        <v>-1</v>
      </c>
      <c r="AT1267">
        <v>768</v>
      </c>
      <c r="BB1267">
        <v>1200</v>
      </c>
      <c r="BC1267">
        <v>1</v>
      </c>
      <c r="BD1267" t="str">
        <f t="shared" si="424"/>
        <v xml:space="preserve">N887QR  </v>
      </c>
      <c r="BE1267">
        <v>1</v>
      </c>
      <c r="BJ1267">
        <v>2125</v>
      </c>
      <c r="BK1267">
        <v>-275</v>
      </c>
      <c r="BL1267" t="s">
        <v>163</v>
      </c>
      <c r="BM1267">
        <v>1</v>
      </c>
      <c r="BN1267">
        <v>1</v>
      </c>
      <c r="BO1267">
        <v>1</v>
      </c>
      <c r="BP1267">
        <v>0</v>
      </c>
      <c r="BS1267">
        <v>0.08</v>
      </c>
      <c r="BT1267">
        <v>0</v>
      </c>
      <c r="BU1267">
        <v>0</v>
      </c>
      <c r="CE1267" t="str">
        <f>"19:28:57.991"</f>
        <v>19:28:57.991</v>
      </c>
      <c r="CF1267">
        <v>991236633</v>
      </c>
      <c r="CS1267">
        <v>3</v>
      </c>
      <c r="CT1267">
        <v>2</v>
      </c>
      <c r="CU1267">
        <v>0</v>
      </c>
      <c r="CV1267">
        <v>2</v>
      </c>
      <c r="CW1267">
        <v>0</v>
      </c>
      <c r="CX1267">
        <v>3</v>
      </c>
      <c r="CY1267">
        <v>7</v>
      </c>
      <c r="CZ1267" t="s">
        <v>131</v>
      </c>
      <c r="DA1267">
        <v>292</v>
      </c>
      <c r="DB1267">
        <v>0</v>
      </c>
      <c r="DC1267" t="s">
        <v>254</v>
      </c>
      <c r="DD1267" t="s">
        <v>255</v>
      </c>
      <c r="DG1267">
        <v>3379822</v>
      </c>
      <c r="DI1267">
        <v>1</v>
      </c>
      <c r="DJ1267">
        <v>0</v>
      </c>
      <c r="DK1267">
        <v>0</v>
      </c>
      <c r="DL1267">
        <v>0</v>
      </c>
      <c r="DM1267">
        <v>0</v>
      </c>
      <c r="DN1267">
        <v>1</v>
      </c>
      <c r="DO1267">
        <v>0</v>
      </c>
      <c r="DP1267">
        <v>0</v>
      </c>
      <c r="DQ1267">
        <v>0</v>
      </c>
      <c r="DR1267">
        <v>0</v>
      </c>
      <c r="DS1267">
        <v>0</v>
      </c>
    </row>
    <row r="1268" spans="1:123" x14ac:dyDescent="0.3">
      <c r="A1268" t="str">
        <f>"10/04/2022 19:28:58.184"</f>
        <v>10/04/2022 19:28:58.184</v>
      </c>
      <c r="C1268" t="str">
        <f t="shared" si="438"/>
        <v>FFDDD3C0</v>
      </c>
      <c r="D1268" t="s">
        <v>134</v>
      </c>
      <c r="E1268">
        <v>15</v>
      </c>
      <c r="J1268" t="s">
        <v>135</v>
      </c>
      <c r="K1268">
        <v>0</v>
      </c>
      <c r="L1268">
        <v>3</v>
      </c>
      <c r="M1268">
        <v>0</v>
      </c>
      <c r="N1268">
        <v>2</v>
      </c>
      <c r="O1268">
        <v>0</v>
      </c>
      <c r="P1268">
        <v>1</v>
      </c>
      <c r="Q1268">
        <v>0</v>
      </c>
      <c r="S1268" t="str">
        <f t="shared" si="436"/>
        <v>19:28:57.000</v>
      </c>
      <c r="T1268" t="str">
        <f t="shared" si="436"/>
        <v>19:28:57.000</v>
      </c>
      <c r="U1268" t="str">
        <f t="shared" si="423"/>
        <v>AC3944</v>
      </c>
      <c r="V1268">
        <v>0</v>
      </c>
      <c r="W1268">
        <v>0</v>
      </c>
      <c r="X1268">
        <v>2</v>
      </c>
      <c r="Y1268">
        <v>0</v>
      </c>
      <c r="AA1268">
        <v>1</v>
      </c>
      <c r="AB1268">
        <v>8</v>
      </c>
      <c r="AC1268">
        <v>3</v>
      </c>
      <c r="AD1268">
        <v>0</v>
      </c>
      <c r="AE1268">
        <v>9</v>
      </c>
      <c r="AF1268" t="s">
        <v>138</v>
      </c>
      <c r="AG1268">
        <v>0</v>
      </c>
      <c r="AH1268">
        <v>3</v>
      </c>
      <c r="AI1268">
        <v>1</v>
      </c>
      <c r="AJ1268">
        <v>0</v>
      </c>
      <c r="AK1268" t="s">
        <v>492</v>
      </c>
      <c r="AL1268">
        <v>32.806055999999998</v>
      </c>
      <c r="AM1268" t="s">
        <v>495</v>
      </c>
      <c r="AN1268">
        <v>-116.90302800000001</v>
      </c>
      <c r="AO1268">
        <v>25</v>
      </c>
      <c r="AP1268">
        <v>2400</v>
      </c>
      <c r="AQ1268" t="s">
        <v>129</v>
      </c>
      <c r="AR1268">
        <v>116</v>
      </c>
      <c r="AS1268">
        <v>-1</v>
      </c>
      <c r="AT1268">
        <v>768</v>
      </c>
      <c r="BB1268">
        <v>1200</v>
      </c>
      <c r="BC1268">
        <v>1</v>
      </c>
      <c r="BD1268" t="str">
        <f t="shared" si="424"/>
        <v xml:space="preserve">N887QR  </v>
      </c>
      <c r="BE1268">
        <v>1</v>
      </c>
      <c r="BJ1268">
        <v>2125</v>
      </c>
      <c r="BK1268">
        <v>-275</v>
      </c>
      <c r="BL1268" t="s">
        <v>163</v>
      </c>
      <c r="BM1268">
        <v>1</v>
      </c>
      <c r="BN1268">
        <v>1</v>
      </c>
      <c r="BO1268">
        <v>1</v>
      </c>
      <c r="BP1268">
        <v>0</v>
      </c>
      <c r="BS1268">
        <v>0.08</v>
      </c>
      <c r="BT1268">
        <v>0</v>
      </c>
      <c r="BU1268">
        <v>0</v>
      </c>
      <c r="CE1268" t="str">
        <f>"19:28:57.991"</f>
        <v>19:28:57.991</v>
      </c>
      <c r="CF1268">
        <v>991236633</v>
      </c>
      <c r="CS1268">
        <v>3</v>
      </c>
      <c r="CT1268">
        <v>2</v>
      </c>
      <c r="CU1268">
        <v>0</v>
      </c>
      <c r="CV1268">
        <v>2</v>
      </c>
      <c r="CW1268">
        <v>0</v>
      </c>
      <c r="CX1268">
        <v>3</v>
      </c>
      <c r="CY1268">
        <v>7</v>
      </c>
      <c r="CZ1268" t="s">
        <v>131</v>
      </c>
      <c r="DA1268">
        <v>292</v>
      </c>
      <c r="DB1268">
        <v>0</v>
      </c>
      <c r="DC1268" t="s">
        <v>254</v>
      </c>
      <c r="DD1268" t="s">
        <v>255</v>
      </c>
      <c r="DG1268">
        <v>3379822</v>
      </c>
      <c r="DI1268">
        <v>1</v>
      </c>
      <c r="DJ1268">
        <v>0</v>
      </c>
      <c r="DK1268">
        <v>1</v>
      </c>
      <c r="DL1268">
        <v>0</v>
      </c>
      <c r="DM1268">
        <v>0</v>
      </c>
      <c r="DN1268">
        <v>1</v>
      </c>
      <c r="DO1268">
        <v>0</v>
      </c>
      <c r="DP1268">
        <v>0</v>
      </c>
      <c r="DQ1268">
        <v>0</v>
      </c>
      <c r="DR1268">
        <v>0</v>
      </c>
      <c r="DS1268">
        <v>0</v>
      </c>
    </row>
    <row r="1269" spans="1:123" x14ac:dyDescent="0.3">
      <c r="A1269" t="str">
        <f>"10/04/2022 19:28:58.184"</f>
        <v>10/04/2022 19:28:58.184</v>
      </c>
      <c r="C1269" t="str">
        <f t="shared" si="438"/>
        <v>FFDDD3C0</v>
      </c>
      <c r="D1269" t="s">
        <v>123</v>
      </c>
      <c r="E1269">
        <v>7</v>
      </c>
      <c r="F1269">
        <v>2007</v>
      </c>
      <c r="G1269" t="s">
        <v>124</v>
      </c>
      <c r="J1269" t="s">
        <v>125</v>
      </c>
      <c r="K1269">
        <v>0</v>
      </c>
      <c r="L1269">
        <v>3</v>
      </c>
      <c r="M1269">
        <v>0</v>
      </c>
      <c r="N1269">
        <v>2</v>
      </c>
      <c r="O1269">
        <v>0</v>
      </c>
      <c r="P1269">
        <v>1</v>
      </c>
      <c r="Q1269">
        <v>0</v>
      </c>
      <c r="S1269" t="str">
        <f t="shared" si="436"/>
        <v>19:28:57.000</v>
      </c>
      <c r="T1269" t="str">
        <f t="shared" si="436"/>
        <v>19:28:57.000</v>
      </c>
      <c r="U1269" t="str">
        <f t="shared" si="423"/>
        <v>AC3944</v>
      </c>
      <c r="V1269">
        <v>0</v>
      </c>
      <c r="W1269">
        <v>0</v>
      </c>
      <c r="X1269">
        <v>2</v>
      </c>
      <c r="Y1269">
        <v>0</v>
      </c>
      <c r="AA1269">
        <v>1</v>
      </c>
      <c r="AB1269">
        <v>8</v>
      </c>
      <c r="AC1269">
        <v>3</v>
      </c>
      <c r="AD1269">
        <v>0</v>
      </c>
      <c r="AE1269">
        <v>9</v>
      </c>
      <c r="AF1269" t="s">
        <v>138</v>
      </c>
      <c r="AG1269">
        <v>0</v>
      </c>
      <c r="AH1269">
        <v>3</v>
      </c>
      <c r="AI1269">
        <v>1</v>
      </c>
      <c r="AJ1269">
        <v>0</v>
      </c>
      <c r="AK1269" t="s">
        <v>492</v>
      </c>
      <c r="AL1269">
        <v>32.806055999999998</v>
      </c>
      <c r="AM1269" t="s">
        <v>495</v>
      </c>
      <c r="AN1269">
        <v>-116.90302800000001</v>
      </c>
      <c r="AO1269">
        <v>25</v>
      </c>
      <c r="AP1269">
        <v>2400</v>
      </c>
      <c r="AQ1269" t="s">
        <v>129</v>
      </c>
      <c r="AR1269">
        <v>116</v>
      </c>
      <c r="AS1269">
        <v>-1</v>
      </c>
      <c r="AT1269">
        <v>768</v>
      </c>
      <c r="BB1269">
        <v>1200</v>
      </c>
      <c r="BC1269">
        <v>1</v>
      </c>
      <c r="BD1269" t="str">
        <f t="shared" si="424"/>
        <v xml:space="preserve">N887QR  </v>
      </c>
      <c r="BE1269">
        <v>1</v>
      </c>
      <c r="BJ1269">
        <v>2125</v>
      </c>
      <c r="BK1269">
        <v>-275</v>
      </c>
      <c r="BL1269" t="s">
        <v>163</v>
      </c>
      <c r="BM1269">
        <v>1</v>
      </c>
      <c r="BN1269">
        <v>1</v>
      </c>
      <c r="BO1269">
        <v>1</v>
      </c>
      <c r="BP1269">
        <v>0</v>
      </c>
      <c r="BS1269">
        <v>0.08</v>
      </c>
      <c r="BT1269">
        <v>0</v>
      </c>
      <c r="BU1269">
        <v>0</v>
      </c>
      <c r="CE1269" t="str">
        <f>"19:28:57.991"</f>
        <v>19:28:57.991</v>
      </c>
      <c r="CF1269">
        <v>991236633</v>
      </c>
      <c r="CS1269">
        <v>3</v>
      </c>
      <c r="CT1269">
        <v>2</v>
      </c>
      <c r="CU1269">
        <v>0</v>
      </c>
      <c r="CV1269">
        <v>2</v>
      </c>
      <c r="CW1269">
        <v>0</v>
      </c>
      <c r="CX1269">
        <v>3</v>
      </c>
      <c r="CY1269">
        <v>7</v>
      </c>
      <c r="CZ1269" t="s">
        <v>131</v>
      </c>
      <c r="DA1269">
        <v>292</v>
      </c>
      <c r="DB1269">
        <v>0</v>
      </c>
      <c r="DC1269" t="s">
        <v>254</v>
      </c>
      <c r="DD1269" t="s">
        <v>255</v>
      </c>
      <c r="DG1269">
        <v>3379822</v>
      </c>
      <c r="DI1269">
        <v>1</v>
      </c>
      <c r="DJ1269">
        <v>0</v>
      </c>
      <c r="DK1269">
        <v>1</v>
      </c>
      <c r="DL1269">
        <v>0</v>
      </c>
      <c r="DM1269">
        <v>0</v>
      </c>
      <c r="DN1269">
        <v>1</v>
      </c>
      <c r="DO1269">
        <v>0</v>
      </c>
      <c r="DP1269">
        <v>0</v>
      </c>
      <c r="DQ1269">
        <v>0</v>
      </c>
      <c r="DR1269">
        <v>0</v>
      </c>
      <c r="DS1269">
        <v>0</v>
      </c>
    </row>
    <row r="1270" spans="1:123" x14ac:dyDescent="0.3">
      <c r="A1270" t="str">
        <f>"10/04/2022 19:28:58.184"</f>
        <v>10/04/2022 19:28:58.184</v>
      </c>
      <c r="C1270" t="str">
        <f t="shared" si="438"/>
        <v>FFDDD3C0</v>
      </c>
      <c r="D1270" t="s">
        <v>147</v>
      </c>
      <c r="E1270">
        <v>3</v>
      </c>
      <c r="H1270">
        <v>166</v>
      </c>
      <c r="I1270" t="s">
        <v>144</v>
      </c>
      <c r="J1270" t="s">
        <v>148</v>
      </c>
      <c r="K1270">
        <v>0</v>
      </c>
      <c r="L1270">
        <v>3</v>
      </c>
      <c r="M1270">
        <v>0</v>
      </c>
      <c r="N1270">
        <v>2</v>
      </c>
      <c r="O1270">
        <v>0</v>
      </c>
      <c r="P1270">
        <v>1</v>
      </c>
      <c r="Q1270">
        <v>0</v>
      </c>
      <c r="S1270" t="str">
        <f t="shared" si="436"/>
        <v>19:28:57.000</v>
      </c>
      <c r="T1270" t="str">
        <f t="shared" si="436"/>
        <v>19:28:57.000</v>
      </c>
      <c r="U1270" t="str">
        <f t="shared" si="423"/>
        <v>AC3944</v>
      </c>
      <c r="V1270">
        <v>0</v>
      </c>
      <c r="W1270">
        <v>0</v>
      </c>
      <c r="X1270">
        <v>2</v>
      </c>
      <c r="Y1270">
        <v>0</v>
      </c>
      <c r="AA1270">
        <v>1</v>
      </c>
      <c r="AB1270">
        <v>8</v>
      </c>
      <c r="AC1270">
        <v>3</v>
      </c>
      <c r="AD1270">
        <v>0</v>
      </c>
      <c r="AE1270">
        <v>9</v>
      </c>
      <c r="AF1270" t="s">
        <v>138</v>
      </c>
      <c r="AG1270">
        <v>0</v>
      </c>
      <c r="AH1270">
        <v>3</v>
      </c>
      <c r="AI1270">
        <v>1</v>
      </c>
      <c r="AJ1270">
        <v>0</v>
      </c>
      <c r="AK1270" t="s">
        <v>492</v>
      </c>
      <c r="AL1270">
        <v>32.806055999999998</v>
      </c>
      <c r="AM1270" t="s">
        <v>495</v>
      </c>
      <c r="AN1270">
        <v>-116.90302800000001</v>
      </c>
      <c r="AO1270">
        <v>25</v>
      </c>
      <c r="AP1270">
        <v>2400</v>
      </c>
      <c r="AQ1270" t="s">
        <v>129</v>
      </c>
      <c r="AR1270">
        <v>116</v>
      </c>
      <c r="AS1270">
        <v>-1</v>
      </c>
      <c r="AT1270">
        <v>768</v>
      </c>
      <c r="BB1270">
        <v>1200</v>
      </c>
      <c r="BC1270">
        <v>1</v>
      </c>
      <c r="BD1270" t="str">
        <f t="shared" si="424"/>
        <v xml:space="preserve">N887QR  </v>
      </c>
      <c r="BE1270">
        <v>1</v>
      </c>
      <c r="BJ1270">
        <v>2125</v>
      </c>
      <c r="BK1270">
        <v>-275</v>
      </c>
      <c r="BL1270" t="s">
        <v>163</v>
      </c>
      <c r="BM1270">
        <v>1</v>
      </c>
      <c r="BN1270">
        <v>1</v>
      </c>
      <c r="BO1270">
        <v>1</v>
      </c>
      <c r="BP1270">
        <v>0</v>
      </c>
      <c r="BS1270">
        <v>0.08</v>
      </c>
      <c r="BT1270">
        <v>0</v>
      </c>
      <c r="BU1270">
        <v>0</v>
      </c>
      <c r="CE1270" t="str">
        <f>"19:28:57.991"</f>
        <v>19:28:57.991</v>
      </c>
      <c r="CF1270">
        <v>991236633</v>
      </c>
      <c r="CS1270">
        <v>3</v>
      </c>
      <c r="CT1270">
        <v>2</v>
      </c>
      <c r="CU1270">
        <v>0</v>
      </c>
      <c r="CV1270">
        <v>2</v>
      </c>
      <c r="CW1270">
        <v>0</v>
      </c>
      <c r="CX1270">
        <v>3</v>
      </c>
      <c r="CY1270">
        <v>7</v>
      </c>
      <c r="CZ1270" t="s">
        <v>131</v>
      </c>
      <c r="DA1270">
        <v>292</v>
      </c>
      <c r="DB1270">
        <v>0</v>
      </c>
      <c r="DC1270" t="s">
        <v>254</v>
      </c>
      <c r="DD1270" t="s">
        <v>255</v>
      </c>
      <c r="DG1270">
        <v>3379822</v>
      </c>
      <c r="DI1270">
        <v>1</v>
      </c>
      <c r="DJ1270">
        <v>0</v>
      </c>
      <c r="DK1270">
        <v>1</v>
      </c>
      <c r="DL1270">
        <v>0</v>
      </c>
      <c r="DM1270">
        <v>0</v>
      </c>
      <c r="DN1270">
        <v>1</v>
      </c>
      <c r="DO1270">
        <v>0</v>
      </c>
      <c r="DP1270">
        <v>0</v>
      </c>
      <c r="DQ1270">
        <v>0</v>
      </c>
      <c r="DR1270">
        <v>0</v>
      </c>
      <c r="DS1270">
        <v>0</v>
      </c>
    </row>
    <row r="1271" spans="1:123" x14ac:dyDescent="0.3">
      <c r="A1271" t="str">
        <f>"10/04/2022 19:28:59.653"</f>
        <v>10/04/2022 19:28:59.653</v>
      </c>
      <c r="C1271" t="str">
        <f t="shared" si="438"/>
        <v>FFDDD3C0</v>
      </c>
      <c r="D1271" t="s">
        <v>143</v>
      </c>
      <c r="E1271">
        <v>20</v>
      </c>
      <c r="F1271">
        <v>1020</v>
      </c>
      <c r="G1271" t="s">
        <v>144</v>
      </c>
      <c r="J1271" t="s">
        <v>145</v>
      </c>
      <c r="K1271">
        <v>0</v>
      </c>
      <c r="L1271">
        <v>3</v>
      </c>
      <c r="M1271">
        <v>0</v>
      </c>
      <c r="N1271">
        <v>2</v>
      </c>
      <c r="O1271">
        <v>0</v>
      </c>
      <c r="P1271">
        <v>1</v>
      </c>
      <c r="Q1271">
        <v>0</v>
      </c>
      <c r="S1271" t="str">
        <f t="shared" ref="S1271:T1281" si="439">"19:28:59.000"</f>
        <v>19:28:59.000</v>
      </c>
      <c r="T1271" t="str">
        <f t="shared" si="439"/>
        <v>19:28:59.000</v>
      </c>
      <c r="U1271" t="str">
        <f t="shared" si="423"/>
        <v>AC3944</v>
      </c>
      <c r="V1271">
        <v>0</v>
      </c>
      <c r="W1271">
        <v>0</v>
      </c>
      <c r="X1271">
        <v>2</v>
      </c>
      <c r="Y1271">
        <v>0</v>
      </c>
      <c r="AA1271">
        <v>1</v>
      </c>
      <c r="AB1271">
        <v>8</v>
      </c>
      <c r="AC1271">
        <v>3</v>
      </c>
      <c r="AD1271">
        <v>0</v>
      </c>
      <c r="AE1271">
        <v>9</v>
      </c>
      <c r="AF1271" t="s">
        <v>138</v>
      </c>
      <c r="AG1271">
        <v>0</v>
      </c>
      <c r="AH1271">
        <v>3</v>
      </c>
      <c r="AI1271">
        <v>1</v>
      </c>
      <c r="AJ1271">
        <v>0</v>
      </c>
      <c r="AK1271" t="s">
        <v>496</v>
      </c>
      <c r="AL1271">
        <v>32.806033999999997</v>
      </c>
      <c r="AM1271" t="s">
        <v>497</v>
      </c>
      <c r="AN1271">
        <v>-116.902385</v>
      </c>
      <c r="AO1271">
        <v>25</v>
      </c>
      <c r="AP1271">
        <v>2400</v>
      </c>
      <c r="AQ1271" t="s">
        <v>129</v>
      </c>
      <c r="AR1271">
        <v>117</v>
      </c>
      <c r="AS1271">
        <v>-5</v>
      </c>
      <c r="AT1271">
        <v>640</v>
      </c>
      <c r="BB1271">
        <v>1200</v>
      </c>
      <c r="BC1271">
        <v>1</v>
      </c>
      <c r="BD1271" t="str">
        <f t="shared" si="424"/>
        <v xml:space="preserve">N887QR  </v>
      </c>
      <c r="BE1271">
        <v>1</v>
      </c>
      <c r="BJ1271">
        <v>2125</v>
      </c>
      <c r="BK1271">
        <v>-275</v>
      </c>
      <c r="BL1271" t="s">
        <v>163</v>
      </c>
      <c r="BM1271">
        <v>1</v>
      </c>
      <c r="BN1271">
        <v>1</v>
      </c>
      <c r="BO1271">
        <v>1</v>
      </c>
      <c r="BP1271">
        <v>0</v>
      </c>
      <c r="BS1271">
        <v>0.08</v>
      </c>
      <c r="BT1271">
        <v>0</v>
      </c>
      <c r="BU1271">
        <v>0</v>
      </c>
      <c r="CE1271" t="str">
        <f t="shared" ref="CE1271:CE1277" si="440">"19:28:59.457"</f>
        <v>19:28:59.457</v>
      </c>
      <c r="CF1271">
        <v>456599602</v>
      </c>
      <c r="CS1271">
        <v>3</v>
      </c>
      <c r="CT1271">
        <v>2</v>
      </c>
      <c r="CU1271">
        <v>0</v>
      </c>
      <c r="CV1271">
        <v>2</v>
      </c>
      <c r="CW1271">
        <v>0</v>
      </c>
      <c r="CX1271">
        <v>6</v>
      </c>
      <c r="CY1271">
        <v>7</v>
      </c>
      <c r="CZ1271" t="s">
        <v>131</v>
      </c>
      <c r="DA1271">
        <v>300</v>
      </c>
      <c r="DB1271">
        <v>0</v>
      </c>
      <c r="DC1271" t="s">
        <v>176</v>
      </c>
      <c r="DD1271" t="s">
        <v>177</v>
      </c>
      <c r="DG1271">
        <v>5383057</v>
      </c>
      <c r="DI1271">
        <v>1</v>
      </c>
      <c r="DJ1271">
        <v>0</v>
      </c>
      <c r="DK1271">
        <v>0</v>
      </c>
      <c r="DL1271">
        <v>0</v>
      </c>
      <c r="DM1271">
        <v>0</v>
      </c>
      <c r="DN1271">
        <v>1</v>
      </c>
      <c r="DO1271">
        <v>0</v>
      </c>
      <c r="DP1271">
        <v>0</v>
      </c>
      <c r="DQ1271">
        <v>0</v>
      </c>
      <c r="DR1271">
        <v>0</v>
      </c>
      <c r="DS1271">
        <v>0</v>
      </c>
    </row>
    <row r="1272" spans="1:123" x14ac:dyDescent="0.3">
      <c r="A1272" t="str">
        <f t="shared" ref="A1272:A1277" si="441">"10/04/2022 19:28:59.668"</f>
        <v>10/04/2022 19:28:59.668</v>
      </c>
      <c r="C1272" t="str">
        <f t="shared" si="438"/>
        <v>FFDDD3C0</v>
      </c>
      <c r="D1272" t="s">
        <v>123</v>
      </c>
      <c r="E1272">
        <v>7</v>
      </c>
      <c r="F1272">
        <v>2007</v>
      </c>
      <c r="G1272" t="s">
        <v>124</v>
      </c>
      <c r="J1272" t="s">
        <v>125</v>
      </c>
      <c r="K1272">
        <v>0</v>
      </c>
      <c r="L1272">
        <v>3</v>
      </c>
      <c r="M1272">
        <v>0</v>
      </c>
      <c r="N1272">
        <v>2</v>
      </c>
      <c r="O1272">
        <v>0</v>
      </c>
      <c r="P1272">
        <v>1</v>
      </c>
      <c r="Q1272">
        <v>0</v>
      </c>
      <c r="S1272" t="str">
        <f t="shared" si="439"/>
        <v>19:28:59.000</v>
      </c>
      <c r="T1272" t="str">
        <f t="shared" si="439"/>
        <v>19:28:59.000</v>
      </c>
      <c r="U1272" t="str">
        <f t="shared" si="423"/>
        <v>AC3944</v>
      </c>
      <c r="V1272">
        <v>0</v>
      </c>
      <c r="W1272">
        <v>0</v>
      </c>
      <c r="X1272">
        <v>2</v>
      </c>
      <c r="Y1272">
        <v>0</v>
      </c>
      <c r="AA1272">
        <v>1</v>
      </c>
      <c r="AB1272">
        <v>8</v>
      </c>
      <c r="AC1272">
        <v>3</v>
      </c>
      <c r="AD1272">
        <v>0</v>
      </c>
      <c r="AE1272">
        <v>9</v>
      </c>
      <c r="AF1272" t="s">
        <v>138</v>
      </c>
      <c r="AG1272">
        <v>0</v>
      </c>
      <c r="AH1272">
        <v>3</v>
      </c>
      <c r="AI1272">
        <v>1</v>
      </c>
      <c r="AJ1272">
        <v>0</v>
      </c>
      <c r="AK1272" t="s">
        <v>496</v>
      </c>
      <c r="AL1272">
        <v>32.806033999999997</v>
      </c>
      <c r="AM1272" t="s">
        <v>497</v>
      </c>
      <c r="AN1272">
        <v>-116.902385</v>
      </c>
      <c r="AO1272">
        <v>25</v>
      </c>
      <c r="AP1272">
        <v>2400</v>
      </c>
      <c r="AQ1272" t="s">
        <v>129</v>
      </c>
      <c r="AR1272">
        <v>117</v>
      </c>
      <c r="AS1272">
        <v>-5</v>
      </c>
      <c r="AT1272">
        <v>640</v>
      </c>
      <c r="BB1272">
        <v>1200</v>
      </c>
      <c r="BC1272">
        <v>1</v>
      </c>
      <c r="BD1272" t="str">
        <f t="shared" si="424"/>
        <v xml:space="preserve">N887QR  </v>
      </c>
      <c r="BE1272">
        <v>1</v>
      </c>
      <c r="BJ1272">
        <v>2125</v>
      </c>
      <c r="BK1272">
        <v>-275</v>
      </c>
      <c r="BL1272" t="s">
        <v>163</v>
      </c>
      <c r="BM1272">
        <v>1</v>
      </c>
      <c r="BN1272">
        <v>1</v>
      </c>
      <c r="BO1272">
        <v>1</v>
      </c>
      <c r="BP1272">
        <v>0</v>
      </c>
      <c r="BS1272">
        <v>0.08</v>
      </c>
      <c r="BT1272">
        <v>0</v>
      </c>
      <c r="BU1272">
        <v>0</v>
      </c>
      <c r="CE1272" t="str">
        <f t="shared" si="440"/>
        <v>19:28:59.457</v>
      </c>
      <c r="CF1272">
        <v>456599602</v>
      </c>
      <c r="CS1272">
        <v>3</v>
      </c>
      <c r="CT1272">
        <v>2</v>
      </c>
      <c r="CU1272">
        <v>0</v>
      </c>
      <c r="CV1272">
        <v>2</v>
      </c>
      <c r="CW1272">
        <v>0</v>
      </c>
      <c r="CX1272">
        <v>6</v>
      </c>
      <c r="CY1272">
        <v>7</v>
      </c>
      <c r="CZ1272" t="s">
        <v>131</v>
      </c>
      <c r="DA1272">
        <v>300</v>
      </c>
      <c r="DB1272">
        <v>0</v>
      </c>
      <c r="DC1272" t="s">
        <v>176</v>
      </c>
      <c r="DD1272" t="s">
        <v>177</v>
      </c>
      <c r="DG1272">
        <v>5383057</v>
      </c>
      <c r="DI1272">
        <v>1</v>
      </c>
      <c r="DJ1272">
        <v>0</v>
      </c>
      <c r="DK1272">
        <v>1</v>
      </c>
      <c r="DL1272">
        <v>0</v>
      </c>
      <c r="DM1272">
        <v>0</v>
      </c>
      <c r="DN1272">
        <v>1</v>
      </c>
      <c r="DO1272">
        <v>0</v>
      </c>
      <c r="DP1272">
        <v>0</v>
      </c>
      <c r="DQ1272">
        <v>0</v>
      </c>
      <c r="DR1272">
        <v>0</v>
      </c>
      <c r="DS1272">
        <v>0</v>
      </c>
    </row>
    <row r="1273" spans="1:123" x14ac:dyDescent="0.3">
      <c r="A1273" t="str">
        <f t="shared" si="441"/>
        <v>10/04/2022 19:28:59.668</v>
      </c>
      <c r="C1273" t="str">
        <f t="shared" si="438"/>
        <v>FFDDD3C0</v>
      </c>
      <c r="D1273" t="s">
        <v>134</v>
      </c>
      <c r="E1273">
        <v>15</v>
      </c>
      <c r="J1273" t="s">
        <v>135</v>
      </c>
      <c r="K1273">
        <v>0</v>
      </c>
      <c r="L1273">
        <v>3</v>
      </c>
      <c r="M1273">
        <v>0</v>
      </c>
      <c r="N1273">
        <v>2</v>
      </c>
      <c r="O1273">
        <v>0</v>
      </c>
      <c r="P1273">
        <v>1</v>
      </c>
      <c r="Q1273">
        <v>0</v>
      </c>
      <c r="S1273" t="str">
        <f t="shared" si="439"/>
        <v>19:28:59.000</v>
      </c>
      <c r="T1273" t="str">
        <f t="shared" si="439"/>
        <v>19:28:59.000</v>
      </c>
      <c r="U1273" t="str">
        <f t="shared" si="423"/>
        <v>AC3944</v>
      </c>
      <c r="V1273">
        <v>0</v>
      </c>
      <c r="W1273">
        <v>0</v>
      </c>
      <c r="X1273">
        <v>2</v>
      </c>
      <c r="Y1273">
        <v>0</v>
      </c>
      <c r="AA1273">
        <v>1</v>
      </c>
      <c r="AB1273">
        <v>8</v>
      </c>
      <c r="AC1273">
        <v>3</v>
      </c>
      <c r="AD1273">
        <v>0</v>
      </c>
      <c r="AE1273">
        <v>9</v>
      </c>
      <c r="AF1273" t="s">
        <v>138</v>
      </c>
      <c r="AG1273">
        <v>0</v>
      </c>
      <c r="AH1273">
        <v>3</v>
      </c>
      <c r="AI1273">
        <v>1</v>
      </c>
      <c r="AJ1273">
        <v>0</v>
      </c>
      <c r="AK1273" t="s">
        <v>496</v>
      </c>
      <c r="AL1273">
        <v>32.806033999999997</v>
      </c>
      <c r="AM1273" t="s">
        <v>497</v>
      </c>
      <c r="AN1273">
        <v>-116.902385</v>
      </c>
      <c r="AO1273">
        <v>25</v>
      </c>
      <c r="AP1273">
        <v>2400</v>
      </c>
      <c r="AQ1273" t="s">
        <v>129</v>
      </c>
      <c r="AR1273">
        <v>117</v>
      </c>
      <c r="AS1273">
        <v>-5</v>
      </c>
      <c r="AT1273">
        <v>640</v>
      </c>
      <c r="BB1273">
        <v>1200</v>
      </c>
      <c r="BC1273">
        <v>1</v>
      </c>
      <c r="BD1273" t="str">
        <f t="shared" si="424"/>
        <v xml:space="preserve">N887QR  </v>
      </c>
      <c r="BE1273">
        <v>1</v>
      </c>
      <c r="BJ1273">
        <v>2125</v>
      </c>
      <c r="BK1273">
        <v>-275</v>
      </c>
      <c r="BL1273" t="s">
        <v>163</v>
      </c>
      <c r="BM1273">
        <v>1</v>
      </c>
      <c r="BN1273">
        <v>1</v>
      </c>
      <c r="BO1273">
        <v>1</v>
      </c>
      <c r="BP1273">
        <v>0</v>
      </c>
      <c r="BS1273">
        <v>0.08</v>
      </c>
      <c r="BT1273">
        <v>0</v>
      </c>
      <c r="BU1273">
        <v>0</v>
      </c>
      <c r="CE1273" t="str">
        <f t="shared" si="440"/>
        <v>19:28:59.457</v>
      </c>
      <c r="CF1273">
        <v>456599602</v>
      </c>
      <c r="CS1273">
        <v>3</v>
      </c>
      <c r="CT1273">
        <v>2</v>
      </c>
      <c r="CU1273">
        <v>0</v>
      </c>
      <c r="CV1273">
        <v>2</v>
      </c>
      <c r="CW1273">
        <v>0</v>
      </c>
      <c r="CX1273">
        <v>6</v>
      </c>
      <c r="CY1273">
        <v>7</v>
      </c>
      <c r="CZ1273" t="s">
        <v>131</v>
      </c>
      <c r="DA1273">
        <v>300</v>
      </c>
      <c r="DB1273">
        <v>0</v>
      </c>
      <c r="DC1273" t="s">
        <v>176</v>
      </c>
      <c r="DD1273" t="s">
        <v>177</v>
      </c>
      <c r="DG1273">
        <v>5383057</v>
      </c>
      <c r="DI1273">
        <v>1</v>
      </c>
      <c r="DJ1273">
        <v>0</v>
      </c>
      <c r="DK1273">
        <v>1</v>
      </c>
      <c r="DL1273">
        <v>0</v>
      </c>
      <c r="DM1273">
        <v>0</v>
      </c>
      <c r="DN1273">
        <v>1</v>
      </c>
      <c r="DO1273">
        <v>0</v>
      </c>
      <c r="DP1273">
        <v>0</v>
      </c>
      <c r="DQ1273">
        <v>0</v>
      </c>
      <c r="DR1273">
        <v>0</v>
      </c>
      <c r="DS1273">
        <v>0</v>
      </c>
    </row>
    <row r="1274" spans="1:123" x14ac:dyDescent="0.3">
      <c r="A1274" t="str">
        <f t="shared" si="441"/>
        <v>10/04/2022 19:28:59.668</v>
      </c>
      <c r="C1274" t="str">
        <f t="shared" si="438"/>
        <v>FFDDD3C0</v>
      </c>
      <c r="D1274" t="s">
        <v>147</v>
      </c>
      <c r="E1274">
        <v>3</v>
      </c>
      <c r="H1274">
        <v>166</v>
      </c>
      <c r="I1274" t="s">
        <v>144</v>
      </c>
      <c r="J1274" t="s">
        <v>148</v>
      </c>
      <c r="K1274">
        <v>0</v>
      </c>
      <c r="L1274">
        <v>3</v>
      </c>
      <c r="M1274">
        <v>0</v>
      </c>
      <c r="N1274">
        <v>2</v>
      </c>
      <c r="O1274">
        <v>0</v>
      </c>
      <c r="P1274">
        <v>1</v>
      </c>
      <c r="Q1274">
        <v>0</v>
      </c>
      <c r="S1274" t="str">
        <f t="shared" si="439"/>
        <v>19:28:59.000</v>
      </c>
      <c r="T1274" t="str">
        <f t="shared" si="439"/>
        <v>19:28:59.000</v>
      </c>
      <c r="U1274" t="str">
        <f t="shared" si="423"/>
        <v>AC3944</v>
      </c>
      <c r="V1274">
        <v>0</v>
      </c>
      <c r="W1274">
        <v>0</v>
      </c>
      <c r="X1274">
        <v>2</v>
      </c>
      <c r="Y1274">
        <v>0</v>
      </c>
      <c r="AA1274">
        <v>1</v>
      </c>
      <c r="AB1274">
        <v>8</v>
      </c>
      <c r="AC1274">
        <v>3</v>
      </c>
      <c r="AD1274">
        <v>0</v>
      </c>
      <c r="AE1274">
        <v>9</v>
      </c>
      <c r="AF1274" t="s">
        <v>138</v>
      </c>
      <c r="AG1274">
        <v>0</v>
      </c>
      <c r="AH1274">
        <v>3</v>
      </c>
      <c r="AI1274">
        <v>1</v>
      </c>
      <c r="AJ1274">
        <v>0</v>
      </c>
      <c r="AK1274" t="s">
        <v>496</v>
      </c>
      <c r="AL1274">
        <v>32.806033999999997</v>
      </c>
      <c r="AM1274" t="s">
        <v>497</v>
      </c>
      <c r="AN1274">
        <v>-116.902385</v>
      </c>
      <c r="AO1274">
        <v>25</v>
      </c>
      <c r="AP1274">
        <v>2400</v>
      </c>
      <c r="AQ1274" t="s">
        <v>129</v>
      </c>
      <c r="AR1274">
        <v>117</v>
      </c>
      <c r="AS1274">
        <v>-5</v>
      </c>
      <c r="AT1274">
        <v>640</v>
      </c>
      <c r="BB1274">
        <v>1200</v>
      </c>
      <c r="BC1274">
        <v>1</v>
      </c>
      <c r="BD1274" t="str">
        <f t="shared" si="424"/>
        <v xml:space="preserve">N887QR  </v>
      </c>
      <c r="BE1274">
        <v>1</v>
      </c>
      <c r="BJ1274">
        <v>2125</v>
      </c>
      <c r="BK1274">
        <v>-275</v>
      </c>
      <c r="BL1274" t="s">
        <v>163</v>
      </c>
      <c r="BM1274">
        <v>1</v>
      </c>
      <c r="BN1274">
        <v>1</v>
      </c>
      <c r="BO1274">
        <v>1</v>
      </c>
      <c r="BP1274">
        <v>0</v>
      </c>
      <c r="BS1274">
        <v>0.08</v>
      </c>
      <c r="BT1274">
        <v>0</v>
      </c>
      <c r="BU1274">
        <v>0</v>
      </c>
      <c r="CE1274" t="str">
        <f t="shared" si="440"/>
        <v>19:28:59.457</v>
      </c>
      <c r="CF1274">
        <v>456599602</v>
      </c>
      <c r="CS1274">
        <v>3</v>
      </c>
      <c r="CT1274">
        <v>2</v>
      </c>
      <c r="CU1274">
        <v>0</v>
      </c>
      <c r="CV1274">
        <v>2</v>
      </c>
      <c r="CW1274">
        <v>0</v>
      </c>
      <c r="CX1274">
        <v>6</v>
      </c>
      <c r="CY1274">
        <v>7</v>
      </c>
      <c r="CZ1274" t="s">
        <v>131</v>
      </c>
      <c r="DA1274">
        <v>300</v>
      </c>
      <c r="DB1274">
        <v>0</v>
      </c>
      <c r="DC1274" t="s">
        <v>176</v>
      </c>
      <c r="DD1274" t="s">
        <v>177</v>
      </c>
      <c r="DG1274">
        <v>5383057</v>
      </c>
      <c r="DI1274">
        <v>1</v>
      </c>
      <c r="DJ1274">
        <v>0</v>
      </c>
      <c r="DK1274">
        <v>1</v>
      </c>
      <c r="DL1274">
        <v>0</v>
      </c>
      <c r="DM1274">
        <v>0</v>
      </c>
      <c r="DN1274">
        <v>1</v>
      </c>
      <c r="DO1274">
        <v>0</v>
      </c>
      <c r="DP1274">
        <v>0</v>
      </c>
      <c r="DQ1274">
        <v>0</v>
      </c>
      <c r="DR1274">
        <v>0</v>
      </c>
      <c r="DS1274">
        <v>0</v>
      </c>
    </row>
    <row r="1275" spans="1:123" x14ac:dyDescent="0.3">
      <c r="A1275" t="str">
        <f t="shared" si="441"/>
        <v>10/04/2022 19:28:59.668</v>
      </c>
      <c r="C1275" t="str">
        <f t="shared" si="438"/>
        <v>FFDDD3C0</v>
      </c>
      <c r="D1275" t="s">
        <v>141</v>
      </c>
      <c r="E1275">
        <v>3</v>
      </c>
      <c r="H1275">
        <v>3</v>
      </c>
      <c r="I1275" t="s">
        <v>146</v>
      </c>
      <c r="J1275" t="s">
        <v>138</v>
      </c>
      <c r="K1275">
        <v>0</v>
      </c>
      <c r="L1275">
        <v>3</v>
      </c>
      <c r="M1275">
        <v>0</v>
      </c>
      <c r="N1275">
        <v>2</v>
      </c>
      <c r="O1275">
        <v>0</v>
      </c>
      <c r="P1275">
        <v>1</v>
      </c>
      <c r="Q1275">
        <v>0</v>
      </c>
      <c r="S1275" t="str">
        <f t="shared" si="439"/>
        <v>19:28:59.000</v>
      </c>
      <c r="T1275" t="str">
        <f t="shared" si="439"/>
        <v>19:28:59.000</v>
      </c>
      <c r="U1275" t="str">
        <f t="shared" si="423"/>
        <v>AC3944</v>
      </c>
      <c r="V1275">
        <v>0</v>
      </c>
      <c r="W1275">
        <v>0</v>
      </c>
      <c r="X1275">
        <v>2</v>
      </c>
      <c r="Y1275">
        <v>0</v>
      </c>
      <c r="AA1275">
        <v>1</v>
      </c>
      <c r="AB1275">
        <v>8</v>
      </c>
      <c r="AC1275">
        <v>3</v>
      </c>
      <c r="AD1275">
        <v>0</v>
      </c>
      <c r="AE1275">
        <v>9</v>
      </c>
      <c r="AF1275" t="s">
        <v>138</v>
      </c>
      <c r="AG1275">
        <v>0</v>
      </c>
      <c r="AH1275">
        <v>3</v>
      </c>
      <c r="AI1275">
        <v>1</v>
      </c>
      <c r="AJ1275">
        <v>0</v>
      </c>
      <c r="AK1275" t="s">
        <v>496</v>
      </c>
      <c r="AL1275">
        <v>32.806033999999997</v>
      </c>
      <c r="AM1275" t="s">
        <v>497</v>
      </c>
      <c r="AN1275">
        <v>-116.902385</v>
      </c>
      <c r="AO1275">
        <v>25</v>
      </c>
      <c r="AP1275">
        <v>2400</v>
      </c>
      <c r="AQ1275" t="s">
        <v>129</v>
      </c>
      <c r="AR1275">
        <v>117</v>
      </c>
      <c r="AS1275">
        <v>-5</v>
      </c>
      <c r="AT1275">
        <v>640</v>
      </c>
      <c r="BB1275">
        <v>1200</v>
      </c>
      <c r="BC1275">
        <v>1</v>
      </c>
      <c r="BD1275" t="str">
        <f t="shared" si="424"/>
        <v xml:space="preserve">N887QR  </v>
      </c>
      <c r="BE1275">
        <v>1</v>
      </c>
      <c r="BJ1275">
        <v>2125</v>
      </c>
      <c r="BK1275">
        <v>-275</v>
      </c>
      <c r="BL1275" t="s">
        <v>163</v>
      </c>
      <c r="BM1275">
        <v>1</v>
      </c>
      <c r="BN1275">
        <v>1</v>
      </c>
      <c r="BO1275">
        <v>1</v>
      </c>
      <c r="BP1275">
        <v>0</v>
      </c>
      <c r="BS1275">
        <v>0.08</v>
      </c>
      <c r="BT1275">
        <v>0</v>
      </c>
      <c r="BU1275">
        <v>0</v>
      </c>
      <c r="CE1275" t="str">
        <f t="shared" si="440"/>
        <v>19:28:59.457</v>
      </c>
      <c r="CF1275">
        <v>456599602</v>
      </c>
      <c r="CS1275">
        <v>3</v>
      </c>
      <c r="CT1275">
        <v>2</v>
      </c>
      <c r="CU1275">
        <v>0</v>
      </c>
      <c r="CV1275">
        <v>2</v>
      </c>
      <c r="CW1275">
        <v>0</v>
      </c>
      <c r="CX1275">
        <v>6</v>
      </c>
      <c r="CY1275">
        <v>7</v>
      </c>
      <c r="CZ1275" t="s">
        <v>131</v>
      </c>
      <c r="DA1275">
        <v>300</v>
      </c>
      <c r="DB1275">
        <v>0</v>
      </c>
      <c r="DC1275" t="s">
        <v>176</v>
      </c>
      <c r="DD1275" t="s">
        <v>177</v>
      </c>
      <c r="DG1275">
        <v>5383057</v>
      </c>
      <c r="DI1275">
        <v>1</v>
      </c>
      <c r="DJ1275">
        <v>0</v>
      </c>
      <c r="DK1275">
        <v>1</v>
      </c>
      <c r="DL1275">
        <v>0</v>
      </c>
      <c r="DM1275">
        <v>0</v>
      </c>
      <c r="DN1275">
        <v>1</v>
      </c>
      <c r="DO1275">
        <v>0</v>
      </c>
      <c r="DP1275">
        <v>0</v>
      </c>
      <c r="DQ1275">
        <v>0</v>
      </c>
      <c r="DR1275">
        <v>0</v>
      </c>
      <c r="DS1275">
        <v>0</v>
      </c>
    </row>
    <row r="1276" spans="1:123" x14ac:dyDescent="0.3">
      <c r="A1276" t="str">
        <f t="shared" si="441"/>
        <v>10/04/2022 19:28:59.668</v>
      </c>
      <c r="C1276" t="str">
        <f t="shared" si="438"/>
        <v>FFDDD3C0</v>
      </c>
      <c r="D1276" t="s">
        <v>141</v>
      </c>
      <c r="E1276">
        <v>4</v>
      </c>
      <c r="H1276">
        <v>4</v>
      </c>
      <c r="I1276" t="s">
        <v>142</v>
      </c>
      <c r="J1276" t="s">
        <v>138</v>
      </c>
      <c r="K1276">
        <v>0</v>
      </c>
      <c r="L1276">
        <v>3</v>
      </c>
      <c r="M1276">
        <v>0</v>
      </c>
      <c r="N1276">
        <v>2</v>
      </c>
      <c r="O1276">
        <v>0</v>
      </c>
      <c r="P1276">
        <v>1</v>
      </c>
      <c r="Q1276">
        <v>0</v>
      </c>
      <c r="S1276" t="str">
        <f t="shared" si="439"/>
        <v>19:28:59.000</v>
      </c>
      <c r="T1276" t="str">
        <f t="shared" si="439"/>
        <v>19:28:59.000</v>
      </c>
      <c r="U1276" t="str">
        <f t="shared" si="423"/>
        <v>AC3944</v>
      </c>
      <c r="V1276">
        <v>0</v>
      </c>
      <c r="W1276">
        <v>0</v>
      </c>
      <c r="X1276">
        <v>2</v>
      </c>
      <c r="Y1276">
        <v>0</v>
      </c>
      <c r="AA1276">
        <v>1</v>
      </c>
      <c r="AB1276">
        <v>8</v>
      </c>
      <c r="AC1276">
        <v>3</v>
      </c>
      <c r="AD1276">
        <v>0</v>
      </c>
      <c r="AE1276">
        <v>9</v>
      </c>
      <c r="AF1276" t="s">
        <v>138</v>
      </c>
      <c r="AG1276">
        <v>0</v>
      </c>
      <c r="AH1276">
        <v>3</v>
      </c>
      <c r="AI1276">
        <v>1</v>
      </c>
      <c r="AJ1276">
        <v>0</v>
      </c>
      <c r="AK1276" t="s">
        <v>496</v>
      </c>
      <c r="AL1276">
        <v>32.806033999999997</v>
      </c>
      <c r="AM1276" t="s">
        <v>497</v>
      </c>
      <c r="AN1276">
        <v>-116.902385</v>
      </c>
      <c r="AO1276">
        <v>25</v>
      </c>
      <c r="AP1276">
        <v>2400</v>
      </c>
      <c r="AQ1276" t="s">
        <v>129</v>
      </c>
      <c r="AR1276">
        <v>117</v>
      </c>
      <c r="AS1276">
        <v>-5</v>
      </c>
      <c r="AT1276">
        <v>640</v>
      </c>
      <c r="BB1276">
        <v>1200</v>
      </c>
      <c r="BC1276">
        <v>1</v>
      </c>
      <c r="BD1276" t="str">
        <f t="shared" si="424"/>
        <v xml:space="preserve">N887QR  </v>
      </c>
      <c r="BE1276">
        <v>1</v>
      </c>
      <c r="BJ1276">
        <v>2125</v>
      </c>
      <c r="BK1276">
        <v>-275</v>
      </c>
      <c r="BL1276" t="s">
        <v>163</v>
      </c>
      <c r="BM1276">
        <v>1</v>
      </c>
      <c r="BN1276">
        <v>1</v>
      </c>
      <c r="BO1276">
        <v>1</v>
      </c>
      <c r="BP1276">
        <v>0</v>
      </c>
      <c r="BS1276">
        <v>0.08</v>
      </c>
      <c r="BT1276">
        <v>0</v>
      </c>
      <c r="BU1276">
        <v>0</v>
      </c>
      <c r="CE1276" t="str">
        <f t="shared" si="440"/>
        <v>19:28:59.457</v>
      </c>
      <c r="CF1276">
        <v>456599602</v>
      </c>
      <c r="CS1276">
        <v>3</v>
      </c>
      <c r="CT1276">
        <v>2</v>
      </c>
      <c r="CU1276">
        <v>0</v>
      </c>
      <c r="CV1276">
        <v>2</v>
      </c>
      <c r="CW1276">
        <v>0</v>
      </c>
      <c r="CX1276">
        <v>6</v>
      </c>
      <c r="CY1276">
        <v>7</v>
      </c>
      <c r="CZ1276" t="s">
        <v>131</v>
      </c>
      <c r="DA1276">
        <v>300</v>
      </c>
      <c r="DB1276">
        <v>0</v>
      </c>
      <c r="DC1276" t="s">
        <v>176</v>
      </c>
      <c r="DD1276" t="s">
        <v>177</v>
      </c>
      <c r="DG1276">
        <v>5383057</v>
      </c>
      <c r="DI1276">
        <v>1</v>
      </c>
      <c r="DJ1276">
        <v>0</v>
      </c>
      <c r="DK1276">
        <v>1</v>
      </c>
      <c r="DL1276">
        <v>0</v>
      </c>
      <c r="DM1276">
        <v>0</v>
      </c>
      <c r="DN1276">
        <v>1</v>
      </c>
      <c r="DO1276">
        <v>0</v>
      </c>
      <c r="DP1276">
        <v>0</v>
      </c>
      <c r="DQ1276">
        <v>0</v>
      </c>
      <c r="DR1276">
        <v>0</v>
      </c>
      <c r="DS1276">
        <v>0</v>
      </c>
    </row>
    <row r="1277" spans="1:123" x14ac:dyDescent="0.3">
      <c r="A1277" t="str">
        <f t="shared" si="441"/>
        <v>10/04/2022 19:28:59.668</v>
      </c>
      <c r="C1277" t="str">
        <f t="shared" si="438"/>
        <v>FFDDD3C0</v>
      </c>
      <c r="D1277" t="s">
        <v>136</v>
      </c>
      <c r="E1277">
        <v>8</v>
      </c>
      <c r="H1277">
        <v>225</v>
      </c>
      <c r="I1277" t="s">
        <v>137</v>
      </c>
      <c r="J1277" t="s">
        <v>138</v>
      </c>
      <c r="K1277">
        <v>0</v>
      </c>
      <c r="L1277">
        <v>3</v>
      </c>
      <c r="M1277">
        <v>0</v>
      </c>
      <c r="N1277">
        <v>2</v>
      </c>
      <c r="O1277">
        <v>0</v>
      </c>
      <c r="P1277">
        <v>1</v>
      </c>
      <c r="Q1277">
        <v>0</v>
      </c>
      <c r="S1277" t="str">
        <f t="shared" si="439"/>
        <v>19:28:59.000</v>
      </c>
      <c r="T1277" t="str">
        <f t="shared" si="439"/>
        <v>19:28:59.000</v>
      </c>
      <c r="U1277" t="str">
        <f t="shared" si="423"/>
        <v>AC3944</v>
      </c>
      <c r="V1277">
        <v>0</v>
      </c>
      <c r="W1277">
        <v>0</v>
      </c>
      <c r="X1277">
        <v>2</v>
      </c>
      <c r="Y1277">
        <v>0</v>
      </c>
      <c r="AA1277">
        <v>1</v>
      </c>
      <c r="AB1277">
        <v>8</v>
      </c>
      <c r="AC1277">
        <v>3</v>
      </c>
      <c r="AD1277">
        <v>0</v>
      </c>
      <c r="AE1277">
        <v>9</v>
      </c>
      <c r="AF1277" t="s">
        <v>138</v>
      </c>
      <c r="AG1277">
        <v>0</v>
      </c>
      <c r="AH1277">
        <v>3</v>
      </c>
      <c r="AI1277">
        <v>1</v>
      </c>
      <c r="AJ1277">
        <v>0</v>
      </c>
      <c r="AK1277" t="s">
        <v>496</v>
      </c>
      <c r="AL1277">
        <v>32.806033999999997</v>
      </c>
      <c r="AM1277" t="s">
        <v>497</v>
      </c>
      <c r="AN1277">
        <v>-116.902385</v>
      </c>
      <c r="AO1277">
        <v>25</v>
      </c>
      <c r="AP1277">
        <v>2400</v>
      </c>
      <c r="AQ1277" t="s">
        <v>129</v>
      </c>
      <c r="AR1277">
        <v>117</v>
      </c>
      <c r="AS1277">
        <v>-5</v>
      </c>
      <c r="AT1277">
        <v>640</v>
      </c>
      <c r="BB1277">
        <v>1200</v>
      </c>
      <c r="BC1277">
        <v>1</v>
      </c>
      <c r="BD1277" t="str">
        <f t="shared" si="424"/>
        <v xml:space="preserve">N887QR  </v>
      </c>
      <c r="BE1277">
        <v>1</v>
      </c>
      <c r="BJ1277">
        <v>2125</v>
      </c>
      <c r="BK1277">
        <v>-275</v>
      </c>
      <c r="BL1277" t="s">
        <v>163</v>
      </c>
      <c r="BM1277">
        <v>1</v>
      </c>
      <c r="BN1277">
        <v>1</v>
      </c>
      <c r="BO1277">
        <v>1</v>
      </c>
      <c r="BP1277">
        <v>0</v>
      </c>
      <c r="BS1277">
        <v>0.08</v>
      </c>
      <c r="BT1277">
        <v>0</v>
      </c>
      <c r="BU1277">
        <v>0</v>
      </c>
      <c r="CE1277" t="str">
        <f t="shared" si="440"/>
        <v>19:28:59.457</v>
      </c>
      <c r="CF1277">
        <v>456599602</v>
      </c>
      <c r="CS1277">
        <v>3</v>
      </c>
      <c r="CT1277">
        <v>2</v>
      </c>
      <c r="CU1277">
        <v>0</v>
      </c>
      <c r="CV1277">
        <v>2</v>
      </c>
      <c r="CW1277">
        <v>0</v>
      </c>
      <c r="CX1277">
        <v>6</v>
      </c>
      <c r="CY1277">
        <v>7</v>
      </c>
      <c r="CZ1277" t="s">
        <v>131</v>
      </c>
      <c r="DA1277">
        <v>300</v>
      </c>
      <c r="DB1277">
        <v>0</v>
      </c>
      <c r="DC1277" t="s">
        <v>176</v>
      </c>
      <c r="DD1277" t="s">
        <v>177</v>
      </c>
      <c r="DG1277">
        <v>5383057</v>
      </c>
      <c r="DI1277">
        <v>1</v>
      </c>
      <c r="DJ1277">
        <v>0</v>
      </c>
      <c r="DK1277">
        <v>1</v>
      </c>
      <c r="DL1277">
        <v>0</v>
      </c>
      <c r="DM1277">
        <v>0</v>
      </c>
      <c r="DN1277">
        <v>1</v>
      </c>
      <c r="DO1277">
        <v>0</v>
      </c>
      <c r="DP1277">
        <v>0</v>
      </c>
      <c r="DQ1277">
        <v>0</v>
      </c>
      <c r="DR1277">
        <v>0</v>
      </c>
      <c r="DS1277">
        <v>0</v>
      </c>
    </row>
    <row r="1278" spans="1:123" x14ac:dyDescent="0.3">
      <c r="A1278" t="str">
        <f>"10/04/2022 19:29:00.232"</f>
        <v>10/04/2022 19:29:00.232</v>
      </c>
      <c r="C1278" t="str">
        <f t="shared" si="438"/>
        <v>FFDDD3C0</v>
      </c>
      <c r="D1278" t="s">
        <v>143</v>
      </c>
      <c r="E1278">
        <v>20</v>
      </c>
      <c r="F1278">
        <v>1020</v>
      </c>
      <c r="G1278" t="s">
        <v>144</v>
      </c>
      <c r="J1278" t="s">
        <v>145</v>
      </c>
      <c r="K1278">
        <v>0</v>
      </c>
      <c r="L1278">
        <v>3</v>
      </c>
      <c r="M1278">
        <v>0</v>
      </c>
      <c r="N1278">
        <v>2</v>
      </c>
      <c r="O1278">
        <v>0</v>
      </c>
      <c r="P1278">
        <v>1</v>
      </c>
      <c r="Q1278">
        <v>0</v>
      </c>
      <c r="S1278" t="str">
        <f t="shared" si="439"/>
        <v>19:28:59.000</v>
      </c>
      <c r="T1278" t="str">
        <f t="shared" si="439"/>
        <v>19:28:59.000</v>
      </c>
      <c r="U1278" t="str">
        <f t="shared" si="423"/>
        <v>AC3944</v>
      </c>
      <c r="V1278">
        <v>0</v>
      </c>
      <c r="W1278">
        <v>0</v>
      </c>
      <c r="X1278">
        <v>2</v>
      </c>
      <c r="Y1278">
        <v>0</v>
      </c>
      <c r="AA1278">
        <v>1</v>
      </c>
      <c r="AB1278">
        <v>8</v>
      </c>
      <c r="AC1278">
        <v>3</v>
      </c>
      <c r="AD1278">
        <v>0</v>
      </c>
      <c r="AE1278">
        <v>9</v>
      </c>
      <c r="AF1278" t="s">
        <v>138</v>
      </c>
      <c r="AG1278">
        <v>0</v>
      </c>
      <c r="AH1278">
        <v>3</v>
      </c>
      <c r="AI1278">
        <v>1</v>
      </c>
      <c r="AJ1278">
        <v>0</v>
      </c>
      <c r="AK1278" t="s">
        <v>498</v>
      </c>
      <c r="AL1278">
        <v>32.806013</v>
      </c>
      <c r="AM1278" t="s">
        <v>499</v>
      </c>
      <c r="AN1278">
        <v>-116.901741</v>
      </c>
      <c r="AO1278">
        <v>25</v>
      </c>
      <c r="AP1278">
        <v>2400</v>
      </c>
      <c r="AQ1278" t="s">
        <v>129</v>
      </c>
      <c r="AR1278">
        <v>118</v>
      </c>
      <c r="AS1278">
        <v>-7</v>
      </c>
      <c r="AT1278">
        <v>640</v>
      </c>
      <c r="BB1278">
        <v>1200</v>
      </c>
      <c r="BC1278">
        <v>1</v>
      </c>
      <c r="BD1278" t="str">
        <f t="shared" si="424"/>
        <v xml:space="preserve">N887QR  </v>
      </c>
      <c r="BE1278">
        <v>1</v>
      </c>
      <c r="BJ1278">
        <v>2125</v>
      </c>
      <c r="BK1278">
        <v>-275</v>
      </c>
      <c r="BL1278" t="s">
        <v>163</v>
      </c>
      <c r="BM1278">
        <v>1</v>
      </c>
      <c r="BN1278">
        <v>1</v>
      </c>
      <c r="BO1278">
        <v>1</v>
      </c>
      <c r="BP1278">
        <v>0</v>
      </c>
      <c r="BS1278">
        <v>0.08</v>
      </c>
      <c r="BT1278">
        <v>0</v>
      </c>
      <c r="BU1278">
        <v>0</v>
      </c>
      <c r="CE1278" t="str">
        <f>"19:28:59.997"</f>
        <v>19:28:59.997</v>
      </c>
      <c r="CF1278">
        <v>997243335</v>
      </c>
      <c r="CS1278">
        <v>3</v>
      </c>
      <c r="CT1278">
        <v>2</v>
      </c>
      <c r="CU1278">
        <v>0</v>
      </c>
      <c r="CV1278">
        <v>2</v>
      </c>
      <c r="CW1278">
        <v>0</v>
      </c>
      <c r="CX1278">
        <v>3</v>
      </c>
      <c r="CY1278">
        <v>7</v>
      </c>
      <c r="CZ1278" t="s">
        <v>131</v>
      </c>
      <c r="DA1278">
        <v>292</v>
      </c>
      <c r="DB1278">
        <v>0</v>
      </c>
      <c r="DC1278" t="s">
        <v>254</v>
      </c>
      <c r="DD1278" t="s">
        <v>255</v>
      </c>
      <c r="DG1278">
        <v>3379969</v>
      </c>
      <c r="DI1278">
        <v>1</v>
      </c>
      <c r="DJ1278">
        <v>0</v>
      </c>
      <c r="DK1278">
        <v>0</v>
      </c>
      <c r="DL1278">
        <v>0</v>
      </c>
      <c r="DM1278">
        <v>0</v>
      </c>
      <c r="DN1278">
        <v>1</v>
      </c>
      <c r="DO1278">
        <v>0</v>
      </c>
      <c r="DP1278">
        <v>0</v>
      </c>
      <c r="DQ1278">
        <v>0</v>
      </c>
      <c r="DR1278">
        <v>0</v>
      </c>
      <c r="DS1278">
        <v>0</v>
      </c>
    </row>
    <row r="1279" spans="1:123" x14ac:dyDescent="0.3">
      <c r="A1279" t="str">
        <f>"10/04/2022 19:29:00.232"</f>
        <v>10/04/2022 19:29:00.232</v>
      </c>
      <c r="C1279" t="str">
        <f t="shared" si="438"/>
        <v>FFDDD3C0</v>
      </c>
      <c r="D1279" t="s">
        <v>123</v>
      </c>
      <c r="E1279">
        <v>7</v>
      </c>
      <c r="F1279">
        <v>2007</v>
      </c>
      <c r="G1279" t="s">
        <v>124</v>
      </c>
      <c r="J1279" t="s">
        <v>125</v>
      </c>
      <c r="K1279">
        <v>0</v>
      </c>
      <c r="L1279">
        <v>3</v>
      </c>
      <c r="M1279">
        <v>0</v>
      </c>
      <c r="N1279">
        <v>2</v>
      </c>
      <c r="O1279">
        <v>0</v>
      </c>
      <c r="P1279">
        <v>1</v>
      </c>
      <c r="Q1279">
        <v>0</v>
      </c>
      <c r="S1279" t="str">
        <f t="shared" si="439"/>
        <v>19:28:59.000</v>
      </c>
      <c r="T1279" t="str">
        <f t="shared" si="439"/>
        <v>19:28:59.000</v>
      </c>
      <c r="U1279" t="str">
        <f t="shared" si="423"/>
        <v>AC3944</v>
      </c>
      <c r="V1279">
        <v>0</v>
      </c>
      <c r="W1279">
        <v>0</v>
      </c>
      <c r="X1279">
        <v>2</v>
      </c>
      <c r="Y1279">
        <v>0</v>
      </c>
      <c r="AA1279">
        <v>1</v>
      </c>
      <c r="AB1279">
        <v>8</v>
      </c>
      <c r="AC1279">
        <v>3</v>
      </c>
      <c r="AD1279">
        <v>0</v>
      </c>
      <c r="AE1279">
        <v>9</v>
      </c>
      <c r="AF1279" t="s">
        <v>138</v>
      </c>
      <c r="AG1279">
        <v>0</v>
      </c>
      <c r="AH1279">
        <v>3</v>
      </c>
      <c r="AI1279">
        <v>1</v>
      </c>
      <c r="AJ1279">
        <v>0</v>
      </c>
      <c r="AK1279" t="s">
        <v>498</v>
      </c>
      <c r="AL1279">
        <v>32.806013</v>
      </c>
      <c r="AM1279" t="s">
        <v>499</v>
      </c>
      <c r="AN1279">
        <v>-116.901741</v>
      </c>
      <c r="AO1279">
        <v>25</v>
      </c>
      <c r="AP1279">
        <v>2400</v>
      </c>
      <c r="AQ1279" t="s">
        <v>129</v>
      </c>
      <c r="AR1279">
        <v>118</v>
      </c>
      <c r="AS1279">
        <v>-7</v>
      </c>
      <c r="AT1279">
        <v>640</v>
      </c>
      <c r="BB1279">
        <v>1200</v>
      </c>
      <c r="BC1279">
        <v>1</v>
      </c>
      <c r="BD1279" t="str">
        <f t="shared" si="424"/>
        <v xml:space="preserve">N887QR  </v>
      </c>
      <c r="BE1279">
        <v>1</v>
      </c>
      <c r="BJ1279">
        <v>2125</v>
      </c>
      <c r="BK1279">
        <v>-275</v>
      </c>
      <c r="BL1279" t="s">
        <v>163</v>
      </c>
      <c r="BM1279">
        <v>1</v>
      </c>
      <c r="BN1279">
        <v>1</v>
      </c>
      <c r="BO1279">
        <v>1</v>
      </c>
      <c r="BP1279">
        <v>0</v>
      </c>
      <c r="BS1279">
        <v>0.08</v>
      </c>
      <c r="BT1279">
        <v>0</v>
      </c>
      <c r="BU1279">
        <v>0</v>
      </c>
      <c r="CE1279" t="str">
        <f>"19:28:59.997"</f>
        <v>19:28:59.997</v>
      </c>
      <c r="CF1279">
        <v>997243335</v>
      </c>
      <c r="CS1279">
        <v>3</v>
      </c>
      <c r="CT1279">
        <v>2</v>
      </c>
      <c r="CU1279">
        <v>0</v>
      </c>
      <c r="CV1279">
        <v>2</v>
      </c>
      <c r="CW1279">
        <v>0</v>
      </c>
      <c r="CX1279">
        <v>3</v>
      </c>
      <c r="CY1279">
        <v>7</v>
      </c>
      <c r="CZ1279" t="s">
        <v>131</v>
      </c>
      <c r="DA1279">
        <v>292</v>
      </c>
      <c r="DB1279">
        <v>0</v>
      </c>
      <c r="DC1279" t="s">
        <v>254</v>
      </c>
      <c r="DD1279" t="s">
        <v>255</v>
      </c>
      <c r="DG1279">
        <v>3379969</v>
      </c>
      <c r="DI1279">
        <v>1</v>
      </c>
      <c r="DJ1279">
        <v>0</v>
      </c>
      <c r="DK1279">
        <v>1</v>
      </c>
      <c r="DL1279">
        <v>0</v>
      </c>
      <c r="DM1279">
        <v>0</v>
      </c>
      <c r="DN1279">
        <v>1</v>
      </c>
      <c r="DO1279">
        <v>0</v>
      </c>
      <c r="DP1279">
        <v>0</v>
      </c>
      <c r="DQ1279">
        <v>0</v>
      </c>
      <c r="DR1279">
        <v>0</v>
      </c>
      <c r="DS1279">
        <v>0</v>
      </c>
    </row>
    <row r="1280" spans="1:123" x14ac:dyDescent="0.3">
      <c r="A1280" t="str">
        <f>"10/04/2022 19:29:00.248"</f>
        <v>10/04/2022 19:29:00.248</v>
      </c>
      <c r="C1280" t="str">
        <f t="shared" si="438"/>
        <v>FFDDD3C0</v>
      </c>
      <c r="D1280" t="s">
        <v>147</v>
      </c>
      <c r="E1280">
        <v>3</v>
      </c>
      <c r="H1280">
        <v>166</v>
      </c>
      <c r="I1280" t="s">
        <v>144</v>
      </c>
      <c r="J1280" t="s">
        <v>148</v>
      </c>
      <c r="K1280">
        <v>0</v>
      </c>
      <c r="L1280">
        <v>3</v>
      </c>
      <c r="M1280">
        <v>0</v>
      </c>
      <c r="N1280">
        <v>2</v>
      </c>
      <c r="O1280">
        <v>0</v>
      </c>
      <c r="P1280">
        <v>1</v>
      </c>
      <c r="Q1280">
        <v>0</v>
      </c>
      <c r="S1280" t="str">
        <f t="shared" si="439"/>
        <v>19:28:59.000</v>
      </c>
      <c r="T1280" t="str">
        <f t="shared" si="439"/>
        <v>19:28:59.000</v>
      </c>
      <c r="U1280" t="str">
        <f t="shared" si="423"/>
        <v>AC3944</v>
      </c>
      <c r="V1280">
        <v>0</v>
      </c>
      <c r="W1280">
        <v>0</v>
      </c>
      <c r="X1280">
        <v>2</v>
      </c>
      <c r="Y1280">
        <v>0</v>
      </c>
      <c r="AA1280">
        <v>1</v>
      </c>
      <c r="AB1280">
        <v>8</v>
      </c>
      <c r="AC1280">
        <v>3</v>
      </c>
      <c r="AD1280">
        <v>0</v>
      </c>
      <c r="AE1280">
        <v>9</v>
      </c>
      <c r="AF1280" t="s">
        <v>138</v>
      </c>
      <c r="AG1280">
        <v>0</v>
      </c>
      <c r="AH1280">
        <v>3</v>
      </c>
      <c r="AI1280">
        <v>1</v>
      </c>
      <c r="AJ1280">
        <v>0</v>
      </c>
      <c r="AK1280" t="s">
        <v>498</v>
      </c>
      <c r="AL1280">
        <v>32.806013</v>
      </c>
      <c r="AM1280" t="s">
        <v>499</v>
      </c>
      <c r="AN1280">
        <v>-116.901741</v>
      </c>
      <c r="AO1280">
        <v>25</v>
      </c>
      <c r="AP1280">
        <v>2400</v>
      </c>
      <c r="AQ1280" t="s">
        <v>129</v>
      </c>
      <c r="AR1280">
        <v>118</v>
      </c>
      <c r="AS1280">
        <v>-7</v>
      </c>
      <c r="AT1280">
        <v>640</v>
      </c>
      <c r="BB1280">
        <v>1200</v>
      </c>
      <c r="BC1280">
        <v>1</v>
      </c>
      <c r="BD1280" t="str">
        <f t="shared" si="424"/>
        <v xml:space="preserve">N887QR  </v>
      </c>
      <c r="BE1280">
        <v>1</v>
      </c>
      <c r="BJ1280">
        <v>2125</v>
      </c>
      <c r="BK1280">
        <v>-275</v>
      </c>
      <c r="BL1280" t="s">
        <v>163</v>
      </c>
      <c r="BM1280">
        <v>1</v>
      </c>
      <c r="BN1280">
        <v>1</v>
      </c>
      <c r="BO1280">
        <v>1</v>
      </c>
      <c r="BP1280">
        <v>0</v>
      </c>
      <c r="BS1280">
        <v>0.08</v>
      </c>
      <c r="BT1280">
        <v>0</v>
      </c>
      <c r="BU1280">
        <v>0</v>
      </c>
      <c r="CE1280" t="str">
        <f>"19:28:59.997"</f>
        <v>19:28:59.997</v>
      </c>
      <c r="CF1280">
        <v>997243335</v>
      </c>
      <c r="CS1280">
        <v>3</v>
      </c>
      <c r="CT1280">
        <v>2</v>
      </c>
      <c r="CU1280">
        <v>0</v>
      </c>
      <c r="CV1280">
        <v>2</v>
      </c>
      <c r="CW1280">
        <v>0</v>
      </c>
      <c r="CX1280">
        <v>3</v>
      </c>
      <c r="CY1280">
        <v>7</v>
      </c>
      <c r="CZ1280" t="s">
        <v>131</v>
      </c>
      <c r="DA1280">
        <v>292</v>
      </c>
      <c r="DB1280">
        <v>0</v>
      </c>
      <c r="DC1280" t="s">
        <v>254</v>
      </c>
      <c r="DD1280" t="s">
        <v>255</v>
      </c>
      <c r="DG1280">
        <v>3379969</v>
      </c>
      <c r="DI1280">
        <v>1</v>
      </c>
      <c r="DJ1280">
        <v>0</v>
      </c>
      <c r="DK1280">
        <v>1</v>
      </c>
      <c r="DL1280">
        <v>0</v>
      </c>
      <c r="DM1280">
        <v>0</v>
      </c>
      <c r="DN1280">
        <v>1</v>
      </c>
      <c r="DO1280">
        <v>0</v>
      </c>
      <c r="DP1280">
        <v>0</v>
      </c>
      <c r="DQ1280">
        <v>0</v>
      </c>
      <c r="DR1280">
        <v>0</v>
      </c>
      <c r="DS1280">
        <v>0</v>
      </c>
    </row>
    <row r="1281" spans="1:123" x14ac:dyDescent="0.3">
      <c r="A1281" t="str">
        <f>"10/04/2022 19:29:00.248"</f>
        <v>10/04/2022 19:29:00.248</v>
      </c>
      <c r="C1281" t="str">
        <f t="shared" si="438"/>
        <v>FFDDD3C0</v>
      </c>
      <c r="D1281" t="s">
        <v>134</v>
      </c>
      <c r="E1281">
        <v>15</v>
      </c>
      <c r="J1281" t="s">
        <v>135</v>
      </c>
      <c r="K1281">
        <v>0</v>
      </c>
      <c r="L1281">
        <v>3</v>
      </c>
      <c r="M1281">
        <v>0</v>
      </c>
      <c r="N1281">
        <v>2</v>
      </c>
      <c r="O1281">
        <v>0</v>
      </c>
      <c r="P1281">
        <v>1</v>
      </c>
      <c r="Q1281">
        <v>0</v>
      </c>
      <c r="S1281" t="str">
        <f t="shared" si="439"/>
        <v>19:28:59.000</v>
      </c>
      <c r="T1281" t="str">
        <f t="shared" si="439"/>
        <v>19:28:59.000</v>
      </c>
      <c r="U1281" t="str">
        <f t="shared" si="423"/>
        <v>AC3944</v>
      </c>
      <c r="V1281">
        <v>0</v>
      </c>
      <c r="W1281">
        <v>0</v>
      </c>
      <c r="X1281">
        <v>2</v>
      </c>
      <c r="Y1281">
        <v>0</v>
      </c>
      <c r="AA1281">
        <v>1</v>
      </c>
      <c r="AB1281">
        <v>8</v>
      </c>
      <c r="AC1281">
        <v>3</v>
      </c>
      <c r="AD1281">
        <v>0</v>
      </c>
      <c r="AE1281">
        <v>9</v>
      </c>
      <c r="AF1281" t="s">
        <v>138</v>
      </c>
      <c r="AG1281">
        <v>0</v>
      </c>
      <c r="AH1281">
        <v>3</v>
      </c>
      <c r="AI1281">
        <v>1</v>
      </c>
      <c r="AJ1281">
        <v>0</v>
      </c>
      <c r="AK1281" t="s">
        <v>498</v>
      </c>
      <c r="AL1281">
        <v>32.806013</v>
      </c>
      <c r="AM1281" t="s">
        <v>499</v>
      </c>
      <c r="AN1281">
        <v>-116.901741</v>
      </c>
      <c r="AO1281">
        <v>25</v>
      </c>
      <c r="AP1281">
        <v>2400</v>
      </c>
      <c r="AQ1281" t="s">
        <v>129</v>
      </c>
      <c r="AR1281">
        <v>118</v>
      </c>
      <c r="AS1281">
        <v>-7</v>
      </c>
      <c r="AT1281">
        <v>640</v>
      </c>
      <c r="BB1281">
        <v>1200</v>
      </c>
      <c r="BC1281">
        <v>1</v>
      </c>
      <c r="BD1281" t="str">
        <f t="shared" si="424"/>
        <v xml:space="preserve">N887QR  </v>
      </c>
      <c r="BE1281">
        <v>1</v>
      </c>
      <c r="BJ1281">
        <v>2125</v>
      </c>
      <c r="BK1281">
        <v>-275</v>
      </c>
      <c r="BL1281" t="s">
        <v>163</v>
      </c>
      <c r="BM1281">
        <v>1</v>
      </c>
      <c r="BN1281">
        <v>1</v>
      </c>
      <c r="BO1281">
        <v>1</v>
      </c>
      <c r="BP1281">
        <v>0</v>
      </c>
      <c r="BS1281">
        <v>0.08</v>
      </c>
      <c r="BT1281">
        <v>0</v>
      </c>
      <c r="BU1281">
        <v>0</v>
      </c>
      <c r="CE1281" t="str">
        <f>"19:28:59.997"</f>
        <v>19:28:59.997</v>
      </c>
      <c r="CF1281">
        <v>997243335</v>
      </c>
      <c r="CS1281">
        <v>3</v>
      </c>
      <c r="CT1281">
        <v>2</v>
      </c>
      <c r="CU1281">
        <v>0</v>
      </c>
      <c r="CV1281">
        <v>2</v>
      </c>
      <c r="CW1281">
        <v>0</v>
      </c>
      <c r="CX1281">
        <v>3</v>
      </c>
      <c r="CY1281">
        <v>7</v>
      </c>
      <c r="CZ1281" t="s">
        <v>131</v>
      </c>
      <c r="DA1281">
        <v>292</v>
      </c>
      <c r="DB1281">
        <v>0</v>
      </c>
      <c r="DC1281" t="s">
        <v>254</v>
      </c>
      <c r="DD1281" t="s">
        <v>255</v>
      </c>
      <c r="DG1281">
        <v>3379969</v>
      </c>
      <c r="DI1281">
        <v>1</v>
      </c>
      <c r="DJ1281">
        <v>0</v>
      </c>
      <c r="DK1281">
        <v>1</v>
      </c>
      <c r="DL1281">
        <v>0</v>
      </c>
      <c r="DM1281">
        <v>0</v>
      </c>
      <c r="DN1281">
        <v>1</v>
      </c>
      <c r="DO1281">
        <v>0</v>
      </c>
      <c r="DP1281">
        <v>0</v>
      </c>
      <c r="DQ1281">
        <v>0</v>
      </c>
      <c r="DR1281">
        <v>0</v>
      </c>
      <c r="DS1281">
        <v>0</v>
      </c>
    </row>
    <row r="1282" spans="1:123" x14ac:dyDescent="0.3">
      <c r="A1282" t="str">
        <f>"10/04/2022 19:29:01.640"</f>
        <v>10/04/2022 19:29:01.640</v>
      </c>
      <c r="C1282" t="str">
        <f t="shared" si="438"/>
        <v>FFDDD3C0</v>
      </c>
      <c r="D1282" t="s">
        <v>143</v>
      </c>
      <c r="E1282">
        <v>20</v>
      </c>
      <c r="F1282">
        <v>1020</v>
      </c>
      <c r="G1282" t="s">
        <v>144</v>
      </c>
      <c r="J1282" t="s">
        <v>145</v>
      </c>
      <c r="K1282">
        <v>0</v>
      </c>
      <c r="L1282">
        <v>3</v>
      </c>
      <c r="M1282">
        <v>0</v>
      </c>
      <c r="N1282">
        <v>2</v>
      </c>
      <c r="O1282">
        <v>0</v>
      </c>
      <c r="P1282">
        <v>1</v>
      </c>
      <c r="Q1282">
        <v>0</v>
      </c>
      <c r="S1282" t="str">
        <f t="shared" ref="S1282:T1288" si="442">"19:29:01.000"</f>
        <v>19:29:01.000</v>
      </c>
      <c r="T1282" t="str">
        <f t="shared" si="442"/>
        <v>19:29:01.000</v>
      </c>
      <c r="U1282" t="str">
        <f t="shared" ref="U1282:U1345" si="443">"AC3944"</f>
        <v>AC3944</v>
      </c>
      <c r="V1282">
        <v>0</v>
      </c>
      <c r="W1282">
        <v>0</v>
      </c>
      <c r="X1282">
        <v>2</v>
      </c>
      <c r="Y1282">
        <v>0</v>
      </c>
      <c r="AA1282">
        <v>1</v>
      </c>
      <c r="AB1282">
        <v>8</v>
      </c>
      <c r="AC1282">
        <v>3</v>
      </c>
      <c r="AD1282">
        <v>0</v>
      </c>
      <c r="AE1282">
        <v>9</v>
      </c>
      <c r="AF1282" t="s">
        <v>138</v>
      </c>
      <c r="AG1282">
        <v>0</v>
      </c>
      <c r="AH1282">
        <v>3</v>
      </c>
      <c r="AI1282">
        <v>1</v>
      </c>
      <c r="AJ1282">
        <v>0</v>
      </c>
      <c r="AK1282" t="s">
        <v>500</v>
      </c>
      <c r="AL1282">
        <v>32.805990999999999</v>
      </c>
      <c r="AM1282" t="s">
        <v>501</v>
      </c>
      <c r="AN1282">
        <v>-116.90109699999999</v>
      </c>
      <c r="AO1282">
        <v>25</v>
      </c>
      <c r="AP1282">
        <v>2400</v>
      </c>
      <c r="AQ1282" t="s">
        <v>129</v>
      </c>
      <c r="AR1282">
        <v>118</v>
      </c>
      <c r="AS1282">
        <v>-15</v>
      </c>
      <c r="AT1282">
        <v>320</v>
      </c>
      <c r="BB1282">
        <v>1200</v>
      </c>
      <c r="BC1282">
        <v>1</v>
      </c>
      <c r="BD1282" t="str">
        <f t="shared" ref="BD1282:BD1345" si="444">"N887QR  "</f>
        <v xml:space="preserve">N887QR  </v>
      </c>
      <c r="BE1282">
        <v>1</v>
      </c>
      <c r="BJ1282">
        <v>2125</v>
      </c>
      <c r="BK1282">
        <v>-275</v>
      </c>
      <c r="BL1282" t="s">
        <v>163</v>
      </c>
      <c r="BM1282">
        <v>1</v>
      </c>
      <c r="BN1282">
        <v>1</v>
      </c>
      <c r="BO1282">
        <v>1</v>
      </c>
      <c r="BP1282">
        <v>0</v>
      </c>
      <c r="BS1282">
        <v>0</v>
      </c>
      <c r="BT1282">
        <v>0</v>
      </c>
      <c r="BU1282">
        <v>0</v>
      </c>
      <c r="CE1282" t="str">
        <f t="shared" ref="CE1282:CE1288" si="445">"19:29:01.462"</f>
        <v>19:29:01.462</v>
      </c>
      <c r="CF1282">
        <v>462106155</v>
      </c>
      <c r="CS1282">
        <v>3</v>
      </c>
      <c r="CT1282">
        <v>2</v>
      </c>
      <c r="CU1282">
        <v>0</v>
      </c>
      <c r="CV1282">
        <v>2</v>
      </c>
      <c r="CW1282">
        <v>0</v>
      </c>
      <c r="CX1282">
        <v>6</v>
      </c>
      <c r="CY1282">
        <v>7</v>
      </c>
      <c r="CZ1282" t="s">
        <v>131</v>
      </c>
      <c r="DA1282">
        <v>300</v>
      </c>
      <c r="DB1282">
        <v>0</v>
      </c>
      <c r="DC1282" t="s">
        <v>176</v>
      </c>
      <c r="DD1282" t="s">
        <v>177</v>
      </c>
      <c r="DG1282">
        <v>5383372</v>
      </c>
      <c r="DI1282">
        <v>1</v>
      </c>
      <c r="DJ1282">
        <v>0</v>
      </c>
      <c r="DK1282">
        <v>0</v>
      </c>
      <c r="DL1282">
        <v>0</v>
      </c>
      <c r="DM1282">
        <v>0</v>
      </c>
      <c r="DN1282">
        <v>1</v>
      </c>
      <c r="DO1282">
        <v>0</v>
      </c>
      <c r="DP1282">
        <v>0</v>
      </c>
      <c r="DQ1282">
        <v>0</v>
      </c>
      <c r="DR1282">
        <v>0</v>
      </c>
      <c r="DS1282">
        <v>0</v>
      </c>
    </row>
    <row r="1283" spans="1:123" x14ac:dyDescent="0.3">
      <c r="A1283" t="str">
        <f>"10/04/2022 19:29:01.656"</f>
        <v>10/04/2022 19:29:01.656</v>
      </c>
      <c r="C1283" t="str">
        <f t="shared" si="438"/>
        <v>FFDDD3C0</v>
      </c>
      <c r="D1283" t="s">
        <v>123</v>
      </c>
      <c r="E1283">
        <v>7</v>
      </c>
      <c r="F1283">
        <v>2007</v>
      </c>
      <c r="G1283" t="s">
        <v>124</v>
      </c>
      <c r="J1283" t="s">
        <v>125</v>
      </c>
      <c r="K1283">
        <v>0</v>
      </c>
      <c r="L1283">
        <v>3</v>
      </c>
      <c r="M1283">
        <v>0</v>
      </c>
      <c r="N1283">
        <v>2</v>
      </c>
      <c r="O1283">
        <v>0</v>
      </c>
      <c r="P1283">
        <v>1</v>
      </c>
      <c r="Q1283">
        <v>0</v>
      </c>
      <c r="S1283" t="str">
        <f t="shared" si="442"/>
        <v>19:29:01.000</v>
      </c>
      <c r="T1283" t="str">
        <f t="shared" si="442"/>
        <v>19:29:01.000</v>
      </c>
      <c r="U1283" t="str">
        <f t="shared" si="443"/>
        <v>AC3944</v>
      </c>
      <c r="V1283">
        <v>0</v>
      </c>
      <c r="W1283">
        <v>0</v>
      </c>
      <c r="X1283">
        <v>2</v>
      </c>
      <c r="Y1283">
        <v>0</v>
      </c>
      <c r="AA1283">
        <v>1</v>
      </c>
      <c r="AB1283">
        <v>8</v>
      </c>
      <c r="AC1283">
        <v>3</v>
      </c>
      <c r="AD1283">
        <v>0</v>
      </c>
      <c r="AE1283">
        <v>9</v>
      </c>
      <c r="AF1283" t="s">
        <v>138</v>
      </c>
      <c r="AG1283">
        <v>0</v>
      </c>
      <c r="AH1283">
        <v>3</v>
      </c>
      <c r="AI1283">
        <v>1</v>
      </c>
      <c r="AJ1283">
        <v>0</v>
      </c>
      <c r="AK1283" t="s">
        <v>500</v>
      </c>
      <c r="AL1283">
        <v>32.805990999999999</v>
      </c>
      <c r="AM1283" t="s">
        <v>501</v>
      </c>
      <c r="AN1283">
        <v>-116.90109699999999</v>
      </c>
      <c r="AO1283">
        <v>25</v>
      </c>
      <c r="AP1283">
        <v>2400</v>
      </c>
      <c r="AQ1283" t="s">
        <v>129</v>
      </c>
      <c r="AR1283">
        <v>118</v>
      </c>
      <c r="AS1283">
        <v>-15</v>
      </c>
      <c r="AT1283">
        <v>320</v>
      </c>
      <c r="BB1283">
        <v>1200</v>
      </c>
      <c r="BC1283">
        <v>1</v>
      </c>
      <c r="BD1283" t="str">
        <f t="shared" si="444"/>
        <v xml:space="preserve">N887QR  </v>
      </c>
      <c r="BE1283">
        <v>1</v>
      </c>
      <c r="BJ1283">
        <v>2125</v>
      </c>
      <c r="BK1283">
        <v>-275</v>
      </c>
      <c r="BL1283" t="s">
        <v>163</v>
      </c>
      <c r="BM1283">
        <v>1</v>
      </c>
      <c r="BN1283">
        <v>1</v>
      </c>
      <c r="BO1283">
        <v>1</v>
      </c>
      <c r="BP1283">
        <v>0</v>
      </c>
      <c r="BS1283">
        <v>0</v>
      </c>
      <c r="BT1283">
        <v>0</v>
      </c>
      <c r="BU1283">
        <v>0</v>
      </c>
      <c r="CE1283" t="str">
        <f t="shared" si="445"/>
        <v>19:29:01.462</v>
      </c>
      <c r="CF1283">
        <v>462106155</v>
      </c>
      <c r="CS1283">
        <v>3</v>
      </c>
      <c r="CT1283">
        <v>2</v>
      </c>
      <c r="CU1283">
        <v>0</v>
      </c>
      <c r="CV1283">
        <v>2</v>
      </c>
      <c r="CW1283">
        <v>0</v>
      </c>
      <c r="CX1283">
        <v>6</v>
      </c>
      <c r="CY1283">
        <v>7</v>
      </c>
      <c r="CZ1283" t="s">
        <v>131</v>
      </c>
      <c r="DA1283">
        <v>300</v>
      </c>
      <c r="DB1283">
        <v>0</v>
      </c>
      <c r="DC1283" t="s">
        <v>176</v>
      </c>
      <c r="DD1283" t="s">
        <v>177</v>
      </c>
      <c r="DG1283">
        <v>5383372</v>
      </c>
      <c r="DI1283">
        <v>1</v>
      </c>
      <c r="DJ1283">
        <v>0</v>
      </c>
      <c r="DK1283">
        <v>1</v>
      </c>
      <c r="DL1283">
        <v>0</v>
      </c>
      <c r="DM1283">
        <v>0</v>
      </c>
      <c r="DN1283">
        <v>1</v>
      </c>
      <c r="DO1283">
        <v>0</v>
      </c>
      <c r="DP1283">
        <v>0</v>
      </c>
      <c r="DQ1283">
        <v>0</v>
      </c>
      <c r="DR1283">
        <v>0</v>
      </c>
      <c r="DS1283">
        <v>0</v>
      </c>
    </row>
    <row r="1284" spans="1:123" x14ac:dyDescent="0.3">
      <c r="A1284" t="str">
        <f>"10/04/2022 19:29:01.703"</f>
        <v>10/04/2022 19:29:01.703</v>
      </c>
      <c r="C1284" t="str">
        <f t="shared" si="438"/>
        <v>FFDDD3C0</v>
      </c>
      <c r="D1284" t="s">
        <v>147</v>
      </c>
      <c r="E1284">
        <v>3</v>
      </c>
      <c r="H1284">
        <v>166</v>
      </c>
      <c r="I1284" t="s">
        <v>144</v>
      </c>
      <c r="J1284" t="s">
        <v>148</v>
      </c>
      <c r="K1284">
        <v>0</v>
      </c>
      <c r="L1284">
        <v>3</v>
      </c>
      <c r="M1284">
        <v>0</v>
      </c>
      <c r="N1284">
        <v>2</v>
      </c>
      <c r="O1284">
        <v>0</v>
      </c>
      <c r="P1284">
        <v>1</v>
      </c>
      <c r="Q1284">
        <v>0</v>
      </c>
      <c r="S1284" t="str">
        <f t="shared" si="442"/>
        <v>19:29:01.000</v>
      </c>
      <c r="T1284" t="str">
        <f t="shared" si="442"/>
        <v>19:29:01.000</v>
      </c>
      <c r="U1284" t="str">
        <f t="shared" si="443"/>
        <v>AC3944</v>
      </c>
      <c r="V1284">
        <v>0</v>
      </c>
      <c r="W1284">
        <v>0</v>
      </c>
      <c r="X1284">
        <v>2</v>
      </c>
      <c r="Y1284">
        <v>0</v>
      </c>
      <c r="AA1284">
        <v>1</v>
      </c>
      <c r="AB1284">
        <v>8</v>
      </c>
      <c r="AC1284">
        <v>3</v>
      </c>
      <c r="AD1284">
        <v>0</v>
      </c>
      <c r="AE1284">
        <v>9</v>
      </c>
      <c r="AF1284" t="s">
        <v>138</v>
      </c>
      <c r="AG1284">
        <v>0</v>
      </c>
      <c r="AH1284">
        <v>3</v>
      </c>
      <c r="AI1284">
        <v>1</v>
      </c>
      <c r="AJ1284">
        <v>0</v>
      </c>
      <c r="AK1284" t="s">
        <v>500</v>
      </c>
      <c r="AL1284">
        <v>32.805990999999999</v>
      </c>
      <c r="AM1284" t="s">
        <v>501</v>
      </c>
      <c r="AN1284">
        <v>-116.90109699999999</v>
      </c>
      <c r="AO1284">
        <v>25</v>
      </c>
      <c r="AP1284">
        <v>2400</v>
      </c>
      <c r="AQ1284" t="s">
        <v>129</v>
      </c>
      <c r="AR1284">
        <v>118</v>
      </c>
      <c r="AS1284">
        <v>-15</v>
      </c>
      <c r="AT1284">
        <v>320</v>
      </c>
      <c r="BB1284">
        <v>1200</v>
      </c>
      <c r="BC1284">
        <v>1</v>
      </c>
      <c r="BD1284" t="str">
        <f t="shared" si="444"/>
        <v xml:space="preserve">N887QR  </v>
      </c>
      <c r="BE1284">
        <v>1</v>
      </c>
      <c r="BJ1284">
        <v>2125</v>
      </c>
      <c r="BK1284">
        <v>-275</v>
      </c>
      <c r="BL1284" t="s">
        <v>163</v>
      </c>
      <c r="BM1284">
        <v>1</v>
      </c>
      <c r="BN1284">
        <v>1</v>
      </c>
      <c r="BO1284">
        <v>1</v>
      </c>
      <c r="BP1284">
        <v>0</v>
      </c>
      <c r="BS1284">
        <v>0</v>
      </c>
      <c r="BT1284">
        <v>0</v>
      </c>
      <c r="BU1284">
        <v>0</v>
      </c>
      <c r="CE1284" t="str">
        <f t="shared" si="445"/>
        <v>19:29:01.462</v>
      </c>
      <c r="CF1284">
        <v>462106155</v>
      </c>
      <c r="CS1284">
        <v>3</v>
      </c>
      <c r="CT1284">
        <v>2</v>
      </c>
      <c r="CU1284">
        <v>0</v>
      </c>
      <c r="CV1284">
        <v>2</v>
      </c>
      <c r="CW1284">
        <v>0</v>
      </c>
      <c r="CX1284">
        <v>6</v>
      </c>
      <c r="CY1284">
        <v>7</v>
      </c>
      <c r="CZ1284" t="s">
        <v>131</v>
      </c>
      <c r="DA1284">
        <v>300</v>
      </c>
      <c r="DB1284">
        <v>0</v>
      </c>
      <c r="DC1284" t="s">
        <v>176</v>
      </c>
      <c r="DD1284" t="s">
        <v>177</v>
      </c>
      <c r="DG1284">
        <v>5383372</v>
      </c>
      <c r="DI1284">
        <v>1</v>
      </c>
      <c r="DJ1284">
        <v>0</v>
      </c>
      <c r="DK1284">
        <v>1</v>
      </c>
      <c r="DL1284">
        <v>0</v>
      </c>
      <c r="DM1284">
        <v>0</v>
      </c>
      <c r="DN1284">
        <v>1</v>
      </c>
      <c r="DO1284">
        <v>0</v>
      </c>
      <c r="DP1284">
        <v>0</v>
      </c>
      <c r="DQ1284">
        <v>0</v>
      </c>
      <c r="DR1284">
        <v>0</v>
      </c>
      <c r="DS1284">
        <v>0</v>
      </c>
    </row>
    <row r="1285" spans="1:123" x14ac:dyDescent="0.3">
      <c r="A1285" t="str">
        <f>"10/04/2022 19:29:01.703"</f>
        <v>10/04/2022 19:29:01.703</v>
      </c>
      <c r="C1285" t="str">
        <f t="shared" si="438"/>
        <v>FFDDD3C0</v>
      </c>
      <c r="D1285" t="s">
        <v>141</v>
      </c>
      <c r="E1285">
        <v>4</v>
      </c>
      <c r="H1285">
        <v>4</v>
      </c>
      <c r="I1285" t="s">
        <v>142</v>
      </c>
      <c r="J1285" t="s">
        <v>138</v>
      </c>
      <c r="K1285">
        <v>0</v>
      </c>
      <c r="L1285">
        <v>3</v>
      </c>
      <c r="M1285">
        <v>0</v>
      </c>
      <c r="N1285">
        <v>2</v>
      </c>
      <c r="O1285">
        <v>0</v>
      </c>
      <c r="P1285">
        <v>1</v>
      </c>
      <c r="Q1285">
        <v>0</v>
      </c>
      <c r="S1285" t="str">
        <f t="shared" si="442"/>
        <v>19:29:01.000</v>
      </c>
      <c r="T1285" t="str">
        <f t="shared" si="442"/>
        <v>19:29:01.000</v>
      </c>
      <c r="U1285" t="str">
        <f t="shared" si="443"/>
        <v>AC3944</v>
      </c>
      <c r="V1285">
        <v>0</v>
      </c>
      <c r="W1285">
        <v>0</v>
      </c>
      <c r="X1285">
        <v>2</v>
      </c>
      <c r="Y1285">
        <v>0</v>
      </c>
      <c r="AA1285">
        <v>1</v>
      </c>
      <c r="AB1285">
        <v>8</v>
      </c>
      <c r="AC1285">
        <v>3</v>
      </c>
      <c r="AD1285">
        <v>0</v>
      </c>
      <c r="AE1285">
        <v>9</v>
      </c>
      <c r="AF1285" t="s">
        <v>138</v>
      </c>
      <c r="AG1285">
        <v>0</v>
      </c>
      <c r="AH1285">
        <v>3</v>
      </c>
      <c r="AI1285">
        <v>1</v>
      </c>
      <c r="AJ1285">
        <v>0</v>
      </c>
      <c r="AK1285" t="s">
        <v>500</v>
      </c>
      <c r="AL1285">
        <v>32.805990999999999</v>
      </c>
      <c r="AM1285" t="s">
        <v>501</v>
      </c>
      <c r="AN1285">
        <v>-116.90109699999999</v>
      </c>
      <c r="AO1285">
        <v>25</v>
      </c>
      <c r="AP1285">
        <v>2400</v>
      </c>
      <c r="AQ1285" t="s">
        <v>129</v>
      </c>
      <c r="AR1285">
        <v>118</v>
      </c>
      <c r="AS1285">
        <v>-15</v>
      </c>
      <c r="AT1285">
        <v>320</v>
      </c>
      <c r="BB1285">
        <v>1200</v>
      </c>
      <c r="BC1285">
        <v>1</v>
      </c>
      <c r="BD1285" t="str">
        <f t="shared" si="444"/>
        <v xml:space="preserve">N887QR  </v>
      </c>
      <c r="BE1285">
        <v>1</v>
      </c>
      <c r="BJ1285">
        <v>2125</v>
      </c>
      <c r="BK1285">
        <v>-275</v>
      </c>
      <c r="BL1285" t="s">
        <v>163</v>
      </c>
      <c r="BM1285">
        <v>1</v>
      </c>
      <c r="BN1285">
        <v>1</v>
      </c>
      <c r="BO1285">
        <v>1</v>
      </c>
      <c r="BP1285">
        <v>0</v>
      </c>
      <c r="BS1285">
        <v>0</v>
      </c>
      <c r="BT1285">
        <v>0</v>
      </c>
      <c r="BU1285">
        <v>0</v>
      </c>
      <c r="CE1285" t="str">
        <f t="shared" si="445"/>
        <v>19:29:01.462</v>
      </c>
      <c r="CF1285">
        <v>462106155</v>
      </c>
      <c r="CS1285">
        <v>3</v>
      </c>
      <c r="CT1285">
        <v>2</v>
      </c>
      <c r="CU1285">
        <v>0</v>
      </c>
      <c r="CV1285">
        <v>2</v>
      </c>
      <c r="CW1285">
        <v>0</v>
      </c>
      <c r="CX1285">
        <v>6</v>
      </c>
      <c r="CY1285">
        <v>7</v>
      </c>
      <c r="CZ1285" t="s">
        <v>131</v>
      </c>
      <c r="DA1285">
        <v>300</v>
      </c>
      <c r="DB1285">
        <v>0</v>
      </c>
      <c r="DC1285" t="s">
        <v>176</v>
      </c>
      <c r="DD1285" t="s">
        <v>177</v>
      </c>
      <c r="DG1285">
        <v>5383372</v>
      </c>
      <c r="DI1285">
        <v>1</v>
      </c>
      <c r="DJ1285">
        <v>0</v>
      </c>
      <c r="DK1285">
        <v>1</v>
      </c>
      <c r="DL1285">
        <v>0</v>
      </c>
      <c r="DM1285">
        <v>0</v>
      </c>
      <c r="DN1285">
        <v>1</v>
      </c>
      <c r="DO1285">
        <v>0</v>
      </c>
      <c r="DP1285">
        <v>0</v>
      </c>
      <c r="DQ1285">
        <v>0</v>
      </c>
      <c r="DR1285">
        <v>0</v>
      </c>
      <c r="DS1285">
        <v>0</v>
      </c>
    </row>
    <row r="1286" spans="1:123" x14ac:dyDescent="0.3">
      <c r="A1286" t="str">
        <f>"10/04/2022 19:29:01.703"</f>
        <v>10/04/2022 19:29:01.703</v>
      </c>
      <c r="C1286" t="str">
        <f t="shared" si="438"/>
        <v>FFDDD3C0</v>
      </c>
      <c r="D1286" t="s">
        <v>141</v>
      </c>
      <c r="E1286">
        <v>3</v>
      </c>
      <c r="H1286">
        <v>3</v>
      </c>
      <c r="I1286" t="s">
        <v>146</v>
      </c>
      <c r="J1286" t="s">
        <v>138</v>
      </c>
      <c r="K1286">
        <v>0</v>
      </c>
      <c r="L1286">
        <v>3</v>
      </c>
      <c r="M1286">
        <v>0</v>
      </c>
      <c r="N1286">
        <v>2</v>
      </c>
      <c r="O1286">
        <v>0</v>
      </c>
      <c r="P1286">
        <v>1</v>
      </c>
      <c r="Q1286">
        <v>0</v>
      </c>
      <c r="S1286" t="str">
        <f t="shared" si="442"/>
        <v>19:29:01.000</v>
      </c>
      <c r="T1286" t="str">
        <f t="shared" si="442"/>
        <v>19:29:01.000</v>
      </c>
      <c r="U1286" t="str">
        <f t="shared" si="443"/>
        <v>AC3944</v>
      </c>
      <c r="V1286">
        <v>0</v>
      </c>
      <c r="W1286">
        <v>0</v>
      </c>
      <c r="X1286">
        <v>2</v>
      </c>
      <c r="Y1286">
        <v>0</v>
      </c>
      <c r="AA1286">
        <v>1</v>
      </c>
      <c r="AB1286">
        <v>8</v>
      </c>
      <c r="AC1286">
        <v>3</v>
      </c>
      <c r="AD1286">
        <v>0</v>
      </c>
      <c r="AE1286">
        <v>9</v>
      </c>
      <c r="AF1286" t="s">
        <v>138</v>
      </c>
      <c r="AG1286">
        <v>0</v>
      </c>
      <c r="AH1286">
        <v>3</v>
      </c>
      <c r="AI1286">
        <v>1</v>
      </c>
      <c r="AJ1286">
        <v>0</v>
      </c>
      <c r="AK1286" t="s">
        <v>500</v>
      </c>
      <c r="AL1286">
        <v>32.805990999999999</v>
      </c>
      <c r="AM1286" t="s">
        <v>501</v>
      </c>
      <c r="AN1286">
        <v>-116.90109699999999</v>
      </c>
      <c r="AO1286">
        <v>25</v>
      </c>
      <c r="AP1286">
        <v>2400</v>
      </c>
      <c r="AQ1286" t="s">
        <v>129</v>
      </c>
      <c r="AR1286">
        <v>118</v>
      </c>
      <c r="AS1286">
        <v>-15</v>
      </c>
      <c r="AT1286">
        <v>320</v>
      </c>
      <c r="BB1286">
        <v>1200</v>
      </c>
      <c r="BC1286">
        <v>1</v>
      </c>
      <c r="BD1286" t="str">
        <f t="shared" si="444"/>
        <v xml:space="preserve">N887QR  </v>
      </c>
      <c r="BE1286">
        <v>1</v>
      </c>
      <c r="BJ1286">
        <v>2125</v>
      </c>
      <c r="BK1286">
        <v>-275</v>
      </c>
      <c r="BL1286" t="s">
        <v>163</v>
      </c>
      <c r="BM1286">
        <v>1</v>
      </c>
      <c r="BN1286">
        <v>1</v>
      </c>
      <c r="BO1286">
        <v>1</v>
      </c>
      <c r="BP1286">
        <v>0</v>
      </c>
      <c r="BS1286">
        <v>0</v>
      </c>
      <c r="BT1286">
        <v>0</v>
      </c>
      <c r="BU1286">
        <v>0</v>
      </c>
      <c r="CE1286" t="str">
        <f t="shared" si="445"/>
        <v>19:29:01.462</v>
      </c>
      <c r="CF1286">
        <v>462106155</v>
      </c>
      <c r="CS1286">
        <v>3</v>
      </c>
      <c r="CT1286">
        <v>2</v>
      </c>
      <c r="CU1286">
        <v>0</v>
      </c>
      <c r="CV1286">
        <v>2</v>
      </c>
      <c r="CW1286">
        <v>0</v>
      </c>
      <c r="CX1286">
        <v>6</v>
      </c>
      <c r="CY1286">
        <v>7</v>
      </c>
      <c r="CZ1286" t="s">
        <v>131</v>
      </c>
      <c r="DA1286">
        <v>300</v>
      </c>
      <c r="DB1286">
        <v>0</v>
      </c>
      <c r="DC1286" t="s">
        <v>176</v>
      </c>
      <c r="DD1286" t="s">
        <v>177</v>
      </c>
      <c r="DG1286">
        <v>5383372</v>
      </c>
      <c r="DI1286">
        <v>1</v>
      </c>
      <c r="DJ1286">
        <v>0</v>
      </c>
      <c r="DK1286">
        <v>1</v>
      </c>
      <c r="DL1286">
        <v>0</v>
      </c>
      <c r="DM1286">
        <v>0</v>
      </c>
      <c r="DN1286">
        <v>1</v>
      </c>
      <c r="DO1286">
        <v>0</v>
      </c>
      <c r="DP1286">
        <v>0</v>
      </c>
      <c r="DQ1286">
        <v>0</v>
      </c>
      <c r="DR1286">
        <v>0</v>
      </c>
      <c r="DS1286">
        <v>0</v>
      </c>
    </row>
    <row r="1287" spans="1:123" x14ac:dyDescent="0.3">
      <c r="A1287" t="str">
        <f>"10/04/2022 19:29:01.703"</f>
        <v>10/04/2022 19:29:01.703</v>
      </c>
      <c r="C1287" t="str">
        <f t="shared" si="438"/>
        <v>FFDDD3C0</v>
      </c>
      <c r="D1287" t="s">
        <v>134</v>
      </c>
      <c r="E1287">
        <v>15</v>
      </c>
      <c r="J1287" t="s">
        <v>135</v>
      </c>
      <c r="K1287">
        <v>0</v>
      </c>
      <c r="L1287">
        <v>3</v>
      </c>
      <c r="M1287">
        <v>0</v>
      </c>
      <c r="N1287">
        <v>2</v>
      </c>
      <c r="O1287">
        <v>0</v>
      </c>
      <c r="P1287">
        <v>1</v>
      </c>
      <c r="Q1287">
        <v>0</v>
      </c>
      <c r="S1287" t="str">
        <f t="shared" si="442"/>
        <v>19:29:01.000</v>
      </c>
      <c r="T1287" t="str">
        <f t="shared" si="442"/>
        <v>19:29:01.000</v>
      </c>
      <c r="U1287" t="str">
        <f t="shared" si="443"/>
        <v>AC3944</v>
      </c>
      <c r="V1287">
        <v>0</v>
      </c>
      <c r="W1287">
        <v>0</v>
      </c>
      <c r="X1287">
        <v>2</v>
      </c>
      <c r="Y1287">
        <v>0</v>
      </c>
      <c r="AA1287">
        <v>1</v>
      </c>
      <c r="AB1287">
        <v>8</v>
      </c>
      <c r="AC1287">
        <v>3</v>
      </c>
      <c r="AD1287">
        <v>0</v>
      </c>
      <c r="AE1287">
        <v>9</v>
      </c>
      <c r="AF1287" t="s">
        <v>138</v>
      </c>
      <c r="AG1287">
        <v>0</v>
      </c>
      <c r="AH1287">
        <v>3</v>
      </c>
      <c r="AI1287">
        <v>1</v>
      </c>
      <c r="AJ1287">
        <v>0</v>
      </c>
      <c r="AK1287" t="s">
        <v>500</v>
      </c>
      <c r="AL1287">
        <v>32.805990999999999</v>
      </c>
      <c r="AM1287" t="s">
        <v>501</v>
      </c>
      <c r="AN1287">
        <v>-116.90109699999999</v>
      </c>
      <c r="AO1287">
        <v>25</v>
      </c>
      <c r="AP1287">
        <v>2400</v>
      </c>
      <c r="AQ1287" t="s">
        <v>129</v>
      </c>
      <c r="AR1287">
        <v>118</v>
      </c>
      <c r="AS1287">
        <v>-15</v>
      </c>
      <c r="AT1287">
        <v>320</v>
      </c>
      <c r="BB1287">
        <v>1200</v>
      </c>
      <c r="BC1287">
        <v>1</v>
      </c>
      <c r="BD1287" t="str">
        <f t="shared" si="444"/>
        <v xml:space="preserve">N887QR  </v>
      </c>
      <c r="BE1287">
        <v>1</v>
      </c>
      <c r="BJ1287">
        <v>2125</v>
      </c>
      <c r="BK1287">
        <v>-275</v>
      </c>
      <c r="BL1287" t="s">
        <v>163</v>
      </c>
      <c r="BM1287">
        <v>1</v>
      </c>
      <c r="BN1287">
        <v>1</v>
      </c>
      <c r="BO1287">
        <v>1</v>
      </c>
      <c r="BP1287">
        <v>0</v>
      </c>
      <c r="BS1287">
        <v>0</v>
      </c>
      <c r="BT1287">
        <v>0</v>
      </c>
      <c r="BU1287">
        <v>0</v>
      </c>
      <c r="CE1287" t="str">
        <f t="shared" si="445"/>
        <v>19:29:01.462</v>
      </c>
      <c r="CF1287">
        <v>462106155</v>
      </c>
      <c r="CS1287">
        <v>3</v>
      </c>
      <c r="CT1287">
        <v>2</v>
      </c>
      <c r="CU1287">
        <v>0</v>
      </c>
      <c r="CV1287">
        <v>2</v>
      </c>
      <c r="CW1287">
        <v>0</v>
      </c>
      <c r="CX1287">
        <v>6</v>
      </c>
      <c r="CY1287">
        <v>7</v>
      </c>
      <c r="CZ1287" t="s">
        <v>131</v>
      </c>
      <c r="DA1287">
        <v>300</v>
      </c>
      <c r="DB1287">
        <v>0</v>
      </c>
      <c r="DC1287" t="s">
        <v>176</v>
      </c>
      <c r="DD1287" t="s">
        <v>177</v>
      </c>
      <c r="DG1287">
        <v>5383372</v>
      </c>
      <c r="DI1287">
        <v>1</v>
      </c>
      <c r="DJ1287">
        <v>0</v>
      </c>
      <c r="DK1287">
        <v>1</v>
      </c>
      <c r="DL1287">
        <v>0</v>
      </c>
      <c r="DM1287">
        <v>0</v>
      </c>
      <c r="DN1287">
        <v>1</v>
      </c>
      <c r="DO1287">
        <v>0</v>
      </c>
      <c r="DP1287">
        <v>0</v>
      </c>
      <c r="DQ1287">
        <v>0</v>
      </c>
      <c r="DR1287">
        <v>0</v>
      </c>
      <c r="DS1287">
        <v>0</v>
      </c>
    </row>
    <row r="1288" spans="1:123" x14ac:dyDescent="0.3">
      <c r="A1288" t="str">
        <f>"10/04/2022 19:29:01.703"</f>
        <v>10/04/2022 19:29:01.703</v>
      </c>
      <c r="C1288" t="str">
        <f t="shared" si="438"/>
        <v>FFDDD3C0</v>
      </c>
      <c r="D1288" t="s">
        <v>136</v>
      </c>
      <c r="E1288">
        <v>8</v>
      </c>
      <c r="H1288">
        <v>225</v>
      </c>
      <c r="I1288" t="s">
        <v>137</v>
      </c>
      <c r="J1288" t="s">
        <v>138</v>
      </c>
      <c r="K1288">
        <v>0</v>
      </c>
      <c r="L1288">
        <v>3</v>
      </c>
      <c r="M1288">
        <v>0</v>
      </c>
      <c r="N1288">
        <v>2</v>
      </c>
      <c r="O1288">
        <v>0</v>
      </c>
      <c r="P1288">
        <v>1</v>
      </c>
      <c r="Q1288">
        <v>0</v>
      </c>
      <c r="S1288" t="str">
        <f t="shared" si="442"/>
        <v>19:29:01.000</v>
      </c>
      <c r="T1288" t="str">
        <f t="shared" si="442"/>
        <v>19:29:01.000</v>
      </c>
      <c r="U1288" t="str">
        <f t="shared" si="443"/>
        <v>AC3944</v>
      </c>
      <c r="V1288">
        <v>0</v>
      </c>
      <c r="W1288">
        <v>0</v>
      </c>
      <c r="X1288">
        <v>2</v>
      </c>
      <c r="Y1288">
        <v>0</v>
      </c>
      <c r="AA1288">
        <v>1</v>
      </c>
      <c r="AB1288">
        <v>8</v>
      </c>
      <c r="AC1288">
        <v>3</v>
      </c>
      <c r="AD1288">
        <v>0</v>
      </c>
      <c r="AE1288">
        <v>9</v>
      </c>
      <c r="AF1288" t="s">
        <v>138</v>
      </c>
      <c r="AG1288">
        <v>0</v>
      </c>
      <c r="AH1288">
        <v>3</v>
      </c>
      <c r="AI1288">
        <v>1</v>
      </c>
      <c r="AJ1288">
        <v>0</v>
      </c>
      <c r="AK1288" t="s">
        <v>500</v>
      </c>
      <c r="AL1288">
        <v>32.805990999999999</v>
      </c>
      <c r="AM1288" t="s">
        <v>501</v>
      </c>
      <c r="AN1288">
        <v>-116.90109699999999</v>
      </c>
      <c r="AO1288">
        <v>25</v>
      </c>
      <c r="AP1288">
        <v>2400</v>
      </c>
      <c r="AQ1288" t="s">
        <v>129</v>
      </c>
      <c r="AR1288">
        <v>118</v>
      </c>
      <c r="AS1288">
        <v>-15</v>
      </c>
      <c r="AT1288">
        <v>320</v>
      </c>
      <c r="BB1288">
        <v>1200</v>
      </c>
      <c r="BC1288">
        <v>1</v>
      </c>
      <c r="BD1288" t="str">
        <f t="shared" si="444"/>
        <v xml:space="preserve">N887QR  </v>
      </c>
      <c r="BE1288">
        <v>1</v>
      </c>
      <c r="BJ1288">
        <v>2125</v>
      </c>
      <c r="BK1288">
        <v>-275</v>
      </c>
      <c r="BL1288" t="s">
        <v>163</v>
      </c>
      <c r="BM1288">
        <v>1</v>
      </c>
      <c r="BN1288">
        <v>1</v>
      </c>
      <c r="BO1288">
        <v>1</v>
      </c>
      <c r="BP1288">
        <v>0</v>
      </c>
      <c r="BS1288">
        <v>0</v>
      </c>
      <c r="BT1288">
        <v>0</v>
      </c>
      <c r="BU1288">
        <v>0</v>
      </c>
      <c r="CE1288" t="str">
        <f t="shared" si="445"/>
        <v>19:29:01.462</v>
      </c>
      <c r="CF1288">
        <v>462106155</v>
      </c>
      <c r="CS1288">
        <v>3</v>
      </c>
      <c r="CT1288">
        <v>2</v>
      </c>
      <c r="CU1288">
        <v>0</v>
      </c>
      <c r="CV1288">
        <v>2</v>
      </c>
      <c r="CW1288">
        <v>0</v>
      </c>
      <c r="CX1288">
        <v>6</v>
      </c>
      <c r="CY1288">
        <v>7</v>
      </c>
      <c r="CZ1288" t="s">
        <v>131</v>
      </c>
      <c r="DA1288">
        <v>300</v>
      </c>
      <c r="DB1288">
        <v>0</v>
      </c>
      <c r="DC1288" t="s">
        <v>176</v>
      </c>
      <c r="DD1288" t="s">
        <v>177</v>
      </c>
      <c r="DG1288">
        <v>5383372</v>
      </c>
      <c r="DI1288">
        <v>1</v>
      </c>
      <c r="DJ1288">
        <v>0</v>
      </c>
      <c r="DK1288">
        <v>1</v>
      </c>
      <c r="DL1288">
        <v>0</v>
      </c>
      <c r="DM1288">
        <v>0</v>
      </c>
      <c r="DN1288">
        <v>1</v>
      </c>
      <c r="DO1288">
        <v>0</v>
      </c>
      <c r="DP1288">
        <v>0</v>
      </c>
      <c r="DQ1288">
        <v>0</v>
      </c>
      <c r="DR1288">
        <v>0</v>
      </c>
      <c r="DS1288">
        <v>0</v>
      </c>
    </row>
    <row r="1289" spans="1:123" x14ac:dyDescent="0.3">
      <c r="A1289" t="str">
        <f>"10/04/2022 19:29:02.593"</f>
        <v>10/04/2022 19:29:02.593</v>
      </c>
      <c r="C1289" t="str">
        <f t="shared" si="438"/>
        <v>FFDDD3C0</v>
      </c>
      <c r="D1289" t="s">
        <v>136</v>
      </c>
      <c r="E1289">
        <v>8</v>
      </c>
      <c r="H1289">
        <v>225</v>
      </c>
      <c r="I1289" t="s">
        <v>137</v>
      </c>
      <c r="J1289" t="s">
        <v>138</v>
      </c>
      <c r="K1289">
        <v>0</v>
      </c>
      <c r="L1289">
        <v>3</v>
      </c>
      <c r="M1289">
        <v>0</v>
      </c>
      <c r="N1289">
        <v>2</v>
      </c>
      <c r="O1289">
        <v>0</v>
      </c>
      <c r="P1289">
        <v>1</v>
      </c>
      <c r="Q1289">
        <v>0</v>
      </c>
      <c r="S1289" t="str">
        <f t="shared" ref="S1289:T1295" si="446">"19:29:02.000"</f>
        <v>19:29:02.000</v>
      </c>
      <c r="T1289" t="str">
        <f t="shared" si="446"/>
        <v>19:29:02.000</v>
      </c>
      <c r="U1289" t="str">
        <f t="shared" si="443"/>
        <v>AC3944</v>
      </c>
      <c r="V1289">
        <v>0</v>
      </c>
      <c r="W1289">
        <v>0</v>
      </c>
      <c r="X1289">
        <v>2</v>
      </c>
      <c r="Y1289">
        <v>0</v>
      </c>
      <c r="AA1289">
        <v>1</v>
      </c>
      <c r="AB1289">
        <v>8</v>
      </c>
      <c r="AC1289">
        <v>3</v>
      </c>
      <c r="AD1289">
        <v>0</v>
      </c>
      <c r="AE1289">
        <v>9</v>
      </c>
      <c r="AF1289" t="s">
        <v>138</v>
      </c>
      <c r="AG1289">
        <v>0</v>
      </c>
      <c r="AH1289">
        <v>3</v>
      </c>
      <c r="AI1289">
        <v>1</v>
      </c>
      <c r="AJ1289">
        <v>0</v>
      </c>
      <c r="AK1289" t="s">
        <v>502</v>
      </c>
      <c r="AL1289">
        <v>32.805926999999997</v>
      </c>
      <c r="AM1289" t="s">
        <v>503</v>
      </c>
      <c r="AN1289">
        <v>-116.900454</v>
      </c>
      <c r="AO1289">
        <v>25</v>
      </c>
      <c r="AP1289">
        <v>2400</v>
      </c>
      <c r="AQ1289" t="s">
        <v>129</v>
      </c>
      <c r="AR1289">
        <v>117</v>
      </c>
      <c r="AS1289">
        <v>-20</v>
      </c>
      <c r="AT1289">
        <v>64</v>
      </c>
      <c r="BB1289">
        <v>1200</v>
      </c>
      <c r="BC1289">
        <v>1</v>
      </c>
      <c r="BD1289" t="str">
        <f t="shared" si="444"/>
        <v xml:space="preserve">N887QR  </v>
      </c>
      <c r="BE1289">
        <v>1</v>
      </c>
      <c r="BJ1289">
        <v>2125</v>
      </c>
      <c r="BK1289">
        <v>-275</v>
      </c>
      <c r="BL1289" t="s">
        <v>163</v>
      </c>
      <c r="BM1289">
        <v>1</v>
      </c>
      <c r="BN1289">
        <v>1</v>
      </c>
      <c r="BO1289">
        <v>1</v>
      </c>
      <c r="BP1289">
        <v>0</v>
      </c>
      <c r="BS1289">
        <v>0</v>
      </c>
      <c r="BT1289">
        <v>0</v>
      </c>
      <c r="BU1289">
        <v>0</v>
      </c>
      <c r="CE1289" t="str">
        <f t="shared" ref="CE1289:CE1295" si="447">"19:29:02.417"</f>
        <v>19:29:02.417</v>
      </c>
      <c r="CF1289">
        <v>417109269</v>
      </c>
      <c r="CS1289">
        <v>3</v>
      </c>
      <c r="CT1289">
        <v>2</v>
      </c>
      <c r="CU1289">
        <v>0</v>
      </c>
      <c r="CV1289">
        <v>2</v>
      </c>
      <c r="CW1289">
        <v>0</v>
      </c>
      <c r="CX1289">
        <v>6</v>
      </c>
      <c r="CY1289">
        <v>7</v>
      </c>
      <c r="CZ1289" t="s">
        <v>131</v>
      </c>
      <c r="DA1289">
        <v>300</v>
      </c>
      <c r="DB1289">
        <v>0</v>
      </c>
      <c r="DC1289" t="s">
        <v>176</v>
      </c>
      <c r="DD1289" t="s">
        <v>177</v>
      </c>
      <c r="DG1289">
        <v>5383529</v>
      </c>
      <c r="DI1289">
        <v>1</v>
      </c>
      <c r="DJ1289">
        <v>0</v>
      </c>
      <c r="DK1289">
        <v>0</v>
      </c>
      <c r="DL1289">
        <v>0</v>
      </c>
      <c r="DM1289">
        <v>0</v>
      </c>
      <c r="DN1289">
        <v>1</v>
      </c>
      <c r="DO1289">
        <v>0</v>
      </c>
      <c r="DP1289">
        <v>0</v>
      </c>
      <c r="DQ1289">
        <v>0</v>
      </c>
      <c r="DR1289">
        <v>0</v>
      </c>
      <c r="DS1289">
        <v>0</v>
      </c>
    </row>
    <row r="1290" spans="1:123" x14ac:dyDescent="0.3">
      <c r="A1290" t="str">
        <f>"10/04/2022 19:29:02.593"</f>
        <v>10/04/2022 19:29:02.593</v>
      </c>
      <c r="C1290" t="str">
        <f t="shared" si="438"/>
        <v>FFDDD3C0</v>
      </c>
      <c r="D1290" t="s">
        <v>134</v>
      </c>
      <c r="E1290">
        <v>15</v>
      </c>
      <c r="J1290" t="s">
        <v>135</v>
      </c>
      <c r="K1290">
        <v>0</v>
      </c>
      <c r="L1290">
        <v>3</v>
      </c>
      <c r="M1290">
        <v>0</v>
      </c>
      <c r="N1290">
        <v>2</v>
      </c>
      <c r="O1290">
        <v>0</v>
      </c>
      <c r="P1290">
        <v>1</v>
      </c>
      <c r="Q1290">
        <v>0</v>
      </c>
      <c r="S1290" t="str">
        <f t="shared" si="446"/>
        <v>19:29:02.000</v>
      </c>
      <c r="T1290" t="str">
        <f t="shared" si="446"/>
        <v>19:29:02.000</v>
      </c>
      <c r="U1290" t="str">
        <f t="shared" si="443"/>
        <v>AC3944</v>
      </c>
      <c r="V1290">
        <v>0</v>
      </c>
      <c r="W1290">
        <v>0</v>
      </c>
      <c r="X1290">
        <v>2</v>
      </c>
      <c r="Y1290">
        <v>0</v>
      </c>
      <c r="AA1290">
        <v>1</v>
      </c>
      <c r="AB1290">
        <v>8</v>
      </c>
      <c r="AC1290">
        <v>3</v>
      </c>
      <c r="AD1290">
        <v>0</v>
      </c>
      <c r="AE1290">
        <v>9</v>
      </c>
      <c r="AF1290" t="s">
        <v>138</v>
      </c>
      <c r="AG1290">
        <v>0</v>
      </c>
      <c r="AH1290">
        <v>3</v>
      </c>
      <c r="AI1290">
        <v>1</v>
      </c>
      <c r="AJ1290">
        <v>0</v>
      </c>
      <c r="AK1290" t="s">
        <v>502</v>
      </c>
      <c r="AL1290">
        <v>32.805926999999997</v>
      </c>
      <c r="AM1290" t="s">
        <v>503</v>
      </c>
      <c r="AN1290">
        <v>-116.900454</v>
      </c>
      <c r="AO1290">
        <v>25</v>
      </c>
      <c r="AP1290">
        <v>2400</v>
      </c>
      <c r="AQ1290" t="s">
        <v>129</v>
      </c>
      <c r="AR1290">
        <v>117</v>
      </c>
      <c r="AS1290">
        <v>-20</v>
      </c>
      <c r="AT1290">
        <v>64</v>
      </c>
      <c r="BB1290">
        <v>1200</v>
      </c>
      <c r="BC1290">
        <v>1</v>
      </c>
      <c r="BD1290" t="str">
        <f t="shared" si="444"/>
        <v xml:space="preserve">N887QR  </v>
      </c>
      <c r="BE1290">
        <v>1</v>
      </c>
      <c r="BJ1290">
        <v>2125</v>
      </c>
      <c r="BK1290">
        <v>-275</v>
      </c>
      <c r="BL1290" t="s">
        <v>163</v>
      </c>
      <c r="BM1290">
        <v>1</v>
      </c>
      <c r="BN1290">
        <v>1</v>
      </c>
      <c r="BO1290">
        <v>1</v>
      </c>
      <c r="BP1290">
        <v>0</v>
      </c>
      <c r="BS1290">
        <v>0</v>
      </c>
      <c r="BT1290">
        <v>0</v>
      </c>
      <c r="BU1290">
        <v>0</v>
      </c>
      <c r="CE1290" t="str">
        <f t="shared" si="447"/>
        <v>19:29:02.417</v>
      </c>
      <c r="CF1290">
        <v>417109269</v>
      </c>
      <c r="CS1290">
        <v>3</v>
      </c>
      <c r="CT1290">
        <v>2</v>
      </c>
      <c r="CU1290">
        <v>0</v>
      </c>
      <c r="CV1290">
        <v>2</v>
      </c>
      <c r="CW1290">
        <v>0</v>
      </c>
      <c r="CX1290">
        <v>6</v>
      </c>
      <c r="CY1290">
        <v>7</v>
      </c>
      <c r="CZ1290" t="s">
        <v>131</v>
      </c>
      <c r="DA1290">
        <v>300</v>
      </c>
      <c r="DB1290">
        <v>0</v>
      </c>
      <c r="DC1290" t="s">
        <v>176</v>
      </c>
      <c r="DD1290" t="s">
        <v>177</v>
      </c>
      <c r="DG1290">
        <v>5383529</v>
      </c>
      <c r="DI1290">
        <v>1</v>
      </c>
      <c r="DJ1290">
        <v>0</v>
      </c>
      <c r="DK1290">
        <v>1</v>
      </c>
      <c r="DL1290">
        <v>0</v>
      </c>
      <c r="DM1290">
        <v>0</v>
      </c>
      <c r="DN1290">
        <v>1</v>
      </c>
      <c r="DO1290">
        <v>0</v>
      </c>
      <c r="DP1290">
        <v>0</v>
      </c>
      <c r="DQ1290">
        <v>0</v>
      </c>
      <c r="DR1290">
        <v>0</v>
      </c>
      <c r="DS1290">
        <v>0</v>
      </c>
    </row>
    <row r="1291" spans="1:123" x14ac:dyDescent="0.3">
      <c r="A1291" t="str">
        <f>"10/04/2022 19:29:02.656"</f>
        <v>10/04/2022 19:29:02.656</v>
      </c>
      <c r="C1291" t="str">
        <f t="shared" si="438"/>
        <v>FFDDD3C0</v>
      </c>
      <c r="D1291" t="s">
        <v>143</v>
      </c>
      <c r="E1291">
        <v>20</v>
      </c>
      <c r="F1291">
        <v>1020</v>
      </c>
      <c r="G1291" t="s">
        <v>144</v>
      </c>
      <c r="J1291" t="s">
        <v>145</v>
      </c>
      <c r="K1291">
        <v>0</v>
      </c>
      <c r="L1291">
        <v>3</v>
      </c>
      <c r="M1291">
        <v>0</v>
      </c>
      <c r="N1291">
        <v>2</v>
      </c>
      <c r="O1291">
        <v>0</v>
      </c>
      <c r="P1291">
        <v>1</v>
      </c>
      <c r="Q1291">
        <v>0</v>
      </c>
      <c r="S1291" t="str">
        <f t="shared" si="446"/>
        <v>19:29:02.000</v>
      </c>
      <c r="T1291" t="str">
        <f t="shared" si="446"/>
        <v>19:29:02.000</v>
      </c>
      <c r="U1291" t="str">
        <f t="shared" si="443"/>
        <v>AC3944</v>
      </c>
      <c r="V1291">
        <v>0</v>
      </c>
      <c r="W1291">
        <v>0</v>
      </c>
      <c r="X1291">
        <v>2</v>
      </c>
      <c r="Y1291">
        <v>0</v>
      </c>
      <c r="AA1291">
        <v>1</v>
      </c>
      <c r="AB1291">
        <v>8</v>
      </c>
      <c r="AC1291">
        <v>3</v>
      </c>
      <c r="AD1291">
        <v>0</v>
      </c>
      <c r="AE1291">
        <v>9</v>
      </c>
      <c r="AF1291" t="s">
        <v>138</v>
      </c>
      <c r="AG1291">
        <v>0</v>
      </c>
      <c r="AH1291">
        <v>3</v>
      </c>
      <c r="AI1291">
        <v>1</v>
      </c>
      <c r="AJ1291">
        <v>0</v>
      </c>
      <c r="AK1291" t="s">
        <v>502</v>
      </c>
      <c r="AL1291">
        <v>32.805926999999997</v>
      </c>
      <c r="AM1291" t="s">
        <v>503</v>
      </c>
      <c r="AN1291">
        <v>-116.900454</v>
      </c>
      <c r="AO1291">
        <v>25</v>
      </c>
      <c r="AP1291">
        <v>2400</v>
      </c>
      <c r="AQ1291" t="s">
        <v>129</v>
      </c>
      <c r="AR1291">
        <v>117</v>
      </c>
      <c r="AS1291">
        <v>-20</v>
      </c>
      <c r="AT1291">
        <v>64</v>
      </c>
      <c r="BB1291">
        <v>1200</v>
      </c>
      <c r="BC1291">
        <v>1</v>
      </c>
      <c r="BD1291" t="str">
        <f t="shared" si="444"/>
        <v xml:space="preserve">N887QR  </v>
      </c>
      <c r="BE1291">
        <v>1</v>
      </c>
      <c r="BJ1291">
        <v>2125</v>
      </c>
      <c r="BK1291">
        <v>-275</v>
      </c>
      <c r="BL1291" t="s">
        <v>163</v>
      </c>
      <c r="BM1291">
        <v>1</v>
      </c>
      <c r="BN1291">
        <v>1</v>
      </c>
      <c r="BO1291">
        <v>1</v>
      </c>
      <c r="BP1291">
        <v>0</v>
      </c>
      <c r="BS1291">
        <v>0</v>
      </c>
      <c r="BT1291">
        <v>0</v>
      </c>
      <c r="BU1291">
        <v>0</v>
      </c>
      <c r="CE1291" t="str">
        <f t="shared" si="447"/>
        <v>19:29:02.417</v>
      </c>
      <c r="CF1291">
        <v>417109269</v>
      </c>
      <c r="CS1291">
        <v>3</v>
      </c>
      <c r="CT1291">
        <v>2</v>
      </c>
      <c r="CU1291">
        <v>0</v>
      </c>
      <c r="CV1291">
        <v>2</v>
      </c>
      <c r="CW1291">
        <v>0</v>
      </c>
      <c r="CX1291">
        <v>6</v>
      </c>
      <c r="CY1291">
        <v>7</v>
      </c>
      <c r="CZ1291" t="s">
        <v>131</v>
      </c>
      <c r="DA1291">
        <v>300</v>
      </c>
      <c r="DB1291">
        <v>0</v>
      </c>
      <c r="DC1291" t="s">
        <v>176</v>
      </c>
      <c r="DD1291" t="s">
        <v>177</v>
      </c>
      <c r="DG1291">
        <v>5383529</v>
      </c>
      <c r="DI1291">
        <v>1</v>
      </c>
      <c r="DJ1291">
        <v>0</v>
      </c>
      <c r="DK1291">
        <v>1</v>
      </c>
      <c r="DL1291">
        <v>0</v>
      </c>
      <c r="DM1291">
        <v>0</v>
      </c>
      <c r="DN1291">
        <v>1</v>
      </c>
      <c r="DO1291">
        <v>0</v>
      </c>
      <c r="DP1291">
        <v>0</v>
      </c>
      <c r="DQ1291">
        <v>0</v>
      </c>
      <c r="DR1291">
        <v>0</v>
      </c>
      <c r="DS1291">
        <v>0</v>
      </c>
    </row>
    <row r="1292" spans="1:123" x14ac:dyDescent="0.3">
      <c r="A1292" t="str">
        <f>"10/04/2022 19:29:02.656"</f>
        <v>10/04/2022 19:29:02.656</v>
      </c>
      <c r="C1292" t="str">
        <f t="shared" si="438"/>
        <v>FFDDD3C0</v>
      </c>
      <c r="D1292" t="s">
        <v>123</v>
      </c>
      <c r="E1292">
        <v>7</v>
      </c>
      <c r="F1292">
        <v>2007</v>
      </c>
      <c r="G1292" t="s">
        <v>124</v>
      </c>
      <c r="J1292" t="s">
        <v>125</v>
      </c>
      <c r="K1292">
        <v>0</v>
      </c>
      <c r="L1292">
        <v>3</v>
      </c>
      <c r="M1292">
        <v>0</v>
      </c>
      <c r="N1292">
        <v>2</v>
      </c>
      <c r="O1292">
        <v>0</v>
      </c>
      <c r="P1292">
        <v>1</v>
      </c>
      <c r="Q1292">
        <v>0</v>
      </c>
      <c r="S1292" t="str">
        <f t="shared" si="446"/>
        <v>19:29:02.000</v>
      </c>
      <c r="T1292" t="str">
        <f t="shared" si="446"/>
        <v>19:29:02.000</v>
      </c>
      <c r="U1292" t="str">
        <f t="shared" si="443"/>
        <v>AC3944</v>
      </c>
      <c r="V1292">
        <v>0</v>
      </c>
      <c r="W1292">
        <v>0</v>
      </c>
      <c r="X1292">
        <v>2</v>
      </c>
      <c r="Y1292">
        <v>0</v>
      </c>
      <c r="AA1292">
        <v>1</v>
      </c>
      <c r="AB1292">
        <v>8</v>
      </c>
      <c r="AC1292">
        <v>3</v>
      </c>
      <c r="AD1292">
        <v>0</v>
      </c>
      <c r="AE1292">
        <v>9</v>
      </c>
      <c r="AF1292" t="s">
        <v>138</v>
      </c>
      <c r="AG1292">
        <v>0</v>
      </c>
      <c r="AH1292">
        <v>3</v>
      </c>
      <c r="AI1292">
        <v>1</v>
      </c>
      <c r="AJ1292">
        <v>0</v>
      </c>
      <c r="AK1292" t="s">
        <v>502</v>
      </c>
      <c r="AL1292">
        <v>32.805926999999997</v>
      </c>
      <c r="AM1292" t="s">
        <v>503</v>
      </c>
      <c r="AN1292">
        <v>-116.900454</v>
      </c>
      <c r="AO1292">
        <v>25</v>
      </c>
      <c r="AP1292">
        <v>2400</v>
      </c>
      <c r="AQ1292" t="s">
        <v>129</v>
      </c>
      <c r="AR1292">
        <v>117</v>
      </c>
      <c r="AS1292">
        <v>-20</v>
      </c>
      <c r="AT1292">
        <v>64</v>
      </c>
      <c r="BB1292">
        <v>1200</v>
      </c>
      <c r="BC1292">
        <v>1</v>
      </c>
      <c r="BD1292" t="str">
        <f t="shared" si="444"/>
        <v xml:space="preserve">N887QR  </v>
      </c>
      <c r="BE1292">
        <v>1</v>
      </c>
      <c r="BJ1292">
        <v>2125</v>
      </c>
      <c r="BK1292">
        <v>-275</v>
      </c>
      <c r="BL1292" t="s">
        <v>163</v>
      </c>
      <c r="BM1292">
        <v>1</v>
      </c>
      <c r="BN1292">
        <v>1</v>
      </c>
      <c r="BO1292">
        <v>1</v>
      </c>
      <c r="BP1292">
        <v>0</v>
      </c>
      <c r="BS1292">
        <v>0</v>
      </c>
      <c r="BT1292">
        <v>0</v>
      </c>
      <c r="BU1292">
        <v>0</v>
      </c>
      <c r="CE1292" t="str">
        <f t="shared" si="447"/>
        <v>19:29:02.417</v>
      </c>
      <c r="CF1292">
        <v>417109269</v>
      </c>
      <c r="CS1292">
        <v>3</v>
      </c>
      <c r="CT1292">
        <v>2</v>
      </c>
      <c r="CU1292">
        <v>0</v>
      </c>
      <c r="CV1292">
        <v>2</v>
      </c>
      <c r="CW1292">
        <v>0</v>
      </c>
      <c r="CX1292">
        <v>6</v>
      </c>
      <c r="CY1292">
        <v>7</v>
      </c>
      <c r="CZ1292" t="s">
        <v>131</v>
      </c>
      <c r="DA1292">
        <v>300</v>
      </c>
      <c r="DB1292">
        <v>0</v>
      </c>
      <c r="DC1292" t="s">
        <v>176</v>
      </c>
      <c r="DD1292" t="s">
        <v>177</v>
      </c>
      <c r="DG1292">
        <v>5383529</v>
      </c>
      <c r="DI1292">
        <v>1</v>
      </c>
      <c r="DJ1292">
        <v>0</v>
      </c>
      <c r="DK1292">
        <v>1</v>
      </c>
      <c r="DL1292">
        <v>0</v>
      </c>
      <c r="DM1292">
        <v>0</v>
      </c>
      <c r="DN1292">
        <v>1</v>
      </c>
      <c r="DO1292">
        <v>0</v>
      </c>
      <c r="DP1292">
        <v>0</v>
      </c>
      <c r="DQ1292">
        <v>0</v>
      </c>
      <c r="DR1292">
        <v>0</v>
      </c>
      <c r="DS1292">
        <v>0</v>
      </c>
    </row>
    <row r="1293" spans="1:123" x14ac:dyDescent="0.3">
      <c r="A1293" t="str">
        <f>"10/04/2022 19:29:02.656"</f>
        <v>10/04/2022 19:29:02.656</v>
      </c>
      <c r="C1293" t="str">
        <f t="shared" si="438"/>
        <v>FFDDD3C0</v>
      </c>
      <c r="D1293" t="s">
        <v>147</v>
      </c>
      <c r="E1293">
        <v>3</v>
      </c>
      <c r="H1293">
        <v>166</v>
      </c>
      <c r="I1293" t="s">
        <v>144</v>
      </c>
      <c r="J1293" t="s">
        <v>148</v>
      </c>
      <c r="K1293">
        <v>0</v>
      </c>
      <c r="L1293">
        <v>3</v>
      </c>
      <c r="M1293">
        <v>0</v>
      </c>
      <c r="N1293">
        <v>2</v>
      </c>
      <c r="O1293">
        <v>0</v>
      </c>
      <c r="P1293">
        <v>1</v>
      </c>
      <c r="Q1293">
        <v>0</v>
      </c>
      <c r="S1293" t="str">
        <f t="shared" si="446"/>
        <v>19:29:02.000</v>
      </c>
      <c r="T1293" t="str">
        <f t="shared" si="446"/>
        <v>19:29:02.000</v>
      </c>
      <c r="U1293" t="str">
        <f t="shared" si="443"/>
        <v>AC3944</v>
      </c>
      <c r="V1293">
        <v>0</v>
      </c>
      <c r="W1293">
        <v>0</v>
      </c>
      <c r="X1293">
        <v>2</v>
      </c>
      <c r="Y1293">
        <v>0</v>
      </c>
      <c r="AA1293">
        <v>1</v>
      </c>
      <c r="AB1293">
        <v>8</v>
      </c>
      <c r="AC1293">
        <v>3</v>
      </c>
      <c r="AD1293">
        <v>0</v>
      </c>
      <c r="AE1293">
        <v>9</v>
      </c>
      <c r="AF1293" t="s">
        <v>138</v>
      </c>
      <c r="AG1293">
        <v>0</v>
      </c>
      <c r="AH1293">
        <v>3</v>
      </c>
      <c r="AI1293">
        <v>1</v>
      </c>
      <c r="AJ1293">
        <v>0</v>
      </c>
      <c r="AK1293" t="s">
        <v>502</v>
      </c>
      <c r="AL1293">
        <v>32.805926999999997</v>
      </c>
      <c r="AM1293" t="s">
        <v>503</v>
      </c>
      <c r="AN1293">
        <v>-116.900454</v>
      </c>
      <c r="AO1293">
        <v>25</v>
      </c>
      <c r="AP1293">
        <v>2400</v>
      </c>
      <c r="AQ1293" t="s">
        <v>129</v>
      </c>
      <c r="AR1293">
        <v>117</v>
      </c>
      <c r="AS1293">
        <v>-20</v>
      </c>
      <c r="AT1293">
        <v>64</v>
      </c>
      <c r="BB1293">
        <v>1200</v>
      </c>
      <c r="BC1293">
        <v>1</v>
      </c>
      <c r="BD1293" t="str">
        <f t="shared" si="444"/>
        <v xml:space="preserve">N887QR  </v>
      </c>
      <c r="BE1293">
        <v>1</v>
      </c>
      <c r="BJ1293">
        <v>2125</v>
      </c>
      <c r="BK1293">
        <v>-275</v>
      </c>
      <c r="BL1293" t="s">
        <v>163</v>
      </c>
      <c r="BM1293">
        <v>1</v>
      </c>
      <c r="BN1293">
        <v>1</v>
      </c>
      <c r="BO1293">
        <v>1</v>
      </c>
      <c r="BP1293">
        <v>0</v>
      </c>
      <c r="BS1293">
        <v>0</v>
      </c>
      <c r="BT1293">
        <v>0</v>
      </c>
      <c r="BU1293">
        <v>0</v>
      </c>
      <c r="CE1293" t="str">
        <f t="shared" si="447"/>
        <v>19:29:02.417</v>
      </c>
      <c r="CF1293">
        <v>417109269</v>
      </c>
      <c r="CS1293">
        <v>3</v>
      </c>
      <c r="CT1293">
        <v>2</v>
      </c>
      <c r="CU1293">
        <v>0</v>
      </c>
      <c r="CV1293">
        <v>2</v>
      </c>
      <c r="CW1293">
        <v>0</v>
      </c>
      <c r="CX1293">
        <v>6</v>
      </c>
      <c r="CY1293">
        <v>7</v>
      </c>
      <c r="CZ1293" t="s">
        <v>131</v>
      </c>
      <c r="DA1293">
        <v>300</v>
      </c>
      <c r="DB1293">
        <v>0</v>
      </c>
      <c r="DC1293" t="s">
        <v>176</v>
      </c>
      <c r="DD1293" t="s">
        <v>177</v>
      </c>
      <c r="DG1293">
        <v>5383529</v>
      </c>
      <c r="DI1293">
        <v>1</v>
      </c>
      <c r="DJ1293">
        <v>0</v>
      </c>
      <c r="DK1293">
        <v>1</v>
      </c>
      <c r="DL1293">
        <v>0</v>
      </c>
      <c r="DM1293">
        <v>0</v>
      </c>
      <c r="DN1293">
        <v>1</v>
      </c>
      <c r="DO1293">
        <v>0</v>
      </c>
      <c r="DP1293">
        <v>0</v>
      </c>
      <c r="DQ1293">
        <v>0</v>
      </c>
      <c r="DR1293">
        <v>0</v>
      </c>
      <c r="DS1293">
        <v>0</v>
      </c>
    </row>
    <row r="1294" spans="1:123" x14ac:dyDescent="0.3">
      <c r="A1294" t="str">
        <f>"10/04/2022 19:29:02.656"</f>
        <v>10/04/2022 19:29:02.656</v>
      </c>
      <c r="C1294" t="str">
        <f t="shared" si="438"/>
        <v>FFDDD3C0</v>
      </c>
      <c r="D1294" t="s">
        <v>141</v>
      </c>
      <c r="E1294">
        <v>4</v>
      </c>
      <c r="H1294">
        <v>4</v>
      </c>
      <c r="I1294" t="s">
        <v>142</v>
      </c>
      <c r="J1294" t="s">
        <v>138</v>
      </c>
      <c r="K1294">
        <v>0</v>
      </c>
      <c r="L1294">
        <v>3</v>
      </c>
      <c r="M1294">
        <v>0</v>
      </c>
      <c r="N1294">
        <v>2</v>
      </c>
      <c r="O1294">
        <v>0</v>
      </c>
      <c r="P1294">
        <v>1</v>
      </c>
      <c r="Q1294">
        <v>0</v>
      </c>
      <c r="S1294" t="str">
        <f t="shared" si="446"/>
        <v>19:29:02.000</v>
      </c>
      <c r="T1294" t="str">
        <f t="shared" si="446"/>
        <v>19:29:02.000</v>
      </c>
      <c r="U1294" t="str">
        <f t="shared" si="443"/>
        <v>AC3944</v>
      </c>
      <c r="V1294">
        <v>0</v>
      </c>
      <c r="W1294">
        <v>0</v>
      </c>
      <c r="X1294">
        <v>2</v>
      </c>
      <c r="Y1294">
        <v>0</v>
      </c>
      <c r="AA1294">
        <v>1</v>
      </c>
      <c r="AB1294">
        <v>8</v>
      </c>
      <c r="AC1294">
        <v>3</v>
      </c>
      <c r="AD1294">
        <v>0</v>
      </c>
      <c r="AE1294">
        <v>9</v>
      </c>
      <c r="AF1294" t="s">
        <v>138</v>
      </c>
      <c r="AG1294">
        <v>0</v>
      </c>
      <c r="AH1294">
        <v>3</v>
      </c>
      <c r="AI1294">
        <v>1</v>
      </c>
      <c r="AJ1294">
        <v>0</v>
      </c>
      <c r="AK1294" t="s">
        <v>502</v>
      </c>
      <c r="AL1294">
        <v>32.805926999999997</v>
      </c>
      <c r="AM1294" t="s">
        <v>503</v>
      </c>
      <c r="AN1294">
        <v>-116.900454</v>
      </c>
      <c r="AO1294">
        <v>25</v>
      </c>
      <c r="AP1294">
        <v>2400</v>
      </c>
      <c r="AQ1294" t="s">
        <v>129</v>
      </c>
      <c r="AR1294">
        <v>117</v>
      </c>
      <c r="AS1294">
        <v>-20</v>
      </c>
      <c r="AT1294">
        <v>64</v>
      </c>
      <c r="BB1294">
        <v>1200</v>
      </c>
      <c r="BC1294">
        <v>1</v>
      </c>
      <c r="BD1294" t="str">
        <f t="shared" si="444"/>
        <v xml:space="preserve">N887QR  </v>
      </c>
      <c r="BE1294">
        <v>1</v>
      </c>
      <c r="BJ1294">
        <v>2125</v>
      </c>
      <c r="BK1294">
        <v>-275</v>
      </c>
      <c r="BL1294" t="s">
        <v>163</v>
      </c>
      <c r="BM1294">
        <v>1</v>
      </c>
      <c r="BN1294">
        <v>1</v>
      </c>
      <c r="BO1294">
        <v>1</v>
      </c>
      <c r="BP1294">
        <v>0</v>
      </c>
      <c r="BS1294">
        <v>0</v>
      </c>
      <c r="BT1294">
        <v>0</v>
      </c>
      <c r="BU1294">
        <v>0</v>
      </c>
      <c r="CE1294" t="str">
        <f t="shared" si="447"/>
        <v>19:29:02.417</v>
      </c>
      <c r="CF1294">
        <v>417109269</v>
      </c>
      <c r="CS1294">
        <v>3</v>
      </c>
      <c r="CT1294">
        <v>2</v>
      </c>
      <c r="CU1294">
        <v>0</v>
      </c>
      <c r="CV1294">
        <v>2</v>
      </c>
      <c r="CW1294">
        <v>0</v>
      </c>
      <c r="CX1294">
        <v>6</v>
      </c>
      <c r="CY1294">
        <v>7</v>
      </c>
      <c r="CZ1294" t="s">
        <v>131</v>
      </c>
      <c r="DA1294">
        <v>300</v>
      </c>
      <c r="DB1294">
        <v>0</v>
      </c>
      <c r="DC1294" t="s">
        <v>176</v>
      </c>
      <c r="DD1294" t="s">
        <v>177</v>
      </c>
      <c r="DG1294">
        <v>5383529</v>
      </c>
      <c r="DI1294">
        <v>1</v>
      </c>
      <c r="DJ1294">
        <v>0</v>
      </c>
      <c r="DK1294">
        <v>1</v>
      </c>
      <c r="DL1294">
        <v>0</v>
      </c>
      <c r="DM1294">
        <v>0</v>
      </c>
      <c r="DN1294">
        <v>1</v>
      </c>
      <c r="DO1294">
        <v>0</v>
      </c>
      <c r="DP1294">
        <v>0</v>
      </c>
      <c r="DQ1294">
        <v>0</v>
      </c>
      <c r="DR1294">
        <v>0</v>
      </c>
      <c r="DS1294">
        <v>0</v>
      </c>
    </row>
    <row r="1295" spans="1:123" x14ac:dyDescent="0.3">
      <c r="A1295" t="str">
        <f>"10/04/2022 19:29:02.656"</f>
        <v>10/04/2022 19:29:02.656</v>
      </c>
      <c r="C1295" t="str">
        <f t="shared" si="438"/>
        <v>FFDDD3C0</v>
      </c>
      <c r="D1295" t="s">
        <v>141</v>
      </c>
      <c r="E1295">
        <v>3</v>
      </c>
      <c r="H1295">
        <v>3</v>
      </c>
      <c r="I1295" t="s">
        <v>146</v>
      </c>
      <c r="J1295" t="s">
        <v>138</v>
      </c>
      <c r="K1295">
        <v>0</v>
      </c>
      <c r="L1295">
        <v>3</v>
      </c>
      <c r="M1295">
        <v>0</v>
      </c>
      <c r="N1295">
        <v>2</v>
      </c>
      <c r="O1295">
        <v>0</v>
      </c>
      <c r="P1295">
        <v>1</v>
      </c>
      <c r="Q1295">
        <v>0</v>
      </c>
      <c r="S1295" t="str">
        <f t="shared" si="446"/>
        <v>19:29:02.000</v>
      </c>
      <c r="T1295" t="str">
        <f t="shared" si="446"/>
        <v>19:29:02.000</v>
      </c>
      <c r="U1295" t="str">
        <f t="shared" si="443"/>
        <v>AC3944</v>
      </c>
      <c r="V1295">
        <v>0</v>
      </c>
      <c r="W1295">
        <v>0</v>
      </c>
      <c r="X1295">
        <v>2</v>
      </c>
      <c r="Y1295">
        <v>0</v>
      </c>
      <c r="AA1295">
        <v>1</v>
      </c>
      <c r="AB1295">
        <v>8</v>
      </c>
      <c r="AC1295">
        <v>3</v>
      </c>
      <c r="AD1295">
        <v>0</v>
      </c>
      <c r="AE1295">
        <v>9</v>
      </c>
      <c r="AF1295" t="s">
        <v>138</v>
      </c>
      <c r="AG1295">
        <v>0</v>
      </c>
      <c r="AH1295">
        <v>3</v>
      </c>
      <c r="AI1295">
        <v>1</v>
      </c>
      <c r="AJ1295">
        <v>0</v>
      </c>
      <c r="AK1295" t="s">
        <v>502</v>
      </c>
      <c r="AL1295">
        <v>32.805926999999997</v>
      </c>
      <c r="AM1295" t="s">
        <v>503</v>
      </c>
      <c r="AN1295">
        <v>-116.900454</v>
      </c>
      <c r="AO1295">
        <v>25</v>
      </c>
      <c r="AP1295">
        <v>2400</v>
      </c>
      <c r="AQ1295" t="s">
        <v>129</v>
      </c>
      <c r="AR1295">
        <v>117</v>
      </c>
      <c r="AS1295">
        <v>-20</v>
      </c>
      <c r="AT1295">
        <v>64</v>
      </c>
      <c r="BB1295">
        <v>1200</v>
      </c>
      <c r="BC1295">
        <v>1</v>
      </c>
      <c r="BD1295" t="str">
        <f t="shared" si="444"/>
        <v xml:space="preserve">N887QR  </v>
      </c>
      <c r="BE1295">
        <v>1</v>
      </c>
      <c r="BJ1295">
        <v>2125</v>
      </c>
      <c r="BK1295">
        <v>-275</v>
      </c>
      <c r="BL1295" t="s">
        <v>163</v>
      </c>
      <c r="BM1295">
        <v>1</v>
      </c>
      <c r="BN1295">
        <v>1</v>
      </c>
      <c r="BO1295">
        <v>1</v>
      </c>
      <c r="BP1295">
        <v>0</v>
      </c>
      <c r="BS1295">
        <v>0</v>
      </c>
      <c r="BT1295">
        <v>0</v>
      </c>
      <c r="BU1295">
        <v>0</v>
      </c>
      <c r="CE1295" t="str">
        <f t="shared" si="447"/>
        <v>19:29:02.417</v>
      </c>
      <c r="CF1295">
        <v>417109269</v>
      </c>
      <c r="CS1295">
        <v>3</v>
      </c>
      <c r="CT1295">
        <v>2</v>
      </c>
      <c r="CU1295">
        <v>0</v>
      </c>
      <c r="CV1295">
        <v>2</v>
      </c>
      <c r="CW1295">
        <v>0</v>
      </c>
      <c r="CX1295">
        <v>6</v>
      </c>
      <c r="CY1295">
        <v>7</v>
      </c>
      <c r="CZ1295" t="s">
        <v>131</v>
      </c>
      <c r="DA1295">
        <v>300</v>
      </c>
      <c r="DB1295">
        <v>0</v>
      </c>
      <c r="DC1295" t="s">
        <v>176</v>
      </c>
      <c r="DD1295" t="s">
        <v>177</v>
      </c>
      <c r="DG1295">
        <v>5383529</v>
      </c>
      <c r="DI1295">
        <v>1</v>
      </c>
      <c r="DJ1295">
        <v>0</v>
      </c>
      <c r="DK1295">
        <v>1</v>
      </c>
      <c r="DL1295">
        <v>0</v>
      </c>
      <c r="DM1295">
        <v>0</v>
      </c>
      <c r="DN1295">
        <v>1</v>
      </c>
      <c r="DO1295">
        <v>0</v>
      </c>
      <c r="DP1295">
        <v>0</v>
      </c>
      <c r="DQ1295">
        <v>0</v>
      </c>
      <c r="DR1295">
        <v>0</v>
      </c>
      <c r="DS1295">
        <v>0</v>
      </c>
    </row>
    <row r="1296" spans="1:123" x14ac:dyDescent="0.3">
      <c r="A1296" t="str">
        <f t="shared" ref="A1296:A1302" si="448">"10/04/2022 19:29:03.687"</f>
        <v>10/04/2022 19:29:03.687</v>
      </c>
      <c r="C1296" t="str">
        <f t="shared" si="438"/>
        <v>FFDDD3C0</v>
      </c>
      <c r="D1296" t="s">
        <v>136</v>
      </c>
      <c r="E1296">
        <v>8</v>
      </c>
      <c r="H1296">
        <v>225</v>
      </c>
      <c r="I1296" t="s">
        <v>137</v>
      </c>
      <c r="J1296" t="s">
        <v>138</v>
      </c>
      <c r="K1296">
        <v>0</v>
      </c>
      <c r="L1296">
        <v>3</v>
      </c>
      <c r="M1296">
        <v>0</v>
      </c>
      <c r="N1296">
        <v>2</v>
      </c>
      <c r="O1296">
        <v>0</v>
      </c>
      <c r="P1296">
        <v>1</v>
      </c>
      <c r="Q1296">
        <v>0</v>
      </c>
      <c r="S1296" t="str">
        <f t="shared" ref="S1296:T1302" si="449">"19:29:03.000"</f>
        <v>19:29:03.000</v>
      </c>
      <c r="T1296" t="str">
        <f t="shared" si="449"/>
        <v>19:29:03.000</v>
      </c>
      <c r="U1296" t="str">
        <f t="shared" si="443"/>
        <v>AC3944</v>
      </c>
      <c r="V1296">
        <v>0</v>
      </c>
      <c r="W1296">
        <v>0</v>
      </c>
      <c r="X1296">
        <v>2</v>
      </c>
      <c r="Y1296">
        <v>0</v>
      </c>
      <c r="AA1296">
        <v>1</v>
      </c>
      <c r="AB1296">
        <v>8</v>
      </c>
      <c r="AC1296">
        <v>3</v>
      </c>
      <c r="AD1296">
        <v>0</v>
      </c>
      <c r="AE1296">
        <v>9</v>
      </c>
      <c r="AF1296" t="s">
        <v>138</v>
      </c>
      <c r="AG1296">
        <v>0</v>
      </c>
      <c r="AH1296">
        <v>3</v>
      </c>
      <c r="AI1296">
        <v>1</v>
      </c>
      <c r="AJ1296">
        <v>0</v>
      </c>
      <c r="AK1296" t="s">
        <v>504</v>
      </c>
      <c r="AL1296">
        <v>32.805861999999998</v>
      </c>
      <c r="AM1296" t="s">
        <v>505</v>
      </c>
      <c r="AN1296">
        <v>-116.899917</v>
      </c>
      <c r="AO1296">
        <v>25</v>
      </c>
      <c r="AP1296">
        <v>2400</v>
      </c>
      <c r="AQ1296" t="s">
        <v>129</v>
      </c>
      <c r="AR1296">
        <v>116</v>
      </c>
      <c r="AS1296">
        <v>-25</v>
      </c>
      <c r="AT1296">
        <v>64</v>
      </c>
      <c r="BB1296">
        <v>1200</v>
      </c>
      <c r="BC1296">
        <v>1</v>
      </c>
      <c r="BD1296" t="str">
        <f t="shared" si="444"/>
        <v xml:space="preserve">N887QR  </v>
      </c>
      <c r="BE1296">
        <v>1</v>
      </c>
      <c r="BJ1296">
        <v>2125</v>
      </c>
      <c r="BK1296">
        <v>-275</v>
      </c>
      <c r="BL1296" t="s">
        <v>163</v>
      </c>
      <c r="BM1296">
        <v>1</v>
      </c>
      <c r="BN1296">
        <v>1</v>
      </c>
      <c r="BO1296">
        <v>1</v>
      </c>
      <c r="BP1296">
        <v>0</v>
      </c>
      <c r="BS1296">
        <v>0</v>
      </c>
      <c r="BT1296">
        <v>0</v>
      </c>
      <c r="BU1296">
        <v>0</v>
      </c>
      <c r="CE1296" t="str">
        <f t="shared" ref="CE1296:CE1302" si="450">"19:29:03.481"</f>
        <v>19:29:03.481</v>
      </c>
      <c r="CF1296">
        <v>481112743</v>
      </c>
      <c r="CS1296">
        <v>3</v>
      </c>
      <c r="CT1296">
        <v>2</v>
      </c>
      <c r="CU1296">
        <v>0</v>
      </c>
      <c r="CV1296">
        <v>2</v>
      </c>
      <c r="CW1296">
        <v>0</v>
      </c>
      <c r="CX1296">
        <v>6</v>
      </c>
      <c r="CY1296">
        <v>7</v>
      </c>
      <c r="CZ1296" t="s">
        <v>131</v>
      </c>
      <c r="DA1296">
        <v>300</v>
      </c>
      <c r="DB1296">
        <v>0</v>
      </c>
      <c r="DC1296" t="s">
        <v>176</v>
      </c>
      <c r="DD1296" t="s">
        <v>177</v>
      </c>
      <c r="DG1296">
        <v>5383699</v>
      </c>
      <c r="DI1296">
        <v>1</v>
      </c>
      <c r="DJ1296">
        <v>0</v>
      </c>
      <c r="DK1296">
        <v>0</v>
      </c>
      <c r="DL1296">
        <v>0</v>
      </c>
      <c r="DM1296">
        <v>0</v>
      </c>
      <c r="DN1296">
        <v>1</v>
      </c>
      <c r="DO1296">
        <v>0</v>
      </c>
      <c r="DP1296">
        <v>0</v>
      </c>
      <c r="DQ1296">
        <v>0</v>
      </c>
      <c r="DR1296">
        <v>0</v>
      </c>
      <c r="DS1296">
        <v>0</v>
      </c>
    </row>
    <row r="1297" spans="1:123" x14ac:dyDescent="0.3">
      <c r="A1297" t="str">
        <f t="shared" si="448"/>
        <v>10/04/2022 19:29:03.687</v>
      </c>
      <c r="C1297" t="str">
        <f t="shared" si="438"/>
        <v>FFDDD3C0</v>
      </c>
      <c r="D1297" t="s">
        <v>134</v>
      </c>
      <c r="E1297">
        <v>15</v>
      </c>
      <c r="J1297" t="s">
        <v>135</v>
      </c>
      <c r="K1297">
        <v>0</v>
      </c>
      <c r="L1297">
        <v>3</v>
      </c>
      <c r="M1297">
        <v>0</v>
      </c>
      <c r="N1297">
        <v>2</v>
      </c>
      <c r="O1297">
        <v>0</v>
      </c>
      <c r="P1297">
        <v>1</v>
      </c>
      <c r="Q1297">
        <v>0</v>
      </c>
      <c r="S1297" t="str">
        <f t="shared" si="449"/>
        <v>19:29:03.000</v>
      </c>
      <c r="T1297" t="str">
        <f t="shared" si="449"/>
        <v>19:29:03.000</v>
      </c>
      <c r="U1297" t="str">
        <f t="shared" si="443"/>
        <v>AC3944</v>
      </c>
      <c r="V1297">
        <v>0</v>
      </c>
      <c r="W1297">
        <v>0</v>
      </c>
      <c r="X1297">
        <v>2</v>
      </c>
      <c r="Y1297">
        <v>0</v>
      </c>
      <c r="AA1297">
        <v>1</v>
      </c>
      <c r="AB1297">
        <v>8</v>
      </c>
      <c r="AC1297">
        <v>3</v>
      </c>
      <c r="AD1297">
        <v>0</v>
      </c>
      <c r="AE1297">
        <v>9</v>
      </c>
      <c r="AF1297" t="s">
        <v>138</v>
      </c>
      <c r="AG1297">
        <v>0</v>
      </c>
      <c r="AH1297">
        <v>3</v>
      </c>
      <c r="AI1297">
        <v>1</v>
      </c>
      <c r="AJ1297">
        <v>0</v>
      </c>
      <c r="AK1297" t="s">
        <v>504</v>
      </c>
      <c r="AL1297">
        <v>32.805861999999998</v>
      </c>
      <c r="AM1297" t="s">
        <v>505</v>
      </c>
      <c r="AN1297">
        <v>-116.899917</v>
      </c>
      <c r="AO1297">
        <v>25</v>
      </c>
      <c r="AP1297">
        <v>2400</v>
      </c>
      <c r="AQ1297" t="s">
        <v>129</v>
      </c>
      <c r="AR1297">
        <v>116</v>
      </c>
      <c r="AS1297">
        <v>-25</v>
      </c>
      <c r="AT1297">
        <v>64</v>
      </c>
      <c r="BB1297">
        <v>1200</v>
      </c>
      <c r="BC1297">
        <v>1</v>
      </c>
      <c r="BD1297" t="str">
        <f t="shared" si="444"/>
        <v xml:space="preserve">N887QR  </v>
      </c>
      <c r="BE1297">
        <v>1</v>
      </c>
      <c r="BJ1297">
        <v>2125</v>
      </c>
      <c r="BK1297">
        <v>-275</v>
      </c>
      <c r="BL1297" t="s">
        <v>163</v>
      </c>
      <c r="BM1297">
        <v>1</v>
      </c>
      <c r="BN1297">
        <v>1</v>
      </c>
      <c r="BO1297">
        <v>1</v>
      </c>
      <c r="BP1297">
        <v>0</v>
      </c>
      <c r="BS1297">
        <v>0</v>
      </c>
      <c r="BT1297">
        <v>0</v>
      </c>
      <c r="BU1297">
        <v>0</v>
      </c>
      <c r="CE1297" t="str">
        <f t="shared" si="450"/>
        <v>19:29:03.481</v>
      </c>
      <c r="CF1297">
        <v>481112743</v>
      </c>
      <c r="CS1297">
        <v>3</v>
      </c>
      <c r="CT1297">
        <v>2</v>
      </c>
      <c r="CU1297">
        <v>0</v>
      </c>
      <c r="CV1297">
        <v>2</v>
      </c>
      <c r="CW1297">
        <v>0</v>
      </c>
      <c r="CX1297">
        <v>6</v>
      </c>
      <c r="CY1297">
        <v>7</v>
      </c>
      <c r="CZ1297" t="s">
        <v>131</v>
      </c>
      <c r="DA1297">
        <v>300</v>
      </c>
      <c r="DB1297">
        <v>0</v>
      </c>
      <c r="DC1297" t="s">
        <v>176</v>
      </c>
      <c r="DD1297" t="s">
        <v>177</v>
      </c>
      <c r="DG1297">
        <v>5383699</v>
      </c>
      <c r="DI1297">
        <v>1</v>
      </c>
      <c r="DJ1297">
        <v>0</v>
      </c>
      <c r="DK1297">
        <v>1</v>
      </c>
      <c r="DL1297">
        <v>0</v>
      </c>
      <c r="DM1297">
        <v>0</v>
      </c>
      <c r="DN1297">
        <v>1</v>
      </c>
      <c r="DO1297">
        <v>0</v>
      </c>
      <c r="DP1297">
        <v>0</v>
      </c>
      <c r="DQ1297">
        <v>0</v>
      </c>
      <c r="DR1297">
        <v>0</v>
      </c>
      <c r="DS1297">
        <v>0</v>
      </c>
    </row>
    <row r="1298" spans="1:123" x14ac:dyDescent="0.3">
      <c r="A1298" t="str">
        <f t="shared" si="448"/>
        <v>10/04/2022 19:29:03.687</v>
      </c>
      <c r="C1298" t="str">
        <f t="shared" si="438"/>
        <v>FFDDD3C0</v>
      </c>
      <c r="D1298" t="s">
        <v>143</v>
      </c>
      <c r="E1298">
        <v>20</v>
      </c>
      <c r="F1298">
        <v>1020</v>
      </c>
      <c r="G1298" t="s">
        <v>144</v>
      </c>
      <c r="J1298" t="s">
        <v>145</v>
      </c>
      <c r="K1298">
        <v>0</v>
      </c>
      <c r="L1298">
        <v>3</v>
      </c>
      <c r="M1298">
        <v>0</v>
      </c>
      <c r="N1298">
        <v>2</v>
      </c>
      <c r="O1298">
        <v>0</v>
      </c>
      <c r="P1298">
        <v>1</v>
      </c>
      <c r="Q1298">
        <v>0</v>
      </c>
      <c r="S1298" t="str">
        <f t="shared" si="449"/>
        <v>19:29:03.000</v>
      </c>
      <c r="T1298" t="str">
        <f t="shared" si="449"/>
        <v>19:29:03.000</v>
      </c>
      <c r="U1298" t="str">
        <f t="shared" si="443"/>
        <v>AC3944</v>
      </c>
      <c r="V1298">
        <v>0</v>
      </c>
      <c r="W1298">
        <v>0</v>
      </c>
      <c r="X1298">
        <v>2</v>
      </c>
      <c r="Y1298">
        <v>0</v>
      </c>
      <c r="AA1298">
        <v>1</v>
      </c>
      <c r="AB1298">
        <v>8</v>
      </c>
      <c r="AC1298">
        <v>3</v>
      </c>
      <c r="AD1298">
        <v>0</v>
      </c>
      <c r="AE1298">
        <v>9</v>
      </c>
      <c r="AF1298" t="s">
        <v>138</v>
      </c>
      <c r="AG1298">
        <v>0</v>
      </c>
      <c r="AH1298">
        <v>3</v>
      </c>
      <c r="AI1298">
        <v>1</v>
      </c>
      <c r="AJ1298">
        <v>0</v>
      </c>
      <c r="AK1298" t="s">
        <v>504</v>
      </c>
      <c r="AL1298">
        <v>32.805861999999998</v>
      </c>
      <c r="AM1298" t="s">
        <v>505</v>
      </c>
      <c r="AN1298">
        <v>-116.899917</v>
      </c>
      <c r="AO1298">
        <v>25</v>
      </c>
      <c r="AP1298">
        <v>2400</v>
      </c>
      <c r="AQ1298" t="s">
        <v>129</v>
      </c>
      <c r="AR1298">
        <v>116</v>
      </c>
      <c r="AS1298">
        <v>-25</v>
      </c>
      <c r="AT1298">
        <v>64</v>
      </c>
      <c r="BB1298">
        <v>1200</v>
      </c>
      <c r="BC1298">
        <v>1</v>
      </c>
      <c r="BD1298" t="str">
        <f t="shared" si="444"/>
        <v xml:space="preserve">N887QR  </v>
      </c>
      <c r="BE1298">
        <v>1</v>
      </c>
      <c r="BJ1298">
        <v>2125</v>
      </c>
      <c r="BK1298">
        <v>-275</v>
      </c>
      <c r="BL1298" t="s">
        <v>163</v>
      </c>
      <c r="BM1298">
        <v>1</v>
      </c>
      <c r="BN1298">
        <v>1</v>
      </c>
      <c r="BO1298">
        <v>1</v>
      </c>
      <c r="BP1298">
        <v>0</v>
      </c>
      <c r="BS1298">
        <v>0</v>
      </c>
      <c r="BT1298">
        <v>0</v>
      </c>
      <c r="BU1298">
        <v>0</v>
      </c>
      <c r="CE1298" t="str">
        <f t="shared" si="450"/>
        <v>19:29:03.481</v>
      </c>
      <c r="CF1298">
        <v>481112743</v>
      </c>
      <c r="CS1298">
        <v>3</v>
      </c>
      <c r="CT1298">
        <v>2</v>
      </c>
      <c r="CU1298">
        <v>0</v>
      </c>
      <c r="CV1298">
        <v>2</v>
      </c>
      <c r="CW1298">
        <v>0</v>
      </c>
      <c r="CX1298">
        <v>6</v>
      </c>
      <c r="CY1298">
        <v>7</v>
      </c>
      <c r="CZ1298" t="s">
        <v>131</v>
      </c>
      <c r="DA1298">
        <v>300</v>
      </c>
      <c r="DB1298">
        <v>0</v>
      </c>
      <c r="DC1298" t="s">
        <v>176</v>
      </c>
      <c r="DD1298" t="s">
        <v>177</v>
      </c>
      <c r="DG1298">
        <v>5383699</v>
      </c>
      <c r="DI1298">
        <v>1</v>
      </c>
      <c r="DJ1298">
        <v>0</v>
      </c>
      <c r="DK1298">
        <v>1</v>
      </c>
      <c r="DL1298">
        <v>0</v>
      </c>
      <c r="DM1298">
        <v>0</v>
      </c>
      <c r="DN1298">
        <v>1</v>
      </c>
      <c r="DO1298">
        <v>0</v>
      </c>
      <c r="DP1298">
        <v>0</v>
      </c>
      <c r="DQ1298">
        <v>0</v>
      </c>
      <c r="DR1298">
        <v>0</v>
      </c>
      <c r="DS1298">
        <v>0</v>
      </c>
    </row>
    <row r="1299" spans="1:123" x14ac:dyDescent="0.3">
      <c r="A1299" t="str">
        <f t="shared" si="448"/>
        <v>10/04/2022 19:29:03.687</v>
      </c>
      <c r="C1299" t="str">
        <f t="shared" si="438"/>
        <v>FFDDD3C0</v>
      </c>
      <c r="D1299" t="s">
        <v>123</v>
      </c>
      <c r="E1299">
        <v>7</v>
      </c>
      <c r="F1299">
        <v>2007</v>
      </c>
      <c r="G1299" t="s">
        <v>124</v>
      </c>
      <c r="J1299" t="s">
        <v>125</v>
      </c>
      <c r="K1299">
        <v>0</v>
      </c>
      <c r="L1299">
        <v>3</v>
      </c>
      <c r="M1299">
        <v>0</v>
      </c>
      <c r="N1299">
        <v>2</v>
      </c>
      <c r="O1299">
        <v>0</v>
      </c>
      <c r="P1299">
        <v>1</v>
      </c>
      <c r="Q1299">
        <v>0</v>
      </c>
      <c r="S1299" t="str">
        <f t="shared" si="449"/>
        <v>19:29:03.000</v>
      </c>
      <c r="T1299" t="str">
        <f t="shared" si="449"/>
        <v>19:29:03.000</v>
      </c>
      <c r="U1299" t="str">
        <f t="shared" si="443"/>
        <v>AC3944</v>
      </c>
      <c r="V1299">
        <v>0</v>
      </c>
      <c r="W1299">
        <v>0</v>
      </c>
      <c r="X1299">
        <v>2</v>
      </c>
      <c r="Y1299">
        <v>0</v>
      </c>
      <c r="AA1299">
        <v>1</v>
      </c>
      <c r="AB1299">
        <v>8</v>
      </c>
      <c r="AC1299">
        <v>3</v>
      </c>
      <c r="AD1299">
        <v>0</v>
      </c>
      <c r="AE1299">
        <v>9</v>
      </c>
      <c r="AF1299" t="s">
        <v>138</v>
      </c>
      <c r="AG1299">
        <v>0</v>
      </c>
      <c r="AH1299">
        <v>3</v>
      </c>
      <c r="AI1299">
        <v>1</v>
      </c>
      <c r="AJ1299">
        <v>0</v>
      </c>
      <c r="AK1299" t="s">
        <v>504</v>
      </c>
      <c r="AL1299">
        <v>32.805861999999998</v>
      </c>
      <c r="AM1299" t="s">
        <v>505</v>
      </c>
      <c r="AN1299">
        <v>-116.899917</v>
      </c>
      <c r="AO1299">
        <v>25</v>
      </c>
      <c r="AP1299">
        <v>2400</v>
      </c>
      <c r="AQ1299" t="s">
        <v>129</v>
      </c>
      <c r="AR1299">
        <v>116</v>
      </c>
      <c r="AS1299">
        <v>-25</v>
      </c>
      <c r="AT1299">
        <v>64</v>
      </c>
      <c r="BB1299">
        <v>1200</v>
      </c>
      <c r="BC1299">
        <v>1</v>
      </c>
      <c r="BD1299" t="str">
        <f t="shared" si="444"/>
        <v xml:space="preserve">N887QR  </v>
      </c>
      <c r="BE1299">
        <v>1</v>
      </c>
      <c r="BJ1299">
        <v>2125</v>
      </c>
      <c r="BK1299">
        <v>-275</v>
      </c>
      <c r="BL1299" t="s">
        <v>163</v>
      </c>
      <c r="BM1299">
        <v>1</v>
      </c>
      <c r="BN1299">
        <v>1</v>
      </c>
      <c r="BO1299">
        <v>1</v>
      </c>
      <c r="BP1299">
        <v>0</v>
      </c>
      <c r="BS1299">
        <v>0</v>
      </c>
      <c r="BT1299">
        <v>0</v>
      </c>
      <c r="BU1299">
        <v>0</v>
      </c>
      <c r="CE1299" t="str">
        <f t="shared" si="450"/>
        <v>19:29:03.481</v>
      </c>
      <c r="CF1299">
        <v>481112743</v>
      </c>
      <c r="CS1299">
        <v>3</v>
      </c>
      <c r="CT1299">
        <v>2</v>
      </c>
      <c r="CU1299">
        <v>0</v>
      </c>
      <c r="CV1299">
        <v>2</v>
      </c>
      <c r="CW1299">
        <v>0</v>
      </c>
      <c r="CX1299">
        <v>6</v>
      </c>
      <c r="CY1299">
        <v>7</v>
      </c>
      <c r="CZ1299" t="s">
        <v>131</v>
      </c>
      <c r="DA1299">
        <v>300</v>
      </c>
      <c r="DB1299">
        <v>0</v>
      </c>
      <c r="DC1299" t="s">
        <v>176</v>
      </c>
      <c r="DD1299" t="s">
        <v>177</v>
      </c>
      <c r="DG1299">
        <v>5383699</v>
      </c>
      <c r="DI1299">
        <v>1</v>
      </c>
      <c r="DJ1299">
        <v>0</v>
      </c>
      <c r="DK1299">
        <v>1</v>
      </c>
      <c r="DL1299">
        <v>0</v>
      </c>
      <c r="DM1299">
        <v>0</v>
      </c>
      <c r="DN1299">
        <v>1</v>
      </c>
      <c r="DO1299">
        <v>0</v>
      </c>
      <c r="DP1299">
        <v>0</v>
      </c>
      <c r="DQ1299">
        <v>0</v>
      </c>
      <c r="DR1299">
        <v>0</v>
      </c>
      <c r="DS1299">
        <v>0</v>
      </c>
    </row>
    <row r="1300" spans="1:123" x14ac:dyDescent="0.3">
      <c r="A1300" t="str">
        <f t="shared" si="448"/>
        <v>10/04/2022 19:29:03.687</v>
      </c>
      <c r="C1300" t="str">
        <f t="shared" si="438"/>
        <v>FFDDD3C0</v>
      </c>
      <c r="D1300" t="s">
        <v>141</v>
      </c>
      <c r="E1300">
        <v>4</v>
      </c>
      <c r="H1300">
        <v>4</v>
      </c>
      <c r="I1300" t="s">
        <v>142</v>
      </c>
      <c r="J1300" t="s">
        <v>138</v>
      </c>
      <c r="K1300">
        <v>0</v>
      </c>
      <c r="L1300">
        <v>3</v>
      </c>
      <c r="M1300">
        <v>0</v>
      </c>
      <c r="N1300">
        <v>2</v>
      </c>
      <c r="O1300">
        <v>0</v>
      </c>
      <c r="P1300">
        <v>1</v>
      </c>
      <c r="Q1300">
        <v>0</v>
      </c>
      <c r="S1300" t="str">
        <f t="shared" si="449"/>
        <v>19:29:03.000</v>
      </c>
      <c r="T1300" t="str">
        <f t="shared" si="449"/>
        <v>19:29:03.000</v>
      </c>
      <c r="U1300" t="str">
        <f t="shared" si="443"/>
        <v>AC3944</v>
      </c>
      <c r="V1300">
        <v>0</v>
      </c>
      <c r="W1300">
        <v>0</v>
      </c>
      <c r="X1300">
        <v>2</v>
      </c>
      <c r="Y1300">
        <v>0</v>
      </c>
      <c r="AA1300">
        <v>1</v>
      </c>
      <c r="AB1300">
        <v>8</v>
      </c>
      <c r="AC1300">
        <v>3</v>
      </c>
      <c r="AD1300">
        <v>0</v>
      </c>
      <c r="AE1300">
        <v>9</v>
      </c>
      <c r="AF1300" t="s">
        <v>138</v>
      </c>
      <c r="AG1300">
        <v>0</v>
      </c>
      <c r="AH1300">
        <v>3</v>
      </c>
      <c r="AI1300">
        <v>1</v>
      </c>
      <c r="AJ1300">
        <v>0</v>
      </c>
      <c r="AK1300" t="s">
        <v>504</v>
      </c>
      <c r="AL1300">
        <v>32.805861999999998</v>
      </c>
      <c r="AM1300" t="s">
        <v>505</v>
      </c>
      <c r="AN1300">
        <v>-116.899917</v>
      </c>
      <c r="AO1300">
        <v>25</v>
      </c>
      <c r="AP1300">
        <v>2400</v>
      </c>
      <c r="AQ1300" t="s">
        <v>129</v>
      </c>
      <c r="AR1300">
        <v>116</v>
      </c>
      <c r="AS1300">
        <v>-25</v>
      </c>
      <c r="AT1300">
        <v>64</v>
      </c>
      <c r="BB1300">
        <v>1200</v>
      </c>
      <c r="BC1300">
        <v>1</v>
      </c>
      <c r="BD1300" t="str">
        <f t="shared" si="444"/>
        <v xml:space="preserve">N887QR  </v>
      </c>
      <c r="BE1300">
        <v>1</v>
      </c>
      <c r="BJ1300">
        <v>2125</v>
      </c>
      <c r="BK1300">
        <v>-275</v>
      </c>
      <c r="BL1300" t="s">
        <v>163</v>
      </c>
      <c r="BM1300">
        <v>1</v>
      </c>
      <c r="BN1300">
        <v>1</v>
      </c>
      <c r="BO1300">
        <v>1</v>
      </c>
      <c r="BP1300">
        <v>0</v>
      </c>
      <c r="BS1300">
        <v>0</v>
      </c>
      <c r="BT1300">
        <v>0</v>
      </c>
      <c r="BU1300">
        <v>0</v>
      </c>
      <c r="CE1300" t="str">
        <f t="shared" si="450"/>
        <v>19:29:03.481</v>
      </c>
      <c r="CF1300">
        <v>481112743</v>
      </c>
      <c r="CS1300">
        <v>3</v>
      </c>
      <c r="CT1300">
        <v>2</v>
      </c>
      <c r="CU1300">
        <v>0</v>
      </c>
      <c r="CV1300">
        <v>2</v>
      </c>
      <c r="CW1300">
        <v>0</v>
      </c>
      <c r="CX1300">
        <v>6</v>
      </c>
      <c r="CY1300">
        <v>7</v>
      </c>
      <c r="CZ1300" t="s">
        <v>131</v>
      </c>
      <c r="DA1300">
        <v>300</v>
      </c>
      <c r="DB1300">
        <v>0</v>
      </c>
      <c r="DC1300" t="s">
        <v>176</v>
      </c>
      <c r="DD1300" t="s">
        <v>177</v>
      </c>
      <c r="DG1300">
        <v>5383699</v>
      </c>
      <c r="DI1300">
        <v>1</v>
      </c>
      <c r="DJ1300">
        <v>0</v>
      </c>
      <c r="DK1300">
        <v>1</v>
      </c>
      <c r="DL1300">
        <v>0</v>
      </c>
      <c r="DM1300">
        <v>0</v>
      </c>
      <c r="DN1300">
        <v>1</v>
      </c>
      <c r="DO1300">
        <v>0</v>
      </c>
      <c r="DP1300">
        <v>0</v>
      </c>
      <c r="DQ1300">
        <v>0</v>
      </c>
      <c r="DR1300">
        <v>0</v>
      </c>
      <c r="DS1300">
        <v>0</v>
      </c>
    </row>
    <row r="1301" spans="1:123" x14ac:dyDescent="0.3">
      <c r="A1301" t="str">
        <f t="shared" si="448"/>
        <v>10/04/2022 19:29:03.687</v>
      </c>
      <c r="C1301" t="str">
        <f t="shared" si="438"/>
        <v>FFDDD3C0</v>
      </c>
      <c r="D1301" t="s">
        <v>147</v>
      </c>
      <c r="E1301">
        <v>3</v>
      </c>
      <c r="H1301">
        <v>166</v>
      </c>
      <c r="I1301" t="s">
        <v>144</v>
      </c>
      <c r="J1301" t="s">
        <v>148</v>
      </c>
      <c r="K1301">
        <v>0</v>
      </c>
      <c r="L1301">
        <v>3</v>
      </c>
      <c r="M1301">
        <v>0</v>
      </c>
      <c r="N1301">
        <v>2</v>
      </c>
      <c r="O1301">
        <v>0</v>
      </c>
      <c r="P1301">
        <v>1</v>
      </c>
      <c r="Q1301">
        <v>0</v>
      </c>
      <c r="S1301" t="str">
        <f t="shared" si="449"/>
        <v>19:29:03.000</v>
      </c>
      <c r="T1301" t="str">
        <f t="shared" si="449"/>
        <v>19:29:03.000</v>
      </c>
      <c r="U1301" t="str">
        <f t="shared" si="443"/>
        <v>AC3944</v>
      </c>
      <c r="V1301">
        <v>0</v>
      </c>
      <c r="W1301">
        <v>0</v>
      </c>
      <c r="X1301">
        <v>2</v>
      </c>
      <c r="Y1301">
        <v>0</v>
      </c>
      <c r="AA1301">
        <v>1</v>
      </c>
      <c r="AB1301">
        <v>8</v>
      </c>
      <c r="AC1301">
        <v>3</v>
      </c>
      <c r="AD1301">
        <v>0</v>
      </c>
      <c r="AE1301">
        <v>9</v>
      </c>
      <c r="AF1301" t="s">
        <v>138</v>
      </c>
      <c r="AG1301">
        <v>0</v>
      </c>
      <c r="AH1301">
        <v>3</v>
      </c>
      <c r="AI1301">
        <v>1</v>
      </c>
      <c r="AJ1301">
        <v>0</v>
      </c>
      <c r="AK1301" t="s">
        <v>504</v>
      </c>
      <c r="AL1301">
        <v>32.805861999999998</v>
      </c>
      <c r="AM1301" t="s">
        <v>505</v>
      </c>
      <c r="AN1301">
        <v>-116.899917</v>
      </c>
      <c r="AO1301">
        <v>25</v>
      </c>
      <c r="AP1301">
        <v>2400</v>
      </c>
      <c r="AQ1301" t="s">
        <v>129</v>
      </c>
      <c r="AR1301">
        <v>116</v>
      </c>
      <c r="AS1301">
        <v>-25</v>
      </c>
      <c r="AT1301">
        <v>64</v>
      </c>
      <c r="BB1301">
        <v>1200</v>
      </c>
      <c r="BC1301">
        <v>1</v>
      </c>
      <c r="BD1301" t="str">
        <f t="shared" si="444"/>
        <v xml:space="preserve">N887QR  </v>
      </c>
      <c r="BE1301">
        <v>1</v>
      </c>
      <c r="BJ1301">
        <v>2125</v>
      </c>
      <c r="BK1301">
        <v>-275</v>
      </c>
      <c r="BL1301" t="s">
        <v>163</v>
      </c>
      <c r="BM1301">
        <v>1</v>
      </c>
      <c r="BN1301">
        <v>1</v>
      </c>
      <c r="BO1301">
        <v>1</v>
      </c>
      <c r="BP1301">
        <v>0</v>
      </c>
      <c r="BS1301">
        <v>0</v>
      </c>
      <c r="BT1301">
        <v>0</v>
      </c>
      <c r="BU1301">
        <v>0</v>
      </c>
      <c r="CE1301" t="str">
        <f t="shared" si="450"/>
        <v>19:29:03.481</v>
      </c>
      <c r="CF1301">
        <v>481112743</v>
      </c>
      <c r="CS1301">
        <v>3</v>
      </c>
      <c r="CT1301">
        <v>2</v>
      </c>
      <c r="CU1301">
        <v>0</v>
      </c>
      <c r="CV1301">
        <v>2</v>
      </c>
      <c r="CW1301">
        <v>0</v>
      </c>
      <c r="CX1301">
        <v>6</v>
      </c>
      <c r="CY1301">
        <v>7</v>
      </c>
      <c r="CZ1301" t="s">
        <v>131</v>
      </c>
      <c r="DA1301">
        <v>300</v>
      </c>
      <c r="DB1301">
        <v>0</v>
      </c>
      <c r="DC1301" t="s">
        <v>176</v>
      </c>
      <c r="DD1301" t="s">
        <v>177</v>
      </c>
      <c r="DG1301">
        <v>5383699</v>
      </c>
      <c r="DI1301">
        <v>1</v>
      </c>
      <c r="DJ1301">
        <v>0</v>
      </c>
      <c r="DK1301">
        <v>1</v>
      </c>
      <c r="DL1301">
        <v>0</v>
      </c>
      <c r="DM1301">
        <v>0</v>
      </c>
      <c r="DN1301">
        <v>1</v>
      </c>
      <c r="DO1301">
        <v>0</v>
      </c>
      <c r="DP1301">
        <v>0</v>
      </c>
      <c r="DQ1301">
        <v>0</v>
      </c>
      <c r="DR1301">
        <v>0</v>
      </c>
      <c r="DS1301">
        <v>0</v>
      </c>
    </row>
    <row r="1302" spans="1:123" x14ac:dyDescent="0.3">
      <c r="A1302" t="str">
        <f t="shared" si="448"/>
        <v>10/04/2022 19:29:03.687</v>
      </c>
      <c r="C1302" t="str">
        <f t="shared" si="438"/>
        <v>FFDDD3C0</v>
      </c>
      <c r="D1302" t="s">
        <v>141</v>
      </c>
      <c r="E1302">
        <v>3</v>
      </c>
      <c r="H1302">
        <v>3</v>
      </c>
      <c r="I1302" t="s">
        <v>146</v>
      </c>
      <c r="J1302" t="s">
        <v>138</v>
      </c>
      <c r="K1302">
        <v>0</v>
      </c>
      <c r="L1302">
        <v>3</v>
      </c>
      <c r="M1302">
        <v>0</v>
      </c>
      <c r="N1302">
        <v>2</v>
      </c>
      <c r="O1302">
        <v>0</v>
      </c>
      <c r="P1302">
        <v>1</v>
      </c>
      <c r="Q1302">
        <v>0</v>
      </c>
      <c r="S1302" t="str">
        <f t="shared" si="449"/>
        <v>19:29:03.000</v>
      </c>
      <c r="T1302" t="str">
        <f t="shared" si="449"/>
        <v>19:29:03.000</v>
      </c>
      <c r="U1302" t="str">
        <f t="shared" si="443"/>
        <v>AC3944</v>
      </c>
      <c r="V1302">
        <v>0</v>
      </c>
      <c r="W1302">
        <v>0</v>
      </c>
      <c r="X1302">
        <v>2</v>
      </c>
      <c r="Y1302">
        <v>0</v>
      </c>
      <c r="AA1302">
        <v>1</v>
      </c>
      <c r="AB1302">
        <v>8</v>
      </c>
      <c r="AC1302">
        <v>3</v>
      </c>
      <c r="AD1302">
        <v>0</v>
      </c>
      <c r="AE1302">
        <v>9</v>
      </c>
      <c r="AF1302" t="s">
        <v>138</v>
      </c>
      <c r="AG1302">
        <v>0</v>
      </c>
      <c r="AH1302">
        <v>3</v>
      </c>
      <c r="AI1302">
        <v>1</v>
      </c>
      <c r="AJ1302">
        <v>0</v>
      </c>
      <c r="AK1302" t="s">
        <v>504</v>
      </c>
      <c r="AL1302">
        <v>32.805861999999998</v>
      </c>
      <c r="AM1302" t="s">
        <v>505</v>
      </c>
      <c r="AN1302">
        <v>-116.899917</v>
      </c>
      <c r="AO1302">
        <v>25</v>
      </c>
      <c r="AP1302">
        <v>2400</v>
      </c>
      <c r="AQ1302" t="s">
        <v>129</v>
      </c>
      <c r="AR1302">
        <v>116</v>
      </c>
      <c r="AS1302">
        <v>-25</v>
      </c>
      <c r="AT1302">
        <v>64</v>
      </c>
      <c r="BB1302">
        <v>1200</v>
      </c>
      <c r="BC1302">
        <v>1</v>
      </c>
      <c r="BD1302" t="str">
        <f t="shared" si="444"/>
        <v xml:space="preserve">N887QR  </v>
      </c>
      <c r="BE1302">
        <v>1</v>
      </c>
      <c r="BJ1302">
        <v>2125</v>
      </c>
      <c r="BK1302">
        <v>-275</v>
      </c>
      <c r="BL1302" t="s">
        <v>163</v>
      </c>
      <c r="BM1302">
        <v>1</v>
      </c>
      <c r="BN1302">
        <v>1</v>
      </c>
      <c r="BO1302">
        <v>1</v>
      </c>
      <c r="BP1302">
        <v>0</v>
      </c>
      <c r="BS1302">
        <v>0</v>
      </c>
      <c r="BT1302">
        <v>0</v>
      </c>
      <c r="BU1302">
        <v>0</v>
      </c>
      <c r="CE1302" t="str">
        <f t="shared" si="450"/>
        <v>19:29:03.481</v>
      </c>
      <c r="CF1302">
        <v>481112743</v>
      </c>
      <c r="CS1302">
        <v>3</v>
      </c>
      <c r="CT1302">
        <v>2</v>
      </c>
      <c r="CU1302">
        <v>0</v>
      </c>
      <c r="CV1302">
        <v>2</v>
      </c>
      <c r="CW1302">
        <v>0</v>
      </c>
      <c r="CX1302">
        <v>6</v>
      </c>
      <c r="CY1302">
        <v>7</v>
      </c>
      <c r="CZ1302" t="s">
        <v>131</v>
      </c>
      <c r="DA1302">
        <v>300</v>
      </c>
      <c r="DB1302">
        <v>0</v>
      </c>
      <c r="DC1302" t="s">
        <v>176</v>
      </c>
      <c r="DD1302" t="s">
        <v>177</v>
      </c>
      <c r="DG1302">
        <v>5383699</v>
      </c>
      <c r="DI1302">
        <v>1</v>
      </c>
      <c r="DJ1302">
        <v>0</v>
      </c>
      <c r="DK1302">
        <v>1</v>
      </c>
      <c r="DL1302">
        <v>0</v>
      </c>
      <c r="DM1302">
        <v>0</v>
      </c>
      <c r="DN1302">
        <v>1</v>
      </c>
      <c r="DO1302">
        <v>0</v>
      </c>
      <c r="DP1302">
        <v>0</v>
      </c>
      <c r="DQ1302">
        <v>0</v>
      </c>
      <c r="DR1302">
        <v>0</v>
      </c>
      <c r="DS1302">
        <v>0</v>
      </c>
    </row>
    <row r="1303" spans="1:123" x14ac:dyDescent="0.3">
      <c r="A1303" t="str">
        <f>"10/04/2022 19:29:04.624"</f>
        <v>10/04/2022 19:29:04.624</v>
      </c>
      <c r="C1303" t="str">
        <f t="shared" si="438"/>
        <v>FFDDD3C0</v>
      </c>
      <c r="D1303" t="s">
        <v>123</v>
      </c>
      <c r="E1303">
        <v>7</v>
      </c>
      <c r="F1303">
        <v>2007</v>
      </c>
      <c r="G1303" t="s">
        <v>124</v>
      </c>
      <c r="J1303" t="s">
        <v>125</v>
      </c>
      <c r="K1303">
        <v>0</v>
      </c>
      <c r="L1303">
        <v>3</v>
      </c>
      <c r="M1303">
        <v>0</v>
      </c>
      <c r="N1303">
        <v>2</v>
      </c>
      <c r="O1303">
        <v>0</v>
      </c>
      <c r="P1303">
        <v>1</v>
      </c>
      <c r="Q1303">
        <v>0</v>
      </c>
      <c r="S1303" t="str">
        <f t="shared" ref="S1303:T1309" si="451">"19:29:04.000"</f>
        <v>19:29:04.000</v>
      </c>
      <c r="T1303" t="str">
        <f t="shared" si="451"/>
        <v>19:29:04.000</v>
      </c>
      <c r="U1303" t="str">
        <f t="shared" si="443"/>
        <v>AC3944</v>
      </c>
      <c r="V1303">
        <v>0</v>
      </c>
      <c r="W1303">
        <v>0</v>
      </c>
      <c r="X1303">
        <v>2</v>
      </c>
      <c r="Y1303">
        <v>0</v>
      </c>
      <c r="AA1303">
        <v>1</v>
      </c>
      <c r="AB1303">
        <v>8</v>
      </c>
      <c r="AC1303">
        <v>3</v>
      </c>
      <c r="AD1303">
        <v>0</v>
      </c>
      <c r="AE1303">
        <v>9</v>
      </c>
      <c r="AF1303" t="s">
        <v>138</v>
      </c>
      <c r="AG1303">
        <v>0</v>
      </c>
      <c r="AH1303">
        <v>3</v>
      </c>
      <c r="AI1303">
        <v>1</v>
      </c>
      <c r="AJ1303">
        <v>0</v>
      </c>
      <c r="AK1303" t="s">
        <v>506</v>
      </c>
      <c r="AL1303">
        <v>32.805754999999998</v>
      </c>
      <c r="AM1303" t="s">
        <v>507</v>
      </c>
      <c r="AN1303">
        <v>-116.899295</v>
      </c>
      <c r="AO1303">
        <v>25</v>
      </c>
      <c r="AP1303">
        <v>2400</v>
      </c>
      <c r="AQ1303" t="s">
        <v>129</v>
      </c>
      <c r="AR1303">
        <v>114</v>
      </c>
      <c r="AS1303">
        <v>-29</v>
      </c>
      <c r="AT1303">
        <v>128</v>
      </c>
      <c r="BB1303">
        <v>1200</v>
      </c>
      <c r="BC1303">
        <v>1</v>
      </c>
      <c r="BD1303" t="str">
        <f t="shared" si="444"/>
        <v xml:space="preserve">N887QR  </v>
      </c>
      <c r="BE1303">
        <v>1</v>
      </c>
      <c r="BJ1303">
        <v>2125</v>
      </c>
      <c r="BK1303">
        <v>-275</v>
      </c>
      <c r="BL1303" t="s">
        <v>163</v>
      </c>
      <c r="BM1303">
        <v>1</v>
      </c>
      <c r="BN1303">
        <v>1</v>
      </c>
      <c r="BO1303">
        <v>1</v>
      </c>
      <c r="BP1303">
        <v>0</v>
      </c>
      <c r="BS1303">
        <v>0</v>
      </c>
      <c r="BT1303">
        <v>0</v>
      </c>
      <c r="BU1303">
        <v>0</v>
      </c>
      <c r="CE1303" t="str">
        <f t="shared" ref="CE1303:CE1309" si="452">"19:29:04.450"</f>
        <v>19:29:04.450</v>
      </c>
      <c r="CF1303">
        <v>449615897</v>
      </c>
      <c r="CS1303">
        <v>3</v>
      </c>
      <c r="CT1303">
        <v>2</v>
      </c>
      <c r="CU1303">
        <v>0</v>
      </c>
      <c r="CV1303">
        <v>2</v>
      </c>
      <c r="CW1303">
        <v>0</v>
      </c>
      <c r="CX1303">
        <v>6</v>
      </c>
      <c r="CY1303">
        <v>7</v>
      </c>
      <c r="CZ1303" t="s">
        <v>131</v>
      </c>
      <c r="DA1303">
        <v>300</v>
      </c>
      <c r="DB1303">
        <v>0</v>
      </c>
      <c r="DC1303" t="s">
        <v>176</v>
      </c>
      <c r="DD1303" t="s">
        <v>177</v>
      </c>
      <c r="DG1303">
        <v>5383851</v>
      </c>
      <c r="DI1303">
        <v>1</v>
      </c>
      <c r="DJ1303">
        <v>0</v>
      </c>
      <c r="DK1303">
        <v>0</v>
      </c>
      <c r="DL1303">
        <v>0</v>
      </c>
      <c r="DM1303">
        <v>0</v>
      </c>
      <c r="DN1303">
        <v>1</v>
      </c>
      <c r="DO1303">
        <v>0</v>
      </c>
      <c r="DP1303">
        <v>0</v>
      </c>
      <c r="DQ1303">
        <v>0</v>
      </c>
      <c r="DR1303">
        <v>0</v>
      </c>
      <c r="DS1303">
        <v>0</v>
      </c>
    </row>
    <row r="1304" spans="1:123" x14ac:dyDescent="0.3">
      <c r="A1304" t="str">
        <f t="shared" ref="A1304:A1309" si="453">"10/04/2022 19:29:04.686"</f>
        <v>10/04/2022 19:29:04.686</v>
      </c>
      <c r="C1304" t="str">
        <f t="shared" si="438"/>
        <v>FFDDD3C0</v>
      </c>
      <c r="D1304" t="s">
        <v>141</v>
      </c>
      <c r="E1304">
        <v>4</v>
      </c>
      <c r="H1304">
        <v>4</v>
      </c>
      <c r="I1304" t="s">
        <v>142</v>
      </c>
      <c r="J1304" t="s">
        <v>138</v>
      </c>
      <c r="K1304">
        <v>0</v>
      </c>
      <c r="L1304">
        <v>3</v>
      </c>
      <c r="M1304">
        <v>0</v>
      </c>
      <c r="N1304">
        <v>2</v>
      </c>
      <c r="O1304">
        <v>0</v>
      </c>
      <c r="P1304">
        <v>1</v>
      </c>
      <c r="Q1304">
        <v>0</v>
      </c>
      <c r="S1304" t="str">
        <f t="shared" si="451"/>
        <v>19:29:04.000</v>
      </c>
      <c r="T1304" t="str">
        <f t="shared" si="451"/>
        <v>19:29:04.000</v>
      </c>
      <c r="U1304" t="str">
        <f t="shared" si="443"/>
        <v>AC3944</v>
      </c>
      <c r="V1304">
        <v>0</v>
      </c>
      <c r="W1304">
        <v>0</v>
      </c>
      <c r="X1304">
        <v>2</v>
      </c>
      <c r="Y1304">
        <v>0</v>
      </c>
      <c r="AA1304">
        <v>1</v>
      </c>
      <c r="AB1304">
        <v>8</v>
      </c>
      <c r="AC1304">
        <v>3</v>
      </c>
      <c r="AD1304">
        <v>0</v>
      </c>
      <c r="AE1304">
        <v>9</v>
      </c>
      <c r="AF1304" t="s">
        <v>138</v>
      </c>
      <c r="AG1304">
        <v>0</v>
      </c>
      <c r="AH1304">
        <v>3</v>
      </c>
      <c r="AI1304">
        <v>1</v>
      </c>
      <c r="AJ1304">
        <v>0</v>
      </c>
      <c r="AK1304" t="s">
        <v>506</v>
      </c>
      <c r="AL1304">
        <v>32.805754999999998</v>
      </c>
      <c r="AM1304" t="s">
        <v>507</v>
      </c>
      <c r="AN1304">
        <v>-116.899295</v>
      </c>
      <c r="AO1304">
        <v>25</v>
      </c>
      <c r="AP1304">
        <v>2400</v>
      </c>
      <c r="AQ1304" t="s">
        <v>129</v>
      </c>
      <c r="AR1304">
        <v>114</v>
      </c>
      <c r="AS1304">
        <v>-29</v>
      </c>
      <c r="AT1304">
        <v>128</v>
      </c>
      <c r="BB1304">
        <v>1200</v>
      </c>
      <c r="BC1304">
        <v>1</v>
      </c>
      <c r="BD1304" t="str">
        <f t="shared" si="444"/>
        <v xml:space="preserve">N887QR  </v>
      </c>
      <c r="BE1304">
        <v>1</v>
      </c>
      <c r="BJ1304">
        <v>2125</v>
      </c>
      <c r="BK1304">
        <v>-275</v>
      </c>
      <c r="BL1304" t="s">
        <v>163</v>
      </c>
      <c r="BM1304">
        <v>1</v>
      </c>
      <c r="BN1304">
        <v>1</v>
      </c>
      <c r="BO1304">
        <v>1</v>
      </c>
      <c r="BP1304">
        <v>0</v>
      </c>
      <c r="BS1304">
        <v>0</v>
      </c>
      <c r="BT1304">
        <v>0</v>
      </c>
      <c r="BU1304">
        <v>0</v>
      </c>
      <c r="CE1304" t="str">
        <f t="shared" si="452"/>
        <v>19:29:04.450</v>
      </c>
      <c r="CF1304">
        <v>449615897</v>
      </c>
      <c r="CS1304">
        <v>3</v>
      </c>
      <c r="CT1304">
        <v>2</v>
      </c>
      <c r="CU1304">
        <v>0</v>
      </c>
      <c r="CV1304">
        <v>2</v>
      </c>
      <c r="CW1304">
        <v>0</v>
      </c>
      <c r="CX1304">
        <v>6</v>
      </c>
      <c r="CY1304">
        <v>7</v>
      </c>
      <c r="CZ1304" t="s">
        <v>131</v>
      </c>
      <c r="DA1304">
        <v>300</v>
      </c>
      <c r="DB1304">
        <v>0</v>
      </c>
      <c r="DC1304" t="s">
        <v>176</v>
      </c>
      <c r="DD1304" t="s">
        <v>177</v>
      </c>
      <c r="DG1304">
        <v>5383851</v>
      </c>
      <c r="DI1304">
        <v>1</v>
      </c>
      <c r="DJ1304">
        <v>0</v>
      </c>
      <c r="DK1304">
        <v>1</v>
      </c>
      <c r="DL1304">
        <v>0</v>
      </c>
      <c r="DM1304">
        <v>0</v>
      </c>
      <c r="DN1304">
        <v>1</v>
      </c>
      <c r="DO1304">
        <v>0</v>
      </c>
      <c r="DP1304">
        <v>0</v>
      </c>
      <c r="DQ1304">
        <v>0</v>
      </c>
      <c r="DR1304">
        <v>0</v>
      </c>
      <c r="DS1304">
        <v>0</v>
      </c>
    </row>
    <row r="1305" spans="1:123" x14ac:dyDescent="0.3">
      <c r="A1305" t="str">
        <f t="shared" si="453"/>
        <v>10/04/2022 19:29:04.686</v>
      </c>
      <c r="C1305" t="str">
        <f t="shared" si="438"/>
        <v>FFDDD3C0</v>
      </c>
      <c r="D1305" t="s">
        <v>147</v>
      </c>
      <c r="E1305">
        <v>3</v>
      </c>
      <c r="H1305">
        <v>166</v>
      </c>
      <c r="I1305" t="s">
        <v>144</v>
      </c>
      <c r="J1305" t="s">
        <v>148</v>
      </c>
      <c r="K1305">
        <v>0</v>
      </c>
      <c r="L1305">
        <v>3</v>
      </c>
      <c r="M1305">
        <v>0</v>
      </c>
      <c r="N1305">
        <v>2</v>
      </c>
      <c r="O1305">
        <v>0</v>
      </c>
      <c r="P1305">
        <v>1</v>
      </c>
      <c r="Q1305">
        <v>0</v>
      </c>
      <c r="S1305" t="str">
        <f t="shared" si="451"/>
        <v>19:29:04.000</v>
      </c>
      <c r="T1305" t="str">
        <f t="shared" si="451"/>
        <v>19:29:04.000</v>
      </c>
      <c r="U1305" t="str">
        <f t="shared" si="443"/>
        <v>AC3944</v>
      </c>
      <c r="V1305">
        <v>0</v>
      </c>
      <c r="W1305">
        <v>0</v>
      </c>
      <c r="X1305">
        <v>2</v>
      </c>
      <c r="Y1305">
        <v>0</v>
      </c>
      <c r="AA1305">
        <v>1</v>
      </c>
      <c r="AB1305">
        <v>8</v>
      </c>
      <c r="AC1305">
        <v>3</v>
      </c>
      <c r="AD1305">
        <v>0</v>
      </c>
      <c r="AE1305">
        <v>9</v>
      </c>
      <c r="AF1305" t="s">
        <v>138</v>
      </c>
      <c r="AG1305">
        <v>0</v>
      </c>
      <c r="AH1305">
        <v>3</v>
      </c>
      <c r="AI1305">
        <v>1</v>
      </c>
      <c r="AJ1305">
        <v>0</v>
      </c>
      <c r="AK1305" t="s">
        <v>506</v>
      </c>
      <c r="AL1305">
        <v>32.805754999999998</v>
      </c>
      <c r="AM1305" t="s">
        <v>507</v>
      </c>
      <c r="AN1305">
        <v>-116.899295</v>
      </c>
      <c r="AO1305">
        <v>25</v>
      </c>
      <c r="AP1305">
        <v>2400</v>
      </c>
      <c r="AQ1305" t="s">
        <v>129</v>
      </c>
      <c r="AR1305">
        <v>114</v>
      </c>
      <c r="AS1305">
        <v>-29</v>
      </c>
      <c r="AT1305">
        <v>128</v>
      </c>
      <c r="BB1305">
        <v>1200</v>
      </c>
      <c r="BC1305">
        <v>1</v>
      </c>
      <c r="BD1305" t="str">
        <f t="shared" si="444"/>
        <v xml:space="preserve">N887QR  </v>
      </c>
      <c r="BE1305">
        <v>1</v>
      </c>
      <c r="BJ1305">
        <v>2125</v>
      </c>
      <c r="BK1305">
        <v>-275</v>
      </c>
      <c r="BL1305" t="s">
        <v>163</v>
      </c>
      <c r="BM1305">
        <v>1</v>
      </c>
      <c r="BN1305">
        <v>1</v>
      </c>
      <c r="BO1305">
        <v>1</v>
      </c>
      <c r="BP1305">
        <v>0</v>
      </c>
      <c r="BS1305">
        <v>0</v>
      </c>
      <c r="BT1305">
        <v>0</v>
      </c>
      <c r="BU1305">
        <v>0</v>
      </c>
      <c r="CE1305" t="str">
        <f t="shared" si="452"/>
        <v>19:29:04.450</v>
      </c>
      <c r="CF1305">
        <v>449615897</v>
      </c>
      <c r="CS1305">
        <v>3</v>
      </c>
      <c r="CT1305">
        <v>2</v>
      </c>
      <c r="CU1305">
        <v>0</v>
      </c>
      <c r="CV1305">
        <v>2</v>
      </c>
      <c r="CW1305">
        <v>0</v>
      </c>
      <c r="CX1305">
        <v>6</v>
      </c>
      <c r="CY1305">
        <v>7</v>
      </c>
      <c r="CZ1305" t="s">
        <v>131</v>
      </c>
      <c r="DA1305">
        <v>300</v>
      </c>
      <c r="DB1305">
        <v>0</v>
      </c>
      <c r="DC1305" t="s">
        <v>176</v>
      </c>
      <c r="DD1305" t="s">
        <v>177</v>
      </c>
      <c r="DG1305">
        <v>5383851</v>
      </c>
      <c r="DI1305">
        <v>1</v>
      </c>
      <c r="DJ1305">
        <v>0</v>
      </c>
      <c r="DK1305">
        <v>1</v>
      </c>
      <c r="DL1305">
        <v>0</v>
      </c>
      <c r="DM1305">
        <v>0</v>
      </c>
      <c r="DN1305">
        <v>1</v>
      </c>
      <c r="DO1305">
        <v>0</v>
      </c>
      <c r="DP1305">
        <v>0</v>
      </c>
      <c r="DQ1305">
        <v>0</v>
      </c>
      <c r="DR1305">
        <v>0</v>
      </c>
      <c r="DS1305">
        <v>0</v>
      </c>
    </row>
    <row r="1306" spans="1:123" x14ac:dyDescent="0.3">
      <c r="A1306" t="str">
        <f t="shared" si="453"/>
        <v>10/04/2022 19:29:04.686</v>
      </c>
      <c r="C1306" t="str">
        <f t="shared" si="438"/>
        <v>FFDDD3C0</v>
      </c>
      <c r="D1306" t="s">
        <v>141</v>
      </c>
      <c r="E1306">
        <v>3</v>
      </c>
      <c r="H1306">
        <v>3</v>
      </c>
      <c r="I1306" t="s">
        <v>146</v>
      </c>
      <c r="J1306" t="s">
        <v>138</v>
      </c>
      <c r="K1306">
        <v>0</v>
      </c>
      <c r="L1306">
        <v>3</v>
      </c>
      <c r="M1306">
        <v>0</v>
      </c>
      <c r="N1306">
        <v>2</v>
      </c>
      <c r="O1306">
        <v>0</v>
      </c>
      <c r="P1306">
        <v>1</v>
      </c>
      <c r="Q1306">
        <v>0</v>
      </c>
      <c r="S1306" t="str">
        <f t="shared" si="451"/>
        <v>19:29:04.000</v>
      </c>
      <c r="T1306" t="str">
        <f t="shared" si="451"/>
        <v>19:29:04.000</v>
      </c>
      <c r="U1306" t="str">
        <f t="shared" si="443"/>
        <v>AC3944</v>
      </c>
      <c r="V1306">
        <v>0</v>
      </c>
      <c r="W1306">
        <v>0</v>
      </c>
      <c r="X1306">
        <v>2</v>
      </c>
      <c r="Y1306">
        <v>0</v>
      </c>
      <c r="AA1306">
        <v>1</v>
      </c>
      <c r="AB1306">
        <v>8</v>
      </c>
      <c r="AC1306">
        <v>3</v>
      </c>
      <c r="AD1306">
        <v>0</v>
      </c>
      <c r="AE1306">
        <v>9</v>
      </c>
      <c r="AF1306" t="s">
        <v>138</v>
      </c>
      <c r="AG1306">
        <v>0</v>
      </c>
      <c r="AH1306">
        <v>3</v>
      </c>
      <c r="AI1306">
        <v>1</v>
      </c>
      <c r="AJ1306">
        <v>0</v>
      </c>
      <c r="AK1306" t="s">
        <v>506</v>
      </c>
      <c r="AL1306">
        <v>32.805754999999998</v>
      </c>
      <c r="AM1306" t="s">
        <v>507</v>
      </c>
      <c r="AN1306">
        <v>-116.899295</v>
      </c>
      <c r="AO1306">
        <v>25</v>
      </c>
      <c r="AP1306">
        <v>2400</v>
      </c>
      <c r="AQ1306" t="s">
        <v>129</v>
      </c>
      <c r="AR1306">
        <v>114</v>
      </c>
      <c r="AS1306">
        <v>-29</v>
      </c>
      <c r="AT1306">
        <v>128</v>
      </c>
      <c r="BB1306">
        <v>1200</v>
      </c>
      <c r="BC1306">
        <v>1</v>
      </c>
      <c r="BD1306" t="str">
        <f t="shared" si="444"/>
        <v xml:space="preserve">N887QR  </v>
      </c>
      <c r="BE1306">
        <v>1</v>
      </c>
      <c r="BJ1306">
        <v>2125</v>
      </c>
      <c r="BK1306">
        <v>-275</v>
      </c>
      <c r="BL1306" t="s">
        <v>163</v>
      </c>
      <c r="BM1306">
        <v>1</v>
      </c>
      <c r="BN1306">
        <v>1</v>
      </c>
      <c r="BO1306">
        <v>1</v>
      </c>
      <c r="BP1306">
        <v>0</v>
      </c>
      <c r="BS1306">
        <v>0</v>
      </c>
      <c r="BT1306">
        <v>0</v>
      </c>
      <c r="BU1306">
        <v>0</v>
      </c>
      <c r="CE1306" t="str">
        <f t="shared" si="452"/>
        <v>19:29:04.450</v>
      </c>
      <c r="CF1306">
        <v>449615897</v>
      </c>
      <c r="CS1306">
        <v>3</v>
      </c>
      <c r="CT1306">
        <v>2</v>
      </c>
      <c r="CU1306">
        <v>0</v>
      </c>
      <c r="CV1306">
        <v>2</v>
      </c>
      <c r="CW1306">
        <v>0</v>
      </c>
      <c r="CX1306">
        <v>6</v>
      </c>
      <c r="CY1306">
        <v>7</v>
      </c>
      <c r="CZ1306" t="s">
        <v>131</v>
      </c>
      <c r="DA1306">
        <v>300</v>
      </c>
      <c r="DB1306">
        <v>0</v>
      </c>
      <c r="DC1306" t="s">
        <v>176</v>
      </c>
      <c r="DD1306" t="s">
        <v>177</v>
      </c>
      <c r="DG1306">
        <v>5383851</v>
      </c>
      <c r="DI1306">
        <v>1</v>
      </c>
      <c r="DJ1306">
        <v>0</v>
      </c>
      <c r="DK1306">
        <v>1</v>
      </c>
      <c r="DL1306">
        <v>0</v>
      </c>
      <c r="DM1306">
        <v>0</v>
      </c>
      <c r="DN1306">
        <v>1</v>
      </c>
      <c r="DO1306">
        <v>0</v>
      </c>
      <c r="DP1306">
        <v>0</v>
      </c>
      <c r="DQ1306">
        <v>0</v>
      </c>
      <c r="DR1306">
        <v>0</v>
      </c>
      <c r="DS1306">
        <v>0</v>
      </c>
    </row>
    <row r="1307" spans="1:123" x14ac:dyDescent="0.3">
      <c r="A1307" t="str">
        <f t="shared" si="453"/>
        <v>10/04/2022 19:29:04.686</v>
      </c>
      <c r="C1307" t="str">
        <f t="shared" si="438"/>
        <v>FFDDD3C0</v>
      </c>
      <c r="D1307" t="s">
        <v>136</v>
      </c>
      <c r="E1307">
        <v>8</v>
      </c>
      <c r="H1307">
        <v>225</v>
      </c>
      <c r="I1307" t="s">
        <v>137</v>
      </c>
      <c r="J1307" t="s">
        <v>138</v>
      </c>
      <c r="K1307">
        <v>0</v>
      </c>
      <c r="L1307">
        <v>3</v>
      </c>
      <c r="M1307">
        <v>0</v>
      </c>
      <c r="N1307">
        <v>2</v>
      </c>
      <c r="O1307">
        <v>0</v>
      </c>
      <c r="P1307">
        <v>1</v>
      </c>
      <c r="Q1307">
        <v>0</v>
      </c>
      <c r="S1307" t="str">
        <f t="shared" si="451"/>
        <v>19:29:04.000</v>
      </c>
      <c r="T1307" t="str">
        <f t="shared" si="451"/>
        <v>19:29:04.000</v>
      </c>
      <c r="U1307" t="str">
        <f t="shared" si="443"/>
        <v>AC3944</v>
      </c>
      <c r="V1307">
        <v>0</v>
      </c>
      <c r="W1307">
        <v>0</v>
      </c>
      <c r="X1307">
        <v>2</v>
      </c>
      <c r="Y1307">
        <v>0</v>
      </c>
      <c r="AA1307">
        <v>1</v>
      </c>
      <c r="AB1307">
        <v>8</v>
      </c>
      <c r="AC1307">
        <v>3</v>
      </c>
      <c r="AD1307">
        <v>0</v>
      </c>
      <c r="AE1307">
        <v>9</v>
      </c>
      <c r="AF1307" t="s">
        <v>138</v>
      </c>
      <c r="AG1307">
        <v>0</v>
      </c>
      <c r="AH1307">
        <v>3</v>
      </c>
      <c r="AI1307">
        <v>1</v>
      </c>
      <c r="AJ1307">
        <v>0</v>
      </c>
      <c r="AK1307" t="s">
        <v>506</v>
      </c>
      <c r="AL1307">
        <v>32.805754999999998</v>
      </c>
      <c r="AM1307" t="s">
        <v>507</v>
      </c>
      <c r="AN1307">
        <v>-116.899295</v>
      </c>
      <c r="AO1307">
        <v>25</v>
      </c>
      <c r="AP1307">
        <v>2400</v>
      </c>
      <c r="AQ1307" t="s">
        <v>129</v>
      </c>
      <c r="AR1307">
        <v>114</v>
      </c>
      <c r="AS1307">
        <v>-29</v>
      </c>
      <c r="AT1307">
        <v>128</v>
      </c>
      <c r="BB1307">
        <v>1200</v>
      </c>
      <c r="BC1307">
        <v>1</v>
      </c>
      <c r="BD1307" t="str">
        <f t="shared" si="444"/>
        <v xml:space="preserve">N887QR  </v>
      </c>
      <c r="BE1307">
        <v>1</v>
      </c>
      <c r="BJ1307">
        <v>2125</v>
      </c>
      <c r="BK1307">
        <v>-275</v>
      </c>
      <c r="BL1307" t="s">
        <v>163</v>
      </c>
      <c r="BM1307">
        <v>1</v>
      </c>
      <c r="BN1307">
        <v>1</v>
      </c>
      <c r="BO1307">
        <v>1</v>
      </c>
      <c r="BP1307">
        <v>0</v>
      </c>
      <c r="BS1307">
        <v>0</v>
      </c>
      <c r="BT1307">
        <v>0</v>
      </c>
      <c r="BU1307">
        <v>0</v>
      </c>
      <c r="CE1307" t="str">
        <f t="shared" si="452"/>
        <v>19:29:04.450</v>
      </c>
      <c r="CF1307">
        <v>449615897</v>
      </c>
      <c r="CS1307">
        <v>3</v>
      </c>
      <c r="CT1307">
        <v>2</v>
      </c>
      <c r="CU1307">
        <v>0</v>
      </c>
      <c r="CV1307">
        <v>2</v>
      </c>
      <c r="CW1307">
        <v>0</v>
      </c>
      <c r="CX1307">
        <v>6</v>
      </c>
      <c r="CY1307">
        <v>7</v>
      </c>
      <c r="CZ1307" t="s">
        <v>131</v>
      </c>
      <c r="DA1307">
        <v>300</v>
      </c>
      <c r="DB1307">
        <v>0</v>
      </c>
      <c r="DC1307" t="s">
        <v>176</v>
      </c>
      <c r="DD1307" t="s">
        <v>177</v>
      </c>
      <c r="DG1307">
        <v>5383851</v>
      </c>
      <c r="DI1307">
        <v>1</v>
      </c>
      <c r="DJ1307">
        <v>0</v>
      </c>
      <c r="DK1307">
        <v>1</v>
      </c>
      <c r="DL1307">
        <v>0</v>
      </c>
      <c r="DM1307">
        <v>0</v>
      </c>
      <c r="DN1307">
        <v>1</v>
      </c>
      <c r="DO1307">
        <v>0</v>
      </c>
      <c r="DP1307">
        <v>0</v>
      </c>
      <c r="DQ1307">
        <v>0</v>
      </c>
      <c r="DR1307">
        <v>0</v>
      </c>
      <c r="DS1307">
        <v>0</v>
      </c>
    </row>
    <row r="1308" spans="1:123" x14ac:dyDescent="0.3">
      <c r="A1308" t="str">
        <f t="shared" si="453"/>
        <v>10/04/2022 19:29:04.686</v>
      </c>
      <c r="C1308" t="str">
        <f t="shared" si="438"/>
        <v>FFDDD3C0</v>
      </c>
      <c r="D1308" t="s">
        <v>134</v>
      </c>
      <c r="E1308">
        <v>15</v>
      </c>
      <c r="J1308" t="s">
        <v>135</v>
      </c>
      <c r="K1308">
        <v>0</v>
      </c>
      <c r="L1308">
        <v>3</v>
      </c>
      <c r="M1308">
        <v>0</v>
      </c>
      <c r="N1308">
        <v>2</v>
      </c>
      <c r="O1308">
        <v>0</v>
      </c>
      <c r="P1308">
        <v>1</v>
      </c>
      <c r="Q1308">
        <v>0</v>
      </c>
      <c r="S1308" t="str">
        <f t="shared" si="451"/>
        <v>19:29:04.000</v>
      </c>
      <c r="T1308" t="str">
        <f t="shared" si="451"/>
        <v>19:29:04.000</v>
      </c>
      <c r="U1308" t="str">
        <f t="shared" si="443"/>
        <v>AC3944</v>
      </c>
      <c r="V1308">
        <v>0</v>
      </c>
      <c r="W1308">
        <v>0</v>
      </c>
      <c r="X1308">
        <v>2</v>
      </c>
      <c r="Y1308">
        <v>0</v>
      </c>
      <c r="AA1308">
        <v>1</v>
      </c>
      <c r="AB1308">
        <v>8</v>
      </c>
      <c r="AC1308">
        <v>3</v>
      </c>
      <c r="AD1308">
        <v>0</v>
      </c>
      <c r="AE1308">
        <v>9</v>
      </c>
      <c r="AF1308" t="s">
        <v>138</v>
      </c>
      <c r="AG1308">
        <v>0</v>
      </c>
      <c r="AH1308">
        <v>3</v>
      </c>
      <c r="AI1308">
        <v>1</v>
      </c>
      <c r="AJ1308">
        <v>0</v>
      </c>
      <c r="AK1308" t="s">
        <v>506</v>
      </c>
      <c r="AL1308">
        <v>32.805754999999998</v>
      </c>
      <c r="AM1308" t="s">
        <v>507</v>
      </c>
      <c r="AN1308">
        <v>-116.899295</v>
      </c>
      <c r="AO1308">
        <v>25</v>
      </c>
      <c r="AP1308">
        <v>2400</v>
      </c>
      <c r="AQ1308" t="s">
        <v>129</v>
      </c>
      <c r="AR1308">
        <v>114</v>
      </c>
      <c r="AS1308">
        <v>-29</v>
      </c>
      <c r="AT1308">
        <v>128</v>
      </c>
      <c r="BB1308">
        <v>1200</v>
      </c>
      <c r="BC1308">
        <v>1</v>
      </c>
      <c r="BD1308" t="str">
        <f t="shared" si="444"/>
        <v xml:space="preserve">N887QR  </v>
      </c>
      <c r="BE1308">
        <v>1</v>
      </c>
      <c r="BJ1308">
        <v>2125</v>
      </c>
      <c r="BK1308">
        <v>-275</v>
      </c>
      <c r="BL1308" t="s">
        <v>163</v>
      </c>
      <c r="BM1308">
        <v>1</v>
      </c>
      <c r="BN1308">
        <v>1</v>
      </c>
      <c r="BO1308">
        <v>1</v>
      </c>
      <c r="BP1308">
        <v>0</v>
      </c>
      <c r="BS1308">
        <v>0</v>
      </c>
      <c r="BT1308">
        <v>0</v>
      </c>
      <c r="BU1308">
        <v>0</v>
      </c>
      <c r="CE1308" t="str">
        <f t="shared" si="452"/>
        <v>19:29:04.450</v>
      </c>
      <c r="CF1308">
        <v>449615897</v>
      </c>
      <c r="CS1308">
        <v>3</v>
      </c>
      <c r="CT1308">
        <v>2</v>
      </c>
      <c r="CU1308">
        <v>0</v>
      </c>
      <c r="CV1308">
        <v>2</v>
      </c>
      <c r="CW1308">
        <v>0</v>
      </c>
      <c r="CX1308">
        <v>6</v>
      </c>
      <c r="CY1308">
        <v>7</v>
      </c>
      <c r="CZ1308" t="s">
        <v>131</v>
      </c>
      <c r="DA1308">
        <v>300</v>
      </c>
      <c r="DB1308">
        <v>0</v>
      </c>
      <c r="DC1308" t="s">
        <v>176</v>
      </c>
      <c r="DD1308" t="s">
        <v>177</v>
      </c>
      <c r="DG1308">
        <v>5383851</v>
      </c>
      <c r="DI1308">
        <v>1</v>
      </c>
      <c r="DJ1308">
        <v>0</v>
      </c>
      <c r="DK1308">
        <v>1</v>
      </c>
      <c r="DL1308">
        <v>0</v>
      </c>
      <c r="DM1308">
        <v>0</v>
      </c>
      <c r="DN1308">
        <v>1</v>
      </c>
      <c r="DO1308">
        <v>0</v>
      </c>
      <c r="DP1308">
        <v>0</v>
      </c>
      <c r="DQ1308">
        <v>0</v>
      </c>
      <c r="DR1308">
        <v>0</v>
      </c>
      <c r="DS1308">
        <v>0</v>
      </c>
    </row>
    <row r="1309" spans="1:123" x14ac:dyDescent="0.3">
      <c r="A1309" t="str">
        <f t="shared" si="453"/>
        <v>10/04/2022 19:29:04.686</v>
      </c>
      <c r="C1309" t="str">
        <f t="shared" si="438"/>
        <v>FFDDD3C0</v>
      </c>
      <c r="D1309" t="s">
        <v>143</v>
      </c>
      <c r="E1309">
        <v>20</v>
      </c>
      <c r="F1309">
        <v>1020</v>
      </c>
      <c r="G1309" t="s">
        <v>144</v>
      </c>
      <c r="J1309" t="s">
        <v>145</v>
      </c>
      <c r="K1309">
        <v>0</v>
      </c>
      <c r="L1309">
        <v>3</v>
      </c>
      <c r="M1309">
        <v>0</v>
      </c>
      <c r="N1309">
        <v>2</v>
      </c>
      <c r="O1309">
        <v>0</v>
      </c>
      <c r="P1309">
        <v>1</v>
      </c>
      <c r="Q1309">
        <v>0</v>
      </c>
      <c r="S1309" t="str">
        <f t="shared" si="451"/>
        <v>19:29:04.000</v>
      </c>
      <c r="T1309" t="str">
        <f t="shared" si="451"/>
        <v>19:29:04.000</v>
      </c>
      <c r="U1309" t="str">
        <f t="shared" si="443"/>
        <v>AC3944</v>
      </c>
      <c r="V1309">
        <v>0</v>
      </c>
      <c r="W1309">
        <v>0</v>
      </c>
      <c r="X1309">
        <v>2</v>
      </c>
      <c r="Y1309">
        <v>0</v>
      </c>
      <c r="AA1309">
        <v>1</v>
      </c>
      <c r="AB1309">
        <v>8</v>
      </c>
      <c r="AC1309">
        <v>3</v>
      </c>
      <c r="AD1309">
        <v>0</v>
      </c>
      <c r="AE1309">
        <v>9</v>
      </c>
      <c r="AF1309" t="s">
        <v>138</v>
      </c>
      <c r="AG1309">
        <v>0</v>
      </c>
      <c r="AH1309">
        <v>3</v>
      </c>
      <c r="AI1309">
        <v>1</v>
      </c>
      <c r="AJ1309">
        <v>0</v>
      </c>
      <c r="AK1309" t="s">
        <v>506</v>
      </c>
      <c r="AL1309">
        <v>32.805754999999998</v>
      </c>
      <c r="AM1309" t="s">
        <v>507</v>
      </c>
      <c r="AN1309">
        <v>-116.899295</v>
      </c>
      <c r="AO1309">
        <v>25</v>
      </c>
      <c r="AP1309">
        <v>2400</v>
      </c>
      <c r="AQ1309" t="s">
        <v>129</v>
      </c>
      <c r="AR1309">
        <v>114</v>
      </c>
      <c r="AS1309">
        <v>-29</v>
      </c>
      <c r="AT1309">
        <v>128</v>
      </c>
      <c r="BB1309">
        <v>1200</v>
      </c>
      <c r="BC1309">
        <v>1</v>
      </c>
      <c r="BD1309" t="str">
        <f t="shared" si="444"/>
        <v xml:space="preserve">N887QR  </v>
      </c>
      <c r="BE1309">
        <v>1</v>
      </c>
      <c r="BJ1309">
        <v>2125</v>
      </c>
      <c r="BK1309">
        <v>-275</v>
      </c>
      <c r="BL1309" t="s">
        <v>163</v>
      </c>
      <c r="BM1309">
        <v>1</v>
      </c>
      <c r="BN1309">
        <v>1</v>
      </c>
      <c r="BO1309">
        <v>1</v>
      </c>
      <c r="BP1309">
        <v>0</v>
      </c>
      <c r="BS1309">
        <v>0</v>
      </c>
      <c r="BT1309">
        <v>0</v>
      </c>
      <c r="BU1309">
        <v>0</v>
      </c>
      <c r="CE1309" t="str">
        <f t="shared" si="452"/>
        <v>19:29:04.450</v>
      </c>
      <c r="CF1309">
        <v>449615897</v>
      </c>
      <c r="CS1309">
        <v>3</v>
      </c>
      <c r="CT1309">
        <v>2</v>
      </c>
      <c r="CU1309">
        <v>0</v>
      </c>
      <c r="CV1309">
        <v>2</v>
      </c>
      <c r="CW1309">
        <v>0</v>
      </c>
      <c r="CX1309">
        <v>6</v>
      </c>
      <c r="CY1309">
        <v>7</v>
      </c>
      <c r="CZ1309" t="s">
        <v>131</v>
      </c>
      <c r="DA1309">
        <v>300</v>
      </c>
      <c r="DB1309">
        <v>0</v>
      </c>
      <c r="DC1309" t="s">
        <v>176</v>
      </c>
      <c r="DD1309" t="s">
        <v>177</v>
      </c>
      <c r="DG1309">
        <v>5383851</v>
      </c>
      <c r="DI1309">
        <v>1</v>
      </c>
      <c r="DJ1309">
        <v>0</v>
      </c>
      <c r="DK1309">
        <v>1</v>
      </c>
      <c r="DL1309">
        <v>0</v>
      </c>
      <c r="DM1309">
        <v>0</v>
      </c>
      <c r="DN1309">
        <v>1</v>
      </c>
      <c r="DO1309">
        <v>0</v>
      </c>
      <c r="DP1309">
        <v>0</v>
      </c>
      <c r="DQ1309">
        <v>0</v>
      </c>
      <c r="DR1309">
        <v>0</v>
      </c>
      <c r="DS1309">
        <v>0</v>
      </c>
    </row>
    <row r="1310" spans="1:123" x14ac:dyDescent="0.3">
      <c r="A1310" t="str">
        <f t="shared" ref="A1310:A1315" si="454">"10/04/2022 19:29:05.328"</f>
        <v>10/04/2022 19:29:05.328</v>
      </c>
      <c r="C1310" t="str">
        <f t="shared" si="438"/>
        <v>FFDDD3C0</v>
      </c>
      <c r="D1310" t="s">
        <v>141</v>
      </c>
      <c r="E1310">
        <v>4</v>
      </c>
      <c r="H1310">
        <v>4</v>
      </c>
      <c r="I1310" t="s">
        <v>142</v>
      </c>
      <c r="J1310" t="s">
        <v>138</v>
      </c>
      <c r="K1310">
        <v>0</v>
      </c>
      <c r="L1310">
        <v>3</v>
      </c>
      <c r="M1310">
        <v>0</v>
      </c>
      <c r="N1310">
        <v>2</v>
      </c>
      <c r="O1310">
        <v>0</v>
      </c>
      <c r="P1310">
        <v>1</v>
      </c>
      <c r="Q1310">
        <v>0</v>
      </c>
      <c r="S1310" t="str">
        <f t="shared" ref="S1310:T1316" si="455">"19:29:05.000"</f>
        <v>19:29:05.000</v>
      </c>
      <c r="T1310" t="str">
        <f t="shared" si="455"/>
        <v>19:29:05.000</v>
      </c>
      <c r="U1310" t="str">
        <f t="shared" si="443"/>
        <v>AC3944</v>
      </c>
      <c r="V1310">
        <v>0</v>
      </c>
      <c r="W1310">
        <v>0</v>
      </c>
      <c r="X1310">
        <v>2</v>
      </c>
      <c r="Y1310">
        <v>0</v>
      </c>
      <c r="AA1310">
        <v>1</v>
      </c>
      <c r="AB1310">
        <v>8</v>
      </c>
      <c r="AC1310">
        <v>3</v>
      </c>
      <c r="AD1310">
        <v>0</v>
      </c>
      <c r="AE1310">
        <v>9</v>
      </c>
      <c r="AF1310" t="s">
        <v>138</v>
      </c>
      <c r="AG1310">
        <v>0</v>
      </c>
      <c r="AH1310">
        <v>3</v>
      </c>
      <c r="AI1310">
        <v>1</v>
      </c>
      <c r="AJ1310">
        <v>0</v>
      </c>
      <c r="AK1310" t="s">
        <v>508</v>
      </c>
      <c r="AL1310">
        <v>32.805605</v>
      </c>
      <c r="AM1310" t="s">
        <v>509</v>
      </c>
      <c r="AN1310">
        <v>-116.898522</v>
      </c>
      <c r="AO1310">
        <v>25</v>
      </c>
      <c r="AP1310">
        <v>2400</v>
      </c>
      <c r="AQ1310" t="s">
        <v>129</v>
      </c>
      <c r="AR1310">
        <v>113</v>
      </c>
      <c r="AS1310">
        <v>-32</v>
      </c>
      <c r="AT1310">
        <v>128</v>
      </c>
      <c r="BB1310">
        <v>1200</v>
      </c>
      <c r="BC1310">
        <v>1</v>
      </c>
      <c r="BD1310" t="str">
        <f t="shared" si="444"/>
        <v xml:space="preserve">N887QR  </v>
      </c>
      <c r="BE1310">
        <v>1</v>
      </c>
      <c r="BJ1310">
        <v>2125</v>
      </c>
      <c r="BK1310">
        <v>-275</v>
      </c>
      <c r="BL1310" t="s">
        <v>163</v>
      </c>
      <c r="BM1310">
        <v>1</v>
      </c>
      <c r="BN1310">
        <v>1</v>
      </c>
      <c r="BO1310">
        <v>1</v>
      </c>
      <c r="BP1310">
        <v>0</v>
      </c>
      <c r="BS1310">
        <v>0</v>
      </c>
      <c r="BT1310">
        <v>0</v>
      </c>
      <c r="BU1310">
        <v>0</v>
      </c>
      <c r="CE1310" t="str">
        <f t="shared" ref="CE1310:CE1316" si="456">"19:29:05.111"</f>
        <v>19:29:05.111</v>
      </c>
      <c r="CF1310">
        <v>110618067</v>
      </c>
      <c r="CS1310">
        <v>3</v>
      </c>
      <c r="CT1310">
        <v>2</v>
      </c>
      <c r="CU1310">
        <v>0</v>
      </c>
      <c r="CV1310">
        <v>2</v>
      </c>
      <c r="CW1310">
        <v>0</v>
      </c>
      <c r="CX1310">
        <v>6</v>
      </c>
      <c r="CY1310">
        <v>7</v>
      </c>
      <c r="CZ1310" t="s">
        <v>131</v>
      </c>
      <c r="DA1310">
        <v>300</v>
      </c>
      <c r="DB1310">
        <v>0</v>
      </c>
      <c r="DC1310" t="s">
        <v>176</v>
      </c>
      <c r="DD1310" t="s">
        <v>177</v>
      </c>
      <c r="DG1310">
        <v>5383952</v>
      </c>
      <c r="DI1310">
        <v>1</v>
      </c>
      <c r="DJ1310">
        <v>0</v>
      </c>
      <c r="DK1310">
        <v>0</v>
      </c>
      <c r="DL1310">
        <v>0</v>
      </c>
      <c r="DM1310">
        <v>0</v>
      </c>
      <c r="DN1310">
        <v>1</v>
      </c>
      <c r="DO1310">
        <v>0</v>
      </c>
      <c r="DP1310">
        <v>0</v>
      </c>
      <c r="DQ1310">
        <v>0</v>
      </c>
      <c r="DR1310">
        <v>0</v>
      </c>
      <c r="DS1310">
        <v>0</v>
      </c>
    </row>
    <row r="1311" spans="1:123" x14ac:dyDescent="0.3">
      <c r="A1311" t="str">
        <f t="shared" si="454"/>
        <v>10/04/2022 19:29:05.328</v>
      </c>
      <c r="C1311" t="str">
        <f t="shared" si="438"/>
        <v>FFDDD3C0</v>
      </c>
      <c r="D1311" t="s">
        <v>147</v>
      </c>
      <c r="E1311">
        <v>3</v>
      </c>
      <c r="H1311">
        <v>166</v>
      </c>
      <c r="I1311" t="s">
        <v>144</v>
      </c>
      <c r="J1311" t="s">
        <v>148</v>
      </c>
      <c r="K1311">
        <v>0</v>
      </c>
      <c r="L1311">
        <v>3</v>
      </c>
      <c r="M1311">
        <v>0</v>
      </c>
      <c r="N1311">
        <v>2</v>
      </c>
      <c r="O1311">
        <v>0</v>
      </c>
      <c r="P1311">
        <v>1</v>
      </c>
      <c r="Q1311">
        <v>0</v>
      </c>
      <c r="S1311" t="str">
        <f t="shared" si="455"/>
        <v>19:29:05.000</v>
      </c>
      <c r="T1311" t="str">
        <f t="shared" si="455"/>
        <v>19:29:05.000</v>
      </c>
      <c r="U1311" t="str">
        <f t="shared" si="443"/>
        <v>AC3944</v>
      </c>
      <c r="V1311">
        <v>0</v>
      </c>
      <c r="W1311">
        <v>0</v>
      </c>
      <c r="X1311">
        <v>2</v>
      </c>
      <c r="Y1311">
        <v>0</v>
      </c>
      <c r="AA1311">
        <v>1</v>
      </c>
      <c r="AB1311">
        <v>8</v>
      </c>
      <c r="AC1311">
        <v>3</v>
      </c>
      <c r="AD1311">
        <v>0</v>
      </c>
      <c r="AE1311">
        <v>9</v>
      </c>
      <c r="AF1311" t="s">
        <v>138</v>
      </c>
      <c r="AG1311">
        <v>0</v>
      </c>
      <c r="AH1311">
        <v>3</v>
      </c>
      <c r="AI1311">
        <v>1</v>
      </c>
      <c r="AJ1311">
        <v>0</v>
      </c>
      <c r="AK1311" t="s">
        <v>508</v>
      </c>
      <c r="AL1311">
        <v>32.805605</v>
      </c>
      <c r="AM1311" t="s">
        <v>509</v>
      </c>
      <c r="AN1311">
        <v>-116.898522</v>
      </c>
      <c r="AO1311">
        <v>25</v>
      </c>
      <c r="AP1311">
        <v>2400</v>
      </c>
      <c r="AQ1311" t="s">
        <v>129</v>
      </c>
      <c r="AR1311">
        <v>113</v>
      </c>
      <c r="AS1311">
        <v>-32</v>
      </c>
      <c r="AT1311">
        <v>128</v>
      </c>
      <c r="BB1311">
        <v>1200</v>
      </c>
      <c r="BC1311">
        <v>1</v>
      </c>
      <c r="BD1311" t="str">
        <f t="shared" si="444"/>
        <v xml:space="preserve">N887QR  </v>
      </c>
      <c r="BE1311">
        <v>1</v>
      </c>
      <c r="BJ1311">
        <v>2125</v>
      </c>
      <c r="BK1311">
        <v>-275</v>
      </c>
      <c r="BL1311" t="s">
        <v>163</v>
      </c>
      <c r="BM1311">
        <v>1</v>
      </c>
      <c r="BN1311">
        <v>1</v>
      </c>
      <c r="BO1311">
        <v>1</v>
      </c>
      <c r="BP1311">
        <v>0</v>
      </c>
      <c r="BS1311">
        <v>0</v>
      </c>
      <c r="BT1311">
        <v>0</v>
      </c>
      <c r="BU1311">
        <v>0</v>
      </c>
      <c r="CE1311" t="str">
        <f t="shared" si="456"/>
        <v>19:29:05.111</v>
      </c>
      <c r="CF1311">
        <v>110618067</v>
      </c>
      <c r="CS1311">
        <v>3</v>
      </c>
      <c r="CT1311">
        <v>2</v>
      </c>
      <c r="CU1311">
        <v>0</v>
      </c>
      <c r="CV1311">
        <v>2</v>
      </c>
      <c r="CW1311">
        <v>0</v>
      </c>
      <c r="CX1311">
        <v>6</v>
      </c>
      <c r="CY1311">
        <v>7</v>
      </c>
      <c r="CZ1311" t="s">
        <v>131</v>
      </c>
      <c r="DA1311">
        <v>300</v>
      </c>
      <c r="DB1311">
        <v>0</v>
      </c>
      <c r="DC1311" t="s">
        <v>176</v>
      </c>
      <c r="DD1311" t="s">
        <v>177</v>
      </c>
      <c r="DG1311">
        <v>5383952</v>
      </c>
      <c r="DI1311">
        <v>1</v>
      </c>
      <c r="DJ1311">
        <v>0</v>
      </c>
      <c r="DK1311">
        <v>1</v>
      </c>
      <c r="DL1311">
        <v>0</v>
      </c>
      <c r="DM1311">
        <v>0</v>
      </c>
      <c r="DN1311">
        <v>1</v>
      </c>
      <c r="DO1311">
        <v>0</v>
      </c>
      <c r="DP1311">
        <v>0</v>
      </c>
      <c r="DQ1311">
        <v>0</v>
      </c>
      <c r="DR1311">
        <v>0</v>
      </c>
      <c r="DS1311">
        <v>0</v>
      </c>
    </row>
    <row r="1312" spans="1:123" x14ac:dyDescent="0.3">
      <c r="A1312" t="str">
        <f t="shared" si="454"/>
        <v>10/04/2022 19:29:05.328</v>
      </c>
      <c r="C1312" t="str">
        <f t="shared" si="438"/>
        <v>FFDDD3C0</v>
      </c>
      <c r="D1312" t="s">
        <v>141</v>
      </c>
      <c r="E1312">
        <v>3</v>
      </c>
      <c r="H1312">
        <v>3</v>
      </c>
      <c r="I1312" t="s">
        <v>146</v>
      </c>
      <c r="J1312" t="s">
        <v>138</v>
      </c>
      <c r="K1312">
        <v>0</v>
      </c>
      <c r="L1312">
        <v>3</v>
      </c>
      <c r="M1312">
        <v>0</v>
      </c>
      <c r="N1312">
        <v>2</v>
      </c>
      <c r="O1312">
        <v>0</v>
      </c>
      <c r="P1312">
        <v>1</v>
      </c>
      <c r="Q1312">
        <v>0</v>
      </c>
      <c r="S1312" t="str">
        <f t="shared" si="455"/>
        <v>19:29:05.000</v>
      </c>
      <c r="T1312" t="str">
        <f t="shared" si="455"/>
        <v>19:29:05.000</v>
      </c>
      <c r="U1312" t="str">
        <f t="shared" si="443"/>
        <v>AC3944</v>
      </c>
      <c r="V1312">
        <v>0</v>
      </c>
      <c r="W1312">
        <v>0</v>
      </c>
      <c r="X1312">
        <v>2</v>
      </c>
      <c r="Y1312">
        <v>0</v>
      </c>
      <c r="AA1312">
        <v>1</v>
      </c>
      <c r="AB1312">
        <v>8</v>
      </c>
      <c r="AC1312">
        <v>3</v>
      </c>
      <c r="AD1312">
        <v>0</v>
      </c>
      <c r="AE1312">
        <v>9</v>
      </c>
      <c r="AF1312" t="s">
        <v>138</v>
      </c>
      <c r="AG1312">
        <v>0</v>
      </c>
      <c r="AH1312">
        <v>3</v>
      </c>
      <c r="AI1312">
        <v>1</v>
      </c>
      <c r="AJ1312">
        <v>0</v>
      </c>
      <c r="AK1312" t="s">
        <v>508</v>
      </c>
      <c r="AL1312">
        <v>32.805605</v>
      </c>
      <c r="AM1312" t="s">
        <v>509</v>
      </c>
      <c r="AN1312">
        <v>-116.898522</v>
      </c>
      <c r="AO1312">
        <v>25</v>
      </c>
      <c r="AP1312">
        <v>2400</v>
      </c>
      <c r="AQ1312" t="s">
        <v>129</v>
      </c>
      <c r="AR1312">
        <v>113</v>
      </c>
      <c r="AS1312">
        <v>-32</v>
      </c>
      <c r="AT1312">
        <v>128</v>
      </c>
      <c r="BB1312">
        <v>1200</v>
      </c>
      <c r="BC1312">
        <v>1</v>
      </c>
      <c r="BD1312" t="str">
        <f t="shared" si="444"/>
        <v xml:space="preserve">N887QR  </v>
      </c>
      <c r="BE1312">
        <v>1</v>
      </c>
      <c r="BJ1312">
        <v>2125</v>
      </c>
      <c r="BK1312">
        <v>-275</v>
      </c>
      <c r="BL1312" t="s">
        <v>163</v>
      </c>
      <c r="BM1312">
        <v>1</v>
      </c>
      <c r="BN1312">
        <v>1</v>
      </c>
      <c r="BO1312">
        <v>1</v>
      </c>
      <c r="BP1312">
        <v>0</v>
      </c>
      <c r="BS1312">
        <v>0</v>
      </c>
      <c r="BT1312">
        <v>0</v>
      </c>
      <c r="BU1312">
        <v>0</v>
      </c>
      <c r="CE1312" t="str">
        <f t="shared" si="456"/>
        <v>19:29:05.111</v>
      </c>
      <c r="CF1312">
        <v>110618067</v>
      </c>
      <c r="CS1312">
        <v>3</v>
      </c>
      <c r="CT1312">
        <v>2</v>
      </c>
      <c r="CU1312">
        <v>0</v>
      </c>
      <c r="CV1312">
        <v>2</v>
      </c>
      <c r="CW1312">
        <v>0</v>
      </c>
      <c r="CX1312">
        <v>6</v>
      </c>
      <c r="CY1312">
        <v>7</v>
      </c>
      <c r="CZ1312" t="s">
        <v>131</v>
      </c>
      <c r="DA1312">
        <v>300</v>
      </c>
      <c r="DB1312">
        <v>0</v>
      </c>
      <c r="DC1312" t="s">
        <v>176</v>
      </c>
      <c r="DD1312" t="s">
        <v>177</v>
      </c>
      <c r="DG1312">
        <v>5383952</v>
      </c>
      <c r="DI1312">
        <v>1</v>
      </c>
      <c r="DJ1312">
        <v>0</v>
      </c>
      <c r="DK1312">
        <v>1</v>
      </c>
      <c r="DL1312">
        <v>0</v>
      </c>
      <c r="DM1312">
        <v>0</v>
      </c>
      <c r="DN1312">
        <v>1</v>
      </c>
      <c r="DO1312">
        <v>0</v>
      </c>
      <c r="DP1312">
        <v>0</v>
      </c>
      <c r="DQ1312">
        <v>0</v>
      </c>
      <c r="DR1312">
        <v>0</v>
      </c>
      <c r="DS1312">
        <v>0</v>
      </c>
    </row>
    <row r="1313" spans="1:123" x14ac:dyDescent="0.3">
      <c r="A1313" t="str">
        <f t="shared" si="454"/>
        <v>10/04/2022 19:29:05.328</v>
      </c>
      <c r="C1313" t="str">
        <f t="shared" si="438"/>
        <v>FFDDD3C0</v>
      </c>
      <c r="D1313" t="s">
        <v>136</v>
      </c>
      <c r="E1313">
        <v>8</v>
      </c>
      <c r="H1313">
        <v>225</v>
      </c>
      <c r="I1313" t="s">
        <v>137</v>
      </c>
      <c r="J1313" t="s">
        <v>138</v>
      </c>
      <c r="K1313">
        <v>0</v>
      </c>
      <c r="L1313">
        <v>3</v>
      </c>
      <c r="M1313">
        <v>0</v>
      </c>
      <c r="N1313">
        <v>2</v>
      </c>
      <c r="O1313">
        <v>0</v>
      </c>
      <c r="P1313">
        <v>1</v>
      </c>
      <c r="Q1313">
        <v>0</v>
      </c>
      <c r="S1313" t="str">
        <f t="shared" si="455"/>
        <v>19:29:05.000</v>
      </c>
      <c r="T1313" t="str">
        <f t="shared" si="455"/>
        <v>19:29:05.000</v>
      </c>
      <c r="U1313" t="str">
        <f t="shared" si="443"/>
        <v>AC3944</v>
      </c>
      <c r="V1313">
        <v>0</v>
      </c>
      <c r="W1313">
        <v>0</v>
      </c>
      <c r="X1313">
        <v>2</v>
      </c>
      <c r="Y1313">
        <v>0</v>
      </c>
      <c r="AA1313">
        <v>1</v>
      </c>
      <c r="AB1313">
        <v>8</v>
      </c>
      <c r="AC1313">
        <v>3</v>
      </c>
      <c r="AD1313">
        <v>0</v>
      </c>
      <c r="AE1313">
        <v>9</v>
      </c>
      <c r="AF1313" t="s">
        <v>138</v>
      </c>
      <c r="AG1313">
        <v>0</v>
      </c>
      <c r="AH1313">
        <v>3</v>
      </c>
      <c r="AI1313">
        <v>1</v>
      </c>
      <c r="AJ1313">
        <v>0</v>
      </c>
      <c r="AK1313" t="s">
        <v>508</v>
      </c>
      <c r="AL1313">
        <v>32.805605</v>
      </c>
      <c r="AM1313" t="s">
        <v>509</v>
      </c>
      <c r="AN1313">
        <v>-116.898522</v>
      </c>
      <c r="AO1313">
        <v>25</v>
      </c>
      <c r="AP1313">
        <v>2400</v>
      </c>
      <c r="AQ1313" t="s">
        <v>129</v>
      </c>
      <c r="AR1313">
        <v>113</v>
      </c>
      <c r="AS1313">
        <v>-32</v>
      </c>
      <c r="AT1313">
        <v>128</v>
      </c>
      <c r="BB1313">
        <v>1200</v>
      </c>
      <c r="BC1313">
        <v>1</v>
      </c>
      <c r="BD1313" t="str">
        <f t="shared" si="444"/>
        <v xml:space="preserve">N887QR  </v>
      </c>
      <c r="BE1313">
        <v>1</v>
      </c>
      <c r="BJ1313">
        <v>2125</v>
      </c>
      <c r="BK1313">
        <v>-275</v>
      </c>
      <c r="BL1313" t="s">
        <v>163</v>
      </c>
      <c r="BM1313">
        <v>1</v>
      </c>
      <c r="BN1313">
        <v>1</v>
      </c>
      <c r="BO1313">
        <v>1</v>
      </c>
      <c r="BP1313">
        <v>0</v>
      </c>
      <c r="BS1313">
        <v>0</v>
      </c>
      <c r="BT1313">
        <v>0</v>
      </c>
      <c r="BU1313">
        <v>0</v>
      </c>
      <c r="CE1313" t="str">
        <f t="shared" si="456"/>
        <v>19:29:05.111</v>
      </c>
      <c r="CF1313">
        <v>110618067</v>
      </c>
      <c r="CS1313">
        <v>3</v>
      </c>
      <c r="CT1313">
        <v>2</v>
      </c>
      <c r="CU1313">
        <v>0</v>
      </c>
      <c r="CV1313">
        <v>2</v>
      </c>
      <c r="CW1313">
        <v>0</v>
      </c>
      <c r="CX1313">
        <v>6</v>
      </c>
      <c r="CY1313">
        <v>7</v>
      </c>
      <c r="CZ1313" t="s">
        <v>131</v>
      </c>
      <c r="DA1313">
        <v>300</v>
      </c>
      <c r="DB1313">
        <v>0</v>
      </c>
      <c r="DC1313" t="s">
        <v>176</v>
      </c>
      <c r="DD1313" t="s">
        <v>177</v>
      </c>
      <c r="DG1313">
        <v>5383952</v>
      </c>
      <c r="DI1313">
        <v>1</v>
      </c>
      <c r="DJ1313">
        <v>0</v>
      </c>
      <c r="DK1313">
        <v>1</v>
      </c>
      <c r="DL1313">
        <v>0</v>
      </c>
      <c r="DM1313">
        <v>0</v>
      </c>
      <c r="DN1313">
        <v>1</v>
      </c>
      <c r="DO1313">
        <v>0</v>
      </c>
      <c r="DP1313">
        <v>0</v>
      </c>
      <c r="DQ1313">
        <v>0</v>
      </c>
      <c r="DR1313">
        <v>0</v>
      </c>
      <c r="DS1313">
        <v>0</v>
      </c>
    </row>
    <row r="1314" spans="1:123" x14ac:dyDescent="0.3">
      <c r="A1314" t="str">
        <f t="shared" si="454"/>
        <v>10/04/2022 19:29:05.328</v>
      </c>
      <c r="C1314" t="str">
        <f t="shared" si="438"/>
        <v>FFDDD3C0</v>
      </c>
      <c r="D1314" t="s">
        <v>143</v>
      </c>
      <c r="E1314">
        <v>20</v>
      </c>
      <c r="F1314">
        <v>1020</v>
      </c>
      <c r="G1314" t="s">
        <v>144</v>
      </c>
      <c r="J1314" t="s">
        <v>145</v>
      </c>
      <c r="K1314">
        <v>0</v>
      </c>
      <c r="L1314">
        <v>3</v>
      </c>
      <c r="M1314">
        <v>0</v>
      </c>
      <c r="N1314">
        <v>2</v>
      </c>
      <c r="O1314">
        <v>0</v>
      </c>
      <c r="P1314">
        <v>1</v>
      </c>
      <c r="Q1314">
        <v>0</v>
      </c>
      <c r="S1314" t="str">
        <f t="shared" si="455"/>
        <v>19:29:05.000</v>
      </c>
      <c r="T1314" t="str">
        <f t="shared" si="455"/>
        <v>19:29:05.000</v>
      </c>
      <c r="U1314" t="str">
        <f t="shared" si="443"/>
        <v>AC3944</v>
      </c>
      <c r="V1314">
        <v>0</v>
      </c>
      <c r="W1314">
        <v>0</v>
      </c>
      <c r="X1314">
        <v>2</v>
      </c>
      <c r="Y1314">
        <v>0</v>
      </c>
      <c r="AA1314">
        <v>1</v>
      </c>
      <c r="AB1314">
        <v>8</v>
      </c>
      <c r="AC1314">
        <v>3</v>
      </c>
      <c r="AD1314">
        <v>0</v>
      </c>
      <c r="AE1314">
        <v>9</v>
      </c>
      <c r="AF1314" t="s">
        <v>138</v>
      </c>
      <c r="AG1314">
        <v>0</v>
      </c>
      <c r="AH1314">
        <v>3</v>
      </c>
      <c r="AI1314">
        <v>1</v>
      </c>
      <c r="AJ1314">
        <v>0</v>
      </c>
      <c r="AK1314" t="s">
        <v>508</v>
      </c>
      <c r="AL1314">
        <v>32.805605</v>
      </c>
      <c r="AM1314" t="s">
        <v>509</v>
      </c>
      <c r="AN1314">
        <v>-116.898522</v>
      </c>
      <c r="AO1314">
        <v>25</v>
      </c>
      <c r="AP1314">
        <v>2400</v>
      </c>
      <c r="AQ1314" t="s">
        <v>129</v>
      </c>
      <c r="AR1314">
        <v>113</v>
      </c>
      <c r="AS1314">
        <v>-32</v>
      </c>
      <c r="AT1314">
        <v>128</v>
      </c>
      <c r="BB1314">
        <v>1200</v>
      </c>
      <c r="BC1314">
        <v>1</v>
      </c>
      <c r="BD1314" t="str">
        <f t="shared" si="444"/>
        <v xml:space="preserve">N887QR  </v>
      </c>
      <c r="BE1314">
        <v>1</v>
      </c>
      <c r="BJ1314">
        <v>2125</v>
      </c>
      <c r="BK1314">
        <v>-275</v>
      </c>
      <c r="BL1314" t="s">
        <v>163</v>
      </c>
      <c r="BM1314">
        <v>1</v>
      </c>
      <c r="BN1314">
        <v>1</v>
      </c>
      <c r="BO1314">
        <v>1</v>
      </c>
      <c r="BP1314">
        <v>0</v>
      </c>
      <c r="BS1314">
        <v>0</v>
      </c>
      <c r="BT1314">
        <v>0</v>
      </c>
      <c r="BU1314">
        <v>0</v>
      </c>
      <c r="CE1314" t="str">
        <f t="shared" si="456"/>
        <v>19:29:05.111</v>
      </c>
      <c r="CF1314">
        <v>110618067</v>
      </c>
      <c r="CS1314">
        <v>3</v>
      </c>
      <c r="CT1314">
        <v>2</v>
      </c>
      <c r="CU1314">
        <v>0</v>
      </c>
      <c r="CV1314">
        <v>2</v>
      </c>
      <c r="CW1314">
        <v>0</v>
      </c>
      <c r="CX1314">
        <v>6</v>
      </c>
      <c r="CY1314">
        <v>7</v>
      </c>
      <c r="CZ1314" t="s">
        <v>131</v>
      </c>
      <c r="DA1314">
        <v>300</v>
      </c>
      <c r="DB1314">
        <v>0</v>
      </c>
      <c r="DC1314" t="s">
        <v>176</v>
      </c>
      <c r="DD1314" t="s">
        <v>177</v>
      </c>
      <c r="DG1314">
        <v>5383952</v>
      </c>
      <c r="DI1314">
        <v>1</v>
      </c>
      <c r="DJ1314">
        <v>0</v>
      </c>
      <c r="DK1314">
        <v>1</v>
      </c>
      <c r="DL1314">
        <v>0</v>
      </c>
      <c r="DM1314">
        <v>0</v>
      </c>
      <c r="DN1314">
        <v>1</v>
      </c>
      <c r="DO1314">
        <v>0</v>
      </c>
      <c r="DP1314">
        <v>0</v>
      </c>
      <c r="DQ1314">
        <v>0</v>
      </c>
      <c r="DR1314">
        <v>0</v>
      </c>
      <c r="DS1314">
        <v>0</v>
      </c>
    </row>
    <row r="1315" spans="1:123" x14ac:dyDescent="0.3">
      <c r="A1315" t="str">
        <f t="shared" si="454"/>
        <v>10/04/2022 19:29:05.328</v>
      </c>
      <c r="C1315" t="str">
        <f t="shared" si="438"/>
        <v>FFDDD3C0</v>
      </c>
      <c r="D1315" t="s">
        <v>134</v>
      </c>
      <c r="E1315">
        <v>15</v>
      </c>
      <c r="J1315" t="s">
        <v>135</v>
      </c>
      <c r="K1315">
        <v>0</v>
      </c>
      <c r="L1315">
        <v>3</v>
      </c>
      <c r="M1315">
        <v>0</v>
      </c>
      <c r="N1315">
        <v>2</v>
      </c>
      <c r="O1315">
        <v>0</v>
      </c>
      <c r="P1315">
        <v>1</v>
      </c>
      <c r="Q1315">
        <v>0</v>
      </c>
      <c r="S1315" t="str">
        <f t="shared" si="455"/>
        <v>19:29:05.000</v>
      </c>
      <c r="T1315" t="str">
        <f t="shared" si="455"/>
        <v>19:29:05.000</v>
      </c>
      <c r="U1315" t="str">
        <f t="shared" si="443"/>
        <v>AC3944</v>
      </c>
      <c r="V1315">
        <v>0</v>
      </c>
      <c r="W1315">
        <v>0</v>
      </c>
      <c r="X1315">
        <v>2</v>
      </c>
      <c r="Y1315">
        <v>0</v>
      </c>
      <c r="AA1315">
        <v>1</v>
      </c>
      <c r="AB1315">
        <v>8</v>
      </c>
      <c r="AC1315">
        <v>3</v>
      </c>
      <c r="AD1315">
        <v>0</v>
      </c>
      <c r="AE1315">
        <v>9</v>
      </c>
      <c r="AF1315" t="s">
        <v>138</v>
      </c>
      <c r="AG1315">
        <v>0</v>
      </c>
      <c r="AH1315">
        <v>3</v>
      </c>
      <c r="AI1315">
        <v>1</v>
      </c>
      <c r="AJ1315">
        <v>0</v>
      </c>
      <c r="AK1315" t="s">
        <v>508</v>
      </c>
      <c r="AL1315">
        <v>32.805605</v>
      </c>
      <c r="AM1315" t="s">
        <v>509</v>
      </c>
      <c r="AN1315">
        <v>-116.898522</v>
      </c>
      <c r="AO1315">
        <v>25</v>
      </c>
      <c r="AP1315">
        <v>2400</v>
      </c>
      <c r="AQ1315" t="s">
        <v>129</v>
      </c>
      <c r="AR1315">
        <v>113</v>
      </c>
      <c r="AS1315">
        <v>-32</v>
      </c>
      <c r="AT1315">
        <v>128</v>
      </c>
      <c r="BB1315">
        <v>1200</v>
      </c>
      <c r="BC1315">
        <v>1</v>
      </c>
      <c r="BD1315" t="str">
        <f t="shared" si="444"/>
        <v xml:space="preserve">N887QR  </v>
      </c>
      <c r="BE1315">
        <v>1</v>
      </c>
      <c r="BJ1315">
        <v>2125</v>
      </c>
      <c r="BK1315">
        <v>-275</v>
      </c>
      <c r="BL1315" t="s">
        <v>163</v>
      </c>
      <c r="BM1315">
        <v>1</v>
      </c>
      <c r="BN1315">
        <v>1</v>
      </c>
      <c r="BO1315">
        <v>1</v>
      </c>
      <c r="BP1315">
        <v>0</v>
      </c>
      <c r="BS1315">
        <v>0</v>
      </c>
      <c r="BT1315">
        <v>0</v>
      </c>
      <c r="BU1315">
        <v>0</v>
      </c>
      <c r="CE1315" t="str">
        <f t="shared" si="456"/>
        <v>19:29:05.111</v>
      </c>
      <c r="CF1315">
        <v>110618067</v>
      </c>
      <c r="CS1315">
        <v>3</v>
      </c>
      <c r="CT1315">
        <v>2</v>
      </c>
      <c r="CU1315">
        <v>0</v>
      </c>
      <c r="CV1315">
        <v>2</v>
      </c>
      <c r="CW1315">
        <v>0</v>
      </c>
      <c r="CX1315">
        <v>6</v>
      </c>
      <c r="CY1315">
        <v>7</v>
      </c>
      <c r="CZ1315" t="s">
        <v>131</v>
      </c>
      <c r="DA1315">
        <v>300</v>
      </c>
      <c r="DB1315">
        <v>0</v>
      </c>
      <c r="DC1315" t="s">
        <v>176</v>
      </c>
      <c r="DD1315" t="s">
        <v>177</v>
      </c>
      <c r="DG1315">
        <v>5383952</v>
      </c>
      <c r="DI1315">
        <v>1</v>
      </c>
      <c r="DJ1315">
        <v>0</v>
      </c>
      <c r="DK1315">
        <v>1</v>
      </c>
      <c r="DL1315">
        <v>0</v>
      </c>
      <c r="DM1315">
        <v>0</v>
      </c>
      <c r="DN1315">
        <v>1</v>
      </c>
      <c r="DO1315">
        <v>0</v>
      </c>
      <c r="DP1315">
        <v>0</v>
      </c>
      <c r="DQ1315">
        <v>0</v>
      </c>
      <c r="DR1315">
        <v>0</v>
      </c>
      <c r="DS1315">
        <v>0</v>
      </c>
    </row>
    <row r="1316" spans="1:123" x14ac:dyDescent="0.3">
      <c r="A1316" t="str">
        <f>"10/04/2022 19:29:05.359"</f>
        <v>10/04/2022 19:29:05.359</v>
      </c>
      <c r="C1316" t="str">
        <f t="shared" si="438"/>
        <v>FFDDD3C0</v>
      </c>
      <c r="D1316" t="s">
        <v>123</v>
      </c>
      <c r="E1316">
        <v>7</v>
      </c>
      <c r="F1316">
        <v>2007</v>
      </c>
      <c r="G1316" t="s">
        <v>124</v>
      </c>
      <c r="J1316" t="s">
        <v>125</v>
      </c>
      <c r="K1316">
        <v>0</v>
      </c>
      <c r="L1316">
        <v>3</v>
      </c>
      <c r="M1316">
        <v>0</v>
      </c>
      <c r="N1316">
        <v>2</v>
      </c>
      <c r="O1316">
        <v>0</v>
      </c>
      <c r="P1316">
        <v>1</v>
      </c>
      <c r="Q1316">
        <v>0</v>
      </c>
      <c r="S1316" t="str">
        <f t="shared" si="455"/>
        <v>19:29:05.000</v>
      </c>
      <c r="T1316" t="str">
        <f t="shared" si="455"/>
        <v>19:29:05.000</v>
      </c>
      <c r="U1316" t="str">
        <f t="shared" si="443"/>
        <v>AC3944</v>
      </c>
      <c r="V1316">
        <v>0</v>
      </c>
      <c r="W1316">
        <v>0</v>
      </c>
      <c r="X1316">
        <v>2</v>
      </c>
      <c r="Y1316">
        <v>0</v>
      </c>
      <c r="AA1316">
        <v>1</v>
      </c>
      <c r="AB1316">
        <v>8</v>
      </c>
      <c r="AC1316">
        <v>3</v>
      </c>
      <c r="AD1316">
        <v>0</v>
      </c>
      <c r="AE1316">
        <v>9</v>
      </c>
      <c r="AF1316" t="s">
        <v>138</v>
      </c>
      <c r="AG1316">
        <v>0</v>
      </c>
      <c r="AH1316">
        <v>3</v>
      </c>
      <c r="AI1316">
        <v>1</v>
      </c>
      <c r="AJ1316">
        <v>0</v>
      </c>
      <c r="AK1316" t="s">
        <v>508</v>
      </c>
      <c r="AL1316">
        <v>32.805605</v>
      </c>
      <c r="AM1316" t="s">
        <v>509</v>
      </c>
      <c r="AN1316">
        <v>-116.898522</v>
      </c>
      <c r="AO1316">
        <v>25</v>
      </c>
      <c r="AP1316">
        <v>2400</v>
      </c>
      <c r="AQ1316" t="s">
        <v>129</v>
      </c>
      <c r="AR1316">
        <v>113</v>
      </c>
      <c r="AS1316">
        <v>-32</v>
      </c>
      <c r="AT1316">
        <v>128</v>
      </c>
      <c r="BB1316">
        <v>1200</v>
      </c>
      <c r="BC1316">
        <v>1</v>
      </c>
      <c r="BD1316" t="str">
        <f t="shared" si="444"/>
        <v xml:space="preserve">N887QR  </v>
      </c>
      <c r="BE1316">
        <v>1</v>
      </c>
      <c r="BJ1316">
        <v>2125</v>
      </c>
      <c r="BK1316">
        <v>-275</v>
      </c>
      <c r="BL1316" t="s">
        <v>163</v>
      </c>
      <c r="BM1316">
        <v>1</v>
      </c>
      <c r="BN1316">
        <v>1</v>
      </c>
      <c r="BO1316">
        <v>1</v>
      </c>
      <c r="BP1316">
        <v>0</v>
      </c>
      <c r="BS1316">
        <v>0</v>
      </c>
      <c r="BT1316">
        <v>0</v>
      </c>
      <c r="BU1316">
        <v>0</v>
      </c>
      <c r="CE1316" t="str">
        <f t="shared" si="456"/>
        <v>19:29:05.111</v>
      </c>
      <c r="CF1316">
        <v>110618067</v>
      </c>
      <c r="CS1316">
        <v>3</v>
      </c>
      <c r="CT1316">
        <v>2</v>
      </c>
      <c r="CU1316">
        <v>0</v>
      </c>
      <c r="CV1316">
        <v>2</v>
      </c>
      <c r="CW1316">
        <v>0</v>
      </c>
      <c r="CX1316">
        <v>6</v>
      </c>
      <c r="CY1316">
        <v>7</v>
      </c>
      <c r="CZ1316" t="s">
        <v>131</v>
      </c>
      <c r="DA1316">
        <v>300</v>
      </c>
      <c r="DB1316">
        <v>0</v>
      </c>
      <c r="DC1316" t="s">
        <v>176</v>
      </c>
      <c r="DD1316" t="s">
        <v>177</v>
      </c>
      <c r="DG1316">
        <v>5383952</v>
      </c>
      <c r="DI1316">
        <v>1</v>
      </c>
      <c r="DJ1316">
        <v>0</v>
      </c>
      <c r="DK1316">
        <v>1</v>
      </c>
      <c r="DL1316">
        <v>0</v>
      </c>
      <c r="DM1316">
        <v>0</v>
      </c>
      <c r="DN1316">
        <v>1</v>
      </c>
      <c r="DO1316">
        <v>0</v>
      </c>
      <c r="DP1316">
        <v>0</v>
      </c>
      <c r="DQ1316">
        <v>0</v>
      </c>
      <c r="DR1316">
        <v>0</v>
      </c>
      <c r="DS1316">
        <v>0</v>
      </c>
    </row>
    <row r="1317" spans="1:123" x14ac:dyDescent="0.3">
      <c r="A1317" t="str">
        <f>"10/04/2022 19:29:06.680"</f>
        <v>10/04/2022 19:29:06.680</v>
      </c>
      <c r="C1317" t="str">
        <f t="shared" si="438"/>
        <v>FFDDD3C0</v>
      </c>
      <c r="D1317" t="s">
        <v>141</v>
      </c>
      <c r="E1317">
        <v>3</v>
      </c>
      <c r="H1317">
        <v>3</v>
      </c>
      <c r="I1317" t="s">
        <v>146</v>
      </c>
      <c r="J1317" t="s">
        <v>138</v>
      </c>
      <c r="K1317">
        <v>0</v>
      </c>
      <c r="L1317">
        <v>3</v>
      </c>
      <c r="M1317">
        <v>0</v>
      </c>
      <c r="N1317">
        <v>2</v>
      </c>
      <c r="O1317">
        <v>0</v>
      </c>
      <c r="P1317">
        <v>1</v>
      </c>
      <c r="Q1317">
        <v>0</v>
      </c>
      <c r="S1317" t="str">
        <f t="shared" ref="S1317:T1330" si="457">"19:29:06.000"</f>
        <v>19:29:06.000</v>
      </c>
      <c r="T1317" t="str">
        <f t="shared" si="457"/>
        <v>19:29:06.000</v>
      </c>
      <c r="U1317" t="str">
        <f t="shared" si="443"/>
        <v>AC3944</v>
      </c>
      <c r="V1317">
        <v>0</v>
      </c>
      <c r="W1317">
        <v>0</v>
      </c>
      <c r="X1317">
        <v>2</v>
      </c>
      <c r="Y1317">
        <v>0</v>
      </c>
      <c r="AA1317">
        <v>1</v>
      </c>
      <c r="AB1317">
        <v>8</v>
      </c>
      <c r="AC1317">
        <v>3</v>
      </c>
      <c r="AD1317">
        <v>0</v>
      </c>
      <c r="AE1317">
        <v>9</v>
      </c>
      <c r="AF1317" t="s">
        <v>138</v>
      </c>
      <c r="AG1317">
        <v>0</v>
      </c>
      <c r="AH1317">
        <v>3</v>
      </c>
      <c r="AI1317">
        <v>1</v>
      </c>
      <c r="AJ1317">
        <v>0</v>
      </c>
      <c r="AK1317" t="s">
        <v>510</v>
      </c>
      <c r="AL1317">
        <v>32.805433000000001</v>
      </c>
      <c r="AM1317" t="s">
        <v>511</v>
      </c>
      <c r="AN1317">
        <v>-116.89790000000001</v>
      </c>
      <c r="AO1317">
        <v>25</v>
      </c>
      <c r="AP1317">
        <v>2400</v>
      </c>
      <c r="AQ1317" t="s">
        <v>129</v>
      </c>
      <c r="AR1317">
        <v>111</v>
      </c>
      <c r="AS1317">
        <v>-35</v>
      </c>
      <c r="AT1317">
        <v>320</v>
      </c>
      <c r="BB1317">
        <v>1200</v>
      </c>
      <c r="BC1317">
        <v>1</v>
      </c>
      <c r="BD1317" t="str">
        <f t="shared" si="444"/>
        <v xml:space="preserve">N887QR  </v>
      </c>
      <c r="BE1317">
        <v>1</v>
      </c>
      <c r="BJ1317">
        <v>2150</v>
      </c>
      <c r="BK1317">
        <v>-250</v>
      </c>
      <c r="BL1317" t="s">
        <v>163</v>
      </c>
      <c r="BM1317">
        <v>1</v>
      </c>
      <c r="BN1317">
        <v>1</v>
      </c>
      <c r="BO1317">
        <v>1</v>
      </c>
      <c r="BP1317">
        <v>0</v>
      </c>
      <c r="BS1317">
        <v>0</v>
      </c>
      <c r="BT1317">
        <v>0</v>
      </c>
      <c r="BU1317">
        <v>0</v>
      </c>
      <c r="CE1317" t="str">
        <f t="shared" ref="CE1317:CE1323" si="458">"19:29:06.495"</f>
        <v>19:29:06.495</v>
      </c>
      <c r="CF1317">
        <v>495372642</v>
      </c>
      <c r="CS1317">
        <v>3</v>
      </c>
      <c r="CT1317">
        <v>2</v>
      </c>
      <c r="CU1317">
        <v>0</v>
      </c>
      <c r="CV1317">
        <v>2</v>
      </c>
      <c r="CW1317">
        <v>0</v>
      </c>
      <c r="CX1317">
        <v>6</v>
      </c>
      <c r="CY1317">
        <v>7</v>
      </c>
      <c r="CZ1317" t="s">
        <v>131</v>
      </c>
      <c r="DA1317">
        <v>300</v>
      </c>
      <c r="DB1317">
        <v>0</v>
      </c>
      <c r="DC1317" t="s">
        <v>176</v>
      </c>
      <c r="DD1317" t="s">
        <v>177</v>
      </c>
      <c r="DG1317">
        <v>5384173</v>
      </c>
      <c r="DI1317">
        <v>1</v>
      </c>
      <c r="DJ1317">
        <v>0</v>
      </c>
      <c r="DK1317">
        <v>0</v>
      </c>
      <c r="DL1317">
        <v>0</v>
      </c>
      <c r="DM1317">
        <v>0</v>
      </c>
      <c r="DN1317">
        <v>1</v>
      </c>
      <c r="DO1317">
        <v>0</v>
      </c>
      <c r="DP1317">
        <v>0</v>
      </c>
      <c r="DQ1317">
        <v>0</v>
      </c>
      <c r="DR1317">
        <v>0</v>
      </c>
      <c r="DS1317">
        <v>0</v>
      </c>
    </row>
    <row r="1318" spans="1:123" x14ac:dyDescent="0.3">
      <c r="A1318" t="str">
        <f>"10/04/2022 19:29:06.696"</f>
        <v>10/04/2022 19:29:06.696</v>
      </c>
      <c r="C1318" t="str">
        <f t="shared" si="438"/>
        <v>FFDDD3C0</v>
      </c>
      <c r="D1318" t="s">
        <v>136</v>
      </c>
      <c r="E1318">
        <v>8</v>
      </c>
      <c r="H1318">
        <v>225</v>
      </c>
      <c r="I1318" t="s">
        <v>137</v>
      </c>
      <c r="J1318" t="s">
        <v>138</v>
      </c>
      <c r="K1318">
        <v>0</v>
      </c>
      <c r="L1318">
        <v>3</v>
      </c>
      <c r="M1318">
        <v>0</v>
      </c>
      <c r="N1318">
        <v>2</v>
      </c>
      <c r="O1318">
        <v>0</v>
      </c>
      <c r="P1318">
        <v>1</v>
      </c>
      <c r="Q1318">
        <v>0</v>
      </c>
      <c r="S1318" t="str">
        <f t="shared" si="457"/>
        <v>19:29:06.000</v>
      </c>
      <c r="T1318" t="str">
        <f t="shared" si="457"/>
        <v>19:29:06.000</v>
      </c>
      <c r="U1318" t="str">
        <f t="shared" si="443"/>
        <v>AC3944</v>
      </c>
      <c r="V1318">
        <v>0</v>
      </c>
      <c r="W1318">
        <v>0</v>
      </c>
      <c r="X1318">
        <v>2</v>
      </c>
      <c r="Y1318">
        <v>0</v>
      </c>
      <c r="AA1318">
        <v>1</v>
      </c>
      <c r="AB1318">
        <v>8</v>
      </c>
      <c r="AC1318">
        <v>3</v>
      </c>
      <c r="AD1318">
        <v>0</v>
      </c>
      <c r="AE1318">
        <v>9</v>
      </c>
      <c r="AF1318" t="s">
        <v>138</v>
      </c>
      <c r="AG1318">
        <v>0</v>
      </c>
      <c r="AH1318">
        <v>3</v>
      </c>
      <c r="AI1318">
        <v>1</v>
      </c>
      <c r="AJ1318">
        <v>0</v>
      </c>
      <c r="AK1318" t="s">
        <v>510</v>
      </c>
      <c r="AL1318">
        <v>32.805433000000001</v>
      </c>
      <c r="AM1318" t="s">
        <v>511</v>
      </c>
      <c r="AN1318">
        <v>-116.89790000000001</v>
      </c>
      <c r="AO1318">
        <v>25</v>
      </c>
      <c r="AP1318">
        <v>2400</v>
      </c>
      <c r="AQ1318" t="s">
        <v>129</v>
      </c>
      <c r="AR1318">
        <v>111</v>
      </c>
      <c r="AS1318">
        <v>-35</v>
      </c>
      <c r="AT1318">
        <v>320</v>
      </c>
      <c r="BB1318">
        <v>1200</v>
      </c>
      <c r="BC1318">
        <v>1</v>
      </c>
      <c r="BD1318" t="str">
        <f t="shared" si="444"/>
        <v xml:space="preserve">N887QR  </v>
      </c>
      <c r="BE1318">
        <v>1</v>
      </c>
      <c r="BJ1318">
        <v>2150</v>
      </c>
      <c r="BK1318">
        <v>-250</v>
      </c>
      <c r="BL1318" t="s">
        <v>163</v>
      </c>
      <c r="BM1318">
        <v>1</v>
      </c>
      <c r="BN1318">
        <v>1</v>
      </c>
      <c r="BO1318">
        <v>1</v>
      </c>
      <c r="BP1318">
        <v>0</v>
      </c>
      <c r="BS1318">
        <v>0</v>
      </c>
      <c r="BT1318">
        <v>0</v>
      </c>
      <c r="BU1318">
        <v>0</v>
      </c>
      <c r="CE1318" t="str">
        <f t="shared" si="458"/>
        <v>19:29:06.495</v>
      </c>
      <c r="CF1318">
        <v>495372642</v>
      </c>
      <c r="CS1318">
        <v>3</v>
      </c>
      <c r="CT1318">
        <v>2</v>
      </c>
      <c r="CU1318">
        <v>0</v>
      </c>
      <c r="CV1318">
        <v>2</v>
      </c>
      <c r="CW1318">
        <v>0</v>
      </c>
      <c r="CX1318">
        <v>6</v>
      </c>
      <c r="CY1318">
        <v>7</v>
      </c>
      <c r="CZ1318" t="s">
        <v>131</v>
      </c>
      <c r="DA1318">
        <v>300</v>
      </c>
      <c r="DB1318">
        <v>0</v>
      </c>
      <c r="DC1318" t="s">
        <v>176</v>
      </c>
      <c r="DD1318" t="s">
        <v>177</v>
      </c>
      <c r="DG1318">
        <v>5384173</v>
      </c>
      <c r="DI1318">
        <v>1</v>
      </c>
      <c r="DJ1318">
        <v>0</v>
      </c>
      <c r="DK1318">
        <v>1</v>
      </c>
      <c r="DL1318">
        <v>0</v>
      </c>
      <c r="DM1318">
        <v>0</v>
      </c>
      <c r="DN1318">
        <v>1</v>
      </c>
      <c r="DO1318">
        <v>0</v>
      </c>
      <c r="DP1318">
        <v>0</v>
      </c>
      <c r="DQ1318">
        <v>0</v>
      </c>
      <c r="DR1318">
        <v>0</v>
      </c>
      <c r="DS1318">
        <v>0</v>
      </c>
    </row>
    <row r="1319" spans="1:123" x14ac:dyDescent="0.3">
      <c r="A1319" t="str">
        <f>"10/04/2022 19:29:06.696"</f>
        <v>10/04/2022 19:29:06.696</v>
      </c>
      <c r="C1319" t="str">
        <f t="shared" si="438"/>
        <v>FFDDD3C0</v>
      </c>
      <c r="D1319" t="s">
        <v>143</v>
      </c>
      <c r="E1319">
        <v>20</v>
      </c>
      <c r="F1319">
        <v>1020</v>
      </c>
      <c r="G1319" t="s">
        <v>144</v>
      </c>
      <c r="J1319" t="s">
        <v>145</v>
      </c>
      <c r="K1319">
        <v>0</v>
      </c>
      <c r="L1319">
        <v>3</v>
      </c>
      <c r="M1319">
        <v>0</v>
      </c>
      <c r="N1319">
        <v>2</v>
      </c>
      <c r="O1319">
        <v>0</v>
      </c>
      <c r="P1319">
        <v>1</v>
      </c>
      <c r="Q1319">
        <v>0</v>
      </c>
      <c r="S1319" t="str">
        <f t="shared" si="457"/>
        <v>19:29:06.000</v>
      </c>
      <c r="T1319" t="str">
        <f t="shared" si="457"/>
        <v>19:29:06.000</v>
      </c>
      <c r="U1319" t="str">
        <f t="shared" si="443"/>
        <v>AC3944</v>
      </c>
      <c r="V1319">
        <v>0</v>
      </c>
      <c r="W1319">
        <v>0</v>
      </c>
      <c r="X1319">
        <v>2</v>
      </c>
      <c r="Y1319">
        <v>0</v>
      </c>
      <c r="AA1319">
        <v>1</v>
      </c>
      <c r="AB1319">
        <v>8</v>
      </c>
      <c r="AC1319">
        <v>3</v>
      </c>
      <c r="AD1319">
        <v>0</v>
      </c>
      <c r="AE1319">
        <v>9</v>
      </c>
      <c r="AF1319" t="s">
        <v>138</v>
      </c>
      <c r="AG1319">
        <v>0</v>
      </c>
      <c r="AH1319">
        <v>3</v>
      </c>
      <c r="AI1319">
        <v>1</v>
      </c>
      <c r="AJ1319">
        <v>0</v>
      </c>
      <c r="AK1319" t="s">
        <v>510</v>
      </c>
      <c r="AL1319">
        <v>32.805433000000001</v>
      </c>
      <c r="AM1319" t="s">
        <v>511</v>
      </c>
      <c r="AN1319">
        <v>-116.89790000000001</v>
      </c>
      <c r="AO1319">
        <v>25</v>
      </c>
      <c r="AP1319">
        <v>2400</v>
      </c>
      <c r="AQ1319" t="s">
        <v>129</v>
      </c>
      <c r="AR1319">
        <v>111</v>
      </c>
      <c r="AS1319">
        <v>-35</v>
      </c>
      <c r="AT1319">
        <v>320</v>
      </c>
      <c r="BB1319">
        <v>1200</v>
      </c>
      <c r="BC1319">
        <v>1</v>
      </c>
      <c r="BD1319" t="str">
        <f t="shared" si="444"/>
        <v xml:space="preserve">N887QR  </v>
      </c>
      <c r="BE1319">
        <v>1</v>
      </c>
      <c r="BJ1319">
        <v>2150</v>
      </c>
      <c r="BK1319">
        <v>-250</v>
      </c>
      <c r="BL1319" t="s">
        <v>163</v>
      </c>
      <c r="BM1319">
        <v>1</v>
      </c>
      <c r="BN1319">
        <v>1</v>
      </c>
      <c r="BO1319">
        <v>1</v>
      </c>
      <c r="BP1319">
        <v>0</v>
      </c>
      <c r="BS1319">
        <v>0</v>
      </c>
      <c r="BT1319">
        <v>0</v>
      </c>
      <c r="BU1319">
        <v>0</v>
      </c>
      <c r="CE1319" t="str">
        <f t="shared" si="458"/>
        <v>19:29:06.495</v>
      </c>
      <c r="CF1319">
        <v>495372642</v>
      </c>
      <c r="CS1319">
        <v>3</v>
      </c>
      <c r="CT1319">
        <v>2</v>
      </c>
      <c r="CU1319">
        <v>0</v>
      </c>
      <c r="CV1319">
        <v>2</v>
      </c>
      <c r="CW1319">
        <v>0</v>
      </c>
      <c r="CX1319">
        <v>6</v>
      </c>
      <c r="CY1319">
        <v>7</v>
      </c>
      <c r="CZ1319" t="s">
        <v>131</v>
      </c>
      <c r="DA1319">
        <v>300</v>
      </c>
      <c r="DB1319">
        <v>0</v>
      </c>
      <c r="DC1319" t="s">
        <v>176</v>
      </c>
      <c r="DD1319" t="s">
        <v>177</v>
      </c>
      <c r="DG1319">
        <v>5384173</v>
      </c>
      <c r="DI1319">
        <v>1</v>
      </c>
      <c r="DJ1319">
        <v>0</v>
      </c>
      <c r="DK1319">
        <v>1</v>
      </c>
      <c r="DL1319">
        <v>0</v>
      </c>
      <c r="DM1319">
        <v>0</v>
      </c>
      <c r="DN1319">
        <v>1</v>
      </c>
      <c r="DO1319">
        <v>0</v>
      </c>
      <c r="DP1319">
        <v>0</v>
      </c>
      <c r="DQ1319">
        <v>0</v>
      </c>
      <c r="DR1319">
        <v>0</v>
      </c>
      <c r="DS1319">
        <v>0</v>
      </c>
    </row>
    <row r="1320" spans="1:123" x14ac:dyDescent="0.3">
      <c r="A1320" t="str">
        <f>"10/04/2022 19:29:06.696"</f>
        <v>10/04/2022 19:29:06.696</v>
      </c>
      <c r="C1320" t="str">
        <f t="shared" si="438"/>
        <v>FFDDD3C0</v>
      </c>
      <c r="D1320" t="s">
        <v>123</v>
      </c>
      <c r="E1320">
        <v>7</v>
      </c>
      <c r="F1320">
        <v>2007</v>
      </c>
      <c r="G1320" t="s">
        <v>124</v>
      </c>
      <c r="J1320" t="s">
        <v>125</v>
      </c>
      <c r="K1320">
        <v>0</v>
      </c>
      <c r="L1320">
        <v>3</v>
      </c>
      <c r="M1320">
        <v>0</v>
      </c>
      <c r="N1320">
        <v>2</v>
      </c>
      <c r="O1320">
        <v>0</v>
      </c>
      <c r="P1320">
        <v>1</v>
      </c>
      <c r="Q1320">
        <v>0</v>
      </c>
      <c r="S1320" t="str">
        <f t="shared" si="457"/>
        <v>19:29:06.000</v>
      </c>
      <c r="T1320" t="str">
        <f t="shared" si="457"/>
        <v>19:29:06.000</v>
      </c>
      <c r="U1320" t="str">
        <f t="shared" si="443"/>
        <v>AC3944</v>
      </c>
      <c r="V1320">
        <v>0</v>
      </c>
      <c r="W1320">
        <v>0</v>
      </c>
      <c r="X1320">
        <v>2</v>
      </c>
      <c r="Y1320">
        <v>0</v>
      </c>
      <c r="AA1320">
        <v>1</v>
      </c>
      <c r="AB1320">
        <v>8</v>
      </c>
      <c r="AC1320">
        <v>3</v>
      </c>
      <c r="AD1320">
        <v>0</v>
      </c>
      <c r="AE1320">
        <v>9</v>
      </c>
      <c r="AF1320" t="s">
        <v>138</v>
      </c>
      <c r="AG1320">
        <v>0</v>
      </c>
      <c r="AH1320">
        <v>3</v>
      </c>
      <c r="AI1320">
        <v>1</v>
      </c>
      <c r="AJ1320">
        <v>0</v>
      </c>
      <c r="AK1320" t="s">
        <v>510</v>
      </c>
      <c r="AL1320">
        <v>32.805433000000001</v>
      </c>
      <c r="AM1320" t="s">
        <v>511</v>
      </c>
      <c r="AN1320">
        <v>-116.89790000000001</v>
      </c>
      <c r="AO1320">
        <v>25</v>
      </c>
      <c r="AP1320">
        <v>2400</v>
      </c>
      <c r="AQ1320" t="s">
        <v>129</v>
      </c>
      <c r="AR1320">
        <v>111</v>
      </c>
      <c r="AS1320">
        <v>-35</v>
      </c>
      <c r="AT1320">
        <v>320</v>
      </c>
      <c r="BB1320">
        <v>1200</v>
      </c>
      <c r="BC1320">
        <v>1</v>
      </c>
      <c r="BD1320" t="str">
        <f t="shared" si="444"/>
        <v xml:space="preserve">N887QR  </v>
      </c>
      <c r="BE1320">
        <v>1</v>
      </c>
      <c r="BJ1320">
        <v>2150</v>
      </c>
      <c r="BK1320">
        <v>-250</v>
      </c>
      <c r="BL1320" t="s">
        <v>163</v>
      </c>
      <c r="BM1320">
        <v>1</v>
      </c>
      <c r="BN1320">
        <v>1</v>
      </c>
      <c r="BO1320">
        <v>1</v>
      </c>
      <c r="BP1320">
        <v>0</v>
      </c>
      <c r="BS1320">
        <v>0</v>
      </c>
      <c r="BT1320">
        <v>0</v>
      </c>
      <c r="BU1320">
        <v>0</v>
      </c>
      <c r="CE1320" t="str">
        <f t="shared" si="458"/>
        <v>19:29:06.495</v>
      </c>
      <c r="CF1320">
        <v>495372642</v>
      </c>
      <c r="CS1320">
        <v>3</v>
      </c>
      <c r="CT1320">
        <v>2</v>
      </c>
      <c r="CU1320">
        <v>0</v>
      </c>
      <c r="CV1320">
        <v>2</v>
      </c>
      <c r="CW1320">
        <v>0</v>
      </c>
      <c r="CX1320">
        <v>6</v>
      </c>
      <c r="CY1320">
        <v>7</v>
      </c>
      <c r="CZ1320" t="s">
        <v>131</v>
      </c>
      <c r="DA1320">
        <v>300</v>
      </c>
      <c r="DB1320">
        <v>0</v>
      </c>
      <c r="DC1320" t="s">
        <v>176</v>
      </c>
      <c r="DD1320" t="s">
        <v>177</v>
      </c>
      <c r="DG1320">
        <v>5384173</v>
      </c>
      <c r="DI1320">
        <v>1</v>
      </c>
      <c r="DJ1320">
        <v>0</v>
      </c>
      <c r="DK1320">
        <v>1</v>
      </c>
      <c r="DL1320">
        <v>0</v>
      </c>
      <c r="DM1320">
        <v>0</v>
      </c>
      <c r="DN1320">
        <v>1</v>
      </c>
      <c r="DO1320">
        <v>0</v>
      </c>
      <c r="DP1320">
        <v>0</v>
      </c>
      <c r="DQ1320">
        <v>0</v>
      </c>
      <c r="DR1320">
        <v>0</v>
      </c>
      <c r="DS1320">
        <v>0</v>
      </c>
    </row>
    <row r="1321" spans="1:123" x14ac:dyDescent="0.3">
      <c r="A1321" t="str">
        <f>"10/04/2022 19:29:06.727"</f>
        <v>10/04/2022 19:29:06.727</v>
      </c>
      <c r="C1321" t="str">
        <f t="shared" si="438"/>
        <v>FFDDD3C0</v>
      </c>
      <c r="D1321" t="s">
        <v>134</v>
      </c>
      <c r="E1321">
        <v>15</v>
      </c>
      <c r="J1321" t="s">
        <v>135</v>
      </c>
      <c r="K1321">
        <v>0</v>
      </c>
      <c r="L1321">
        <v>3</v>
      </c>
      <c r="M1321">
        <v>0</v>
      </c>
      <c r="N1321">
        <v>2</v>
      </c>
      <c r="O1321">
        <v>0</v>
      </c>
      <c r="P1321">
        <v>1</v>
      </c>
      <c r="Q1321">
        <v>0</v>
      </c>
      <c r="S1321" t="str">
        <f t="shared" si="457"/>
        <v>19:29:06.000</v>
      </c>
      <c r="T1321" t="str">
        <f t="shared" si="457"/>
        <v>19:29:06.000</v>
      </c>
      <c r="U1321" t="str">
        <f t="shared" si="443"/>
        <v>AC3944</v>
      </c>
      <c r="V1321">
        <v>0</v>
      </c>
      <c r="W1321">
        <v>0</v>
      </c>
      <c r="X1321">
        <v>2</v>
      </c>
      <c r="Y1321">
        <v>0</v>
      </c>
      <c r="AA1321">
        <v>1</v>
      </c>
      <c r="AB1321">
        <v>8</v>
      </c>
      <c r="AC1321">
        <v>3</v>
      </c>
      <c r="AD1321">
        <v>0</v>
      </c>
      <c r="AE1321">
        <v>9</v>
      </c>
      <c r="AF1321" t="s">
        <v>138</v>
      </c>
      <c r="AG1321">
        <v>0</v>
      </c>
      <c r="AH1321">
        <v>3</v>
      </c>
      <c r="AI1321">
        <v>1</v>
      </c>
      <c r="AJ1321">
        <v>0</v>
      </c>
      <c r="AK1321" t="s">
        <v>510</v>
      </c>
      <c r="AL1321">
        <v>32.805433000000001</v>
      </c>
      <c r="AM1321" t="s">
        <v>511</v>
      </c>
      <c r="AN1321">
        <v>-116.89790000000001</v>
      </c>
      <c r="AO1321">
        <v>25</v>
      </c>
      <c r="AP1321">
        <v>2400</v>
      </c>
      <c r="AQ1321" t="s">
        <v>129</v>
      </c>
      <c r="AR1321">
        <v>111</v>
      </c>
      <c r="AS1321">
        <v>-35</v>
      </c>
      <c r="AT1321">
        <v>320</v>
      </c>
      <c r="BB1321">
        <v>1200</v>
      </c>
      <c r="BC1321">
        <v>1</v>
      </c>
      <c r="BD1321" t="str">
        <f t="shared" si="444"/>
        <v xml:space="preserve">N887QR  </v>
      </c>
      <c r="BE1321">
        <v>1</v>
      </c>
      <c r="BJ1321">
        <v>2150</v>
      </c>
      <c r="BK1321">
        <v>-250</v>
      </c>
      <c r="BL1321" t="s">
        <v>163</v>
      </c>
      <c r="BM1321">
        <v>1</v>
      </c>
      <c r="BN1321">
        <v>1</v>
      </c>
      <c r="BO1321">
        <v>1</v>
      </c>
      <c r="BP1321">
        <v>0</v>
      </c>
      <c r="BS1321">
        <v>0</v>
      </c>
      <c r="BT1321">
        <v>0</v>
      </c>
      <c r="BU1321">
        <v>0</v>
      </c>
      <c r="CE1321" t="str">
        <f t="shared" si="458"/>
        <v>19:29:06.495</v>
      </c>
      <c r="CF1321">
        <v>495372642</v>
      </c>
      <c r="CS1321">
        <v>3</v>
      </c>
      <c r="CT1321">
        <v>2</v>
      </c>
      <c r="CU1321">
        <v>0</v>
      </c>
      <c r="CV1321">
        <v>2</v>
      </c>
      <c r="CW1321">
        <v>0</v>
      </c>
      <c r="CX1321">
        <v>6</v>
      </c>
      <c r="CY1321">
        <v>7</v>
      </c>
      <c r="CZ1321" t="s">
        <v>131</v>
      </c>
      <c r="DA1321">
        <v>300</v>
      </c>
      <c r="DB1321">
        <v>0</v>
      </c>
      <c r="DC1321" t="s">
        <v>176</v>
      </c>
      <c r="DD1321" t="s">
        <v>177</v>
      </c>
      <c r="DG1321">
        <v>5384173</v>
      </c>
      <c r="DI1321">
        <v>1</v>
      </c>
      <c r="DJ1321">
        <v>0</v>
      </c>
      <c r="DK1321">
        <v>1</v>
      </c>
      <c r="DL1321">
        <v>0</v>
      </c>
      <c r="DM1321">
        <v>0</v>
      </c>
      <c r="DN1321">
        <v>1</v>
      </c>
      <c r="DO1321">
        <v>0</v>
      </c>
      <c r="DP1321">
        <v>0</v>
      </c>
      <c r="DQ1321">
        <v>0</v>
      </c>
      <c r="DR1321">
        <v>0</v>
      </c>
      <c r="DS1321">
        <v>0</v>
      </c>
    </row>
    <row r="1322" spans="1:123" x14ac:dyDescent="0.3">
      <c r="A1322" t="str">
        <f>"10/04/2022 19:29:06.759"</f>
        <v>10/04/2022 19:29:06.759</v>
      </c>
      <c r="C1322" t="str">
        <f t="shared" si="438"/>
        <v>FFDDD3C0</v>
      </c>
      <c r="D1322" t="s">
        <v>141</v>
      </c>
      <c r="E1322">
        <v>4</v>
      </c>
      <c r="H1322">
        <v>4</v>
      </c>
      <c r="I1322" t="s">
        <v>142</v>
      </c>
      <c r="J1322" t="s">
        <v>138</v>
      </c>
      <c r="K1322">
        <v>0</v>
      </c>
      <c r="L1322">
        <v>3</v>
      </c>
      <c r="M1322">
        <v>0</v>
      </c>
      <c r="N1322">
        <v>2</v>
      </c>
      <c r="O1322">
        <v>0</v>
      </c>
      <c r="P1322">
        <v>1</v>
      </c>
      <c r="Q1322">
        <v>0</v>
      </c>
      <c r="S1322" t="str">
        <f t="shared" si="457"/>
        <v>19:29:06.000</v>
      </c>
      <c r="T1322" t="str">
        <f t="shared" si="457"/>
        <v>19:29:06.000</v>
      </c>
      <c r="U1322" t="str">
        <f t="shared" si="443"/>
        <v>AC3944</v>
      </c>
      <c r="V1322">
        <v>0</v>
      </c>
      <c r="W1322">
        <v>0</v>
      </c>
      <c r="X1322">
        <v>2</v>
      </c>
      <c r="Y1322">
        <v>0</v>
      </c>
      <c r="AA1322">
        <v>1</v>
      </c>
      <c r="AB1322">
        <v>8</v>
      </c>
      <c r="AC1322">
        <v>3</v>
      </c>
      <c r="AD1322">
        <v>0</v>
      </c>
      <c r="AE1322">
        <v>9</v>
      </c>
      <c r="AF1322" t="s">
        <v>138</v>
      </c>
      <c r="AG1322">
        <v>0</v>
      </c>
      <c r="AH1322">
        <v>3</v>
      </c>
      <c r="AI1322">
        <v>1</v>
      </c>
      <c r="AJ1322">
        <v>0</v>
      </c>
      <c r="AK1322" t="s">
        <v>510</v>
      </c>
      <c r="AL1322">
        <v>32.805433000000001</v>
      </c>
      <c r="AM1322" t="s">
        <v>511</v>
      </c>
      <c r="AN1322">
        <v>-116.89790000000001</v>
      </c>
      <c r="AO1322">
        <v>25</v>
      </c>
      <c r="AP1322">
        <v>2400</v>
      </c>
      <c r="AQ1322" t="s">
        <v>129</v>
      </c>
      <c r="AR1322">
        <v>111</v>
      </c>
      <c r="AS1322">
        <v>-35</v>
      </c>
      <c r="AT1322">
        <v>320</v>
      </c>
      <c r="BB1322">
        <v>1200</v>
      </c>
      <c r="BC1322">
        <v>1</v>
      </c>
      <c r="BD1322" t="str">
        <f t="shared" si="444"/>
        <v xml:space="preserve">N887QR  </v>
      </c>
      <c r="BE1322">
        <v>1</v>
      </c>
      <c r="BJ1322">
        <v>2150</v>
      </c>
      <c r="BK1322">
        <v>-250</v>
      </c>
      <c r="BL1322" t="s">
        <v>163</v>
      </c>
      <c r="BM1322">
        <v>1</v>
      </c>
      <c r="BN1322">
        <v>1</v>
      </c>
      <c r="BO1322">
        <v>1</v>
      </c>
      <c r="BP1322">
        <v>0</v>
      </c>
      <c r="BS1322">
        <v>0</v>
      </c>
      <c r="BT1322">
        <v>0</v>
      </c>
      <c r="BU1322">
        <v>0</v>
      </c>
      <c r="CE1322" t="str">
        <f t="shared" si="458"/>
        <v>19:29:06.495</v>
      </c>
      <c r="CF1322">
        <v>495372642</v>
      </c>
      <c r="CS1322">
        <v>3</v>
      </c>
      <c r="CT1322">
        <v>2</v>
      </c>
      <c r="CU1322">
        <v>0</v>
      </c>
      <c r="CV1322">
        <v>2</v>
      </c>
      <c r="CW1322">
        <v>0</v>
      </c>
      <c r="CX1322">
        <v>6</v>
      </c>
      <c r="CY1322">
        <v>7</v>
      </c>
      <c r="CZ1322" t="s">
        <v>131</v>
      </c>
      <c r="DA1322">
        <v>300</v>
      </c>
      <c r="DB1322">
        <v>0</v>
      </c>
      <c r="DC1322" t="s">
        <v>176</v>
      </c>
      <c r="DD1322" t="s">
        <v>177</v>
      </c>
      <c r="DG1322">
        <v>5384173</v>
      </c>
      <c r="DI1322">
        <v>1</v>
      </c>
      <c r="DJ1322">
        <v>0</v>
      </c>
      <c r="DK1322">
        <v>1</v>
      </c>
      <c r="DL1322">
        <v>0</v>
      </c>
      <c r="DM1322">
        <v>0</v>
      </c>
      <c r="DN1322">
        <v>1</v>
      </c>
      <c r="DO1322">
        <v>0</v>
      </c>
      <c r="DP1322">
        <v>0</v>
      </c>
      <c r="DQ1322">
        <v>0</v>
      </c>
      <c r="DR1322">
        <v>0</v>
      </c>
      <c r="DS1322">
        <v>0</v>
      </c>
    </row>
    <row r="1323" spans="1:123" x14ac:dyDescent="0.3">
      <c r="A1323" t="str">
        <f>"10/04/2022 19:29:06.759"</f>
        <v>10/04/2022 19:29:06.759</v>
      </c>
      <c r="C1323" t="str">
        <f t="shared" si="438"/>
        <v>FFDDD3C0</v>
      </c>
      <c r="D1323" t="s">
        <v>147</v>
      </c>
      <c r="E1323">
        <v>3</v>
      </c>
      <c r="H1323">
        <v>166</v>
      </c>
      <c r="I1323" t="s">
        <v>144</v>
      </c>
      <c r="J1323" t="s">
        <v>148</v>
      </c>
      <c r="K1323">
        <v>0</v>
      </c>
      <c r="L1323">
        <v>3</v>
      </c>
      <c r="M1323">
        <v>0</v>
      </c>
      <c r="N1323">
        <v>2</v>
      </c>
      <c r="O1323">
        <v>0</v>
      </c>
      <c r="P1323">
        <v>1</v>
      </c>
      <c r="Q1323">
        <v>0</v>
      </c>
      <c r="S1323" t="str">
        <f t="shared" si="457"/>
        <v>19:29:06.000</v>
      </c>
      <c r="T1323" t="str">
        <f t="shared" si="457"/>
        <v>19:29:06.000</v>
      </c>
      <c r="U1323" t="str">
        <f t="shared" si="443"/>
        <v>AC3944</v>
      </c>
      <c r="V1323">
        <v>0</v>
      </c>
      <c r="W1323">
        <v>0</v>
      </c>
      <c r="X1323">
        <v>2</v>
      </c>
      <c r="Y1323">
        <v>0</v>
      </c>
      <c r="AA1323">
        <v>1</v>
      </c>
      <c r="AB1323">
        <v>8</v>
      </c>
      <c r="AC1323">
        <v>3</v>
      </c>
      <c r="AD1323">
        <v>0</v>
      </c>
      <c r="AE1323">
        <v>9</v>
      </c>
      <c r="AF1323" t="s">
        <v>138</v>
      </c>
      <c r="AG1323">
        <v>0</v>
      </c>
      <c r="AH1323">
        <v>3</v>
      </c>
      <c r="AI1323">
        <v>1</v>
      </c>
      <c r="AJ1323">
        <v>0</v>
      </c>
      <c r="AK1323" t="s">
        <v>510</v>
      </c>
      <c r="AL1323">
        <v>32.805433000000001</v>
      </c>
      <c r="AM1323" t="s">
        <v>511</v>
      </c>
      <c r="AN1323">
        <v>-116.89790000000001</v>
      </c>
      <c r="AO1323">
        <v>25</v>
      </c>
      <c r="AP1323">
        <v>2400</v>
      </c>
      <c r="AQ1323" t="s">
        <v>129</v>
      </c>
      <c r="AR1323">
        <v>111</v>
      </c>
      <c r="AS1323">
        <v>-35</v>
      </c>
      <c r="AT1323">
        <v>320</v>
      </c>
      <c r="BB1323">
        <v>1200</v>
      </c>
      <c r="BC1323">
        <v>1</v>
      </c>
      <c r="BD1323" t="str">
        <f t="shared" si="444"/>
        <v xml:space="preserve">N887QR  </v>
      </c>
      <c r="BE1323">
        <v>1</v>
      </c>
      <c r="BJ1323">
        <v>2150</v>
      </c>
      <c r="BK1323">
        <v>-250</v>
      </c>
      <c r="BL1323" t="s">
        <v>163</v>
      </c>
      <c r="BM1323">
        <v>1</v>
      </c>
      <c r="BN1323">
        <v>1</v>
      </c>
      <c r="BO1323">
        <v>1</v>
      </c>
      <c r="BP1323">
        <v>0</v>
      </c>
      <c r="BS1323">
        <v>0</v>
      </c>
      <c r="BT1323">
        <v>0</v>
      </c>
      <c r="BU1323">
        <v>0</v>
      </c>
      <c r="CE1323" t="str">
        <f t="shared" si="458"/>
        <v>19:29:06.495</v>
      </c>
      <c r="CF1323">
        <v>495372642</v>
      </c>
      <c r="CS1323">
        <v>3</v>
      </c>
      <c r="CT1323">
        <v>2</v>
      </c>
      <c r="CU1323">
        <v>0</v>
      </c>
      <c r="CV1323">
        <v>2</v>
      </c>
      <c r="CW1323">
        <v>0</v>
      </c>
      <c r="CX1323">
        <v>6</v>
      </c>
      <c r="CY1323">
        <v>7</v>
      </c>
      <c r="CZ1323" t="s">
        <v>131</v>
      </c>
      <c r="DA1323">
        <v>300</v>
      </c>
      <c r="DB1323">
        <v>0</v>
      </c>
      <c r="DC1323" t="s">
        <v>176</v>
      </c>
      <c r="DD1323" t="s">
        <v>177</v>
      </c>
      <c r="DG1323">
        <v>5384173</v>
      </c>
      <c r="DI1323">
        <v>1</v>
      </c>
      <c r="DJ1323">
        <v>0</v>
      </c>
      <c r="DK1323">
        <v>1</v>
      </c>
      <c r="DL1323">
        <v>0</v>
      </c>
      <c r="DM1323">
        <v>0</v>
      </c>
      <c r="DN1323">
        <v>1</v>
      </c>
      <c r="DO1323">
        <v>0</v>
      </c>
      <c r="DP1323">
        <v>0</v>
      </c>
      <c r="DQ1323">
        <v>0</v>
      </c>
      <c r="DR1323">
        <v>0</v>
      </c>
      <c r="DS1323">
        <v>0</v>
      </c>
    </row>
    <row r="1324" spans="1:123" x14ac:dyDescent="0.3">
      <c r="A1324" t="str">
        <f>"10/04/2022 19:29:07.134"</f>
        <v>10/04/2022 19:29:07.134</v>
      </c>
      <c r="C1324" t="str">
        <f t="shared" si="438"/>
        <v>FFDDD3C0</v>
      </c>
      <c r="D1324" t="s">
        <v>147</v>
      </c>
      <c r="E1324">
        <v>3</v>
      </c>
      <c r="H1324">
        <v>166</v>
      </c>
      <c r="I1324" t="s">
        <v>144</v>
      </c>
      <c r="J1324" t="s">
        <v>148</v>
      </c>
      <c r="K1324">
        <v>0</v>
      </c>
      <c r="L1324">
        <v>3</v>
      </c>
      <c r="M1324">
        <v>0</v>
      </c>
      <c r="N1324">
        <v>2</v>
      </c>
      <c r="O1324">
        <v>0</v>
      </c>
      <c r="P1324">
        <v>1</v>
      </c>
      <c r="Q1324">
        <v>0</v>
      </c>
      <c r="S1324" t="str">
        <f t="shared" si="457"/>
        <v>19:29:06.000</v>
      </c>
      <c r="T1324" t="str">
        <f t="shared" si="457"/>
        <v>19:29:06.000</v>
      </c>
      <c r="U1324" t="str">
        <f t="shared" si="443"/>
        <v>AC3944</v>
      </c>
      <c r="V1324">
        <v>0</v>
      </c>
      <c r="W1324">
        <v>0</v>
      </c>
      <c r="X1324">
        <v>2</v>
      </c>
      <c r="Y1324">
        <v>0</v>
      </c>
      <c r="AA1324">
        <v>1</v>
      </c>
      <c r="AB1324">
        <v>8</v>
      </c>
      <c r="AC1324">
        <v>3</v>
      </c>
      <c r="AD1324">
        <v>0</v>
      </c>
      <c r="AE1324">
        <v>9</v>
      </c>
      <c r="AF1324" t="s">
        <v>138</v>
      </c>
      <c r="AG1324">
        <v>0</v>
      </c>
      <c r="AH1324">
        <v>3</v>
      </c>
      <c r="AI1324">
        <v>1</v>
      </c>
      <c r="AJ1324">
        <v>0</v>
      </c>
      <c r="AK1324" t="s">
        <v>512</v>
      </c>
      <c r="AL1324">
        <v>32.805283000000003</v>
      </c>
      <c r="AM1324" t="s">
        <v>513</v>
      </c>
      <c r="AN1324">
        <v>-116.897299</v>
      </c>
      <c r="AO1324">
        <v>25</v>
      </c>
      <c r="AP1324">
        <v>2400</v>
      </c>
      <c r="AQ1324" t="s">
        <v>129</v>
      </c>
      <c r="AR1324">
        <v>111</v>
      </c>
      <c r="AS1324">
        <v>-36</v>
      </c>
      <c r="AT1324">
        <v>320</v>
      </c>
      <c r="BB1324">
        <v>1200</v>
      </c>
      <c r="BC1324">
        <v>1</v>
      </c>
      <c r="BD1324" t="str">
        <f t="shared" si="444"/>
        <v xml:space="preserve">N887QR  </v>
      </c>
      <c r="BE1324">
        <v>1</v>
      </c>
      <c r="BJ1324">
        <v>2150</v>
      </c>
      <c r="BK1324">
        <v>-250</v>
      </c>
      <c r="BL1324" t="s">
        <v>163</v>
      </c>
      <c r="BM1324">
        <v>1</v>
      </c>
      <c r="BN1324">
        <v>1</v>
      </c>
      <c r="BO1324">
        <v>1</v>
      </c>
      <c r="BP1324">
        <v>0</v>
      </c>
      <c r="BS1324">
        <v>0</v>
      </c>
      <c r="BT1324">
        <v>0</v>
      </c>
      <c r="BU1324">
        <v>0</v>
      </c>
      <c r="CE1324" t="str">
        <f t="shared" ref="CE1324:CE1330" si="459">"19:29:06.953"</f>
        <v>19:29:06.953</v>
      </c>
      <c r="CF1324">
        <v>952955875</v>
      </c>
      <c r="CS1324">
        <v>3</v>
      </c>
      <c r="CT1324">
        <v>2</v>
      </c>
      <c r="CU1324">
        <v>0</v>
      </c>
      <c r="CV1324">
        <v>2</v>
      </c>
      <c r="CW1324">
        <v>0</v>
      </c>
      <c r="CX1324">
        <v>4</v>
      </c>
      <c r="CY1324">
        <v>7</v>
      </c>
      <c r="CZ1324" t="s">
        <v>131</v>
      </c>
      <c r="DA1324">
        <v>297</v>
      </c>
      <c r="DB1324">
        <v>0</v>
      </c>
      <c r="DC1324" t="s">
        <v>258</v>
      </c>
      <c r="DD1324" t="s">
        <v>259</v>
      </c>
      <c r="DG1324">
        <v>16713645</v>
      </c>
      <c r="DI1324">
        <v>1</v>
      </c>
      <c r="DJ1324">
        <v>0</v>
      </c>
      <c r="DK1324">
        <v>0</v>
      </c>
      <c r="DL1324">
        <v>0</v>
      </c>
      <c r="DM1324">
        <v>0</v>
      </c>
      <c r="DN1324">
        <v>1</v>
      </c>
      <c r="DO1324">
        <v>0</v>
      </c>
      <c r="DP1324">
        <v>0</v>
      </c>
      <c r="DQ1324">
        <v>0</v>
      </c>
      <c r="DR1324">
        <v>0</v>
      </c>
      <c r="DS1324">
        <v>0</v>
      </c>
    </row>
    <row r="1325" spans="1:123" x14ac:dyDescent="0.3">
      <c r="A1325" t="str">
        <f>"10/04/2022 19:29:07.134"</f>
        <v>10/04/2022 19:29:07.134</v>
      </c>
      <c r="C1325" t="str">
        <f t="shared" si="438"/>
        <v>FFDDD3C0</v>
      </c>
      <c r="D1325" t="s">
        <v>141</v>
      </c>
      <c r="E1325">
        <v>3</v>
      </c>
      <c r="H1325">
        <v>3</v>
      </c>
      <c r="I1325" t="s">
        <v>146</v>
      </c>
      <c r="J1325" t="s">
        <v>138</v>
      </c>
      <c r="K1325">
        <v>0</v>
      </c>
      <c r="L1325">
        <v>3</v>
      </c>
      <c r="M1325">
        <v>0</v>
      </c>
      <c r="N1325">
        <v>2</v>
      </c>
      <c r="O1325">
        <v>0</v>
      </c>
      <c r="P1325">
        <v>1</v>
      </c>
      <c r="Q1325">
        <v>0</v>
      </c>
      <c r="S1325" t="str">
        <f t="shared" si="457"/>
        <v>19:29:06.000</v>
      </c>
      <c r="T1325" t="str">
        <f t="shared" si="457"/>
        <v>19:29:06.000</v>
      </c>
      <c r="U1325" t="str">
        <f t="shared" si="443"/>
        <v>AC3944</v>
      </c>
      <c r="V1325">
        <v>0</v>
      </c>
      <c r="W1325">
        <v>0</v>
      </c>
      <c r="X1325">
        <v>2</v>
      </c>
      <c r="Y1325">
        <v>0</v>
      </c>
      <c r="AA1325">
        <v>1</v>
      </c>
      <c r="AB1325">
        <v>8</v>
      </c>
      <c r="AC1325">
        <v>3</v>
      </c>
      <c r="AD1325">
        <v>0</v>
      </c>
      <c r="AE1325">
        <v>9</v>
      </c>
      <c r="AF1325" t="s">
        <v>138</v>
      </c>
      <c r="AG1325">
        <v>0</v>
      </c>
      <c r="AH1325">
        <v>3</v>
      </c>
      <c r="AI1325">
        <v>1</v>
      </c>
      <c r="AJ1325">
        <v>0</v>
      </c>
      <c r="AK1325" t="s">
        <v>512</v>
      </c>
      <c r="AL1325">
        <v>32.805283000000003</v>
      </c>
      <c r="AM1325" t="s">
        <v>513</v>
      </c>
      <c r="AN1325">
        <v>-116.897299</v>
      </c>
      <c r="AO1325">
        <v>25</v>
      </c>
      <c r="AP1325">
        <v>2400</v>
      </c>
      <c r="AQ1325" t="s">
        <v>129</v>
      </c>
      <c r="AR1325">
        <v>111</v>
      </c>
      <c r="AS1325">
        <v>-36</v>
      </c>
      <c r="AT1325">
        <v>320</v>
      </c>
      <c r="BB1325">
        <v>1200</v>
      </c>
      <c r="BC1325">
        <v>1</v>
      </c>
      <c r="BD1325" t="str">
        <f t="shared" si="444"/>
        <v xml:space="preserve">N887QR  </v>
      </c>
      <c r="BE1325">
        <v>1</v>
      </c>
      <c r="BJ1325">
        <v>2150</v>
      </c>
      <c r="BK1325">
        <v>-250</v>
      </c>
      <c r="BL1325" t="s">
        <v>163</v>
      </c>
      <c r="BM1325">
        <v>1</v>
      </c>
      <c r="BN1325">
        <v>1</v>
      </c>
      <c r="BO1325">
        <v>1</v>
      </c>
      <c r="BP1325">
        <v>0</v>
      </c>
      <c r="BS1325">
        <v>0</v>
      </c>
      <c r="BT1325">
        <v>0</v>
      </c>
      <c r="BU1325">
        <v>0</v>
      </c>
      <c r="CE1325" t="str">
        <f t="shared" si="459"/>
        <v>19:29:06.953</v>
      </c>
      <c r="CF1325">
        <v>952955875</v>
      </c>
      <c r="CS1325">
        <v>3</v>
      </c>
      <c r="CT1325">
        <v>2</v>
      </c>
      <c r="CU1325">
        <v>0</v>
      </c>
      <c r="CV1325">
        <v>2</v>
      </c>
      <c r="CW1325">
        <v>0</v>
      </c>
      <c r="CX1325">
        <v>4</v>
      </c>
      <c r="CY1325">
        <v>7</v>
      </c>
      <c r="CZ1325" t="s">
        <v>131</v>
      </c>
      <c r="DA1325">
        <v>297</v>
      </c>
      <c r="DB1325">
        <v>0</v>
      </c>
      <c r="DC1325" t="s">
        <v>258</v>
      </c>
      <c r="DD1325" t="s">
        <v>259</v>
      </c>
      <c r="DG1325">
        <v>16713645</v>
      </c>
      <c r="DI1325">
        <v>1</v>
      </c>
      <c r="DJ1325">
        <v>0</v>
      </c>
      <c r="DK1325">
        <v>1</v>
      </c>
      <c r="DL1325">
        <v>0</v>
      </c>
      <c r="DM1325">
        <v>0</v>
      </c>
      <c r="DN1325">
        <v>1</v>
      </c>
      <c r="DO1325">
        <v>0</v>
      </c>
      <c r="DP1325">
        <v>0</v>
      </c>
      <c r="DQ1325">
        <v>0</v>
      </c>
      <c r="DR1325">
        <v>0</v>
      </c>
      <c r="DS1325">
        <v>0</v>
      </c>
    </row>
    <row r="1326" spans="1:123" x14ac:dyDescent="0.3">
      <c r="A1326" t="str">
        <f>"10/04/2022 19:29:07.165"</f>
        <v>10/04/2022 19:29:07.165</v>
      </c>
      <c r="C1326" t="str">
        <f t="shared" si="438"/>
        <v>FFDDD3C0</v>
      </c>
      <c r="D1326" t="s">
        <v>136</v>
      </c>
      <c r="E1326">
        <v>8</v>
      </c>
      <c r="H1326">
        <v>225</v>
      </c>
      <c r="I1326" t="s">
        <v>137</v>
      </c>
      <c r="J1326" t="s">
        <v>138</v>
      </c>
      <c r="K1326">
        <v>0</v>
      </c>
      <c r="L1326">
        <v>3</v>
      </c>
      <c r="M1326">
        <v>0</v>
      </c>
      <c r="N1326">
        <v>2</v>
      </c>
      <c r="O1326">
        <v>0</v>
      </c>
      <c r="P1326">
        <v>1</v>
      </c>
      <c r="Q1326">
        <v>0</v>
      </c>
      <c r="S1326" t="str">
        <f t="shared" si="457"/>
        <v>19:29:06.000</v>
      </c>
      <c r="T1326" t="str">
        <f t="shared" si="457"/>
        <v>19:29:06.000</v>
      </c>
      <c r="U1326" t="str">
        <f t="shared" si="443"/>
        <v>AC3944</v>
      </c>
      <c r="V1326">
        <v>0</v>
      </c>
      <c r="W1326">
        <v>0</v>
      </c>
      <c r="X1326">
        <v>2</v>
      </c>
      <c r="Y1326">
        <v>0</v>
      </c>
      <c r="AA1326">
        <v>1</v>
      </c>
      <c r="AB1326">
        <v>8</v>
      </c>
      <c r="AC1326">
        <v>3</v>
      </c>
      <c r="AD1326">
        <v>0</v>
      </c>
      <c r="AE1326">
        <v>9</v>
      </c>
      <c r="AF1326" t="s">
        <v>138</v>
      </c>
      <c r="AG1326">
        <v>0</v>
      </c>
      <c r="AH1326">
        <v>3</v>
      </c>
      <c r="AI1326">
        <v>1</v>
      </c>
      <c r="AJ1326">
        <v>0</v>
      </c>
      <c r="AK1326" t="s">
        <v>512</v>
      </c>
      <c r="AL1326">
        <v>32.805283000000003</v>
      </c>
      <c r="AM1326" t="s">
        <v>513</v>
      </c>
      <c r="AN1326">
        <v>-116.897299</v>
      </c>
      <c r="AO1326">
        <v>25</v>
      </c>
      <c r="AP1326">
        <v>2400</v>
      </c>
      <c r="AQ1326" t="s">
        <v>129</v>
      </c>
      <c r="AR1326">
        <v>111</v>
      </c>
      <c r="AS1326">
        <v>-36</v>
      </c>
      <c r="AT1326">
        <v>320</v>
      </c>
      <c r="BB1326">
        <v>1200</v>
      </c>
      <c r="BC1326">
        <v>1</v>
      </c>
      <c r="BD1326" t="str">
        <f t="shared" si="444"/>
        <v xml:space="preserve">N887QR  </v>
      </c>
      <c r="BE1326">
        <v>1</v>
      </c>
      <c r="BJ1326">
        <v>2150</v>
      </c>
      <c r="BK1326">
        <v>-250</v>
      </c>
      <c r="BL1326" t="s">
        <v>163</v>
      </c>
      <c r="BM1326">
        <v>1</v>
      </c>
      <c r="BN1326">
        <v>1</v>
      </c>
      <c r="BO1326">
        <v>1</v>
      </c>
      <c r="BP1326">
        <v>0</v>
      </c>
      <c r="BS1326">
        <v>0</v>
      </c>
      <c r="BT1326">
        <v>0</v>
      </c>
      <c r="BU1326">
        <v>0</v>
      </c>
      <c r="CE1326" t="str">
        <f t="shared" si="459"/>
        <v>19:29:06.953</v>
      </c>
      <c r="CF1326">
        <v>952955875</v>
      </c>
      <c r="CS1326">
        <v>3</v>
      </c>
      <c r="CT1326">
        <v>2</v>
      </c>
      <c r="CU1326">
        <v>0</v>
      </c>
      <c r="CV1326">
        <v>2</v>
      </c>
      <c r="CW1326">
        <v>0</v>
      </c>
      <c r="CX1326">
        <v>4</v>
      </c>
      <c r="CY1326">
        <v>7</v>
      </c>
      <c r="CZ1326" t="s">
        <v>131</v>
      </c>
      <c r="DA1326">
        <v>297</v>
      </c>
      <c r="DB1326">
        <v>0</v>
      </c>
      <c r="DC1326" t="s">
        <v>258</v>
      </c>
      <c r="DD1326" t="s">
        <v>259</v>
      </c>
      <c r="DG1326">
        <v>16713645</v>
      </c>
      <c r="DI1326">
        <v>1</v>
      </c>
      <c r="DJ1326">
        <v>0</v>
      </c>
      <c r="DK1326">
        <v>1</v>
      </c>
      <c r="DL1326">
        <v>0</v>
      </c>
      <c r="DM1326">
        <v>0</v>
      </c>
      <c r="DN1326">
        <v>1</v>
      </c>
      <c r="DO1326">
        <v>0</v>
      </c>
      <c r="DP1326">
        <v>0</v>
      </c>
      <c r="DQ1326">
        <v>0</v>
      </c>
      <c r="DR1326">
        <v>0</v>
      </c>
      <c r="DS1326">
        <v>0</v>
      </c>
    </row>
    <row r="1327" spans="1:123" x14ac:dyDescent="0.3">
      <c r="A1327" t="str">
        <f>"10/04/2022 19:29:07.165"</f>
        <v>10/04/2022 19:29:07.165</v>
      </c>
      <c r="C1327" t="str">
        <f t="shared" si="438"/>
        <v>FFDDD3C0</v>
      </c>
      <c r="D1327" t="s">
        <v>143</v>
      </c>
      <c r="E1327">
        <v>20</v>
      </c>
      <c r="F1327">
        <v>1020</v>
      </c>
      <c r="G1327" t="s">
        <v>144</v>
      </c>
      <c r="J1327" t="s">
        <v>145</v>
      </c>
      <c r="K1327">
        <v>0</v>
      </c>
      <c r="L1327">
        <v>3</v>
      </c>
      <c r="M1327">
        <v>0</v>
      </c>
      <c r="N1327">
        <v>2</v>
      </c>
      <c r="O1327">
        <v>0</v>
      </c>
      <c r="P1327">
        <v>1</v>
      </c>
      <c r="Q1327">
        <v>0</v>
      </c>
      <c r="S1327" t="str">
        <f t="shared" si="457"/>
        <v>19:29:06.000</v>
      </c>
      <c r="T1327" t="str">
        <f t="shared" si="457"/>
        <v>19:29:06.000</v>
      </c>
      <c r="U1327" t="str">
        <f t="shared" si="443"/>
        <v>AC3944</v>
      </c>
      <c r="V1327">
        <v>0</v>
      </c>
      <c r="W1327">
        <v>0</v>
      </c>
      <c r="X1327">
        <v>2</v>
      </c>
      <c r="Y1327">
        <v>0</v>
      </c>
      <c r="AA1327">
        <v>1</v>
      </c>
      <c r="AB1327">
        <v>8</v>
      </c>
      <c r="AC1327">
        <v>3</v>
      </c>
      <c r="AD1327">
        <v>0</v>
      </c>
      <c r="AE1327">
        <v>9</v>
      </c>
      <c r="AF1327" t="s">
        <v>138</v>
      </c>
      <c r="AG1327">
        <v>0</v>
      </c>
      <c r="AH1327">
        <v>3</v>
      </c>
      <c r="AI1327">
        <v>1</v>
      </c>
      <c r="AJ1327">
        <v>0</v>
      </c>
      <c r="AK1327" t="s">
        <v>512</v>
      </c>
      <c r="AL1327">
        <v>32.805283000000003</v>
      </c>
      <c r="AM1327" t="s">
        <v>513</v>
      </c>
      <c r="AN1327">
        <v>-116.897299</v>
      </c>
      <c r="AO1327">
        <v>25</v>
      </c>
      <c r="AP1327">
        <v>2400</v>
      </c>
      <c r="AQ1327" t="s">
        <v>129</v>
      </c>
      <c r="AR1327">
        <v>111</v>
      </c>
      <c r="AS1327">
        <v>-36</v>
      </c>
      <c r="AT1327">
        <v>320</v>
      </c>
      <c r="BB1327">
        <v>1200</v>
      </c>
      <c r="BC1327">
        <v>1</v>
      </c>
      <c r="BD1327" t="str">
        <f t="shared" si="444"/>
        <v xml:space="preserve">N887QR  </v>
      </c>
      <c r="BE1327">
        <v>1</v>
      </c>
      <c r="BJ1327">
        <v>2150</v>
      </c>
      <c r="BK1327">
        <v>-250</v>
      </c>
      <c r="BL1327" t="s">
        <v>163</v>
      </c>
      <c r="BM1327">
        <v>1</v>
      </c>
      <c r="BN1327">
        <v>1</v>
      </c>
      <c r="BO1327">
        <v>1</v>
      </c>
      <c r="BP1327">
        <v>0</v>
      </c>
      <c r="BS1327">
        <v>0</v>
      </c>
      <c r="BT1327">
        <v>0</v>
      </c>
      <c r="BU1327">
        <v>0</v>
      </c>
      <c r="CE1327" t="str">
        <f t="shared" si="459"/>
        <v>19:29:06.953</v>
      </c>
      <c r="CF1327">
        <v>952955875</v>
      </c>
      <c r="CS1327">
        <v>3</v>
      </c>
      <c r="CT1327">
        <v>2</v>
      </c>
      <c r="CU1327">
        <v>0</v>
      </c>
      <c r="CV1327">
        <v>2</v>
      </c>
      <c r="CW1327">
        <v>0</v>
      </c>
      <c r="CX1327">
        <v>4</v>
      </c>
      <c r="CY1327">
        <v>7</v>
      </c>
      <c r="CZ1327" t="s">
        <v>131</v>
      </c>
      <c r="DA1327">
        <v>297</v>
      </c>
      <c r="DB1327">
        <v>0</v>
      </c>
      <c r="DC1327" t="s">
        <v>258</v>
      </c>
      <c r="DD1327" t="s">
        <v>259</v>
      </c>
      <c r="DG1327">
        <v>16713645</v>
      </c>
      <c r="DI1327">
        <v>1</v>
      </c>
      <c r="DJ1327">
        <v>0</v>
      </c>
      <c r="DK1327">
        <v>1</v>
      </c>
      <c r="DL1327">
        <v>0</v>
      </c>
      <c r="DM1327">
        <v>0</v>
      </c>
      <c r="DN1327">
        <v>1</v>
      </c>
      <c r="DO1327">
        <v>0</v>
      </c>
      <c r="DP1327">
        <v>0</v>
      </c>
      <c r="DQ1327">
        <v>0</v>
      </c>
      <c r="DR1327">
        <v>0</v>
      </c>
      <c r="DS1327">
        <v>0</v>
      </c>
    </row>
    <row r="1328" spans="1:123" x14ac:dyDescent="0.3">
      <c r="A1328" t="str">
        <f>"10/04/2022 19:29:07.165"</f>
        <v>10/04/2022 19:29:07.165</v>
      </c>
      <c r="C1328" t="str">
        <f t="shared" si="438"/>
        <v>FFDDD3C0</v>
      </c>
      <c r="D1328" t="s">
        <v>123</v>
      </c>
      <c r="E1328">
        <v>7</v>
      </c>
      <c r="F1328">
        <v>2007</v>
      </c>
      <c r="G1328" t="s">
        <v>124</v>
      </c>
      <c r="J1328" t="s">
        <v>125</v>
      </c>
      <c r="K1328">
        <v>0</v>
      </c>
      <c r="L1328">
        <v>3</v>
      </c>
      <c r="M1328">
        <v>0</v>
      </c>
      <c r="N1328">
        <v>2</v>
      </c>
      <c r="O1328">
        <v>0</v>
      </c>
      <c r="P1328">
        <v>1</v>
      </c>
      <c r="Q1328">
        <v>0</v>
      </c>
      <c r="S1328" t="str">
        <f t="shared" si="457"/>
        <v>19:29:06.000</v>
      </c>
      <c r="T1328" t="str">
        <f t="shared" si="457"/>
        <v>19:29:06.000</v>
      </c>
      <c r="U1328" t="str">
        <f t="shared" si="443"/>
        <v>AC3944</v>
      </c>
      <c r="V1328">
        <v>0</v>
      </c>
      <c r="W1328">
        <v>0</v>
      </c>
      <c r="X1328">
        <v>2</v>
      </c>
      <c r="Y1328">
        <v>0</v>
      </c>
      <c r="AA1328">
        <v>1</v>
      </c>
      <c r="AB1328">
        <v>8</v>
      </c>
      <c r="AC1328">
        <v>3</v>
      </c>
      <c r="AD1328">
        <v>0</v>
      </c>
      <c r="AE1328">
        <v>9</v>
      </c>
      <c r="AF1328" t="s">
        <v>138</v>
      </c>
      <c r="AG1328">
        <v>0</v>
      </c>
      <c r="AH1328">
        <v>3</v>
      </c>
      <c r="AI1328">
        <v>1</v>
      </c>
      <c r="AJ1328">
        <v>0</v>
      </c>
      <c r="AK1328" t="s">
        <v>512</v>
      </c>
      <c r="AL1328">
        <v>32.805283000000003</v>
      </c>
      <c r="AM1328" t="s">
        <v>513</v>
      </c>
      <c r="AN1328">
        <v>-116.897299</v>
      </c>
      <c r="AO1328">
        <v>25</v>
      </c>
      <c r="AP1328">
        <v>2400</v>
      </c>
      <c r="AQ1328" t="s">
        <v>129</v>
      </c>
      <c r="AR1328">
        <v>111</v>
      </c>
      <c r="AS1328">
        <v>-36</v>
      </c>
      <c r="AT1328">
        <v>320</v>
      </c>
      <c r="BB1328">
        <v>1200</v>
      </c>
      <c r="BC1328">
        <v>1</v>
      </c>
      <c r="BD1328" t="str">
        <f t="shared" si="444"/>
        <v xml:space="preserve">N887QR  </v>
      </c>
      <c r="BE1328">
        <v>1</v>
      </c>
      <c r="BJ1328">
        <v>2150</v>
      </c>
      <c r="BK1328">
        <v>-250</v>
      </c>
      <c r="BL1328" t="s">
        <v>163</v>
      </c>
      <c r="BM1328">
        <v>1</v>
      </c>
      <c r="BN1328">
        <v>1</v>
      </c>
      <c r="BO1328">
        <v>1</v>
      </c>
      <c r="BP1328">
        <v>0</v>
      </c>
      <c r="BS1328">
        <v>0</v>
      </c>
      <c r="BT1328">
        <v>0</v>
      </c>
      <c r="BU1328">
        <v>0</v>
      </c>
      <c r="CE1328" t="str">
        <f t="shared" si="459"/>
        <v>19:29:06.953</v>
      </c>
      <c r="CF1328">
        <v>952955875</v>
      </c>
      <c r="CS1328">
        <v>3</v>
      </c>
      <c r="CT1328">
        <v>2</v>
      </c>
      <c r="CU1328">
        <v>0</v>
      </c>
      <c r="CV1328">
        <v>2</v>
      </c>
      <c r="CW1328">
        <v>0</v>
      </c>
      <c r="CX1328">
        <v>4</v>
      </c>
      <c r="CY1328">
        <v>7</v>
      </c>
      <c r="CZ1328" t="s">
        <v>131</v>
      </c>
      <c r="DA1328">
        <v>297</v>
      </c>
      <c r="DB1328">
        <v>0</v>
      </c>
      <c r="DC1328" t="s">
        <v>258</v>
      </c>
      <c r="DD1328" t="s">
        <v>259</v>
      </c>
      <c r="DG1328">
        <v>16713645</v>
      </c>
      <c r="DI1328">
        <v>1</v>
      </c>
      <c r="DJ1328">
        <v>0</v>
      </c>
      <c r="DK1328">
        <v>1</v>
      </c>
      <c r="DL1328">
        <v>0</v>
      </c>
      <c r="DM1328">
        <v>0</v>
      </c>
      <c r="DN1328">
        <v>1</v>
      </c>
      <c r="DO1328">
        <v>0</v>
      </c>
      <c r="DP1328">
        <v>0</v>
      </c>
      <c r="DQ1328">
        <v>0</v>
      </c>
      <c r="DR1328">
        <v>0</v>
      </c>
      <c r="DS1328">
        <v>0</v>
      </c>
    </row>
    <row r="1329" spans="1:123" x14ac:dyDescent="0.3">
      <c r="A1329" t="str">
        <f>"10/04/2022 19:29:07.165"</f>
        <v>10/04/2022 19:29:07.165</v>
      </c>
      <c r="C1329" t="str">
        <f t="shared" ref="C1329:C1351" si="460">"FFDDD3C0"</f>
        <v>FFDDD3C0</v>
      </c>
      <c r="D1329" t="s">
        <v>134</v>
      </c>
      <c r="E1329">
        <v>15</v>
      </c>
      <c r="J1329" t="s">
        <v>135</v>
      </c>
      <c r="K1329">
        <v>0</v>
      </c>
      <c r="L1329">
        <v>3</v>
      </c>
      <c r="M1329">
        <v>0</v>
      </c>
      <c r="N1329">
        <v>2</v>
      </c>
      <c r="O1329">
        <v>0</v>
      </c>
      <c r="P1329">
        <v>1</v>
      </c>
      <c r="Q1329">
        <v>0</v>
      </c>
      <c r="S1329" t="str">
        <f t="shared" si="457"/>
        <v>19:29:06.000</v>
      </c>
      <c r="T1329" t="str">
        <f t="shared" si="457"/>
        <v>19:29:06.000</v>
      </c>
      <c r="U1329" t="str">
        <f t="shared" si="443"/>
        <v>AC3944</v>
      </c>
      <c r="V1329">
        <v>0</v>
      </c>
      <c r="W1329">
        <v>0</v>
      </c>
      <c r="X1329">
        <v>2</v>
      </c>
      <c r="Y1329">
        <v>0</v>
      </c>
      <c r="AA1329">
        <v>1</v>
      </c>
      <c r="AB1329">
        <v>8</v>
      </c>
      <c r="AC1329">
        <v>3</v>
      </c>
      <c r="AD1329">
        <v>0</v>
      </c>
      <c r="AE1329">
        <v>9</v>
      </c>
      <c r="AF1329" t="s">
        <v>138</v>
      </c>
      <c r="AG1329">
        <v>0</v>
      </c>
      <c r="AH1329">
        <v>3</v>
      </c>
      <c r="AI1329">
        <v>1</v>
      </c>
      <c r="AJ1329">
        <v>0</v>
      </c>
      <c r="AK1329" t="s">
        <v>512</v>
      </c>
      <c r="AL1329">
        <v>32.805283000000003</v>
      </c>
      <c r="AM1329" t="s">
        <v>513</v>
      </c>
      <c r="AN1329">
        <v>-116.897299</v>
      </c>
      <c r="AO1329">
        <v>25</v>
      </c>
      <c r="AP1329">
        <v>2400</v>
      </c>
      <c r="AQ1329" t="s">
        <v>129</v>
      </c>
      <c r="AR1329">
        <v>111</v>
      </c>
      <c r="AS1329">
        <v>-36</v>
      </c>
      <c r="AT1329">
        <v>320</v>
      </c>
      <c r="BB1329">
        <v>1200</v>
      </c>
      <c r="BC1329">
        <v>1</v>
      </c>
      <c r="BD1329" t="str">
        <f t="shared" si="444"/>
        <v xml:space="preserve">N887QR  </v>
      </c>
      <c r="BE1329">
        <v>1</v>
      </c>
      <c r="BJ1329">
        <v>2150</v>
      </c>
      <c r="BK1329">
        <v>-250</v>
      </c>
      <c r="BL1329" t="s">
        <v>163</v>
      </c>
      <c r="BM1329">
        <v>1</v>
      </c>
      <c r="BN1329">
        <v>1</v>
      </c>
      <c r="BO1329">
        <v>1</v>
      </c>
      <c r="BP1329">
        <v>0</v>
      </c>
      <c r="BS1329">
        <v>0</v>
      </c>
      <c r="BT1329">
        <v>0</v>
      </c>
      <c r="BU1329">
        <v>0</v>
      </c>
      <c r="CE1329" t="str">
        <f t="shared" si="459"/>
        <v>19:29:06.953</v>
      </c>
      <c r="CF1329">
        <v>952955875</v>
      </c>
      <c r="CS1329">
        <v>3</v>
      </c>
      <c r="CT1329">
        <v>2</v>
      </c>
      <c r="CU1329">
        <v>0</v>
      </c>
      <c r="CV1329">
        <v>2</v>
      </c>
      <c r="CW1329">
        <v>0</v>
      </c>
      <c r="CX1329">
        <v>4</v>
      </c>
      <c r="CY1329">
        <v>7</v>
      </c>
      <c r="CZ1329" t="s">
        <v>131</v>
      </c>
      <c r="DA1329">
        <v>297</v>
      </c>
      <c r="DB1329">
        <v>0</v>
      </c>
      <c r="DC1329" t="s">
        <v>258</v>
      </c>
      <c r="DD1329" t="s">
        <v>259</v>
      </c>
      <c r="DG1329">
        <v>16713645</v>
      </c>
      <c r="DI1329">
        <v>1</v>
      </c>
      <c r="DJ1329">
        <v>0</v>
      </c>
      <c r="DK1329">
        <v>1</v>
      </c>
      <c r="DL1329">
        <v>0</v>
      </c>
      <c r="DM1329">
        <v>0</v>
      </c>
      <c r="DN1329">
        <v>1</v>
      </c>
      <c r="DO1329">
        <v>0</v>
      </c>
      <c r="DP1329">
        <v>0</v>
      </c>
      <c r="DQ1329">
        <v>0</v>
      </c>
      <c r="DR1329">
        <v>0</v>
      </c>
      <c r="DS1329">
        <v>0</v>
      </c>
    </row>
    <row r="1330" spans="1:123" x14ac:dyDescent="0.3">
      <c r="A1330" t="str">
        <f>"10/04/2022 19:29:07.196"</f>
        <v>10/04/2022 19:29:07.196</v>
      </c>
      <c r="C1330" t="str">
        <f t="shared" si="460"/>
        <v>FFDDD3C0</v>
      </c>
      <c r="D1330" t="s">
        <v>141</v>
      </c>
      <c r="E1330">
        <v>4</v>
      </c>
      <c r="H1330">
        <v>4</v>
      </c>
      <c r="I1330" t="s">
        <v>142</v>
      </c>
      <c r="J1330" t="s">
        <v>138</v>
      </c>
      <c r="K1330">
        <v>0</v>
      </c>
      <c r="L1330">
        <v>3</v>
      </c>
      <c r="M1330">
        <v>0</v>
      </c>
      <c r="N1330">
        <v>2</v>
      </c>
      <c r="O1330">
        <v>0</v>
      </c>
      <c r="P1330">
        <v>1</v>
      </c>
      <c r="Q1330">
        <v>0</v>
      </c>
      <c r="S1330" t="str">
        <f t="shared" si="457"/>
        <v>19:29:06.000</v>
      </c>
      <c r="T1330" t="str">
        <f t="shared" si="457"/>
        <v>19:29:06.000</v>
      </c>
      <c r="U1330" t="str">
        <f t="shared" si="443"/>
        <v>AC3944</v>
      </c>
      <c r="V1330">
        <v>0</v>
      </c>
      <c r="W1330">
        <v>0</v>
      </c>
      <c r="X1330">
        <v>2</v>
      </c>
      <c r="Y1330">
        <v>0</v>
      </c>
      <c r="AA1330">
        <v>1</v>
      </c>
      <c r="AB1330">
        <v>8</v>
      </c>
      <c r="AC1330">
        <v>3</v>
      </c>
      <c r="AD1330">
        <v>0</v>
      </c>
      <c r="AE1330">
        <v>9</v>
      </c>
      <c r="AF1330" t="s">
        <v>138</v>
      </c>
      <c r="AG1330">
        <v>0</v>
      </c>
      <c r="AH1330">
        <v>3</v>
      </c>
      <c r="AI1330">
        <v>1</v>
      </c>
      <c r="AJ1330">
        <v>0</v>
      </c>
      <c r="AK1330" t="s">
        <v>512</v>
      </c>
      <c r="AL1330">
        <v>32.805283000000003</v>
      </c>
      <c r="AM1330" t="s">
        <v>513</v>
      </c>
      <c r="AN1330">
        <v>-116.897299</v>
      </c>
      <c r="AO1330">
        <v>25</v>
      </c>
      <c r="AP1330">
        <v>2400</v>
      </c>
      <c r="AQ1330" t="s">
        <v>129</v>
      </c>
      <c r="AR1330">
        <v>111</v>
      </c>
      <c r="AS1330">
        <v>-36</v>
      </c>
      <c r="AT1330">
        <v>320</v>
      </c>
      <c r="BB1330">
        <v>1200</v>
      </c>
      <c r="BC1330">
        <v>1</v>
      </c>
      <c r="BD1330" t="str">
        <f t="shared" si="444"/>
        <v xml:space="preserve">N887QR  </v>
      </c>
      <c r="BE1330">
        <v>1</v>
      </c>
      <c r="BJ1330">
        <v>2150</v>
      </c>
      <c r="BK1330">
        <v>-250</v>
      </c>
      <c r="BL1330" t="s">
        <v>163</v>
      </c>
      <c r="BM1330">
        <v>1</v>
      </c>
      <c r="BN1330">
        <v>1</v>
      </c>
      <c r="BO1330">
        <v>1</v>
      </c>
      <c r="BP1330">
        <v>0</v>
      </c>
      <c r="BS1330">
        <v>0</v>
      </c>
      <c r="BT1330">
        <v>0</v>
      </c>
      <c r="BU1330">
        <v>0</v>
      </c>
      <c r="CE1330" t="str">
        <f t="shared" si="459"/>
        <v>19:29:06.953</v>
      </c>
      <c r="CF1330">
        <v>952955875</v>
      </c>
      <c r="CS1330">
        <v>3</v>
      </c>
      <c r="CT1330">
        <v>2</v>
      </c>
      <c r="CU1330">
        <v>0</v>
      </c>
      <c r="CV1330">
        <v>2</v>
      </c>
      <c r="CW1330">
        <v>0</v>
      </c>
      <c r="CX1330">
        <v>4</v>
      </c>
      <c r="CY1330">
        <v>7</v>
      </c>
      <c r="CZ1330" t="s">
        <v>131</v>
      </c>
      <c r="DA1330">
        <v>297</v>
      </c>
      <c r="DB1330">
        <v>0</v>
      </c>
      <c r="DC1330" t="s">
        <v>258</v>
      </c>
      <c r="DD1330" t="s">
        <v>259</v>
      </c>
      <c r="DG1330">
        <v>16713645</v>
      </c>
      <c r="DI1330">
        <v>1</v>
      </c>
      <c r="DJ1330">
        <v>0</v>
      </c>
      <c r="DK1330">
        <v>1</v>
      </c>
      <c r="DL1330">
        <v>0</v>
      </c>
      <c r="DM1330">
        <v>0</v>
      </c>
      <c r="DN1330">
        <v>1</v>
      </c>
      <c r="DO1330">
        <v>0</v>
      </c>
      <c r="DP1330">
        <v>0</v>
      </c>
      <c r="DQ1330">
        <v>0</v>
      </c>
      <c r="DR1330">
        <v>0</v>
      </c>
      <c r="DS1330">
        <v>0</v>
      </c>
    </row>
    <row r="1331" spans="1:123" x14ac:dyDescent="0.3">
      <c r="A1331" t="str">
        <f>"10/04/2022 19:29:08.571"</f>
        <v>10/04/2022 19:29:08.571</v>
      </c>
      <c r="C1331" t="str">
        <f t="shared" si="460"/>
        <v>FFDDD3C0</v>
      </c>
      <c r="D1331" t="s">
        <v>141</v>
      </c>
      <c r="E1331">
        <v>3</v>
      </c>
      <c r="H1331">
        <v>3</v>
      </c>
      <c r="I1331" t="s">
        <v>146</v>
      </c>
      <c r="J1331" t="s">
        <v>138</v>
      </c>
      <c r="K1331">
        <v>0</v>
      </c>
      <c r="L1331">
        <v>3</v>
      </c>
      <c r="M1331">
        <v>0</v>
      </c>
      <c r="N1331">
        <v>2</v>
      </c>
      <c r="O1331">
        <v>0</v>
      </c>
      <c r="P1331">
        <v>1</v>
      </c>
      <c r="Q1331">
        <v>0</v>
      </c>
      <c r="S1331" t="str">
        <f t="shared" ref="S1331:T1337" si="461">"19:29:08.000"</f>
        <v>19:29:08.000</v>
      </c>
      <c r="T1331" t="str">
        <f t="shared" si="461"/>
        <v>19:29:08.000</v>
      </c>
      <c r="U1331" t="str">
        <f t="shared" si="443"/>
        <v>AC3944</v>
      </c>
      <c r="V1331">
        <v>0</v>
      </c>
      <c r="W1331">
        <v>0</v>
      </c>
      <c r="X1331">
        <v>2</v>
      </c>
      <c r="Y1331">
        <v>0</v>
      </c>
      <c r="AA1331">
        <v>1</v>
      </c>
      <c r="AB1331">
        <v>8</v>
      </c>
      <c r="AC1331">
        <v>3</v>
      </c>
      <c r="AD1331">
        <v>0</v>
      </c>
      <c r="AE1331">
        <v>9</v>
      </c>
      <c r="AF1331" t="s">
        <v>138</v>
      </c>
      <c r="AG1331">
        <v>0</v>
      </c>
      <c r="AH1331">
        <v>3</v>
      </c>
      <c r="AI1331">
        <v>1</v>
      </c>
      <c r="AJ1331">
        <v>0</v>
      </c>
      <c r="AK1331" t="s">
        <v>514</v>
      </c>
      <c r="AL1331">
        <v>32.805110999999997</v>
      </c>
      <c r="AM1331" t="s">
        <v>515</v>
      </c>
      <c r="AN1331">
        <v>-116.896677</v>
      </c>
      <c r="AO1331">
        <v>25</v>
      </c>
      <c r="AP1331">
        <v>2500</v>
      </c>
      <c r="AQ1331" t="s">
        <v>129</v>
      </c>
      <c r="AR1331">
        <v>109</v>
      </c>
      <c r="AS1331">
        <v>-39</v>
      </c>
      <c r="AT1331">
        <v>640</v>
      </c>
      <c r="BB1331">
        <v>1200</v>
      </c>
      <c r="BC1331">
        <v>1</v>
      </c>
      <c r="BD1331" t="str">
        <f t="shared" si="444"/>
        <v xml:space="preserve">N887QR  </v>
      </c>
      <c r="BE1331">
        <v>1</v>
      </c>
      <c r="BJ1331">
        <v>2150</v>
      </c>
      <c r="BK1331">
        <v>-350</v>
      </c>
      <c r="BL1331" t="s">
        <v>163</v>
      </c>
      <c r="BM1331">
        <v>1</v>
      </c>
      <c r="BN1331">
        <v>1</v>
      </c>
      <c r="BO1331">
        <v>1</v>
      </c>
      <c r="BP1331">
        <v>0</v>
      </c>
      <c r="BS1331">
        <v>0</v>
      </c>
      <c r="BT1331">
        <v>0</v>
      </c>
      <c r="BU1331">
        <v>0</v>
      </c>
      <c r="CE1331" t="str">
        <f t="shared" ref="CE1331:CE1337" si="462">"19:29:08.352"</f>
        <v>19:29:08.352</v>
      </c>
      <c r="CF1331">
        <v>351628721</v>
      </c>
      <c r="CS1331">
        <v>3</v>
      </c>
      <c r="CT1331">
        <v>2</v>
      </c>
      <c r="CU1331">
        <v>0</v>
      </c>
      <c r="CV1331">
        <v>2</v>
      </c>
      <c r="CW1331">
        <v>0</v>
      </c>
      <c r="CX1331">
        <v>6</v>
      </c>
      <c r="CY1331">
        <v>7</v>
      </c>
      <c r="CZ1331" t="s">
        <v>131</v>
      </c>
      <c r="DA1331">
        <v>300</v>
      </c>
      <c r="DB1331">
        <v>0</v>
      </c>
      <c r="DC1331" t="s">
        <v>176</v>
      </c>
      <c r="DD1331" t="s">
        <v>177</v>
      </c>
      <c r="DG1331">
        <v>5384454</v>
      </c>
      <c r="DI1331">
        <v>1</v>
      </c>
      <c r="DJ1331">
        <v>0</v>
      </c>
      <c r="DK1331">
        <v>0</v>
      </c>
      <c r="DL1331">
        <v>0</v>
      </c>
      <c r="DM1331">
        <v>0</v>
      </c>
      <c r="DN1331">
        <v>1</v>
      </c>
      <c r="DO1331">
        <v>0</v>
      </c>
      <c r="DP1331">
        <v>0</v>
      </c>
      <c r="DQ1331">
        <v>0</v>
      </c>
      <c r="DR1331">
        <v>0</v>
      </c>
      <c r="DS1331">
        <v>0</v>
      </c>
    </row>
    <row r="1332" spans="1:123" x14ac:dyDescent="0.3">
      <c r="A1332" t="str">
        <f>"10/04/2022 19:29:08.571"</f>
        <v>10/04/2022 19:29:08.571</v>
      </c>
      <c r="C1332" t="str">
        <f t="shared" si="460"/>
        <v>FFDDD3C0</v>
      </c>
      <c r="D1332" t="s">
        <v>143</v>
      </c>
      <c r="E1332">
        <v>20</v>
      </c>
      <c r="F1332">
        <v>1020</v>
      </c>
      <c r="G1332" t="s">
        <v>144</v>
      </c>
      <c r="J1332" t="s">
        <v>145</v>
      </c>
      <c r="K1332">
        <v>0</v>
      </c>
      <c r="L1332">
        <v>3</v>
      </c>
      <c r="M1332">
        <v>0</v>
      </c>
      <c r="N1332">
        <v>2</v>
      </c>
      <c r="O1332">
        <v>0</v>
      </c>
      <c r="P1332">
        <v>1</v>
      </c>
      <c r="Q1332">
        <v>0</v>
      </c>
      <c r="S1332" t="str">
        <f t="shared" si="461"/>
        <v>19:29:08.000</v>
      </c>
      <c r="T1332" t="str">
        <f t="shared" si="461"/>
        <v>19:29:08.000</v>
      </c>
      <c r="U1332" t="str">
        <f t="shared" si="443"/>
        <v>AC3944</v>
      </c>
      <c r="V1332">
        <v>0</v>
      </c>
      <c r="W1332">
        <v>0</v>
      </c>
      <c r="X1332">
        <v>2</v>
      </c>
      <c r="Y1332">
        <v>0</v>
      </c>
      <c r="AA1332">
        <v>1</v>
      </c>
      <c r="AB1332">
        <v>8</v>
      </c>
      <c r="AC1332">
        <v>3</v>
      </c>
      <c r="AD1332">
        <v>0</v>
      </c>
      <c r="AE1332">
        <v>9</v>
      </c>
      <c r="AF1332" t="s">
        <v>138</v>
      </c>
      <c r="AG1332">
        <v>0</v>
      </c>
      <c r="AH1332">
        <v>3</v>
      </c>
      <c r="AI1332">
        <v>1</v>
      </c>
      <c r="AJ1332">
        <v>0</v>
      </c>
      <c r="AK1332" t="s">
        <v>514</v>
      </c>
      <c r="AL1332">
        <v>32.805110999999997</v>
      </c>
      <c r="AM1332" t="s">
        <v>515</v>
      </c>
      <c r="AN1332">
        <v>-116.896677</v>
      </c>
      <c r="AO1332">
        <v>25</v>
      </c>
      <c r="AP1332">
        <v>2500</v>
      </c>
      <c r="AQ1332" t="s">
        <v>129</v>
      </c>
      <c r="AR1332">
        <v>109</v>
      </c>
      <c r="AS1332">
        <v>-39</v>
      </c>
      <c r="AT1332">
        <v>640</v>
      </c>
      <c r="BB1332">
        <v>1200</v>
      </c>
      <c r="BC1332">
        <v>1</v>
      </c>
      <c r="BD1332" t="str">
        <f t="shared" si="444"/>
        <v xml:space="preserve">N887QR  </v>
      </c>
      <c r="BE1332">
        <v>1</v>
      </c>
      <c r="BJ1332">
        <v>2150</v>
      </c>
      <c r="BK1332">
        <v>-350</v>
      </c>
      <c r="BL1332" t="s">
        <v>163</v>
      </c>
      <c r="BM1332">
        <v>1</v>
      </c>
      <c r="BN1332">
        <v>1</v>
      </c>
      <c r="BO1332">
        <v>1</v>
      </c>
      <c r="BP1332">
        <v>0</v>
      </c>
      <c r="BS1332">
        <v>0</v>
      </c>
      <c r="BT1332">
        <v>0</v>
      </c>
      <c r="BU1332">
        <v>0</v>
      </c>
      <c r="CE1332" t="str">
        <f t="shared" si="462"/>
        <v>19:29:08.352</v>
      </c>
      <c r="CF1332">
        <v>351628721</v>
      </c>
      <c r="CS1332">
        <v>3</v>
      </c>
      <c r="CT1332">
        <v>2</v>
      </c>
      <c r="CU1332">
        <v>0</v>
      </c>
      <c r="CV1332">
        <v>2</v>
      </c>
      <c r="CW1332">
        <v>0</v>
      </c>
      <c r="CX1332">
        <v>6</v>
      </c>
      <c r="CY1332">
        <v>7</v>
      </c>
      <c r="CZ1332" t="s">
        <v>131</v>
      </c>
      <c r="DA1332">
        <v>300</v>
      </c>
      <c r="DB1332">
        <v>0</v>
      </c>
      <c r="DC1332" t="s">
        <v>176</v>
      </c>
      <c r="DD1332" t="s">
        <v>177</v>
      </c>
      <c r="DG1332">
        <v>5384454</v>
      </c>
      <c r="DI1332">
        <v>1</v>
      </c>
      <c r="DJ1332">
        <v>0</v>
      </c>
      <c r="DK1332">
        <v>1</v>
      </c>
      <c r="DL1332">
        <v>0</v>
      </c>
      <c r="DM1332">
        <v>0</v>
      </c>
      <c r="DN1332">
        <v>1</v>
      </c>
      <c r="DO1332">
        <v>0</v>
      </c>
      <c r="DP1332">
        <v>0</v>
      </c>
      <c r="DQ1332">
        <v>0</v>
      </c>
      <c r="DR1332">
        <v>0</v>
      </c>
      <c r="DS1332">
        <v>0</v>
      </c>
    </row>
    <row r="1333" spans="1:123" x14ac:dyDescent="0.3">
      <c r="A1333" t="str">
        <f>"10/04/2022 19:29:08.571"</f>
        <v>10/04/2022 19:29:08.571</v>
      </c>
      <c r="C1333" t="str">
        <f t="shared" si="460"/>
        <v>FFDDD3C0</v>
      </c>
      <c r="D1333" t="s">
        <v>136</v>
      </c>
      <c r="E1333">
        <v>8</v>
      </c>
      <c r="H1333">
        <v>225</v>
      </c>
      <c r="I1333" t="s">
        <v>137</v>
      </c>
      <c r="J1333" t="s">
        <v>138</v>
      </c>
      <c r="K1333">
        <v>0</v>
      </c>
      <c r="L1333">
        <v>3</v>
      </c>
      <c r="M1333">
        <v>0</v>
      </c>
      <c r="N1333">
        <v>2</v>
      </c>
      <c r="O1333">
        <v>0</v>
      </c>
      <c r="P1333">
        <v>1</v>
      </c>
      <c r="Q1333">
        <v>0</v>
      </c>
      <c r="S1333" t="str">
        <f t="shared" si="461"/>
        <v>19:29:08.000</v>
      </c>
      <c r="T1333" t="str">
        <f t="shared" si="461"/>
        <v>19:29:08.000</v>
      </c>
      <c r="U1333" t="str">
        <f t="shared" si="443"/>
        <v>AC3944</v>
      </c>
      <c r="V1333">
        <v>0</v>
      </c>
      <c r="W1333">
        <v>0</v>
      </c>
      <c r="X1333">
        <v>2</v>
      </c>
      <c r="Y1333">
        <v>0</v>
      </c>
      <c r="AA1333">
        <v>1</v>
      </c>
      <c r="AB1333">
        <v>8</v>
      </c>
      <c r="AC1333">
        <v>3</v>
      </c>
      <c r="AD1333">
        <v>0</v>
      </c>
      <c r="AE1333">
        <v>9</v>
      </c>
      <c r="AF1333" t="s">
        <v>138</v>
      </c>
      <c r="AG1333">
        <v>0</v>
      </c>
      <c r="AH1333">
        <v>3</v>
      </c>
      <c r="AI1333">
        <v>1</v>
      </c>
      <c r="AJ1333">
        <v>0</v>
      </c>
      <c r="AK1333" t="s">
        <v>514</v>
      </c>
      <c r="AL1333">
        <v>32.805110999999997</v>
      </c>
      <c r="AM1333" t="s">
        <v>515</v>
      </c>
      <c r="AN1333">
        <v>-116.896677</v>
      </c>
      <c r="AO1333">
        <v>25</v>
      </c>
      <c r="AP1333">
        <v>2500</v>
      </c>
      <c r="AQ1333" t="s">
        <v>129</v>
      </c>
      <c r="AR1333">
        <v>109</v>
      </c>
      <c r="AS1333">
        <v>-39</v>
      </c>
      <c r="AT1333">
        <v>640</v>
      </c>
      <c r="BB1333">
        <v>1200</v>
      </c>
      <c r="BC1333">
        <v>1</v>
      </c>
      <c r="BD1333" t="str">
        <f t="shared" si="444"/>
        <v xml:space="preserve">N887QR  </v>
      </c>
      <c r="BE1333">
        <v>1</v>
      </c>
      <c r="BJ1333">
        <v>2150</v>
      </c>
      <c r="BK1333">
        <v>-350</v>
      </c>
      <c r="BL1333" t="s">
        <v>163</v>
      </c>
      <c r="BM1333">
        <v>1</v>
      </c>
      <c r="BN1333">
        <v>1</v>
      </c>
      <c r="BO1333">
        <v>1</v>
      </c>
      <c r="BP1333">
        <v>0</v>
      </c>
      <c r="BS1333">
        <v>0</v>
      </c>
      <c r="BT1333">
        <v>0</v>
      </c>
      <c r="BU1333">
        <v>0</v>
      </c>
      <c r="CE1333" t="str">
        <f t="shared" si="462"/>
        <v>19:29:08.352</v>
      </c>
      <c r="CF1333">
        <v>351628721</v>
      </c>
      <c r="CS1333">
        <v>3</v>
      </c>
      <c r="CT1333">
        <v>2</v>
      </c>
      <c r="CU1333">
        <v>0</v>
      </c>
      <c r="CV1333">
        <v>2</v>
      </c>
      <c r="CW1333">
        <v>0</v>
      </c>
      <c r="CX1333">
        <v>6</v>
      </c>
      <c r="CY1333">
        <v>7</v>
      </c>
      <c r="CZ1333" t="s">
        <v>131</v>
      </c>
      <c r="DA1333">
        <v>300</v>
      </c>
      <c r="DB1333">
        <v>0</v>
      </c>
      <c r="DC1333" t="s">
        <v>176</v>
      </c>
      <c r="DD1333" t="s">
        <v>177</v>
      </c>
      <c r="DG1333">
        <v>5384454</v>
      </c>
      <c r="DI1333">
        <v>1</v>
      </c>
      <c r="DJ1333">
        <v>0</v>
      </c>
      <c r="DK1333">
        <v>1</v>
      </c>
      <c r="DL1333">
        <v>0</v>
      </c>
      <c r="DM1333">
        <v>0</v>
      </c>
      <c r="DN1333">
        <v>1</v>
      </c>
      <c r="DO1333">
        <v>0</v>
      </c>
      <c r="DP1333">
        <v>0</v>
      </c>
      <c r="DQ1333">
        <v>0</v>
      </c>
      <c r="DR1333">
        <v>0</v>
      </c>
      <c r="DS1333">
        <v>0</v>
      </c>
    </row>
    <row r="1334" spans="1:123" x14ac:dyDescent="0.3">
      <c r="A1334" t="str">
        <f>"10/04/2022 19:29:08.571"</f>
        <v>10/04/2022 19:29:08.571</v>
      </c>
      <c r="C1334" t="str">
        <f t="shared" si="460"/>
        <v>FFDDD3C0</v>
      </c>
      <c r="D1334" t="s">
        <v>123</v>
      </c>
      <c r="E1334">
        <v>7</v>
      </c>
      <c r="F1334">
        <v>2007</v>
      </c>
      <c r="G1334" t="s">
        <v>124</v>
      </c>
      <c r="J1334" t="s">
        <v>125</v>
      </c>
      <c r="K1334">
        <v>0</v>
      </c>
      <c r="L1334">
        <v>3</v>
      </c>
      <c r="M1334">
        <v>0</v>
      </c>
      <c r="N1334">
        <v>2</v>
      </c>
      <c r="O1334">
        <v>0</v>
      </c>
      <c r="P1334">
        <v>1</v>
      </c>
      <c r="Q1334">
        <v>0</v>
      </c>
      <c r="S1334" t="str">
        <f t="shared" si="461"/>
        <v>19:29:08.000</v>
      </c>
      <c r="T1334" t="str">
        <f t="shared" si="461"/>
        <v>19:29:08.000</v>
      </c>
      <c r="U1334" t="str">
        <f t="shared" si="443"/>
        <v>AC3944</v>
      </c>
      <c r="V1334">
        <v>0</v>
      </c>
      <c r="W1334">
        <v>0</v>
      </c>
      <c r="X1334">
        <v>2</v>
      </c>
      <c r="Y1334">
        <v>0</v>
      </c>
      <c r="AA1334">
        <v>1</v>
      </c>
      <c r="AB1334">
        <v>8</v>
      </c>
      <c r="AC1334">
        <v>3</v>
      </c>
      <c r="AD1334">
        <v>0</v>
      </c>
      <c r="AE1334">
        <v>9</v>
      </c>
      <c r="AF1334" t="s">
        <v>138</v>
      </c>
      <c r="AG1334">
        <v>0</v>
      </c>
      <c r="AH1334">
        <v>3</v>
      </c>
      <c r="AI1334">
        <v>1</v>
      </c>
      <c r="AJ1334">
        <v>0</v>
      </c>
      <c r="AK1334" t="s">
        <v>514</v>
      </c>
      <c r="AL1334">
        <v>32.805110999999997</v>
      </c>
      <c r="AM1334" t="s">
        <v>515</v>
      </c>
      <c r="AN1334">
        <v>-116.896677</v>
      </c>
      <c r="AO1334">
        <v>25</v>
      </c>
      <c r="AP1334">
        <v>2500</v>
      </c>
      <c r="AQ1334" t="s">
        <v>129</v>
      </c>
      <c r="AR1334">
        <v>109</v>
      </c>
      <c r="AS1334">
        <v>-39</v>
      </c>
      <c r="AT1334">
        <v>640</v>
      </c>
      <c r="BB1334">
        <v>1200</v>
      </c>
      <c r="BC1334">
        <v>1</v>
      </c>
      <c r="BD1334" t="str">
        <f t="shared" si="444"/>
        <v xml:space="preserve">N887QR  </v>
      </c>
      <c r="BE1334">
        <v>1</v>
      </c>
      <c r="BJ1334">
        <v>2150</v>
      </c>
      <c r="BK1334">
        <v>-350</v>
      </c>
      <c r="BL1334" t="s">
        <v>163</v>
      </c>
      <c r="BM1334">
        <v>1</v>
      </c>
      <c r="BN1334">
        <v>1</v>
      </c>
      <c r="BO1334">
        <v>1</v>
      </c>
      <c r="BP1334">
        <v>0</v>
      </c>
      <c r="BS1334">
        <v>0</v>
      </c>
      <c r="BT1334">
        <v>0</v>
      </c>
      <c r="BU1334">
        <v>0</v>
      </c>
      <c r="CE1334" t="str">
        <f t="shared" si="462"/>
        <v>19:29:08.352</v>
      </c>
      <c r="CF1334">
        <v>351628721</v>
      </c>
      <c r="CS1334">
        <v>3</v>
      </c>
      <c r="CT1334">
        <v>2</v>
      </c>
      <c r="CU1334">
        <v>0</v>
      </c>
      <c r="CV1334">
        <v>2</v>
      </c>
      <c r="CW1334">
        <v>0</v>
      </c>
      <c r="CX1334">
        <v>6</v>
      </c>
      <c r="CY1334">
        <v>7</v>
      </c>
      <c r="CZ1334" t="s">
        <v>131</v>
      </c>
      <c r="DA1334">
        <v>300</v>
      </c>
      <c r="DB1334">
        <v>0</v>
      </c>
      <c r="DC1334" t="s">
        <v>176</v>
      </c>
      <c r="DD1334" t="s">
        <v>177</v>
      </c>
      <c r="DG1334">
        <v>5384454</v>
      </c>
      <c r="DI1334">
        <v>1</v>
      </c>
      <c r="DJ1334">
        <v>0</v>
      </c>
      <c r="DK1334">
        <v>1</v>
      </c>
      <c r="DL1334">
        <v>0</v>
      </c>
      <c r="DM1334">
        <v>0</v>
      </c>
      <c r="DN1334">
        <v>1</v>
      </c>
      <c r="DO1334">
        <v>0</v>
      </c>
      <c r="DP1334">
        <v>0</v>
      </c>
      <c r="DQ1334">
        <v>0</v>
      </c>
      <c r="DR1334">
        <v>0</v>
      </c>
      <c r="DS1334">
        <v>0</v>
      </c>
    </row>
    <row r="1335" spans="1:123" x14ac:dyDescent="0.3">
      <c r="A1335" t="str">
        <f>"10/04/2022 19:29:08.618"</f>
        <v>10/04/2022 19:29:08.618</v>
      </c>
      <c r="C1335" t="str">
        <f t="shared" si="460"/>
        <v>FFDDD3C0</v>
      </c>
      <c r="D1335" t="s">
        <v>134</v>
      </c>
      <c r="E1335">
        <v>15</v>
      </c>
      <c r="J1335" t="s">
        <v>135</v>
      </c>
      <c r="K1335">
        <v>0</v>
      </c>
      <c r="L1335">
        <v>3</v>
      </c>
      <c r="M1335">
        <v>0</v>
      </c>
      <c r="N1335">
        <v>2</v>
      </c>
      <c r="O1335">
        <v>0</v>
      </c>
      <c r="P1335">
        <v>1</v>
      </c>
      <c r="Q1335">
        <v>0</v>
      </c>
      <c r="S1335" t="str">
        <f t="shared" si="461"/>
        <v>19:29:08.000</v>
      </c>
      <c r="T1335" t="str">
        <f t="shared" si="461"/>
        <v>19:29:08.000</v>
      </c>
      <c r="U1335" t="str">
        <f t="shared" si="443"/>
        <v>AC3944</v>
      </c>
      <c r="V1335">
        <v>0</v>
      </c>
      <c r="W1335">
        <v>0</v>
      </c>
      <c r="X1335">
        <v>2</v>
      </c>
      <c r="Y1335">
        <v>0</v>
      </c>
      <c r="AA1335">
        <v>1</v>
      </c>
      <c r="AB1335">
        <v>8</v>
      </c>
      <c r="AC1335">
        <v>3</v>
      </c>
      <c r="AD1335">
        <v>0</v>
      </c>
      <c r="AE1335">
        <v>9</v>
      </c>
      <c r="AF1335" t="s">
        <v>138</v>
      </c>
      <c r="AG1335">
        <v>0</v>
      </c>
      <c r="AH1335">
        <v>3</v>
      </c>
      <c r="AI1335">
        <v>1</v>
      </c>
      <c r="AJ1335">
        <v>0</v>
      </c>
      <c r="AK1335" t="s">
        <v>514</v>
      </c>
      <c r="AL1335">
        <v>32.805110999999997</v>
      </c>
      <c r="AM1335" t="s">
        <v>515</v>
      </c>
      <c r="AN1335">
        <v>-116.896677</v>
      </c>
      <c r="AO1335">
        <v>25</v>
      </c>
      <c r="AP1335">
        <v>2500</v>
      </c>
      <c r="AQ1335" t="s">
        <v>129</v>
      </c>
      <c r="AR1335">
        <v>109</v>
      </c>
      <c r="AS1335">
        <v>-39</v>
      </c>
      <c r="AT1335">
        <v>640</v>
      </c>
      <c r="BB1335">
        <v>1200</v>
      </c>
      <c r="BC1335">
        <v>1</v>
      </c>
      <c r="BD1335" t="str">
        <f t="shared" si="444"/>
        <v xml:space="preserve">N887QR  </v>
      </c>
      <c r="BE1335">
        <v>1</v>
      </c>
      <c r="BJ1335">
        <v>2150</v>
      </c>
      <c r="BK1335">
        <v>-350</v>
      </c>
      <c r="BL1335" t="s">
        <v>163</v>
      </c>
      <c r="BM1335">
        <v>1</v>
      </c>
      <c r="BN1335">
        <v>1</v>
      </c>
      <c r="BO1335">
        <v>1</v>
      </c>
      <c r="BP1335">
        <v>0</v>
      </c>
      <c r="BS1335">
        <v>0</v>
      </c>
      <c r="BT1335">
        <v>0</v>
      </c>
      <c r="BU1335">
        <v>0</v>
      </c>
      <c r="CE1335" t="str">
        <f t="shared" si="462"/>
        <v>19:29:08.352</v>
      </c>
      <c r="CF1335">
        <v>351628721</v>
      </c>
      <c r="CS1335">
        <v>3</v>
      </c>
      <c r="CT1335">
        <v>2</v>
      </c>
      <c r="CU1335">
        <v>0</v>
      </c>
      <c r="CV1335">
        <v>2</v>
      </c>
      <c r="CW1335">
        <v>0</v>
      </c>
      <c r="CX1335">
        <v>6</v>
      </c>
      <c r="CY1335">
        <v>7</v>
      </c>
      <c r="CZ1335" t="s">
        <v>131</v>
      </c>
      <c r="DA1335">
        <v>300</v>
      </c>
      <c r="DB1335">
        <v>0</v>
      </c>
      <c r="DC1335" t="s">
        <v>176</v>
      </c>
      <c r="DD1335" t="s">
        <v>177</v>
      </c>
      <c r="DG1335">
        <v>5384454</v>
      </c>
      <c r="DI1335">
        <v>1</v>
      </c>
      <c r="DJ1335">
        <v>0</v>
      </c>
      <c r="DK1335">
        <v>1</v>
      </c>
      <c r="DL1335">
        <v>0</v>
      </c>
      <c r="DM1335">
        <v>0</v>
      </c>
      <c r="DN1335">
        <v>1</v>
      </c>
      <c r="DO1335">
        <v>0</v>
      </c>
      <c r="DP1335">
        <v>0</v>
      </c>
      <c r="DQ1335">
        <v>0</v>
      </c>
      <c r="DR1335">
        <v>0</v>
      </c>
      <c r="DS1335">
        <v>0</v>
      </c>
    </row>
    <row r="1336" spans="1:123" x14ac:dyDescent="0.3">
      <c r="A1336" t="str">
        <f>"10/04/2022 19:29:08.618"</f>
        <v>10/04/2022 19:29:08.618</v>
      </c>
      <c r="C1336" t="str">
        <f t="shared" si="460"/>
        <v>FFDDD3C0</v>
      </c>
      <c r="D1336" t="s">
        <v>141</v>
      </c>
      <c r="E1336">
        <v>4</v>
      </c>
      <c r="H1336">
        <v>4</v>
      </c>
      <c r="I1336" t="s">
        <v>142</v>
      </c>
      <c r="J1336" t="s">
        <v>138</v>
      </c>
      <c r="K1336">
        <v>0</v>
      </c>
      <c r="L1336">
        <v>3</v>
      </c>
      <c r="M1336">
        <v>0</v>
      </c>
      <c r="N1336">
        <v>2</v>
      </c>
      <c r="O1336">
        <v>0</v>
      </c>
      <c r="P1336">
        <v>1</v>
      </c>
      <c r="Q1336">
        <v>0</v>
      </c>
      <c r="S1336" t="str">
        <f t="shared" si="461"/>
        <v>19:29:08.000</v>
      </c>
      <c r="T1336" t="str">
        <f t="shared" si="461"/>
        <v>19:29:08.000</v>
      </c>
      <c r="U1336" t="str">
        <f t="shared" si="443"/>
        <v>AC3944</v>
      </c>
      <c r="V1336">
        <v>0</v>
      </c>
      <c r="W1336">
        <v>0</v>
      </c>
      <c r="X1336">
        <v>2</v>
      </c>
      <c r="Y1336">
        <v>0</v>
      </c>
      <c r="AA1336">
        <v>1</v>
      </c>
      <c r="AB1336">
        <v>8</v>
      </c>
      <c r="AC1336">
        <v>3</v>
      </c>
      <c r="AD1336">
        <v>0</v>
      </c>
      <c r="AE1336">
        <v>9</v>
      </c>
      <c r="AF1336" t="s">
        <v>138</v>
      </c>
      <c r="AG1336">
        <v>0</v>
      </c>
      <c r="AH1336">
        <v>3</v>
      </c>
      <c r="AI1336">
        <v>1</v>
      </c>
      <c r="AJ1336">
        <v>0</v>
      </c>
      <c r="AK1336" t="s">
        <v>514</v>
      </c>
      <c r="AL1336">
        <v>32.805110999999997</v>
      </c>
      <c r="AM1336" t="s">
        <v>515</v>
      </c>
      <c r="AN1336">
        <v>-116.896677</v>
      </c>
      <c r="AO1336">
        <v>25</v>
      </c>
      <c r="AP1336">
        <v>2500</v>
      </c>
      <c r="AQ1336" t="s">
        <v>129</v>
      </c>
      <c r="AR1336">
        <v>109</v>
      </c>
      <c r="AS1336">
        <v>-39</v>
      </c>
      <c r="AT1336">
        <v>640</v>
      </c>
      <c r="BB1336">
        <v>1200</v>
      </c>
      <c r="BC1336">
        <v>1</v>
      </c>
      <c r="BD1336" t="str">
        <f t="shared" si="444"/>
        <v xml:space="preserve">N887QR  </v>
      </c>
      <c r="BE1336">
        <v>1</v>
      </c>
      <c r="BJ1336">
        <v>2150</v>
      </c>
      <c r="BK1336">
        <v>-350</v>
      </c>
      <c r="BL1336" t="s">
        <v>163</v>
      </c>
      <c r="BM1336">
        <v>1</v>
      </c>
      <c r="BN1336">
        <v>1</v>
      </c>
      <c r="BO1336">
        <v>1</v>
      </c>
      <c r="BP1336">
        <v>0</v>
      </c>
      <c r="BS1336">
        <v>0</v>
      </c>
      <c r="BT1336">
        <v>0</v>
      </c>
      <c r="BU1336">
        <v>0</v>
      </c>
      <c r="CE1336" t="str">
        <f t="shared" si="462"/>
        <v>19:29:08.352</v>
      </c>
      <c r="CF1336">
        <v>351628721</v>
      </c>
      <c r="CS1336">
        <v>3</v>
      </c>
      <c r="CT1336">
        <v>2</v>
      </c>
      <c r="CU1336">
        <v>0</v>
      </c>
      <c r="CV1336">
        <v>2</v>
      </c>
      <c r="CW1336">
        <v>0</v>
      </c>
      <c r="CX1336">
        <v>6</v>
      </c>
      <c r="CY1336">
        <v>7</v>
      </c>
      <c r="CZ1336" t="s">
        <v>131</v>
      </c>
      <c r="DA1336">
        <v>300</v>
      </c>
      <c r="DB1336">
        <v>0</v>
      </c>
      <c r="DC1336" t="s">
        <v>176</v>
      </c>
      <c r="DD1336" t="s">
        <v>177</v>
      </c>
      <c r="DG1336">
        <v>5384454</v>
      </c>
      <c r="DI1336">
        <v>1</v>
      </c>
      <c r="DJ1336">
        <v>0</v>
      </c>
      <c r="DK1336">
        <v>1</v>
      </c>
      <c r="DL1336">
        <v>0</v>
      </c>
      <c r="DM1336">
        <v>0</v>
      </c>
      <c r="DN1336">
        <v>1</v>
      </c>
      <c r="DO1336">
        <v>0</v>
      </c>
      <c r="DP1336">
        <v>0</v>
      </c>
      <c r="DQ1336">
        <v>0</v>
      </c>
      <c r="DR1336">
        <v>0</v>
      </c>
      <c r="DS1336">
        <v>0</v>
      </c>
    </row>
    <row r="1337" spans="1:123" x14ac:dyDescent="0.3">
      <c r="A1337" t="str">
        <f>"10/04/2022 19:29:08.618"</f>
        <v>10/04/2022 19:29:08.618</v>
      </c>
      <c r="C1337" t="str">
        <f t="shared" si="460"/>
        <v>FFDDD3C0</v>
      </c>
      <c r="D1337" t="s">
        <v>147</v>
      </c>
      <c r="E1337">
        <v>3</v>
      </c>
      <c r="H1337">
        <v>166</v>
      </c>
      <c r="I1337" t="s">
        <v>144</v>
      </c>
      <c r="J1337" t="s">
        <v>148</v>
      </c>
      <c r="K1337">
        <v>0</v>
      </c>
      <c r="L1337">
        <v>3</v>
      </c>
      <c r="M1337">
        <v>0</v>
      </c>
      <c r="N1337">
        <v>2</v>
      </c>
      <c r="O1337">
        <v>0</v>
      </c>
      <c r="P1337">
        <v>1</v>
      </c>
      <c r="Q1337">
        <v>0</v>
      </c>
      <c r="S1337" t="str">
        <f t="shared" si="461"/>
        <v>19:29:08.000</v>
      </c>
      <c r="T1337" t="str">
        <f t="shared" si="461"/>
        <v>19:29:08.000</v>
      </c>
      <c r="U1337" t="str">
        <f t="shared" si="443"/>
        <v>AC3944</v>
      </c>
      <c r="V1337">
        <v>0</v>
      </c>
      <c r="W1337">
        <v>0</v>
      </c>
      <c r="X1337">
        <v>2</v>
      </c>
      <c r="Y1337">
        <v>0</v>
      </c>
      <c r="AA1337">
        <v>1</v>
      </c>
      <c r="AB1337">
        <v>8</v>
      </c>
      <c r="AC1337">
        <v>3</v>
      </c>
      <c r="AD1337">
        <v>0</v>
      </c>
      <c r="AE1337">
        <v>9</v>
      </c>
      <c r="AF1337" t="s">
        <v>138</v>
      </c>
      <c r="AG1337">
        <v>0</v>
      </c>
      <c r="AH1337">
        <v>3</v>
      </c>
      <c r="AI1337">
        <v>1</v>
      </c>
      <c r="AJ1337">
        <v>0</v>
      </c>
      <c r="AK1337" t="s">
        <v>514</v>
      </c>
      <c r="AL1337">
        <v>32.805110999999997</v>
      </c>
      <c r="AM1337" t="s">
        <v>515</v>
      </c>
      <c r="AN1337">
        <v>-116.896677</v>
      </c>
      <c r="AO1337">
        <v>25</v>
      </c>
      <c r="AP1337">
        <v>2500</v>
      </c>
      <c r="AQ1337" t="s">
        <v>129</v>
      </c>
      <c r="AR1337">
        <v>109</v>
      </c>
      <c r="AS1337">
        <v>-39</v>
      </c>
      <c r="AT1337">
        <v>640</v>
      </c>
      <c r="BB1337">
        <v>1200</v>
      </c>
      <c r="BC1337">
        <v>1</v>
      </c>
      <c r="BD1337" t="str">
        <f t="shared" si="444"/>
        <v xml:space="preserve">N887QR  </v>
      </c>
      <c r="BE1337">
        <v>1</v>
      </c>
      <c r="BJ1337">
        <v>2150</v>
      </c>
      <c r="BK1337">
        <v>-350</v>
      </c>
      <c r="BL1337" t="s">
        <v>163</v>
      </c>
      <c r="BM1337">
        <v>1</v>
      </c>
      <c r="BN1337">
        <v>1</v>
      </c>
      <c r="BO1337">
        <v>1</v>
      </c>
      <c r="BP1337">
        <v>0</v>
      </c>
      <c r="BS1337">
        <v>0</v>
      </c>
      <c r="BT1337">
        <v>0</v>
      </c>
      <c r="BU1337">
        <v>0</v>
      </c>
      <c r="CE1337" t="str">
        <f t="shared" si="462"/>
        <v>19:29:08.352</v>
      </c>
      <c r="CF1337">
        <v>351628721</v>
      </c>
      <c r="CS1337">
        <v>3</v>
      </c>
      <c r="CT1337">
        <v>2</v>
      </c>
      <c r="CU1337">
        <v>0</v>
      </c>
      <c r="CV1337">
        <v>2</v>
      </c>
      <c r="CW1337">
        <v>0</v>
      </c>
      <c r="CX1337">
        <v>6</v>
      </c>
      <c r="CY1337">
        <v>7</v>
      </c>
      <c r="CZ1337" t="s">
        <v>131</v>
      </c>
      <c r="DA1337">
        <v>300</v>
      </c>
      <c r="DB1337">
        <v>0</v>
      </c>
      <c r="DC1337" t="s">
        <v>176</v>
      </c>
      <c r="DD1337" t="s">
        <v>177</v>
      </c>
      <c r="DG1337">
        <v>5384454</v>
      </c>
      <c r="DI1337">
        <v>1</v>
      </c>
      <c r="DJ1337">
        <v>0</v>
      </c>
      <c r="DK1337">
        <v>1</v>
      </c>
      <c r="DL1337">
        <v>0</v>
      </c>
      <c r="DM1337">
        <v>0</v>
      </c>
      <c r="DN1337">
        <v>1</v>
      </c>
      <c r="DO1337">
        <v>0</v>
      </c>
      <c r="DP1337">
        <v>0</v>
      </c>
      <c r="DQ1337">
        <v>0</v>
      </c>
      <c r="DR1337">
        <v>0</v>
      </c>
      <c r="DS1337">
        <v>0</v>
      </c>
    </row>
    <row r="1338" spans="1:123" x14ac:dyDescent="0.3">
      <c r="A1338" t="str">
        <f>"10/04/2022 19:29:09.181"</f>
        <v>10/04/2022 19:29:09.181</v>
      </c>
      <c r="C1338" t="str">
        <f t="shared" si="460"/>
        <v>FFDDD3C0</v>
      </c>
      <c r="D1338" t="s">
        <v>141</v>
      </c>
      <c r="E1338">
        <v>4</v>
      </c>
      <c r="H1338">
        <v>4</v>
      </c>
      <c r="I1338" t="s">
        <v>142</v>
      </c>
      <c r="J1338" t="s">
        <v>138</v>
      </c>
      <c r="K1338">
        <v>0</v>
      </c>
      <c r="L1338">
        <v>3</v>
      </c>
      <c r="M1338">
        <v>0</v>
      </c>
      <c r="N1338">
        <v>2</v>
      </c>
      <c r="O1338">
        <v>0</v>
      </c>
      <c r="P1338">
        <v>1</v>
      </c>
      <c r="Q1338">
        <v>0</v>
      </c>
      <c r="S1338" t="str">
        <f t="shared" ref="S1338:T1344" si="463">"19:29:09.000"</f>
        <v>19:29:09.000</v>
      </c>
      <c r="T1338" t="str">
        <f t="shared" si="463"/>
        <v>19:29:09.000</v>
      </c>
      <c r="U1338" t="str">
        <f t="shared" si="443"/>
        <v>AC3944</v>
      </c>
      <c r="V1338">
        <v>0</v>
      </c>
      <c r="W1338">
        <v>0</v>
      </c>
      <c r="X1338">
        <v>2</v>
      </c>
      <c r="Y1338">
        <v>0</v>
      </c>
      <c r="AA1338">
        <v>1</v>
      </c>
      <c r="AB1338">
        <v>8</v>
      </c>
      <c r="AC1338">
        <v>3</v>
      </c>
      <c r="AD1338">
        <v>0</v>
      </c>
      <c r="AE1338">
        <v>9</v>
      </c>
      <c r="AF1338" t="s">
        <v>138</v>
      </c>
      <c r="AG1338">
        <v>0</v>
      </c>
      <c r="AH1338">
        <v>3</v>
      </c>
      <c r="AI1338">
        <v>1</v>
      </c>
      <c r="AJ1338">
        <v>0</v>
      </c>
      <c r="AK1338" t="s">
        <v>516</v>
      </c>
      <c r="AL1338">
        <v>32.804918000000001</v>
      </c>
      <c r="AM1338" t="s">
        <v>517</v>
      </c>
      <c r="AN1338">
        <v>-116.89607599999999</v>
      </c>
      <c r="AO1338">
        <v>25</v>
      </c>
      <c r="AP1338">
        <v>2500</v>
      </c>
      <c r="AQ1338" t="s">
        <v>129</v>
      </c>
      <c r="AR1338">
        <v>109</v>
      </c>
      <c r="AS1338">
        <v>-41</v>
      </c>
      <c r="AT1338">
        <v>640</v>
      </c>
      <c r="BB1338">
        <v>1200</v>
      </c>
      <c r="BC1338">
        <v>1</v>
      </c>
      <c r="BD1338" t="str">
        <f t="shared" si="444"/>
        <v xml:space="preserve">N887QR  </v>
      </c>
      <c r="BE1338">
        <v>1</v>
      </c>
      <c r="BJ1338">
        <v>2200</v>
      </c>
      <c r="BK1338">
        <v>-300</v>
      </c>
      <c r="BL1338" t="s">
        <v>163</v>
      </c>
      <c r="BM1338">
        <v>1</v>
      </c>
      <c r="BN1338">
        <v>1</v>
      </c>
      <c r="BO1338">
        <v>1</v>
      </c>
      <c r="BP1338">
        <v>0</v>
      </c>
      <c r="BS1338">
        <v>0</v>
      </c>
      <c r="BT1338">
        <v>0</v>
      </c>
      <c r="BU1338">
        <v>0</v>
      </c>
      <c r="CE1338" t="str">
        <f t="shared" ref="CE1338:CE1344" si="464">"19:29:09.005"</f>
        <v>19:29:09.005</v>
      </c>
      <c r="CF1338">
        <v>4630811</v>
      </c>
      <c r="CS1338">
        <v>3</v>
      </c>
      <c r="CT1338">
        <v>2</v>
      </c>
      <c r="CU1338">
        <v>0</v>
      </c>
      <c r="CV1338">
        <v>2</v>
      </c>
      <c r="CW1338">
        <v>0</v>
      </c>
      <c r="CX1338">
        <v>6</v>
      </c>
      <c r="CY1338">
        <v>7</v>
      </c>
      <c r="CZ1338" t="s">
        <v>131</v>
      </c>
      <c r="DA1338">
        <v>300</v>
      </c>
      <c r="DB1338">
        <v>0</v>
      </c>
      <c r="DC1338" t="s">
        <v>176</v>
      </c>
      <c r="DD1338" t="s">
        <v>177</v>
      </c>
      <c r="DG1338">
        <v>5384563</v>
      </c>
      <c r="DI1338">
        <v>1</v>
      </c>
      <c r="DJ1338">
        <v>0</v>
      </c>
      <c r="DK1338">
        <v>0</v>
      </c>
      <c r="DL1338">
        <v>0</v>
      </c>
      <c r="DM1338">
        <v>0</v>
      </c>
      <c r="DN1338">
        <v>1</v>
      </c>
      <c r="DO1338">
        <v>0</v>
      </c>
      <c r="DP1338">
        <v>0</v>
      </c>
      <c r="DQ1338">
        <v>0</v>
      </c>
      <c r="DR1338">
        <v>0</v>
      </c>
      <c r="DS1338">
        <v>0</v>
      </c>
    </row>
    <row r="1339" spans="1:123" x14ac:dyDescent="0.3">
      <c r="A1339" t="str">
        <f>"10/04/2022 19:29:09.181"</f>
        <v>10/04/2022 19:29:09.181</v>
      </c>
      <c r="C1339" t="str">
        <f t="shared" si="460"/>
        <v>FFDDD3C0</v>
      </c>
      <c r="D1339" t="s">
        <v>134</v>
      </c>
      <c r="E1339">
        <v>15</v>
      </c>
      <c r="J1339" t="s">
        <v>135</v>
      </c>
      <c r="K1339">
        <v>0</v>
      </c>
      <c r="L1339">
        <v>3</v>
      </c>
      <c r="M1339">
        <v>0</v>
      </c>
      <c r="N1339">
        <v>2</v>
      </c>
      <c r="O1339">
        <v>0</v>
      </c>
      <c r="P1339">
        <v>1</v>
      </c>
      <c r="Q1339">
        <v>0</v>
      </c>
      <c r="S1339" t="str">
        <f t="shared" si="463"/>
        <v>19:29:09.000</v>
      </c>
      <c r="T1339" t="str">
        <f t="shared" si="463"/>
        <v>19:29:09.000</v>
      </c>
      <c r="U1339" t="str">
        <f t="shared" si="443"/>
        <v>AC3944</v>
      </c>
      <c r="V1339">
        <v>0</v>
      </c>
      <c r="W1339">
        <v>0</v>
      </c>
      <c r="X1339">
        <v>2</v>
      </c>
      <c r="Y1339">
        <v>0</v>
      </c>
      <c r="AA1339">
        <v>1</v>
      </c>
      <c r="AB1339">
        <v>8</v>
      </c>
      <c r="AC1339">
        <v>3</v>
      </c>
      <c r="AD1339">
        <v>0</v>
      </c>
      <c r="AE1339">
        <v>9</v>
      </c>
      <c r="AF1339" t="s">
        <v>138</v>
      </c>
      <c r="AG1339">
        <v>0</v>
      </c>
      <c r="AH1339">
        <v>3</v>
      </c>
      <c r="AI1339">
        <v>1</v>
      </c>
      <c r="AJ1339">
        <v>0</v>
      </c>
      <c r="AK1339" t="s">
        <v>516</v>
      </c>
      <c r="AL1339">
        <v>32.804918000000001</v>
      </c>
      <c r="AM1339" t="s">
        <v>517</v>
      </c>
      <c r="AN1339">
        <v>-116.89607599999999</v>
      </c>
      <c r="AO1339">
        <v>25</v>
      </c>
      <c r="AP1339">
        <v>2500</v>
      </c>
      <c r="AQ1339" t="s">
        <v>129</v>
      </c>
      <c r="AR1339">
        <v>109</v>
      </c>
      <c r="AS1339">
        <v>-41</v>
      </c>
      <c r="AT1339">
        <v>640</v>
      </c>
      <c r="BB1339">
        <v>1200</v>
      </c>
      <c r="BC1339">
        <v>1</v>
      </c>
      <c r="BD1339" t="str">
        <f t="shared" si="444"/>
        <v xml:space="preserve">N887QR  </v>
      </c>
      <c r="BE1339">
        <v>1</v>
      </c>
      <c r="BJ1339">
        <v>2200</v>
      </c>
      <c r="BK1339">
        <v>-300</v>
      </c>
      <c r="BL1339" t="s">
        <v>163</v>
      </c>
      <c r="BM1339">
        <v>1</v>
      </c>
      <c r="BN1339">
        <v>1</v>
      </c>
      <c r="BO1339">
        <v>1</v>
      </c>
      <c r="BP1339">
        <v>0</v>
      </c>
      <c r="BS1339">
        <v>0</v>
      </c>
      <c r="BT1339">
        <v>0</v>
      </c>
      <c r="BU1339">
        <v>0</v>
      </c>
      <c r="CE1339" t="str">
        <f t="shared" si="464"/>
        <v>19:29:09.005</v>
      </c>
      <c r="CF1339">
        <v>4630811</v>
      </c>
      <c r="CS1339">
        <v>3</v>
      </c>
      <c r="CT1339">
        <v>2</v>
      </c>
      <c r="CU1339">
        <v>0</v>
      </c>
      <c r="CV1339">
        <v>2</v>
      </c>
      <c r="CW1339">
        <v>0</v>
      </c>
      <c r="CX1339">
        <v>6</v>
      </c>
      <c r="CY1339">
        <v>7</v>
      </c>
      <c r="CZ1339" t="s">
        <v>131</v>
      </c>
      <c r="DA1339">
        <v>300</v>
      </c>
      <c r="DB1339">
        <v>0</v>
      </c>
      <c r="DC1339" t="s">
        <v>176</v>
      </c>
      <c r="DD1339" t="s">
        <v>177</v>
      </c>
      <c r="DG1339">
        <v>5384563</v>
      </c>
      <c r="DI1339">
        <v>1</v>
      </c>
      <c r="DJ1339">
        <v>0</v>
      </c>
      <c r="DK1339">
        <v>1</v>
      </c>
      <c r="DL1339">
        <v>0</v>
      </c>
      <c r="DM1339">
        <v>0</v>
      </c>
      <c r="DN1339">
        <v>1</v>
      </c>
      <c r="DO1339">
        <v>0</v>
      </c>
      <c r="DP1339">
        <v>0</v>
      </c>
      <c r="DQ1339">
        <v>0</v>
      </c>
      <c r="DR1339">
        <v>0</v>
      </c>
      <c r="DS1339">
        <v>0</v>
      </c>
    </row>
    <row r="1340" spans="1:123" x14ac:dyDescent="0.3">
      <c r="A1340" t="str">
        <f>"10/04/2022 19:29:09.196"</f>
        <v>10/04/2022 19:29:09.196</v>
      </c>
      <c r="C1340" t="str">
        <f t="shared" si="460"/>
        <v>FFDDD3C0</v>
      </c>
      <c r="D1340" t="s">
        <v>147</v>
      </c>
      <c r="E1340">
        <v>3</v>
      </c>
      <c r="H1340">
        <v>166</v>
      </c>
      <c r="I1340" t="s">
        <v>144</v>
      </c>
      <c r="J1340" t="s">
        <v>148</v>
      </c>
      <c r="K1340">
        <v>0</v>
      </c>
      <c r="L1340">
        <v>3</v>
      </c>
      <c r="M1340">
        <v>0</v>
      </c>
      <c r="N1340">
        <v>2</v>
      </c>
      <c r="O1340">
        <v>0</v>
      </c>
      <c r="P1340">
        <v>1</v>
      </c>
      <c r="Q1340">
        <v>0</v>
      </c>
      <c r="S1340" t="str">
        <f t="shared" si="463"/>
        <v>19:29:09.000</v>
      </c>
      <c r="T1340" t="str">
        <f t="shared" si="463"/>
        <v>19:29:09.000</v>
      </c>
      <c r="U1340" t="str">
        <f t="shared" si="443"/>
        <v>AC3944</v>
      </c>
      <c r="V1340">
        <v>0</v>
      </c>
      <c r="W1340">
        <v>0</v>
      </c>
      <c r="X1340">
        <v>2</v>
      </c>
      <c r="Y1340">
        <v>0</v>
      </c>
      <c r="AA1340">
        <v>1</v>
      </c>
      <c r="AB1340">
        <v>8</v>
      </c>
      <c r="AC1340">
        <v>3</v>
      </c>
      <c r="AD1340">
        <v>0</v>
      </c>
      <c r="AE1340">
        <v>9</v>
      </c>
      <c r="AF1340" t="s">
        <v>138</v>
      </c>
      <c r="AG1340">
        <v>0</v>
      </c>
      <c r="AH1340">
        <v>3</v>
      </c>
      <c r="AI1340">
        <v>1</v>
      </c>
      <c r="AJ1340">
        <v>0</v>
      </c>
      <c r="AK1340" t="s">
        <v>516</v>
      </c>
      <c r="AL1340">
        <v>32.804918000000001</v>
      </c>
      <c r="AM1340" t="s">
        <v>517</v>
      </c>
      <c r="AN1340">
        <v>-116.89607599999999</v>
      </c>
      <c r="AO1340">
        <v>25</v>
      </c>
      <c r="AP1340">
        <v>2500</v>
      </c>
      <c r="AQ1340" t="s">
        <v>129</v>
      </c>
      <c r="AR1340">
        <v>109</v>
      </c>
      <c r="AS1340">
        <v>-41</v>
      </c>
      <c r="AT1340">
        <v>640</v>
      </c>
      <c r="BB1340">
        <v>1200</v>
      </c>
      <c r="BC1340">
        <v>1</v>
      </c>
      <c r="BD1340" t="str">
        <f t="shared" si="444"/>
        <v xml:space="preserve">N887QR  </v>
      </c>
      <c r="BE1340">
        <v>1</v>
      </c>
      <c r="BJ1340">
        <v>2200</v>
      </c>
      <c r="BK1340">
        <v>-300</v>
      </c>
      <c r="BL1340" t="s">
        <v>163</v>
      </c>
      <c r="BM1340">
        <v>1</v>
      </c>
      <c r="BN1340">
        <v>1</v>
      </c>
      <c r="BO1340">
        <v>1</v>
      </c>
      <c r="BP1340">
        <v>0</v>
      </c>
      <c r="BS1340">
        <v>0</v>
      </c>
      <c r="BT1340">
        <v>0</v>
      </c>
      <c r="BU1340">
        <v>0</v>
      </c>
      <c r="CE1340" t="str">
        <f t="shared" si="464"/>
        <v>19:29:09.005</v>
      </c>
      <c r="CF1340">
        <v>4630811</v>
      </c>
      <c r="CS1340">
        <v>3</v>
      </c>
      <c r="CT1340">
        <v>2</v>
      </c>
      <c r="CU1340">
        <v>0</v>
      </c>
      <c r="CV1340">
        <v>2</v>
      </c>
      <c r="CW1340">
        <v>0</v>
      </c>
      <c r="CX1340">
        <v>6</v>
      </c>
      <c r="CY1340">
        <v>7</v>
      </c>
      <c r="CZ1340" t="s">
        <v>131</v>
      </c>
      <c r="DA1340">
        <v>300</v>
      </c>
      <c r="DB1340">
        <v>0</v>
      </c>
      <c r="DC1340" t="s">
        <v>176</v>
      </c>
      <c r="DD1340" t="s">
        <v>177</v>
      </c>
      <c r="DG1340">
        <v>5384563</v>
      </c>
      <c r="DI1340">
        <v>1</v>
      </c>
      <c r="DJ1340">
        <v>0</v>
      </c>
      <c r="DK1340">
        <v>1</v>
      </c>
      <c r="DL1340">
        <v>0</v>
      </c>
      <c r="DM1340">
        <v>0</v>
      </c>
      <c r="DN1340">
        <v>1</v>
      </c>
      <c r="DO1340">
        <v>0</v>
      </c>
      <c r="DP1340">
        <v>0</v>
      </c>
      <c r="DQ1340">
        <v>0</v>
      </c>
      <c r="DR1340">
        <v>0</v>
      </c>
      <c r="DS1340">
        <v>0</v>
      </c>
    </row>
    <row r="1341" spans="1:123" x14ac:dyDescent="0.3">
      <c r="A1341" t="str">
        <f>"10/04/2022 19:29:09.212"</f>
        <v>10/04/2022 19:29:09.212</v>
      </c>
      <c r="C1341" t="str">
        <f t="shared" si="460"/>
        <v>FFDDD3C0</v>
      </c>
      <c r="D1341" t="s">
        <v>141</v>
      </c>
      <c r="E1341">
        <v>3</v>
      </c>
      <c r="H1341">
        <v>3</v>
      </c>
      <c r="I1341" t="s">
        <v>146</v>
      </c>
      <c r="J1341" t="s">
        <v>138</v>
      </c>
      <c r="K1341">
        <v>0</v>
      </c>
      <c r="L1341">
        <v>3</v>
      </c>
      <c r="M1341">
        <v>0</v>
      </c>
      <c r="N1341">
        <v>2</v>
      </c>
      <c r="O1341">
        <v>0</v>
      </c>
      <c r="P1341">
        <v>1</v>
      </c>
      <c r="Q1341">
        <v>0</v>
      </c>
      <c r="S1341" t="str">
        <f t="shared" si="463"/>
        <v>19:29:09.000</v>
      </c>
      <c r="T1341" t="str">
        <f t="shared" si="463"/>
        <v>19:29:09.000</v>
      </c>
      <c r="U1341" t="str">
        <f t="shared" si="443"/>
        <v>AC3944</v>
      </c>
      <c r="V1341">
        <v>0</v>
      </c>
      <c r="W1341">
        <v>0</v>
      </c>
      <c r="X1341">
        <v>2</v>
      </c>
      <c r="Y1341">
        <v>0</v>
      </c>
      <c r="AA1341">
        <v>1</v>
      </c>
      <c r="AB1341">
        <v>8</v>
      </c>
      <c r="AC1341">
        <v>3</v>
      </c>
      <c r="AD1341">
        <v>0</v>
      </c>
      <c r="AE1341">
        <v>9</v>
      </c>
      <c r="AF1341" t="s">
        <v>138</v>
      </c>
      <c r="AG1341">
        <v>0</v>
      </c>
      <c r="AH1341">
        <v>3</v>
      </c>
      <c r="AI1341">
        <v>1</v>
      </c>
      <c r="AJ1341">
        <v>0</v>
      </c>
      <c r="AK1341" t="s">
        <v>516</v>
      </c>
      <c r="AL1341">
        <v>32.804918000000001</v>
      </c>
      <c r="AM1341" t="s">
        <v>517</v>
      </c>
      <c r="AN1341">
        <v>-116.89607599999999</v>
      </c>
      <c r="AO1341">
        <v>25</v>
      </c>
      <c r="AP1341">
        <v>2500</v>
      </c>
      <c r="AQ1341" t="s">
        <v>129</v>
      </c>
      <c r="AR1341">
        <v>109</v>
      </c>
      <c r="AS1341">
        <v>-41</v>
      </c>
      <c r="AT1341">
        <v>640</v>
      </c>
      <c r="BB1341">
        <v>1200</v>
      </c>
      <c r="BC1341">
        <v>1</v>
      </c>
      <c r="BD1341" t="str">
        <f t="shared" si="444"/>
        <v xml:space="preserve">N887QR  </v>
      </c>
      <c r="BE1341">
        <v>1</v>
      </c>
      <c r="BJ1341">
        <v>2200</v>
      </c>
      <c r="BK1341">
        <v>-300</v>
      </c>
      <c r="BL1341" t="s">
        <v>163</v>
      </c>
      <c r="BM1341">
        <v>1</v>
      </c>
      <c r="BN1341">
        <v>1</v>
      </c>
      <c r="BO1341">
        <v>1</v>
      </c>
      <c r="BP1341">
        <v>0</v>
      </c>
      <c r="BS1341">
        <v>0</v>
      </c>
      <c r="BT1341">
        <v>0</v>
      </c>
      <c r="BU1341">
        <v>0</v>
      </c>
      <c r="CE1341" t="str">
        <f t="shared" si="464"/>
        <v>19:29:09.005</v>
      </c>
      <c r="CF1341">
        <v>4630811</v>
      </c>
      <c r="CS1341">
        <v>3</v>
      </c>
      <c r="CT1341">
        <v>2</v>
      </c>
      <c r="CU1341">
        <v>0</v>
      </c>
      <c r="CV1341">
        <v>2</v>
      </c>
      <c r="CW1341">
        <v>0</v>
      </c>
      <c r="CX1341">
        <v>6</v>
      </c>
      <c r="CY1341">
        <v>7</v>
      </c>
      <c r="CZ1341" t="s">
        <v>131</v>
      </c>
      <c r="DA1341">
        <v>300</v>
      </c>
      <c r="DB1341">
        <v>0</v>
      </c>
      <c r="DC1341" t="s">
        <v>176</v>
      </c>
      <c r="DD1341" t="s">
        <v>177</v>
      </c>
      <c r="DG1341">
        <v>5384563</v>
      </c>
      <c r="DI1341">
        <v>1</v>
      </c>
      <c r="DJ1341">
        <v>0</v>
      </c>
      <c r="DK1341">
        <v>1</v>
      </c>
      <c r="DL1341">
        <v>0</v>
      </c>
      <c r="DM1341">
        <v>0</v>
      </c>
      <c r="DN1341">
        <v>1</v>
      </c>
      <c r="DO1341">
        <v>0</v>
      </c>
      <c r="DP1341">
        <v>0</v>
      </c>
      <c r="DQ1341">
        <v>0</v>
      </c>
      <c r="DR1341">
        <v>0</v>
      </c>
      <c r="DS1341">
        <v>0</v>
      </c>
    </row>
    <row r="1342" spans="1:123" x14ac:dyDescent="0.3">
      <c r="A1342" t="str">
        <f>"10/04/2022 19:29:09.212"</f>
        <v>10/04/2022 19:29:09.212</v>
      </c>
      <c r="C1342" t="str">
        <f t="shared" si="460"/>
        <v>FFDDD3C0</v>
      </c>
      <c r="D1342" t="s">
        <v>143</v>
      </c>
      <c r="E1342">
        <v>20</v>
      </c>
      <c r="F1342">
        <v>1020</v>
      </c>
      <c r="G1342" t="s">
        <v>144</v>
      </c>
      <c r="J1342" t="s">
        <v>145</v>
      </c>
      <c r="K1342">
        <v>0</v>
      </c>
      <c r="L1342">
        <v>3</v>
      </c>
      <c r="M1342">
        <v>0</v>
      </c>
      <c r="N1342">
        <v>2</v>
      </c>
      <c r="O1342">
        <v>0</v>
      </c>
      <c r="P1342">
        <v>1</v>
      </c>
      <c r="Q1342">
        <v>0</v>
      </c>
      <c r="S1342" t="str">
        <f t="shared" si="463"/>
        <v>19:29:09.000</v>
      </c>
      <c r="T1342" t="str">
        <f t="shared" si="463"/>
        <v>19:29:09.000</v>
      </c>
      <c r="U1342" t="str">
        <f t="shared" si="443"/>
        <v>AC3944</v>
      </c>
      <c r="V1342">
        <v>0</v>
      </c>
      <c r="W1342">
        <v>0</v>
      </c>
      <c r="X1342">
        <v>2</v>
      </c>
      <c r="Y1342">
        <v>0</v>
      </c>
      <c r="AA1342">
        <v>1</v>
      </c>
      <c r="AB1342">
        <v>8</v>
      </c>
      <c r="AC1342">
        <v>3</v>
      </c>
      <c r="AD1342">
        <v>0</v>
      </c>
      <c r="AE1342">
        <v>9</v>
      </c>
      <c r="AF1342" t="s">
        <v>138</v>
      </c>
      <c r="AG1342">
        <v>0</v>
      </c>
      <c r="AH1342">
        <v>3</v>
      </c>
      <c r="AI1342">
        <v>1</v>
      </c>
      <c r="AJ1342">
        <v>0</v>
      </c>
      <c r="AK1342" t="s">
        <v>516</v>
      </c>
      <c r="AL1342">
        <v>32.804918000000001</v>
      </c>
      <c r="AM1342" t="s">
        <v>517</v>
      </c>
      <c r="AN1342">
        <v>-116.89607599999999</v>
      </c>
      <c r="AO1342">
        <v>25</v>
      </c>
      <c r="AP1342">
        <v>2500</v>
      </c>
      <c r="AQ1342" t="s">
        <v>129</v>
      </c>
      <c r="AR1342">
        <v>109</v>
      </c>
      <c r="AS1342">
        <v>-41</v>
      </c>
      <c r="AT1342">
        <v>640</v>
      </c>
      <c r="BB1342">
        <v>1200</v>
      </c>
      <c r="BC1342">
        <v>1</v>
      </c>
      <c r="BD1342" t="str">
        <f t="shared" si="444"/>
        <v xml:space="preserve">N887QR  </v>
      </c>
      <c r="BE1342">
        <v>1</v>
      </c>
      <c r="BJ1342">
        <v>2200</v>
      </c>
      <c r="BK1342">
        <v>-300</v>
      </c>
      <c r="BL1342" t="s">
        <v>163</v>
      </c>
      <c r="BM1342">
        <v>1</v>
      </c>
      <c r="BN1342">
        <v>1</v>
      </c>
      <c r="BO1342">
        <v>1</v>
      </c>
      <c r="BP1342">
        <v>0</v>
      </c>
      <c r="BS1342">
        <v>0</v>
      </c>
      <c r="BT1342">
        <v>0</v>
      </c>
      <c r="BU1342">
        <v>0</v>
      </c>
      <c r="CE1342" t="str">
        <f t="shared" si="464"/>
        <v>19:29:09.005</v>
      </c>
      <c r="CF1342">
        <v>4630811</v>
      </c>
      <c r="CS1342">
        <v>3</v>
      </c>
      <c r="CT1342">
        <v>2</v>
      </c>
      <c r="CU1342">
        <v>0</v>
      </c>
      <c r="CV1342">
        <v>2</v>
      </c>
      <c r="CW1342">
        <v>0</v>
      </c>
      <c r="CX1342">
        <v>6</v>
      </c>
      <c r="CY1342">
        <v>7</v>
      </c>
      <c r="CZ1342" t="s">
        <v>131</v>
      </c>
      <c r="DA1342">
        <v>300</v>
      </c>
      <c r="DB1342">
        <v>0</v>
      </c>
      <c r="DC1342" t="s">
        <v>176</v>
      </c>
      <c r="DD1342" t="s">
        <v>177</v>
      </c>
      <c r="DG1342">
        <v>5384563</v>
      </c>
      <c r="DI1342">
        <v>1</v>
      </c>
      <c r="DJ1342">
        <v>0</v>
      </c>
      <c r="DK1342">
        <v>1</v>
      </c>
      <c r="DL1342">
        <v>0</v>
      </c>
      <c r="DM1342">
        <v>0</v>
      </c>
      <c r="DN1342">
        <v>1</v>
      </c>
      <c r="DO1342">
        <v>0</v>
      </c>
      <c r="DP1342">
        <v>0</v>
      </c>
      <c r="DQ1342">
        <v>0</v>
      </c>
      <c r="DR1342">
        <v>0</v>
      </c>
      <c r="DS1342">
        <v>0</v>
      </c>
    </row>
    <row r="1343" spans="1:123" x14ac:dyDescent="0.3">
      <c r="A1343" t="str">
        <f>"10/04/2022 19:29:09.243"</f>
        <v>10/04/2022 19:29:09.243</v>
      </c>
      <c r="C1343" t="str">
        <f t="shared" si="460"/>
        <v>FFDDD3C0</v>
      </c>
      <c r="D1343" t="s">
        <v>123</v>
      </c>
      <c r="E1343">
        <v>7</v>
      </c>
      <c r="F1343">
        <v>2007</v>
      </c>
      <c r="G1343" t="s">
        <v>124</v>
      </c>
      <c r="J1343" t="s">
        <v>125</v>
      </c>
      <c r="K1343">
        <v>0</v>
      </c>
      <c r="L1343">
        <v>3</v>
      </c>
      <c r="M1343">
        <v>0</v>
      </c>
      <c r="N1343">
        <v>2</v>
      </c>
      <c r="O1343">
        <v>0</v>
      </c>
      <c r="P1343">
        <v>1</v>
      </c>
      <c r="Q1343">
        <v>0</v>
      </c>
      <c r="S1343" t="str">
        <f t="shared" si="463"/>
        <v>19:29:09.000</v>
      </c>
      <c r="T1343" t="str">
        <f t="shared" si="463"/>
        <v>19:29:09.000</v>
      </c>
      <c r="U1343" t="str">
        <f t="shared" si="443"/>
        <v>AC3944</v>
      </c>
      <c r="V1343">
        <v>0</v>
      </c>
      <c r="W1343">
        <v>0</v>
      </c>
      <c r="X1343">
        <v>2</v>
      </c>
      <c r="Y1343">
        <v>0</v>
      </c>
      <c r="AA1343">
        <v>1</v>
      </c>
      <c r="AB1343">
        <v>8</v>
      </c>
      <c r="AC1343">
        <v>3</v>
      </c>
      <c r="AD1343">
        <v>0</v>
      </c>
      <c r="AE1343">
        <v>9</v>
      </c>
      <c r="AF1343" t="s">
        <v>138</v>
      </c>
      <c r="AG1343">
        <v>0</v>
      </c>
      <c r="AH1343">
        <v>3</v>
      </c>
      <c r="AI1343">
        <v>1</v>
      </c>
      <c r="AJ1343">
        <v>0</v>
      </c>
      <c r="AK1343" t="s">
        <v>516</v>
      </c>
      <c r="AL1343">
        <v>32.804918000000001</v>
      </c>
      <c r="AM1343" t="s">
        <v>517</v>
      </c>
      <c r="AN1343">
        <v>-116.89607599999999</v>
      </c>
      <c r="AO1343">
        <v>25</v>
      </c>
      <c r="AP1343">
        <v>2500</v>
      </c>
      <c r="AQ1343" t="s">
        <v>129</v>
      </c>
      <c r="AR1343">
        <v>109</v>
      </c>
      <c r="AS1343">
        <v>-41</v>
      </c>
      <c r="AT1343">
        <v>640</v>
      </c>
      <c r="BB1343">
        <v>1200</v>
      </c>
      <c r="BC1343">
        <v>1</v>
      </c>
      <c r="BD1343" t="str">
        <f t="shared" si="444"/>
        <v xml:space="preserve">N887QR  </v>
      </c>
      <c r="BE1343">
        <v>1</v>
      </c>
      <c r="BJ1343">
        <v>2200</v>
      </c>
      <c r="BK1343">
        <v>-300</v>
      </c>
      <c r="BL1343" t="s">
        <v>163</v>
      </c>
      <c r="BM1343">
        <v>1</v>
      </c>
      <c r="BN1343">
        <v>1</v>
      </c>
      <c r="BO1343">
        <v>1</v>
      </c>
      <c r="BP1343">
        <v>0</v>
      </c>
      <c r="BS1343">
        <v>0</v>
      </c>
      <c r="BT1343">
        <v>0</v>
      </c>
      <c r="BU1343">
        <v>0</v>
      </c>
      <c r="CE1343" t="str">
        <f t="shared" si="464"/>
        <v>19:29:09.005</v>
      </c>
      <c r="CF1343">
        <v>4630811</v>
      </c>
      <c r="CS1343">
        <v>3</v>
      </c>
      <c r="CT1343">
        <v>2</v>
      </c>
      <c r="CU1343">
        <v>0</v>
      </c>
      <c r="CV1343">
        <v>2</v>
      </c>
      <c r="CW1343">
        <v>0</v>
      </c>
      <c r="CX1343">
        <v>6</v>
      </c>
      <c r="CY1343">
        <v>7</v>
      </c>
      <c r="CZ1343" t="s">
        <v>131</v>
      </c>
      <c r="DA1343">
        <v>300</v>
      </c>
      <c r="DB1343">
        <v>0</v>
      </c>
      <c r="DC1343" t="s">
        <v>176</v>
      </c>
      <c r="DD1343" t="s">
        <v>177</v>
      </c>
      <c r="DG1343">
        <v>5384563</v>
      </c>
      <c r="DI1343">
        <v>1</v>
      </c>
      <c r="DJ1343">
        <v>0</v>
      </c>
      <c r="DK1343">
        <v>1</v>
      </c>
      <c r="DL1343">
        <v>0</v>
      </c>
      <c r="DM1343">
        <v>0</v>
      </c>
      <c r="DN1343">
        <v>1</v>
      </c>
      <c r="DO1343">
        <v>0</v>
      </c>
      <c r="DP1343">
        <v>0</v>
      </c>
      <c r="DQ1343">
        <v>0</v>
      </c>
      <c r="DR1343">
        <v>0</v>
      </c>
      <c r="DS1343">
        <v>0</v>
      </c>
    </row>
    <row r="1344" spans="1:123" x14ac:dyDescent="0.3">
      <c r="A1344" t="str">
        <f>"10/04/2022 19:29:09.243"</f>
        <v>10/04/2022 19:29:09.243</v>
      </c>
      <c r="C1344" t="str">
        <f t="shared" si="460"/>
        <v>FFDDD3C0</v>
      </c>
      <c r="D1344" t="s">
        <v>136</v>
      </c>
      <c r="E1344">
        <v>8</v>
      </c>
      <c r="H1344">
        <v>225</v>
      </c>
      <c r="I1344" t="s">
        <v>137</v>
      </c>
      <c r="J1344" t="s">
        <v>138</v>
      </c>
      <c r="K1344">
        <v>0</v>
      </c>
      <c r="L1344">
        <v>3</v>
      </c>
      <c r="M1344">
        <v>0</v>
      </c>
      <c r="N1344">
        <v>2</v>
      </c>
      <c r="O1344">
        <v>0</v>
      </c>
      <c r="P1344">
        <v>1</v>
      </c>
      <c r="Q1344">
        <v>0</v>
      </c>
      <c r="S1344" t="str">
        <f t="shared" si="463"/>
        <v>19:29:09.000</v>
      </c>
      <c r="T1344" t="str">
        <f t="shared" si="463"/>
        <v>19:29:09.000</v>
      </c>
      <c r="U1344" t="str">
        <f t="shared" si="443"/>
        <v>AC3944</v>
      </c>
      <c r="V1344">
        <v>0</v>
      </c>
      <c r="W1344">
        <v>0</v>
      </c>
      <c r="X1344">
        <v>2</v>
      </c>
      <c r="Y1344">
        <v>0</v>
      </c>
      <c r="AA1344">
        <v>1</v>
      </c>
      <c r="AB1344">
        <v>8</v>
      </c>
      <c r="AC1344">
        <v>3</v>
      </c>
      <c r="AD1344">
        <v>0</v>
      </c>
      <c r="AE1344">
        <v>9</v>
      </c>
      <c r="AF1344" t="s">
        <v>138</v>
      </c>
      <c r="AG1344">
        <v>0</v>
      </c>
      <c r="AH1344">
        <v>3</v>
      </c>
      <c r="AI1344">
        <v>1</v>
      </c>
      <c r="AJ1344">
        <v>0</v>
      </c>
      <c r="AK1344" t="s">
        <v>516</v>
      </c>
      <c r="AL1344">
        <v>32.804918000000001</v>
      </c>
      <c r="AM1344" t="s">
        <v>517</v>
      </c>
      <c r="AN1344">
        <v>-116.89607599999999</v>
      </c>
      <c r="AO1344">
        <v>25</v>
      </c>
      <c r="AP1344">
        <v>2500</v>
      </c>
      <c r="AQ1344" t="s">
        <v>129</v>
      </c>
      <c r="AR1344">
        <v>109</v>
      </c>
      <c r="AS1344">
        <v>-41</v>
      </c>
      <c r="AT1344">
        <v>640</v>
      </c>
      <c r="BB1344">
        <v>1200</v>
      </c>
      <c r="BC1344">
        <v>1</v>
      </c>
      <c r="BD1344" t="str">
        <f t="shared" si="444"/>
        <v xml:space="preserve">N887QR  </v>
      </c>
      <c r="BE1344">
        <v>1</v>
      </c>
      <c r="BJ1344">
        <v>2200</v>
      </c>
      <c r="BK1344">
        <v>-300</v>
      </c>
      <c r="BL1344" t="s">
        <v>163</v>
      </c>
      <c r="BM1344">
        <v>1</v>
      </c>
      <c r="BN1344">
        <v>1</v>
      </c>
      <c r="BO1344">
        <v>1</v>
      </c>
      <c r="BP1344">
        <v>0</v>
      </c>
      <c r="BS1344">
        <v>0</v>
      </c>
      <c r="BT1344">
        <v>0</v>
      </c>
      <c r="BU1344">
        <v>0</v>
      </c>
      <c r="CE1344" t="str">
        <f t="shared" si="464"/>
        <v>19:29:09.005</v>
      </c>
      <c r="CF1344">
        <v>4630811</v>
      </c>
      <c r="CS1344">
        <v>3</v>
      </c>
      <c r="CT1344">
        <v>2</v>
      </c>
      <c r="CU1344">
        <v>0</v>
      </c>
      <c r="CV1344">
        <v>2</v>
      </c>
      <c r="CW1344">
        <v>0</v>
      </c>
      <c r="CX1344">
        <v>6</v>
      </c>
      <c r="CY1344">
        <v>7</v>
      </c>
      <c r="CZ1344" t="s">
        <v>131</v>
      </c>
      <c r="DA1344">
        <v>300</v>
      </c>
      <c r="DB1344">
        <v>0</v>
      </c>
      <c r="DC1344" t="s">
        <v>176</v>
      </c>
      <c r="DD1344" t="s">
        <v>177</v>
      </c>
      <c r="DG1344">
        <v>5384563</v>
      </c>
      <c r="DI1344">
        <v>1</v>
      </c>
      <c r="DJ1344">
        <v>0</v>
      </c>
      <c r="DK1344">
        <v>1</v>
      </c>
      <c r="DL1344">
        <v>0</v>
      </c>
      <c r="DM1344">
        <v>0</v>
      </c>
      <c r="DN1344">
        <v>1</v>
      </c>
      <c r="DO1344">
        <v>0</v>
      </c>
      <c r="DP1344">
        <v>0</v>
      </c>
      <c r="DQ1344">
        <v>0</v>
      </c>
      <c r="DR1344">
        <v>0</v>
      </c>
      <c r="DS1344">
        <v>0</v>
      </c>
    </row>
    <row r="1345" spans="1:123" x14ac:dyDescent="0.3">
      <c r="A1345" t="str">
        <f>"10/04/2022 19:29:10.604"</f>
        <v>10/04/2022 19:29:10.604</v>
      </c>
      <c r="C1345" t="str">
        <f t="shared" si="460"/>
        <v>FFDDD3C0</v>
      </c>
      <c r="D1345" t="s">
        <v>134</v>
      </c>
      <c r="E1345">
        <v>15</v>
      </c>
      <c r="J1345" t="s">
        <v>135</v>
      </c>
      <c r="K1345">
        <v>0</v>
      </c>
      <c r="L1345">
        <v>3</v>
      </c>
      <c r="M1345">
        <v>0</v>
      </c>
      <c r="N1345">
        <v>2</v>
      </c>
      <c r="O1345">
        <v>0</v>
      </c>
      <c r="P1345">
        <v>1</v>
      </c>
      <c r="Q1345">
        <v>0</v>
      </c>
      <c r="S1345" t="str">
        <f t="shared" ref="S1345:T1351" si="465">"19:29:10.000"</f>
        <v>19:29:10.000</v>
      </c>
      <c r="T1345" t="str">
        <f t="shared" si="465"/>
        <v>19:29:10.000</v>
      </c>
      <c r="U1345" t="str">
        <f t="shared" si="443"/>
        <v>AC3944</v>
      </c>
      <c r="V1345">
        <v>0</v>
      </c>
      <c r="W1345">
        <v>0</v>
      </c>
      <c r="X1345">
        <v>2</v>
      </c>
      <c r="Y1345">
        <v>0</v>
      </c>
      <c r="AA1345">
        <v>1</v>
      </c>
      <c r="AB1345">
        <v>8</v>
      </c>
      <c r="AC1345">
        <v>3</v>
      </c>
      <c r="AD1345">
        <v>0</v>
      </c>
      <c r="AE1345">
        <v>9</v>
      </c>
      <c r="AF1345" t="s">
        <v>138</v>
      </c>
      <c r="AG1345">
        <v>0</v>
      </c>
      <c r="AH1345">
        <v>3</v>
      </c>
      <c r="AI1345">
        <v>1</v>
      </c>
      <c r="AJ1345">
        <v>0</v>
      </c>
      <c r="AK1345" t="s">
        <v>518</v>
      </c>
      <c r="AL1345">
        <v>32.804724999999998</v>
      </c>
      <c r="AM1345" t="s">
        <v>519</v>
      </c>
      <c r="AN1345">
        <v>-116.895475</v>
      </c>
      <c r="AO1345">
        <v>25</v>
      </c>
      <c r="AP1345">
        <v>2500</v>
      </c>
      <c r="AQ1345" t="s">
        <v>129</v>
      </c>
      <c r="AR1345">
        <v>107</v>
      </c>
      <c r="AS1345">
        <v>-45</v>
      </c>
      <c r="AT1345">
        <v>640</v>
      </c>
      <c r="BB1345">
        <v>1200</v>
      </c>
      <c r="BC1345">
        <v>1</v>
      </c>
      <c r="BD1345" t="str">
        <f t="shared" si="444"/>
        <v xml:space="preserve">N887QR  </v>
      </c>
      <c r="BE1345">
        <v>1</v>
      </c>
      <c r="BJ1345">
        <v>2200</v>
      </c>
      <c r="BK1345">
        <v>-300</v>
      </c>
      <c r="BL1345" t="s">
        <v>163</v>
      </c>
      <c r="BM1345">
        <v>1</v>
      </c>
      <c r="BN1345">
        <v>1</v>
      </c>
      <c r="BO1345">
        <v>1</v>
      </c>
      <c r="BP1345">
        <v>0</v>
      </c>
      <c r="BS1345">
        <v>0</v>
      </c>
      <c r="BT1345">
        <v>0</v>
      </c>
      <c r="BU1345">
        <v>0</v>
      </c>
      <c r="CE1345" t="str">
        <f t="shared" ref="CE1345:CE1351" si="466">"19:29:10.418"</f>
        <v>19:29:10.418</v>
      </c>
      <c r="CF1345">
        <v>417635505</v>
      </c>
      <c r="CS1345">
        <v>3</v>
      </c>
      <c r="CT1345">
        <v>2</v>
      </c>
      <c r="CU1345">
        <v>0</v>
      </c>
      <c r="CV1345">
        <v>2</v>
      </c>
      <c r="CW1345">
        <v>0</v>
      </c>
      <c r="CX1345">
        <v>6</v>
      </c>
      <c r="CY1345">
        <v>7</v>
      </c>
      <c r="CZ1345" t="s">
        <v>131</v>
      </c>
      <c r="DA1345">
        <v>300</v>
      </c>
      <c r="DB1345">
        <v>0</v>
      </c>
      <c r="DC1345" t="s">
        <v>176</v>
      </c>
      <c r="DD1345" t="s">
        <v>177</v>
      </c>
      <c r="DG1345">
        <v>5384781</v>
      </c>
      <c r="DI1345">
        <v>1</v>
      </c>
      <c r="DJ1345">
        <v>0</v>
      </c>
      <c r="DK1345">
        <v>0</v>
      </c>
      <c r="DL1345">
        <v>0</v>
      </c>
      <c r="DM1345">
        <v>0</v>
      </c>
      <c r="DN1345">
        <v>1</v>
      </c>
      <c r="DO1345">
        <v>0</v>
      </c>
      <c r="DP1345">
        <v>0</v>
      </c>
      <c r="DQ1345">
        <v>0</v>
      </c>
      <c r="DR1345">
        <v>0</v>
      </c>
      <c r="DS1345">
        <v>0</v>
      </c>
    </row>
    <row r="1346" spans="1:123" x14ac:dyDescent="0.3">
      <c r="A1346" t="str">
        <f>"10/04/2022 19:29:10.635"</f>
        <v>10/04/2022 19:29:10.635</v>
      </c>
      <c r="C1346" t="str">
        <f t="shared" si="460"/>
        <v>FFDDD3C0</v>
      </c>
      <c r="D1346" t="s">
        <v>147</v>
      </c>
      <c r="E1346">
        <v>3</v>
      </c>
      <c r="H1346">
        <v>166</v>
      </c>
      <c r="I1346" t="s">
        <v>144</v>
      </c>
      <c r="J1346" t="s">
        <v>148</v>
      </c>
      <c r="K1346">
        <v>0</v>
      </c>
      <c r="L1346">
        <v>3</v>
      </c>
      <c r="M1346">
        <v>0</v>
      </c>
      <c r="N1346">
        <v>2</v>
      </c>
      <c r="O1346">
        <v>0</v>
      </c>
      <c r="P1346">
        <v>1</v>
      </c>
      <c r="Q1346">
        <v>0</v>
      </c>
      <c r="S1346" t="str">
        <f t="shared" si="465"/>
        <v>19:29:10.000</v>
      </c>
      <c r="T1346" t="str">
        <f t="shared" si="465"/>
        <v>19:29:10.000</v>
      </c>
      <c r="U1346" t="str">
        <f t="shared" ref="U1346:U1409" si="467">"AC3944"</f>
        <v>AC3944</v>
      </c>
      <c r="V1346">
        <v>0</v>
      </c>
      <c r="W1346">
        <v>0</v>
      </c>
      <c r="X1346">
        <v>2</v>
      </c>
      <c r="Y1346">
        <v>0</v>
      </c>
      <c r="AA1346">
        <v>1</v>
      </c>
      <c r="AB1346">
        <v>8</v>
      </c>
      <c r="AC1346">
        <v>3</v>
      </c>
      <c r="AD1346">
        <v>0</v>
      </c>
      <c r="AE1346">
        <v>9</v>
      </c>
      <c r="AF1346" t="s">
        <v>138</v>
      </c>
      <c r="AG1346">
        <v>0</v>
      </c>
      <c r="AH1346">
        <v>3</v>
      </c>
      <c r="AI1346">
        <v>1</v>
      </c>
      <c r="AJ1346">
        <v>0</v>
      </c>
      <c r="AK1346" t="s">
        <v>518</v>
      </c>
      <c r="AL1346">
        <v>32.804724999999998</v>
      </c>
      <c r="AM1346" t="s">
        <v>519</v>
      </c>
      <c r="AN1346">
        <v>-116.895475</v>
      </c>
      <c r="AO1346">
        <v>25</v>
      </c>
      <c r="AP1346">
        <v>2500</v>
      </c>
      <c r="AQ1346" t="s">
        <v>129</v>
      </c>
      <c r="AR1346">
        <v>107</v>
      </c>
      <c r="AS1346">
        <v>-45</v>
      </c>
      <c r="AT1346">
        <v>640</v>
      </c>
      <c r="BB1346">
        <v>1200</v>
      </c>
      <c r="BC1346">
        <v>1</v>
      </c>
      <c r="BD1346" t="str">
        <f t="shared" ref="BD1346:BD1409" si="468">"N887QR  "</f>
        <v xml:space="preserve">N887QR  </v>
      </c>
      <c r="BE1346">
        <v>1</v>
      </c>
      <c r="BJ1346">
        <v>2200</v>
      </c>
      <c r="BK1346">
        <v>-300</v>
      </c>
      <c r="BL1346" t="s">
        <v>163</v>
      </c>
      <c r="BM1346">
        <v>1</v>
      </c>
      <c r="BN1346">
        <v>1</v>
      </c>
      <c r="BO1346">
        <v>1</v>
      </c>
      <c r="BP1346">
        <v>0</v>
      </c>
      <c r="BS1346">
        <v>0</v>
      </c>
      <c r="BT1346">
        <v>0</v>
      </c>
      <c r="BU1346">
        <v>0</v>
      </c>
      <c r="CE1346" t="str">
        <f t="shared" si="466"/>
        <v>19:29:10.418</v>
      </c>
      <c r="CF1346">
        <v>417635505</v>
      </c>
      <c r="CS1346">
        <v>3</v>
      </c>
      <c r="CT1346">
        <v>2</v>
      </c>
      <c r="CU1346">
        <v>0</v>
      </c>
      <c r="CV1346">
        <v>2</v>
      </c>
      <c r="CW1346">
        <v>0</v>
      </c>
      <c r="CX1346">
        <v>6</v>
      </c>
      <c r="CY1346">
        <v>7</v>
      </c>
      <c r="CZ1346" t="s">
        <v>131</v>
      </c>
      <c r="DA1346">
        <v>300</v>
      </c>
      <c r="DB1346">
        <v>0</v>
      </c>
      <c r="DC1346" t="s">
        <v>176</v>
      </c>
      <c r="DD1346" t="s">
        <v>177</v>
      </c>
      <c r="DG1346">
        <v>5384781</v>
      </c>
      <c r="DI1346">
        <v>1</v>
      </c>
      <c r="DJ1346">
        <v>0</v>
      </c>
      <c r="DK1346">
        <v>1</v>
      </c>
      <c r="DL1346">
        <v>0</v>
      </c>
      <c r="DM1346">
        <v>0</v>
      </c>
      <c r="DN1346">
        <v>1</v>
      </c>
      <c r="DO1346">
        <v>0</v>
      </c>
      <c r="DP1346">
        <v>0</v>
      </c>
      <c r="DQ1346">
        <v>0</v>
      </c>
      <c r="DR1346">
        <v>0</v>
      </c>
      <c r="DS1346">
        <v>0</v>
      </c>
    </row>
    <row r="1347" spans="1:123" x14ac:dyDescent="0.3">
      <c r="A1347" t="str">
        <f>"10/04/2022 19:29:10.635"</f>
        <v>10/04/2022 19:29:10.635</v>
      </c>
      <c r="C1347" t="str">
        <f t="shared" si="460"/>
        <v>FFDDD3C0</v>
      </c>
      <c r="D1347" t="s">
        <v>141</v>
      </c>
      <c r="E1347">
        <v>3</v>
      </c>
      <c r="H1347">
        <v>3</v>
      </c>
      <c r="I1347" t="s">
        <v>146</v>
      </c>
      <c r="J1347" t="s">
        <v>138</v>
      </c>
      <c r="K1347">
        <v>0</v>
      </c>
      <c r="L1347">
        <v>3</v>
      </c>
      <c r="M1347">
        <v>0</v>
      </c>
      <c r="N1347">
        <v>2</v>
      </c>
      <c r="O1347">
        <v>0</v>
      </c>
      <c r="P1347">
        <v>1</v>
      </c>
      <c r="Q1347">
        <v>0</v>
      </c>
      <c r="S1347" t="str">
        <f t="shared" si="465"/>
        <v>19:29:10.000</v>
      </c>
      <c r="T1347" t="str">
        <f t="shared" si="465"/>
        <v>19:29:10.000</v>
      </c>
      <c r="U1347" t="str">
        <f t="shared" si="467"/>
        <v>AC3944</v>
      </c>
      <c r="V1347">
        <v>0</v>
      </c>
      <c r="W1347">
        <v>0</v>
      </c>
      <c r="X1347">
        <v>2</v>
      </c>
      <c r="Y1347">
        <v>0</v>
      </c>
      <c r="AA1347">
        <v>1</v>
      </c>
      <c r="AB1347">
        <v>8</v>
      </c>
      <c r="AC1347">
        <v>3</v>
      </c>
      <c r="AD1347">
        <v>0</v>
      </c>
      <c r="AE1347">
        <v>9</v>
      </c>
      <c r="AF1347" t="s">
        <v>138</v>
      </c>
      <c r="AG1347">
        <v>0</v>
      </c>
      <c r="AH1347">
        <v>3</v>
      </c>
      <c r="AI1347">
        <v>1</v>
      </c>
      <c r="AJ1347">
        <v>0</v>
      </c>
      <c r="AK1347" t="s">
        <v>518</v>
      </c>
      <c r="AL1347">
        <v>32.804724999999998</v>
      </c>
      <c r="AM1347" t="s">
        <v>519</v>
      </c>
      <c r="AN1347">
        <v>-116.895475</v>
      </c>
      <c r="AO1347">
        <v>25</v>
      </c>
      <c r="AP1347">
        <v>2500</v>
      </c>
      <c r="AQ1347" t="s">
        <v>129</v>
      </c>
      <c r="AR1347">
        <v>107</v>
      </c>
      <c r="AS1347">
        <v>-45</v>
      </c>
      <c r="AT1347">
        <v>640</v>
      </c>
      <c r="BB1347">
        <v>1200</v>
      </c>
      <c r="BC1347">
        <v>1</v>
      </c>
      <c r="BD1347" t="str">
        <f t="shared" si="468"/>
        <v xml:space="preserve">N887QR  </v>
      </c>
      <c r="BE1347">
        <v>1</v>
      </c>
      <c r="BJ1347">
        <v>2200</v>
      </c>
      <c r="BK1347">
        <v>-300</v>
      </c>
      <c r="BL1347" t="s">
        <v>163</v>
      </c>
      <c r="BM1347">
        <v>1</v>
      </c>
      <c r="BN1347">
        <v>1</v>
      </c>
      <c r="BO1347">
        <v>1</v>
      </c>
      <c r="BP1347">
        <v>0</v>
      </c>
      <c r="BS1347">
        <v>0</v>
      </c>
      <c r="BT1347">
        <v>0</v>
      </c>
      <c r="BU1347">
        <v>0</v>
      </c>
      <c r="CE1347" t="str">
        <f t="shared" si="466"/>
        <v>19:29:10.418</v>
      </c>
      <c r="CF1347">
        <v>417635505</v>
      </c>
      <c r="CS1347">
        <v>3</v>
      </c>
      <c r="CT1347">
        <v>2</v>
      </c>
      <c r="CU1347">
        <v>0</v>
      </c>
      <c r="CV1347">
        <v>2</v>
      </c>
      <c r="CW1347">
        <v>0</v>
      </c>
      <c r="CX1347">
        <v>6</v>
      </c>
      <c r="CY1347">
        <v>7</v>
      </c>
      <c r="CZ1347" t="s">
        <v>131</v>
      </c>
      <c r="DA1347">
        <v>300</v>
      </c>
      <c r="DB1347">
        <v>0</v>
      </c>
      <c r="DC1347" t="s">
        <v>176</v>
      </c>
      <c r="DD1347" t="s">
        <v>177</v>
      </c>
      <c r="DG1347">
        <v>5384781</v>
      </c>
      <c r="DI1347">
        <v>1</v>
      </c>
      <c r="DJ1347">
        <v>0</v>
      </c>
      <c r="DK1347">
        <v>1</v>
      </c>
      <c r="DL1347">
        <v>0</v>
      </c>
      <c r="DM1347">
        <v>0</v>
      </c>
      <c r="DN1347">
        <v>1</v>
      </c>
      <c r="DO1347">
        <v>0</v>
      </c>
      <c r="DP1347">
        <v>0</v>
      </c>
      <c r="DQ1347">
        <v>0</v>
      </c>
      <c r="DR1347">
        <v>0</v>
      </c>
      <c r="DS1347">
        <v>0</v>
      </c>
    </row>
    <row r="1348" spans="1:123" x14ac:dyDescent="0.3">
      <c r="A1348" t="str">
        <f>"10/04/2022 19:29:10.635"</f>
        <v>10/04/2022 19:29:10.635</v>
      </c>
      <c r="C1348" t="str">
        <f t="shared" si="460"/>
        <v>FFDDD3C0</v>
      </c>
      <c r="D1348" t="s">
        <v>143</v>
      </c>
      <c r="E1348">
        <v>20</v>
      </c>
      <c r="F1348">
        <v>1020</v>
      </c>
      <c r="G1348" t="s">
        <v>144</v>
      </c>
      <c r="J1348" t="s">
        <v>145</v>
      </c>
      <c r="K1348">
        <v>0</v>
      </c>
      <c r="L1348">
        <v>3</v>
      </c>
      <c r="M1348">
        <v>0</v>
      </c>
      <c r="N1348">
        <v>2</v>
      </c>
      <c r="O1348">
        <v>0</v>
      </c>
      <c r="P1348">
        <v>1</v>
      </c>
      <c r="Q1348">
        <v>0</v>
      </c>
      <c r="S1348" t="str">
        <f t="shared" si="465"/>
        <v>19:29:10.000</v>
      </c>
      <c r="T1348" t="str">
        <f t="shared" si="465"/>
        <v>19:29:10.000</v>
      </c>
      <c r="U1348" t="str">
        <f t="shared" si="467"/>
        <v>AC3944</v>
      </c>
      <c r="V1348">
        <v>0</v>
      </c>
      <c r="W1348">
        <v>0</v>
      </c>
      <c r="X1348">
        <v>2</v>
      </c>
      <c r="Y1348">
        <v>0</v>
      </c>
      <c r="AA1348">
        <v>1</v>
      </c>
      <c r="AB1348">
        <v>8</v>
      </c>
      <c r="AC1348">
        <v>3</v>
      </c>
      <c r="AD1348">
        <v>0</v>
      </c>
      <c r="AE1348">
        <v>9</v>
      </c>
      <c r="AF1348" t="s">
        <v>138</v>
      </c>
      <c r="AG1348">
        <v>0</v>
      </c>
      <c r="AH1348">
        <v>3</v>
      </c>
      <c r="AI1348">
        <v>1</v>
      </c>
      <c r="AJ1348">
        <v>0</v>
      </c>
      <c r="AK1348" t="s">
        <v>518</v>
      </c>
      <c r="AL1348">
        <v>32.804724999999998</v>
      </c>
      <c r="AM1348" t="s">
        <v>519</v>
      </c>
      <c r="AN1348">
        <v>-116.895475</v>
      </c>
      <c r="AO1348">
        <v>25</v>
      </c>
      <c r="AP1348">
        <v>2500</v>
      </c>
      <c r="AQ1348" t="s">
        <v>129</v>
      </c>
      <c r="AR1348">
        <v>107</v>
      </c>
      <c r="AS1348">
        <v>-45</v>
      </c>
      <c r="AT1348">
        <v>640</v>
      </c>
      <c r="BB1348">
        <v>1200</v>
      </c>
      <c r="BC1348">
        <v>1</v>
      </c>
      <c r="BD1348" t="str">
        <f t="shared" si="468"/>
        <v xml:space="preserve">N887QR  </v>
      </c>
      <c r="BE1348">
        <v>1</v>
      </c>
      <c r="BJ1348">
        <v>2200</v>
      </c>
      <c r="BK1348">
        <v>-300</v>
      </c>
      <c r="BL1348" t="s">
        <v>163</v>
      </c>
      <c r="BM1348">
        <v>1</v>
      </c>
      <c r="BN1348">
        <v>1</v>
      </c>
      <c r="BO1348">
        <v>1</v>
      </c>
      <c r="BP1348">
        <v>0</v>
      </c>
      <c r="BS1348">
        <v>0</v>
      </c>
      <c r="BT1348">
        <v>0</v>
      </c>
      <c r="BU1348">
        <v>0</v>
      </c>
      <c r="CE1348" t="str">
        <f t="shared" si="466"/>
        <v>19:29:10.418</v>
      </c>
      <c r="CF1348">
        <v>417635505</v>
      </c>
      <c r="CS1348">
        <v>3</v>
      </c>
      <c r="CT1348">
        <v>2</v>
      </c>
      <c r="CU1348">
        <v>0</v>
      </c>
      <c r="CV1348">
        <v>2</v>
      </c>
      <c r="CW1348">
        <v>0</v>
      </c>
      <c r="CX1348">
        <v>6</v>
      </c>
      <c r="CY1348">
        <v>7</v>
      </c>
      <c r="CZ1348" t="s">
        <v>131</v>
      </c>
      <c r="DA1348">
        <v>300</v>
      </c>
      <c r="DB1348">
        <v>0</v>
      </c>
      <c r="DC1348" t="s">
        <v>176</v>
      </c>
      <c r="DD1348" t="s">
        <v>177</v>
      </c>
      <c r="DG1348">
        <v>5384781</v>
      </c>
      <c r="DI1348">
        <v>1</v>
      </c>
      <c r="DJ1348">
        <v>0</v>
      </c>
      <c r="DK1348">
        <v>1</v>
      </c>
      <c r="DL1348">
        <v>0</v>
      </c>
      <c r="DM1348">
        <v>0</v>
      </c>
      <c r="DN1348">
        <v>1</v>
      </c>
      <c r="DO1348">
        <v>0</v>
      </c>
      <c r="DP1348">
        <v>0</v>
      </c>
      <c r="DQ1348">
        <v>0</v>
      </c>
      <c r="DR1348">
        <v>0</v>
      </c>
      <c r="DS1348">
        <v>0</v>
      </c>
    </row>
    <row r="1349" spans="1:123" x14ac:dyDescent="0.3">
      <c r="A1349" t="str">
        <f>"10/04/2022 19:29:10.635"</f>
        <v>10/04/2022 19:29:10.635</v>
      </c>
      <c r="C1349" t="str">
        <f t="shared" si="460"/>
        <v>FFDDD3C0</v>
      </c>
      <c r="D1349" t="s">
        <v>123</v>
      </c>
      <c r="E1349">
        <v>7</v>
      </c>
      <c r="F1349">
        <v>2007</v>
      </c>
      <c r="G1349" t="s">
        <v>124</v>
      </c>
      <c r="J1349" t="s">
        <v>125</v>
      </c>
      <c r="K1349">
        <v>0</v>
      </c>
      <c r="L1349">
        <v>3</v>
      </c>
      <c r="M1349">
        <v>0</v>
      </c>
      <c r="N1349">
        <v>2</v>
      </c>
      <c r="O1349">
        <v>0</v>
      </c>
      <c r="P1349">
        <v>1</v>
      </c>
      <c r="Q1349">
        <v>0</v>
      </c>
      <c r="S1349" t="str">
        <f t="shared" si="465"/>
        <v>19:29:10.000</v>
      </c>
      <c r="T1349" t="str">
        <f t="shared" si="465"/>
        <v>19:29:10.000</v>
      </c>
      <c r="U1349" t="str">
        <f t="shared" si="467"/>
        <v>AC3944</v>
      </c>
      <c r="V1349">
        <v>0</v>
      </c>
      <c r="W1349">
        <v>0</v>
      </c>
      <c r="X1349">
        <v>2</v>
      </c>
      <c r="Y1349">
        <v>0</v>
      </c>
      <c r="AA1349">
        <v>1</v>
      </c>
      <c r="AB1349">
        <v>8</v>
      </c>
      <c r="AC1349">
        <v>3</v>
      </c>
      <c r="AD1349">
        <v>0</v>
      </c>
      <c r="AE1349">
        <v>9</v>
      </c>
      <c r="AF1349" t="s">
        <v>138</v>
      </c>
      <c r="AG1349">
        <v>0</v>
      </c>
      <c r="AH1349">
        <v>3</v>
      </c>
      <c r="AI1349">
        <v>1</v>
      </c>
      <c r="AJ1349">
        <v>0</v>
      </c>
      <c r="AK1349" t="s">
        <v>518</v>
      </c>
      <c r="AL1349">
        <v>32.804724999999998</v>
      </c>
      <c r="AM1349" t="s">
        <v>519</v>
      </c>
      <c r="AN1349">
        <v>-116.895475</v>
      </c>
      <c r="AO1349">
        <v>25</v>
      </c>
      <c r="AP1349">
        <v>2500</v>
      </c>
      <c r="AQ1349" t="s">
        <v>129</v>
      </c>
      <c r="AR1349">
        <v>107</v>
      </c>
      <c r="AS1349">
        <v>-45</v>
      </c>
      <c r="AT1349">
        <v>640</v>
      </c>
      <c r="BB1349">
        <v>1200</v>
      </c>
      <c r="BC1349">
        <v>1</v>
      </c>
      <c r="BD1349" t="str">
        <f t="shared" si="468"/>
        <v xml:space="preserve">N887QR  </v>
      </c>
      <c r="BE1349">
        <v>1</v>
      </c>
      <c r="BJ1349">
        <v>2200</v>
      </c>
      <c r="BK1349">
        <v>-300</v>
      </c>
      <c r="BL1349" t="s">
        <v>163</v>
      </c>
      <c r="BM1349">
        <v>1</v>
      </c>
      <c r="BN1349">
        <v>1</v>
      </c>
      <c r="BO1349">
        <v>1</v>
      </c>
      <c r="BP1349">
        <v>0</v>
      </c>
      <c r="BS1349">
        <v>0</v>
      </c>
      <c r="BT1349">
        <v>0</v>
      </c>
      <c r="BU1349">
        <v>0</v>
      </c>
      <c r="CE1349" t="str">
        <f t="shared" si="466"/>
        <v>19:29:10.418</v>
      </c>
      <c r="CF1349">
        <v>417635505</v>
      </c>
      <c r="CS1349">
        <v>3</v>
      </c>
      <c r="CT1349">
        <v>2</v>
      </c>
      <c r="CU1349">
        <v>0</v>
      </c>
      <c r="CV1349">
        <v>2</v>
      </c>
      <c r="CW1349">
        <v>0</v>
      </c>
      <c r="CX1349">
        <v>6</v>
      </c>
      <c r="CY1349">
        <v>7</v>
      </c>
      <c r="CZ1349" t="s">
        <v>131</v>
      </c>
      <c r="DA1349">
        <v>300</v>
      </c>
      <c r="DB1349">
        <v>0</v>
      </c>
      <c r="DC1349" t="s">
        <v>176</v>
      </c>
      <c r="DD1349" t="s">
        <v>177</v>
      </c>
      <c r="DG1349">
        <v>5384781</v>
      </c>
      <c r="DI1349">
        <v>1</v>
      </c>
      <c r="DJ1349">
        <v>0</v>
      </c>
      <c r="DK1349">
        <v>1</v>
      </c>
      <c r="DL1349">
        <v>0</v>
      </c>
      <c r="DM1349">
        <v>0</v>
      </c>
      <c r="DN1349">
        <v>1</v>
      </c>
      <c r="DO1349">
        <v>0</v>
      </c>
      <c r="DP1349">
        <v>0</v>
      </c>
      <c r="DQ1349">
        <v>0</v>
      </c>
      <c r="DR1349">
        <v>0</v>
      </c>
      <c r="DS1349">
        <v>0</v>
      </c>
    </row>
    <row r="1350" spans="1:123" x14ac:dyDescent="0.3">
      <c r="A1350" t="str">
        <f>"10/04/2022 19:29:10.635"</f>
        <v>10/04/2022 19:29:10.635</v>
      </c>
      <c r="C1350" t="str">
        <f t="shared" si="460"/>
        <v>FFDDD3C0</v>
      </c>
      <c r="D1350" t="s">
        <v>136</v>
      </c>
      <c r="E1350">
        <v>8</v>
      </c>
      <c r="H1350">
        <v>225</v>
      </c>
      <c r="I1350" t="s">
        <v>137</v>
      </c>
      <c r="J1350" t="s">
        <v>138</v>
      </c>
      <c r="K1350">
        <v>0</v>
      </c>
      <c r="L1350">
        <v>3</v>
      </c>
      <c r="M1350">
        <v>0</v>
      </c>
      <c r="N1350">
        <v>2</v>
      </c>
      <c r="O1350">
        <v>0</v>
      </c>
      <c r="P1350">
        <v>1</v>
      </c>
      <c r="Q1350">
        <v>0</v>
      </c>
      <c r="S1350" t="str">
        <f t="shared" si="465"/>
        <v>19:29:10.000</v>
      </c>
      <c r="T1350" t="str">
        <f t="shared" si="465"/>
        <v>19:29:10.000</v>
      </c>
      <c r="U1350" t="str">
        <f t="shared" si="467"/>
        <v>AC3944</v>
      </c>
      <c r="V1350">
        <v>0</v>
      </c>
      <c r="W1350">
        <v>0</v>
      </c>
      <c r="X1350">
        <v>2</v>
      </c>
      <c r="Y1350">
        <v>0</v>
      </c>
      <c r="AA1350">
        <v>1</v>
      </c>
      <c r="AB1350">
        <v>8</v>
      </c>
      <c r="AC1350">
        <v>3</v>
      </c>
      <c r="AD1350">
        <v>0</v>
      </c>
      <c r="AE1350">
        <v>9</v>
      </c>
      <c r="AF1350" t="s">
        <v>138</v>
      </c>
      <c r="AG1350">
        <v>0</v>
      </c>
      <c r="AH1350">
        <v>3</v>
      </c>
      <c r="AI1350">
        <v>1</v>
      </c>
      <c r="AJ1350">
        <v>0</v>
      </c>
      <c r="AK1350" t="s">
        <v>518</v>
      </c>
      <c r="AL1350">
        <v>32.804724999999998</v>
      </c>
      <c r="AM1350" t="s">
        <v>519</v>
      </c>
      <c r="AN1350">
        <v>-116.895475</v>
      </c>
      <c r="AO1350">
        <v>25</v>
      </c>
      <c r="AP1350">
        <v>2500</v>
      </c>
      <c r="AQ1350" t="s">
        <v>129</v>
      </c>
      <c r="AR1350">
        <v>107</v>
      </c>
      <c r="AS1350">
        <v>-45</v>
      </c>
      <c r="AT1350">
        <v>640</v>
      </c>
      <c r="BB1350">
        <v>1200</v>
      </c>
      <c r="BC1350">
        <v>1</v>
      </c>
      <c r="BD1350" t="str">
        <f t="shared" si="468"/>
        <v xml:space="preserve">N887QR  </v>
      </c>
      <c r="BE1350">
        <v>1</v>
      </c>
      <c r="BJ1350">
        <v>2200</v>
      </c>
      <c r="BK1350">
        <v>-300</v>
      </c>
      <c r="BL1350" t="s">
        <v>163</v>
      </c>
      <c r="BM1350">
        <v>1</v>
      </c>
      <c r="BN1350">
        <v>1</v>
      </c>
      <c r="BO1350">
        <v>1</v>
      </c>
      <c r="BP1350">
        <v>0</v>
      </c>
      <c r="BS1350">
        <v>0</v>
      </c>
      <c r="BT1350">
        <v>0</v>
      </c>
      <c r="BU1350">
        <v>0</v>
      </c>
      <c r="CE1350" t="str">
        <f t="shared" si="466"/>
        <v>19:29:10.418</v>
      </c>
      <c r="CF1350">
        <v>417635505</v>
      </c>
      <c r="CS1350">
        <v>3</v>
      </c>
      <c r="CT1350">
        <v>2</v>
      </c>
      <c r="CU1350">
        <v>0</v>
      </c>
      <c r="CV1350">
        <v>2</v>
      </c>
      <c r="CW1350">
        <v>0</v>
      </c>
      <c r="CX1350">
        <v>6</v>
      </c>
      <c r="CY1350">
        <v>7</v>
      </c>
      <c r="CZ1350" t="s">
        <v>131</v>
      </c>
      <c r="DA1350">
        <v>300</v>
      </c>
      <c r="DB1350">
        <v>0</v>
      </c>
      <c r="DC1350" t="s">
        <v>176</v>
      </c>
      <c r="DD1350" t="s">
        <v>177</v>
      </c>
      <c r="DG1350">
        <v>5384781</v>
      </c>
      <c r="DI1350">
        <v>1</v>
      </c>
      <c r="DJ1350">
        <v>0</v>
      </c>
      <c r="DK1350">
        <v>1</v>
      </c>
      <c r="DL1350">
        <v>0</v>
      </c>
      <c r="DM1350">
        <v>0</v>
      </c>
      <c r="DN1350">
        <v>1</v>
      </c>
      <c r="DO1350">
        <v>0</v>
      </c>
      <c r="DP1350">
        <v>0</v>
      </c>
      <c r="DQ1350">
        <v>0</v>
      </c>
      <c r="DR1350">
        <v>0</v>
      </c>
      <c r="DS1350">
        <v>0</v>
      </c>
    </row>
    <row r="1351" spans="1:123" x14ac:dyDescent="0.3">
      <c r="A1351" t="str">
        <f>"10/04/2022 19:29:10.651"</f>
        <v>10/04/2022 19:29:10.651</v>
      </c>
      <c r="C1351" t="str">
        <f t="shared" si="460"/>
        <v>FFDDD3C0</v>
      </c>
      <c r="D1351" t="s">
        <v>141</v>
      </c>
      <c r="E1351">
        <v>4</v>
      </c>
      <c r="H1351">
        <v>4</v>
      </c>
      <c r="I1351" t="s">
        <v>142</v>
      </c>
      <c r="J1351" t="s">
        <v>138</v>
      </c>
      <c r="K1351">
        <v>0</v>
      </c>
      <c r="L1351">
        <v>3</v>
      </c>
      <c r="M1351">
        <v>0</v>
      </c>
      <c r="N1351">
        <v>2</v>
      </c>
      <c r="O1351">
        <v>0</v>
      </c>
      <c r="P1351">
        <v>1</v>
      </c>
      <c r="Q1351">
        <v>0</v>
      </c>
      <c r="S1351" t="str">
        <f t="shared" si="465"/>
        <v>19:29:10.000</v>
      </c>
      <c r="T1351" t="str">
        <f t="shared" si="465"/>
        <v>19:29:10.000</v>
      </c>
      <c r="U1351" t="str">
        <f t="shared" si="467"/>
        <v>AC3944</v>
      </c>
      <c r="V1351">
        <v>0</v>
      </c>
      <c r="W1351">
        <v>0</v>
      </c>
      <c r="X1351">
        <v>2</v>
      </c>
      <c r="Y1351">
        <v>0</v>
      </c>
      <c r="AA1351">
        <v>1</v>
      </c>
      <c r="AB1351">
        <v>8</v>
      </c>
      <c r="AC1351">
        <v>3</v>
      </c>
      <c r="AD1351">
        <v>0</v>
      </c>
      <c r="AE1351">
        <v>9</v>
      </c>
      <c r="AF1351" t="s">
        <v>138</v>
      </c>
      <c r="AG1351">
        <v>0</v>
      </c>
      <c r="AH1351">
        <v>3</v>
      </c>
      <c r="AI1351">
        <v>1</v>
      </c>
      <c r="AJ1351">
        <v>0</v>
      </c>
      <c r="AK1351" t="s">
        <v>518</v>
      </c>
      <c r="AL1351">
        <v>32.804724999999998</v>
      </c>
      <c r="AM1351" t="s">
        <v>519</v>
      </c>
      <c r="AN1351">
        <v>-116.895475</v>
      </c>
      <c r="AO1351">
        <v>25</v>
      </c>
      <c r="AP1351">
        <v>2500</v>
      </c>
      <c r="AQ1351" t="s">
        <v>129</v>
      </c>
      <c r="AR1351">
        <v>107</v>
      </c>
      <c r="AS1351">
        <v>-45</v>
      </c>
      <c r="AT1351">
        <v>640</v>
      </c>
      <c r="BB1351">
        <v>1200</v>
      </c>
      <c r="BC1351">
        <v>1</v>
      </c>
      <c r="BD1351" t="str">
        <f t="shared" si="468"/>
        <v xml:space="preserve">N887QR  </v>
      </c>
      <c r="BE1351">
        <v>1</v>
      </c>
      <c r="BJ1351">
        <v>2200</v>
      </c>
      <c r="BK1351">
        <v>-300</v>
      </c>
      <c r="BL1351" t="s">
        <v>163</v>
      </c>
      <c r="BM1351">
        <v>1</v>
      </c>
      <c r="BN1351">
        <v>1</v>
      </c>
      <c r="BO1351">
        <v>1</v>
      </c>
      <c r="BP1351">
        <v>0</v>
      </c>
      <c r="BS1351">
        <v>0</v>
      </c>
      <c r="BT1351">
        <v>0</v>
      </c>
      <c r="BU1351">
        <v>0</v>
      </c>
      <c r="CE1351" t="str">
        <f t="shared" si="466"/>
        <v>19:29:10.418</v>
      </c>
      <c r="CF1351">
        <v>417635505</v>
      </c>
      <c r="CS1351">
        <v>3</v>
      </c>
      <c r="CT1351">
        <v>2</v>
      </c>
      <c r="CU1351">
        <v>0</v>
      </c>
      <c r="CV1351">
        <v>2</v>
      </c>
      <c r="CW1351">
        <v>0</v>
      </c>
      <c r="CX1351">
        <v>6</v>
      </c>
      <c r="CY1351">
        <v>7</v>
      </c>
      <c r="CZ1351" t="s">
        <v>131</v>
      </c>
      <c r="DA1351">
        <v>300</v>
      </c>
      <c r="DB1351">
        <v>0</v>
      </c>
      <c r="DC1351" t="s">
        <v>176</v>
      </c>
      <c r="DD1351" t="s">
        <v>177</v>
      </c>
      <c r="DG1351">
        <v>5384781</v>
      </c>
      <c r="DI1351">
        <v>1</v>
      </c>
      <c r="DJ1351">
        <v>0</v>
      </c>
      <c r="DK1351">
        <v>1</v>
      </c>
      <c r="DL1351">
        <v>0</v>
      </c>
      <c r="DM1351">
        <v>0</v>
      </c>
      <c r="DN1351">
        <v>1</v>
      </c>
      <c r="DO1351">
        <v>0</v>
      </c>
      <c r="DP1351">
        <v>0</v>
      </c>
      <c r="DQ1351">
        <v>0</v>
      </c>
      <c r="DR1351">
        <v>0</v>
      </c>
      <c r="DS1351">
        <v>0</v>
      </c>
    </row>
    <row r="1352" spans="1:123" x14ac:dyDescent="0.3">
      <c r="A1352" t="str">
        <f>"10/04/2022 19:29:11.290"</f>
        <v>10/04/2022 19:29:11.290</v>
      </c>
      <c r="C1352" t="str">
        <f t="shared" ref="C1352:C1383" si="469">"FFDFD3C0"</f>
        <v>FFDFD3C0</v>
      </c>
      <c r="D1352" t="s">
        <v>134</v>
      </c>
      <c r="E1352">
        <v>15</v>
      </c>
      <c r="J1352" t="s">
        <v>135</v>
      </c>
      <c r="K1352">
        <v>0</v>
      </c>
      <c r="L1352">
        <v>3</v>
      </c>
      <c r="M1352">
        <v>0</v>
      </c>
      <c r="N1352">
        <v>2</v>
      </c>
      <c r="O1352">
        <v>0</v>
      </c>
      <c r="P1352">
        <v>1</v>
      </c>
      <c r="Q1352">
        <v>0</v>
      </c>
      <c r="S1352" t="str">
        <f t="shared" ref="S1352:T1358" si="470">"19:29:11.000"</f>
        <v>19:29:11.000</v>
      </c>
      <c r="T1352" t="str">
        <f t="shared" si="470"/>
        <v>19:29:11.000</v>
      </c>
      <c r="U1352" t="str">
        <f t="shared" si="467"/>
        <v>AC3944</v>
      </c>
      <c r="V1352">
        <v>0</v>
      </c>
      <c r="W1352">
        <v>0</v>
      </c>
      <c r="X1352">
        <v>2</v>
      </c>
      <c r="Y1352">
        <v>0</v>
      </c>
      <c r="AA1352">
        <v>1</v>
      </c>
      <c r="AB1352">
        <v>8</v>
      </c>
      <c r="AC1352">
        <v>3</v>
      </c>
      <c r="AD1352">
        <v>0</v>
      </c>
      <c r="AE1352">
        <v>9</v>
      </c>
      <c r="AF1352" t="s">
        <v>138</v>
      </c>
      <c r="AG1352">
        <v>0</v>
      </c>
      <c r="AH1352">
        <v>3</v>
      </c>
      <c r="AI1352">
        <v>1</v>
      </c>
      <c r="AJ1352">
        <v>0</v>
      </c>
      <c r="AK1352" t="s">
        <v>520</v>
      </c>
      <c r="AL1352">
        <v>32.804554000000003</v>
      </c>
      <c r="AM1352" t="s">
        <v>521</v>
      </c>
      <c r="AN1352">
        <v>-116.895003</v>
      </c>
      <c r="AO1352">
        <v>25</v>
      </c>
      <c r="AP1352">
        <v>2500</v>
      </c>
      <c r="AQ1352" t="s">
        <v>129</v>
      </c>
      <c r="AR1352">
        <v>107</v>
      </c>
      <c r="AS1352">
        <v>-46</v>
      </c>
      <c r="AT1352">
        <v>640</v>
      </c>
      <c r="BB1352">
        <v>1200</v>
      </c>
      <c r="BC1352">
        <v>1</v>
      </c>
      <c r="BD1352" t="str">
        <f t="shared" si="468"/>
        <v xml:space="preserve">N887QR  </v>
      </c>
      <c r="BE1352">
        <v>1</v>
      </c>
      <c r="BG1352">
        <v>0</v>
      </c>
      <c r="BH1352">
        <v>0</v>
      </c>
      <c r="BI1352">
        <v>0</v>
      </c>
      <c r="BJ1352">
        <v>2200</v>
      </c>
      <c r="BK1352">
        <v>-300</v>
      </c>
      <c r="BL1352" t="s">
        <v>163</v>
      </c>
      <c r="BM1352">
        <v>1</v>
      </c>
      <c r="BN1352">
        <v>1</v>
      </c>
      <c r="BO1352">
        <v>1</v>
      </c>
      <c r="BP1352">
        <v>0</v>
      </c>
      <c r="BS1352">
        <v>0</v>
      </c>
      <c r="BT1352">
        <v>0</v>
      </c>
      <c r="BU1352">
        <v>0</v>
      </c>
      <c r="CE1352" t="str">
        <f t="shared" ref="CE1352:CE1358" si="471">"19:29:11.066"</f>
        <v>19:29:11.066</v>
      </c>
      <c r="CF1352">
        <v>66387564</v>
      </c>
      <c r="CS1352">
        <v>3</v>
      </c>
      <c r="CT1352">
        <v>2</v>
      </c>
      <c r="CU1352">
        <v>0</v>
      </c>
      <c r="CV1352">
        <v>2</v>
      </c>
      <c r="CW1352">
        <v>0</v>
      </c>
      <c r="CX1352">
        <v>4</v>
      </c>
      <c r="CY1352">
        <v>7</v>
      </c>
      <c r="CZ1352" t="s">
        <v>131</v>
      </c>
      <c r="DA1352">
        <v>286</v>
      </c>
      <c r="DB1352">
        <v>0</v>
      </c>
      <c r="DC1352" t="s">
        <v>132</v>
      </c>
      <c r="DD1352" t="s">
        <v>133</v>
      </c>
      <c r="DG1352">
        <v>816776</v>
      </c>
      <c r="DI1352">
        <v>1</v>
      </c>
      <c r="DJ1352">
        <v>0</v>
      </c>
      <c r="DK1352">
        <v>0</v>
      </c>
      <c r="DL1352">
        <v>0</v>
      </c>
      <c r="DM1352">
        <v>0</v>
      </c>
      <c r="DN1352">
        <v>1</v>
      </c>
      <c r="DO1352">
        <v>0</v>
      </c>
      <c r="DP1352">
        <v>0</v>
      </c>
      <c r="DQ1352">
        <v>0</v>
      </c>
      <c r="DR1352">
        <v>0</v>
      </c>
      <c r="DS1352">
        <v>0</v>
      </c>
    </row>
    <row r="1353" spans="1:123" x14ac:dyDescent="0.3">
      <c r="A1353" t="str">
        <f>"10/04/2022 19:29:11.290"</f>
        <v>10/04/2022 19:29:11.290</v>
      </c>
      <c r="C1353" t="str">
        <f t="shared" si="469"/>
        <v>FFDFD3C0</v>
      </c>
      <c r="D1353" t="s">
        <v>147</v>
      </c>
      <c r="E1353">
        <v>3</v>
      </c>
      <c r="H1353">
        <v>166</v>
      </c>
      <c r="I1353" t="s">
        <v>144</v>
      </c>
      <c r="J1353" t="s">
        <v>148</v>
      </c>
      <c r="K1353">
        <v>0</v>
      </c>
      <c r="L1353">
        <v>3</v>
      </c>
      <c r="M1353">
        <v>0</v>
      </c>
      <c r="N1353">
        <v>2</v>
      </c>
      <c r="O1353">
        <v>0</v>
      </c>
      <c r="P1353">
        <v>1</v>
      </c>
      <c r="Q1353">
        <v>0</v>
      </c>
      <c r="S1353" t="str">
        <f t="shared" si="470"/>
        <v>19:29:11.000</v>
      </c>
      <c r="T1353" t="str">
        <f t="shared" si="470"/>
        <v>19:29:11.000</v>
      </c>
      <c r="U1353" t="str">
        <f t="shared" si="467"/>
        <v>AC3944</v>
      </c>
      <c r="V1353">
        <v>0</v>
      </c>
      <c r="W1353">
        <v>0</v>
      </c>
      <c r="X1353">
        <v>2</v>
      </c>
      <c r="Y1353">
        <v>0</v>
      </c>
      <c r="AA1353">
        <v>1</v>
      </c>
      <c r="AB1353">
        <v>8</v>
      </c>
      <c r="AC1353">
        <v>3</v>
      </c>
      <c r="AD1353">
        <v>0</v>
      </c>
      <c r="AE1353">
        <v>9</v>
      </c>
      <c r="AF1353" t="s">
        <v>138</v>
      </c>
      <c r="AG1353">
        <v>0</v>
      </c>
      <c r="AH1353">
        <v>3</v>
      </c>
      <c r="AI1353">
        <v>1</v>
      </c>
      <c r="AJ1353">
        <v>0</v>
      </c>
      <c r="AK1353" t="s">
        <v>520</v>
      </c>
      <c r="AL1353">
        <v>32.804554000000003</v>
      </c>
      <c r="AM1353" t="s">
        <v>521</v>
      </c>
      <c r="AN1353">
        <v>-116.895003</v>
      </c>
      <c r="AO1353">
        <v>25</v>
      </c>
      <c r="AP1353">
        <v>2500</v>
      </c>
      <c r="AQ1353" t="s">
        <v>129</v>
      </c>
      <c r="AR1353">
        <v>107</v>
      </c>
      <c r="AS1353">
        <v>-46</v>
      </c>
      <c r="AT1353">
        <v>640</v>
      </c>
      <c r="BB1353">
        <v>1200</v>
      </c>
      <c r="BC1353">
        <v>1</v>
      </c>
      <c r="BD1353" t="str">
        <f t="shared" si="468"/>
        <v xml:space="preserve">N887QR  </v>
      </c>
      <c r="BE1353">
        <v>1</v>
      </c>
      <c r="BG1353">
        <v>0</v>
      </c>
      <c r="BH1353">
        <v>0</v>
      </c>
      <c r="BI1353">
        <v>0</v>
      </c>
      <c r="BJ1353">
        <v>2200</v>
      </c>
      <c r="BK1353">
        <v>-300</v>
      </c>
      <c r="BL1353" t="s">
        <v>163</v>
      </c>
      <c r="BM1353">
        <v>1</v>
      </c>
      <c r="BN1353">
        <v>1</v>
      </c>
      <c r="BO1353">
        <v>1</v>
      </c>
      <c r="BP1353">
        <v>0</v>
      </c>
      <c r="BS1353">
        <v>0</v>
      </c>
      <c r="BT1353">
        <v>0</v>
      </c>
      <c r="BU1353">
        <v>0</v>
      </c>
      <c r="CE1353" t="str">
        <f t="shared" si="471"/>
        <v>19:29:11.066</v>
      </c>
      <c r="CF1353">
        <v>66387564</v>
      </c>
      <c r="CS1353">
        <v>3</v>
      </c>
      <c r="CT1353">
        <v>2</v>
      </c>
      <c r="CU1353">
        <v>0</v>
      </c>
      <c r="CV1353">
        <v>2</v>
      </c>
      <c r="CW1353">
        <v>0</v>
      </c>
      <c r="CX1353">
        <v>4</v>
      </c>
      <c r="CY1353">
        <v>7</v>
      </c>
      <c r="CZ1353" t="s">
        <v>131</v>
      </c>
      <c r="DA1353">
        <v>286</v>
      </c>
      <c r="DB1353">
        <v>0</v>
      </c>
      <c r="DC1353" t="s">
        <v>132</v>
      </c>
      <c r="DD1353" t="s">
        <v>133</v>
      </c>
      <c r="DG1353">
        <v>816776</v>
      </c>
      <c r="DI1353">
        <v>1</v>
      </c>
      <c r="DJ1353">
        <v>0</v>
      </c>
      <c r="DK1353">
        <v>1</v>
      </c>
      <c r="DL1353">
        <v>0</v>
      </c>
      <c r="DM1353">
        <v>0</v>
      </c>
      <c r="DN1353">
        <v>1</v>
      </c>
      <c r="DO1353">
        <v>0</v>
      </c>
      <c r="DP1353">
        <v>0</v>
      </c>
      <c r="DQ1353">
        <v>0</v>
      </c>
      <c r="DR1353">
        <v>0</v>
      </c>
      <c r="DS1353">
        <v>0</v>
      </c>
    </row>
    <row r="1354" spans="1:123" x14ac:dyDescent="0.3">
      <c r="A1354" t="str">
        <f>"10/04/2022 19:29:11.290"</f>
        <v>10/04/2022 19:29:11.290</v>
      </c>
      <c r="C1354" t="str">
        <f t="shared" si="469"/>
        <v>FFDFD3C0</v>
      </c>
      <c r="D1354" t="s">
        <v>143</v>
      </c>
      <c r="E1354">
        <v>20</v>
      </c>
      <c r="F1354">
        <v>1020</v>
      </c>
      <c r="G1354" t="s">
        <v>144</v>
      </c>
      <c r="J1354" t="s">
        <v>145</v>
      </c>
      <c r="K1354">
        <v>0</v>
      </c>
      <c r="L1354">
        <v>3</v>
      </c>
      <c r="M1354">
        <v>0</v>
      </c>
      <c r="N1354">
        <v>2</v>
      </c>
      <c r="O1354">
        <v>0</v>
      </c>
      <c r="P1354">
        <v>1</v>
      </c>
      <c r="Q1354">
        <v>0</v>
      </c>
      <c r="S1354" t="str">
        <f t="shared" si="470"/>
        <v>19:29:11.000</v>
      </c>
      <c r="T1354" t="str">
        <f t="shared" si="470"/>
        <v>19:29:11.000</v>
      </c>
      <c r="U1354" t="str">
        <f t="shared" si="467"/>
        <v>AC3944</v>
      </c>
      <c r="V1354">
        <v>0</v>
      </c>
      <c r="W1354">
        <v>0</v>
      </c>
      <c r="X1354">
        <v>2</v>
      </c>
      <c r="Y1354">
        <v>0</v>
      </c>
      <c r="AA1354">
        <v>1</v>
      </c>
      <c r="AB1354">
        <v>8</v>
      </c>
      <c r="AC1354">
        <v>3</v>
      </c>
      <c r="AD1354">
        <v>0</v>
      </c>
      <c r="AE1354">
        <v>9</v>
      </c>
      <c r="AF1354" t="s">
        <v>138</v>
      </c>
      <c r="AG1354">
        <v>0</v>
      </c>
      <c r="AH1354">
        <v>3</v>
      </c>
      <c r="AI1354">
        <v>1</v>
      </c>
      <c r="AJ1354">
        <v>0</v>
      </c>
      <c r="AK1354" t="s">
        <v>520</v>
      </c>
      <c r="AL1354">
        <v>32.804554000000003</v>
      </c>
      <c r="AM1354" t="s">
        <v>521</v>
      </c>
      <c r="AN1354">
        <v>-116.895003</v>
      </c>
      <c r="AO1354">
        <v>25</v>
      </c>
      <c r="AP1354">
        <v>2500</v>
      </c>
      <c r="AQ1354" t="s">
        <v>129</v>
      </c>
      <c r="AR1354">
        <v>107</v>
      </c>
      <c r="AS1354">
        <v>-46</v>
      </c>
      <c r="AT1354">
        <v>640</v>
      </c>
      <c r="BB1354">
        <v>1200</v>
      </c>
      <c r="BC1354">
        <v>1</v>
      </c>
      <c r="BD1354" t="str">
        <f t="shared" si="468"/>
        <v xml:space="preserve">N887QR  </v>
      </c>
      <c r="BE1354">
        <v>1</v>
      </c>
      <c r="BG1354">
        <v>0</v>
      </c>
      <c r="BH1354">
        <v>0</v>
      </c>
      <c r="BI1354">
        <v>0</v>
      </c>
      <c r="BJ1354">
        <v>2200</v>
      </c>
      <c r="BK1354">
        <v>-300</v>
      </c>
      <c r="BL1354" t="s">
        <v>163</v>
      </c>
      <c r="BM1354">
        <v>1</v>
      </c>
      <c r="BN1354">
        <v>1</v>
      </c>
      <c r="BO1354">
        <v>1</v>
      </c>
      <c r="BP1354">
        <v>0</v>
      </c>
      <c r="BS1354">
        <v>0</v>
      </c>
      <c r="BT1354">
        <v>0</v>
      </c>
      <c r="BU1354">
        <v>0</v>
      </c>
      <c r="CE1354" t="str">
        <f t="shared" si="471"/>
        <v>19:29:11.066</v>
      </c>
      <c r="CF1354">
        <v>66387564</v>
      </c>
      <c r="CS1354">
        <v>3</v>
      </c>
      <c r="CT1354">
        <v>2</v>
      </c>
      <c r="CU1354">
        <v>0</v>
      </c>
      <c r="CV1354">
        <v>2</v>
      </c>
      <c r="CW1354">
        <v>0</v>
      </c>
      <c r="CX1354">
        <v>4</v>
      </c>
      <c r="CY1354">
        <v>7</v>
      </c>
      <c r="CZ1354" t="s">
        <v>131</v>
      </c>
      <c r="DA1354">
        <v>286</v>
      </c>
      <c r="DB1354">
        <v>0</v>
      </c>
      <c r="DC1354" t="s">
        <v>132</v>
      </c>
      <c r="DD1354" t="s">
        <v>133</v>
      </c>
      <c r="DG1354">
        <v>816776</v>
      </c>
      <c r="DI1354">
        <v>1</v>
      </c>
      <c r="DJ1354">
        <v>0</v>
      </c>
      <c r="DK1354">
        <v>1</v>
      </c>
      <c r="DL1354">
        <v>0</v>
      </c>
      <c r="DM1354">
        <v>0</v>
      </c>
      <c r="DN1354">
        <v>1</v>
      </c>
      <c r="DO1354">
        <v>0</v>
      </c>
      <c r="DP1354">
        <v>0</v>
      </c>
      <c r="DQ1354">
        <v>0</v>
      </c>
      <c r="DR1354">
        <v>0</v>
      </c>
      <c r="DS1354">
        <v>0</v>
      </c>
    </row>
    <row r="1355" spans="1:123" x14ac:dyDescent="0.3">
      <c r="A1355" t="str">
        <f>"10/04/2022 19:29:11.290"</f>
        <v>10/04/2022 19:29:11.290</v>
      </c>
      <c r="C1355" t="str">
        <f t="shared" si="469"/>
        <v>FFDFD3C0</v>
      </c>
      <c r="D1355" t="s">
        <v>141</v>
      </c>
      <c r="E1355">
        <v>3</v>
      </c>
      <c r="H1355">
        <v>3</v>
      </c>
      <c r="I1355" t="s">
        <v>146</v>
      </c>
      <c r="J1355" t="s">
        <v>138</v>
      </c>
      <c r="K1355">
        <v>0</v>
      </c>
      <c r="L1355">
        <v>3</v>
      </c>
      <c r="M1355">
        <v>0</v>
      </c>
      <c r="N1355">
        <v>2</v>
      </c>
      <c r="O1355">
        <v>0</v>
      </c>
      <c r="P1355">
        <v>1</v>
      </c>
      <c r="Q1355">
        <v>0</v>
      </c>
      <c r="S1355" t="str">
        <f t="shared" si="470"/>
        <v>19:29:11.000</v>
      </c>
      <c r="T1355" t="str">
        <f t="shared" si="470"/>
        <v>19:29:11.000</v>
      </c>
      <c r="U1355" t="str">
        <f t="shared" si="467"/>
        <v>AC3944</v>
      </c>
      <c r="V1355">
        <v>0</v>
      </c>
      <c r="W1355">
        <v>0</v>
      </c>
      <c r="X1355">
        <v>2</v>
      </c>
      <c r="Y1355">
        <v>0</v>
      </c>
      <c r="AA1355">
        <v>1</v>
      </c>
      <c r="AB1355">
        <v>8</v>
      </c>
      <c r="AC1355">
        <v>3</v>
      </c>
      <c r="AD1355">
        <v>0</v>
      </c>
      <c r="AE1355">
        <v>9</v>
      </c>
      <c r="AF1355" t="s">
        <v>138</v>
      </c>
      <c r="AG1355">
        <v>0</v>
      </c>
      <c r="AH1355">
        <v>3</v>
      </c>
      <c r="AI1355">
        <v>1</v>
      </c>
      <c r="AJ1355">
        <v>0</v>
      </c>
      <c r="AK1355" t="s">
        <v>520</v>
      </c>
      <c r="AL1355">
        <v>32.804554000000003</v>
      </c>
      <c r="AM1355" t="s">
        <v>521</v>
      </c>
      <c r="AN1355">
        <v>-116.895003</v>
      </c>
      <c r="AO1355">
        <v>25</v>
      </c>
      <c r="AP1355">
        <v>2500</v>
      </c>
      <c r="AQ1355" t="s">
        <v>129</v>
      </c>
      <c r="AR1355">
        <v>107</v>
      </c>
      <c r="AS1355">
        <v>-46</v>
      </c>
      <c r="AT1355">
        <v>640</v>
      </c>
      <c r="BB1355">
        <v>1200</v>
      </c>
      <c r="BC1355">
        <v>1</v>
      </c>
      <c r="BD1355" t="str">
        <f t="shared" si="468"/>
        <v xml:space="preserve">N887QR  </v>
      </c>
      <c r="BE1355">
        <v>1</v>
      </c>
      <c r="BG1355">
        <v>0</v>
      </c>
      <c r="BH1355">
        <v>0</v>
      </c>
      <c r="BI1355">
        <v>0</v>
      </c>
      <c r="BJ1355">
        <v>2200</v>
      </c>
      <c r="BK1355">
        <v>-300</v>
      </c>
      <c r="BL1355" t="s">
        <v>163</v>
      </c>
      <c r="BM1355">
        <v>1</v>
      </c>
      <c r="BN1355">
        <v>1</v>
      </c>
      <c r="BO1355">
        <v>1</v>
      </c>
      <c r="BP1355">
        <v>0</v>
      </c>
      <c r="BS1355">
        <v>0</v>
      </c>
      <c r="BT1355">
        <v>0</v>
      </c>
      <c r="BU1355">
        <v>0</v>
      </c>
      <c r="CE1355" t="str">
        <f t="shared" si="471"/>
        <v>19:29:11.066</v>
      </c>
      <c r="CF1355">
        <v>66387564</v>
      </c>
      <c r="CS1355">
        <v>3</v>
      </c>
      <c r="CT1355">
        <v>2</v>
      </c>
      <c r="CU1355">
        <v>0</v>
      </c>
      <c r="CV1355">
        <v>2</v>
      </c>
      <c r="CW1355">
        <v>0</v>
      </c>
      <c r="CX1355">
        <v>4</v>
      </c>
      <c r="CY1355">
        <v>7</v>
      </c>
      <c r="CZ1355" t="s">
        <v>131</v>
      </c>
      <c r="DA1355">
        <v>286</v>
      </c>
      <c r="DB1355">
        <v>0</v>
      </c>
      <c r="DC1355" t="s">
        <v>132</v>
      </c>
      <c r="DD1355" t="s">
        <v>133</v>
      </c>
      <c r="DG1355">
        <v>816776</v>
      </c>
      <c r="DI1355">
        <v>1</v>
      </c>
      <c r="DJ1355">
        <v>0</v>
      </c>
      <c r="DK1355">
        <v>1</v>
      </c>
      <c r="DL1355">
        <v>0</v>
      </c>
      <c r="DM1355">
        <v>0</v>
      </c>
      <c r="DN1355">
        <v>1</v>
      </c>
      <c r="DO1355">
        <v>0</v>
      </c>
      <c r="DP1355">
        <v>0</v>
      </c>
      <c r="DQ1355">
        <v>0</v>
      </c>
      <c r="DR1355">
        <v>0</v>
      </c>
      <c r="DS1355">
        <v>0</v>
      </c>
    </row>
    <row r="1356" spans="1:123" x14ac:dyDescent="0.3">
      <c r="A1356" t="str">
        <f>"10/04/2022 19:29:11.290"</f>
        <v>10/04/2022 19:29:11.290</v>
      </c>
      <c r="C1356" t="str">
        <f t="shared" si="469"/>
        <v>FFDFD3C0</v>
      </c>
      <c r="D1356" t="s">
        <v>123</v>
      </c>
      <c r="E1356">
        <v>7</v>
      </c>
      <c r="F1356">
        <v>2007</v>
      </c>
      <c r="G1356" t="s">
        <v>124</v>
      </c>
      <c r="J1356" t="s">
        <v>125</v>
      </c>
      <c r="K1356">
        <v>0</v>
      </c>
      <c r="L1356">
        <v>3</v>
      </c>
      <c r="M1356">
        <v>0</v>
      </c>
      <c r="N1356">
        <v>2</v>
      </c>
      <c r="O1356">
        <v>0</v>
      </c>
      <c r="P1356">
        <v>1</v>
      </c>
      <c r="Q1356">
        <v>0</v>
      </c>
      <c r="S1356" t="str">
        <f t="shared" si="470"/>
        <v>19:29:11.000</v>
      </c>
      <c r="T1356" t="str">
        <f t="shared" si="470"/>
        <v>19:29:11.000</v>
      </c>
      <c r="U1356" t="str">
        <f t="shared" si="467"/>
        <v>AC3944</v>
      </c>
      <c r="V1356">
        <v>0</v>
      </c>
      <c r="W1356">
        <v>0</v>
      </c>
      <c r="X1356">
        <v>2</v>
      </c>
      <c r="Y1356">
        <v>0</v>
      </c>
      <c r="AA1356">
        <v>1</v>
      </c>
      <c r="AB1356">
        <v>8</v>
      </c>
      <c r="AC1356">
        <v>3</v>
      </c>
      <c r="AD1356">
        <v>0</v>
      </c>
      <c r="AE1356">
        <v>9</v>
      </c>
      <c r="AF1356" t="s">
        <v>138</v>
      </c>
      <c r="AG1356">
        <v>0</v>
      </c>
      <c r="AH1356">
        <v>3</v>
      </c>
      <c r="AI1356">
        <v>1</v>
      </c>
      <c r="AJ1356">
        <v>0</v>
      </c>
      <c r="AK1356" t="s">
        <v>520</v>
      </c>
      <c r="AL1356">
        <v>32.804554000000003</v>
      </c>
      <c r="AM1356" t="s">
        <v>521</v>
      </c>
      <c r="AN1356">
        <v>-116.895003</v>
      </c>
      <c r="AO1356">
        <v>25</v>
      </c>
      <c r="AP1356">
        <v>2500</v>
      </c>
      <c r="AQ1356" t="s">
        <v>129</v>
      </c>
      <c r="AR1356">
        <v>107</v>
      </c>
      <c r="AS1356">
        <v>-46</v>
      </c>
      <c r="AT1356">
        <v>640</v>
      </c>
      <c r="BB1356">
        <v>1200</v>
      </c>
      <c r="BC1356">
        <v>1</v>
      </c>
      <c r="BD1356" t="str">
        <f t="shared" si="468"/>
        <v xml:space="preserve">N887QR  </v>
      </c>
      <c r="BE1356">
        <v>1</v>
      </c>
      <c r="BG1356">
        <v>0</v>
      </c>
      <c r="BH1356">
        <v>0</v>
      </c>
      <c r="BI1356">
        <v>0</v>
      </c>
      <c r="BJ1356">
        <v>2200</v>
      </c>
      <c r="BK1356">
        <v>-300</v>
      </c>
      <c r="BL1356" t="s">
        <v>163</v>
      </c>
      <c r="BM1356">
        <v>1</v>
      </c>
      <c r="BN1356">
        <v>1</v>
      </c>
      <c r="BO1356">
        <v>1</v>
      </c>
      <c r="BP1356">
        <v>0</v>
      </c>
      <c r="BS1356">
        <v>0</v>
      </c>
      <c r="BT1356">
        <v>0</v>
      </c>
      <c r="BU1356">
        <v>0</v>
      </c>
      <c r="CE1356" t="str">
        <f t="shared" si="471"/>
        <v>19:29:11.066</v>
      </c>
      <c r="CF1356">
        <v>66387564</v>
      </c>
      <c r="CS1356">
        <v>3</v>
      </c>
      <c r="CT1356">
        <v>2</v>
      </c>
      <c r="CU1356">
        <v>0</v>
      </c>
      <c r="CV1356">
        <v>2</v>
      </c>
      <c r="CW1356">
        <v>0</v>
      </c>
      <c r="CX1356">
        <v>4</v>
      </c>
      <c r="CY1356">
        <v>7</v>
      </c>
      <c r="CZ1356" t="s">
        <v>131</v>
      </c>
      <c r="DA1356">
        <v>286</v>
      </c>
      <c r="DB1356">
        <v>0</v>
      </c>
      <c r="DC1356" t="s">
        <v>132</v>
      </c>
      <c r="DD1356" t="s">
        <v>133</v>
      </c>
      <c r="DG1356">
        <v>816776</v>
      </c>
      <c r="DI1356">
        <v>1</v>
      </c>
      <c r="DJ1356">
        <v>0</v>
      </c>
      <c r="DK1356">
        <v>1</v>
      </c>
      <c r="DL1356">
        <v>0</v>
      </c>
      <c r="DM1356">
        <v>0</v>
      </c>
      <c r="DN1356">
        <v>1</v>
      </c>
      <c r="DO1356">
        <v>0</v>
      </c>
      <c r="DP1356">
        <v>0</v>
      </c>
      <c r="DQ1356">
        <v>0</v>
      </c>
      <c r="DR1356">
        <v>0</v>
      </c>
      <c r="DS1356">
        <v>0</v>
      </c>
    </row>
    <row r="1357" spans="1:123" x14ac:dyDescent="0.3">
      <c r="A1357" t="str">
        <f>"10/04/2022 19:29:11.306"</f>
        <v>10/04/2022 19:29:11.306</v>
      </c>
      <c r="C1357" t="str">
        <f t="shared" si="469"/>
        <v>FFDFD3C0</v>
      </c>
      <c r="D1357" t="s">
        <v>136</v>
      </c>
      <c r="E1357">
        <v>8</v>
      </c>
      <c r="H1357">
        <v>225</v>
      </c>
      <c r="I1357" t="s">
        <v>137</v>
      </c>
      <c r="J1357" t="s">
        <v>138</v>
      </c>
      <c r="K1357">
        <v>0</v>
      </c>
      <c r="L1357">
        <v>3</v>
      </c>
      <c r="M1357">
        <v>0</v>
      </c>
      <c r="N1357">
        <v>2</v>
      </c>
      <c r="O1357">
        <v>0</v>
      </c>
      <c r="P1357">
        <v>1</v>
      </c>
      <c r="Q1357">
        <v>0</v>
      </c>
      <c r="S1357" t="str">
        <f t="shared" si="470"/>
        <v>19:29:11.000</v>
      </c>
      <c r="T1357" t="str">
        <f t="shared" si="470"/>
        <v>19:29:11.000</v>
      </c>
      <c r="U1357" t="str">
        <f t="shared" si="467"/>
        <v>AC3944</v>
      </c>
      <c r="V1357">
        <v>0</v>
      </c>
      <c r="W1357">
        <v>0</v>
      </c>
      <c r="X1357">
        <v>2</v>
      </c>
      <c r="Y1357">
        <v>0</v>
      </c>
      <c r="AA1357">
        <v>1</v>
      </c>
      <c r="AB1357">
        <v>8</v>
      </c>
      <c r="AC1357">
        <v>3</v>
      </c>
      <c r="AD1357">
        <v>0</v>
      </c>
      <c r="AE1357">
        <v>9</v>
      </c>
      <c r="AF1357" t="s">
        <v>138</v>
      </c>
      <c r="AG1357">
        <v>0</v>
      </c>
      <c r="AH1357">
        <v>3</v>
      </c>
      <c r="AI1357">
        <v>1</v>
      </c>
      <c r="AJ1357">
        <v>0</v>
      </c>
      <c r="AK1357" t="s">
        <v>520</v>
      </c>
      <c r="AL1357">
        <v>32.804554000000003</v>
      </c>
      <c r="AM1357" t="s">
        <v>521</v>
      </c>
      <c r="AN1357">
        <v>-116.895003</v>
      </c>
      <c r="AO1357">
        <v>25</v>
      </c>
      <c r="AP1357">
        <v>2500</v>
      </c>
      <c r="AQ1357" t="s">
        <v>129</v>
      </c>
      <c r="AR1357">
        <v>107</v>
      </c>
      <c r="AS1357">
        <v>-46</v>
      </c>
      <c r="AT1357">
        <v>640</v>
      </c>
      <c r="BB1357">
        <v>1200</v>
      </c>
      <c r="BC1357">
        <v>1</v>
      </c>
      <c r="BD1357" t="str">
        <f t="shared" si="468"/>
        <v xml:space="preserve">N887QR  </v>
      </c>
      <c r="BE1357">
        <v>1</v>
      </c>
      <c r="BG1357">
        <v>0</v>
      </c>
      <c r="BH1357">
        <v>0</v>
      </c>
      <c r="BI1357">
        <v>0</v>
      </c>
      <c r="BJ1357">
        <v>2200</v>
      </c>
      <c r="BK1357">
        <v>-300</v>
      </c>
      <c r="BL1357" t="s">
        <v>163</v>
      </c>
      <c r="BM1357">
        <v>1</v>
      </c>
      <c r="BN1357">
        <v>1</v>
      </c>
      <c r="BO1357">
        <v>1</v>
      </c>
      <c r="BP1357">
        <v>0</v>
      </c>
      <c r="BS1357">
        <v>0</v>
      </c>
      <c r="BT1357">
        <v>0</v>
      </c>
      <c r="BU1357">
        <v>0</v>
      </c>
      <c r="CE1357" t="str">
        <f t="shared" si="471"/>
        <v>19:29:11.066</v>
      </c>
      <c r="CF1357">
        <v>66387564</v>
      </c>
      <c r="CS1357">
        <v>3</v>
      </c>
      <c r="CT1357">
        <v>2</v>
      </c>
      <c r="CU1357">
        <v>0</v>
      </c>
      <c r="CV1357">
        <v>2</v>
      </c>
      <c r="CW1357">
        <v>0</v>
      </c>
      <c r="CX1357">
        <v>4</v>
      </c>
      <c r="CY1357">
        <v>7</v>
      </c>
      <c r="CZ1357" t="s">
        <v>131</v>
      </c>
      <c r="DA1357">
        <v>286</v>
      </c>
      <c r="DB1357">
        <v>0</v>
      </c>
      <c r="DC1357" t="s">
        <v>132</v>
      </c>
      <c r="DD1357" t="s">
        <v>133</v>
      </c>
      <c r="DG1357">
        <v>816776</v>
      </c>
      <c r="DI1357">
        <v>1</v>
      </c>
      <c r="DJ1357">
        <v>0</v>
      </c>
      <c r="DK1357">
        <v>1</v>
      </c>
      <c r="DL1357">
        <v>0</v>
      </c>
      <c r="DM1357">
        <v>0</v>
      </c>
      <c r="DN1357">
        <v>1</v>
      </c>
      <c r="DO1357">
        <v>0</v>
      </c>
      <c r="DP1357">
        <v>0</v>
      </c>
      <c r="DQ1357">
        <v>0</v>
      </c>
      <c r="DR1357">
        <v>0</v>
      </c>
      <c r="DS1357">
        <v>0</v>
      </c>
    </row>
    <row r="1358" spans="1:123" x14ac:dyDescent="0.3">
      <c r="A1358" t="str">
        <f>"10/04/2022 19:29:11.306"</f>
        <v>10/04/2022 19:29:11.306</v>
      </c>
      <c r="C1358" t="str">
        <f t="shared" si="469"/>
        <v>FFDFD3C0</v>
      </c>
      <c r="D1358" t="s">
        <v>141</v>
      </c>
      <c r="E1358">
        <v>4</v>
      </c>
      <c r="H1358">
        <v>4</v>
      </c>
      <c r="I1358" t="s">
        <v>142</v>
      </c>
      <c r="J1358" t="s">
        <v>138</v>
      </c>
      <c r="K1358">
        <v>0</v>
      </c>
      <c r="L1358">
        <v>3</v>
      </c>
      <c r="M1358">
        <v>0</v>
      </c>
      <c r="N1358">
        <v>2</v>
      </c>
      <c r="O1358">
        <v>0</v>
      </c>
      <c r="P1358">
        <v>1</v>
      </c>
      <c r="Q1358">
        <v>0</v>
      </c>
      <c r="S1358" t="str">
        <f t="shared" si="470"/>
        <v>19:29:11.000</v>
      </c>
      <c r="T1358" t="str">
        <f t="shared" si="470"/>
        <v>19:29:11.000</v>
      </c>
      <c r="U1358" t="str">
        <f t="shared" si="467"/>
        <v>AC3944</v>
      </c>
      <c r="V1358">
        <v>0</v>
      </c>
      <c r="W1358">
        <v>0</v>
      </c>
      <c r="X1358">
        <v>2</v>
      </c>
      <c r="Y1358">
        <v>0</v>
      </c>
      <c r="AA1358">
        <v>1</v>
      </c>
      <c r="AB1358">
        <v>8</v>
      </c>
      <c r="AC1358">
        <v>3</v>
      </c>
      <c r="AD1358">
        <v>0</v>
      </c>
      <c r="AE1358">
        <v>9</v>
      </c>
      <c r="AF1358" t="s">
        <v>138</v>
      </c>
      <c r="AG1358">
        <v>0</v>
      </c>
      <c r="AH1358">
        <v>3</v>
      </c>
      <c r="AI1358">
        <v>1</v>
      </c>
      <c r="AJ1358">
        <v>0</v>
      </c>
      <c r="AK1358" t="s">
        <v>520</v>
      </c>
      <c r="AL1358">
        <v>32.804554000000003</v>
      </c>
      <c r="AM1358" t="s">
        <v>521</v>
      </c>
      <c r="AN1358">
        <v>-116.895003</v>
      </c>
      <c r="AO1358">
        <v>25</v>
      </c>
      <c r="AP1358">
        <v>2500</v>
      </c>
      <c r="AQ1358" t="s">
        <v>129</v>
      </c>
      <c r="AR1358">
        <v>107</v>
      </c>
      <c r="AS1358">
        <v>-46</v>
      </c>
      <c r="AT1358">
        <v>640</v>
      </c>
      <c r="BB1358">
        <v>1200</v>
      </c>
      <c r="BC1358">
        <v>1</v>
      </c>
      <c r="BD1358" t="str">
        <f t="shared" si="468"/>
        <v xml:space="preserve">N887QR  </v>
      </c>
      <c r="BE1358">
        <v>1</v>
      </c>
      <c r="BG1358">
        <v>0</v>
      </c>
      <c r="BH1358">
        <v>0</v>
      </c>
      <c r="BI1358">
        <v>0</v>
      </c>
      <c r="BJ1358">
        <v>2200</v>
      </c>
      <c r="BK1358">
        <v>-300</v>
      </c>
      <c r="BL1358" t="s">
        <v>163</v>
      </c>
      <c r="BM1358">
        <v>1</v>
      </c>
      <c r="BN1358">
        <v>1</v>
      </c>
      <c r="BO1358">
        <v>1</v>
      </c>
      <c r="BP1358">
        <v>0</v>
      </c>
      <c r="BS1358">
        <v>0</v>
      </c>
      <c r="BT1358">
        <v>0</v>
      </c>
      <c r="BU1358">
        <v>0</v>
      </c>
      <c r="CE1358" t="str">
        <f t="shared" si="471"/>
        <v>19:29:11.066</v>
      </c>
      <c r="CF1358">
        <v>66387564</v>
      </c>
      <c r="CS1358">
        <v>3</v>
      </c>
      <c r="CT1358">
        <v>2</v>
      </c>
      <c r="CU1358">
        <v>0</v>
      </c>
      <c r="CV1358">
        <v>2</v>
      </c>
      <c r="CW1358">
        <v>0</v>
      </c>
      <c r="CX1358">
        <v>4</v>
      </c>
      <c r="CY1358">
        <v>7</v>
      </c>
      <c r="CZ1358" t="s">
        <v>131</v>
      </c>
      <c r="DA1358">
        <v>286</v>
      </c>
      <c r="DB1358">
        <v>0</v>
      </c>
      <c r="DC1358" t="s">
        <v>132</v>
      </c>
      <c r="DD1358" t="s">
        <v>133</v>
      </c>
      <c r="DG1358">
        <v>816776</v>
      </c>
      <c r="DI1358">
        <v>1</v>
      </c>
      <c r="DJ1358">
        <v>0</v>
      </c>
      <c r="DK1358">
        <v>1</v>
      </c>
      <c r="DL1358">
        <v>0</v>
      </c>
      <c r="DM1358">
        <v>0</v>
      </c>
      <c r="DN1358">
        <v>1</v>
      </c>
      <c r="DO1358">
        <v>0</v>
      </c>
      <c r="DP1358">
        <v>0</v>
      </c>
      <c r="DQ1358">
        <v>0</v>
      </c>
      <c r="DR1358">
        <v>0</v>
      </c>
      <c r="DS1358">
        <v>0</v>
      </c>
    </row>
    <row r="1359" spans="1:123" x14ac:dyDescent="0.3">
      <c r="A1359" t="str">
        <f t="shared" ref="A1359:A1365" si="472">"10/04/2022 19:29:12.321"</f>
        <v>10/04/2022 19:29:12.321</v>
      </c>
      <c r="C1359" t="str">
        <f t="shared" si="469"/>
        <v>FFDFD3C0</v>
      </c>
      <c r="D1359" t="s">
        <v>147</v>
      </c>
      <c r="E1359">
        <v>3</v>
      </c>
      <c r="H1359">
        <v>166</v>
      </c>
      <c r="I1359" t="s">
        <v>144</v>
      </c>
      <c r="J1359" t="s">
        <v>148</v>
      </c>
      <c r="K1359">
        <v>0</v>
      </c>
      <c r="L1359">
        <v>3</v>
      </c>
      <c r="M1359">
        <v>0</v>
      </c>
      <c r="N1359">
        <v>2</v>
      </c>
      <c r="O1359">
        <v>0</v>
      </c>
      <c r="P1359">
        <v>1</v>
      </c>
      <c r="Q1359">
        <v>0</v>
      </c>
      <c r="S1359" t="str">
        <f t="shared" ref="S1359:T1365" si="473">"19:29:12.000"</f>
        <v>19:29:12.000</v>
      </c>
      <c r="T1359" t="str">
        <f t="shared" si="473"/>
        <v>19:29:12.000</v>
      </c>
      <c r="U1359" t="str">
        <f t="shared" si="467"/>
        <v>AC3944</v>
      </c>
      <c r="V1359">
        <v>0</v>
      </c>
      <c r="W1359">
        <v>0</v>
      </c>
      <c r="X1359">
        <v>2</v>
      </c>
      <c r="Y1359">
        <v>0</v>
      </c>
      <c r="AA1359">
        <v>1</v>
      </c>
      <c r="AB1359">
        <v>8</v>
      </c>
      <c r="AC1359">
        <v>3</v>
      </c>
      <c r="AD1359">
        <v>0</v>
      </c>
      <c r="AE1359">
        <v>9</v>
      </c>
      <c r="AF1359" t="s">
        <v>138</v>
      </c>
      <c r="AG1359">
        <v>0</v>
      </c>
      <c r="AH1359">
        <v>3</v>
      </c>
      <c r="AI1359">
        <v>1</v>
      </c>
      <c r="AJ1359">
        <v>0</v>
      </c>
      <c r="AK1359" t="s">
        <v>522</v>
      </c>
      <c r="AL1359">
        <v>32.804338999999999</v>
      </c>
      <c r="AM1359" t="s">
        <v>523</v>
      </c>
      <c r="AN1359">
        <v>-116.894424</v>
      </c>
      <c r="AO1359">
        <v>25</v>
      </c>
      <c r="AP1359">
        <v>2500</v>
      </c>
      <c r="AQ1359" t="s">
        <v>129</v>
      </c>
      <c r="AR1359">
        <v>105</v>
      </c>
      <c r="AS1359">
        <v>-48</v>
      </c>
      <c r="AT1359">
        <v>640</v>
      </c>
      <c r="BB1359">
        <v>1200</v>
      </c>
      <c r="BC1359">
        <v>1</v>
      </c>
      <c r="BD1359" t="str">
        <f t="shared" si="468"/>
        <v xml:space="preserve">N887QR  </v>
      </c>
      <c r="BE1359">
        <v>1</v>
      </c>
      <c r="BG1359">
        <v>0</v>
      </c>
      <c r="BH1359">
        <v>0</v>
      </c>
      <c r="BI1359">
        <v>0</v>
      </c>
      <c r="BJ1359">
        <v>2225</v>
      </c>
      <c r="BK1359">
        <v>-275</v>
      </c>
      <c r="BL1359" t="s">
        <v>163</v>
      </c>
      <c r="BM1359">
        <v>1</v>
      </c>
      <c r="BN1359">
        <v>1</v>
      </c>
      <c r="BO1359">
        <v>1</v>
      </c>
      <c r="BP1359">
        <v>0</v>
      </c>
      <c r="BS1359">
        <v>0</v>
      </c>
      <c r="BT1359">
        <v>0</v>
      </c>
      <c r="BU1359">
        <v>0</v>
      </c>
      <c r="CE1359" t="str">
        <f t="shared" ref="CE1359:CE1365" si="474">"19:29:12.068"</f>
        <v>19:29:12.068</v>
      </c>
      <c r="CF1359">
        <v>67640954</v>
      </c>
      <c r="CS1359">
        <v>3</v>
      </c>
      <c r="CT1359">
        <v>2</v>
      </c>
      <c r="CU1359">
        <v>0</v>
      </c>
      <c r="CV1359">
        <v>2</v>
      </c>
      <c r="CW1359">
        <v>0</v>
      </c>
      <c r="CX1359">
        <v>6</v>
      </c>
      <c r="CY1359">
        <v>7</v>
      </c>
      <c r="CZ1359" t="s">
        <v>131</v>
      </c>
      <c r="DA1359">
        <v>300</v>
      </c>
      <c r="DB1359">
        <v>0</v>
      </c>
      <c r="DC1359" t="s">
        <v>176</v>
      </c>
      <c r="DD1359" t="s">
        <v>177</v>
      </c>
      <c r="DG1359">
        <v>5385018</v>
      </c>
      <c r="DI1359">
        <v>1</v>
      </c>
      <c r="DJ1359">
        <v>0</v>
      </c>
      <c r="DK1359">
        <v>0</v>
      </c>
      <c r="DL1359">
        <v>0</v>
      </c>
      <c r="DM1359">
        <v>0</v>
      </c>
      <c r="DN1359">
        <v>1</v>
      </c>
      <c r="DO1359">
        <v>0</v>
      </c>
      <c r="DP1359">
        <v>0</v>
      </c>
      <c r="DQ1359">
        <v>0</v>
      </c>
      <c r="DR1359">
        <v>0</v>
      </c>
      <c r="DS1359">
        <v>0</v>
      </c>
    </row>
    <row r="1360" spans="1:123" x14ac:dyDescent="0.3">
      <c r="A1360" t="str">
        <f t="shared" si="472"/>
        <v>10/04/2022 19:29:12.321</v>
      </c>
      <c r="C1360" t="str">
        <f t="shared" si="469"/>
        <v>FFDFD3C0</v>
      </c>
      <c r="D1360" t="s">
        <v>134</v>
      </c>
      <c r="E1360">
        <v>15</v>
      </c>
      <c r="J1360" t="s">
        <v>135</v>
      </c>
      <c r="K1360">
        <v>0</v>
      </c>
      <c r="L1360">
        <v>3</v>
      </c>
      <c r="M1360">
        <v>0</v>
      </c>
      <c r="N1360">
        <v>2</v>
      </c>
      <c r="O1360">
        <v>0</v>
      </c>
      <c r="P1360">
        <v>1</v>
      </c>
      <c r="Q1360">
        <v>0</v>
      </c>
      <c r="S1360" t="str">
        <f t="shared" si="473"/>
        <v>19:29:12.000</v>
      </c>
      <c r="T1360" t="str">
        <f t="shared" si="473"/>
        <v>19:29:12.000</v>
      </c>
      <c r="U1360" t="str">
        <f t="shared" si="467"/>
        <v>AC3944</v>
      </c>
      <c r="V1360">
        <v>0</v>
      </c>
      <c r="W1360">
        <v>0</v>
      </c>
      <c r="X1360">
        <v>2</v>
      </c>
      <c r="Y1360">
        <v>0</v>
      </c>
      <c r="AA1360">
        <v>1</v>
      </c>
      <c r="AB1360">
        <v>8</v>
      </c>
      <c r="AC1360">
        <v>3</v>
      </c>
      <c r="AD1360">
        <v>0</v>
      </c>
      <c r="AE1360">
        <v>9</v>
      </c>
      <c r="AF1360" t="s">
        <v>138</v>
      </c>
      <c r="AG1360">
        <v>0</v>
      </c>
      <c r="AH1360">
        <v>3</v>
      </c>
      <c r="AI1360">
        <v>1</v>
      </c>
      <c r="AJ1360">
        <v>0</v>
      </c>
      <c r="AK1360" t="s">
        <v>522</v>
      </c>
      <c r="AL1360">
        <v>32.804338999999999</v>
      </c>
      <c r="AM1360" t="s">
        <v>523</v>
      </c>
      <c r="AN1360">
        <v>-116.894424</v>
      </c>
      <c r="AO1360">
        <v>25</v>
      </c>
      <c r="AP1360">
        <v>2500</v>
      </c>
      <c r="AQ1360" t="s">
        <v>129</v>
      </c>
      <c r="AR1360">
        <v>105</v>
      </c>
      <c r="AS1360">
        <v>-48</v>
      </c>
      <c r="AT1360">
        <v>640</v>
      </c>
      <c r="BB1360">
        <v>1200</v>
      </c>
      <c r="BC1360">
        <v>1</v>
      </c>
      <c r="BD1360" t="str">
        <f t="shared" si="468"/>
        <v xml:space="preserve">N887QR  </v>
      </c>
      <c r="BE1360">
        <v>1</v>
      </c>
      <c r="BG1360">
        <v>0</v>
      </c>
      <c r="BH1360">
        <v>0</v>
      </c>
      <c r="BI1360">
        <v>0</v>
      </c>
      <c r="BJ1360">
        <v>2225</v>
      </c>
      <c r="BK1360">
        <v>-275</v>
      </c>
      <c r="BL1360" t="s">
        <v>163</v>
      </c>
      <c r="BM1360">
        <v>1</v>
      </c>
      <c r="BN1360">
        <v>1</v>
      </c>
      <c r="BO1360">
        <v>1</v>
      </c>
      <c r="BP1360">
        <v>0</v>
      </c>
      <c r="BS1360">
        <v>0</v>
      </c>
      <c r="BT1360">
        <v>0</v>
      </c>
      <c r="BU1360">
        <v>0</v>
      </c>
      <c r="CE1360" t="str">
        <f t="shared" si="474"/>
        <v>19:29:12.068</v>
      </c>
      <c r="CF1360">
        <v>67640954</v>
      </c>
      <c r="CS1360">
        <v>3</v>
      </c>
      <c r="CT1360">
        <v>2</v>
      </c>
      <c r="CU1360">
        <v>0</v>
      </c>
      <c r="CV1360">
        <v>2</v>
      </c>
      <c r="CW1360">
        <v>0</v>
      </c>
      <c r="CX1360">
        <v>6</v>
      </c>
      <c r="CY1360">
        <v>7</v>
      </c>
      <c r="CZ1360" t="s">
        <v>131</v>
      </c>
      <c r="DA1360">
        <v>300</v>
      </c>
      <c r="DB1360">
        <v>0</v>
      </c>
      <c r="DC1360" t="s">
        <v>176</v>
      </c>
      <c r="DD1360" t="s">
        <v>177</v>
      </c>
      <c r="DG1360">
        <v>5385018</v>
      </c>
      <c r="DI1360">
        <v>1</v>
      </c>
      <c r="DJ1360">
        <v>0</v>
      </c>
      <c r="DK1360">
        <v>1</v>
      </c>
      <c r="DL1360">
        <v>0</v>
      </c>
      <c r="DM1360">
        <v>0</v>
      </c>
      <c r="DN1360">
        <v>1</v>
      </c>
      <c r="DO1360">
        <v>0</v>
      </c>
      <c r="DP1360">
        <v>0</v>
      </c>
      <c r="DQ1360">
        <v>0</v>
      </c>
      <c r="DR1360">
        <v>0</v>
      </c>
      <c r="DS1360">
        <v>0</v>
      </c>
    </row>
    <row r="1361" spans="1:123" x14ac:dyDescent="0.3">
      <c r="A1361" t="str">
        <f t="shared" si="472"/>
        <v>10/04/2022 19:29:12.321</v>
      </c>
      <c r="C1361" t="str">
        <f t="shared" si="469"/>
        <v>FFDFD3C0</v>
      </c>
      <c r="D1361" t="s">
        <v>143</v>
      </c>
      <c r="E1361">
        <v>20</v>
      </c>
      <c r="F1361">
        <v>1020</v>
      </c>
      <c r="G1361" t="s">
        <v>144</v>
      </c>
      <c r="J1361" t="s">
        <v>145</v>
      </c>
      <c r="K1361">
        <v>0</v>
      </c>
      <c r="L1361">
        <v>3</v>
      </c>
      <c r="M1361">
        <v>0</v>
      </c>
      <c r="N1361">
        <v>2</v>
      </c>
      <c r="O1361">
        <v>0</v>
      </c>
      <c r="P1361">
        <v>1</v>
      </c>
      <c r="Q1361">
        <v>0</v>
      </c>
      <c r="S1361" t="str">
        <f t="shared" si="473"/>
        <v>19:29:12.000</v>
      </c>
      <c r="T1361" t="str">
        <f t="shared" si="473"/>
        <v>19:29:12.000</v>
      </c>
      <c r="U1361" t="str">
        <f t="shared" si="467"/>
        <v>AC3944</v>
      </c>
      <c r="V1361">
        <v>0</v>
      </c>
      <c r="W1361">
        <v>0</v>
      </c>
      <c r="X1361">
        <v>2</v>
      </c>
      <c r="Y1361">
        <v>0</v>
      </c>
      <c r="AA1361">
        <v>1</v>
      </c>
      <c r="AB1361">
        <v>8</v>
      </c>
      <c r="AC1361">
        <v>3</v>
      </c>
      <c r="AD1361">
        <v>0</v>
      </c>
      <c r="AE1361">
        <v>9</v>
      </c>
      <c r="AF1361" t="s">
        <v>138</v>
      </c>
      <c r="AG1361">
        <v>0</v>
      </c>
      <c r="AH1361">
        <v>3</v>
      </c>
      <c r="AI1361">
        <v>1</v>
      </c>
      <c r="AJ1361">
        <v>0</v>
      </c>
      <c r="AK1361" t="s">
        <v>522</v>
      </c>
      <c r="AL1361">
        <v>32.804338999999999</v>
      </c>
      <c r="AM1361" t="s">
        <v>523</v>
      </c>
      <c r="AN1361">
        <v>-116.894424</v>
      </c>
      <c r="AO1361">
        <v>25</v>
      </c>
      <c r="AP1361">
        <v>2500</v>
      </c>
      <c r="AQ1361" t="s">
        <v>129</v>
      </c>
      <c r="AR1361">
        <v>105</v>
      </c>
      <c r="AS1361">
        <v>-48</v>
      </c>
      <c r="AT1361">
        <v>640</v>
      </c>
      <c r="BB1361">
        <v>1200</v>
      </c>
      <c r="BC1361">
        <v>1</v>
      </c>
      <c r="BD1361" t="str">
        <f t="shared" si="468"/>
        <v xml:space="preserve">N887QR  </v>
      </c>
      <c r="BE1361">
        <v>1</v>
      </c>
      <c r="BG1361">
        <v>0</v>
      </c>
      <c r="BH1361">
        <v>0</v>
      </c>
      <c r="BI1361">
        <v>0</v>
      </c>
      <c r="BJ1361">
        <v>2225</v>
      </c>
      <c r="BK1361">
        <v>-275</v>
      </c>
      <c r="BL1361" t="s">
        <v>163</v>
      </c>
      <c r="BM1361">
        <v>1</v>
      </c>
      <c r="BN1361">
        <v>1</v>
      </c>
      <c r="BO1361">
        <v>1</v>
      </c>
      <c r="BP1361">
        <v>0</v>
      </c>
      <c r="BS1361">
        <v>0</v>
      </c>
      <c r="BT1361">
        <v>0</v>
      </c>
      <c r="BU1361">
        <v>0</v>
      </c>
      <c r="CE1361" t="str">
        <f t="shared" si="474"/>
        <v>19:29:12.068</v>
      </c>
      <c r="CF1361">
        <v>67640954</v>
      </c>
      <c r="CS1361">
        <v>3</v>
      </c>
      <c r="CT1361">
        <v>2</v>
      </c>
      <c r="CU1361">
        <v>0</v>
      </c>
      <c r="CV1361">
        <v>2</v>
      </c>
      <c r="CW1361">
        <v>0</v>
      </c>
      <c r="CX1361">
        <v>6</v>
      </c>
      <c r="CY1361">
        <v>7</v>
      </c>
      <c r="CZ1361" t="s">
        <v>131</v>
      </c>
      <c r="DA1361">
        <v>300</v>
      </c>
      <c r="DB1361">
        <v>0</v>
      </c>
      <c r="DC1361" t="s">
        <v>176</v>
      </c>
      <c r="DD1361" t="s">
        <v>177</v>
      </c>
      <c r="DG1361">
        <v>5385018</v>
      </c>
      <c r="DI1361">
        <v>1</v>
      </c>
      <c r="DJ1361">
        <v>0</v>
      </c>
      <c r="DK1361">
        <v>1</v>
      </c>
      <c r="DL1361">
        <v>0</v>
      </c>
      <c r="DM1361">
        <v>0</v>
      </c>
      <c r="DN1361">
        <v>1</v>
      </c>
      <c r="DO1361">
        <v>0</v>
      </c>
      <c r="DP1361">
        <v>0</v>
      </c>
      <c r="DQ1361">
        <v>0</v>
      </c>
      <c r="DR1361">
        <v>0</v>
      </c>
      <c r="DS1361">
        <v>0</v>
      </c>
    </row>
    <row r="1362" spans="1:123" x14ac:dyDescent="0.3">
      <c r="A1362" t="str">
        <f t="shared" si="472"/>
        <v>10/04/2022 19:29:12.321</v>
      </c>
      <c r="C1362" t="str">
        <f t="shared" si="469"/>
        <v>FFDFD3C0</v>
      </c>
      <c r="D1362" t="s">
        <v>141</v>
      </c>
      <c r="E1362">
        <v>3</v>
      </c>
      <c r="H1362">
        <v>3</v>
      </c>
      <c r="I1362" t="s">
        <v>146</v>
      </c>
      <c r="J1362" t="s">
        <v>138</v>
      </c>
      <c r="K1362">
        <v>0</v>
      </c>
      <c r="L1362">
        <v>3</v>
      </c>
      <c r="M1362">
        <v>0</v>
      </c>
      <c r="N1362">
        <v>2</v>
      </c>
      <c r="O1362">
        <v>0</v>
      </c>
      <c r="P1362">
        <v>1</v>
      </c>
      <c r="Q1362">
        <v>0</v>
      </c>
      <c r="S1362" t="str">
        <f t="shared" si="473"/>
        <v>19:29:12.000</v>
      </c>
      <c r="T1362" t="str">
        <f t="shared" si="473"/>
        <v>19:29:12.000</v>
      </c>
      <c r="U1362" t="str">
        <f t="shared" si="467"/>
        <v>AC3944</v>
      </c>
      <c r="V1362">
        <v>0</v>
      </c>
      <c r="W1362">
        <v>0</v>
      </c>
      <c r="X1362">
        <v>2</v>
      </c>
      <c r="Y1362">
        <v>0</v>
      </c>
      <c r="AA1362">
        <v>1</v>
      </c>
      <c r="AB1362">
        <v>8</v>
      </c>
      <c r="AC1362">
        <v>3</v>
      </c>
      <c r="AD1362">
        <v>0</v>
      </c>
      <c r="AE1362">
        <v>9</v>
      </c>
      <c r="AF1362" t="s">
        <v>138</v>
      </c>
      <c r="AG1362">
        <v>0</v>
      </c>
      <c r="AH1362">
        <v>3</v>
      </c>
      <c r="AI1362">
        <v>1</v>
      </c>
      <c r="AJ1362">
        <v>0</v>
      </c>
      <c r="AK1362" t="s">
        <v>522</v>
      </c>
      <c r="AL1362">
        <v>32.804338999999999</v>
      </c>
      <c r="AM1362" t="s">
        <v>523</v>
      </c>
      <c r="AN1362">
        <v>-116.894424</v>
      </c>
      <c r="AO1362">
        <v>25</v>
      </c>
      <c r="AP1362">
        <v>2500</v>
      </c>
      <c r="AQ1362" t="s">
        <v>129</v>
      </c>
      <c r="AR1362">
        <v>105</v>
      </c>
      <c r="AS1362">
        <v>-48</v>
      </c>
      <c r="AT1362">
        <v>640</v>
      </c>
      <c r="BB1362">
        <v>1200</v>
      </c>
      <c r="BC1362">
        <v>1</v>
      </c>
      <c r="BD1362" t="str">
        <f t="shared" si="468"/>
        <v xml:space="preserve">N887QR  </v>
      </c>
      <c r="BE1362">
        <v>1</v>
      </c>
      <c r="BG1362">
        <v>0</v>
      </c>
      <c r="BH1362">
        <v>0</v>
      </c>
      <c r="BI1362">
        <v>0</v>
      </c>
      <c r="BJ1362">
        <v>2225</v>
      </c>
      <c r="BK1362">
        <v>-275</v>
      </c>
      <c r="BL1362" t="s">
        <v>163</v>
      </c>
      <c r="BM1362">
        <v>1</v>
      </c>
      <c r="BN1362">
        <v>1</v>
      </c>
      <c r="BO1362">
        <v>1</v>
      </c>
      <c r="BP1362">
        <v>0</v>
      </c>
      <c r="BS1362">
        <v>0</v>
      </c>
      <c r="BT1362">
        <v>0</v>
      </c>
      <c r="BU1362">
        <v>0</v>
      </c>
      <c r="CE1362" t="str">
        <f t="shared" si="474"/>
        <v>19:29:12.068</v>
      </c>
      <c r="CF1362">
        <v>67640954</v>
      </c>
      <c r="CS1362">
        <v>3</v>
      </c>
      <c r="CT1362">
        <v>2</v>
      </c>
      <c r="CU1362">
        <v>0</v>
      </c>
      <c r="CV1362">
        <v>2</v>
      </c>
      <c r="CW1362">
        <v>0</v>
      </c>
      <c r="CX1362">
        <v>6</v>
      </c>
      <c r="CY1362">
        <v>7</v>
      </c>
      <c r="CZ1362" t="s">
        <v>131</v>
      </c>
      <c r="DA1362">
        <v>300</v>
      </c>
      <c r="DB1362">
        <v>0</v>
      </c>
      <c r="DC1362" t="s">
        <v>176</v>
      </c>
      <c r="DD1362" t="s">
        <v>177</v>
      </c>
      <c r="DG1362">
        <v>5385018</v>
      </c>
      <c r="DI1362">
        <v>1</v>
      </c>
      <c r="DJ1362">
        <v>0</v>
      </c>
      <c r="DK1362">
        <v>1</v>
      </c>
      <c r="DL1362">
        <v>0</v>
      </c>
      <c r="DM1362">
        <v>0</v>
      </c>
      <c r="DN1362">
        <v>1</v>
      </c>
      <c r="DO1362">
        <v>0</v>
      </c>
      <c r="DP1362">
        <v>0</v>
      </c>
      <c r="DQ1362">
        <v>0</v>
      </c>
      <c r="DR1362">
        <v>0</v>
      </c>
      <c r="DS1362">
        <v>0</v>
      </c>
    </row>
    <row r="1363" spans="1:123" x14ac:dyDescent="0.3">
      <c r="A1363" t="str">
        <f t="shared" si="472"/>
        <v>10/04/2022 19:29:12.321</v>
      </c>
      <c r="C1363" t="str">
        <f t="shared" si="469"/>
        <v>FFDFD3C0</v>
      </c>
      <c r="D1363" t="s">
        <v>123</v>
      </c>
      <c r="E1363">
        <v>7</v>
      </c>
      <c r="F1363">
        <v>2007</v>
      </c>
      <c r="G1363" t="s">
        <v>124</v>
      </c>
      <c r="J1363" t="s">
        <v>125</v>
      </c>
      <c r="K1363">
        <v>0</v>
      </c>
      <c r="L1363">
        <v>3</v>
      </c>
      <c r="M1363">
        <v>0</v>
      </c>
      <c r="N1363">
        <v>2</v>
      </c>
      <c r="O1363">
        <v>0</v>
      </c>
      <c r="P1363">
        <v>1</v>
      </c>
      <c r="Q1363">
        <v>0</v>
      </c>
      <c r="S1363" t="str">
        <f t="shared" si="473"/>
        <v>19:29:12.000</v>
      </c>
      <c r="T1363" t="str">
        <f t="shared" si="473"/>
        <v>19:29:12.000</v>
      </c>
      <c r="U1363" t="str">
        <f t="shared" si="467"/>
        <v>AC3944</v>
      </c>
      <c r="V1363">
        <v>0</v>
      </c>
      <c r="W1363">
        <v>0</v>
      </c>
      <c r="X1363">
        <v>2</v>
      </c>
      <c r="Y1363">
        <v>0</v>
      </c>
      <c r="AA1363">
        <v>1</v>
      </c>
      <c r="AB1363">
        <v>8</v>
      </c>
      <c r="AC1363">
        <v>3</v>
      </c>
      <c r="AD1363">
        <v>0</v>
      </c>
      <c r="AE1363">
        <v>9</v>
      </c>
      <c r="AF1363" t="s">
        <v>138</v>
      </c>
      <c r="AG1363">
        <v>0</v>
      </c>
      <c r="AH1363">
        <v>3</v>
      </c>
      <c r="AI1363">
        <v>1</v>
      </c>
      <c r="AJ1363">
        <v>0</v>
      </c>
      <c r="AK1363" t="s">
        <v>522</v>
      </c>
      <c r="AL1363">
        <v>32.804338999999999</v>
      </c>
      <c r="AM1363" t="s">
        <v>523</v>
      </c>
      <c r="AN1363">
        <v>-116.894424</v>
      </c>
      <c r="AO1363">
        <v>25</v>
      </c>
      <c r="AP1363">
        <v>2500</v>
      </c>
      <c r="AQ1363" t="s">
        <v>129</v>
      </c>
      <c r="AR1363">
        <v>105</v>
      </c>
      <c r="AS1363">
        <v>-48</v>
      </c>
      <c r="AT1363">
        <v>640</v>
      </c>
      <c r="BB1363">
        <v>1200</v>
      </c>
      <c r="BC1363">
        <v>1</v>
      </c>
      <c r="BD1363" t="str">
        <f t="shared" si="468"/>
        <v xml:space="preserve">N887QR  </v>
      </c>
      <c r="BE1363">
        <v>1</v>
      </c>
      <c r="BG1363">
        <v>0</v>
      </c>
      <c r="BH1363">
        <v>0</v>
      </c>
      <c r="BI1363">
        <v>0</v>
      </c>
      <c r="BJ1363">
        <v>2225</v>
      </c>
      <c r="BK1363">
        <v>-275</v>
      </c>
      <c r="BL1363" t="s">
        <v>163</v>
      </c>
      <c r="BM1363">
        <v>1</v>
      </c>
      <c r="BN1363">
        <v>1</v>
      </c>
      <c r="BO1363">
        <v>1</v>
      </c>
      <c r="BP1363">
        <v>0</v>
      </c>
      <c r="BS1363">
        <v>0</v>
      </c>
      <c r="BT1363">
        <v>0</v>
      </c>
      <c r="BU1363">
        <v>0</v>
      </c>
      <c r="CE1363" t="str">
        <f t="shared" si="474"/>
        <v>19:29:12.068</v>
      </c>
      <c r="CF1363">
        <v>67640954</v>
      </c>
      <c r="CS1363">
        <v>3</v>
      </c>
      <c r="CT1363">
        <v>2</v>
      </c>
      <c r="CU1363">
        <v>0</v>
      </c>
      <c r="CV1363">
        <v>2</v>
      </c>
      <c r="CW1363">
        <v>0</v>
      </c>
      <c r="CX1363">
        <v>6</v>
      </c>
      <c r="CY1363">
        <v>7</v>
      </c>
      <c r="CZ1363" t="s">
        <v>131</v>
      </c>
      <c r="DA1363">
        <v>300</v>
      </c>
      <c r="DB1363">
        <v>0</v>
      </c>
      <c r="DC1363" t="s">
        <v>176</v>
      </c>
      <c r="DD1363" t="s">
        <v>177</v>
      </c>
      <c r="DG1363">
        <v>5385018</v>
      </c>
      <c r="DI1363">
        <v>1</v>
      </c>
      <c r="DJ1363">
        <v>0</v>
      </c>
      <c r="DK1363">
        <v>1</v>
      </c>
      <c r="DL1363">
        <v>0</v>
      </c>
      <c r="DM1363">
        <v>0</v>
      </c>
      <c r="DN1363">
        <v>1</v>
      </c>
      <c r="DO1363">
        <v>0</v>
      </c>
      <c r="DP1363">
        <v>0</v>
      </c>
      <c r="DQ1363">
        <v>0</v>
      </c>
      <c r="DR1363">
        <v>0</v>
      </c>
      <c r="DS1363">
        <v>0</v>
      </c>
    </row>
    <row r="1364" spans="1:123" x14ac:dyDescent="0.3">
      <c r="A1364" t="str">
        <f t="shared" si="472"/>
        <v>10/04/2022 19:29:12.321</v>
      </c>
      <c r="C1364" t="str">
        <f t="shared" si="469"/>
        <v>FFDFD3C0</v>
      </c>
      <c r="D1364" t="s">
        <v>136</v>
      </c>
      <c r="E1364">
        <v>8</v>
      </c>
      <c r="H1364">
        <v>225</v>
      </c>
      <c r="I1364" t="s">
        <v>137</v>
      </c>
      <c r="J1364" t="s">
        <v>138</v>
      </c>
      <c r="K1364">
        <v>0</v>
      </c>
      <c r="L1364">
        <v>3</v>
      </c>
      <c r="M1364">
        <v>0</v>
      </c>
      <c r="N1364">
        <v>2</v>
      </c>
      <c r="O1364">
        <v>0</v>
      </c>
      <c r="P1364">
        <v>1</v>
      </c>
      <c r="Q1364">
        <v>0</v>
      </c>
      <c r="S1364" t="str">
        <f t="shared" si="473"/>
        <v>19:29:12.000</v>
      </c>
      <c r="T1364" t="str">
        <f t="shared" si="473"/>
        <v>19:29:12.000</v>
      </c>
      <c r="U1364" t="str">
        <f t="shared" si="467"/>
        <v>AC3944</v>
      </c>
      <c r="V1364">
        <v>0</v>
      </c>
      <c r="W1364">
        <v>0</v>
      </c>
      <c r="X1364">
        <v>2</v>
      </c>
      <c r="Y1364">
        <v>0</v>
      </c>
      <c r="AA1364">
        <v>1</v>
      </c>
      <c r="AB1364">
        <v>8</v>
      </c>
      <c r="AC1364">
        <v>3</v>
      </c>
      <c r="AD1364">
        <v>0</v>
      </c>
      <c r="AE1364">
        <v>9</v>
      </c>
      <c r="AF1364" t="s">
        <v>138</v>
      </c>
      <c r="AG1364">
        <v>0</v>
      </c>
      <c r="AH1364">
        <v>3</v>
      </c>
      <c r="AI1364">
        <v>1</v>
      </c>
      <c r="AJ1364">
        <v>0</v>
      </c>
      <c r="AK1364" t="s">
        <v>522</v>
      </c>
      <c r="AL1364">
        <v>32.804338999999999</v>
      </c>
      <c r="AM1364" t="s">
        <v>523</v>
      </c>
      <c r="AN1364">
        <v>-116.894424</v>
      </c>
      <c r="AO1364">
        <v>25</v>
      </c>
      <c r="AP1364">
        <v>2500</v>
      </c>
      <c r="AQ1364" t="s">
        <v>129</v>
      </c>
      <c r="AR1364">
        <v>105</v>
      </c>
      <c r="AS1364">
        <v>-48</v>
      </c>
      <c r="AT1364">
        <v>640</v>
      </c>
      <c r="BB1364">
        <v>1200</v>
      </c>
      <c r="BC1364">
        <v>1</v>
      </c>
      <c r="BD1364" t="str">
        <f t="shared" si="468"/>
        <v xml:space="preserve">N887QR  </v>
      </c>
      <c r="BE1364">
        <v>1</v>
      </c>
      <c r="BG1364">
        <v>0</v>
      </c>
      <c r="BH1364">
        <v>0</v>
      </c>
      <c r="BI1364">
        <v>0</v>
      </c>
      <c r="BJ1364">
        <v>2225</v>
      </c>
      <c r="BK1364">
        <v>-275</v>
      </c>
      <c r="BL1364" t="s">
        <v>163</v>
      </c>
      <c r="BM1364">
        <v>1</v>
      </c>
      <c r="BN1364">
        <v>1</v>
      </c>
      <c r="BO1364">
        <v>1</v>
      </c>
      <c r="BP1364">
        <v>0</v>
      </c>
      <c r="BS1364">
        <v>0</v>
      </c>
      <c r="BT1364">
        <v>0</v>
      </c>
      <c r="BU1364">
        <v>0</v>
      </c>
      <c r="CE1364" t="str">
        <f t="shared" si="474"/>
        <v>19:29:12.068</v>
      </c>
      <c r="CF1364">
        <v>67640954</v>
      </c>
      <c r="CS1364">
        <v>3</v>
      </c>
      <c r="CT1364">
        <v>2</v>
      </c>
      <c r="CU1364">
        <v>0</v>
      </c>
      <c r="CV1364">
        <v>2</v>
      </c>
      <c r="CW1364">
        <v>0</v>
      </c>
      <c r="CX1364">
        <v>6</v>
      </c>
      <c r="CY1364">
        <v>7</v>
      </c>
      <c r="CZ1364" t="s">
        <v>131</v>
      </c>
      <c r="DA1364">
        <v>300</v>
      </c>
      <c r="DB1364">
        <v>0</v>
      </c>
      <c r="DC1364" t="s">
        <v>176</v>
      </c>
      <c r="DD1364" t="s">
        <v>177</v>
      </c>
      <c r="DG1364">
        <v>5385018</v>
      </c>
      <c r="DI1364">
        <v>1</v>
      </c>
      <c r="DJ1364">
        <v>0</v>
      </c>
      <c r="DK1364">
        <v>1</v>
      </c>
      <c r="DL1364">
        <v>0</v>
      </c>
      <c r="DM1364">
        <v>0</v>
      </c>
      <c r="DN1364">
        <v>1</v>
      </c>
      <c r="DO1364">
        <v>0</v>
      </c>
      <c r="DP1364">
        <v>0</v>
      </c>
      <c r="DQ1364">
        <v>0</v>
      </c>
      <c r="DR1364">
        <v>0</v>
      </c>
      <c r="DS1364">
        <v>0</v>
      </c>
    </row>
    <row r="1365" spans="1:123" x14ac:dyDescent="0.3">
      <c r="A1365" t="str">
        <f t="shared" si="472"/>
        <v>10/04/2022 19:29:12.321</v>
      </c>
      <c r="C1365" t="str">
        <f t="shared" si="469"/>
        <v>FFDFD3C0</v>
      </c>
      <c r="D1365" t="s">
        <v>141</v>
      </c>
      <c r="E1365">
        <v>4</v>
      </c>
      <c r="H1365">
        <v>4</v>
      </c>
      <c r="I1365" t="s">
        <v>142</v>
      </c>
      <c r="J1365" t="s">
        <v>138</v>
      </c>
      <c r="K1365">
        <v>0</v>
      </c>
      <c r="L1365">
        <v>3</v>
      </c>
      <c r="M1365">
        <v>0</v>
      </c>
      <c r="N1365">
        <v>2</v>
      </c>
      <c r="O1365">
        <v>0</v>
      </c>
      <c r="P1365">
        <v>1</v>
      </c>
      <c r="Q1365">
        <v>0</v>
      </c>
      <c r="S1365" t="str">
        <f t="shared" si="473"/>
        <v>19:29:12.000</v>
      </c>
      <c r="T1365" t="str">
        <f t="shared" si="473"/>
        <v>19:29:12.000</v>
      </c>
      <c r="U1365" t="str">
        <f t="shared" si="467"/>
        <v>AC3944</v>
      </c>
      <c r="V1365">
        <v>0</v>
      </c>
      <c r="W1365">
        <v>0</v>
      </c>
      <c r="X1365">
        <v>2</v>
      </c>
      <c r="Y1365">
        <v>0</v>
      </c>
      <c r="AA1365">
        <v>1</v>
      </c>
      <c r="AB1365">
        <v>8</v>
      </c>
      <c r="AC1365">
        <v>3</v>
      </c>
      <c r="AD1365">
        <v>0</v>
      </c>
      <c r="AE1365">
        <v>9</v>
      </c>
      <c r="AF1365" t="s">
        <v>138</v>
      </c>
      <c r="AG1365">
        <v>0</v>
      </c>
      <c r="AH1365">
        <v>3</v>
      </c>
      <c r="AI1365">
        <v>1</v>
      </c>
      <c r="AJ1365">
        <v>0</v>
      </c>
      <c r="AK1365" t="s">
        <v>522</v>
      </c>
      <c r="AL1365">
        <v>32.804338999999999</v>
      </c>
      <c r="AM1365" t="s">
        <v>523</v>
      </c>
      <c r="AN1365">
        <v>-116.894424</v>
      </c>
      <c r="AO1365">
        <v>25</v>
      </c>
      <c r="AP1365">
        <v>2500</v>
      </c>
      <c r="AQ1365" t="s">
        <v>129</v>
      </c>
      <c r="AR1365">
        <v>105</v>
      </c>
      <c r="AS1365">
        <v>-48</v>
      </c>
      <c r="AT1365">
        <v>640</v>
      </c>
      <c r="BB1365">
        <v>1200</v>
      </c>
      <c r="BC1365">
        <v>1</v>
      </c>
      <c r="BD1365" t="str">
        <f t="shared" si="468"/>
        <v xml:space="preserve">N887QR  </v>
      </c>
      <c r="BE1365">
        <v>1</v>
      </c>
      <c r="BG1365">
        <v>0</v>
      </c>
      <c r="BH1365">
        <v>0</v>
      </c>
      <c r="BI1365">
        <v>0</v>
      </c>
      <c r="BJ1365">
        <v>2225</v>
      </c>
      <c r="BK1365">
        <v>-275</v>
      </c>
      <c r="BL1365" t="s">
        <v>163</v>
      </c>
      <c r="BM1365">
        <v>1</v>
      </c>
      <c r="BN1365">
        <v>1</v>
      </c>
      <c r="BO1365">
        <v>1</v>
      </c>
      <c r="BP1365">
        <v>0</v>
      </c>
      <c r="BS1365">
        <v>0</v>
      </c>
      <c r="BT1365">
        <v>0</v>
      </c>
      <c r="BU1365">
        <v>0</v>
      </c>
      <c r="CE1365" t="str">
        <f t="shared" si="474"/>
        <v>19:29:12.068</v>
      </c>
      <c r="CF1365">
        <v>67640954</v>
      </c>
      <c r="CS1365">
        <v>3</v>
      </c>
      <c r="CT1365">
        <v>2</v>
      </c>
      <c r="CU1365">
        <v>0</v>
      </c>
      <c r="CV1365">
        <v>2</v>
      </c>
      <c r="CW1365">
        <v>0</v>
      </c>
      <c r="CX1365">
        <v>6</v>
      </c>
      <c r="CY1365">
        <v>7</v>
      </c>
      <c r="CZ1365" t="s">
        <v>131</v>
      </c>
      <c r="DA1365">
        <v>300</v>
      </c>
      <c r="DB1365">
        <v>0</v>
      </c>
      <c r="DC1365" t="s">
        <v>176</v>
      </c>
      <c r="DD1365" t="s">
        <v>177</v>
      </c>
      <c r="DG1365">
        <v>5385018</v>
      </c>
      <c r="DI1365">
        <v>1</v>
      </c>
      <c r="DJ1365">
        <v>0</v>
      </c>
      <c r="DK1365">
        <v>1</v>
      </c>
      <c r="DL1365">
        <v>0</v>
      </c>
      <c r="DM1365">
        <v>0</v>
      </c>
      <c r="DN1365">
        <v>1</v>
      </c>
      <c r="DO1365">
        <v>0</v>
      </c>
      <c r="DP1365">
        <v>0</v>
      </c>
      <c r="DQ1365">
        <v>0</v>
      </c>
      <c r="DR1365">
        <v>0</v>
      </c>
      <c r="DS1365">
        <v>0</v>
      </c>
    </row>
    <row r="1366" spans="1:123" x14ac:dyDescent="0.3">
      <c r="A1366" t="str">
        <f>"10/04/2022 19:29:13.743"</f>
        <v>10/04/2022 19:29:13.743</v>
      </c>
      <c r="C1366" t="str">
        <f t="shared" si="469"/>
        <v>FFDFD3C0</v>
      </c>
      <c r="D1366" t="s">
        <v>143</v>
      </c>
      <c r="E1366">
        <v>20</v>
      </c>
      <c r="F1366">
        <v>1020</v>
      </c>
      <c r="G1366" t="s">
        <v>144</v>
      </c>
      <c r="J1366" t="s">
        <v>145</v>
      </c>
      <c r="K1366">
        <v>0</v>
      </c>
      <c r="L1366">
        <v>3</v>
      </c>
      <c r="M1366">
        <v>0</v>
      </c>
      <c r="N1366">
        <v>2</v>
      </c>
      <c r="O1366">
        <v>0</v>
      </c>
      <c r="P1366">
        <v>1</v>
      </c>
      <c r="Q1366">
        <v>0</v>
      </c>
      <c r="S1366" t="str">
        <f t="shared" ref="S1366:T1372" si="475">"19:29:13.000"</f>
        <v>19:29:13.000</v>
      </c>
      <c r="T1366" t="str">
        <f t="shared" si="475"/>
        <v>19:29:13.000</v>
      </c>
      <c r="U1366" t="str">
        <f t="shared" si="467"/>
        <v>AC3944</v>
      </c>
      <c r="V1366">
        <v>0</v>
      </c>
      <c r="W1366">
        <v>0</v>
      </c>
      <c r="X1366">
        <v>2</v>
      </c>
      <c r="Y1366">
        <v>0</v>
      </c>
      <c r="AA1366">
        <v>1</v>
      </c>
      <c r="AB1366">
        <v>8</v>
      </c>
      <c r="AC1366">
        <v>3</v>
      </c>
      <c r="AD1366">
        <v>0</v>
      </c>
      <c r="AE1366">
        <v>9</v>
      </c>
      <c r="AF1366" t="s">
        <v>138</v>
      </c>
      <c r="AG1366">
        <v>0</v>
      </c>
      <c r="AH1366">
        <v>3</v>
      </c>
      <c r="AI1366">
        <v>1</v>
      </c>
      <c r="AJ1366">
        <v>0</v>
      </c>
      <c r="AK1366" t="s">
        <v>524</v>
      </c>
      <c r="AL1366">
        <v>32.804124000000002</v>
      </c>
      <c r="AM1366" t="s">
        <v>525</v>
      </c>
      <c r="AN1366">
        <v>-116.893845</v>
      </c>
      <c r="AO1366">
        <v>25</v>
      </c>
      <c r="AP1366">
        <v>2500</v>
      </c>
      <c r="AQ1366" t="s">
        <v>129</v>
      </c>
      <c r="AR1366">
        <v>104</v>
      </c>
      <c r="AS1366">
        <v>-51</v>
      </c>
      <c r="AT1366">
        <v>576</v>
      </c>
      <c r="BB1366">
        <v>1200</v>
      </c>
      <c r="BC1366">
        <v>1</v>
      </c>
      <c r="BD1366" t="str">
        <f t="shared" si="468"/>
        <v xml:space="preserve">N887QR  </v>
      </c>
      <c r="BE1366">
        <v>1</v>
      </c>
      <c r="BG1366">
        <v>0</v>
      </c>
      <c r="BH1366">
        <v>0</v>
      </c>
      <c r="BI1366">
        <v>0</v>
      </c>
      <c r="BJ1366">
        <v>2225</v>
      </c>
      <c r="BK1366">
        <v>-275</v>
      </c>
      <c r="BL1366" t="s">
        <v>163</v>
      </c>
      <c r="BM1366">
        <v>1</v>
      </c>
      <c r="BN1366">
        <v>1</v>
      </c>
      <c r="BO1366">
        <v>1</v>
      </c>
      <c r="BP1366">
        <v>0</v>
      </c>
      <c r="BS1366">
        <v>0</v>
      </c>
      <c r="BT1366">
        <v>0</v>
      </c>
      <c r="BU1366">
        <v>0</v>
      </c>
      <c r="CE1366" t="str">
        <f t="shared" ref="CE1366:CE1372" si="476">"19:29:13.511"</f>
        <v>19:29:13.511</v>
      </c>
      <c r="CF1366">
        <v>511395686</v>
      </c>
      <c r="CS1366">
        <v>3</v>
      </c>
      <c r="CT1366">
        <v>2</v>
      </c>
      <c r="CU1366">
        <v>0</v>
      </c>
      <c r="CV1366">
        <v>2</v>
      </c>
      <c r="CW1366">
        <v>0</v>
      </c>
      <c r="CX1366">
        <v>6</v>
      </c>
      <c r="CY1366">
        <v>7</v>
      </c>
      <c r="CZ1366" t="s">
        <v>131</v>
      </c>
      <c r="DA1366">
        <v>300</v>
      </c>
      <c r="DB1366">
        <v>0</v>
      </c>
      <c r="DC1366" t="s">
        <v>176</v>
      </c>
      <c r="DD1366" t="s">
        <v>177</v>
      </c>
      <c r="DG1366">
        <v>5385253</v>
      </c>
      <c r="DI1366">
        <v>1</v>
      </c>
      <c r="DJ1366">
        <v>0</v>
      </c>
      <c r="DK1366">
        <v>0</v>
      </c>
      <c r="DL1366">
        <v>0</v>
      </c>
      <c r="DM1366">
        <v>0</v>
      </c>
      <c r="DN1366">
        <v>1</v>
      </c>
      <c r="DO1366">
        <v>0</v>
      </c>
      <c r="DP1366">
        <v>0</v>
      </c>
      <c r="DQ1366">
        <v>0</v>
      </c>
      <c r="DR1366">
        <v>0</v>
      </c>
      <c r="DS1366">
        <v>0</v>
      </c>
    </row>
    <row r="1367" spans="1:123" x14ac:dyDescent="0.3">
      <c r="A1367" t="str">
        <f>"10/04/2022 19:29:13.743"</f>
        <v>10/04/2022 19:29:13.743</v>
      </c>
      <c r="C1367" t="str">
        <f t="shared" si="469"/>
        <v>FFDFD3C0</v>
      </c>
      <c r="D1367" t="s">
        <v>147</v>
      </c>
      <c r="E1367">
        <v>3</v>
      </c>
      <c r="H1367">
        <v>166</v>
      </c>
      <c r="I1367" t="s">
        <v>144</v>
      </c>
      <c r="J1367" t="s">
        <v>148</v>
      </c>
      <c r="K1367">
        <v>0</v>
      </c>
      <c r="L1367">
        <v>3</v>
      </c>
      <c r="M1367">
        <v>0</v>
      </c>
      <c r="N1367">
        <v>2</v>
      </c>
      <c r="O1367">
        <v>0</v>
      </c>
      <c r="P1367">
        <v>1</v>
      </c>
      <c r="Q1367">
        <v>0</v>
      </c>
      <c r="S1367" t="str">
        <f t="shared" si="475"/>
        <v>19:29:13.000</v>
      </c>
      <c r="T1367" t="str">
        <f t="shared" si="475"/>
        <v>19:29:13.000</v>
      </c>
      <c r="U1367" t="str">
        <f t="shared" si="467"/>
        <v>AC3944</v>
      </c>
      <c r="V1367">
        <v>0</v>
      </c>
      <c r="W1367">
        <v>0</v>
      </c>
      <c r="X1367">
        <v>2</v>
      </c>
      <c r="Y1367">
        <v>0</v>
      </c>
      <c r="AA1367">
        <v>1</v>
      </c>
      <c r="AB1367">
        <v>8</v>
      </c>
      <c r="AC1367">
        <v>3</v>
      </c>
      <c r="AD1367">
        <v>0</v>
      </c>
      <c r="AE1367">
        <v>9</v>
      </c>
      <c r="AF1367" t="s">
        <v>138</v>
      </c>
      <c r="AG1367">
        <v>0</v>
      </c>
      <c r="AH1367">
        <v>3</v>
      </c>
      <c r="AI1367">
        <v>1</v>
      </c>
      <c r="AJ1367">
        <v>0</v>
      </c>
      <c r="AK1367" t="s">
        <v>524</v>
      </c>
      <c r="AL1367">
        <v>32.804124000000002</v>
      </c>
      <c r="AM1367" t="s">
        <v>525</v>
      </c>
      <c r="AN1367">
        <v>-116.893845</v>
      </c>
      <c r="AO1367">
        <v>25</v>
      </c>
      <c r="AP1367">
        <v>2500</v>
      </c>
      <c r="AQ1367" t="s">
        <v>129</v>
      </c>
      <c r="AR1367">
        <v>104</v>
      </c>
      <c r="AS1367">
        <v>-51</v>
      </c>
      <c r="AT1367">
        <v>576</v>
      </c>
      <c r="BB1367">
        <v>1200</v>
      </c>
      <c r="BC1367">
        <v>1</v>
      </c>
      <c r="BD1367" t="str">
        <f t="shared" si="468"/>
        <v xml:space="preserve">N887QR  </v>
      </c>
      <c r="BE1367">
        <v>1</v>
      </c>
      <c r="BG1367">
        <v>0</v>
      </c>
      <c r="BH1367">
        <v>0</v>
      </c>
      <c r="BI1367">
        <v>0</v>
      </c>
      <c r="BJ1367">
        <v>2225</v>
      </c>
      <c r="BK1367">
        <v>-275</v>
      </c>
      <c r="BL1367" t="s">
        <v>163</v>
      </c>
      <c r="BM1367">
        <v>1</v>
      </c>
      <c r="BN1367">
        <v>1</v>
      </c>
      <c r="BO1367">
        <v>1</v>
      </c>
      <c r="BP1367">
        <v>0</v>
      </c>
      <c r="BS1367">
        <v>0</v>
      </c>
      <c r="BT1367">
        <v>0</v>
      </c>
      <c r="BU1367">
        <v>0</v>
      </c>
      <c r="CE1367" t="str">
        <f t="shared" si="476"/>
        <v>19:29:13.511</v>
      </c>
      <c r="CF1367">
        <v>511395686</v>
      </c>
      <c r="CS1367">
        <v>3</v>
      </c>
      <c r="CT1367">
        <v>2</v>
      </c>
      <c r="CU1367">
        <v>0</v>
      </c>
      <c r="CV1367">
        <v>2</v>
      </c>
      <c r="CW1367">
        <v>0</v>
      </c>
      <c r="CX1367">
        <v>6</v>
      </c>
      <c r="CY1367">
        <v>7</v>
      </c>
      <c r="CZ1367" t="s">
        <v>131</v>
      </c>
      <c r="DA1367">
        <v>300</v>
      </c>
      <c r="DB1367">
        <v>0</v>
      </c>
      <c r="DC1367" t="s">
        <v>176</v>
      </c>
      <c r="DD1367" t="s">
        <v>177</v>
      </c>
      <c r="DG1367">
        <v>5385253</v>
      </c>
      <c r="DI1367">
        <v>1</v>
      </c>
      <c r="DJ1367">
        <v>0</v>
      </c>
      <c r="DK1367">
        <v>1</v>
      </c>
      <c r="DL1367">
        <v>0</v>
      </c>
      <c r="DM1367">
        <v>0</v>
      </c>
      <c r="DN1367">
        <v>1</v>
      </c>
      <c r="DO1367">
        <v>0</v>
      </c>
      <c r="DP1367">
        <v>0</v>
      </c>
      <c r="DQ1367">
        <v>0</v>
      </c>
      <c r="DR1367">
        <v>0</v>
      </c>
      <c r="DS1367">
        <v>0</v>
      </c>
    </row>
    <row r="1368" spans="1:123" x14ac:dyDescent="0.3">
      <c r="A1368" t="str">
        <f>"10/04/2022 19:29:13.743"</f>
        <v>10/04/2022 19:29:13.743</v>
      </c>
      <c r="C1368" t="str">
        <f t="shared" si="469"/>
        <v>FFDFD3C0</v>
      </c>
      <c r="D1368" t="s">
        <v>134</v>
      </c>
      <c r="E1368">
        <v>15</v>
      </c>
      <c r="J1368" t="s">
        <v>135</v>
      </c>
      <c r="K1368">
        <v>0</v>
      </c>
      <c r="L1368">
        <v>3</v>
      </c>
      <c r="M1368">
        <v>0</v>
      </c>
      <c r="N1368">
        <v>2</v>
      </c>
      <c r="O1368">
        <v>0</v>
      </c>
      <c r="P1368">
        <v>1</v>
      </c>
      <c r="Q1368">
        <v>0</v>
      </c>
      <c r="S1368" t="str">
        <f t="shared" si="475"/>
        <v>19:29:13.000</v>
      </c>
      <c r="T1368" t="str">
        <f t="shared" si="475"/>
        <v>19:29:13.000</v>
      </c>
      <c r="U1368" t="str">
        <f t="shared" si="467"/>
        <v>AC3944</v>
      </c>
      <c r="V1368">
        <v>0</v>
      </c>
      <c r="W1368">
        <v>0</v>
      </c>
      <c r="X1368">
        <v>2</v>
      </c>
      <c r="Y1368">
        <v>0</v>
      </c>
      <c r="AA1368">
        <v>1</v>
      </c>
      <c r="AB1368">
        <v>8</v>
      </c>
      <c r="AC1368">
        <v>3</v>
      </c>
      <c r="AD1368">
        <v>0</v>
      </c>
      <c r="AE1368">
        <v>9</v>
      </c>
      <c r="AF1368" t="s">
        <v>138</v>
      </c>
      <c r="AG1368">
        <v>0</v>
      </c>
      <c r="AH1368">
        <v>3</v>
      </c>
      <c r="AI1368">
        <v>1</v>
      </c>
      <c r="AJ1368">
        <v>0</v>
      </c>
      <c r="AK1368" t="s">
        <v>524</v>
      </c>
      <c r="AL1368">
        <v>32.804124000000002</v>
      </c>
      <c r="AM1368" t="s">
        <v>525</v>
      </c>
      <c r="AN1368">
        <v>-116.893845</v>
      </c>
      <c r="AO1368">
        <v>25</v>
      </c>
      <c r="AP1368">
        <v>2500</v>
      </c>
      <c r="AQ1368" t="s">
        <v>129</v>
      </c>
      <c r="AR1368">
        <v>104</v>
      </c>
      <c r="AS1368">
        <v>-51</v>
      </c>
      <c r="AT1368">
        <v>576</v>
      </c>
      <c r="BB1368">
        <v>1200</v>
      </c>
      <c r="BC1368">
        <v>1</v>
      </c>
      <c r="BD1368" t="str">
        <f t="shared" si="468"/>
        <v xml:space="preserve">N887QR  </v>
      </c>
      <c r="BE1368">
        <v>1</v>
      </c>
      <c r="BG1368">
        <v>0</v>
      </c>
      <c r="BH1368">
        <v>0</v>
      </c>
      <c r="BI1368">
        <v>0</v>
      </c>
      <c r="BJ1368">
        <v>2225</v>
      </c>
      <c r="BK1368">
        <v>-275</v>
      </c>
      <c r="BL1368" t="s">
        <v>163</v>
      </c>
      <c r="BM1368">
        <v>1</v>
      </c>
      <c r="BN1368">
        <v>1</v>
      </c>
      <c r="BO1368">
        <v>1</v>
      </c>
      <c r="BP1368">
        <v>0</v>
      </c>
      <c r="BS1368">
        <v>0</v>
      </c>
      <c r="BT1368">
        <v>0</v>
      </c>
      <c r="BU1368">
        <v>0</v>
      </c>
      <c r="CE1368" t="str">
        <f t="shared" si="476"/>
        <v>19:29:13.511</v>
      </c>
      <c r="CF1368">
        <v>511395686</v>
      </c>
      <c r="CS1368">
        <v>3</v>
      </c>
      <c r="CT1368">
        <v>2</v>
      </c>
      <c r="CU1368">
        <v>0</v>
      </c>
      <c r="CV1368">
        <v>2</v>
      </c>
      <c r="CW1368">
        <v>0</v>
      </c>
      <c r="CX1368">
        <v>6</v>
      </c>
      <c r="CY1368">
        <v>7</v>
      </c>
      <c r="CZ1368" t="s">
        <v>131</v>
      </c>
      <c r="DA1368">
        <v>300</v>
      </c>
      <c r="DB1368">
        <v>0</v>
      </c>
      <c r="DC1368" t="s">
        <v>176</v>
      </c>
      <c r="DD1368" t="s">
        <v>177</v>
      </c>
      <c r="DG1368">
        <v>5385253</v>
      </c>
      <c r="DI1368">
        <v>1</v>
      </c>
      <c r="DJ1368">
        <v>0</v>
      </c>
      <c r="DK1368">
        <v>1</v>
      </c>
      <c r="DL1368">
        <v>0</v>
      </c>
      <c r="DM1368">
        <v>0</v>
      </c>
      <c r="DN1368">
        <v>1</v>
      </c>
      <c r="DO1368">
        <v>0</v>
      </c>
      <c r="DP1368">
        <v>0</v>
      </c>
      <c r="DQ1368">
        <v>0</v>
      </c>
      <c r="DR1368">
        <v>0</v>
      </c>
      <c r="DS1368">
        <v>0</v>
      </c>
    </row>
    <row r="1369" spans="1:123" x14ac:dyDescent="0.3">
      <c r="A1369" t="str">
        <f>"10/04/2022 19:29:13.743"</f>
        <v>10/04/2022 19:29:13.743</v>
      </c>
      <c r="C1369" t="str">
        <f t="shared" si="469"/>
        <v>FFDFD3C0</v>
      </c>
      <c r="D1369" t="s">
        <v>123</v>
      </c>
      <c r="E1369">
        <v>7</v>
      </c>
      <c r="F1369">
        <v>2007</v>
      </c>
      <c r="G1369" t="s">
        <v>124</v>
      </c>
      <c r="J1369" t="s">
        <v>125</v>
      </c>
      <c r="K1369">
        <v>0</v>
      </c>
      <c r="L1369">
        <v>3</v>
      </c>
      <c r="M1369">
        <v>0</v>
      </c>
      <c r="N1369">
        <v>2</v>
      </c>
      <c r="O1369">
        <v>0</v>
      </c>
      <c r="P1369">
        <v>1</v>
      </c>
      <c r="Q1369">
        <v>0</v>
      </c>
      <c r="S1369" t="str">
        <f t="shared" si="475"/>
        <v>19:29:13.000</v>
      </c>
      <c r="T1369" t="str">
        <f t="shared" si="475"/>
        <v>19:29:13.000</v>
      </c>
      <c r="U1369" t="str">
        <f t="shared" si="467"/>
        <v>AC3944</v>
      </c>
      <c r="V1369">
        <v>0</v>
      </c>
      <c r="W1369">
        <v>0</v>
      </c>
      <c r="X1369">
        <v>2</v>
      </c>
      <c r="Y1369">
        <v>0</v>
      </c>
      <c r="AA1369">
        <v>1</v>
      </c>
      <c r="AB1369">
        <v>8</v>
      </c>
      <c r="AC1369">
        <v>3</v>
      </c>
      <c r="AD1369">
        <v>0</v>
      </c>
      <c r="AE1369">
        <v>9</v>
      </c>
      <c r="AF1369" t="s">
        <v>138</v>
      </c>
      <c r="AG1369">
        <v>0</v>
      </c>
      <c r="AH1369">
        <v>3</v>
      </c>
      <c r="AI1369">
        <v>1</v>
      </c>
      <c r="AJ1369">
        <v>0</v>
      </c>
      <c r="AK1369" t="s">
        <v>524</v>
      </c>
      <c r="AL1369">
        <v>32.804124000000002</v>
      </c>
      <c r="AM1369" t="s">
        <v>525</v>
      </c>
      <c r="AN1369">
        <v>-116.893845</v>
      </c>
      <c r="AO1369">
        <v>25</v>
      </c>
      <c r="AP1369">
        <v>2500</v>
      </c>
      <c r="AQ1369" t="s">
        <v>129</v>
      </c>
      <c r="AR1369">
        <v>104</v>
      </c>
      <c r="AS1369">
        <v>-51</v>
      </c>
      <c r="AT1369">
        <v>576</v>
      </c>
      <c r="BB1369">
        <v>1200</v>
      </c>
      <c r="BC1369">
        <v>1</v>
      </c>
      <c r="BD1369" t="str">
        <f t="shared" si="468"/>
        <v xml:space="preserve">N887QR  </v>
      </c>
      <c r="BE1369">
        <v>1</v>
      </c>
      <c r="BG1369">
        <v>0</v>
      </c>
      <c r="BH1369">
        <v>0</v>
      </c>
      <c r="BI1369">
        <v>0</v>
      </c>
      <c r="BJ1369">
        <v>2225</v>
      </c>
      <c r="BK1369">
        <v>-275</v>
      </c>
      <c r="BL1369" t="s">
        <v>163</v>
      </c>
      <c r="BM1369">
        <v>1</v>
      </c>
      <c r="BN1369">
        <v>1</v>
      </c>
      <c r="BO1369">
        <v>1</v>
      </c>
      <c r="BP1369">
        <v>0</v>
      </c>
      <c r="BS1369">
        <v>0</v>
      </c>
      <c r="BT1369">
        <v>0</v>
      </c>
      <c r="BU1369">
        <v>0</v>
      </c>
      <c r="CE1369" t="str">
        <f t="shared" si="476"/>
        <v>19:29:13.511</v>
      </c>
      <c r="CF1369">
        <v>511395686</v>
      </c>
      <c r="CS1369">
        <v>3</v>
      </c>
      <c r="CT1369">
        <v>2</v>
      </c>
      <c r="CU1369">
        <v>0</v>
      </c>
      <c r="CV1369">
        <v>2</v>
      </c>
      <c r="CW1369">
        <v>0</v>
      </c>
      <c r="CX1369">
        <v>6</v>
      </c>
      <c r="CY1369">
        <v>7</v>
      </c>
      <c r="CZ1369" t="s">
        <v>131</v>
      </c>
      <c r="DA1369">
        <v>300</v>
      </c>
      <c r="DB1369">
        <v>0</v>
      </c>
      <c r="DC1369" t="s">
        <v>176</v>
      </c>
      <c r="DD1369" t="s">
        <v>177</v>
      </c>
      <c r="DG1369">
        <v>5385253</v>
      </c>
      <c r="DI1369">
        <v>1</v>
      </c>
      <c r="DJ1369">
        <v>0</v>
      </c>
      <c r="DK1369">
        <v>1</v>
      </c>
      <c r="DL1369">
        <v>0</v>
      </c>
      <c r="DM1369">
        <v>0</v>
      </c>
      <c r="DN1369">
        <v>1</v>
      </c>
      <c r="DO1369">
        <v>0</v>
      </c>
      <c r="DP1369">
        <v>0</v>
      </c>
      <c r="DQ1369">
        <v>0</v>
      </c>
      <c r="DR1369">
        <v>0</v>
      </c>
      <c r="DS1369">
        <v>0</v>
      </c>
    </row>
    <row r="1370" spans="1:123" x14ac:dyDescent="0.3">
      <c r="A1370" t="str">
        <f>"10/04/2022 19:29:13.743"</f>
        <v>10/04/2022 19:29:13.743</v>
      </c>
      <c r="C1370" t="str">
        <f t="shared" si="469"/>
        <v>FFDFD3C0</v>
      </c>
      <c r="D1370" t="s">
        <v>141</v>
      </c>
      <c r="E1370">
        <v>3</v>
      </c>
      <c r="H1370">
        <v>3</v>
      </c>
      <c r="I1370" t="s">
        <v>146</v>
      </c>
      <c r="J1370" t="s">
        <v>138</v>
      </c>
      <c r="K1370">
        <v>0</v>
      </c>
      <c r="L1370">
        <v>3</v>
      </c>
      <c r="M1370">
        <v>0</v>
      </c>
      <c r="N1370">
        <v>2</v>
      </c>
      <c r="O1370">
        <v>0</v>
      </c>
      <c r="P1370">
        <v>1</v>
      </c>
      <c r="Q1370">
        <v>0</v>
      </c>
      <c r="S1370" t="str">
        <f t="shared" si="475"/>
        <v>19:29:13.000</v>
      </c>
      <c r="T1370" t="str">
        <f t="shared" si="475"/>
        <v>19:29:13.000</v>
      </c>
      <c r="U1370" t="str">
        <f t="shared" si="467"/>
        <v>AC3944</v>
      </c>
      <c r="V1370">
        <v>0</v>
      </c>
      <c r="W1370">
        <v>0</v>
      </c>
      <c r="X1370">
        <v>2</v>
      </c>
      <c r="Y1370">
        <v>0</v>
      </c>
      <c r="AA1370">
        <v>1</v>
      </c>
      <c r="AB1370">
        <v>8</v>
      </c>
      <c r="AC1370">
        <v>3</v>
      </c>
      <c r="AD1370">
        <v>0</v>
      </c>
      <c r="AE1370">
        <v>9</v>
      </c>
      <c r="AF1370" t="s">
        <v>138</v>
      </c>
      <c r="AG1370">
        <v>0</v>
      </c>
      <c r="AH1370">
        <v>3</v>
      </c>
      <c r="AI1370">
        <v>1</v>
      </c>
      <c r="AJ1370">
        <v>0</v>
      </c>
      <c r="AK1370" t="s">
        <v>524</v>
      </c>
      <c r="AL1370">
        <v>32.804124000000002</v>
      </c>
      <c r="AM1370" t="s">
        <v>525</v>
      </c>
      <c r="AN1370">
        <v>-116.893845</v>
      </c>
      <c r="AO1370">
        <v>25</v>
      </c>
      <c r="AP1370">
        <v>2500</v>
      </c>
      <c r="AQ1370" t="s">
        <v>129</v>
      </c>
      <c r="AR1370">
        <v>104</v>
      </c>
      <c r="AS1370">
        <v>-51</v>
      </c>
      <c r="AT1370">
        <v>576</v>
      </c>
      <c r="BB1370">
        <v>1200</v>
      </c>
      <c r="BC1370">
        <v>1</v>
      </c>
      <c r="BD1370" t="str">
        <f t="shared" si="468"/>
        <v xml:space="preserve">N887QR  </v>
      </c>
      <c r="BE1370">
        <v>1</v>
      </c>
      <c r="BG1370">
        <v>0</v>
      </c>
      <c r="BH1370">
        <v>0</v>
      </c>
      <c r="BI1370">
        <v>0</v>
      </c>
      <c r="BJ1370">
        <v>2225</v>
      </c>
      <c r="BK1370">
        <v>-275</v>
      </c>
      <c r="BL1370" t="s">
        <v>163</v>
      </c>
      <c r="BM1370">
        <v>1</v>
      </c>
      <c r="BN1370">
        <v>1</v>
      </c>
      <c r="BO1370">
        <v>1</v>
      </c>
      <c r="BP1370">
        <v>0</v>
      </c>
      <c r="BS1370">
        <v>0</v>
      </c>
      <c r="BT1370">
        <v>0</v>
      </c>
      <c r="BU1370">
        <v>0</v>
      </c>
      <c r="CE1370" t="str">
        <f t="shared" si="476"/>
        <v>19:29:13.511</v>
      </c>
      <c r="CF1370">
        <v>511395686</v>
      </c>
      <c r="CS1370">
        <v>3</v>
      </c>
      <c r="CT1370">
        <v>2</v>
      </c>
      <c r="CU1370">
        <v>0</v>
      </c>
      <c r="CV1370">
        <v>2</v>
      </c>
      <c r="CW1370">
        <v>0</v>
      </c>
      <c r="CX1370">
        <v>6</v>
      </c>
      <c r="CY1370">
        <v>7</v>
      </c>
      <c r="CZ1370" t="s">
        <v>131</v>
      </c>
      <c r="DA1370">
        <v>300</v>
      </c>
      <c r="DB1370">
        <v>0</v>
      </c>
      <c r="DC1370" t="s">
        <v>176</v>
      </c>
      <c r="DD1370" t="s">
        <v>177</v>
      </c>
      <c r="DG1370">
        <v>5385253</v>
      </c>
      <c r="DI1370">
        <v>1</v>
      </c>
      <c r="DJ1370">
        <v>0</v>
      </c>
      <c r="DK1370">
        <v>1</v>
      </c>
      <c r="DL1370">
        <v>0</v>
      </c>
      <c r="DM1370">
        <v>0</v>
      </c>
      <c r="DN1370">
        <v>1</v>
      </c>
      <c r="DO1370">
        <v>0</v>
      </c>
      <c r="DP1370">
        <v>0</v>
      </c>
      <c r="DQ1370">
        <v>0</v>
      </c>
      <c r="DR1370">
        <v>0</v>
      </c>
      <c r="DS1370">
        <v>0</v>
      </c>
    </row>
    <row r="1371" spans="1:123" x14ac:dyDescent="0.3">
      <c r="A1371" t="str">
        <f>"10/04/2022 19:29:13.806"</f>
        <v>10/04/2022 19:29:13.806</v>
      </c>
      <c r="C1371" t="str">
        <f t="shared" si="469"/>
        <v>FFDFD3C0</v>
      </c>
      <c r="D1371" t="s">
        <v>136</v>
      </c>
      <c r="E1371">
        <v>8</v>
      </c>
      <c r="H1371">
        <v>225</v>
      </c>
      <c r="I1371" t="s">
        <v>137</v>
      </c>
      <c r="J1371" t="s">
        <v>138</v>
      </c>
      <c r="K1371">
        <v>0</v>
      </c>
      <c r="L1371">
        <v>3</v>
      </c>
      <c r="M1371">
        <v>0</v>
      </c>
      <c r="N1371">
        <v>2</v>
      </c>
      <c r="O1371">
        <v>0</v>
      </c>
      <c r="P1371">
        <v>1</v>
      </c>
      <c r="Q1371">
        <v>0</v>
      </c>
      <c r="S1371" t="str">
        <f t="shared" si="475"/>
        <v>19:29:13.000</v>
      </c>
      <c r="T1371" t="str">
        <f t="shared" si="475"/>
        <v>19:29:13.000</v>
      </c>
      <c r="U1371" t="str">
        <f t="shared" si="467"/>
        <v>AC3944</v>
      </c>
      <c r="V1371">
        <v>0</v>
      </c>
      <c r="W1371">
        <v>0</v>
      </c>
      <c r="X1371">
        <v>2</v>
      </c>
      <c r="Y1371">
        <v>0</v>
      </c>
      <c r="AA1371">
        <v>1</v>
      </c>
      <c r="AB1371">
        <v>8</v>
      </c>
      <c r="AC1371">
        <v>3</v>
      </c>
      <c r="AD1371">
        <v>0</v>
      </c>
      <c r="AE1371">
        <v>9</v>
      </c>
      <c r="AF1371" t="s">
        <v>138</v>
      </c>
      <c r="AG1371">
        <v>0</v>
      </c>
      <c r="AH1371">
        <v>3</v>
      </c>
      <c r="AI1371">
        <v>1</v>
      </c>
      <c r="AJ1371">
        <v>0</v>
      </c>
      <c r="AK1371" t="s">
        <v>524</v>
      </c>
      <c r="AL1371">
        <v>32.804124000000002</v>
      </c>
      <c r="AM1371" t="s">
        <v>525</v>
      </c>
      <c r="AN1371">
        <v>-116.893845</v>
      </c>
      <c r="AO1371">
        <v>25</v>
      </c>
      <c r="AP1371">
        <v>2500</v>
      </c>
      <c r="AQ1371" t="s">
        <v>129</v>
      </c>
      <c r="AR1371">
        <v>104</v>
      </c>
      <c r="AS1371">
        <v>-51</v>
      </c>
      <c r="AT1371">
        <v>576</v>
      </c>
      <c r="BB1371">
        <v>1200</v>
      </c>
      <c r="BC1371">
        <v>1</v>
      </c>
      <c r="BD1371" t="str">
        <f t="shared" si="468"/>
        <v xml:space="preserve">N887QR  </v>
      </c>
      <c r="BE1371">
        <v>1</v>
      </c>
      <c r="BG1371">
        <v>0</v>
      </c>
      <c r="BH1371">
        <v>0</v>
      </c>
      <c r="BI1371">
        <v>0</v>
      </c>
      <c r="BJ1371">
        <v>2225</v>
      </c>
      <c r="BK1371">
        <v>-275</v>
      </c>
      <c r="BL1371" t="s">
        <v>163</v>
      </c>
      <c r="BM1371">
        <v>1</v>
      </c>
      <c r="BN1371">
        <v>1</v>
      </c>
      <c r="BO1371">
        <v>1</v>
      </c>
      <c r="BP1371">
        <v>0</v>
      </c>
      <c r="BS1371">
        <v>0</v>
      </c>
      <c r="BT1371">
        <v>0</v>
      </c>
      <c r="BU1371">
        <v>0</v>
      </c>
      <c r="CE1371" t="str">
        <f t="shared" si="476"/>
        <v>19:29:13.511</v>
      </c>
      <c r="CF1371">
        <v>511395686</v>
      </c>
      <c r="CS1371">
        <v>3</v>
      </c>
      <c r="CT1371">
        <v>2</v>
      </c>
      <c r="CU1371">
        <v>0</v>
      </c>
      <c r="CV1371">
        <v>2</v>
      </c>
      <c r="CW1371">
        <v>0</v>
      </c>
      <c r="CX1371">
        <v>6</v>
      </c>
      <c r="CY1371">
        <v>7</v>
      </c>
      <c r="CZ1371" t="s">
        <v>131</v>
      </c>
      <c r="DA1371">
        <v>300</v>
      </c>
      <c r="DB1371">
        <v>0</v>
      </c>
      <c r="DC1371" t="s">
        <v>176</v>
      </c>
      <c r="DD1371" t="s">
        <v>177</v>
      </c>
      <c r="DG1371">
        <v>5385253</v>
      </c>
      <c r="DI1371">
        <v>1</v>
      </c>
      <c r="DJ1371">
        <v>0</v>
      </c>
      <c r="DK1371">
        <v>1</v>
      </c>
      <c r="DL1371">
        <v>0</v>
      </c>
      <c r="DM1371">
        <v>0</v>
      </c>
      <c r="DN1371">
        <v>1</v>
      </c>
      <c r="DO1371">
        <v>0</v>
      </c>
      <c r="DP1371">
        <v>0</v>
      </c>
      <c r="DQ1371">
        <v>0</v>
      </c>
      <c r="DR1371">
        <v>0</v>
      </c>
      <c r="DS1371">
        <v>0</v>
      </c>
    </row>
    <row r="1372" spans="1:123" x14ac:dyDescent="0.3">
      <c r="A1372" t="str">
        <f>"10/04/2022 19:29:13.806"</f>
        <v>10/04/2022 19:29:13.806</v>
      </c>
      <c r="C1372" t="str">
        <f t="shared" si="469"/>
        <v>FFDFD3C0</v>
      </c>
      <c r="D1372" t="s">
        <v>141</v>
      </c>
      <c r="E1372">
        <v>4</v>
      </c>
      <c r="H1372">
        <v>4</v>
      </c>
      <c r="I1372" t="s">
        <v>142</v>
      </c>
      <c r="J1372" t="s">
        <v>138</v>
      </c>
      <c r="K1372">
        <v>0</v>
      </c>
      <c r="L1372">
        <v>3</v>
      </c>
      <c r="M1372">
        <v>0</v>
      </c>
      <c r="N1372">
        <v>2</v>
      </c>
      <c r="O1372">
        <v>0</v>
      </c>
      <c r="P1372">
        <v>1</v>
      </c>
      <c r="Q1372">
        <v>0</v>
      </c>
      <c r="S1372" t="str">
        <f t="shared" si="475"/>
        <v>19:29:13.000</v>
      </c>
      <c r="T1372" t="str">
        <f t="shared" si="475"/>
        <v>19:29:13.000</v>
      </c>
      <c r="U1372" t="str">
        <f t="shared" si="467"/>
        <v>AC3944</v>
      </c>
      <c r="V1372">
        <v>0</v>
      </c>
      <c r="W1372">
        <v>0</v>
      </c>
      <c r="X1372">
        <v>2</v>
      </c>
      <c r="Y1372">
        <v>0</v>
      </c>
      <c r="AA1372">
        <v>1</v>
      </c>
      <c r="AB1372">
        <v>8</v>
      </c>
      <c r="AC1372">
        <v>3</v>
      </c>
      <c r="AD1372">
        <v>0</v>
      </c>
      <c r="AE1372">
        <v>9</v>
      </c>
      <c r="AF1372" t="s">
        <v>138</v>
      </c>
      <c r="AG1372">
        <v>0</v>
      </c>
      <c r="AH1372">
        <v>3</v>
      </c>
      <c r="AI1372">
        <v>1</v>
      </c>
      <c r="AJ1372">
        <v>0</v>
      </c>
      <c r="AK1372" t="s">
        <v>524</v>
      </c>
      <c r="AL1372">
        <v>32.804124000000002</v>
      </c>
      <c r="AM1372" t="s">
        <v>525</v>
      </c>
      <c r="AN1372">
        <v>-116.893845</v>
      </c>
      <c r="AO1372">
        <v>25</v>
      </c>
      <c r="AP1372">
        <v>2500</v>
      </c>
      <c r="AQ1372" t="s">
        <v>129</v>
      </c>
      <c r="AR1372">
        <v>104</v>
      </c>
      <c r="AS1372">
        <v>-51</v>
      </c>
      <c r="AT1372">
        <v>576</v>
      </c>
      <c r="BB1372">
        <v>1200</v>
      </c>
      <c r="BC1372">
        <v>1</v>
      </c>
      <c r="BD1372" t="str">
        <f t="shared" si="468"/>
        <v xml:space="preserve">N887QR  </v>
      </c>
      <c r="BE1372">
        <v>1</v>
      </c>
      <c r="BG1372">
        <v>0</v>
      </c>
      <c r="BH1372">
        <v>0</v>
      </c>
      <c r="BI1372">
        <v>0</v>
      </c>
      <c r="BJ1372">
        <v>2225</v>
      </c>
      <c r="BK1372">
        <v>-275</v>
      </c>
      <c r="BL1372" t="s">
        <v>163</v>
      </c>
      <c r="BM1372">
        <v>1</v>
      </c>
      <c r="BN1372">
        <v>1</v>
      </c>
      <c r="BO1372">
        <v>1</v>
      </c>
      <c r="BP1372">
        <v>0</v>
      </c>
      <c r="BS1372">
        <v>0</v>
      </c>
      <c r="BT1372">
        <v>0</v>
      </c>
      <c r="BU1372">
        <v>0</v>
      </c>
      <c r="CE1372" t="str">
        <f t="shared" si="476"/>
        <v>19:29:13.511</v>
      </c>
      <c r="CF1372">
        <v>511395686</v>
      </c>
      <c r="CS1372">
        <v>3</v>
      </c>
      <c r="CT1372">
        <v>2</v>
      </c>
      <c r="CU1372">
        <v>0</v>
      </c>
      <c r="CV1372">
        <v>2</v>
      </c>
      <c r="CW1372">
        <v>0</v>
      </c>
      <c r="CX1372">
        <v>6</v>
      </c>
      <c r="CY1372">
        <v>7</v>
      </c>
      <c r="CZ1372" t="s">
        <v>131</v>
      </c>
      <c r="DA1372">
        <v>300</v>
      </c>
      <c r="DB1372">
        <v>0</v>
      </c>
      <c r="DC1372" t="s">
        <v>176</v>
      </c>
      <c r="DD1372" t="s">
        <v>177</v>
      </c>
      <c r="DG1372">
        <v>5385253</v>
      </c>
      <c r="DI1372">
        <v>1</v>
      </c>
      <c r="DJ1372">
        <v>0</v>
      </c>
      <c r="DK1372">
        <v>1</v>
      </c>
      <c r="DL1372">
        <v>0</v>
      </c>
      <c r="DM1372">
        <v>0</v>
      </c>
      <c r="DN1372">
        <v>1</v>
      </c>
      <c r="DO1372">
        <v>0</v>
      </c>
      <c r="DP1372">
        <v>0</v>
      </c>
      <c r="DQ1372">
        <v>0</v>
      </c>
      <c r="DR1372">
        <v>0</v>
      </c>
      <c r="DS1372">
        <v>0</v>
      </c>
    </row>
    <row r="1373" spans="1:123" x14ac:dyDescent="0.3">
      <c r="A1373" t="str">
        <f>"10/04/2022 19:29:14.792"</f>
        <v>10/04/2022 19:29:14.792</v>
      </c>
      <c r="C1373" t="str">
        <f t="shared" si="469"/>
        <v>FFDFD3C0</v>
      </c>
      <c r="D1373" t="s">
        <v>141</v>
      </c>
      <c r="E1373">
        <v>4</v>
      </c>
      <c r="H1373">
        <v>4</v>
      </c>
      <c r="I1373" t="s">
        <v>142</v>
      </c>
      <c r="J1373" t="s">
        <v>138</v>
      </c>
      <c r="K1373">
        <v>0</v>
      </c>
      <c r="L1373">
        <v>3</v>
      </c>
      <c r="M1373">
        <v>0</v>
      </c>
      <c r="N1373">
        <v>2</v>
      </c>
      <c r="O1373">
        <v>0</v>
      </c>
      <c r="P1373">
        <v>1</v>
      </c>
      <c r="Q1373">
        <v>0</v>
      </c>
      <c r="S1373" t="str">
        <f t="shared" ref="S1373:T1379" si="477">"19:29:14.000"</f>
        <v>19:29:14.000</v>
      </c>
      <c r="T1373" t="str">
        <f t="shared" si="477"/>
        <v>19:29:14.000</v>
      </c>
      <c r="U1373" t="str">
        <f t="shared" si="467"/>
        <v>AC3944</v>
      </c>
      <c r="V1373">
        <v>0</v>
      </c>
      <c r="W1373">
        <v>0</v>
      </c>
      <c r="X1373">
        <v>2</v>
      </c>
      <c r="Y1373">
        <v>0</v>
      </c>
      <c r="AA1373">
        <v>1</v>
      </c>
      <c r="AB1373">
        <v>8</v>
      </c>
      <c r="AC1373">
        <v>3</v>
      </c>
      <c r="AD1373">
        <v>0</v>
      </c>
      <c r="AE1373">
        <v>9</v>
      </c>
      <c r="AF1373" t="s">
        <v>138</v>
      </c>
      <c r="AG1373">
        <v>0</v>
      </c>
      <c r="AH1373">
        <v>3</v>
      </c>
      <c r="AI1373">
        <v>1</v>
      </c>
      <c r="AJ1373">
        <v>0</v>
      </c>
      <c r="AK1373" t="s">
        <v>526</v>
      </c>
      <c r="AL1373">
        <v>32.803845000000003</v>
      </c>
      <c r="AM1373" t="s">
        <v>527</v>
      </c>
      <c r="AN1373">
        <v>-116.893137</v>
      </c>
      <c r="AO1373">
        <v>25</v>
      </c>
      <c r="AP1373">
        <v>2500</v>
      </c>
      <c r="AQ1373" t="s">
        <v>129</v>
      </c>
      <c r="AR1373">
        <v>103</v>
      </c>
      <c r="AS1373">
        <v>-53</v>
      </c>
      <c r="AT1373">
        <v>512</v>
      </c>
      <c r="BB1373">
        <v>1200</v>
      </c>
      <c r="BC1373">
        <v>1</v>
      </c>
      <c r="BD1373" t="str">
        <f t="shared" si="468"/>
        <v xml:space="preserve">N887QR  </v>
      </c>
      <c r="BE1373">
        <v>1</v>
      </c>
      <c r="BG1373">
        <v>0</v>
      </c>
      <c r="BH1373">
        <v>0</v>
      </c>
      <c r="BI1373">
        <v>0</v>
      </c>
      <c r="BJ1373">
        <v>2225</v>
      </c>
      <c r="BK1373">
        <v>-275</v>
      </c>
      <c r="BL1373" t="s">
        <v>163</v>
      </c>
      <c r="BM1373">
        <v>1</v>
      </c>
      <c r="BN1373">
        <v>1</v>
      </c>
      <c r="BO1373">
        <v>1</v>
      </c>
      <c r="BP1373">
        <v>0</v>
      </c>
      <c r="BS1373">
        <v>0</v>
      </c>
      <c r="BT1373">
        <v>0</v>
      </c>
      <c r="BU1373">
        <v>0</v>
      </c>
      <c r="CE1373" t="str">
        <f t="shared" ref="CE1373:CE1379" si="478">"19:29:14.528"</f>
        <v>19:29:14.528</v>
      </c>
      <c r="CF1373">
        <v>527649042</v>
      </c>
      <c r="CS1373">
        <v>3</v>
      </c>
      <c r="CT1373">
        <v>2</v>
      </c>
      <c r="CU1373">
        <v>0</v>
      </c>
      <c r="CV1373">
        <v>2</v>
      </c>
      <c r="CW1373">
        <v>0</v>
      </c>
      <c r="CX1373">
        <v>6</v>
      </c>
      <c r="CY1373">
        <v>7</v>
      </c>
      <c r="CZ1373" t="s">
        <v>131</v>
      </c>
      <c r="DA1373">
        <v>300</v>
      </c>
      <c r="DB1373">
        <v>0</v>
      </c>
      <c r="DC1373" t="s">
        <v>176</v>
      </c>
      <c r="DD1373" t="s">
        <v>177</v>
      </c>
      <c r="DG1373">
        <v>5385391</v>
      </c>
      <c r="DI1373">
        <v>0</v>
      </c>
      <c r="DJ1373">
        <v>0</v>
      </c>
      <c r="DK1373">
        <v>0</v>
      </c>
      <c r="DL1373">
        <v>0</v>
      </c>
      <c r="DM1373">
        <v>0</v>
      </c>
      <c r="DN1373">
        <v>1</v>
      </c>
      <c r="DO1373">
        <v>0</v>
      </c>
      <c r="DP1373">
        <v>0</v>
      </c>
      <c r="DQ1373">
        <v>0</v>
      </c>
      <c r="DR1373">
        <v>0</v>
      </c>
      <c r="DS1373">
        <v>0</v>
      </c>
    </row>
    <row r="1374" spans="1:123" x14ac:dyDescent="0.3">
      <c r="A1374" t="str">
        <f>"10/04/2022 19:29:14.792"</f>
        <v>10/04/2022 19:29:14.792</v>
      </c>
      <c r="C1374" t="str">
        <f t="shared" si="469"/>
        <v>FFDFD3C0</v>
      </c>
      <c r="D1374" t="s">
        <v>136</v>
      </c>
      <c r="E1374">
        <v>8</v>
      </c>
      <c r="H1374">
        <v>225</v>
      </c>
      <c r="I1374" t="s">
        <v>137</v>
      </c>
      <c r="J1374" t="s">
        <v>138</v>
      </c>
      <c r="K1374">
        <v>0</v>
      </c>
      <c r="L1374">
        <v>3</v>
      </c>
      <c r="M1374">
        <v>0</v>
      </c>
      <c r="N1374">
        <v>2</v>
      </c>
      <c r="O1374">
        <v>0</v>
      </c>
      <c r="P1374">
        <v>1</v>
      </c>
      <c r="Q1374">
        <v>0</v>
      </c>
      <c r="S1374" t="str">
        <f t="shared" si="477"/>
        <v>19:29:14.000</v>
      </c>
      <c r="T1374" t="str">
        <f t="shared" si="477"/>
        <v>19:29:14.000</v>
      </c>
      <c r="U1374" t="str">
        <f t="shared" si="467"/>
        <v>AC3944</v>
      </c>
      <c r="V1374">
        <v>0</v>
      </c>
      <c r="W1374">
        <v>0</v>
      </c>
      <c r="X1374">
        <v>2</v>
      </c>
      <c r="Y1374">
        <v>0</v>
      </c>
      <c r="AA1374">
        <v>1</v>
      </c>
      <c r="AB1374">
        <v>8</v>
      </c>
      <c r="AC1374">
        <v>3</v>
      </c>
      <c r="AD1374">
        <v>0</v>
      </c>
      <c r="AE1374">
        <v>9</v>
      </c>
      <c r="AF1374" t="s">
        <v>138</v>
      </c>
      <c r="AG1374">
        <v>0</v>
      </c>
      <c r="AH1374">
        <v>3</v>
      </c>
      <c r="AI1374">
        <v>1</v>
      </c>
      <c r="AJ1374">
        <v>0</v>
      </c>
      <c r="AK1374" t="s">
        <v>526</v>
      </c>
      <c r="AL1374">
        <v>32.803845000000003</v>
      </c>
      <c r="AM1374" t="s">
        <v>527</v>
      </c>
      <c r="AN1374">
        <v>-116.893137</v>
      </c>
      <c r="AO1374">
        <v>25</v>
      </c>
      <c r="AP1374">
        <v>2500</v>
      </c>
      <c r="AQ1374" t="s">
        <v>129</v>
      </c>
      <c r="AR1374">
        <v>103</v>
      </c>
      <c r="AS1374">
        <v>-53</v>
      </c>
      <c r="AT1374">
        <v>512</v>
      </c>
      <c r="BB1374">
        <v>1200</v>
      </c>
      <c r="BC1374">
        <v>1</v>
      </c>
      <c r="BD1374" t="str">
        <f t="shared" si="468"/>
        <v xml:space="preserve">N887QR  </v>
      </c>
      <c r="BE1374">
        <v>1</v>
      </c>
      <c r="BG1374">
        <v>0</v>
      </c>
      <c r="BH1374">
        <v>0</v>
      </c>
      <c r="BI1374">
        <v>0</v>
      </c>
      <c r="BJ1374">
        <v>2225</v>
      </c>
      <c r="BK1374">
        <v>-275</v>
      </c>
      <c r="BL1374" t="s">
        <v>163</v>
      </c>
      <c r="BM1374">
        <v>1</v>
      </c>
      <c r="BN1374">
        <v>1</v>
      </c>
      <c r="BO1374">
        <v>1</v>
      </c>
      <c r="BP1374">
        <v>0</v>
      </c>
      <c r="BS1374">
        <v>0</v>
      </c>
      <c r="BT1374">
        <v>0</v>
      </c>
      <c r="BU1374">
        <v>0</v>
      </c>
      <c r="CE1374" t="str">
        <f t="shared" si="478"/>
        <v>19:29:14.528</v>
      </c>
      <c r="CF1374">
        <v>527649042</v>
      </c>
      <c r="CS1374">
        <v>3</v>
      </c>
      <c r="CT1374">
        <v>2</v>
      </c>
      <c r="CU1374">
        <v>0</v>
      </c>
      <c r="CV1374">
        <v>2</v>
      </c>
      <c r="CW1374">
        <v>0</v>
      </c>
      <c r="CX1374">
        <v>6</v>
      </c>
      <c r="CY1374">
        <v>7</v>
      </c>
      <c r="CZ1374" t="s">
        <v>131</v>
      </c>
      <c r="DA1374">
        <v>300</v>
      </c>
      <c r="DB1374">
        <v>0</v>
      </c>
      <c r="DC1374" t="s">
        <v>176</v>
      </c>
      <c r="DD1374" t="s">
        <v>177</v>
      </c>
      <c r="DG1374">
        <v>5385391</v>
      </c>
      <c r="DI1374">
        <v>0</v>
      </c>
      <c r="DJ1374">
        <v>0</v>
      </c>
      <c r="DK1374">
        <v>1</v>
      </c>
      <c r="DL1374">
        <v>0</v>
      </c>
      <c r="DM1374">
        <v>0</v>
      </c>
      <c r="DN1374">
        <v>1</v>
      </c>
      <c r="DO1374">
        <v>0</v>
      </c>
      <c r="DP1374">
        <v>0</v>
      </c>
      <c r="DQ1374">
        <v>0</v>
      </c>
      <c r="DR1374">
        <v>0</v>
      </c>
      <c r="DS1374">
        <v>0</v>
      </c>
    </row>
    <row r="1375" spans="1:123" x14ac:dyDescent="0.3">
      <c r="A1375" t="str">
        <f>"10/04/2022 19:29:14.870"</f>
        <v>10/04/2022 19:29:14.870</v>
      </c>
      <c r="C1375" t="str">
        <f t="shared" si="469"/>
        <v>FFDFD3C0</v>
      </c>
      <c r="D1375" t="s">
        <v>143</v>
      </c>
      <c r="E1375">
        <v>20</v>
      </c>
      <c r="F1375">
        <v>1020</v>
      </c>
      <c r="G1375" t="s">
        <v>144</v>
      </c>
      <c r="J1375" t="s">
        <v>145</v>
      </c>
      <c r="K1375">
        <v>0</v>
      </c>
      <c r="L1375">
        <v>3</v>
      </c>
      <c r="M1375">
        <v>0</v>
      </c>
      <c r="N1375">
        <v>2</v>
      </c>
      <c r="O1375">
        <v>0</v>
      </c>
      <c r="P1375">
        <v>1</v>
      </c>
      <c r="Q1375">
        <v>0</v>
      </c>
      <c r="S1375" t="str">
        <f t="shared" si="477"/>
        <v>19:29:14.000</v>
      </c>
      <c r="T1375" t="str">
        <f t="shared" si="477"/>
        <v>19:29:14.000</v>
      </c>
      <c r="U1375" t="str">
        <f t="shared" si="467"/>
        <v>AC3944</v>
      </c>
      <c r="V1375">
        <v>0</v>
      </c>
      <c r="W1375">
        <v>0</v>
      </c>
      <c r="X1375">
        <v>2</v>
      </c>
      <c r="Y1375">
        <v>0</v>
      </c>
      <c r="AA1375">
        <v>1</v>
      </c>
      <c r="AB1375">
        <v>8</v>
      </c>
      <c r="AC1375">
        <v>3</v>
      </c>
      <c r="AD1375">
        <v>0</v>
      </c>
      <c r="AE1375">
        <v>9</v>
      </c>
      <c r="AF1375" t="s">
        <v>138</v>
      </c>
      <c r="AG1375">
        <v>0</v>
      </c>
      <c r="AH1375">
        <v>3</v>
      </c>
      <c r="AI1375">
        <v>1</v>
      </c>
      <c r="AJ1375">
        <v>0</v>
      </c>
      <c r="AK1375" t="s">
        <v>526</v>
      </c>
      <c r="AL1375">
        <v>32.803845000000003</v>
      </c>
      <c r="AM1375" t="s">
        <v>527</v>
      </c>
      <c r="AN1375">
        <v>-116.893137</v>
      </c>
      <c r="AO1375">
        <v>25</v>
      </c>
      <c r="AP1375">
        <v>2500</v>
      </c>
      <c r="AQ1375" t="s">
        <v>129</v>
      </c>
      <c r="AR1375">
        <v>103</v>
      </c>
      <c r="AS1375">
        <v>-53</v>
      </c>
      <c r="AT1375">
        <v>512</v>
      </c>
      <c r="BB1375">
        <v>1200</v>
      </c>
      <c r="BC1375">
        <v>1</v>
      </c>
      <c r="BD1375" t="str">
        <f t="shared" si="468"/>
        <v xml:space="preserve">N887QR  </v>
      </c>
      <c r="BE1375">
        <v>1</v>
      </c>
      <c r="BG1375">
        <v>0</v>
      </c>
      <c r="BH1375">
        <v>0</v>
      </c>
      <c r="BI1375">
        <v>0</v>
      </c>
      <c r="BJ1375">
        <v>2225</v>
      </c>
      <c r="BK1375">
        <v>-275</v>
      </c>
      <c r="BL1375" t="s">
        <v>163</v>
      </c>
      <c r="BM1375">
        <v>1</v>
      </c>
      <c r="BN1375">
        <v>1</v>
      </c>
      <c r="BO1375">
        <v>1</v>
      </c>
      <c r="BP1375">
        <v>0</v>
      </c>
      <c r="BS1375">
        <v>0</v>
      </c>
      <c r="BT1375">
        <v>0</v>
      </c>
      <c r="BU1375">
        <v>0</v>
      </c>
      <c r="CE1375" t="str">
        <f t="shared" si="478"/>
        <v>19:29:14.528</v>
      </c>
      <c r="CF1375">
        <v>527649042</v>
      </c>
      <c r="CS1375">
        <v>3</v>
      </c>
      <c r="CT1375">
        <v>2</v>
      </c>
      <c r="CU1375">
        <v>0</v>
      </c>
      <c r="CV1375">
        <v>2</v>
      </c>
      <c r="CW1375">
        <v>0</v>
      </c>
      <c r="CX1375">
        <v>6</v>
      </c>
      <c r="CY1375">
        <v>7</v>
      </c>
      <c r="CZ1375" t="s">
        <v>131</v>
      </c>
      <c r="DA1375">
        <v>300</v>
      </c>
      <c r="DB1375">
        <v>0</v>
      </c>
      <c r="DC1375" t="s">
        <v>176</v>
      </c>
      <c r="DD1375" t="s">
        <v>177</v>
      </c>
      <c r="DG1375">
        <v>5385391</v>
      </c>
      <c r="DI1375">
        <v>0</v>
      </c>
      <c r="DJ1375">
        <v>0</v>
      </c>
      <c r="DK1375">
        <v>1</v>
      </c>
      <c r="DL1375">
        <v>0</v>
      </c>
      <c r="DM1375">
        <v>0</v>
      </c>
      <c r="DN1375">
        <v>1</v>
      </c>
      <c r="DO1375">
        <v>0</v>
      </c>
      <c r="DP1375">
        <v>0</v>
      </c>
      <c r="DQ1375">
        <v>0</v>
      </c>
      <c r="DR1375">
        <v>0</v>
      </c>
      <c r="DS1375">
        <v>0</v>
      </c>
    </row>
    <row r="1376" spans="1:123" x14ac:dyDescent="0.3">
      <c r="A1376" t="str">
        <f>"10/04/2022 19:29:14.870"</f>
        <v>10/04/2022 19:29:14.870</v>
      </c>
      <c r="C1376" t="str">
        <f t="shared" si="469"/>
        <v>FFDFD3C0</v>
      </c>
      <c r="D1376" t="s">
        <v>147</v>
      </c>
      <c r="E1376">
        <v>3</v>
      </c>
      <c r="H1376">
        <v>166</v>
      </c>
      <c r="I1376" t="s">
        <v>144</v>
      </c>
      <c r="J1376" t="s">
        <v>148</v>
      </c>
      <c r="K1376">
        <v>0</v>
      </c>
      <c r="L1376">
        <v>3</v>
      </c>
      <c r="M1376">
        <v>0</v>
      </c>
      <c r="N1376">
        <v>2</v>
      </c>
      <c r="O1376">
        <v>0</v>
      </c>
      <c r="P1376">
        <v>1</v>
      </c>
      <c r="Q1376">
        <v>0</v>
      </c>
      <c r="S1376" t="str">
        <f t="shared" si="477"/>
        <v>19:29:14.000</v>
      </c>
      <c r="T1376" t="str">
        <f t="shared" si="477"/>
        <v>19:29:14.000</v>
      </c>
      <c r="U1376" t="str">
        <f t="shared" si="467"/>
        <v>AC3944</v>
      </c>
      <c r="V1376">
        <v>0</v>
      </c>
      <c r="W1376">
        <v>0</v>
      </c>
      <c r="X1376">
        <v>2</v>
      </c>
      <c r="Y1376">
        <v>0</v>
      </c>
      <c r="AA1376">
        <v>1</v>
      </c>
      <c r="AB1376">
        <v>8</v>
      </c>
      <c r="AC1376">
        <v>3</v>
      </c>
      <c r="AD1376">
        <v>0</v>
      </c>
      <c r="AE1376">
        <v>9</v>
      </c>
      <c r="AF1376" t="s">
        <v>138</v>
      </c>
      <c r="AG1376">
        <v>0</v>
      </c>
      <c r="AH1376">
        <v>3</v>
      </c>
      <c r="AI1376">
        <v>1</v>
      </c>
      <c r="AJ1376">
        <v>0</v>
      </c>
      <c r="AK1376" t="s">
        <v>526</v>
      </c>
      <c r="AL1376">
        <v>32.803845000000003</v>
      </c>
      <c r="AM1376" t="s">
        <v>527</v>
      </c>
      <c r="AN1376">
        <v>-116.893137</v>
      </c>
      <c r="AO1376">
        <v>25</v>
      </c>
      <c r="AP1376">
        <v>2500</v>
      </c>
      <c r="AQ1376" t="s">
        <v>129</v>
      </c>
      <c r="AR1376">
        <v>103</v>
      </c>
      <c r="AS1376">
        <v>-53</v>
      </c>
      <c r="AT1376">
        <v>512</v>
      </c>
      <c r="BB1376">
        <v>1200</v>
      </c>
      <c r="BC1376">
        <v>1</v>
      </c>
      <c r="BD1376" t="str">
        <f t="shared" si="468"/>
        <v xml:space="preserve">N887QR  </v>
      </c>
      <c r="BE1376">
        <v>1</v>
      </c>
      <c r="BG1376">
        <v>0</v>
      </c>
      <c r="BH1376">
        <v>0</v>
      </c>
      <c r="BI1376">
        <v>0</v>
      </c>
      <c r="BJ1376">
        <v>2225</v>
      </c>
      <c r="BK1376">
        <v>-275</v>
      </c>
      <c r="BL1376" t="s">
        <v>163</v>
      </c>
      <c r="BM1376">
        <v>1</v>
      </c>
      <c r="BN1376">
        <v>1</v>
      </c>
      <c r="BO1376">
        <v>1</v>
      </c>
      <c r="BP1376">
        <v>0</v>
      </c>
      <c r="BS1376">
        <v>0</v>
      </c>
      <c r="BT1376">
        <v>0</v>
      </c>
      <c r="BU1376">
        <v>0</v>
      </c>
      <c r="CE1376" t="str">
        <f t="shared" si="478"/>
        <v>19:29:14.528</v>
      </c>
      <c r="CF1376">
        <v>527649042</v>
      </c>
      <c r="CS1376">
        <v>3</v>
      </c>
      <c r="CT1376">
        <v>2</v>
      </c>
      <c r="CU1376">
        <v>0</v>
      </c>
      <c r="CV1376">
        <v>2</v>
      </c>
      <c r="CW1376">
        <v>0</v>
      </c>
      <c r="CX1376">
        <v>6</v>
      </c>
      <c r="CY1376">
        <v>7</v>
      </c>
      <c r="CZ1376" t="s">
        <v>131</v>
      </c>
      <c r="DA1376">
        <v>300</v>
      </c>
      <c r="DB1376">
        <v>0</v>
      </c>
      <c r="DC1376" t="s">
        <v>176</v>
      </c>
      <c r="DD1376" t="s">
        <v>177</v>
      </c>
      <c r="DG1376">
        <v>5385391</v>
      </c>
      <c r="DI1376">
        <v>0</v>
      </c>
      <c r="DJ1376">
        <v>0</v>
      </c>
      <c r="DK1376">
        <v>1</v>
      </c>
      <c r="DL1376">
        <v>0</v>
      </c>
      <c r="DM1376">
        <v>0</v>
      </c>
      <c r="DN1376">
        <v>1</v>
      </c>
      <c r="DO1376">
        <v>0</v>
      </c>
      <c r="DP1376">
        <v>0</v>
      </c>
      <c r="DQ1376">
        <v>0</v>
      </c>
      <c r="DR1376">
        <v>0</v>
      </c>
      <c r="DS1376">
        <v>0</v>
      </c>
    </row>
    <row r="1377" spans="1:123" x14ac:dyDescent="0.3">
      <c r="A1377" t="str">
        <f>"10/04/2022 19:29:14.870"</f>
        <v>10/04/2022 19:29:14.870</v>
      </c>
      <c r="C1377" t="str">
        <f t="shared" si="469"/>
        <v>FFDFD3C0</v>
      </c>
      <c r="D1377" t="s">
        <v>123</v>
      </c>
      <c r="E1377">
        <v>7</v>
      </c>
      <c r="F1377">
        <v>2007</v>
      </c>
      <c r="G1377" t="s">
        <v>124</v>
      </c>
      <c r="J1377" t="s">
        <v>125</v>
      </c>
      <c r="K1377">
        <v>0</v>
      </c>
      <c r="L1377">
        <v>3</v>
      </c>
      <c r="M1377">
        <v>0</v>
      </c>
      <c r="N1377">
        <v>2</v>
      </c>
      <c r="O1377">
        <v>0</v>
      </c>
      <c r="P1377">
        <v>1</v>
      </c>
      <c r="Q1377">
        <v>0</v>
      </c>
      <c r="S1377" t="str">
        <f t="shared" si="477"/>
        <v>19:29:14.000</v>
      </c>
      <c r="T1377" t="str">
        <f t="shared" si="477"/>
        <v>19:29:14.000</v>
      </c>
      <c r="U1377" t="str">
        <f t="shared" si="467"/>
        <v>AC3944</v>
      </c>
      <c r="V1377">
        <v>0</v>
      </c>
      <c r="W1377">
        <v>0</v>
      </c>
      <c r="X1377">
        <v>2</v>
      </c>
      <c r="Y1377">
        <v>0</v>
      </c>
      <c r="AA1377">
        <v>1</v>
      </c>
      <c r="AB1377">
        <v>8</v>
      </c>
      <c r="AC1377">
        <v>3</v>
      </c>
      <c r="AD1377">
        <v>0</v>
      </c>
      <c r="AE1377">
        <v>9</v>
      </c>
      <c r="AF1377" t="s">
        <v>138</v>
      </c>
      <c r="AG1377">
        <v>0</v>
      </c>
      <c r="AH1377">
        <v>3</v>
      </c>
      <c r="AI1377">
        <v>1</v>
      </c>
      <c r="AJ1377">
        <v>0</v>
      </c>
      <c r="AK1377" t="s">
        <v>526</v>
      </c>
      <c r="AL1377">
        <v>32.803845000000003</v>
      </c>
      <c r="AM1377" t="s">
        <v>527</v>
      </c>
      <c r="AN1377">
        <v>-116.893137</v>
      </c>
      <c r="AO1377">
        <v>25</v>
      </c>
      <c r="AP1377">
        <v>2500</v>
      </c>
      <c r="AQ1377" t="s">
        <v>129</v>
      </c>
      <c r="AR1377">
        <v>103</v>
      </c>
      <c r="AS1377">
        <v>-53</v>
      </c>
      <c r="AT1377">
        <v>512</v>
      </c>
      <c r="BB1377">
        <v>1200</v>
      </c>
      <c r="BC1377">
        <v>1</v>
      </c>
      <c r="BD1377" t="str">
        <f t="shared" si="468"/>
        <v xml:space="preserve">N887QR  </v>
      </c>
      <c r="BE1377">
        <v>1</v>
      </c>
      <c r="BG1377">
        <v>0</v>
      </c>
      <c r="BH1377">
        <v>0</v>
      </c>
      <c r="BI1377">
        <v>0</v>
      </c>
      <c r="BJ1377">
        <v>2225</v>
      </c>
      <c r="BK1377">
        <v>-275</v>
      </c>
      <c r="BL1377" t="s">
        <v>163</v>
      </c>
      <c r="BM1377">
        <v>1</v>
      </c>
      <c r="BN1377">
        <v>1</v>
      </c>
      <c r="BO1377">
        <v>1</v>
      </c>
      <c r="BP1377">
        <v>0</v>
      </c>
      <c r="BS1377">
        <v>0</v>
      </c>
      <c r="BT1377">
        <v>0</v>
      </c>
      <c r="BU1377">
        <v>0</v>
      </c>
      <c r="CE1377" t="str">
        <f t="shared" si="478"/>
        <v>19:29:14.528</v>
      </c>
      <c r="CF1377">
        <v>527649042</v>
      </c>
      <c r="CS1377">
        <v>3</v>
      </c>
      <c r="CT1377">
        <v>2</v>
      </c>
      <c r="CU1377">
        <v>0</v>
      </c>
      <c r="CV1377">
        <v>2</v>
      </c>
      <c r="CW1377">
        <v>0</v>
      </c>
      <c r="CX1377">
        <v>6</v>
      </c>
      <c r="CY1377">
        <v>7</v>
      </c>
      <c r="CZ1377" t="s">
        <v>131</v>
      </c>
      <c r="DA1377">
        <v>300</v>
      </c>
      <c r="DB1377">
        <v>0</v>
      </c>
      <c r="DC1377" t="s">
        <v>176</v>
      </c>
      <c r="DD1377" t="s">
        <v>177</v>
      </c>
      <c r="DG1377">
        <v>5385391</v>
      </c>
      <c r="DI1377">
        <v>0</v>
      </c>
      <c r="DJ1377">
        <v>0</v>
      </c>
      <c r="DK1377">
        <v>1</v>
      </c>
      <c r="DL1377">
        <v>0</v>
      </c>
      <c r="DM1377">
        <v>0</v>
      </c>
      <c r="DN1377">
        <v>1</v>
      </c>
      <c r="DO1377">
        <v>0</v>
      </c>
      <c r="DP1377">
        <v>0</v>
      </c>
      <c r="DQ1377">
        <v>0</v>
      </c>
      <c r="DR1377">
        <v>0</v>
      </c>
      <c r="DS1377">
        <v>0</v>
      </c>
    </row>
    <row r="1378" spans="1:123" x14ac:dyDescent="0.3">
      <c r="A1378" t="str">
        <f>"10/04/2022 19:29:14.870"</f>
        <v>10/04/2022 19:29:14.870</v>
      </c>
      <c r="C1378" t="str">
        <f t="shared" si="469"/>
        <v>FFDFD3C0</v>
      </c>
      <c r="D1378" t="s">
        <v>134</v>
      </c>
      <c r="E1378">
        <v>15</v>
      </c>
      <c r="J1378" t="s">
        <v>135</v>
      </c>
      <c r="K1378">
        <v>0</v>
      </c>
      <c r="L1378">
        <v>3</v>
      </c>
      <c r="M1378">
        <v>0</v>
      </c>
      <c r="N1378">
        <v>2</v>
      </c>
      <c r="O1378">
        <v>0</v>
      </c>
      <c r="P1378">
        <v>1</v>
      </c>
      <c r="Q1378">
        <v>0</v>
      </c>
      <c r="S1378" t="str">
        <f t="shared" si="477"/>
        <v>19:29:14.000</v>
      </c>
      <c r="T1378" t="str">
        <f t="shared" si="477"/>
        <v>19:29:14.000</v>
      </c>
      <c r="U1378" t="str">
        <f t="shared" si="467"/>
        <v>AC3944</v>
      </c>
      <c r="V1378">
        <v>0</v>
      </c>
      <c r="W1378">
        <v>0</v>
      </c>
      <c r="X1378">
        <v>2</v>
      </c>
      <c r="Y1378">
        <v>0</v>
      </c>
      <c r="AA1378">
        <v>1</v>
      </c>
      <c r="AB1378">
        <v>8</v>
      </c>
      <c r="AC1378">
        <v>3</v>
      </c>
      <c r="AD1378">
        <v>0</v>
      </c>
      <c r="AE1378">
        <v>9</v>
      </c>
      <c r="AF1378" t="s">
        <v>138</v>
      </c>
      <c r="AG1378">
        <v>0</v>
      </c>
      <c r="AH1378">
        <v>3</v>
      </c>
      <c r="AI1378">
        <v>1</v>
      </c>
      <c r="AJ1378">
        <v>0</v>
      </c>
      <c r="AK1378" t="s">
        <v>526</v>
      </c>
      <c r="AL1378">
        <v>32.803845000000003</v>
      </c>
      <c r="AM1378" t="s">
        <v>527</v>
      </c>
      <c r="AN1378">
        <v>-116.893137</v>
      </c>
      <c r="AO1378">
        <v>25</v>
      </c>
      <c r="AP1378">
        <v>2500</v>
      </c>
      <c r="AQ1378" t="s">
        <v>129</v>
      </c>
      <c r="AR1378">
        <v>103</v>
      </c>
      <c r="AS1378">
        <v>-53</v>
      </c>
      <c r="AT1378">
        <v>512</v>
      </c>
      <c r="BB1378">
        <v>1200</v>
      </c>
      <c r="BC1378">
        <v>1</v>
      </c>
      <c r="BD1378" t="str">
        <f t="shared" si="468"/>
        <v xml:space="preserve">N887QR  </v>
      </c>
      <c r="BE1378">
        <v>1</v>
      </c>
      <c r="BG1378">
        <v>0</v>
      </c>
      <c r="BH1378">
        <v>0</v>
      </c>
      <c r="BI1378">
        <v>0</v>
      </c>
      <c r="BJ1378">
        <v>2225</v>
      </c>
      <c r="BK1378">
        <v>-275</v>
      </c>
      <c r="BL1378" t="s">
        <v>163</v>
      </c>
      <c r="BM1378">
        <v>1</v>
      </c>
      <c r="BN1378">
        <v>1</v>
      </c>
      <c r="BO1378">
        <v>1</v>
      </c>
      <c r="BP1378">
        <v>0</v>
      </c>
      <c r="BS1378">
        <v>0</v>
      </c>
      <c r="BT1378">
        <v>0</v>
      </c>
      <c r="BU1378">
        <v>0</v>
      </c>
      <c r="CE1378" t="str">
        <f t="shared" si="478"/>
        <v>19:29:14.528</v>
      </c>
      <c r="CF1378">
        <v>527649042</v>
      </c>
      <c r="CS1378">
        <v>3</v>
      </c>
      <c r="CT1378">
        <v>2</v>
      </c>
      <c r="CU1378">
        <v>0</v>
      </c>
      <c r="CV1378">
        <v>2</v>
      </c>
      <c r="CW1378">
        <v>0</v>
      </c>
      <c r="CX1378">
        <v>6</v>
      </c>
      <c r="CY1378">
        <v>7</v>
      </c>
      <c r="CZ1378" t="s">
        <v>131</v>
      </c>
      <c r="DA1378">
        <v>300</v>
      </c>
      <c r="DB1378">
        <v>0</v>
      </c>
      <c r="DC1378" t="s">
        <v>176</v>
      </c>
      <c r="DD1378" t="s">
        <v>177</v>
      </c>
      <c r="DG1378">
        <v>5385391</v>
      </c>
      <c r="DI1378">
        <v>0</v>
      </c>
      <c r="DJ1378">
        <v>0</v>
      </c>
      <c r="DK1378">
        <v>1</v>
      </c>
      <c r="DL1378">
        <v>0</v>
      </c>
      <c r="DM1378">
        <v>0</v>
      </c>
      <c r="DN1378">
        <v>1</v>
      </c>
      <c r="DO1378">
        <v>0</v>
      </c>
      <c r="DP1378">
        <v>0</v>
      </c>
      <c r="DQ1378">
        <v>0</v>
      </c>
      <c r="DR1378">
        <v>0</v>
      </c>
      <c r="DS1378">
        <v>0</v>
      </c>
    </row>
    <row r="1379" spans="1:123" x14ac:dyDescent="0.3">
      <c r="A1379" t="str">
        <f>"10/04/2022 19:29:14.870"</f>
        <v>10/04/2022 19:29:14.870</v>
      </c>
      <c r="C1379" t="str">
        <f t="shared" si="469"/>
        <v>FFDFD3C0</v>
      </c>
      <c r="D1379" t="s">
        <v>141</v>
      </c>
      <c r="E1379">
        <v>3</v>
      </c>
      <c r="H1379">
        <v>3</v>
      </c>
      <c r="I1379" t="s">
        <v>146</v>
      </c>
      <c r="J1379" t="s">
        <v>138</v>
      </c>
      <c r="K1379">
        <v>0</v>
      </c>
      <c r="L1379">
        <v>3</v>
      </c>
      <c r="M1379">
        <v>0</v>
      </c>
      <c r="N1379">
        <v>2</v>
      </c>
      <c r="O1379">
        <v>0</v>
      </c>
      <c r="P1379">
        <v>1</v>
      </c>
      <c r="Q1379">
        <v>0</v>
      </c>
      <c r="S1379" t="str">
        <f t="shared" si="477"/>
        <v>19:29:14.000</v>
      </c>
      <c r="T1379" t="str">
        <f t="shared" si="477"/>
        <v>19:29:14.000</v>
      </c>
      <c r="U1379" t="str">
        <f t="shared" si="467"/>
        <v>AC3944</v>
      </c>
      <c r="V1379">
        <v>0</v>
      </c>
      <c r="W1379">
        <v>0</v>
      </c>
      <c r="X1379">
        <v>2</v>
      </c>
      <c r="Y1379">
        <v>0</v>
      </c>
      <c r="AA1379">
        <v>1</v>
      </c>
      <c r="AB1379">
        <v>8</v>
      </c>
      <c r="AC1379">
        <v>3</v>
      </c>
      <c r="AD1379">
        <v>0</v>
      </c>
      <c r="AE1379">
        <v>9</v>
      </c>
      <c r="AF1379" t="s">
        <v>138</v>
      </c>
      <c r="AG1379">
        <v>0</v>
      </c>
      <c r="AH1379">
        <v>3</v>
      </c>
      <c r="AI1379">
        <v>1</v>
      </c>
      <c r="AJ1379">
        <v>0</v>
      </c>
      <c r="AK1379" t="s">
        <v>526</v>
      </c>
      <c r="AL1379">
        <v>32.803845000000003</v>
      </c>
      <c r="AM1379" t="s">
        <v>527</v>
      </c>
      <c r="AN1379">
        <v>-116.893137</v>
      </c>
      <c r="AO1379">
        <v>25</v>
      </c>
      <c r="AP1379">
        <v>2500</v>
      </c>
      <c r="AQ1379" t="s">
        <v>129</v>
      </c>
      <c r="AR1379">
        <v>103</v>
      </c>
      <c r="AS1379">
        <v>-53</v>
      </c>
      <c r="AT1379">
        <v>512</v>
      </c>
      <c r="BB1379">
        <v>1200</v>
      </c>
      <c r="BC1379">
        <v>1</v>
      </c>
      <c r="BD1379" t="str">
        <f t="shared" si="468"/>
        <v xml:space="preserve">N887QR  </v>
      </c>
      <c r="BE1379">
        <v>1</v>
      </c>
      <c r="BG1379">
        <v>0</v>
      </c>
      <c r="BH1379">
        <v>0</v>
      </c>
      <c r="BI1379">
        <v>0</v>
      </c>
      <c r="BJ1379">
        <v>2225</v>
      </c>
      <c r="BK1379">
        <v>-275</v>
      </c>
      <c r="BL1379" t="s">
        <v>163</v>
      </c>
      <c r="BM1379">
        <v>1</v>
      </c>
      <c r="BN1379">
        <v>1</v>
      </c>
      <c r="BO1379">
        <v>1</v>
      </c>
      <c r="BP1379">
        <v>0</v>
      </c>
      <c r="BS1379">
        <v>0</v>
      </c>
      <c r="BT1379">
        <v>0</v>
      </c>
      <c r="BU1379">
        <v>0</v>
      </c>
      <c r="CE1379" t="str">
        <f t="shared" si="478"/>
        <v>19:29:14.528</v>
      </c>
      <c r="CF1379">
        <v>527649042</v>
      </c>
      <c r="CS1379">
        <v>3</v>
      </c>
      <c r="CT1379">
        <v>2</v>
      </c>
      <c r="CU1379">
        <v>0</v>
      </c>
      <c r="CV1379">
        <v>2</v>
      </c>
      <c r="CW1379">
        <v>0</v>
      </c>
      <c r="CX1379">
        <v>6</v>
      </c>
      <c r="CY1379">
        <v>7</v>
      </c>
      <c r="CZ1379" t="s">
        <v>131</v>
      </c>
      <c r="DA1379">
        <v>300</v>
      </c>
      <c r="DB1379">
        <v>0</v>
      </c>
      <c r="DC1379" t="s">
        <v>176</v>
      </c>
      <c r="DD1379" t="s">
        <v>177</v>
      </c>
      <c r="DG1379">
        <v>5385391</v>
      </c>
      <c r="DI1379">
        <v>0</v>
      </c>
      <c r="DJ1379">
        <v>0</v>
      </c>
      <c r="DK1379">
        <v>1</v>
      </c>
      <c r="DL1379">
        <v>0</v>
      </c>
      <c r="DM1379">
        <v>0</v>
      </c>
      <c r="DN1379">
        <v>1</v>
      </c>
      <c r="DO1379">
        <v>0</v>
      </c>
      <c r="DP1379">
        <v>0</v>
      </c>
      <c r="DQ1379">
        <v>0</v>
      </c>
      <c r="DR1379">
        <v>0</v>
      </c>
      <c r="DS1379">
        <v>0</v>
      </c>
    </row>
    <row r="1380" spans="1:123" x14ac:dyDescent="0.3">
      <c r="A1380" t="str">
        <f>"10/04/2022 19:29:15.401"</f>
        <v>10/04/2022 19:29:15.401</v>
      </c>
      <c r="C1380" t="str">
        <f t="shared" si="469"/>
        <v>FFDFD3C0</v>
      </c>
      <c r="D1380" t="s">
        <v>147</v>
      </c>
      <c r="E1380">
        <v>3</v>
      </c>
      <c r="H1380">
        <v>166</v>
      </c>
      <c r="I1380" t="s">
        <v>144</v>
      </c>
      <c r="J1380" t="s">
        <v>148</v>
      </c>
      <c r="K1380">
        <v>0</v>
      </c>
      <c r="L1380">
        <v>3</v>
      </c>
      <c r="M1380">
        <v>0</v>
      </c>
      <c r="N1380">
        <v>2</v>
      </c>
      <c r="O1380">
        <v>0</v>
      </c>
      <c r="P1380">
        <v>1</v>
      </c>
      <c r="Q1380">
        <v>0</v>
      </c>
      <c r="S1380" t="str">
        <f t="shared" ref="S1380:T1393" si="479">"19:29:15.000"</f>
        <v>19:29:15.000</v>
      </c>
      <c r="T1380" t="str">
        <f t="shared" si="479"/>
        <v>19:29:15.000</v>
      </c>
      <c r="U1380" t="str">
        <f t="shared" si="467"/>
        <v>AC3944</v>
      </c>
      <c r="V1380">
        <v>0</v>
      </c>
      <c r="W1380">
        <v>0</v>
      </c>
      <c r="X1380">
        <v>2</v>
      </c>
      <c r="Y1380">
        <v>0</v>
      </c>
      <c r="AA1380">
        <v>1</v>
      </c>
      <c r="AB1380">
        <v>8</v>
      </c>
      <c r="AC1380">
        <v>3</v>
      </c>
      <c r="AD1380">
        <v>0</v>
      </c>
      <c r="AE1380">
        <v>9</v>
      </c>
      <c r="AF1380" t="s">
        <v>138</v>
      </c>
      <c r="AG1380">
        <v>0</v>
      </c>
      <c r="AH1380">
        <v>3</v>
      </c>
      <c r="AI1380">
        <v>1</v>
      </c>
      <c r="AJ1380">
        <v>0</v>
      </c>
      <c r="AK1380" t="s">
        <v>528</v>
      </c>
      <c r="AL1380">
        <v>32.803587999999998</v>
      </c>
      <c r="AM1380" t="s">
        <v>529</v>
      </c>
      <c r="AN1380">
        <v>-116.892557</v>
      </c>
      <c r="AO1380">
        <v>25</v>
      </c>
      <c r="AP1380">
        <v>2500</v>
      </c>
      <c r="AQ1380" t="s">
        <v>129</v>
      </c>
      <c r="AR1380">
        <v>102</v>
      </c>
      <c r="AS1380">
        <v>-54</v>
      </c>
      <c r="AT1380">
        <v>512</v>
      </c>
      <c r="BB1380">
        <v>1200</v>
      </c>
      <c r="BC1380">
        <v>1</v>
      </c>
      <c r="BD1380" t="str">
        <f t="shared" si="468"/>
        <v xml:space="preserve">N887QR  </v>
      </c>
      <c r="BE1380">
        <v>1</v>
      </c>
      <c r="BG1380">
        <v>0</v>
      </c>
      <c r="BH1380">
        <v>0</v>
      </c>
      <c r="BI1380">
        <v>0</v>
      </c>
      <c r="BJ1380">
        <v>2225</v>
      </c>
      <c r="BK1380">
        <v>-275</v>
      </c>
      <c r="BL1380" t="s">
        <v>163</v>
      </c>
      <c r="BM1380">
        <v>1</v>
      </c>
      <c r="BN1380">
        <v>1</v>
      </c>
      <c r="BO1380">
        <v>1</v>
      </c>
      <c r="BP1380">
        <v>0</v>
      </c>
      <c r="BS1380">
        <v>0</v>
      </c>
      <c r="BT1380">
        <v>0</v>
      </c>
      <c r="BU1380">
        <v>0</v>
      </c>
      <c r="CE1380" t="str">
        <f t="shared" ref="CE1380:CE1386" si="480">"19:29:15.165"</f>
        <v>19:29:15.165</v>
      </c>
      <c r="CF1380">
        <v>165151174</v>
      </c>
      <c r="CS1380">
        <v>3</v>
      </c>
      <c r="CT1380">
        <v>2</v>
      </c>
      <c r="CU1380">
        <v>0</v>
      </c>
      <c r="CV1380">
        <v>2</v>
      </c>
      <c r="CW1380">
        <v>0</v>
      </c>
      <c r="CX1380">
        <v>6</v>
      </c>
      <c r="CY1380">
        <v>7</v>
      </c>
      <c r="CZ1380" t="s">
        <v>131</v>
      </c>
      <c r="DA1380">
        <v>300</v>
      </c>
      <c r="DB1380">
        <v>0</v>
      </c>
      <c r="DC1380" t="s">
        <v>176</v>
      </c>
      <c r="DD1380" t="s">
        <v>177</v>
      </c>
      <c r="DG1380">
        <v>5385485</v>
      </c>
      <c r="DI1380">
        <v>0</v>
      </c>
      <c r="DJ1380">
        <v>0</v>
      </c>
      <c r="DK1380">
        <v>0</v>
      </c>
      <c r="DL1380">
        <v>0</v>
      </c>
      <c r="DM1380">
        <v>0</v>
      </c>
      <c r="DN1380">
        <v>1</v>
      </c>
      <c r="DO1380">
        <v>0</v>
      </c>
      <c r="DP1380">
        <v>0</v>
      </c>
      <c r="DQ1380">
        <v>0</v>
      </c>
      <c r="DR1380">
        <v>0</v>
      </c>
      <c r="DS1380">
        <v>0</v>
      </c>
    </row>
    <row r="1381" spans="1:123" x14ac:dyDescent="0.3">
      <c r="A1381" t="str">
        <f>"10/04/2022 19:29:15.401"</f>
        <v>10/04/2022 19:29:15.401</v>
      </c>
      <c r="C1381" t="str">
        <f t="shared" si="469"/>
        <v>FFDFD3C0</v>
      </c>
      <c r="D1381" t="s">
        <v>123</v>
      </c>
      <c r="E1381">
        <v>7</v>
      </c>
      <c r="F1381">
        <v>2007</v>
      </c>
      <c r="G1381" t="s">
        <v>124</v>
      </c>
      <c r="J1381" t="s">
        <v>125</v>
      </c>
      <c r="K1381">
        <v>0</v>
      </c>
      <c r="L1381">
        <v>3</v>
      </c>
      <c r="M1381">
        <v>0</v>
      </c>
      <c r="N1381">
        <v>2</v>
      </c>
      <c r="O1381">
        <v>0</v>
      </c>
      <c r="P1381">
        <v>1</v>
      </c>
      <c r="Q1381">
        <v>0</v>
      </c>
      <c r="S1381" t="str">
        <f t="shared" si="479"/>
        <v>19:29:15.000</v>
      </c>
      <c r="T1381" t="str">
        <f t="shared" si="479"/>
        <v>19:29:15.000</v>
      </c>
      <c r="U1381" t="str">
        <f t="shared" si="467"/>
        <v>AC3944</v>
      </c>
      <c r="V1381">
        <v>0</v>
      </c>
      <c r="W1381">
        <v>0</v>
      </c>
      <c r="X1381">
        <v>2</v>
      </c>
      <c r="Y1381">
        <v>0</v>
      </c>
      <c r="AA1381">
        <v>1</v>
      </c>
      <c r="AB1381">
        <v>8</v>
      </c>
      <c r="AC1381">
        <v>3</v>
      </c>
      <c r="AD1381">
        <v>0</v>
      </c>
      <c r="AE1381">
        <v>9</v>
      </c>
      <c r="AF1381" t="s">
        <v>138</v>
      </c>
      <c r="AG1381">
        <v>0</v>
      </c>
      <c r="AH1381">
        <v>3</v>
      </c>
      <c r="AI1381">
        <v>1</v>
      </c>
      <c r="AJ1381">
        <v>0</v>
      </c>
      <c r="AK1381" t="s">
        <v>528</v>
      </c>
      <c r="AL1381">
        <v>32.803587999999998</v>
      </c>
      <c r="AM1381" t="s">
        <v>529</v>
      </c>
      <c r="AN1381">
        <v>-116.892557</v>
      </c>
      <c r="AO1381">
        <v>25</v>
      </c>
      <c r="AP1381">
        <v>2500</v>
      </c>
      <c r="AQ1381" t="s">
        <v>129</v>
      </c>
      <c r="AR1381">
        <v>102</v>
      </c>
      <c r="AS1381">
        <v>-54</v>
      </c>
      <c r="AT1381">
        <v>512</v>
      </c>
      <c r="BB1381">
        <v>1200</v>
      </c>
      <c r="BC1381">
        <v>1</v>
      </c>
      <c r="BD1381" t="str">
        <f t="shared" si="468"/>
        <v xml:space="preserve">N887QR  </v>
      </c>
      <c r="BE1381">
        <v>1</v>
      </c>
      <c r="BG1381">
        <v>0</v>
      </c>
      <c r="BH1381">
        <v>0</v>
      </c>
      <c r="BI1381">
        <v>0</v>
      </c>
      <c r="BJ1381">
        <v>2225</v>
      </c>
      <c r="BK1381">
        <v>-275</v>
      </c>
      <c r="BL1381" t="s">
        <v>163</v>
      </c>
      <c r="BM1381">
        <v>1</v>
      </c>
      <c r="BN1381">
        <v>1</v>
      </c>
      <c r="BO1381">
        <v>1</v>
      </c>
      <c r="BP1381">
        <v>0</v>
      </c>
      <c r="BS1381">
        <v>0</v>
      </c>
      <c r="BT1381">
        <v>0</v>
      </c>
      <c r="BU1381">
        <v>0</v>
      </c>
      <c r="CE1381" t="str">
        <f t="shared" si="480"/>
        <v>19:29:15.165</v>
      </c>
      <c r="CF1381">
        <v>165151174</v>
      </c>
      <c r="CS1381">
        <v>3</v>
      </c>
      <c r="CT1381">
        <v>2</v>
      </c>
      <c r="CU1381">
        <v>0</v>
      </c>
      <c r="CV1381">
        <v>2</v>
      </c>
      <c r="CW1381">
        <v>0</v>
      </c>
      <c r="CX1381">
        <v>6</v>
      </c>
      <c r="CY1381">
        <v>7</v>
      </c>
      <c r="CZ1381" t="s">
        <v>131</v>
      </c>
      <c r="DA1381">
        <v>300</v>
      </c>
      <c r="DB1381">
        <v>0</v>
      </c>
      <c r="DC1381" t="s">
        <v>176</v>
      </c>
      <c r="DD1381" t="s">
        <v>177</v>
      </c>
      <c r="DG1381">
        <v>5385485</v>
      </c>
      <c r="DI1381">
        <v>0</v>
      </c>
      <c r="DJ1381">
        <v>0</v>
      </c>
      <c r="DK1381">
        <v>1</v>
      </c>
      <c r="DL1381">
        <v>0</v>
      </c>
      <c r="DM1381">
        <v>0</v>
      </c>
      <c r="DN1381">
        <v>1</v>
      </c>
      <c r="DO1381">
        <v>0</v>
      </c>
      <c r="DP1381">
        <v>0</v>
      </c>
      <c r="DQ1381">
        <v>0</v>
      </c>
      <c r="DR1381">
        <v>0</v>
      </c>
      <c r="DS1381">
        <v>0</v>
      </c>
    </row>
    <row r="1382" spans="1:123" x14ac:dyDescent="0.3">
      <c r="A1382" t="str">
        <f>"10/04/2022 19:29:15.417"</f>
        <v>10/04/2022 19:29:15.417</v>
      </c>
      <c r="C1382" t="str">
        <f t="shared" si="469"/>
        <v>FFDFD3C0</v>
      </c>
      <c r="D1382" t="s">
        <v>134</v>
      </c>
      <c r="E1382">
        <v>15</v>
      </c>
      <c r="J1382" t="s">
        <v>135</v>
      </c>
      <c r="K1382">
        <v>0</v>
      </c>
      <c r="L1382">
        <v>3</v>
      </c>
      <c r="M1382">
        <v>0</v>
      </c>
      <c r="N1382">
        <v>2</v>
      </c>
      <c r="O1382">
        <v>0</v>
      </c>
      <c r="P1382">
        <v>1</v>
      </c>
      <c r="Q1382">
        <v>0</v>
      </c>
      <c r="S1382" t="str">
        <f t="shared" si="479"/>
        <v>19:29:15.000</v>
      </c>
      <c r="T1382" t="str">
        <f t="shared" si="479"/>
        <v>19:29:15.000</v>
      </c>
      <c r="U1382" t="str">
        <f t="shared" si="467"/>
        <v>AC3944</v>
      </c>
      <c r="V1382">
        <v>0</v>
      </c>
      <c r="W1382">
        <v>0</v>
      </c>
      <c r="X1382">
        <v>2</v>
      </c>
      <c r="Y1382">
        <v>0</v>
      </c>
      <c r="AA1382">
        <v>1</v>
      </c>
      <c r="AB1382">
        <v>8</v>
      </c>
      <c r="AC1382">
        <v>3</v>
      </c>
      <c r="AD1382">
        <v>0</v>
      </c>
      <c r="AE1382">
        <v>9</v>
      </c>
      <c r="AF1382" t="s">
        <v>138</v>
      </c>
      <c r="AG1382">
        <v>0</v>
      </c>
      <c r="AH1382">
        <v>3</v>
      </c>
      <c r="AI1382">
        <v>1</v>
      </c>
      <c r="AJ1382">
        <v>0</v>
      </c>
      <c r="AK1382" t="s">
        <v>528</v>
      </c>
      <c r="AL1382">
        <v>32.803587999999998</v>
      </c>
      <c r="AM1382" t="s">
        <v>529</v>
      </c>
      <c r="AN1382">
        <v>-116.892557</v>
      </c>
      <c r="AO1382">
        <v>25</v>
      </c>
      <c r="AP1382">
        <v>2500</v>
      </c>
      <c r="AQ1382" t="s">
        <v>129</v>
      </c>
      <c r="AR1382">
        <v>102</v>
      </c>
      <c r="AS1382">
        <v>-54</v>
      </c>
      <c r="AT1382">
        <v>512</v>
      </c>
      <c r="BB1382">
        <v>1200</v>
      </c>
      <c r="BC1382">
        <v>1</v>
      </c>
      <c r="BD1382" t="str">
        <f t="shared" si="468"/>
        <v xml:space="preserve">N887QR  </v>
      </c>
      <c r="BE1382">
        <v>1</v>
      </c>
      <c r="BG1382">
        <v>0</v>
      </c>
      <c r="BH1382">
        <v>0</v>
      </c>
      <c r="BI1382">
        <v>0</v>
      </c>
      <c r="BJ1382">
        <v>2225</v>
      </c>
      <c r="BK1382">
        <v>-275</v>
      </c>
      <c r="BL1382" t="s">
        <v>163</v>
      </c>
      <c r="BM1382">
        <v>1</v>
      </c>
      <c r="BN1382">
        <v>1</v>
      </c>
      <c r="BO1382">
        <v>1</v>
      </c>
      <c r="BP1382">
        <v>0</v>
      </c>
      <c r="BS1382">
        <v>0</v>
      </c>
      <c r="BT1382">
        <v>0</v>
      </c>
      <c r="BU1382">
        <v>0</v>
      </c>
      <c r="CE1382" t="str">
        <f t="shared" si="480"/>
        <v>19:29:15.165</v>
      </c>
      <c r="CF1382">
        <v>165151174</v>
      </c>
      <c r="CS1382">
        <v>3</v>
      </c>
      <c r="CT1382">
        <v>2</v>
      </c>
      <c r="CU1382">
        <v>0</v>
      </c>
      <c r="CV1382">
        <v>2</v>
      </c>
      <c r="CW1382">
        <v>0</v>
      </c>
      <c r="CX1382">
        <v>6</v>
      </c>
      <c r="CY1382">
        <v>7</v>
      </c>
      <c r="CZ1382" t="s">
        <v>131</v>
      </c>
      <c r="DA1382">
        <v>300</v>
      </c>
      <c r="DB1382">
        <v>0</v>
      </c>
      <c r="DC1382" t="s">
        <v>176</v>
      </c>
      <c r="DD1382" t="s">
        <v>177</v>
      </c>
      <c r="DG1382">
        <v>5385485</v>
      </c>
      <c r="DI1382">
        <v>0</v>
      </c>
      <c r="DJ1382">
        <v>0</v>
      </c>
      <c r="DK1382">
        <v>1</v>
      </c>
      <c r="DL1382">
        <v>0</v>
      </c>
      <c r="DM1382">
        <v>0</v>
      </c>
      <c r="DN1382">
        <v>1</v>
      </c>
      <c r="DO1382">
        <v>0</v>
      </c>
      <c r="DP1382">
        <v>0</v>
      </c>
      <c r="DQ1382">
        <v>0</v>
      </c>
      <c r="DR1382">
        <v>0</v>
      </c>
      <c r="DS1382">
        <v>0</v>
      </c>
    </row>
    <row r="1383" spans="1:123" x14ac:dyDescent="0.3">
      <c r="A1383" t="str">
        <f>"10/04/2022 19:29:15.417"</f>
        <v>10/04/2022 19:29:15.417</v>
      </c>
      <c r="C1383" t="str">
        <f t="shared" si="469"/>
        <v>FFDFD3C0</v>
      </c>
      <c r="D1383" t="s">
        <v>141</v>
      </c>
      <c r="E1383">
        <v>3</v>
      </c>
      <c r="H1383">
        <v>3</v>
      </c>
      <c r="I1383" t="s">
        <v>146</v>
      </c>
      <c r="J1383" t="s">
        <v>138</v>
      </c>
      <c r="K1383">
        <v>0</v>
      </c>
      <c r="L1383">
        <v>3</v>
      </c>
      <c r="M1383">
        <v>0</v>
      </c>
      <c r="N1383">
        <v>2</v>
      </c>
      <c r="O1383">
        <v>0</v>
      </c>
      <c r="P1383">
        <v>1</v>
      </c>
      <c r="Q1383">
        <v>0</v>
      </c>
      <c r="S1383" t="str">
        <f t="shared" si="479"/>
        <v>19:29:15.000</v>
      </c>
      <c r="T1383" t="str">
        <f t="shared" si="479"/>
        <v>19:29:15.000</v>
      </c>
      <c r="U1383" t="str">
        <f t="shared" si="467"/>
        <v>AC3944</v>
      </c>
      <c r="V1383">
        <v>0</v>
      </c>
      <c r="W1383">
        <v>0</v>
      </c>
      <c r="X1383">
        <v>2</v>
      </c>
      <c r="Y1383">
        <v>0</v>
      </c>
      <c r="AA1383">
        <v>1</v>
      </c>
      <c r="AB1383">
        <v>8</v>
      </c>
      <c r="AC1383">
        <v>3</v>
      </c>
      <c r="AD1383">
        <v>0</v>
      </c>
      <c r="AE1383">
        <v>9</v>
      </c>
      <c r="AF1383" t="s">
        <v>138</v>
      </c>
      <c r="AG1383">
        <v>0</v>
      </c>
      <c r="AH1383">
        <v>3</v>
      </c>
      <c r="AI1383">
        <v>1</v>
      </c>
      <c r="AJ1383">
        <v>0</v>
      </c>
      <c r="AK1383" t="s">
        <v>528</v>
      </c>
      <c r="AL1383">
        <v>32.803587999999998</v>
      </c>
      <c r="AM1383" t="s">
        <v>529</v>
      </c>
      <c r="AN1383">
        <v>-116.892557</v>
      </c>
      <c r="AO1383">
        <v>25</v>
      </c>
      <c r="AP1383">
        <v>2500</v>
      </c>
      <c r="AQ1383" t="s">
        <v>129</v>
      </c>
      <c r="AR1383">
        <v>102</v>
      </c>
      <c r="AS1383">
        <v>-54</v>
      </c>
      <c r="AT1383">
        <v>512</v>
      </c>
      <c r="BB1383">
        <v>1200</v>
      </c>
      <c r="BC1383">
        <v>1</v>
      </c>
      <c r="BD1383" t="str">
        <f t="shared" si="468"/>
        <v xml:space="preserve">N887QR  </v>
      </c>
      <c r="BE1383">
        <v>1</v>
      </c>
      <c r="BG1383">
        <v>0</v>
      </c>
      <c r="BH1383">
        <v>0</v>
      </c>
      <c r="BI1383">
        <v>0</v>
      </c>
      <c r="BJ1383">
        <v>2225</v>
      </c>
      <c r="BK1383">
        <v>-275</v>
      </c>
      <c r="BL1383" t="s">
        <v>163</v>
      </c>
      <c r="BM1383">
        <v>1</v>
      </c>
      <c r="BN1383">
        <v>1</v>
      </c>
      <c r="BO1383">
        <v>1</v>
      </c>
      <c r="BP1383">
        <v>0</v>
      </c>
      <c r="BS1383">
        <v>0</v>
      </c>
      <c r="BT1383">
        <v>0</v>
      </c>
      <c r="BU1383">
        <v>0</v>
      </c>
      <c r="CE1383" t="str">
        <f t="shared" si="480"/>
        <v>19:29:15.165</v>
      </c>
      <c r="CF1383">
        <v>165151174</v>
      </c>
      <c r="CS1383">
        <v>3</v>
      </c>
      <c r="CT1383">
        <v>2</v>
      </c>
      <c r="CU1383">
        <v>0</v>
      </c>
      <c r="CV1383">
        <v>2</v>
      </c>
      <c r="CW1383">
        <v>0</v>
      </c>
      <c r="CX1383">
        <v>6</v>
      </c>
      <c r="CY1383">
        <v>7</v>
      </c>
      <c r="CZ1383" t="s">
        <v>131</v>
      </c>
      <c r="DA1383">
        <v>300</v>
      </c>
      <c r="DB1383">
        <v>0</v>
      </c>
      <c r="DC1383" t="s">
        <v>176</v>
      </c>
      <c r="DD1383" t="s">
        <v>177</v>
      </c>
      <c r="DG1383">
        <v>5385485</v>
      </c>
      <c r="DI1383">
        <v>0</v>
      </c>
      <c r="DJ1383">
        <v>0</v>
      </c>
      <c r="DK1383">
        <v>1</v>
      </c>
      <c r="DL1383">
        <v>0</v>
      </c>
      <c r="DM1383">
        <v>0</v>
      </c>
      <c r="DN1383">
        <v>1</v>
      </c>
      <c r="DO1383">
        <v>0</v>
      </c>
      <c r="DP1383">
        <v>0</v>
      </c>
      <c r="DQ1383">
        <v>0</v>
      </c>
      <c r="DR1383">
        <v>0</v>
      </c>
      <c r="DS1383">
        <v>0</v>
      </c>
    </row>
    <row r="1384" spans="1:123" x14ac:dyDescent="0.3">
      <c r="A1384" t="str">
        <f>"10/04/2022 19:29:15.417"</f>
        <v>10/04/2022 19:29:15.417</v>
      </c>
      <c r="C1384" t="str">
        <f t="shared" ref="C1384:C1415" si="481">"FFDFD3C0"</f>
        <v>FFDFD3C0</v>
      </c>
      <c r="D1384" t="s">
        <v>141</v>
      </c>
      <c r="E1384">
        <v>4</v>
      </c>
      <c r="H1384">
        <v>4</v>
      </c>
      <c r="I1384" t="s">
        <v>142</v>
      </c>
      <c r="J1384" t="s">
        <v>138</v>
      </c>
      <c r="K1384">
        <v>0</v>
      </c>
      <c r="L1384">
        <v>3</v>
      </c>
      <c r="M1384">
        <v>0</v>
      </c>
      <c r="N1384">
        <v>2</v>
      </c>
      <c r="O1384">
        <v>0</v>
      </c>
      <c r="P1384">
        <v>1</v>
      </c>
      <c r="Q1384">
        <v>0</v>
      </c>
      <c r="S1384" t="str">
        <f t="shared" si="479"/>
        <v>19:29:15.000</v>
      </c>
      <c r="T1384" t="str">
        <f t="shared" si="479"/>
        <v>19:29:15.000</v>
      </c>
      <c r="U1384" t="str">
        <f t="shared" si="467"/>
        <v>AC3944</v>
      </c>
      <c r="V1384">
        <v>0</v>
      </c>
      <c r="W1384">
        <v>0</v>
      </c>
      <c r="X1384">
        <v>2</v>
      </c>
      <c r="Y1384">
        <v>0</v>
      </c>
      <c r="AA1384">
        <v>1</v>
      </c>
      <c r="AB1384">
        <v>8</v>
      </c>
      <c r="AC1384">
        <v>3</v>
      </c>
      <c r="AD1384">
        <v>0</v>
      </c>
      <c r="AE1384">
        <v>9</v>
      </c>
      <c r="AF1384" t="s">
        <v>138</v>
      </c>
      <c r="AG1384">
        <v>0</v>
      </c>
      <c r="AH1384">
        <v>3</v>
      </c>
      <c r="AI1384">
        <v>1</v>
      </c>
      <c r="AJ1384">
        <v>0</v>
      </c>
      <c r="AK1384" t="s">
        <v>528</v>
      </c>
      <c r="AL1384">
        <v>32.803587999999998</v>
      </c>
      <c r="AM1384" t="s">
        <v>529</v>
      </c>
      <c r="AN1384">
        <v>-116.892557</v>
      </c>
      <c r="AO1384">
        <v>25</v>
      </c>
      <c r="AP1384">
        <v>2500</v>
      </c>
      <c r="AQ1384" t="s">
        <v>129</v>
      </c>
      <c r="AR1384">
        <v>102</v>
      </c>
      <c r="AS1384">
        <v>-54</v>
      </c>
      <c r="AT1384">
        <v>512</v>
      </c>
      <c r="BB1384">
        <v>1200</v>
      </c>
      <c r="BC1384">
        <v>1</v>
      </c>
      <c r="BD1384" t="str">
        <f t="shared" si="468"/>
        <v xml:space="preserve">N887QR  </v>
      </c>
      <c r="BE1384">
        <v>1</v>
      </c>
      <c r="BG1384">
        <v>0</v>
      </c>
      <c r="BH1384">
        <v>0</v>
      </c>
      <c r="BI1384">
        <v>0</v>
      </c>
      <c r="BJ1384">
        <v>2225</v>
      </c>
      <c r="BK1384">
        <v>-275</v>
      </c>
      <c r="BL1384" t="s">
        <v>163</v>
      </c>
      <c r="BM1384">
        <v>1</v>
      </c>
      <c r="BN1384">
        <v>1</v>
      </c>
      <c r="BO1384">
        <v>1</v>
      </c>
      <c r="BP1384">
        <v>0</v>
      </c>
      <c r="BS1384">
        <v>0</v>
      </c>
      <c r="BT1384">
        <v>0</v>
      </c>
      <c r="BU1384">
        <v>0</v>
      </c>
      <c r="CE1384" t="str">
        <f t="shared" si="480"/>
        <v>19:29:15.165</v>
      </c>
      <c r="CF1384">
        <v>165151174</v>
      </c>
      <c r="CS1384">
        <v>3</v>
      </c>
      <c r="CT1384">
        <v>2</v>
      </c>
      <c r="CU1384">
        <v>0</v>
      </c>
      <c r="CV1384">
        <v>2</v>
      </c>
      <c r="CW1384">
        <v>0</v>
      </c>
      <c r="CX1384">
        <v>6</v>
      </c>
      <c r="CY1384">
        <v>7</v>
      </c>
      <c r="CZ1384" t="s">
        <v>131</v>
      </c>
      <c r="DA1384">
        <v>300</v>
      </c>
      <c r="DB1384">
        <v>0</v>
      </c>
      <c r="DC1384" t="s">
        <v>176</v>
      </c>
      <c r="DD1384" t="s">
        <v>177</v>
      </c>
      <c r="DG1384">
        <v>5385485</v>
      </c>
      <c r="DI1384">
        <v>0</v>
      </c>
      <c r="DJ1384">
        <v>0</v>
      </c>
      <c r="DK1384">
        <v>1</v>
      </c>
      <c r="DL1384">
        <v>0</v>
      </c>
      <c r="DM1384">
        <v>0</v>
      </c>
      <c r="DN1384">
        <v>1</v>
      </c>
      <c r="DO1384">
        <v>0</v>
      </c>
      <c r="DP1384">
        <v>0</v>
      </c>
      <c r="DQ1384">
        <v>0</v>
      </c>
      <c r="DR1384">
        <v>0</v>
      </c>
      <c r="DS1384">
        <v>0</v>
      </c>
    </row>
    <row r="1385" spans="1:123" x14ac:dyDescent="0.3">
      <c r="A1385" t="str">
        <f>"10/04/2022 19:29:15.417"</f>
        <v>10/04/2022 19:29:15.417</v>
      </c>
      <c r="C1385" t="str">
        <f t="shared" si="481"/>
        <v>FFDFD3C0</v>
      </c>
      <c r="D1385" t="s">
        <v>136</v>
      </c>
      <c r="E1385">
        <v>8</v>
      </c>
      <c r="H1385">
        <v>225</v>
      </c>
      <c r="I1385" t="s">
        <v>137</v>
      </c>
      <c r="J1385" t="s">
        <v>138</v>
      </c>
      <c r="K1385">
        <v>0</v>
      </c>
      <c r="L1385">
        <v>3</v>
      </c>
      <c r="M1385">
        <v>0</v>
      </c>
      <c r="N1385">
        <v>2</v>
      </c>
      <c r="O1385">
        <v>0</v>
      </c>
      <c r="P1385">
        <v>1</v>
      </c>
      <c r="Q1385">
        <v>0</v>
      </c>
      <c r="S1385" t="str">
        <f t="shared" si="479"/>
        <v>19:29:15.000</v>
      </c>
      <c r="T1385" t="str">
        <f t="shared" si="479"/>
        <v>19:29:15.000</v>
      </c>
      <c r="U1385" t="str">
        <f t="shared" si="467"/>
        <v>AC3944</v>
      </c>
      <c r="V1385">
        <v>0</v>
      </c>
      <c r="W1385">
        <v>0</v>
      </c>
      <c r="X1385">
        <v>2</v>
      </c>
      <c r="Y1385">
        <v>0</v>
      </c>
      <c r="AA1385">
        <v>1</v>
      </c>
      <c r="AB1385">
        <v>8</v>
      </c>
      <c r="AC1385">
        <v>3</v>
      </c>
      <c r="AD1385">
        <v>0</v>
      </c>
      <c r="AE1385">
        <v>9</v>
      </c>
      <c r="AF1385" t="s">
        <v>138</v>
      </c>
      <c r="AG1385">
        <v>0</v>
      </c>
      <c r="AH1385">
        <v>3</v>
      </c>
      <c r="AI1385">
        <v>1</v>
      </c>
      <c r="AJ1385">
        <v>0</v>
      </c>
      <c r="AK1385" t="s">
        <v>528</v>
      </c>
      <c r="AL1385">
        <v>32.803587999999998</v>
      </c>
      <c r="AM1385" t="s">
        <v>529</v>
      </c>
      <c r="AN1385">
        <v>-116.892557</v>
      </c>
      <c r="AO1385">
        <v>25</v>
      </c>
      <c r="AP1385">
        <v>2500</v>
      </c>
      <c r="AQ1385" t="s">
        <v>129</v>
      </c>
      <c r="AR1385">
        <v>102</v>
      </c>
      <c r="AS1385">
        <v>-54</v>
      </c>
      <c r="AT1385">
        <v>512</v>
      </c>
      <c r="BB1385">
        <v>1200</v>
      </c>
      <c r="BC1385">
        <v>1</v>
      </c>
      <c r="BD1385" t="str">
        <f t="shared" si="468"/>
        <v xml:space="preserve">N887QR  </v>
      </c>
      <c r="BE1385">
        <v>1</v>
      </c>
      <c r="BG1385">
        <v>0</v>
      </c>
      <c r="BH1385">
        <v>0</v>
      </c>
      <c r="BI1385">
        <v>0</v>
      </c>
      <c r="BJ1385">
        <v>2225</v>
      </c>
      <c r="BK1385">
        <v>-275</v>
      </c>
      <c r="BL1385" t="s">
        <v>163</v>
      </c>
      <c r="BM1385">
        <v>1</v>
      </c>
      <c r="BN1385">
        <v>1</v>
      </c>
      <c r="BO1385">
        <v>1</v>
      </c>
      <c r="BP1385">
        <v>0</v>
      </c>
      <c r="BS1385">
        <v>0</v>
      </c>
      <c r="BT1385">
        <v>0</v>
      </c>
      <c r="BU1385">
        <v>0</v>
      </c>
      <c r="CE1385" t="str">
        <f t="shared" si="480"/>
        <v>19:29:15.165</v>
      </c>
      <c r="CF1385">
        <v>165151174</v>
      </c>
      <c r="CS1385">
        <v>3</v>
      </c>
      <c r="CT1385">
        <v>2</v>
      </c>
      <c r="CU1385">
        <v>0</v>
      </c>
      <c r="CV1385">
        <v>2</v>
      </c>
      <c r="CW1385">
        <v>0</v>
      </c>
      <c r="CX1385">
        <v>6</v>
      </c>
      <c r="CY1385">
        <v>7</v>
      </c>
      <c r="CZ1385" t="s">
        <v>131</v>
      </c>
      <c r="DA1385">
        <v>300</v>
      </c>
      <c r="DB1385">
        <v>0</v>
      </c>
      <c r="DC1385" t="s">
        <v>176</v>
      </c>
      <c r="DD1385" t="s">
        <v>177</v>
      </c>
      <c r="DG1385">
        <v>5385485</v>
      </c>
      <c r="DI1385">
        <v>0</v>
      </c>
      <c r="DJ1385">
        <v>0</v>
      </c>
      <c r="DK1385">
        <v>1</v>
      </c>
      <c r="DL1385">
        <v>0</v>
      </c>
      <c r="DM1385">
        <v>0</v>
      </c>
      <c r="DN1385">
        <v>1</v>
      </c>
      <c r="DO1385">
        <v>0</v>
      </c>
      <c r="DP1385">
        <v>0</v>
      </c>
      <c r="DQ1385">
        <v>0</v>
      </c>
      <c r="DR1385">
        <v>0</v>
      </c>
      <c r="DS1385">
        <v>0</v>
      </c>
    </row>
    <row r="1386" spans="1:123" x14ac:dyDescent="0.3">
      <c r="A1386" t="str">
        <f>"10/04/2022 19:29:15.417"</f>
        <v>10/04/2022 19:29:15.417</v>
      </c>
      <c r="C1386" t="str">
        <f t="shared" si="481"/>
        <v>FFDFD3C0</v>
      </c>
      <c r="D1386" t="s">
        <v>143</v>
      </c>
      <c r="E1386">
        <v>20</v>
      </c>
      <c r="F1386">
        <v>1020</v>
      </c>
      <c r="G1386" t="s">
        <v>144</v>
      </c>
      <c r="J1386" t="s">
        <v>145</v>
      </c>
      <c r="K1386">
        <v>0</v>
      </c>
      <c r="L1386">
        <v>3</v>
      </c>
      <c r="M1386">
        <v>0</v>
      </c>
      <c r="N1386">
        <v>2</v>
      </c>
      <c r="O1386">
        <v>0</v>
      </c>
      <c r="P1386">
        <v>1</v>
      </c>
      <c r="Q1386">
        <v>0</v>
      </c>
      <c r="S1386" t="str">
        <f t="shared" si="479"/>
        <v>19:29:15.000</v>
      </c>
      <c r="T1386" t="str">
        <f t="shared" si="479"/>
        <v>19:29:15.000</v>
      </c>
      <c r="U1386" t="str">
        <f t="shared" si="467"/>
        <v>AC3944</v>
      </c>
      <c r="V1386">
        <v>0</v>
      </c>
      <c r="W1386">
        <v>0</v>
      </c>
      <c r="X1386">
        <v>2</v>
      </c>
      <c r="Y1386">
        <v>0</v>
      </c>
      <c r="AA1386">
        <v>1</v>
      </c>
      <c r="AB1386">
        <v>8</v>
      </c>
      <c r="AC1386">
        <v>3</v>
      </c>
      <c r="AD1386">
        <v>0</v>
      </c>
      <c r="AE1386">
        <v>9</v>
      </c>
      <c r="AF1386" t="s">
        <v>138</v>
      </c>
      <c r="AG1386">
        <v>0</v>
      </c>
      <c r="AH1386">
        <v>3</v>
      </c>
      <c r="AI1386">
        <v>1</v>
      </c>
      <c r="AJ1386">
        <v>0</v>
      </c>
      <c r="AK1386" t="s">
        <v>528</v>
      </c>
      <c r="AL1386">
        <v>32.803587999999998</v>
      </c>
      <c r="AM1386" t="s">
        <v>529</v>
      </c>
      <c r="AN1386">
        <v>-116.892557</v>
      </c>
      <c r="AO1386">
        <v>25</v>
      </c>
      <c r="AP1386">
        <v>2500</v>
      </c>
      <c r="AQ1386" t="s">
        <v>129</v>
      </c>
      <c r="AR1386">
        <v>102</v>
      </c>
      <c r="AS1386">
        <v>-54</v>
      </c>
      <c r="AT1386">
        <v>512</v>
      </c>
      <c r="BB1386">
        <v>1200</v>
      </c>
      <c r="BC1386">
        <v>1</v>
      </c>
      <c r="BD1386" t="str">
        <f t="shared" si="468"/>
        <v xml:space="preserve">N887QR  </v>
      </c>
      <c r="BE1386">
        <v>1</v>
      </c>
      <c r="BG1386">
        <v>0</v>
      </c>
      <c r="BH1386">
        <v>0</v>
      </c>
      <c r="BI1386">
        <v>0</v>
      </c>
      <c r="BJ1386">
        <v>2225</v>
      </c>
      <c r="BK1386">
        <v>-275</v>
      </c>
      <c r="BL1386" t="s">
        <v>163</v>
      </c>
      <c r="BM1386">
        <v>1</v>
      </c>
      <c r="BN1386">
        <v>1</v>
      </c>
      <c r="BO1386">
        <v>1</v>
      </c>
      <c r="BP1386">
        <v>0</v>
      </c>
      <c r="BS1386">
        <v>0</v>
      </c>
      <c r="BT1386">
        <v>0</v>
      </c>
      <c r="BU1386">
        <v>0</v>
      </c>
      <c r="CE1386" t="str">
        <f t="shared" si="480"/>
        <v>19:29:15.165</v>
      </c>
      <c r="CF1386">
        <v>165151174</v>
      </c>
      <c r="CS1386">
        <v>3</v>
      </c>
      <c r="CT1386">
        <v>2</v>
      </c>
      <c r="CU1386">
        <v>0</v>
      </c>
      <c r="CV1386">
        <v>2</v>
      </c>
      <c r="CW1386">
        <v>0</v>
      </c>
      <c r="CX1386">
        <v>6</v>
      </c>
      <c r="CY1386">
        <v>7</v>
      </c>
      <c r="CZ1386" t="s">
        <v>131</v>
      </c>
      <c r="DA1386">
        <v>300</v>
      </c>
      <c r="DB1386">
        <v>0</v>
      </c>
      <c r="DC1386" t="s">
        <v>176</v>
      </c>
      <c r="DD1386" t="s">
        <v>177</v>
      </c>
      <c r="DG1386">
        <v>5385485</v>
      </c>
      <c r="DI1386">
        <v>0</v>
      </c>
      <c r="DJ1386">
        <v>0</v>
      </c>
      <c r="DK1386">
        <v>1</v>
      </c>
      <c r="DL1386">
        <v>0</v>
      </c>
      <c r="DM1386">
        <v>0</v>
      </c>
      <c r="DN1386">
        <v>1</v>
      </c>
      <c r="DO1386">
        <v>0</v>
      </c>
      <c r="DP1386">
        <v>0</v>
      </c>
      <c r="DQ1386">
        <v>0</v>
      </c>
      <c r="DR1386">
        <v>0</v>
      </c>
      <c r="DS1386">
        <v>0</v>
      </c>
    </row>
    <row r="1387" spans="1:123" x14ac:dyDescent="0.3">
      <c r="A1387" t="str">
        <f t="shared" ref="A1387:A1393" si="482">"10/04/2022 19:29:16.214"</f>
        <v>10/04/2022 19:29:16.214</v>
      </c>
      <c r="C1387" t="str">
        <f t="shared" si="481"/>
        <v>FFDFD3C0</v>
      </c>
      <c r="D1387" t="s">
        <v>143</v>
      </c>
      <c r="E1387">
        <v>20</v>
      </c>
      <c r="F1387">
        <v>1020</v>
      </c>
      <c r="G1387" t="s">
        <v>144</v>
      </c>
      <c r="J1387" t="s">
        <v>145</v>
      </c>
      <c r="K1387">
        <v>0</v>
      </c>
      <c r="L1387">
        <v>3</v>
      </c>
      <c r="M1387">
        <v>0</v>
      </c>
      <c r="N1387">
        <v>2</v>
      </c>
      <c r="O1387">
        <v>0</v>
      </c>
      <c r="P1387">
        <v>1</v>
      </c>
      <c r="Q1387">
        <v>0</v>
      </c>
      <c r="S1387" t="str">
        <f t="shared" si="479"/>
        <v>19:29:15.000</v>
      </c>
      <c r="T1387" t="str">
        <f t="shared" si="479"/>
        <v>19:29:15.000</v>
      </c>
      <c r="U1387" t="str">
        <f t="shared" si="467"/>
        <v>AC3944</v>
      </c>
      <c r="V1387">
        <v>0</v>
      </c>
      <c r="W1387">
        <v>0</v>
      </c>
      <c r="X1387">
        <v>2</v>
      </c>
      <c r="Y1387">
        <v>0</v>
      </c>
      <c r="AA1387">
        <v>1</v>
      </c>
      <c r="AB1387">
        <v>8</v>
      </c>
      <c r="AC1387">
        <v>3</v>
      </c>
      <c r="AD1387">
        <v>0</v>
      </c>
      <c r="AE1387">
        <v>9</v>
      </c>
      <c r="AF1387" t="s">
        <v>138</v>
      </c>
      <c r="AG1387">
        <v>0</v>
      </c>
      <c r="AH1387">
        <v>3</v>
      </c>
      <c r="AI1387">
        <v>1</v>
      </c>
      <c r="AJ1387">
        <v>0</v>
      </c>
      <c r="AK1387" t="s">
        <v>530</v>
      </c>
      <c r="AL1387">
        <v>32.803351999999997</v>
      </c>
      <c r="AM1387" t="s">
        <v>531</v>
      </c>
      <c r="AN1387">
        <v>-116.891999</v>
      </c>
      <c r="AO1387">
        <v>25</v>
      </c>
      <c r="AP1387">
        <v>2500</v>
      </c>
      <c r="AQ1387" t="s">
        <v>129</v>
      </c>
      <c r="AR1387">
        <v>102</v>
      </c>
      <c r="AS1387">
        <v>-55</v>
      </c>
      <c r="AT1387">
        <v>512</v>
      </c>
      <c r="BB1387">
        <v>1200</v>
      </c>
      <c r="BC1387">
        <v>1</v>
      </c>
      <c r="BD1387" t="str">
        <f t="shared" si="468"/>
        <v xml:space="preserve">N887QR  </v>
      </c>
      <c r="BE1387">
        <v>1</v>
      </c>
      <c r="BG1387">
        <v>0</v>
      </c>
      <c r="BH1387">
        <v>0</v>
      </c>
      <c r="BI1387">
        <v>0</v>
      </c>
      <c r="BJ1387">
        <v>2225</v>
      </c>
      <c r="BK1387">
        <v>-275</v>
      </c>
      <c r="BL1387" t="s">
        <v>163</v>
      </c>
      <c r="BM1387">
        <v>1</v>
      </c>
      <c r="BN1387">
        <v>1</v>
      </c>
      <c r="BO1387">
        <v>1</v>
      </c>
      <c r="BP1387">
        <v>0</v>
      </c>
      <c r="BS1387">
        <v>0</v>
      </c>
      <c r="BT1387">
        <v>0</v>
      </c>
      <c r="BU1387">
        <v>0</v>
      </c>
      <c r="CE1387" t="str">
        <f t="shared" ref="CE1387:CE1393" si="483">"19:29:15.995"</f>
        <v>19:29:15.995</v>
      </c>
      <c r="CF1387">
        <v>994653932</v>
      </c>
      <c r="CS1387">
        <v>3</v>
      </c>
      <c r="CT1387">
        <v>2</v>
      </c>
      <c r="CU1387">
        <v>0</v>
      </c>
      <c r="CV1387">
        <v>2</v>
      </c>
      <c r="CW1387">
        <v>0</v>
      </c>
      <c r="CX1387">
        <v>6</v>
      </c>
      <c r="CY1387">
        <v>7</v>
      </c>
      <c r="CZ1387" t="s">
        <v>131</v>
      </c>
      <c r="DA1387">
        <v>300</v>
      </c>
      <c r="DB1387">
        <v>0</v>
      </c>
      <c r="DC1387" t="s">
        <v>176</v>
      </c>
      <c r="DD1387" t="s">
        <v>177</v>
      </c>
      <c r="DG1387">
        <v>5385608</v>
      </c>
      <c r="DI1387">
        <v>0</v>
      </c>
      <c r="DJ1387">
        <v>0</v>
      </c>
      <c r="DK1387">
        <v>0</v>
      </c>
      <c r="DL1387">
        <v>0</v>
      </c>
      <c r="DM1387">
        <v>0</v>
      </c>
      <c r="DN1387">
        <v>1</v>
      </c>
      <c r="DO1387">
        <v>0</v>
      </c>
      <c r="DP1387">
        <v>0</v>
      </c>
      <c r="DQ1387">
        <v>0</v>
      </c>
      <c r="DR1387">
        <v>0</v>
      </c>
      <c r="DS1387">
        <v>0</v>
      </c>
    </row>
    <row r="1388" spans="1:123" x14ac:dyDescent="0.3">
      <c r="A1388" t="str">
        <f t="shared" si="482"/>
        <v>10/04/2022 19:29:16.214</v>
      </c>
      <c r="C1388" t="str">
        <f t="shared" si="481"/>
        <v>FFDFD3C0</v>
      </c>
      <c r="D1388" t="s">
        <v>123</v>
      </c>
      <c r="E1388">
        <v>7</v>
      </c>
      <c r="F1388">
        <v>2007</v>
      </c>
      <c r="G1388" t="s">
        <v>124</v>
      </c>
      <c r="J1388" t="s">
        <v>125</v>
      </c>
      <c r="K1388">
        <v>0</v>
      </c>
      <c r="L1388">
        <v>3</v>
      </c>
      <c r="M1388">
        <v>0</v>
      </c>
      <c r="N1388">
        <v>2</v>
      </c>
      <c r="O1388">
        <v>0</v>
      </c>
      <c r="P1388">
        <v>1</v>
      </c>
      <c r="Q1388">
        <v>0</v>
      </c>
      <c r="S1388" t="str">
        <f t="shared" si="479"/>
        <v>19:29:15.000</v>
      </c>
      <c r="T1388" t="str">
        <f t="shared" si="479"/>
        <v>19:29:15.000</v>
      </c>
      <c r="U1388" t="str">
        <f t="shared" si="467"/>
        <v>AC3944</v>
      </c>
      <c r="V1388">
        <v>0</v>
      </c>
      <c r="W1388">
        <v>0</v>
      </c>
      <c r="X1388">
        <v>2</v>
      </c>
      <c r="Y1388">
        <v>0</v>
      </c>
      <c r="AA1388">
        <v>1</v>
      </c>
      <c r="AB1388">
        <v>8</v>
      </c>
      <c r="AC1388">
        <v>3</v>
      </c>
      <c r="AD1388">
        <v>0</v>
      </c>
      <c r="AE1388">
        <v>9</v>
      </c>
      <c r="AF1388" t="s">
        <v>138</v>
      </c>
      <c r="AG1388">
        <v>0</v>
      </c>
      <c r="AH1388">
        <v>3</v>
      </c>
      <c r="AI1388">
        <v>1</v>
      </c>
      <c r="AJ1388">
        <v>0</v>
      </c>
      <c r="AK1388" t="s">
        <v>530</v>
      </c>
      <c r="AL1388">
        <v>32.803351999999997</v>
      </c>
      <c r="AM1388" t="s">
        <v>531</v>
      </c>
      <c r="AN1388">
        <v>-116.891999</v>
      </c>
      <c r="AO1388">
        <v>25</v>
      </c>
      <c r="AP1388">
        <v>2500</v>
      </c>
      <c r="AQ1388" t="s">
        <v>129</v>
      </c>
      <c r="AR1388">
        <v>102</v>
      </c>
      <c r="AS1388">
        <v>-55</v>
      </c>
      <c r="AT1388">
        <v>512</v>
      </c>
      <c r="BB1388">
        <v>1200</v>
      </c>
      <c r="BC1388">
        <v>1</v>
      </c>
      <c r="BD1388" t="str">
        <f t="shared" si="468"/>
        <v xml:space="preserve">N887QR  </v>
      </c>
      <c r="BE1388">
        <v>1</v>
      </c>
      <c r="BG1388">
        <v>0</v>
      </c>
      <c r="BH1388">
        <v>0</v>
      </c>
      <c r="BI1388">
        <v>0</v>
      </c>
      <c r="BJ1388">
        <v>2225</v>
      </c>
      <c r="BK1388">
        <v>-275</v>
      </c>
      <c r="BL1388" t="s">
        <v>163</v>
      </c>
      <c r="BM1388">
        <v>1</v>
      </c>
      <c r="BN1388">
        <v>1</v>
      </c>
      <c r="BO1388">
        <v>1</v>
      </c>
      <c r="BP1388">
        <v>0</v>
      </c>
      <c r="BS1388">
        <v>0</v>
      </c>
      <c r="BT1388">
        <v>0</v>
      </c>
      <c r="BU1388">
        <v>0</v>
      </c>
      <c r="CE1388" t="str">
        <f t="shared" si="483"/>
        <v>19:29:15.995</v>
      </c>
      <c r="CF1388">
        <v>994653932</v>
      </c>
      <c r="CS1388">
        <v>3</v>
      </c>
      <c r="CT1388">
        <v>2</v>
      </c>
      <c r="CU1388">
        <v>0</v>
      </c>
      <c r="CV1388">
        <v>2</v>
      </c>
      <c r="CW1388">
        <v>0</v>
      </c>
      <c r="CX1388">
        <v>6</v>
      </c>
      <c r="CY1388">
        <v>7</v>
      </c>
      <c r="CZ1388" t="s">
        <v>131</v>
      </c>
      <c r="DA1388">
        <v>300</v>
      </c>
      <c r="DB1388">
        <v>0</v>
      </c>
      <c r="DC1388" t="s">
        <v>176</v>
      </c>
      <c r="DD1388" t="s">
        <v>177</v>
      </c>
      <c r="DG1388">
        <v>5385608</v>
      </c>
      <c r="DI1388">
        <v>0</v>
      </c>
      <c r="DJ1388">
        <v>0</v>
      </c>
      <c r="DK1388">
        <v>1</v>
      </c>
      <c r="DL1388">
        <v>0</v>
      </c>
      <c r="DM1388">
        <v>0</v>
      </c>
      <c r="DN1388">
        <v>1</v>
      </c>
      <c r="DO1388">
        <v>0</v>
      </c>
      <c r="DP1388">
        <v>0</v>
      </c>
      <c r="DQ1388">
        <v>0</v>
      </c>
      <c r="DR1388">
        <v>0</v>
      </c>
      <c r="DS1388">
        <v>0</v>
      </c>
    </row>
    <row r="1389" spans="1:123" x14ac:dyDescent="0.3">
      <c r="A1389" t="str">
        <f t="shared" si="482"/>
        <v>10/04/2022 19:29:16.214</v>
      </c>
      <c r="C1389" t="str">
        <f t="shared" si="481"/>
        <v>FFDFD3C0</v>
      </c>
      <c r="D1389" t="s">
        <v>147</v>
      </c>
      <c r="E1389">
        <v>3</v>
      </c>
      <c r="H1389">
        <v>166</v>
      </c>
      <c r="I1389" t="s">
        <v>144</v>
      </c>
      <c r="J1389" t="s">
        <v>148</v>
      </c>
      <c r="K1389">
        <v>0</v>
      </c>
      <c r="L1389">
        <v>3</v>
      </c>
      <c r="M1389">
        <v>0</v>
      </c>
      <c r="N1389">
        <v>2</v>
      </c>
      <c r="O1389">
        <v>0</v>
      </c>
      <c r="P1389">
        <v>1</v>
      </c>
      <c r="Q1389">
        <v>0</v>
      </c>
      <c r="S1389" t="str">
        <f t="shared" si="479"/>
        <v>19:29:15.000</v>
      </c>
      <c r="T1389" t="str">
        <f t="shared" si="479"/>
        <v>19:29:15.000</v>
      </c>
      <c r="U1389" t="str">
        <f t="shared" si="467"/>
        <v>AC3944</v>
      </c>
      <c r="V1389">
        <v>0</v>
      </c>
      <c r="W1389">
        <v>0</v>
      </c>
      <c r="X1389">
        <v>2</v>
      </c>
      <c r="Y1389">
        <v>0</v>
      </c>
      <c r="AA1389">
        <v>1</v>
      </c>
      <c r="AB1389">
        <v>8</v>
      </c>
      <c r="AC1389">
        <v>3</v>
      </c>
      <c r="AD1389">
        <v>0</v>
      </c>
      <c r="AE1389">
        <v>9</v>
      </c>
      <c r="AF1389" t="s">
        <v>138</v>
      </c>
      <c r="AG1389">
        <v>0</v>
      </c>
      <c r="AH1389">
        <v>3</v>
      </c>
      <c r="AI1389">
        <v>1</v>
      </c>
      <c r="AJ1389">
        <v>0</v>
      </c>
      <c r="AK1389" t="s">
        <v>530</v>
      </c>
      <c r="AL1389">
        <v>32.803351999999997</v>
      </c>
      <c r="AM1389" t="s">
        <v>531</v>
      </c>
      <c r="AN1389">
        <v>-116.891999</v>
      </c>
      <c r="AO1389">
        <v>25</v>
      </c>
      <c r="AP1389">
        <v>2500</v>
      </c>
      <c r="AQ1389" t="s">
        <v>129</v>
      </c>
      <c r="AR1389">
        <v>102</v>
      </c>
      <c r="AS1389">
        <v>-55</v>
      </c>
      <c r="AT1389">
        <v>512</v>
      </c>
      <c r="BB1389">
        <v>1200</v>
      </c>
      <c r="BC1389">
        <v>1</v>
      </c>
      <c r="BD1389" t="str">
        <f t="shared" si="468"/>
        <v xml:space="preserve">N887QR  </v>
      </c>
      <c r="BE1389">
        <v>1</v>
      </c>
      <c r="BG1389">
        <v>0</v>
      </c>
      <c r="BH1389">
        <v>0</v>
      </c>
      <c r="BI1389">
        <v>0</v>
      </c>
      <c r="BJ1389">
        <v>2225</v>
      </c>
      <c r="BK1389">
        <v>-275</v>
      </c>
      <c r="BL1389" t="s">
        <v>163</v>
      </c>
      <c r="BM1389">
        <v>1</v>
      </c>
      <c r="BN1389">
        <v>1</v>
      </c>
      <c r="BO1389">
        <v>1</v>
      </c>
      <c r="BP1389">
        <v>0</v>
      </c>
      <c r="BS1389">
        <v>0</v>
      </c>
      <c r="BT1389">
        <v>0</v>
      </c>
      <c r="BU1389">
        <v>0</v>
      </c>
      <c r="CE1389" t="str">
        <f t="shared" si="483"/>
        <v>19:29:15.995</v>
      </c>
      <c r="CF1389">
        <v>994653932</v>
      </c>
      <c r="CS1389">
        <v>3</v>
      </c>
      <c r="CT1389">
        <v>2</v>
      </c>
      <c r="CU1389">
        <v>0</v>
      </c>
      <c r="CV1389">
        <v>2</v>
      </c>
      <c r="CW1389">
        <v>0</v>
      </c>
      <c r="CX1389">
        <v>6</v>
      </c>
      <c r="CY1389">
        <v>7</v>
      </c>
      <c r="CZ1389" t="s">
        <v>131</v>
      </c>
      <c r="DA1389">
        <v>300</v>
      </c>
      <c r="DB1389">
        <v>0</v>
      </c>
      <c r="DC1389" t="s">
        <v>176</v>
      </c>
      <c r="DD1389" t="s">
        <v>177</v>
      </c>
      <c r="DG1389">
        <v>5385608</v>
      </c>
      <c r="DI1389">
        <v>0</v>
      </c>
      <c r="DJ1389">
        <v>0</v>
      </c>
      <c r="DK1389">
        <v>1</v>
      </c>
      <c r="DL1389">
        <v>0</v>
      </c>
      <c r="DM1389">
        <v>0</v>
      </c>
      <c r="DN1389">
        <v>1</v>
      </c>
      <c r="DO1389">
        <v>0</v>
      </c>
      <c r="DP1389">
        <v>0</v>
      </c>
      <c r="DQ1389">
        <v>0</v>
      </c>
      <c r="DR1389">
        <v>0</v>
      </c>
      <c r="DS1389">
        <v>0</v>
      </c>
    </row>
    <row r="1390" spans="1:123" x14ac:dyDescent="0.3">
      <c r="A1390" t="str">
        <f t="shared" si="482"/>
        <v>10/04/2022 19:29:16.214</v>
      </c>
      <c r="C1390" t="str">
        <f t="shared" si="481"/>
        <v>FFDFD3C0</v>
      </c>
      <c r="D1390" t="s">
        <v>134</v>
      </c>
      <c r="E1390">
        <v>15</v>
      </c>
      <c r="J1390" t="s">
        <v>135</v>
      </c>
      <c r="K1390">
        <v>0</v>
      </c>
      <c r="L1390">
        <v>3</v>
      </c>
      <c r="M1390">
        <v>0</v>
      </c>
      <c r="N1390">
        <v>2</v>
      </c>
      <c r="O1390">
        <v>0</v>
      </c>
      <c r="P1390">
        <v>1</v>
      </c>
      <c r="Q1390">
        <v>0</v>
      </c>
      <c r="S1390" t="str">
        <f t="shared" si="479"/>
        <v>19:29:15.000</v>
      </c>
      <c r="T1390" t="str">
        <f t="shared" si="479"/>
        <v>19:29:15.000</v>
      </c>
      <c r="U1390" t="str">
        <f t="shared" si="467"/>
        <v>AC3944</v>
      </c>
      <c r="V1390">
        <v>0</v>
      </c>
      <c r="W1390">
        <v>0</v>
      </c>
      <c r="X1390">
        <v>2</v>
      </c>
      <c r="Y1390">
        <v>0</v>
      </c>
      <c r="AA1390">
        <v>1</v>
      </c>
      <c r="AB1390">
        <v>8</v>
      </c>
      <c r="AC1390">
        <v>3</v>
      </c>
      <c r="AD1390">
        <v>0</v>
      </c>
      <c r="AE1390">
        <v>9</v>
      </c>
      <c r="AF1390" t="s">
        <v>138</v>
      </c>
      <c r="AG1390">
        <v>0</v>
      </c>
      <c r="AH1390">
        <v>3</v>
      </c>
      <c r="AI1390">
        <v>1</v>
      </c>
      <c r="AJ1390">
        <v>0</v>
      </c>
      <c r="AK1390" t="s">
        <v>530</v>
      </c>
      <c r="AL1390">
        <v>32.803351999999997</v>
      </c>
      <c r="AM1390" t="s">
        <v>531</v>
      </c>
      <c r="AN1390">
        <v>-116.891999</v>
      </c>
      <c r="AO1390">
        <v>25</v>
      </c>
      <c r="AP1390">
        <v>2500</v>
      </c>
      <c r="AQ1390" t="s">
        <v>129</v>
      </c>
      <c r="AR1390">
        <v>102</v>
      </c>
      <c r="AS1390">
        <v>-55</v>
      </c>
      <c r="AT1390">
        <v>512</v>
      </c>
      <c r="BB1390">
        <v>1200</v>
      </c>
      <c r="BC1390">
        <v>1</v>
      </c>
      <c r="BD1390" t="str">
        <f t="shared" si="468"/>
        <v xml:space="preserve">N887QR  </v>
      </c>
      <c r="BE1390">
        <v>1</v>
      </c>
      <c r="BG1390">
        <v>0</v>
      </c>
      <c r="BH1390">
        <v>0</v>
      </c>
      <c r="BI1390">
        <v>0</v>
      </c>
      <c r="BJ1390">
        <v>2225</v>
      </c>
      <c r="BK1390">
        <v>-275</v>
      </c>
      <c r="BL1390" t="s">
        <v>163</v>
      </c>
      <c r="BM1390">
        <v>1</v>
      </c>
      <c r="BN1390">
        <v>1</v>
      </c>
      <c r="BO1390">
        <v>1</v>
      </c>
      <c r="BP1390">
        <v>0</v>
      </c>
      <c r="BS1390">
        <v>0</v>
      </c>
      <c r="BT1390">
        <v>0</v>
      </c>
      <c r="BU1390">
        <v>0</v>
      </c>
      <c r="CE1390" t="str">
        <f t="shared" si="483"/>
        <v>19:29:15.995</v>
      </c>
      <c r="CF1390">
        <v>994653932</v>
      </c>
      <c r="CS1390">
        <v>3</v>
      </c>
      <c r="CT1390">
        <v>2</v>
      </c>
      <c r="CU1390">
        <v>0</v>
      </c>
      <c r="CV1390">
        <v>2</v>
      </c>
      <c r="CW1390">
        <v>0</v>
      </c>
      <c r="CX1390">
        <v>6</v>
      </c>
      <c r="CY1390">
        <v>7</v>
      </c>
      <c r="CZ1390" t="s">
        <v>131</v>
      </c>
      <c r="DA1390">
        <v>300</v>
      </c>
      <c r="DB1390">
        <v>0</v>
      </c>
      <c r="DC1390" t="s">
        <v>176</v>
      </c>
      <c r="DD1390" t="s">
        <v>177</v>
      </c>
      <c r="DG1390">
        <v>5385608</v>
      </c>
      <c r="DI1390">
        <v>0</v>
      </c>
      <c r="DJ1390">
        <v>0</v>
      </c>
      <c r="DK1390">
        <v>1</v>
      </c>
      <c r="DL1390">
        <v>0</v>
      </c>
      <c r="DM1390">
        <v>0</v>
      </c>
      <c r="DN1390">
        <v>1</v>
      </c>
      <c r="DO1390">
        <v>0</v>
      </c>
      <c r="DP1390">
        <v>0</v>
      </c>
      <c r="DQ1390">
        <v>0</v>
      </c>
      <c r="DR1390">
        <v>0</v>
      </c>
      <c r="DS1390">
        <v>0</v>
      </c>
    </row>
    <row r="1391" spans="1:123" x14ac:dyDescent="0.3">
      <c r="A1391" t="str">
        <f t="shared" si="482"/>
        <v>10/04/2022 19:29:16.214</v>
      </c>
      <c r="C1391" t="str">
        <f t="shared" si="481"/>
        <v>FFDFD3C0</v>
      </c>
      <c r="D1391" t="s">
        <v>141</v>
      </c>
      <c r="E1391">
        <v>3</v>
      </c>
      <c r="H1391">
        <v>3</v>
      </c>
      <c r="I1391" t="s">
        <v>146</v>
      </c>
      <c r="J1391" t="s">
        <v>138</v>
      </c>
      <c r="K1391">
        <v>0</v>
      </c>
      <c r="L1391">
        <v>3</v>
      </c>
      <c r="M1391">
        <v>0</v>
      </c>
      <c r="N1391">
        <v>2</v>
      </c>
      <c r="O1391">
        <v>0</v>
      </c>
      <c r="P1391">
        <v>1</v>
      </c>
      <c r="Q1391">
        <v>0</v>
      </c>
      <c r="S1391" t="str">
        <f t="shared" si="479"/>
        <v>19:29:15.000</v>
      </c>
      <c r="T1391" t="str">
        <f t="shared" si="479"/>
        <v>19:29:15.000</v>
      </c>
      <c r="U1391" t="str">
        <f t="shared" si="467"/>
        <v>AC3944</v>
      </c>
      <c r="V1391">
        <v>0</v>
      </c>
      <c r="W1391">
        <v>0</v>
      </c>
      <c r="X1391">
        <v>2</v>
      </c>
      <c r="Y1391">
        <v>0</v>
      </c>
      <c r="AA1391">
        <v>1</v>
      </c>
      <c r="AB1391">
        <v>8</v>
      </c>
      <c r="AC1391">
        <v>3</v>
      </c>
      <c r="AD1391">
        <v>0</v>
      </c>
      <c r="AE1391">
        <v>9</v>
      </c>
      <c r="AF1391" t="s">
        <v>138</v>
      </c>
      <c r="AG1391">
        <v>0</v>
      </c>
      <c r="AH1391">
        <v>3</v>
      </c>
      <c r="AI1391">
        <v>1</v>
      </c>
      <c r="AJ1391">
        <v>0</v>
      </c>
      <c r="AK1391" t="s">
        <v>530</v>
      </c>
      <c r="AL1391">
        <v>32.803351999999997</v>
      </c>
      <c r="AM1391" t="s">
        <v>531</v>
      </c>
      <c r="AN1391">
        <v>-116.891999</v>
      </c>
      <c r="AO1391">
        <v>25</v>
      </c>
      <c r="AP1391">
        <v>2500</v>
      </c>
      <c r="AQ1391" t="s">
        <v>129</v>
      </c>
      <c r="AR1391">
        <v>102</v>
      </c>
      <c r="AS1391">
        <v>-55</v>
      </c>
      <c r="AT1391">
        <v>512</v>
      </c>
      <c r="BB1391">
        <v>1200</v>
      </c>
      <c r="BC1391">
        <v>1</v>
      </c>
      <c r="BD1391" t="str">
        <f t="shared" si="468"/>
        <v xml:space="preserve">N887QR  </v>
      </c>
      <c r="BE1391">
        <v>1</v>
      </c>
      <c r="BG1391">
        <v>0</v>
      </c>
      <c r="BH1391">
        <v>0</v>
      </c>
      <c r="BI1391">
        <v>0</v>
      </c>
      <c r="BJ1391">
        <v>2225</v>
      </c>
      <c r="BK1391">
        <v>-275</v>
      </c>
      <c r="BL1391" t="s">
        <v>163</v>
      </c>
      <c r="BM1391">
        <v>1</v>
      </c>
      <c r="BN1391">
        <v>1</v>
      </c>
      <c r="BO1391">
        <v>1</v>
      </c>
      <c r="BP1391">
        <v>0</v>
      </c>
      <c r="BS1391">
        <v>0</v>
      </c>
      <c r="BT1391">
        <v>0</v>
      </c>
      <c r="BU1391">
        <v>0</v>
      </c>
      <c r="CE1391" t="str">
        <f t="shared" si="483"/>
        <v>19:29:15.995</v>
      </c>
      <c r="CF1391">
        <v>994653932</v>
      </c>
      <c r="CS1391">
        <v>3</v>
      </c>
      <c r="CT1391">
        <v>2</v>
      </c>
      <c r="CU1391">
        <v>0</v>
      </c>
      <c r="CV1391">
        <v>2</v>
      </c>
      <c r="CW1391">
        <v>0</v>
      </c>
      <c r="CX1391">
        <v>6</v>
      </c>
      <c r="CY1391">
        <v>7</v>
      </c>
      <c r="CZ1391" t="s">
        <v>131</v>
      </c>
      <c r="DA1391">
        <v>300</v>
      </c>
      <c r="DB1391">
        <v>0</v>
      </c>
      <c r="DC1391" t="s">
        <v>176</v>
      </c>
      <c r="DD1391" t="s">
        <v>177</v>
      </c>
      <c r="DG1391">
        <v>5385608</v>
      </c>
      <c r="DI1391">
        <v>0</v>
      </c>
      <c r="DJ1391">
        <v>0</v>
      </c>
      <c r="DK1391">
        <v>1</v>
      </c>
      <c r="DL1391">
        <v>0</v>
      </c>
      <c r="DM1391">
        <v>0</v>
      </c>
      <c r="DN1391">
        <v>1</v>
      </c>
      <c r="DO1391">
        <v>0</v>
      </c>
      <c r="DP1391">
        <v>0</v>
      </c>
      <c r="DQ1391">
        <v>0</v>
      </c>
      <c r="DR1391">
        <v>0</v>
      </c>
      <c r="DS1391">
        <v>0</v>
      </c>
    </row>
    <row r="1392" spans="1:123" x14ac:dyDescent="0.3">
      <c r="A1392" t="str">
        <f t="shared" si="482"/>
        <v>10/04/2022 19:29:16.214</v>
      </c>
      <c r="C1392" t="str">
        <f t="shared" si="481"/>
        <v>FFDFD3C0</v>
      </c>
      <c r="D1392" t="s">
        <v>141</v>
      </c>
      <c r="E1392">
        <v>4</v>
      </c>
      <c r="H1392">
        <v>4</v>
      </c>
      <c r="I1392" t="s">
        <v>142</v>
      </c>
      <c r="J1392" t="s">
        <v>138</v>
      </c>
      <c r="K1392">
        <v>0</v>
      </c>
      <c r="L1392">
        <v>3</v>
      </c>
      <c r="M1392">
        <v>0</v>
      </c>
      <c r="N1392">
        <v>2</v>
      </c>
      <c r="O1392">
        <v>0</v>
      </c>
      <c r="P1392">
        <v>1</v>
      </c>
      <c r="Q1392">
        <v>0</v>
      </c>
      <c r="S1392" t="str">
        <f t="shared" si="479"/>
        <v>19:29:15.000</v>
      </c>
      <c r="T1392" t="str">
        <f t="shared" si="479"/>
        <v>19:29:15.000</v>
      </c>
      <c r="U1392" t="str">
        <f t="shared" si="467"/>
        <v>AC3944</v>
      </c>
      <c r="V1392">
        <v>0</v>
      </c>
      <c r="W1392">
        <v>0</v>
      </c>
      <c r="X1392">
        <v>2</v>
      </c>
      <c r="Y1392">
        <v>0</v>
      </c>
      <c r="AA1392">
        <v>1</v>
      </c>
      <c r="AB1392">
        <v>8</v>
      </c>
      <c r="AC1392">
        <v>3</v>
      </c>
      <c r="AD1392">
        <v>0</v>
      </c>
      <c r="AE1392">
        <v>9</v>
      </c>
      <c r="AF1392" t="s">
        <v>138</v>
      </c>
      <c r="AG1392">
        <v>0</v>
      </c>
      <c r="AH1392">
        <v>3</v>
      </c>
      <c r="AI1392">
        <v>1</v>
      </c>
      <c r="AJ1392">
        <v>0</v>
      </c>
      <c r="AK1392" t="s">
        <v>530</v>
      </c>
      <c r="AL1392">
        <v>32.803351999999997</v>
      </c>
      <c r="AM1392" t="s">
        <v>531</v>
      </c>
      <c r="AN1392">
        <v>-116.891999</v>
      </c>
      <c r="AO1392">
        <v>25</v>
      </c>
      <c r="AP1392">
        <v>2500</v>
      </c>
      <c r="AQ1392" t="s">
        <v>129</v>
      </c>
      <c r="AR1392">
        <v>102</v>
      </c>
      <c r="AS1392">
        <v>-55</v>
      </c>
      <c r="AT1392">
        <v>512</v>
      </c>
      <c r="BB1392">
        <v>1200</v>
      </c>
      <c r="BC1392">
        <v>1</v>
      </c>
      <c r="BD1392" t="str">
        <f t="shared" si="468"/>
        <v xml:space="preserve">N887QR  </v>
      </c>
      <c r="BE1392">
        <v>1</v>
      </c>
      <c r="BG1392">
        <v>0</v>
      </c>
      <c r="BH1392">
        <v>0</v>
      </c>
      <c r="BI1392">
        <v>0</v>
      </c>
      <c r="BJ1392">
        <v>2225</v>
      </c>
      <c r="BK1392">
        <v>-275</v>
      </c>
      <c r="BL1392" t="s">
        <v>163</v>
      </c>
      <c r="BM1392">
        <v>1</v>
      </c>
      <c r="BN1392">
        <v>1</v>
      </c>
      <c r="BO1392">
        <v>1</v>
      </c>
      <c r="BP1392">
        <v>0</v>
      </c>
      <c r="BS1392">
        <v>0</v>
      </c>
      <c r="BT1392">
        <v>0</v>
      </c>
      <c r="BU1392">
        <v>0</v>
      </c>
      <c r="CE1392" t="str">
        <f t="shared" si="483"/>
        <v>19:29:15.995</v>
      </c>
      <c r="CF1392">
        <v>994653932</v>
      </c>
      <c r="CS1392">
        <v>3</v>
      </c>
      <c r="CT1392">
        <v>2</v>
      </c>
      <c r="CU1392">
        <v>0</v>
      </c>
      <c r="CV1392">
        <v>2</v>
      </c>
      <c r="CW1392">
        <v>0</v>
      </c>
      <c r="CX1392">
        <v>6</v>
      </c>
      <c r="CY1392">
        <v>7</v>
      </c>
      <c r="CZ1392" t="s">
        <v>131</v>
      </c>
      <c r="DA1392">
        <v>300</v>
      </c>
      <c r="DB1392">
        <v>0</v>
      </c>
      <c r="DC1392" t="s">
        <v>176</v>
      </c>
      <c r="DD1392" t="s">
        <v>177</v>
      </c>
      <c r="DG1392">
        <v>5385608</v>
      </c>
      <c r="DI1392">
        <v>0</v>
      </c>
      <c r="DJ1392">
        <v>0</v>
      </c>
      <c r="DK1392">
        <v>1</v>
      </c>
      <c r="DL1392">
        <v>0</v>
      </c>
      <c r="DM1392">
        <v>0</v>
      </c>
      <c r="DN1392">
        <v>1</v>
      </c>
      <c r="DO1392">
        <v>0</v>
      </c>
      <c r="DP1392">
        <v>0</v>
      </c>
      <c r="DQ1392">
        <v>0</v>
      </c>
      <c r="DR1392">
        <v>0</v>
      </c>
      <c r="DS1392">
        <v>0</v>
      </c>
    </row>
    <row r="1393" spans="1:123" x14ac:dyDescent="0.3">
      <c r="A1393" t="str">
        <f t="shared" si="482"/>
        <v>10/04/2022 19:29:16.214</v>
      </c>
      <c r="C1393" t="str">
        <f t="shared" si="481"/>
        <v>FFDFD3C0</v>
      </c>
      <c r="D1393" t="s">
        <v>136</v>
      </c>
      <c r="E1393">
        <v>8</v>
      </c>
      <c r="H1393">
        <v>225</v>
      </c>
      <c r="I1393" t="s">
        <v>137</v>
      </c>
      <c r="J1393" t="s">
        <v>138</v>
      </c>
      <c r="K1393">
        <v>0</v>
      </c>
      <c r="L1393">
        <v>3</v>
      </c>
      <c r="M1393">
        <v>0</v>
      </c>
      <c r="N1393">
        <v>2</v>
      </c>
      <c r="O1393">
        <v>0</v>
      </c>
      <c r="P1393">
        <v>1</v>
      </c>
      <c r="Q1393">
        <v>0</v>
      </c>
      <c r="S1393" t="str">
        <f t="shared" si="479"/>
        <v>19:29:15.000</v>
      </c>
      <c r="T1393" t="str">
        <f t="shared" si="479"/>
        <v>19:29:15.000</v>
      </c>
      <c r="U1393" t="str">
        <f t="shared" si="467"/>
        <v>AC3944</v>
      </c>
      <c r="V1393">
        <v>0</v>
      </c>
      <c r="W1393">
        <v>0</v>
      </c>
      <c r="X1393">
        <v>2</v>
      </c>
      <c r="Y1393">
        <v>0</v>
      </c>
      <c r="AA1393">
        <v>1</v>
      </c>
      <c r="AB1393">
        <v>8</v>
      </c>
      <c r="AC1393">
        <v>3</v>
      </c>
      <c r="AD1393">
        <v>0</v>
      </c>
      <c r="AE1393">
        <v>9</v>
      </c>
      <c r="AF1393" t="s">
        <v>138</v>
      </c>
      <c r="AG1393">
        <v>0</v>
      </c>
      <c r="AH1393">
        <v>3</v>
      </c>
      <c r="AI1393">
        <v>1</v>
      </c>
      <c r="AJ1393">
        <v>0</v>
      </c>
      <c r="AK1393" t="s">
        <v>530</v>
      </c>
      <c r="AL1393">
        <v>32.803351999999997</v>
      </c>
      <c r="AM1393" t="s">
        <v>531</v>
      </c>
      <c r="AN1393">
        <v>-116.891999</v>
      </c>
      <c r="AO1393">
        <v>25</v>
      </c>
      <c r="AP1393">
        <v>2500</v>
      </c>
      <c r="AQ1393" t="s">
        <v>129</v>
      </c>
      <c r="AR1393">
        <v>102</v>
      </c>
      <c r="AS1393">
        <v>-55</v>
      </c>
      <c r="AT1393">
        <v>512</v>
      </c>
      <c r="BB1393">
        <v>1200</v>
      </c>
      <c r="BC1393">
        <v>1</v>
      </c>
      <c r="BD1393" t="str">
        <f t="shared" si="468"/>
        <v xml:space="preserve">N887QR  </v>
      </c>
      <c r="BE1393">
        <v>1</v>
      </c>
      <c r="BG1393">
        <v>0</v>
      </c>
      <c r="BH1393">
        <v>0</v>
      </c>
      <c r="BI1393">
        <v>0</v>
      </c>
      <c r="BJ1393">
        <v>2225</v>
      </c>
      <c r="BK1393">
        <v>-275</v>
      </c>
      <c r="BL1393" t="s">
        <v>163</v>
      </c>
      <c r="BM1393">
        <v>1</v>
      </c>
      <c r="BN1393">
        <v>1</v>
      </c>
      <c r="BO1393">
        <v>1</v>
      </c>
      <c r="BP1393">
        <v>0</v>
      </c>
      <c r="BS1393">
        <v>0</v>
      </c>
      <c r="BT1393">
        <v>0</v>
      </c>
      <c r="BU1393">
        <v>0</v>
      </c>
      <c r="CE1393" t="str">
        <f t="shared" si="483"/>
        <v>19:29:15.995</v>
      </c>
      <c r="CF1393">
        <v>994653932</v>
      </c>
      <c r="CS1393">
        <v>3</v>
      </c>
      <c r="CT1393">
        <v>2</v>
      </c>
      <c r="CU1393">
        <v>0</v>
      </c>
      <c r="CV1393">
        <v>2</v>
      </c>
      <c r="CW1393">
        <v>0</v>
      </c>
      <c r="CX1393">
        <v>6</v>
      </c>
      <c r="CY1393">
        <v>7</v>
      </c>
      <c r="CZ1393" t="s">
        <v>131</v>
      </c>
      <c r="DA1393">
        <v>300</v>
      </c>
      <c r="DB1393">
        <v>0</v>
      </c>
      <c r="DC1393" t="s">
        <v>176</v>
      </c>
      <c r="DD1393" t="s">
        <v>177</v>
      </c>
      <c r="DG1393">
        <v>5385608</v>
      </c>
      <c r="DI1393">
        <v>0</v>
      </c>
      <c r="DJ1393">
        <v>0</v>
      </c>
      <c r="DK1393">
        <v>1</v>
      </c>
      <c r="DL1393">
        <v>0</v>
      </c>
      <c r="DM1393">
        <v>0</v>
      </c>
      <c r="DN1393">
        <v>1</v>
      </c>
      <c r="DO1393">
        <v>0</v>
      </c>
      <c r="DP1393">
        <v>0</v>
      </c>
      <c r="DQ1393">
        <v>0</v>
      </c>
      <c r="DR1393">
        <v>0</v>
      </c>
      <c r="DS1393">
        <v>0</v>
      </c>
    </row>
    <row r="1394" spans="1:123" x14ac:dyDescent="0.3">
      <c r="A1394" t="str">
        <f>"10/04/2022 19:29:17.744"</f>
        <v>10/04/2022 19:29:17.744</v>
      </c>
      <c r="C1394" t="str">
        <f t="shared" si="481"/>
        <v>FFDFD3C0</v>
      </c>
      <c r="D1394" t="s">
        <v>123</v>
      </c>
      <c r="E1394">
        <v>7</v>
      </c>
      <c r="F1394">
        <v>2007</v>
      </c>
      <c r="G1394" t="s">
        <v>124</v>
      </c>
      <c r="J1394" t="s">
        <v>125</v>
      </c>
      <c r="K1394">
        <v>0</v>
      </c>
      <c r="L1394">
        <v>3</v>
      </c>
      <c r="M1394">
        <v>0</v>
      </c>
      <c r="N1394">
        <v>2</v>
      </c>
      <c r="O1394">
        <v>0</v>
      </c>
      <c r="P1394">
        <v>1</v>
      </c>
      <c r="Q1394">
        <v>0</v>
      </c>
      <c r="S1394" t="str">
        <f t="shared" ref="S1394:T1400" si="484">"19:29:17.000"</f>
        <v>19:29:17.000</v>
      </c>
      <c r="T1394" t="str">
        <f t="shared" si="484"/>
        <v>19:29:17.000</v>
      </c>
      <c r="U1394" t="str">
        <f t="shared" si="467"/>
        <v>AC3944</v>
      </c>
      <c r="V1394">
        <v>0</v>
      </c>
      <c r="W1394">
        <v>0</v>
      </c>
      <c r="X1394">
        <v>2</v>
      </c>
      <c r="Y1394">
        <v>0</v>
      </c>
      <c r="AA1394">
        <v>1</v>
      </c>
      <c r="AB1394">
        <v>8</v>
      </c>
      <c r="AC1394">
        <v>3</v>
      </c>
      <c r="AD1394">
        <v>0</v>
      </c>
      <c r="AE1394">
        <v>9</v>
      </c>
      <c r="AF1394" t="s">
        <v>138</v>
      </c>
      <c r="AG1394">
        <v>0</v>
      </c>
      <c r="AH1394">
        <v>3</v>
      </c>
      <c r="AI1394">
        <v>1</v>
      </c>
      <c r="AJ1394">
        <v>0</v>
      </c>
      <c r="AK1394" t="s">
        <v>532</v>
      </c>
      <c r="AL1394">
        <v>32.803094000000002</v>
      </c>
      <c r="AM1394" t="s">
        <v>533</v>
      </c>
      <c r="AN1394">
        <v>-116.891441</v>
      </c>
      <c r="AO1394">
        <v>25</v>
      </c>
      <c r="AP1394">
        <v>2500</v>
      </c>
      <c r="AQ1394" t="s">
        <v>129</v>
      </c>
      <c r="AR1394">
        <v>101</v>
      </c>
      <c r="AS1394">
        <v>-59</v>
      </c>
      <c r="AT1394">
        <v>448</v>
      </c>
      <c r="BB1394">
        <v>1200</v>
      </c>
      <c r="BC1394">
        <v>1</v>
      </c>
      <c r="BD1394" t="str">
        <f t="shared" si="468"/>
        <v xml:space="preserve">N887QR  </v>
      </c>
      <c r="BE1394">
        <v>1</v>
      </c>
      <c r="BG1394">
        <v>0</v>
      </c>
      <c r="BH1394">
        <v>0</v>
      </c>
      <c r="BI1394">
        <v>0</v>
      </c>
      <c r="BJ1394">
        <v>2250</v>
      </c>
      <c r="BK1394">
        <v>-250</v>
      </c>
      <c r="BL1394" t="s">
        <v>163</v>
      </c>
      <c r="BM1394">
        <v>1</v>
      </c>
      <c r="BN1394">
        <v>1</v>
      </c>
      <c r="BO1394">
        <v>1</v>
      </c>
      <c r="BP1394">
        <v>0</v>
      </c>
      <c r="BS1394">
        <v>0</v>
      </c>
      <c r="BT1394">
        <v>0</v>
      </c>
      <c r="BU1394">
        <v>0</v>
      </c>
      <c r="CE1394" t="str">
        <f t="shared" ref="CE1394:CE1400" si="485">"19:29:17.426"</f>
        <v>19:29:17.426</v>
      </c>
      <c r="CF1394">
        <v>426408670</v>
      </c>
      <c r="CS1394">
        <v>3</v>
      </c>
      <c r="CT1394">
        <v>2</v>
      </c>
      <c r="CU1394">
        <v>0</v>
      </c>
      <c r="CV1394">
        <v>2</v>
      </c>
      <c r="CW1394">
        <v>0</v>
      </c>
      <c r="CX1394">
        <v>6</v>
      </c>
      <c r="CY1394">
        <v>7</v>
      </c>
      <c r="CZ1394" t="s">
        <v>131</v>
      </c>
      <c r="DA1394">
        <v>300</v>
      </c>
      <c r="DB1394">
        <v>0</v>
      </c>
      <c r="DC1394" t="s">
        <v>176</v>
      </c>
      <c r="DD1394" t="s">
        <v>177</v>
      </c>
      <c r="DG1394">
        <v>5385828</v>
      </c>
      <c r="DI1394">
        <v>0</v>
      </c>
      <c r="DJ1394">
        <v>0</v>
      </c>
      <c r="DK1394">
        <v>0</v>
      </c>
      <c r="DL1394">
        <v>0</v>
      </c>
      <c r="DM1394">
        <v>0</v>
      </c>
      <c r="DN1394">
        <v>1</v>
      </c>
      <c r="DO1394">
        <v>0</v>
      </c>
      <c r="DP1394">
        <v>0</v>
      </c>
      <c r="DQ1394">
        <v>0</v>
      </c>
      <c r="DR1394">
        <v>0</v>
      </c>
      <c r="DS1394">
        <v>0</v>
      </c>
    </row>
    <row r="1395" spans="1:123" x14ac:dyDescent="0.3">
      <c r="A1395" t="str">
        <f t="shared" ref="A1395:A1400" si="486">"10/04/2022 19:29:17.775"</f>
        <v>10/04/2022 19:29:17.775</v>
      </c>
      <c r="C1395" t="str">
        <f t="shared" si="481"/>
        <v>FFDFD3C0</v>
      </c>
      <c r="D1395" t="s">
        <v>147</v>
      </c>
      <c r="E1395">
        <v>3</v>
      </c>
      <c r="H1395">
        <v>166</v>
      </c>
      <c r="I1395" t="s">
        <v>144</v>
      </c>
      <c r="J1395" t="s">
        <v>148</v>
      </c>
      <c r="K1395">
        <v>0</v>
      </c>
      <c r="L1395">
        <v>3</v>
      </c>
      <c r="M1395">
        <v>0</v>
      </c>
      <c r="N1395">
        <v>2</v>
      </c>
      <c r="O1395">
        <v>0</v>
      </c>
      <c r="P1395">
        <v>1</v>
      </c>
      <c r="Q1395">
        <v>0</v>
      </c>
      <c r="S1395" t="str">
        <f t="shared" si="484"/>
        <v>19:29:17.000</v>
      </c>
      <c r="T1395" t="str">
        <f t="shared" si="484"/>
        <v>19:29:17.000</v>
      </c>
      <c r="U1395" t="str">
        <f t="shared" si="467"/>
        <v>AC3944</v>
      </c>
      <c r="V1395">
        <v>0</v>
      </c>
      <c r="W1395">
        <v>0</v>
      </c>
      <c r="X1395">
        <v>2</v>
      </c>
      <c r="Y1395">
        <v>0</v>
      </c>
      <c r="AA1395">
        <v>1</v>
      </c>
      <c r="AB1395">
        <v>8</v>
      </c>
      <c r="AC1395">
        <v>3</v>
      </c>
      <c r="AD1395">
        <v>0</v>
      </c>
      <c r="AE1395">
        <v>9</v>
      </c>
      <c r="AF1395" t="s">
        <v>138</v>
      </c>
      <c r="AG1395">
        <v>0</v>
      </c>
      <c r="AH1395">
        <v>3</v>
      </c>
      <c r="AI1395">
        <v>1</v>
      </c>
      <c r="AJ1395">
        <v>0</v>
      </c>
      <c r="AK1395" t="s">
        <v>532</v>
      </c>
      <c r="AL1395">
        <v>32.803094000000002</v>
      </c>
      <c r="AM1395" t="s">
        <v>533</v>
      </c>
      <c r="AN1395">
        <v>-116.891441</v>
      </c>
      <c r="AO1395">
        <v>25</v>
      </c>
      <c r="AP1395">
        <v>2500</v>
      </c>
      <c r="AQ1395" t="s">
        <v>129</v>
      </c>
      <c r="AR1395">
        <v>101</v>
      </c>
      <c r="AS1395">
        <v>-59</v>
      </c>
      <c r="AT1395">
        <v>448</v>
      </c>
      <c r="BB1395">
        <v>1200</v>
      </c>
      <c r="BC1395">
        <v>1</v>
      </c>
      <c r="BD1395" t="str">
        <f t="shared" si="468"/>
        <v xml:space="preserve">N887QR  </v>
      </c>
      <c r="BE1395">
        <v>1</v>
      </c>
      <c r="BG1395">
        <v>0</v>
      </c>
      <c r="BH1395">
        <v>0</v>
      </c>
      <c r="BI1395">
        <v>0</v>
      </c>
      <c r="BJ1395">
        <v>2250</v>
      </c>
      <c r="BK1395">
        <v>-250</v>
      </c>
      <c r="BL1395" t="s">
        <v>163</v>
      </c>
      <c r="BM1395">
        <v>1</v>
      </c>
      <c r="BN1395">
        <v>1</v>
      </c>
      <c r="BO1395">
        <v>1</v>
      </c>
      <c r="BP1395">
        <v>0</v>
      </c>
      <c r="BS1395">
        <v>0</v>
      </c>
      <c r="BT1395">
        <v>0</v>
      </c>
      <c r="BU1395">
        <v>0</v>
      </c>
      <c r="CE1395" t="str">
        <f t="shared" si="485"/>
        <v>19:29:17.426</v>
      </c>
      <c r="CF1395">
        <v>426408670</v>
      </c>
      <c r="CS1395">
        <v>3</v>
      </c>
      <c r="CT1395">
        <v>2</v>
      </c>
      <c r="CU1395">
        <v>0</v>
      </c>
      <c r="CV1395">
        <v>2</v>
      </c>
      <c r="CW1395">
        <v>0</v>
      </c>
      <c r="CX1395">
        <v>6</v>
      </c>
      <c r="CY1395">
        <v>7</v>
      </c>
      <c r="CZ1395" t="s">
        <v>131</v>
      </c>
      <c r="DA1395">
        <v>300</v>
      </c>
      <c r="DB1395">
        <v>0</v>
      </c>
      <c r="DC1395" t="s">
        <v>176</v>
      </c>
      <c r="DD1395" t="s">
        <v>177</v>
      </c>
      <c r="DG1395">
        <v>5385828</v>
      </c>
      <c r="DI1395">
        <v>0</v>
      </c>
      <c r="DJ1395">
        <v>0</v>
      </c>
      <c r="DK1395">
        <v>1</v>
      </c>
      <c r="DL1395">
        <v>0</v>
      </c>
      <c r="DM1395">
        <v>0</v>
      </c>
      <c r="DN1395">
        <v>1</v>
      </c>
      <c r="DO1395">
        <v>0</v>
      </c>
      <c r="DP1395">
        <v>0</v>
      </c>
      <c r="DQ1395">
        <v>0</v>
      </c>
      <c r="DR1395">
        <v>0</v>
      </c>
      <c r="DS1395">
        <v>0</v>
      </c>
    </row>
    <row r="1396" spans="1:123" x14ac:dyDescent="0.3">
      <c r="A1396" t="str">
        <f t="shared" si="486"/>
        <v>10/04/2022 19:29:17.775</v>
      </c>
      <c r="C1396" t="str">
        <f t="shared" si="481"/>
        <v>FFDFD3C0</v>
      </c>
      <c r="D1396" t="s">
        <v>134</v>
      </c>
      <c r="E1396">
        <v>15</v>
      </c>
      <c r="J1396" t="s">
        <v>135</v>
      </c>
      <c r="K1396">
        <v>0</v>
      </c>
      <c r="L1396">
        <v>3</v>
      </c>
      <c r="M1396">
        <v>0</v>
      </c>
      <c r="N1396">
        <v>2</v>
      </c>
      <c r="O1396">
        <v>0</v>
      </c>
      <c r="P1396">
        <v>1</v>
      </c>
      <c r="Q1396">
        <v>0</v>
      </c>
      <c r="S1396" t="str">
        <f t="shared" si="484"/>
        <v>19:29:17.000</v>
      </c>
      <c r="T1396" t="str">
        <f t="shared" si="484"/>
        <v>19:29:17.000</v>
      </c>
      <c r="U1396" t="str">
        <f t="shared" si="467"/>
        <v>AC3944</v>
      </c>
      <c r="V1396">
        <v>0</v>
      </c>
      <c r="W1396">
        <v>0</v>
      </c>
      <c r="X1396">
        <v>2</v>
      </c>
      <c r="Y1396">
        <v>0</v>
      </c>
      <c r="AA1396">
        <v>1</v>
      </c>
      <c r="AB1396">
        <v>8</v>
      </c>
      <c r="AC1396">
        <v>3</v>
      </c>
      <c r="AD1396">
        <v>0</v>
      </c>
      <c r="AE1396">
        <v>9</v>
      </c>
      <c r="AF1396" t="s">
        <v>138</v>
      </c>
      <c r="AG1396">
        <v>0</v>
      </c>
      <c r="AH1396">
        <v>3</v>
      </c>
      <c r="AI1396">
        <v>1</v>
      </c>
      <c r="AJ1396">
        <v>0</v>
      </c>
      <c r="AK1396" t="s">
        <v>532</v>
      </c>
      <c r="AL1396">
        <v>32.803094000000002</v>
      </c>
      <c r="AM1396" t="s">
        <v>533</v>
      </c>
      <c r="AN1396">
        <v>-116.891441</v>
      </c>
      <c r="AO1396">
        <v>25</v>
      </c>
      <c r="AP1396">
        <v>2500</v>
      </c>
      <c r="AQ1396" t="s">
        <v>129</v>
      </c>
      <c r="AR1396">
        <v>101</v>
      </c>
      <c r="AS1396">
        <v>-59</v>
      </c>
      <c r="AT1396">
        <v>448</v>
      </c>
      <c r="BB1396">
        <v>1200</v>
      </c>
      <c r="BC1396">
        <v>1</v>
      </c>
      <c r="BD1396" t="str">
        <f t="shared" si="468"/>
        <v xml:space="preserve">N887QR  </v>
      </c>
      <c r="BE1396">
        <v>1</v>
      </c>
      <c r="BG1396">
        <v>0</v>
      </c>
      <c r="BH1396">
        <v>0</v>
      </c>
      <c r="BI1396">
        <v>0</v>
      </c>
      <c r="BJ1396">
        <v>2250</v>
      </c>
      <c r="BK1396">
        <v>-250</v>
      </c>
      <c r="BL1396" t="s">
        <v>163</v>
      </c>
      <c r="BM1396">
        <v>1</v>
      </c>
      <c r="BN1396">
        <v>1</v>
      </c>
      <c r="BO1396">
        <v>1</v>
      </c>
      <c r="BP1396">
        <v>0</v>
      </c>
      <c r="BS1396">
        <v>0</v>
      </c>
      <c r="BT1396">
        <v>0</v>
      </c>
      <c r="BU1396">
        <v>0</v>
      </c>
      <c r="CE1396" t="str">
        <f t="shared" si="485"/>
        <v>19:29:17.426</v>
      </c>
      <c r="CF1396">
        <v>426408670</v>
      </c>
      <c r="CS1396">
        <v>3</v>
      </c>
      <c r="CT1396">
        <v>2</v>
      </c>
      <c r="CU1396">
        <v>0</v>
      </c>
      <c r="CV1396">
        <v>2</v>
      </c>
      <c r="CW1396">
        <v>0</v>
      </c>
      <c r="CX1396">
        <v>6</v>
      </c>
      <c r="CY1396">
        <v>7</v>
      </c>
      <c r="CZ1396" t="s">
        <v>131</v>
      </c>
      <c r="DA1396">
        <v>300</v>
      </c>
      <c r="DB1396">
        <v>0</v>
      </c>
      <c r="DC1396" t="s">
        <v>176</v>
      </c>
      <c r="DD1396" t="s">
        <v>177</v>
      </c>
      <c r="DG1396">
        <v>5385828</v>
      </c>
      <c r="DI1396">
        <v>0</v>
      </c>
      <c r="DJ1396">
        <v>0</v>
      </c>
      <c r="DK1396">
        <v>1</v>
      </c>
      <c r="DL1396">
        <v>0</v>
      </c>
      <c r="DM1396">
        <v>0</v>
      </c>
      <c r="DN1396">
        <v>1</v>
      </c>
      <c r="DO1396">
        <v>0</v>
      </c>
      <c r="DP1396">
        <v>0</v>
      </c>
      <c r="DQ1396">
        <v>0</v>
      </c>
      <c r="DR1396">
        <v>0</v>
      </c>
      <c r="DS1396">
        <v>0</v>
      </c>
    </row>
    <row r="1397" spans="1:123" x14ac:dyDescent="0.3">
      <c r="A1397" t="str">
        <f t="shared" si="486"/>
        <v>10/04/2022 19:29:17.775</v>
      </c>
      <c r="C1397" t="str">
        <f t="shared" si="481"/>
        <v>FFDFD3C0</v>
      </c>
      <c r="D1397" t="s">
        <v>141</v>
      </c>
      <c r="E1397">
        <v>3</v>
      </c>
      <c r="H1397">
        <v>3</v>
      </c>
      <c r="I1397" t="s">
        <v>146</v>
      </c>
      <c r="J1397" t="s">
        <v>138</v>
      </c>
      <c r="K1397">
        <v>0</v>
      </c>
      <c r="L1397">
        <v>3</v>
      </c>
      <c r="M1397">
        <v>0</v>
      </c>
      <c r="N1397">
        <v>2</v>
      </c>
      <c r="O1397">
        <v>0</v>
      </c>
      <c r="P1397">
        <v>1</v>
      </c>
      <c r="Q1397">
        <v>0</v>
      </c>
      <c r="S1397" t="str">
        <f t="shared" si="484"/>
        <v>19:29:17.000</v>
      </c>
      <c r="T1397" t="str">
        <f t="shared" si="484"/>
        <v>19:29:17.000</v>
      </c>
      <c r="U1397" t="str">
        <f t="shared" si="467"/>
        <v>AC3944</v>
      </c>
      <c r="V1397">
        <v>0</v>
      </c>
      <c r="W1397">
        <v>0</v>
      </c>
      <c r="X1397">
        <v>2</v>
      </c>
      <c r="Y1397">
        <v>0</v>
      </c>
      <c r="AA1397">
        <v>1</v>
      </c>
      <c r="AB1397">
        <v>8</v>
      </c>
      <c r="AC1397">
        <v>3</v>
      </c>
      <c r="AD1397">
        <v>0</v>
      </c>
      <c r="AE1397">
        <v>9</v>
      </c>
      <c r="AF1397" t="s">
        <v>138</v>
      </c>
      <c r="AG1397">
        <v>0</v>
      </c>
      <c r="AH1397">
        <v>3</v>
      </c>
      <c r="AI1397">
        <v>1</v>
      </c>
      <c r="AJ1397">
        <v>0</v>
      </c>
      <c r="AK1397" t="s">
        <v>532</v>
      </c>
      <c r="AL1397">
        <v>32.803094000000002</v>
      </c>
      <c r="AM1397" t="s">
        <v>533</v>
      </c>
      <c r="AN1397">
        <v>-116.891441</v>
      </c>
      <c r="AO1397">
        <v>25</v>
      </c>
      <c r="AP1397">
        <v>2500</v>
      </c>
      <c r="AQ1397" t="s">
        <v>129</v>
      </c>
      <c r="AR1397">
        <v>101</v>
      </c>
      <c r="AS1397">
        <v>-59</v>
      </c>
      <c r="AT1397">
        <v>448</v>
      </c>
      <c r="BB1397">
        <v>1200</v>
      </c>
      <c r="BC1397">
        <v>1</v>
      </c>
      <c r="BD1397" t="str">
        <f t="shared" si="468"/>
        <v xml:space="preserve">N887QR  </v>
      </c>
      <c r="BE1397">
        <v>1</v>
      </c>
      <c r="BG1397">
        <v>0</v>
      </c>
      <c r="BH1397">
        <v>0</v>
      </c>
      <c r="BI1397">
        <v>0</v>
      </c>
      <c r="BJ1397">
        <v>2250</v>
      </c>
      <c r="BK1397">
        <v>-250</v>
      </c>
      <c r="BL1397" t="s">
        <v>163</v>
      </c>
      <c r="BM1397">
        <v>1</v>
      </c>
      <c r="BN1397">
        <v>1</v>
      </c>
      <c r="BO1397">
        <v>1</v>
      </c>
      <c r="BP1397">
        <v>0</v>
      </c>
      <c r="BS1397">
        <v>0</v>
      </c>
      <c r="BT1397">
        <v>0</v>
      </c>
      <c r="BU1397">
        <v>0</v>
      </c>
      <c r="CE1397" t="str">
        <f t="shared" si="485"/>
        <v>19:29:17.426</v>
      </c>
      <c r="CF1397">
        <v>426408670</v>
      </c>
      <c r="CS1397">
        <v>3</v>
      </c>
      <c r="CT1397">
        <v>2</v>
      </c>
      <c r="CU1397">
        <v>0</v>
      </c>
      <c r="CV1397">
        <v>2</v>
      </c>
      <c r="CW1397">
        <v>0</v>
      </c>
      <c r="CX1397">
        <v>6</v>
      </c>
      <c r="CY1397">
        <v>7</v>
      </c>
      <c r="CZ1397" t="s">
        <v>131</v>
      </c>
      <c r="DA1397">
        <v>300</v>
      </c>
      <c r="DB1397">
        <v>0</v>
      </c>
      <c r="DC1397" t="s">
        <v>176</v>
      </c>
      <c r="DD1397" t="s">
        <v>177</v>
      </c>
      <c r="DG1397">
        <v>5385828</v>
      </c>
      <c r="DI1397">
        <v>0</v>
      </c>
      <c r="DJ1397">
        <v>0</v>
      </c>
      <c r="DK1397">
        <v>1</v>
      </c>
      <c r="DL1397">
        <v>0</v>
      </c>
      <c r="DM1397">
        <v>0</v>
      </c>
      <c r="DN1397">
        <v>1</v>
      </c>
      <c r="DO1397">
        <v>0</v>
      </c>
      <c r="DP1397">
        <v>0</v>
      </c>
      <c r="DQ1397">
        <v>0</v>
      </c>
      <c r="DR1397">
        <v>0</v>
      </c>
      <c r="DS1397">
        <v>0</v>
      </c>
    </row>
    <row r="1398" spans="1:123" x14ac:dyDescent="0.3">
      <c r="A1398" t="str">
        <f t="shared" si="486"/>
        <v>10/04/2022 19:29:17.775</v>
      </c>
      <c r="C1398" t="str">
        <f t="shared" si="481"/>
        <v>FFDFD3C0</v>
      </c>
      <c r="D1398" t="s">
        <v>141</v>
      </c>
      <c r="E1398">
        <v>4</v>
      </c>
      <c r="H1398">
        <v>4</v>
      </c>
      <c r="I1398" t="s">
        <v>142</v>
      </c>
      <c r="J1398" t="s">
        <v>138</v>
      </c>
      <c r="K1398">
        <v>0</v>
      </c>
      <c r="L1398">
        <v>3</v>
      </c>
      <c r="M1398">
        <v>0</v>
      </c>
      <c r="N1398">
        <v>2</v>
      </c>
      <c r="O1398">
        <v>0</v>
      </c>
      <c r="P1398">
        <v>1</v>
      </c>
      <c r="Q1398">
        <v>0</v>
      </c>
      <c r="S1398" t="str">
        <f t="shared" si="484"/>
        <v>19:29:17.000</v>
      </c>
      <c r="T1398" t="str">
        <f t="shared" si="484"/>
        <v>19:29:17.000</v>
      </c>
      <c r="U1398" t="str">
        <f t="shared" si="467"/>
        <v>AC3944</v>
      </c>
      <c r="V1398">
        <v>0</v>
      </c>
      <c r="W1398">
        <v>0</v>
      </c>
      <c r="X1398">
        <v>2</v>
      </c>
      <c r="Y1398">
        <v>0</v>
      </c>
      <c r="AA1398">
        <v>1</v>
      </c>
      <c r="AB1398">
        <v>8</v>
      </c>
      <c r="AC1398">
        <v>3</v>
      </c>
      <c r="AD1398">
        <v>0</v>
      </c>
      <c r="AE1398">
        <v>9</v>
      </c>
      <c r="AF1398" t="s">
        <v>138</v>
      </c>
      <c r="AG1398">
        <v>0</v>
      </c>
      <c r="AH1398">
        <v>3</v>
      </c>
      <c r="AI1398">
        <v>1</v>
      </c>
      <c r="AJ1398">
        <v>0</v>
      </c>
      <c r="AK1398" t="s">
        <v>532</v>
      </c>
      <c r="AL1398">
        <v>32.803094000000002</v>
      </c>
      <c r="AM1398" t="s">
        <v>533</v>
      </c>
      <c r="AN1398">
        <v>-116.891441</v>
      </c>
      <c r="AO1398">
        <v>25</v>
      </c>
      <c r="AP1398">
        <v>2500</v>
      </c>
      <c r="AQ1398" t="s">
        <v>129</v>
      </c>
      <c r="AR1398">
        <v>101</v>
      </c>
      <c r="AS1398">
        <v>-59</v>
      </c>
      <c r="AT1398">
        <v>448</v>
      </c>
      <c r="BB1398">
        <v>1200</v>
      </c>
      <c r="BC1398">
        <v>1</v>
      </c>
      <c r="BD1398" t="str">
        <f t="shared" si="468"/>
        <v xml:space="preserve">N887QR  </v>
      </c>
      <c r="BE1398">
        <v>1</v>
      </c>
      <c r="BG1398">
        <v>0</v>
      </c>
      <c r="BH1398">
        <v>0</v>
      </c>
      <c r="BI1398">
        <v>0</v>
      </c>
      <c r="BJ1398">
        <v>2250</v>
      </c>
      <c r="BK1398">
        <v>-250</v>
      </c>
      <c r="BL1398" t="s">
        <v>163</v>
      </c>
      <c r="BM1398">
        <v>1</v>
      </c>
      <c r="BN1398">
        <v>1</v>
      </c>
      <c r="BO1398">
        <v>1</v>
      </c>
      <c r="BP1398">
        <v>0</v>
      </c>
      <c r="BS1398">
        <v>0</v>
      </c>
      <c r="BT1398">
        <v>0</v>
      </c>
      <c r="BU1398">
        <v>0</v>
      </c>
      <c r="CE1398" t="str">
        <f t="shared" si="485"/>
        <v>19:29:17.426</v>
      </c>
      <c r="CF1398">
        <v>426408670</v>
      </c>
      <c r="CS1398">
        <v>3</v>
      </c>
      <c r="CT1398">
        <v>2</v>
      </c>
      <c r="CU1398">
        <v>0</v>
      </c>
      <c r="CV1398">
        <v>2</v>
      </c>
      <c r="CW1398">
        <v>0</v>
      </c>
      <c r="CX1398">
        <v>6</v>
      </c>
      <c r="CY1398">
        <v>7</v>
      </c>
      <c r="CZ1398" t="s">
        <v>131</v>
      </c>
      <c r="DA1398">
        <v>300</v>
      </c>
      <c r="DB1398">
        <v>0</v>
      </c>
      <c r="DC1398" t="s">
        <v>176</v>
      </c>
      <c r="DD1398" t="s">
        <v>177</v>
      </c>
      <c r="DG1398">
        <v>5385828</v>
      </c>
      <c r="DI1398">
        <v>0</v>
      </c>
      <c r="DJ1398">
        <v>0</v>
      </c>
      <c r="DK1398">
        <v>1</v>
      </c>
      <c r="DL1398">
        <v>0</v>
      </c>
      <c r="DM1398">
        <v>0</v>
      </c>
      <c r="DN1398">
        <v>1</v>
      </c>
      <c r="DO1398">
        <v>0</v>
      </c>
      <c r="DP1398">
        <v>0</v>
      </c>
      <c r="DQ1398">
        <v>0</v>
      </c>
      <c r="DR1398">
        <v>0</v>
      </c>
      <c r="DS1398">
        <v>0</v>
      </c>
    </row>
    <row r="1399" spans="1:123" x14ac:dyDescent="0.3">
      <c r="A1399" t="str">
        <f t="shared" si="486"/>
        <v>10/04/2022 19:29:17.775</v>
      </c>
      <c r="C1399" t="str">
        <f t="shared" si="481"/>
        <v>FFDFD3C0</v>
      </c>
      <c r="D1399" t="s">
        <v>136</v>
      </c>
      <c r="E1399">
        <v>8</v>
      </c>
      <c r="H1399">
        <v>225</v>
      </c>
      <c r="I1399" t="s">
        <v>137</v>
      </c>
      <c r="J1399" t="s">
        <v>138</v>
      </c>
      <c r="K1399">
        <v>0</v>
      </c>
      <c r="L1399">
        <v>3</v>
      </c>
      <c r="M1399">
        <v>0</v>
      </c>
      <c r="N1399">
        <v>2</v>
      </c>
      <c r="O1399">
        <v>0</v>
      </c>
      <c r="P1399">
        <v>1</v>
      </c>
      <c r="Q1399">
        <v>0</v>
      </c>
      <c r="S1399" t="str">
        <f t="shared" si="484"/>
        <v>19:29:17.000</v>
      </c>
      <c r="T1399" t="str">
        <f t="shared" si="484"/>
        <v>19:29:17.000</v>
      </c>
      <c r="U1399" t="str">
        <f t="shared" si="467"/>
        <v>AC3944</v>
      </c>
      <c r="V1399">
        <v>0</v>
      </c>
      <c r="W1399">
        <v>0</v>
      </c>
      <c r="X1399">
        <v>2</v>
      </c>
      <c r="Y1399">
        <v>0</v>
      </c>
      <c r="AA1399">
        <v>1</v>
      </c>
      <c r="AB1399">
        <v>8</v>
      </c>
      <c r="AC1399">
        <v>3</v>
      </c>
      <c r="AD1399">
        <v>0</v>
      </c>
      <c r="AE1399">
        <v>9</v>
      </c>
      <c r="AF1399" t="s">
        <v>138</v>
      </c>
      <c r="AG1399">
        <v>0</v>
      </c>
      <c r="AH1399">
        <v>3</v>
      </c>
      <c r="AI1399">
        <v>1</v>
      </c>
      <c r="AJ1399">
        <v>0</v>
      </c>
      <c r="AK1399" t="s">
        <v>532</v>
      </c>
      <c r="AL1399">
        <v>32.803094000000002</v>
      </c>
      <c r="AM1399" t="s">
        <v>533</v>
      </c>
      <c r="AN1399">
        <v>-116.891441</v>
      </c>
      <c r="AO1399">
        <v>25</v>
      </c>
      <c r="AP1399">
        <v>2500</v>
      </c>
      <c r="AQ1399" t="s">
        <v>129</v>
      </c>
      <c r="AR1399">
        <v>101</v>
      </c>
      <c r="AS1399">
        <v>-59</v>
      </c>
      <c r="AT1399">
        <v>448</v>
      </c>
      <c r="BB1399">
        <v>1200</v>
      </c>
      <c r="BC1399">
        <v>1</v>
      </c>
      <c r="BD1399" t="str">
        <f t="shared" si="468"/>
        <v xml:space="preserve">N887QR  </v>
      </c>
      <c r="BE1399">
        <v>1</v>
      </c>
      <c r="BG1399">
        <v>0</v>
      </c>
      <c r="BH1399">
        <v>0</v>
      </c>
      <c r="BI1399">
        <v>0</v>
      </c>
      <c r="BJ1399">
        <v>2250</v>
      </c>
      <c r="BK1399">
        <v>-250</v>
      </c>
      <c r="BL1399" t="s">
        <v>163</v>
      </c>
      <c r="BM1399">
        <v>1</v>
      </c>
      <c r="BN1399">
        <v>1</v>
      </c>
      <c r="BO1399">
        <v>1</v>
      </c>
      <c r="BP1399">
        <v>0</v>
      </c>
      <c r="BS1399">
        <v>0</v>
      </c>
      <c r="BT1399">
        <v>0</v>
      </c>
      <c r="BU1399">
        <v>0</v>
      </c>
      <c r="CE1399" t="str">
        <f t="shared" si="485"/>
        <v>19:29:17.426</v>
      </c>
      <c r="CF1399">
        <v>426408670</v>
      </c>
      <c r="CS1399">
        <v>3</v>
      </c>
      <c r="CT1399">
        <v>2</v>
      </c>
      <c r="CU1399">
        <v>0</v>
      </c>
      <c r="CV1399">
        <v>2</v>
      </c>
      <c r="CW1399">
        <v>0</v>
      </c>
      <c r="CX1399">
        <v>6</v>
      </c>
      <c r="CY1399">
        <v>7</v>
      </c>
      <c r="CZ1399" t="s">
        <v>131</v>
      </c>
      <c r="DA1399">
        <v>300</v>
      </c>
      <c r="DB1399">
        <v>0</v>
      </c>
      <c r="DC1399" t="s">
        <v>176</v>
      </c>
      <c r="DD1399" t="s">
        <v>177</v>
      </c>
      <c r="DG1399">
        <v>5385828</v>
      </c>
      <c r="DI1399">
        <v>0</v>
      </c>
      <c r="DJ1399">
        <v>0</v>
      </c>
      <c r="DK1399">
        <v>1</v>
      </c>
      <c r="DL1399">
        <v>0</v>
      </c>
      <c r="DM1399">
        <v>0</v>
      </c>
      <c r="DN1399">
        <v>1</v>
      </c>
      <c r="DO1399">
        <v>0</v>
      </c>
      <c r="DP1399">
        <v>0</v>
      </c>
      <c r="DQ1399">
        <v>0</v>
      </c>
      <c r="DR1399">
        <v>0</v>
      </c>
      <c r="DS1399">
        <v>0</v>
      </c>
    </row>
    <row r="1400" spans="1:123" x14ac:dyDescent="0.3">
      <c r="A1400" t="str">
        <f t="shared" si="486"/>
        <v>10/04/2022 19:29:17.775</v>
      </c>
      <c r="C1400" t="str">
        <f t="shared" si="481"/>
        <v>FFDFD3C0</v>
      </c>
      <c r="D1400" t="s">
        <v>143</v>
      </c>
      <c r="E1400">
        <v>20</v>
      </c>
      <c r="F1400">
        <v>1020</v>
      </c>
      <c r="G1400" t="s">
        <v>144</v>
      </c>
      <c r="J1400" t="s">
        <v>145</v>
      </c>
      <c r="K1400">
        <v>0</v>
      </c>
      <c r="L1400">
        <v>3</v>
      </c>
      <c r="M1400">
        <v>0</v>
      </c>
      <c r="N1400">
        <v>2</v>
      </c>
      <c r="O1400">
        <v>0</v>
      </c>
      <c r="P1400">
        <v>1</v>
      </c>
      <c r="Q1400">
        <v>0</v>
      </c>
      <c r="S1400" t="str">
        <f t="shared" si="484"/>
        <v>19:29:17.000</v>
      </c>
      <c r="T1400" t="str">
        <f t="shared" si="484"/>
        <v>19:29:17.000</v>
      </c>
      <c r="U1400" t="str">
        <f t="shared" si="467"/>
        <v>AC3944</v>
      </c>
      <c r="V1400">
        <v>0</v>
      </c>
      <c r="W1400">
        <v>0</v>
      </c>
      <c r="X1400">
        <v>2</v>
      </c>
      <c r="Y1400">
        <v>0</v>
      </c>
      <c r="AA1400">
        <v>1</v>
      </c>
      <c r="AB1400">
        <v>8</v>
      </c>
      <c r="AC1400">
        <v>3</v>
      </c>
      <c r="AD1400">
        <v>0</v>
      </c>
      <c r="AE1400">
        <v>9</v>
      </c>
      <c r="AF1400" t="s">
        <v>138</v>
      </c>
      <c r="AG1400">
        <v>0</v>
      </c>
      <c r="AH1400">
        <v>3</v>
      </c>
      <c r="AI1400">
        <v>1</v>
      </c>
      <c r="AJ1400">
        <v>0</v>
      </c>
      <c r="AK1400" t="s">
        <v>532</v>
      </c>
      <c r="AL1400">
        <v>32.803094000000002</v>
      </c>
      <c r="AM1400" t="s">
        <v>533</v>
      </c>
      <c r="AN1400">
        <v>-116.891441</v>
      </c>
      <c r="AO1400">
        <v>25</v>
      </c>
      <c r="AP1400">
        <v>2500</v>
      </c>
      <c r="AQ1400" t="s">
        <v>129</v>
      </c>
      <c r="AR1400">
        <v>101</v>
      </c>
      <c r="AS1400">
        <v>-59</v>
      </c>
      <c r="AT1400">
        <v>448</v>
      </c>
      <c r="BB1400">
        <v>1200</v>
      </c>
      <c r="BC1400">
        <v>1</v>
      </c>
      <c r="BD1400" t="str">
        <f t="shared" si="468"/>
        <v xml:space="preserve">N887QR  </v>
      </c>
      <c r="BE1400">
        <v>1</v>
      </c>
      <c r="BG1400">
        <v>0</v>
      </c>
      <c r="BH1400">
        <v>0</v>
      </c>
      <c r="BI1400">
        <v>0</v>
      </c>
      <c r="BJ1400">
        <v>2250</v>
      </c>
      <c r="BK1400">
        <v>-250</v>
      </c>
      <c r="BL1400" t="s">
        <v>163</v>
      </c>
      <c r="BM1400">
        <v>1</v>
      </c>
      <c r="BN1400">
        <v>1</v>
      </c>
      <c r="BO1400">
        <v>1</v>
      </c>
      <c r="BP1400">
        <v>0</v>
      </c>
      <c r="BS1400">
        <v>0</v>
      </c>
      <c r="BT1400">
        <v>0</v>
      </c>
      <c r="BU1400">
        <v>0</v>
      </c>
      <c r="CE1400" t="str">
        <f t="shared" si="485"/>
        <v>19:29:17.426</v>
      </c>
      <c r="CF1400">
        <v>426408670</v>
      </c>
      <c r="CS1400">
        <v>3</v>
      </c>
      <c r="CT1400">
        <v>2</v>
      </c>
      <c r="CU1400">
        <v>0</v>
      </c>
      <c r="CV1400">
        <v>2</v>
      </c>
      <c r="CW1400">
        <v>0</v>
      </c>
      <c r="CX1400">
        <v>6</v>
      </c>
      <c r="CY1400">
        <v>7</v>
      </c>
      <c r="CZ1400" t="s">
        <v>131</v>
      </c>
      <c r="DA1400">
        <v>300</v>
      </c>
      <c r="DB1400">
        <v>0</v>
      </c>
      <c r="DC1400" t="s">
        <v>176</v>
      </c>
      <c r="DD1400" t="s">
        <v>177</v>
      </c>
      <c r="DG1400">
        <v>5385828</v>
      </c>
      <c r="DI1400">
        <v>0</v>
      </c>
      <c r="DJ1400">
        <v>0</v>
      </c>
      <c r="DK1400">
        <v>1</v>
      </c>
      <c r="DL1400">
        <v>0</v>
      </c>
      <c r="DM1400">
        <v>0</v>
      </c>
      <c r="DN1400">
        <v>1</v>
      </c>
      <c r="DO1400">
        <v>0</v>
      </c>
      <c r="DP1400">
        <v>0</v>
      </c>
      <c r="DQ1400">
        <v>0</v>
      </c>
      <c r="DR1400">
        <v>0</v>
      </c>
      <c r="DS1400">
        <v>0</v>
      </c>
    </row>
    <row r="1401" spans="1:123" x14ac:dyDescent="0.3">
      <c r="A1401" t="str">
        <f>"10/04/2022 19:29:18.666"</f>
        <v>10/04/2022 19:29:18.666</v>
      </c>
      <c r="C1401" t="str">
        <f t="shared" si="481"/>
        <v>FFDFD3C0</v>
      </c>
      <c r="D1401" t="s">
        <v>147</v>
      </c>
      <c r="E1401">
        <v>3</v>
      </c>
      <c r="H1401">
        <v>166</v>
      </c>
      <c r="I1401" t="s">
        <v>144</v>
      </c>
      <c r="J1401" t="s">
        <v>148</v>
      </c>
      <c r="K1401">
        <v>0</v>
      </c>
      <c r="L1401">
        <v>3</v>
      </c>
      <c r="M1401">
        <v>0</v>
      </c>
      <c r="N1401">
        <v>2</v>
      </c>
      <c r="O1401">
        <v>0</v>
      </c>
      <c r="P1401">
        <v>1</v>
      </c>
      <c r="Q1401">
        <v>0</v>
      </c>
      <c r="S1401" t="str">
        <f t="shared" ref="S1401:T1407" si="487">"19:29:18.000"</f>
        <v>19:29:18.000</v>
      </c>
      <c r="T1401" t="str">
        <f t="shared" si="487"/>
        <v>19:29:18.000</v>
      </c>
      <c r="U1401" t="str">
        <f t="shared" si="467"/>
        <v>AC3944</v>
      </c>
      <c r="V1401">
        <v>0</v>
      </c>
      <c r="W1401">
        <v>0</v>
      </c>
      <c r="X1401">
        <v>2</v>
      </c>
      <c r="Y1401">
        <v>0</v>
      </c>
      <c r="AA1401">
        <v>1</v>
      </c>
      <c r="AB1401">
        <v>8</v>
      </c>
      <c r="AC1401">
        <v>3</v>
      </c>
      <c r="AD1401">
        <v>0</v>
      </c>
      <c r="AE1401">
        <v>9</v>
      </c>
      <c r="AF1401" t="s">
        <v>138</v>
      </c>
      <c r="AG1401">
        <v>0</v>
      </c>
      <c r="AH1401">
        <v>3</v>
      </c>
      <c r="AI1401">
        <v>1</v>
      </c>
      <c r="AJ1401">
        <v>0</v>
      </c>
      <c r="AK1401" t="s">
        <v>534</v>
      </c>
      <c r="AL1401">
        <v>32.802815000000002</v>
      </c>
      <c r="AM1401" t="s">
        <v>535</v>
      </c>
      <c r="AN1401">
        <v>-116.890883</v>
      </c>
      <c r="AO1401">
        <v>25</v>
      </c>
      <c r="AP1401">
        <v>2500</v>
      </c>
      <c r="AQ1401" t="s">
        <v>129</v>
      </c>
      <c r="AR1401">
        <v>100</v>
      </c>
      <c r="AS1401">
        <v>-61</v>
      </c>
      <c r="AT1401">
        <v>384</v>
      </c>
      <c r="BB1401">
        <v>1200</v>
      </c>
      <c r="BC1401">
        <v>1</v>
      </c>
      <c r="BD1401" t="str">
        <f t="shared" si="468"/>
        <v xml:space="preserve">N887QR  </v>
      </c>
      <c r="BE1401">
        <v>1</v>
      </c>
      <c r="BG1401">
        <v>0</v>
      </c>
      <c r="BH1401">
        <v>0</v>
      </c>
      <c r="BI1401">
        <v>0</v>
      </c>
      <c r="BJ1401">
        <v>2250</v>
      </c>
      <c r="BK1401">
        <v>-250</v>
      </c>
      <c r="BL1401" t="s">
        <v>163</v>
      </c>
      <c r="BM1401">
        <v>1</v>
      </c>
      <c r="BN1401">
        <v>1</v>
      </c>
      <c r="BO1401">
        <v>1</v>
      </c>
      <c r="BP1401">
        <v>0</v>
      </c>
      <c r="BS1401">
        <v>0</v>
      </c>
      <c r="BT1401">
        <v>0</v>
      </c>
      <c r="BU1401">
        <v>0</v>
      </c>
      <c r="CE1401" t="str">
        <f t="shared" ref="CE1401:CE1407" si="488">"19:29:18.469"</f>
        <v>19:29:18.469</v>
      </c>
      <c r="CF1401">
        <v>468912102</v>
      </c>
      <c r="CS1401">
        <v>3</v>
      </c>
      <c r="CT1401">
        <v>2</v>
      </c>
      <c r="CU1401">
        <v>0</v>
      </c>
      <c r="CV1401">
        <v>2</v>
      </c>
      <c r="CW1401">
        <v>0</v>
      </c>
      <c r="CX1401">
        <v>6</v>
      </c>
      <c r="CY1401">
        <v>7</v>
      </c>
      <c r="CZ1401" t="s">
        <v>131</v>
      </c>
      <c r="DA1401">
        <v>300</v>
      </c>
      <c r="DB1401">
        <v>0</v>
      </c>
      <c r="DC1401" t="s">
        <v>176</v>
      </c>
      <c r="DD1401" t="s">
        <v>177</v>
      </c>
      <c r="DG1401">
        <v>5385991</v>
      </c>
      <c r="DI1401">
        <v>0</v>
      </c>
      <c r="DJ1401">
        <v>0</v>
      </c>
      <c r="DK1401">
        <v>0</v>
      </c>
      <c r="DL1401">
        <v>0</v>
      </c>
      <c r="DM1401">
        <v>0</v>
      </c>
      <c r="DN1401">
        <v>1</v>
      </c>
      <c r="DO1401">
        <v>0</v>
      </c>
      <c r="DP1401">
        <v>0</v>
      </c>
      <c r="DQ1401">
        <v>0</v>
      </c>
      <c r="DR1401">
        <v>0</v>
      </c>
      <c r="DS1401">
        <v>0</v>
      </c>
    </row>
    <row r="1402" spans="1:123" x14ac:dyDescent="0.3">
      <c r="A1402" t="str">
        <f>"10/04/2022 19:29:18.681"</f>
        <v>10/04/2022 19:29:18.681</v>
      </c>
      <c r="C1402" t="str">
        <f t="shared" si="481"/>
        <v>FFDFD3C0</v>
      </c>
      <c r="D1402" t="s">
        <v>134</v>
      </c>
      <c r="E1402">
        <v>15</v>
      </c>
      <c r="J1402" t="s">
        <v>135</v>
      </c>
      <c r="K1402">
        <v>0</v>
      </c>
      <c r="L1402">
        <v>3</v>
      </c>
      <c r="M1402">
        <v>0</v>
      </c>
      <c r="N1402">
        <v>2</v>
      </c>
      <c r="O1402">
        <v>0</v>
      </c>
      <c r="P1402">
        <v>1</v>
      </c>
      <c r="Q1402">
        <v>0</v>
      </c>
      <c r="S1402" t="str">
        <f t="shared" si="487"/>
        <v>19:29:18.000</v>
      </c>
      <c r="T1402" t="str">
        <f t="shared" si="487"/>
        <v>19:29:18.000</v>
      </c>
      <c r="U1402" t="str">
        <f t="shared" si="467"/>
        <v>AC3944</v>
      </c>
      <c r="V1402">
        <v>0</v>
      </c>
      <c r="W1402">
        <v>0</v>
      </c>
      <c r="X1402">
        <v>2</v>
      </c>
      <c r="Y1402">
        <v>0</v>
      </c>
      <c r="AA1402">
        <v>1</v>
      </c>
      <c r="AB1402">
        <v>8</v>
      </c>
      <c r="AC1402">
        <v>3</v>
      </c>
      <c r="AD1402">
        <v>0</v>
      </c>
      <c r="AE1402">
        <v>9</v>
      </c>
      <c r="AF1402" t="s">
        <v>138</v>
      </c>
      <c r="AG1402">
        <v>0</v>
      </c>
      <c r="AH1402">
        <v>3</v>
      </c>
      <c r="AI1402">
        <v>1</v>
      </c>
      <c r="AJ1402">
        <v>0</v>
      </c>
      <c r="AK1402" t="s">
        <v>534</v>
      </c>
      <c r="AL1402">
        <v>32.802815000000002</v>
      </c>
      <c r="AM1402" t="s">
        <v>535</v>
      </c>
      <c r="AN1402">
        <v>-116.890883</v>
      </c>
      <c r="AO1402">
        <v>25</v>
      </c>
      <c r="AP1402">
        <v>2500</v>
      </c>
      <c r="AQ1402" t="s">
        <v>129</v>
      </c>
      <c r="AR1402">
        <v>100</v>
      </c>
      <c r="AS1402">
        <v>-61</v>
      </c>
      <c r="AT1402">
        <v>384</v>
      </c>
      <c r="BB1402">
        <v>1200</v>
      </c>
      <c r="BC1402">
        <v>1</v>
      </c>
      <c r="BD1402" t="str">
        <f t="shared" si="468"/>
        <v xml:space="preserve">N887QR  </v>
      </c>
      <c r="BE1402">
        <v>1</v>
      </c>
      <c r="BG1402">
        <v>0</v>
      </c>
      <c r="BH1402">
        <v>0</v>
      </c>
      <c r="BI1402">
        <v>0</v>
      </c>
      <c r="BJ1402">
        <v>2250</v>
      </c>
      <c r="BK1402">
        <v>-250</v>
      </c>
      <c r="BL1402" t="s">
        <v>163</v>
      </c>
      <c r="BM1402">
        <v>1</v>
      </c>
      <c r="BN1402">
        <v>1</v>
      </c>
      <c r="BO1402">
        <v>1</v>
      </c>
      <c r="BP1402">
        <v>0</v>
      </c>
      <c r="BS1402">
        <v>0</v>
      </c>
      <c r="BT1402">
        <v>0</v>
      </c>
      <c r="BU1402">
        <v>0</v>
      </c>
      <c r="CE1402" t="str">
        <f t="shared" si="488"/>
        <v>19:29:18.469</v>
      </c>
      <c r="CF1402">
        <v>468912102</v>
      </c>
      <c r="CS1402">
        <v>3</v>
      </c>
      <c r="CT1402">
        <v>2</v>
      </c>
      <c r="CU1402">
        <v>0</v>
      </c>
      <c r="CV1402">
        <v>2</v>
      </c>
      <c r="CW1402">
        <v>0</v>
      </c>
      <c r="CX1402">
        <v>6</v>
      </c>
      <c r="CY1402">
        <v>7</v>
      </c>
      <c r="CZ1402" t="s">
        <v>131</v>
      </c>
      <c r="DA1402">
        <v>300</v>
      </c>
      <c r="DB1402">
        <v>0</v>
      </c>
      <c r="DC1402" t="s">
        <v>176</v>
      </c>
      <c r="DD1402" t="s">
        <v>177</v>
      </c>
      <c r="DG1402">
        <v>5385991</v>
      </c>
      <c r="DI1402">
        <v>0</v>
      </c>
      <c r="DJ1402">
        <v>0</v>
      </c>
      <c r="DK1402">
        <v>1</v>
      </c>
      <c r="DL1402">
        <v>0</v>
      </c>
      <c r="DM1402">
        <v>0</v>
      </c>
      <c r="DN1402">
        <v>1</v>
      </c>
      <c r="DO1402">
        <v>0</v>
      </c>
      <c r="DP1402">
        <v>0</v>
      </c>
      <c r="DQ1402">
        <v>0</v>
      </c>
      <c r="DR1402">
        <v>0</v>
      </c>
      <c r="DS1402">
        <v>0</v>
      </c>
    </row>
    <row r="1403" spans="1:123" x14ac:dyDescent="0.3">
      <c r="A1403" t="str">
        <f>"10/04/2022 19:29:18.681"</f>
        <v>10/04/2022 19:29:18.681</v>
      </c>
      <c r="C1403" t="str">
        <f t="shared" si="481"/>
        <v>FFDFD3C0</v>
      </c>
      <c r="D1403" t="s">
        <v>141</v>
      </c>
      <c r="E1403">
        <v>3</v>
      </c>
      <c r="H1403">
        <v>3</v>
      </c>
      <c r="I1403" t="s">
        <v>146</v>
      </c>
      <c r="J1403" t="s">
        <v>138</v>
      </c>
      <c r="K1403">
        <v>0</v>
      </c>
      <c r="L1403">
        <v>3</v>
      </c>
      <c r="M1403">
        <v>0</v>
      </c>
      <c r="N1403">
        <v>2</v>
      </c>
      <c r="O1403">
        <v>0</v>
      </c>
      <c r="P1403">
        <v>1</v>
      </c>
      <c r="Q1403">
        <v>0</v>
      </c>
      <c r="S1403" t="str">
        <f t="shared" si="487"/>
        <v>19:29:18.000</v>
      </c>
      <c r="T1403" t="str">
        <f t="shared" si="487"/>
        <v>19:29:18.000</v>
      </c>
      <c r="U1403" t="str">
        <f t="shared" si="467"/>
        <v>AC3944</v>
      </c>
      <c r="V1403">
        <v>0</v>
      </c>
      <c r="W1403">
        <v>0</v>
      </c>
      <c r="X1403">
        <v>2</v>
      </c>
      <c r="Y1403">
        <v>0</v>
      </c>
      <c r="AA1403">
        <v>1</v>
      </c>
      <c r="AB1403">
        <v>8</v>
      </c>
      <c r="AC1403">
        <v>3</v>
      </c>
      <c r="AD1403">
        <v>0</v>
      </c>
      <c r="AE1403">
        <v>9</v>
      </c>
      <c r="AF1403" t="s">
        <v>138</v>
      </c>
      <c r="AG1403">
        <v>0</v>
      </c>
      <c r="AH1403">
        <v>3</v>
      </c>
      <c r="AI1403">
        <v>1</v>
      </c>
      <c r="AJ1403">
        <v>0</v>
      </c>
      <c r="AK1403" t="s">
        <v>534</v>
      </c>
      <c r="AL1403">
        <v>32.802815000000002</v>
      </c>
      <c r="AM1403" t="s">
        <v>535</v>
      </c>
      <c r="AN1403">
        <v>-116.890883</v>
      </c>
      <c r="AO1403">
        <v>25</v>
      </c>
      <c r="AP1403">
        <v>2500</v>
      </c>
      <c r="AQ1403" t="s">
        <v>129</v>
      </c>
      <c r="AR1403">
        <v>100</v>
      </c>
      <c r="AS1403">
        <v>-61</v>
      </c>
      <c r="AT1403">
        <v>384</v>
      </c>
      <c r="BB1403">
        <v>1200</v>
      </c>
      <c r="BC1403">
        <v>1</v>
      </c>
      <c r="BD1403" t="str">
        <f t="shared" si="468"/>
        <v xml:space="preserve">N887QR  </v>
      </c>
      <c r="BE1403">
        <v>1</v>
      </c>
      <c r="BG1403">
        <v>0</v>
      </c>
      <c r="BH1403">
        <v>0</v>
      </c>
      <c r="BI1403">
        <v>0</v>
      </c>
      <c r="BJ1403">
        <v>2250</v>
      </c>
      <c r="BK1403">
        <v>-250</v>
      </c>
      <c r="BL1403" t="s">
        <v>163</v>
      </c>
      <c r="BM1403">
        <v>1</v>
      </c>
      <c r="BN1403">
        <v>1</v>
      </c>
      <c r="BO1403">
        <v>1</v>
      </c>
      <c r="BP1403">
        <v>0</v>
      </c>
      <c r="BS1403">
        <v>0</v>
      </c>
      <c r="BT1403">
        <v>0</v>
      </c>
      <c r="BU1403">
        <v>0</v>
      </c>
      <c r="CE1403" t="str">
        <f t="shared" si="488"/>
        <v>19:29:18.469</v>
      </c>
      <c r="CF1403">
        <v>468912102</v>
      </c>
      <c r="CS1403">
        <v>3</v>
      </c>
      <c r="CT1403">
        <v>2</v>
      </c>
      <c r="CU1403">
        <v>0</v>
      </c>
      <c r="CV1403">
        <v>2</v>
      </c>
      <c r="CW1403">
        <v>0</v>
      </c>
      <c r="CX1403">
        <v>6</v>
      </c>
      <c r="CY1403">
        <v>7</v>
      </c>
      <c r="CZ1403" t="s">
        <v>131</v>
      </c>
      <c r="DA1403">
        <v>300</v>
      </c>
      <c r="DB1403">
        <v>0</v>
      </c>
      <c r="DC1403" t="s">
        <v>176</v>
      </c>
      <c r="DD1403" t="s">
        <v>177</v>
      </c>
      <c r="DG1403">
        <v>5385991</v>
      </c>
      <c r="DI1403">
        <v>0</v>
      </c>
      <c r="DJ1403">
        <v>0</v>
      </c>
      <c r="DK1403">
        <v>1</v>
      </c>
      <c r="DL1403">
        <v>0</v>
      </c>
      <c r="DM1403">
        <v>0</v>
      </c>
      <c r="DN1403">
        <v>1</v>
      </c>
      <c r="DO1403">
        <v>0</v>
      </c>
      <c r="DP1403">
        <v>0</v>
      </c>
      <c r="DQ1403">
        <v>0</v>
      </c>
      <c r="DR1403">
        <v>0</v>
      </c>
      <c r="DS1403">
        <v>0</v>
      </c>
    </row>
    <row r="1404" spans="1:123" x14ac:dyDescent="0.3">
      <c r="A1404" t="str">
        <f>"10/04/2022 19:29:18.681"</f>
        <v>10/04/2022 19:29:18.681</v>
      </c>
      <c r="C1404" t="str">
        <f t="shared" si="481"/>
        <v>FFDFD3C0</v>
      </c>
      <c r="D1404" t="s">
        <v>141</v>
      </c>
      <c r="E1404">
        <v>4</v>
      </c>
      <c r="H1404">
        <v>4</v>
      </c>
      <c r="I1404" t="s">
        <v>142</v>
      </c>
      <c r="J1404" t="s">
        <v>138</v>
      </c>
      <c r="K1404">
        <v>0</v>
      </c>
      <c r="L1404">
        <v>3</v>
      </c>
      <c r="M1404">
        <v>0</v>
      </c>
      <c r="N1404">
        <v>2</v>
      </c>
      <c r="O1404">
        <v>0</v>
      </c>
      <c r="P1404">
        <v>1</v>
      </c>
      <c r="Q1404">
        <v>0</v>
      </c>
      <c r="S1404" t="str">
        <f t="shared" si="487"/>
        <v>19:29:18.000</v>
      </c>
      <c r="T1404" t="str">
        <f t="shared" si="487"/>
        <v>19:29:18.000</v>
      </c>
      <c r="U1404" t="str">
        <f t="shared" si="467"/>
        <v>AC3944</v>
      </c>
      <c r="V1404">
        <v>0</v>
      </c>
      <c r="W1404">
        <v>0</v>
      </c>
      <c r="X1404">
        <v>2</v>
      </c>
      <c r="Y1404">
        <v>0</v>
      </c>
      <c r="AA1404">
        <v>1</v>
      </c>
      <c r="AB1404">
        <v>8</v>
      </c>
      <c r="AC1404">
        <v>3</v>
      </c>
      <c r="AD1404">
        <v>0</v>
      </c>
      <c r="AE1404">
        <v>9</v>
      </c>
      <c r="AF1404" t="s">
        <v>138</v>
      </c>
      <c r="AG1404">
        <v>0</v>
      </c>
      <c r="AH1404">
        <v>3</v>
      </c>
      <c r="AI1404">
        <v>1</v>
      </c>
      <c r="AJ1404">
        <v>0</v>
      </c>
      <c r="AK1404" t="s">
        <v>534</v>
      </c>
      <c r="AL1404">
        <v>32.802815000000002</v>
      </c>
      <c r="AM1404" t="s">
        <v>535</v>
      </c>
      <c r="AN1404">
        <v>-116.890883</v>
      </c>
      <c r="AO1404">
        <v>25</v>
      </c>
      <c r="AP1404">
        <v>2500</v>
      </c>
      <c r="AQ1404" t="s">
        <v>129</v>
      </c>
      <c r="AR1404">
        <v>100</v>
      </c>
      <c r="AS1404">
        <v>-61</v>
      </c>
      <c r="AT1404">
        <v>384</v>
      </c>
      <c r="BB1404">
        <v>1200</v>
      </c>
      <c r="BC1404">
        <v>1</v>
      </c>
      <c r="BD1404" t="str">
        <f t="shared" si="468"/>
        <v xml:space="preserve">N887QR  </v>
      </c>
      <c r="BE1404">
        <v>1</v>
      </c>
      <c r="BG1404">
        <v>0</v>
      </c>
      <c r="BH1404">
        <v>0</v>
      </c>
      <c r="BI1404">
        <v>0</v>
      </c>
      <c r="BJ1404">
        <v>2250</v>
      </c>
      <c r="BK1404">
        <v>-250</v>
      </c>
      <c r="BL1404" t="s">
        <v>163</v>
      </c>
      <c r="BM1404">
        <v>1</v>
      </c>
      <c r="BN1404">
        <v>1</v>
      </c>
      <c r="BO1404">
        <v>1</v>
      </c>
      <c r="BP1404">
        <v>0</v>
      </c>
      <c r="BS1404">
        <v>0</v>
      </c>
      <c r="BT1404">
        <v>0</v>
      </c>
      <c r="BU1404">
        <v>0</v>
      </c>
      <c r="CE1404" t="str">
        <f t="shared" si="488"/>
        <v>19:29:18.469</v>
      </c>
      <c r="CF1404">
        <v>468912102</v>
      </c>
      <c r="CS1404">
        <v>3</v>
      </c>
      <c r="CT1404">
        <v>2</v>
      </c>
      <c r="CU1404">
        <v>0</v>
      </c>
      <c r="CV1404">
        <v>2</v>
      </c>
      <c r="CW1404">
        <v>0</v>
      </c>
      <c r="CX1404">
        <v>6</v>
      </c>
      <c r="CY1404">
        <v>7</v>
      </c>
      <c r="CZ1404" t="s">
        <v>131</v>
      </c>
      <c r="DA1404">
        <v>300</v>
      </c>
      <c r="DB1404">
        <v>0</v>
      </c>
      <c r="DC1404" t="s">
        <v>176</v>
      </c>
      <c r="DD1404" t="s">
        <v>177</v>
      </c>
      <c r="DG1404">
        <v>5385991</v>
      </c>
      <c r="DI1404">
        <v>0</v>
      </c>
      <c r="DJ1404">
        <v>0</v>
      </c>
      <c r="DK1404">
        <v>1</v>
      </c>
      <c r="DL1404">
        <v>0</v>
      </c>
      <c r="DM1404">
        <v>0</v>
      </c>
      <c r="DN1404">
        <v>1</v>
      </c>
      <c r="DO1404">
        <v>0</v>
      </c>
      <c r="DP1404">
        <v>0</v>
      </c>
      <c r="DQ1404">
        <v>0</v>
      </c>
      <c r="DR1404">
        <v>0</v>
      </c>
      <c r="DS1404">
        <v>0</v>
      </c>
    </row>
    <row r="1405" spans="1:123" x14ac:dyDescent="0.3">
      <c r="A1405" t="str">
        <f>"10/04/2022 19:29:18.681"</f>
        <v>10/04/2022 19:29:18.681</v>
      </c>
      <c r="C1405" t="str">
        <f t="shared" si="481"/>
        <v>FFDFD3C0</v>
      </c>
      <c r="D1405" t="s">
        <v>136</v>
      </c>
      <c r="E1405">
        <v>8</v>
      </c>
      <c r="H1405">
        <v>225</v>
      </c>
      <c r="I1405" t="s">
        <v>137</v>
      </c>
      <c r="J1405" t="s">
        <v>138</v>
      </c>
      <c r="K1405">
        <v>0</v>
      </c>
      <c r="L1405">
        <v>3</v>
      </c>
      <c r="M1405">
        <v>0</v>
      </c>
      <c r="N1405">
        <v>2</v>
      </c>
      <c r="O1405">
        <v>0</v>
      </c>
      <c r="P1405">
        <v>1</v>
      </c>
      <c r="Q1405">
        <v>0</v>
      </c>
      <c r="S1405" t="str">
        <f t="shared" si="487"/>
        <v>19:29:18.000</v>
      </c>
      <c r="T1405" t="str">
        <f t="shared" si="487"/>
        <v>19:29:18.000</v>
      </c>
      <c r="U1405" t="str">
        <f t="shared" si="467"/>
        <v>AC3944</v>
      </c>
      <c r="V1405">
        <v>0</v>
      </c>
      <c r="W1405">
        <v>0</v>
      </c>
      <c r="X1405">
        <v>2</v>
      </c>
      <c r="Y1405">
        <v>0</v>
      </c>
      <c r="AA1405">
        <v>1</v>
      </c>
      <c r="AB1405">
        <v>8</v>
      </c>
      <c r="AC1405">
        <v>3</v>
      </c>
      <c r="AD1405">
        <v>0</v>
      </c>
      <c r="AE1405">
        <v>9</v>
      </c>
      <c r="AF1405" t="s">
        <v>138</v>
      </c>
      <c r="AG1405">
        <v>0</v>
      </c>
      <c r="AH1405">
        <v>3</v>
      </c>
      <c r="AI1405">
        <v>1</v>
      </c>
      <c r="AJ1405">
        <v>0</v>
      </c>
      <c r="AK1405" t="s">
        <v>534</v>
      </c>
      <c r="AL1405">
        <v>32.802815000000002</v>
      </c>
      <c r="AM1405" t="s">
        <v>535</v>
      </c>
      <c r="AN1405">
        <v>-116.890883</v>
      </c>
      <c r="AO1405">
        <v>25</v>
      </c>
      <c r="AP1405">
        <v>2500</v>
      </c>
      <c r="AQ1405" t="s">
        <v>129</v>
      </c>
      <c r="AR1405">
        <v>100</v>
      </c>
      <c r="AS1405">
        <v>-61</v>
      </c>
      <c r="AT1405">
        <v>384</v>
      </c>
      <c r="BB1405">
        <v>1200</v>
      </c>
      <c r="BC1405">
        <v>1</v>
      </c>
      <c r="BD1405" t="str">
        <f t="shared" si="468"/>
        <v xml:space="preserve">N887QR  </v>
      </c>
      <c r="BE1405">
        <v>1</v>
      </c>
      <c r="BG1405">
        <v>0</v>
      </c>
      <c r="BH1405">
        <v>0</v>
      </c>
      <c r="BI1405">
        <v>0</v>
      </c>
      <c r="BJ1405">
        <v>2250</v>
      </c>
      <c r="BK1405">
        <v>-250</v>
      </c>
      <c r="BL1405" t="s">
        <v>163</v>
      </c>
      <c r="BM1405">
        <v>1</v>
      </c>
      <c r="BN1405">
        <v>1</v>
      </c>
      <c r="BO1405">
        <v>1</v>
      </c>
      <c r="BP1405">
        <v>0</v>
      </c>
      <c r="BS1405">
        <v>0</v>
      </c>
      <c r="BT1405">
        <v>0</v>
      </c>
      <c r="BU1405">
        <v>0</v>
      </c>
      <c r="CE1405" t="str">
        <f t="shared" si="488"/>
        <v>19:29:18.469</v>
      </c>
      <c r="CF1405">
        <v>468912102</v>
      </c>
      <c r="CS1405">
        <v>3</v>
      </c>
      <c r="CT1405">
        <v>2</v>
      </c>
      <c r="CU1405">
        <v>0</v>
      </c>
      <c r="CV1405">
        <v>2</v>
      </c>
      <c r="CW1405">
        <v>0</v>
      </c>
      <c r="CX1405">
        <v>6</v>
      </c>
      <c r="CY1405">
        <v>7</v>
      </c>
      <c r="CZ1405" t="s">
        <v>131</v>
      </c>
      <c r="DA1405">
        <v>300</v>
      </c>
      <c r="DB1405">
        <v>0</v>
      </c>
      <c r="DC1405" t="s">
        <v>176</v>
      </c>
      <c r="DD1405" t="s">
        <v>177</v>
      </c>
      <c r="DG1405">
        <v>5385991</v>
      </c>
      <c r="DI1405">
        <v>0</v>
      </c>
      <c r="DJ1405">
        <v>0</v>
      </c>
      <c r="DK1405">
        <v>1</v>
      </c>
      <c r="DL1405">
        <v>0</v>
      </c>
      <c r="DM1405">
        <v>0</v>
      </c>
      <c r="DN1405">
        <v>1</v>
      </c>
      <c r="DO1405">
        <v>0</v>
      </c>
      <c r="DP1405">
        <v>0</v>
      </c>
      <c r="DQ1405">
        <v>0</v>
      </c>
      <c r="DR1405">
        <v>0</v>
      </c>
      <c r="DS1405">
        <v>0</v>
      </c>
    </row>
    <row r="1406" spans="1:123" x14ac:dyDescent="0.3">
      <c r="A1406" t="str">
        <f>"10/04/2022 19:29:18.728"</f>
        <v>10/04/2022 19:29:18.728</v>
      </c>
      <c r="C1406" t="str">
        <f t="shared" si="481"/>
        <v>FFDFD3C0</v>
      </c>
      <c r="D1406" t="s">
        <v>143</v>
      </c>
      <c r="E1406">
        <v>20</v>
      </c>
      <c r="F1406">
        <v>1020</v>
      </c>
      <c r="G1406" t="s">
        <v>144</v>
      </c>
      <c r="J1406" t="s">
        <v>145</v>
      </c>
      <c r="K1406">
        <v>0</v>
      </c>
      <c r="L1406">
        <v>3</v>
      </c>
      <c r="M1406">
        <v>0</v>
      </c>
      <c r="N1406">
        <v>2</v>
      </c>
      <c r="O1406">
        <v>0</v>
      </c>
      <c r="P1406">
        <v>1</v>
      </c>
      <c r="Q1406">
        <v>0</v>
      </c>
      <c r="S1406" t="str">
        <f t="shared" si="487"/>
        <v>19:29:18.000</v>
      </c>
      <c r="T1406" t="str">
        <f t="shared" si="487"/>
        <v>19:29:18.000</v>
      </c>
      <c r="U1406" t="str">
        <f t="shared" si="467"/>
        <v>AC3944</v>
      </c>
      <c r="V1406">
        <v>0</v>
      </c>
      <c r="W1406">
        <v>0</v>
      </c>
      <c r="X1406">
        <v>2</v>
      </c>
      <c r="Y1406">
        <v>0</v>
      </c>
      <c r="AA1406">
        <v>1</v>
      </c>
      <c r="AB1406">
        <v>8</v>
      </c>
      <c r="AC1406">
        <v>3</v>
      </c>
      <c r="AD1406">
        <v>0</v>
      </c>
      <c r="AE1406">
        <v>9</v>
      </c>
      <c r="AF1406" t="s">
        <v>138</v>
      </c>
      <c r="AG1406">
        <v>0</v>
      </c>
      <c r="AH1406">
        <v>3</v>
      </c>
      <c r="AI1406">
        <v>1</v>
      </c>
      <c r="AJ1406">
        <v>0</v>
      </c>
      <c r="AK1406" t="s">
        <v>534</v>
      </c>
      <c r="AL1406">
        <v>32.802815000000002</v>
      </c>
      <c r="AM1406" t="s">
        <v>535</v>
      </c>
      <c r="AN1406">
        <v>-116.890883</v>
      </c>
      <c r="AO1406">
        <v>25</v>
      </c>
      <c r="AP1406">
        <v>2500</v>
      </c>
      <c r="AQ1406" t="s">
        <v>129</v>
      </c>
      <c r="AR1406">
        <v>100</v>
      </c>
      <c r="AS1406">
        <v>-61</v>
      </c>
      <c r="AT1406">
        <v>384</v>
      </c>
      <c r="BB1406">
        <v>1200</v>
      </c>
      <c r="BC1406">
        <v>1</v>
      </c>
      <c r="BD1406" t="str">
        <f t="shared" si="468"/>
        <v xml:space="preserve">N887QR  </v>
      </c>
      <c r="BE1406">
        <v>1</v>
      </c>
      <c r="BG1406">
        <v>0</v>
      </c>
      <c r="BH1406">
        <v>0</v>
      </c>
      <c r="BI1406">
        <v>0</v>
      </c>
      <c r="BJ1406">
        <v>2250</v>
      </c>
      <c r="BK1406">
        <v>-250</v>
      </c>
      <c r="BL1406" t="s">
        <v>163</v>
      </c>
      <c r="BM1406">
        <v>1</v>
      </c>
      <c r="BN1406">
        <v>1</v>
      </c>
      <c r="BO1406">
        <v>1</v>
      </c>
      <c r="BP1406">
        <v>0</v>
      </c>
      <c r="BS1406">
        <v>0</v>
      </c>
      <c r="BT1406">
        <v>0</v>
      </c>
      <c r="BU1406">
        <v>0</v>
      </c>
      <c r="CE1406" t="str">
        <f t="shared" si="488"/>
        <v>19:29:18.469</v>
      </c>
      <c r="CF1406">
        <v>468912102</v>
      </c>
      <c r="CS1406">
        <v>3</v>
      </c>
      <c r="CT1406">
        <v>2</v>
      </c>
      <c r="CU1406">
        <v>0</v>
      </c>
      <c r="CV1406">
        <v>2</v>
      </c>
      <c r="CW1406">
        <v>0</v>
      </c>
      <c r="CX1406">
        <v>6</v>
      </c>
      <c r="CY1406">
        <v>7</v>
      </c>
      <c r="CZ1406" t="s">
        <v>131</v>
      </c>
      <c r="DA1406">
        <v>300</v>
      </c>
      <c r="DB1406">
        <v>0</v>
      </c>
      <c r="DC1406" t="s">
        <v>176</v>
      </c>
      <c r="DD1406" t="s">
        <v>177</v>
      </c>
      <c r="DG1406">
        <v>5385991</v>
      </c>
      <c r="DI1406">
        <v>0</v>
      </c>
      <c r="DJ1406">
        <v>0</v>
      </c>
      <c r="DK1406">
        <v>1</v>
      </c>
      <c r="DL1406">
        <v>0</v>
      </c>
      <c r="DM1406">
        <v>0</v>
      </c>
      <c r="DN1406">
        <v>1</v>
      </c>
      <c r="DO1406">
        <v>0</v>
      </c>
      <c r="DP1406">
        <v>0</v>
      </c>
      <c r="DQ1406">
        <v>0</v>
      </c>
      <c r="DR1406">
        <v>0</v>
      </c>
      <c r="DS1406">
        <v>0</v>
      </c>
    </row>
    <row r="1407" spans="1:123" x14ac:dyDescent="0.3">
      <c r="A1407" t="str">
        <f>"10/04/2022 19:29:18.728"</f>
        <v>10/04/2022 19:29:18.728</v>
      </c>
      <c r="C1407" t="str">
        <f t="shared" si="481"/>
        <v>FFDFD3C0</v>
      </c>
      <c r="D1407" t="s">
        <v>123</v>
      </c>
      <c r="E1407">
        <v>7</v>
      </c>
      <c r="F1407">
        <v>2007</v>
      </c>
      <c r="G1407" t="s">
        <v>124</v>
      </c>
      <c r="J1407" t="s">
        <v>125</v>
      </c>
      <c r="K1407">
        <v>0</v>
      </c>
      <c r="L1407">
        <v>3</v>
      </c>
      <c r="M1407">
        <v>0</v>
      </c>
      <c r="N1407">
        <v>2</v>
      </c>
      <c r="O1407">
        <v>0</v>
      </c>
      <c r="P1407">
        <v>1</v>
      </c>
      <c r="Q1407">
        <v>0</v>
      </c>
      <c r="S1407" t="str">
        <f t="shared" si="487"/>
        <v>19:29:18.000</v>
      </c>
      <c r="T1407" t="str">
        <f t="shared" si="487"/>
        <v>19:29:18.000</v>
      </c>
      <c r="U1407" t="str">
        <f t="shared" si="467"/>
        <v>AC3944</v>
      </c>
      <c r="V1407">
        <v>0</v>
      </c>
      <c r="W1407">
        <v>0</v>
      </c>
      <c r="X1407">
        <v>2</v>
      </c>
      <c r="Y1407">
        <v>0</v>
      </c>
      <c r="AA1407">
        <v>1</v>
      </c>
      <c r="AB1407">
        <v>8</v>
      </c>
      <c r="AC1407">
        <v>3</v>
      </c>
      <c r="AD1407">
        <v>0</v>
      </c>
      <c r="AE1407">
        <v>9</v>
      </c>
      <c r="AF1407" t="s">
        <v>138</v>
      </c>
      <c r="AG1407">
        <v>0</v>
      </c>
      <c r="AH1407">
        <v>3</v>
      </c>
      <c r="AI1407">
        <v>1</v>
      </c>
      <c r="AJ1407">
        <v>0</v>
      </c>
      <c r="AK1407" t="s">
        <v>534</v>
      </c>
      <c r="AL1407">
        <v>32.802815000000002</v>
      </c>
      <c r="AM1407" t="s">
        <v>535</v>
      </c>
      <c r="AN1407">
        <v>-116.890883</v>
      </c>
      <c r="AO1407">
        <v>25</v>
      </c>
      <c r="AP1407">
        <v>2500</v>
      </c>
      <c r="AQ1407" t="s">
        <v>129</v>
      </c>
      <c r="AR1407">
        <v>100</v>
      </c>
      <c r="AS1407">
        <v>-61</v>
      </c>
      <c r="AT1407">
        <v>384</v>
      </c>
      <c r="BB1407">
        <v>1200</v>
      </c>
      <c r="BC1407">
        <v>1</v>
      </c>
      <c r="BD1407" t="str">
        <f t="shared" si="468"/>
        <v xml:space="preserve">N887QR  </v>
      </c>
      <c r="BE1407">
        <v>1</v>
      </c>
      <c r="BG1407">
        <v>0</v>
      </c>
      <c r="BH1407">
        <v>0</v>
      </c>
      <c r="BI1407">
        <v>0</v>
      </c>
      <c r="BJ1407">
        <v>2250</v>
      </c>
      <c r="BK1407">
        <v>-250</v>
      </c>
      <c r="BL1407" t="s">
        <v>163</v>
      </c>
      <c r="BM1407">
        <v>1</v>
      </c>
      <c r="BN1407">
        <v>1</v>
      </c>
      <c r="BO1407">
        <v>1</v>
      </c>
      <c r="BP1407">
        <v>0</v>
      </c>
      <c r="BS1407">
        <v>0</v>
      </c>
      <c r="BT1407">
        <v>0</v>
      </c>
      <c r="BU1407">
        <v>0</v>
      </c>
      <c r="CE1407" t="str">
        <f t="shared" si="488"/>
        <v>19:29:18.469</v>
      </c>
      <c r="CF1407">
        <v>468912102</v>
      </c>
      <c r="CS1407">
        <v>3</v>
      </c>
      <c r="CT1407">
        <v>2</v>
      </c>
      <c r="CU1407">
        <v>0</v>
      </c>
      <c r="CV1407">
        <v>2</v>
      </c>
      <c r="CW1407">
        <v>0</v>
      </c>
      <c r="CX1407">
        <v>6</v>
      </c>
      <c r="CY1407">
        <v>7</v>
      </c>
      <c r="CZ1407" t="s">
        <v>131</v>
      </c>
      <c r="DA1407">
        <v>300</v>
      </c>
      <c r="DB1407">
        <v>0</v>
      </c>
      <c r="DC1407" t="s">
        <v>176</v>
      </c>
      <c r="DD1407" t="s">
        <v>177</v>
      </c>
      <c r="DG1407">
        <v>5385991</v>
      </c>
      <c r="DI1407">
        <v>0</v>
      </c>
      <c r="DJ1407">
        <v>0</v>
      </c>
      <c r="DK1407">
        <v>1</v>
      </c>
      <c r="DL1407">
        <v>0</v>
      </c>
      <c r="DM1407">
        <v>0</v>
      </c>
      <c r="DN1407">
        <v>1</v>
      </c>
      <c r="DO1407">
        <v>0</v>
      </c>
      <c r="DP1407">
        <v>0</v>
      </c>
      <c r="DQ1407">
        <v>0</v>
      </c>
      <c r="DR1407">
        <v>0</v>
      </c>
      <c r="DS1407">
        <v>0</v>
      </c>
    </row>
    <row r="1408" spans="1:123" x14ac:dyDescent="0.3">
      <c r="A1408" t="str">
        <f>"10/04/2022 19:29:19.494"</f>
        <v>10/04/2022 19:29:19.494</v>
      </c>
      <c r="C1408" t="str">
        <f t="shared" si="481"/>
        <v>FFDFD3C0</v>
      </c>
      <c r="D1408" t="s">
        <v>136</v>
      </c>
      <c r="E1408">
        <v>8</v>
      </c>
      <c r="H1408">
        <v>225</v>
      </c>
      <c r="I1408" t="s">
        <v>137</v>
      </c>
      <c r="J1408" t="s">
        <v>138</v>
      </c>
      <c r="K1408">
        <v>0</v>
      </c>
      <c r="L1408">
        <v>3</v>
      </c>
      <c r="M1408">
        <v>0</v>
      </c>
      <c r="N1408">
        <v>2</v>
      </c>
      <c r="O1408">
        <v>0</v>
      </c>
      <c r="P1408">
        <v>1</v>
      </c>
      <c r="Q1408">
        <v>0</v>
      </c>
      <c r="S1408" t="str">
        <f t="shared" ref="S1408:T1414" si="489">"19:29:19.000"</f>
        <v>19:29:19.000</v>
      </c>
      <c r="T1408" t="str">
        <f t="shared" si="489"/>
        <v>19:29:19.000</v>
      </c>
      <c r="U1408" t="str">
        <f t="shared" si="467"/>
        <v>AC3944</v>
      </c>
      <c r="V1408">
        <v>0</v>
      </c>
      <c r="W1408">
        <v>0</v>
      </c>
      <c r="X1408">
        <v>2</v>
      </c>
      <c r="Y1408">
        <v>0</v>
      </c>
      <c r="AA1408">
        <v>1</v>
      </c>
      <c r="AB1408">
        <v>8</v>
      </c>
      <c r="AC1408">
        <v>3</v>
      </c>
      <c r="AD1408">
        <v>0</v>
      </c>
      <c r="AE1408">
        <v>9</v>
      </c>
      <c r="AF1408" t="s">
        <v>138</v>
      </c>
      <c r="AG1408">
        <v>0</v>
      </c>
      <c r="AH1408">
        <v>3</v>
      </c>
      <c r="AI1408">
        <v>1</v>
      </c>
      <c r="AJ1408">
        <v>0</v>
      </c>
      <c r="AK1408" t="s">
        <v>536</v>
      </c>
      <c r="AL1408">
        <v>32.802536000000003</v>
      </c>
      <c r="AM1408" t="s">
        <v>537</v>
      </c>
      <c r="AN1408">
        <v>-116.89034700000001</v>
      </c>
      <c r="AO1408">
        <v>25</v>
      </c>
      <c r="AP1408">
        <v>2500</v>
      </c>
      <c r="AQ1408" t="s">
        <v>129</v>
      </c>
      <c r="AR1408">
        <v>99</v>
      </c>
      <c r="AS1408">
        <v>-63</v>
      </c>
      <c r="AT1408">
        <v>384</v>
      </c>
      <c r="BB1408">
        <v>1200</v>
      </c>
      <c r="BC1408">
        <v>1</v>
      </c>
      <c r="BD1408" t="str">
        <f t="shared" si="468"/>
        <v xml:space="preserve">N887QR  </v>
      </c>
      <c r="BE1408">
        <v>1</v>
      </c>
      <c r="BG1408">
        <v>0</v>
      </c>
      <c r="BH1408">
        <v>0</v>
      </c>
      <c r="BI1408">
        <v>0</v>
      </c>
      <c r="BJ1408">
        <v>2250</v>
      </c>
      <c r="BK1408">
        <v>-250</v>
      </c>
      <c r="BL1408" t="s">
        <v>163</v>
      </c>
      <c r="BM1408">
        <v>1</v>
      </c>
      <c r="BN1408">
        <v>1</v>
      </c>
      <c r="BO1408">
        <v>1</v>
      </c>
      <c r="BP1408">
        <v>0</v>
      </c>
      <c r="BS1408">
        <v>0</v>
      </c>
      <c r="BT1408">
        <v>0</v>
      </c>
      <c r="BU1408">
        <v>0</v>
      </c>
      <c r="CE1408" t="str">
        <f t="shared" ref="CE1408:CE1414" si="490">"19:29:19.294"</f>
        <v>19:29:19.294</v>
      </c>
      <c r="CF1408">
        <v>294164862</v>
      </c>
      <c r="CS1408">
        <v>3</v>
      </c>
      <c r="CT1408">
        <v>2</v>
      </c>
      <c r="CU1408">
        <v>0</v>
      </c>
      <c r="CV1408">
        <v>2</v>
      </c>
      <c r="CW1408">
        <v>0</v>
      </c>
      <c r="CX1408">
        <v>6</v>
      </c>
      <c r="CY1408">
        <v>7</v>
      </c>
      <c r="CZ1408" t="s">
        <v>131</v>
      </c>
      <c r="DA1408">
        <v>300</v>
      </c>
      <c r="DB1408">
        <v>0</v>
      </c>
      <c r="DC1408" t="s">
        <v>176</v>
      </c>
      <c r="DD1408" t="s">
        <v>177</v>
      </c>
      <c r="DG1408">
        <v>5386105</v>
      </c>
      <c r="DI1408">
        <v>0</v>
      </c>
      <c r="DJ1408">
        <v>0</v>
      </c>
      <c r="DK1408">
        <v>0</v>
      </c>
      <c r="DL1408">
        <v>0</v>
      </c>
      <c r="DM1408">
        <v>0</v>
      </c>
      <c r="DN1408">
        <v>1</v>
      </c>
      <c r="DO1408">
        <v>0</v>
      </c>
      <c r="DP1408">
        <v>0</v>
      </c>
      <c r="DQ1408">
        <v>0</v>
      </c>
      <c r="DR1408">
        <v>0</v>
      </c>
      <c r="DS1408">
        <v>0</v>
      </c>
    </row>
    <row r="1409" spans="1:123" x14ac:dyDescent="0.3">
      <c r="A1409" t="str">
        <f>"10/04/2022 19:29:19.510"</f>
        <v>10/04/2022 19:29:19.510</v>
      </c>
      <c r="C1409" t="str">
        <f t="shared" si="481"/>
        <v>FFDFD3C0</v>
      </c>
      <c r="D1409" t="s">
        <v>143</v>
      </c>
      <c r="E1409">
        <v>20</v>
      </c>
      <c r="F1409">
        <v>1020</v>
      </c>
      <c r="G1409" t="s">
        <v>144</v>
      </c>
      <c r="J1409" t="s">
        <v>145</v>
      </c>
      <c r="K1409">
        <v>0</v>
      </c>
      <c r="L1409">
        <v>3</v>
      </c>
      <c r="M1409">
        <v>0</v>
      </c>
      <c r="N1409">
        <v>2</v>
      </c>
      <c r="O1409">
        <v>0</v>
      </c>
      <c r="P1409">
        <v>1</v>
      </c>
      <c r="Q1409">
        <v>0</v>
      </c>
      <c r="S1409" t="str">
        <f t="shared" si="489"/>
        <v>19:29:19.000</v>
      </c>
      <c r="T1409" t="str">
        <f t="shared" si="489"/>
        <v>19:29:19.000</v>
      </c>
      <c r="U1409" t="str">
        <f t="shared" si="467"/>
        <v>AC3944</v>
      </c>
      <c r="V1409">
        <v>0</v>
      </c>
      <c r="W1409">
        <v>0</v>
      </c>
      <c r="X1409">
        <v>2</v>
      </c>
      <c r="Y1409">
        <v>0</v>
      </c>
      <c r="AA1409">
        <v>1</v>
      </c>
      <c r="AB1409">
        <v>8</v>
      </c>
      <c r="AC1409">
        <v>3</v>
      </c>
      <c r="AD1409">
        <v>0</v>
      </c>
      <c r="AE1409">
        <v>9</v>
      </c>
      <c r="AF1409" t="s">
        <v>138</v>
      </c>
      <c r="AG1409">
        <v>0</v>
      </c>
      <c r="AH1409">
        <v>3</v>
      </c>
      <c r="AI1409">
        <v>1</v>
      </c>
      <c r="AJ1409">
        <v>0</v>
      </c>
      <c r="AK1409" t="s">
        <v>536</v>
      </c>
      <c r="AL1409">
        <v>32.802536000000003</v>
      </c>
      <c r="AM1409" t="s">
        <v>537</v>
      </c>
      <c r="AN1409">
        <v>-116.89034700000001</v>
      </c>
      <c r="AO1409">
        <v>25</v>
      </c>
      <c r="AP1409">
        <v>2500</v>
      </c>
      <c r="AQ1409" t="s">
        <v>129</v>
      </c>
      <c r="AR1409">
        <v>99</v>
      </c>
      <c r="AS1409">
        <v>-63</v>
      </c>
      <c r="AT1409">
        <v>384</v>
      </c>
      <c r="BB1409">
        <v>1200</v>
      </c>
      <c r="BC1409">
        <v>1</v>
      </c>
      <c r="BD1409" t="str">
        <f t="shared" si="468"/>
        <v xml:space="preserve">N887QR  </v>
      </c>
      <c r="BE1409">
        <v>1</v>
      </c>
      <c r="BG1409">
        <v>0</v>
      </c>
      <c r="BH1409">
        <v>0</v>
      </c>
      <c r="BI1409">
        <v>0</v>
      </c>
      <c r="BJ1409">
        <v>2250</v>
      </c>
      <c r="BK1409">
        <v>-250</v>
      </c>
      <c r="BL1409" t="s">
        <v>163</v>
      </c>
      <c r="BM1409">
        <v>1</v>
      </c>
      <c r="BN1409">
        <v>1</v>
      </c>
      <c r="BO1409">
        <v>1</v>
      </c>
      <c r="BP1409">
        <v>0</v>
      </c>
      <c r="BS1409">
        <v>0</v>
      </c>
      <c r="BT1409">
        <v>0</v>
      </c>
      <c r="BU1409">
        <v>0</v>
      </c>
      <c r="CE1409" t="str">
        <f t="shared" si="490"/>
        <v>19:29:19.294</v>
      </c>
      <c r="CF1409">
        <v>294164862</v>
      </c>
      <c r="CS1409">
        <v>3</v>
      </c>
      <c r="CT1409">
        <v>2</v>
      </c>
      <c r="CU1409">
        <v>0</v>
      </c>
      <c r="CV1409">
        <v>2</v>
      </c>
      <c r="CW1409">
        <v>0</v>
      </c>
      <c r="CX1409">
        <v>6</v>
      </c>
      <c r="CY1409">
        <v>7</v>
      </c>
      <c r="CZ1409" t="s">
        <v>131</v>
      </c>
      <c r="DA1409">
        <v>300</v>
      </c>
      <c r="DB1409">
        <v>0</v>
      </c>
      <c r="DC1409" t="s">
        <v>176</v>
      </c>
      <c r="DD1409" t="s">
        <v>177</v>
      </c>
      <c r="DG1409">
        <v>5386105</v>
      </c>
      <c r="DI1409">
        <v>0</v>
      </c>
      <c r="DJ1409">
        <v>0</v>
      </c>
      <c r="DK1409">
        <v>1</v>
      </c>
      <c r="DL1409">
        <v>0</v>
      </c>
      <c r="DM1409">
        <v>0</v>
      </c>
      <c r="DN1409">
        <v>1</v>
      </c>
      <c r="DO1409">
        <v>0</v>
      </c>
      <c r="DP1409">
        <v>0</v>
      </c>
      <c r="DQ1409">
        <v>0</v>
      </c>
      <c r="DR1409">
        <v>0</v>
      </c>
      <c r="DS1409">
        <v>0</v>
      </c>
    </row>
    <row r="1410" spans="1:123" x14ac:dyDescent="0.3">
      <c r="A1410" t="str">
        <f>"10/04/2022 19:29:19.510"</f>
        <v>10/04/2022 19:29:19.510</v>
      </c>
      <c r="C1410" t="str">
        <f t="shared" si="481"/>
        <v>FFDFD3C0</v>
      </c>
      <c r="D1410" t="s">
        <v>123</v>
      </c>
      <c r="E1410">
        <v>7</v>
      </c>
      <c r="F1410">
        <v>2007</v>
      </c>
      <c r="G1410" t="s">
        <v>124</v>
      </c>
      <c r="J1410" t="s">
        <v>125</v>
      </c>
      <c r="K1410">
        <v>0</v>
      </c>
      <c r="L1410">
        <v>3</v>
      </c>
      <c r="M1410">
        <v>0</v>
      </c>
      <c r="N1410">
        <v>2</v>
      </c>
      <c r="O1410">
        <v>0</v>
      </c>
      <c r="P1410">
        <v>1</v>
      </c>
      <c r="Q1410">
        <v>0</v>
      </c>
      <c r="S1410" t="str">
        <f t="shared" si="489"/>
        <v>19:29:19.000</v>
      </c>
      <c r="T1410" t="str">
        <f t="shared" si="489"/>
        <v>19:29:19.000</v>
      </c>
      <c r="U1410" t="str">
        <f t="shared" ref="U1410:U1473" si="491">"AC3944"</f>
        <v>AC3944</v>
      </c>
      <c r="V1410">
        <v>0</v>
      </c>
      <c r="W1410">
        <v>0</v>
      </c>
      <c r="X1410">
        <v>2</v>
      </c>
      <c r="Y1410">
        <v>0</v>
      </c>
      <c r="AA1410">
        <v>1</v>
      </c>
      <c r="AB1410">
        <v>8</v>
      </c>
      <c r="AC1410">
        <v>3</v>
      </c>
      <c r="AD1410">
        <v>0</v>
      </c>
      <c r="AE1410">
        <v>9</v>
      </c>
      <c r="AF1410" t="s">
        <v>138</v>
      </c>
      <c r="AG1410">
        <v>0</v>
      </c>
      <c r="AH1410">
        <v>3</v>
      </c>
      <c r="AI1410">
        <v>1</v>
      </c>
      <c r="AJ1410">
        <v>0</v>
      </c>
      <c r="AK1410" t="s">
        <v>536</v>
      </c>
      <c r="AL1410">
        <v>32.802536000000003</v>
      </c>
      <c r="AM1410" t="s">
        <v>537</v>
      </c>
      <c r="AN1410">
        <v>-116.89034700000001</v>
      </c>
      <c r="AO1410">
        <v>25</v>
      </c>
      <c r="AP1410">
        <v>2500</v>
      </c>
      <c r="AQ1410" t="s">
        <v>129</v>
      </c>
      <c r="AR1410">
        <v>99</v>
      </c>
      <c r="AS1410">
        <v>-63</v>
      </c>
      <c r="AT1410">
        <v>384</v>
      </c>
      <c r="BB1410">
        <v>1200</v>
      </c>
      <c r="BC1410">
        <v>1</v>
      </c>
      <c r="BD1410" t="str">
        <f t="shared" ref="BD1410:BD1473" si="492">"N887QR  "</f>
        <v xml:space="preserve">N887QR  </v>
      </c>
      <c r="BE1410">
        <v>1</v>
      </c>
      <c r="BG1410">
        <v>0</v>
      </c>
      <c r="BH1410">
        <v>0</v>
      </c>
      <c r="BI1410">
        <v>0</v>
      </c>
      <c r="BJ1410">
        <v>2250</v>
      </c>
      <c r="BK1410">
        <v>-250</v>
      </c>
      <c r="BL1410" t="s">
        <v>163</v>
      </c>
      <c r="BM1410">
        <v>1</v>
      </c>
      <c r="BN1410">
        <v>1</v>
      </c>
      <c r="BO1410">
        <v>1</v>
      </c>
      <c r="BP1410">
        <v>0</v>
      </c>
      <c r="BS1410">
        <v>0</v>
      </c>
      <c r="BT1410">
        <v>0</v>
      </c>
      <c r="BU1410">
        <v>0</v>
      </c>
      <c r="CE1410" t="str">
        <f t="shared" si="490"/>
        <v>19:29:19.294</v>
      </c>
      <c r="CF1410">
        <v>294164862</v>
      </c>
      <c r="CS1410">
        <v>3</v>
      </c>
      <c r="CT1410">
        <v>2</v>
      </c>
      <c r="CU1410">
        <v>0</v>
      </c>
      <c r="CV1410">
        <v>2</v>
      </c>
      <c r="CW1410">
        <v>0</v>
      </c>
      <c r="CX1410">
        <v>6</v>
      </c>
      <c r="CY1410">
        <v>7</v>
      </c>
      <c r="CZ1410" t="s">
        <v>131</v>
      </c>
      <c r="DA1410">
        <v>300</v>
      </c>
      <c r="DB1410">
        <v>0</v>
      </c>
      <c r="DC1410" t="s">
        <v>176</v>
      </c>
      <c r="DD1410" t="s">
        <v>177</v>
      </c>
      <c r="DG1410">
        <v>5386105</v>
      </c>
      <c r="DI1410">
        <v>0</v>
      </c>
      <c r="DJ1410">
        <v>0</v>
      </c>
      <c r="DK1410">
        <v>1</v>
      </c>
      <c r="DL1410">
        <v>0</v>
      </c>
      <c r="DM1410">
        <v>0</v>
      </c>
      <c r="DN1410">
        <v>1</v>
      </c>
      <c r="DO1410">
        <v>0</v>
      </c>
      <c r="DP1410">
        <v>0</v>
      </c>
      <c r="DQ1410">
        <v>0</v>
      </c>
      <c r="DR1410">
        <v>0</v>
      </c>
      <c r="DS1410">
        <v>0</v>
      </c>
    </row>
    <row r="1411" spans="1:123" x14ac:dyDescent="0.3">
      <c r="A1411" t="str">
        <f>"10/04/2022 19:29:19.572"</f>
        <v>10/04/2022 19:29:19.572</v>
      </c>
      <c r="C1411" t="str">
        <f t="shared" si="481"/>
        <v>FFDFD3C0</v>
      </c>
      <c r="D1411" t="s">
        <v>147</v>
      </c>
      <c r="E1411">
        <v>3</v>
      </c>
      <c r="H1411">
        <v>166</v>
      </c>
      <c r="I1411" t="s">
        <v>144</v>
      </c>
      <c r="J1411" t="s">
        <v>148</v>
      </c>
      <c r="K1411">
        <v>0</v>
      </c>
      <c r="L1411">
        <v>3</v>
      </c>
      <c r="M1411">
        <v>0</v>
      </c>
      <c r="N1411">
        <v>2</v>
      </c>
      <c r="O1411">
        <v>0</v>
      </c>
      <c r="P1411">
        <v>1</v>
      </c>
      <c r="Q1411">
        <v>0</v>
      </c>
      <c r="S1411" t="str">
        <f t="shared" si="489"/>
        <v>19:29:19.000</v>
      </c>
      <c r="T1411" t="str">
        <f t="shared" si="489"/>
        <v>19:29:19.000</v>
      </c>
      <c r="U1411" t="str">
        <f t="shared" si="491"/>
        <v>AC3944</v>
      </c>
      <c r="V1411">
        <v>0</v>
      </c>
      <c r="W1411">
        <v>0</v>
      </c>
      <c r="X1411">
        <v>2</v>
      </c>
      <c r="Y1411">
        <v>0</v>
      </c>
      <c r="AA1411">
        <v>1</v>
      </c>
      <c r="AB1411">
        <v>8</v>
      </c>
      <c r="AC1411">
        <v>3</v>
      </c>
      <c r="AD1411">
        <v>0</v>
      </c>
      <c r="AE1411">
        <v>9</v>
      </c>
      <c r="AF1411" t="s">
        <v>138</v>
      </c>
      <c r="AG1411">
        <v>0</v>
      </c>
      <c r="AH1411">
        <v>3</v>
      </c>
      <c r="AI1411">
        <v>1</v>
      </c>
      <c r="AJ1411">
        <v>0</v>
      </c>
      <c r="AK1411" t="s">
        <v>536</v>
      </c>
      <c r="AL1411">
        <v>32.802536000000003</v>
      </c>
      <c r="AM1411" t="s">
        <v>537</v>
      </c>
      <c r="AN1411">
        <v>-116.89034700000001</v>
      </c>
      <c r="AO1411">
        <v>25</v>
      </c>
      <c r="AP1411">
        <v>2500</v>
      </c>
      <c r="AQ1411" t="s">
        <v>129</v>
      </c>
      <c r="AR1411">
        <v>99</v>
      </c>
      <c r="AS1411">
        <v>-63</v>
      </c>
      <c r="AT1411">
        <v>384</v>
      </c>
      <c r="BB1411">
        <v>1200</v>
      </c>
      <c r="BC1411">
        <v>1</v>
      </c>
      <c r="BD1411" t="str">
        <f t="shared" si="492"/>
        <v xml:space="preserve">N887QR  </v>
      </c>
      <c r="BE1411">
        <v>1</v>
      </c>
      <c r="BG1411">
        <v>0</v>
      </c>
      <c r="BH1411">
        <v>0</v>
      </c>
      <c r="BI1411">
        <v>0</v>
      </c>
      <c r="BJ1411">
        <v>2250</v>
      </c>
      <c r="BK1411">
        <v>-250</v>
      </c>
      <c r="BL1411" t="s">
        <v>163</v>
      </c>
      <c r="BM1411">
        <v>1</v>
      </c>
      <c r="BN1411">
        <v>1</v>
      </c>
      <c r="BO1411">
        <v>1</v>
      </c>
      <c r="BP1411">
        <v>0</v>
      </c>
      <c r="BS1411">
        <v>0</v>
      </c>
      <c r="BT1411">
        <v>0</v>
      </c>
      <c r="BU1411">
        <v>0</v>
      </c>
      <c r="CE1411" t="str">
        <f t="shared" si="490"/>
        <v>19:29:19.294</v>
      </c>
      <c r="CF1411">
        <v>294164862</v>
      </c>
      <c r="CS1411">
        <v>3</v>
      </c>
      <c r="CT1411">
        <v>2</v>
      </c>
      <c r="CU1411">
        <v>0</v>
      </c>
      <c r="CV1411">
        <v>2</v>
      </c>
      <c r="CW1411">
        <v>0</v>
      </c>
      <c r="CX1411">
        <v>6</v>
      </c>
      <c r="CY1411">
        <v>7</v>
      </c>
      <c r="CZ1411" t="s">
        <v>131</v>
      </c>
      <c r="DA1411">
        <v>300</v>
      </c>
      <c r="DB1411">
        <v>0</v>
      </c>
      <c r="DC1411" t="s">
        <v>176</v>
      </c>
      <c r="DD1411" t="s">
        <v>177</v>
      </c>
      <c r="DG1411">
        <v>5386105</v>
      </c>
      <c r="DI1411">
        <v>0</v>
      </c>
      <c r="DJ1411">
        <v>0</v>
      </c>
      <c r="DK1411">
        <v>1</v>
      </c>
      <c r="DL1411">
        <v>0</v>
      </c>
      <c r="DM1411">
        <v>0</v>
      </c>
      <c r="DN1411">
        <v>1</v>
      </c>
      <c r="DO1411">
        <v>0</v>
      </c>
      <c r="DP1411">
        <v>0</v>
      </c>
      <c r="DQ1411">
        <v>0</v>
      </c>
      <c r="DR1411">
        <v>0</v>
      </c>
      <c r="DS1411">
        <v>0</v>
      </c>
    </row>
    <row r="1412" spans="1:123" x14ac:dyDescent="0.3">
      <c r="A1412" t="str">
        <f>"10/04/2022 19:29:19.572"</f>
        <v>10/04/2022 19:29:19.572</v>
      </c>
      <c r="C1412" t="str">
        <f t="shared" si="481"/>
        <v>FFDFD3C0</v>
      </c>
      <c r="D1412" t="s">
        <v>141</v>
      </c>
      <c r="E1412">
        <v>4</v>
      </c>
      <c r="H1412">
        <v>4</v>
      </c>
      <c r="I1412" t="s">
        <v>142</v>
      </c>
      <c r="J1412" t="s">
        <v>138</v>
      </c>
      <c r="K1412">
        <v>0</v>
      </c>
      <c r="L1412">
        <v>3</v>
      </c>
      <c r="M1412">
        <v>0</v>
      </c>
      <c r="N1412">
        <v>2</v>
      </c>
      <c r="O1412">
        <v>0</v>
      </c>
      <c r="P1412">
        <v>1</v>
      </c>
      <c r="Q1412">
        <v>0</v>
      </c>
      <c r="S1412" t="str">
        <f t="shared" si="489"/>
        <v>19:29:19.000</v>
      </c>
      <c r="T1412" t="str">
        <f t="shared" si="489"/>
        <v>19:29:19.000</v>
      </c>
      <c r="U1412" t="str">
        <f t="shared" si="491"/>
        <v>AC3944</v>
      </c>
      <c r="V1412">
        <v>0</v>
      </c>
      <c r="W1412">
        <v>0</v>
      </c>
      <c r="X1412">
        <v>2</v>
      </c>
      <c r="Y1412">
        <v>0</v>
      </c>
      <c r="AA1412">
        <v>1</v>
      </c>
      <c r="AB1412">
        <v>8</v>
      </c>
      <c r="AC1412">
        <v>3</v>
      </c>
      <c r="AD1412">
        <v>0</v>
      </c>
      <c r="AE1412">
        <v>9</v>
      </c>
      <c r="AF1412" t="s">
        <v>138</v>
      </c>
      <c r="AG1412">
        <v>0</v>
      </c>
      <c r="AH1412">
        <v>3</v>
      </c>
      <c r="AI1412">
        <v>1</v>
      </c>
      <c r="AJ1412">
        <v>0</v>
      </c>
      <c r="AK1412" t="s">
        <v>536</v>
      </c>
      <c r="AL1412">
        <v>32.802536000000003</v>
      </c>
      <c r="AM1412" t="s">
        <v>537</v>
      </c>
      <c r="AN1412">
        <v>-116.89034700000001</v>
      </c>
      <c r="AO1412">
        <v>25</v>
      </c>
      <c r="AP1412">
        <v>2500</v>
      </c>
      <c r="AQ1412" t="s">
        <v>129</v>
      </c>
      <c r="AR1412">
        <v>99</v>
      </c>
      <c r="AS1412">
        <v>-63</v>
      </c>
      <c r="AT1412">
        <v>384</v>
      </c>
      <c r="BB1412">
        <v>1200</v>
      </c>
      <c r="BC1412">
        <v>1</v>
      </c>
      <c r="BD1412" t="str">
        <f t="shared" si="492"/>
        <v xml:space="preserve">N887QR  </v>
      </c>
      <c r="BE1412">
        <v>1</v>
      </c>
      <c r="BG1412">
        <v>0</v>
      </c>
      <c r="BH1412">
        <v>0</v>
      </c>
      <c r="BI1412">
        <v>0</v>
      </c>
      <c r="BJ1412">
        <v>2250</v>
      </c>
      <c r="BK1412">
        <v>-250</v>
      </c>
      <c r="BL1412" t="s">
        <v>163</v>
      </c>
      <c r="BM1412">
        <v>1</v>
      </c>
      <c r="BN1412">
        <v>1</v>
      </c>
      <c r="BO1412">
        <v>1</v>
      </c>
      <c r="BP1412">
        <v>0</v>
      </c>
      <c r="BS1412">
        <v>0</v>
      </c>
      <c r="BT1412">
        <v>0</v>
      </c>
      <c r="BU1412">
        <v>0</v>
      </c>
      <c r="CE1412" t="str">
        <f t="shared" si="490"/>
        <v>19:29:19.294</v>
      </c>
      <c r="CF1412">
        <v>294164862</v>
      </c>
      <c r="CS1412">
        <v>3</v>
      </c>
      <c r="CT1412">
        <v>2</v>
      </c>
      <c r="CU1412">
        <v>0</v>
      </c>
      <c r="CV1412">
        <v>2</v>
      </c>
      <c r="CW1412">
        <v>0</v>
      </c>
      <c r="CX1412">
        <v>6</v>
      </c>
      <c r="CY1412">
        <v>7</v>
      </c>
      <c r="CZ1412" t="s">
        <v>131</v>
      </c>
      <c r="DA1412">
        <v>300</v>
      </c>
      <c r="DB1412">
        <v>0</v>
      </c>
      <c r="DC1412" t="s">
        <v>176</v>
      </c>
      <c r="DD1412" t="s">
        <v>177</v>
      </c>
      <c r="DG1412">
        <v>5386105</v>
      </c>
      <c r="DI1412">
        <v>0</v>
      </c>
      <c r="DJ1412">
        <v>0</v>
      </c>
      <c r="DK1412">
        <v>1</v>
      </c>
      <c r="DL1412">
        <v>0</v>
      </c>
      <c r="DM1412">
        <v>0</v>
      </c>
      <c r="DN1412">
        <v>1</v>
      </c>
      <c r="DO1412">
        <v>0</v>
      </c>
      <c r="DP1412">
        <v>0</v>
      </c>
      <c r="DQ1412">
        <v>0</v>
      </c>
      <c r="DR1412">
        <v>0</v>
      </c>
      <c r="DS1412">
        <v>0</v>
      </c>
    </row>
    <row r="1413" spans="1:123" x14ac:dyDescent="0.3">
      <c r="A1413" t="str">
        <f>"10/04/2022 19:29:19.572"</f>
        <v>10/04/2022 19:29:19.572</v>
      </c>
      <c r="C1413" t="str">
        <f t="shared" si="481"/>
        <v>FFDFD3C0</v>
      </c>
      <c r="D1413" t="s">
        <v>141</v>
      </c>
      <c r="E1413">
        <v>3</v>
      </c>
      <c r="H1413">
        <v>3</v>
      </c>
      <c r="I1413" t="s">
        <v>146</v>
      </c>
      <c r="J1413" t="s">
        <v>138</v>
      </c>
      <c r="K1413">
        <v>0</v>
      </c>
      <c r="L1413">
        <v>3</v>
      </c>
      <c r="M1413">
        <v>0</v>
      </c>
      <c r="N1413">
        <v>2</v>
      </c>
      <c r="O1413">
        <v>0</v>
      </c>
      <c r="P1413">
        <v>1</v>
      </c>
      <c r="Q1413">
        <v>0</v>
      </c>
      <c r="S1413" t="str">
        <f t="shared" si="489"/>
        <v>19:29:19.000</v>
      </c>
      <c r="T1413" t="str">
        <f t="shared" si="489"/>
        <v>19:29:19.000</v>
      </c>
      <c r="U1413" t="str">
        <f t="shared" si="491"/>
        <v>AC3944</v>
      </c>
      <c r="V1413">
        <v>0</v>
      </c>
      <c r="W1413">
        <v>0</v>
      </c>
      <c r="X1413">
        <v>2</v>
      </c>
      <c r="Y1413">
        <v>0</v>
      </c>
      <c r="AA1413">
        <v>1</v>
      </c>
      <c r="AB1413">
        <v>8</v>
      </c>
      <c r="AC1413">
        <v>3</v>
      </c>
      <c r="AD1413">
        <v>0</v>
      </c>
      <c r="AE1413">
        <v>9</v>
      </c>
      <c r="AF1413" t="s">
        <v>138</v>
      </c>
      <c r="AG1413">
        <v>0</v>
      </c>
      <c r="AH1413">
        <v>3</v>
      </c>
      <c r="AI1413">
        <v>1</v>
      </c>
      <c r="AJ1413">
        <v>0</v>
      </c>
      <c r="AK1413" t="s">
        <v>536</v>
      </c>
      <c r="AL1413">
        <v>32.802536000000003</v>
      </c>
      <c r="AM1413" t="s">
        <v>537</v>
      </c>
      <c r="AN1413">
        <v>-116.89034700000001</v>
      </c>
      <c r="AO1413">
        <v>25</v>
      </c>
      <c r="AP1413">
        <v>2500</v>
      </c>
      <c r="AQ1413" t="s">
        <v>129</v>
      </c>
      <c r="AR1413">
        <v>99</v>
      </c>
      <c r="AS1413">
        <v>-63</v>
      </c>
      <c r="AT1413">
        <v>384</v>
      </c>
      <c r="BB1413">
        <v>1200</v>
      </c>
      <c r="BC1413">
        <v>1</v>
      </c>
      <c r="BD1413" t="str">
        <f t="shared" si="492"/>
        <v xml:space="preserve">N887QR  </v>
      </c>
      <c r="BE1413">
        <v>1</v>
      </c>
      <c r="BG1413">
        <v>0</v>
      </c>
      <c r="BH1413">
        <v>0</v>
      </c>
      <c r="BI1413">
        <v>0</v>
      </c>
      <c r="BJ1413">
        <v>2250</v>
      </c>
      <c r="BK1413">
        <v>-250</v>
      </c>
      <c r="BL1413" t="s">
        <v>163</v>
      </c>
      <c r="BM1413">
        <v>1</v>
      </c>
      <c r="BN1413">
        <v>1</v>
      </c>
      <c r="BO1413">
        <v>1</v>
      </c>
      <c r="BP1413">
        <v>0</v>
      </c>
      <c r="BS1413">
        <v>0</v>
      </c>
      <c r="BT1413">
        <v>0</v>
      </c>
      <c r="BU1413">
        <v>0</v>
      </c>
      <c r="CE1413" t="str">
        <f t="shared" si="490"/>
        <v>19:29:19.294</v>
      </c>
      <c r="CF1413">
        <v>294164862</v>
      </c>
      <c r="CS1413">
        <v>3</v>
      </c>
      <c r="CT1413">
        <v>2</v>
      </c>
      <c r="CU1413">
        <v>0</v>
      </c>
      <c r="CV1413">
        <v>2</v>
      </c>
      <c r="CW1413">
        <v>0</v>
      </c>
      <c r="CX1413">
        <v>6</v>
      </c>
      <c r="CY1413">
        <v>7</v>
      </c>
      <c r="CZ1413" t="s">
        <v>131</v>
      </c>
      <c r="DA1413">
        <v>300</v>
      </c>
      <c r="DB1413">
        <v>0</v>
      </c>
      <c r="DC1413" t="s">
        <v>176</v>
      </c>
      <c r="DD1413" t="s">
        <v>177</v>
      </c>
      <c r="DG1413">
        <v>5386105</v>
      </c>
      <c r="DI1413">
        <v>0</v>
      </c>
      <c r="DJ1413">
        <v>0</v>
      </c>
      <c r="DK1413">
        <v>1</v>
      </c>
      <c r="DL1413">
        <v>0</v>
      </c>
      <c r="DM1413">
        <v>0</v>
      </c>
      <c r="DN1413">
        <v>1</v>
      </c>
      <c r="DO1413">
        <v>0</v>
      </c>
      <c r="DP1413">
        <v>0</v>
      </c>
      <c r="DQ1413">
        <v>0</v>
      </c>
      <c r="DR1413">
        <v>0</v>
      </c>
      <c r="DS1413">
        <v>0</v>
      </c>
    </row>
    <row r="1414" spans="1:123" x14ac:dyDescent="0.3">
      <c r="A1414" t="str">
        <f>"10/04/2022 19:29:19.572"</f>
        <v>10/04/2022 19:29:19.572</v>
      </c>
      <c r="C1414" t="str">
        <f t="shared" si="481"/>
        <v>FFDFD3C0</v>
      </c>
      <c r="D1414" t="s">
        <v>134</v>
      </c>
      <c r="E1414">
        <v>15</v>
      </c>
      <c r="J1414" t="s">
        <v>135</v>
      </c>
      <c r="K1414">
        <v>0</v>
      </c>
      <c r="L1414">
        <v>3</v>
      </c>
      <c r="M1414">
        <v>0</v>
      </c>
      <c r="N1414">
        <v>2</v>
      </c>
      <c r="O1414">
        <v>0</v>
      </c>
      <c r="P1414">
        <v>1</v>
      </c>
      <c r="Q1414">
        <v>0</v>
      </c>
      <c r="S1414" t="str">
        <f t="shared" si="489"/>
        <v>19:29:19.000</v>
      </c>
      <c r="T1414" t="str">
        <f t="shared" si="489"/>
        <v>19:29:19.000</v>
      </c>
      <c r="U1414" t="str">
        <f t="shared" si="491"/>
        <v>AC3944</v>
      </c>
      <c r="V1414">
        <v>0</v>
      </c>
      <c r="W1414">
        <v>0</v>
      </c>
      <c r="X1414">
        <v>2</v>
      </c>
      <c r="Y1414">
        <v>0</v>
      </c>
      <c r="AA1414">
        <v>1</v>
      </c>
      <c r="AB1414">
        <v>8</v>
      </c>
      <c r="AC1414">
        <v>3</v>
      </c>
      <c r="AD1414">
        <v>0</v>
      </c>
      <c r="AE1414">
        <v>9</v>
      </c>
      <c r="AF1414" t="s">
        <v>138</v>
      </c>
      <c r="AG1414">
        <v>0</v>
      </c>
      <c r="AH1414">
        <v>3</v>
      </c>
      <c r="AI1414">
        <v>1</v>
      </c>
      <c r="AJ1414">
        <v>0</v>
      </c>
      <c r="AK1414" t="s">
        <v>536</v>
      </c>
      <c r="AL1414">
        <v>32.802536000000003</v>
      </c>
      <c r="AM1414" t="s">
        <v>537</v>
      </c>
      <c r="AN1414">
        <v>-116.89034700000001</v>
      </c>
      <c r="AO1414">
        <v>25</v>
      </c>
      <c r="AP1414">
        <v>2500</v>
      </c>
      <c r="AQ1414" t="s">
        <v>129</v>
      </c>
      <c r="AR1414">
        <v>99</v>
      </c>
      <c r="AS1414">
        <v>-63</v>
      </c>
      <c r="AT1414">
        <v>384</v>
      </c>
      <c r="BB1414">
        <v>1200</v>
      </c>
      <c r="BC1414">
        <v>1</v>
      </c>
      <c r="BD1414" t="str">
        <f t="shared" si="492"/>
        <v xml:space="preserve">N887QR  </v>
      </c>
      <c r="BE1414">
        <v>1</v>
      </c>
      <c r="BG1414">
        <v>0</v>
      </c>
      <c r="BH1414">
        <v>0</v>
      </c>
      <c r="BI1414">
        <v>0</v>
      </c>
      <c r="BJ1414">
        <v>2250</v>
      </c>
      <c r="BK1414">
        <v>-250</v>
      </c>
      <c r="BL1414" t="s">
        <v>163</v>
      </c>
      <c r="BM1414">
        <v>1</v>
      </c>
      <c r="BN1414">
        <v>1</v>
      </c>
      <c r="BO1414">
        <v>1</v>
      </c>
      <c r="BP1414">
        <v>0</v>
      </c>
      <c r="BS1414">
        <v>0</v>
      </c>
      <c r="BT1414">
        <v>0</v>
      </c>
      <c r="BU1414">
        <v>0</v>
      </c>
      <c r="CE1414" t="str">
        <f t="shared" si="490"/>
        <v>19:29:19.294</v>
      </c>
      <c r="CF1414">
        <v>294164862</v>
      </c>
      <c r="CS1414">
        <v>3</v>
      </c>
      <c r="CT1414">
        <v>2</v>
      </c>
      <c r="CU1414">
        <v>0</v>
      </c>
      <c r="CV1414">
        <v>2</v>
      </c>
      <c r="CW1414">
        <v>0</v>
      </c>
      <c r="CX1414">
        <v>6</v>
      </c>
      <c r="CY1414">
        <v>7</v>
      </c>
      <c r="CZ1414" t="s">
        <v>131</v>
      </c>
      <c r="DA1414">
        <v>300</v>
      </c>
      <c r="DB1414">
        <v>0</v>
      </c>
      <c r="DC1414" t="s">
        <v>176</v>
      </c>
      <c r="DD1414" t="s">
        <v>177</v>
      </c>
      <c r="DG1414">
        <v>5386105</v>
      </c>
      <c r="DI1414">
        <v>0</v>
      </c>
      <c r="DJ1414">
        <v>0</v>
      </c>
      <c r="DK1414">
        <v>1</v>
      </c>
      <c r="DL1414">
        <v>0</v>
      </c>
      <c r="DM1414">
        <v>0</v>
      </c>
      <c r="DN1414">
        <v>1</v>
      </c>
      <c r="DO1414">
        <v>0</v>
      </c>
      <c r="DP1414">
        <v>0</v>
      </c>
      <c r="DQ1414">
        <v>0</v>
      </c>
      <c r="DR1414">
        <v>0</v>
      </c>
      <c r="DS1414">
        <v>0</v>
      </c>
    </row>
    <row r="1415" spans="1:123" x14ac:dyDescent="0.3">
      <c r="A1415" t="str">
        <f>"10/04/2022 19:29:20.339"</f>
        <v>10/04/2022 19:29:20.339</v>
      </c>
      <c r="C1415" t="str">
        <f t="shared" si="481"/>
        <v>FFDFD3C0</v>
      </c>
      <c r="D1415" t="s">
        <v>141</v>
      </c>
      <c r="E1415">
        <v>4</v>
      </c>
      <c r="H1415">
        <v>4</v>
      </c>
      <c r="I1415" t="s">
        <v>142</v>
      </c>
      <c r="J1415" t="s">
        <v>138</v>
      </c>
      <c r="K1415">
        <v>0</v>
      </c>
      <c r="L1415">
        <v>3</v>
      </c>
      <c r="M1415">
        <v>0</v>
      </c>
      <c r="N1415">
        <v>2</v>
      </c>
      <c r="O1415">
        <v>0</v>
      </c>
      <c r="P1415">
        <v>1</v>
      </c>
      <c r="Q1415">
        <v>0</v>
      </c>
      <c r="S1415" t="str">
        <f t="shared" ref="S1415:T1421" si="493">"19:29:20.000"</f>
        <v>19:29:20.000</v>
      </c>
      <c r="T1415" t="str">
        <f t="shared" si="493"/>
        <v>19:29:20.000</v>
      </c>
      <c r="U1415" t="str">
        <f t="shared" si="491"/>
        <v>AC3944</v>
      </c>
      <c r="V1415">
        <v>0</v>
      </c>
      <c r="W1415">
        <v>0</v>
      </c>
      <c r="X1415">
        <v>2</v>
      </c>
      <c r="Y1415">
        <v>0</v>
      </c>
      <c r="AA1415">
        <v>1</v>
      </c>
      <c r="AB1415">
        <v>8</v>
      </c>
      <c r="AC1415">
        <v>3</v>
      </c>
      <c r="AD1415">
        <v>0</v>
      </c>
      <c r="AE1415">
        <v>9</v>
      </c>
      <c r="AF1415" t="s">
        <v>138</v>
      </c>
      <c r="AG1415">
        <v>0</v>
      </c>
      <c r="AH1415">
        <v>3</v>
      </c>
      <c r="AI1415">
        <v>1</v>
      </c>
      <c r="AJ1415">
        <v>0</v>
      </c>
      <c r="AK1415" t="s">
        <v>538</v>
      </c>
      <c r="AL1415">
        <v>32.802300000000002</v>
      </c>
      <c r="AM1415" t="s">
        <v>539</v>
      </c>
      <c r="AN1415">
        <v>-116.88989599999999</v>
      </c>
      <c r="AO1415">
        <v>25</v>
      </c>
      <c r="AP1415">
        <v>2500</v>
      </c>
      <c r="AQ1415" t="s">
        <v>129</v>
      </c>
      <c r="AR1415">
        <v>99</v>
      </c>
      <c r="AS1415">
        <v>-65</v>
      </c>
      <c r="AT1415">
        <v>384</v>
      </c>
      <c r="BB1415">
        <v>1200</v>
      </c>
      <c r="BC1415">
        <v>1</v>
      </c>
      <c r="BD1415" t="str">
        <f t="shared" si="492"/>
        <v xml:space="preserve">N887QR  </v>
      </c>
      <c r="BE1415">
        <v>1</v>
      </c>
      <c r="BG1415">
        <v>0</v>
      </c>
      <c r="BH1415">
        <v>0</v>
      </c>
      <c r="BI1415">
        <v>0</v>
      </c>
      <c r="BJ1415">
        <v>2250</v>
      </c>
      <c r="BK1415">
        <v>-250</v>
      </c>
      <c r="BL1415" t="s">
        <v>163</v>
      </c>
      <c r="BM1415">
        <v>1</v>
      </c>
      <c r="BN1415">
        <v>1</v>
      </c>
      <c r="BO1415">
        <v>1</v>
      </c>
      <c r="BP1415">
        <v>0</v>
      </c>
      <c r="BS1415">
        <v>0</v>
      </c>
      <c r="BT1415">
        <v>0</v>
      </c>
      <c r="BU1415">
        <v>0</v>
      </c>
      <c r="CE1415" t="str">
        <f t="shared" ref="CE1415:CE1421" si="494">"19:29:20.148"</f>
        <v>19:29:20.148</v>
      </c>
      <c r="CF1415">
        <v>148167703</v>
      </c>
      <c r="CS1415">
        <v>3</v>
      </c>
      <c r="CT1415">
        <v>2</v>
      </c>
      <c r="CU1415">
        <v>0</v>
      </c>
      <c r="CV1415">
        <v>2</v>
      </c>
      <c r="CW1415">
        <v>0</v>
      </c>
      <c r="CX1415">
        <v>6</v>
      </c>
      <c r="CY1415">
        <v>7</v>
      </c>
      <c r="CZ1415" t="s">
        <v>131</v>
      </c>
      <c r="DA1415">
        <v>300</v>
      </c>
      <c r="DB1415">
        <v>0</v>
      </c>
      <c r="DC1415" t="s">
        <v>176</v>
      </c>
      <c r="DD1415" t="s">
        <v>177</v>
      </c>
      <c r="DG1415">
        <v>5386239</v>
      </c>
      <c r="DI1415">
        <v>0</v>
      </c>
      <c r="DJ1415">
        <v>0</v>
      </c>
      <c r="DK1415">
        <v>0</v>
      </c>
      <c r="DL1415">
        <v>0</v>
      </c>
      <c r="DM1415">
        <v>0</v>
      </c>
      <c r="DN1415">
        <v>1</v>
      </c>
      <c r="DO1415">
        <v>0</v>
      </c>
      <c r="DP1415">
        <v>0</v>
      </c>
      <c r="DQ1415">
        <v>0</v>
      </c>
      <c r="DR1415">
        <v>0</v>
      </c>
      <c r="DS1415">
        <v>0</v>
      </c>
    </row>
    <row r="1416" spans="1:123" x14ac:dyDescent="0.3">
      <c r="A1416" t="str">
        <f>"10/04/2022 19:29:20.339"</f>
        <v>10/04/2022 19:29:20.339</v>
      </c>
      <c r="C1416" t="str">
        <f t="shared" ref="C1416:C1447" si="495">"FFDFD3C0"</f>
        <v>FFDFD3C0</v>
      </c>
      <c r="D1416" t="s">
        <v>141</v>
      </c>
      <c r="E1416">
        <v>3</v>
      </c>
      <c r="H1416">
        <v>3</v>
      </c>
      <c r="I1416" t="s">
        <v>146</v>
      </c>
      <c r="J1416" t="s">
        <v>138</v>
      </c>
      <c r="K1416">
        <v>0</v>
      </c>
      <c r="L1416">
        <v>3</v>
      </c>
      <c r="M1416">
        <v>0</v>
      </c>
      <c r="N1416">
        <v>2</v>
      </c>
      <c r="O1416">
        <v>0</v>
      </c>
      <c r="P1416">
        <v>1</v>
      </c>
      <c r="Q1416">
        <v>0</v>
      </c>
      <c r="S1416" t="str">
        <f t="shared" si="493"/>
        <v>19:29:20.000</v>
      </c>
      <c r="T1416" t="str">
        <f t="shared" si="493"/>
        <v>19:29:20.000</v>
      </c>
      <c r="U1416" t="str">
        <f t="shared" si="491"/>
        <v>AC3944</v>
      </c>
      <c r="V1416">
        <v>0</v>
      </c>
      <c r="W1416">
        <v>0</v>
      </c>
      <c r="X1416">
        <v>2</v>
      </c>
      <c r="Y1416">
        <v>0</v>
      </c>
      <c r="AA1416">
        <v>1</v>
      </c>
      <c r="AB1416">
        <v>8</v>
      </c>
      <c r="AC1416">
        <v>3</v>
      </c>
      <c r="AD1416">
        <v>0</v>
      </c>
      <c r="AE1416">
        <v>9</v>
      </c>
      <c r="AF1416" t="s">
        <v>138</v>
      </c>
      <c r="AG1416">
        <v>0</v>
      </c>
      <c r="AH1416">
        <v>3</v>
      </c>
      <c r="AI1416">
        <v>1</v>
      </c>
      <c r="AJ1416">
        <v>0</v>
      </c>
      <c r="AK1416" t="s">
        <v>538</v>
      </c>
      <c r="AL1416">
        <v>32.802300000000002</v>
      </c>
      <c r="AM1416" t="s">
        <v>539</v>
      </c>
      <c r="AN1416">
        <v>-116.88989599999999</v>
      </c>
      <c r="AO1416">
        <v>25</v>
      </c>
      <c r="AP1416">
        <v>2500</v>
      </c>
      <c r="AQ1416" t="s">
        <v>129</v>
      </c>
      <c r="AR1416">
        <v>99</v>
      </c>
      <c r="AS1416">
        <v>-65</v>
      </c>
      <c r="AT1416">
        <v>384</v>
      </c>
      <c r="BB1416">
        <v>1200</v>
      </c>
      <c r="BC1416">
        <v>1</v>
      </c>
      <c r="BD1416" t="str">
        <f t="shared" si="492"/>
        <v xml:space="preserve">N887QR  </v>
      </c>
      <c r="BE1416">
        <v>1</v>
      </c>
      <c r="BG1416">
        <v>0</v>
      </c>
      <c r="BH1416">
        <v>0</v>
      </c>
      <c r="BI1416">
        <v>0</v>
      </c>
      <c r="BJ1416">
        <v>2250</v>
      </c>
      <c r="BK1416">
        <v>-250</v>
      </c>
      <c r="BL1416" t="s">
        <v>163</v>
      </c>
      <c r="BM1416">
        <v>1</v>
      </c>
      <c r="BN1416">
        <v>1</v>
      </c>
      <c r="BO1416">
        <v>1</v>
      </c>
      <c r="BP1416">
        <v>0</v>
      </c>
      <c r="BS1416">
        <v>0</v>
      </c>
      <c r="BT1416">
        <v>0</v>
      </c>
      <c r="BU1416">
        <v>0</v>
      </c>
      <c r="CE1416" t="str">
        <f t="shared" si="494"/>
        <v>19:29:20.148</v>
      </c>
      <c r="CF1416">
        <v>148167703</v>
      </c>
      <c r="CS1416">
        <v>3</v>
      </c>
      <c r="CT1416">
        <v>2</v>
      </c>
      <c r="CU1416">
        <v>0</v>
      </c>
      <c r="CV1416">
        <v>2</v>
      </c>
      <c r="CW1416">
        <v>0</v>
      </c>
      <c r="CX1416">
        <v>6</v>
      </c>
      <c r="CY1416">
        <v>7</v>
      </c>
      <c r="CZ1416" t="s">
        <v>131</v>
      </c>
      <c r="DA1416">
        <v>300</v>
      </c>
      <c r="DB1416">
        <v>0</v>
      </c>
      <c r="DC1416" t="s">
        <v>176</v>
      </c>
      <c r="DD1416" t="s">
        <v>177</v>
      </c>
      <c r="DG1416">
        <v>5386239</v>
      </c>
      <c r="DI1416">
        <v>0</v>
      </c>
      <c r="DJ1416">
        <v>0</v>
      </c>
      <c r="DK1416">
        <v>1</v>
      </c>
      <c r="DL1416">
        <v>0</v>
      </c>
      <c r="DM1416">
        <v>0</v>
      </c>
      <c r="DN1416">
        <v>1</v>
      </c>
      <c r="DO1416">
        <v>0</v>
      </c>
      <c r="DP1416">
        <v>0</v>
      </c>
      <c r="DQ1416">
        <v>0</v>
      </c>
      <c r="DR1416">
        <v>0</v>
      </c>
      <c r="DS1416">
        <v>0</v>
      </c>
    </row>
    <row r="1417" spans="1:123" x14ac:dyDescent="0.3">
      <c r="A1417" t="str">
        <f>"10/04/2022 19:29:20.339"</f>
        <v>10/04/2022 19:29:20.339</v>
      </c>
      <c r="C1417" t="str">
        <f t="shared" si="495"/>
        <v>FFDFD3C0</v>
      </c>
      <c r="D1417" t="s">
        <v>134</v>
      </c>
      <c r="E1417">
        <v>15</v>
      </c>
      <c r="J1417" t="s">
        <v>135</v>
      </c>
      <c r="K1417">
        <v>0</v>
      </c>
      <c r="L1417">
        <v>3</v>
      </c>
      <c r="M1417">
        <v>0</v>
      </c>
      <c r="N1417">
        <v>2</v>
      </c>
      <c r="O1417">
        <v>0</v>
      </c>
      <c r="P1417">
        <v>1</v>
      </c>
      <c r="Q1417">
        <v>0</v>
      </c>
      <c r="S1417" t="str">
        <f t="shared" si="493"/>
        <v>19:29:20.000</v>
      </c>
      <c r="T1417" t="str">
        <f t="shared" si="493"/>
        <v>19:29:20.000</v>
      </c>
      <c r="U1417" t="str">
        <f t="shared" si="491"/>
        <v>AC3944</v>
      </c>
      <c r="V1417">
        <v>0</v>
      </c>
      <c r="W1417">
        <v>0</v>
      </c>
      <c r="X1417">
        <v>2</v>
      </c>
      <c r="Y1417">
        <v>0</v>
      </c>
      <c r="AA1417">
        <v>1</v>
      </c>
      <c r="AB1417">
        <v>8</v>
      </c>
      <c r="AC1417">
        <v>3</v>
      </c>
      <c r="AD1417">
        <v>0</v>
      </c>
      <c r="AE1417">
        <v>9</v>
      </c>
      <c r="AF1417" t="s">
        <v>138</v>
      </c>
      <c r="AG1417">
        <v>0</v>
      </c>
      <c r="AH1417">
        <v>3</v>
      </c>
      <c r="AI1417">
        <v>1</v>
      </c>
      <c r="AJ1417">
        <v>0</v>
      </c>
      <c r="AK1417" t="s">
        <v>538</v>
      </c>
      <c r="AL1417">
        <v>32.802300000000002</v>
      </c>
      <c r="AM1417" t="s">
        <v>539</v>
      </c>
      <c r="AN1417">
        <v>-116.88989599999999</v>
      </c>
      <c r="AO1417">
        <v>25</v>
      </c>
      <c r="AP1417">
        <v>2500</v>
      </c>
      <c r="AQ1417" t="s">
        <v>129</v>
      </c>
      <c r="AR1417">
        <v>99</v>
      </c>
      <c r="AS1417">
        <v>-65</v>
      </c>
      <c r="AT1417">
        <v>384</v>
      </c>
      <c r="BB1417">
        <v>1200</v>
      </c>
      <c r="BC1417">
        <v>1</v>
      </c>
      <c r="BD1417" t="str">
        <f t="shared" si="492"/>
        <v xml:space="preserve">N887QR  </v>
      </c>
      <c r="BE1417">
        <v>1</v>
      </c>
      <c r="BG1417">
        <v>0</v>
      </c>
      <c r="BH1417">
        <v>0</v>
      </c>
      <c r="BI1417">
        <v>0</v>
      </c>
      <c r="BJ1417">
        <v>2250</v>
      </c>
      <c r="BK1417">
        <v>-250</v>
      </c>
      <c r="BL1417" t="s">
        <v>163</v>
      </c>
      <c r="BM1417">
        <v>1</v>
      </c>
      <c r="BN1417">
        <v>1</v>
      </c>
      <c r="BO1417">
        <v>1</v>
      </c>
      <c r="BP1417">
        <v>0</v>
      </c>
      <c r="BS1417">
        <v>0</v>
      </c>
      <c r="BT1417">
        <v>0</v>
      </c>
      <c r="BU1417">
        <v>0</v>
      </c>
      <c r="CE1417" t="str">
        <f t="shared" si="494"/>
        <v>19:29:20.148</v>
      </c>
      <c r="CF1417">
        <v>148167703</v>
      </c>
      <c r="CS1417">
        <v>3</v>
      </c>
      <c r="CT1417">
        <v>2</v>
      </c>
      <c r="CU1417">
        <v>0</v>
      </c>
      <c r="CV1417">
        <v>2</v>
      </c>
      <c r="CW1417">
        <v>0</v>
      </c>
      <c r="CX1417">
        <v>6</v>
      </c>
      <c r="CY1417">
        <v>7</v>
      </c>
      <c r="CZ1417" t="s">
        <v>131</v>
      </c>
      <c r="DA1417">
        <v>300</v>
      </c>
      <c r="DB1417">
        <v>0</v>
      </c>
      <c r="DC1417" t="s">
        <v>176</v>
      </c>
      <c r="DD1417" t="s">
        <v>177</v>
      </c>
      <c r="DG1417">
        <v>5386239</v>
      </c>
      <c r="DI1417">
        <v>0</v>
      </c>
      <c r="DJ1417">
        <v>0</v>
      </c>
      <c r="DK1417">
        <v>1</v>
      </c>
      <c r="DL1417">
        <v>0</v>
      </c>
      <c r="DM1417">
        <v>0</v>
      </c>
      <c r="DN1417">
        <v>1</v>
      </c>
      <c r="DO1417">
        <v>0</v>
      </c>
      <c r="DP1417">
        <v>0</v>
      </c>
      <c r="DQ1417">
        <v>0</v>
      </c>
      <c r="DR1417">
        <v>0</v>
      </c>
      <c r="DS1417">
        <v>0</v>
      </c>
    </row>
    <row r="1418" spans="1:123" x14ac:dyDescent="0.3">
      <c r="A1418" t="str">
        <f>"10/04/2022 19:29:20.339"</f>
        <v>10/04/2022 19:29:20.339</v>
      </c>
      <c r="C1418" t="str">
        <f t="shared" si="495"/>
        <v>FFDFD3C0</v>
      </c>
      <c r="D1418" t="s">
        <v>136</v>
      </c>
      <c r="E1418">
        <v>8</v>
      </c>
      <c r="H1418">
        <v>225</v>
      </c>
      <c r="I1418" t="s">
        <v>137</v>
      </c>
      <c r="J1418" t="s">
        <v>138</v>
      </c>
      <c r="K1418">
        <v>0</v>
      </c>
      <c r="L1418">
        <v>3</v>
      </c>
      <c r="M1418">
        <v>0</v>
      </c>
      <c r="N1418">
        <v>2</v>
      </c>
      <c r="O1418">
        <v>0</v>
      </c>
      <c r="P1418">
        <v>1</v>
      </c>
      <c r="Q1418">
        <v>0</v>
      </c>
      <c r="S1418" t="str">
        <f t="shared" si="493"/>
        <v>19:29:20.000</v>
      </c>
      <c r="T1418" t="str">
        <f t="shared" si="493"/>
        <v>19:29:20.000</v>
      </c>
      <c r="U1418" t="str">
        <f t="shared" si="491"/>
        <v>AC3944</v>
      </c>
      <c r="V1418">
        <v>0</v>
      </c>
      <c r="W1418">
        <v>0</v>
      </c>
      <c r="X1418">
        <v>2</v>
      </c>
      <c r="Y1418">
        <v>0</v>
      </c>
      <c r="AA1418">
        <v>1</v>
      </c>
      <c r="AB1418">
        <v>8</v>
      </c>
      <c r="AC1418">
        <v>3</v>
      </c>
      <c r="AD1418">
        <v>0</v>
      </c>
      <c r="AE1418">
        <v>9</v>
      </c>
      <c r="AF1418" t="s">
        <v>138</v>
      </c>
      <c r="AG1418">
        <v>0</v>
      </c>
      <c r="AH1418">
        <v>3</v>
      </c>
      <c r="AI1418">
        <v>1</v>
      </c>
      <c r="AJ1418">
        <v>0</v>
      </c>
      <c r="AK1418" t="s">
        <v>538</v>
      </c>
      <c r="AL1418">
        <v>32.802300000000002</v>
      </c>
      <c r="AM1418" t="s">
        <v>539</v>
      </c>
      <c r="AN1418">
        <v>-116.88989599999999</v>
      </c>
      <c r="AO1418">
        <v>25</v>
      </c>
      <c r="AP1418">
        <v>2500</v>
      </c>
      <c r="AQ1418" t="s">
        <v>129</v>
      </c>
      <c r="AR1418">
        <v>99</v>
      </c>
      <c r="AS1418">
        <v>-65</v>
      </c>
      <c r="AT1418">
        <v>384</v>
      </c>
      <c r="BB1418">
        <v>1200</v>
      </c>
      <c r="BC1418">
        <v>1</v>
      </c>
      <c r="BD1418" t="str">
        <f t="shared" si="492"/>
        <v xml:space="preserve">N887QR  </v>
      </c>
      <c r="BE1418">
        <v>1</v>
      </c>
      <c r="BG1418">
        <v>0</v>
      </c>
      <c r="BH1418">
        <v>0</v>
      </c>
      <c r="BI1418">
        <v>0</v>
      </c>
      <c r="BJ1418">
        <v>2250</v>
      </c>
      <c r="BK1418">
        <v>-250</v>
      </c>
      <c r="BL1418" t="s">
        <v>163</v>
      </c>
      <c r="BM1418">
        <v>1</v>
      </c>
      <c r="BN1418">
        <v>1</v>
      </c>
      <c r="BO1418">
        <v>1</v>
      </c>
      <c r="BP1418">
        <v>0</v>
      </c>
      <c r="BS1418">
        <v>0</v>
      </c>
      <c r="BT1418">
        <v>0</v>
      </c>
      <c r="BU1418">
        <v>0</v>
      </c>
      <c r="CE1418" t="str">
        <f t="shared" si="494"/>
        <v>19:29:20.148</v>
      </c>
      <c r="CF1418">
        <v>148167703</v>
      </c>
      <c r="CS1418">
        <v>3</v>
      </c>
      <c r="CT1418">
        <v>2</v>
      </c>
      <c r="CU1418">
        <v>0</v>
      </c>
      <c r="CV1418">
        <v>2</v>
      </c>
      <c r="CW1418">
        <v>0</v>
      </c>
      <c r="CX1418">
        <v>6</v>
      </c>
      <c r="CY1418">
        <v>7</v>
      </c>
      <c r="CZ1418" t="s">
        <v>131</v>
      </c>
      <c r="DA1418">
        <v>300</v>
      </c>
      <c r="DB1418">
        <v>0</v>
      </c>
      <c r="DC1418" t="s">
        <v>176</v>
      </c>
      <c r="DD1418" t="s">
        <v>177</v>
      </c>
      <c r="DG1418">
        <v>5386239</v>
      </c>
      <c r="DI1418">
        <v>0</v>
      </c>
      <c r="DJ1418">
        <v>0</v>
      </c>
      <c r="DK1418">
        <v>1</v>
      </c>
      <c r="DL1418">
        <v>0</v>
      </c>
      <c r="DM1418">
        <v>0</v>
      </c>
      <c r="DN1418">
        <v>1</v>
      </c>
      <c r="DO1418">
        <v>0</v>
      </c>
      <c r="DP1418">
        <v>0</v>
      </c>
      <c r="DQ1418">
        <v>0</v>
      </c>
      <c r="DR1418">
        <v>0</v>
      </c>
      <c r="DS1418">
        <v>0</v>
      </c>
    </row>
    <row r="1419" spans="1:123" x14ac:dyDescent="0.3">
      <c r="A1419" t="str">
        <f>"10/04/2022 19:29:20.401"</f>
        <v>10/04/2022 19:29:20.401</v>
      </c>
      <c r="C1419" t="str">
        <f t="shared" si="495"/>
        <v>FFDFD3C0</v>
      </c>
      <c r="D1419" t="s">
        <v>143</v>
      </c>
      <c r="E1419">
        <v>20</v>
      </c>
      <c r="F1419">
        <v>1020</v>
      </c>
      <c r="G1419" t="s">
        <v>144</v>
      </c>
      <c r="J1419" t="s">
        <v>145</v>
      </c>
      <c r="K1419">
        <v>0</v>
      </c>
      <c r="L1419">
        <v>3</v>
      </c>
      <c r="M1419">
        <v>0</v>
      </c>
      <c r="N1419">
        <v>2</v>
      </c>
      <c r="O1419">
        <v>0</v>
      </c>
      <c r="P1419">
        <v>1</v>
      </c>
      <c r="Q1419">
        <v>0</v>
      </c>
      <c r="S1419" t="str">
        <f t="shared" si="493"/>
        <v>19:29:20.000</v>
      </c>
      <c r="T1419" t="str">
        <f t="shared" si="493"/>
        <v>19:29:20.000</v>
      </c>
      <c r="U1419" t="str">
        <f t="shared" si="491"/>
        <v>AC3944</v>
      </c>
      <c r="V1419">
        <v>0</v>
      </c>
      <c r="W1419">
        <v>0</v>
      </c>
      <c r="X1419">
        <v>2</v>
      </c>
      <c r="Y1419">
        <v>0</v>
      </c>
      <c r="AA1419">
        <v>1</v>
      </c>
      <c r="AB1419">
        <v>8</v>
      </c>
      <c r="AC1419">
        <v>3</v>
      </c>
      <c r="AD1419">
        <v>0</v>
      </c>
      <c r="AE1419">
        <v>9</v>
      </c>
      <c r="AF1419" t="s">
        <v>138</v>
      </c>
      <c r="AG1419">
        <v>0</v>
      </c>
      <c r="AH1419">
        <v>3</v>
      </c>
      <c r="AI1419">
        <v>1</v>
      </c>
      <c r="AJ1419">
        <v>0</v>
      </c>
      <c r="AK1419" t="s">
        <v>538</v>
      </c>
      <c r="AL1419">
        <v>32.802300000000002</v>
      </c>
      <c r="AM1419" t="s">
        <v>539</v>
      </c>
      <c r="AN1419">
        <v>-116.88989599999999</v>
      </c>
      <c r="AO1419">
        <v>25</v>
      </c>
      <c r="AP1419">
        <v>2500</v>
      </c>
      <c r="AQ1419" t="s">
        <v>129</v>
      </c>
      <c r="AR1419">
        <v>99</v>
      </c>
      <c r="AS1419">
        <v>-65</v>
      </c>
      <c r="AT1419">
        <v>384</v>
      </c>
      <c r="BB1419">
        <v>1200</v>
      </c>
      <c r="BC1419">
        <v>1</v>
      </c>
      <c r="BD1419" t="str">
        <f t="shared" si="492"/>
        <v xml:space="preserve">N887QR  </v>
      </c>
      <c r="BE1419">
        <v>1</v>
      </c>
      <c r="BG1419">
        <v>0</v>
      </c>
      <c r="BH1419">
        <v>0</v>
      </c>
      <c r="BI1419">
        <v>0</v>
      </c>
      <c r="BJ1419">
        <v>2250</v>
      </c>
      <c r="BK1419">
        <v>-250</v>
      </c>
      <c r="BL1419" t="s">
        <v>163</v>
      </c>
      <c r="BM1419">
        <v>1</v>
      </c>
      <c r="BN1419">
        <v>1</v>
      </c>
      <c r="BO1419">
        <v>1</v>
      </c>
      <c r="BP1419">
        <v>0</v>
      </c>
      <c r="BS1419">
        <v>0</v>
      </c>
      <c r="BT1419">
        <v>0</v>
      </c>
      <c r="BU1419">
        <v>0</v>
      </c>
      <c r="CE1419" t="str">
        <f t="shared" si="494"/>
        <v>19:29:20.148</v>
      </c>
      <c r="CF1419">
        <v>148167703</v>
      </c>
      <c r="CS1419">
        <v>3</v>
      </c>
      <c r="CT1419">
        <v>2</v>
      </c>
      <c r="CU1419">
        <v>0</v>
      </c>
      <c r="CV1419">
        <v>2</v>
      </c>
      <c r="CW1419">
        <v>0</v>
      </c>
      <c r="CX1419">
        <v>6</v>
      </c>
      <c r="CY1419">
        <v>7</v>
      </c>
      <c r="CZ1419" t="s">
        <v>131</v>
      </c>
      <c r="DA1419">
        <v>300</v>
      </c>
      <c r="DB1419">
        <v>0</v>
      </c>
      <c r="DC1419" t="s">
        <v>176</v>
      </c>
      <c r="DD1419" t="s">
        <v>177</v>
      </c>
      <c r="DG1419">
        <v>5386239</v>
      </c>
      <c r="DI1419">
        <v>0</v>
      </c>
      <c r="DJ1419">
        <v>0</v>
      </c>
      <c r="DK1419">
        <v>1</v>
      </c>
      <c r="DL1419">
        <v>0</v>
      </c>
      <c r="DM1419">
        <v>0</v>
      </c>
      <c r="DN1419">
        <v>1</v>
      </c>
      <c r="DO1419">
        <v>0</v>
      </c>
      <c r="DP1419">
        <v>0</v>
      </c>
      <c r="DQ1419">
        <v>0</v>
      </c>
      <c r="DR1419">
        <v>0</v>
      </c>
      <c r="DS1419">
        <v>0</v>
      </c>
    </row>
    <row r="1420" spans="1:123" x14ac:dyDescent="0.3">
      <c r="A1420" t="str">
        <f>"10/04/2022 19:29:20.401"</f>
        <v>10/04/2022 19:29:20.401</v>
      </c>
      <c r="C1420" t="str">
        <f t="shared" si="495"/>
        <v>FFDFD3C0</v>
      </c>
      <c r="D1420" t="s">
        <v>123</v>
      </c>
      <c r="E1420">
        <v>7</v>
      </c>
      <c r="F1420">
        <v>2007</v>
      </c>
      <c r="G1420" t="s">
        <v>124</v>
      </c>
      <c r="J1420" t="s">
        <v>125</v>
      </c>
      <c r="K1420">
        <v>0</v>
      </c>
      <c r="L1420">
        <v>3</v>
      </c>
      <c r="M1420">
        <v>0</v>
      </c>
      <c r="N1420">
        <v>2</v>
      </c>
      <c r="O1420">
        <v>0</v>
      </c>
      <c r="P1420">
        <v>1</v>
      </c>
      <c r="Q1420">
        <v>0</v>
      </c>
      <c r="S1420" t="str">
        <f t="shared" si="493"/>
        <v>19:29:20.000</v>
      </c>
      <c r="T1420" t="str">
        <f t="shared" si="493"/>
        <v>19:29:20.000</v>
      </c>
      <c r="U1420" t="str">
        <f t="shared" si="491"/>
        <v>AC3944</v>
      </c>
      <c r="V1420">
        <v>0</v>
      </c>
      <c r="W1420">
        <v>0</v>
      </c>
      <c r="X1420">
        <v>2</v>
      </c>
      <c r="Y1420">
        <v>0</v>
      </c>
      <c r="AA1420">
        <v>1</v>
      </c>
      <c r="AB1420">
        <v>8</v>
      </c>
      <c r="AC1420">
        <v>3</v>
      </c>
      <c r="AD1420">
        <v>0</v>
      </c>
      <c r="AE1420">
        <v>9</v>
      </c>
      <c r="AF1420" t="s">
        <v>138</v>
      </c>
      <c r="AG1420">
        <v>0</v>
      </c>
      <c r="AH1420">
        <v>3</v>
      </c>
      <c r="AI1420">
        <v>1</v>
      </c>
      <c r="AJ1420">
        <v>0</v>
      </c>
      <c r="AK1420" t="s">
        <v>538</v>
      </c>
      <c r="AL1420">
        <v>32.802300000000002</v>
      </c>
      <c r="AM1420" t="s">
        <v>539</v>
      </c>
      <c r="AN1420">
        <v>-116.88989599999999</v>
      </c>
      <c r="AO1420">
        <v>25</v>
      </c>
      <c r="AP1420">
        <v>2500</v>
      </c>
      <c r="AQ1420" t="s">
        <v>129</v>
      </c>
      <c r="AR1420">
        <v>99</v>
      </c>
      <c r="AS1420">
        <v>-65</v>
      </c>
      <c r="AT1420">
        <v>384</v>
      </c>
      <c r="BB1420">
        <v>1200</v>
      </c>
      <c r="BC1420">
        <v>1</v>
      </c>
      <c r="BD1420" t="str">
        <f t="shared" si="492"/>
        <v xml:space="preserve">N887QR  </v>
      </c>
      <c r="BE1420">
        <v>1</v>
      </c>
      <c r="BG1420">
        <v>0</v>
      </c>
      <c r="BH1420">
        <v>0</v>
      </c>
      <c r="BI1420">
        <v>0</v>
      </c>
      <c r="BJ1420">
        <v>2250</v>
      </c>
      <c r="BK1420">
        <v>-250</v>
      </c>
      <c r="BL1420" t="s">
        <v>163</v>
      </c>
      <c r="BM1420">
        <v>1</v>
      </c>
      <c r="BN1420">
        <v>1</v>
      </c>
      <c r="BO1420">
        <v>1</v>
      </c>
      <c r="BP1420">
        <v>0</v>
      </c>
      <c r="BS1420">
        <v>0</v>
      </c>
      <c r="BT1420">
        <v>0</v>
      </c>
      <c r="BU1420">
        <v>0</v>
      </c>
      <c r="CE1420" t="str">
        <f t="shared" si="494"/>
        <v>19:29:20.148</v>
      </c>
      <c r="CF1420">
        <v>148167703</v>
      </c>
      <c r="CS1420">
        <v>3</v>
      </c>
      <c r="CT1420">
        <v>2</v>
      </c>
      <c r="CU1420">
        <v>0</v>
      </c>
      <c r="CV1420">
        <v>2</v>
      </c>
      <c r="CW1420">
        <v>0</v>
      </c>
      <c r="CX1420">
        <v>6</v>
      </c>
      <c r="CY1420">
        <v>7</v>
      </c>
      <c r="CZ1420" t="s">
        <v>131</v>
      </c>
      <c r="DA1420">
        <v>300</v>
      </c>
      <c r="DB1420">
        <v>0</v>
      </c>
      <c r="DC1420" t="s">
        <v>176</v>
      </c>
      <c r="DD1420" t="s">
        <v>177</v>
      </c>
      <c r="DG1420">
        <v>5386239</v>
      </c>
      <c r="DI1420">
        <v>0</v>
      </c>
      <c r="DJ1420">
        <v>0</v>
      </c>
      <c r="DK1420">
        <v>1</v>
      </c>
      <c r="DL1420">
        <v>0</v>
      </c>
      <c r="DM1420">
        <v>0</v>
      </c>
      <c r="DN1420">
        <v>1</v>
      </c>
      <c r="DO1420">
        <v>0</v>
      </c>
      <c r="DP1420">
        <v>0</v>
      </c>
      <c r="DQ1420">
        <v>0</v>
      </c>
      <c r="DR1420">
        <v>0</v>
      </c>
      <c r="DS1420">
        <v>0</v>
      </c>
    </row>
    <row r="1421" spans="1:123" x14ac:dyDescent="0.3">
      <c r="A1421" t="str">
        <f>"10/04/2022 19:29:20.401"</f>
        <v>10/04/2022 19:29:20.401</v>
      </c>
      <c r="C1421" t="str">
        <f t="shared" si="495"/>
        <v>FFDFD3C0</v>
      </c>
      <c r="D1421" t="s">
        <v>147</v>
      </c>
      <c r="E1421">
        <v>3</v>
      </c>
      <c r="H1421">
        <v>166</v>
      </c>
      <c r="I1421" t="s">
        <v>144</v>
      </c>
      <c r="J1421" t="s">
        <v>148</v>
      </c>
      <c r="K1421">
        <v>0</v>
      </c>
      <c r="L1421">
        <v>3</v>
      </c>
      <c r="M1421">
        <v>0</v>
      </c>
      <c r="N1421">
        <v>2</v>
      </c>
      <c r="O1421">
        <v>0</v>
      </c>
      <c r="P1421">
        <v>1</v>
      </c>
      <c r="Q1421">
        <v>0</v>
      </c>
      <c r="S1421" t="str">
        <f t="shared" si="493"/>
        <v>19:29:20.000</v>
      </c>
      <c r="T1421" t="str">
        <f t="shared" si="493"/>
        <v>19:29:20.000</v>
      </c>
      <c r="U1421" t="str">
        <f t="shared" si="491"/>
        <v>AC3944</v>
      </c>
      <c r="V1421">
        <v>0</v>
      </c>
      <c r="W1421">
        <v>0</v>
      </c>
      <c r="X1421">
        <v>2</v>
      </c>
      <c r="Y1421">
        <v>0</v>
      </c>
      <c r="AA1421">
        <v>1</v>
      </c>
      <c r="AB1421">
        <v>8</v>
      </c>
      <c r="AC1421">
        <v>3</v>
      </c>
      <c r="AD1421">
        <v>0</v>
      </c>
      <c r="AE1421">
        <v>9</v>
      </c>
      <c r="AF1421" t="s">
        <v>138</v>
      </c>
      <c r="AG1421">
        <v>0</v>
      </c>
      <c r="AH1421">
        <v>3</v>
      </c>
      <c r="AI1421">
        <v>1</v>
      </c>
      <c r="AJ1421">
        <v>0</v>
      </c>
      <c r="AK1421" t="s">
        <v>538</v>
      </c>
      <c r="AL1421">
        <v>32.802300000000002</v>
      </c>
      <c r="AM1421" t="s">
        <v>539</v>
      </c>
      <c r="AN1421">
        <v>-116.88989599999999</v>
      </c>
      <c r="AO1421">
        <v>25</v>
      </c>
      <c r="AP1421">
        <v>2500</v>
      </c>
      <c r="AQ1421" t="s">
        <v>129</v>
      </c>
      <c r="AR1421">
        <v>99</v>
      </c>
      <c r="AS1421">
        <v>-65</v>
      </c>
      <c r="AT1421">
        <v>384</v>
      </c>
      <c r="BB1421">
        <v>1200</v>
      </c>
      <c r="BC1421">
        <v>1</v>
      </c>
      <c r="BD1421" t="str">
        <f t="shared" si="492"/>
        <v xml:space="preserve">N887QR  </v>
      </c>
      <c r="BE1421">
        <v>1</v>
      </c>
      <c r="BG1421">
        <v>0</v>
      </c>
      <c r="BH1421">
        <v>0</v>
      </c>
      <c r="BI1421">
        <v>0</v>
      </c>
      <c r="BJ1421">
        <v>2250</v>
      </c>
      <c r="BK1421">
        <v>-250</v>
      </c>
      <c r="BL1421" t="s">
        <v>163</v>
      </c>
      <c r="BM1421">
        <v>1</v>
      </c>
      <c r="BN1421">
        <v>1</v>
      </c>
      <c r="BO1421">
        <v>1</v>
      </c>
      <c r="BP1421">
        <v>0</v>
      </c>
      <c r="BS1421">
        <v>0</v>
      </c>
      <c r="BT1421">
        <v>0</v>
      </c>
      <c r="BU1421">
        <v>0</v>
      </c>
      <c r="CE1421" t="str">
        <f t="shared" si="494"/>
        <v>19:29:20.148</v>
      </c>
      <c r="CF1421">
        <v>148167703</v>
      </c>
      <c r="CS1421">
        <v>3</v>
      </c>
      <c r="CT1421">
        <v>2</v>
      </c>
      <c r="CU1421">
        <v>0</v>
      </c>
      <c r="CV1421">
        <v>2</v>
      </c>
      <c r="CW1421">
        <v>0</v>
      </c>
      <c r="CX1421">
        <v>6</v>
      </c>
      <c r="CY1421">
        <v>7</v>
      </c>
      <c r="CZ1421" t="s">
        <v>131</v>
      </c>
      <c r="DA1421">
        <v>300</v>
      </c>
      <c r="DB1421">
        <v>0</v>
      </c>
      <c r="DC1421" t="s">
        <v>176</v>
      </c>
      <c r="DD1421" t="s">
        <v>177</v>
      </c>
      <c r="DG1421">
        <v>5386239</v>
      </c>
      <c r="DI1421">
        <v>0</v>
      </c>
      <c r="DJ1421">
        <v>0</v>
      </c>
      <c r="DK1421">
        <v>1</v>
      </c>
      <c r="DL1421">
        <v>0</v>
      </c>
      <c r="DM1421">
        <v>0</v>
      </c>
      <c r="DN1421">
        <v>1</v>
      </c>
      <c r="DO1421">
        <v>0</v>
      </c>
      <c r="DP1421">
        <v>0</v>
      </c>
      <c r="DQ1421">
        <v>0</v>
      </c>
      <c r="DR1421">
        <v>0</v>
      </c>
      <c r="DS1421">
        <v>0</v>
      </c>
    </row>
    <row r="1422" spans="1:123" x14ac:dyDescent="0.3">
      <c r="A1422" t="str">
        <f>"10/04/2022 19:29:21.352"</f>
        <v>10/04/2022 19:29:21.352</v>
      </c>
      <c r="C1422" t="str">
        <f t="shared" si="495"/>
        <v>FFDFD3C0</v>
      </c>
      <c r="D1422" t="s">
        <v>141</v>
      </c>
      <c r="E1422">
        <v>4</v>
      </c>
      <c r="H1422">
        <v>4</v>
      </c>
      <c r="I1422" t="s">
        <v>142</v>
      </c>
      <c r="J1422" t="s">
        <v>138</v>
      </c>
      <c r="K1422">
        <v>0</v>
      </c>
      <c r="L1422">
        <v>3</v>
      </c>
      <c r="M1422">
        <v>0</v>
      </c>
      <c r="N1422">
        <v>2</v>
      </c>
      <c r="O1422">
        <v>0</v>
      </c>
      <c r="P1422">
        <v>1</v>
      </c>
      <c r="Q1422">
        <v>0</v>
      </c>
      <c r="S1422" t="str">
        <f t="shared" ref="S1422:T1428" si="496">"19:29:21.000"</f>
        <v>19:29:21.000</v>
      </c>
      <c r="T1422" t="str">
        <f t="shared" si="496"/>
        <v>19:29:21.000</v>
      </c>
      <c r="U1422" t="str">
        <f t="shared" si="491"/>
        <v>AC3944</v>
      </c>
      <c r="V1422">
        <v>0</v>
      </c>
      <c r="W1422">
        <v>0</v>
      </c>
      <c r="X1422">
        <v>2</v>
      </c>
      <c r="Y1422">
        <v>0</v>
      </c>
      <c r="AA1422">
        <v>1</v>
      </c>
      <c r="AB1422">
        <v>8</v>
      </c>
      <c r="AC1422">
        <v>3</v>
      </c>
      <c r="AD1422">
        <v>0</v>
      </c>
      <c r="AE1422">
        <v>9</v>
      </c>
      <c r="AF1422" t="s">
        <v>138</v>
      </c>
      <c r="AG1422">
        <v>0</v>
      </c>
      <c r="AH1422">
        <v>3</v>
      </c>
      <c r="AI1422">
        <v>1</v>
      </c>
      <c r="AJ1422">
        <v>0</v>
      </c>
      <c r="AK1422" t="s">
        <v>540</v>
      </c>
      <c r="AL1422">
        <v>32.802</v>
      </c>
      <c r="AM1422" t="s">
        <v>541</v>
      </c>
      <c r="AN1422">
        <v>-116.88936</v>
      </c>
      <c r="AO1422">
        <v>25</v>
      </c>
      <c r="AP1422">
        <v>2500</v>
      </c>
      <c r="AQ1422" t="s">
        <v>129</v>
      </c>
      <c r="AR1422">
        <v>98</v>
      </c>
      <c r="AS1422">
        <v>-67</v>
      </c>
      <c r="AT1422">
        <v>256</v>
      </c>
      <c r="BB1422">
        <v>1200</v>
      </c>
      <c r="BC1422">
        <v>1</v>
      </c>
      <c r="BD1422" t="str">
        <f t="shared" si="492"/>
        <v xml:space="preserve">N887QR  </v>
      </c>
      <c r="BE1422">
        <v>1</v>
      </c>
      <c r="BG1422">
        <v>0</v>
      </c>
      <c r="BH1422">
        <v>0</v>
      </c>
      <c r="BI1422">
        <v>0</v>
      </c>
      <c r="BJ1422">
        <v>2250</v>
      </c>
      <c r="BK1422">
        <v>-250</v>
      </c>
      <c r="BL1422" t="s">
        <v>163</v>
      </c>
      <c r="BM1422">
        <v>1</v>
      </c>
      <c r="BN1422">
        <v>1</v>
      </c>
      <c r="BO1422">
        <v>1</v>
      </c>
      <c r="BP1422">
        <v>0</v>
      </c>
      <c r="BS1422">
        <v>0</v>
      </c>
      <c r="BT1422">
        <v>0</v>
      </c>
      <c r="BU1422">
        <v>0</v>
      </c>
      <c r="CE1422" t="str">
        <f t="shared" ref="CE1422:CE1428" si="497">"19:29:21.167"</f>
        <v>19:29:21.167</v>
      </c>
      <c r="CF1422">
        <v>167171097</v>
      </c>
      <c r="CS1422">
        <v>3</v>
      </c>
      <c r="CT1422">
        <v>2</v>
      </c>
      <c r="CU1422">
        <v>0</v>
      </c>
      <c r="CV1422">
        <v>2</v>
      </c>
      <c r="CW1422">
        <v>0</v>
      </c>
      <c r="CX1422">
        <v>6</v>
      </c>
      <c r="CY1422">
        <v>7</v>
      </c>
      <c r="CZ1422" t="s">
        <v>131</v>
      </c>
      <c r="DA1422">
        <v>300</v>
      </c>
      <c r="DB1422">
        <v>0</v>
      </c>
      <c r="DC1422" t="s">
        <v>176</v>
      </c>
      <c r="DD1422" t="s">
        <v>177</v>
      </c>
      <c r="DG1422">
        <v>5386392</v>
      </c>
      <c r="DI1422">
        <v>1</v>
      </c>
      <c r="DJ1422">
        <v>0</v>
      </c>
      <c r="DK1422">
        <v>0</v>
      </c>
      <c r="DL1422">
        <v>0</v>
      </c>
      <c r="DM1422">
        <v>0</v>
      </c>
      <c r="DN1422">
        <v>1</v>
      </c>
      <c r="DO1422">
        <v>0</v>
      </c>
      <c r="DP1422">
        <v>0</v>
      </c>
      <c r="DQ1422">
        <v>0</v>
      </c>
      <c r="DR1422">
        <v>0</v>
      </c>
      <c r="DS1422">
        <v>0</v>
      </c>
    </row>
    <row r="1423" spans="1:123" x14ac:dyDescent="0.3">
      <c r="A1423" t="str">
        <f>"10/04/2022 19:29:21.352"</f>
        <v>10/04/2022 19:29:21.352</v>
      </c>
      <c r="C1423" t="str">
        <f t="shared" si="495"/>
        <v>FFDFD3C0</v>
      </c>
      <c r="D1423" t="s">
        <v>141</v>
      </c>
      <c r="E1423">
        <v>3</v>
      </c>
      <c r="H1423">
        <v>3</v>
      </c>
      <c r="I1423" t="s">
        <v>146</v>
      </c>
      <c r="J1423" t="s">
        <v>138</v>
      </c>
      <c r="K1423">
        <v>0</v>
      </c>
      <c r="L1423">
        <v>3</v>
      </c>
      <c r="M1423">
        <v>0</v>
      </c>
      <c r="N1423">
        <v>2</v>
      </c>
      <c r="O1423">
        <v>0</v>
      </c>
      <c r="P1423">
        <v>1</v>
      </c>
      <c r="Q1423">
        <v>0</v>
      </c>
      <c r="S1423" t="str">
        <f t="shared" si="496"/>
        <v>19:29:21.000</v>
      </c>
      <c r="T1423" t="str">
        <f t="shared" si="496"/>
        <v>19:29:21.000</v>
      </c>
      <c r="U1423" t="str">
        <f t="shared" si="491"/>
        <v>AC3944</v>
      </c>
      <c r="V1423">
        <v>0</v>
      </c>
      <c r="W1423">
        <v>0</v>
      </c>
      <c r="X1423">
        <v>2</v>
      </c>
      <c r="Y1423">
        <v>0</v>
      </c>
      <c r="AA1423">
        <v>1</v>
      </c>
      <c r="AB1423">
        <v>8</v>
      </c>
      <c r="AC1423">
        <v>3</v>
      </c>
      <c r="AD1423">
        <v>0</v>
      </c>
      <c r="AE1423">
        <v>9</v>
      </c>
      <c r="AF1423" t="s">
        <v>138</v>
      </c>
      <c r="AG1423">
        <v>0</v>
      </c>
      <c r="AH1423">
        <v>3</v>
      </c>
      <c r="AI1423">
        <v>1</v>
      </c>
      <c r="AJ1423">
        <v>0</v>
      </c>
      <c r="AK1423" t="s">
        <v>540</v>
      </c>
      <c r="AL1423">
        <v>32.802</v>
      </c>
      <c r="AM1423" t="s">
        <v>541</v>
      </c>
      <c r="AN1423">
        <v>-116.88936</v>
      </c>
      <c r="AO1423">
        <v>25</v>
      </c>
      <c r="AP1423">
        <v>2500</v>
      </c>
      <c r="AQ1423" t="s">
        <v>129</v>
      </c>
      <c r="AR1423">
        <v>98</v>
      </c>
      <c r="AS1423">
        <v>-67</v>
      </c>
      <c r="AT1423">
        <v>256</v>
      </c>
      <c r="BB1423">
        <v>1200</v>
      </c>
      <c r="BC1423">
        <v>1</v>
      </c>
      <c r="BD1423" t="str">
        <f t="shared" si="492"/>
        <v xml:space="preserve">N887QR  </v>
      </c>
      <c r="BE1423">
        <v>1</v>
      </c>
      <c r="BG1423">
        <v>0</v>
      </c>
      <c r="BH1423">
        <v>0</v>
      </c>
      <c r="BI1423">
        <v>0</v>
      </c>
      <c r="BJ1423">
        <v>2250</v>
      </c>
      <c r="BK1423">
        <v>-250</v>
      </c>
      <c r="BL1423" t="s">
        <v>163</v>
      </c>
      <c r="BM1423">
        <v>1</v>
      </c>
      <c r="BN1423">
        <v>1</v>
      </c>
      <c r="BO1423">
        <v>1</v>
      </c>
      <c r="BP1423">
        <v>0</v>
      </c>
      <c r="BS1423">
        <v>0</v>
      </c>
      <c r="BT1423">
        <v>0</v>
      </c>
      <c r="BU1423">
        <v>0</v>
      </c>
      <c r="CE1423" t="str">
        <f t="shared" si="497"/>
        <v>19:29:21.167</v>
      </c>
      <c r="CF1423">
        <v>167171097</v>
      </c>
      <c r="CS1423">
        <v>3</v>
      </c>
      <c r="CT1423">
        <v>2</v>
      </c>
      <c r="CU1423">
        <v>0</v>
      </c>
      <c r="CV1423">
        <v>2</v>
      </c>
      <c r="CW1423">
        <v>0</v>
      </c>
      <c r="CX1423">
        <v>6</v>
      </c>
      <c r="CY1423">
        <v>7</v>
      </c>
      <c r="CZ1423" t="s">
        <v>131</v>
      </c>
      <c r="DA1423">
        <v>300</v>
      </c>
      <c r="DB1423">
        <v>0</v>
      </c>
      <c r="DC1423" t="s">
        <v>176</v>
      </c>
      <c r="DD1423" t="s">
        <v>177</v>
      </c>
      <c r="DG1423">
        <v>5386392</v>
      </c>
      <c r="DI1423">
        <v>1</v>
      </c>
      <c r="DJ1423">
        <v>0</v>
      </c>
      <c r="DK1423">
        <v>1</v>
      </c>
      <c r="DL1423">
        <v>0</v>
      </c>
      <c r="DM1423">
        <v>0</v>
      </c>
      <c r="DN1423">
        <v>1</v>
      </c>
      <c r="DO1423">
        <v>0</v>
      </c>
      <c r="DP1423">
        <v>0</v>
      </c>
      <c r="DQ1423">
        <v>0</v>
      </c>
      <c r="DR1423">
        <v>0</v>
      </c>
      <c r="DS1423">
        <v>0</v>
      </c>
    </row>
    <row r="1424" spans="1:123" x14ac:dyDescent="0.3">
      <c r="A1424" t="str">
        <f>"10/04/2022 19:29:21.352"</f>
        <v>10/04/2022 19:29:21.352</v>
      </c>
      <c r="C1424" t="str">
        <f t="shared" si="495"/>
        <v>FFDFD3C0</v>
      </c>
      <c r="D1424" t="s">
        <v>134</v>
      </c>
      <c r="E1424">
        <v>15</v>
      </c>
      <c r="J1424" t="s">
        <v>135</v>
      </c>
      <c r="K1424">
        <v>0</v>
      </c>
      <c r="L1424">
        <v>3</v>
      </c>
      <c r="M1424">
        <v>0</v>
      </c>
      <c r="N1424">
        <v>2</v>
      </c>
      <c r="O1424">
        <v>0</v>
      </c>
      <c r="P1424">
        <v>1</v>
      </c>
      <c r="Q1424">
        <v>0</v>
      </c>
      <c r="S1424" t="str">
        <f t="shared" si="496"/>
        <v>19:29:21.000</v>
      </c>
      <c r="T1424" t="str">
        <f t="shared" si="496"/>
        <v>19:29:21.000</v>
      </c>
      <c r="U1424" t="str">
        <f t="shared" si="491"/>
        <v>AC3944</v>
      </c>
      <c r="V1424">
        <v>0</v>
      </c>
      <c r="W1424">
        <v>0</v>
      </c>
      <c r="X1424">
        <v>2</v>
      </c>
      <c r="Y1424">
        <v>0</v>
      </c>
      <c r="AA1424">
        <v>1</v>
      </c>
      <c r="AB1424">
        <v>8</v>
      </c>
      <c r="AC1424">
        <v>3</v>
      </c>
      <c r="AD1424">
        <v>0</v>
      </c>
      <c r="AE1424">
        <v>9</v>
      </c>
      <c r="AF1424" t="s">
        <v>138</v>
      </c>
      <c r="AG1424">
        <v>0</v>
      </c>
      <c r="AH1424">
        <v>3</v>
      </c>
      <c r="AI1424">
        <v>1</v>
      </c>
      <c r="AJ1424">
        <v>0</v>
      </c>
      <c r="AK1424" t="s">
        <v>540</v>
      </c>
      <c r="AL1424">
        <v>32.802</v>
      </c>
      <c r="AM1424" t="s">
        <v>541</v>
      </c>
      <c r="AN1424">
        <v>-116.88936</v>
      </c>
      <c r="AO1424">
        <v>25</v>
      </c>
      <c r="AP1424">
        <v>2500</v>
      </c>
      <c r="AQ1424" t="s">
        <v>129</v>
      </c>
      <c r="AR1424">
        <v>98</v>
      </c>
      <c r="AS1424">
        <v>-67</v>
      </c>
      <c r="AT1424">
        <v>256</v>
      </c>
      <c r="BB1424">
        <v>1200</v>
      </c>
      <c r="BC1424">
        <v>1</v>
      </c>
      <c r="BD1424" t="str">
        <f t="shared" si="492"/>
        <v xml:space="preserve">N887QR  </v>
      </c>
      <c r="BE1424">
        <v>1</v>
      </c>
      <c r="BG1424">
        <v>0</v>
      </c>
      <c r="BH1424">
        <v>0</v>
      </c>
      <c r="BI1424">
        <v>0</v>
      </c>
      <c r="BJ1424">
        <v>2250</v>
      </c>
      <c r="BK1424">
        <v>-250</v>
      </c>
      <c r="BL1424" t="s">
        <v>163</v>
      </c>
      <c r="BM1424">
        <v>1</v>
      </c>
      <c r="BN1424">
        <v>1</v>
      </c>
      <c r="BO1424">
        <v>1</v>
      </c>
      <c r="BP1424">
        <v>0</v>
      </c>
      <c r="BS1424">
        <v>0</v>
      </c>
      <c r="BT1424">
        <v>0</v>
      </c>
      <c r="BU1424">
        <v>0</v>
      </c>
      <c r="CE1424" t="str">
        <f t="shared" si="497"/>
        <v>19:29:21.167</v>
      </c>
      <c r="CF1424">
        <v>167171097</v>
      </c>
      <c r="CS1424">
        <v>3</v>
      </c>
      <c r="CT1424">
        <v>2</v>
      </c>
      <c r="CU1424">
        <v>0</v>
      </c>
      <c r="CV1424">
        <v>2</v>
      </c>
      <c r="CW1424">
        <v>0</v>
      </c>
      <c r="CX1424">
        <v>6</v>
      </c>
      <c r="CY1424">
        <v>7</v>
      </c>
      <c r="CZ1424" t="s">
        <v>131</v>
      </c>
      <c r="DA1424">
        <v>300</v>
      </c>
      <c r="DB1424">
        <v>0</v>
      </c>
      <c r="DC1424" t="s">
        <v>176</v>
      </c>
      <c r="DD1424" t="s">
        <v>177</v>
      </c>
      <c r="DG1424">
        <v>5386392</v>
      </c>
      <c r="DI1424">
        <v>1</v>
      </c>
      <c r="DJ1424">
        <v>0</v>
      </c>
      <c r="DK1424">
        <v>1</v>
      </c>
      <c r="DL1424">
        <v>0</v>
      </c>
      <c r="DM1424">
        <v>0</v>
      </c>
      <c r="DN1424">
        <v>1</v>
      </c>
      <c r="DO1424">
        <v>0</v>
      </c>
      <c r="DP1424">
        <v>0</v>
      </c>
      <c r="DQ1424">
        <v>0</v>
      </c>
      <c r="DR1424">
        <v>0</v>
      </c>
      <c r="DS1424">
        <v>0</v>
      </c>
    </row>
    <row r="1425" spans="1:123" x14ac:dyDescent="0.3">
      <c r="A1425" t="str">
        <f>"10/04/2022 19:29:21.368"</f>
        <v>10/04/2022 19:29:21.368</v>
      </c>
      <c r="C1425" t="str">
        <f t="shared" si="495"/>
        <v>FFDFD3C0</v>
      </c>
      <c r="D1425" t="s">
        <v>136</v>
      </c>
      <c r="E1425">
        <v>8</v>
      </c>
      <c r="H1425">
        <v>225</v>
      </c>
      <c r="I1425" t="s">
        <v>137</v>
      </c>
      <c r="J1425" t="s">
        <v>138</v>
      </c>
      <c r="K1425">
        <v>0</v>
      </c>
      <c r="L1425">
        <v>3</v>
      </c>
      <c r="M1425">
        <v>0</v>
      </c>
      <c r="N1425">
        <v>2</v>
      </c>
      <c r="O1425">
        <v>0</v>
      </c>
      <c r="P1425">
        <v>1</v>
      </c>
      <c r="Q1425">
        <v>0</v>
      </c>
      <c r="S1425" t="str">
        <f t="shared" si="496"/>
        <v>19:29:21.000</v>
      </c>
      <c r="T1425" t="str">
        <f t="shared" si="496"/>
        <v>19:29:21.000</v>
      </c>
      <c r="U1425" t="str">
        <f t="shared" si="491"/>
        <v>AC3944</v>
      </c>
      <c r="V1425">
        <v>0</v>
      </c>
      <c r="W1425">
        <v>0</v>
      </c>
      <c r="X1425">
        <v>2</v>
      </c>
      <c r="Y1425">
        <v>0</v>
      </c>
      <c r="AA1425">
        <v>1</v>
      </c>
      <c r="AB1425">
        <v>8</v>
      </c>
      <c r="AC1425">
        <v>3</v>
      </c>
      <c r="AD1425">
        <v>0</v>
      </c>
      <c r="AE1425">
        <v>9</v>
      </c>
      <c r="AF1425" t="s">
        <v>138</v>
      </c>
      <c r="AG1425">
        <v>0</v>
      </c>
      <c r="AH1425">
        <v>3</v>
      </c>
      <c r="AI1425">
        <v>1</v>
      </c>
      <c r="AJ1425">
        <v>0</v>
      </c>
      <c r="AK1425" t="s">
        <v>540</v>
      </c>
      <c r="AL1425">
        <v>32.802</v>
      </c>
      <c r="AM1425" t="s">
        <v>541</v>
      </c>
      <c r="AN1425">
        <v>-116.88936</v>
      </c>
      <c r="AO1425">
        <v>25</v>
      </c>
      <c r="AP1425">
        <v>2500</v>
      </c>
      <c r="AQ1425" t="s">
        <v>129</v>
      </c>
      <c r="AR1425">
        <v>98</v>
      </c>
      <c r="AS1425">
        <v>-67</v>
      </c>
      <c r="AT1425">
        <v>256</v>
      </c>
      <c r="BB1425">
        <v>1200</v>
      </c>
      <c r="BC1425">
        <v>1</v>
      </c>
      <c r="BD1425" t="str">
        <f t="shared" si="492"/>
        <v xml:space="preserve">N887QR  </v>
      </c>
      <c r="BE1425">
        <v>1</v>
      </c>
      <c r="BG1425">
        <v>0</v>
      </c>
      <c r="BH1425">
        <v>0</v>
      </c>
      <c r="BI1425">
        <v>0</v>
      </c>
      <c r="BJ1425">
        <v>2250</v>
      </c>
      <c r="BK1425">
        <v>-250</v>
      </c>
      <c r="BL1425" t="s">
        <v>163</v>
      </c>
      <c r="BM1425">
        <v>1</v>
      </c>
      <c r="BN1425">
        <v>1</v>
      </c>
      <c r="BO1425">
        <v>1</v>
      </c>
      <c r="BP1425">
        <v>0</v>
      </c>
      <c r="BS1425">
        <v>0</v>
      </c>
      <c r="BT1425">
        <v>0</v>
      </c>
      <c r="BU1425">
        <v>0</v>
      </c>
      <c r="CE1425" t="str">
        <f t="shared" si="497"/>
        <v>19:29:21.167</v>
      </c>
      <c r="CF1425">
        <v>167171097</v>
      </c>
      <c r="CS1425">
        <v>3</v>
      </c>
      <c r="CT1425">
        <v>2</v>
      </c>
      <c r="CU1425">
        <v>0</v>
      </c>
      <c r="CV1425">
        <v>2</v>
      </c>
      <c r="CW1425">
        <v>0</v>
      </c>
      <c r="CX1425">
        <v>6</v>
      </c>
      <c r="CY1425">
        <v>7</v>
      </c>
      <c r="CZ1425" t="s">
        <v>131</v>
      </c>
      <c r="DA1425">
        <v>300</v>
      </c>
      <c r="DB1425">
        <v>0</v>
      </c>
      <c r="DC1425" t="s">
        <v>176</v>
      </c>
      <c r="DD1425" t="s">
        <v>177</v>
      </c>
      <c r="DG1425">
        <v>5386392</v>
      </c>
      <c r="DI1425">
        <v>1</v>
      </c>
      <c r="DJ1425">
        <v>0</v>
      </c>
      <c r="DK1425">
        <v>1</v>
      </c>
      <c r="DL1425">
        <v>0</v>
      </c>
      <c r="DM1425">
        <v>0</v>
      </c>
      <c r="DN1425">
        <v>1</v>
      </c>
      <c r="DO1425">
        <v>0</v>
      </c>
      <c r="DP1425">
        <v>0</v>
      </c>
      <c r="DQ1425">
        <v>0</v>
      </c>
      <c r="DR1425">
        <v>0</v>
      </c>
      <c r="DS1425">
        <v>0</v>
      </c>
    </row>
    <row r="1426" spans="1:123" x14ac:dyDescent="0.3">
      <c r="A1426" t="str">
        <f>"10/04/2022 19:29:21.368"</f>
        <v>10/04/2022 19:29:21.368</v>
      </c>
      <c r="C1426" t="str">
        <f t="shared" si="495"/>
        <v>FFDFD3C0</v>
      </c>
      <c r="D1426" t="s">
        <v>143</v>
      </c>
      <c r="E1426">
        <v>20</v>
      </c>
      <c r="F1426">
        <v>1020</v>
      </c>
      <c r="G1426" t="s">
        <v>144</v>
      </c>
      <c r="J1426" t="s">
        <v>145</v>
      </c>
      <c r="K1426">
        <v>0</v>
      </c>
      <c r="L1426">
        <v>3</v>
      </c>
      <c r="M1426">
        <v>0</v>
      </c>
      <c r="N1426">
        <v>2</v>
      </c>
      <c r="O1426">
        <v>0</v>
      </c>
      <c r="P1426">
        <v>1</v>
      </c>
      <c r="Q1426">
        <v>0</v>
      </c>
      <c r="S1426" t="str">
        <f t="shared" si="496"/>
        <v>19:29:21.000</v>
      </c>
      <c r="T1426" t="str">
        <f t="shared" si="496"/>
        <v>19:29:21.000</v>
      </c>
      <c r="U1426" t="str">
        <f t="shared" si="491"/>
        <v>AC3944</v>
      </c>
      <c r="V1426">
        <v>0</v>
      </c>
      <c r="W1426">
        <v>0</v>
      </c>
      <c r="X1426">
        <v>2</v>
      </c>
      <c r="Y1426">
        <v>0</v>
      </c>
      <c r="AA1426">
        <v>1</v>
      </c>
      <c r="AB1426">
        <v>8</v>
      </c>
      <c r="AC1426">
        <v>3</v>
      </c>
      <c r="AD1426">
        <v>0</v>
      </c>
      <c r="AE1426">
        <v>9</v>
      </c>
      <c r="AF1426" t="s">
        <v>138</v>
      </c>
      <c r="AG1426">
        <v>0</v>
      </c>
      <c r="AH1426">
        <v>3</v>
      </c>
      <c r="AI1426">
        <v>1</v>
      </c>
      <c r="AJ1426">
        <v>0</v>
      </c>
      <c r="AK1426" t="s">
        <v>540</v>
      </c>
      <c r="AL1426">
        <v>32.802</v>
      </c>
      <c r="AM1426" t="s">
        <v>541</v>
      </c>
      <c r="AN1426">
        <v>-116.88936</v>
      </c>
      <c r="AO1426">
        <v>25</v>
      </c>
      <c r="AP1426">
        <v>2500</v>
      </c>
      <c r="AQ1426" t="s">
        <v>129</v>
      </c>
      <c r="AR1426">
        <v>98</v>
      </c>
      <c r="AS1426">
        <v>-67</v>
      </c>
      <c r="AT1426">
        <v>256</v>
      </c>
      <c r="BB1426">
        <v>1200</v>
      </c>
      <c r="BC1426">
        <v>1</v>
      </c>
      <c r="BD1426" t="str">
        <f t="shared" si="492"/>
        <v xml:space="preserve">N887QR  </v>
      </c>
      <c r="BE1426">
        <v>1</v>
      </c>
      <c r="BG1426">
        <v>0</v>
      </c>
      <c r="BH1426">
        <v>0</v>
      </c>
      <c r="BI1426">
        <v>0</v>
      </c>
      <c r="BJ1426">
        <v>2250</v>
      </c>
      <c r="BK1426">
        <v>-250</v>
      </c>
      <c r="BL1426" t="s">
        <v>163</v>
      </c>
      <c r="BM1426">
        <v>1</v>
      </c>
      <c r="BN1426">
        <v>1</v>
      </c>
      <c r="BO1426">
        <v>1</v>
      </c>
      <c r="BP1426">
        <v>0</v>
      </c>
      <c r="BS1426">
        <v>0</v>
      </c>
      <c r="BT1426">
        <v>0</v>
      </c>
      <c r="BU1426">
        <v>0</v>
      </c>
      <c r="CE1426" t="str">
        <f t="shared" si="497"/>
        <v>19:29:21.167</v>
      </c>
      <c r="CF1426">
        <v>167171097</v>
      </c>
      <c r="CS1426">
        <v>3</v>
      </c>
      <c r="CT1426">
        <v>2</v>
      </c>
      <c r="CU1426">
        <v>0</v>
      </c>
      <c r="CV1426">
        <v>2</v>
      </c>
      <c r="CW1426">
        <v>0</v>
      </c>
      <c r="CX1426">
        <v>6</v>
      </c>
      <c r="CY1426">
        <v>7</v>
      </c>
      <c r="CZ1426" t="s">
        <v>131</v>
      </c>
      <c r="DA1426">
        <v>300</v>
      </c>
      <c r="DB1426">
        <v>0</v>
      </c>
      <c r="DC1426" t="s">
        <v>176</v>
      </c>
      <c r="DD1426" t="s">
        <v>177</v>
      </c>
      <c r="DG1426">
        <v>5386392</v>
      </c>
      <c r="DI1426">
        <v>1</v>
      </c>
      <c r="DJ1426">
        <v>0</v>
      </c>
      <c r="DK1426">
        <v>1</v>
      </c>
      <c r="DL1426">
        <v>0</v>
      </c>
      <c r="DM1426">
        <v>0</v>
      </c>
      <c r="DN1426">
        <v>1</v>
      </c>
      <c r="DO1426">
        <v>0</v>
      </c>
      <c r="DP1426">
        <v>0</v>
      </c>
      <c r="DQ1426">
        <v>0</v>
      </c>
      <c r="DR1426">
        <v>0</v>
      </c>
      <c r="DS1426">
        <v>0</v>
      </c>
    </row>
    <row r="1427" spans="1:123" x14ac:dyDescent="0.3">
      <c r="A1427" t="str">
        <f>"10/04/2022 19:29:21.384"</f>
        <v>10/04/2022 19:29:21.384</v>
      </c>
      <c r="C1427" t="str">
        <f t="shared" si="495"/>
        <v>FFDFD3C0</v>
      </c>
      <c r="D1427" t="s">
        <v>123</v>
      </c>
      <c r="E1427">
        <v>7</v>
      </c>
      <c r="F1427">
        <v>2007</v>
      </c>
      <c r="G1427" t="s">
        <v>124</v>
      </c>
      <c r="J1427" t="s">
        <v>125</v>
      </c>
      <c r="K1427">
        <v>0</v>
      </c>
      <c r="L1427">
        <v>3</v>
      </c>
      <c r="M1427">
        <v>0</v>
      </c>
      <c r="N1427">
        <v>2</v>
      </c>
      <c r="O1427">
        <v>0</v>
      </c>
      <c r="P1427">
        <v>1</v>
      </c>
      <c r="Q1427">
        <v>0</v>
      </c>
      <c r="S1427" t="str">
        <f t="shared" si="496"/>
        <v>19:29:21.000</v>
      </c>
      <c r="T1427" t="str">
        <f t="shared" si="496"/>
        <v>19:29:21.000</v>
      </c>
      <c r="U1427" t="str">
        <f t="shared" si="491"/>
        <v>AC3944</v>
      </c>
      <c r="V1427">
        <v>0</v>
      </c>
      <c r="W1427">
        <v>0</v>
      </c>
      <c r="X1427">
        <v>2</v>
      </c>
      <c r="Y1427">
        <v>0</v>
      </c>
      <c r="AA1427">
        <v>1</v>
      </c>
      <c r="AB1427">
        <v>8</v>
      </c>
      <c r="AC1427">
        <v>3</v>
      </c>
      <c r="AD1427">
        <v>0</v>
      </c>
      <c r="AE1427">
        <v>9</v>
      </c>
      <c r="AF1427" t="s">
        <v>138</v>
      </c>
      <c r="AG1427">
        <v>0</v>
      </c>
      <c r="AH1427">
        <v>3</v>
      </c>
      <c r="AI1427">
        <v>1</v>
      </c>
      <c r="AJ1427">
        <v>0</v>
      </c>
      <c r="AK1427" t="s">
        <v>540</v>
      </c>
      <c r="AL1427">
        <v>32.802</v>
      </c>
      <c r="AM1427" t="s">
        <v>541</v>
      </c>
      <c r="AN1427">
        <v>-116.88936</v>
      </c>
      <c r="AO1427">
        <v>25</v>
      </c>
      <c r="AP1427">
        <v>2500</v>
      </c>
      <c r="AQ1427" t="s">
        <v>129</v>
      </c>
      <c r="AR1427">
        <v>98</v>
      </c>
      <c r="AS1427">
        <v>-67</v>
      </c>
      <c r="AT1427">
        <v>256</v>
      </c>
      <c r="BB1427">
        <v>1200</v>
      </c>
      <c r="BC1427">
        <v>1</v>
      </c>
      <c r="BD1427" t="str">
        <f t="shared" si="492"/>
        <v xml:space="preserve">N887QR  </v>
      </c>
      <c r="BE1427">
        <v>1</v>
      </c>
      <c r="BG1427">
        <v>0</v>
      </c>
      <c r="BH1427">
        <v>0</v>
      </c>
      <c r="BI1427">
        <v>0</v>
      </c>
      <c r="BJ1427">
        <v>2250</v>
      </c>
      <c r="BK1427">
        <v>-250</v>
      </c>
      <c r="BL1427" t="s">
        <v>163</v>
      </c>
      <c r="BM1427">
        <v>1</v>
      </c>
      <c r="BN1427">
        <v>1</v>
      </c>
      <c r="BO1427">
        <v>1</v>
      </c>
      <c r="BP1427">
        <v>0</v>
      </c>
      <c r="BS1427">
        <v>0</v>
      </c>
      <c r="BT1427">
        <v>0</v>
      </c>
      <c r="BU1427">
        <v>0</v>
      </c>
      <c r="CE1427" t="str">
        <f t="shared" si="497"/>
        <v>19:29:21.167</v>
      </c>
      <c r="CF1427">
        <v>167171097</v>
      </c>
      <c r="CS1427">
        <v>3</v>
      </c>
      <c r="CT1427">
        <v>2</v>
      </c>
      <c r="CU1427">
        <v>0</v>
      </c>
      <c r="CV1427">
        <v>2</v>
      </c>
      <c r="CW1427">
        <v>0</v>
      </c>
      <c r="CX1427">
        <v>6</v>
      </c>
      <c r="CY1427">
        <v>7</v>
      </c>
      <c r="CZ1427" t="s">
        <v>131</v>
      </c>
      <c r="DA1427">
        <v>300</v>
      </c>
      <c r="DB1427">
        <v>0</v>
      </c>
      <c r="DC1427" t="s">
        <v>176</v>
      </c>
      <c r="DD1427" t="s">
        <v>177</v>
      </c>
      <c r="DG1427">
        <v>5386392</v>
      </c>
      <c r="DI1427">
        <v>1</v>
      </c>
      <c r="DJ1427">
        <v>0</v>
      </c>
      <c r="DK1427">
        <v>1</v>
      </c>
      <c r="DL1427">
        <v>0</v>
      </c>
      <c r="DM1427">
        <v>0</v>
      </c>
      <c r="DN1427">
        <v>1</v>
      </c>
      <c r="DO1427">
        <v>0</v>
      </c>
      <c r="DP1427">
        <v>0</v>
      </c>
      <c r="DQ1427">
        <v>0</v>
      </c>
      <c r="DR1427">
        <v>0</v>
      </c>
      <c r="DS1427">
        <v>0</v>
      </c>
    </row>
    <row r="1428" spans="1:123" x14ac:dyDescent="0.3">
      <c r="A1428" t="str">
        <f>"10/04/2022 19:29:21.384"</f>
        <v>10/04/2022 19:29:21.384</v>
      </c>
      <c r="C1428" t="str">
        <f t="shared" si="495"/>
        <v>FFDFD3C0</v>
      </c>
      <c r="D1428" t="s">
        <v>147</v>
      </c>
      <c r="E1428">
        <v>3</v>
      </c>
      <c r="H1428">
        <v>166</v>
      </c>
      <c r="I1428" t="s">
        <v>144</v>
      </c>
      <c r="J1428" t="s">
        <v>148</v>
      </c>
      <c r="K1428">
        <v>0</v>
      </c>
      <c r="L1428">
        <v>3</v>
      </c>
      <c r="M1428">
        <v>0</v>
      </c>
      <c r="N1428">
        <v>2</v>
      </c>
      <c r="O1428">
        <v>0</v>
      </c>
      <c r="P1428">
        <v>1</v>
      </c>
      <c r="Q1428">
        <v>0</v>
      </c>
      <c r="S1428" t="str">
        <f t="shared" si="496"/>
        <v>19:29:21.000</v>
      </c>
      <c r="T1428" t="str">
        <f t="shared" si="496"/>
        <v>19:29:21.000</v>
      </c>
      <c r="U1428" t="str">
        <f t="shared" si="491"/>
        <v>AC3944</v>
      </c>
      <c r="V1428">
        <v>0</v>
      </c>
      <c r="W1428">
        <v>0</v>
      </c>
      <c r="X1428">
        <v>2</v>
      </c>
      <c r="Y1428">
        <v>0</v>
      </c>
      <c r="AA1428">
        <v>1</v>
      </c>
      <c r="AB1428">
        <v>8</v>
      </c>
      <c r="AC1428">
        <v>3</v>
      </c>
      <c r="AD1428">
        <v>0</v>
      </c>
      <c r="AE1428">
        <v>9</v>
      </c>
      <c r="AF1428" t="s">
        <v>138</v>
      </c>
      <c r="AG1428">
        <v>0</v>
      </c>
      <c r="AH1428">
        <v>3</v>
      </c>
      <c r="AI1428">
        <v>1</v>
      </c>
      <c r="AJ1428">
        <v>0</v>
      </c>
      <c r="AK1428" t="s">
        <v>540</v>
      </c>
      <c r="AL1428">
        <v>32.802</v>
      </c>
      <c r="AM1428" t="s">
        <v>541</v>
      </c>
      <c r="AN1428">
        <v>-116.88936</v>
      </c>
      <c r="AO1428">
        <v>25</v>
      </c>
      <c r="AP1428">
        <v>2500</v>
      </c>
      <c r="AQ1428" t="s">
        <v>129</v>
      </c>
      <c r="AR1428">
        <v>98</v>
      </c>
      <c r="AS1428">
        <v>-67</v>
      </c>
      <c r="AT1428">
        <v>256</v>
      </c>
      <c r="BB1428">
        <v>1200</v>
      </c>
      <c r="BC1428">
        <v>1</v>
      </c>
      <c r="BD1428" t="str">
        <f t="shared" si="492"/>
        <v xml:space="preserve">N887QR  </v>
      </c>
      <c r="BE1428">
        <v>1</v>
      </c>
      <c r="BG1428">
        <v>0</v>
      </c>
      <c r="BH1428">
        <v>0</v>
      </c>
      <c r="BI1428">
        <v>0</v>
      </c>
      <c r="BJ1428">
        <v>2250</v>
      </c>
      <c r="BK1428">
        <v>-250</v>
      </c>
      <c r="BL1428" t="s">
        <v>163</v>
      </c>
      <c r="BM1428">
        <v>1</v>
      </c>
      <c r="BN1428">
        <v>1</v>
      </c>
      <c r="BO1428">
        <v>1</v>
      </c>
      <c r="BP1428">
        <v>0</v>
      </c>
      <c r="BS1428">
        <v>0</v>
      </c>
      <c r="BT1428">
        <v>0</v>
      </c>
      <c r="BU1428">
        <v>0</v>
      </c>
      <c r="CE1428" t="str">
        <f t="shared" si="497"/>
        <v>19:29:21.167</v>
      </c>
      <c r="CF1428">
        <v>167171097</v>
      </c>
      <c r="CS1428">
        <v>3</v>
      </c>
      <c r="CT1428">
        <v>2</v>
      </c>
      <c r="CU1428">
        <v>0</v>
      </c>
      <c r="CV1428">
        <v>2</v>
      </c>
      <c r="CW1428">
        <v>0</v>
      </c>
      <c r="CX1428">
        <v>6</v>
      </c>
      <c r="CY1428">
        <v>7</v>
      </c>
      <c r="CZ1428" t="s">
        <v>131</v>
      </c>
      <c r="DA1428">
        <v>300</v>
      </c>
      <c r="DB1428">
        <v>0</v>
      </c>
      <c r="DC1428" t="s">
        <v>176</v>
      </c>
      <c r="DD1428" t="s">
        <v>177</v>
      </c>
      <c r="DG1428">
        <v>5386392</v>
      </c>
      <c r="DI1428">
        <v>1</v>
      </c>
      <c r="DJ1428">
        <v>0</v>
      </c>
      <c r="DK1428">
        <v>1</v>
      </c>
      <c r="DL1428">
        <v>0</v>
      </c>
      <c r="DM1428">
        <v>0</v>
      </c>
      <c r="DN1428">
        <v>1</v>
      </c>
      <c r="DO1428">
        <v>0</v>
      </c>
      <c r="DP1428">
        <v>0</v>
      </c>
      <c r="DQ1428">
        <v>0</v>
      </c>
      <c r="DR1428">
        <v>0</v>
      </c>
      <c r="DS1428">
        <v>0</v>
      </c>
    </row>
    <row r="1429" spans="1:123" x14ac:dyDescent="0.3">
      <c r="A1429" t="str">
        <f t="shared" ref="A1429:A1435" si="498">"10/04/2022 19:29:22.321"</f>
        <v>10/04/2022 19:29:22.321</v>
      </c>
      <c r="C1429" t="str">
        <f t="shared" si="495"/>
        <v>FFDFD3C0</v>
      </c>
      <c r="D1429" t="s">
        <v>123</v>
      </c>
      <c r="E1429">
        <v>7</v>
      </c>
      <c r="F1429">
        <v>2007</v>
      </c>
      <c r="G1429" t="s">
        <v>124</v>
      </c>
      <c r="J1429" t="s">
        <v>125</v>
      </c>
      <c r="K1429">
        <v>0</v>
      </c>
      <c r="L1429">
        <v>3</v>
      </c>
      <c r="M1429">
        <v>0</v>
      </c>
      <c r="N1429">
        <v>2</v>
      </c>
      <c r="O1429">
        <v>0</v>
      </c>
      <c r="P1429">
        <v>1</v>
      </c>
      <c r="Q1429">
        <v>0</v>
      </c>
      <c r="S1429" t="str">
        <f t="shared" ref="S1429:T1435" si="499">"19:29:22.000"</f>
        <v>19:29:22.000</v>
      </c>
      <c r="T1429" t="str">
        <f t="shared" si="499"/>
        <v>19:29:22.000</v>
      </c>
      <c r="U1429" t="str">
        <f t="shared" si="491"/>
        <v>AC3944</v>
      </c>
      <c r="V1429">
        <v>0</v>
      </c>
      <c r="W1429">
        <v>0</v>
      </c>
      <c r="X1429">
        <v>2</v>
      </c>
      <c r="Y1429">
        <v>0</v>
      </c>
      <c r="AA1429">
        <v>1</v>
      </c>
      <c r="AB1429">
        <v>8</v>
      </c>
      <c r="AC1429">
        <v>3</v>
      </c>
      <c r="AD1429">
        <v>0</v>
      </c>
      <c r="AE1429">
        <v>9</v>
      </c>
      <c r="AF1429" t="s">
        <v>138</v>
      </c>
      <c r="AG1429">
        <v>0</v>
      </c>
      <c r="AH1429">
        <v>3</v>
      </c>
      <c r="AI1429">
        <v>1</v>
      </c>
      <c r="AJ1429">
        <v>0</v>
      </c>
      <c r="AK1429" t="s">
        <v>542</v>
      </c>
      <c r="AL1429">
        <v>32.801614000000001</v>
      </c>
      <c r="AM1429" t="s">
        <v>543</v>
      </c>
      <c r="AN1429">
        <v>-116.888695</v>
      </c>
      <c r="AO1429">
        <v>25</v>
      </c>
      <c r="AP1429">
        <v>2500</v>
      </c>
      <c r="AQ1429" t="s">
        <v>129</v>
      </c>
      <c r="AR1429">
        <v>98</v>
      </c>
      <c r="AS1429">
        <v>-69</v>
      </c>
      <c r="AT1429">
        <v>256</v>
      </c>
      <c r="BB1429">
        <v>1200</v>
      </c>
      <c r="BC1429">
        <v>1</v>
      </c>
      <c r="BD1429" t="str">
        <f t="shared" si="492"/>
        <v xml:space="preserve">N887QR  </v>
      </c>
      <c r="BE1429">
        <v>1</v>
      </c>
      <c r="BG1429">
        <v>0</v>
      </c>
      <c r="BH1429">
        <v>0</v>
      </c>
      <c r="BI1429">
        <v>0</v>
      </c>
      <c r="BJ1429">
        <v>2250</v>
      </c>
      <c r="BK1429">
        <v>-250</v>
      </c>
      <c r="BL1429" t="s">
        <v>163</v>
      </c>
      <c r="BM1429">
        <v>1</v>
      </c>
      <c r="BN1429">
        <v>1</v>
      </c>
      <c r="BO1429">
        <v>1</v>
      </c>
      <c r="BP1429">
        <v>0</v>
      </c>
      <c r="BS1429">
        <v>0</v>
      </c>
      <c r="BT1429">
        <v>0</v>
      </c>
      <c r="BU1429">
        <v>0</v>
      </c>
      <c r="CE1429" t="str">
        <f t="shared" ref="CE1429:CE1435" si="500">"19:29:22.035"</f>
        <v>19:29:22.035</v>
      </c>
      <c r="CF1429">
        <v>35173979</v>
      </c>
      <c r="CS1429">
        <v>3</v>
      </c>
      <c r="CT1429">
        <v>2</v>
      </c>
      <c r="CU1429">
        <v>0</v>
      </c>
      <c r="CV1429">
        <v>2</v>
      </c>
      <c r="CW1429">
        <v>0</v>
      </c>
      <c r="CX1429">
        <v>6</v>
      </c>
      <c r="CY1429">
        <v>7</v>
      </c>
      <c r="CZ1429" t="s">
        <v>131</v>
      </c>
      <c r="DA1429">
        <v>300</v>
      </c>
      <c r="DB1429">
        <v>0</v>
      </c>
      <c r="DC1429" t="s">
        <v>176</v>
      </c>
      <c r="DD1429" t="s">
        <v>177</v>
      </c>
      <c r="DG1429">
        <v>5386525</v>
      </c>
      <c r="DI1429">
        <v>1</v>
      </c>
      <c r="DJ1429">
        <v>0</v>
      </c>
      <c r="DK1429">
        <v>0</v>
      </c>
      <c r="DL1429">
        <v>0</v>
      </c>
      <c r="DM1429">
        <v>0</v>
      </c>
      <c r="DN1429">
        <v>1</v>
      </c>
      <c r="DO1429">
        <v>0</v>
      </c>
      <c r="DP1429">
        <v>0</v>
      </c>
      <c r="DQ1429">
        <v>0</v>
      </c>
      <c r="DR1429">
        <v>0</v>
      </c>
      <c r="DS1429">
        <v>0</v>
      </c>
    </row>
    <row r="1430" spans="1:123" x14ac:dyDescent="0.3">
      <c r="A1430" t="str">
        <f t="shared" si="498"/>
        <v>10/04/2022 19:29:22.321</v>
      </c>
      <c r="C1430" t="str">
        <f t="shared" si="495"/>
        <v>FFDFD3C0</v>
      </c>
      <c r="D1430" t="s">
        <v>147</v>
      </c>
      <c r="E1430">
        <v>3</v>
      </c>
      <c r="H1430">
        <v>166</v>
      </c>
      <c r="I1430" t="s">
        <v>144</v>
      </c>
      <c r="J1430" t="s">
        <v>148</v>
      </c>
      <c r="K1430">
        <v>0</v>
      </c>
      <c r="L1430">
        <v>3</v>
      </c>
      <c r="M1430">
        <v>0</v>
      </c>
      <c r="N1430">
        <v>2</v>
      </c>
      <c r="O1430">
        <v>0</v>
      </c>
      <c r="P1430">
        <v>1</v>
      </c>
      <c r="Q1430">
        <v>0</v>
      </c>
      <c r="S1430" t="str">
        <f t="shared" si="499"/>
        <v>19:29:22.000</v>
      </c>
      <c r="T1430" t="str">
        <f t="shared" si="499"/>
        <v>19:29:22.000</v>
      </c>
      <c r="U1430" t="str">
        <f t="shared" si="491"/>
        <v>AC3944</v>
      </c>
      <c r="V1430">
        <v>0</v>
      </c>
      <c r="W1430">
        <v>0</v>
      </c>
      <c r="X1430">
        <v>2</v>
      </c>
      <c r="Y1430">
        <v>0</v>
      </c>
      <c r="AA1430">
        <v>1</v>
      </c>
      <c r="AB1430">
        <v>8</v>
      </c>
      <c r="AC1430">
        <v>3</v>
      </c>
      <c r="AD1430">
        <v>0</v>
      </c>
      <c r="AE1430">
        <v>9</v>
      </c>
      <c r="AF1430" t="s">
        <v>138</v>
      </c>
      <c r="AG1430">
        <v>0</v>
      </c>
      <c r="AH1430">
        <v>3</v>
      </c>
      <c r="AI1430">
        <v>1</v>
      </c>
      <c r="AJ1430">
        <v>0</v>
      </c>
      <c r="AK1430" t="s">
        <v>542</v>
      </c>
      <c r="AL1430">
        <v>32.801614000000001</v>
      </c>
      <c r="AM1430" t="s">
        <v>543</v>
      </c>
      <c r="AN1430">
        <v>-116.888695</v>
      </c>
      <c r="AO1430">
        <v>25</v>
      </c>
      <c r="AP1430">
        <v>2500</v>
      </c>
      <c r="AQ1430" t="s">
        <v>129</v>
      </c>
      <c r="AR1430">
        <v>98</v>
      </c>
      <c r="AS1430">
        <v>-69</v>
      </c>
      <c r="AT1430">
        <v>256</v>
      </c>
      <c r="BB1430">
        <v>1200</v>
      </c>
      <c r="BC1430">
        <v>1</v>
      </c>
      <c r="BD1430" t="str">
        <f t="shared" si="492"/>
        <v xml:space="preserve">N887QR  </v>
      </c>
      <c r="BE1430">
        <v>1</v>
      </c>
      <c r="BG1430">
        <v>0</v>
      </c>
      <c r="BH1430">
        <v>0</v>
      </c>
      <c r="BI1430">
        <v>0</v>
      </c>
      <c r="BJ1430">
        <v>2250</v>
      </c>
      <c r="BK1430">
        <v>-250</v>
      </c>
      <c r="BL1430" t="s">
        <v>163</v>
      </c>
      <c r="BM1430">
        <v>1</v>
      </c>
      <c r="BN1430">
        <v>1</v>
      </c>
      <c r="BO1430">
        <v>1</v>
      </c>
      <c r="BP1430">
        <v>0</v>
      </c>
      <c r="BS1430">
        <v>0</v>
      </c>
      <c r="BT1430">
        <v>0</v>
      </c>
      <c r="BU1430">
        <v>0</v>
      </c>
      <c r="CE1430" t="str">
        <f t="shared" si="500"/>
        <v>19:29:22.035</v>
      </c>
      <c r="CF1430">
        <v>35173979</v>
      </c>
      <c r="CS1430">
        <v>3</v>
      </c>
      <c r="CT1430">
        <v>2</v>
      </c>
      <c r="CU1430">
        <v>0</v>
      </c>
      <c r="CV1430">
        <v>2</v>
      </c>
      <c r="CW1430">
        <v>0</v>
      </c>
      <c r="CX1430">
        <v>6</v>
      </c>
      <c r="CY1430">
        <v>7</v>
      </c>
      <c r="CZ1430" t="s">
        <v>131</v>
      </c>
      <c r="DA1430">
        <v>300</v>
      </c>
      <c r="DB1430">
        <v>0</v>
      </c>
      <c r="DC1430" t="s">
        <v>176</v>
      </c>
      <c r="DD1430" t="s">
        <v>177</v>
      </c>
      <c r="DG1430">
        <v>5386525</v>
      </c>
      <c r="DI1430">
        <v>1</v>
      </c>
      <c r="DJ1430">
        <v>0</v>
      </c>
      <c r="DK1430">
        <v>1</v>
      </c>
      <c r="DL1430">
        <v>0</v>
      </c>
      <c r="DM1430">
        <v>0</v>
      </c>
      <c r="DN1430">
        <v>1</v>
      </c>
      <c r="DO1430">
        <v>0</v>
      </c>
      <c r="DP1430">
        <v>0</v>
      </c>
      <c r="DQ1430">
        <v>0</v>
      </c>
      <c r="DR1430">
        <v>0</v>
      </c>
      <c r="DS1430">
        <v>0</v>
      </c>
    </row>
    <row r="1431" spans="1:123" x14ac:dyDescent="0.3">
      <c r="A1431" t="str">
        <f t="shared" si="498"/>
        <v>10/04/2022 19:29:22.321</v>
      </c>
      <c r="C1431" t="str">
        <f t="shared" si="495"/>
        <v>FFDFD3C0</v>
      </c>
      <c r="D1431" t="s">
        <v>141</v>
      </c>
      <c r="E1431">
        <v>4</v>
      </c>
      <c r="H1431">
        <v>4</v>
      </c>
      <c r="I1431" t="s">
        <v>142</v>
      </c>
      <c r="J1431" t="s">
        <v>138</v>
      </c>
      <c r="K1431">
        <v>0</v>
      </c>
      <c r="L1431">
        <v>3</v>
      </c>
      <c r="M1431">
        <v>0</v>
      </c>
      <c r="N1431">
        <v>2</v>
      </c>
      <c r="O1431">
        <v>0</v>
      </c>
      <c r="P1431">
        <v>1</v>
      </c>
      <c r="Q1431">
        <v>0</v>
      </c>
      <c r="S1431" t="str">
        <f t="shared" si="499"/>
        <v>19:29:22.000</v>
      </c>
      <c r="T1431" t="str">
        <f t="shared" si="499"/>
        <v>19:29:22.000</v>
      </c>
      <c r="U1431" t="str">
        <f t="shared" si="491"/>
        <v>AC3944</v>
      </c>
      <c r="V1431">
        <v>0</v>
      </c>
      <c r="W1431">
        <v>0</v>
      </c>
      <c r="X1431">
        <v>2</v>
      </c>
      <c r="Y1431">
        <v>0</v>
      </c>
      <c r="AA1431">
        <v>1</v>
      </c>
      <c r="AB1431">
        <v>8</v>
      </c>
      <c r="AC1431">
        <v>3</v>
      </c>
      <c r="AD1431">
        <v>0</v>
      </c>
      <c r="AE1431">
        <v>9</v>
      </c>
      <c r="AF1431" t="s">
        <v>138</v>
      </c>
      <c r="AG1431">
        <v>0</v>
      </c>
      <c r="AH1431">
        <v>3</v>
      </c>
      <c r="AI1431">
        <v>1</v>
      </c>
      <c r="AJ1431">
        <v>0</v>
      </c>
      <c r="AK1431" t="s">
        <v>542</v>
      </c>
      <c r="AL1431">
        <v>32.801614000000001</v>
      </c>
      <c r="AM1431" t="s">
        <v>543</v>
      </c>
      <c r="AN1431">
        <v>-116.888695</v>
      </c>
      <c r="AO1431">
        <v>25</v>
      </c>
      <c r="AP1431">
        <v>2500</v>
      </c>
      <c r="AQ1431" t="s">
        <v>129</v>
      </c>
      <c r="AR1431">
        <v>98</v>
      </c>
      <c r="AS1431">
        <v>-69</v>
      </c>
      <c r="AT1431">
        <v>256</v>
      </c>
      <c r="BB1431">
        <v>1200</v>
      </c>
      <c r="BC1431">
        <v>1</v>
      </c>
      <c r="BD1431" t="str">
        <f t="shared" si="492"/>
        <v xml:space="preserve">N887QR  </v>
      </c>
      <c r="BE1431">
        <v>1</v>
      </c>
      <c r="BG1431">
        <v>0</v>
      </c>
      <c r="BH1431">
        <v>0</v>
      </c>
      <c r="BI1431">
        <v>0</v>
      </c>
      <c r="BJ1431">
        <v>2250</v>
      </c>
      <c r="BK1431">
        <v>-250</v>
      </c>
      <c r="BL1431" t="s">
        <v>163</v>
      </c>
      <c r="BM1431">
        <v>1</v>
      </c>
      <c r="BN1431">
        <v>1</v>
      </c>
      <c r="BO1431">
        <v>1</v>
      </c>
      <c r="BP1431">
        <v>0</v>
      </c>
      <c r="BS1431">
        <v>0</v>
      </c>
      <c r="BT1431">
        <v>0</v>
      </c>
      <c r="BU1431">
        <v>0</v>
      </c>
      <c r="CE1431" t="str">
        <f t="shared" si="500"/>
        <v>19:29:22.035</v>
      </c>
      <c r="CF1431">
        <v>35173979</v>
      </c>
      <c r="CS1431">
        <v>3</v>
      </c>
      <c r="CT1431">
        <v>2</v>
      </c>
      <c r="CU1431">
        <v>0</v>
      </c>
      <c r="CV1431">
        <v>2</v>
      </c>
      <c r="CW1431">
        <v>0</v>
      </c>
      <c r="CX1431">
        <v>6</v>
      </c>
      <c r="CY1431">
        <v>7</v>
      </c>
      <c r="CZ1431" t="s">
        <v>131</v>
      </c>
      <c r="DA1431">
        <v>300</v>
      </c>
      <c r="DB1431">
        <v>0</v>
      </c>
      <c r="DC1431" t="s">
        <v>176</v>
      </c>
      <c r="DD1431" t="s">
        <v>177</v>
      </c>
      <c r="DG1431">
        <v>5386525</v>
      </c>
      <c r="DI1431">
        <v>1</v>
      </c>
      <c r="DJ1431">
        <v>0</v>
      </c>
      <c r="DK1431">
        <v>1</v>
      </c>
      <c r="DL1431">
        <v>0</v>
      </c>
      <c r="DM1431">
        <v>0</v>
      </c>
      <c r="DN1431">
        <v>1</v>
      </c>
      <c r="DO1431">
        <v>0</v>
      </c>
      <c r="DP1431">
        <v>0</v>
      </c>
      <c r="DQ1431">
        <v>0</v>
      </c>
      <c r="DR1431">
        <v>0</v>
      </c>
      <c r="DS1431">
        <v>0</v>
      </c>
    </row>
    <row r="1432" spans="1:123" x14ac:dyDescent="0.3">
      <c r="A1432" t="str">
        <f t="shared" si="498"/>
        <v>10/04/2022 19:29:22.321</v>
      </c>
      <c r="C1432" t="str">
        <f t="shared" si="495"/>
        <v>FFDFD3C0</v>
      </c>
      <c r="D1432" t="s">
        <v>141</v>
      </c>
      <c r="E1432">
        <v>3</v>
      </c>
      <c r="H1432">
        <v>3</v>
      </c>
      <c r="I1432" t="s">
        <v>146</v>
      </c>
      <c r="J1432" t="s">
        <v>138</v>
      </c>
      <c r="K1432">
        <v>0</v>
      </c>
      <c r="L1432">
        <v>3</v>
      </c>
      <c r="M1432">
        <v>0</v>
      </c>
      <c r="N1432">
        <v>2</v>
      </c>
      <c r="O1432">
        <v>0</v>
      </c>
      <c r="P1432">
        <v>1</v>
      </c>
      <c r="Q1432">
        <v>0</v>
      </c>
      <c r="S1432" t="str">
        <f t="shared" si="499"/>
        <v>19:29:22.000</v>
      </c>
      <c r="T1432" t="str">
        <f t="shared" si="499"/>
        <v>19:29:22.000</v>
      </c>
      <c r="U1432" t="str">
        <f t="shared" si="491"/>
        <v>AC3944</v>
      </c>
      <c r="V1432">
        <v>0</v>
      </c>
      <c r="W1432">
        <v>0</v>
      </c>
      <c r="X1432">
        <v>2</v>
      </c>
      <c r="Y1432">
        <v>0</v>
      </c>
      <c r="AA1432">
        <v>1</v>
      </c>
      <c r="AB1432">
        <v>8</v>
      </c>
      <c r="AC1432">
        <v>3</v>
      </c>
      <c r="AD1432">
        <v>0</v>
      </c>
      <c r="AE1432">
        <v>9</v>
      </c>
      <c r="AF1432" t="s">
        <v>138</v>
      </c>
      <c r="AG1432">
        <v>0</v>
      </c>
      <c r="AH1432">
        <v>3</v>
      </c>
      <c r="AI1432">
        <v>1</v>
      </c>
      <c r="AJ1432">
        <v>0</v>
      </c>
      <c r="AK1432" t="s">
        <v>542</v>
      </c>
      <c r="AL1432">
        <v>32.801614000000001</v>
      </c>
      <c r="AM1432" t="s">
        <v>543</v>
      </c>
      <c r="AN1432">
        <v>-116.888695</v>
      </c>
      <c r="AO1432">
        <v>25</v>
      </c>
      <c r="AP1432">
        <v>2500</v>
      </c>
      <c r="AQ1432" t="s">
        <v>129</v>
      </c>
      <c r="AR1432">
        <v>98</v>
      </c>
      <c r="AS1432">
        <v>-69</v>
      </c>
      <c r="AT1432">
        <v>256</v>
      </c>
      <c r="BB1432">
        <v>1200</v>
      </c>
      <c r="BC1432">
        <v>1</v>
      </c>
      <c r="BD1432" t="str">
        <f t="shared" si="492"/>
        <v xml:space="preserve">N887QR  </v>
      </c>
      <c r="BE1432">
        <v>1</v>
      </c>
      <c r="BG1432">
        <v>0</v>
      </c>
      <c r="BH1432">
        <v>0</v>
      </c>
      <c r="BI1432">
        <v>0</v>
      </c>
      <c r="BJ1432">
        <v>2250</v>
      </c>
      <c r="BK1432">
        <v>-250</v>
      </c>
      <c r="BL1432" t="s">
        <v>163</v>
      </c>
      <c r="BM1432">
        <v>1</v>
      </c>
      <c r="BN1432">
        <v>1</v>
      </c>
      <c r="BO1432">
        <v>1</v>
      </c>
      <c r="BP1432">
        <v>0</v>
      </c>
      <c r="BS1432">
        <v>0</v>
      </c>
      <c r="BT1432">
        <v>0</v>
      </c>
      <c r="BU1432">
        <v>0</v>
      </c>
      <c r="CE1432" t="str">
        <f t="shared" si="500"/>
        <v>19:29:22.035</v>
      </c>
      <c r="CF1432">
        <v>35173979</v>
      </c>
      <c r="CS1432">
        <v>3</v>
      </c>
      <c r="CT1432">
        <v>2</v>
      </c>
      <c r="CU1432">
        <v>0</v>
      </c>
      <c r="CV1432">
        <v>2</v>
      </c>
      <c r="CW1432">
        <v>0</v>
      </c>
      <c r="CX1432">
        <v>6</v>
      </c>
      <c r="CY1432">
        <v>7</v>
      </c>
      <c r="CZ1432" t="s">
        <v>131</v>
      </c>
      <c r="DA1432">
        <v>300</v>
      </c>
      <c r="DB1432">
        <v>0</v>
      </c>
      <c r="DC1432" t="s">
        <v>176</v>
      </c>
      <c r="DD1432" t="s">
        <v>177</v>
      </c>
      <c r="DG1432">
        <v>5386525</v>
      </c>
      <c r="DI1432">
        <v>1</v>
      </c>
      <c r="DJ1432">
        <v>0</v>
      </c>
      <c r="DK1432">
        <v>1</v>
      </c>
      <c r="DL1432">
        <v>0</v>
      </c>
      <c r="DM1432">
        <v>0</v>
      </c>
      <c r="DN1432">
        <v>1</v>
      </c>
      <c r="DO1432">
        <v>0</v>
      </c>
      <c r="DP1432">
        <v>0</v>
      </c>
      <c r="DQ1432">
        <v>0</v>
      </c>
      <c r="DR1432">
        <v>0</v>
      </c>
      <c r="DS1432">
        <v>0</v>
      </c>
    </row>
    <row r="1433" spans="1:123" x14ac:dyDescent="0.3">
      <c r="A1433" t="str">
        <f t="shared" si="498"/>
        <v>10/04/2022 19:29:22.321</v>
      </c>
      <c r="C1433" t="str">
        <f t="shared" si="495"/>
        <v>FFDFD3C0</v>
      </c>
      <c r="D1433" t="s">
        <v>134</v>
      </c>
      <c r="E1433">
        <v>15</v>
      </c>
      <c r="J1433" t="s">
        <v>135</v>
      </c>
      <c r="K1433">
        <v>0</v>
      </c>
      <c r="L1433">
        <v>3</v>
      </c>
      <c r="M1433">
        <v>0</v>
      </c>
      <c r="N1433">
        <v>2</v>
      </c>
      <c r="O1433">
        <v>0</v>
      </c>
      <c r="P1433">
        <v>1</v>
      </c>
      <c r="Q1433">
        <v>0</v>
      </c>
      <c r="S1433" t="str">
        <f t="shared" si="499"/>
        <v>19:29:22.000</v>
      </c>
      <c r="T1433" t="str">
        <f t="shared" si="499"/>
        <v>19:29:22.000</v>
      </c>
      <c r="U1433" t="str">
        <f t="shared" si="491"/>
        <v>AC3944</v>
      </c>
      <c r="V1433">
        <v>0</v>
      </c>
      <c r="W1433">
        <v>0</v>
      </c>
      <c r="X1433">
        <v>2</v>
      </c>
      <c r="Y1433">
        <v>0</v>
      </c>
      <c r="AA1433">
        <v>1</v>
      </c>
      <c r="AB1433">
        <v>8</v>
      </c>
      <c r="AC1433">
        <v>3</v>
      </c>
      <c r="AD1433">
        <v>0</v>
      </c>
      <c r="AE1433">
        <v>9</v>
      </c>
      <c r="AF1433" t="s">
        <v>138</v>
      </c>
      <c r="AG1433">
        <v>0</v>
      </c>
      <c r="AH1433">
        <v>3</v>
      </c>
      <c r="AI1433">
        <v>1</v>
      </c>
      <c r="AJ1433">
        <v>0</v>
      </c>
      <c r="AK1433" t="s">
        <v>542</v>
      </c>
      <c r="AL1433">
        <v>32.801614000000001</v>
      </c>
      <c r="AM1433" t="s">
        <v>543</v>
      </c>
      <c r="AN1433">
        <v>-116.888695</v>
      </c>
      <c r="AO1433">
        <v>25</v>
      </c>
      <c r="AP1433">
        <v>2500</v>
      </c>
      <c r="AQ1433" t="s">
        <v>129</v>
      </c>
      <c r="AR1433">
        <v>98</v>
      </c>
      <c r="AS1433">
        <v>-69</v>
      </c>
      <c r="AT1433">
        <v>256</v>
      </c>
      <c r="BB1433">
        <v>1200</v>
      </c>
      <c r="BC1433">
        <v>1</v>
      </c>
      <c r="BD1433" t="str">
        <f t="shared" si="492"/>
        <v xml:space="preserve">N887QR  </v>
      </c>
      <c r="BE1433">
        <v>1</v>
      </c>
      <c r="BG1433">
        <v>0</v>
      </c>
      <c r="BH1433">
        <v>0</v>
      </c>
      <c r="BI1433">
        <v>0</v>
      </c>
      <c r="BJ1433">
        <v>2250</v>
      </c>
      <c r="BK1433">
        <v>-250</v>
      </c>
      <c r="BL1433" t="s">
        <v>163</v>
      </c>
      <c r="BM1433">
        <v>1</v>
      </c>
      <c r="BN1433">
        <v>1</v>
      </c>
      <c r="BO1433">
        <v>1</v>
      </c>
      <c r="BP1433">
        <v>0</v>
      </c>
      <c r="BS1433">
        <v>0</v>
      </c>
      <c r="BT1433">
        <v>0</v>
      </c>
      <c r="BU1433">
        <v>0</v>
      </c>
      <c r="CE1433" t="str">
        <f t="shared" si="500"/>
        <v>19:29:22.035</v>
      </c>
      <c r="CF1433">
        <v>35173979</v>
      </c>
      <c r="CS1433">
        <v>3</v>
      </c>
      <c r="CT1433">
        <v>2</v>
      </c>
      <c r="CU1433">
        <v>0</v>
      </c>
      <c r="CV1433">
        <v>2</v>
      </c>
      <c r="CW1433">
        <v>0</v>
      </c>
      <c r="CX1433">
        <v>6</v>
      </c>
      <c r="CY1433">
        <v>7</v>
      </c>
      <c r="CZ1433" t="s">
        <v>131</v>
      </c>
      <c r="DA1433">
        <v>300</v>
      </c>
      <c r="DB1433">
        <v>0</v>
      </c>
      <c r="DC1433" t="s">
        <v>176</v>
      </c>
      <c r="DD1433" t="s">
        <v>177</v>
      </c>
      <c r="DG1433">
        <v>5386525</v>
      </c>
      <c r="DI1433">
        <v>1</v>
      </c>
      <c r="DJ1433">
        <v>0</v>
      </c>
      <c r="DK1433">
        <v>1</v>
      </c>
      <c r="DL1433">
        <v>0</v>
      </c>
      <c r="DM1433">
        <v>0</v>
      </c>
      <c r="DN1433">
        <v>1</v>
      </c>
      <c r="DO1433">
        <v>0</v>
      </c>
      <c r="DP1433">
        <v>0</v>
      </c>
      <c r="DQ1433">
        <v>0</v>
      </c>
      <c r="DR1433">
        <v>0</v>
      </c>
      <c r="DS1433">
        <v>0</v>
      </c>
    </row>
    <row r="1434" spans="1:123" x14ac:dyDescent="0.3">
      <c r="A1434" t="str">
        <f t="shared" si="498"/>
        <v>10/04/2022 19:29:22.321</v>
      </c>
      <c r="C1434" t="str">
        <f t="shared" si="495"/>
        <v>FFDFD3C0</v>
      </c>
      <c r="D1434" t="s">
        <v>136</v>
      </c>
      <c r="E1434">
        <v>8</v>
      </c>
      <c r="H1434">
        <v>225</v>
      </c>
      <c r="I1434" t="s">
        <v>137</v>
      </c>
      <c r="J1434" t="s">
        <v>138</v>
      </c>
      <c r="K1434">
        <v>0</v>
      </c>
      <c r="L1434">
        <v>3</v>
      </c>
      <c r="M1434">
        <v>0</v>
      </c>
      <c r="N1434">
        <v>2</v>
      </c>
      <c r="O1434">
        <v>0</v>
      </c>
      <c r="P1434">
        <v>1</v>
      </c>
      <c r="Q1434">
        <v>0</v>
      </c>
      <c r="S1434" t="str">
        <f t="shared" si="499"/>
        <v>19:29:22.000</v>
      </c>
      <c r="T1434" t="str">
        <f t="shared" si="499"/>
        <v>19:29:22.000</v>
      </c>
      <c r="U1434" t="str">
        <f t="shared" si="491"/>
        <v>AC3944</v>
      </c>
      <c r="V1434">
        <v>0</v>
      </c>
      <c r="W1434">
        <v>0</v>
      </c>
      <c r="X1434">
        <v>2</v>
      </c>
      <c r="Y1434">
        <v>0</v>
      </c>
      <c r="AA1434">
        <v>1</v>
      </c>
      <c r="AB1434">
        <v>8</v>
      </c>
      <c r="AC1434">
        <v>3</v>
      </c>
      <c r="AD1434">
        <v>0</v>
      </c>
      <c r="AE1434">
        <v>9</v>
      </c>
      <c r="AF1434" t="s">
        <v>138</v>
      </c>
      <c r="AG1434">
        <v>0</v>
      </c>
      <c r="AH1434">
        <v>3</v>
      </c>
      <c r="AI1434">
        <v>1</v>
      </c>
      <c r="AJ1434">
        <v>0</v>
      </c>
      <c r="AK1434" t="s">
        <v>542</v>
      </c>
      <c r="AL1434">
        <v>32.801614000000001</v>
      </c>
      <c r="AM1434" t="s">
        <v>543</v>
      </c>
      <c r="AN1434">
        <v>-116.888695</v>
      </c>
      <c r="AO1434">
        <v>25</v>
      </c>
      <c r="AP1434">
        <v>2500</v>
      </c>
      <c r="AQ1434" t="s">
        <v>129</v>
      </c>
      <c r="AR1434">
        <v>98</v>
      </c>
      <c r="AS1434">
        <v>-69</v>
      </c>
      <c r="AT1434">
        <v>256</v>
      </c>
      <c r="BB1434">
        <v>1200</v>
      </c>
      <c r="BC1434">
        <v>1</v>
      </c>
      <c r="BD1434" t="str">
        <f t="shared" si="492"/>
        <v xml:space="preserve">N887QR  </v>
      </c>
      <c r="BE1434">
        <v>1</v>
      </c>
      <c r="BG1434">
        <v>0</v>
      </c>
      <c r="BH1434">
        <v>0</v>
      </c>
      <c r="BI1434">
        <v>0</v>
      </c>
      <c r="BJ1434">
        <v>2250</v>
      </c>
      <c r="BK1434">
        <v>-250</v>
      </c>
      <c r="BL1434" t="s">
        <v>163</v>
      </c>
      <c r="BM1434">
        <v>1</v>
      </c>
      <c r="BN1434">
        <v>1</v>
      </c>
      <c r="BO1434">
        <v>1</v>
      </c>
      <c r="BP1434">
        <v>0</v>
      </c>
      <c r="BS1434">
        <v>0</v>
      </c>
      <c r="BT1434">
        <v>0</v>
      </c>
      <c r="BU1434">
        <v>0</v>
      </c>
      <c r="CE1434" t="str">
        <f t="shared" si="500"/>
        <v>19:29:22.035</v>
      </c>
      <c r="CF1434">
        <v>35173979</v>
      </c>
      <c r="CS1434">
        <v>3</v>
      </c>
      <c r="CT1434">
        <v>2</v>
      </c>
      <c r="CU1434">
        <v>0</v>
      </c>
      <c r="CV1434">
        <v>2</v>
      </c>
      <c r="CW1434">
        <v>0</v>
      </c>
      <c r="CX1434">
        <v>6</v>
      </c>
      <c r="CY1434">
        <v>7</v>
      </c>
      <c r="CZ1434" t="s">
        <v>131</v>
      </c>
      <c r="DA1434">
        <v>300</v>
      </c>
      <c r="DB1434">
        <v>0</v>
      </c>
      <c r="DC1434" t="s">
        <v>176</v>
      </c>
      <c r="DD1434" t="s">
        <v>177</v>
      </c>
      <c r="DG1434">
        <v>5386525</v>
      </c>
      <c r="DI1434">
        <v>1</v>
      </c>
      <c r="DJ1434">
        <v>0</v>
      </c>
      <c r="DK1434">
        <v>1</v>
      </c>
      <c r="DL1434">
        <v>0</v>
      </c>
      <c r="DM1434">
        <v>0</v>
      </c>
      <c r="DN1434">
        <v>1</v>
      </c>
      <c r="DO1434">
        <v>0</v>
      </c>
      <c r="DP1434">
        <v>0</v>
      </c>
      <c r="DQ1434">
        <v>0</v>
      </c>
      <c r="DR1434">
        <v>0</v>
      </c>
      <c r="DS1434">
        <v>0</v>
      </c>
    </row>
    <row r="1435" spans="1:123" x14ac:dyDescent="0.3">
      <c r="A1435" t="str">
        <f t="shared" si="498"/>
        <v>10/04/2022 19:29:22.321</v>
      </c>
      <c r="C1435" t="str">
        <f t="shared" si="495"/>
        <v>FFDFD3C0</v>
      </c>
      <c r="D1435" t="s">
        <v>143</v>
      </c>
      <c r="E1435">
        <v>20</v>
      </c>
      <c r="F1435">
        <v>1020</v>
      </c>
      <c r="G1435" t="s">
        <v>144</v>
      </c>
      <c r="J1435" t="s">
        <v>145</v>
      </c>
      <c r="K1435">
        <v>0</v>
      </c>
      <c r="L1435">
        <v>3</v>
      </c>
      <c r="M1435">
        <v>0</v>
      </c>
      <c r="N1435">
        <v>2</v>
      </c>
      <c r="O1435">
        <v>0</v>
      </c>
      <c r="P1435">
        <v>1</v>
      </c>
      <c r="Q1435">
        <v>0</v>
      </c>
      <c r="S1435" t="str">
        <f t="shared" si="499"/>
        <v>19:29:22.000</v>
      </c>
      <c r="T1435" t="str">
        <f t="shared" si="499"/>
        <v>19:29:22.000</v>
      </c>
      <c r="U1435" t="str">
        <f t="shared" si="491"/>
        <v>AC3944</v>
      </c>
      <c r="V1435">
        <v>0</v>
      </c>
      <c r="W1435">
        <v>0</v>
      </c>
      <c r="X1435">
        <v>2</v>
      </c>
      <c r="Y1435">
        <v>0</v>
      </c>
      <c r="AA1435">
        <v>1</v>
      </c>
      <c r="AB1435">
        <v>8</v>
      </c>
      <c r="AC1435">
        <v>3</v>
      </c>
      <c r="AD1435">
        <v>0</v>
      </c>
      <c r="AE1435">
        <v>9</v>
      </c>
      <c r="AF1435" t="s">
        <v>138</v>
      </c>
      <c r="AG1435">
        <v>0</v>
      </c>
      <c r="AH1435">
        <v>3</v>
      </c>
      <c r="AI1435">
        <v>1</v>
      </c>
      <c r="AJ1435">
        <v>0</v>
      </c>
      <c r="AK1435" t="s">
        <v>542</v>
      </c>
      <c r="AL1435">
        <v>32.801614000000001</v>
      </c>
      <c r="AM1435" t="s">
        <v>543</v>
      </c>
      <c r="AN1435">
        <v>-116.888695</v>
      </c>
      <c r="AO1435">
        <v>25</v>
      </c>
      <c r="AP1435">
        <v>2500</v>
      </c>
      <c r="AQ1435" t="s">
        <v>129</v>
      </c>
      <c r="AR1435">
        <v>98</v>
      </c>
      <c r="AS1435">
        <v>-69</v>
      </c>
      <c r="AT1435">
        <v>256</v>
      </c>
      <c r="BB1435">
        <v>1200</v>
      </c>
      <c r="BC1435">
        <v>1</v>
      </c>
      <c r="BD1435" t="str">
        <f t="shared" si="492"/>
        <v xml:space="preserve">N887QR  </v>
      </c>
      <c r="BE1435">
        <v>1</v>
      </c>
      <c r="BG1435">
        <v>0</v>
      </c>
      <c r="BH1435">
        <v>0</v>
      </c>
      <c r="BI1435">
        <v>0</v>
      </c>
      <c r="BJ1435">
        <v>2250</v>
      </c>
      <c r="BK1435">
        <v>-250</v>
      </c>
      <c r="BL1435" t="s">
        <v>163</v>
      </c>
      <c r="BM1435">
        <v>1</v>
      </c>
      <c r="BN1435">
        <v>1</v>
      </c>
      <c r="BO1435">
        <v>1</v>
      </c>
      <c r="BP1435">
        <v>0</v>
      </c>
      <c r="BS1435">
        <v>0</v>
      </c>
      <c r="BT1435">
        <v>0</v>
      </c>
      <c r="BU1435">
        <v>0</v>
      </c>
      <c r="CE1435" t="str">
        <f t="shared" si="500"/>
        <v>19:29:22.035</v>
      </c>
      <c r="CF1435">
        <v>35173979</v>
      </c>
      <c r="CS1435">
        <v>3</v>
      </c>
      <c r="CT1435">
        <v>2</v>
      </c>
      <c r="CU1435">
        <v>0</v>
      </c>
      <c r="CV1435">
        <v>2</v>
      </c>
      <c r="CW1435">
        <v>0</v>
      </c>
      <c r="CX1435">
        <v>6</v>
      </c>
      <c r="CY1435">
        <v>7</v>
      </c>
      <c r="CZ1435" t="s">
        <v>131</v>
      </c>
      <c r="DA1435">
        <v>300</v>
      </c>
      <c r="DB1435">
        <v>0</v>
      </c>
      <c r="DC1435" t="s">
        <v>176</v>
      </c>
      <c r="DD1435" t="s">
        <v>177</v>
      </c>
      <c r="DG1435">
        <v>5386525</v>
      </c>
      <c r="DI1435">
        <v>1</v>
      </c>
      <c r="DJ1435">
        <v>0</v>
      </c>
      <c r="DK1435">
        <v>1</v>
      </c>
      <c r="DL1435">
        <v>0</v>
      </c>
      <c r="DM1435">
        <v>0</v>
      </c>
      <c r="DN1435">
        <v>1</v>
      </c>
      <c r="DO1435">
        <v>0</v>
      </c>
      <c r="DP1435">
        <v>0</v>
      </c>
      <c r="DQ1435">
        <v>0</v>
      </c>
      <c r="DR1435">
        <v>0</v>
      </c>
      <c r="DS1435">
        <v>0</v>
      </c>
    </row>
    <row r="1436" spans="1:123" x14ac:dyDescent="0.3">
      <c r="A1436" t="str">
        <f>"10/04/2022 19:29:23.243"</f>
        <v>10/04/2022 19:29:23.243</v>
      </c>
      <c r="C1436" t="str">
        <f t="shared" si="495"/>
        <v>FFDFD3C0</v>
      </c>
      <c r="D1436" t="s">
        <v>141</v>
      </c>
      <c r="E1436">
        <v>3</v>
      </c>
      <c r="H1436">
        <v>3</v>
      </c>
      <c r="I1436" t="s">
        <v>146</v>
      </c>
      <c r="J1436" t="s">
        <v>138</v>
      </c>
      <c r="K1436">
        <v>0</v>
      </c>
      <c r="L1436">
        <v>3</v>
      </c>
      <c r="M1436">
        <v>0</v>
      </c>
      <c r="N1436">
        <v>2</v>
      </c>
      <c r="O1436">
        <v>0</v>
      </c>
      <c r="P1436">
        <v>1</v>
      </c>
      <c r="Q1436">
        <v>0</v>
      </c>
      <c r="S1436" t="str">
        <f t="shared" ref="S1436:T1449" si="501">"19:29:23.000"</f>
        <v>19:29:23.000</v>
      </c>
      <c r="T1436" t="str">
        <f t="shared" si="501"/>
        <v>19:29:23.000</v>
      </c>
      <c r="U1436" t="str">
        <f t="shared" si="491"/>
        <v>AC3944</v>
      </c>
      <c r="V1436">
        <v>0</v>
      </c>
      <c r="W1436">
        <v>0</v>
      </c>
      <c r="X1436">
        <v>2</v>
      </c>
      <c r="Y1436">
        <v>0</v>
      </c>
      <c r="AA1436">
        <v>1</v>
      </c>
      <c r="AB1436">
        <v>8</v>
      </c>
      <c r="AC1436">
        <v>3</v>
      </c>
      <c r="AD1436">
        <v>0</v>
      </c>
      <c r="AE1436">
        <v>9</v>
      </c>
      <c r="AF1436" t="s">
        <v>138</v>
      </c>
      <c r="AG1436">
        <v>0</v>
      </c>
      <c r="AH1436">
        <v>3</v>
      </c>
      <c r="AI1436">
        <v>1</v>
      </c>
      <c r="AJ1436">
        <v>0</v>
      </c>
      <c r="AK1436" t="s">
        <v>544</v>
      </c>
      <c r="AL1436">
        <v>32.801313</v>
      </c>
      <c r="AM1436" t="s">
        <v>545</v>
      </c>
      <c r="AN1436">
        <v>-116.88818000000001</v>
      </c>
      <c r="AO1436">
        <v>25</v>
      </c>
      <c r="AP1436">
        <v>2500</v>
      </c>
      <c r="AQ1436" t="s">
        <v>129</v>
      </c>
      <c r="AR1436">
        <v>97</v>
      </c>
      <c r="AS1436">
        <v>-69</v>
      </c>
      <c r="AT1436">
        <v>64</v>
      </c>
      <c r="BB1436">
        <v>1200</v>
      </c>
      <c r="BC1436">
        <v>1</v>
      </c>
      <c r="BD1436" t="str">
        <f t="shared" si="492"/>
        <v xml:space="preserve">N887QR  </v>
      </c>
      <c r="BE1436">
        <v>1</v>
      </c>
      <c r="BG1436">
        <v>0</v>
      </c>
      <c r="BH1436">
        <v>0</v>
      </c>
      <c r="BI1436">
        <v>0</v>
      </c>
      <c r="BJ1436">
        <v>2250</v>
      </c>
      <c r="BK1436">
        <v>-250</v>
      </c>
      <c r="BL1436" t="s">
        <v>163</v>
      </c>
      <c r="BM1436">
        <v>1</v>
      </c>
      <c r="BN1436">
        <v>1</v>
      </c>
      <c r="BO1436">
        <v>1</v>
      </c>
      <c r="BP1436">
        <v>0</v>
      </c>
      <c r="BS1436">
        <v>0</v>
      </c>
      <c r="BT1436">
        <v>0</v>
      </c>
      <c r="BU1436">
        <v>0</v>
      </c>
      <c r="CE1436" t="str">
        <f t="shared" ref="CE1436:CE1442" si="502">"19:29:23.046"</f>
        <v>19:29:23.046</v>
      </c>
      <c r="CF1436">
        <v>46177329</v>
      </c>
      <c r="CS1436">
        <v>3</v>
      </c>
      <c r="CT1436">
        <v>2</v>
      </c>
      <c r="CU1436">
        <v>0</v>
      </c>
      <c r="CV1436">
        <v>2</v>
      </c>
      <c r="CW1436">
        <v>0</v>
      </c>
      <c r="CX1436">
        <v>6</v>
      </c>
      <c r="CY1436">
        <v>7</v>
      </c>
      <c r="CZ1436" t="s">
        <v>131</v>
      </c>
      <c r="DA1436">
        <v>300</v>
      </c>
      <c r="DB1436">
        <v>0</v>
      </c>
      <c r="DC1436" t="s">
        <v>176</v>
      </c>
      <c r="DD1436" t="s">
        <v>177</v>
      </c>
      <c r="DG1436">
        <v>5386686</v>
      </c>
      <c r="DI1436">
        <v>1</v>
      </c>
      <c r="DJ1436">
        <v>0</v>
      </c>
      <c r="DK1436">
        <v>0</v>
      </c>
      <c r="DL1436">
        <v>0</v>
      </c>
      <c r="DM1436">
        <v>0</v>
      </c>
      <c r="DN1436">
        <v>1</v>
      </c>
      <c r="DO1436">
        <v>0</v>
      </c>
      <c r="DP1436">
        <v>0</v>
      </c>
      <c r="DQ1436">
        <v>0</v>
      </c>
      <c r="DR1436">
        <v>0</v>
      </c>
      <c r="DS1436">
        <v>0</v>
      </c>
    </row>
    <row r="1437" spans="1:123" x14ac:dyDescent="0.3">
      <c r="A1437" t="str">
        <f>"10/04/2022 19:29:23.243"</f>
        <v>10/04/2022 19:29:23.243</v>
      </c>
      <c r="C1437" t="str">
        <f t="shared" si="495"/>
        <v>FFDFD3C0</v>
      </c>
      <c r="D1437" t="s">
        <v>134</v>
      </c>
      <c r="E1437">
        <v>15</v>
      </c>
      <c r="J1437" t="s">
        <v>135</v>
      </c>
      <c r="K1437">
        <v>0</v>
      </c>
      <c r="L1437">
        <v>3</v>
      </c>
      <c r="M1437">
        <v>0</v>
      </c>
      <c r="N1437">
        <v>2</v>
      </c>
      <c r="O1437">
        <v>0</v>
      </c>
      <c r="P1437">
        <v>1</v>
      </c>
      <c r="Q1437">
        <v>0</v>
      </c>
      <c r="S1437" t="str">
        <f t="shared" si="501"/>
        <v>19:29:23.000</v>
      </c>
      <c r="T1437" t="str">
        <f t="shared" si="501"/>
        <v>19:29:23.000</v>
      </c>
      <c r="U1437" t="str">
        <f t="shared" si="491"/>
        <v>AC3944</v>
      </c>
      <c r="V1437">
        <v>0</v>
      </c>
      <c r="W1437">
        <v>0</v>
      </c>
      <c r="X1437">
        <v>2</v>
      </c>
      <c r="Y1437">
        <v>0</v>
      </c>
      <c r="AA1437">
        <v>1</v>
      </c>
      <c r="AB1437">
        <v>8</v>
      </c>
      <c r="AC1437">
        <v>3</v>
      </c>
      <c r="AD1437">
        <v>0</v>
      </c>
      <c r="AE1437">
        <v>9</v>
      </c>
      <c r="AF1437" t="s">
        <v>138</v>
      </c>
      <c r="AG1437">
        <v>0</v>
      </c>
      <c r="AH1437">
        <v>3</v>
      </c>
      <c r="AI1437">
        <v>1</v>
      </c>
      <c r="AJ1437">
        <v>0</v>
      </c>
      <c r="AK1437" t="s">
        <v>544</v>
      </c>
      <c r="AL1437">
        <v>32.801313</v>
      </c>
      <c r="AM1437" t="s">
        <v>545</v>
      </c>
      <c r="AN1437">
        <v>-116.88818000000001</v>
      </c>
      <c r="AO1437">
        <v>25</v>
      </c>
      <c r="AP1437">
        <v>2500</v>
      </c>
      <c r="AQ1437" t="s">
        <v>129</v>
      </c>
      <c r="AR1437">
        <v>97</v>
      </c>
      <c r="AS1437">
        <v>-69</v>
      </c>
      <c r="AT1437">
        <v>64</v>
      </c>
      <c r="BB1437">
        <v>1200</v>
      </c>
      <c r="BC1437">
        <v>1</v>
      </c>
      <c r="BD1437" t="str">
        <f t="shared" si="492"/>
        <v xml:space="preserve">N887QR  </v>
      </c>
      <c r="BE1437">
        <v>1</v>
      </c>
      <c r="BG1437">
        <v>0</v>
      </c>
      <c r="BH1437">
        <v>0</v>
      </c>
      <c r="BI1437">
        <v>0</v>
      </c>
      <c r="BJ1437">
        <v>2250</v>
      </c>
      <c r="BK1437">
        <v>-250</v>
      </c>
      <c r="BL1437" t="s">
        <v>163</v>
      </c>
      <c r="BM1437">
        <v>1</v>
      </c>
      <c r="BN1437">
        <v>1</v>
      </c>
      <c r="BO1437">
        <v>1</v>
      </c>
      <c r="BP1437">
        <v>0</v>
      </c>
      <c r="BS1437">
        <v>0</v>
      </c>
      <c r="BT1437">
        <v>0</v>
      </c>
      <c r="BU1437">
        <v>0</v>
      </c>
      <c r="CE1437" t="str">
        <f t="shared" si="502"/>
        <v>19:29:23.046</v>
      </c>
      <c r="CF1437">
        <v>46177329</v>
      </c>
      <c r="CS1437">
        <v>3</v>
      </c>
      <c r="CT1437">
        <v>2</v>
      </c>
      <c r="CU1437">
        <v>0</v>
      </c>
      <c r="CV1437">
        <v>2</v>
      </c>
      <c r="CW1437">
        <v>0</v>
      </c>
      <c r="CX1437">
        <v>6</v>
      </c>
      <c r="CY1437">
        <v>7</v>
      </c>
      <c r="CZ1437" t="s">
        <v>131</v>
      </c>
      <c r="DA1437">
        <v>300</v>
      </c>
      <c r="DB1437">
        <v>0</v>
      </c>
      <c r="DC1437" t="s">
        <v>176</v>
      </c>
      <c r="DD1437" t="s">
        <v>177</v>
      </c>
      <c r="DG1437">
        <v>5386686</v>
      </c>
      <c r="DI1437">
        <v>1</v>
      </c>
      <c r="DJ1437">
        <v>0</v>
      </c>
      <c r="DK1437">
        <v>1</v>
      </c>
      <c r="DL1437">
        <v>0</v>
      </c>
      <c r="DM1437">
        <v>0</v>
      </c>
      <c r="DN1437">
        <v>1</v>
      </c>
      <c r="DO1437">
        <v>0</v>
      </c>
      <c r="DP1437">
        <v>0</v>
      </c>
      <c r="DQ1437">
        <v>0</v>
      </c>
      <c r="DR1437">
        <v>0</v>
      </c>
      <c r="DS1437">
        <v>0</v>
      </c>
    </row>
    <row r="1438" spans="1:123" x14ac:dyDescent="0.3">
      <c r="A1438" t="str">
        <f>"10/04/2022 19:29:23.243"</f>
        <v>10/04/2022 19:29:23.243</v>
      </c>
      <c r="C1438" t="str">
        <f t="shared" si="495"/>
        <v>FFDFD3C0</v>
      </c>
      <c r="D1438" t="s">
        <v>136</v>
      </c>
      <c r="E1438">
        <v>8</v>
      </c>
      <c r="H1438">
        <v>225</v>
      </c>
      <c r="I1438" t="s">
        <v>137</v>
      </c>
      <c r="J1438" t="s">
        <v>138</v>
      </c>
      <c r="K1438">
        <v>0</v>
      </c>
      <c r="L1438">
        <v>3</v>
      </c>
      <c r="M1438">
        <v>0</v>
      </c>
      <c r="N1438">
        <v>2</v>
      </c>
      <c r="O1438">
        <v>0</v>
      </c>
      <c r="P1438">
        <v>1</v>
      </c>
      <c r="Q1438">
        <v>0</v>
      </c>
      <c r="S1438" t="str">
        <f t="shared" si="501"/>
        <v>19:29:23.000</v>
      </c>
      <c r="T1438" t="str">
        <f t="shared" si="501"/>
        <v>19:29:23.000</v>
      </c>
      <c r="U1438" t="str">
        <f t="shared" si="491"/>
        <v>AC3944</v>
      </c>
      <c r="V1438">
        <v>0</v>
      </c>
      <c r="W1438">
        <v>0</v>
      </c>
      <c r="X1438">
        <v>2</v>
      </c>
      <c r="Y1438">
        <v>0</v>
      </c>
      <c r="AA1438">
        <v>1</v>
      </c>
      <c r="AB1438">
        <v>8</v>
      </c>
      <c r="AC1438">
        <v>3</v>
      </c>
      <c r="AD1438">
        <v>0</v>
      </c>
      <c r="AE1438">
        <v>9</v>
      </c>
      <c r="AF1438" t="s">
        <v>138</v>
      </c>
      <c r="AG1438">
        <v>0</v>
      </c>
      <c r="AH1438">
        <v>3</v>
      </c>
      <c r="AI1438">
        <v>1</v>
      </c>
      <c r="AJ1438">
        <v>0</v>
      </c>
      <c r="AK1438" t="s">
        <v>544</v>
      </c>
      <c r="AL1438">
        <v>32.801313</v>
      </c>
      <c r="AM1438" t="s">
        <v>545</v>
      </c>
      <c r="AN1438">
        <v>-116.88818000000001</v>
      </c>
      <c r="AO1438">
        <v>25</v>
      </c>
      <c r="AP1438">
        <v>2500</v>
      </c>
      <c r="AQ1438" t="s">
        <v>129</v>
      </c>
      <c r="AR1438">
        <v>97</v>
      </c>
      <c r="AS1438">
        <v>-69</v>
      </c>
      <c r="AT1438">
        <v>64</v>
      </c>
      <c r="BB1438">
        <v>1200</v>
      </c>
      <c r="BC1438">
        <v>1</v>
      </c>
      <c r="BD1438" t="str">
        <f t="shared" si="492"/>
        <v xml:space="preserve">N887QR  </v>
      </c>
      <c r="BE1438">
        <v>1</v>
      </c>
      <c r="BG1438">
        <v>0</v>
      </c>
      <c r="BH1438">
        <v>0</v>
      </c>
      <c r="BI1438">
        <v>0</v>
      </c>
      <c r="BJ1438">
        <v>2250</v>
      </c>
      <c r="BK1438">
        <v>-250</v>
      </c>
      <c r="BL1438" t="s">
        <v>163</v>
      </c>
      <c r="BM1438">
        <v>1</v>
      </c>
      <c r="BN1438">
        <v>1</v>
      </c>
      <c r="BO1438">
        <v>1</v>
      </c>
      <c r="BP1438">
        <v>0</v>
      </c>
      <c r="BS1438">
        <v>0</v>
      </c>
      <c r="BT1438">
        <v>0</v>
      </c>
      <c r="BU1438">
        <v>0</v>
      </c>
      <c r="CE1438" t="str">
        <f t="shared" si="502"/>
        <v>19:29:23.046</v>
      </c>
      <c r="CF1438">
        <v>46177329</v>
      </c>
      <c r="CS1438">
        <v>3</v>
      </c>
      <c r="CT1438">
        <v>2</v>
      </c>
      <c r="CU1438">
        <v>0</v>
      </c>
      <c r="CV1438">
        <v>2</v>
      </c>
      <c r="CW1438">
        <v>0</v>
      </c>
      <c r="CX1438">
        <v>6</v>
      </c>
      <c r="CY1438">
        <v>7</v>
      </c>
      <c r="CZ1438" t="s">
        <v>131</v>
      </c>
      <c r="DA1438">
        <v>300</v>
      </c>
      <c r="DB1438">
        <v>0</v>
      </c>
      <c r="DC1438" t="s">
        <v>176</v>
      </c>
      <c r="DD1438" t="s">
        <v>177</v>
      </c>
      <c r="DG1438">
        <v>5386686</v>
      </c>
      <c r="DI1438">
        <v>1</v>
      </c>
      <c r="DJ1438">
        <v>0</v>
      </c>
      <c r="DK1438">
        <v>1</v>
      </c>
      <c r="DL1438">
        <v>0</v>
      </c>
      <c r="DM1438">
        <v>0</v>
      </c>
      <c r="DN1438">
        <v>1</v>
      </c>
      <c r="DO1438">
        <v>0</v>
      </c>
      <c r="DP1438">
        <v>0</v>
      </c>
      <c r="DQ1438">
        <v>0</v>
      </c>
      <c r="DR1438">
        <v>0</v>
      </c>
      <c r="DS1438">
        <v>0</v>
      </c>
    </row>
    <row r="1439" spans="1:123" x14ac:dyDescent="0.3">
      <c r="A1439" t="str">
        <f>"10/04/2022 19:29:23.243"</f>
        <v>10/04/2022 19:29:23.243</v>
      </c>
      <c r="C1439" t="str">
        <f t="shared" si="495"/>
        <v>FFDFD3C0</v>
      </c>
      <c r="D1439" t="s">
        <v>143</v>
      </c>
      <c r="E1439">
        <v>20</v>
      </c>
      <c r="F1439">
        <v>1020</v>
      </c>
      <c r="G1439" t="s">
        <v>144</v>
      </c>
      <c r="J1439" t="s">
        <v>145</v>
      </c>
      <c r="K1439">
        <v>0</v>
      </c>
      <c r="L1439">
        <v>3</v>
      </c>
      <c r="M1439">
        <v>0</v>
      </c>
      <c r="N1439">
        <v>2</v>
      </c>
      <c r="O1439">
        <v>0</v>
      </c>
      <c r="P1439">
        <v>1</v>
      </c>
      <c r="Q1439">
        <v>0</v>
      </c>
      <c r="S1439" t="str">
        <f t="shared" si="501"/>
        <v>19:29:23.000</v>
      </c>
      <c r="T1439" t="str">
        <f t="shared" si="501"/>
        <v>19:29:23.000</v>
      </c>
      <c r="U1439" t="str">
        <f t="shared" si="491"/>
        <v>AC3944</v>
      </c>
      <c r="V1439">
        <v>0</v>
      </c>
      <c r="W1439">
        <v>0</v>
      </c>
      <c r="X1439">
        <v>2</v>
      </c>
      <c r="Y1439">
        <v>0</v>
      </c>
      <c r="AA1439">
        <v>1</v>
      </c>
      <c r="AB1439">
        <v>8</v>
      </c>
      <c r="AC1439">
        <v>3</v>
      </c>
      <c r="AD1439">
        <v>0</v>
      </c>
      <c r="AE1439">
        <v>9</v>
      </c>
      <c r="AF1439" t="s">
        <v>138</v>
      </c>
      <c r="AG1439">
        <v>0</v>
      </c>
      <c r="AH1439">
        <v>3</v>
      </c>
      <c r="AI1439">
        <v>1</v>
      </c>
      <c r="AJ1439">
        <v>0</v>
      </c>
      <c r="AK1439" t="s">
        <v>544</v>
      </c>
      <c r="AL1439">
        <v>32.801313</v>
      </c>
      <c r="AM1439" t="s">
        <v>545</v>
      </c>
      <c r="AN1439">
        <v>-116.88818000000001</v>
      </c>
      <c r="AO1439">
        <v>25</v>
      </c>
      <c r="AP1439">
        <v>2500</v>
      </c>
      <c r="AQ1439" t="s">
        <v>129</v>
      </c>
      <c r="AR1439">
        <v>97</v>
      </c>
      <c r="AS1439">
        <v>-69</v>
      </c>
      <c r="AT1439">
        <v>64</v>
      </c>
      <c r="BB1439">
        <v>1200</v>
      </c>
      <c r="BC1439">
        <v>1</v>
      </c>
      <c r="BD1439" t="str">
        <f t="shared" si="492"/>
        <v xml:space="preserve">N887QR  </v>
      </c>
      <c r="BE1439">
        <v>1</v>
      </c>
      <c r="BG1439">
        <v>0</v>
      </c>
      <c r="BH1439">
        <v>0</v>
      </c>
      <c r="BI1439">
        <v>0</v>
      </c>
      <c r="BJ1439">
        <v>2250</v>
      </c>
      <c r="BK1439">
        <v>-250</v>
      </c>
      <c r="BL1439" t="s">
        <v>163</v>
      </c>
      <c r="BM1439">
        <v>1</v>
      </c>
      <c r="BN1439">
        <v>1</v>
      </c>
      <c r="BO1439">
        <v>1</v>
      </c>
      <c r="BP1439">
        <v>0</v>
      </c>
      <c r="BS1439">
        <v>0</v>
      </c>
      <c r="BT1439">
        <v>0</v>
      </c>
      <c r="BU1439">
        <v>0</v>
      </c>
      <c r="CE1439" t="str">
        <f t="shared" si="502"/>
        <v>19:29:23.046</v>
      </c>
      <c r="CF1439">
        <v>46177329</v>
      </c>
      <c r="CS1439">
        <v>3</v>
      </c>
      <c r="CT1439">
        <v>2</v>
      </c>
      <c r="CU1439">
        <v>0</v>
      </c>
      <c r="CV1439">
        <v>2</v>
      </c>
      <c r="CW1439">
        <v>0</v>
      </c>
      <c r="CX1439">
        <v>6</v>
      </c>
      <c r="CY1439">
        <v>7</v>
      </c>
      <c r="CZ1439" t="s">
        <v>131</v>
      </c>
      <c r="DA1439">
        <v>300</v>
      </c>
      <c r="DB1439">
        <v>0</v>
      </c>
      <c r="DC1439" t="s">
        <v>176</v>
      </c>
      <c r="DD1439" t="s">
        <v>177</v>
      </c>
      <c r="DG1439">
        <v>5386686</v>
      </c>
      <c r="DI1439">
        <v>1</v>
      </c>
      <c r="DJ1439">
        <v>0</v>
      </c>
      <c r="DK1439">
        <v>1</v>
      </c>
      <c r="DL1439">
        <v>0</v>
      </c>
      <c r="DM1439">
        <v>0</v>
      </c>
      <c r="DN1439">
        <v>1</v>
      </c>
      <c r="DO1439">
        <v>0</v>
      </c>
      <c r="DP1439">
        <v>0</v>
      </c>
      <c r="DQ1439">
        <v>0</v>
      </c>
      <c r="DR1439">
        <v>0</v>
      </c>
      <c r="DS1439">
        <v>0</v>
      </c>
    </row>
    <row r="1440" spans="1:123" x14ac:dyDescent="0.3">
      <c r="A1440" t="str">
        <f>"10/04/2022 19:29:23.243"</f>
        <v>10/04/2022 19:29:23.243</v>
      </c>
      <c r="C1440" t="str">
        <f t="shared" si="495"/>
        <v>FFDFD3C0</v>
      </c>
      <c r="D1440" t="s">
        <v>123</v>
      </c>
      <c r="E1440">
        <v>7</v>
      </c>
      <c r="F1440">
        <v>2007</v>
      </c>
      <c r="G1440" t="s">
        <v>124</v>
      </c>
      <c r="J1440" t="s">
        <v>125</v>
      </c>
      <c r="K1440">
        <v>0</v>
      </c>
      <c r="L1440">
        <v>3</v>
      </c>
      <c r="M1440">
        <v>0</v>
      </c>
      <c r="N1440">
        <v>2</v>
      </c>
      <c r="O1440">
        <v>0</v>
      </c>
      <c r="P1440">
        <v>1</v>
      </c>
      <c r="Q1440">
        <v>0</v>
      </c>
      <c r="S1440" t="str">
        <f t="shared" si="501"/>
        <v>19:29:23.000</v>
      </c>
      <c r="T1440" t="str">
        <f t="shared" si="501"/>
        <v>19:29:23.000</v>
      </c>
      <c r="U1440" t="str">
        <f t="shared" si="491"/>
        <v>AC3944</v>
      </c>
      <c r="V1440">
        <v>0</v>
      </c>
      <c r="W1440">
        <v>0</v>
      </c>
      <c r="X1440">
        <v>2</v>
      </c>
      <c r="Y1440">
        <v>0</v>
      </c>
      <c r="AA1440">
        <v>1</v>
      </c>
      <c r="AB1440">
        <v>8</v>
      </c>
      <c r="AC1440">
        <v>3</v>
      </c>
      <c r="AD1440">
        <v>0</v>
      </c>
      <c r="AE1440">
        <v>9</v>
      </c>
      <c r="AF1440" t="s">
        <v>138</v>
      </c>
      <c r="AG1440">
        <v>0</v>
      </c>
      <c r="AH1440">
        <v>3</v>
      </c>
      <c r="AI1440">
        <v>1</v>
      </c>
      <c r="AJ1440">
        <v>0</v>
      </c>
      <c r="AK1440" t="s">
        <v>544</v>
      </c>
      <c r="AL1440">
        <v>32.801313</v>
      </c>
      <c r="AM1440" t="s">
        <v>545</v>
      </c>
      <c r="AN1440">
        <v>-116.88818000000001</v>
      </c>
      <c r="AO1440">
        <v>25</v>
      </c>
      <c r="AP1440">
        <v>2500</v>
      </c>
      <c r="AQ1440" t="s">
        <v>129</v>
      </c>
      <c r="AR1440">
        <v>97</v>
      </c>
      <c r="AS1440">
        <v>-69</v>
      </c>
      <c r="AT1440">
        <v>64</v>
      </c>
      <c r="BB1440">
        <v>1200</v>
      </c>
      <c r="BC1440">
        <v>1</v>
      </c>
      <c r="BD1440" t="str">
        <f t="shared" si="492"/>
        <v xml:space="preserve">N887QR  </v>
      </c>
      <c r="BE1440">
        <v>1</v>
      </c>
      <c r="BG1440">
        <v>0</v>
      </c>
      <c r="BH1440">
        <v>0</v>
      </c>
      <c r="BI1440">
        <v>0</v>
      </c>
      <c r="BJ1440">
        <v>2250</v>
      </c>
      <c r="BK1440">
        <v>-250</v>
      </c>
      <c r="BL1440" t="s">
        <v>163</v>
      </c>
      <c r="BM1440">
        <v>1</v>
      </c>
      <c r="BN1440">
        <v>1</v>
      </c>
      <c r="BO1440">
        <v>1</v>
      </c>
      <c r="BP1440">
        <v>0</v>
      </c>
      <c r="BS1440">
        <v>0</v>
      </c>
      <c r="BT1440">
        <v>0</v>
      </c>
      <c r="BU1440">
        <v>0</v>
      </c>
      <c r="CE1440" t="str">
        <f t="shared" si="502"/>
        <v>19:29:23.046</v>
      </c>
      <c r="CF1440">
        <v>46177329</v>
      </c>
      <c r="CS1440">
        <v>3</v>
      </c>
      <c r="CT1440">
        <v>2</v>
      </c>
      <c r="CU1440">
        <v>0</v>
      </c>
      <c r="CV1440">
        <v>2</v>
      </c>
      <c r="CW1440">
        <v>0</v>
      </c>
      <c r="CX1440">
        <v>6</v>
      </c>
      <c r="CY1440">
        <v>7</v>
      </c>
      <c r="CZ1440" t="s">
        <v>131</v>
      </c>
      <c r="DA1440">
        <v>300</v>
      </c>
      <c r="DB1440">
        <v>0</v>
      </c>
      <c r="DC1440" t="s">
        <v>176</v>
      </c>
      <c r="DD1440" t="s">
        <v>177</v>
      </c>
      <c r="DG1440">
        <v>5386686</v>
      </c>
      <c r="DI1440">
        <v>1</v>
      </c>
      <c r="DJ1440">
        <v>0</v>
      </c>
      <c r="DK1440">
        <v>1</v>
      </c>
      <c r="DL1440">
        <v>0</v>
      </c>
      <c r="DM1440">
        <v>0</v>
      </c>
      <c r="DN1440">
        <v>1</v>
      </c>
      <c r="DO1440">
        <v>0</v>
      </c>
      <c r="DP1440">
        <v>0</v>
      </c>
      <c r="DQ1440">
        <v>0</v>
      </c>
      <c r="DR1440">
        <v>0</v>
      </c>
      <c r="DS1440">
        <v>0</v>
      </c>
    </row>
    <row r="1441" spans="1:123" x14ac:dyDescent="0.3">
      <c r="A1441" t="str">
        <f>"10/04/2022 19:29:23.274"</f>
        <v>10/04/2022 19:29:23.274</v>
      </c>
      <c r="C1441" t="str">
        <f t="shared" si="495"/>
        <v>FFDFD3C0</v>
      </c>
      <c r="D1441" t="s">
        <v>147</v>
      </c>
      <c r="E1441">
        <v>3</v>
      </c>
      <c r="H1441">
        <v>166</v>
      </c>
      <c r="I1441" t="s">
        <v>144</v>
      </c>
      <c r="J1441" t="s">
        <v>148</v>
      </c>
      <c r="K1441">
        <v>0</v>
      </c>
      <c r="L1441">
        <v>3</v>
      </c>
      <c r="M1441">
        <v>0</v>
      </c>
      <c r="N1441">
        <v>2</v>
      </c>
      <c r="O1441">
        <v>0</v>
      </c>
      <c r="P1441">
        <v>1</v>
      </c>
      <c r="Q1441">
        <v>0</v>
      </c>
      <c r="S1441" t="str">
        <f t="shared" si="501"/>
        <v>19:29:23.000</v>
      </c>
      <c r="T1441" t="str">
        <f t="shared" si="501"/>
        <v>19:29:23.000</v>
      </c>
      <c r="U1441" t="str">
        <f t="shared" si="491"/>
        <v>AC3944</v>
      </c>
      <c r="V1441">
        <v>0</v>
      </c>
      <c r="W1441">
        <v>0</v>
      </c>
      <c r="X1441">
        <v>2</v>
      </c>
      <c r="Y1441">
        <v>0</v>
      </c>
      <c r="AA1441">
        <v>1</v>
      </c>
      <c r="AB1441">
        <v>8</v>
      </c>
      <c r="AC1441">
        <v>3</v>
      </c>
      <c r="AD1441">
        <v>0</v>
      </c>
      <c r="AE1441">
        <v>9</v>
      </c>
      <c r="AF1441" t="s">
        <v>138</v>
      </c>
      <c r="AG1441">
        <v>0</v>
      </c>
      <c r="AH1441">
        <v>3</v>
      </c>
      <c r="AI1441">
        <v>1</v>
      </c>
      <c r="AJ1441">
        <v>0</v>
      </c>
      <c r="AK1441" t="s">
        <v>544</v>
      </c>
      <c r="AL1441">
        <v>32.801313</v>
      </c>
      <c r="AM1441" t="s">
        <v>545</v>
      </c>
      <c r="AN1441">
        <v>-116.88818000000001</v>
      </c>
      <c r="AO1441">
        <v>25</v>
      </c>
      <c r="AP1441">
        <v>2500</v>
      </c>
      <c r="AQ1441" t="s">
        <v>129</v>
      </c>
      <c r="AR1441">
        <v>97</v>
      </c>
      <c r="AS1441">
        <v>-69</v>
      </c>
      <c r="AT1441">
        <v>64</v>
      </c>
      <c r="BB1441">
        <v>1200</v>
      </c>
      <c r="BC1441">
        <v>1</v>
      </c>
      <c r="BD1441" t="str">
        <f t="shared" si="492"/>
        <v xml:space="preserve">N887QR  </v>
      </c>
      <c r="BE1441">
        <v>1</v>
      </c>
      <c r="BG1441">
        <v>0</v>
      </c>
      <c r="BH1441">
        <v>0</v>
      </c>
      <c r="BI1441">
        <v>0</v>
      </c>
      <c r="BJ1441">
        <v>2250</v>
      </c>
      <c r="BK1441">
        <v>-250</v>
      </c>
      <c r="BL1441" t="s">
        <v>163</v>
      </c>
      <c r="BM1441">
        <v>1</v>
      </c>
      <c r="BN1441">
        <v>1</v>
      </c>
      <c r="BO1441">
        <v>1</v>
      </c>
      <c r="BP1441">
        <v>0</v>
      </c>
      <c r="BS1441">
        <v>0</v>
      </c>
      <c r="BT1441">
        <v>0</v>
      </c>
      <c r="BU1441">
        <v>0</v>
      </c>
      <c r="CE1441" t="str">
        <f t="shared" si="502"/>
        <v>19:29:23.046</v>
      </c>
      <c r="CF1441">
        <v>46177329</v>
      </c>
      <c r="CS1441">
        <v>3</v>
      </c>
      <c r="CT1441">
        <v>2</v>
      </c>
      <c r="CU1441">
        <v>0</v>
      </c>
      <c r="CV1441">
        <v>2</v>
      </c>
      <c r="CW1441">
        <v>0</v>
      </c>
      <c r="CX1441">
        <v>6</v>
      </c>
      <c r="CY1441">
        <v>7</v>
      </c>
      <c r="CZ1441" t="s">
        <v>131</v>
      </c>
      <c r="DA1441">
        <v>300</v>
      </c>
      <c r="DB1441">
        <v>0</v>
      </c>
      <c r="DC1441" t="s">
        <v>176</v>
      </c>
      <c r="DD1441" t="s">
        <v>177</v>
      </c>
      <c r="DG1441">
        <v>5386686</v>
      </c>
      <c r="DI1441">
        <v>1</v>
      </c>
      <c r="DJ1441">
        <v>0</v>
      </c>
      <c r="DK1441">
        <v>1</v>
      </c>
      <c r="DL1441">
        <v>0</v>
      </c>
      <c r="DM1441">
        <v>0</v>
      </c>
      <c r="DN1441">
        <v>1</v>
      </c>
      <c r="DO1441">
        <v>0</v>
      </c>
      <c r="DP1441">
        <v>0</v>
      </c>
      <c r="DQ1441">
        <v>0</v>
      </c>
      <c r="DR1441">
        <v>0</v>
      </c>
      <c r="DS1441">
        <v>0</v>
      </c>
    </row>
    <row r="1442" spans="1:123" x14ac:dyDescent="0.3">
      <c r="A1442" t="str">
        <f>"10/04/2022 19:29:23.274"</f>
        <v>10/04/2022 19:29:23.274</v>
      </c>
      <c r="C1442" t="str">
        <f t="shared" si="495"/>
        <v>FFDFD3C0</v>
      </c>
      <c r="D1442" t="s">
        <v>141</v>
      </c>
      <c r="E1442">
        <v>4</v>
      </c>
      <c r="H1442">
        <v>4</v>
      </c>
      <c r="I1442" t="s">
        <v>142</v>
      </c>
      <c r="J1442" t="s">
        <v>138</v>
      </c>
      <c r="K1442">
        <v>0</v>
      </c>
      <c r="L1442">
        <v>3</v>
      </c>
      <c r="M1442">
        <v>0</v>
      </c>
      <c r="N1442">
        <v>2</v>
      </c>
      <c r="O1442">
        <v>0</v>
      </c>
      <c r="P1442">
        <v>1</v>
      </c>
      <c r="Q1442">
        <v>0</v>
      </c>
      <c r="S1442" t="str">
        <f t="shared" si="501"/>
        <v>19:29:23.000</v>
      </c>
      <c r="T1442" t="str">
        <f t="shared" si="501"/>
        <v>19:29:23.000</v>
      </c>
      <c r="U1442" t="str">
        <f t="shared" si="491"/>
        <v>AC3944</v>
      </c>
      <c r="V1442">
        <v>0</v>
      </c>
      <c r="W1442">
        <v>0</v>
      </c>
      <c r="X1442">
        <v>2</v>
      </c>
      <c r="Y1442">
        <v>0</v>
      </c>
      <c r="AA1442">
        <v>1</v>
      </c>
      <c r="AB1442">
        <v>8</v>
      </c>
      <c r="AC1442">
        <v>3</v>
      </c>
      <c r="AD1442">
        <v>0</v>
      </c>
      <c r="AE1442">
        <v>9</v>
      </c>
      <c r="AF1442" t="s">
        <v>138</v>
      </c>
      <c r="AG1442">
        <v>0</v>
      </c>
      <c r="AH1442">
        <v>3</v>
      </c>
      <c r="AI1442">
        <v>1</v>
      </c>
      <c r="AJ1442">
        <v>0</v>
      </c>
      <c r="AK1442" t="s">
        <v>544</v>
      </c>
      <c r="AL1442">
        <v>32.801313</v>
      </c>
      <c r="AM1442" t="s">
        <v>545</v>
      </c>
      <c r="AN1442">
        <v>-116.88818000000001</v>
      </c>
      <c r="AO1442">
        <v>25</v>
      </c>
      <c r="AP1442">
        <v>2500</v>
      </c>
      <c r="AQ1442" t="s">
        <v>129</v>
      </c>
      <c r="AR1442">
        <v>97</v>
      </c>
      <c r="AS1442">
        <v>-69</v>
      </c>
      <c r="AT1442">
        <v>64</v>
      </c>
      <c r="BB1442">
        <v>1200</v>
      </c>
      <c r="BC1442">
        <v>1</v>
      </c>
      <c r="BD1442" t="str">
        <f t="shared" si="492"/>
        <v xml:space="preserve">N887QR  </v>
      </c>
      <c r="BE1442">
        <v>1</v>
      </c>
      <c r="BG1442">
        <v>0</v>
      </c>
      <c r="BH1442">
        <v>0</v>
      </c>
      <c r="BI1442">
        <v>0</v>
      </c>
      <c r="BJ1442">
        <v>2250</v>
      </c>
      <c r="BK1442">
        <v>-250</v>
      </c>
      <c r="BL1442" t="s">
        <v>163</v>
      </c>
      <c r="BM1442">
        <v>1</v>
      </c>
      <c r="BN1442">
        <v>1</v>
      </c>
      <c r="BO1442">
        <v>1</v>
      </c>
      <c r="BP1442">
        <v>0</v>
      </c>
      <c r="BS1442">
        <v>0</v>
      </c>
      <c r="BT1442">
        <v>0</v>
      </c>
      <c r="BU1442">
        <v>0</v>
      </c>
      <c r="CE1442" t="str">
        <f t="shared" si="502"/>
        <v>19:29:23.046</v>
      </c>
      <c r="CF1442">
        <v>46177329</v>
      </c>
      <c r="CS1442">
        <v>3</v>
      </c>
      <c r="CT1442">
        <v>2</v>
      </c>
      <c r="CU1442">
        <v>0</v>
      </c>
      <c r="CV1442">
        <v>2</v>
      </c>
      <c r="CW1442">
        <v>0</v>
      </c>
      <c r="CX1442">
        <v>6</v>
      </c>
      <c r="CY1442">
        <v>7</v>
      </c>
      <c r="CZ1442" t="s">
        <v>131</v>
      </c>
      <c r="DA1442">
        <v>300</v>
      </c>
      <c r="DB1442">
        <v>0</v>
      </c>
      <c r="DC1442" t="s">
        <v>176</v>
      </c>
      <c r="DD1442" t="s">
        <v>177</v>
      </c>
      <c r="DG1442">
        <v>5386686</v>
      </c>
      <c r="DI1442">
        <v>1</v>
      </c>
      <c r="DJ1442">
        <v>0</v>
      </c>
      <c r="DK1442">
        <v>1</v>
      </c>
      <c r="DL1442">
        <v>0</v>
      </c>
      <c r="DM1442">
        <v>0</v>
      </c>
      <c r="DN1442">
        <v>1</v>
      </c>
      <c r="DO1442">
        <v>0</v>
      </c>
      <c r="DP1442">
        <v>0</v>
      </c>
      <c r="DQ1442">
        <v>0</v>
      </c>
      <c r="DR1442">
        <v>0</v>
      </c>
      <c r="DS1442">
        <v>0</v>
      </c>
    </row>
    <row r="1443" spans="1:123" x14ac:dyDescent="0.3">
      <c r="A1443" t="str">
        <f t="shared" ref="A1443:A1448" si="503">"10/04/2022 19:29:24.134"</f>
        <v>10/04/2022 19:29:24.134</v>
      </c>
      <c r="C1443" t="str">
        <f t="shared" si="495"/>
        <v>FFDFD3C0</v>
      </c>
      <c r="D1443" t="s">
        <v>134</v>
      </c>
      <c r="E1443">
        <v>15</v>
      </c>
      <c r="J1443" t="s">
        <v>135</v>
      </c>
      <c r="K1443">
        <v>0</v>
      </c>
      <c r="L1443">
        <v>3</v>
      </c>
      <c r="M1443">
        <v>0</v>
      </c>
      <c r="N1443">
        <v>2</v>
      </c>
      <c r="O1443">
        <v>0</v>
      </c>
      <c r="P1443">
        <v>1</v>
      </c>
      <c r="Q1443">
        <v>0</v>
      </c>
      <c r="S1443" t="str">
        <f t="shared" si="501"/>
        <v>19:29:23.000</v>
      </c>
      <c r="T1443" t="str">
        <f t="shared" si="501"/>
        <v>19:29:23.000</v>
      </c>
      <c r="U1443" t="str">
        <f t="shared" si="491"/>
        <v>AC3944</v>
      </c>
      <c r="V1443">
        <v>0</v>
      </c>
      <c r="W1443">
        <v>0</v>
      </c>
      <c r="X1443">
        <v>2</v>
      </c>
      <c r="Y1443">
        <v>0</v>
      </c>
      <c r="AA1443">
        <v>1</v>
      </c>
      <c r="AB1443">
        <v>8</v>
      </c>
      <c r="AC1443">
        <v>3</v>
      </c>
      <c r="AD1443">
        <v>0</v>
      </c>
      <c r="AE1443">
        <v>9</v>
      </c>
      <c r="AF1443" t="s">
        <v>138</v>
      </c>
      <c r="AG1443">
        <v>0</v>
      </c>
      <c r="AH1443">
        <v>3</v>
      </c>
      <c r="AI1443">
        <v>1</v>
      </c>
      <c r="AJ1443">
        <v>0</v>
      </c>
      <c r="AK1443" t="s">
        <v>546</v>
      </c>
      <c r="AL1443">
        <v>32.800992000000001</v>
      </c>
      <c r="AM1443" t="s">
        <v>547</v>
      </c>
      <c r="AN1443">
        <v>-116.887643</v>
      </c>
      <c r="AO1443">
        <v>25</v>
      </c>
      <c r="AP1443">
        <v>2500</v>
      </c>
      <c r="AQ1443" t="s">
        <v>129</v>
      </c>
      <c r="AR1443">
        <v>97</v>
      </c>
      <c r="AS1443">
        <v>-69</v>
      </c>
      <c r="AT1443">
        <v>64</v>
      </c>
      <c r="BB1443">
        <v>1200</v>
      </c>
      <c r="BC1443">
        <v>1</v>
      </c>
      <c r="BD1443" t="str">
        <f t="shared" si="492"/>
        <v xml:space="preserve">N887QR  </v>
      </c>
      <c r="BE1443">
        <v>1</v>
      </c>
      <c r="BG1443">
        <v>0</v>
      </c>
      <c r="BH1443">
        <v>0</v>
      </c>
      <c r="BI1443">
        <v>0</v>
      </c>
      <c r="BJ1443">
        <v>2250</v>
      </c>
      <c r="BK1443">
        <v>-250</v>
      </c>
      <c r="BL1443" t="s">
        <v>163</v>
      </c>
      <c r="BM1443">
        <v>1</v>
      </c>
      <c r="BN1443">
        <v>1</v>
      </c>
      <c r="BO1443">
        <v>1</v>
      </c>
      <c r="BP1443">
        <v>0</v>
      </c>
      <c r="BS1443">
        <v>0</v>
      </c>
      <c r="BT1443">
        <v>0</v>
      </c>
      <c r="BU1443">
        <v>0</v>
      </c>
      <c r="CE1443" t="str">
        <f t="shared" ref="CE1443:CE1449" si="504">"19:29:23.926"</f>
        <v>19:29:23.926</v>
      </c>
      <c r="CF1443">
        <v>926430333</v>
      </c>
      <c r="CS1443">
        <v>3</v>
      </c>
      <c r="CT1443">
        <v>2</v>
      </c>
      <c r="CU1443">
        <v>0</v>
      </c>
      <c r="CV1443">
        <v>2</v>
      </c>
      <c r="CW1443">
        <v>2</v>
      </c>
      <c r="CX1443">
        <v>6</v>
      </c>
      <c r="CY1443">
        <v>7</v>
      </c>
      <c r="CZ1443" t="s">
        <v>131</v>
      </c>
      <c r="DA1443">
        <v>300</v>
      </c>
      <c r="DB1443">
        <v>0</v>
      </c>
      <c r="DC1443" t="s">
        <v>176</v>
      </c>
      <c r="DD1443" t="s">
        <v>177</v>
      </c>
      <c r="DG1443">
        <v>5386822</v>
      </c>
      <c r="DI1443">
        <v>1</v>
      </c>
      <c r="DJ1443">
        <v>0</v>
      </c>
      <c r="DK1443">
        <v>0</v>
      </c>
      <c r="DL1443">
        <v>0</v>
      </c>
      <c r="DM1443">
        <v>0</v>
      </c>
      <c r="DN1443">
        <v>1</v>
      </c>
      <c r="DO1443">
        <v>0</v>
      </c>
      <c r="DP1443">
        <v>0</v>
      </c>
      <c r="DQ1443">
        <v>0</v>
      </c>
      <c r="DR1443">
        <v>0</v>
      </c>
      <c r="DS1443">
        <v>0</v>
      </c>
    </row>
    <row r="1444" spans="1:123" x14ac:dyDescent="0.3">
      <c r="A1444" t="str">
        <f t="shared" si="503"/>
        <v>10/04/2022 19:29:24.134</v>
      </c>
      <c r="C1444" t="str">
        <f t="shared" si="495"/>
        <v>FFDFD3C0</v>
      </c>
      <c r="D1444" t="s">
        <v>136</v>
      </c>
      <c r="E1444">
        <v>8</v>
      </c>
      <c r="H1444">
        <v>225</v>
      </c>
      <c r="I1444" t="s">
        <v>137</v>
      </c>
      <c r="J1444" t="s">
        <v>138</v>
      </c>
      <c r="K1444">
        <v>0</v>
      </c>
      <c r="L1444">
        <v>3</v>
      </c>
      <c r="M1444">
        <v>0</v>
      </c>
      <c r="N1444">
        <v>2</v>
      </c>
      <c r="O1444">
        <v>0</v>
      </c>
      <c r="P1444">
        <v>1</v>
      </c>
      <c r="Q1444">
        <v>0</v>
      </c>
      <c r="S1444" t="str">
        <f t="shared" si="501"/>
        <v>19:29:23.000</v>
      </c>
      <c r="T1444" t="str">
        <f t="shared" si="501"/>
        <v>19:29:23.000</v>
      </c>
      <c r="U1444" t="str">
        <f t="shared" si="491"/>
        <v>AC3944</v>
      </c>
      <c r="V1444">
        <v>0</v>
      </c>
      <c r="W1444">
        <v>0</v>
      </c>
      <c r="X1444">
        <v>2</v>
      </c>
      <c r="Y1444">
        <v>0</v>
      </c>
      <c r="AA1444">
        <v>1</v>
      </c>
      <c r="AB1444">
        <v>8</v>
      </c>
      <c r="AC1444">
        <v>3</v>
      </c>
      <c r="AD1444">
        <v>0</v>
      </c>
      <c r="AE1444">
        <v>9</v>
      </c>
      <c r="AF1444" t="s">
        <v>138</v>
      </c>
      <c r="AG1444">
        <v>0</v>
      </c>
      <c r="AH1444">
        <v>3</v>
      </c>
      <c r="AI1444">
        <v>1</v>
      </c>
      <c r="AJ1444">
        <v>0</v>
      </c>
      <c r="AK1444" t="s">
        <v>546</v>
      </c>
      <c r="AL1444">
        <v>32.800992000000001</v>
      </c>
      <c r="AM1444" t="s">
        <v>547</v>
      </c>
      <c r="AN1444">
        <v>-116.887643</v>
      </c>
      <c r="AO1444">
        <v>25</v>
      </c>
      <c r="AP1444">
        <v>2500</v>
      </c>
      <c r="AQ1444" t="s">
        <v>129</v>
      </c>
      <c r="AR1444">
        <v>97</v>
      </c>
      <c r="AS1444">
        <v>-69</v>
      </c>
      <c r="AT1444">
        <v>64</v>
      </c>
      <c r="BB1444">
        <v>1200</v>
      </c>
      <c r="BC1444">
        <v>1</v>
      </c>
      <c r="BD1444" t="str">
        <f t="shared" si="492"/>
        <v xml:space="preserve">N887QR  </v>
      </c>
      <c r="BE1444">
        <v>1</v>
      </c>
      <c r="BG1444">
        <v>0</v>
      </c>
      <c r="BH1444">
        <v>0</v>
      </c>
      <c r="BI1444">
        <v>0</v>
      </c>
      <c r="BJ1444">
        <v>2250</v>
      </c>
      <c r="BK1444">
        <v>-250</v>
      </c>
      <c r="BL1444" t="s">
        <v>163</v>
      </c>
      <c r="BM1444">
        <v>1</v>
      </c>
      <c r="BN1444">
        <v>1</v>
      </c>
      <c r="BO1444">
        <v>1</v>
      </c>
      <c r="BP1444">
        <v>0</v>
      </c>
      <c r="BS1444">
        <v>0</v>
      </c>
      <c r="BT1444">
        <v>0</v>
      </c>
      <c r="BU1444">
        <v>0</v>
      </c>
      <c r="CE1444" t="str">
        <f t="shared" si="504"/>
        <v>19:29:23.926</v>
      </c>
      <c r="CF1444">
        <v>926430333</v>
      </c>
      <c r="CS1444">
        <v>3</v>
      </c>
      <c r="CT1444">
        <v>2</v>
      </c>
      <c r="CU1444">
        <v>0</v>
      </c>
      <c r="CV1444">
        <v>2</v>
      </c>
      <c r="CW1444">
        <v>2</v>
      </c>
      <c r="CX1444">
        <v>6</v>
      </c>
      <c r="CY1444">
        <v>7</v>
      </c>
      <c r="CZ1444" t="s">
        <v>131</v>
      </c>
      <c r="DA1444">
        <v>300</v>
      </c>
      <c r="DB1444">
        <v>0</v>
      </c>
      <c r="DC1444" t="s">
        <v>176</v>
      </c>
      <c r="DD1444" t="s">
        <v>177</v>
      </c>
      <c r="DG1444">
        <v>5386822</v>
      </c>
      <c r="DI1444">
        <v>1</v>
      </c>
      <c r="DJ1444">
        <v>0</v>
      </c>
      <c r="DK1444">
        <v>1</v>
      </c>
      <c r="DL1444">
        <v>0</v>
      </c>
      <c r="DM1444">
        <v>0</v>
      </c>
      <c r="DN1444">
        <v>1</v>
      </c>
      <c r="DO1444">
        <v>0</v>
      </c>
      <c r="DP1444">
        <v>0</v>
      </c>
      <c r="DQ1444">
        <v>0</v>
      </c>
      <c r="DR1444">
        <v>0</v>
      </c>
      <c r="DS1444">
        <v>0</v>
      </c>
    </row>
    <row r="1445" spans="1:123" x14ac:dyDescent="0.3">
      <c r="A1445" t="str">
        <f t="shared" si="503"/>
        <v>10/04/2022 19:29:24.134</v>
      </c>
      <c r="C1445" t="str">
        <f t="shared" si="495"/>
        <v>FFDFD3C0</v>
      </c>
      <c r="D1445" t="s">
        <v>123</v>
      </c>
      <c r="E1445">
        <v>7</v>
      </c>
      <c r="F1445">
        <v>2007</v>
      </c>
      <c r="G1445" t="s">
        <v>124</v>
      </c>
      <c r="J1445" t="s">
        <v>125</v>
      </c>
      <c r="K1445">
        <v>0</v>
      </c>
      <c r="L1445">
        <v>3</v>
      </c>
      <c r="M1445">
        <v>0</v>
      </c>
      <c r="N1445">
        <v>2</v>
      </c>
      <c r="O1445">
        <v>0</v>
      </c>
      <c r="P1445">
        <v>1</v>
      </c>
      <c r="Q1445">
        <v>0</v>
      </c>
      <c r="S1445" t="str">
        <f t="shared" si="501"/>
        <v>19:29:23.000</v>
      </c>
      <c r="T1445" t="str">
        <f t="shared" si="501"/>
        <v>19:29:23.000</v>
      </c>
      <c r="U1445" t="str">
        <f t="shared" si="491"/>
        <v>AC3944</v>
      </c>
      <c r="V1445">
        <v>0</v>
      </c>
      <c r="W1445">
        <v>0</v>
      </c>
      <c r="X1445">
        <v>2</v>
      </c>
      <c r="Y1445">
        <v>0</v>
      </c>
      <c r="AA1445">
        <v>1</v>
      </c>
      <c r="AB1445">
        <v>8</v>
      </c>
      <c r="AC1445">
        <v>3</v>
      </c>
      <c r="AD1445">
        <v>0</v>
      </c>
      <c r="AE1445">
        <v>9</v>
      </c>
      <c r="AF1445" t="s">
        <v>138</v>
      </c>
      <c r="AG1445">
        <v>0</v>
      </c>
      <c r="AH1445">
        <v>3</v>
      </c>
      <c r="AI1445">
        <v>1</v>
      </c>
      <c r="AJ1445">
        <v>0</v>
      </c>
      <c r="AK1445" t="s">
        <v>546</v>
      </c>
      <c r="AL1445">
        <v>32.800992000000001</v>
      </c>
      <c r="AM1445" t="s">
        <v>547</v>
      </c>
      <c r="AN1445">
        <v>-116.887643</v>
      </c>
      <c r="AO1445">
        <v>25</v>
      </c>
      <c r="AP1445">
        <v>2500</v>
      </c>
      <c r="AQ1445" t="s">
        <v>129</v>
      </c>
      <c r="AR1445">
        <v>97</v>
      </c>
      <c r="AS1445">
        <v>-69</v>
      </c>
      <c r="AT1445">
        <v>64</v>
      </c>
      <c r="BB1445">
        <v>1200</v>
      </c>
      <c r="BC1445">
        <v>1</v>
      </c>
      <c r="BD1445" t="str">
        <f t="shared" si="492"/>
        <v xml:space="preserve">N887QR  </v>
      </c>
      <c r="BE1445">
        <v>1</v>
      </c>
      <c r="BG1445">
        <v>0</v>
      </c>
      <c r="BH1445">
        <v>0</v>
      </c>
      <c r="BI1445">
        <v>0</v>
      </c>
      <c r="BJ1445">
        <v>2250</v>
      </c>
      <c r="BK1445">
        <v>-250</v>
      </c>
      <c r="BL1445" t="s">
        <v>163</v>
      </c>
      <c r="BM1445">
        <v>1</v>
      </c>
      <c r="BN1445">
        <v>1</v>
      </c>
      <c r="BO1445">
        <v>1</v>
      </c>
      <c r="BP1445">
        <v>0</v>
      </c>
      <c r="BS1445">
        <v>0</v>
      </c>
      <c r="BT1445">
        <v>0</v>
      </c>
      <c r="BU1445">
        <v>0</v>
      </c>
      <c r="CE1445" t="str">
        <f t="shared" si="504"/>
        <v>19:29:23.926</v>
      </c>
      <c r="CF1445">
        <v>926430333</v>
      </c>
      <c r="CS1445">
        <v>3</v>
      </c>
      <c r="CT1445">
        <v>2</v>
      </c>
      <c r="CU1445">
        <v>0</v>
      </c>
      <c r="CV1445">
        <v>2</v>
      </c>
      <c r="CW1445">
        <v>2</v>
      </c>
      <c r="CX1445">
        <v>6</v>
      </c>
      <c r="CY1445">
        <v>7</v>
      </c>
      <c r="CZ1445" t="s">
        <v>131</v>
      </c>
      <c r="DA1445">
        <v>300</v>
      </c>
      <c r="DB1445">
        <v>0</v>
      </c>
      <c r="DC1445" t="s">
        <v>176</v>
      </c>
      <c r="DD1445" t="s">
        <v>177</v>
      </c>
      <c r="DG1445">
        <v>5386822</v>
      </c>
      <c r="DI1445">
        <v>1</v>
      </c>
      <c r="DJ1445">
        <v>0</v>
      </c>
      <c r="DK1445">
        <v>1</v>
      </c>
      <c r="DL1445">
        <v>0</v>
      </c>
      <c r="DM1445">
        <v>0</v>
      </c>
      <c r="DN1445">
        <v>1</v>
      </c>
      <c r="DO1445">
        <v>0</v>
      </c>
      <c r="DP1445">
        <v>0</v>
      </c>
      <c r="DQ1445">
        <v>0</v>
      </c>
      <c r="DR1445">
        <v>0</v>
      </c>
      <c r="DS1445">
        <v>0</v>
      </c>
    </row>
    <row r="1446" spans="1:123" x14ac:dyDescent="0.3">
      <c r="A1446" t="str">
        <f t="shared" si="503"/>
        <v>10/04/2022 19:29:24.134</v>
      </c>
      <c r="C1446" t="str">
        <f t="shared" si="495"/>
        <v>FFDFD3C0</v>
      </c>
      <c r="D1446" t="s">
        <v>147</v>
      </c>
      <c r="E1446">
        <v>3</v>
      </c>
      <c r="H1446">
        <v>166</v>
      </c>
      <c r="I1446" t="s">
        <v>144</v>
      </c>
      <c r="J1446" t="s">
        <v>148</v>
      </c>
      <c r="K1446">
        <v>0</v>
      </c>
      <c r="L1446">
        <v>3</v>
      </c>
      <c r="M1446">
        <v>0</v>
      </c>
      <c r="N1446">
        <v>2</v>
      </c>
      <c r="O1446">
        <v>0</v>
      </c>
      <c r="P1446">
        <v>1</v>
      </c>
      <c r="Q1446">
        <v>0</v>
      </c>
      <c r="S1446" t="str">
        <f t="shared" si="501"/>
        <v>19:29:23.000</v>
      </c>
      <c r="T1446" t="str">
        <f t="shared" si="501"/>
        <v>19:29:23.000</v>
      </c>
      <c r="U1446" t="str">
        <f t="shared" si="491"/>
        <v>AC3944</v>
      </c>
      <c r="V1446">
        <v>0</v>
      </c>
      <c r="W1446">
        <v>0</v>
      </c>
      <c r="X1446">
        <v>2</v>
      </c>
      <c r="Y1446">
        <v>0</v>
      </c>
      <c r="AA1446">
        <v>1</v>
      </c>
      <c r="AB1446">
        <v>8</v>
      </c>
      <c r="AC1446">
        <v>3</v>
      </c>
      <c r="AD1446">
        <v>0</v>
      </c>
      <c r="AE1446">
        <v>9</v>
      </c>
      <c r="AF1446" t="s">
        <v>138</v>
      </c>
      <c r="AG1446">
        <v>0</v>
      </c>
      <c r="AH1446">
        <v>3</v>
      </c>
      <c r="AI1446">
        <v>1</v>
      </c>
      <c r="AJ1446">
        <v>0</v>
      </c>
      <c r="AK1446" t="s">
        <v>546</v>
      </c>
      <c r="AL1446">
        <v>32.800992000000001</v>
      </c>
      <c r="AM1446" t="s">
        <v>547</v>
      </c>
      <c r="AN1446">
        <v>-116.887643</v>
      </c>
      <c r="AO1446">
        <v>25</v>
      </c>
      <c r="AP1446">
        <v>2500</v>
      </c>
      <c r="AQ1446" t="s">
        <v>129</v>
      </c>
      <c r="AR1446">
        <v>97</v>
      </c>
      <c r="AS1446">
        <v>-69</v>
      </c>
      <c r="AT1446">
        <v>64</v>
      </c>
      <c r="BB1446">
        <v>1200</v>
      </c>
      <c r="BC1446">
        <v>1</v>
      </c>
      <c r="BD1446" t="str">
        <f t="shared" si="492"/>
        <v xml:space="preserve">N887QR  </v>
      </c>
      <c r="BE1446">
        <v>1</v>
      </c>
      <c r="BG1446">
        <v>0</v>
      </c>
      <c r="BH1446">
        <v>0</v>
      </c>
      <c r="BI1446">
        <v>0</v>
      </c>
      <c r="BJ1446">
        <v>2250</v>
      </c>
      <c r="BK1446">
        <v>-250</v>
      </c>
      <c r="BL1446" t="s">
        <v>163</v>
      </c>
      <c r="BM1446">
        <v>1</v>
      </c>
      <c r="BN1446">
        <v>1</v>
      </c>
      <c r="BO1446">
        <v>1</v>
      </c>
      <c r="BP1446">
        <v>0</v>
      </c>
      <c r="BS1446">
        <v>0</v>
      </c>
      <c r="BT1446">
        <v>0</v>
      </c>
      <c r="BU1446">
        <v>0</v>
      </c>
      <c r="CE1446" t="str">
        <f t="shared" si="504"/>
        <v>19:29:23.926</v>
      </c>
      <c r="CF1446">
        <v>926430333</v>
      </c>
      <c r="CS1446">
        <v>3</v>
      </c>
      <c r="CT1446">
        <v>2</v>
      </c>
      <c r="CU1446">
        <v>0</v>
      </c>
      <c r="CV1446">
        <v>2</v>
      </c>
      <c r="CW1446">
        <v>2</v>
      </c>
      <c r="CX1446">
        <v>6</v>
      </c>
      <c r="CY1446">
        <v>7</v>
      </c>
      <c r="CZ1446" t="s">
        <v>131</v>
      </c>
      <c r="DA1446">
        <v>300</v>
      </c>
      <c r="DB1446">
        <v>0</v>
      </c>
      <c r="DC1446" t="s">
        <v>176</v>
      </c>
      <c r="DD1446" t="s">
        <v>177</v>
      </c>
      <c r="DG1446">
        <v>5386822</v>
      </c>
      <c r="DI1446">
        <v>1</v>
      </c>
      <c r="DJ1446">
        <v>0</v>
      </c>
      <c r="DK1446">
        <v>1</v>
      </c>
      <c r="DL1446">
        <v>0</v>
      </c>
      <c r="DM1446">
        <v>0</v>
      </c>
      <c r="DN1446">
        <v>1</v>
      </c>
      <c r="DO1446">
        <v>0</v>
      </c>
      <c r="DP1446">
        <v>0</v>
      </c>
      <c r="DQ1446">
        <v>0</v>
      </c>
      <c r="DR1446">
        <v>0</v>
      </c>
      <c r="DS1446">
        <v>0</v>
      </c>
    </row>
    <row r="1447" spans="1:123" x14ac:dyDescent="0.3">
      <c r="A1447" t="str">
        <f t="shared" si="503"/>
        <v>10/04/2022 19:29:24.134</v>
      </c>
      <c r="C1447" t="str">
        <f t="shared" si="495"/>
        <v>FFDFD3C0</v>
      </c>
      <c r="D1447" t="s">
        <v>141</v>
      </c>
      <c r="E1447">
        <v>4</v>
      </c>
      <c r="H1447">
        <v>4</v>
      </c>
      <c r="I1447" t="s">
        <v>142</v>
      </c>
      <c r="J1447" t="s">
        <v>138</v>
      </c>
      <c r="K1447">
        <v>0</v>
      </c>
      <c r="L1447">
        <v>3</v>
      </c>
      <c r="M1447">
        <v>0</v>
      </c>
      <c r="N1447">
        <v>2</v>
      </c>
      <c r="O1447">
        <v>0</v>
      </c>
      <c r="P1447">
        <v>1</v>
      </c>
      <c r="Q1447">
        <v>0</v>
      </c>
      <c r="S1447" t="str">
        <f t="shared" si="501"/>
        <v>19:29:23.000</v>
      </c>
      <c r="T1447" t="str">
        <f t="shared" si="501"/>
        <v>19:29:23.000</v>
      </c>
      <c r="U1447" t="str">
        <f t="shared" si="491"/>
        <v>AC3944</v>
      </c>
      <c r="V1447">
        <v>0</v>
      </c>
      <c r="W1447">
        <v>0</v>
      </c>
      <c r="X1447">
        <v>2</v>
      </c>
      <c r="Y1447">
        <v>0</v>
      </c>
      <c r="AA1447">
        <v>1</v>
      </c>
      <c r="AB1447">
        <v>8</v>
      </c>
      <c r="AC1447">
        <v>3</v>
      </c>
      <c r="AD1447">
        <v>0</v>
      </c>
      <c r="AE1447">
        <v>9</v>
      </c>
      <c r="AF1447" t="s">
        <v>138</v>
      </c>
      <c r="AG1447">
        <v>0</v>
      </c>
      <c r="AH1447">
        <v>3</v>
      </c>
      <c r="AI1447">
        <v>1</v>
      </c>
      <c r="AJ1447">
        <v>0</v>
      </c>
      <c r="AK1447" t="s">
        <v>546</v>
      </c>
      <c r="AL1447">
        <v>32.800992000000001</v>
      </c>
      <c r="AM1447" t="s">
        <v>547</v>
      </c>
      <c r="AN1447">
        <v>-116.887643</v>
      </c>
      <c r="AO1447">
        <v>25</v>
      </c>
      <c r="AP1447">
        <v>2500</v>
      </c>
      <c r="AQ1447" t="s">
        <v>129</v>
      </c>
      <c r="AR1447">
        <v>97</v>
      </c>
      <c r="AS1447">
        <v>-69</v>
      </c>
      <c r="AT1447">
        <v>64</v>
      </c>
      <c r="BB1447">
        <v>1200</v>
      </c>
      <c r="BC1447">
        <v>1</v>
      </c>
      <c r="BD1447" t="str">
        <f t="shared" si="492"/>
        <v xml:space="preserve">N887QR  </v>
      </c>
      <c r="BE1447">
        <v>1</v>
      </c>
      <c r="BG1447">
        <v>0</v>
      </c>
      <c r="BH1447">
        <v>0</v>
      </c>
      <c r="BI1447">
        <v>0</v>
      </c>
      <c r="BJ1447">
        <v>2250</v>
      </c>
      <c r="BK1447">
        <v>-250</v>
      </c>
      <c r="BL1447" t="s">
        <v>163</v>
      </c>
      <c r="BM1447">
        <v>1</v>
      </c>
      <c r="BN1447">
        <v>1</v>
      </c>
      <c r="BO1447">
        <v>1</v>
      </c>
      <c r="BP1447">
        <v>0</v>
      </c>
      <c r="BS1447">
        <v>0</v>
      </c>
      <c r="BT1447">
        <v>0</v>
      </c>
      <c r="BU1447">
        <v>0</v>
      </c>
      <c r="CE1447" t="str">
        <f t="shared" si="504"/>
        <v>19:29:23.926</v>
      </c>
      <c r="CF1447">
        <v>926430333</v>
      </c>
      <c r="CS1447">
        <v>3</v>
      </c>
      <c r="CT1447">
        <v>2</v>
      </c>
      <c r="CU1447">
        <v>0</v>
      </c>
      <c r="CV1447">
        <v>2</v>
      </c>
      <c r="CW1447">
        <v>2</v>
      </c>
      <c r="CX1447">
        <v>6</v>
      </c>
      <c r="CY1447">
        <v>7</v>
      </c>
      <c r="CZ1447" t="s">
        <v>131</v>
      </c>
      <c r="DA1447">
        <v>300</v>
      </c>
      <c r="DB1447">
        <v>0</v>
      </c>
      <c r="DC1447" t="s">
        <v>176</v>
      </c>
      <c r="DD1447" t="s">
        <v>177</v>
      </c>
      <c r="DG1447">
        <v>5386822</v>
      </c>
      <c r="DI1447">
        <v>1</v>
      </c>
      <c r="DJ1447">
        <v>0</v>
      </c>
      <c r="DK1447">
        <v>1</v>
      </c>
      <c r="DL1447">
        <v>0</v>
      </c>
      <c r="DM1447">
        <v>0</v>
      </c>
      <c r="DN1447">
        <v>1</v>
      </c>
      <c r="DO1447">
        <v>0</v>
      </c>
      <c r="DP1447">
        <v>0</v>
      </c>
      <c r="DQ1447">
        <v>0</v>
      </c>
      <c r="DR1447">
        <v>0</v>
      </c>
      <c r="DS1447">
        <v>0</v>
      </c>
    </row>
    <row r="1448" spans="1:123" x14ac:dyDescent="0.3">
      <c r="A1448" t="str">
        <f t="shared" si="503"/>
        <v>10/04/2022 19:29:24.134</v>
      </c>
      <c r="C1448" t="str">
        <f t="shared" ref="C1448:C1479" si="505">"FFDFD3C0"</f>
        <v>FFDFD3C0</v>
      </c>
      <c r="D1448" t="s">
        <v>141</v>
      </c>
      <c r="E1448">
        <v>3</v>
      </c>
      <c r="H1448">
        <v>3</v>
      </c>
      <c r="I1448" t="s">
        <v>146</v>
      </c>
      <c r="J1448" t="s">
        <v>138</v>
      </c>
      <c r="K1448">
        <v>0</v>
      </c>
      <c r="L1448">
        <v>3</v>
      </c>
      <c r="M1448">
        <v>0</v>
      </c>
      <c r="N1448">
        <v>2</v>
      </c>
      <c r="O1448">
        <v>0</v>
      </c>
      <c r="P1448">
        <v>1</v>
      </c>
      <c r="Q1448">
        <v>0</v>
      </c>
      <c r="S1448" t="str">
        <f t="shared" si="501"/>
        <v>19:29:23.000</v>
      </c>
      <c r="T1448" t="str">
        <f t="shared" si="501"/>
        <v>19:29:23.000</v>
      </c>
      <c r="U1448" t="str">
        <f t="shared" si="491"/>
        <v>AC3944</v>
      </c>
      <c r="V1448">
        <v>0</v>
      </c>
      <c r="W1448">
        <v>0</v>
      </c>
      <c r="X1448">
        <v>2</v>
      </c>
      <c r="Y1448">
        <v>0</v>
      </c>
      <c r="AA1448">
        <v>1</v>
      </c>
      <c r="AB1448">
        <v>8</v>
      </c>
      <c r="AC1448">
        <v>3</v>
      </c>
      <c r="AD1448">
        <v>0</v>
      </c>
      <c r="AE1448">
        <v>9</v>
      </c>
      <c r="AF1448" t="s">
        <v>138</v>
      </c>
      <c r="AG1448">
        <v>0</v>
      </c>
      <c r="AH1448">
        <v>3</v>
      </c>
      <c r="AI1448">
        <v>1</v>
      </c>
      <c r="AJ1448">
        <v>0</v>
      </c>
      <c r="AK1448" t="s">
        <v>546</v>
      </c>
      <c r="AL1448">
        <v>32.800992000000001</v>
      </c>
      <c r="AM1448" t="s">
        <v>547</v>
      </c>
      <c r="AN1448">
        <v>-116.887643</v>
      </c>
      <c r="AO1448">
        <v>25</v>
      </c>
      <c r="AP1448">
        <v>2500</v>
      </c>
      <c r="AQ1448" t="s">
        <v>129</v>
      </c>
      <c r="AR1448">
        <v>97</v>
      </c>
      <c r="AS1448">
        <v>-69</v>
      </c>
      <c r="AT1448">
        <v>64</v>
      </c>
      <c r="BB1448">
        <v>1200</v>
      </c>
      <c r="BC1448">
        <v>1</v>
      </c>
      <c r="BD1448" t="str">
        <f t="shared" si="492"/>
        <v xml:space="preserve">N887QR  </v>
      </c>
      <c r="BE1448">
        <v>1</v>
      </c>
      <c r="BG1448">
        <v>0</v>
      </c>
      <c r="BH1448">
        <v>0</v>
      </c>
      <c r="BI1448">
        <v>0</v>
      </c>
      <c r="BJ1448">
        <v>2250</v>
      </c>
      <c r="BK1448">
        <v>-250</v>
      </c>
      <c r="BL1448" t="s">
        <v>163</v>
      </c>
      <c r="BM1448">
        <v>1</v>
      </c>
      <c r="BN1448">
        <v>1</v>
      </c>
      <c r="BO1448">
        <v>1</v>
      </c>
      <c r="BP1448">
        <v>0</v>
      </c>
      <c r="BS1448">
        <v>0</v>
      </c>
      <c r="BT1448">
        <v>0</v>
      </c>
      <c r="BU1448">
        <v>0</v>
      </c>
      <c r="CE1448" t="str">
        <f t="shared" si="504"/>
        <v>19:29:23.926</v>
      </c>
      <c r="CF1448">
        <v>926430333</v>
      </c>
      <c r="CS1448">
        <v>3</v>
      </c>
      <c r="CT1448">
        <v>2</v>
      </c>
      <c r="CU1448">
        <v>0</v>
      </c>
      <c r="CV1448">
        <v>2</v>
      </c>
      <c r="CW1448">
        <v>2</v>
      </c>
      <c r="CX1448">
        <v>6</v>
      </c>
      <c r="CY1448">
        <v>7</v>
      </c>
      <c r="CZ1448" t="s">
        <v>131</v>
      </c>
      <c r="DA1448">
        <v>300</v>
      </c>
      <c r="DB1448">
        <v>0</v>
      </c>
      <c r="DC1448" t="s">
        <v>176</v>
      </c>
      <c r="DD1448" t="s">
        <v>177</v>
      </c>
      <c r="DG1448">
        <v>5386822</v>
      </c>
      <c r="DI1448">
        <v>1</v>
      </c>
      <c r="DJ1448">
        <v>0</v>
      </c>
      <c r="DK1448">
        <v>1</v>
      </c>
      <c r="DL1448">
        <v>0</v>
      </c>
      <c r="DM1448">
        <v>0</v>
      </c>
      <c r="DN1448">
        <v>1</v>
      </c>
      <c r="DO1448">
        <v>0</v>
      </c>
      <c r="DP1448">
        <v>0</v>
      </c>
      <c r="DQ1448">
        <v>0</v>
      </c>
      <c r="DR1448">
        <v>0</v>
      </c>
      <c r="DS1448">
        <v>0</v>
      </c>
    </row>
    <row r="1449" spans="1:123" x14ac:dyDescent="0.3">
      <c r="A1449" t="str">
        <f>"10/04/2022 19:29:24.149"</f>
        <v>10/04/2022 19:29:24.149</v>
      </c>
      <c r="C1449" t="str">
        <f t="shared" si="505"/>
        <v>FFDFD3C0</v>
      </c>
      <c r="D1449" t="s">
        <v>143</v>
      </c>
      <c r="E1449">
        <v>20</v>
      </c>
      <c r="F1449">
        <v>1020</v>
      </c>
      <c r="G1449" t="s">
        <v>144</v>
      </c>
      <c r="J1449" t="s">
        <v>145</v>
      </c>
      <c r="K1449">
        <v>0</v>
      </c>
      <c r="L1449">
        <v>3</v>
      </c>
      <c r="M1449">
        <v>0</v>
      </c>
      <c r="N1449">
        <v>2</v>
      </c>
      <c r="O1449">
        <v>0</v>
      </c>
      <c r="P1449">
        <v>1</v>
      </c>
      <c r="Q1449">
        <v>0</v>
      </c>
      <c r="S1449" t="str">
        <f t="shared" si="501"/>
        <v>19:29:23.000</v>
      </c>
      <c r="T1449" t="str">
        <f t="shared" si="501"/>
        <v>19:29:23.000</v>
      </c>
      <c r="U1449" t="str">
        <f t="shared" si="491"/>
        <v>AC3944</v>
      </c>
      <c r="V1449">
        <v>0</v>
      </c>
      <c r="W1449">
        <v>0</v>
      </c>
      <c r="X1449">
        <v>2</v>
      </c>
      <c r="Y1449">
        <v>0</v>
      </c>
      <c r="AA1449">
        <v>1</v>
      </c>
      <c r="AB1449">
        <v>8</v>
      </c>
      <c r="AC1449">
        <v>3</v>
      </c>
      <c r="AD1449">
        <v>0</v>
      </c>
      <c r="AE1449">
        <v>9</v>
      </c>
      <c r="AF1449" t="s">
        <v>138</v>
      </c>
      <c r="AG1449">
        <v>0</v>
      </c>
      <c r="AH1449">
        <v>3</v>
      </c>
      <c r="AI1449">
        <v>1</v>
      </c>
      <c r="AJ1449">
        <v>0</v>
      </c>
      <c r="AK1449" t="s">
        <v>546</v>
      </c>
      <c r="AL1449">
        <v>32.800992000000001</v>
      </c>
      <c r="AM1449" t="s">
        <v>547</v>
      </c>
      <c r="AN1449">
        <v>-116.887643</v>
      </c>
      <c r="AO1449">
        <v>25</v>
      </c>
      <c r="AP1449">
        <v>2500</v>
      </c>
      <c r="AQ1449" t="s">
        <v>129</v>
      </c>
      <c r="AR1449">
        <v>97</v>
      </c>
      <c r="AS1449">
        <v>-69</v>
      </c>
      <c r="AT1449">
        <v>64</v>
      </c>
      <c r="BB1449">
        <v>1200</v>
      </c>
      <c r="BC1449">
        <v>1</v>
      </c>
      <c r="BD1449" t="str">
        <f t="shared" si="492"/>
        <v xml:space="preserve">N887QR  </v>
      </c>
      <c r="BE1449">
        <v>1</v>
      </c>
      <c r="BG1449">
        <v>0</v>
      </c>
      <c r="BH1449">
        <v>0</v>
      </c>
      <c r="BI1449">
        <v>0</v>
      </c>
      <c r="BJ1449">
        <v>2250</v>
      </c>
      <c r="BK1449">
        <v>-250</v>
      </c>
      <c r="BL1449" t="s">
        <v>163</v>
      </c>
      <c r="BM1449">
        <v>1</v>
      </c>
      <c r="BN1449">
        <v>1</v>
      </c>
      <c r="BO1449">
        <v>1</v>
      </c>
      <c r="BP1449">
        <v>0</v>
      </c>
      <c r="BS1449">
        <v>0</v>
      </c>
      <c r="BT1449">
        <v>0</v>
      </c>
      <c r="BU1449">
        <v>0</v>
      </c>
      <c r="CE1449" t="str">
        <f t="shared" si="504"/>
        <v>19:29:23.926</v>
      </c>
      <c r="CF1449">
        <v>926430333</v>
      </c>
      <c r="CS1449">
        <v>3</v>
      </c>
      <c r="CT1449">
        <v>2</v>
      </c>
      <c r="CU1449">
        <v>0</v>
      </c>
      <c r="CV1449">
        <v>2</v>
      </c>
      <c r="CW1449">
        <v>2</v>
      </c>
      <c r="CX1449">
        <v>6</v>
      </c>
      <c r="CY1449">
        <v>7</v>
      </c>
      <c r="CZ1449" t="s">
        <v>131</v>
      </c>
      <c r="DA1449">
        <v>300</v>
      </c>
      <c r="DB1449">
        <v>0</v>
      </c>
      <c r="DC1449" t="s">
        <v>176</v>
      </c>
      <c r="DD1449" t="s">
        <v>177</v>
      </c>
      <c r="DG1449">
        <v>5386822</v>
      </c>
      <c r="DI1449">
        <v>1</v>
      </c>
      <c r="DJ1449">
        <v>0</v>
      </c>
      <c r="DK1449">
        <v>1</v>
      </c>
      <c r="DL1449">
        <v>0</v>
      </c>
      <c r="DM1449">
        <v>0</v>
      </c>
      <c r="DN1449">
        <v>1</v>
      </c>
      <c r="DO1449">
        <v>0</v>
      </c>
      <c r="DP1449">
        <v>0</v>
      </c>
      <c r="DQ1449">
        <v>0</v>
      </c>
      <c r="DR1449">
        <v>0</v>
      </c>
      <c r="DS1449">
        <v>0</v>
      </c>
    </row>
    <row r="1450" spans="1:123" x14ac:dyDescent="0.3">
      <c r="A1450" t="str">
        <f>"10/04/2022 19:29:25.323"</f>
        <v>10/04/2022 19:29:25.323</v>
      </c>
      <c r="C1450" t="str">
        <f t="shared" si="505"/>
        <v>FFDFD3C0</v>
      </c>
      <c r="D1450" t="s">
        <v>141</v>
      </c>
      <c r="E1450">
        <v>3</v>
      </c>
      <c r="H1450">
        <v>3</v>
      </c>
      <c r="I1450" t="s">
        <v>146</v>
      </c>
      <c r="J1450" t="s">
        <v>138</v>
      </c>
      <c r="K1450">
        <v>0</v>
      </c>
      <c r="L1450">
        <v>3</v>
      </c>
      <c r="M1450">
        <v>0</v>
      </c>
      <c r="N1450">
        <v>2</v>
      </c>
      <c r="O1450">
        <v>0</v>
      </c>
      <c r="P1450">
        <v>1</v>
      </c>
      <c r="Q1450">
        <v>0</v>
      </c>
      <c r="S1450" t="str">
        <f t="shared" ref="S1450:T1463" si="506">"19:29:25.000"</f>
        <v>19:29:25.000</v>
      </c>
      <c r="T1450" t="str">
        <f t="shared" si="506"/>
        <v>19:29:25.000</v>
      </c>
      <c r="U1450" t="str">
        <f t="shared" si="491"/>
        <v>AC3944</v>
      </c>
      <c r="V1450">
        <v>0</v>
      </c>
      <c r="W1450">
        <v>0</v>
      </c>
      <c r="X1450">
        <v>2</v>
      </c>
      <c r="Y1450">
        <v>0</v>
      </c>
      <c r="AA1450">
        <v>1</v>
      </c>
      <c r="AB1450">
        <v>8</v>
      </c>
      <c r="AC1450">
        <v>3</v>
      </c>
      <c r="AD1450">
        <v>0</v>
      </c>
      <c r="AE1450">
        <v>9</v>
      </c>
      <c r="AF1450" t="s">
        <v>138</v>
      </c>
      <c r="AG1450">
        <v>0</v>
      </c>
      <c r="AH1450">
        <v>3</v>
      </c>
      <c r="AI1450">
        <v>1</v>
      </c>
      <c r="AJ1450">
        <v>0</v>
      </c>
      <c r="AK1450" t="s">
        <v>548</v>
      </c>
      <c r="AL1450">
        <v>32.800669999999997</v>
      </c>
      <c r="AM1450" t="s">
        <v>549</v>
      </c>
      <c r="AN1450">
        <v>-116.887107</v>
      </c>
      <c r="AO1450">
        <v>25</v>
      </c>
      <c r="AP1450">
        <v>2500</v>
      </c>
      <c r="AQ1450" t="s">
        <v>129</v>
      </c>
      <c r="AR1450">
        <v>97</v>
      </c>
      <c r="AS1450">
        <v>-70</v>
      </c>
      <c r="AT1450">
        <v>128</v>
      </c>
      <c r="BB1450">
        <v>1200</v>
      </c>
      <c r="BC1450">
        <v>1</v>
      </c>
      <c r="BD1450" t="str">
        <f t="shared" si="492"/>
        <v xml:space="preserve">N887QR  </v>
      </c>
      <c r="BE1450">
        <v>1</v>
      </c>
      <c r="BG1450">
        <v>0</v>
      </c>
      <c r="BH1450">
        <v>0</v>
      </c>
      <c r="BI1450">
        <v>0</v>
      </c>
      <c r="BJ1450">
        <v>2275</v>
      </c>
      <c r="BK1450">
        <v>-225</v>
      </c>
      <c r="BL1450" t="s">
        <v>163</v>
      </c>
      <c r="BM1450">
        <v>1</v>
      </c>
      <c r="BN1450">
        <v>1</v>
      </c>
      <c r="BO1450">
        <v>1</v>
      </c>
      <c r="BP1450">
        <v>0</v>
      </c>
      <c r="BS1450">
        <v>0</v>
      </c>
      <c r="BT1450">
        <v>0</v>
      </c>
      <c r="BU1450">
        <v>0</v>
      </c>
      <c r="CE1450" t="str">
        <f t="shared" ref="CE1450:CE1456" si="507">"19:29:25.130"</f>
        <v>19:29:25.130</v>
      </c>
      <c r="CF1450">
        <v>129934320</v>
      </c>
      <c r="CS1450">
        <v>3</v>
      </c>
      <c r="CT1450">
        <v>2</v>
      </c>
      <c r="CU1450">
        <v>0</v>
      </c>
      <c r="CV1450">
        <v>2</v>
      </c>
      <c r="CW1450">
        <v>1</v>
      </c>
      <c r="CX1450">
        <v>6</v>
      </c>
      <c r="CY1450">
        <v>7</v>
      </c>
      <c r="CZ1450" t="s">
        <v>131</v>
      </c>
      <c r="DA1450">
        <v>300</v>
      </c>
      <c r="DB1450">
        <v>0</v>
      </c>
      <c r="DC1450" t="s">
        <v>176</v>
      </c>
      <c r="DD1450" t="s">
        <v>177</v>
      </c>
      <c r="DG1450">
        <v>5386994</v>
      </c>
      <c r="DI1450">
        <v>1</v>
      </c>
      <c r="DJ1450">
        <v>0</v>
      </c>
      <c r="DK1450">
        <v>0</v>
      </c>
      <c r="DL1450">
        <v>0</v>
      </c>
      <c r="DM1450">
        <v>0</v>
      </c>
      <c r="DN1450">
        <v>1</v>
      </c>
      <c r="DO1450">
        <v>0</v>
      </c>
      <c r="DP1450">
        <v>0</v>
      </c>
      <c r="DQ1450">
        <v>0</v>
      </c>
      <c r="DR1450">
        <v>0</v>
      </c>
      <c r="DS1450">
        <v>0</v>
      </c>
    </row>
    <row r="1451" spans="1:123" x14ac:dyDescent="0.3">
      <c r="A1451" t="str">
        <f>"10/04/2022 19:29:25.323"</f>
        <v>10/04/2022 19:29:25.323</v>
      </c>
      <c r="C1451" t="str">
        <f t="shared" si="505"/>
        <v>FFDFD3C0</v>
      </c>
      <c r="D1451" t="s">
        <v>143</v>
      </c>
      <c r="E1451">
        <v>20</v>
      </c>
      <c r="F1451">
        <v>1020</v>
      </c>
      <c r="G1451" t="s">
        <v>144</v>
      </c>
      <c r="J1451" t="s">
        <v>145</v>
      </c>
      <c r="K1451">
        <v>0</v>
      </c>
      <c r="L1451">
        <v>3</v>
      </c>
      <c r="M1451">
        <v>0</v>
      </c>
      <c r="N1451">
        <v>2</v>
      </c>
      <c r="O1451">
        <v>0</v>
      </c>
      <c r="P1451">
        <v>1</v>
      </c>
      <c r="Q1451">
        <v>0</v>
      </c>
      <c r="S1451" t="str">
        <f t="shared" si="506"/>
        <v>19:29:25.000</v>
      </c>
      <c r="T1451" t="str">
        <f t="shared" si="506"/>
        <v>19:29:25.000</v>
      </c>
      <c r="U1451" t="str">
        <f t="shared" si="491"/>
        <v>AC3944</v>
      </c>
      <c r="V1451">
        <v>0</v>
      </c>
      <c r="W1451">
        <v>0</v>
      </c>
      <c r="X1451">
        <v>2</v>
      </c>
      <c r="Y1451">
        <v>0</v>
      </c>
      <c r="AA1451">
        <v>1</v>
      </c>
      <c r="AB1451">
        <v>8</v>
      </c>
      <c r="AC1451">
        <v>3</v>
      </c>
      <c r="AD1451">
        <v>0</v>
      </c>
      <c r="AE1451">
        <v>9</v>
      </c>
      <c r="AF1451" t="s">
        <v>138</v>
      </c>
      <c r="AG1451">
        <v>0</v>
      </c>
      <c r="AH1451">
        <v>3</v>
      </c>
      <c r="AI1451">
        <v>1</v>
      </c>
      <c r="AJ1451">
        <v>0</v>
      </c>
      <c r="AK1451" t="s">
        <v>548</v>
      </c>
      <c r="AL1451">
        <v>32.800669999999997</v>
      </c>
      <c r="AM1451" t="s">
        <v>549</v>
      </c>
      <c r="AN1451">
        <v>-116.887107</v>
      </c>
      <c r="AO1451">
        <v>25</v>
      </c>
      <c r="AP1451">
        <v>2500</v>
      </c>
      <c r="AQ1451" t="s">
        <v>129</v>
      </c>
      <c r="AR1451">
        <v>97</v>
      </c>
      <c r="AS1451">
        <v>-70</v>
      </c>
      <c r="AT1451">
        <v>128</v>
      </c>
      <c r="BB1451">
        <v>1200</v>
      </c>
      <c r="BC1451">
        <v>1</v>
      </c>
      <c r="BD1451" t="str">
        <f t="shared" si="492"/>
        <v xml:space="preserve">N887QR  </v>
      </c>
      <c r="BE1451">
        <v>1</v>
      </c>
      <c r="BG1451">
        <v>0</v>
      </c>
      <c r="BH1451">
        <v>0</v>
      </c>
      <c r="BI1451">
        <v>0</v>
      </c>
      <c r="BJ1451">
        <v>2275</v>
      </c>
      <c r="BK1451">
        <v>-225</v>
      </c>
      <c r="BL1451" t="s">
        <v>163</v>
      </c>
      <c r="BM1451">
        <v>1</v>
      </c>
      <c r="BN1451">
        <v>1</v>
      </c>
      <c r="BO1451">
        <v>1</v>
      </c>
      <c r="BP1451">
        <v>0</v>
      </c>
      <c r="BS1451">
        <v>0</v>
      </c>
      <c r="BT1451">
        <v>0</v>
      </c>
      <c r="BU1451">
        <v>0</v>
      </c>
      <c r="CE1451" t="str">
        <f t="shared" si="507"/>
        <v>19:29:25.130</v>
      </c>
      <c r="CF1451">
        <v>129934320</v>
      </c>
      <c r="CS1451">
        <v>3</v>
      </c>
      <c r="CT1451">
        <v>2</v>
      </c>
      <c r="CU1451">
        <v>0</v>
      </c>
      <c r="CV1451">
        <v>2</v>
      </c>
      <c r="CW1451">
        <v>1</v>
      </c>
      <c r="CX1451">
        <v>6</v>
      </c>
      <c r="CY1451">
        <v>7</v>
      </c>
      <c r="CZ1451" t="s">
        <v>131</v>
      </c>
      <c r="DA1451">
        <v>300</v>
      </c>
      <c r="DB1451">
        <v>0</v>
      </c>
      <c r="DC1451" t="s">
        <v>176</v>
      </c>
      <c r="DD1451" t="s">
        <v>177</v>
      </c>
      <c r="DG1451">
        <v>5386994</v>
      </c>
      <c r="DI1451">
        <v>1</v>
      </c>
      <c r="DJ1451">
        <v>0</v>
      </c>
      <c r="DK1451">
        <v>1</v>
      </c>
      <c r="DL1451">
        <v>0</v>
      </c>
      <c r="DM1451">
        <v>0</v>
      </c>
      <c r="DN1451">
        <v>1</v>
      </c>
      <c r="DO1451">
        <v>0</v>
      </c>
      <c r="DP1451">
        <v>0</v>
      </c>
      <c r="DQ1451">
        <v>0</v>
      </c>
      <c r="DR1451">
        <v>0</v>
      </c>
      <c r="DS1451">
        <v>0</v>
      </c>
    </row>
    <row r="1452" spans="1:123" x14ac:dyDescent="0.3">
      <c r="A1452" t="str">
        <f>"10/04/2022 19:29:25.323"</f>
        <v>10/04/2022 19:29:25.323</v>
      </c>
      <c r="C1452" t="str">
        <f t="shared" si="505"/>
        <v>FFDFD3C0</v>
      </c>
      <c r="D1452" t="s">
        <v>136</v>
      </c>
      <c r="E1452">
        <v>8</v>
      </c>
      <c r="H1452">
        <v>225</v>
      </c>
      <c r="I1452" t="s">
        <v>137</v>
      </c>
      <c r="J1452" t="s">
        <v>138</v>
      </c>
      <c r="K1452">
        <v>0</v>
      </c>
      <c r="L1452">
        <v>3</v>
      </c>
      <c r="M1452">
        <v>0</v>
      </c>
      <c r="N1452">
        <v>2</v>
      </c>
      <c r="O1452">
        <v>0</v>
      </c>
      <c r="P1452">
        <v>1</v>
      </c>
      <c r="Q1452">
        <v>0</v>
      </c>
      <c r="S1452" t="str">
        <f t="shared" si="506"/>
        <v>19:29:25.000</v>
      </c>
      <c r="T1452" t="str">
        <f t="shared" si="506"/>
        <v>19:29:25.000</v>
      </c>
      <c r="U1452" t="str">
        <f t="shared" si="491"/>
        <v>AC3944</v>
      </c>
      <c r="V1452">
        <v>0</v>
      </c>
      <c r="W1452">
        <v>0</v>
      </c>
      <c r="X1452">
        <v>2</v>
      </c>
      <c r="Y1452">
        <v>0</v>
      </c>
      <c r="AA1452">
        <v>1</v>
      </c>
      <c r="AB1452">
        <v>8</v>
      </c>
      <c r="AC1452">
        <v>3</v>
      </c>
      <c r="AD1452">
        <v>0</v>
      </c>
      <c r="AE1452">
        <v>9</v>
      </c>
      <c r="AF1452" t="s">
        <v>138</v>
      </c>
      <c r="AG1452">
        <v>0</v>
      </c>
      <c r="AH1452">
        <v>3</v>
      </c>
      <c r="AI1452">
        <v>1</v>
      </c>
      <c r="AJ1452">
        <v>0</v>
      </c>
      <c r="AK1452" t="s">
        <v>548</v>
      </c>
      <c r="AL1452">
        <v>32.800669999999997</v>
      </c>
      <c r="AM1452" t="s">
        <v>549</v>
      </c>
      <c r="AN1452">
        <v>-116.887107</v>
      </c>
      <c r="AO1452">
        <v>25</v>
      </c>
      <c r="AP1452">
        <v>2500</v>
      </c>
      <c r="AQ1452" t="s">
        <v>129</v>
      </c>
      <c r="AR1452">
        <v>97</v>
      </c>
      <c r="AS1452">
        <v>-70</v>
      </c>
      <c r="AT1452">
        <v>128</v>
      </c>
      <c r="BB1452">
        <v>1200</v>
      </c>
      <c r="BC1452">
        <v>1</v>
      </c>
      <c r="BD1452" t="str">
        <f t="shared" si="492"/>
        <v xml:space="preserve">N887QR  </v>
      </c>
      <c r="BE1452">
        <v>1</v>
      </c>
      <c r="BG1452">
        <v>0</v>
      </c>
      <c r="BH1452">
        <v>0</v>
      </c>
      <c r="BI1452">
        <v>0</v>
      </c>
      <c r="BJ1452">
        <v>2275</v>
      </c>
      <c r="BK1452">
        <v>-225</v>
      </c>
      <c r="BL1452" t="s">
        <v>163</v>
      </c>
      <c r="BM1452">
        <v>1</v>
      </c>
      <c r="BN1452">
        <v>1</v>
      </c>
      <c r="BO1452">
        <v>1</v>
      </c>
      <c r="BP1452">
        <v>0</v>
      </c>
      <c r="BS1452">
        <v>0</v>
      </c>
      <c r="BT1452">
        <v>0</v>
      </c>
      <c r="BU1452">
        <v>0</v>
      </c>
      <c r="CE1452" t="str">
        <f t="shared" si="507"/>
        <v>19:29:25.130</v>
      </c>
      <c r="CF1452">
        <v>129934320</v>
      </c>
      <c r="CS1452">
        <v>3</v>
      </c>
      <c r="CT1452">
        <v>2</v>
      </c>
      <c r="CU1452">
        <v>0</v>
      </c>
      <c r="CV1452">
        <v>2</v>
      </c>
      <c r="CW1452">
        <v>1</v>
      </c>
      <c r="CX1452">
        <v>6</v>
      </c>
      <c r="CY1452">
        <v>7</v>
      </c>
      <c r="CZ1452" t="s">
        <v>131</v>
      </c>
      <c r="DA1452">
        <v>300</v>
      </c>
      <c r="DB1452">
        <v>0</v>
      </c>
      <c r="DC1452" t="s">
        <v>176</v>
      </c>
      <c r="DD1452" t="s">
        <v>177</v>
      </c>
      <c r="DG1452">
        <v>5386994</v>
      </c>
      <c r="DI1452">
        <v>1</v>
      </c>
      <c r="DJ1452">
        <v>0</v>
      </c>
      <c r="DK1452">
        <v>1</v>
      </c>
      <c r="DL1452">
        <v>0</v>
      </c>
      <c r="DM1452">
        <v>0</v>
      </c>
      <c r="DN1452">
        <v>1</v>
      </c>
      <c r="DO1452">
        <v>0</v>
      </c>
      <c r="DP1452">
        <v>0</v>
      </c>
      <c r="DQ1452">
        <v>0</v>
      </c>
      <c r="DR1452">
        <v>0</v>
      </c>
      <c r="DS1452">
        <v>0</v>
      </c>
    </row>
    <row r="1453" spans="1:123" x14ac:dyDescent="0.3">
      <c r="A1453" t="str">
        <f>"10/04/2022 19:29:25.323"</f>
        <v>10/04/2022 19:29:25.323</v>
      </c>
      <c r="C1453" t="str">
        <f t="shared" si="505"/>
        <v>FFDFD3C0</v>
      </c>
      <c r="D1453" t="s">
        <v>134</v>
      </c>
      <c r="E1453">
        <v>15</v>
      </c>
      <c r="J1453" t="s">
        <v>135</v>
      </c>
      <c r="K1453">
        <v>0</v>
      </c>
      <c r="L1453">
        <v>3</v>
      </c>
      <c r="M1453">
        <v>0</v>
      </c>
      <c r="N1453">
        <v>2</v>
      </c>
      <c r="O1453">
        <v>0</v>
      </c>
      <c r="P1453">
        <v>1</v>
      </c>
      <c r="Q1453">
        <v>0</v>
      </c>
      <c r="S1453" t="str">
        <f t="shared" si="506"/>
        <v>19:29:25.000</v>
      </c>
      <c r="T1453" t="str">
        <f t="shared" si="506"/>
        <v>19:29:25.000</v>
      </c>
      <c r="U1453" t="str">
        <f t="shared" si="491"/>
        <v>AC3944</v>
      </c>
      <c r="V1453">
        <v>0</v>
      </c>
      <c r="W1453">
        <v>0</v>
      </c>
      <c r="X1453">
        <v>2</v>
      </c>
      <c r="Y1453">
        <v>0</v>
      </c>
      <c r="AA1453">
        <v>1</v>
      </c>
      <c r="AB1453">
        <v>8</v>
      </c>
      <c r="AC1453">
        <v>3</v>
      </c>
      <c r="AD1453">
        <v>0</v>
      </c>
      <c r="AE1453">
        <v>9</v>
      </c>
      <c r="AF1453" t="s">
        <v>138</v>
      </c>
      <c r="AG1453">
        <v>0</v>
      </c>
      <c r="AH1453">
        <v>3</v>
      </c>
      <c r="AI1453">
        <v>1</v>
      </c>
      <c r="AJ1453">
        <v>0</v>
      </c>
      <c r="AK1453" t="s">
        <v>548</v>
      </c>
      <c r="AL1453">
        <v>32.800669999999997</v>
      </c>
      <c r="AM1453" t="s">
        <v>549</v>
      </c>
      <c r="AN1453">
        <v>-116.887107</v>
      </c>
      <c r="AO1453">
        <v>25</v>
      </c>
      <c r="AP1453">
        <v>2500</v>
      </c>
      <c r="AQ1453" t="s">
        <v>129</v>
      </c>
      <c r="AR1453">
        <v>97</v>
      </c>
      <c r="AS1453">
        <v>-70</v>
      </c>
      <c r="AT1453">
        <v>128</v>
      </c>
      <c r="BB1453">
        <v>1200</v>
      </c>
      <c r="BC1453">
        <v>1</v>
      </c>
      <c r="BD1453" t="str">
        <f t="shared" si="492"/>
        <v xml:space="preserve">N887QR  </v>
      </c>
      <c r="BE1453">
        <v>1</v>
      </c>
      <c r="BG1453">
        <v>0</v>
      </c>
      <c r="BH1453">
        <v>0</v>
      </c>
      <c r="BI1453">
        <v>0</v>
      </c>
      <c r="BJ1453">
        <v>2275</v>
      </c>
      <c r="BK1453">
        <v>-225</v>
      </c>
      <c r="BL1453" t="s">
        <v>163</v>
      </c>
      <c r="BM1453">
        <v>1</v>
      </c>
      <c r="BN1453">
        <v>1</v>
      </c>
      <c r="BO1453">
        <v>1</v>
      </c>
      <c r="BP1453">
        <v>0</v>
      </c>
      <c r="BS1453">
        <v>0</v>
      </c>
      <c r="BT1453">
        <v>0</v>
      </c>
      <c r="BU1453">
        <v>0</v>
      </c>
      <c r="CE1453" t="str">
        <f t="shared" si="507"/>
        <v>19:29:25.130</v>
      </c>
      <c r="CF1453">
        <v>129934320</v>
      </c>
      <c r="CS1453">
        <v>3</v>
      </c>
      <c r="CT1453">
        <v>2</v>
      </c>
      <c r="CU1453">
        <v>0</v>
      </c>
      <c r="CV1453">
        <v>2</v>
      </c>
      <c r="CW1453">
        <v>1</v>
      </c>
      <c r="CX1453">
        <v>6</v>
      </c>
      <c r="CY1453">
        <v>7</v>
      </c>
      <c r="CZ1453" t="s">
        <v>131</v>
      </c>
      <c r="DA1453">
        <v>300</v>
      </c>
      <c r="DB1453">
        <v>0</v>
      </c>
      <c r="DC1453" t="s">
        <v>176</v>
      </c>
      <c r="DD1453" t="s">
        <v>177</v>
      </c>
      <c r="DG1453">
        <v>5386994</v>
      </c>
      <c r="DI1453">
        <v>1</v>
      </c>
      <c r="DJ1453">
        <v>0</v>
      </c>
      <c r="DK1453">
        <v>1</v>
      </c>
      <c r="DL1453">
        <v>0</v>
      </c>
      <c r="DM1453">
        <v>0</v>
      </c>
      <c r="DN1453">
        <v>1</v>
      </c>
      <c r="DO1453">
        <v>0</v>
      </c>
      <c r="DP1453">
        <v>0</v>
      </c>
      <c r="DQ1453">
        <v>0</v>
      </c>
      <c r="DR1453">
        <v>0</v>
      </c>
      <c r="DS1453">
        <v>0</v>
      </c>
    </row>
    <row r="1454" spans="1:123" x14ac:dyDescent="0.3">
      <c r="A1454" t="str">
        <f>"10/04/2022 19:29:25.323"</f>
        <v>10/04/2022 19:29:25.323</v>
      </c>
      <c r="C1454" t="str">
        <f t="shared" si="505"/>
        <v>FFDFD3C0</v>
      </c>
      <c r="D1454" t="s">
        <v>123</v>
      </c>
      <c r="E1454">
        <v>7</v>
      </c>
      <c r="F1454">
        <v>2007</v>
      </c>
      <c r="G1454" t="s">
        <v>124</v>
      </c>
      <c r="J1454" t="s">
        <v>125</v>
      </c>
      <c r="K1454">
        <v>0</v>
      </c>
      <c r="L1454">
        <v>3</v>
      </c>
      <c r="M1454">
        <v>0</v>
      </c>
      <c r="N1454">
        <v>2</v>
      </c>
      <c r="O1454">
        <v>0</v>
      </c>
      <c r="P1454">
        <v>1</v>
      </c>
      <c r="Q1454">
        <v>0</v>
      </c>
      <c r="S1454" t="str">
        <f t="shared" si="506"/>
        <v>19:29:25.000</v>
      </c>
      <c r="T1454" t="str">
        <f t="shared" si="506"/>
        <v>19:29:25.000</v>
      </c>
      <c r="U1454" t="str">
        <f t="shared" si="491"/>
        <v>AC3944</v>
      </c>
      <c r="V1454">
        <v>0</v>
      </c>
      <c r="W1454">
        <v>0</v>
      </c>
      <c r="X1454">
        <v>2</v>
      </c>
      <c r="Y1454">
        <v>0</v>
      </c>
      <c r="AA1454">
        <v>1</v>
      </c>
      <c r="AB1454">
        <v>8</v>
      </c>
      <c r="AC1454">
        <v>3</v>
      </c>
      <c r="AD1454">
        <v>0</v>
      </c>
      <c r="AE1454">
        <v>9</v>
      </c>
      <c r="AF1454" t="s">
        <v>138</v>
      </c>
      <c r="AG1454">
        <v>0</v>
      </c>
      <c r="AH1454">
        <v>3</v>
      </c>
      <c r="AI1454">
        <v>1</v>
      </c>
      <c r="AJ1454">
        <v>0</v>
      </c>
      <c r="AK1454" t="s">
        <v>548</v>
      </c>
      <c r="AL1454">
        <v>32.800669999999997</v>
      </c>
      <c r="AM1454" t="s">
        <v>549</v>
      </c>
      <c r="AN1454">
        <v>-116.887107</v>
      </c>
      <c r="AO1454">
        <v>25</v>
      </c>
      <c r="AP1454">
        <v>2500</v>
      </c>
      <c r="AQ1454" t="s">
        <v>129</v>
      </c>
      <c r="AR1454">
        <v>97</v>
      </c>
      <c r="AS1454">
        <v>-70</v>
      </c>
      <c r="AT1454">
        <v>128</v>
      </c>
      <c r="BB1454">
        <v>1200</v>
      </c>
      <c r="BC1454">
        <v>1</v>
      </c>
      <c r="BD1454" t="str">
        <f t="shared" si="492"/>
        <v xml:space="preserve">N887QR  </v>
      </c>
      <c r="BE1454">
        <v>1</v>
      </c>
      <c r="BG1454">
        <v>0</v>
      </c>
      <c r="BH1454">
        <v>0</v>
      </c>
      <c r="BI1454">
        <v>0</v>
      </c>
      <c r="BJ1454">
        <v>2275</v>
      </c>
      <c r="BK1454">
        <v>-225</v>
      </c>
      <c r="BL1454" t="s">
        <v>163</v>
      </c>
      <c r="BM1454">
        <v>1</v>
      </c>
      <c r="BN1454">
        <v>1</v>
      </c>
      <c r="BO1454">
        <v>1</v>
      </c>
      <c r="BP1454">
        <v>0</v>
      </c>
      <c r="BS1454">
        <v>0</v>
      </c>
      <c r="BT1454">
        <v>0</v>
      </c>
      <c r="BU1454">
        <v>0</v>
      </c>
      <c r="CE1454" t="str">
        <f t="shared" si="507"/>
        <v>19:29:25.130</v>
      </c>
      <c r="CF1454">
        <v>129934320</v>
      </c>
      <c r="CS1454">
        <v>3</v>
      </c>
      <c r="CT1454">
        <v>2</v>
      </c>
      <c r="CU1454">
        <v>0</v>
      </c>
      <c r="CV1454">
        <v>2</v>
      </c>
      <c r="CW1454">
        <v>1</v>
      </c>
      <c r="CX1454">
        <v>6</v>
      </c>
      <c r="CY1454">
        <v>7</v>
      </c>
      <c r="CZ1454" t="s">
        <v>131</v>
      </c>
      <c r="DA1454">
        <v>300</v>
      </c>
      <c r="DB1454">
        <v>0</v>
      </c>
      <c r="DC1454" t="s">
        <v>176</v>
      </c>
      <c r="DD1454" t="s">
        <v>177</v>
      </c>
      <c r="DG1454">
        <v>5386994</v>
      </c>
      <c r="DI1454">
        <v>1</v>
      </c>
      <c r="DJ1454">
        <v>0</v>
      </c>
      <c r="DK1454">
        <v>1</v>
      </c>
      <c r="DL1454">
        <v>0</v>
      </c>
      <c r="DM1454">
        <v>0</v>
      </c>
      <c r="DN1454">
        <v>1</v>
      </c>
      <c r="DO1454">
        <v>0</v>
      </c>
      <c r="DP1454">
        <v>0</v>
      </c>
      <c r="DQ1454">
        <v>0</v>
      </c>
      <c r="DR1454">
        <v>0</v>
      </c>
      <c r="DS1454">
        <v>0</v>
      </c>
    </row>
    <row r="1455" spans="1:123" x14ac:dyDescent="0.3">
      <c r="A1455" t="str">
        <f>"10/04/2022 19:29:25.401"</f>
        <v>10/04/2022 19:29:25.401</v>
      </c>
      <c r="C1455" t="str">
        <f t="shared" si="505"/>
        <v>FFDFD3C0</v>
      </c>
      <c r="D1455" t="s">
        <v>141</v>
      </c>
      <c r="E1455">
        <v>4</v>
      </c>
      <c r="H1455">
        <v>4</v>
      </c>
      <c r="I1455" t="s">
        <v>142</v>
      </c>
      <c r="J1455" t="s">
        <v>138</v>
      </c>
      <c r="K1455">
        <v>0</v>
      </c>
      <c r="L1455">
        <v>3</v>
      </c>
      <c r="M1455">
        <v>0</v>
      </c>
      <c r="N1455">
        <v>2</v>
      </c>
      <c r="O1455">
        <v>0</v>
      </c>
      <c r="P1455">
        <v>1</v>
      </c>
      <c r="Q1455">
        <v>0</v>
      </c>
      <c r="S1455" t="str">
        <f t="shared" si="506"/>
        <v>19:29:25.000</v>
      </c>
      <c r="T1455" t="str">
        <f t="shared" si="506"/>
        <v>19:29:25.000</v>
      </c>
      <c r="U1455" t="str">
        <f t="shared" si="491"/>
        <v>AC3944</v>
      </c>
      <c r="V1455">
        <v>0</v>
      </c>
      <c r="W1455">
        <v>0</v>
      </c>
      <c r="X1455">
        <v>2</v>
      </c>
      <c r="Y1455">
        <v>0</v>
      </c>
      <c r="AA1455">
        <v>1</v>
      </c>
      <c r="AB1455">
        <v>8</v>
      </c>
      <c r="AC1455">
        <v>3</v>
      </c>
      <c r="AD1455">
        <v>0</v>
      </c>
      <c r="AE1455">
        <v>9</v>
      </c>
      <c r="AF1455" t="s">
        <v>138</v>
      </c>
      <c r="AG1455">
        <v>0</v>
      </c>
      <c r="AH1455">
        <v>3</v>
      </c>
      <c r="AI1455">
        <v>1</v>
      </c>
      <c r="AJ1455">
        <v>0</v>
      </c>
      <c r="AK1455" t="s">
        <v>548</v>
      </c>
      <c r="AL1455">
        <v>32.800669999999997</v>
      </c>
      <c r="AM1455" t="s">
        <v>549</v>
      </c>
      <c r="AN1455">
        <v>-116.887107</v>
      </c>
      <c r="AO1455">
        <v>25</v>
      </c>
      <c r="AP1455">
        <v>2500</v>
      </c>
      <c r="AQ1455" t="s">
        <v>129</v>
      </c>
      <c r="AR1455">
        <v>97</v>
      </c>
      <c r="AS1455">
        <v>-70</v>
      </c>
      <c r="AT1455">
        <v>128</v>
      </c>
      <c r="BB1455">
        <v>1200</v>
      </c>
      <c r="BC1455">
        <v>1</v>
      </c>
      <c r="BD1455" t="str">
        <f t="shared" si="492"/>
        <v xml:space="preserve">N887QR  </v>
      </c>
      <c r="BE1455">
        <v>1</v>
      </c>
      <c r="BG1455">
        <v>0</v>
      </c>
      <c r="BH1455">
        <v>0</v>
      </c>
      <c r="BI1455">
        <v>0</v>
      </c>
      <c r="BJ1455">
        <v>2275</v>
      </c>
      <c r="BK1455">
        <v>-225</v>
      </c>
      <c r="BL1455" t="s">
        <v>163</v>
      </c>
      <c r="BM1455">
        <v>1</v>
      </c>
      <c r="BN1455">
        <v>1</v>
      </c>
      <c r="BO1455">
        <v>1</v>
      </c>
      <c r="BP1455">
        <v>0</v>
      </c>
      <c r="BS1455">
        <v>0</v>
      </c>
      <c r="BT1455">
        <v>0</v>
      </c>
      <c r="BU1455">
        <v>0</v>
      </c>
      <c r="CE1455" t="str">
        <f t="shared" si="507"/>
        <v>19:29:25.130</v>
      </c>
      <c r="CF1455">
        <v>129934320</v>
      </c>
      <c r="CS1455">
        <v>3</v>
      </c>
      <c r="CT1455">
        <v>2</v>
      </c>
      <c r="CU1455">
        <v>0</v>
      </c>
      <c r="CV1455">
        <v>2</v>
      </c>
      <c r="CW1455">
        <v>1</v>
      </c>
      <c r="CX1455">
        <v>6</v>
      </c>
      <c r="CY1455">
        <v>7</v>
      </c>
      <c r="CZ1455" t="s">
        <v>131</v>
      </c>
      <c r="DA1455">
        <v>300</v>
      </c>
      <c r="DB1455">
        <v>0</v>
      </c>
      <c r="DC1455" t="s">
        <v>176</v>
      </c>
      <c r="DD1455" t="s">
        <v>177</v>
      </c>
      <c r="DG1455">
        <v>5386994</v>
      </c>
      <c r="DI1455">
        <v>1</v>
      </c>
      <c r="DJ1455">
        <v>0</v>
      </c>
      <c r="DK1455">
        <v>1</v>
      </c>
      <c r="DL1455">
        <v>0</v>
      </c>
      <c r="DM1455">
        <v>0</v>
      </c>
      <c r="DN1455">
        <v>1</v>
      </c>
      <c r="DO1455">
        <v>0</v>
      </c>
      <c r="DP1455">
        <v>0</v>
      </c>
      <c r="DQ1455">
        <v>0</v>
      </c>
      <c r="DR1455">
        <v>0</v>
      </c>
      <c r="DS1455">
        <v>0</v>
      </c>
    </row>
    <row r="1456" spans="1:123" x14ac:dyDescent="0.3">
      <c r="A1456" t="str">
        <f>"10/04/2022 19:29:25.401"</f>
        <v>10/04/2022 19:29:25.401</v>
      </c>
      <c r="C1456" t="str">
        <f t="shared" si="505"/>
        <v>FFDFD3C0</v>
      </c>
      <c r="D1456" t="s">
        <v>147</v>
      </c>
      <c r="E1456">
        <v>3</v>
      </c>
      <c r="H1456">
        <v>166</v>
      </c>
      <c r="I1456" t="s">
        <v>144</v>
      </c>
      <c r="J1456" t="s">
        <v>148</v>
      </c>
      <c r="K1456">
        <v>0</v>
      </c>
      <c r="L1456">
        <v>3</v>
      </c>
      <c r="M1456">
        <v>0</v>
      </c>
      <c r="N1456">
        <v>2</v>
      </c>
      <c r="O1456">
        <v>0</v>
      </c>
      <c r="P1456">
        <v>1</v>
      </c>
      <c r="Q1456">
        <v>0</v>
      </c>
      <c r="S1456" t="str">
        <f t="shared" si="506"/>
        <v>19:29:25.000</v>
      </c>
      <c r="T1456" t="str">
        <f t="shared" si="506"/>
        <v>19:29:25.000</v>
      </c>
      <c r="U1456" t="str">
        <f t="shared" si="491"/>
        <v>AC3944</v>
      </c>
      <c r="V1456">
        <v>0</v>
      </c>
      <c r="W1456">
        <v>0</v>
      </c>
      <c r="X1456">
        <v>2</v>
      </c>
      <c r="Y1456">
        <v>0</v>
      </c>
      <c r="AA1456">
        <v>1</v>
      </c>
      <c r="AB1456">
        <v>8</v>
      </c>
      <c r="AC1456">
        <v>3</v>
      </c>
      <c r="AD1456">
        <v>0</v>
      </c>
      <c r="AE1456">
        <v>9</v>
      </c>
      <c r="AF1456" t="s">
        <v>138</v>
      </c>
      <c r="AG1456">
        <v>0</v>
      </c>
      <c r="AH1456">
        <v>3</v>
      </c>
      <c r="AI1456">
        <v>1</v>
      </c>
      <c r="AJ1456">
        <v>0</v>
      </c>
      <c r="AK1456" t="s">
        <v>548</v>
      </c>
      <c r="AL1456">
        <v>32.800669999999997</v>
      </c>
      <c r="AM1456" t="s">
        <v>549</v>
      </c>
      <c r="AN1456">
        <v>-116.887107</v>
      </c>
      <c r="AO1456">
        <v>25</v>
      </c>
      <c r="AP1456">
        <v>2500</v>
      </c>
      <c r="AQ1456" t="s">
        <v>129</v>
      </c>
      <c r="AR1456">
        <v>97</v>
      </c>
      <c r="AS1456">
        <v>-70</v>
      </c>
      <c r="AT1456">
        <v>128</v>
      </c>
      <c r="BB1456">
        <v>1200</v>
      </c>
      <c r="BC1456">
        <v>1</v>
      </c>
      <c r="BD1456" t="str">
        <f t="shared" si="492"/>
        <v xml:space="preserve">N887QR  </v>
      </c>
      <c r="BE1456">
        <v>1</v>
      </c>
      <c r="BG1456">
        <v>0</v>
      </c>
      <c r="BH1456">
        <v>0</v>
      </c>
      <c r="BI1456">
        <v>0</v>
      </c>
      <c r="BJ1456">
        <v>2275</v>
      </c>
      <c r="BK1456">
        <v>-225</v>
      </c>
      <c r="BL1456" t="s">
        <v>163</v>
      </c>
      <c r="BM1456">
        <v>1</v>
      </c>
      <c r="BN1456">
        <v>1</v>
      </c>
      <c r="BO1456">
        <v>1</v>
      </c>
      <c r="BP1456">
        <v>0</v>
      </c>
      <c r="BS1456">
        <v>0</v>
      </c>
      <c r="BT1456">
        <v>0</v>
      </c>
      <c r="BU1456">
        <v>0</v>
      </c>
      <c r="CE1456" t="str">
        <f t="shared" si="507"/>
        <v>19:29:25.130</v>
      </c>
      <c r="CF1456">
        <v>129934320</v>
      </c>
      <c r="CS1456">
        <v>3</v>
      </c>
      <c r="CT1456">
        <v>2</v>
      </c>
      <c r="CU1456">
        <v>0</v>
      </c>
      <c r="CV1456">
        <v>2</v>
      </c>
      <c r="CW1456">
        <v>1</v>
      </c>
      <c r="CX1456">
        <v>6</v>
      </c>
      <c r="CY1456">
        <v>7</v>
      </c>
      <c r="CZ1456" t="s">
        <v>131</v>
      </c>
      <c r="DA1456">
        <v>300</v>
      </c>
      <c r="DB1456">
        <v>0</v>
      </c>
      <c r="DC1456" t="s">
        <v>176</v>
      </c>
      <c r="DD1456" t="s">
        <v>177</v>
      </c>
      <c r="DG1456">
        <v>5386994</v>
      </c>
      <c r="DI1456">
        <v>1</v>
      </c>
      <c r="DJ1456">
        <v>0</v>
      </c>
      <c r="DK1456">
        <v>1</v>
      </c>
      <c r="DL1456">
        <v>0</v>
      </c>
      <c r="DM1456">
        <v>0</v>
      </c>
      <c r="DN1456">
        <v>1</v>
      </c>
      <c r="DO1456">
        <v>0</v>
      </c>
      <c r="DP1456">
        <v>0</v>
      </c>
      <c r="DQ1456">
        <v>0</v>
      </c>
      <c r="DR1456">
        <v>0</v>
      </c>
      <c r="DS1456">
        <v>0</v>
      </c>
    </row>
    <row r="1457" spans="1:123" x14ac:dyDescent="0.3">
      <c r="A1457" t="str">
        <f t="shared" ref="A1457:A1463" si="508">"10/04/2022 19:29:26.057"</f>
        <v>10/04/2022 19:29:26.057</v>
      </c>
      <c r="C1457" t="str">
        <f t="shared" si="505"/>
        <v>FFDFD3C0</v>
      </c>
      <c r="D1457" t="s">
        <v>141</v>
      </c>
      <c r="E1457">
        <v>3</v>
      </c>
      <c r="H1457">
        <v>3</v>
      </c>
      <c r="I1457" t="s">
        <v>146</v>
      </c>
      <c r="J1457" t="s">
        <v>138</v>
      </c>
      <c r="K1457">
        <v>0</v>
      </c>
      <c r="L1457">
        <v>3</v>
      </c>
      <c r="M1457">
        <v>0</v>
      </c>
      <c r="N1457">
        <v>2</v>
      </c>
      <c r="O1457">
        <v>0</v>
      </c>
      <c r="P1457">
        <v>1</v>
      </c>
      <c r="Q1457">
        <v>0</v>
      </c>
      <c r="S1457" t="str">
        <f t="shared" si="506"/>
        <v>19:29:25.000</v>
      </c>
      <c r="T1457" t="str">
        <f t="shared" si="506"/>
        <v>19:29:25.000</v>
      </c>
      <c r="U1457" t="str">
        <f t="shared" si="491"/>
        <v>AC3944</v>
      </c>
      <c r="V1457">
        <v>0</v>
      </c>
      <c r="W1457">
        <v>0</v>
      </c>
      <c r="X1457">
        <v>2</v>
      </c>
      <c r="Y1457">
        <v>0</v>
      </c>
      <c r="AA1457">
        <v>1</v>
      </c>
      <c r="AB1457">
        <v>8</v>
      </c>
      <c r="AC1457">
        <v>3</v>
      </c>
      <c r="AD1457">
        <v>0</v>
      </c>
      <c r="AE1457">
        <v>9</v>
      </c>
      <c r="AF1457" t="s">
        <v>138</v>
      </c>
      <c r="AG1457">
        <v>0</v>
      </c>
      <c r="AH1457">
        <v>3</v>
      </c>
      <c r="AI1457">
        <v>1</v>
      </c>
      <c r="AJ1457">
        <v>0</v>
      </c>
      <c r="AK1457" t="s">
        <v>550</v>
      </c>
      <c r="AL1457">
        <v>32.800325999999998</v>
      </c>
      <c r="AM1457" t="s">
        <v>551</v>
      </c>
      <c r="AN1457">
        <v>-116.88657000000001</v>
      </c>
      <c r="AO1457">
        <v>25</v>
      </c>
      <c r="AP1457">
        <v>2500</v>
      </c>
      <c r="AQ1457" t="s">
        <v>129</v>
      </c>
      <c r="AR1457">
        <v>97</v>
      </c>
      <c r="AS1457">
        <v>-70</v>
      </c>
      <c r="AT1457">
        <v>128</v>
      </c>
      <c r="BB1457">
        <v>1200</v>
      </c>
      <c r="BC1457">
        <v>1</v>
      </c>
      <c r="BD1457" t="str">
        <f t="shared" si="492"/>
        <v xml:space="preserve">N887QR  </v>
      </c>
      <c r="BE1457">
        <v>1</v>
      </c>
      <c r="BG1457">
        <v>0</v>
      </c>
      <c r="BH1457">
        <v>0</v>
      </c>
      <c r="BI1457">
        <v>0</v>
      </c>
      <c r="BJ1457">
        <v>2275</v>
      </c>
      <c r="BK1457">
        <v>-225</v>
      </c>
      <c r="BL1457" t="s">
        <v>163</v>
      </c>
      <c r="BM1457">
        <v>1</v>
      </c>
      <c r="BN1457">
        <v>1</v>
      </c>
      <c r="BO1457">
        <v>1</v>
      </c>
      <c r="BP1457">
        <v>0</v>
      </c>
      <c r="BS1457">
        <v>0</v>
      </c>
      <c r="BT1457">
        <v>0</v>
      </c>
      <c r="BU1457">
        <v>0</v>
      </c>
      <c r="CE1457" t="str">
        <f t="shared" ref="CE1457:CE1463" si="509">"19:29:25.823"</f>
        <v>19:29:25.823</v>
      </c>
      <c r="CF1457">
        <v>823019241</v>
      </c>
      <c r="CS1457">
        <v>3</v>
      </c>
      <c r="CT1457">
        <v>2</v>
      </c>
      <c r="CU1457">
        <v>0</v>
      </c>
      <c r="CV1457">
        <v>2</v>
      </c>
      <c r="CW1457">
        <v>1</v>
      </c>
      <c r="CX1457">
        <v>1</v>
      </c>
      <c r="CY1457">
        <v>7</v>
      </c>
      <c r="CZ1457" t="s">
        <v>131</v>
      </c>
      <c r="DA1457">
        <v>297</v>
      </c>
      <c r="DB1457">
        <v>0</v>
      </c>
      <c r="DC1457" t="s">
        <v>258</v>
      </c>
      <c r="DD1457" t="s">
        <v>259</v>
      </c>
      <c r="DG1457">
        <v>16718030</v>
      </c>
      <c r="DI1457">
        <v>1</v>
      </c>
      <c r="DJ1457">
        <v>0</v>
      </c>
      <c r="DK1457">
        <v>0</v>
      </c>
      <c r="DL1457">
        <v>0</v>
      </c>
      <c r="DM1457">
        <v>0</v>
      </c>
      <c r="DN1457">
        <v>1</v>
      </c>
      <c r="DO1457">
        <v>0</v>
      </c>
      <c r="DP1457">
        <v>0</v>
      </c>
      <c r="DQ1457">
        <v>0</v>
      </c>
      <c r="DR1457">
        <v>0</v>
      </c>
      <c r="DS1457">
        <v>0</v>
      </c>
    </row>
    <row r="1458" spans="1:123" x14ac:dyDescent="0.3">
      <c r="A1458" t="str">
        <f t="shared" si="508"/>
        <v>10/04/2022 19:29:26.057</v>
      </c>
      <c r="C1458" t="str">
        <f t="shared" si="505"/>
        <v>FFDFD3C0</v>
      </c>
      <c r="D1458" t="s">
        <v>143</v>
      </c>
      <c r="E1458">
        <v>20</v>
      </c>
      <c r="F1458">
        <v>1020</v>
      </c>
      <c r="G1458" t="s">
        <v>144</v>
      </c>
      <c r="J1458" t="s">
        <v>145</v>
      </c>
      <c r="K1458">
        <v>0</v>
      </c>
      <c r="L1458">
        <v>3</v>
      </c>
      <c r="M1458">
        <v>0</v>
      </c>
      <c r="N1458">
        <v>2</v>
      </c>
      <c r="O1458">
        <v>0</v>
      </c>
      <c r="P1458">
        <v>1</v>
      </c>
      <c r="Q1458">
        <v>0</v>
      </c>
      <c r="S1458" t="str">
        <f t="shared" si="506"/>
        <v>19:29:25.000</v>
      </c>
      <c r="T1458" t="str">
        <f t="shared" si="506"/>
        <v>19:29:25.000</v>
      </c>
      <c r="U1458" t="str">
        <f t="shared" si="491"/>
        <v>AC3944</v>
      </c>
      <c r="V1458">
        <v>0</v>
      </c>
      <c r="W1458">
        <v>0</v>
      </c>
      <c r="X1458">
        <v>2</v>
      </c>
      <c r="Y1458">
        <v>0</v>
      </c>
      <c r="AA1458">
        <v>1</v>
      </c>
      <c r="AB1458">
        <v>8</v>
      </c>
      <c r="AC1458">
        <v>3</v>
      </c>
      <c r="AD1458">
        <v>0</v>
      </c>
      <c r="AE1458">
        <v>9</v>
      </c>
      <c r="AF1458" t="s">
        <v>138</v>
      </c>
      <c r="AG1458">
        <v>0</v>
      </c>
      <c r="AH1458">
        <v>3</v>
      </c>
      <c r="AI1458">
        <v>1</v>
      </c>
      <c r="AJ1458">
        <v>0</v>
      </c>
      <c r="AK1458" t="s">
        <v>550</v>
      </c>
      <c r="AL1458">
        <v>32.800325999999998</v>
      </c>
      <c r="AM1458" t="s">
        <v>551</v>
      </c>
      <c r="AN1458">
        <v>-116.88657000000001</v>
      </c>
      <c r="AO1458">
        <v>25</v>
      </c>
      <c r="AP1458">
        <v>2500</v>
      </c>
      <c r="AQ1458" t="s">
        <v>129</v>
      </c>
      <c r="AR1458">
        <v>97</v>
      </c>
      <c r="AS1458">
        <v>-70</v>
      </c>
      <c r="AT1458">
        <v>128</v>
      </c>
      <c r="BB1458">
        <v>1200</v>
      </c>
      <c r="BC1458">
        <v>1</v>
      </c>
      <c r="BD1458" t="str">
        <f t="shared" si="492"/>
        <v xml:space="preserve">N887QR  </v>
      </c>
      <c r="BE1458">
        <v>1</v>
      </c>
      <c r="BG1458">
        <v>0</v>
      </c>
      <c r="BH1458">
        <v>0</v>
      </c>
      <c r="BI1458">
        <v>0</v>
      </c>
      <c r="BJ1458">
        <v>2275</v>
      </c>
      <c r="BK1458">
        <v>-225</v>
      </c>
      <c r="BL1458" t="s">
        <v>163</v>
      </c>
      <c r="BM1458">
        <v>1</v>
      </c>
      <c r="BN1458">
        <v>1</v>
      </c>
      <c r="BO1458">
        <v>1</v>
      </c>
      <c r="BP1458">
        <v>0</v>
      </c>
      <c r="BS1458">
        <v>0</v>
      </c>
      <c r="BT1458">
        <v>0</v>
      </c>
      <c r="BU1458">
        <v>0</v>
      </c>
      <c r="CE1458" t="str">
        <f t="shared" si="509"/>
        <v>19:29:25.823</v>
      </c>
      <c r="CF1458">
        <v>823019241</v>
      </c>
      <c r="CS1458">
        <v>3</v>
      </c>
      <c r="CT1458">
        <v>2</v>
      </c>
      <c r="CU1458">
        <v>0</v>
      </c>
      <c r="CV1458">
        <v>2</v>
      </c>
      <c r="CW1458">
        <v>1</v>
      </c>
      <c r="CX1458">
        <v>1</v>
      </c>
      <c r="CY1458">
        <v>7</v>
      </c>
      <c r="CZ1458" t="s">
        <v>131</v>
      </c>
      <c r="DA1458">
        <v>297</v>
      </c>
      <c r="DB1458">
        <v>0</v>
      </c>
      <c r="DC1458" t="s">
        <v>258</v>
      </c>
      <c r="DD1458" t="s">
        <v>259</v>
      </c>
      <c r="DG1458">
        <v>16718030</v>
      </c>
      <c r="DI1458">
        <v>1</v>
      </c>
      <c r="DJ1458">
        <v>0</v>
      </c>
      <c r="DK1458">
        <v>1</v>
      </c>
      <c r="DL1458">
        <v>0</v>
      </c>
      <c r="DM1458">
        <v>0</v>
      </c>
      <c r="DN1458">
        <v>1</v>
      </c>
      <c r="DO1458">
        <v>0</v>
      </c>
      <c r="DP1458">
        <v>0</v>
      </c>
      <c r="DQ1458">
        <v>0</v>
      </c>
      <c r="DR1458">
        <v>0</v>
      </c>
      <c r="DS1458">
        <v>0</v>
      </c>
    </row>
    <row r="1459" spans="1:123" x14ac:dyDescent="0.3">
      <c r="A1459" t="str">
        <f t="shared" si="508"/>
        <v>10/04/2022 19:29:26.057</v>
      </c>
      <c r="C1459" t="str">
        <f t="shared" si="505"/>
        <v>FFDFD3C0</v>
      </c>
      <c r="D1459" t="s">
        <v>136</v>
      </c>
      <c r="E1459">
        <v>8</v>
      </c>
      <c r="H1459">
        <v>225</v>
      </c>
      <c r="I1459" t="s">
        <v>137</v>
      </c>
      <c r="J1459" t="s">
        <v>138</v>
      </c>
      <c r="K1459">
        <v>0</v>
      </c>
      <c r="L1459">
        <v>3</v>
      </c>
      <c r="M1459">
        <v>0</v>
      </c>
      <c r="N1459">
        <v>2</v>
      </c>
      <c r="O1459">
        <v>0</v>
      </c>
      <c r="P1459">
        <v>1</v>
      </c>
      <c r="Q1459">
        <v>0</v>
      </c>
      <c r="S1459" t="str">
        <f t="shared" si="506"/>
        <v>19:29:25.000</v>
      </c>
      <c r="T1459" t="str">
        <f t="shared" si="506"/>
        <v>19:29:25.000</v>
      </c>
      <c r="U1459" t="str">
        <f t="shared" si="491"/>
        <v>AC3944</v>
      </c>
      <c r="V1459">
        <v>0</v>
      </c>
      <c r="W1459">
        <v>0</v>
      </c>
      <c r="X1459">
        <v>2</v>
      </c>
      <c r="Y1459">
        <v>0</v>
      </c>
      <c r="AA1459">
        <v>1</v>
      </c>
      <c r="AB1459">
        <v>8</v>
      </c>
      <c r="AC1459">
        <v>3</v>
      </c>
      <c r="AD1459">
        <v>0</v>
      </c>
      <c r="AE1459">
        <v>9</v>
      </c>
      <c r="AF1459" t="s">
        <v>138</v>
      </c>
      <c r="AG1459">
        <v>0</v>
      </c>
      <c r="AH1459">
        <v>3</v>
      </c>
      <c r="AI1459">
        <v>1</v>
      </c>
      <c r="AJ1459">
        <v>0</v>
      </c>
      <c r="AK1459" t="s">
        <v>550</v>
      </c>
      <c r="AL1459">
        <v>32.800325999999998</v>
      </c>
      <c r="AM1459" t="s">
        <v>551</v>
      </c>
      <c r="AN1459">
        <v>-116.88657000000001</v>
      </c>
      <c r="AO1459">
        <v>25</v>
      </c>
      <c r="AP1459">
        <v>2500</v>
      </c>
      <c r="AQ1459" t="s">
        <v>129</v>
      </c>
      <c r="AR1459">
        <v>97</v>
      </c>
      <c r="AS1459">
        <v>-70</v>
      </c>
      <c r="AT1459">
        <v>128</v>
      </c>
      <c r="BB1459">
        <v>1200</v>
      </c>
      <c r="BC1459">
        <v>1</v>
      </c>
      <c r="BD1459" t="str">
        <f t="shared" si="492"/>
        <v xml:space="preserve">N887QR  </v>
      </c>
      <c r="BE1459">
        <v>1</v>
      </c>
      <c r="BG1459">
        <v>0</v>
      </c>
      <c r="BH1459">
        <v>0</v>
      </c>
      <c r="BI1459">
        <v>0</v>
      </c>
      <c r="BJ1459">
        <v>2275</v>
      </c>
      <c r="BK1459">
        <v>-225</v>
      </c>
      <c r="BL1459" t="s">
        <v>163</v>
      </c>
      <c r="BM1459">
        <v>1</v>
      </c>
      <c r="BN1459">
        <v>1</v>
      </c>
      <c r="BO1459">
        <v>1</v>
      </c>
      <c r="BP1459">
        <v>0</v>
      </c>
      <c r="BS1459">
        <v>0</v>
      </c>
      <c r="BT1459">
        <v>0</v>
      </c>
      <c r="BU1459">
        <v>0</v>
      </c>
      <c r="CE1459" t="str">
        <f t="shared" si="509"/>
        <v>19:29:25.823</v>
      </c>
      <c r="CF1459">
        <v>823019241</v>
      </c>
      <c r="CS1459">
        <v>3</v>
      </c>
      <c r="CT1459">
        <v>2</v>
      </c>
      <c r="CU1459">
        <v>0</v>
      </c>
      <c r="CV1459">
        <v>2</v>
      </c>
      <c r="CW1459">
        <v>1</v>
      </c>
      <c r="CX1459">
        <v>1</v>
      </c>
      <c r="CY1459">
        <v>7</v>
      </c>
      <c r="CZ1459" t="s">
        <v>131</v>
      </c>
      <c r="DA1459">
        <v>297</v>
      </c>
      <c r="DB1459">
        <v>0</v>
      </c>
      <c r="DC1459" t="s">
        <v>258</v>
      </c>
      <c r="DD1459" t="s">
        <v>259</v>
      </c>
      <c r="DG1459">
        <v>16718030</v>
      </c>
      <c r="DI1459">
        <v>1</v>
      </c>
      <c r="DJ1459">
        <v>0</v>
      </c>
      <c r="DK1459">
        <v>1</v>
      </c>
      <c r="DL1459">
        <v>0</v>
      </c>
      <c r="DM1459">
        <v>0</v>
      </c>
      <c r="DN1459">
        <v>1</v>
      </c>
      <c r="DO1459">
        <v>0</v>
      </c>
      <c r="DP1459">
        <v>0</v>
      </c>
      <c r="DQ1459">
        <v>0</v>
      </c>
      <c r="DR1459">
        <v>0</v>
      </c>
      <c r="DS1459">
        <v>0</v>
      </c>
    </row>
    <row r="1460" spans="1:123" x14ac:dyDescent="0.3">
      <c r="A1460" t="str">
        <f t="shared" si="508"/>
        <v>10/04/2022 19:29:26.057</v>
      </c>
      <c r="C1460" t="str">
        <f t="shared" si="505"/>
        <v>FFDFD3C0</v>
      </c>
      <c r="D1460" t="s">
        <v>123</v>
      </c>
      <c r="E1460">
        <v>7</v>
      </c>
      <c r="F1460">
        <v>2007</v>
      </c>
      <c r="G1460" t="s">
        <v>124</v>
      </c>
      <c r="J1460" t="s">
        <v>125</v>
      </c>
      <c r="K1460">
        <v>0</v>
      </c>
      <c r="L1460">
        <v>3</v>
      </c>
      <c r="M1460">
        <v>0</v>
      </c>
      <c r="N1460">
        <v>2</v>
      </c>
      <c r="O1460">
        <v>0</v>
      </c>
      <c r="P1460">
        <v>1</v>
      </c>
      <c r="Q1460">
        <v>0</v>
      </c>
      <c r="S1460" t="str">
        <f t="shared" si="506"/>
        <v>19:29:25.000</v>
      </c>
      <c r="T1460" t="str">
        <f t="shared" si="506"/>
        <v>19:29:25.000</v>
      </c>
      <c r="U1460" t="str">
        <f t="shared" si="491"/>
        <v>AC3944</v>
      </c>
      <c r="V1460">
        <v>0</v>
      </c>
      <c r="W1460">
        <v>0</v>
      </c>
      <c r="X1460">
        <v>2</v>
      </c>
      <c r="Y1460">
        <v>0</v>
      </c>
      <c r="AA1460">
        <v>1</v>
      </c>
      <c r="AB1460">
        <v>8</v>
      </c>
      <c r="AC1460">
        <v>3</v>
      </c>
      <c r="AD1460">
        <v>0</v>
      </c>
      <c r="AE1460">
        <v>9</v>
      </c>
      <c r="AF1460" t="s">
        <v>138</v>
      </c>
      <c r="AG1460">
        <v>0</v>
      </c>
      <c r="AH1460">
        <v>3</v>
      </c>
      <c r="AI1460">
        <v>1</v>
      </c>
      <c r="AJ1460">
        <v>0</v>
      </c>
      <c r="AK1460" t="s">
        <v>550</v>
      </c>
      <c r="AL1460">
        <v>32.800325999999998</v>
      </c>
      <c r="AM1460" t="s">
        <v>551</v>
      </c>
      <c r="AN1460">
        <v>-116.88657000000001</v>
      </c>
      <c r="AO1460">
        <v>25</v>
      </c>
      <c r="AP1460">
        <v>2500</v>
      </c>
      <c r="AQ1460" t="s">
        <v>129</v>
      </c>
      <c r="AR1460">
        <v>97</v>
      </c>
      <c r="AS1460">
        <v>-70</v>
      </c>
      <c r="AT1460">
        <v>128</v>
      </c>
      <c r="BB1460">
        <v>1200</v>
      </c>
      <c r="BC1460">
        <v>1</v>
      </c>
      <c r="BD1460" t="str">
        <f t="shared" si="492"/>
        <v xml:space="preserve">N887QR  </v>
      </c>
      <c r="BE1460">
        <v>1</v>
      </c>
      <c r="BG1460">
        <v>0</v>
      </c>
      <c r="BH1460">
        <v>0</v>
      </c>
      <c r="BI1460">
        <v>0</v>
      </c>
      <c r="BJ1460">
        <v>2275</v>
      </c>
      <c r="BK1460">
        <v>-225</v>
      </c>
      <c r="BL1460" t="s">
        <v>163</v>
      </c>
      <c r="BM1460">
        <v>1</v>
      </c>
      <c r="BN1460">
        <v>1</v>
      </c>
      <c r="BO1460">
        <v>1</v>
      </c>
      <c r="BP1460">
        <v>0</v>
      </c>
      <c r="BS1460">
        <v>0</v>
      </c>
      <c r="BT1460">
        <v>0</v>
      </c>
      <c r="BU1460">
        <v>0</v>
      </c>
      <c r="CE1460" t="str">
        <f t="shared" si="509"/>
        <v>19:29:25.823</v>
      </c>
      <c r="CF1460">
        <v>823019241</v>
      </c>
      <c r="CS1460">
        <v>3</v>
      </c>
      <c r="CT1460">
        <v>2</v>
      </c>
      <c r="CU1460">
        <v>0</v>
      </c>
      <c r="CV1460">
        <v>2</v>
      </c>
      <c r="CW1460">
        <v>1</v>
      </c>
      <c r="CX1460">
        <v>1</v>
      </c>
      <c r="CY1460">
        <v>7</v>
      </c>
      <c r="CZ1460" t="s">
        <v>131</v>
      </c>
      <c r="DA1460">
        <v>297</v>
      </c>
      <c r="DB1460">
        <v>0</v>
      </c>
      <c r="DC1460" t="s">
        <v>258</v>
      </c>
      <c r="DD1460" t="s">
        <v>259</v>
      </c>
      <c r="DG1460">
        <v>16718030</v>
      </c>
      <c r="DI1460">
        <v>1</v>
      </c>
      <c r="DJ1460">
        <v>0</v>
      </c>
      <c r="DK1460">
        <v>1</v>
      </c>
      <c r="DL1460">
        <v>0</v>
      </c>
      <c r="DM1460">
        <v>0</v>
      </c>
      <c r="DN1460">
        <v>1</v>
      </c>
      <c r="DO1460">
        <v>0</v>
      </c>
      <c r="DP1460">
        <v>0</v>
      </c>
      <c r="DQ1460">
        <v>0</v>
      </c>
      <c r="DR1460">
        <v>0</v>
      </c>
      <c r="DS1460">
        <v>0</v>
      </c>
    </row>
    <row r="1461" spans="1:123" x14ac:dyDescent="0.3">
      <c r="A1461" t="str">
        <f t="shared" si="508"/>
        <v>10/04/2022 19:29:26.057</v>
      </c>
      <c r="C1461" t="str">
        <f t="shared" si="505"/>
        <v>FFDFD3C0</v>
      </c>
      <c r="D1461" t="s">
        <v>134</v>
      </c>
      <c r="E1461">
        <v>15</v>
      </c>
      <c r="J1461" t="s">
        <v>135</v>
      </c>
      <c r="K1461">
        <v>0</v>
      </c>
      <c r="L1461">
        <v>3</v>
      </c>
      <c r="M1461">
        <v>0</v>
      </c>
      <c r="N1461">
        <v>2</v>
      </c>
      <c r="O1461">
        <v>0</v>
      </c>
      <c r="P1461">
        <v>1</v>
      </c>
      <c r="Q1461">
        <v>0</v>
      </c>
      <c r="S1461" t="str">
        <f t="shared" si="506"/>
        <v>19:29:25.000</v>
      </c>
      <c r="T1461" t="str">
        <f t="shared" si="506"/>
        <v>19:29:25.000</v>
      </c>
      <c r="U1461" t="str">
        <f t="shared" si="491"/>
        <v>AC3944</v>
      </c>
      <c r="V1461">
        <v>0</v>
      </c>
      <c r="W1461">
        <v>0</v>
      </c>
      <c r="X1461">
        <v>2</v>
      </c>
      <c r="Y1461">
        <v>0</v>
      </c>
      <c r="AA1461">
        <v>1</v>
      </c>
      <c r="AB1461">
        <v>8</v>
      </c>
      <c r="AC1461">
        <v>3</v>
      </c>
      <c r="AD1461">
        <v>0</v>
      </c>
      <c r="AE1461">
        <v>9</v>
      </c>
      <c r="AF1461" t="s">
        <v>138</v>
      </c>
      <c r="AG1461">
        <v>0</v>
      </c>
      <c r="AH1461">
        <v>3</v>
      </c>
      <c r="AI1461">
        <v>1</v>
      </c>
      <c r="AJ1461">
        <v>0</v>
      </c>
      <c r="AK1461" t="s">
        <v>550</v>
      </c>
      <c r="AL1461">
        <v>32.800325999999998</v>
      </c>
      <c r="AM1461" t="s">
        <v>551</v>
      </c>
      <c r="AN1461">
        <v>-116.88657000000001</v>
      </c>
      <c r="AO1461">
        <v>25</v>
      </c>
      <c r="AP1461">
        <v>2500</v>
      </c>
      <c r="AQ1461" t="s">
        <v>129</v>
      </c>
      <c r="AR1461">
        <v>97</v>
      </c>
      <c r="AS1461">
        <v>-70</v>
      </c>
      <c r="AT1461">
        <v>128</v>
      </c>
      <c r="BB1461">
        <v>1200</v>
      </c>
      <c r="BC1461">
        <v>1</v>
      </c>
      <c r="BD1461" t="str">
        <f t="shared" si="492"/>
        <v xml:space="preserve">N887QR  </v>
      </c>
      <c r="BE1461">
        <v>1</v>
      </c>
      <c r="BG1461">
        <v>0</v>
      </c>
      <c r="BH1461">
        <v>0</v>
      </c>
      <c r="BI1461">
        <v>0</v>
      </c>
      <c r="BJ1461">
        <v>2275</v>
      </c>
      <c r="BK1461">
        <v>-225</v>
      </c>
      <c r="BL1461" t="s">
        <v>163</v>
      </c>
      <c r="BM1461">
        <v>1</v>
      </c>
      <c r="BN1461">
        <v>1</v>
      </c>
      <c r="BO1461">
        <v>1</v>
      </c>
      <c r="BP1461">
        <v>0</v>
      </c>
      <c r="BS1461">
        <v>0</v>
      </c>
      <c r="BT1461">
        <v>0</v>
      </c>
      <c r="BU1461">
        <v>0</v>
      </c>
      <c r="CE1461" t="str">
        <f t="shared" si="509"/>
        <v>19:29:25.823</v>
      </c>
      <c r="CF1461">
        <v>823019241</v>
      </c>
      <c r="CS1461">
        <v>3</v>
      </c>
      <c r="CT1461">
        <v>2</v>
      </c>
      <c r="CU1461">
        <v>0</v>
      </c>
      <c r="CV1461">
        <v>2</v>
      </c>
      <c r="CW1461">
        <v>1</v>
      </c>
      <c r="CX1461">
        <v>1</v>
      </c>
      <c r="CY1461">
        <v>7</v>
      </c>
      <c r="CZ1461" t="s">
        <v>131</v>
      </c>
      <c r="DA1461">
        <v>297</v>
      </c>
      <c r="DB1461">
        <v>0</v>
      </c>
      <c r="DC1461" t="s">
        <v>258</v>
      </c>
      <c r="DD1461" t="s">
        <v>259</v>
      </c>
      <c r="DG1461">
        <v>16718030</v>
      </c>
      <c r="DI1461">
        <v>1</v>
      </c>
      <c r="DJ1461">
        <v>0</v>
      </c>
      <c r="DK1461">
        <v>1</v>
      </c>
      <c r="DL1461">
        <v>0</v>
      </c>
      <c r="DM1461">
        <v>0</v>
      </c>
      <c r="DN1461">
        <v>1</v>
      </c>
      <c r="DO1461">
        <v>0</v>
      </c>
      <c r="DP1461">
        <v>0</v>
      </c>
      <c r="DQ1461">
        <v>0</v>
      </c>
      <c r="DR1461">
        <v>0</v>
      </c>
      <c r="DS1461">
        <v>0</v>
      </c>
    </row>
    <row r="1462" spans="1:123" x14ac:dyDescent="0.3">
      <c r="A1462" t="str">
        <f t="shared" si="508"/>
        <v>10/04/2022 19:29:26.057</v>
      </c>
      <c r="C1462" t="str">
        <f t="shared" si="505"/>
        <v>FFDFD3C0</v>
      </c>
      <c r="D1462" t="s">
        <v>141</v>
      </c>
      <c r="E1462">
        <v>4</v>
      </c>
      <c r="H1462">
        <v>4</v>
      </c>
      <c r="I1462" t="s">
        <v>142</v>
      </c>
      <c r="J1462" t="s">
        <v>138</v>
      </c>
      <c r="K1462">
        <v>0</v>
      </c>
      <c r="L1462">
        <v>3</v>
      </c>
      <c r="M1462">
        <v>0</v>
      </c>
      <c r="N1462">
        <v>2</v>
      </c>
      <c r="O1462">
        <v>0</v>
      </c>
      <c r="P1462">
        <v>1</v>
      </c>
      <c r="Q1462">
        <v>0</v>
      </c>
      <c r="S1462" t="str">
        <f t="shared" si="506"/>
        <v>19:29:25.000</v>
      </c>
      <c r="T1462" t="str">
        <f t="shared" si="506"/>
        <v>19:29:25.000</v>
      </c>
      <c r="U1462" t="str">
        <f t="shared" si="491"/>
        <v>AC3944</v>
      </c>
      <c r="V1462">
        <v>0</v>
      </c>
      <c r="W1462">
        <v>0</v>
      </c>
      <c r="X1462">
        <v>2</v>
      </c>
      <c r="Y1462">
        <v>0</v>
      </c>
      <c r="AA1462">
        <v>1</v>
      </c>
      <c r="AB1462">
        <v>8</v>
      </c>
      <c r="AC1462">
        <v>3</v>
      </c>
      <c r="AD1462">
        <v>0</v>
      </c>
      <c r="AE1462">
        <v>9</v>
      </c>
      <c r="AF1462" t="s">
        <v>138</v>
      </c>
      <c r="AG1462">
        <v>0</v>
      </c>
      <c r="AH1462">
        <v>3</v>
      </c>
      <c r="AI1462">
        <v>1</v>
      </c>
      <c r="AJ1462">
        <v>0</v>
      </c>
      <c r="AK1462" t="s">
        <v>550</v>
      </c>
      <c r="AL1462">
        <v>32.800325999999998</v>
      </c>
      <c r="AM1462" t="s">
        <v>551</v>
      </c>
      <c r="AN1462">
        <v>-116.88657000000001</v>
      </c>
      <c r="AO1462">
        <v>25</v>
      </c>
      <c r="AP1462">
        <v>2500</v>
      </c>
      <c r="AQ1462" t="s">
        <v>129</v>
      </c>
      <c r="AR1462">
        <v>97</v>
      </c>
      <c r="AS1462">
        <v>-70</v>
      </c>
      <c r="AT1462">
        <v>128</v>
      </c>
      <c r="BB1462">
        <v>1200</v>
      </c>
      <c r="BC1462">
        <v>1</v>
      </c>
      <c r="BD1462" t="str">
        <f t="shared" si="492"/>
        <v xml:space="preserve">N887QR  </v>
      </c>
      <c r="BE1462">
        <v>1</v>
      </c>
      <c r="BG1462">
        <v>0</v>
      </c>
      <c r="BH1462">
        <v>0</v>
      </c>
      <c r="BI1462">
        <v>0</v>
      </c>
      <c r="BJ1462">
        <v>2275</v>
      </c>
      <c r="BK1462">
        <v>-225</v>
      </c>
      <c r="BL1462" t="s">
        <v>163</v>
      </c>
      <c r="BM1462">
        <v>1</v>
      </c>
      <c r="BN1462">
        <v>1</v>
      </c>
      <c r="BO1462">
        <v>1</v>
      </c>
      <c r="BP1462">
        <v>0</v>
      </c>
      <c r="BS1462">
        <v>0</v>
      </c>
      <c r="BT1462">
        <v>0</v>
      </c>
      <c r="BU1462">
        <v>0</v>
      </c>
      <c r="CE1462" t="str">
        <f t="shared" si="509"/>
        <v>19:29:25.823</v>
      </c>
      <c r="CF1462">
        <v>823019241</v>
      </c>
      <c r="CS1462">
        <v>3</v>
      </c>
      <c r="CT1462">
        <v>2</v>
      </c>
      <c r="CU1462">
        <v>0</v>
      </c>
      <c r="CV1462">
        <v>2</v>
      </c>
      <c r="CW1462">
        <v>1</v>
      </c>
      <c r="CX1462">
        <v>1</v>
      </c>
      <c r="CY1462">
        <v>7</v>
      </c>
      <c r="CZ1462" t="s">
        <v>131</v>
      </c>
      <c r="DA1462">
        <v>297</v>
      </c>
      <c r="DB1462">
        <v>0</v>
      </c>
      <c r="DC1462" t="s">
        <v>258</v>
      </c>
      <c r="DD1462" t="s">
        <v>259</v>
      </c>
      <c r="DG1462">
        <v>16718030</v>
      </c>
      <c r="DI1462">
        <v>1</v>
      </c>
      <c r="DJ1462">
        <v>0</v>
      </c>
      <c r="DK1462">
        <v>1</v>
      </c>
      <c r="DL1462">
        <v>0</v>
      </c>
      <c r="DM1462">
        <v>0</v>
      </c>
      <c r="DN1462">
        <v>1</v>
      </c>
      <c r="DO1462">
        <v>0</v>
      </c>
      <c r="DP1462">
        <v>0</v>
      </c>
      <c r="DQ1462">
        <v>0</v>
      </c>
      <c r="DR1462">
        <v>0</v>
      </c>
      <c r="DS1462">
        <v>0</v>
      </c>
    </row>
    <row r="1463" spans="1:123" x14ac:dyDescent="0.3">
      <c r="A1463" t="str">
        <f t="shared" si="508"/>
        <v>10/04/2022 19:29:26.057</v>
      </c>
      <c r="C1463" t="str">
        <f t="shared" si="505"/>
        <v>FFDFD3C0</v>
      </c>
      <c r="D1463" t="s">
        <v>147</v>
      </c>
      <c r="E1463">
        <v>3</v>
      </c>
      <c r="H1463">
        <v>166</v>
      </c>
      <c r="I1463" t="s">
        <v>144</v>
      </c>
      <c r="J1463" t="s">
        <v>148</v>
      </c>
      <c r="K1463">
        <v>0</v>
      </c>
      <c r="L1463">
        <v>3</v>
      </c>
      <c r="M1463">
        <v>0</v>
      </c>
      <c r="N1463">
        <v>2</v>
      </c>
      <c r="O1463">
        <v>0</v>
      </c>
      <c r="P1463">
        <v>1</v>
      </c>
      <c r="Q1463">
        <v>0</v>
      </c>
      <c r="S1463" t="str">
        <f t="shared" si="506"/>
        <v>19:29:25.000</v>
      </c>
      <c r="T1463" t="str">
        <f t="shared" si="506"/>
        <v>19:29:25.000</v>
      </c>
      <c r="U1463" t="str">
        <f t="shared" si="491"/>
        <v>AC3944</v>
      </c>
      <c r="V1463">
        <v>0</v>
      </c>
      <c r="W1463">
        <v>0</v>
      </c>
      <c r="X1463">
        <v>2</v>
      </c>
      <c r="Y1463">
        <v>0</v>
      </c>
      <c r="AA1463">
        <v>1</v>
      </c>
      <c r="AB1463">
        <v>8</v>
      </c>
      <c r="AC1463">
        <v>3</v>
      </c>
      <c r="AD1463">
        <v>0</v>
      </c>
      <c r="AE1463">
        <v>9</v>
      </c>
      <c r="AF1463" t="s">
        <v>138</v>
      </c>
      <c r="AG1463">
        <v>0</v>
      </c>
      <c r="AH1463">
        <v>3</v>
      </c>
      <c r="AI1463">
        <v>1</v>
      </c>
      <c r="AJ1463">
        <v>0</v>
      </c>
      <c r="AK1463" t="s">
        <v>550</v>
      </c>
      <c r="AL1463">
        <v>32.800325999999998</v>
      </c>
      <c r="AM1463" t="s">
        <v>551</v>
      </c>
      <c r="AN1463">
        <v>-116.88657000000001</v>
      </c>
      <c r="AO1463">
        <v>25</v>
      </c>
      <c r="AP1463">
        <v>2500</v>
      </c>
      <c r="AQ1463" t="s">
        <v>129</v>
      </c>
      <c r="AR1463">
        <v>97</v>
      </c>
      <c r="AS1463">
        <v>-70</v>
      </c>
      <c r="AT1463">
        <v>128</v>
      </c>
      <c r="BB1463">
        <v>1200</v>
      </c>
      <c r="BC1463">
        <v>1</v>
      </c>
      <c r="BD1463" t="str">
        <f t="shared" si="492"/>
        <v xml:space="preserve">N887QR  </v>
      </c>
      <c r="BE1463">
        <v>1</v>
      </c>
      <c r="BG1463">
        <v>0</v>
      </c>
      <c r="BH1463">
        <v>0</v>
      </c>
      <c r="BI1463">
        <v>0</v>
      </c>
      <c r="BJ1463">
        <v>2275</v>
      </c>
      <c r="BK1463">
        <v>-225</v>
      </c>
      <c r="BL1463" t="s">
        <v>163</v>
      </c>
      <c r="BM1463">
        <v>1</v>
      </c>
      <c r="BN1463">
        <v>1</v>
      </c>
      <c r="BO1463">
        <v>1</v>
      </c>
      <c r="BP1463">
        <v>0</v>
      </c>
      <c r="BS1463">
        <v>0</v>
      </c>
      <c r="BT1463">
        <v>0</v>
      </c>
      <c r="BU1463">
        <v>0</v>
      </c>
      <c r="CE1463" t="str">
        <f t="shared" si="509"/>
        <v>19:29:25.823</v>
      </c>
      <c r="CF1463">
        <v>823019241</v>
      </c>
      <c r="CS1463">
        <v>3</v>
      </c>
      <c r="CT1463">
        <v>2</v>
      </c>
      <c r="CU1463">
        <v>0</v>
      </c>
      <c r="CV1463">
        <v>2</v>
      </c>
      <c r="CW1463">
        <v>1</v>
      </c>
      <c r="CX1463">
        <v>1</v>
      </c>
      <c r="CY1463">
        <v>7</v>
      </c>
      <c r="CZ1463" t="s">
        <v>131</v>
      </c>
      <c r="DA1463">
        <v>297</v>
      </c>
      <c r="DB1463">
        <v>0</v>
      </c>
      <c r="DC1463" t="s">
        <v>258</v>
      </c>
      <c r="DD1463" t="s">
        <v>259</v>
      </c>
      <c r="DG1463">
        <v>16718030</v>
      </c>
      <c r="DI1463">
        <v>1</v>
      </c>
      <c r="DJ1463">
        <v>0</v>
      </c>
      <c r="DK1463">
        <v>1</v>
      </c>
      <c r="DL1463">
        <v>0</v>
      </c>
      <c r="DM1463">
        <v>0</v>
      </c>
      <c r="DN1463">
        <v>1</v>
      </c>
      <c r="DO1463">
        <v>0</v>
      </c>
      <c r="DP1463">
        <v>0</v>
      </c>
      <c r="DQ1463">
        <v>0</v>
      </c>
      <c r="DR1463">
        <v>0</v>
      </c>
      <c r="DS1463">
        <v>0</v>
      </c>
    </row>
    <row r="1464" spans="1:123" x14ac:dyDescent="0.3">
      <c r="A1464" t="str">
        <f>"10/04/2022 19:29:27.399"</f>
        <v>10/04/2022 19:29:27.399</v>
      </c>
      <c r="C1464" t="str">
        <f t="shared" si="505"/>
        <v>FFDFD3C0</v>
      </c>
      <c r="D1464" t="s">
        <v>141</v>
      </c>
      <c r="E1464">
        <v>4</v>
      </c>
      <c r="H1464">
        <v>4</v>
      </c>
      <c r="I1464" t="s">
        <v>142</v>
      </c>
      <c r="J1464" t="s">
        <v>138</v>
      </c>
      <c r="K1464">
        <v>0</v>
      </c>
      <c r="L1464">
        <v>3</v>
      </c>
      <c r="M1464">
        <v>0</v>
      </c>
      <c r="N1464">
        <v>2</v>
      </c>
      <c r="O1464">
        <v>0</v>
      </c>
      <c r="P1464">
        <v>1</v>
      </c>
      <c r="Q1464">
        <v>0</v>
      </c>
      <c r="S1464" t="str">
        <f t="shared" ref="S1464:T1470" si="510">"19:29:27.000"</f>
        <v>19:29:27.000</v>
      </c>
      <c r="T1464" t="str">
        <f t="shared" si="510"/>
        <v>19:29:27.000</v>
      </c>
      <c r="U1464" t="str">
        <f t="shared" si="491"/>
        <v>AC3944</v>
      </c>
      <c r="V1464">
        <v>0</v>
      </c>
      <c r="W1464">
        <v>0</v>
      </c>
      <c r="X1464">
        <v>2</v>
      </c>
      <c r="Y1464">
        <v>0</v>
      </c>
      <c r="AA1464">
        <v>1</v>
      </c>
      <c r="AB1464">
        <v>8</v>
      </c>
      <c r="AC1464">
        <v>3</v>
      </c>
      <c r="AD1464">
        <v>0</v>
      </c>
      <c r="AE1464">
        <v>9</v>
      </c>
      <c r="AF1464" t="s">
        <v>138</v>
      </c>
      <c r="AG1464">
        <v>0</v>
      </c>
      <c r="AH1464">
        <v>3</v>
      </c>
      <c r="AI1464">
        <v>1</v>
      </c>
      <c r="AJ1464">
        <v>0</v>
      </c>
      <c r="AK1464" t="s">
        <v>552</v>
      </c>
      <c r="AL1464">
        <v>32.800004000000001</v>
      </c>
      <c r="AM1464" t="s">
        <v>553</v>
      </c>
      <c r="AN1464">
        <v>-116.886034</v>
      </c>
      <c r="AO1464">
        <v>25</v>
      </c>
      <c r="AP1464">
        <v>2600</v>
      </c>
      <c r="AQ1464" t="s">
        <v>129</v>
      </c>
      <c r="AR1464">
        <v>96</v>
      </c>
      <c r="AS1464">
        <v>-71</v>
      </c>
      <c r="AT1464">
        <v>192</v>
      </c>
      <c r="BB1464">
        <v>1200</v>
      </c>
      <c r="BC1464">
        <v>1</v>
      </c>
      <c r="BD1464" t="str">
        <f t="shared" si="492"/>
        <v xml:space="preserve">N887QR  </v>
      </c>
      <c r="BE1464">
        <v>1</v>
      </c>
      <c r="BG1464">
        <v>0</v>
      </c>
      <c r="BH1464">
        <v>0</v>
      </c>
      <c r="BI1464">
        <v>0</v>
      </c>
      <c r="BJ1464">
        <v>2275</v>
      </c>
      <c r="BK1464">
        <v>-325</v>
      </c>
      <c r="BL1464" t="s">
        <v>163</v>
      </c>
      <c r="BM1464">
        <v>1</v>
      </c>
      <c r="BN1464">
        <v>1</v>
      </c>
      <c r="BO1464">
        <v>1</v>
      </c>
      <c r="BP1464">
        <v>0</v>
      </c>
      <c r="BS1464">
        <v>0</v>
      </c>
      <c r="BT1464">
        <v>0</v>
      </c>
      <c r="BU1464">
        <v>0</v>
      </c>
      <c r="CE1464" t="str">
        <f t="shared" ref="CE1464:CE1470" si="511">"19:29:27.218"</f>
        <v>19:29:27.218</v>
      </c>
      <c r="CF1464">
        <v>218441264</v>
      </c>
      <c r="CS1464">
        <v>3</v>
      </c>
      <c r="CT1464">
        <v>2</v>
      </c>
      <c r="CU1464">
        <v>0</v>
      </c>
      <c r="CV1464">
        <v>2</v>
      </c>
      <c r="CW1464">
        <v>0</v>
      </c>
      <c r="CX1464">
        <v>6</v>
      </c>
      <c r="CY1464">
        <v>7</v>
      </c>
      <c r="CZ1464" t="s">
        <v>131</v>
      </c>
      <c r="DA1464">
        <v>300</v>
      </c>
      <c r="DB1464">
        <v>0</v>
      </c>
      <c r="DC1464" t="s">
        <v>176</v>
      </c>
      <c r="DD1464" t="s">
        <v>177</v>
      </c>
      <c r="DG1464">
        <v>5387301</v>
      </c>
      <c r="DI1464">
        <v>1</v>
      </c>
      <c r="DJ1464">
        <v>0</v>
      </c>
      <c r="DK1464">
        <v>0</v>
      </c>
      <c r="DL1464">
        <v>0</v>
      </c>
      <c r="DM1464">
        <v>0</v>
      </c>
      <c r="DN1464">
        <v>1</v>
      </c>
      <c r="DO1464">
        <v>0</v>
      </c>
      <c r="DP1464">
        <v>0</v>
      </c>
      <c r="DQ1464">
        <v>0</v>
      </c>
      <c r="DR1464">
        <v>0</v>
      </c>
      <c r="DS1464">
        <v>0</v>
      </c>
    </row>
    <row r="1465" spans="1:123" x14ac:dyDescent="0.3">
      <c r="A1465" t="str">
        <f>"10/04/2022 19:29:27.430"</f>
        <v>10/04/2022 19:29:27.430</v>
      </c>
      <c r="C1465" t="str">
        <f t="shared" si="505"/>
        <v>FFDFD3C0</v>
      </c>
      <c r="D1465" t="s">
        <v>147</v>
      </c>
      <c r="E1465">
        <v>3</v>
      </c>
      <c r="H1465">
        <v>166</v>
      </c>
      <c r="I1465" t="s">
        <v>144</v>
      </c>
      <c r="J1465" t="s">
        <v>148</v>
      </c>
      <c r="K1465">
        <v>0</v>
      </c>
      <c r="L1465">
        <v>3</v>
      </c>
      <c r="M1465">
        <v>0</v>
      </c>
      <c r="N1465">
        <v>2</v>
      </c>
      <c r="O1465">
        <v>0</v>
      </c>
      <c r="P1465">
        <v>1</v>
      </c>
      <c r="Q1465">
        <v>0</v>
      </c>
      <c r="S1465" t="str">
        <f t="shared" si="510"/>
        <v>19:29:27.000</v>
      </c>
      <c r="T1465" t="str">
        <f t="shared" si="510"/>
        <v>19:29:27.000</v>
      </c>
      <c r="U1465" t="str">
        <f t="shared" si="491"/>
        <v>AC3944</v>
      </c>
      <c r="V1465">
        <v>0</v>
      </c>
      <c r="W1465">
        <v>0</v>
      </c>
      <c r="X1465">
        <v>2</v>
      </c>
      <c r="Y1465">
        <v>0</v>
      </c>
      <c r="AA1465">
        <v>1</v>
      </c>
      <c r="AB1465">
        <v>8</v>
      </c>
      <c r="AC1465">
        <v>3</v>
      </c>
      <c r="AD1465">
        <v>0</v>
      </c>
      <c r="AE1465">
        <v>9</v>
      </c>
      <c r="AF1465" t="s">
        <v>138</v>
      </c>
      <c r="AG1465">
        <v>0</v>
      </c>
      <c r="AH1465">
        <v>3</v>
      </c>
      <c r="AI1465">
        <v>1</v>
      </c>
      <c r="AJ1465">
        <v>0</v>
      </c>
      <c r="AK1465" t="s">
        <v>552</v>
      </c>
      <c r="AL1465">
        <v>32.800004000000001</v>
      </c>
      <c r="AM1465" t="s">
        <v>553</v>
      </c>
      <c r="AN1465">
        <v>-116.886034</v>
      </c>
      <c r="AO1465">
        <v>25</v>
      </c>
      <c r="AP1465">
        <v>2600</v>
      </c>
      <c r="AQ1465" t="s">
        <v>129</v>
      </c>
      <c r="AR1465">
        <v>96</v>
      </c>
      <c r="AS1465">
        <v>-71</v>
      </c>
      <c r="AT1465">
        <v>192</v>
      </c>
      <c r="BB1465">
        <v>1200</v>
      </c>
      <c r="BC1465">
        <v>1</v>
      </c>
      <c r="BD1465" t="str">
        <f t="shared" si="492"/>
        <v xml:space="preserve">N887QR  </v>
      </c>
      <c r="BE1465">
        <v>1</v>
      </c>
      <c r="BG1465">
        <v>0</v>
      </c>
      <c r="BH1465">
        <v>0</v>
      </c>
      <c r="BI1465">
        <v>0</v>
      </c>
      <c r="BJ1465">
        <v>2275</v>
      </c>
      <c r="BK1465">
        <v>-325</v>
      </c>
      <c r="BL1465" t="s">
        <v>163</v>
      </c>
      <c r="BM1465">
        <v>1</v>
      </c>
      <c r="BN1465">
        <v>1</v>
      </c>
      <c r="BO1465">
        <v>1</v>
      </c>
      <c r="BP1465">
        <v>0</v>
      </c>
      <c r="BS1465">
        <v>0</v>
      </c>
      <c r="BT1465">
        <v>0</v>
      </c>
      <c r="BU1465">
        <v>0</v>
      </c>
      <c r="CE1465" t="str">
        <f t="shared" si="511"/>
        <v>19:29:27.218</v>
      </c>
      <c r="CF1465">
        <v>218441264</v>
      </c>
      <c r="CS1465">
        <v>3</v>
      </c>
      <c r="CT1465">
        <v>2</v>
      </c>
      <c r="CU1465">
        <v>0</v>
      </c>
      <c r="CV1465">
        <v>2</v>
      </c>
      <c r="CW1465">
        <v>0</v>
      </c>
      <c r="CX1465">
        <v>6</v>
      </c>
      <c r="CY1465">
        <v>7</v>
      </c>
      <c r="CZ1465" t="s">
        <v>131</v>
      </c>
      <c r="DA1465">
        <v>300</v>
      </c>
      <c r="DB1465">
        <v>0</v>
      </c>
      <c r="DC1465" t="s">
        <v>176</v>
      </c>
      <c r="DD1465" t="s">
        <v>177</v>
      </c>
      <c r="DG1465">
        <v>5387301</v>
      </c>
      <c r="DI1465">
        <v>1</v>
      </c>
      <c r="DJ1465">
        <v>0</v>
      </c>
      <c r="DK1465">
        <v>1</v>
      </c>
      <c r="DL1465">
        <v>0</v>
      </c>
      <c r="DM1465">
        <v>0</v>
      </c>
      <c r="DN1465">
        <v>1</v>
      </c>
      <c r="DO1465">
        <v>0</v>
      </c>
      <c r="DP1465">
        <v>0</v>
      </c>
      <c r="DQ1465">
        <v>0</v>
      </c>
      <c r="DR1465">
        <v>0</v>
      </c>
      <c r="DS1465">
        <v>0</v>
      </c>
    </row>
    <row r="1466" spans="1:123" x14ac:dyDescent="0.3">
      <c r="A1466" t="str">
        <f>"10/04/2022 19:29:27.446"</f>
        <v>10/04/2022 19:29:27.446</v>
      </c>
      <c r="C1466" t="str">
        <f t="shared" si="505"/>
        <v>FFDFD3C0</v>
      </c>
      <c r="D1466" t="s">
        <v>143</v>
      </c>
      <c r="E1466">
        <v>20</v>
      </c>
      <c r="F1466">
        <v>1020</v>
      </c>
      <c r="G1466" t="s">
        <v>144</v>
      </c>
      <c r="J1466" t="s">
        <v>145</v>
      </c>
      <c r="K1466">
        <v>0</v>
      </c>
      <c r="L1466">
        <v>3</v>
      </c>
      <c r="M1466">
        <v>0</v>
      </c>
      <c r="N1466">
        <v>2</v>
      </c>
      <c r="O1466">
        <v>0</v>
      </c>
      <c r="P1466">
        <v>1</v>
      </c>
      <c r="Q1466">
        <v>0</v>
      </c>
      <c r="S1466" t="str">
        <f t="shared" si="510"/>
        <v>19:29:27.000</v>
      </c>
      <c r="T1466" t="str">
        <f t="shared" si="510"/>
        <v>19:29:27.000</v>
      </c>
      <c r="U1466" t="str">
        <f t="shared" si="491"/>
        <v>AC3944</v>
      </c>
      <c r="V1466">
        <v>0</v>
      </c>
      <c r="W1466">
        <v>0</v>
      </c>
      <c r="X1466">
        <v>2</v>
      </c>
      <c r="Y1466">
        <v>0</v>
      </c>
      <c r="AA1466">
        <v>1</v>
      </c>
      <c r="AB1466">
        <v>8</v>
      </c>
      <c r="AC1466">
        <v>3</v>
      </c>
      <c r="AD1466">
        <v>0</v>
      </c>
      <c r="AE1466">
        <v>9</v>
      </c>
      <c r="AF1466" t="s">
        <v>138</v>
      </c>
      <c r="AG1466">
        <v>0</v>
      </c>
      <c r="AH1466">
        <v>3</v>
      </c>
      <c r="AI1466">
        <v>1</v>
      </c>
      <c r="AJ1466">
        <v>0</v>
      </c>
      <c r="AK1466" t="s">
        <v>552</v>
      </c>
      <c r="AL1466">
        <v>32.800004000000001</v>
      </c>
      <c r="AM1466" t="s">
        <v>553</v>
      </c>
      <c r="AN1466">
        <v>-116.886034</v>
      </c>
      <c r="AO1466">
        <v>25</v>
      </c>
      <c r="AP1466">
        <v>2600</v>
      </c>
      <c r="AQ1466" t="s">
        <v>129</v>
      </c>
      <c r="AR1466">
        <v>96</v>
      </c>
      <c r="AS1466">
        <v>-71</v>
      </c>
      <c r="AT1466">
        <v>192</v>
      </c>
      <c r="BB1466">
        <v>1200</v>
      </c>
      <c r="BC1466">
        <v>1</v>
      </c>
      <c r="BD1466" t="str">
        <f t="shared" si="492"/>
        <v xml:space="preserve">N887QR  </v>
      </c>
      <c r="BE1466">
        <v>1</v>
      </c>
      <c r="BG1466">
        <v>0</v>
      </c>
      <c r="BH1466">
        <v>0</v>
      </c>
      <c r="BI1466">
        <v>0</v>
      </c>
      <c r="BJ1466">
        <v>2275</v>
      </c>
      <c r="BK1466">
        <v>-325</v>
      </c>
      <c r="BL1466" t="s">
        <v>163</v>
      </c>
      <c r="BM1466">
        <v>1</v>
      </c>
      <c r="BN1466">
        <v>1</v>
      </c>
      <c r="BO1466">
        <v>1</v>
      </c>
      <c r="BP1466">
        <v>0</v>
      </c>
      <c r="BS1466">
        <v>0</v>
      </c>
      <c r="BT1466">
        <v>0</v>
      </c>
      <c r="BU1466">
        <v>0</v>
      </c>
      <c r="CE1466" t="str">
        <f t="shared" si="511"/>
        <v>19:29:27.218</v>
      </c>
      <c r="CF1466">
        <v>218441264</v>
      </c>
      <c r="CS1466">
        <v>3</v>
      </c>
      <c r="CT1466">
        <v>2</v>
      </c>
      <c r="CU1466">
        <v>0</v>
      </c>
      <c r="CV1466">
        <v>2</v>
      </c>
      <c r="CW1466">
        <v>0</v>
      </c>
      <c r="CX1466">
        <v>6</v>
      </c>
      <c r="CY1466">
        <v>7</v>
      </c>
      <c r="CZ1466" t="s">
        <v>131</v>
      </c>
      <c r="DA1466">
        <v>300</v>
      </c>
      <c r="DB1466">
        <v>0</v>
      </c>
      <c r="DC1466" t="s">
        <v>176</v>
      </c>
      <c r="DD1466" t="s">
        <v>177</v>
      </c>
      <c r="DG1466">
        <v>5387301</v>
      </c>
      <c r="DI1466">
        <v>1</v>
      </c>
      <c r="DJ1466">
        <v>0</v>
      </c>
      <c r="DK1466">
        <v>1</v>
      </c>
      <c r="DL1466">
        <v>0</v>
      </c>
      <c r="DM1466">
        <v>0</v>
      </c>
      <c r="DN1466">
        <v>1</v>
      </c>
      <c r="DO1466">
        <v>0</v>
      </c>
      <c r="DP1466">
        <v>0</v>
      </c>
      <c r="DQ1466">
        <v>0</v>
      </c>
      <c r="DR1466">
        <v>0</v>
      </c>
      <c r="DS1466">
        <v>0</v>
      </c>
    </row>
    <row r="1467" spans="1:123" x14ac:dyDescent="0.3">
      <c r="A1467" t="str">
        <f>"10/04/2022 19:29:27.446"</f>
        <v>10/04/2022 19:29:27.446</v>
      </c>
      <c r="C1467" t="str">
        <f t="shared" si="505"/>
        <v>FFDFD3C0</v>
      </c>
      <c r="D1467" t="s">
        <v>141</v>
      </c>
      <c r="E1467">
        <v>3</v>
      </c>
      <c r="H1467">
        <v>3</v>
      </c>
      <c r="I1467" t="s">
        <v>146</v>
      </c>
      <c r="J1467" t="s">
        <v>138</v>
      </c>
      <c r="K1467">
        <v>0</v>
      </c>
      <c r="L1467">
        <v>3</v>
      </c>
      <c r="M1467">
        <v>0</v>
      </c>
      <c r="N1467">
        <v>2</v>
      </c>
      <c r="O1467">
        <v>0</v>
      </c>
      <c r="P1467">
        <v>1</v>
      </c>
      <c r="Q1467">
        <v>0</v>
      </c>
      <c r="S1467" t="str">
        <f t="shared" si="510"/>
        <v>19:29:27.000</v>
      </c>
      <c r="T1467" t="str">
        <f t="shared" si="510"/>
        <v>19:29:27.000</v>
      </c>
      <c r="U1467" t="str">
        <f t="shared" si="491"/>
        <v>AC3944</v>
      </c>
      <c r="V1467">
        <v>0</v>
      </c>
      <c r="W1467">
        <v>0</v>
      </c>
      <c r="X1467">
        <v>2</v>
      </c>
      <c r="Y1467">
        <v>0</v>
      </c>
      <c r="AA1467">
        <v>1</v>
      </c>
      <c r="AB1467">
        <v>8</v>
      </c>
      <c r="AC1467">
        <v>3</v>
      </c>
      <c r="AD1467">
        <v>0</v>
      </c>
      <c r="AE1467">
        <v>9</v>
      </c>
      <c r="AF1467" t="s">
        <v>138</v>
      </c>
      <c r="AG1467">
        <v>0</v>
      </c>
      <c r="AH1467">
        <v>3</v>
      </c>
      <c r="AI1467">
        <v>1</v>
      </c>
      <c r="AJ1467">
        <v>0</v>
      </c>
      <c r="AK1467" t="s">
        <v>552</v>
      </c>
      <c r="AL1467">
        <v>32.800004000000001</v>
      </c>
      <c r="AM1467" t="s">
        <v>553</v>
      </c>
      <c r="AN1467">
        <v>-116.886034</v>
      </c>
      <c r="AO1467">
        <v>25</v>
      </c>
      <c r="AP1467">
        <v>2600</v>
      </c>
      <c r="AQ1467" t="s">
        <v>129</v>
      </c>
      <c r="AR1467">
        <v>96</v>
      </c>
      <c r="AS1467">
        <v>-71</v>
      </c>
      <c r="AT1467">
        <v>192</v>
      </c>
      <c r="BB1467">
        <v>1200</v>
      </c>
      <c r="BC1467">
        <v>1</v>
      </c>
      <c r="BD1467" t="str">
        <f t="shared" si="492"/>
        <v xml:space="preserve">N887QR  </v>
      </c>
      <c r="BE1467">
        <v>1</v>
      </c>
      <c r="BG1467">
        <v>0</v>
      </c>
      <c r="BH1467">
        <v>0</v>
      </c>
      <c r="BI1467">
        <v>0</v>
      </c>
      <c r="BJ1467">
        <v>2275</v>
      </c>
      <c r="BK1467">
        <v>-325</v>
      </c>
      <c r="BL1467" t="s">
        <v>163</v>
      </c>
      <c r="BM1467">
        <v>1</v>
      </c>
      <c r="BN1467">
        <v>1</v>
      </c>
      <c r="BO1467">
        <v>1</v>
      </c>
      <c r="BP1467">
        <v>0</v>
      </c>
      <c r="BS1467">
        <v>0</v>
      </c>
      <c r="BT1467">
        <v>0</v>
      </c>
      <c r="BU1467">
        <v>0</v>
      </c>
      <c r="CE1467" t="str">
        <f t="shared" si="511"/>
        <v>19:29:27.218</v>
      </c>
      <c r="CF1467">
        <v>218441264</v>
      </c>
      <c r="CS1467">
        <v>3</v>
      </c>
      <c r="CT1467">
        <v>2</v>
      </c>
      <c r="CU1467">
        <v>0</v>
      </c>
      <c r="CV1467">
        <v>2</v>
      </c>
      <c r="CW1467">
        <v>0</v>
      </c>
      <c r="CX1467">
        <v>6</v>
      </c>
      <c r="CY1467">
        <v>7</v>
      </c>
      <c r="CZ1467" t="s">
        <v>131</v>
      </c>
      <c r="DA1467">
        <v>300</v>
      </c>
      <c r="DB1467">
        <v>0</v>
      </c>
      <c r="DC1467" t="s">
        <v>176</v>
      </c>
      <c r="DD1467" t="s">
        <v>177</v>
      </c>
      <c r="DG1467">
        <v>5387301</v>
      </c>
      <c r="DI1467">
        <v>1</v>
      </c>
      <c r="DJ1467">
        <v>0</v>
      </c>
      <c r="DK1467">
        <v>1</v>
      </c>
      <c r="DL1467">
        <v>0</v>
      </c>
      <c r="DM1467">
        <v>0</v>
      </c>
      <c r="DN1467">
        <v>1</v>
      </c>
      <c r="DO1467">
        <v>0</v>
      </c>
      <c r="DP1467">
        <v>0</v>
      </c>
      <c r="DQ1467">
        <v>0</v>
      </c>
      <c r="DR1467">
        <v>0</v>
      </c>
      <c r="DS1467">
        <v>0</v>
      </c>
    </row>
    <row r="1468" spans="1:123" x14ac:dyDescent="0.3">
      <c r="A1468" t="str">
        <f>"10/04/2022 19:29:27.446"</f>
        <v>10/04/2022 19:29:27.446</v>
      </c>
      <c r="C1468" t="str">
        <f t="shared" si="505"/>
        <v>FFDFD3C0</v>
      </c>
      <c r="D1468" t="s">
        <v>123</v>
      </c>
      <c r="E1468">
        <v>7</v>
      </c>
      <c r="F1468">
        <v>2007</v>
      </c>
      <c r="G1468" t="s">
        <v>124</v>
      </c>
      <c r="J1468" t="s">
        <v>125</v>
      </c>
      <c r="K1468">
        <v>0</v>
      </c>
      <c r="L1468">
        <v>3</v>
      </c>
      <c r="M1468">
        <v>0</v>
      </c>
      <c r="N1468">
        <v>2</v>
      </c>
      <c r="O1468">
        <v>0</v>
      </c>
      <c r="P1468">
        <v>1</v>
      </c>
      <c r="Q1468">
        <v>0</v>
      </c>
      <c r="S1468" t="str">
        <f t="shared" si="510"/>
        <v>19:29:27.000</v>
      </c>
      <c r="T1468" t="str">
        <f t="shared" si="510"/>
        <v>19:29:27.000</v>
      </c>
      <c r="U1468" t="str">
        <f t="shared" si="491"/>
        <v>AC3944</v>
      </c>
      <c r="V1468">
        <v>0</v>
      </c>
      <c r="W1468">
        <v>0</v>
      </c>
      <c r="X1468">
        <v>2</v>
      </c>
      <c r="Y1468">
        <v>0</v>
      </c>
      <c r="AA1468">
        <v>1</v>
      </c>
      <c r="AB1468">
        <v>8</v>
      </c>
      <c r="AC1468">
        <v>3</v>
      </c>
      <c r="AD1468">
        <v>0</v>
      </c>
      <c r="AE1468">
        <v>9</v>
      </c>
      <c r="AF1468" t="s">
        <v>138</v>
      </c>
      <c r="AG1468">
        <v>0</v>
      </c>
      <c r="AH1468">
        <v>3</v>
      </c>
      <c r="AI1468">
        <v>1</v>
      </c>
      <c r="AJ1468">
        <v>0</v>
      </c>
      <c r="AK1468" t="s">
        <v>552</v>
      </c>
      <c r="AL1468">
        <v>32.800004000000001</v>
      </c>
      <c r="AM1468" t="s">
        <v>553</v>
      </c>
      <c r="AN1468">
        <v>-116.886034</v>
      </c>
      <c r="AO1468">
        <v>25</v>
      </c>
      <c r="AP1468">
        <v>2600</v>
      </c>
      <c r="AQ1468" t="s">
        <v>129</v>
      </c>
      <c r="AR1468">
        <v>96</v>
      </c>
      <c r="AS1468">
        <v>-71</v>
      </c>
      <c r="AT1468">
        <v>192</v>
      </c>
      <c r="BB1468">
        <v>1200</v>
      </c>
      <c r="BC1468">
        <v>1</v>
      </c>
      <c r="BD1468" t="str">
        <f t="shared" si="492"/>
        <v xml:space="preserve">N887QR  </v>
      </c>
      <c r="BE1468">
        <v>1</v>
      </c>
      <c r="BG1468">
        <v>0</v>
      </c>
      <c r="BH1468">
        <v>0</v>
      </c>
      <c r="BI1468">
        <v>0</v>
      </c>
      <c r="BJ1468">
        <v>2275</v>
      </c>
      <c r="BK1468">
        <v>-325</v>
      </c>
      <c r="BL1468" t="s">
        <v>163</v>
      </c>
      <c r="BM1468">
        <v>1</v>
      </c>
      <c r="BN1468">
        <v>1</v>
      </c>
      <c r="BO1468">
        <v>1</v>
      </c>
      <c r="BP1468">
        <v>0</v>
      </c>
      <c r="BS1468">
        <v>0</v>
      </c>
      <c r="BT1468">
        <v>0</v>
      </c>
      <c r="BU1468">
        <v>0</v>
      </c>
      <c r="CE1468" t="str">
        <f t="shared" si="511"/>
        <v>19:29:27.218</v>
      </c>
      <c r="CF1468">
        <v>218441264</v>
      </c>
      <c r="CS1468">
        <v>3</v>
      </c>
      <c r="CT1468">
        <v>2</v>
      </c>
      <c r="CU1468">
        <v>0</v>
      </c>
      <c r="CV1468">
        <v>2</v>
      </c>
      <c r="CW1468">
        <v>0</v>
      </c>
      <c r="CX1468">
        <v>6</v>
      </c>
      <c r="CY1468">
        <v>7</v>
      </c>
      <c r="CZ1468" t="s">
        <v>131</v>
      </c>
      <c r="DA1468">
        <v>300</v>
      </c>
      <c r="DB1468">
        <v>0</v>
      </c>
      <c r="DC1468" t="s">
        <v>176</v>
      </c>
      <c r="DD1468" t="s">
        <v>177</v>
      </c>
      <c r="DG1468">
        <v>5387301</v>
      </c>
      <c r="DI1468">
        <v>1</v>
      </c>
      <c r="DJ1468">
        <v>0</v>
      </c>
      <c r="DK1468">
        <v>1</v>
      </c>
      <c r="DL1468">
        <v>0</v>
      </c>
      <c r="DM1468">
        <v>0</v>
      </c>
      <c r="DN1468">
        <v>1</v>
      </c>
      <c r="DO1468">
        <v>0</v>
      </c>
      <c r="DP1468">
        <v>0</v>
      </c>
      <c r="DQ1468">
        <v>0</v>
      </c>
      <c r="DR1468">
        <v>0</v>
      </c>
      <c r="DS1468">
        <v>0</v>
      </c>
    </row>
    <row r="1469" spans="1:123" x14ac:dyDescent="0.3">
      <c r="A1469" t="str">
        <f>"10/04/2022 19:29:27.446"</f>
        <v>10/04/2022 19:29:27.446</v>
      </c>
      <c r="C1469" t="str">
        <f t="shared" si="505"/>
        <v>FFDFD3C0</v>
      </c>
      <c r="D1469" t="s">
        <v>136</v>
      </c>
      <c r="E1469">
        <v>8</v>
      </c>
      <c r="H1469">
        <v>225</v>
      </c>
      <c r="I1469" t="s">
        <v>137</v>
      </c>
      <c r="J1469" t="s">
        <v>138</v>
      </c>
      <c r="K1469">
        <v>0</v>
      </c>
      <c r="L1469">
        <v>3</v>
      </c>
      <c r="M1469">
        <v>0</v>
      </c>
      <c r="N1469">
        <v>2</v>
      </c>
      <c r="O1469">
        <v>0</v>
      </c>
      <c r="P1469">
        <v>1</v>
      </c>
      <c r="Q1469">
        <v>0</v>
      </c>
      <c r="S1469" t="str">
        <f t="shared" si="510"/>
        <v>19:29:27.000</v>
      </c>
      <c r="T1469" t="str">
        <f t="shared" si="510"/>
        <v>19:29:27.000</v>
      </c>
      <c r="U1469" t="str">
        <f t="shared" si="491"/>
        <v>AC3944</v>
      </c>
      <c r="V1469">
        <v>0</v>
      </c>
      <c r="W1469">
        <v>0</v>
      </c>
      <c r="X1469">
        <v>2</v>
      </c>
      <c r="Y1469">
        <v>0</v>
      </c>
      <c r="AA1469">
        <v>1</v>
      </c>
      <c r="AB1469">
        <v>8</v>
      </c>
      <c r="AC1469">
        <v>3</v>
      </c>
      <c r="AD1469">
        <v>0</v>
      </c>
      <c r="AE1469">
        <v>9</v>
      </c>
      <c r="AF1469" t="s">
        <v>138</v>
      </c>
      <c r="AG1469">
        <v>0</v>
      </c>
      <c r="AH1469">
        <v>3</v>
      </c>
      <c r="AI1469">
        <v>1</v>
      </c>
      <c r="AJ1469">
        <v>0</v>
      </c>
      <c r="AK1469" t="s">
        <v>552</v>
      </c>
      <c r="AL1469">
        <v>32.800004000000001</v>
      </c>
      <c r="AM1469" t="s">
        <v>553</v>
      </c>
      <c r="AN1469">
        <v>-116.886034</v>
      </c>
      <c r="AO1469">
        <v>25</v>
      </c>
      <c r="AP1469">
        <v>2600</v>
      </c>
      <c r="AQ1469" t="s">
        <v>129</v>
      </c>
      <c r="AR1469">
        <v>96</v>
      </c>
      <c r="AS1469">
        <v>-71</v>
      </c>
      <c r="AT1469">
        <v>192</v>
      </c>
      <c r="BB1469">
        <v>1200</v>
      </c>
      <c r="BC1469">
        <v>1</v>
      </c>
      <c r="BD1469" t="str">
        <f t="shared" si="492"/>
        <v xml:space="preserve">N887QR  </v>
      </c>
      <c r="BE1469">
        <v>1</v>
      </c>
      <c r="BG1469">
        <v>0</v>
      </c>
      <c r="BH1469">
        <v>0</v>
      </c>
      <c r="BI1469">
        <v>0</v>
      </c>
      <c r="BJ1469">
        <v>2275</v>
      </c>
      <c r="BK1469">
        <v>-325</v>
      </c>
      <c r="BL1469" t="s">
        <v>163</v>
      </c>
      <c r="BM1469">
        <v>1</v>
      </c>
      <c r="BN1469">
        <v>1</v>
      </c>
      <c r="BO1469">
        <v>1</v>
      </c>
      <c r="BP1469">
        <v>0</v>
      </c>
      <c r="BS1469">
        <v>0</v>
      </c>
      <c r="BT1469">
        <v>0</v>
      </c>
      <c r="BU1469">
        <v>0</v>
      </c>
      <c r="CE1469" t="str">
        <f t="shared" si="511"/>
        <v>19:29:27.218</v>
      </c>
      <c r="CF1469">
        <v>218441264</v>
      </c>
      <c r="CS1469">
        <v>3</v>
      </c>
      <c r="CT1469">
        <v>2</v>
      </c>
      <c r="CU1469">
        <v>0</v>
      </c>
      <c r="CV1469">
        <v>2</v>
      </c>
      <c r="CW1469">
        <v>0</v>
      </c>
      <c r="CX1469">
        <v>6</v>
      </c>
      <c r="CY1469">
        <v>7</v>
      </c>
      <c r="CZ1469" t="s">
        <v>131</v>
      </c>
      <c r="DA1469">
        <v>300</v>
      </c>
      <c r="DB1469">
        <v>0</v>
      </c>
      <c r="DC1469" t="s">
        <v>176</v>
      </c>
      <c r="DD1469" t="s">
        <v>177</v>
      </c>
      <c r="DG1469">
        <v>5387301</v>
      </c>
      <c r="DI1469">
        <v>1</v>
      </c>
      <c r="DJ1469">
        <v>0</v>
      </c>
      <c r="DK1469">
        <v>1</v>
      </c>
      <c r="DL1469">
        <v>0</v>
      </c>
      <c r="DM1469">
        <v>0</v>
      </c>
      <c r="DN1469">
        <v>1</v>
      </c>
      <c r="DO1469">
        <v>0</v>
      </c>
      <c r="DP1469">
        <v>0</v>
      </c>
      <c r="DQ1469">
        <v>0</v>
      </c>
      <c r="DR1469">
        <v>0</v>
      </c>
      <c r="DS1469">
        <v>0</v>
      </c>
    </row>
    <row r="1470" spans="1:123" x14ac:dyDescent="0.3">
      <c r="A1470" t="str">
        <f>"10/04/2022 19:29:27.446"</f>
        <v>10/04/2022 19:29:27.446</v>
      </c>
      <c r="C1470" t="str">
        <f t="shared" si="505"/>
        <v>FFDFD3C0</v>
      </c>
      <c r="D1470" t="s">
        <v>134</v>
      </c>
      <c r="E1470">
        <v>15</v>
      </c>
      <c r="J1470" t="s">
        <v>135</v>
      </c>
      <c r="K1470">
        <v>0</v>
      </c>
      <c r="L1470">
        <v>3</v>
      </c>
      <c r="M1470">
        <v>0</v>
      </c>
      <c r="N1470">
        <v>2</v>
      </c>
      <c r="O1470">
        <v>0</v>
      </c>
      <c r="P1470">
        <v>1</v>
      </c>
      <c r="Q1470">
        <v>0</v>
      </c>
      <c r="S1470" t="str">
        <f t="shared" si="510"/>
        <v>19:29:27.000</v>
      </c>
      <c r="T1470" t="str">
        <f t="shared" si="510"/>
        <v>19:29:27.000</v>
      </c>
      <c r="U1470" t="str">
        <f t="shared" si="491"/>
        <v>AC3944</v>
      </c>
      <c r="V1470">
        <v>0</v>
      </c>
      <c r="W1470">
        <v>0</v>
      </c>
      <c r="X1470">
        <v>2</v>
      </c>
      <c r="Y1470">
        <v>0</v>
      </c>
      <c r="AA1470">
        <v>1</v>
      </c>
      <c r="AB1470">
        <v>8</v>
      </c>
      <c r="AC1470">
        <v>3</v>
      </c>
      <c r="AD1470">
        <v>0</v>
      </c>
      <c r="AE1470">
        <v>9</v>
      </c>
      <c r="AF1470" t="s">
        <v>138</v>
      </c>
      <c r="AG1470">
        <v>0</v>
      </c>
      <c r="AH1470">
        <v>3</v>
      </c>
      <c r="AI1470">
        <v>1</v>
      </c>
      <c r="AJ1470">
        <v>0</v>
      </c>
      <c r="AK1470" t="s">
        <v>552</v>
      </c>
      <c r="AL1470">
        <v>32.800004000000001</v>
      </c>
      <c r="AM1470" t="s">
        <v>553</v>
      </c>
      <c r="AN1470">
        <v>-116.886034</v>
      </c>
      <c r="AO1470">
        <v>25</v>
      </c>
      <c r="AP1470">
        <v>2600</v>
      </c>
      <c r="AQ1470" t="s">
        <v>129</v>
      </c>
      <c r="AR1470">
        <v>96</v>
      </c>
      <c r="AS1470">
        <v>-71</v>
      </c>
      <c r="AT1470">
        <v>192</v>
      </c>
      <c r="BB1470">
        <v>1200</v>
      </c>
      <c r="BC1470">
        <v>1</v>
      </c>
      <c r="BD1470" t="str">
        <f t="shared" si="492"/>
        <v xml:space="preserve">N887QR  </v>
      </c>
      <c r="BE1470">
        <v>1</v>
      </c>
      <c r="BG1470">
        <v>0</v>
      </c>
      <c r="BH1470">
        <v>0</v>
      </c>
      <c r="BI1470">
        <v>0</v>
      </c>
      <c r="BJ1470">
        <v>2275</v>
      </c>
      <c r="BK1470">
        <v>-325</v>
      </c>
      <c r="BL1470" t="s">
        <v>163</v>
      </c>
      <c r="BM1470">
        <v>1</v>
      </c>
      <c r="BN1470">
        <v>1</v>
      </c>
      <c r="BO1470">
        <v>1</v>
      </c>
      <c r="BP1470">
        <v>0</v>
      </c>
      <c r="BS1470">
        <v>0</v>
      </c>
      <c r="BT1470">
        <v>0</v>
      </c>
      <c r="BU1470">
        <v>0</v>
      </c>
      <c r="CE1470" t="str">
        <f t="shared" si="511"/>
        <v>19:29:27.218</v>
      </c>
      <c r="CF1470">
        <v>218441264</v>
      </c>
      <c r="CS1470">
        <v>3</v>
      </c>
      <c r="CT1470">
        <v>2</v>
      </c>
      <c r="CU1470">
        <v>0</v>
      </c>
      <c r="CV1470">
        <v>2</v>
      </c>
      <c r="CW1470">
        <v>0</v>
      </c>
      <c r="CX1470">
        <v>6</v>
      </c>
      <c r="CY1470">
        <v>7</v>
      </c>
      <c r="CZ1470" t="s">
        <v>131</v>
      </c>
      <c r="DA1470">
        <v>300</v>
      </c>
      <c r="DB1470">
        <v>0</v>
      </c>
      <c r="DC1470" t="s">
        <v>176</v>
      </c>
      <c r="DD1470" t="s">
        <v>177</v>
      </c>
      <c r="DG1470">
        <v>5387301</v>
      </c>
      <c r="DI1470">
        <v>1</v>
      </c>
      <c r="DJ1470">
        <v>0</v>
      </c>
      <c r="DK1470">
        <v>1</v>
      </c>
      <c r="DL1470">
        <v>0</v>
      </c>
      <c r="DM1470">
        <v>0</v>
      </c>
      <c r="DN1470">
        <v>1</v>
      </c>
      <c r="DO1470">
        <v>0</v>
      </c>
      <c r="DP1470">
        <v>0</v>
      </c>
      <c r="DQ1470">
        <v>0</v>
      </c>
      <c r="DR1470">
        <v>0</v>
      </c>
      <c r="DS1470">
        <v>0</v>
      </c>
    </row>
    <row r="1471" spans="1:123" x14ac:dyDescent="0.3">
      <c r="A1471" t="str">
        <f>"10/04/2022 19:29:28.509"</f>
        <v>10/04/2022 19:29:28.509</v>
      </c>
      <c r="C1471" t="str">
        <f t="shared" si="505"/>
        <v>FFDFD3C0</v>
      </c>
      <c r="D1471" t="s">
        <v>141</v>
      </c>
      <c r="E1471">
        <v>3</v>
      </c>
      <c r="H1471">
        <v>3</v>
      </c>
      <c r="I1471" t="s">
        <v>146</v>
      </c>
      <c r="J1471" t="s">
        <v>138</v>
      </c>
      <c r="K1471">
        <v>0</v>
      </c>
      <c r="L1471">
        <v>3</v>
      </c>
      <c r="M1471">
        <v>0</v>
      </c>
      <c r="N1471">
        <v>2</v>
      </c>
      <c r="O1471">
        <v>0</v>
      </c>
      <c r="P1471">
        <v>1</v>
      </c>
      <c r="Q1471">
        <v>0</v>
      </c>
      <c r="S1471" t="str">
        <f t="shared" ref="S1471:T1477" si="512">"19:29:28.000"</f>
        <v>19:29:28.000</v>
      </c>
      <c r="T1471" t="str">
        <f t="shared" si="512"/>
        <v>19:29:28.000</v>
      </c>
      <c r="U1471" t="str">
        <f t="shared" si="491"/>
        <v>AC3944</v>
      </c>
      <c r="V1471">
        <v>0</v>
      </c>
      <c r="W1471">
        <v>0</v>
      </c>
      <c r="X1471">
        <v>2</v>
      </c>
      <c r="Y1471">
        <v>0</v>
      </c>
      <c r="AA1471">
        <v>1</v>
      </c>
      <c r="AB1471">
        <v>8</v>
      </c>
      <c r="AC1471">
        <v>3</v>
      </c>
      <c r="AD1471">
        <v>0</v>
      </c>
      <c r="AE1471">
        <v>9</v>
      </c>
      <c r="AF1471" t="s">
        <v>138</v>
      </c>
      <c r="AG1471">
        <v>0</v>
      </c>
      <c r="AH1471">
        <v>3</v>
      </c>
      <c r="AI1471">
        <v>1</v>
      </c>
      <c r="AJ1471">
        <v>0</v>
      </c>
      <c r="AK1471" t="s">
        <v>554</v>
      </c>
      <c r="AL1471">
        <v>32.799747000000004</v>
      </c>
      <c r="AM1471" t="s">
        <v>555</v>
      </c>
      <c r="AN1471">
        <v>-116.885605</v>
      </c>
      <c r="AO1471">
        <v>25</v>
      </c>
      <c r="AP1471">
        <v>2600</v>
      </c>
      <c r="AQ1471" t="s">
        <v>129</v>
      </c>
      <c r="AR1471">
        <v>96</v>
      </c>
      <c r="AS1471">
        <v>-71</v>
      </c>
      <c r="AT1471">
        <v>256</v>
      </c>
      <c r="BB1471">
        <v>1200</v>
      </c>
      <c r="BC1471">
        <v>1</v>
      </c>
      <c r="BD1471" t="str">
        <f t="shared" si="492"/>
        <v xml:space="preserve">N887QR  </v>
      </c>
      <c r="BE1471">
        <v>1</v>
      </c>
      <c r="BG1471">
        <v>0</v>
      </c>
      <c r="BH1471">
        <v>0</v>
      </c>
      <c r="BI1471">
        <v>0</v>
      </c>
      <c r="BJ1471">
        <v>2275</v>
      </c>
      <c r="BK1471">
        <v>-325</v>
      </c>
      <c r="BL1471" t="s">
        <v>163</v>
      </c>
      <c r="BM1471">
        <v>1</v>
      </c>
      <c r="BN1471">
        <v>1</v>
      </c>
      <c r="BO1471">
        <v>1</v>
      </c>
      <c r="BP1471">
        <v>0</v>
      </c>
      <c r="BS1471">
        <v>0</v>
      </c>
      <c r="BT1471">
        <v>0</v>
      </c>
      <c r="BU1471">
        <v>0</v>
      </c>
      <c r="CE1471" t="str">
        <f t="shared" ref="CE1471:CE1477" si="513">"19:29:28.322"</f>
        <v>19:29:28.322</v>
      </c>
      <c r="CF1471">
        <v>322444935</v>
      </c>
      <c r="CS1471">
        <v>3</v>
      </c>
      <c r="CT1471">
        <v>2</v>
      </c>
      <c r="CU1471">
        <v>0</v>
      </c>
      <c r="CV1471">
        <v>2</v>
      </c>
      <c r="CW1471">
        <v>0</v>
      </c>
      <c r="CX1471">
        <v>6</v>
      </c>
      <c r="CY1471">
        <v>7</v>
      </c>
      <c r="CZ1471" t="s">
        <v>131</v>
      </c>
      <c r="DA1471">
        <v>300</v>
      </c>
      <c r="DB1471">
        <v>0</v>
      </c>
      <c r="DC1471" t="s">
        <v>176</v>
      </c>
      <c r="DD1471" t="s">
        <v>177</v>
      </c>
      <c r="DG1471">
        <v>5387452</v>
      </c>
      <c r="DI1471">
        <v>1</v>
      </c>
      <c r="DJ1471">
        <v>0</v>
      </c>
      <c r="DK1471">
        <v>0</v>
      </c>
      <c r="DL1471">
        <v>0</v>
      </c>
      <c r="DM1471">
        <v>0</v>
      </c>
      <c r="DN1471">
        <v>1</v>
      </c>
      <c r="DO1471">
        <v>0</v>
      </c>
      <c r="DP1471">
        <v>0</v>
      </c>
      <c r="DQ1471">
        <v>0</v>
      </c>
      <c r="DR1471">
        <v>0</v>
      </c>
      <c r="DS1471">
        <v>0</v>
      </c>
    </row>
    <row r="1472" spans="1:123" x14ac:dyDescent="0.3">
      <c r="A1472" t="str">
        <f>"10/04/2022 19:29:28.509"</f>
        <v>10/04/2022 19:29:28.509</v>
      </c>
      <c r="C1472" t="str">
        <f t="shared" si="505"/>
        <v>FFDFD3C0</v>
      </c>
      <c r="D1472" t="s">
        <v>123</v>
      </c>
      <c r="E1472">
        <v>7</v>
      </c>
      <c r="F1472">
        <v>2007</v>
      </c>
      <c r="G1472" t="s">
        <v>124</v>
      </c>
      <c r="J1472" t="s">
        <v>125</v>
      </c>
      <c r="K1472">
        <v>0</v>
      </c>
      <c r="L1472">
        <v>3</v>
      </c>
      <c r="M1472">
        <v>0</v>
      </c>
      <c r="N1472">
        <v>2</v>
      </c>
      <c r="O1472">
        <v>0</v>
      </c>
      <c r="P1472">
        <v>1</v>
      </c>
      <c r="Q1472">
        <v>0</v>
      </c>
      <c r="S1472" t="str">
        <f t="shared" si="512"/>
        <v>19:29:28.000</v>
      </c>
      <c r="T1472" t="str">
        <f t="shared" si="512"/>
        <v>19:29:28.000</v>
      </c>
      <c r="U1472" t="str">
        <f t="shared" si="491"/>
        <v>AC3944</v>
      </c>
      <c r="V1472">
        <v>0</v>
      </c>
      <c r="W1472">
        <v>0</v>
      </c>
      <c r="X1472">
        <v>2</v>
      </c>
      <c r="Y1472">
        <v>0</v>
      </c>
      <c r="AA1472">
        <v>1</v>
      </c>
      <c r="AB1472">
        <v>8</v>
      </c>
      <c r="AC1472">
        <v>3</v>
      </c>
      <c r="AD1472">
        <v>0</v>
      </c>
      <c r="AE1472">
        <v>9</v>
      </c>
      <c r="AF1472" t="s">
        <v>138</v>
      </c>
      <c r="AG1472">
        <v>0</v>
      </c>
      <c r="AH1472">
        <v>3</v>
      </c>
      <c r="AI1472">
        <v>1</v>
      </c>
      <c r="AJ1472">
        <v>0</v>
      </c>
      <c r="AK1472" t="s">
        <v>554</v>
      </c>
      <c r="AL1472">
        <v>32.799747000000004</v>
      </c>
      <c r="AM1472" t="s">
        <v>555</v>
      </c>
      <c r="AN1472">
        <v>-116.885605</v>
      </c>
      <c r="AO1472">
        <v>25</v>
      </c>
      <c r="AP1472">
        <v>2600</v>
      </c>
      <c r="AQ1472" t="s">
        <v>129</v>
      </c>
      <c r="AR1472">
        <v>96</v>
      </c>
      <c r="AS1472">
        <v>-71</v>
      </c>
      <c r="AT1472">
        <v>256</v>
      </c>
      <c r="BB1472">
        <v>1200</v>
      </c>
      <c r="BC1472">
        <v>1</v>
      </c>
      <c r="BD1472" t="str">
        <f t="shared" si="492"/>
        <v xml:space="preserve">N887QR  </v>
      </c>
      <c r="BE1472">
        <v>1</v>
      </c>
      <c r="BG1472">
        <v>0</v>
      </c>
      <c r="BH1472">
        <v>0</v>
      </c>
      <c r="BI1472">
        <v>0</v>
      </c>
      <c r="BJ1472">
        <v>2275</v>
      </c>
      <c r="BK1472">
        <v>-325</v>
      </c>
      <c r="BL1472" t="s">
        <v>163</v>
      </c>
      <c r="BM1472">
        <v>1</v>
      </c>
      <c r="BN1472">
        <v>1</v>
      </c>
      <c r="BO1472">
        <v>1</v>
      </c>
      <c r="BP1472">
        <v>0</v>
      </c>
      <c r="BS1472">
        <v>0</v>
      </c>
      <c r="BT1472">
        <v>0</v>
      </c>
      <c r="BU1472">
        <v>0</v>
      </c>
      <c r="CE1472" t="str">
        <f t="shared" si="513"/>
        <v>19:29:28.322</v>
      </c>
      <c r="CF1472">
        <v>322444935</v>
      </c>
      <c r="CS1472">
        <v>3</v>
      </c>
      <c r="CT1472">
        <v>2</v>
      </c>
      <c r="CU1472">
        <v>0</v>
      </c>
      <c r="CV1472">
        <v>2</v>
      </c>
      <c r="CW1472">
        <v>0</v>
      </c>
      <c r="CX1472">
        <v>6</v>
      </c>
      <c r="CY1472">
        <v>7</v>
      </c>
      <c r="CZ1472" t="s">
        <v>131</v>
      </c>
      <c r="DA1472">
        <v>300</v>
      </c>
      <c r="DB1472">
        <v>0</v>
      </c>
      <c r="DC1472" t="s">
        <v>176</v>
      </c>
      <c r="DD1472" t="s">
        <v>177</v>
      </c>
      <c r="DG1472">
        <v>5387452</v>
      </c>
      <c r="DI1472">
        <v>1</v>
      </c>
      <c r="DJ1472">
        <v>0</v>
      </c>
      <c r="DK1472">
        <v>1</v>
      </c>
      <c r="DL1472">
        <v>0</v>
      </c>
      <c r="DM1472">
        <v>0</v>
      </c>
      <c r="DN1472">
        <v>1</v>
      </c>
      <c r="DO1472">
        <v>0</v>
      </c>
      <c r="DP1472">
        <v>0</v>
      </c>
      <c r="DQ1472">
        <v>0</v>
      </c>
      <c r="DR1472">
        <v>0</v>
      </c>
      <c r="DS1472">
        <v>0</v>
      </c>
    </row>
    <row r="1473" spans="1:123" x14ac:dyDescent="0.3">
      <c r="A1473" t="str">
        <f>"10/04/2022 19:29:28.509"</f>
        <v>10/04/2022 19:29:28.509</v>
      </c>
      <c r="C1473" t="str">
        <f t="shared" si="505"/>
        <v>FFDFD3C0</v>
      </c>
      <c r="D1473" t="s">
        <v>136</v>
      </c>
      <c r="E1473">
        <v>8</v>
      </c>
      <c r="H1473">
        <v>225</v>
      </c>
      <c r="I1473" t="s">
        <v>137</v>
      </c>
      <c r="J1473" t="s">
        <v>138</v>
      </c>
      <c r="K1473">
        <v>0</v>
      </c>
      <c r="L1473">
        <v>3</v>
      </c>
      <c r="M1473">
        <v>0</v>
      </c>
      <c r="N1473">
        <v>2</v>
      </c>
      <c r="O1473">
        <v>0</v>
      </c>
      <c r="P1473">
        <v>1</v>
      </c>
      <c r="Q1473">
        <v>0</v>
      </c>
      <c r="S1473" t="str">
        <f t="shared" si="512"/>
        <v>19:29:28.000</v>
      </c>
      <c r="T1473" t="str">
        <f t="shared" si="512"/>
        <v>19:29:28.000</v>
      </c>
      <c r="U1473" t="str">
        <f t="shared" si="491"/>
        <v>AC3944</v>
      </c>
      <c r="V1473">
        <v>0</v>
      </c>
      <c r="W1473">
        <v>0</v>
      </c>
      <c r="X1473">
        <v>2</v>
      </c>
      <c r="Y1473">
        <v>0</v>
      </c>
      <c r="AA1473">
        <v>1</v>
      </c>
      <c r="AB1473">
        <v>8</v>
      </c>
      <c r="AC1473">
        <v>3</v>
      </c>
      <c r="AD1473">
        <v>0</v>
      </c>
      <c r="AE1473">
        <v>9</v>
      </c>
      <c r="AF1473" t="s">
        <v>138</v>
      </c>
      <c r="AG1473">
        <v>0</v>
      </c>
      <c r="AH1473">
        <v>3</v>
      </c>
      <c r="AI1473">
        <v>1</v>
      </c>
      <c r="AJ1473">
        <v>0</v>
      </c>
      <c r="AK1473" t="s">
        <v>554</v>
      </c>
      <c r="AL1473">
        <v>32.799747000000004</v>
      </c>
      <c r="AM1473" t="s">
        <v>555</v>
      </c>
      <c r="AN1473">
        <v>-116.885605</v>
      </c>
      <c r="AO1473">
        <v>25</v>
      </c>
      <c r="AP1473">
        <v>2600</v>
      </c>
      <c r="AQ1473" t="s">
        <v>129</v>
      </c>
      <c r="AR1473">
        <v>96</v>
      </c>
      <c r="AS1473">
        <v>-71</v>
      </c>
      <c r="AT1473">
        <v>256</v>
      </c>
      <c r="BB1473">
        <v>1200</v>
      </c>
      <c r="BC1473">
        <v>1</v>
      </c>
      <c r="BD1473" t="str">
        <f t="shared" si="492"/>
        <v xml:space="preserve">N887QR  </v>
      </c>
      <c r="BE1473">
        <v>1</v>
      </c>
      <c r="BG1473">
        <v>0</v>
      </c>
      <c r="BH1473">
        <v>0</v>
      </c>
      <c r="BI1473">
        <v>0</v>
      </c>
      <c r="BJ1473">
        <v>2275</v>
      </c>
      <c r="BK1473">
        <v>-325</v>
      </c>
      <c r="BL1473" t="s">
        <v>163</v>
      </c>
      <c r="BM1473">
        <v>1</v>
      </c>
      <c r="BN1473">
        <v>1</v>
      </c>
      <c r="BO1473">
        <v>1</v>
      </c>
      <c r="BP1473">
        <v>0</v>
      </c>
      <c r="BS1473">
        <v>0</v>
      </c>
      <c r="BT1473">
        <v>0</v>
      </c>
      <c r="BU1473">
        <v>0</v>
      </c>
      <c r="CE1473" t="str">
        <f t="shared" si="513"/>
        <v>19:29:28.322</v>
      </c>
      <c r="CF1473">
        <v>322444935</v>
      </c>
      <c r="CS1473">
        <v>3</v>
      </c>
      <c r="CT1473">
        <v>2</v>
      </c>
      <c r="CU1473">
        <v>0</v>
      </c>
      <c r="CV1473">
        <v>2</v>
      </c>
      <c r="CW1473">
        <v>0</v>
      </c>
      <c r="CX1473">
        <v>6</v>
      </c>
      <c r="CY1473">
        <v>7</v>
      </c>
      <c r="CZ1473" t="s">
        <v>131</v>
      </c>
      <c r="DA1473">
        <v>300</v>
      </c>
      <c r="DB1473">
        <v>0</v>
      </c>
      <c r="DC1473" t="s">
        <v>176</v>
      </c>
      <c r="DD1473" t="s">
        <v>177</v>
      </c>
      <c r="DG1473">
        <v>5387452</v>
      </c>
      <c r="DI1473">
        <v>1</v>
      </c>
      <c r="DJ1473">
        <v>0</v>
      </c>
      <c r="DK1473">
        <v>1</v>
      </c>
      <c r="DL1473">
        <v>0</v>
      </c>
      <c r="DM1473">
        <v>0</v>
      </c>
      <c r="DN1473">
        <v>1</v>
      </c>
      <c r="DO1473">
        <v>0</v>
      </c>
      <c r="DP1473">
        <v>0</v>
      </c>
      <c r="DQ1473">
        <v>0</v>
      </c>
      <c r="DR1473">
        <v>0</v>
      </c>
      <c r="DS1473">
        <v>0</v>
      </c>
    </row>
    <row r="1474" spans="1:123" x14ac:dyDescent="0.3">
      <c r="A1474" t="str">
        <f>"10/04/2022 19:29:28.524"</f>
        <v>10/04/2022 19:29:28.524</v>
      </c>
      <c r="C1474" t="str">
        <f t="shared" si="505"/>
        <v>FFDFD3C0</v>
      </c>
      <c r="D1474" t="s">
        <v>134</v>
      </c>
      <c r="E1474">
        <v>15</v>
      </c>
      <c r="J1474" t="s">
        <v>135</v>
      </c>
      <c r="K1474">
        <v>0</v>
      </c>
      <c r="L1474">
        <v>3</v>
      </c>
      <c r="M1474">
        <v>0</v>
      </c>
      <c r="N1474">
        <v>2</v>
      </c>
      <c r="O1474">
        <v>0</v>
      </c>
      <c r="P1474">
        <v>1</v>
      </c>
      <c r="Q1474">
        <v>0</v>
      </c>
      <c r="S1474" t="str">
        <f t="shared" si="512"/>
        <v>19:29:28.000</v>
      </c>
      <c r="T1474" t="str">
        <f t="shared" si="512"/>
        <v>19:29:28.000</v>
      </c>
      <c r="U1474" t="str">
        <f t="shared" ref="U1474:U1537" si="514">"AC3944"</f>
        <v>AC3944</v>
      </c>
      <c r="V1474">
        <v>0</v>
      </c>
      <c r="W1474">
        <v>0</v>
      </c>
      <c r="X1474">
        <v>2</v>
      </c>
      <c r="Y1474">
        <v>0</v>
      </c>
      <c r="AA1474">
        <v>1</v>
      </c>
      <c r="AB1474">
        <v>8</v>
      </c>
      <c r="AC1474">
        <v>3</v>
      </c>
      <c r="AD1474">
        <v>0</v>
      </c>
      <c r="AE1474">
        <v>9</v>
      </c>
      <c r="AF1474" t="s">
        <v>138</v>
      </c>
      <c r="AG1474">
        <v>0</v>
      </c>
      <c r="AH1474">
        <v>3</v>
      </c>
      <c r="AI1474">
        <v>1</v>
      </c>
      <c r="AJ1474">
        <v>0</v>
      </c>
      <c r="AK1474" t="s">
        <v>554</v>
      </c>
      <c r="AL1474">
        <v>32.799747000000004</v>
      </c>
      <c r="AM1474" t="s">
        <v>555</v>
      </c>
      <c r="AN1474">
        <v>-116.885605</v>
      </c>
      <c r="AO1474">
        <v>25</v>
      </c>
      <c r="AP1474">
        <v>2600</v>
      </c>
      <c r="AQ1474" t="s">
        <v>129</v>
      </c>
      <c r="AR1474">
        <v>96</v>
      </c>
      <c r="AS1474">
        <v>-71</v>
      </c>
      <c r="AT1474">
        <v>256</v>
      </c>
      <c r="BB1474">
        <v>1200</v>
      </c>
      <c r="BC1474">
        <v>1</v>
      </c>
      <c r="BD1474" t="str">
        <f t="shared" ref="BD1474:BD1537" si="515">"N887QR  "</f>
        <v xml:space="preserve">N887QR  </v>
      </c>
      <c r="BE1474">
        <v>1</v>
      </c>
      <c r="BG1474">
        <v>0</v>
      </c>
      <c r="BH1474">
        <v>0</v>
      </c>
      <c r="BI1474">
        <v>0</v>
      </c>
      <c r="BJ1474">
        <v>2275</v>
      </c>
      <c r="BK1474">
        <v>-325</v>
      </c>
      <c r="BL1474" t="s">
        <v>163</v>
      </c>
      <c r="BM1474">
        <v>1</v>
      </c>
      <c r="BN1474">
        <v>1</v>
      </c>
      <c r="BO1474">
        <v>1</v>
      </c>
      <c r="BP1474">
        <v>0</v>
      </c>
      <c r="BS1474">
        <v>0</v>
      </c>
      <c r="BT1474">
        <v>0</v>
      </c>
      <c r="BU1474">
        <v>0</v>
      </c>
      <c r="CE1474" t="str">
        <f t="shared" si="513"/>
        <v>19:29:28.322</v>
      </c>
      <c r="CF1474">
        <v>322444935</v>
      </c>
      <c r="CS1474">
        <v>3</v>
      </c>
      <c r="CT1474">
        <v>2</v>
      </c>
      <c r="CU1474">
        <v>0</v>
      </c>
      <c r="CV1474">
        <v>2</v>
      </c>
      <c r="CW1474">
        <v>0</v>
      </c>
      <c r="CX1474">
        <v>6</v>
      </c>
      <c r="CY1474">
        <v>7</v>
      </c>
      <c r="CZ1474" t="s">
        <v>131</v>
      </c>
      <c r="DA1474">
        <v>300</v>
      </c>
      <c r="DB1474">
        <v>0</v>
      </c>
      <c r="DC1474" t="s">
        <v>176</v>
      </c>
      <c r="DD1474" t="s">
        <v>177</v>
      </c>
      <c r="DG1474">
        <v>5387452</v>
      </c>
      <c r="DI1474">
        <v>1</v>
      </c>
      <c r="DJ1474">
        <v>0</v>
      </c>
      <c r="DK1474">
        <v>1</v>
      </c>
      <c r="DL1474">
        <v>0</v>
      </c>
      <c r="DM1474">
        <v>0</v>
      </c>
      <c r="DN1474">
        <v>1</v>
      </c>
      <c r="DO1474">
        <v>0</v>
      </c>
      <c r="DP1474">
        <v>0</v>
      </c>
      <c r="DQ1474">
        <v>0</v>
      </c>
      <c r="DR1474">
        <v>0</v>
      </c>
      <c r="DS1474">
        <v>0</v>
      </c>
    </row>
    <row r="1475" spans="1:123" x14ac:dyDescent="0.3">
      <c r="A1475" t="str">
        <f>"10/04/2022 19:29:28.524"</f>
        <v>10/04/2022 19:29:28.524</v>
      </c>
      <c r="C1475" t="str">
        <f t="shared" si="505"/>
        <v>FFDFD3C0</v>
      </c>
      <c r="D1475" t="s">
        <v>141</v>
      </c>
      <c r="E1475">
        <v>4</v>
      </c>
      <c r="H1475">
        <v>4</v>
      </c>
      <c r="I1475" t="s">
        <v>142</v>
      </c>
      <c r="J1475" t="s">
        <v>138</v>
      </c>
      <c r="K1475">
        <v>0</v>
      </c>
      <c r="L1475">
        <v>3</v>
      </c>
      <c r="M1475">
        <v>0</v>
      </c>
      <c r="N1475">
        <v>2</v>
      </c>
      <c r="O1475">
        <v>0</v>
      </c>
      <c r="P1475">
        <v>1</v>
      </c>
      <c r="Q1475">
        <v>0</v>
      </c>
      <c r="S1475" t="str">
        <f t="shared" si="512"/>
        <v>19:29:28.000</v>
      </c>
      <c r="T1475" t="str">
        <f t="shared" si="512"/>
        <v>19:29:28.000</v>
      </c>
      <c r="U1475" t="str">
        <f t="shared" si="514"/>
        <v>AC3944</v>
      </c>
      <c r="V1475">
        <v>0</v>
      </c>
      <c r="W1475">
        <v>0</v>
      </c>
      <c r="X1475">
        <v>2</v>
      </c>
      <c r="Y1475">
        <v>0</v>
      </c>
      <c r="AA1475">
        <v>1</v>
      </c>
      <c r="AB1475">
        <v>8</v>
      </c>
      <c r="AC1475">
        <v>3</v>
      </c>
      <c r="AD1475">
        <v>0</v>
      </c>
      <c r="AE1475">
        <v>9</v>
      </c>
      <c r="AF1475" t="s">
        <v>138</v>
      </c>
      <c r="AG1475">
        <v>0</v>
      </c>
      <c r="AH1475">
        <v>3</v>
      </c>
      <c r="AI1475">
        <v>1</v>
      </c>
      <c r="AJ1475">
        <v>0</v>
      </c>
      <c r="AK1475" t="s">
        <v>554</v>
      </c>
      <c r="AL1475">
        <v>32.799747000000004</v>
      </c>
      <c r="AM1475" t="s">
        <v>555</v>
      </c>
      <c r="AN1475">
        <v>-116.885605</v>
      </c>
      <c r="AO1475">
        <v>25</v>
      </c>
      <c r="AP1475">
        <v>2600</v>
      </c>
      <c r="AQ1475" t="s">
        <v>129</v>
      </c>
      <c r="AR1475">
        <v>96</v>
      </c>
      <c r="AS1475">
        <v>-71</v>
      </c>
      <c r="AT1475">
        <v>256</v>
      </c>
      <c r="BB1475">
        <v>1200</v>
      </c>
      <c r="BC1475">
        <v>1</v>
      </c>
      <c r="BD1475" t="str">
        <f t="shared" si="515"/>
        <v xml:space="preserve">N887QR  </v>
      </c>
      <c r="BE1475">
        <v>1</v>
      </c>
      <c r="BG1475">
        <v>0</v>
      </c>
      <c r="BH1475">
        <v>0</v>
      </c>
      <c r="BI1475">
        <v>0</v>
      </c>
      <c r="BJ1475">
        <v>2275</v>
      </c>
      <c r="BK1475">
        <v>-325</v>
      </c>
      <c r="BL1475" t="s">
        <v>163</v>
      </c>
      <c r="BM1475">
        <v>1</v>
      </c>
      <c r="BN1475">
        <v>1</v>
      </c>
      <c r="BO1475">
        <v>1</v>
      </c>
      <c r="BP1475">
        <v>0</v>
      </c>
      <c r="BS1475">
        <v>0</v>
      </c>
      <c r="BT1475">
        <v>0</v>
      </c>
      <c r="BU1475">
        <v>0</v>
      </c>
      <c r="CE1475" t="str">
        <f t="shared" si="513"/>
        <v>19:29:28.322</v>
      </c>
      <c r="CF1475">
        <v>322444935</v>
      </c>
      <c r="CS1475">
        <v>3</v>
      </c>
      <c r="CT1475">
        <v>2</v>
      </c>
      <c r="CU1475">
        <v>0</v>
      </c>
      <c r="CV1475">
        <v>2</v>
      </c>
      <c r="CW1475">
        <v>0</v>
      </c>
      <c r="CX1475">
        <v>6</v>
      </c>
      <c r="CY1475">
        <v>7</v>
      </c>
      <c r="CZ1475" t="s">
        <v>131</v>
      </c>
      <c r="DA1475">
        <v>300</v>
      </c>
      <c r="DB1475">
        <v>0</v>
      </c>
      <c r="DC1475" t="s">
        <v>176</v>
      </c>
      <c r="DD1475" t="s">
        <v>177</v>
      </c>
      <c r="DG1475">
        <v>5387452</v>
      </c>
      <c r="DI1475">
        <v>1</v>
      </c>
      <c r="DJ1475">
        <v>0</v>
      </c>
      <c r="DK1475">
        <v>1</v>
      </c>
      <c r="DL1475">
        <v>0</v>
      </c>
      <c r="DM1475">
        <v>0</v>
      </c>
      <c r="DN1475">
        <v>1</v>
      </c>
      <c r="DO1475">
        <v>0</v>
      </c>
      <c r="DP1475">
        <v>0</v>
      </c>
      <c r="DQ1475">
        <v>0</v>
      </c>
      <c r="DR1475">
        <v>0</v>
      </c>
      <c r="DS1475">
        <v>0</v>
      </c>
    </row>
    <row r="1476" spans="1:123" x14ac:dyDescent="0.3">
      <c r="A1476" t="str">
        <f>"10/04/2022 19:29:28.524"</f>
        <v>10/04/2022 19:29:28.524</v>
      </c>
      <c r="C1476" t="str">
        <f t="shared" si="505"/>
        <v>FFDFD3C0</v>
      </c>
      <c r="D1476" t="s">
        <v>147</v>
      </c>
      <c r="E1476">
        <v>3</v>
      </c>
      <c r="H1476">
        <v>166</v>
      </c>
      <c r="I1476" t="s">
        <v>144</v>
      </c>
      <c r="J1476" t="s">
        <v>148</v>
      </c>
      <c r="K1476">
        <v>0</v>
      </c>
      <c r="L1476">
        <v>3</v>
      </c>
      <c r="M1476">
        <v>0</v>
      </c>
      <c r="N1476">
        <v>2</v>
      </c>
      <c r="O1476">
        <v>0</v>
      </c>
      <c r="P1476">
        <v>1</v>
      </c>
      <c r="Q1476">
        <v>0</v>
      </c>
      <c r="S1476" t="str">
        <f t="shared" si="512"/>
        <v>19:29:28.000</v>
      </c>
      <c r="T1476" t="str">
        <f t="shared" si="512"/>
        <v>19:29:28.000</v>
      </c>
      <c r="U1476" t="str">
        <f t="shared" si="514"/>
        <v>AC3944</v>
      </c>
      <c r="V1476">
        <v>0</v>
      </c>
      <c r="W1476">
        <v>0</v>
      </c>
      <c r="X1476">
        <v>2</v>
      </c>
      <c r="Y1476">
        <v>0</v>
      </c>
      <c r="AA1476">
        <v>1</v>
      </c>
      <c r="AB1476">
        <v>8</v>
      </c>
      <c r="AC1476">
        <v>3</v>
      </c>
      <c r="AD1476">
        <v>0</v>
      </c>
      <c r="AE1476">
        <v>9</v>
      </c>
      <c r="AF1476" t="s">
        <v>138</v>
      </c>
      <c r="AG1476">
        <v>0</v>
      </c>
      <c r="AH1476">
        <v>3</v>
      </c>
      <c r="AI1476">
        <v>1</v>
      </c>
      <c r="AJ1476">
        <v>0</v>
      </c>
      <c r="AK1476" t="s">
        <v>554</v>
      </c>
      <c r="AL1476">
        <v>32.799747000000004</v>
      </c>
      <c r="AM1476" t="s">
        <v>555</v>
      </c>
      <c r="AN1476">
        <v>-116.885605</v>
      </c>
      <c r="AO1476">
        <v>25</v>
      </c>
      <c r="AP1476">
        <v>2600</v>
      </c>
      <c r="AQ1476" t="s">
        <v>129</v>
      </c>
      <c r="AR1476">
        <v>96</v>
      </c>
      <c r="AS1476">
        <v>-71</v>
      </c>
      <c r="AT1476">
        <v>256</v>
      </c>
      <c r="BB1476">
        <v>1200</v>
      </c>
      <c r="BC1476">
        <v>1</v>
      </c>
      <c r="BD1476" t="str">
        <f t="shared" si="515"/>
        <v xml:space="preserve">N887QR  </v>
      </c>
      <c r="BE1476">
        <v>1</v>
      </c>
      <c r="BG1476">
        <v>0</v>
      </c>
      <c r="BH1476">
        <v>0</v>
      </c>
      <c r="BI1476">
        <v>0</v>
      </c>
      <c r="BJ1476">
        <v>2275</v>
      </c>
      <c r="BK1476">
        <v>-325</v>
      </c>
      <c r="BL1476" t="s">
        <v>163</v>
      </c>
      <c r="BM1476">
        <v>1</v>
      </c>
      <c r="BN1476">
        <v>1</v>
      </c>
      <c r="BO1476">
        <v>1</v>
      </c>
      <c r="BP1476">
        <v>0</v>
      </c>
      <c r="BS1476">
        <v>0</v>
      </c>
      <c r="BT1476">
        <v>0</v>
      </c>
      <c r="BU1476">
        <v>0</v>
      </c>
      <c r="CE1476" t="str">
        <f t="shared" si="513"/>
        <v>19:29:28.322</v>
      </c>
      <c r="CF1476">
        <v>322444935</v>
      </c>
      <c r="CS1476">
        <v>3</v>
      </c>
      <c r="CT1476">
        <v>2</v>
      </c>
      <c r="CU1476">
        <v>0</v>
      </c>
      <c r="CV1476">
        <v>2</v>
      </c>
      <c r="CW1476">
        <v>0</v>
      </c>
      <c r="CX1476">
        <v>6</v>
      </c>
      <c r="CY1476">
        <v>7</v>
      </c>
      <c r="CZ1476" t="s">
        <v>131</v>
      </c>
      <c r="DA1476">
        <v>300</v>
      </c>
      <c r="DB1476">
        <v>0</v>
      </c>
      <c r="DC1476" t="s">
        <v>176</v>
      </c>
      <c r="DD1476" t="s">
        <v>177</v>
      </c>
      <c r="DG1476">
        <v>5387452</v>
      </c>
      <c r="DI1476">
        <v>1</v>
      </c>
      <c r="DJ1476">
        <v>0</v>
      </c>
      <c r="DK1476">
        <v>1</v>
      </c>
      <c r="DL1476">
        <v>0</v>
      </c>
      <c r="DM1476">
        <v>0</v>
      </c>
      <c r="DN1476">
        <v>1</v>
      </c>
      <c r="DO1476">
        <v>0</v>
      </c>
      <c r="DP1476">
        <v>0</v>
      </c>
      <c r="DQ1476">
        <v>0</v>
      </c>
      <c r="DR1476">
        <v>0</v>
      </c>
      <c r="DS1476">
        <v>0</v>
      </c>
    </row>
    <row r="1477" spans="1:123" x14ac:dyDescent="0.3">
      <c r="A1477" t="str">
        <f>"10/04/2022 19:29:28.587"</f>
        <v>10/04/2022 19:29:28.587</v>
      </c>
      <c r="C1477" t="str">
        <f t="shared" si="505"/>
        <v>FFDFD3C0</v>
      </c>
      <c r="D1477" t="s">
        <v>143</v>
      </c>
      <c r="E1477">
        <v>20</v>
      </c>
      <c r="F1477">
        <v>1020</v>
      </c>
      <c r="G1477" t="s">
        <v>144</v>
      </c>
      <c r="J1477" t="s">
        <v>145</v>
      </c>
      <c r="K1477">
        <v>0</v>
      </c>
      <c r="L1477">
        <v>3</v>
      </c>
      <c r="M1477">
        <v>0</v>
      </c>
      <c r="N1477">
        <v>2</v>
      </c>
      <c r="O1477">
        <v>0</v>
      </c>
      <c r="P1477">
        <v>1</v>
      </c>
      <c r="Q1477">
        <v>0</v>
      </c>
      <c r="S1477" t="str">
        <f t="shared" si="512"/>
        <v>19:29:28.000</v>
      </c>
      <c r="T1477" t="str">
        <f t="shared" si="512"/>
        <v>19:29:28.000</v>
      </c>
      <c r="U1477" t="str">
        <f t="shared" si="514"/>
        <v>AC3944</v>
      </c>
      <c r="V1477">
        <v>0</v>
      </c>
      <c r="W1477">
        <v>0</v>
      </c>
      <c r="X1477">
        <v>2</v>
      </c>
      <c r="Y1477">
        <v>0</v>
      </c>
      <c r="AA1477">
        <v>1</v>
      </c>
      <c r="AB1477">
        <v>8</v>
      </c>
      <c r="AC1477">
        <v>3</v>
      </c>
      <c r="AD1477">
        <v>0</v>
      </c>
      <c r="AE1477">
        <v>9</v>
      </c>
      <c r="AF1477" t="s">
        <v>138</v>
      </c>
      <c r="AG1477">
        <v>0</v>
      </c>
      <c r="AH1477">
        <v>3</v>
      </c>
      <c r="AI1477">
        <v>1</v>
      </c>
      <c r="AJ1477">
        <v>0</v>
      </c>
      <c r="AK1477" t="s">
        <v>554</v>
      </c>
      <c r="AL1477">
        <v>32.799747000000004</v>
      </c>
      <c r="AM1477" t="s">
        <v>555</v>
      </c>
      <c r="AN1477">
        <v>-116.885605</v>
      </c>
      <c r="AO1477">
        <v>25</v>
      </c>
      <c r="AP1477">
        <v>2600</v>
      </c>
      <c r="AQ1477" t="s">
        <v>129</v>
      </c>
      <c r="AR1477">
        <v>96</v>
      </c>
      <c r="AS1477">
        <v>-71</v>
      </c>
      <c r="AT1477">
        <v>256</v>
      </c>
      <c r="BB1477">
        <v>1200</v>
      </c>
      <c r="BC1477">
        <v>1</v>
      </c>
      <c r="BD1477" t="str">
        <f t="shared" si="515"/>
        <v xml:space="preserve">N887QR  </v>
      </c>
      <c r="BE1477">
        <v>1</v>
      </c>
      <c r="BG1477">
        <v>0</v>
      </c>
      <c r="BH1477">
        <v>0</v>
      </c>
      <c r="BI1477">
        <v>0</v>
      </c>
      <c r="BJ1477">
        <v>2275</v>
      </c>
      <c r="BK1477">
        <v>-325</v>
      </c>
      <c r="BL1477" t="s">
        <v>163</v>
      </c>
      <c r="BM1477">
        <v>1</v>
      </c>
      <c r="BN1477">
        <v>1</v>
      </c>
      <c r="BO1477">
        <v>1</v>
      </c>
      <c r="BP1477">
        <v>0</v>
      </c>
      <c r="BS1477">
        <v>0</v>
      </c>
      <c r="BT1477">
        <v>0</v>
      </c>
      <c r="BU1477">
        <v>0</v>
      </c>
      <c r="CE1477" t="str">
        <f t="shared" si="513"/>
        <v>19:29:28.322</v>
      </c>
      <c r="CF1477">
        <v>322444935</v>
      </c>
      <c r="CS1477">
        <v>3</v>
      </c>
      <c r="CT1477">
        <v>2</v>
      </c>
      <c r="CU1477">
        <v>0</v>
      </c>
      <c r="CV1477">
        <v>2</v>
      </c>
      <c r="CW1477">
        <v>0</v>
      </c>
      <c r="CX1477">
        <v>6</v>
      </c>
      <c r="CY1477">
        <v>7</v>
      </c>
      <c r="CZ1477" t="s">
        <v>131</v>
      </c>
      <c r="DA1477">
        <v>300</v>
      </c>
      <c r="DB1477">
        <v>0</v>
      </c>
      <c r="DC1477" t="s">
        <v>176</v>
      </c>
      <c r="DD1477" t="s">
        <v>177</v>
      </c>
      <c r="DG1477">
        <v>5387452</v>
      </c>
      <c r="DI1477">
        <v>1</v>
      </c>
      <c r="DJ1477">
        <v>0</v>
      </c>
      <c r="DK1477">
        <v>1</v>
      </c>
      <c r="DL1477">
        <v>0</v>
      </c>
      <c r="DM1477">
        <v>0</v>
      </c>
      <c r="DN1477">
        <v>1</v>
      </c>
      <c r="DO1477">
        <v>0</v>
      </c>
      <c r="DP1477">
        <v>0</v>
      </c>
      <c r="DQ1477">
        <v>0</v>
      </c>
      <c r="DR1477">
        <v>0</v>
      </c>
      <c r="DS1477">
        <v>0</v>
      </c>
    </row>
    <row r="1478" spans="1:123" x14ac:dyDescent="0.3">
      <c r="A1478" t="str">
        <f>"10/04/2022 19:29:29.696"</f>
        <v>10/04/2022 19:29:29.696</v>
      </c>
      <c r="C1478" t="str">
        <f t="shared" si="505"/>
        <v>FFDFD3C0</v>
      </c>
      <c r="D1478" t="s">
        <v>147</v>
      </c>
      <c r="E1478">
        <v>3</v>
      </c>
      <c r="H1478">
        <v>166</v>
      </c>
      <c r="I1478" t="s">
        <v>144</v>
      </c>
      <c r="J1478" t="s">
        <v>148</v>
      </c>
      <c r="K1478">
        <v>0</v>
      </c>
      <c r="L1478">
        <v>3</v>
      </c>
      <c r="M1478">
        <v>0</v>
      </c>
      <c r="N1478">
        <v>2</v>
      </c>
      <c r="O1478">
        <v>0</v>
      </c>
      <c r="P1478">
        <v>1</v>
      </c>
      <c r="Q1478">
        <v>0</v>
      </c>
      <c r="S1478" t="str">
        <f t="shared" ref="S1478:T1484" si="516">"19:29:29.000"</f>
        <v>19:29:29.000</v>
      </c>
      <c r="T1478" t="str">
        <f t="shared" si="516"/>
        <v>19:29:29.000</v>
      </c>
      <c r="U1478" t="str">
        <f t="shared" si="514"/>
        <v>AC3944</v>
      </c>
      <c r="V1478">
        <v>0</v>
      </c>
      <c r="W1478">
        <v>0</v>
      </c>
      <c r="X1478">
        <v>2</v>
      </c>
      <c r="Y1478">
        <v>0</v>
      </c>
      <c r="AA1478">
        <v>1</v>
      </c>
      <c r="AB1478">
        <v>8</v>
      </c>
      <c r="AC1478">
        <v>3</v>
      </c>
      <c r="AD1478">
        <v>0</v>
      </c>
      <c r="AE1478">
        <v>9</v>
      </c>
      <c r="AF1478" t="s">
        <v>138</v>
      </c>
      <c r="AG1478">
        <v>0</v>
      </c>
      <c r="AH1478">
        <v>3</v>
      </c>
      <c r="AI1478">
        <v>1</v>
      </c>
      <c r="AJ1478">
        <v>0</v>
      </c>
      <c r="AK1478" t="s">
        <v>556</v>
      </c>
      <c r="AL1478">
        <v>32.799404000000003</v>
      </c>
      <c r="AM1478" t="s">
        <v>557</v>
      </c>
      <c r="AN1478">
        <v>-116.88509000000001</v>
      </c>
      <c r="AO1478">
        <v>25</v>
      </c>
      <c r="AP1478">
        <v>2600</v>
      </c>
      <c r="AQ1478" t="s">
        <v>129</v>
      </c>
      <c r="AR1478">
        <v>97</v>
      </c>
      <c r="AS1478">
        <v>-71</v>
      </c>
      <c r="AT1478">
        <v>256</v>
      </c>
      <c r="BB1478">
        <v>1200</v>
      </c>
      <c r="BC1478">
        <v>1</v>
      </c>
      <c r="BD1478" t="str">
        <f t="shared" si="515"/>
        <v xml:space="preserve">N887QR  </v>
      </c>
      <c r="BE1478">
        <v>1</v>
      </c>
      <c r="BG1478">
        <v>0</v>
      </c>
      <c r="BH1478">
        <v>0</v>
      </c>
      <c r="BI1478">
        <v>0</v>
      </c>
      <c r="BJ1478">
        <v>2275</v>
      </c>
      <c r="BK1478">
        <v>-325</v>
      </c>
      <c r="BL1478" t="s">
        <v>163</v>
      </c>
      <c r="BM1478">
        <v>1</v>
      </c>
      <c r="BN1478">
        <v>1</v>
      </c>
      <c r="BO1478">
        <v>1</v>
      </c>
      <c r="BP1478">
        <v>0</v>
      </c>
      <c r="BS1478">
        <v>0</v>
      </c>
      <c r="BT1478">
        <v>0</v>
      </c>
      <c r="BU1478">
        <v>0</v>
      </c>
      <c r="CE1478" t="str">
        <f t="shared" ref="CE1478:CE1484" si="517">"19:29:29.511"</f>
        <v>19:29:29.511</v>
      </c>
      <c r="CF1478">
        <v>511198917</v>
      </c>
      <c r="CS1478">
        <v>3</v>
      </c>
      <c r="CT1478">
        <v>2</v>
      </c>
      <c r="CU1478">
        <v>0</v>
      </c>
      <c r="CV1478">
        <v>2</v>
      </c>
      <c r="CW1478">
        <v>0</v>
      </c>
      <c r="CX1478">
        <v>6</v>
      </c>
      <c r="CY1478">
        <v>7</v>
      </c>
      <c r="CZ1478" t="s">
        <v>131</v>
      </c>
      <c r="DA1478">
        <v>300</v>
      </c>
      <c r="DB1478">
        <v>0</v>
      </c>
      <c r="DC1478" t="s">
        <v>176</v>
      </c>
      <c r="DD1478" t="s">
        <v>177</v>
      </c>
      <c r="DG1478">
        <v>5387634</v>
      </c>
      <c r="DI1478">
        <v>1</v>
      </c>
      <c r="DJ1478">
        <v>0</v>
      </c>
      <c r="DK1478">
        <v>0</v>
      </c>
      <c r="DL1478">
        <v>0</v>
      </c>
      <c r="DM1478">
        <v>0</v>
      </c>
      <c r="DN1478">
        <v>1</v>
      </c>
      <c r="DO1478">
        <v>0</v>
      </c>
      <c r="DP1478">
        <v>0</v>
      </c>
      <c r="DQ1478">
        <v>0</v>
      </c>
      <c r="DR1478">
        <v>0</v>
      </c>
      <c r="DS1478">
        <v>0</v>
      </c>
    </row>
    <row r="1479" spans="1:123" x14ac:dyDescent="0.3">
      <c r="A1479" t="str">
        <f>"10/04/2022 19:29:29.696"</f>
        <v>10/04/2022 19:29:29.696</v>
      </c>
      <c r="C1479" t="str">
        <f t="shared" si="505"/>
        <v>FFDFD3C0</v>
      </c>
      <c r="D1479" t="s">
        <v>143</v>
      </c>
      <c r="E1479">
        <v>20</v>
      </c>
      <c r="F1479">
        <v>1020</v>
      </c>
      <c r="G1479" t="s">
        <v>144</v>
      </c>
      <c r="J1479" t="s">
        <v>145</v>
      </c>
      <c r="K1479">
        <v>0</v>
      </c>
      <c r="L1479">
        <v>3</v>
      </c>
      <c r="M1479">
        <v>0</v>
      </c>
      <c r="N1479">
        <v>2</v>
      </c>
      <c r="O1479">
        <v>0</v>
      </c>
      <c r="P1479">
        <v>1</v>
      </c>
      <c r="Q1479">
        <v>0</v>
      </c>
      <c r="S1479" t="str">
        <f t="shared" si="516"/>
        <v>19:29:29.000</v>
      </c>
      <c r="T1479" t="str">
        <f t="shared" si="516"/>
        <v>19:29:29.000</v>
      </c>
      <c r="U1479" t="str">
        <f t="shared" si="514"/>
        <v>AC3944</v>
      </c>
      <c r="V1479">
        <v>0</v>
      </c>
      <c r="W1479">
        <v>0</v>
      </c>
      <c r="X1479">
        <v>2</v>
      </c>
      <c r="Y1479">
        <v>0</v>
      </c>
      <c r="AA1479">
        <v>1</v>
      </c>
      <c r="AB1479">
        <v>8</v>
      </c>
      <c r="AC1479">
        <v>3</v>
      </c>
      <c r="AD1479">
        <v>0</v>
      </c>
      <c r="AE1479">
        <v>9</v>
      </c>
      <c r="AF1479" t="s">
        <v>138</v>
      </c>
      <c r="AG1479">
        <v>0</v>
      </c>
      <c r="AH1479">
        <v>3</v>
      </c>
      <c r="AI1479">
        <v>1</v>
      </c>
      <c r="AJ1479">
        <v>0</v>
      </c>
      <c r="AK1479" t="s">
        <v>556</v>
      </c>
      <c r="AL1479">
        <v>32.799404000000003</v>
      </c>
      <c r="AM1479" t="s">
        <v>557</v>
      </c>
      <c r="AN1479">
        <v>-116.88509000000001</v>
      </c>
      <c r="AO1479">
        <v>25</v>
      </c>
      <c r="AP1479">
        <v>2600</v>
      </c>
      <c r="AQ1479" t="s">
        <v>129</v>
      </c>
      <c r="AR1479">
        <v>97</v>
      </c>
      <c r="AS1479">
        <v>-71</v>
      </c>
      <c r="AT1479">
        <v>256</v>
      </c>
      <c r="BB1479">
        <v>1200</v>
      </c>
      <c r="BC1479">
        <v>1</v>
      </c>
      <c r="BD1479" t="str">
        <f t="shared" si="515"/>
        <v xml:space="preserve">N887QR  </v>
      </c>
      <c r="BE1479">
        <v>1</v>
      </c>
      <c r="BG1479">
        <v>0</v>
      </c>
      <c r="BH1479">
        <v>0</v>
      </c>
      <c r="BI1479">
        <v>0</v>
      </c>
      <c r="BJ1479">
        <v>2275</v>
      </c>
      <c r="BK1479">
        <v>-325</v>
      </c>
      <c r="BL1479" t="s">
        <v>163</v>
      </c>
      <c r="BM1479">
        <v>1</v>
      </c>
      <c r="BN1479">
        <v>1</v>
      </c>
      <c r="BO1479">
        <v>1</v>
      </c>
      <c r="BP1479">
        <v>0</v>
      </c>
      <c r="BS1479">
        <v>0</v>
      </c>
      <c r="BT1479">
        <v>0</v>
      </c>
      <c r="BU1479">
        <v>0</v>
      </c>
      <c r="CE1479" t="str">
        <f t="shared" si="517"/>
        <v>19:29:29.511</v>
      </c>
      <c r="CF1479">
        <v>511198917</v>
      </c>
      <c r="CS1479">
        <v>3</v>
      </c>
      <c r="CT1479">
        <v>2</v>
      </c>
      <c r="CU1479">
        <v>0</v>
      </c>
      <c r="CV1479">
        <v>2</v>
      </c>
      <c r="CW1479">
        <v>0</v>
      </c>
      <c r="CX1479">
        <v>6</v>
      </c>
      <c r="CY1479">
        <v>7</v>
      </c>
      <c r="CZ1479" t="s">
        <v>131</v>
      </c>
      <c r="DA1479">
        <v>300</v>
      </c>
      <c r="DB1479">
        <v>0</v>
      </c>
      <c r="DC1479" t="s">
        <v>176</v>
      </c>
      <c r="DD1479" t="s">
        <v>177</v>
      </c>
      <c r="DG1479">
        <v>5387634</v>
      </c>
      <c r="DI1479">
        <v>1</v>
      </c>
      <c r="DJ1479">
        <v>0</v>
      </c>
      <c r="DK1479">
        <v>1</v>
      </c>
      <c r="DL1479">
        <v>0</v>
      </c>
      <c r="DM1479">
        <v>0</v>
      </c>
      <c r="DN1479">
        <v>1</v>
      </c>
      <c r="DO1479">
        <v>0</v>
      </c>
      <c r="DP1479">
        <v>0</v>
      </c>
      <c r="DQ1479">
        <v>0</v>
      </c>
      <c r="DR1479">
        <v>0</v>
      </c>
      <c r="DS1479">
        <v>0</v>
      </c>
    </row>
    <row r="1480" spans="1:123" x14ac:dyDescent="0.3">
      <c r="A1480" t="str">
        <f>"10/04/2022 19:29:29.696"</f>
        <v>10/04/2022 19:29:29.696</v>
      </c>
      <c r="C1480" t="str">
        <f t="shared" ref="C1480:C1511" si="518">"FFDFD3C0"</f>
        <v>FFDFD3C0</v>
      </c>
      <c r="D1480" t="s">
        <v>136</v>
      </c>
      <c r="E1480">
        <v>8</v>
      </c>
      <c r="H1480">
        <v>225</v>
      </c>
      <c r="I1480" t="s">
        <v>137</v>
      </c>
      <c r="J1480" t="s">
        <v>138</v>
      </c>
      <c r="K1480">
        <v>0</v>
      </c>
      <c r="L1480">
        <v>3</v>
      </c>
      <c r="M1480">
        <v>0</v>
      </c>
      <c r="N1480">
        <v>2</v>
      </c>
      <c r="O1480">
        <v>0</v>
      </c>
      <c r="P1480">
        <v>1</v>
      </c>
      <c r="Q1480">
        <v>0</v>
      </c>
      <c r="S1480" t="str">
        <f t="shared" si="516"/>
        <v>19:29:29.000</v>
      </c>
      <c r="T1480" t="str">
        <f t="shared" si="516"/>
        <v>19:29:29.000</v>
      </c>
      <c r="U1480" t="str">
        <f t="shared" si="514"/>
        <v>AC3944</v>
      </c>
      <c r="V1480">
        <v>0</v>
      </c>
      <c r="W1480">
        <v>0</v>
      </c>
      <c r="X1480">
        <v>2</v>
      </c>
      <c r="Y1480">
        <v>0</v>
      </c>
      <c r="AA1480">
        <v>1</v>
      </c>
      <c r="AB1480">
        <v>8</v>
      </c>
      <c r="AC1480">
        <v>3</v>
      </c>
      <c r="AD1480">
        <v>0</v>
      </c>
      <c r="AE1480">
        <v>9</v>
      </c>
      <c r="AF1480" t="s">
        <v>138</v>
      </c>
      <c r="AG1480">
        <v>0</v>
      </c>
      <c r="AH1480">
        <v>3</v>
      </c>
      <c r="AI1480">
        <v>1</v>
      </c>
      <c r="AJ1480">
        <v>0</v>
      </c>
      <c r="AK1480" t="s">
        <v>556</v>
      </c>
      <c r="AL1480">
        <v>32.799404000000003</v>
      </c>
      <c r="AM1480" t="s">
        <v>557</v>
      </c>
      <c r="AN1480">
        <v>-116.88509000000001</v>
      </c>
      <c r="AO1480">
        <v>25</v>
      </c>
      <c r="AP1480">
        <v>2600</v>
      </c>
      <c r="AQ1480" t="s">
        <v>129</v>
      </c>
      <c r="AR1480">
        <v>97</v>
      </c>
      <c r="AS1480">
        <v>-71</v>
      </c>
      <c r="AT1480">
        <v>256</v>
      </c>
      <c r="BB1480">
        <v>1200</v>
      </c>
      <c r="BC1480">
        <v>1</v>
      </c>
      <c r="BD1480" t="str">
        <f t="shared" si="515"/>
        <v xml:space="preserve">N887QR  </v>
      </c>
      <c r="BE1480">
        <v>1</v>
      </c>
      <c r="BG1480">
        <v>0</v>
      </c>
      <c r="BH1480">
        <v>0</v>
      </c>
      <c r="BI1480">
        <v>0</v>
      </c>
      <c r="BJ1480">
        <v>2275</v>
      </c>
      <c r="BK1480">
        <v>-325</v>
      </c>
      <c r="BL1480" t="s">
        <v>163</v>
      </c>
      <c r="BM1480">
        <v>1</v>
      </c>
      <c r="BN1480">
        <v>1</v>
      </c>
      <c r="BO1480">
        <v>1</v>
      </c>
      <c r="BP1480">
        <v>0</v>
      </c>
      <c r="BS1480">
        <v>0</v>
      </c>
      <c r="BT1480">
        <v>0</v>
      </c>
      <c r="BU1480">
        <v>0</v>
      </c>
      <c r="CE1480" t="str">
        <f t="shared" si="517"/>
        <v>19:29:29.511</v>
      </c>
      <c r="CF1480">
        <v>511198917</v>
      </c>
      <c r="CS1480">
        <v>3</v>
      </c>
      <c r="CT1480">
        <v>2</v>
      </c>
      <c r="CU1480">
        <v>0</v>
      </c>
      <c r="CV1480">
        <v>2</v>
      </c>
      <c r="CW1480">
        <v>0</v>
      </c>
      <c r="CX1480">
        <v>6</v>
      </c>
      <c r="CY1480">
        <v>7</v>
      </c>
      <c r="CZ1480" t="s">
        <v>131</v>
      </c>
      <c r="DA1480">
        <v>300</v>
      </c>
      <c r="DB1480">
        <v>0</v>
      </c>
      <c r="DC1480" t="s">
        <v>176</v>
      </c>
      <c r="DD1480" t="s">
        <v>177</v>
      </c>
      <c r="DG1480">
        <v>5387634</v>
      </c>
      <c r="DI1480">
        <v>1</v>
      </c>
      <c r="DJ1480">
        <v>0</v>
      </c>
      <c r="DK1480">
        <v>1</v>
      </c>
      <c r="DL1480">
        <v>0</v>
      </c>
      <c r="DM1480">
        <v>0</v>
      </c>
      <c r="DN1480">
        <v>1</v>
      </c>
      <c r="DO1480">
        <v>0</v>
      </c>
      <c r="DP1480">
        <v>0</v>
      </c>
      <c r="DQ1480">
        <v>0</v>
      </c>
      <c r="DR1480">
        <v>0</v>
      </c>
      <c r="DS1480">
        <v>0</v>
      </c>
    </row>
    <row r="1481" spans="1:123" x14ac:dyDescent="0.3">
      <c r="A1481" t="str">
        <f>"10/04/2022 19:29:29.696"</f>
        <v>10/04/2022 19:29:29.696</v>
      </c>
      <c r="C1481" t="str">
        <f t="shared" si="518"/>
        <v>FFDFD3C0</v>
      </c>
      <c r="D1481" t="s">
        <v>123</v>
      </c>
      <c r="E1481">
        <v>7</v>
      </c>
      <c r="F1481">
        <v>2007</v>
      </c>
      <c r="G1481" t="s">
        <v>124</v>
      </c>
      <c r="J1481" t="s">
        <v>125</v>
      </c>
      <c r="K1481">
        <v>0</v>
      </c>
      <c r="L1481">
        <v>3</v>
      </c>
      <c r="M1481">
        <v>0</v>
      </c>
      <c r="N1481">
        <v>2</v>
      </c>
      <c r="O1481">
        <v>0</v>
      </c>
      <c r="P1481">
        <v>1</v>
      </c>
      <c r="Q1481">
        <v>0</v>
      </c>
      <c r="S1481" t="str">
        <f t="shared" si="516"/>
        <v>19:29:29.000</v>
      </c>
      <c r="T1481" t="str">
        <f t="shared" si="516"/>
        <v>19:29:29.000</v>
      </c>
      <c r="U1481" t="str">
        <f t="shared" si="514"/>
        <v>AC3944</v>
      </c>
      <c r="V1481">
        <v>0</v>
      </c>
      <c r="W1481">
        <v>0</v>
      </c>
      <c r="X1481">
        <v>2</v>
      </c>
      <c r="Y1481">
        <v>0</v>
      </c>
      <c r="AA1481">
        <v>1</v>
      </c>
      <c r="AB1481">
        <v>8</v>
      </c>
      <c r="AC1481">
        <v>3</v>
      </c>
      <c r="AD1481">
        <v>0</v>
      </c>
      <c r="AE1481">
        <v>9</v>
      </c>
      <c r="AF1481" t="s">
        <v>138</v>
      </c>
      <c r="AG1481">
        <v>0</v>
      </c>
      <c r="AH1481">
        <v>3</v>
      </c>
      <c r="AI1481">
        <v>1</v>
      </c>
      <c r="AJ1481">
        <v>0</v>
      </c>
      <c r="AK1481" t="s">
        <v>556</v>
      </c>
      <c r="AL1481">
        <v>32.799404000000003</v>
      </c>
      <c r="AM1481" t="s">
        <v>557</v>
      </c>
      <c r="AN1481">
        <v>-116.88509000000001</v>
      </c>
      <c r="AO1481">
        <v>25</v>
      </c>
      <c r="AP1481">
        <v>2600</v>
      </c>
      <c r="AQ1481" t="s">
        <v>129</v>
      </c>
      <c r="AR1481">
        <v>97</v>
      </c>
      <c r="AS1481">
        <v>-71</v>
      </c>
      <c r="AT1481">
        <v>256</v>
      </c>
      <c r="BB1481">
        <v>1200</v>
      </c>
      <c r="BC1481">
        <v>1</v>
      </c>
      <c r="BD1481" t="str">
        <f t="shared" si="515"/>
        <v xml:space="preserve">N887QR  </v>
      </c>
      <c r="BE1481">
        <v>1</v>
      </c>
      <c r="BG1481">
        <v>0</v>
      </c>
      <c r="BH1481">
        <v>0</v>
      </c>
      <c r="BI1481">
        <v>0</v>
      </c>
      <c r="BJ1481">
        <v>2275</v>
      </c>
      <c r="BK1481">
        <v>-325</v>
      </c>
      <c r="BL1481" t="s">
        <v>163</v>
      </c>
      <c r="BM1481">
        <v>1</v>
      </c>
      <c r="BN1481">
        <v>1</v>
      </c>
      <c r="BO1481">
        <v>1</v>
      </c>
      <c r="BP1481">
        <v>0</v>
      </c>
      <c r="BS1481">
        <v>0</v>
      </c>
      <c r="BT1481">
        <v>0</v>
      </c>
      <c r="BU1481">
        <v>0</v>
      </c>
      <c r="CE1481" t="str">
        <f t="shared" si="517"/>
        <v>19:29:29.511</v>
      </c>
      <c r="CF1481">
        <v>511198917</v>
      </c>
      <c r="CS1481">
        <v>3</v>
      </c>
      <c r="CT1481">
        <v>2</v>
      </c>
      <c r="CU1481">
        <v>0</v>
      </c>
      <c r="CV1481">
        <v>2</v>
      </c>
      <c r="CW1481">
        <v>0</v>
      </c>
      <c r="CX1481">
        <v>6</v>
      </c>
      <c r="CY1481">
        <v>7</v>
      </c>
      <c r="CZ1481" t="s">
        <v>131</v>
      </c>
      <c r="DA1481">
        <v>300</v>
      </c>
      <c r="DB1481">
        <v>0</v>
      </c>
      <c r="DC1481" t="s">
        <v>176</v>
      </c>
      <c r="DD1481" t="s">
        <v>177</v>
      </c>
      <c r="DG1481">
        <v>5387634</v>
      </c>
      <c r="DI1481">
        <v>1</v>
      </c>
      <c r="DJ1481">
        <v>0</v>
      </c>
      <c r="DK1481">
        <v>1</v>
      </c>
      <c r="DL1481">
        <v>0</v>
      </c>
      <c r="DM1481">
        <v>0</v>
      </c>
      <c r="DN1481">
        <v>1</v>
      </c>
      <c r="DO1481">
        <v>0</v>
      </c>
      <c r="DP1481">
        <v>0</v>
      </c>
      <c r="DQ1481">
        <v>0</v>
      </c>
      <c r="DR1481">
        <v>0</v>
      </c>
      <c r="DS1481">
        <v>0</v>
      </c>
    </row>
    <row r="1482" spans="1:123" x14ac:dyDescent="0.3">
      <c r="A1482" t="str">
        <f>"10/04/2022 19:29:29.696"</f>
        <v>10/04/2022 19:29:29.696</v>
      </c>
      <c r="C1482" t="str">
        <f t="shared" si="518"/>
        <v>FFDFD3C0</v>
      </c>
      <c r="D1482" t="s">
        <v>141</v>
      </c>
      <c r="E1482">
        <v>3</v>
      </c>
      <c r="H1482">
        <v>3</v>
      </c>
      <c r="I1482" t="s">
        <v>146</v>
      </c>
      <c r="J1482" t="s">
        <v>138</v>
      </c>
      <c r="K1482">
        <v>0</v>
      </c>
      <c r="L1482">
        <v>3</v>
      </c>
      <c r="M1482">
        <v>0</v>
      </c>
      <c r="N1482">
        <v>2</v>
      </c>
      <c r="O1482">
        <v>0</v>
      </c>
      <c r="P1482">
        <v>1</v>
      </c>
      <c r="Q1482">
        <v>0</v>
      </c>
      <c r="S1482" t="str">
        <f t="shared" si="516"/>
        <v>19:29:29.000</v>
      </c>
      <c r="T1482" t="str">
        <f t="shared" si="516"/>
        <v>19:29:29.000</v>
      </c>
      <c r="U1482" t="str">
        <f t="shared" si="514"/>
        <v>AC3944</v>
      </c>
      <c r="V1482">
        <v>0</v>
      </c>
      <c r="W1482">
        <v>0</v>
      </c>
      <c r="X1482">
        <v>2</v>
      </c>
      <c r="Y1482">
        <v>0</v>
      </c>
      <c r="AA1482">
        <v>1</v>
      </c>
      <c r="AB1482">
        <v>8</v>
      </c>
      <c r="AC1482">
        <v>3</v>
      </c>
      <c r="AD1482">
        <v>0</v>
      </c>
      <c r="AE1482">
        <v>9</v>
      </c>
      <c r="AF1482" t="s">
        <v>138</v>
      </c>
      <c r="AG1482">
        <v>0</v>
      </c>
      <c r="AH1482">
        <v>3</v>
      </c>
      <c r="AI1482">
        <v>1</v>
      </c>
      <c r="AJ1482">
        <v>0</v>
      </c>
      <c r="AK1482" t="s">
        <v>556</v>
      </c>
      <c r="AL1482">
        <v>32.799404000000003</v>
      </c>
      <c r="AM1482" t="s">
        <v>557</v>
      </c>
      <c r="AN1482">
        <v>-116.88509000000001</v>
      </c>
      <c r="AO1482">
        <v>25</v>
      </c>
      <c r="AP1482">
        <v>2600</v>
      </c>
      <c r="AQ1482" t="s">
        <v>129</v>
      </c>
      <c r="AR1482">
        <v>97</v>
      </c>
      <c r="AS1482">
        <v>-71</v>
      </c>
      <c r="AT1482">
        <v>256</v>
      </c>
      <c r="BB1482">
        <v>1200</v>
      </c>
      <c r="BC1482">
        <v>1</v>
      </c>
      <c r="BD1482" t="str">
        <f t="shared" si="515"/>
        <v xml:space="preserve">N887QR  </v>
      </c>
      <c r="BE1482">
        <v>1</v>
      </c>
      <c r="BG1482">
        <v>0</v>
      </c>
      <c r="BH1482">
        <v>0</v>
      </c>
      <c r="BI1482">
        <v>0</v>
      </c>
      <c r="BJ1482">
        <v>2275</v>
      </c>
      <c r="BK1482">
        <v>-325</v>
      </c>
      <c r="BL1482" t="s">
        <v>163</v>
      </c>
      <c r="BM1482">
        <v>1</v>
      </c>
      <c r="BN1482">
        <v>1</v>
      </c>
      <c r="BO1482">
        <v>1</v>
      </c>
      <c r="BP1482">
        <v>0</v>
      </c>
      <c r="BS1482">
        <v>0</v>
      </c>
      <c r="BT1482">
        <v>0</v>
      </c>
      <c r="BU1482">
        <v>0</v>
      </c>
      <c r="CE1482" t="str">
        <f t="shared" si="517"/>
        <v>19:29:29.511</v>
      </c>
      <c r="CF1482">
        <v>511198917</v>
      </c>
      <c r="CS1482">
        <v>3</v>
      </c>
      <c r="CT1482">
        <v>2</v>
      </c>
      <c r="CU1482">
        <v>0</v>
      </c>
      <c r="CV1482">
        <v>2</v>
      </c>
      <c r="CW1482">
        <v>0</v>
      </c>
      <c r="CX1482">
        <v>6</v>
      </c>
      <c r="CY1482">
        <v>7</v>
      </c>
      <c r="CZ1482" t="s">
        <v>131</v>
      </c>
      <c r="DA1482">
        <v>300</v>
      </c>
      <c r="DB1482">
        <v>0</v>
      </c>
      <c r="DC1482" t="s">
        <v>176</v>
      </c>
      <c r="DD1482" t="s">
        <v>177</v>
      </c>
      <c r="DG1482">
        <v>5387634</v>
      </c>
      <c r="DI1482">
        <v>1</v>
      </c>
      <c r="DJ1482">
        <v>0</v>
      </c>
      <c r="DK1482">
        <v>1</v>
      </c>
      <c r="DL1482">
        <v>0</v>
      </c>
      <c r="DM1482">
        <v>0</v>
      </c>
      <c r="DN1482">
        <v>1</v>
      </c>
      <c r="DO1482">
        <v>0</v>
      </c>
      <c r="DP1482">
        <v>0</v>
      </c>
      <c r="DQ1482">
        <v>0</v>
      </c>
      <c r="DR1482">
        <v>0</v>
      </c>
      <c r="DS1482">
        <v>0</v>
      </c>
    </row>
    <row r="1483" spans="1:123" x14ac:dyDescent="0.3">
      <c r="A1483" t="str">
        <f>"10/04/2022 19:29:29.759"</f>
        <v>10/04/2022 19:29:29.759</v>
      </c>
      <c r="C1483" t="str">
        <f t="shared" si="518"/>
        <v>FFDFD3C0</v>
      </c>
      <c r="D1483" t="s">
        <v>141</v>
      </c>
      <c r="E1483">
        <v>4</v>
      </c>
      <c r="H1483">
        <v>4</v>
      </c>
      <c r="I1483" t="s">
        <v>142</v>
      </c>
      <c r="J1483" t="s">
        <v>138</v>
      </c>
      <c r="K1483">
        <v>0</v>
      </c>
      <c r="L1483">
        <v>3</v>
      </c>
      <c r="M1483">
        <v>0</v>
      </c>
      <c r="N1483">
        <v>2</v>
      </c>
      <c r="O1483">
        <v>0</v>
      </c>
      <c r="P1483">
        <v>1</v>
      </c>
      <c r="Q1483">
        <v>0</v>
      </c>
      <c r="S1483" t="str">
        <f t="shared" si="516"/>
        <v>19:29:29.000</v>
      </c>
      <c r="T1483" t="str">
        <f t="shared" si="516"/>
        <v>19:29:29.000</v>
      </c>
      <c r="U1483" t="str">
        <f t="shared" si="514"/>
        <v>AC3944</v>
      </c>
      <c r="V1483">
        <v>0</v>
      </c>
      <c r="W1483">
        <v>0</v>
      </c>
      <c r="X1483">
        <v>2</v>
      </c>
      <c r="Y1483">
        <v>0</v>
      </c>
      <c r="AA1483">
        <v>1</v>
      </c>
      <c r="AB1483">
        <v>8</v>
      </c>
      <c r="AC1483">
        <v>3</v>
      </c>
      <c r="AD1483">
        <v>0</v>
      </c>
      <c r="AE1483">
        <v>9</v>
      </c>
      <c r="AF1483" t="s">
        <v>138</v>
      </c>
      <c r="AG1483">
        <v>0</v>
      </c>
      <c r="AH1483">
        <v>3</v>
      </c>
      <c r="AI1483">
        <v>1</v>
      </c>
      <c r="AJ1483">
        <v>0</v>
      </c>
      <c r="AK1483" t="s">
        <v>556</v>
      </c>
      <c r="AL1483">
        <v>32.799404000000003</v>
      </c>
      <c r="AM1483" t="s">
        <v>557</v>
      </c>
      <c r="AN1483">
        <v>-116.88509000000001</v>
      </c>
      <c r="AO1483">
        <v>25</v>
      </c>
      <c r="AP1483">
        <v>2600</v>
      </c>
      <c r="AQ1483" t="s">
        <v>129</v>
      </c>
      <c r="AR1483">
        <v>97</v>
      </c>
      <c r="AS1483">
        <v>-71</v>
      </c>
      <c r="AT1483">
        <v>256</v>
      </c>
      <c r="BB1483">
        <v>1200</v>
      </c>
      <c r="BC1483">
        <v>1</v>
      </c>
      <c r="BD1483" t="str">
        <f t="shared" si="515"/>
        <v xml:space="preserve">N887QR  </v>
      </c>
      <c r="BE1483">
        <v>1</v>
      </c>
      <c r="BG1483">
        <v>0</v>
      </c>
      <c r="BH1483">
        <v>0</v>
      </c>
      <c r="BI1483">
        <v>0</v>
      </c>
      <c r="BJ1483">
        <v>2275</v>
      </c>
      <c r="BK1483">
        <v>-325</v>
      </c>
      <c r="BL1483" t="s">
        <v>163</v>
      </c>
      <c r="BM1483">
        <v>1</v>
      </c>
      <c r="BN1483">
        <v>1</v>
      </c>
      <c r="BO1483">
        <v>1</v>
      </c>
      <c r="BP1483">
        <v>0</v>
      </c>
      <c r="BS1483">
        <v>0</v>
      </c>
      <c r="BT1483">
        <v>0</v>
      </c>
      <c r="BU1483">
        <v>0</v>
      </c>
      <c r="CE1483" t="str">
        <f t="shared" si="517"/>
        <v>19:29:29.511</v>
      </c>
      <c r="CF1483">
        <v>511198917</v>
      </c>
      <c r="CS1483">
        <v>3</v>
      </c>
      <c r="CT1483">
        <v>2</v>
      </c>
      <c r="CU1483">
        <v>0</v>
      </c>
      <c r="CV1483">
        <v>2</v>
      </c>
      <c r="CW1483">
        <v>0</v>
      </c>
      <c r="CX1483">
        <v>6</v>
      </c>
      <c r="CY1483">
        <v>7</v>
      </c>
      <c r="CZ1483" t="s">
        <v>131</v>
      </c>
      <c r="DA1483">
        <v>300</v>
      </c>
      <c r="DB1483">
        <v>0</v>
      </c>
      <c r="DC1483" t="s">
        <v>176</v>
      </c>
      <c r="DD1483" t="s">
        <v>177</v>
      </c>
      <c r="DG1483">
        <v>5387634</v>
      </c>
      <c r="DI1483">
        <v>1</v>
      </c>
      <c r="DJ1483">
        <v>0</v>
      </c>
      <c r="DK1483">
        <v>1</v>
      </c>
      <c r="DL1483">
        <v>0</v>
      </c>
      <c r="DM1483">
        <v>0</v>
      </c>
      <c r="DN1483">
        <v>1</v>
      </c>
      <c r="DO1483">
        <v>0</v>
      </c>
      <c r="DP1483">
        <v>0</v>
      </c>
      <c r="DQ1483">
        <v>0</v>
      </c>
      <c r="DR1483">
        <v>0</v>
      </c>
      <c r="DS1483">
        <v>0</v>
      </c>
    </row>
    <row r="1484" spans="1:123" x14ac:dyDescent="0.3">
      <c r="A1484" t="str">
        <f>"10/04/2022 19:29:29.775"</f>
        <v>10/04/2022 19:29:29.775</v>
      </c>
      <c r="C1484" t="str">
        <f t="shared" si="518"/>
        <v>FFDFD3C0</v>
      </c>
      <c r="D1484" t="s">
        <v>134</v>
      </c>
      <c r="E1484">
        <v>15</v>
      </c>
      <c r="J1484" t="s">
        <v>135</v>
      </c>
      <c r="K1484">
        <v>0</v>
      </c>
      <c r="L1484">
        <v>3</v>
      </c>
      <c r="M1484">
        <v>0</v>
      </c>
      <c r="N1484">
        <v>2</v>
      </c>
      <c r="O1484">
        <v>0</v>
      </c>
      <c r="P1484">
        <v>1</v>
      </c>
      <c r="Q1484">
        <v>0</v>
      </c>
      <c r="S1484" t="str">
        <f t="shared" si="516"/>
        <v>19:29:29.000</v>
      </c>
      <c r="T1484" t="str">
        <f t="shared" si="516"/>
        <v>19:29:29.000</v>
      </c>
      <c r="U1484" t="str">
        <f t="shared" si="514"/>
        <v>AC3944</v>
      </c>
      <c r="V1484">
        <v>0</v>
      </c>
      <c r="W1484">
        <v>0</v>
      </c>
      <c r="X1484">
        <v>2</v>
      </c>
      <c r="Y1484">
        <v>0</v>
      </c>
      <c r="AA1484">
        <v>1</v>
      </c>
      <c r="AB1484">
        <v>8</v>
      </c>
      <c r="AC1484">
        <v>3</v>
      </c>
      <c r="AD1484">
        <v>0</v>
      </c>
      <c r="AE1484">
        <v>9</v>
      </c>
      <c r="AF1484" t="s">
        <v>138</v>
      </c>
      <c r="AG1484">
        <v>0</v>
      </c>
      <c r="AH1484">
        <v>3</v>
      </c>
      <c r="AI1484">
        <v>1</v>
      </c>
      <c r="AJ1484">
        <v>0</v>
      </c>
      <c r="AK1484" t="s">
        <v>556</v>
      </c>
      <c r="AL1484">
        <v>32.799404000000003</v>
      </c>
      <c r="AM1484" t="s">
        <v>557</v>
      </c>
      <c r="AN1484">
        <v>-116.88509000000001</v>
      </c>
      <c r="AO1484">
        <v>25</v>
      </c>
      <c r="AP1484">
        <v>2600</v>
      </c>
      <c r="AQ1484" t="s">
        <v>129</v>
      </c>
      <c r="AR1484">
        <v>97</v>
      </c>
      <c r="AS1484">
        <v>-71</v>
      </c>
      <c r="AT1484">
        <v>256</v>
      </c>
      <c r="BB1484">
        <v>1200</v>
      </c>
      <c r="BC1484">
        <v>1</v>
      </c>
      <c r="BD1484" t="str">
        <f t="shared" si="515"/>
        <v xml:space="preserve">N887QR  </v>
      </c>
      <c r="BE1484">
        <v>1</v>
      </c>
      <c r="BG1484">
        <v>0</v>
      </c>
      <c r="BH1484">
        <v>0</v>
      </c>
      <c r="BI1484">
        <v>0</v>
      </c>
      <c r="BJ1484">
        <v>2275</v>
      </c>
      <c r="BK1484">
        <v>-325</v>
      </c>
      <c r="BL1484" t="s">
        <v>163</v>
      </c>
      <c r="BM1484">
        <v>1</v>
      </c>
      <c r="BN1484">
        <v>1</v>
      </c>
      <c r="BO1484">
        <v>1</v>
      </c>
      <c r="BP1484">
        <v>0</v>
      </c>
      <c r="BS1484">
        <v>0</v>
      </c>
      <c r="BT1484">
        <v>0</v>
      </c>
      <c r="BU1484">
        <v>0</v>
      </c>
      <c r="CE1484" t="str">
        <f t="shared" si="517"/>
        <v>19:29:29.511</v>
      </c>
      <c r="CF1484">
        <v>511198917</v>
      </c>
      <c r="CS1484">
        <v>3</v>
      </c>
      <c r="CT1484">
        <v>2</v>
      </c>
      <c r="CU1484">
        <v>0</v>
      </c>
      <c r="CV1484">
        <v>2</v>
      </c>
      <c r="CW1484">
        <v>0</v>
      </c>
      <c r="CX1484">
        <v>6</v>
      </c>
      <c r="CY1484">
        <v>7</v>
      </c>
      <c r="CZ1484" t="s">
        <v>131</v>
      </c>
      <c r="DA1484">
        <v>300</v>
      </c>
      <c r="DB1484">
        <v>0</v>
      </c>
      <c r="DC1484" t="s">
        <v>176</v>
      </c>
      <c r="DD1484" t="s">
        <v>177</v>
      </c>
      <c r="DG1484">
        <v>5387634</v>
      </c>
      <c r="DI1484">
        <v>1</v>
      </c>
      <c r="DJ1484">
        <v>0</v>
      </c>
      <c r="DK1484">
        <v>1</v>
      </c>
      <c r="DL1484">
        <v>0</v>
      </c>
      <c r="DM1484">
        <v>0</v>
      </c>
      <c r="DN1484">
        <v>1</v>
      </c>
      <c r="DO1484">
        <v>0</v>
      </c>
      <c r="DP1484">
        <v>0</v>
      </c>
      <c r="DQ1484">
        <v>0</v>
      </c>
      <c r="DR1484">
        <v>0</v>
      </c>
      <c r="DS1484">
        <v>0</v>
      </c>
    </row>
    <row r="1485" spans="1:123" x14ac:dyDescent="0.3">
      <c r="A1485" t="str">
        <f>"10/04/2022 19:29:30.619"</f>
        <v>10/04/2022 19:29:30.619</v>
      </c>
      <c r="C1485" t="str">
        <f t="shared" si="518"/>
        <v>FFDFD3C0</v>
      </c>
      <c r="D1485" t="s">
        <v>147</v>
      </c>
      <c r="E1485">
        <v>3</v>
      </c>
      <c r="H1485">
        <v>166</v>
      </c>
      <c r="I1485" t="s">
        <v>144</v>
      </c>
      <c r="J1485" t="s">
        <v>148</v>
      </c>
      <c r="K1485">
        <v>0</v>
      </c>
      <c r="L1485">
        <v>3</v>
      </c>
      <c r="M1485">
        <v>0</v>
      </c>
      <c r="N1485">
        <v>2</v>
      </c>
      <c r="O1485">
        <v>0</v>
      </c>
      <c r="P1485">
        <v>1</v>
      </c>
      <c r="Q1485">
        <v>0</v>
      </c>
      <c r="S1485" t="str">
        <f t="shared" ref="S1485:T1491" si="519">"19:29:30.000"</f>
        <v>19:29:30.000</v>
      </c>
      <c r="T1485" t="str">
        <f t="shared" si="519"/>
        <v>19:29:30.000</v>
      </c>
      <c r="U1485" t="str">
        <f t="shared" si="514"/>
        <v>AC3944</v>
      </c>
      <c r="V1485">
        <v>0</v>
      </c>
      <c r="W1485">
        <v>0</v>
      </c>
      <c r="X1485">
        <v>2</v>
      </c>
      <c r="Y1485">
        <v>0</v>
      </c>
      <c r="AA1485">
        <v>1</v>
      </c>
      <c r="AB1485">
        <v>8</v>
      </c>
      <c r="AC1485">
        <v>3</v>
      </c>
      <c r="AD1485">
        <v>0</v>
      </c>
      <c r="AE1485">
        <v>9</v>
      </c>
      <c r="AF1485" t="s">
        <v>138</v>
      </c>
      <c r="AG1485">
        <v>0</v>
      </c>
      <c r="AH1485">
        <v>3</v>
      </c>
      <c r="AI1485">
        <v>1</v>
      </c>
      <c r="AJ1485">
        <v>0</v>
      </c>
      <c r="AK1485" t="s">
        <v>558</v>
      </c>
      <c r="AL1485">
        <v>32.799016999999999</v>
      </c>
      <c r="AM1485" t="s">
        <v>559</v>
      </c>
      <c r="AN1485">
        <v>-116.884446</v>
      </c>
      <c r="AO1485">
        <v>25</v>
      </c>
      <c r="AP1485">
        <v>2600</v>
      </c>
      <c r="AQ1485" t="s">
        <v>129</v>
      </c>
      <c r="AR1485">
        <v>97</v>
      </c>
      <c r="AS1485">
        <v>-71</v>
      </c>
      <c r="AT1485">
        <v>256</v>
      </c>
      <c r="BB1485">
        <v>1200</v>
      </c>
      <c r="BC1485">
        <v>1</v>
      </c>
      <c r="BD1485" t="str">
        <f t="shared" si="515"/>
        <v xml:space="preserve">N887QR  </v>
      </c>
      <c r="BE1485">
        <v>1</v>
      </c>
      <c r="BG1485">
        <v>0</v>
      </c>
      <c r="BH1485">
        <v>0</v>
      </c>
      <c r="BI1485">
        <v>0</v>
      </c>
      <c r="BJ1485">
        <v>2300</v>
      </c>
      <c r="BK1485">
        <v>-300</v>
      </c>
      <c r="BL1485" t="s">
        <v>163</v>
      </c>
      <c r="BM1485">
        <v>1</v>
      </c>
      <c r="BN1485">
        <v>1</v>
      </c>
      <c r="BO1485">
        <v>1</v>
      </c>
      <c r="BP1485">
        <v>0</v>
      </c>
      <c r="BS1485">
        <v>0</v>
      </c>
      <c r="BT1485">
        <v>0</v>
      </c>
      <c r="BU1485">
        <v>0</v>
      </c>
      <c r="CE1485" t="str">
        <f t="shared" ref="CE1485:CE1491" si="520">"19:29:30.429"</f>
        <v>19:29:30.429</v>
      </c>
      <c r="CF1485">
        <v>428701999</v>
      </c>
      <c r="CS1485">
        <v>3</v>
      </c>
      <c r="CT1485">
        <v>2</v>
      </c>
      <c r="CU1485">
        <v>0</v>
      </c>
      <c r="CV1485">
        <v>2</v>
      </c>
      <c r="CW1485">
        <v>0</v>
      </c>
      <c r="CX1485">
        <v>6</v>
      </c>
      <c r="CY1485">
        <v>7</v>
      </c>
      <c r="CZ1485" t="s">
        <v>131</v>
      </c>
      <c r="DA1485">
        <v>300</v>
      </c>
      <c r="DB1485">
        <v>0</v>
      </c>
      <c r="DC1485" t="s">
        <v>176</v>
      </c>
      <c r="DD1485" t="s">
        <v>177</v>
      </c>
      <c r="DG1485">
        <v>5387778</v>
      </c>
      <c r="DI1485">
        <v>1</v>
      </c>
      <c r="DJ1485">
        <v>0</v>
      </c>
      <c r="DK1485">
        <v>0</v>
      </c>
      <c r="DL1485">
        <v>0</v>
      </c>
      <c r="DM1485">
        <v>0</v>
      </c>
      <c r="DN1485">
        <v>1</v>
      </c>
      <c r="DO1485">
        <v>0</v>
      </c>
      <c r="DP1485">
        <v>0</v>
      </c>
      <c r="DQ1485">
        <v>0</v>
      </c>
      <c r="DR1485">
        <v>0</v>
      </c>
      <c r="DS1485">
        <v>0</v>
      </c>
    </row>
    <row r="1486" spans="1:123" x14ac:dyDescent="0.3">
      <c r="A1486" t="str">
        <f>"10/04/2022 19:29:30.619"</f>
        <v>10/04/2022 19:29:30.619</v>
      </c>
      <c r="C1486" t="str">
        <f t="shared" si="518"/>
        <v>FFDFD3C0</v>
      </c>
      <c r="D1486" t="s">
        <v>143</v>
      </c>
      <c r="E1486">
        <v>20</v>
      </c>
      <c r="F1486">
        <v>1020</v>
      </c>
      <c r="G1486" t="s">
        <v>144</v>
      </c>
      <c r="J1486" t="s">
        <v>145</v>
      </c>
      <c r="K1486">
        <v>0</v>
      </c>
      <c r="L1486">
        <v>3</v>
      </c>
      <c r="M1486">
        <v>0</v>
      </c>
      <c r="N1486">
        <v>2</v>
      </c>
      <c r="O1486">
        <v>0</v>
      </c>
      <c r="P1486">
        <v>1</v>
      </c>
      <c r="Q1486">
        <v>0</v>
      </c>
      <c r="S1486" t="str">
        <f t="shared" si="519"/>
        <v>19:29:30.000</v>
      </c>
      <c r="T1486" t="str">
        <f t="shared" si="519"/>
        <v>19:29:30.000</v>
      </c>
      <c r="U1486" t="str">
        <f t="shared" si="514"/>
        <v>AC3944</v>
      </c>
      <c r="V1486">
        <v>0</v>
      </c>
      <c r="W1486">
        <v>0</v>
      </c>
      <c r="X1486">
        <v>2</v>
      </c>
      <c r="Y1486">
        <v>0</v>
      </c>
      <c r="AA1486">
        <v>1</v>
      </c>
      <c r="AB1486">
        <v>8</v>
      </c>
      <c r="AC1486">
        <v>3</v>
      </c>
      <c r="AD1486">
        <v>0</v>
      </c>
      <c r="AE1486">
        <v>9</v>
      </c>
      <c r="AF1486" t="s">
        <v>138</v>
      </c>
      <c r="AG1486">
        <v>0</v>
      </c>
      <c r="AH1486">
        <v>3</v>
      </c>
      <c r="AI1486">
        <v>1</v>
      </c>
      <c r="AJ1486">
        <v>0</v>
      </c>
      <c r="AK1486" t="s">
        <v>558</v>
      </c>
      <c r="AL1486">
        <v>32.799016999999999</v>
      </c>
      <c r="AM1486" t="s">
        <v>559</v>
      </c>
      <c r="AN1486">
        <v>-116.884446</v>
      </c>
      <c r="AO1486">
        <v>25</v>
      </c>
      <c r="AP1486">
        <v>2600</v>
      </c>
      <c r="AQ1486" t="s">
        <v>129</v>
      </c>
      <c r="AR1486">
        <v>97</v>
      </c>
      <c r="AS1486">
        <v>-71</v>
      </c>
      <c r="AT1486">
        <v>256</v>
      </c>
      <c r="BB1486">
        <v>1200</v>
      </c>
      <c r="BC1486">
        <v>1</v>
      </c>
      <c r="BD1486" t="str">
        <f t="shared" si="515"/>
        <v xml:space="preserve">N887QR  </v>
      </c>
      <c r="BE1486">
        <v>1</v>
      </c>
      <c r="BG1486">
        <v>0</v>
      </c>
      <c r="BH1486">
        <v>0</v>
      </c>
      <c r="BI1486">
        <v>0</v>
      </c>
      <c r="BJ1486">
        <v>2300</v>
      </c>
      <c r="BK1486">
        <v>-300</v>
      </c>
      <c r="BL1486" t="s">
        <v>163</v>
      </c>
      <c r="BM1486">
        <v>1</v>
      </c>
      <c r="BN1486">
        <v>1</v>
      </c>
      <c r="BO1486">
        <v>1</v>
      </c>
      <c r="BP1486">
        <v>0</v>
      </c>
      <c r="BS1486">
        <v>0</v>
      </c>
      <c r="BT1486">
        <v>0</v>
      </c>
      <c r="BU1486">
        <v>0</v>
      </c>
      <c r="CE1486" t="str">
        <f t="shared" si="520"/>
        <v>19:29:30.429</v>
      </c>
      <c r="CF1486">
        <v>428701999</v>
      </c>
      <c r="CS1486">
        <v>3</v>
      </c>
      <c r="CT1486">
        <v>2</v>
      </c>
      <c r="CU1486">
        <v>0</v>
      </c>
      <c r="CV1486">
        <v>2</v>
      </c>
      <c r="CW1486">
        <v>0</v>
      </c>
      <c r="CX1486">
        <v>6</v>
      </c>
      <c r="CY1486">
        <v>7</v>
      </c>
      <c r="CZ1486" t="s">
        <v>131</v>
      </c>
      <c r="DA1486">
        <v>300</v>
      </c>
      <c r="DB1486">
        <v>0</v>
      </c>
      <c r="DC1486" t="s">
        <v>176</v>
      </c>
      <c r="DD1486" t="s">
        <v>177</v>
      </c>
      <c r="DG1486">
        <v>5387778</v>
      </c>
      <c r="DI1486">
        <v>1</v>
      </c>
      <c r="DJ1486">
        <v>0</v>
      </c>
      <c r="DK1486">
        <v>1</v>
      </c>
      <c r="DL1486">
        <v>0</v>
      </c>
      <c r="DM1486">
        <v>0</v>
      </c>
      <c r="DN1486">
        <v>1</v>
      </c>
      <c r="DO1486">
        <v>0</v>
      </c>
      <c r="DP1486">
        <v>0</v>
      </c>
      <c r="DQ1486">
        <v>0</v>
      </c>
      <c r="DR1486">
        <v>0</v>
      </c>
      <c r="DS1486">
        <v>0</v>
      </c>
    </row>
    <row r="1487" spans="1:123" x14ac:dyDescent="0.3">
      <c r="A1487" t="str">
        <f>"10/04/2022 19:29:30.619"</f>
        <v>10/04/2022 19:29:30.619</v>
      </c>
      <c r="C1487" t="str">
        <f t="shared" si="518"/>
        <v>FFDFD3C0</v>
      </c>
      <c r="D1487" t="s">
        <v>136</v>
      </c>
      <c r="E1487">
        <v>8</v>
      </c>
      <c r="H1487">
        <v>225</v>
      </c>
      <c r="I1487" t="s">
        <v>137</v>
      </c>
      <c r="J1487" t="s">
        <v>138</v>
      </c>
      <c r="K1487">
        <v>0</v>
      </c>
      <c r="L1487">
        <v>3</v>
      </c>
      <c r="M1487">
        <v>0</v>
      </c>
      <c r="N1487">
        <v>2</v>
      </c>
      <c r="O1487">
        <v>0</v>
      </c>
      <c r="P1487">
        <v>1</v>
      </c>
      <c r="Q1487">
        <v>0</v>
      </c>
      <c r="S1487" t="str">
        <f t="shared" si="519"/>
        <v>19:29:30.000</v>
      </c>
      <c r="T1487" t="str">
        <f t="shared" si="519"/>
        <v>19:29:30.000</v>
      </c>
      <c r="U1487" t="str">
        <f t="shared" si="514"/>
        <v>AC3944</v>
      </c>
      <c r="V1487">
        <v>0</v>
      </c>
      <c r="W1487">
        <v>0</v>
      </c>
      <c r="X1487">
        <v>2</v>
      </c>
      <c r="Y1487">
        <v>0</v>
      </c>
      <c r="AA1487">
        <v>1</v>
      </c>
      <c r="AB1487">
        <v>8</v>
      </c>
      <c r="AC1487">
        <v>3</v>
      </c>
      <c r="AD1487">
        <v>0</v>
      </c>
      <c r="AE1487">
        <v>9</v>
      </c>
      <c r="AF1487" t="s">
        <v>138</v>
      </c>
      <c r="AG1487">
        <v>0</v>
      </c>
      <c r="AH1487">
        <v>3</v>
      </c>
      <c r="AI1487">
        <v>1</v>
      </c>
      <c r="AJ1487">
        <v>0</v>
      </c>
      <c r="AK1487" t="s">
        <v>558</v>
      </c>
      <c r="AL1487">
        <v>32.799016999999999</v>
      </c>
      <c r="AM1487" t="s">
        <v>559</v>
      </c>
      <c r="AN1487">
        <v>-116.884446</v>
      </c>
      <c r="AO1487">
        <v>25</v>
      </c>
      <c r="AP1487">
        <v>2600</v>
      </c>
      <c r="AQ1487" t="s">
        <v>129</v>
      </c>
      <c r="AR1487">
        <v>97</v>
      </c>
      <c r="AS1487">
        <v>-71</v>
      </c>
      <c r="AT1487">
        <v>256</v>
      </c>
      <c r="BB1487">
        <v>1200</v>
      </c>
      <c r="BC1487">
        <v>1</v>
      </c>
      <c r="BD1487" t="str">
        <f t="shared" si="515"/>
        <v xml:space="preserve">N887QR  </v>
      </c>
      <c r="BE1487">
        <v>1</v>
      </c>
      <c r="BG1487">
        <v>0</v>
      </c>
      <c r="BH1487">
        <v>0</v>
      </c>
      <c r="BI1487">
        <v>0</v>
      </c>
      <c r="BJ1487">
        <v>2300</v>
      </c>
      <c r="BK1487">
        <v>-300</v>
      </c>
      <c r="BL1487" t="s">
        <v>163</v>
      </c>
      <c r="BM1487">
        <v>1</v>
      </c>
      <c r="BN1487">
        <v>1</v>
      </c>
      <c r="BO1487">
        <v>1</v>
      </c>
      <c r="BP1487">
        <v>0</v>
      </c>
      <c r="BS1487">
        <v>0</v>
      </c>
      <c r="BT1487">
        <v>0</v>
      </c>
      <c r="BU1487">
        <v>0</v>
      </c>
      <c r="CE1487" t="str">
        <f t="shared" si="520"/>
        <v>19:29:30.429</v>
      </c>
      <c r="CF1487">
        <v>428701999</v>
      </c>
      <c r="CS1487">
        <v>3</v>
      </c>
      <c r="CT1487">
        <v>2</v>
      </c>
      <c r="CU1487">
        <v>0</v>
      </c>
      <c r="CV1487">
        <v>2</v>
      </c>
      <c r="CW1487">
        <v>0</v>
      </c>
      <c r="CX1487">
        <v>6</v>
      </c>
      <c r="CY1487">
        <v>7</v>
      </c>
      <c r="CZ1487" t="s">
        <v>131</v>
      </c>
      <c r="DA1487">
        <v>300</v>
      </c>
      <c r="DB1487">
        <v>0</v>
      </c>
      <c r="DC1487" t="s">
        <v>176</v>
      </c>
      <c r="DD1487" t="s">
        <v>177</v>
      </c>
      <c r="DG1487">
        <v>5387778</v>
      </c>
      <c r="DI1487">
        <v>1</v>
      </c>
      <c r="DJ1487">
        <v>0</v>
      </c>
      <c r="DK1487">
        <v>1</v>
      </c>
      <c r="DL1487">
        <v>0</v>
      </c>
      <c r="DM1487">
        <v>0</v>
      </c>
      <c r="DN1487">
        <v>1</v>
      </c>
      <c r="DO1487">
        <v>0</v>
      </c>
      <c r="DP1487">
        <v>0</v>
      </c>
      <c r="DQ1487">
        <v>0</v>
      </c>
      <c r="DR1487">
        <v>0</v>
      </c>
      <c r="DS1487">
        <v>0</v>
      </c>
    </row>
    <row r="1488" spans="1:123" x14ac:dyDescent="0.3">
      <c r="A1488" t="str">
        <f>"10/04/2022 19:29:30.619"</f>
        <v>10/04/2022 19:29:30.619</v>
      </c>
      <c r="C1488" t="str">
        <f t="shared" si="518"/>
        <v>FFDFD3C0</v>
      </c>
      <c r="D1488" t="s">
        <v>123</v>
      </c>
      <c r="E1488">
        <v>7</v>
      </c>
      <c r="F1488">
        <v>2007</v>
      </c>
      <c r="G1488" t="s">
        <v>124</v>
      </c>
      <c r="J1488" t="s">
        <v>125</v>
      </c>
      <c r="K1488">
        <v>0</v>
      </c>
      <c r="L1488">
        <v>3</v>
      </c>
      <c r="M1488">
        <v>0</v>
      </c>
      <c r="N1488">
        <v>2</v>
      </c>
      <c r="O1488">
        <v>0</v>
      </c>
      <c r="P1488">
        <v>1</v>
      </c>
      <c r="Q1488">
        <v>0</v>
      </c>
      <c r="S1488" t="str">
        <f t="shared" si="519"/>
        <v>19:29:30.000</v>
      </c>
      <c r="T1488" t="str">
        <f t="shared" si="519"/>
        <v>19:29:30.000</v>
      </c>
      <c r="U1488" t="str">
        <f t="shared" si="514"/>
        <v>AC3944</v>
      </c>
      <c r="V1488">
        <v>0</v>
      </c>
      <c r="W1488">
        <v>0</v>
      </c>
      <c r="X1488">
        <v>2</v>
      </c>
      <c r="Y1488">
        <v>0</v>
      </c>
      <c r="AA1488">
        <v>1</v>
      </c>
      <c r="AB1488">
        <v>8</v>
      </c>
      <c r="AC1488">
        <v>3</v>
      </c>
      <c r="AD1488">
        <v>0</v>
      </c>
      <c r="AE1488">
        <v>9</v>
      </c>
      <c r="AF1488" t="s">
        <v>138</v>
      </c>
      <c r="AG1488">
        <v>0</v>
      </c>
      <c r="AH1488">
        <v>3</v>
      </c>
      <c r="AI1488">
        <v>1</v>
      </c>
      <c r="AJ1488">
        <v>0</v>
      </c>
      <c r="AK1488" t="s">
        <v>558</v>
      </c>
      <c r="AL1488">
        <v>32.799016999999999</v>
      </c>
      <c r="AM1488" t="s">
        <v>559</v>
      </c>
      <c r="AN1488">
        <v>-116.884446</v>
      </c>
      <c r="AO1488">
        <v>25</v>
      </c>
      <c r="AP1488">
        <v>2600</v>
      </c>
      <c r="AQ1488" t="s">
        <v>129</v>
      </c>
      <c r="AR1488">
        <v>97</v>
      </c>
      <c r="AS1488">
        <v>-71</v>
      </c>
      <c r="AT1488">
        <v>256</v>
      </c>
      <c r="BB1488">
        <v>1200</v>
      </c>
      <c r="BC1488">
        <v>1</v>
      </c>
      <c r="BD1488" t="str">
        <f t="shared" si="515"/>
        <v xml:space="preserve">N887QR  </v>
      </c>
      <c r="BE1488">
        <v>1</v>
      </c>
      <c r="BG1488">
        <v>0</v>
      </c>
      <c r="BH1488">
        <v>0</v>
      </c>
      <c r="BI1488">
        <v>0</v>
      </c>
      <c r="BJ1488">
        <v>2300</v>
      </c>
      <c r="BK1488">
        <v>-300</v>
      </c>
      <c r="BL1488" t="s">
        <v>163</v>
      </c>
      <c r="BM1488">
        <v>1</v>
      </c>
      <c r="BN1488">
        <v>1</v>
      </c>
      <c r="BO1488">
        <v>1</v>
      </c>
      <c r="BP1488">
        <v>0</v>
      </c>
      <c r="BS1488">
        <v>0</v>
      </c>
      <c r="BT1488">
        <v>0</v>
      </c>
      <c r="BU1488">
        <v>0</v>
      </c>
      <c r="CE1488" t="str">
        <f t="shared" si="520"/>
        <v>19:29:30.429</v>
      </c>
      <c r="CF1488">
        <v>428701999</v>
      </c>
      <c r="CS1488">
        <v>3</v>
      </c>
      <c r="CT1488">
        <v>2</v>
      </c>
      <c r="CU1488">
        <v>0</v>
      </c>
      <c r="CV1488">
        <v>2</v>
      </c>
      <c r="CW1488">
        <v>0</v>
      </c>
      <c r="CX1488">
        <v>6</v>
      </c>
      <c r="CY1488">
        <v>7</v>
      </c>
      <c r="CZ1488" t="s">
        <v>131</v>
      </c>
      <c r="DA1488">
        <v>300</v>
      </c>
      <c r="DB1488">
        <v>0</v>
      </c>
      <c r="DC1488" t="s">
        <v>176</v>
      </c>
      <c r="DD1488" t="s">
        <v>177</v>
      </c>
      <c r="DG1488">
        <v>5387778</v>
      </c>
      <c r="DI1488">
        <v>1</v>
      </c>
      <c r="DJ1488">
        <v>0</v>
      </c>
      <c r="DK1488">
        <v>1</v>
      </c>
      <c r="DL1488">
        <v>0</v>
      </c>
      <c r="DM1488">
        <v>0</v>
      </c>
      <c r="DN1488">
        <v>1</v>
      </c>
      <c r="DO1488">
        <v>0</v>
      </c>
      <c r="DP1488">
        <v>0</v>
      </c>
      <c r="DQ1488">
        <v>0</v>
      </c>
      <c r="DR1488">
        <v>0</v>
      </c>
      <c r="DS1488">
        <v>0</v>
      </c>
    </row>
    <row r="1489" spans="1:123" x14ac:dyDescent="0.3">
      <c r="A1489" t="str">
        <f>"10/04/2022 19:29:30.619"</f>
        <v>10/04/2022 19:29:30.619</v>
      </c>
      <c r="C1489" t="str">
        <f t="shared" si="518"/>
        <v>FFDFD3C0</v>
      </c>
      <c r="D1489" t="s">
        <v>141</v>
      </c>
      <c r="E1489">
        <v>3</v>
      </c>
      <c r="H1489">
        <v>3</v>
      </c>
      <c r="I1489" t="s">
        <v>146</v>
      </c>
      <c r="J1489" t="s">
        <v>138</v>
      </c>
      <c r="K1489">
        <v>0</v>
      </c>
      <c r="L1489">
        <v>3</v>
      </c>
      <c r="M1489">
        <v>0</v>
      </c>
      <c r="N1489">
        <v>2</v>
      </c>
      <c r="O1489">
        <v>0</v>
      </c>
      <c r="P1489">
        <v>1</v>
      </c>
      <c r="Q1489">
        <v>0</v>
      </c>
      <c r="S1489" t="str">
        <f t="shared" si="519"/>
        <v>19:29:30.000</v>
      </c>
      <c r="T1489" t="str">
        <f t="shared" si="519"/>
        <v>19:29:30.000</v>
      </c>
      <c r="U1489" t="str">
        <f t="shared" si="514"/>
        <v>AC3944</v>
      </c>
      <c r="V1489">
        <v>0</v>
      </c>
      <c r="W1489">
        <v>0</v>
      </c>
      <c r="X1489">
        <v>2</v>
      </c>
      <c r="Y1489">
        <v>0</v>
      </c>
      <c r="AA1489">
        <v>1</v>
      </c>
      <c r="AB1489">
        <v>8</v>
      </c>
      <c r="AC1489">
        <v>3</v>
      </c>
      <c r="AD1489">
        <v>0</v>
      </c>
      <c r="AE1489">
        <v>9</v>
      </c>
      <c r="AF1489" t="s">
        <v>138</v>
      </c>
      <c r="AG1489">
        <v>0</v>
      </c>
      <c r="AH1489">
        <v>3</v>
      </c>
      <c r="AI1489">
        <v>1</v>
      </c>
      <c r="AJ1489">
        <v>0</v>
      </c>
      <c r="AK1489" t="s">
        <v>558</v>
      </c>
      <c r="AL1489">
        <v>32.799016999999999</v>
      </c>
      <c r="AM1489" t="s">
        <v>559</v>
      </c>
      <c r="AN1489">
        <v>-116.884446</v>
      </c>
      <c r="AO1489">
        <v>25</v>
      </c>
      <c r="AP1489">
        <v>2600</v>
      </c>
      <c r="AQ1489" t="s">
        <v>129</v>
      </c>
      <c r="AR1489">
        <v>97</v>
      </c>
      <c r="AS1489">
        <v>-71</v>
      </c>
      <c r="AT1489">
        <v>256</v>
      </c>
      <c r="BB1489">
        <v>1200</v>
      </c>
      <c r="BC1489">
        <v>1</v>
      </c>
      <c r="BD1489" t="str">
        <f t="shared" si="515"/>
        <v xml:space="preserve">N887QR  </v>
      </c>
      <c r="BE1489">
        <v>1</v>
      </c>
      <c r="BG1489">
        <v>0</v>
      </c>
      <c r="BH1489">
        <v>0</v>
      </c>
      <c r="BI1489">
        <v>0</v>
      </c>
      <c r="BJ1489">
        <v>2300</v>
      </c>
      <c r="BK1489">
        <v>-300</v>
      </c>
      <c r="BL1489" t="s">
        <v>163</v>
      </c>
      <c r="BM1489">
        <v>1</v>
      </c>
      <c r="BN1489">
        <v>1</v>
      </c>
      <c r="BO1489">
        <v>1</v>
      </c>
      <c r="BP1489">
        <v>0</v>
      </c>
      <c r="BS1489">
        <v>0</v>
      </c>
      <c r="BT1489">
        <v>0</v>
      </c>
      <c r="BU1489">
        <v>0</v>
      </c>
      <c r="CE1489" t="str">
        <f t="shared" si="520"/>
        <v>19:29:30.429</v>
      </c>
      <c r="CF1489">
        <v>428701999</v>
      </c>
      <c r="CS1489">
        <v>3</v>
      </c>
      <c r="CT1489">
        <v>2</v>
      </c>
      <c r="CU1489">
        <v>0</v>
      </c>
      <c r="CV1489">
        <v>2</v>
      </c>
      <c r="CW1489">
        <v>0</v>
      </c>
      <c r="CX1489">
        <v>6</v>
      </c>
      <c r="CY1489">
        <v>7</v>
      </c>
      <c r="CZ1489" t="s">
        <v>131</v>
      </c>
      <c r="DA1489">
        <v>300</v>
      </c>
      <c r="DB1489">
        <v>0</v>
      </c>
      <c r="DC1489" t="s">
        <v>176</v>
      </c>
      <c r="DD1489" t="s">
        <v>177</v>
      </c>
      <c r="DG1489">
        <v>5387778</v>
      </c>
      <c r="DI1489">
        <v>1</v>
      </c>
      <c r="DJ1489">
        <v>0</v>
      </c>
      <c r="DK1489">
        <v>1</v>
      </c>
      <c r="DL1489">
        <v>0</v>
      </c>
      <c r="DM1489">
        <v>0</v>
      </c>
      <c r="DN1489">
        <v>1</v>
      </c>
      <c r="DO1489">
        <v>0</v>
      </c>
      <c r="DP1489">
        <v>0</v>
      </c>
      <c r="DQ1489">
        <v>0</v>
      </c>
      <c r="DR1489">
        <v>0</v>
      </c>
      <c r="DS1489">
        <v>0</v>
      </c>
    </row>
    <row r="1490" spans="1:123" x14ac:dyDescent="0.3">
      <c r="A1490" t="str">
        <f>"10/04/2022 19:29:30.635"</f>
        <v>10/04/2022 19:29:30.635</v>
      </c>
      <c r="C1490" t="str">
        <f t="shared" si="518"/>
        <v>FFDFD3C0</v>
      </c>
      <c r="D1490" t="s">
        <v>141</v>
      </c>
      <c r="E1490">
        <v>4</v>
      </c>
      <c r="H1490">
        <v>4</v>
      </c>
      <c r="I1490" t="s">
        <v>142</v>
      </c>
      <c r="J1490" t="s">
        <v>138</v>
      </c>
      <c r="K1490">
        <v>0</v>
      </c>
      <c r="L1490">
        <v>3</v>
      </c>
      <c r="M1490">
        <v>0</v>
      </c>
      <c r="N1490">
        <v>2</v>
      </c>
      <c r="O1490">
        <v>0</v>
      </c>
      <c r="P1490">
        <v>1</v>
      </c>
      <c r="Q1490">
        <v>0</v>
      </c>
      <c r="S1490" t="str">
        <f t="shared" si="519"/>
        <v>19:29:30.000</v>
      </c>
      <c r="T1490" t="str">
        <f t="shared" si="519"/>
        <v>19:29:30.000</v>
      </c>
      <c r="U1490" t="str">
        <f t="shared" si="514"/>
        <v>AC3944</v>
      </c>
      <c r="V1490">
        <v>0</v>
      </c>
      <c r="W1490">
        <v>0</v>
      </c>
      <c r="X1490">
        <v>2</v>
      </c>
      <c r="Y1490">
        <v>0</v>
      </c>
      <c r="AA1490">
        <v>1</v>
      </c>
      <c r="AB1490">
        <v>8</v>
      </c>
      <c r="AC1490">
        <v>3</v>
      </c>
      <c r="AD1490">
        <v>0</v>
      </c>
      <c r="AE1490">
        <v>9</v>
      </c>
      <c r="AF1490" t="s">
        <v>138</v>
      </c>
      <c r="AG1490">
        <v>0</v>
      </c>
      <c r="AH1490">
        <v>3</v>
      </c>
      <c r="AI1490">
        <v>1</v>
      </c>
      <c r="AJ1490">
        <v>0</v>
      </c>
      <c r="AK1490" t="s">
        <v>558</v>
      </c>
      <c r="AL1490">
        <v>32.799016999999999</v>
      </c>
      <c r="AM1490" t="s">
        <v>559</v>
      </c>
      <c r="AN1490">
        <v>-116.884446</v>
      </c>
      <c r="AO1490">
        <v>25</v>
      </c>
      <c r="AP1490">
        <v>2600</v>
      </c>
      <c r="AQ1490" t="s">
        <v>129</v>
      </c>
      <c r="AR1490">
        <v>97</v>
      </c>
      <c r="AS1490">
        <v>-71</v>
      </c>
      <c r="AT1490">
        <v>256</v>
      </c>
      <c r="BB1490">
        <v>1200</v>
      </c>
      <c r="BC1490">
        <v>1</v>
      </c>
      <c r="BD1490" t="str">
        <f t="shared" si="515"/>
        <v xml:space="preserve">N887QR  </v>
      </c>
      <c r="BE1490">
        <v>1</v>
      </c>
      <c r="BG1490">
        <v>0</v>
      </c>
      <c r="BH1490">
        <v>0</v>
      </c>
      <c r="BI1490">
        <v>0</v>
      </c>
      <c r="BJ1490">
        <v>2300</v>
      </c>
      <c r="BK1490">
        <v>-300</v>
      </c>
      <c r="BL1490" t="s">
        <v>163</v>
      </c>
      <c r="BM1490">
        <v>1</v>
      </c>
      <c r="BN1490">
        <v>1</v>
      </c>
      <c r="BO1490">
        <v>1</v>
      </c>
      <c r="BP1490">
        <v>0</v>
      </c>
      <c r="BS1490">
        <v>0</v>
      </c>
      <c r="BT1490">
        <v>0</v>
      </c>
      <c r="BU1490">
        <v>0</v>
      </c>
      <c r="CE1490" t="str">
        <f t="shared" si="520"/>
        <v>19:29:30.429</v>
      </c>
      <c r="CF1490">
        <v>428701999</v>
      </c>
      <c r="CS1490">
        <v>3</v>
      </c>
      <c r="CT1490">
        <v>2</v>
      </c>
      <c r="CU1490">
        <v>0</v>
      </c>
      <c r="CV1490">
        <v>2</v>
      </c>
      <c r="CW1490">
        <v>0</v>
      </c>
      <c r="CX1490">
        <v>6</v>
      </c>
      <c r="CY1490">
        <v>7</v>
      </c>
      <c r="CZ1490" t="s">
        <v>131</v>
      </c>
      <c r="DA1490">
        <v>300</v>
      </c>
      <c r="DB1490">
        <v>0</v>
      </c>
      <c r="DC1490" t="s">
        <v>176</v>
      </c>
      <c r="DD1490" t="s">
        <v>177</v>
      </c>
      <c r="DG1490">
        <v>5387778</v>
      </c>
      <c r="DI1490">
        <v>1</v>
      </c>
      <c r="DJ1490">
        <v>0</v>
      </c>
      <c r="DK1490">
        <v>1</v>
      </c>
      <c r="DL1490">
        <v>0</v>
      </c>
      <c r="DM1490">
        <v>0</v>
      </c>
      <c r="DN1490">
        <v>1</v>
      </c>
      <c r="DO1490">
        <v>0</v>
      </c>
      <c r="DP1490">
        <v>0</v>
      </c>
      <c r="DQ1490">
        <v>0</v>
      </c>
      <c r="DR1490">
        <v>0</v>
      </c>
      <c r="DS1490">
        <v>0</v>
      </c>
    </row>
    <row r="1491" spans="1:123" x14ac:dyDescent="0.3">
      <c r="A1491" t="str">
        <f>"10/04/2022 19:29:30.635"</f>
        <v>10/04/2022 19:29:30.635</v>
      </c>
      <c r="C1491" t="str">
        <f t="shared" si="518"/>
        <v>FFDFD3C0</v>
      </c>
      <c r="D1491" t="s">
        <v>134</v>
      </c>
      <c r="E1491">
        <v>15</v>
      </c>
      <c r="J1491" t="s">
        <v>135</v>
      </c>
      <c r="K1491">
        <v>0</v>
      </c>
      <c r="L1491">
        <v>3</v>
      </c>
      <c r="M1491">
        <v>0</v>
      </c>
      <c r="N1491">
        <v>2</v>
      </c>
      <c r="O1491">
        <v>0</v>
      </c>
      <c r="P1491">
        <v>1</v>
      </c>
      <c r="Q1491">
        <v>0</v>
      </c>
      <c r="S1491" t="str">
        <f t="shared" si="519"/>
        <v>19:29:30.000</v>
      </c>
      <c r="T1491" t="str">
        <f t="shared" si="519"/>
        <v>19:29:30.000</v>
      </c>
      <c r="U1491" t="str">
        <f t="shared" si="514"/>
        <v>AC3944</v>
      </c>
      <c r="V1491">
        <v>0</v>
      </c>
      <c r="W1491">
        <v>0</v>
      </c>
      <c r="X1491">
        <v>2</v>
      </c>
      <c r="Y1491">
        <v>0</v>
      </c>
      <c r="AA1491">
        <v>1</v>
      </c>
      <c r="AB1491">
        <v>8</v>
      </c>
      <c r="AC1491">
        <v>3</v>
      </c>
      <c r="AD1491">
        <v>0</v>
      </c>
      <c r="AE1491">
        <v>9</v>
      </c>
      <c r="AF1491" t="s">
        <v>138</v>
      </c>
      <c r="AG1491">
        <v>0</v>
      </c>
      <c r="AH1491">
        <v>3</v>
      </c>
      <c r="AI1491">
        <v>1</v>
      </c>
      <c r="AJ1491">
        <v>0</v>
      </c>
      <c r="AK1491" t="s">
        <v>558</v>
      </c>
      <c r="AL1491">
        <v>32.799016999999999</v>
      </c>
      <c r="AM1491" t="s">
        <v>559</v>
      </c>
      <c r="AN1491">
        <v>-116.884446</v>
      </c>
      <c r="AO1491">
        <v>25</v>
      </c>
      <c r="AP1491">
        <v>2600</v>
      </c>
      <c r="AQ1491" t="s">
        <v>129</v>
      </c>
      <c r="AR1491">
        <v>97</v>
      </c>
      <c r="AS1491">
        <v>-71</v>
      </c>
      <c r="AT1491">
        <v>256</v>
      </c>
      <c r="BB1491">
        <v>1200</v>
      </c>
      <c r="BC1491">
        <v>1</v>
      </c>
      <c r="BD1491" t="str">
        <f t="shared" si="515"/>
        <v xml:space="preserve">N887QR  </v>
      </c>
      <c r="BE1491">
        <v>1</v>
      </c>
      <c r="BG1491">
        <v>0</v>
      </c>
      <c r="BH1491">
        <v>0</v>
      </c>
      <c r="BI1491">
        <v>0</v>
      </c>
      <c r="BJ1491">
        <v>2300</v>
      </c>
      <c r="BK1491">
        <v>-300</v>
      </c>
      <c r="BL1491" t="s">
        <v>163</v>
      </c>
      <c r="BM1491">
        <v>1</v>
      </c>
      <c r="BN1491">
        <v>1</v>
      </c>
      <c r="BO1491">
        <v>1</v>
      </c>
      <c r="BP1491">
        <v>0</v>
      </c>
      <c r="BS1491">
        <v>0</v>
      </c>
      <c r="BT1491">
        <v>0</v>
      </c>
      <c r="BU1491">
        <v>0</v>
      </c>
      <c r="CE1491" t="str">
        <f t="shared" si="520"/>
        <v>19:29:30.429</v>
      </c>
      <c r="CF1491">
        <v>428701999</v>
      </c>
      <c r="CS1491">
        <v>3</v>
      </c>
      <c r="CT1491">
        <v>2</v>
      </c>
      <c r="CU1491">
        <v>0</v>
      </c>
      <c r="CV1491">
        <v>2</v>
      </c>
      <c r="CW1491">
        <v>0</v>
      </c>
      <c r="CX1491">
        <v>6</v>
      </c>
      <c r="CY1491">
        <v>7</v>
      </c>
      <c r="CZ1491" t="s">
        <v>131</v>
      </c>
      <c r="DA1491">
        <v>300</v>
      </c>
      <c r="DB1491">
        <v>0</v>
      </c>
      <c r="DC1491" t="s">
        <v>176</v>
      </c>
      <c r="DD1491" t="s">
        <v>177</v>
      </c>
      <c r="DG1491">
        <v>5387778</v>
      </c>
      <c r="DI1491">
        <v>1</v>
      </c>
      <c r="DJ1491">
        <v>0</v>
      </c>
      <c r="DK1491">
        <v>1</v>
      </c>
      <c r="DL1491">
        <v>0</v>
      </c>
      <c r="DM1491">
        <v>0</v>
      </c>
      <c r="DN1491">
        <v>1</v>
      </c>
      <c r="DO1491">
        <v>0</v>
      </c>
      <c r="DP1491">
        <v>0</v>
      </c>
      <c r="DQ1491">
        <v>0</v>
      </c>
      <c r="DR1491">
        <v>0</v>
      </c>
      <c r="DS1491">
        <v>0</v>
      </c>
    </row>
    <row r="1492" spans="1:123" x14ac:dyDescent="0.3">
      <c r="A1492" t="str">
        <f>"10/04/2022 19:29:31.268"</f>
        <v>10/04/2022 19:29:31.268</v>
      </c>
      <c r="C1492" t="str">
        <f t="shared" si="518"/>
        <v>FFDFD3C0</v>
      </c>
      <c r="D1492" t="s">
        <v>134</v>
      </c>
      <c r="E1492">
        <v>15</v>
      </c>
      <c r="J1492" t="s">
        <v>135</v>
      </c>
      <c r="K1492">
        <v>0</v>
      </c>
      <c r="L1492">
        <v>3</v>
      </c>
      <c r="M1492">
        <v>0</v>
      </c>
      <c r="N1492">
        <v>2</v>
      </c>
      <c r="O1492">
        <v>0</v>
      </c>
      <c r="P1492">
        <v>1</v>
      </c>
      <c r="Q1492">
        <v>0</v>
      </c>
      <c r="S1492" t="str">
        <f t="shared" ref="S1492:T1505" si="521">"19:29:31.000"</f>
        <v>19:29:31.000</v>
      </c>
      <c r="T1492" t="str">
        <f t="shared" si="521"/>
        <v>19:29:31.000</v>
      </c>
      <c r="U1492" t="str">
        <f t="shared" si="514"/>
        <v>AC3944</v>
      </c>
      <c r="V1492">
        <v>0</v>
      </c>
      <c r="W1492">
        <v>0</v>
      </c>
      <c r="X1492">
        <v>2</v>
      </c>
      <c r="Y1492">
        <v>0</v>
      </c>
      <c r="AA1492">
        <v>1</v>
      </c>
      <c r="AB1492">
        <v>8</v>
      </c>
      <c r="AC1492">
        <v>3</v>
      </c>
      <c r="AD1492">
        <v>0</v>
      </c>
      <c r="AE1492">
        <v>9</v>
      </c>
      <c r="AF1492" t="s">
        <v>138</v>
      </c>
      <c r="AG1492">
        <v>0</v>
      </c>
      <c r="AH1492">
        <v>3</v>
      </c>
      <c r="AI1492">
        <v>1</v>
      </c>
      <c r="AJ1492">
        <v>0</v>
      </c>
      <c r="AK1492" t="s">
        <v>560</v>
      </c>
      <c r="AL1492">
        <v>32.798673999999998</v>
      </c>
      <c r="AM1492" t="s">
        <v>561</v>
      </c>
      <c r="AN1492">
        <v>-116.88391</v>
      </c>
      <c r="AO1492">
        <v>25</v>
      </c>
      <c r="AP1492">
        <v>2600</v>
      </c>
      <c r="AQ1492" t="s">
        <v>129</v>
      </c>
      <c r="AR1492">
        <v>97</v>
      </c>
      <c r="AS1492">
        <v>-70</v>
      </c>
      <c r="AT1492">
        <v>256</v>
      </c>
      <c r="BB1492">
        <v>1200</v>
      </c>
      <c r="BC1492">
        <v>1</v>
      </c>
      <c r="BD1492" t="str">
        <f t="shared" si="515"/>
        <v xml:space="preserve">N887QR  </v>
      </c>
      <c r="BE1492">
        <v>1</v>
      </c>
      <c r="BG1492">
        <v>0</v>
      </c>
      <c r="BH1492">
        <v>0</v>
      </c>
      <c r="BI1492">
        <v>0</v>
      </c>
      <c r="BJ1492">
        <v>2300</v>
      </c>
      <c r="BK1492">
        <v>-300</v>
      </c>
      <c r="BL1492" t="s">
        <v>163</v>
      </c>
      <c r="BM1492">
        <v>1</v>
      </c>
      <c r="BN1492">
        <v>1</v>
      </c>
      <c r="BO1492">
        <v>1</v>
      </c>
      <c r="BP1492">
        <v>0</v>
      </c>
      <c r="BS1492">
        <v>0</v>
      </c>
      <c r="BT1492">
        <v>0</v>
      </c>
      <c r="BU1492">
        <v>0</v>
      </c>
      <c r="CE1492" t="str">
        <f t="shared" ref="CE1492:CE1498" si="522">"19:29:31.009"</f>
        <v>19:29:31.009</v>
      </c>
      <c r="CF1492">
        <v>8953972</v>
      </c>
      <c r="CS1492">
        <v>3</v>
      </c>
      <c r="CT1492">
        <v>2</v>
      </c>
      <c r="CU1492">
        <v>0</v>
      </c>
      <c r="CV1492">
        <v>2</v>
      </c>
      <c r="CW1492">
        <v>0</v>
      </c>
      <c r="CX1492">
        <v>6</v>
      </c>
      <c r="CY1492">
        <v>7</v>
      </c>
      <c r="CZ1492" t="s">
        <v>131</v>
      </c>
      <c r="DA1492">
        <v>300</v>
      </c>
      <c r="DB1492">
        <v>0</v>
      </c>
      <c r="DC1492" t="s">
        <v>176</v>
      </c>
      <c r="DD1492" t="s">
        <v>177</v>
      </c>
      <c r="DG1492">
        <v>5387870</v>
      </c>
      <c r="DI1492">
        <v>1</v>
      </c>
      <c r="DJ1492">
        <v>0</v>
      </c>
      <c r="DK1492">
        <v>0</v>
      </c>
      <c r="DL1492">
        <v>0</v>
      </c>
      <c r="DM1492">
        <v>0</v>
      </c>
      <c r="DN1492">
        <v>1</v>
      </c>
      <c r="DO1492">
        <v>0</v>
      </c>
      <c r="DP1492">
        <v>0</v>
      </c>
      <c r="DQ1492">
        <v>0</v>
      </c>
      <c r="DR1492">
        <v>0</v>
      </c>
      <c r="DS1492">
        <v>0</v>
      </c>
    </row>
    <row r="1493" spans="1:123" x14ac:dyDescent="0.3">
      <c r="A1493" t="str">
        <f>"10/04/2022 19:29:31.268"</f>
        <v>10/04/2022 19:29:31.268</v>
      </c>
      <c r="C1493" t="str">
        <f t="shared" si="518"/>
        <v>FFDFD3C0</v>
      </c>
      <c r="D1493" t="s">
        <v>147</v>
      </c>
      <c r="E1493">
        <v>3</v>
      </c>
      <c r="H1493">
        <v>166</v>
      </c>
      <c r="I1493" t="s">
        <v>144</v>
      </c>
      <c r="J1493" t="s">
        <v>148</v>
      </c>
      <c r="K1493">
        <v>0</v>
      </c>
      <c r="L1493">
        <v>3</v>
      </c>
      <c r="M1493">
        <v>0</v>
      </c>
      <c r="N1493">
        <v>2</v>
      </c>
      <c r="O1493">
        <v>0</v>
      </c>
      <c r="P1493">
        <v>1</v>
      </c>
      <c r="Q1493">
        <v>0</v>
      </c>
      <c r="S1493" t="str">
        <f t="shared" si="521"/>
        <v>19:29:31.000</v>
      </c>
      <c r="T1493" t="str">
        <f t="shared" si="521"/>
        <v>19:29:31.000</v>
      </c>
      <c r="U1493" t="str">
        <f t="shared" si="514"/>
        <v>AC3944</v>
      </c>
      <c r="V1493">
        <v>0</v>
      </c>
      <c r="W1493">
        <v>0</v>
      </c>
      <c r="X1493">
        <v>2</v>
      </c>
      <c r="Y1493">
        <v>0</v>
      </c>
      <c r="AA1493">
        <v>1</v>
      </c>
      <c r="AB1493">
        <v>8</v>
      </c>
      <c r="AC1493">
        <v>3</v>
      </c>
      <c r="AD1493">
        <v>0</v>
      </c>
      <c r="AE1493">
        <v>9</v>
      </c>
      <c r="AF1493" t="s">
        <v>138</v>
      </c>
      <c r="AG1493">
        <v>0</v>
      </c>
      <c r="AH1493">
        <v>3</v>
      </c>
      <c r="AI1493">
        <v>1</v>
      </c>
      <c r="AJ1493">
        <v>0</v>
      </c>
      <c r="AK1493" t="s">
        <v>560</v>
      </c>
      <c r="AL1493">
        <v>32.798673999999998</v>
      </c>
      <c r="AM1493" t="s">
        <v>561</v>
      </c>
      <c r="AN1493">
        <v>-116.88391</v>
      </c>
      <c r="AO1493">
        <v>25</v>
      </c>
      <c r="AP1493">
        <v>2600</v>
      </c>
      <c r="AQ1493" t="s">
        <v>129</v>
      </c>
      <c r="AR1493">
        <v>97</v>
      </c>
      <c r="AS1493">
        <v>-70</v>
      </c>
      <c r="AT1493">
        <v>256</v>
      </c>
      <c r="BB1493">
        <v>1200</v>
      </c>
      <c r="BC1493">
        <v>1</v>
      </c>
      <c r="BD1493" t="str">
        <f t="shared" si="515"/>
        <v xml:space="preserve">N887QR  </v>
      </c>
      <c r="BE1493">
        <v>1</v>
      </c>
      <c r="BG1493">
        <v>0</v>
      </c>
      <c r="BH1493">
        <v>0</v>
      </c>
      <c r="BI1493">
        <v>0</v>
      </c>
      <c r="BJ1493">
        <v>2300</v>
      </c>
      <c r="BK1493">
        <v>-300</v>
      </c>
      <c r="BL1493" t="s">
        <v>163</v>
      </c>
      <c r="BM1493">
        <v>1</v>
      </c>
      <c r="BN1493">
        <v>1</v>
      </c>
      <c r="BO1493">
        <v>1</v>
      </c>
      <c r="BP1493">
        <v>0</v>
      </c>
      <c r="BS1493">
        <v>0</v>
      </c>
      <c r="BT1493">
        <v>0</v>
      </c>
      <c r="BU1493">
        <v>0</v>
      </c>
      <c r="CE1493" t="str">
        <f t="shared" si="522"/>
        <v>19:29:31.009</v>
      </c>
      <c r="CF1493">
        <v>8953972</v>
      </c>
      <c r="CS1493">
        <v>3</v>
      </c>
      <c r="CT1493">
        <v>2</v>
      </c>
      <c r="CU1493">
        <v>0</v>
      </c>
      <c r="CV1493">
        <v>2</v>
      </c>
      <c r="CW1493">
        <v>0</v>
      </c>
      <c r="CX1493">
        <v>6</v>
      </c>
      <c r="CY1493">
        <v>7</v>
      </c>
      <c r="CZ1493" t="s">
        <v>131</v>
      </c>
      <c r="DA1493">
        <v>300</v>
      </c>
      <c r="DB1493">
        <v>0</v>
      </c>
      <c r="DC1493" t="s">
        <v>176</v>
      </c>
      <c r="DD1493" t="s">
        <v>177</v>
      </c>
      <c r="DG1493">
        <v>5387870</v>
      </c>
      <c r="DI1493">
        <v>1</v>
      </c>
      <c r="DJ1493">
        <v>0</v>
      </c>
      <c r="DK1493">
        <v>1</v>
      </c>
      <c r="DL1493">
        <v>0</v>
      </c>
      <c r="DM1493">
        <v>0</v>
      </c>
      <c r="DN1493">
        <v>1</v>
      </c>
      <c r="DO1493">
        <v>0</v>
      </c>
      <c r="DP1493">
        <v>0</v>
      </c>
      <c r="DQ1493">
        <v>0</v>
      </c>
      <c r="DR1493">
        <v>0</v>
      </c>
      <c r="DS1493">
        <v>0</v>
      </c>
    </row>
    <row r="1494" spans="1:123" x14ac:dyDescent="0.3">
      <c r="A1494" t="str">
        <f>"10/04/2022 19:29:31.268"</f>
        <v>10/04/2022 19:29:31.268</v>
      </c>
      <c r="C1494" t="str">
        <f t="shared" si="518"/>
        <v>FFDFD3C0</v>
      </c>
      <c r="D1494" t="s">
        <v>143</v>
      </c>
      <c r="E1494">
        <v>20</v>
      </c>
      <c r="F1494">
        <v>1020</v>
      </c>
      <c r="G1494" t="s">
        <v>144</v>
      </c>
      <c r="J1494" t="s">
        <v>145</v>
      </c>
      <c r="K1494">
        <v>0</v>
      </c>
      <c r="L1494">
        <v>3</v>
      </c>
      <c r="M1494">
        <v>0</v>
      </c>
      <c r="N1494">
        <v>2</v>
      </c>
      <c r="O1494">
        <v>0</v>
      </c>
      <c r="P1494">
        <v>1</v>
      </c>
      <c r="Q1494">
        <v>0</v>
      </c>
      <c r="S1494" t="str">
        <f t="shared" si="521"/>
        <v>19:29:31.000</v>
      </c>
      <c r="T1494" t="str">
        <f t="shared" si="521"/>
        <v>19:29:31.000</v>
      </c>
      <c r="U1494" t="str">
        <f t="shared" si="514"/>
        <v>AC3944</v>
      </c>
      <c r="V1494">
        <v>0</v>
      </c>
      <c r="W1494">
        <v>0</v>
      </c>
      <c r="X1494">
        <v>2</v>
      </c>
      <c r="Y1494">
        <v>0</v>
      </c>
      <c r="AA1494">
        <v>1</v>
      </c>
      <c r="AB1494">
        <v>8</v>
      </c>
      <c r="AC1494">
        <v>3</v>
      </c>
      <c r="AD1494">
        <v>0</v>
      </c>
      <c r="AE1494">
        <v>9</v>
      </c>
      <c r="AF1494" t="s">
        <v>138</v>
      </c>
      <c r="AG1494">
        <v>0</v>
      </c>
      <c r="AH1494">
        <v>3</v>
      </c>
      <c r="AI1494">
        <v>1</v>
      </c>
      <c r="AJ1494">
        <v>0</v>
      </c>
      <c r="AK1494" t="s">
        <v>560</v>
      </c>
      <c r="AL1494">
        <v>32.798673999999998</v>
      </c>
      <c r="AM1494" t="s">
        <v>561</v>
      </c>
      <c r="AN1494">
        <v>-116.88391</v>
      </c>
      <c r="AO1494">
        <v>25</v>
      </c>
      <c r="AP1494">
        <v>2600</v>
      </c>
      <c r="AQ1494" t="s">
        <v>129</v>
      </c>
      <c r="AR1494">
        <v>97</v>
      </c>
      <c r="AS1494">
        <v>-70</v>
      </c>
      <c r="AT1494">
        <v>256</v>
      </c>
      <c r="BB1494">
        <v>1200</v>
      </c>
      <c r="BC1494">
        <v>1</v>
      </c>
      <c r="BD1494" t="str">
        <f t="shared" si="515"/>
        <v xml:space="preserve">N887QR  </v>
      </c>
      <c r="BE1494">
        <v>1</v>
      </c>
      <c r="BG1494">
        <v>0</v>
      </c>
      <c r="BH1494">
        <v>0</v>
      </c>
      <c r="BI1494">
        <v>0</v>
      </c>
      <c r="BJ1494">
        <v>2300</v>
      </c>
      <c r="BK1494">
        <v>-300</v>
      </c>
      <c r="BL1494" t="s">
        <v>163</v>
      </c>
      <c r="BM1494">
        <v>1</v>
      </c>
      <c r="BN1494">
        <v>1</v>
      </c>
      <c r="BO1494">
        <v>1</v>
      </c>
      <c r="BP1494">
        <v>0</v>
      </c>
      <c r="BS1494">
        <v>0</v>
      </c>
      <c r="BT1494">
        <v>0</v>
      </c>
      <c r="BU1494">
        <v>0</v>
      </c>
      <c r="CE1494" t="str">
        <f t="shared" si="522"/>
        <v>19:29:31.009</v>
      </c>
      <c r="CF1494">
        <v>8953972</v>
      </c>
      <c r="CS1494">
        <v>3</v>
      </c>
      <c r="CT1494">
        <v>2</v>
      </c>
      <c r="CU1494">
        <v>0</v>
      </c>
      <c r="CV1494">
        <v>2</v>
      </c>
      <c r="CW1494">
        <v>0</v>
      </c>
      <c r="CX1494">
        <v>6</v>
      </c>
      <c r="CY1494">
        <v>7</v>
      </c>
      <c r="CZ1494" t="s">
        <v>131</v>
      </c>
      <c r="DA1494">
        <v>300</v>
      </c>
      <c r="DB1494">
        <v>0</v>
      </c>
      <c r="DC1494" t="s">
        <v>176</v>
      </c>
      <c r="DD1494" t="s">
        <v>177</v>
      </c>
      <c r="DG1494">
        <v>5387870</v>
      </c>
      <c r="DI1494">
        <v>1</v>
      </c>
      <c r="DJ1494">
        <v>0</v>
      </c>
      <c r="DK1494">
        <v>1</v>
      </c>
      <c r="DL1494">
        <v>0</v>
      </c>
      <c r="DM1494">
        <v>0</v>
      </c>
      <c r="DN1494">
        <v>1</v>
      </c>
      <c r="DO1494">
        <v>0</v>
      </c>
      <c r="DP1494">
        <v>0</v>
      </c>
      <c r="DQ1494">
        <v>0</v>
      </c>
      <c r="DR1494">
        <v>0</v>
      </c>
      <c r="DS1494">
        <v>0</v>
      </c>
    </row>
    <row r="1495" spans="1:123" x14ac:dyDescent="0.3">
      <c r="A1495" t="str">
        <f>"10/04/2022 19:29:31.269"</f>
        <v>10/04/2022 19:29:31.269</v>
      </c>
      <c r="C1495" t="str">
        <f t="shared" si="518"/>
        <v>FFDFD3C0</v>
      </c>
      <c r="D1495" t="s">
        <v>123</v>
      </c>
      <c r="E1495">
        <v>7</v>
      </c>
      <c r="F1495">
        <v>2007</v>
      </c>
      <c r="G1495" t="s">
        <v>124</v>
      </c>
      <c r="J1495" t="s">
        <v>125</v>
      </c>
      <c r="K1495">
        <v>0</v>
      </c>
      <c r="L1495">
        <v>3</v>
      </c>
      <c r="M1495">
        <v>0</v>
      </c>
      <c r="N1495">
        <v>2</v>
      </c>
      <c r="O1495">
        <v>0</v>
      </c>
      <c r="P1495">
        <v>1</v>
      </c>
      <c r="Q1495">
        <v>0</v>
      </c>
      <c r="S1495" t="str">
        <f t="shared" si="521"/>
        <v>19:29:31.000</v>
      </c>
      <c r="T1495" t="str">
        <f t="shared" si="521"/>
        <v>19:29:31.000</v>
      </c>
      <c r="U1495" t="str">
        <f t="shared" si="514"/>
        <v>AC3944</v>
      </c>
      <c r="V1495">
        <v>0</v>
      </c>
      <c r="W1495">
        <v>0</v>
      </c>
      <c r="X1495">
        <v>2</v>
      </c>
      <c r="Y1495">
        <v>0</v>
      </c>
      <c r="AA1495">
        <v>1</v>
      </c>
      <c r="AB1495">
        <v>8</v>
      </c>
      <c r="AC1495">
        <v>3</v>
      </c>
      <c r="AD1495">
        <v>0</v>
      </c>
      <c r="AE1495">
        <v>9</v>
      </c>
      <c r="AF1495" t="s">
        <v>138</v>
      </c>
      <c r="AG1495">
        <v>0</v>
      </c>
      <c r="AH1495">
        <v>3</v>
      </c>
      <c r="AI1495">
        <v>1</v>
      </c>
      <c r="AJ1495">
        <v>0</v>
      </c>
      <c r="AK1495" t="s">
        <v>560</v>
      </c>
      <c r="AL1495">
        <v>32.798673999999998</v>
      </c>
      <c r="AM1495" t="s">
        <v>561</v>
      </c>
      <c r="AN1495">
        <v>-116.88391</v>
      </c>
      <c r="AO1495">
        <v>25</v>
      </c>
      <c r="AP1495">
        <v>2600</v>
      </c>
      <c r="AQ1495" t="s">
        <v>129</v>
      </c>
      <c r="AR1495">
        <v>97</v>
      </c>
      <c r="AS1495">
        <v>-70</v>
      </c>
      <c r="AT1495">
        <v>256</v>
      </c>
      <c r="BB1495">
        <v>1200</v>
      </c>
      <c r="BC1495">
        <v>1</v>
      </c>
      <c r="BD1495" t="str">
        <f t="shared" si="515"/>
        <v xml:space="preserve">N887QR  </v>
      </c>
      <c r="BE1495">
        <v>1</v>
      </c>
      <c r="BG1495">
        <v>0</v>
      </c>
      <c r="BH1495">
        <v>0</v>
      </c>
      <c r="BI1495">
        <v>0</v>
      </c>
      <c r="BJ1495">
        <v>2300</v>
      </c>
      <c r="BK1495">
        <v>-300</v>
      </c>
      <c r="BL1495" t="s">
        <v>163</v>
      </c>
      <c r="BM1495">
        <v>1</v>
      </c>
      <c r="BN1495">
        <v>1</v>
      </c>
      <c r="BO1495">
        <v>1</v>
      </c>
      <c r="BP1495">
        <v>0</v>
      </c>
      <c r="BS1495">
        <v>0</v>
      </c>
      <c r="BT1495">
        <v>0</v>
      </c>
      <c r="BU1495">
        <v>0</v>
      </c>
      <c r="CE1495" t="str">
        <f t="shared" si="522"/>
        <v>19:29:31.009</v>
      </c>
      <c r="CF1495">
        <v>8953972</v>
      </c>
      <c r="CS1495">
        <v>3</v>
      </c>
      <c r="CT1495">
        <v>2</v>
      </c>
      <c r="CU1495">
        <v>0</v>
      </c>
      <c r="CV1495">
        <v>2</v>
      </c>
      <c r="CW1495">
        <v>0</v>
      </c>
      <c r="CX1495">
        <v>6</v>
      </c>
      <c r="CY1495">
        <v>7</v>
      </c>
      <c r="CZ1495" t="s">
        <v>131</v>
      </c>
      <c r="DA1495">
        <v>300</v>
      </c>
      <c r="DB1495">
        <v>0</v>
      </c>
      <c r="DC1495" t="s">
        <v>176</v>
      </c>
      <c r="DD1495" t="s">
        <v>177</v>
      </c>
      <c r="DG1495">
        <v>5387870</v>
      </c>
      <c r="DI1495">
        <v>1</v>
      </c>
      <c r="DJ1495">
        <v>0</v>
      </c>
      <c r="DK1495">
        <v>1</v>
      </c>
      <c r="DL1495">
        <v>0</v>
      </c>
      <c r="DM1495">
        <v>0</v>
      </c>
      <c r="DN1495">
        <v>1</v>
      </c>
      <c r="DO1495">
        <v>0</v>
      </c>
      <c r="DP1495">
        <v>0</v>
      </c>
      <c r="DQ1495">
        <v>0</v>
      </c>
      <c r="DR1495">
        <v>0</v>
      </c>
      <c r="DS1495">
        <v>0</v>
      </c>
    </row>
    <row r="1496" spans="1:123" x14ac:dyDescent="0.3">
      <c r="A1496" t="str">
        <f>"10/04/2022 19:29:31.269"</f>
        <v>10/04/2022 19:29:31.269</v>
      </c>
      <c r="C1496" t="str">
        <f t="shared" si="518"/>
        <v>FFDFD3C0</v>
      </c>
      <c r="D1496" t="s">
        <v>136</v>
      </c>
      <c r="E1496">
        <v>8</v>
      </c>
      <c r="H1496">
        <v>225</v>
      </c>
      <c r="I1496" t="s">
        <v>137</v>
      </c>
      <c r="J1496" t="s">
        <v>138</v>
      </c>
      <c r="K1496">
        <v>0</v>
      </c>
      <c r="L1496">
        <v>3</v>
      </c>
      <c r="M1496">
        <v>0</v>
      </c>
      <c r="N1496">
        <v>2</v>
      </c>
      <c r="O1496">
        <v>0</v>
      </c>
      <c r="P1496">
        <v>1</v>
      </c>
      <c r="Q1496">
        <v>0</v>
      </c>
      <c r="S1496" t="str">
        <f t="shared" si="521"/>
        <v>19:29:31.000</v>
      </c>
      <c r="T1496" t="str">
        <f t="shared" si="521"/>
        <v>19:29:31.000</v>
      </c>
      <c r="U1496" t="str">
        <f t="shared" si="514"/>
        <v>AC3944</v>
      </c>
      <c r="V1496">
        <v>0</v>
      </c>
      <c r="W1496">
        <v>0</v>
      </c>
      <c r="X1496">
        <v>2</v>
      </c>
      <c r="Y1496">
        <v>0</v>
      </c>
      <c r="AA1496">
        <v>1</v>
      </c>
      <c r="AB1496">
        <v>8</v>
      </c>
      <c r="AC1496">
        <v>3</v>
      </c>
      <c r="AD1496">
        <v>0</v>
      </c>
      <c r="AE1496">
        <v>9</v>
      </c>
      <c r="AF1496" t="s">
        <v>138</v>
      </c>
      <c r="AG1496">
        <v>0</v>
      </c>
      <c r="AH1496">
        <v>3</v>
      </c>
      <c r="AI1496">
        <v>1</v>
      </c>
      <c r="AJ1496">
        <v>0</v>
      </c>
      <c r="AK1496" t="s">
        <v>560</v>
      </c>
      <c r="AL1496">
        <v>32.798673999999998</v>
      </c>
      <c r="AM1496" t="s">
        <v>561</v>
      </c>
      <c r="AN1496">
        <v>-116.88391</v>
      </c>
      <c r="AO1496">
        <v>25</v>
      </c>
      <c r="AP1496">
        <v>2600</v>
      </c>
      <c r="AQ1496" t="s">
        <v>129</v>
      </c>
      <c r="AR1496">
        <v>97</v>
      </c>
      <c r="AS1496">
        <v>-70</v>
      </c>
      <c r="AT1496">
        <v>256</v>
      </c>
      <c r="BB1496">
        <v>1200</v>
      </c>
      <c r="BC1496">
        <v>1</v>
      </c>
      <c r="BD1496" t="str">
        <f t="shared" si="515"/>
        <v xml:space="preserve">N887QR  </v>
      </c>
      <c r="BE1496">
        <v>1</v>
      </c>
      <c r="BG1496">
        <v>0</v>
      </c>
      <c r="BH1496">
        <v>0</v>
      </c>
      <c r="BI1496">
        <v>0</v>
      </c>
      <c r="BJ1496">
        <v>2300</v>
      </c>
      <c r="BK1496">
        <v>-300</v>
      </c>
      <c r="BL1496" t="s">
        <v>163</v>
      </c>
      <c r="BM1496">
        <v>1</v>
      </c>
      <c r="BN1496">
        <v>1</v>
      </c>
      <c r="BO1496">
        <v>1</v>
      </c>
      <c r="BP1496">
        <v>0</v>
      </c>
      <c r="BS1496">
        <v>0</v>
      </c>
      <c r="BT1496">
        <v>0</v>
      </c>
      <c r="BU1496">
        <v>0</v>
      </c>
      <c r="CE1496" t="str">
        <f t="shared" si="522"/>
        <v>19:29:31.009</v>
      </c>
      <c r="CF1496">
        <v>8953972</v>
      </c>
      <c r="CS1496">
        <v>3</v>
      </c>
      <c r="CT1496">
        <v>2</v>
      </c>
      <c r="CU1496">
        <v>0</v>
      </c>
      <c r="CV1496">
        <v>2</v>
      </c>
      <c r="CW1496">
        <v>0</v>
      </c>
      <c r="CX1496">
        <v>6</v>
      </c>
      <c r="CY1496">
        <v>7</v>
      </c>
      <c r="CZ1496" t="s">
        <v>131</v>
      </c>
      <c r="DA1496">
        <v>300</v>
      </c>
      <c r="DB1496">
        <v>0</v>
      </c>
      <c r="DC1496" t="s">
        <v>176</v>
      </c>
      <c r="DD1496" t="s">
        <v>177</v>
      </c>
      <c r="DG1496">
        <v>5387870</v>
      </c>
      <c r="DI1496">
        <v>1</v>
      </c>
      <c r="DJ1496">
        <v>0</v>
      </c>
      <c r="DK1496">
        <v>1</v>
      </c>
      <c r="DL1496">
        <v>0</v>
      </c>
      <c r="DM1496">
        <v>0</v>
      </c>
      <c r="DN1496">
        <v>1</v>
      </c>
      <c r="DO1496">
        <v>0</v>
      </c>
      <c r="DP1496">
        <v>0</v>
      </c>
      <c r="DQ1496">
        <v>0</v>
      </c>
      <c r="DR1496">
        <v>0</v>
      </c>
      <c r="DS1496">
        <v>0</v>
      </c>
    </row>
    <row r="1497" spans="1:123" x14ac:dyDescent="0.3">
      <c r="A1497" t="str">
        <f>"10/04/2022 19:29:31.271"</f>
        <v>10/04/2022 19:29:31.271</v>
      </c>
      <c r="C1497" t="str">
        <f t="shared" si="518"/>
        <v>FFDFD3C0</v>
      </c>
      <c r="D1497" t="s">
        <v>141</v>
      </c>
      <c r="E1497">
        <v>3</v>
      </c>
      <c r="H1497">
        <v>3</v>
      </c>
      <c r="I1497" t="s">
        <v>146</v>
      </c>
      <c r="J1497" t="s">
        <v>138</v>
      </c>
      <c r="K1497">
        <v>0</v>
      </c>
      <c r="L1497">
        <v>3</v>
      </c>
      <c r="M1497">
        <v>0</v>
      </c>
      <c r="N1497">
        <v>2</v>
      </c>
      <c r="O1497">
        <v>0</v>
      </c>
      <c r="P1497">
        <v>1</v>
      </c>
      <c r="Q1497">
        <v>0</v>
      </c>
      <c r="S1497" t="str">
        <f t="shared" si="521"/>
        <v>19:29:31.000</v>
      </c>
      <c r="T1497" t="str">
        <f t="shared" si="521"/>
        <v>19:29:31.000</v>
      </c>
      <c r="U1497" t="str">
        <f t="shared" si="514"/>
        <v>AC3944</v>
      </c>
      <c r="V1497">
        <v>0</v>
      </c>
      <c r="W1497">
        <v>0</v>
      </c>
      <c r="X1497">
        <v>2</v>
      </c>
      <c r="Y1497">
        <v>0</v>
      </c>
      <c r="AA1497">
        <v>1</v>
      </c>
      <c r="AB1497">
        <v>8</v>
      </c>
      <c r="AC1497">
        <v>3</v>
      </c>
      <c r="AD1497">
        <v>0</v>
      </c>
      <c r="AE1497">
        <v>9</v>
      </c>
      <c r="AF1497" t="s">
        <v>138</v>
      </c>
      <c r="AG1497">
        <v>0</v>
      </c>
      <c r="AH1497">
        <v>3</v>
      </c>
      <c r="AI1497">
        <v>1</v>
      </c>
      <c r="AJ1497">
        <v>0</v>
      </c>
      <c r="AK1497" t="s">
        <v>560</v>
      </c>
      <c r="AL1497">
        <v>32.798673999999998</v>
      </c>
      <c r="AM1497" t="s">
        <v>561</v>
      </c>
      <c r="AN1497">
        <v>-116.88391</v>
      </c>
      <c r="AO1497">
        <v>25</v>
      </c>
      <c r="AP1497">
        <v>2600</v>
      </c>
      <c r="AQ1497" t="s">
        <v>129</v>
      </c>
      <c r="AR1497">
        <v>97</v>
      </c>
      <c r="AS1497">
        <v>-70</v>
      </c>
      <c r="AT1497">
        <v>256</v>
      </c>
      <c r="BB1497">
        <v>1200</v>
      </c>
      <c r="BC1497">
        <v>1</v>
      </c>
      <c r="BD1497" t="str">
        <f t="shared" si="515"/>
        <v xml:space="preserve">N887QR  </v>
      </c>
      <c r="BE1497">
        <v>1</v>
      </c>
      <c r="BG1497">
        <v>0</v>
      </c>
      <c r="BH1497">
        <v>0</v>
      </c>
      <c r="BI1497">
        <v>0</v>
      </c>
      <c r="BJ1497">
        <v>2300</v>
      </c>
      <c r="BK1497">
        <v>-300</v>
      </c>
      <c r="BL1497" t="s">
        <v>163</v>
      </c>
      <c r="BM1497">
        <v>1</v>
      </c>
      <c r="BN1497">
        <v>1</v>
      </c>
      <c r="BO1497">
        <v>1</v>
      </c>
      <c r="BP1497">
        <v>0</v>
      </c>
      <c r="BS1497">
        <v>0</v>
      </c>
      <c r="BT1497">
        <v>0</v>
      </c>
      <c r="BU1497">
        <v>0</v>
      </c>
      <c r="CE1497" t="str">
        <f t="shared" si="522"/>
        <v>19:29:31.009</v>
      </c>
      <c r="CF1497">
        <v>8953972</v>
      </c>
      <c r="CS1497">
        <v>3</v>
      </c>
      <c r="CT1497">
        <v>2</v>
      </c>
      <c r="CU1497">
        <v>0</v>
      </c>
      <c r="CV1497">
        <v>2</v>
      </c>
      <c r="CW1497">
        <v>0</v>
      </c>
      <c r="CX1497">
        <v>6</v>
      </c>
      <c r="CY1497">
        <v>7</v>
      </c>
      <c r="CZ1497" t="s">
        <v>131</v>
      </c>
      <c r="DA1497">
        <v>300</v>
      </c>
      <c r="DB1497">
        <v>0</v>
      </c>
      <c r="DC1497" t="s">
        <v>176</v>
      </c>
      <c r="DD1497" t="s">
        <v>177</v>
      </c>
      <c r="DG1497">
        <v>5387870</v>
      </c>
      <c r="DI1497">
        <v>1</v>
      </c>
      <c r="DJ1497">
        <v>0</v>
      </c>
      <c r="DK1497">
        <v>1</v>
      </c>
      <c r="DL1497">
        <v>0</v>
      </c>
      <c r="DM1497">
        <v>0</v>
      </c>
      <c r="DN1497">
        <v>1</v>
      </c>
      <c r="DO1497">
        <v>0</v>
      </c>
      <c r="DP1497">
        <v>0</v>
      </c>
      <c r="DQ1497">
        <v>0</v>
      </c>
      <c r="DR1497">
        <v>0</v>
      </c>
      <c r="DS1497">
        <v>0</v>
      </c>
    </row>
    <row r="1498" spans="1:123" x14ac:dyDescent="0.3">
      <c r="A1498" t="str">
        <f>"10/04/2022 19:29:31.271"</f>
        <v>10/04/2022 19:29:31.271</v>
      </c>
      <c r="C1498" t="str">
        <f t="shared" si="518"/>
        <v>FFDFD3C0</v>
      </c>
      <c r="D1498" t="s">
        <v>141</v>
      </c>
      <c r="E1498">
        <v>4</v>
      </c>
      <c r="H1498">
        <v>4</v>
      </c>
      <c r="I1498" t="s">
        <v>142</v>
      </c>
      <c r="J1498" t="s">
        <v>138</v>
      </c>
      <c r="K1498">
        <v>0</v>
      </c>
      <c r="L1498">
        <v>3</v>
      </c>
      <c r="M1498">
        <v>0</v>
      </c>
      <c r="N1498">
        <v>2</v>
      </c>
      <c r="O1498">
        <v>0</v>
      </c>
      <c r="P1498">
        <v>1</v>
      </c>
      <c r="Q1498">
        <v>0</v>
      </c>
      <c r="S1498" t="str">
        <f t="shared" si="521"/>
        <v>19:29:31.000</v>
      </c>
      <c r="T1498" t="str">
        <f t="shared" si="521"/>
        <v>19:29:31.000</v>
      </c>
      <c r="U1498" t="str">
        <f t="shared" si="514"/>
        <v>AC3944</v>
      </c>
      <c r="V1498">
        <v>0</v>
      </c>
      <c r="W1498">
        <v>0</v>
      </c>
      <c r="X1498">
        <v>2</v>
      </c>
      <c r="Y1498">
        <v>0</v>
      </c>
      <c r="AA1498">
        <v>1</v>
      </c>
      <c r="AB1498">
        <v>8</v>
      </c>
      <c r="AC1498">
        <v>3</v>
      </c>
      <c r="AD1498">
        <v>0</v>
      </c>
      <c r="AE1498">
        <v>9</v>
      </c>
      <c r="AF1498" t="s">
        <v>138</v>
      </c>
      <c r="AG1498">
        <v>0</v>
      </c>
      <c r="AH1498">
        <v>3</v>
      </c>
      <c r="AI1498">
        <v>1</v>
      </c>
      <c r="AJ1498">
        <v>0</v>
      </c>
      <c r="AK1498" t="s">
        <v>560</v>
      </c>
      <c r="AL1498">
        <v>32.798673999999998</v>
      </c>
      <c r="AM1498" t="s">
        <v>561</v>
      </c>
      <c r="AN1498">
        <v>-116.88391</v>
      </c>
      <c r="AO1498">
        <v>25</v>
      </c>
      <c r="AP1498">
        <v>2600</v>
      </c>
      <c r="AQ1498" t="s">
        <v>129</v>
      </c>
      <c r="AR1498">
        <v>97</v>
      </c>
      <c r="AS1498">
        <v>-70</v>
      </c>
      <c r="AT1498">
        <v>256</v>
      </c>
      <c r="BB1498">
        <v>1200</v>
      </c>
      <c r="BC1498">
        <v>1</v>
      </c>
      <c r="BD1498" t="str">
        <f t="shared" si="515"/>
        <v xml:space="preserve">N887QR  </v>
      </c>
      <c r="BE1498">
        <v>1</v>
      </c>
      <c r="BG1498">
        <v>0</v>
      </c>
      <c r="BH1498">
        <v>0</v>
      </c>
      <c r="BI1498">
        <v>0</v>
      </c>
      <c r="BJ1498">
        <v>2300</v>
      </c>
      <c r="BK1498">
        <v>-300</v>
      </c>
      <c r="BL1498" t="s">
        <v>163</v>
      </c>
      <c r="BM1498">
        <v>1</v>
      </c>
      <c r="BN1498">
        <v>1</v>
      </c>
      <c r="BO1498">
        <v>1</v>
      </c>
      <c r="BP1498">
        <v>0</v>
      </c>
      <c r="BS1498">
        <v>0</v>
      </c>
      <c r="BT1498">
        <v>0</v>
      </c>
      <c r="BU1498">
        <v>0</v>
      </c>
      <c r="CE1498" t="str">
        <f t="shared" si="522"/>
        <v>19:29:31.009</v>
      </c>
      <c r="CF1498">
        <v>8953972</v>
      </c>
      <c r="CS1498">
        <v>3</v>
      </c>
      <c r="CT1498">
        <v>2</v>
      </c>
      <c r="CU1498">
        <v>0</v>
      </c>
      <c r="CV1498">
        <v>2</v>
      </c>
      <c r="CW1498">
        <v>0</v>
      </c>
      <c r="CX1498">
        <v>6</v>
      </c>
      <c r="CY1498">
        <v>7</v>
      </c>
      <c r="CZ1498" t="s">
        <v>131</v>
      </c>
      <c r="DA1498">
        <v>300</v>
      </c>
      <c r="DB1498">
        <v>0</v>
      </c>
      <c r="DC1498" t="s">
        <v>176</v>
      </c>
      <c r="DD1498" t="s">
        <v>177</v>
      </c>
      <c r="DG1498">
        <v>5387870</v>
      </c>
      <c r="DI1498">
        <v>1</v>
      </c>
      <c r="DJ1498">
        <v>0</v>
      </c>
      <c r="DK1498">
        <v>1</v>
      </c>
      <c r="DL1498">
        <v>0</v>
      </c>
      <c r="DM1498">
        <v>0</v>
      </c>
      <c r="DN1498">
        <v>1</v>
      </c>
      <c r="DO1498">
        <v>0</v>
      </c>
      <c r="DP1498">
        <v>0</v>
      </c>
      <c r="DQ1498">
        <v>0</v>
      </c>
      <c r="DR1498">
        <v>0</v>
      </c>
      <c r="DS1498">
        <v>0</v>
      </c>
    </row>
    <row r="1499" spans="1:123" x14ac:dyDescent="0.3">
      <c r="A1499" t="str">
        <f>"10/04/2022 19:29:31.993"</f>
        <v>10/04/2022 19:29:31.993</v>
      </c>
      <c r="C1499" t="str">
        <f t="shared" si="518"/>
        <v>FFDFD3C0</v>
      </c>
      <c r="D1499" t="s">
        <v>141</v>
      </c>
      <c r="E1499">
        <v>4</v>
      </c>
      <c r="H1499">
        <v>4</v>
      </c>
      <c r="I1499" t="s">
        <v>142</v>
      </c>
      <c r="J1499" t="s">
        <v>138</v>
      </c>
      <c r="K1499">
        <v>0</v>
      </c>
      <c r="L1499">
        <v>3</v>
      </c>
      <c r="M1499">
        <v>0</v>
      </c>
      <c r="N1499">
        <v>2</v>
      </c>
      <c r="O1499">
        <v>0</v>
      </c>
      <c r="P1499">
        <v>1</v>
      </c>
      <c r="Q1499">
        <v>0</v>
      </c>
      <c r="S1499" t="str">
        <f t="shared" si="521"/>
        <v>19:29:31.000</v>
      </c>
      <c r="T1499" t="str">
        <f t="shared" si="521"/>
        <v>19:29:31.000</v>
      </c>
      <c r="U1499" t="str">
        <f t="shared" si="514"/>
        <v>AC3944</v>
      </c>
      <c r="V1499">
        <v>0</v>
      </c>
      <c r="W1499">
        <v>0</v>
      </c>
      <c r="X1499">
        <v>2</v>
      </c>
      <c r="Y1499">
        <v>0</v>
      </c>
      <c r="AA1499">
        <v>1</v>
      </c>
      <c r="AB1499">
        <v>8</v>
      </c>
      <c r="AC1499">
        <v>3</v>
      </c>
      <c r="AD1499">
        <v>0</v>
      </c>
      <c r="AE1499">
        <v>9</v>
      </c>
      <c r="AF1499" t="s">
        <v>138</v>
      </c>
      <c r="AG1499">
        <v>0</v>
      </c>
      <c r="AH1499">
        <v>3</v>
      </c>
      <c r="AI1499">
        <v>1</v>
      </c>
      <c r="AJ1499">
        <v>0</v>
      </c>
      <c r="AK1499" t="s">
        <v>562</v>
      </c>
      <c r="AL1499">
        <v>32.798352000000001</v>
      </c>
      <c r="AM1499" t="s">
        <v>563</v>
      </c>
      <c r="AN1499">
        <v>-116.88337300000001</v>
      </c>
      <c r="AO1499">
        <v>25</v>
      </c>
      <c r="AP1499">
        <v>2600</v>
      </c>
      <c r="AQ1499" t="s">
        <v>129</v>
      </c>
      <c r="AR1499">
        <v>98</v>
      </c>
      <c r="AS1499">
        <v>-70</v>
      </c>
      <c r="AT1499">
        <v>256</v>
      </c>
      <c r="BB1499">
        <v>1200</v>
      </c>
      <c r="BC1499">
        <v>1</v>
      </c>
      <c r="BD1499" t="str">
        <f t="shared" si="515"/>
        <v xml:space="preserve">N887QR  </v>
      </c>
      <c r="BE1499">
        <v>1</v>
      </c>
      <c r="BG1499">
        <v>0</v>
      </c>
      <c r="BH1499">
        <v>0</v>
      </c>
      <c r="BI1499">
        <v>0</v>
      </c>
      <c r="BJ1499">
        <v>2300</v>
      </c>
      <c r="BK1499">
        <v>-300</v>
      </c>
      <c r="BL1499" t="s">
        <v>163</v>
      </c>
      <c r="BM1499">
        <v>1</v>
      </c>
      <c r="BN1499">
        <v>1</v>
      </c>
      <c r="BO1499">
        <v>1</v>
      </c>
      <c r="BP1499">
        <v>0</v>
      </c>
      <c r="BS1499">
        <v>0</v>
      </c>
      <c r="BT1499">
        <v>0</v>
      </c>
      <c r="BU1499">
        <v>0</v>
      </c>
      <c r="CE1499" t="str">
        <f t="shared" ref="CE1499:CE1505" si="523">"19:29:31.739"</f>
        <v>19:29:31.739</v>
      </c>
      <c r="CF1499">
        <v>738950182</v>
      </c>
      <c r="CS1499">
        <v>3</v>
      </c>
      <c r="CT1499">
        <v>2</v>
      </c>
      <c r="CU1499">
        <v>0</v>
      </c>
      <c r="CV1499">
        <v>2</v>
      </c>
      <c r="CW1499">
        <v>0</v>
      </c>
      <c r="CX1499">
        <v>5</v>
      </c>
      <c r="CY1499">
        <v>7</v>
      </c>
      <c r="CZ1499" t="s">
        <v>131</v>
      </c>
      <c r="DA1499">
        <v>286</v>
      </c>
      <c r="DB1499">
        <v>0</v>
      </c>
      <c r="DC1499" t="s">
        <v>132</v>
      </c>
      <c r="DD1499" t="s">
        <v>133</v>
      </c>
      <c r="DG1499">
        <v>820727</v>
      </c>
      <c r="DI1499">
        <v>1</v>
      </c>
      <c r="DJ1499">
        <v>0</v>
      </c>
      <c r="DK1499">
        <v>0</v>
      </c>
      <c r="DL1499">
        <v>0</v>
      </c>
      <c r="DM1499">
        <v>0</v>
      </c>
      <c r="DN1499">
        <v>1</v>
      </c>
      <c r="DO1499">
        <v>0</v>
      </c>
      <c r="DP1499">
        <v>0</v>
      </c>
      <c r="DQ1499">
        <v>0</v>
      </c>
      <c r="DR1499">
        <v>0</v>
      </c>
      <c r="DS1499">
        <v>0</v>
      </c>
    </row>
    <row r="1500" spans="1:123" x14ac:dyDescent="0.3">
      <c r="A1500" t="str">
        <f>"10/04/2022 19:29:31.915"</f>
        <v>10/04/2022 19:29:31.915</v>
      </c>
      <c r="C1500" t="str">
        <f t="shared" si="518"/>
        <v>FFDFD3C0</v>
      </c>
      <c r="D1500" t="s">
        <v>141</v>
      </c>
      <c r="E1500">
        <v>3</v>
      </c>
      <c r="H1500">
        <v>3</v>
      </c>
      <c r="I1500" t="s">
        <v>146</v>
      </c>
      <c r="J1500" t="s">
        <v>138</v>
      </c>
      <c r="K1500">
        <v>0</v>
      </c>
      <c r="L1500">
        <v>3</v>
      </c>
      <c r="M1500">
        <v>0</v>
      </c>
      <c r="N1500">
        <v>2</v>
      </c>
      <c r="O1500">
        <v>0</v>
      </c>
      <c r="P1500">
        <v>1</v>
      </c>
      <c r="Q1500">
        <v>0</v>
      </c>
      <c r="S1500" t="str">
        <f t="shared" si="521"/>
        <v>19:29:31.000</v>
      </c>
      <c r="T1500" t="str">
        <f t="shared" si="521"/>
        <v>19:29:31.000</v>
      </c>
      <c r="U1500" t="str">
        <f t="shared" si="514"/>
        <v>AC3944</v>
      </c>
      <c r="V1500">
        <v>0</v>
      </c>
      <c r="W1500">
        <v>0</v>
      </c>
      <c r="X1500">
        <v>2</v>
      </c>
      <c r="Y1500">
        <v>0</v>
      </c>
      <c r="AA1500">
        <v>1</v>
      </c>
      <c r="AB1500">
        <v>8</v>
      </c>
      <c r="AC1500">
        <v>3</v>
      </c>
      <c r="AD1500">
        <v>0</v>
      </c>
      <c r="AE1500">
        <v>9</v>
      </c>
      <c r="AF1500" t="s">
        <v>138</v>
      </c>
      <c r="AG1500">
        <v>0</v>
      </c>
      <c r="AH1500">
        <v>3</v>
      </c>
      <c r="AI1500">
        <v>1</v>
      </c>
      <c r="AJ1500">
        <v>0</v>
      </c>
      <c r="AK1500" t="s">
        <v>562</v>
      </c>
      <c r="AL1500">
        <v>32.798352000000001</v>
      </c>
      <c r="AM1500" t="s">
        <v>563</v>
      </c>
      <c r="AN1500">
        <v>-116.88337300000001</v>
      </c>
      <c r="AO1500">
        <v>25</v>
      </c>
      <c r="AP1500">
        <v>2600</v>
      </c>
      <c r="AQ1500" t="s">
        <v>129</v>
      </c>
      <c r="AR1500">
        <v>98</v>
      </c>
      <c r="AS1500">
        <v>-70</v>
      </c>
      <c r="AT1500">
        <v>256</v>
      </c>
      <c r="BB1500">
        <v>1200</v>
      </c>
      <c r="BC1500">
        <v>1</v>
      </c>
      <c r="BD1500" t="str">
        <f t="shared" si="515"/>
        <v xml:space="preserve">N887QR  </v>
      </c>
      <c r="BE1500">
        <v>1</v>
      </c>
      <c r="BG1500">
        <v>0</v>
      </c>
      <c r="BH1500">
        <v>0</v>
      </c>
      <c r="BI1500">
        <v>0</v>
      </c>
      <c r="BJ1500">
        <v>2300</v>
      </c>
      <c r="BK1500">
        <v>-300</v>
      </c>
      <c r="BL1500" t="s">
        <v>163</v>
      </c>
      <c r="BM1500">
        <v>1</v>
      </c>
      <c r="BN1500">
        <v>1</v>
      </c>
      <c r="BO1500">
        <v>1</v>
      </c>
      <c r="BP1500">
        <v>0</v>
      </c>
      <c r="BS1500">
        <v>0</v>
      </c>
      <c r="BT1500">
        <v>0</v>
      </c>
      <c r="BU1500">
        <v>0</v>
      </c>
      <c r="CE1500" t="str">
        <f t="shared" si="523"/>
        <v>19:29:31.739</v>
      </c>
      <c r="CF1500">
        <v>738950182</v>
      </c>
      <c r="CS1500">
        <v>3</v>
      </c>
      <c r="CT1500">
        <v>2</v>
      </c>
      <c r="CU1500">
        <v>0</v>
      </c>
      <c r="CV1500">
        <v>2</v>
      </c>
      <c r="CW1500">
        <v>0</v>
      </c>
      <c r="CX1500">
        <v>5</v>
      </c>
      <c r="CY1500">
        <v>7</v>
      </c>
      <c r="CZ1500" t="s">
        <v>131</v>
      </c>
      <c r="DA1500">
        <v>286</v>
      </c>
      <c r="DB1500">
        <v>0</v>
      </c>
      <c r="DC1500" t="s">
        <v>132</v>
      </c>
      <c r="DD1500" t="s">
        <v>133</v>
      </c>
      <c r="DG1500">
        <v>820727</v>
      </c>
      <c r="DI1500">
        <v>1</v>
      </c>
      <c r="DJ1500">
        <v>0</v>
      </c>
      <c r="DK1500">
        <v>1</v>
      </c>
      <c r="DL1500">
        <v>0</v>
      </c>
      <c r="DM1500">
        <v>0</v>
      </c>
      <c r="DN1500">
        <v>1</v>
      </c>
      <c r="DO1500">
        <v>0</v>
      </c>
      <c r="DP1500">
        <v>0</v>
      </c>
      <c r="DQ1500">
        <v>0</v>
      </c>
      <c r="DR1500">
        <v>0</v>
      </c>
      <c r="DS1500">
        <v>0</v>
      </c>
    </row>
    <row r="1501" spans="1:123" x14ac:dyDescent="0.3">
      <c r="A1501" t="str">
        <f>"10/04/2022 19:29:31.993"</f>
        <v>10/04/2022 19:29:31.993</v>
      </c>
      <c r="C1501" t="str">
        <f t="shared" si="518"/>
        <v>FFDFD3C0</v>
      </c>
      <c r="D1501" t="s">
        <v>134</v>
      </c>
      <c r="E1501">
        <v>15</v>
      </c>
      <c r="J1501" t="s">
        <v>135</v>
      </c>
      <c r="K1501">
        <v>0</v>
      </c>
      <c r="L1501">
        <v>3</v>
      </c>
      <c r="M1501">
        <v>0</v>
      </c>
      <c r="N1501">
        <v>2</v>
      </c>
      <c r="O1501">
        <v>0</v>
      </c>
      <c r="P1501">
        <v>1</v>
      </c>
      <c r="Q1501">
        <v>0</v>
      </c>
      <c r="S1501" t="str">
        <f t="shared" si="521"/>
        <v>19:29:31.000</v>
      </c>
      <c r="T1501" t="str">
        <f t="shared" si="521"/>
        <v>19:29:31.000</v>
      </c>
      <c r="U1501" t="str">
        <f t="shared" si="514"/>
        <v>AC3944</v>
      </c>
      <c r="V1501">
        <v>0</v>
      </c>
      <c r="W1501">
        <v>0</v>
      </c>
      <c r="X1501">
        <v>2</v>
      </c>
      <c r="Y1501">
        <v>0</v>
      </c>
      <c r="AA1501">
        <v>1</v>
      </c>
      <c r="AB1501">
        <v>8</v>
      </c>
      <c r="AC1501">
        <v>3</v>
      </c>
      <c r="AD1501">
        <v>0</v>
      </c>
      <c r="AE1501">
        <v>9</v>
      </c>
      <c r="AF1501" t="s">
        <v>138</v>
      </c>
      <c r="AG1501">
        <v>0</v>
      </c>
      <c r="AH1501">
        <v>3</v>
      </c>
      <c r="AI1501">
        <v>1</v>
      </c>
      <c r="AJ1501">
        <v>0</v>
      </c>
      <c r="AK1501" t="s">
        <v>562</v>
      </c>
      <c r="AL1501">
        <v>32.798352000000001</v>
      </c>
      <c r="AM1501" t="s">
        <v>563</v>
      </c>
      <c r="AN1501">
        <v>-116.88337300000001</v>
      </c>
      <c r="AO1501">
        <v>25</v>
      </c>
      <c r="AP1501">
        <v>2600</v>
      </c>
      <c r="AQ1501" t="s">
        <v>129</v>
      </c>
      <c r="AR1501">
        <v>98</v>
      </c>
      <c r="AS1501">
        <v>-70</v>
      </c>
      <c r="AT1501">
        <v>256</v>
      </c>
      <c r="BB1501">
        <v>1200</v>
      </c>
      <c r="BC1501">
        <v>1</v>
      </c>
      <c r="BD1501" t="str">
        <f t="shared" si="515"/>
        <v xml:space="preserve">N887QR  </v>
      </c>
      <c r="BE1501">
        <v>1</v>
      </c>
      <c r="BG1501">
        <v>0</v>
      </c>
      <c r="BH1501">
        <v>0</v>
      </c>
      <c r="BI1501">
        <v>0</v>
      </c>
      <c r="BJ1501">
        <v>2300</v>
      </c>
      <c r="BK1501">
        <v>-300</v>
      </c>
      <c r="BL1501" t="s">
        <v>163</v>
      </c>
      <c r="BM1501">
        <v>1</v>
      </c>
      <c r="BN1501">
        <v>1</v>
      </c>
      <c r="BO1501">
        <v>1</v>
      </c>
      <c r="BP1501">
        <v>0</v>
      </c>
      <c r="BS1501">
        <v>0</v>
      </c>
      <c r="BT1501">
        <v>0</v>
      </c>
      <c r="BU1501">
        <v>0</v>
      </c>
      <c r="CE1501" t="str">
        <f t="shared" si="523"/>
        <v>19:29:31.739</v>
      </c>
      <c r="CF1501">
        <v>738950182</v>
      </c>
      <c r="CS1501">
        <v>3</v>
      </c>
      <c r="CT1501">
        <v>2</v>
      </c>
      <c r="CU1501">
        <v>0</v>
      </c>
      <c r="CV1501">
        <v>2</v>
      </c>
      <c r="CW1501">
        <v>0</v>
      </c>
      <c r="CX1501">
        <v>5</v>
      </c>
      <c r="CY1501">
        <v>7</v>
      </c>
      <c r="CZ1501" t="s">
        <v>131</v>
      </c>
      <c r="DA1501">
        <v>286</v>
      </c>
      <c r="DB1501">
        <v>0</v>
      </c>
      <c r="DC1501" t="s">
        <v>132</v>
      </c>
      <c r="DD1501" t="s">
        <v>133</v>
      </c>
      <c r="DG1501">
        <v>820727</v>
      </c>
      <c r="DI1501">
        <v>1</v>
      </c>
      <c r="DJ1501">
        <v>0</v>
      </c>
      <c r="DK1501">
        <v>1</v>
      </c>
      <c r="DL1501">
        <v>0</v>
      </c>
      <c r="DM1501">
        <v>0</v>
      </c>
      <c r="DN1501">
        <v>1</v>
      </c>
      <c r="DO1501">
        <v>0</v>
      </c>
      <c r="DP1501">
        <v>0</v>
      </c>
      <c r="DQ1501">
        <v>0</v>
      </c>
      <c r="DR1501">
        <v>0</v>
      </c>
      <c r="DS1501">
        <v>0</v>
      </c>
    </row>
    <row r="1502" spans="1:123" x14ac:dyDescent="0.3">
      <c r="A1502" t="str">
        <f>"10/04/2022 19:29:31.993"</f>
        <v>10/04/2022 19:29:31.993</v>
      </c>
      <c r="C1502" t="str">
        <f t="shared" si="518"/>
        <v>FFDFD3C0</v>
      </c>
      <c r="D1502" t="s">
        <v>147</v>
      </c>
      <c r="E1502">
        <v>3</v>
      </c>
      <c r="H1502">
        <v>166</v>
      </c>
      <c r="I1502" t="s">
        <v>144</v>
      </c>
      <c r="J1502" t="s">
        <v>148</v>
      </c>
      <c r="K1502">
        <v>0</v>
      </c>
      <c r="L1502">
        <v>3</v>
      </c>
      <c r="M1502">
        <v>0</v>
      </c>
      <c r="N1502">
        <v>2</v>
      </c>
      <c r="O1502">
        <v>0</v>
      </c>
      <c r="P1502">
        <v>1</v>
      </c>
      <c r="Q1502">
        <v>0</v>
      </c>
      <c r="S1502" t="str">
        <f t="shared" si="521"/>
        <v>19:29:31.000</v>
      </c>
      <c r="T1502" t="str">
        <f t="shared" si="521"/>
        <v>19:29:31.000</v>
      </c>
      <c r="U1502" t="str">
        <f t="shared" si="514"/>
        <v>AC3944</v>
      </c>
      <c r="V1502">
        <v>0</v>
      </c>
      <c r="W1502">
        <v>0</v>
      </c>
      <c r="X1502">
        <v>2</v>
      </c>
      <c r="Y1502">
        <v>0</v>
      </c>
      <c r="AA1502">
        <v>1</v>
      </c>
      <c r="AB1502">
        <v>8</v>
      </c>
      <c r="AC1502">
        <v>3</v>
      </c>
      <c r="AD1502">
        <v>0</v>
      </c>
      <c r="AE1502">
        <v>9</v>
      </c>
      <c r="AF1502" t="s">
        <v>138</v>
      </c>
      <c r="AG1502">
        <v>0</v>
      </c>
      <c r="AH1502">
        <v>3</v>
      </c>
      <c r="AI1502">
        <v>1</v>
      </c>
      <c r="AJ1502">
        <v>0</v>
      </c>
      <c r="AK1502" t="s">
        <v>562</v>
      </c>
      <c r="AL1502">
        <v>32.798352000000001</v>
      </c>
      <c r="AM1502" t="s">
        <v>563</v>
      </c>
      <c r="AN1502">
        <v>-116.88337300000001</v>
      </c>
      <c r="AO1502">
        <v>25</v>
      </c>
      <c r="AP1502">
        <v>2600</v>
      </c>
      <c r="AQ1502" t="s">
        <v>129</v>
      </c>
      <c r="AR1502">
        <v>98</v>
      </c>
      <c r="AS1502">
        <v>-70</v>
      </c>
      <c r="AT1502">
        <v>256</v>
      </c>
      <c r="BB1502">
        <v>1200</v>
      </c>
      <c r="BC1502">
        <v>1</v>
      </c>
      <c r="BD1502" t="str">
        <f t="shared" si="515"/>
        <v xml:space="preserve">N887QR  </v>
      </c>
      <c r="BE1502">
        <v>1</v>
      </c>
      <c r="BG1502">
        <v>0</v>
      </c>
      <c r="BH1502">
        <v>0</v>
      </c>
      <c r="BI1502">
        <v>0</v>
      </c>
      <c r="BJ1502">
        <v>2300</v>
      </c>
      <c r="BK1502">
        <v>-300</v>
      </c>
      <c r="BL1502" t="s">
        <v>163</v>
      </c>
      <c r="BM1502">
        <v>1</v>
      </c>
      <c r="BN1502">
        <v>1</v>
      </c>
      <c r="BO1502">
        <v>1</v>
      </c>
      <c r="BP1502">
        <v>0</v>
      </c>
      <c r="BS1502">
        <v>0</v>
      </c>
      <c r="BT1502">
        <v>0</v>
      </c>
      <c r="BU1502">
        <v>0</v>
      </c>
      <c r="CE1502" t="str">
        <f t="shared" si="523"/>
        <v>19:29:31.739</v>
      </c>
      <c r="CF1502">
        <v>738950182</v>
      </c>
      <c r="CS1502">
        <v>3</v>
      </c>
      <c r="CT1502">
        <v>2</v>
      </c>
      <c r="CU1502">
        <v>0</v>
      </c>
      <c r="CV1502">
        <v>2</v>
      </c>
      <c r="CW1502">
        <v>0</v>
      </c>
      <c r="CX1502">
        <v>5</v>
      </c>
      <c r="CY1502">
        <v>7</v>
      </c>
      <c r="CZ1502" t="s">
        <v>131</v>
      </c>
      <c r="DA1502">
        <v>286</v>
      </c>
      <c r="DB1502">
        <v>0</v>
      </c>
      <c r="DC1502" t="s">
        <v>132</v>
      </c>
      <c r="DD1502" t="s">
        <v>133</v>
      </c>
      <c r="DG1502">
        <v>820727</v>
      </c>
      <c r="DI1502">
        <v>1</v>
      </c>
      <c r="DJ1502">
        <v>0</v>
      </c>
      <c r="DK1502">
        <v>1</v>
      </c>
      <c r="DL1502">
        <v>0</v>
      </c>
      <c r="DM1502">
        <v>0</v>
      </c>
      <c r="DN1502">
        <v>1</v>
      </c>
      <c r="DO1502">
        <v>0</v>
      </c>
      <c r="DP1502">
        <v>0</v>
      </c>
      <c r="DQ1502">
        <v>0</v>
      </c>
      <c r="DR1502">
        <v>0</v>
      </c>
      <c r="DS1502">
        <v>0</v>
      </c>
    </row>
    <row r="1503" spans="1:123" x14ac:dyDescent="0.3">
      <c r="A1503" t="str">
        <f>"10/04/2022 19:29:31.993"</f>
        <v>10/04/2022 19:29:31.993</v>
      </c>
      <c r="C1503" t="str">
        <f t="shared" si="518"/>
        <v>FFDFD3C0</v>
      </c>
      <c r="D1503" t="s">
        <v>143</v>
      </c>
      <c r="E1503">
        <v>20</v>
      </c>
      <c r="F1503">
        <v>1020</v>
      </c>
      <c r="G1503" t="s">
        <v>144</v>
      </c>
      <c r="J1503" t="s">
        <v>145</v>
      </c>
      <c r="K1503">
        <v>0</v>
      </c>
      <c r="L1503">
        <v>3</v>
      </c>
      <c r="M1503">
        <v>0</v>
      </c>
      <c r="N1503">
        <v>2</v>
      </c>
      <c r="O1503">
        <v>0</v>
      </c>
      <c r="P1503">
        <v>1</v>
      </c>
      <c r="Q1503">
        <v>0</v>
      </c>
      <c r="S1503" t="str">
        <f t="shared" si="521"/>
        <v>19:29:31.000</v>
      </c>
      <c r="T1503" t="str">
        <f t="shared" si="521"/>
        <v>19:29:31.000</v>
      </c>
      <c r="U1503" t="str">
        <f t="shared" si="514"/>
        <v>AC3944</v>
      </c>
      <c r="V1503">
        <v>0</v>
      </c>
      <c r="W1503">
        <v>0</v>
      </c>
      <c r="X1503">
        <v>2</v>
      </c>
      <c r="Y1503">
        <v>0</v>
      </c>
      <c r="AA1503">
        <v>1</v>
      </c>
      <c r="AB1503">
        <v>8</v>
      </c>
      <c r="AC1503">
        <v>3</v>
      </c>
      <c r="AD1503">
        <v>0</v>
      </c>
      <c r="AE1503">
        <v>9</v>
      </c>
      <c r="AF1503" t="s">
        <v>138</v>
      </c>
      <c r="AG1503">
        <v>0</v>
      </c>
      <c r="AH1503">
        <v>3</v>
      </c>
      <c r="AI1503">
        <v>1</v>
      </c>
      <c r="AJ1503">
        <v>0</v>
      </c>
      <c r="AK1503" t="s">
        <v>562</v>
      </c>
      <c r="AL1503">
        <v>32.798352000000001</v>
      </c>
      <c r="AM1503" t="s">
        <v>563</v>
      </c>
      <c r="AN1503">
        <v>-116.88337300000001</v>
      </c>
      <c r="AO1503">
        <v>25</v>
      </c>
      <c r="AP1503">
        <v>2600</v>
      </c>
      <c r="AQ1503" t="s">
        <v>129</v>
      </c>
      <c r="AR1503">
        <v>98</v>
      </c>
      <c r="AS1503">
        <v>-70</v>
      </c>
      <c r="AT1503">
        <v>256</v>
      </c>
      <c r="BB1503">
        <v>1200</v>
      </c>
      <c r="BC1503">
        <v>1</v>
      </c>
      <c r="BD1503" t="str">
        <f t="shared" si="515"/>
        <v xml:space="preserve">N887QR  </v>
      </c>
      <c r="BE1503">
        <v>1</v>
      </c>
      <c r="BG1503">
        <v>0</v>
      </c>
      <c r="BH1503">
        <v>0</v>
      </c>
      <c r="BI1503">
        <v>0</v>
      </c>
      <c r="BJ1503">
        <v>2300</v>
      </c>
      <c r="BK1503">
        <v>-300</v>
      </c>
      <c r="BL1503" t="s">
        <v>163</v>
      </c>
      <c r="BM1503">
        <v>1</v>
      </c>
      <c r="BN1503">
        <v>1</v>
      </c>
      <c r="BO1503">
        <v>1</v>
      </c>
      <c r="BP1503">
        <v>0</v>
      </c>
      <c r="BS1503">
        <v>0</v>
      </c>
      <c r="BT1503">
        <v>0</v>
      </c>
      <c r="BU1503">
        <v>0</v>
      </c>
      <c r="CE1503" t="str">
        <f t="shared" si="523"/>
        <v>19:29:31.739</v>
      </c>
      <c r="CF1503">
        <v>738950182</v>
      </c>
      <c r="CS1503">
        <v>3</v>
      </c>
      <c r="CT1503">
        <v>2</v>
      </c>
      <c r="CU1503">
        <v>0</v>
      </c>
      <c r="CV1503">
        <v>2</v>
      </c>
      <c r="CW1503">
        <v>0</v>
      </c>
      <c r="CX1503">
        <v>5</v>
      </c>
      <c r="CY1503">
        <v>7</v>
      </c>
      <c r="CZ1503" t="s">
        <v>131</v>
      </c>
      <c r="DA1503">
        <v>286</v>
      </c>
      <c r="DB1503">
        <v>0</v>
      </c>
      <c r="DC1503" t="s">
        <v>132</v>
      </c>
      <c r="DD1503" t="s">
        <v>133</v>
      </c>
      <c r="DG1503">
        <v>820727</v>
      </c>
      <c r="DI1503">
        <v>1</v>
      </c>
      <c r="DJ1503">
        <v>0</v>
      </c>
      <c r="DK1503">
        <v>1</v>
      </c>
      <c r="DL1503">
        <v>0</v>
      </c>
      <c r="DM1503">
        <v>0</v>
      </c>
      <c r="DN1503">
        <v>1</v>
      </c>
      <c r="DO1503">
        <v>0</v>
      </c>
      <c r="DP1503">
        <v>0</v>
      </c>
      <c r="DQ1503">
        <v>0</v>
      </c>
      <c r="DR1503">
        <v>0</v>
      </c>
      <c r="DS1503">
        <v>0</v>
      </c>
    </row>
    <row r="1504" spans="1:123" x14ac:dyDescent="0.3">
      <c r="A1504" t="str">
        <f>"10/04/2022 19:29:31.993"</f>
        <v>10/04/2022 19:29:31.993</v>
      </c>
      <c r="C1504" t="str">
        <f t="shared" si="518"/>
        <v>FFDFD3C0</v>
      </c>
      <c r="D1504" t="s">
        <v>123</v>
      </c>
      <c r="E1504">
        <v>7</v>
      </c>
      <c r="F1504">
        <v>2007</v>
      </c>
      <c r="G1504" t="s">
        <v>124</v>
      </c>
      <c r="J1504" t="s">
        <v>125</v>
      </c>
      <c r="K1504">
        <v>0</v>
      </c>
      <c r="L1504">
        <v>3</v>
      </c>
      <c r="M1504">
        <v>0</v>
      </c>
      <c r="N1504">
        <v>2</v>
      </c>
      <c r="O1504">
        <v>0</v>
      </c>
      <c r="P1504">
        <v>1</v>
      </c>
      <c r="Q1504">
        <v>0</v>
      </c>
      <c r="S1504" t="str">
        <f t="shared" si="521"/>
        <v>19:29:31.000</v>
      </c>
      <c r="T1504" t="str">
        <f t="shared" si="521"/>
        <v>19:29:31.000</v>
      </c>
      <c r="U1504" t="str">
        <f t="shared" si="514"/>
        <v>AC3944</v>
      </c>
      <c r="V1504">
        <v>0</v>
      </c>
      <c r="W1504">
        <v>0</v>
      </c>
      <c r="X1504">
        <v>2</v>
      </c>
      <c r="Y1504">
        <v>0</v>
      </c>
      <c r="AA1504">
        <v>1</v>
      </c>
      <c r="AB1504">
        <v>8</v>
      </c>
      <c r="AC1504">
        <v>3</v>
      </c>
      <c r="AD1504">
        <v>0</v>
      </c>
      <c r="AE1504">
        <v>9</v>
      </c>
      <c r="AF1504" t="s">
        <v>138</v>
      </c>
      <c r="AG1504">
        <v>0</v>
      </c>
      <c r="AH1504">
        <v>3</v>
      </c>
      <c r="AI1504">
        <v>1</v>
      </c>
      <c r="AJ1504">
        <v>0</v>
      </c>
      <c r="AK1504" t="s">
        <v>562</v>
      </c>
      <c r="AL1504">
        <v>32.798352000000001</v>
      </c>
      <c r="AM1504" t="s">
        <v>563</v>
      </c>
      <c r="AN1504">
        <v>-116.88337300000001</v>
      </c>
      <c r="AO1504">
        <v>25</v>
      </c>
      <c r="AP1504">
        <v>2600</v>
      </c>
      <c r="AQ1504" t="s">
        <v>129</v>
      </c>
      <c r="AR1504">
        <v>98</v>
      </c>
      <c r="AS1504">
        <v>-70</v>
      </c>
      <c r="AT1504">
        <v>256</v>
      </c>
      <c r="BB1504">
        <v>1200</v>
      </c>
      <c r="BC1504">
        <v>1</v>
      </c>
      <c r="BD1504" t="str">
        <f t="shared" si="515"/>
        <v xml:space="preserve">N887QR  </v>
      </c>
      <c r="BE1504">
        <v>1</v>
      </c>
      <c r="BG1504">
        <v>0</v>
      </c>
      <c r="BH1504">
        <v>0</v>
      </c>
      <c r="BI1504">
        <v>0</v>
      </c>
      <c r="BJ1504">
        <v>2300</v>
      </c>
      <c r="BK1504">
        <v>-300</v>
      </c>
      <c r="BL1504" t="s">
        <v>163</v>
      </c>
      <c r="BM1504">
        <v>1</v>
      </c>
      <c r="BN1504">
        <v>1</v>
      </c>
      <c r="BO1504">
        <v>1</v>
      </c>
      <c r="BP1504">
        <v>0</v>
      </c>
      <c r="BS1504">
        <v>0</v>
      </c>
      <c r="BT1504">
        <v>0</v>
      </c>
      <c r="BU1504">
        <v>0</v>
      </c>
      <c r="CE1504" t="str">
        <f t="shared" si="523"/>
        <v>19:29:31.739</v>
      </c>
      <c r="CF1504">
        <v>738950182</v>
      </c>
      <c r="CS1504">
        <v>3</v>
      </c>
      <c r="CT1504">
        <v>2</v>
      </c>
      <c r="CU1504">
        <v>0</v>
      </c>
      <c r="CV1504">
        <v>2</v>
      </c>
      <c r="CW1504">
        <v>0</v>
      </c>
      <c r="CX1504">
        <v>5</v>
      </c>
      <c r="CY1504">
        <v>7</v>
      </c>
      <c r="CZ1504" t="s">
        <v>131</v>
      </c>
      <c r="DA1504">
        <v>286</v>
      </c>
      <c r="DB1504">
        <v>0</v>
      </c>
      <c r="DC1504" t="s">
        <v>132</v>
      </c>
      <c r="DD1504" t="s">
        <v>133</v>
      </c>
      <c r="DG1504">
        <v>820727</v>
      </c>
      <c r="DI1504">
        <v>1</v>
      </c>
      <c r="DJ1504">
        <v>0</v>
      </c>
      <c r="DK1504">
        <v>1</v>
      </c>
      <c r="DL1504">
        <v>0</v>
      </c>
      <c r="DM1504">
        <v>0</v>
      </c>
      <c r="DN1504">
        <v>1</v>
      </c>
      <c r="DO1504">
        <v>0</v>
      </c>
      <c r="DP1504">
        <v>0</v>
      </c>
      <c r="DQ1504">
        <v>0</v>
      </c>
      <c r="DR1504">
        <v>0</v>
      </c>
      <c r="DS1504">
        <v>0</v>
      </c>
    </row>
    <row r="1505" spans="1:123" x14ac:dyDescent="0.3">
      <c r="A1505" t="str">
        <f>"10/04/2022 19:29:31.993"</f>
        <v>10/04/2022 19:29:31.993</v>
      </c>
      <c r="C1505" t="str">
        <f t="shared" si="518"/>
        <v>FFDFD3C0</v>
      </c>
      <c r="D1505" t="s">
        <v>136</v>
      </c>
      <c r="E1505">
        <v>8</v>
      </c>
      <c r="H1505">
        <v>225</v>
      </c>
      <c r="I1505" t="s">
        <v>137</v>
      </c>
      <c r="J1505" t="s">
        <v>138</v>
      </c>
      <c r="K1505">
        <v>0</v>
      </c>
      <c r="L1505">
        <v>3</v>
      </c>
      <c r="M1505">
        <v>0</v>
      </c>
      <c r="N1505">
        <v>2</v>
      </c>
      <c r="O1505">
        <v>0</v>
      </c>
      <c r="P1505">
        <v>1</v>
      </c>
      <c r="Q1505">
        <v>0</v>
      </c>
      <c r="S1505" t="str">
        <f t="shared" si="521"/>
        <v>19:29:31.000</v>
      </c>
      <c r="T1505" t="str">
        <f t="shared" si="521"/>
        <v>19:29:31.000</v>
      </c>
      <c r="U1505" t="str">
        <f t="shared" si="514"/>
        <v>AC3944</v>
      </c>
      <c r="V1505">
        <v>0</v>
      </c>
      <c r="W1505">
        <v>0</v>
      </c>
      <c r="X1505">
        <v>2</v>
      </c>
      <c r="Y1505">
        <v>0</v>
      </c>
      <c r="AA1505">
        <v>1</v>
      </c>
      <c r="AB1505">
        <v>8</v>
      </c>
      <c r="AC1505">
        <v>3</v>
      </c>
      <c r="AD1505">
        <v>0</v>
      </c>
      <c r="AE1505">
        <v>9</v>
      </c>
      <c r="AF1505" t="s">
        <v>138</v>
      </c>
      <c r="AG1505">
        <v>0</v>
      </c>
      <c r="AH1505">
        <v>3</v>
      </c>
      <c r="AI1505">
        <v>1</v>
      </c>
      <c r="AJ1505">
        <v>0</v>
      </c>
      <c r="AK1505" t="s">
        <v>562</v>
      </c>
      <c r="AL1505">
        <v>32.798352000000001</v>
      </c>
      <c r="AM1505" t="s">
        <v>563</v>
      </c>
      <c r="AN1505">
        <v>-116.88337300000001</v>
      </c>
      <c r="AO1505">
        <v>25</v>
      </c>
      <c r="AP1505">
        <v>2600</v>
      </c>
      <c r="AQ1505" t="s">
        <v>129</v>
      </c>
      <c r="AR1505">
        <v>98</v>
      </c>
      <c r="AS1505">
        <v>-70</v>
      </c>
      <c r="AT1505">
        <v>256</v>
      </c>
      <c r="BB1505">
        <v>1200</v>
      </c>
      <c r="BC1505">
        <v>1</v>
      </c>
      <c r="BD1505" t="str">
        <f t="shared" si="515"/>
        <v xml:space="preserve">N887QR  </v>
      </c>
      <c r="BE1505">
        <v>1</v>
      </c>
      <c r="BG1505">
        <v>0</v>
      </c>
      <c r="BH1505">
        <v>0</v>
      </c>
      <c r="BI1505">
        <v>0</v>
      </c>
      <c r="BJ1505">
        <v>2300</v>
      </c>
      <c r="BK1505">
        <v>-300</v>
      </c>
      <c r="BL1505" t="s">
        <v>163</v>
      </c>
      <c r="BM1505">
        <v>1</v>
      </c>
      <c r="BN1505">
        <v>1</v>
      </c>
      <c r="BO1505">
        <v>1</v>
      </c>
      <c r="BP1505">
        <v>0</v>
      </c>
      <c r="BS1505">
        <v>0</v>
      </c>
      <c r="BT1505">
        <v>0</v>
      </c>
      <c r="BU1505">
        <v>0</v>
      </c>
      <c r="CE1505" t="str">
        <f t="shared" si="523"/>
        <v>19:29:31.739</v>
      </c>
      <c r="CF1505">
        <v>738950182</v>
      </c>
      <c r="CS1505">
        <v>3</v>
      </c>
      <c r="CT1505">
        <v>2</v>
      </c>
      <c r="CU1505">
        <v>0</v>
      </c>
      <c r="CV1505">
        <v>2</v>
      </c>
      <c r="CW1505">
        <v>0</v>
      </c>
      <c r="CX1505">
        <v>5</v>
      </c>
      <c r="CY1505">
        <v>7</v>
      </c>
      <c r="CZ1505" t="s">
        <v>131</v>
      </c>
      <c r="DA1505">
        <v>286</v>
      </c>
      <c r="DB1505">
        <v>0</v>
      </c>
      <c r="DC1505" t="s">
        <v>132</v>
      </c>
      <c r="DD1505" t="s">
        <v>133</v>
      </c>
      <c r="DG1505">
        <v>820727</v>
      </c>
      <c r="DI1505">
        <v>1</v>
      </c>
      <c r="DJ1505">
        <v>0</v>
      </c>
      <c r="DK1505">
        <v>1</v>
      </c>
      <c r="DL1505">
        <v>0</v>
      </c>
      <c r="DM1505">
        <v>0</v>
      </c>
      <c r="DN1505">
        <v>1</v>
      </c>
      <c r="DO1505">
        <v>0</v>
      </c>
      <c r="DP1505">
        <v>0</v>
      </c>
      <c r="DQ1505">
        <v>0</v>
      </c>
      <c r="DR1505">
        <v>0</v>
      </c>
      <c r="DS1505">
        <v>0</v>
      </c>
    </row>
    <row r="1506" spans="1:123" x14ac:dyDescent="0.3">
      <c r="A1506" t="str">
        <f>"10/04/2022 19:29:33.509"</f>
        <v>10/04/2022 19:29:33.509</v>
      </c>
      <c r="C1506" t="str">
        <f t="shared" si="518"/>
        <v>FFDFD3C0</v>
      </c>
      <c r="D1506" t="s">
        <v>136</v>
      </c>
      <c r="E1506">
        <v>8</v>
      </c>
      <c r="H1506">
        <v>225</v>
      </c>
      <c r="I1506" t="s">
        <v>137</v>
      </c>
      <c r="J1506" t="s">
        <v>138</v>
      </c>
      <c r="K1506">
        <v>0</v>
      </c>
      <c r="L1506">
        <v>3</v>
      </c>
      <c r="M1506">
        <v>0</v>
      </c>
      <c r="N1506">
        <v>2</v>
      </c>
      <c r="O1506">
        <v>0</v>
      </c>
      <c r="P1506">
        <v>1</v>
      </c>
      <c r="Q1506">
        <v>0</v>
      </c>
      <c r="S1506" t="str">
        <f t="shared" ref="S1506:T1519" si="524">"19:29:33.000"</f>
        <v>19:29:33.000</v>
      </c>
      <c r="T1506" t="str">
        <f t="shared" si="524"/>
        <v>19:29:33.000</v>
      </c>
      <c r="U1506" t="str">
        <f t="shared" si="514"/>
        <v>AC3944</v>
      </c>
      <c r="V1506">
        <v>0</v>
      </c>
      <c r="W1506">
        <v>0</v>
      </c>
      <c r="X1506">
        <v>2</v>
      </c>
      <c r="Y1506">
        <v>0</v>
      </c>
      <c r="AA1506">
        <v>1</v>
      </c>
      <c r="AB1506">
        <v>8</v>
      </c>
      <c r="AC1506">
        <v>3</v>
      </c>
      <c r="AD1506">
        <v>0</v>
      </c>
      <c r="AE1506">
        <v>9</v>
      </c>
      <c r="AF1506" t="s">
        <v>138</v>
      </c>
      <c r="AG1506">
        <v>0</v>
      </c>
      <c r="AH1506">
        <v>3</v>
      </c>
      <c r="AI1506">
        <v>1</v>
      </c>
      <c r="AJ1506">
        <v>0</v>
      </c>
      <c r="AK1506" t="s">
        <v>564</v>
      </c>
      <c r="AL1506">
        <v>32.798029999999997</v>
      </c>
      <c r="AM1506" t="s">
        <v>565</v>
      </c>
      <c r="AN1506">
        <v>-116.88283699999999</v>
      </c>
      <c r="AO1506">
        <v>25</v>
      </c>
      <c r="AP1506">
        <v>2600</v>
      </c>
      <c r="AQ1506" t="s">
        <v>129</v>
      </c>
      <c r="AR1506">
        <v>99</v>
      </c>
      <c r="AS1506">
        <v>-70</v>
      </c>
      <c r="AT1506">
        <v>256</v>
      </c>
      <c r="BB1506">
        <v>1200</v>
      </c>
      <c r="BC1506">
        <v>1</v>
      </c>
      <c r="BD1506" t="str">
        <f t="shared" si="515"/>
        <v xml:space="preserve">N887QR  </v>
      </c>
      <c r="BE1506">
        <v>1</v>
      </c>
      <c r="BG1506">
        <v>0</v>
      </c>
      <c r="BH1506">
        <v>0</v>
      </c>
      <c r="BI1506">
        <v>0</v>
      </c>
      <c r="BJ1506">
        <v>2300</v>
      </c>
      <c r="BK1506">
        <v>-300</v>
      </c>
      <c r="BL1506" t="s">
        <v>163</v>
      </c>
      <c r="BM1506">
        <v>1</v>
      </c>
      <c r="BN1506">
        <v>1</v>
      </c>
      <c r="BO1506">
        <v>1</v>
      </c>
      <c r="BP1506">
        <v>0</v>
      </c>
      <c r="BS1506">
        <v>0</v>
      </c>
      <c r="BT1506">
        <v>0</v>
      </c>
      <c r="BU1506">
        <v>0</v>
      </c>
      <c r="CE1506" t="str">
        <f t="shared" ref="CE1506:CE1512" si="525">"19:29:33.312"</f>
        <v>19:29:33.312</v>
      </c>
      <c r="CF1506">
        <v>311711582</v>
      </c>
      <c r="CS1506">
        <v>3</v>
      </c>
      <c r="CT1506">
        <v>2</v>
      </c>
      <c r="CU1506">
        <v>0</v>
      </c>
      <c r="CV1506">
        <v>2</v>
      </c>
      <c r="CW1506">
        <v>0</v>
      </c>
      <c r="CX1506">
        <v>6</v>
      </c>
      <c r="CY1506">
        <v>7</v>
      </c>
      <c r="CZ1506" t="s">
        <v>131</v>
      </c>
      <c r="DA1506">
        <v>300</v>
      </c>
      <c r="DB1506">
        <v>0</v>
      </c>
      <c r="DC1506" t="s">
        <v>176</v>
      </c>
      <c r="DD1506" t="s">
        <v>177</v>
      </c>
      <c r="DG1506">
        <v>5388218</v>
      </c>
      <c r="DI1506">
        <v>1</v>
      </c>
      <c r="DJ1506">
        <v>0</v>
      </c>
      <c r="DK1506">
        <v>0</v>
      </c>
      <c r="DL1506">
        <v>0</v>
      </c>
      <c r="DM1506">
        <v>0</v>
      </c>
      <c r="DN1506">
        <v>1</v>
      </c>
      <c r="DO1506">
        <v>0</v>
      </c>
      <c r="DP1506">
        <v>0</v>
      </c>
      <c r="DQ1506">
        <v>0</v>
      </c>
      <c r="DR1506">
        <v>0</v>
      </c>
      <c r="DS1506">
        <v>0</v>
      </c>
    </row>
    <row r="1507" spans="1:123" x14ac:dyDescent="0.3">
      <c r="A1507" t="str">
        <f>"10/04/2022 19:29:33.509"</f>
        <v>10/04/2022 19:29:33.509</v>
      </c>
      <c r="C1507" t="str">
        <f t="shared" si="518"/>
        <v>FFDFD3C0</v>
      </c>
      <c r="D1507" t="s">
        <v>141</v>
      </c>
      <c r="E1507">
        <v>3</v>
      </c>
      <c r="H1507">
        <v>3</v>
      </c>
      <c r="I1507" t="s">
        <v>146</v>
      </c>
      <c r="J1507" t="s">
        <v>138</v>
      </c>
      <c r="K1507">
        <v>0</v>
      </c>
      <c r="L1507">
        <v>3</v>
      </c>
      <c r="M1507">
        <v>0</v>
      </c>
      <c r="N1507">
        <v>2</v>
      </c>
      <c r="O1507">
        <v>0</v>
      </c>
      <c r="P1507">
        <v>1</v>
      </c>
      <c r="Q1507">
        <v>0</v>
      </c>
      <c r="S1507" t="str">
        <f t="shared" si="524"/>
        <v>19:29:33.000</v>
      </c>
      <c r="T1507" t="str">
        <f t="shared" si="524"/>
        <v>19:29:33.000</v>
      </c>
      <c r="U1507" t="str">
        <f t="shared" si="514"/>
        <v>AC3944</v>
      </c>
      <c r="V1507">
        <v>0</v>
      </c>
      <c r="W1507">
        <v>0</v>
      </c>
      <c r="X1507">
        <v>2</v>
      </c>
      <c r="Y1507">
        <v>0</v>
      </c>
      <c r="AA1507">
        <v>1</v>
      </c>
      <c r="AB1507">
        <v>8</v>
      </c>
      <c r="AC1507">
        <v>3</v>
      </c>
      <c r="AD1507">
        <v>0</v>
      </c>
      <c r="AE1507">
        <v>9</v>
      </c>
      <c r="AF1507" t="s">
        <v>138</v>
      </c>
      <c r="AG1507">
        <v>0</v>
      </c>
      <c r="AH1507">
        <v>3</v>
      </c>
      <c r="AI1507">
        <v>1</v>
      </c>
      <c r="AJ1507">
        <v>0</v>
      </c>
      <c r="AK1507" t="s">
        <v>564</v>
      </c>
      <c r="AL1507">
        <v>32.798029999999997</v>
      </c>
      <c r="AM1507" t="s">
        <v>565</v>
      </c>
      <c r="AN1507">
        <v>-116.88283699999999</v>
      </c>
      <c r="AO1507">
        <v>25</v>
      </c>
      <c r="AP1507">
        <v>2600</v>
      </c>
      <c r="AQ1507" t="s">
        <v>129</v>
      </c>
      <c r="AR1507">
        <v>99</v>
      </c>
      <c r="AS1507">
        <v>-70</v>
      </c>
      <c r="AT1507">
        <v>256</v>
      </c>
      <c r="BB1507">
        <v>1200</v>
      </c>
      <c r="BC1507">
        <v>1</v>
      </c>
      <c r="BD1507" t="str">
        <f t="shared" si="515"/>
        <v xml:space="preserve">N887QR  </v>
      </c>
      <c r="BE1507">
        <v>1</v>
      </c>
      <c r="BG1507">
        <v>0</v>
      </c>
      <c r="BH1507">
        <v>0</v>
      </c>
      <c r="BI1507">
        <v>0</v>
      </c>
      <c r="BJ1507">
        <v>2300</v>
      </c>
      <c r="BK1507">
        <v>-300</v>
      </c>
      <c r="BL1507" t="s">
        <v>163</v>
      </c>
      <c r="BM1507">
        <v>1</v>
      </c>
      <c r="BN1507">
        <v>1</v>
      </c>
      <c r="BO1507">
        <v>1</v>
      </c>
      <c r="BP1507">
        <v>0</v>
      </c>
      <c r="BS1507">
        <v>0</v>
      </c>
      <c r="BT1507">
        <v>0</v>
      </c>
      <c r="BU1507">
        <v>0</v>
      </c>
      <c r="CE1507" t="str">
        <f t="shared" si="525"/>
        <v>19:29:33.312</v>
      </c>
      <c r="CF1507">
        <v>311711582</v>
      </c>
      <c r="CS1507">
        <v>3</v>
      </c>
      <c r="CT1507">
        <v>2</v>
      </c>
      <c r="CU1507">
        <v>0</v>
      </c>
      <c r="CV1507">
        <v>2</v>
      </c>
      <c r="CW1507">
        <v>0</v>
      </c>
      <c r="CX1507">
        <v>6</v>
      </c>
      <c r="CY1507">
        <v>7</v>
      </c>
      <c r="CZ1507" t="s">
        <v>131</v>
      </c>
      <c r="DA1507">
        <v>300</v>
      </c>
      <c r="DB1507">
        <v>0</v>
      </c>
      <c r="DC1507" t="s">
        <v>176</v>
      </c>
      <c r="DD1507" t="s">
        <v>177</v>
      </c>
      <c r="DG1507">
        <v>5388218</v>
      </c>
      <c r="DI1507">
        <v>1</v>
      </c>
      <c r="DJ1507">
        <v>0</v>
      </c>
      <c r="DK1507">
        <v>1</v>
      </c>
      <c r="DL1507">
        <v>0</v>
      </c>
      <c r="DM1507">
        <v>0</v>
      </c>
      <c r="DN1507">
        <v>1</v>
      </c>
      <c r="DO1507">
        <v>0</v>
      </c>
      <c r="DP1507">
        <v>0</v>
      </c>
      <c r="DQ1507">
        <v>0</v>
      </c>
      <c r="DR1507">
        <v>0</v>
      </c>
      <c r="DS1507">
        <v>0</v>
      </c>
    </row>
    <row r="1508" spans="1:123" x14ac:dyDescent="0.3">
      <c r="A1508" t="str">
        <f>"10/04/2022 19:29:33.509"</f>
        <v>10/04/2022 19:29:33.509</v>
      </c>
      <c r="C1508" t="str">
        <f t="shared" si="518"/>
        <v>FFDFD3C0</v>
      </c>
      <c r="D1508" t="s">
        <v>141</v>
      </c>
      <c r="E1508">
        <v>4</v>
      </c>
      <c r="H1508">
        <v>4</v>
      </c>
      <c r="I1508" t="s">
        <v>142</v>
      </c>
      <c r="J1508" t="s">
        <v>138</v>
      </c>
      <c r="K1508">
        <v>0</v>
      </c>
      <c r="L1508">
        <v>3</v>
      </c>
      <c r="M1508">
        <v>0</v>
      </c>
      <c r="N1508">
        <v>2</v>
      </c>
      <c r="O1508">
        <v>0</v>
      </c>
      <c r="P1508">
        <v>1</v>
      </c>
      <c r="Q1508">
        <v>0</v>
      </c>
      <c r="S1508" t="str">
        <f t="shared" si="524"/>
        <v>19:29:33.000</v>
      </c>
      <c r="T1508" t="str">
        <f t="shared" si="524"/>
        <v>19:29:33.000</v>
      </c>
      <c r="U1508" t="str">
        <f t="shared" si="514"/>
        <v>AC3944</v>
      </c>
      <c r="V1508">
        <v>0</v>
      </c>
      <c r="W1508">
        <v>0</v>
      </c>
      <c r="X1508">
        <v>2</v>
      </c>
      <c r="Y1508">
        <v>0</v>
      </c>
      <c r="AA1508">
        <v>1</v>
      </c>
      <c r="AB1508">
        <v>8</v>
      </c>
      <c r="AC1508">
        <v>3</v>
      </c>
      <c r="AD1508">
        <v>0</v>
      </c>
      <c r="AE1508">
        <v>9</v>
      </c>
      <c r="AF1508" t="s">
        <v>138</v>
      </c>
      <c r="AG1508">
        <v>0</v>
      </c>
      <c r="AH1508">
        <v>3</v>
      </c>
      <c r="AI1508">
        <v>1</v>
      </c>
      <c r="AJ1508">
        <v>0</v>
      </c>
      <c r="AK1508" t="s">
        <v>564</v>
      </c>
      <c r="AL1508">
        <v>32.798029999999997</v>
      </c>
      <c r="AM1508" t="s">
        <v>565</v>
      </c>
      <c r="AN1508">
        <v>-116.88283699999999</v>
      </c>
      <c r="AO1508">
        <v>25</v>
      </c>
      <c r="AP1508">
        <v>2600</v>
      </c>
      <c r="AQ1508" t="s">
        <v>129</v>
      </c>
      <c r="AR1508">
        <v>99</v>
      </c>
      <c r="AS1508">
        <v>-70</v>
      </c>
      <c r="AT1508">
        <v>256</v>
      </c>
      <c r="BB1508">
        <v>1200</v>
      </c>
      <c r="BC1508">
        <v>1</v>
      </c>
      <c r="BD1508" t="str">
        <f t="shared" si="515"/>
        <v xml:space="preserve">N887QR  </v>
      </c>
      <c r="BE1508">
        <v>1</v>
      </c>
      <c r="BG1508">
        <v>0</v>
      </c>
      <c r="BH1508">
        <v>0</v>
      </c>
      <c r="BI1508">
        <v>0</v>
      </c>
      <c r="BJ1508">
        <v>2300</v>
      </c>
      <c r="BK1508">
        <v>-300</v>
      </c>
      <c r="BL1508" t="s">
        <v>163</v>
      </c>
      <c r="BM1508">
        <v>1</v>
      </c>
      <c r="BN1508">
        <v>1</v>
      </c>
      <c r="BO1508">
        <v>1</v>
      </c>
      <c r="BP1508">
        <v>0</v>
      </c>
      <c r="BS1508">
        <v>0</v>
      </c>
      <c r="BT1508">
        <v>0</v>
      </c>
      <c r="BU1508">
        <v>0</v>
      </c>
      <c r="CE1508" t="str">
        <f t="shared" si="525"/>
        <v>19:29:33.312</v>
      </c>
      <c r="CF1508">
        <v>311711582</v>
      </c>
      <c r="CS1508">
        <v>3</v>
      </c>
      <c r="CT1508">
        <v>2</v>
      </c>
      <c r="CU1508">
        <v>0</v>
      </c>
      <c r="CV1508">
        <v>2</v>
      </c>
      <c r="CW1508">
        <v>0</v>
      </c>
      <c r="CX1508">
        <v>6</v>
      </c>
      <c r="CY1508">
        <v>7</v>
      </c>
      <c r="CZ1508" t="s">
        <v>131</v>
      </c>
      <c r="DA1508">
        <v>300</v>
      </c>
      <c r="DB1508">
        <v>0</v>
      </c>
      <c r="DC1508" t="s">
        <v>176</v>
      </c>
      <c r="DD1508" t="s">
        <v>177</v>
      </c>
      <c r="DG1508">
        <v>5388218</v>
      </c>
      <c r="DI1508">
        <v>1</v>
      </c>
      <c r="DJ1508">
        <v>0</v>
      </c>
      <c r="DK1508">
        <v>1</v>
      </c>
      <c r="DL1508">
        <v>0</v>
      </c>
      <c r="DM1508">
        <v>0</v>
      </c>
      <c r="DN1508">
        <v>1</v>
      </c>
      <c r="DO1508">
        <v>0</v>
      </c>
      <c r="DP1508">
        <v>0</v>
      </c>
      <c r="DQ1508">
        <v>0</v>
      </c>
      <c r="DR1508">
        <v>0</v>
      </c>
      <c r="DS1508">
        <v>0</v>
      </c>
    </row>
    <row r="1509" spans="1:123" x14ac:dyDescent="0.3">
      <c r="A1509" t="str">
        <f>"10/04/2022 19:29:33.556"</f>
        <v>10/04/2022 19:29:33.556</v>
      </c>
      <c r="C1509" t="str">
        <f t="shared" si="518"/>
        <v>FFDFD3C0</v>
      </c>
      <c r="D1509" t="s">
        <v>147</v>
      </c>
      <c r="E1509">
        <v>3</v>
      </c>
      <c r="H1509">
        <v>166</v>
      </c>
      <c r="I1509" t="s">
        <v>144</v>
      </c>
      <c r="J1509" t="s">
        <v>148</v>
      </c>
      <c r="K1509">
        <v>0</v>
      </c>
      <c r="L1509">
        <v>3</v>
      </c>
      <c r="M1509">
        <v>0</v>
      </c>
      <c r="N1509">
        <v>2</v>
      </c>
      <c r="O1509">
        <v>0</v>
      </c>
      <c r="P1509">
        <v>1</v>
      </c>
      <c r="Q1509">
        <v>0</v>
      </c>
      <c r="S1509" t="str">
        <f t="shared" si="524"/>
        <v>19:29:33.000</v>
      </c>
      <c r="T1509" t="str">
        <f t="shared" si="524"/>
        <v>19:29:33.000</v>
      </c>
      <c r="U1509" t="str">
        <f t="shared" si="514"/>
        <v>AC3944</v>
      </c>
      <c r="V1509">
        <v>0</v>
      </c>
      <c r="W1509">
        <v>0</v>
      </c>
      <c r="X1509">
        <v>2</v>
      </c>
      <c r="Y1509">
        <v>0</v>
      </c>
      <c r="AA1509">
        <v>1</v>
      </c>
      <c r="AB1509">
        <v>8</v>
      </c>
      <c r="AC1509">
        <v>3</v>
      </c>
      <c r="AD1509">
        <v>0</v>
      </c>
      <c r="AE1509">
        <v>9</v>
      </c>
      <c r="AF1509" t="s">
        <v>138</v>
      </c>
      <c r="AG1509">
        <v>0</v>
      </c>
      <c r="AH1509">
        <v>3</v>
      </c>
      <c r="AI1509">
        <v>1</v>
      </c>
      <c r="AJ1509">
        <v>0</v>
      </c>
      <c r="AK1509" t="s">
        <v>564</v>
      </c>
      <c r="AL1509">
        <v>32.798029999999997</v>
      </c>
      <c r="AM1509" t="s">
        <v>565</v>
      </c>
      <c r="AN1509">
        <v>-116.88283699999999</v>
      </c>
      <c r="AO1509">
        <v>25</v>
      </c>
      <c r="AP1509">
        <v>2600</v>
      </c>
      <c r="AQ1509" t="s">
        <v>129</v>
      </c>
      <c r="AR1509">
        <v>99</v>
      </c>
      <c r="AS1509">
        <v>-70</v>
      </c>
      <c r="AT1509">
        <v>256</v>
      </c>
      <c r="BB1509">
        <v>1200</v>
      </c>
      <c r="BC1509">
        <v>1</v>
      </c>
      <c r="BD1509" t="str">
        <f t="shared" si="515"/>
        <v xml:space="preserve">N887QR  </v>
      </c>
      <c r="BE1509">
        <v>1</v>
      </c>
      <c r="BG1509">
        <v>0</v>
      </c>
      <c r="BH1509">
        <v>0</v>
      </c>
      <c r="BI1509">
        <v>0</v>
      </c>
      <c r="BJ1509">
        <v>2300</v>
      </c>
      <c r="BK1509">
        <v>-300</v>
      </c>
      <c r="BL1509" t="s">
        <v>163</v>
      </c>
      <c r="BM1509">
        <v>1</v>
      </c>
      <c r="BN1509">
        <v>1</v>
      </c>
      <c r="BO1509">
        <v>1</v>
      </c>
      <c r="BP1509">
        <v>0</v>
      </c>
      <c r="BS1509">
        <v>0</v>
      </c>
      <c r="BT1509">
        <v>0</v>
      </c>
      <c r="BU1509">
        <v>0</v>
      </c>
      <c r="CE1509" t="str">
        <f t="shared" si="525"/>
        <v>19:29:33.312</v>
      </c>
      <c r="CF1509">
        <v>311711582</v>
      </c>
      <c r="CS1509">
        <v>3</v>
      </c>
      <c r="CT1509">
        <v>2</v>
      </c>
      <c r="CU1509">
        <v>0</v>
      </c>
      <c r="CV1509">
        <v>2</v>
      </c>
      <c r="CW1509">
        <v>0</v>
      </c>
      <c r="CX1509">
        <v>6</v>
      </c>
      <c r="CY1509">
        <v>7</v>
      </c>
      <c r="CZ1509" t="s">
        <v>131</v>
      </c>
      <c r="DA1509">
        <v>300</v>
      </c>
      <c r="DB1509">
        <v>0</v>
      </c>
      <c r="DC1509" t="s">
        <v>176</v>
      </c>
      <c r="DD1509" t="s">
        <v>177</v>
      </c>
      <c r="DG1509">
        <v>5388218</v>
      </c>
      <c r="DI1509">
        <v>1</v>
      </c>
      <c r="DJ1509">
        <v>0</v>
      </c>
      <c r="DK1509">
        <v>1</v>
      </c>
      <c r="DL1509">
        <v>0</v>
      </c>
      <c r="DM1509">
        <v>0</v>
      </c>
      <c r="DN1509">
        <v>1</v>
      </c>
      <c r="DO1509">
        <v>0</v>
      </c>
      <c r="DP1509">
        <v>0</v>
      </c>
      <c r="DQ1509">
        <v>0</v>
      </c>
      <c r="DR1509">
        <v>0</v>
      </c>
      <c r="DS1509">
        <v>0</v>
      </c>
    </row>
    <row r="1510" spans="1:123" x14ac:dyDescent="0.3">
      <c r="A1510" t="str">
        <f>"10/04/2022 19:29:33.556"</f>
        <v>10/04/2022 19:29:33.556</v>
      </c>
      <c r="C1510" t="str">
        <f t="shared" si="518"/>
        <v>FFDFD3C0</v>
      </c>
      <c r="D1510" t="s">
        <v>143</v>
      </c>
      <c r="E1510">
        <v>20</v>
      </c>
      <c r="F1510">
        <v>1020</v>
      </c>
      <c r="G1510" t="s">
        <v>144</v>
      </c>
      <c r="J1510" t="s">
        <v>145</v>
      </c>
      <c r="K1510">
        <v>0</v>
      </c>
      <c r="L1510">
        <v>3</v>
      </c>
      <c r="M1510">
        <v>0</v>
      </c>
      <c r="N1510">
        <v>2</v>
      </c>
      <c r="O1510">
        <v>0</v>
      </c>
      <c r="P1510">
        <v>1</v>
      </c>
      <c r="Q1510">
        <v>0</v>
      </c>
      <c r="S1510" t="str">
        <f t="shared" si="524"/>
        <v>19:29:33.000</v>
      </c>
      <c r="T1510" t="str">
        <f t="shared" si="524"/>
        <v>19:29:33.000</v>
      </c>
      <c r="U1510" t="str">
        <f t="shared" si="514"/>
        <v>AC3944</v>
      </c>
      <c r="V1510">
        <v>0</v>
      </c>
      <c r="W1510">
        <v>0</v>
      </c>
      <c r="X1510">
        <v>2</v>
      </c>
      <c r="Y1510">
        <v>0</v>
      </c>
      <c r="AA1510">
        <v>1</v>
      </c>
      <c r="AB1510">
        <v>8</v>
      </c>
      <c r="AC1510">
        <v>3</v>
      </c>
      <c r="AD1510">
        <v>0</v>
      </c>
      <c r="AE1510">
        <v>9</v>
      </c>
      <c r="AF1510" t="s">
        <v>138</v>
      </c>
      <c r="AG1510">
        <v>0</v>
      </c>
      <c r="AH1510">
        <v>3</v>
      </c>
      <c r="AI1510">
        <v>1</v>
      </c>
      <c r="AJ1510">
        <v>0</v>
      </c>
      <c r="AK1510" t="s">
        <v>564</v>
      </c>
      <c r="AL1510">
        <v>32.798029999999997</v>
      </c>
      <c r="AM1510" t="s">
        <v>565</v>
      </c>
      <c r="AN1510">
        <v>-116.88283699999999</v>
      </c>
      <c r="AO1510">
        <v>25</v>
      </c>
      <c r="AP1510">
        <v>2600</v>
      </c>
      <c r="AQ1510" t="s">
        <v>129</v>
      </c>
      <c r="AR1510">
        <v>99</v>
      </c>
      <c r="AS1510">
        <v>-70</v>
      </c>
      <c r="AT1510">
        <v>256</v>
      </c>
      <c r="BB1510">
        <v>1200</v>
      </c>
      <c r="BC1510">
        <v>1</v>
      </c>
      <c r="BD1510" t="str">
        <f t="shared" si="515"/>
        <v xml:space="preserve">N887QR  </v>
      </c>
      <c r="BE1510">
        <v>1</v>
      </c>
      <c r="BG1510">
        <v>0</v>
      </c>
      <c r="BH1510">
        <v>0</v>
      </c>
      <c r="BI1510">
        <v>0</v>
      </c>
      <c r="BJ1510">
        <v>2300</v>
      </c>
      <c r="BK1510">
        <v>-300</v>
      </c>
      <c r="BL1510" t="s">
        <v>163</v>
      </c>
      <c r="BM1510">
        <v>1</v>
      </c>
      <c r="BN1510">
        <v>1</v>
      </c>
      <c r="BO1510">
        <v>1</v>
      </c>
      <c r="BP1510">
        <v>0</v>
      </c>
      <c r="BS1510">
        <v>0</v>
      </c>
      <c r="BT1510">
        <v>0</v>
      </c>
      <c r="BU1510">
        <v>0</v>
      </c>
      <c r="CE1510" t="str">
        <f t="shared" si="525"/>
        <v>19:29:33.312</v>
      </c>
      <c r="CF1510">
        <v>311711582</v>
      </c>
      <c r="CS1510">
        <v>3</v>
      </c>
      <c r="CT1510">
        <v>2</v>
      </c>
      <c r="CU1510">
        <v>0</v>
      </c>
      <c r="CV1510">
        <v>2</v>
      </c>
      <c r="CW1510">
        <v>0</v>
      </c>
      <c r="CX1510">
        <v>6</v>
      </c>
      <c r="CY1510">
        <v>7</v>
      </c>
      <c r="CZ1510" t="s">
        <v>131</v>
      </c>
      <c r="DA1510">
        <v>300</v>
      </c>
      <c r="DB1510">
        <v>0</v>
      </c>
      <c r="DC1510" t="s">
        <v>176</v>
      </c>
      <c r="DD1510" t="s">
        <v>177</v>
      </c>
      <c r="DG1510">
        <v>5388218</v>
      </c>
      <c r="DI1510">
        <v>1</v>
      </c>
      <c r="DJ1510">
        <v>0</v>
      </c>
      <c r="DK1510">
        <v>1</v>
      </c>
      <c r="DL1510">
        <v>0</v>
      </c>
      <c r="DM1510">
        <v>0</v>
      </c>
      <c r="DN1510">
        <v>1</v>
      </c>
      <c r="DO1510">
        <v>0</v>
      </c>
      <c r="DP1510">
        <v>0</v>
      </c>
      <c r="DQ1510">
        <v>0</v>
      </c>
      <c r="DR1510">
        <v>0</v>
      </c>
      <c r="DS1510">
        <v>0</v>
      </c>
    </row>
    <row r="1511" spans="1:123" x14ac:dyDescent="0.3">
      <c r="A1511" t="str">
        <f>"10/04/2022 19:29:33.556"</f>
        <v>10/04/2022 19:29:33.556</v>
      </c>
      <c r="C1511" t="str">
        <f t="shared" si="518"/>
        <v>FFDFD3C0</v>
      </c>
      <c r="D1511" t="s">
        <v>134</v>
      </c>
      <c r="E1511">
        <v>15</v>
      </c>
      <c r="J1511" t="s">
        <v>135</v>
      </c>
      <c r="K1511">
        <v>0</v>
      </c>
      <c r="L1511">
        <v>3</v>
      </c>
      <c r="M1511">
        <v>0</v>
      </c>
      <c r="N1511">
        <v>2</v>
      </c>
      <c r="O1511">
        <v>0</v>
      </c>
      <c r="P1511">
        <v>1</v>
      </c>
      <c r="Q1511">
        <v>0</v>
      </c>
      <c r="S1511" t="str">
        <f t="shared" si="524"/>
        <v>19:29:33.000</v>
      </c>
      <c r="T1511" t="str">
        <f t="shared" si="524"/>
        <v>19:29:33.000</v>
      </c>
      <c r="U1511" t="str">
        <f t="shared" si="514"/>
        <v>AC3944</v>
      </c>
      <c r="V1511">
        <v>0</v>
      </c>
      <c r="W1511">
        <v>0</v>
      </c>
      <c r="X1511">
        <v>2</v>
      </c>
      <c r="Y1511">
        <v>0</v>
      </c>
      <c r="AA1511">
        <v>1</v>
      </c>
      <c r="AB1511">
        <v>8</v>
      </c>
      <c r="AC1511">
        <v>3</v>
      </c>
      <c r="AD1511">
        <v>0</v>
      </c>
      <c r="AE1511">
        <v>9</v>
      </c>
      <c r="AF1511" t="s">
        <v>138</v>
      </c>
      <c r="AG1511">
        <v>0</v>
      </c>
      <c r="AH1511">
        <v>3</v>
      </c>
      <c r="AI1511">
        <v>1</v>
      </c>
      <c r="AJ1511">
        <v>0</v>
      </c>
      <c r="AK1511" t="s">
        <v>564</v>
      </c>
      <c r="AL1511">
        <v>32.798029999999997</v>
      </c>
      <c r="AM1511" t="s">
        <v>565</v>
      </c>
      <c r="AN1511">
        <v>-116.88283699999999</v>
      </c>
      <c r="AO1511">
        <v>25</v>
      </c>
      <c r="AP1511">
        <v>2600</v>
      </c>
      <c r="AQ1511" t="s">
        <v>129</v>
      </c>
      <c r="AR1511">
        <v>99</v>
      </c>
      <c r="AS1511">
        <v>-70</v>
      </c>
      <c r="AT1511">
        <v>256</v>
      </c>
      <c r="BB1511">
        <v>1200</v>
      </c>
      <c r="BC1511">
        <v>1</v>
      </c>
      <c r="BD1511" t="str">
        <f t="shared" si="515"/>
        <v xml:space="preserve">N887QR  </v>
      </c>
      <c r="BE1511">
        <v>1</v>
      </c>
      <c r="BG1511">
        <v>0</v>
      </c>
      <c r="BH1511">
        <v>0</v>
      </c>
      <c r="BI1511">
        <v>0</v>
      </c>
      <c r="BJ1511">
        <v>2300</v>
      </c>
      <c r="BK1511">
        <v>-300</v>
      </c>
      <c r="BL1511" t="s">
        <v>163</v>
      </c>
      <c r="BM1511">
        <v>1</v>
      </c>
      <c r="BN1511">
        <v>1</v>
      </c>
      <c r="BO1511">
        <v>1</v>
      </c>
      <c r="BP1511">
        <v>0</v>
      </c>
      <c r="BS1511">
        <v>0</v>
      </c>
      <c r="BT1511">
        <v>0</v>
      </c>
      <c r="BU1511">
        <v>0</v>
      </c>
      <c r="CE1511" t="str">
        <f t="shared" si="525"/>
        <v>19:29:33.312</v>
      </c>
      <c r="CF1511">
        <v>311711582</v>
      </c>
      <c r="CS1511">
        <v>3</v>
      </c>
      <c r="CT1511">
        <v>2</v>
      </c>
      <c r="CU1511">
        <v>0</v>
      </c>
      <c r="CV1511">
        <v>2</v>
      </c>
      <c r="CW1511">
        <v>0</v>
      </c>
      <c r="CX1511">
        <v>6</v>
      </c>
      <c r="CY1511">
        <v>7</v>
      </c>
      <c r="CZ1511" t="s">
        <v>131</v>
      </c>
      <c r="DA1511">
        <v>300</v>
      </c>
      <c r="DB1511">
        <v>0</v>
      </c>
      <c r="DC1511" t="s">
        <v>176</v>
      </c>
      <c r="DD1511" t="s">
        <v>177</v>
      </c>
      <c r="DG1511">
        <v>5388218</v>
      </c>
      <c r="DI1511">
        <v>1</v>
      </c>
      <c r="DJ1511">
        <v>0</v>
      </c>
      <c r="DK1511">
        <v>1</v>
      </c>
      <c r="DL1511">
        <v>0</v>
      </c>
      <c r="DM1511">
        <v>0</v>
      </c>
      <c r="DN1511">
        <v>1</v>
      </c>
      <c r="DO1511">
        <v>0</v>
      </c>
      <c r="DP1511">
        <v>0</v>
      </c>
      <c r="DQ1511">
        <v>0</v>
      </c>
      <c r="DR1511">
        <v>0</v>
      </c>
      <c r="DS1511">
        <v>0</v>
      </c>
    </row>
    <row r="1512" spans="1:123" x14ac:dyDescent="0.3">
      <c r="A1512" t="str">
        <f>"10/04/2022 19:29:33.556"</f>
        <v>10/04/2022 19:29:33.556</v>
      </c>
      <c r="C1512" t="str">
        <f t="shared" ref="C1512:C1519" si="526">"FFDFD3C0"</f>
        <v>FFDFD3C0</v>
      </c>
      <c r="D1512" t="s">
        <v>123</v>
      </c>
      <c r="E1512">
        <v>7</v>
      </c>
      <c r="F1512">
        <v>2007</v>
      </c>
      <c r="G1512" t="s">
        <v>124</v>
      </c>
      <c r="J1512" t="s">
        <v>125</v>
      </c>
      <c r="K1512">
        <v>0</v>
      </c>
      <c r="L1512">
        <v>3</v>
      </c>
      <c r="M1512">
        <v>0</v>
      </c>
      <c r="N1512">
        <v>2</v>
      </c>
      <c r="O1512">
        <v>0</v>
      </c>
      <c r="P1512">
        <v>1</v>
      </c>
      <c r="Q1512">
        <v>0</v>
      </c>
      <c r="S1512" t="str">
        <f t="shared" si="524"/>
        <v>19:29:33.000</v>
      </c>
      <c r="T1512" t="str">
        <f t="shared" si="524"/>
        <v>19:29:33.000</v>
      </c>
      <c r="U1512" t="str">
        <f t="shared" si="514"/>
        <v>AC3944</v>
      </c>
      <c r="V1512">
        <v>0</v>
      </c>
      <c r="W1512">
        <v>0</v>
      </c>
      <c r="X1512">
        <v>2</v>
      </c>
      <c r="Y1512">
        <v>0</v>
      </c>
      <c r="AA1512">
        <v>1</v>
      </c>
      <c r="AB1512">
        <v>8</v>
      </c>
      <c r="AC1512">
        <v>3</v>
      </c>
      <c r="AD1512">
        <v>0</v>
      </c>
      <c r="AE1512">
        <v>9</v>
      </c>
      <c r="AF1512" t="s">
        <v>138</v>
      </c>
      <c r="AG1512">
        <v>0</v>
      </c>
      <c r="AH1512">
        <v>3</v>
      </c>
      <c r="AI1512">
        <v>1</v>
      </c>
      <c r="AJ1512">
        <v>0</v>
      </c>
      <c r="AK1512" t="s">
        <v>564</v>
      </c>
      <c r="AL1512">
        <v>32.798029999999997</v>
      </c>
      <c r="AM1512" t="s">
        <v>565</v>
      </c>
      <c r="AN1512">
        <v>-116.88283699999999</v>
      </c>
      <c r="AO1512">
        <v>25</v>
      </c>
      <c r="AP1512">
        <v>2600</v>
      </c>
      <c r="AQ1512" t="s">
        <v>129</v>
      </c>
      <c r="AR1512">
        <v>99</v>
      </c>
      <c r="AS1512">
        <v>-70</v>
      </c>
      <c r="AT1512">
        <v>256</v>
      </c>
      <c r="BB1512">
        <v>1200</v>
      </c>
      <c r="BC1512">
        <v>1</v>
      </c>
      <c r="BD1512" t="str">
        <f t="shared" si="515"/>
        <v xml:space="preserve">N887QR  </v>
      </c>
      <c r="BE1512">
        <v>1</v>
      </c>
      <c r="BG1512">
        <v>0</v>
      </c>
      <c r="BH1512">
        <v>0</v>
      </c>
      <c r="BI1512">
        <v>0</v>
      </c>
      <c r="BJ1512">
        <v>2300</v>
      </c>
      <c r="BK1512">
        <v>-300</v>
      </c>
      <c r="BL1512" t="s">
        <v>163</v>
      </c>
      <c r="BM1512">
        <v>1</v>
      </c>
      <c r="BN1512">
        <v>1</v>
      </c>
      <c r="BO1512">
        <v>1</v>
      </c>
      <c r="BP1512">
        <v>0</v>
      </c>
      <c r="BS1512">
        <v>0</v>
      </c>
      <c r="BT1512">
        <v>0</v>
      </c>
      <c r="BU1512">
        <v>0</v>
      </c>
      <c r="CE1512" t="str">
        <f t="shared" si="525"/>
        <v>19:29:33.312</v>
      </c>
      <c r="CF1512">
        <v>311711582</v>
      </c>
      <c r="CS1512">
        <v>3</v>
      </c>
      <c r="CT1512">
        <v>2</v>
      </c>
      <c r="CU1512">
        <v>0</v>
      </c>
      <c r="CV1512">
        <v>2</v>
      </c>
      <c r="CW1512">
        <v>0</v>
      </c>
      <c r="CX1512">
        <v>6</v>
      </c>
      <c r="CY1512">
        <v>7</v>
      </c>
      <c r="CZ1512" t="s">
        <v>131</v>
      </c>
      <c r="DA1512">
        <v>300</v>
      </c>
      <c r="DB1512">
        <v>0</v>
      </c>
      <c r="DC1512" t="s">
        <v>176</v>
      </c>
      <c r="DD1512" t="s">
        <v>177</v>
      </c>
      <c r="DG1512">
        <v>5388218</v>
      </c>
      <c r="DI1512">
        <v>1</v>
      </c>
      <c r="DJ1512">
        <v>0</v>
      </c>
      <c r="DK1512">
        <v>1</v>
      </c>
      <c r="DL1512">
        <v>0</v>
      </c>
      <c r="DM1512">
        <v>0</v>
      </c>
      <c r="DN1512">
        <v>1</v>
      </c>
      <c r="DO1512">
        <v>0</v>
      </c>
      <c r="DP1512">
        <v>0</v>
      </c>
      <c r="DQ1512">
        <v>0</v>
      </c>
      <c r="DR1512">
        <v>0</v>
      </c>
      <c r="DS1512">
        <v>0</v>
      </c>
    </row>
    <row r="1513" spans="1:123" x14ac:dyDescent="0.3">
      <c r="A1513" t="str">
        <f>"10/04/2022 19:29:34.056"</f>
        <v>10/04/2022 19:29:34.056</v>
      </c>
      <c r="C1513" t="str">
        <f t="shared" si="526"/>
        <v>FFDFD3C0</v>
      </c>
      <c r="D1513" t="s">
        <v>123</v>
      </c>
      <c r="E1513">
        <v>7</v>
      </c>
      <c r="F1513">
        <v>2007</v>
      </c>
      <c r="G1513" t="s">
        <v>124</v>
      </c>
      <c r="J1513" t="s">
        <v>125</v>
      </c>
      <c r="K1513">
        <v>0</v>
      </c>
      <c r="L1513">
        <v>3</v>
      </c>
      <c r="M1513">
        <v>0</v>
      </c>
      <c r="N1513">
        <v>2</v>
      </c>
      <c r="O1513">
        <v>0</v>
      </c>
      <c r="P1513">
        <v>1</v>
      </c>
      <c r="Q1513">
        <v>0</v>
      </c>
      <c r="S1513" t="str">
        <f t="shared" si="524"/>
        <v>19:29:33.000</v>
      </c>
      <c r="T1513" t="str">
        <f t="shared" si="524"/>
        <v>19:29:33.000</v>
      </c>
      <c r="U1513" t="str">
        <f t="shared" si="514"/>
        <v>AC3944</v>
      </c>
      <c r="V1513">
        <v>0</v>
      </c>
      <c r="W1513">
        <v>0</v>
      </c>
      <c r="X1513">
        <v>2</v>
      </c>
      <c r="Y1513">
        <v>0</v>
      </c>
      <c r="AA1513">
        <v>1</v>
      </c>
      <c r="AB1513">
        <v>8</v>
      </c>
      <c r="AC1513">
        <v>3</v>
      </c>
      <c r="AD1513">
        <v>0</v>
      </c>
      <c r="AE1513">
        <v>9</v>
      </c>
      <c r="AF1513" t="s">
        <v>138</v>
      </c>
      <c r="AG1513">
        <v>0</v>
      </c>
      <c r="AH1513">
        <v>3</v>
      </c>
      <c r="AI1513">
        <v>1</v>
      </c>
      <c r="AJ1513">
        <v>0</v>
      </c>
      <c r="AK1513" t="s">
        <v>566</v>
      </c>
      <c r="AL1513">
        <v>32.797708999999998</v>
      </c>
      <c r="AM1513" t="s">
        <v>567</v>
      </c>
      <c r="AN1513">
        <v>-116.882279</v>
      </c>
      <c r="AO1513">
        <v>25</v>
      </c>
      <c r="AP1513">
        <v>2600</v>
      </c>
      <c r="AQ1513" t="s">
        <v>129</v>
      </c>
      <c r="AR1513">
        <v>99</v>
      </c>
      <c r="AS1513">
        <v>-70</v>
      </c>
      <c r="AT1513">
        <v>256</v>
      </c>
      <c r="BB1513">
        <v>1200</v>
      </c>
      <c r="BC1513">
        <v>1</v>
      </c>
      <c r="BD1513" t="str">
        <f t="shared" si="515"/>
        <v xml:space="preserve">N887QR  </v>
      </c>
      <c r="BE1513">
        <v>1</v>
      </c>
      <c r="BG1513">
        <v>0</v>
      </c>
      <c r="BH1513">
        <v>0</v>
      </c>
      <c r="BI1513">
        <v>0</v>
      </c>
      <c r="BJ1513">
        <v>2300</v>
      </c>
      <c r="BK1513">
        <v>-300</v>
      </c>
      <c r="BL1513" t="s">
        <v>163</v>
      </c>
      <c r="BM1513">
        <v>1</v>
      </c>
      <c r="BN1513">
        <v>1</v>
      </c>
      <c r="BO1513">
        <v>1</v>
      </c>
      <c r="BP1513">
        <v>0</v>
      </c>
      <c r="BS1513">
        <v>0</v>
      </c>
      <c r="BT1513">
        <v>0</v>
      </c>
      <c r="BU1513">
        <v>0</v>
      </c>
      <c r="CE1513" t="str">
        <f t="shared" ref="CE1513:CE1519" si="527">"19:29:33.854"</f>
        <v>19:29:33.854</v>
      </c>
      <c r="CF1513">
        <v>854456516</v>
      </c>
      <c r="CS1513">
        <v>3</v>
      </c>
      <c r="CT1513">
        <v>2</v>
      </c>
      <c r="CU1513">
        <v>0</v>
      </c>
      <c r="CV1513">
        <v>2</v>
      </c>
      <c r="CW1513">
        <v>0</v>
      </c>
      <c r="CX1513">
        <v>5</v>
      </c>
      <c r="CY1513">
        <v>7</v>
      </c>
      <c r="CZ1513" t="s">
        <v>131</v>
      </c>
      <c r="DA1513">
        <v>286</v>
      </c>
      <c r="DB1513">
        <v>0</v>
      </c>
      <c r="DC1513" t="s">
        <v>132</v>
      </c>
      <c r="DD1513" t="s">
        <v>133</v>
      </c>
      <c r="DG1513">
        <v>821169</v>
      </c>
      <c r="DI1513">
        <v>1</v>
      </c>
      <c r="DJ1513">
        <v>0</v>
      </c>
      <c r="DK1513">
        <v>0</v>
      </c>
      <c r="DL1513">
        <v>0</v>
      </c>
      <c r="DM1513">
        <v>0</v>
      </c>
      <c r="DN1513">
        <v>1</v>
      </c>
      <c r="DO1513">
        <v>0</v>
      </c>
      <c r="DP1513">
        <v>0</v>
      </c>
      <c r="DQ1513">
        <v>0</v>
      </c>
      <c r="DR1513">
        <v>0</v>
      </c>
      <c r="DS1513">
        <v>0</v>
      </c>
    </row>
    <row r="1514" spans="1:123" x14ac:dyDescent="0.3">
      <c r="A1514" t="str">
        <f>"10/04/2022 19:29:34.056"</f>
        <v>10/04/2022 19:29:34.056</v>
      </c>
      <c r="C1514" t="str">
        <f t="shared" si="526"/>
        <v>FFDFD3C0</v>
      </c>
      <c r="D1514" t="s">
        <v>134</v>
      </c>
      <c r="E1514">
        <v>15</v>
      </c>
      <c r="J1514" t="s">
        <v>135</v>
      </c>
      <c r="K1514">
        <v>0</v>
      </c>
      <c r="L1514">
        <v>3</v>
      </c>
      <c r="M1514">
        <v>0</v>
      </c>
      <c r="N1514">
        <v>2</v>
      </c>
      <c r="O1514">
        <v>0</v>
      </c>
      <c r="P1514">
        <v>1</v>
      </c>
      <c r="Q1514">
        <v>0</v>
      </c>
      <c r="S1514" t="str">
        <f t="shared" si="524"/>
        <v>19:29:33.000</v>
      </c>
      <c r="T1514" t="str">
        <f t="shared" si="524"/>
        <v>19:29:33.000</v>
      </c>
      <c r="U1514" t="str">
        <f t="shared" si="514"/>
        <v>AC3944</v>
      </c>
      <c r="V1514">
        <v>0</v>
      </c>
      <c r="W1514">
        <v>0</v>
      </c>
      <c r="X1514">
        <v>2</v>
      </c>
      <c r="Y1514">
        <v>0</v>
      </c>
      <c r="AA1514">
        <v>1</v>
      </c>
      <c r="AB1514">
        <v>8</v>
      </c>
      <c r="AC1514">
        <v>3</v>
      </c>
      <c r="AD1514">
        <v>0</v>
      </c>
      <c r="AE1514">
        <v>9</v>
      </c>
      <c r="AF1514" t="s">
        <v>138</v>
      </c>
      <c r="AG1514">
        <v>0</v>
      </c>
      <c r="AH1514">
        <v>3</v>
      </c>
      <c r="AI1514">
        <v>1</v>
      </c>
      <c r="AJ1514">
        <v>0</v>
      </c>
      <c r="AK1514" t="s">
        <v>566</v>
      </c>
      <c r="AL1514">
        <v>32.797708999999998</v>
      </c>
      <c r="AM1514" t="s">
        <v>567</v>
      </c>
      <c r="AN1514">
        <v>-116.882279</v>
      </c>
      <c r="AO1514">
        <v>25</v>
      </c>
      <c r="AP1514">
        <v>2600</v>
      </c>
      <c r="AQ1514" t="s">
        <v>129</v>
      </c>
      <c r="AR1514">
        <v>99</v>
      </c>
      <c r="AS1514">
        <v>-70</v>
      </c>
      <c r="AT1514">
        <v>256</v>
      </c>
      <c r="BB1514">
        <v>1200</v>
      </c>
      <c r="BC1514">
        <v>1</v>
      </c>
      <c r="BD1514" t="str">
        <f t="shared" si="515"/>
        <v xml:space="preserve">N887QR  </v>
      </c>
      <c r="BE1514">
        <v>1</v>
      </c>
      <c r="BG1514">
        <v>0</v>
      </c>
      <c r="BH1514">
        <v>0</v>
      </c>
      <c r="BI1514">
        <v>0</v>
      </c>
      <c r="BJ1514">
        <v>2300</v>
      </c>
      <c r="BK1514">
        <v>-300</v>
      </c>
      <c r="BL1514" t="s">
        <v>163</v>
      </c>
      <c r="BM1514">
        <v>1</v>
      </c>
      <c r="BN1514">
        <v>1</v>
      </c>
      <c r="BO1514">
        <v>1</v>
      </c>
      <c r="BP1514">
        <v>0</v>
      </c>
      <c r="BS1514">
        <v>0</v>
      </c>
      <c r="BT1514">
        <v>0</v>
      </c>
      <c r="BU1514">
        <v>0</v>
      </c>
      <c r="CE1514" t="str">
        <f t="shared" si="527"/>
        <v>19:29:33.854</v>
      </c>
      <c r="CF1514">
        <v>854456516</v>
      </c>
      <c r="CS1514">
        <v>3</v>
      </c>
      <c r="CT1514">
        <v>2</v>
      </c>
      <c r="CU1514">
        <v>0</v>
      </c>
      <c r="CV1514">
        <v>2</v>
      </c>
      <c r="CW1514">
        <v>0</v>
      </c>
      <c r="CX1514">
        <v>5</v>
      </c>
      <c r="CY1514">
        <v>7</v>
      </c>
      <c r="CZ1514" t="s">
        <v>131</v>
      </c>
      <c r="DA1514">
        <v>286</v>
      </c>
      <c r="DB1514">
        <v>0</v>
      </c>
      <c r="DC1514" t="s">
        <v>132</v>
      </c>
      <c r="DD1514" t="s">
        <v>133</v>
      </c>
      <c r="DG1514">
        <v>821169</v>
      </c>
      <c r="DI1514">
        <v>1</v>
      </c>
      <c r="DJ1514">
        <v>0</v>
      </c>
      <c r="DK1514">
        <v>1</v>
      </c>
      <c r="DL1514">
        <v>0</v>
      </c>
      <c r="DM1514">
        <v>0</v>
      </c>
      <c r="DN1514">
        <v>1</v>
      </c>
      <c r="DO1514">
        <v>0</v>
      </c>
      <c r="DP1514">
        <v>0</v>
      </c>
      <c r="DQ1514">
        <v>0</v>
      </c>
      <c r="DR1514">
        <v>0</v>
      </c>
      <c r="DS1514">
        <v>0</v>
      </c>
    </row>
    <row r="1515" spans="1:123" x14ac:dyDescent="0.3">
      <c r="A1515" t="str">
        <f>"10/04/2022 19:29:34.056"</f>
        <v>10/04/2022 19:29:34.056</v>
      </c>
      <c r="C1515" t="str">
        <f t="shared" si="526"/>
        <v>FFDFD3C0</v>
      </c>
      <c r="D1515" t="s">
        <v>136</v>
      </c>
      <c r="E1515">
        <v>8</v>
      </c>
      <c r="H1515">
        <v>225</v>
      </c>
      <c r="I1515" t="s">
        <v>137</v>
      </c>
      <c r="J1515" t="s">
        <v>138</v>
      </c>
      <c r="K1515">
        <v>0</v>
      </c>
      <c r="L1515">
        <v>3</v>
      </c>
      <c r="M1515">
        <v>0</v>
      </c>
      <c r="N1515">
        <v>2</v>
      </c>
      <c r="O1515">
        <v>0</v>
      </c>
      <c r="P1515">
        <v>1</v>
      </c>
      <c r="Q1515">
        <v>0</v>
      </c>
      <c r="S1515" t="str">
        <f t="shared" si="524"/>
        <v>19:29:33.000</v>
      </c>
      <c r="T1515" t="str">
        <f t="shared" si="524"/>
        <v>19:29:33.000</v>
      </c>
      <c r="U1515" t="str">
        <f t="shared" si="514"/>
        <v>AC3944</v>
      </c>
      <c r="V1515">
        <v>0</v>
      </c>
      <c r="W1515">
        <v>0</v>
      </c>
      <c r="X1515">
        <v>2</v>
      </c>
      <c r="Y1515">
        <v>0</v>
      </c>
      <c r="AA1515">
        <v>1</v>
      </c>
      <c r="AB1515">
        <v>8</v>
      </c>
      <c r="AC1515">
        <v>3</v>
      </c>
      <c r="AD1515">
        <v>0</v>
      </c>
      <c r="AE1515">
        <v>9</v>
      </c>
      <c r="AF1515" t="s">
        <v>138</v>
      </c>
      <c r="AG1515">
        <v>0</v>
      </c>
      <c r="AH1515">
        <v>3</v>
      </c>
      <c r="AI1515">
        <v>1</v>
      </c>
      <c r="AJ1515">
        <v>0</v>
      </c>
      <c r="AK1515" t="s">
        <v>566</v>
      </c>
      <c r="AL1515">
        <v>32.797708999999998</v>
      </c>
      <c r="AM1515" t="s">
        <v>567</v>
      </c>
      <c r="AN1515">
        <v>-116.882279</v>
      </c>
      <c r="AO1515">
        <v>25</v>
      </c>
      <c r="AP1515">
        <v>2600</v>
      </c>
      <c r="AQ1515" t="s">
        <v>129</v>
      </c>
      <c r="AR1515">
        <v>99</v>
      </c>
      <c r="AS1515">
        <v>-70</v>
      </c>
      <c r="AT1515">
        <v>256</v>
      </c>
      <c r="BB1515">
        <v>1200</v>
      </c>
      <c r="BC1515">
        <v>1</v>
      </c>
      <c r="BD1515" t="str">
        <f t="shared" si="515"/>
        <v xml:space="preserve">N887QR  </v>
      </c>
      <c r="BE1515">
        <v>1</v>
      </c>
      <c r="BG1515">
        <v>0</v>
      </c>
      <c r="BH1515">
        <v>0</v>
      </c>
      <c r="BI1515">
        <v>0</v>
      </c>
      <c r="BJ1515">
        <v>2300</v>
      </c>
      <c r="BK1515">
        <v>-300</v>
      </c>
      <c r="BL1515" t="s">
        <v>163</v>
      </c>
      <c r="BM1515">
        <v>1</v>
      </c>
      <c r="BN1515">
        <v>1</v>
      </c>
      <c r="BO1515">
        <v>1</v>
      </c>
      <c r="BP1515">
        <v>0</v>
      </c>
      <c r="BS1515">
        <v>0</v>
      </c>
      <c r="BT1515">
        <v>0</v>
      </c>
      <c r="BU1515">
        <v>0</v>
      </c>
      <c r="CE1515" t="str">
        <f t="shared" si="527"/>
        <v>19:29:33.854</v>
      </c>
      <c r="CF1515">
        <v>854456516</v>
      </c>
      <c r="CS1515">
        <v>3</v>
      </c>
      <c r="CT1515">
        <v>2</v>
      </c>
      <c r="CU1515">
        <v>0</v>
      </c>
      <c r="CV1515">
        <v>2</v>
      </c>
      <c r="CW1515">
        <v>0</v>
      </c>
      <c r="CX1515">
        <v>5</v>
      </c>
      <c r="CY1515">
        <v>7</v>
      </c>
      <c r="CZ1515" t="s">
        <v>131</v>
      </c>
      <c r="DA1515">
        <v>286</v>
      </c>
      <c r="DB1515">
        <v>0</v>
      </c>
      <c r="DC1515" t="s">
        <v>132</v>
      </c>
      <c r="DD1515" t="s">
        <v>133</v>
      </c>
      <c r="DG1515">
        <v>821169</v>
      </c>
      <c r="DI1515">
        <v>1</v>
      </c>
      <c r="DJ1515">
        <v>0</v>
      </c>
      <c r="DK1515">
        <v>1</v>
      </c>
      <c r="DL1515">
        <v>0</v>
      </c>
      <c r="DM1515">
        <v>0</v>
      </c>
      <c r="DN1515">
        <v>1</v>
      </c>
      <c r="DO1515">
        <v>0</v>
      </c>
      <c r="DP1515">
        <v>0</v>
      </c>
      <c r="DQ1515">
        <v>0</v>
      </c>
      <c r="DR1515">
        <v>0</v>
      </c>
      <c r="DS1515">
        <v>0</v>
      </c>
    </row>
    <row r="1516" spans="1:123" x14ac:dyDescent="0.3">
      <c r="A1516" t="str">
        <f>"10/04/2022 19:29:34.056"</f>
        <v>10/04/2022 19:29:34.056</v>
      </c>
      <c r="C1516" t="str">
        <f t="shared" si="526"/>
        <v>FFDFD3C0</v>
      </c>
      <c r="D1516" t="s">
        <v>141</v>
      </c>
      <c r="E1516">
        <v>3</v>
      </c>
      <c r="H1516">
        <v>3</v>
      </c>
      <c r="I1516" t="s">
        <v>146</v>
      </c>
      <c r="J1516" t="s">
        <v>138</v>
      </c>
      <c r="K1516">
        <v>0</v>
      </c>
      <c r="L1516">
        <v>3</v>
      </c>
      <c r="M1516">
        <v>0</v>
      </c>
      <c r="N1516">
        <v>2</v>
      </c>
      <c r="O1516">
        <v>0</v>
      </c>
      <c r="P1516">
        <v>1</v>
      </c>
      <c r="Q1516">
        <v>0</v>
      </c>
      <c r="S1516" t="str">
        <f t="shared" si="524"/>
        <v>19:29:33.000</v>
      </c>
      <c r="T1516" t="str">
        <f t="shared" si="524"/>
        <v>19:29:33.000</v>
      </c>
      <c r="U1516" t="str">
        <f t="shared" si="514"/>
        <v>AC3944</v>
      </c>
      <c r="V1516">
        <v>0</v>
      </c>
      <c r="W1516">
        <v>0</v>
      </c>
      <c r="X1516">
        <v>2</v>
      </c>
      <c r="Y1516">
        <v>0</v>
      </c>
      <c r="AA1516">
        <v>1</v>
      </c>
      <c r="AB1516">
        <v>8</v>
      </c>
      <c r="AC1516">
        <v>3</v>
      </c>
      <c r="AD1516">
        <v>0</v>
      </c>
      <c r="AE1516">
        <v>9</v>
      </c>
      <c r="AF1516" t="s">
        <v>138</v>
      </c>
      <c r="AG1516">
        <v>0</v>
      </c>
      <c r="AH1516">
        <v>3</v>
      </c>
      <c r="AI1516">
        <v>1</v>
      </c>
      <c r="AJ1516">
        <v>0</v>
      </c>
      <c r="AK1516" t="s">
        <v>566</v>
      </c>
      <c r="AL1516">
        <v>32.797708999999998</v>
      </c>
      <c r="AM1516" t="s">
        <v>567</v>
      </c>
      <c r="AN1516">
        <v>-116.882279</v>
      </c>
      <c r="AO1516">
        <v>25</v>
      </c>
      <c r="AP1516">
        <v>2600</v>
      </c>
      <c r="AQ1516" t="s">
        <v>129</v>
      </c>
      <c r="AR1516">
        <v>99</v>
      </c>
      <c r="AS1516">
        <v>-70</v>
      </c>
      <c r="AT1516">
        <v>256</v>
      </c>
      <c r="BB1516">
        <v>1200</v>
      </c>
      <c r="BC1516">
        <v>1</v>
      </c>
      <c r="BD1516" t="str">
        <f t="shared" si="515"/>
        <v xml:space="preserve">N887QR  </v>
      </c>
      <c r="BE1516">
        <v>1</v>
      </c>
      <c r="BG1516">
        <v>0</v>
      </c>
      <c r="BH1516">
        <v>0</v>
      </c>
      <c r="BI1516">
        <v>0</v>
      </c>
      <c r="BJ1516">
        <v>2300</v>
      </c>
      <c r="BK1516">
        <v>-300</v>
      </c>
      <c r="BL1516" t="s">
        <v>163</v>
      </c>
      <c r="BM1516">
        <v>1</v>
      </c>
      <c r="BN1516">
        <v>1</v>
      </c>
      <c r="BO1516">
        <v>1</v>
      </c>
      <c r="BP1516">
        <v>0</v>
      </c>
      <c r="BS1516">
        <v>0</v>
      </c>
      <c r="BT1516">
        <v>0</v>
      </c>
      <c r="BU1516">
        <v>0</v>
      </c>
      <c r="CE1516" t="str">
        <f t="shared" si="527"/>
        <v>19:29:33.854</v>
      </c>
      <c r="CF1516">
        <v>854456516</v>
      </c>
      <c r="CS1516">
        <v>3</v>
      </c>
      <c r="CT1516">
        <v>2</v>
      </c>
      <c r="CU1516">
        <v>0</v>
      </c>
      <c r="CV1516">
        <v>2</v>
      </c>
      <c r="CW1516">
        <v>0</v>
      </c>
      <c r="CX1516">
        <v>5</v>
      </c>
      <c r="CY1516">
        <v>7</v>
      </c>
      <c r="CZ1516" t="s">
        <v>131</v>
      </c>
      <c r="DA1516">
        <v>286</v>
      </c>
      <c r="DB1516">
        <v>0</v>
      </c>
      <c r="DC1516" t="s">
        <v>132</v>
      </c>
      <c r="DD1516" t="s">
        <v>133</v>
      </c>
      <c r="DG1516">
        <v>821169</v>
      </c>
      <c r="DI1516">
        <v>1</v>
      </c>
      <c r="DJ1516">
        <v>0</v>
      </c>
      <c r="DK1516">
        <v>1</v>
      </c>
      <c r="DL1516">
        <v>0</v>
      </c>
      <c r="DM1516">
        <v>0</v>
      </c>
      <c r="DN1516">
        <v>1</v>
      </c>
      <c r="DO1516">
        <v>0</v>
      </c>
      <c r="DP1516">
        <v>0</v>
      </c>
      <c r="DQ1516">
        <v>0</v>
      </c>
      <c r="DR1516">
        <v>0</v>
      </c>
      <c r="DS1516">
        <v>0</v>
      </c>
    </row>
    <row r="1517" spans="1:123" x14ac:dyDescent="0.3">
      <c r="A1517" t="str">
        <f>"10/04/2022 19:29:34.056"</f>
        <v>10/04/2022 19:29:34.056</v>
      </c>
      <c r="C1517" t="str">
        <f t="shared" si="526"/>
        <v>FFDFD3C0</v>
      </c>
      <c r="D1517" t="s">
        <v>141</v>
      </c>
      <c r="E1517">
        <v>4</v>
      </c>
      <c r="H1517">
        <v>4</v>
      </c>
      <c r="I1517" t="s">
        <v>142</v>
      </c>
      <c r="J1517" t="s">
        <v>138</v>
      </c>
      <c r="K1517">
        <v>0</v>
      </c>
      <c r="L1517">
        <v>3</v>
      </c>
      <c r="M1517">
        <v>0</v>
      </c>
      <c r="N1517">
        <v>2</v>
      </c>
      <c r="O1517">
        <v>0</v>
      </c>
      <c r="P1517">
        <v>1</v>
      </c>
      <c r="Q1517">
        <v>0</v>
      </c>
      <c r="S1517" t="str">
        <f t="shared" si="524"/>
        <v>19:29:33.000</v>
      </c>
      <c r="T1517" t="str">
        <f t="shared" si="524"/>
        <v>19:29:33.000</v>
      </c>
      <c r="U1517" t="str">
        <f t="shared" si="514"/>
        <v>AC3944</v>
      </c>
      <c r="V1517">
        <v>0</v>
      </c>
      <c r="W1517">
        <v>0</v>
      </c>
      <c r="X1517">
        <v>2</v>
      </c>
      <c r="Y1517">
        <v>0</v>
      </c>
      <c r="AA1517">
        <v>1</v>
      </c>
      <c r="AB1517">
        <v>8</v>
      </c>
      <c r="AC1517">
        <v>3</v>
      </c>
      <c r="AD1517">
        <v>0</v>
      </c>
      <c r="AE1517">
        <v>9</v>
      </c>
      <c r="AF1517" t="s">
        <v>138</v>
      </c>
      <c r="AG1517">
        <v>0</v>
      </c>
      <c r="AH1517">
        <v>3</v>
      </c>
      <c r="AI1517">
        <v>1</v>
      </c>
      <c r="AJ1517">
        <v>0</v>
      </c>
      <c r="AK1517" t="s">
        <v>566</v>
      </c>
      <c r="AL1517">
        <v>32.797708999999998</v>
      </c>
      <c r="AM1517" t="s">
        <v>567</v>
      </c>
      <c r="AN1517">
        <v>-116.882279</v>
      </c>
      <c r="AO1517">
        <v>25</v>
      </c>
      <c r="AP1517">
        <v>2600</v>
      </c>
      <c r="AQ1517" t="s">
        <v>129</v>
      </c>
      <c r="AR1517">
        <v>99</v>
      </c>
      <c r="AS1517">
        <v>-70</v>
      </c>
      <c r="AT1517">
        <v>256</v>
      </c>
      <c r="BB1517">
        <v>1200</v>
      </c>
      <c r="BC1517">
        <v>1</v>
      </c>
      <c r="BD1517" t="str">
        <f t="shared" si="515"/>
        <v xml:space="preserve">N887QR  </v>
      </c>
      <c r="BE1517">
        <v>1</v>
      </c>
      <c r="BG1517">
        <v>0</v>
      </c>
      <c r="BH1517">
        <v>0</v>
      </c>
      <c r="BI1517">
        <v>0</v>
      </c>
      <c r="BJ1517">
        <v>2300</v>
      </c>
      <c r="BK1517">
        <v>-300</v>
      </c>
      <c r="BL1517" t="s">
        <v>163</v>
      </c>
      <c r="BM1517">
        <v>1</v>
      </c>
      <c r="BN1517">
        <v>1</v>
      </c>
      <c r="BO1517">
        <v>1</v>
      </c>
      <c r="BP1517">
        <v>0</v>
      </c>
      <c r="BS1517">
        <v>0</v>
      </c>
      <c r="BT1517">
        <v>0</v>
      </c>
      <c r="BU1517">
        <v>0</v>
      </c>
      <c r="CE1517" t="str">
        <f t="shared" si="527"/>
        <v>19:29:33.854</v>
      </c>
      <c r="CF1517">
        <v>854456516</v>
      </c>
      <c r="CS1517">
        <v>3</v>
      </c>
      <c r="CT1517">
        <v>2</v>
      </c>
      <c r="CU1517">
        <v>0</v>
      </c>
      <c r="CV1517">
        <v>2</v>
      </c>
      <c r="CW1517">
        <v>0</v>
      </c>
      <c r="CX1517">
        <v>5</v>
      </c>
      <c r="CY1517">
        <v>7</v>
      </c>
      <c r="CZ1517" t="s">
        <v>131</v>
      </c>
      <c r="DA1517">
        <v>286</v>
      </c>
      <c r="DB1517">
        <v>0</v>
      </c>
      <c r="DC1517" t="s">
        <v>132</v>
      </c>
      <c r="DD1517" t="s">
        <v>133</v>
      </c>
      <c r="DG1517">
        <v>821169</v>
      </c>
      <c r="DI1517">
        <v>1</v>
      </c>
      <c r="DJ1517">
        <v>0</v>
      </c>
      <c r="DK1517">
        <v>1</v>
      </c>
      <c r="DL1517">
        <v>0</v>
      </c>
      <c r="DM1517">
        <v>0</v>
      </c>
      <c r="DN1517">
        <v>1</v>
      </c>
      <c r="DO1517">
        <v>0</v>
      </c>
      <c r="DP1517">
        <v>0</v>
      </c>
      <c r="DQ1517">
        <v>0</v>
      </c>
      <c r="DR1517">
        <v>0</v>
      </c>
      <c r="DS1517">
        <v>0</v>
      </c>
    </row>
    <row r="1518" spans="1:123" x14ac:dyDescent="0.3">
      <c r="A1518" t="str">
        <f>"10/04/2022 19:29:34.103"</f>
        <v>10/04/2022 19:29:34.103</v>
      </c>
      <c r="C1518" t="str">
        <f t="shared" si="526"/>
        <v>FFDFD3C0</v>
      </c>
      <c r="D1518" t="s">
        <v>143</v>
      </c>
      <c r="E1518">
        <v>20</v>
      </c>
      <c r="F1518">
        <v>1020</v>
      </c>
      <c r="G1518" t="s">
        <v>144</v>
      </c>
      <c r="J1518" t="s">
        <v>145</v>
      </c>
      <c r="K1518">
        <v>0</v>
      </c>
      <c r="L1518">
        <v>3</v>
      </c>
      <c r="M1518">
        <v>0</v>
      </c>
      <c r="N1518">
        <v>2</v>
      </c>
      <c r="O1518">
        <v>0</v>
      </c>
      <c r="P1518">
        <v>1</v>
      </c>
      <c r="Q1518">
        <v>0</v>
      </c>
      <c r="S1518" t="str">
        <f t="shared" si="524"/>
        <v>19:29:33.000</v>
      </c>
      <c r="T1518" t="str">
        <f t="shared" si="524"/>
        <v>19:29:33.000</v>
      </c>
      <c r="U1518" t="str">
        <f t="shared" si="514"/>
        <v>AC3944</v>
      </c>
      <c r="V1518">
        <v>0</v>
      </c>
      <c r="W1518">
        <v>0</v>
      </c>
      <c r="X1518">
        <v>2</v>
      </c>
      <c r="Y1518">
        <v>0</v>
      </c>
      <c r="AA1518">
        <v>1</v>
      </c>
      <c r="AB1518">
        <v>8</v>
      </c>
      <c r="AC1518">
        <v>3</v>
      </c>
      <c r="AD1518">
        <v>0</v>
      </c>
      <c r="AE1518">
        <v>9</v>
      </c>
      <c r="AF1518" t="s">
        <v>138</v>
      </c>
      <c r="AG1518">
        <v>0</v>
      </c>
      <c r="AH1518">
        <v>3</v>
      </c>
      <c r="AI1518">
        <v>1</v>
      </c>
      <c r="AJ1518">
        <v>0</v>
      </c>
      <c r="AK1518" t="s">
        <v>566</v>
      </c>
      <c r="AL1518">
        <v>32.797708999999998</v>
      </c>
      <c r="AM1518" t="s">
        <v>567</v>
      </c>
      <c r="AN1518">
        <v>-116.882279</v>
      </c>
      <c r="AO1518">
        <v>25</v>
      </c>
      <c r="AP1518">
        <v>2600</v>
      </c>
      <c r="AQ1518" t="s">
        <v>129</v>
      </c>
      <c r="AR1518">
        <v>99</v>
      </c>
      <c r="AS1518">
        <v>-70</v>
      </c>
      <c r="AT1518">
        <v>256</v>
      </c>
      <c r="BB1518">
        <v>1200</v>
      </c>
      <c r="BC1518">
        <v>1</v>
      </c>
      <c r="BD1518" t="str">
        <f t="shared" si="515"/>
        <v xml:space="preserve">N887QR  </v>
      </c>
      <c r="BE1518">
        <v>1</v>
      </c>
      <c r="BG1518">
        <v>0</v>
      </c>
      <c r="BH1518">
        <v>0</v>
      </c>
      <c r="BI1518">
        <v>0</v>
      </c>
      <c r="BJ1518">
        <v>2300</v>
      </c>
      <c r="BK1518">
        <v>-300</v>
      </c>
      <c r="BL1518" t="s">
        <v>163</v>
      </c>
      <c r="BM1518">
        <v>1</v>
      </c>
      <c r="BN1518">
        <v>1</v>
      </c>
      <c r="BO1518">
        <v>1</v>
      </c>
      <c r="BP1518">
        <v>0</v>
      </c>
      <c r="BS1518">
        <v>0</v>
      </c>
      <c r="BT1518">
        <v>0</v>
      </c>
      <c r="BU1518">
        <v>0</v>
      </c>
      <c r="CE1518" t="str">
        <f t="shared" si="527"/>
        <v>19:29:33.854</v>
      </c>
      <c r="CF1518">
        <v>854456516</v>
      </c>
      <c r="CS1518">
        <v>3</v>
      </c>
      <c r="CT1518">
        <v>2</v>
      </c>
      <c r="CU1518">
        <v>0</v>
      </c>
      <c r="CV1518">
        <v>2</v>
      </c>
      <c r="CW1518">
        <v>0</v>
      </c>
      <c r="CX1518">
        <v>5</v>
      </c>
      <c r="CY1518">
        <v>7</v>
      </c>
      <c r="CZ1518" t="s">
        <v>131</v>
      </c>
      <c r="DA1518">
        <v>286</v>
      </c>
      <c r="DB1518">
        <v>0</v>
      </c>
      <c r="DC1518" t="s">
        <v>132</v>
      </c>
      <c r="DD1518" t="s">
        <v>133</v>
      </c>
      <c r="DG1518">
        <v>821169</v>
      </c>
      <c r="DI1518">
        <v>1</v>
      </c>
      <c r="DJ1518">
        <v>0</v>
      </c>
      <c r="DK1518">
        <v>1</v>
      </c>
      <c r="DL1518">
        <v>0</v>
      </c>
      <c r="DM1518">
        <v>0</v>
      </c>
      <c r="DN1518">
        <v>1</v>
      </c>
      <c r="DO1518">
        <v>0</v>
      </c>
      <c r="DP1518">
        <v>0</v>
      </c>
      <c r="DQ1518">
        <v>0</v>
      </c>
      <c r="DR1518">
        <v>0</v>
      </c>
      <c r="DS1518">
        <v>0</v>
      </c>
    </row>
    <row r="1519" spans="1:123" x14ac:dyDescent="0.3">
      <c r="A1519" t="str">
        <f>"10/04/2022 19:29:34.103"</f>
        <v>10/04/2022 19:29:34.103</v>
      </c>
      <c r="C1519" t="str">
        <f t="shared" si="526"/>
        <v>FFDFD3C0</v>
      </c>
      <c r="D1519" t="s">
        <v>147</v>
      </c>
      <c r="E1519">
        <v>3</v>
      </c>
      <c r="H1519">
        <v>166</v>
      </c>
      <c r="I1519" t="s">
        <v>144</v>
      </c>
      <c r="J1519" t="s">
        <v>148</v>
      </c>
      <c r="K1519">
        <v>0</v>
      </c>
      <c r="L1519">
        <v>3</v>
      </c>
      <c r="M1519">
        <v>0</v>
      </c>
      <c r="N1519">
        <v>2</v>
      </c>
      <c r="O1519">
        <v>0</v>
      </c>
      <c r="P1519">
        <v>1</v>
      </c>
      <c r="Q1519">
        <v>0</v>
      </c>
      <c r="S1519" t="str">
        <f t="shared" si="524"/>
        <v>19:29:33.000</v>
      </c>
      <c r="T1519" t="str">
        <f t="shared" si="524"/>
        <v>19:29:33.000</v>
      </c>
      <c r="U1519" t="str">
        <f t="shared" si="514"/>
        <v>AC3944</v>
      </c>
      <c r="V1519">
        <v>0</v>
      </c>
      <c r="W1519">
        <v>0</v>
      </c>
      <c r="X1519">
        <v>2</v>
      </c>
      <c r="Y1519">
        <v>0</v>
      </c>
      <c r="AA1519">
        <v>1</v>
      </c>
      <c r="AB1519">
        <v>8</v>
      </c>
      <c r="AC1519">
        <v>3</v>
      </c>
      <c r="AD1519">
        <v>0</v>
      </c>
      <c r="AE1519">
        <v>9</v>
      </c>
      <c r="AF1519" t="s">
        <v>138</v>
      </c>
      <c r="AG1519">
        <v>0</v>
      </c>
      <c r="AH1519">
        <v>3</v>
      </c>
      <c r="AI1519">
        <v>1</v>
      </c>
      <c r="AJ1519">
        <v>0</v>
      </c>
      <c r="AK1519" t="s">
        <v>566</v>
      </c>
      <c r="AL1519">
        <v>32.797708999999998</v>
      </c>
      <c r="AM1519" t="s">
        <v>567</v>
      </c>
      <c r="AN1519">
        <v>-116.882279</v>
      </c>
      <c r="AO1519">
        <v>25</v>
      </c>
      <c r="AP1519">
        <v>2600</v>
      </c>
      <c r="AQ1519" t="s">
        <v>129</v>
      </c>
      <c r="AR1519">
        <v>99</v>
      </c>
      <c r="AS1519">
        <v>-70</v>
      </c>
      <c r="AT1519">
        <v>256</v>
      </c>
      <c r="BB1519">
        <v>1200</v>
      </c>
      <c r="BC1519">
        <v>1</v>
      </c>
      <c r="BD1519" t="str">
        <f t="shared" si="515"/>
        <v xml:space="preserve">N887QR  </v>
      </c>
      <c r="BE1519">
        <v>1</v>
      </c>
      <c r="BG1519">
        <v>0</v>
      </c>
      <c r="BH1519">
        <v>0</v>
      </c>
      <c r="BI1519">
        <v>0</v>
      </c>
      <c r="BJ1519">
        <v>2300</v>
      </c>
      <c r="BK1519">
        <v>-300</v>
      </c>
      <c r="BL1519" t="s">
        <v>163</v>
      </c>
      <c r="BM1519">
        <v>1</v>
      </c>
      <c r="BN1519">
        <v>1</v>
      </c>
      <c r="BO1519">
        <v>1</v>
      </c>
      <c r="BP1519">
        <v>0</v>
      </c>
      <c r="BS1519">
        <v>0</v>
      </c>
      <c r="BT1519">
        <v>0</v>
      </c>
      <c r="BU1519">
        <v>0</v>
      </c>
      <c r="CE1519" t="str">
        <f t="shared" si="527"/>
        <v>19:29:33.854</v>
      </c>
      <c r="CF1519">
        <v>854456516</v>
      </c>
      <c r="CS1519">
        <v>3</v>
      </c>
      <c r="CT1519">
        <v>2</v>
      </c>
      <c r="CU1519">
        <v>0</v>
      </c>
      <c r="CV1519">
        <v>2</v>
      </c>
      <c r="CW1519">
        <v>0</v>
      </c>
      <c r="CX1519">
        <v>5</v>
      </c>
      <c r="CY1519">
        <v>7</v>
      </c>
      <c r="CZ1519" t="s">
        <v>131</v>
      </c>
      <c r="DA1519">
        <v>286</v>
      </c>
      <c r="DB1519">
        <v>0</v>
      </c>
      <c r="DC1519" t="s">
        <v>132</v>
      </c>
      <c r="DD1519" t="s">
        <v>133</v>
      </c>
      <c r="DG1519">
        <v>821169</v>
      </c>
      <c r="DI1519">
        <v>1</v>
      </c>
      <c r="DJ1519">
        <v>0</v>
      </c>
      <c r="DK1519">
        <v>1</v>
      </c>
      <c r="DL1519">
        <v>0</v>
      </c>
      <c r="DM1519">
        <v>0</v>
      </c>
      <c r="DN1519">
        <v>1</v>
      </c>
      <c r="DO1519">
        <v>0</v>
      </c>
      <c r="DP1519">
        <v>0</v>
      </c>
      <c r="DQ1519">
        <v>0</v>
      </c>
      <c r="DR1519">
        <v>0</v>
      </c>
      <c r="DS1519">
        <v>0</v>
      </c>
    </row>
    <row r="1520" spans="1:123" x14ac:dyDescent="0.3">
      <c r="A1520" t="str">
        <f>"10/04/2022 19:29:35.260"</f>
        <v>10/04/2022 19:29:35.260</v>
      </c>
      <c r="C1520" t="str">
        <f t="shared" ref="C1520:C1540" si="528">"FFDDD3C0"</f>
        <v>FFDDD3C0</v>
      </c>
      <c r="D1520" t="s">
        <v>143</v>
      </c>
      <c r="E1520">
        <v>20</v>
      </c>
      <c r="F1520">
        <v>1020</v>
      </c>
      <c r="G1520" t="s">
        <v>144</v>
      </c>
      <c r="J1520" t="s">
        <v>145</v>
      </c>
      <c r="K1520">
        <v>0</v>
      </c>
      <c r="L1520">
        <v>3</v>
      </c>
      <c r="M1520">
        <v>0</v>
      </c>
      <c r="N1520">
        <v>2</v>
      </c>
      <c r="O1520">
        <v>0</v>
      </c>
      <c r="P1520">
        <v>1</v>
      </c>
      <c r="Q1520">
        <v>0</v>
      </c>
      <c r="S1520" t="str">
        <f t="shared" ref="S1520:T1526" si="529">"19:29:35.000"</f>
        <v>19:29:35.000</v>
      </c>
      <c r="T1520" t="str">
        <f t="shared" si="529"/>
        <v>19:29:35.000</v>
      </c>
      <c r="U1520" t="str">
        <f t="shared" si="514"/>
        <v>AC3944</v>
      </c>
      <c r="V1520">
        <v>0</v>
      </c>
      <c r="W1520">
        <v>0</v>
      </c>
      <c r="X1520">
        <v>2</v>
      </c>
      <c r="Y1520">
        <v>0</v>
      </c>
      <c r="AA1520">
        <v>1</v>
      </c>
      <c r="AB1520">
        <v>8</v>
      </c>
      <c r="AC1520">
        <v>3</v>
      </c>
      <c r="AD1520">
        <v>0</v>
      </c>
      <c r="AE1520">
        <v>9</v>
      </c>
      <c r="AF1520" t="s">
        <v>138</v>
      </c>
      <c r="AG1520">
        <v>0</v>
      </c>
      <c r="AH1520">
        <v>3</v>
      </c>
      <c r="AI1520">
        <v>1</v>
      </c>
      <c r="AJ1520">
        <v>0</v>
      </c>
      <c r="AK1520" t="s">
        <v>568</v>
      </c>
      <c r="AL1520">
        <v>32.797387000000001</v>
      </c>
      <c r="AM1520" t="s">
        <v>569</v>
      </c>
      <c r="AN1520">
        <v>-116.881721</v>
      </c>
      <c r="AO1520">
        <v>25</v>
      </c>
      <c r="AP1520">
        <v>2600</v>
      </c>
      <c r="AQ1520" t="s">
        <v>129</v>
      </c>
      <c r="AR1520">
        <v>101</v>
      </c>
      <c r="AS1520">
        <v>-68</v>
      </c>
      <c r="AT1520">
        <v>192</v>
      </c>
      <c r="BB1520">
        <v>1200</v>
      </c>
      <c r="BC1520">
        <v>1</v>
      </c>
      <c r="BD1520" t="str">
        <f t="shared" si="515"/>
        <v xml:space="preserve">N887QR  </v>
      </c>
      <c r="BE1520">
        <v>1</v>
      </c>
      <c r="BJ1520">
        <v>2300</v>
      </c>
      <c r="BK1520">
        <v>-300</v>
      </c>
      <c r="BL1520" t="s">
        <v>163</v>
      </c>
      <c r="BM1520">
        <v>1</v>
      </c>
      <c r="BN1520">
        <v>1</v>
      </c>
      <c r="BO1520">
        <v>1</v>
      </c>
      <c r="BP1520">
        <v>0</v>
      </c>
      <c r="BS1520">
        <v>0</v>
      </c>
      <c r="BT1520">
        <v>0</v>
      </c>
      <c r="BU1520">
        <v>0</v>
      </c>
      <c r="CE1520" t="str">
        <f t="shared" ref="CE1520:CE1526" si="530">"19:29:35.020"</f>
        <v>19:29:35.020</v>
      </c>
      <c r="CF1520">
        <v>19717306</v>
      </c>
      <c r="CS1520">
        <v>3</v>
      </c>
      <c r="CT1520">
        <v>2</v>
      </c>
      <c r="CU1520">
        <v>0</v>
      </c>
      <c r="CV1520">
        <v>2</v>
      </c>
      <c r="CW1520">
        <v>0</v>
      </c>
      <c r="CX1520">
        <v>6</v>
      </c>
      <c r="CY1520">
        <v>7</v>
      </c>
      <c r="CZ1520" t="s">
        <v>131</v>
      </c>
      <c r="DA1520">
        <v>300</v>
      </c>
      <c r="DB1520">
        <v>0</v>
      </c>
      <c r="DC1520" t="s">
        <v>176</v>
      </c>
      <c r="DD1520" t="s">
        <v>177</v>
      </c>
      <c r="DG1520">
        <v>5388501</v>
      </c>
      <c r="DI1520">
        <v>1</v>
      </c>
      <c r="DJ1520">
        <v>0</v>
      </c>
      <c r="DK1520">
        <v>0</v>
      </c>
      <c r="DL1520">
        <v>0</v>
      </c>
      <c r="DM1520">
        <v>0</v>
      </c>
      <c r="DN1520">
        <v>1</v>
      </c>
      <c r="DO1520">
        <v>0</v>
      </c>
      <c r="DP1520">
        <v>0</v>
      </c>
      <c r="DQ1520">
        <v>0</v>
      </c>
      <c r="DR1520">
        <v>0</v>
      </c>
      <c r="DS1520">
        <v>0</v>
      </c>
    </row>
    <row r="1521" spans="1:123" x14ac:dyDescent="0.3">
      <c r="A1521" t="str">
        <f t="shared" ref="A1521:A1526" si="531">"10/04/2022 19:29:35.276"</f>
        <v>10/04/2022 19:29:35.276</v>
      </c>
      <c r="C1521" t="str">
        <f t="shared" si="528"/>
        <v>FFDDD3C0</v>
      </c>
      <c r="D1521" t="s">
        <v>147</v>
      </c>
      <c r="E1521">
        <v>3</v>
      </c>
      <c r="H1521">
        <v>166</v>
      </c>
      <c r="I1521" t="s">
        <v>144</v>
      </c>
      <c r="J1521" t="s">
        <v>148</v>
      </c>
      <c r="K1521">
        <v>0</v>
      </c>
      <c r="L1521">
        <v>3</v>
      </c>
      <c r="M1521">
        <v>0</v>
      </c>
      <c r="N1521">
        <v>2</v>
      </c>
      <c r="O1521">
        <v>0</v>
      </c>
      <c r="P1521">
        <v>1</v>
      </c>
      <c r="Q1521">
        <v>0</v>
      </c>
      <c r="S1521" t="str">
        <f t="shared" si="529"/>
        <v>19:29:35.000</v>
      </c>
      <c r="T1521" t="str">
        <f t="shared" si="529"/>
        <v>19:29:35.000</v>
      </c>
      <c r="U1521" t="str">
        <f t="shared" si="514"/>
        <v>AC3944</v>
      </c>
      <c r="V1521">
        <v>0</v>
      </c>
      <c r="W1521">
        <v>0</v>
      </c>
      <c r="X1521">
        <v>2</v>
      </c>
      <c r="Y1521">
        <v>0</v>
      </c>
      <c r="AA1521">
        <v>1</v>
      </c>
      <c r="AB1521">
        <v>8</v>
      </c>
      <c r="AC1521">
        <v>3</v>
      </c>
      <c r="AD1521">
        <v>0</v>
      </c>
      <c r="AE1521">
        <v>9</v>
      </c>
      <c r="AF1521" t="s">
        <v>138</v>
      </c>
      <c r="AG1521">
        <v>0</v>
      </c>
      <c r="AH1521">
        <v>3</v>
      </c>
      <c r="AI1521">
        <v>1</v>
      </c>
      <c r="AJ1521">
        <v>0</v>
      </c>
      <c r="AK1521" t="s">
        <v>568</v>
      </c>
      <c r="AL1521">
        <v>32.797387000000001</v>
      </c>
      <c r="AM1521" t="s">
        <v>569</v>
      </c>
      <c r="AN1521">
        <v>-116.881721</v>
      </c>
      <c r="AO1521">
        <v>25</v>
      </c>
      <c r="AP1521">
        <v>2600</v>
      </c>
      <c r="AQ1521" t="s">
        <v>129</v>
      </c>
      <c r="AR1521">
        <v>101</v>
      </c>
      <c r="AS1521">
        <v>-68</v>
      </c>
      <c r="AT1521">
        <v>192</v>
      </c>
      <c r="BB1521">
        <v>1200</v>
      </c>
      <c r="BC1521">
        <v>1</v>
      </c>
      <c r="BD1521" t="str">
        <f t="shared" si="515"/>
        <v xml:space="preserve">N887QR  </v>
      </c>
      <c r="BE1521">
        <v>1</v>
      </c>
      <c r="BJ1521">
        <v>2300</v>
      </c>
      <c r="BK1521">
        <v>-300</v>
      </c>
      <c r="BL1521" t="s">
        <v>163</v>
      </c>
      <c r="BM1521">
        <v>1</v>
      </c>
      <c r="BN1521">
        <v>1</v>
      </c>
      <c r="BO1521">
        <v>1</v>
      </c>
      <c r="BP1521">
        <v>0</v>
      </c>
      <c r="BS1521">
        <v>0</v>
      </c>
      <c r="BT1521">
        <v>0</v>
      </c>
      <c r="BU1521">
        <v>0</v>
      </c>
      <c r="CE1521" t="str">
        <f t="shared" si="530"/>
        <v>19:29:35.020</v>
      </c>
      <c r="CF1521">
        <v>19717306</v>
      </c>
      <c r="CS1521">
        <v>3</v>
      </c>
      <c r="CT1521">
        <v>2</v>
      </c>
      <c r="CU1521">
        <v>0</v>
      </c>
      <c r="CV1521">
        <v>2</v>
      </c>
      <c r="CW1521">
        <v>0</v>
      </c>
      <c r="CX1521">
        <v>6</v>
      </c>
      <c r="CY1521">
        <v>7</v>
      </c>
      <c r="CZ1521" t="s">
        <v>131</v>
      </c>
      <c r="DA1521">
        <v>300</v>
      </c>
      <c r="DB1521">
        <v>0</v>
      </c>
      <c r="DC1521" t="s">
        <v>176</v>
      </c>
      <c r="DD1521" t="s">
        <v>177</v>
      </c>
      <c r="DG1521">
        <v>5388501</v>
      </c>
      <c r="DI1521">
        <v>1</v>
      </c>
      <c r="DJ1521">
        <v>0</v>
      </c>
      <c r="DK1521">
        <v>1</v>
      </c>
      <c r="DL1521">
        <v>0</v>
      </c>
      <c r="DM1521">
        <v>0</v>
      </c>
      <c r="DN1521">
        <v>1</v>
      </c>
      <c r="DO1521">
        <v>0</v>
      </c>
      <c r="DP1521">
        <v>0</v>
      </c>
      <c r="DQ1521">
        <v>0</v>
      </c>
      <c r="DR1521">
        <v>0</v>
      </c>
      <c r="DS1521">
        <v>0</v>
      </c>
    </row>
    <row r="1522" spans="1:123" x14ac:dyDescent="0.3">
      <c r="A1522" t="str">
        <f t="shared" si="531"/>
        <v>10/04/2022 19:29:35.276</v>
      </c>
      <c r="C1522" t="str">
        <f t="shared" si="528"/>
        <v>FFDDD3C0</v>
      </c>
      <c r="D1522" t="s">
        <v>123</v>
      </c>
      <c r="E1522">
        <v>7</v>
      </c>
      <c r="F1522">
        <v>2007</v>
      </c>
      <c r="G1522" t="s">
        <v>124</v>
      </c>
      <c r="J1522" t="s">
        <v>125</v>
      </c>
      <c r="K1522">
        <v>0</v>
      </c>
      <c r="L1522">
        <v>3</v>
      </c>
      <c r="M1522">
        <v>0</v>
      </c>
      <c r="N1522">
        <v>2</v>
      </c>
      <c r="O1522">
        <v>0</v>
      </c>
      <c r="P1522">
        <v>1</v>
      </c>
      <c r="Q1522">
        <v>0</v>
      </c>
      <c r="S1522" t="str">
        <f t="shared" si="529"/>
        <v>19:29:35.000</v>
      </c>
      <c r="T1522" t="str">
        <f t="shared" si="529"/>
        <v>19:29:35.000</v>
      </c>
      <c r="U1522" t="str">
        <f t="shared" si="514"/>
        <v>AC3944</v>
      </c>
      <c r="V1522">
        <v>0</v>
      </c>
      <c r="W1522">
        <v>0</v>
      </c>
      <c r="X1522">
        <v>2</v>
      </c>
      <c r="Y1522">
        <v>0</v>
      </c>
      <c r="AA1522">
        <v>1</v>
      </c>
      <c r="AB1522">
        <v>8</v>
      </c>
      <c r="AC1522">
        <v>3</v>
      </c>
      <c r="AD1522">
        <v>0</v>
      </c>
      <c r="AE1522">
        <v>9</v>
      </c>
      <c r="AF1522" t="s">
        <v>138</v>
      </c>
      <c r="AG1522">
        <v>0</v>
      </c>
      <c r="AH1522">
        <v>3</v>
      </c>
      <c r="AI1522">
        <v>1</v>
      </c>
      <c r="AJ1522">
        <v>0</v>
      </c>
      <c r="AK1522" t="s">
        <v>568</v>
      </c>
      <c r="AL1522">
        <v>32.797387000000001</v>
      </c>
      <c r="AM1522" t="s">
        <v>569</v>
      </c>
      <c r="AN1522">
        <v>-116.881721</v>
      </c>
      <c r="AO1522">
        <v>25</v>
      </c>
      <c r="AP1522">
        <v>2600</v>
      </c>
      <c r="AQ1522" t="s">
        <v>129</v>
      </c>
      <c r="AR1522">
        <v>101</v>
      </c>
      <c r="AS1522">
        <v>-68</v>
      </c>
      <c r="AT1522">
        <v>192</v>
      </c>
      <c r="BB1522">
        <v>1200</v>
      </c>
      <c r="BC1522">
        <v>1</v>
      </c>
      <c r="BD1522" t="str">
        <f t="shared" si="515"/>
        <v xml:space="preserve">N887QR  </v>
      </c>
      <c r="BE1522">
        <v>1</v>
      </c>
      <c r="BJ1522">
        <v>2300</v>
      </c>
      <c r="BK1522">
        <v>-300</v>
      </c>
      <c r="BL1522" t="s">
        <v>163</v>
      </c>
      <c r="BM1522">
        <v>1</v>
      </c>
      <c r="BN1522">
        <v>1</v>
      </c>
      <c r="BO1522">
        <v>1</v>
      </c>
      <c r="BP1522">
        <v>0</v>
      </c>
      <c r="BS1522">
        <v>0</v>
      </c>
      <c r="BT1522">
        <v>0</v>
      </c>
      <c r="BU1522">
        <v>0</v>
      </c>
      <c r="CE1522" t="str">
        <f t="shared" si="530"/>
        <v>19:29:35.020</v>
      </c>
      <c r="CF1522">
        <v>19717306</v>
      </c>
      <c r="CS1522">
        <v>3</v>
      </c>
      <c r="CT1522">
        <v>2</v>
      </c>
      <c r="CU1522">
        <v>0</v>
      </c>
      <c r="CV1522">
        <v>2</v>
      </c>
      <c r="CW1522">
        <v>0</v>
      </c>
      <c r="CX1522">
        <v>6</v>
      </c>
      <c r="CY1522">
        <v>7</v>
      </c>
      <c r="CZ1522" t="s">
        <v>131</v>
      </c>
      <c r="DA1522">
        <v>300</v>
      </c>
      <c r="DB1522">
        <v>0</v>
      </c>
      <c r="DC1522" t="s">
        <v>176</v>
      </c>
      <c r="DD1522" t="s">
        <v>177</v>
      </c>
      <c r="DG1522">
        <v>5388501</v>
      </c>
      <c r="DI1522">
        <v>1</v>
      </c>
      <c r="DJ1522">
        <v>0</v>
      </c>
      <c r="DK1522">
        <v>1</v>
      </c>
      <c r="DL1522">
        <v>0</v>
      </c>
      <c r="DM1522">
        <v>0</v>
      </c>
      <c r="DN1522">
        <v>1</v>
      </c>
      <c r="DO1522">
        <v>0</v>
      </c>
      <c r="DP1522">
        <v>0</v>
      </c>
      <c r="DQ1522">
        <v>0</v>
      </c>
      <c r="DR1522">
        <v>0</v>
      </c>
      <c r="DS1522">
        <v>0</v>
      </c>
    </row>
    <row r="1523" spans="1:123" x14ac:dyDescent="0.3">
      <c r="A1523" t="str">
        <f t="shared" si="531"/>
        <v>10/04/2022 19:29:35.276</v>
      </c>
      <c r="C1523" t="str">
        <f t="shared" si="528"/>
        <v>FFDDD3C0</v>
      </c>
      <c r="D1523" t="s">
        <v>134</v>
      </c>
      <c r="E1523">
        <v>15</v>
      </c>
      <c r="J1523" t="s">
        <v>135</v>
      </c>
      <c r="K1523">
        <v>0</v>
      </c>
      <c r="L1523">
        <v>3</v>
      </c>
      <c r="M1523">
        <v>0</v>
      </c>
      <c r="N1523">
        <v>2</v>
      </c>
      <c r="O1523">
        <v>0</v>
      </c>
      <c r="P1523">
        <v>1</v>
      </c>
      <c r="Q1523">
        <v>0</v>
      </c>
      <c r="S1523" t="str">
        <f t="shared" si="529"/>
        <v>19:29:35.000</v>
      </c>
      <c r="T1523" t="str">
        <f t="shared" si="529"/>
        <v>19:29:35.000</v>
      </c>
      <c r="U1523" t="str">
        <f t="shared" si="514"/>
        <v>AC3944</v>
      </c>
      <c r="V1523">
        <v>0</v>
      </c>
      <c r="W1523">
        <v>0</v>
      </c>
      <c r="X1523">
        <v>2</v>
      </c>
      <c r="Y1523">
        <v>0</v>
      </c>
      <c r="AA1523">
        <v>1</v>
      </c>
      <c r="AB1523">
        <v>8</v>
      </c>
      <c r="AC1523">
        <v>3</v>
      </c>
      <c r="AD1523">
        <v>0</v>
      </c>
      <c r="AE1523">
        <v>9</v>
      </c>
      <c r="AF1523" t="s">
        <v>138</v>
      </c>
      <c r="AG1523">
        <v>0</v>
      </c>
      <c r="AH1523">
        <v>3</v>
      </c>
      <c r="AI1523">
        <v>1</v>
      </c>
      <c r="AJ1523">
        <v>0</v>
      </c>
      <c r="AK1523" t="s">
        <v>568</v>
      </c>
      <c r="AL1523">
        <v>32.797387000000001</v>
      </c>
      <c r="AM1523" t="s">
        <v>569</v>
      </c>
      <c r="AN1523">
        <v>-116.881721</v>
      </c>
      <c r="AO1523">
        <v>25</v>
      </c>
      <c r="AP1523">
        <v>2600</v>
      </c>
      <c r="AQ1523" t="s">
        <v>129</v>
      </c>
      <c r="AR1523">
        <v>101</v>
      </c>
      <c r="AS1523">
        <v>-68</v>
      </c>
      <c r="AT1523">
        <v>192</v>
      </c>
      <c r="BB1523">
        <v>1200</v>
      </c>
      <c r="BC1523">
        <v>1</v>
      </c>
      <c r="BD1523" t="str">
        <f t="shared" si="515"/>
        <v xml:space="preserve">N887QR  </v>
      </c>
      <c r="BE1523">
        <v>1</v>
      </c>
      <c r="BJ1523">
        <v>2300</v>
      </c>
      <c r="BK1523">
        <v>-300</v>
      </c>
      <c r="BL1523" t="s">
        <v>163</v>
      </c>
      <c r="BM1523">
        <v>1</v>
      </c>
      <c r="BN1523">
        <v>1</v>
      </c>
      <c r="BO1523">
        <v>1</v>
      </c>
      <c r="BP1523">
        <v>0</v>
      </c>
      <c r="BS1523">
        <v>0</v>
      </c>
      <c r="BT1523">
        <v>0</v>
      </c>
      <c r="BU1523">
        <v>0</v>
      </c>
      <c r="CE1523" t="str">
        <f t="shared" si="530"/>
        <v>19:29:35.020</v>
      </c>
      <c r="CF1523">
        <v>19717306</v>
      </c>
      <c r="CS1523">
        <v>3</v>
      </c>
      <c r="CT1523">
        <v>2</v>
      </c>
      <c r="CU1523">
        <v>0</v>
      </c>
      <c r="CV1523">
        <v>2</v>
      </c>
      <c r="CW1523">
        <v>0</v>
      </c>
      <c r="CX1523">
        <v>6</v>
      </c>
      <c r="CY1523">
        <v>7</v>
      </c>
      <c r="CZ1523" t="s">
        <v>131</v>
      </c>
      <c r="DA1523">
        <v>300</v>
      </c>
      <c r="DB1523">
        <v>0</v>
      </c>
      <c r="DC1523" t="s">
        <v>176</v>
      </c>
      <c r="DD1523" t="s">
        <v>177</v>
      </c>
      <c r="DG1523">
        <v>5388501</v>
      </c>
      <c r="DI1523">
        <v>1</v>
      </c>
      <c r="DJ1523">
        <v>0</v>
      </c>
      <c r="DK1523">
        <v>1</v>
      </c>
      <c r="DL1523">
        <v>0</v>
      </c>
      <c r="DM1523">
        <v>0</v>
      </c>
      <c r="DN1523">
        <v>1</v>
      </c>
      <c r="DO1523">
        <v>0</v>
      </c>
      <c r="DP1523">
        <v>0</v>
      </c>
      <c r="DQ1523">
        <v>0</v>
      </c>
      <c r="DR1523">
        <v>0</v>
      </c>
      <c r="DS1523">
        <v>0</v>
      </c>
    </row>
    <row r="1524" spans="1:123" x14ac:dyDescent="0.3">
      <c r="A1524" t="str">
        <f t="shared" si="531"/>
        <v>10/04/2022 19:29:35.276</v>
      </c>
      <c r="C1524" t="str">
        <f t="shared" si="528"/>
        <v>FFDDD3C0</v>
      </c>
      <c r="D1524" t="s">
        <v>136</v>
      </c>
      <c r="E1524">
        <v>8</v>
      </c>
      <c r="H1524">
        <v>225</v>
      </c>
      <c r="I1524" t="s">
        <v>137</v>
      </c>
      <c r="J1524" t="s">
        <v>138</v>
      </c>
      <c r="K1524">
        <v>0</v>
      </c>
      <c r="L1524">
        <v>3</v>
      </c>
      <c r="M1524">
        <v>0</v>
      </c>
      <c r="N1524">
        <v>2</v>
      </c>
      <c r="O1524">
        <v>0</v>
      </c>
      <c r="P1524">
        <v>1</v>
      </c>
      <c r="Q1524">
        <v>0</v>
      </c>
      <c r="S1524" t="str">
        <f t="shared" si="529"/>
        <v>19:29:35.000</v>
      </c>
      <c r="T1524" t="str">
        <f t="shared" si="529"/>
        <v>19:29:35.000</v>
      </c>
      <c r="U1524" t="str">
        <f t="shared" si="514"/>
        <v>AC3944</v>
      </c>
      <c r="V1524">
        <v>0</v>
      </c>
      <c r="W1524">
        <v>0</v>
      </c>
      <c r="X1524">
        <v>2</v>
      </c>
      <c r="Y1524">
        <v>0</v>
      </c>
      <c r="AA1524">
        <v>1</v>
      </c>
      <c r="AB1524">
        <v>8</v>
      </c>
      <c r="AC1524">
        <v>3</v>
      </c>
      <c r="AD1524">
        <v>0</v>
      </c>
      <c r="AE1524">
        <v>9</v>
      </c>
      <c r="AF1524" t="s">
        <v>138</v>
      </c>
      <c r="AG1524">
        <v>0</v>
      </c>
      <c r="AH1524">
        <v>3</v>
      </c>
      <c r="AI1524">
        <v>1</v>
      </c>
      <c r="AJ1524">
        <v>0</v>
      </c>
      <c r="AK1524" t="s">
        <v>568</v>
      </c>
      <c r="AL1524">
        <v>32.797387000000001</v>
      </c>
      <c r="AM1524" t="s">
        <v>569</v>
      </c>
      <c r="AN1524">
        <v>-116.881721</v>
      </c>
      <c r="AO1524">
        <v>25</v>
      </c>
      <c r="AP1524">
        <v>2600</v>
      </c>
      <c r="AQ1524" t="s">
        <v>129</v>
      </c>
      <c r="AR1524">
        <v>101</v>
      </c>
      <c r="AS1524">
        <v>-68</v>
      </c>
      <c r="AT1524">
        <v>192</v>
      </c>
      <c r="BB1524">
        <v>1200</v>
      </c>
      <c r="BC1524">
        <v>1</v>
      </c>
      <c r="BD1524" t="str">
        <f t="shared" si="515"/>
        <v xml:space="preserve">N887QR  </v>
      </c>
      <c r="BE1524">
        <v>1</v>
      </c>
      <c r="BJ1524">
        <v>2300</v>
      </c>
      <c r="BK1524">
        <v>-300</v>
      </c>
      <c r="BL1524" t="s">
        <v>163</v>
      </c>
      <c r="BM1524">
        <v>1</v>
      </c>
      <c r="BN1524">
        <v>1</v>
      </c>
      <c r="BO1524">
        <v>1</v>
      </c>
      <c r="BP1524">
        <v>0</v>
      </c>
      <c r="BS1524">
        <v>0</v>
      </c>
      <c r="BT1524">
        <v>0</v>
      </c>
      <c r="BU1524">
        <v>0</v>
      </c>
      <c r="CE1524" t="str">
        <f t="shared" si="530"/>
        <v>19:29:35.020</v>
      </c>
      <c r="CF1524">
        <v>19717306</v>
      </c>
      <c r="CS1524">
        <v>3</v>
      </c>
      <c r="CT1524">
        <v>2</v>
      </c>
      <c r="CU1524">
        <v>0</v>
      </c>
      <c r="CV1524">
        <v>2</v>
      </c>
      <c r="CW1524">
        <v>0</v>
      </c>
      <c r="CX1524">
        <v>6</v>
      </c>
      <c r="CY1524">
        <v>7</v>
      </c>
      <c r="CZ1524" t="s">
        <v>131</v>
      </c>
      <c r="DA1524">
        <v>300</v>
      </c>
      <c r="DB1524">
        <v>0</v>
      </c>
      <c r="DC1524" t="s">
        <v>176</v>
      </c>
      <c r="DD1524" t="s">
        <v>177</v>
      </c>
      <c r="DG1524">
        <v>5388501</v>
      </c>
      <c r="DI1524">
        <v>1</v>
      </c>
      <c r="DJ1524">
        <v>0</v>
      </c>
      <c r="DK1524">
        <v>1</v>
      </c>
      <c r="DL1524">
        <v>0</v>
      </c>
      <c r="DM1524">
        <v>0</v>
      </c>
      <c r="DN1524">
        <v>1</v>
      </c>
      <c r="DO1524">
        <v>0</v>
      </c>
      <c r="DP1524">
        <v>0</v>
      </c>
      <c r="DQ1524">
        <v>0</v>
      </c>
      <c r="DR1524">
        <v>0</v>
      </c>
      <c r="DS1524">
        <v>0</v>
      </c>
    </row>
    <row r="1525" spans="1:123" x14ac:dyDescent="0.3">
      <c r="A1525" t="str">
        <f t="shared" si="531"/>
        <v>10/04/2022 19:29:35.276</v>
      </c>
      <c r="C1525" t="str">
        <f t="shared" si="528"/>
        <v>FFDDD3C0</v>
      </c>
      <c r="D1525" t="s">
        <v>141</v>
      </c>
      <c r="E1525">
        <v>3</v>
      </c>
      <c r="H1525">
        <v>3</v>
      </c>
      <c r="I1525" t="s">
        <v>146</v>
      </c>
      <c r="J1525" t="s">
        <v>138</v>
      </c>
      <c r="K1525">
        <v>0</v>
      </c>
      <c r="L1525">
        <v>3</v>
      </c>
      <c r="M1525">
        <v>0</v>
      </c>
      <c r="N1525">
        <v>2</v>
      </c>
      <c r="O1525">
        <v>0</v>
      </c>
      <c r="P1525">
        <v>1</v>
      </c>
      <c r="Q1525">
        <v>0</v>
      </c>
      <c r="S1525" t="str">
        <f t="shared" si="529"/>
        <v>19:29:35.000</v>
      </c>
      <c r="T1525" t="str">
        <f t="shared" si="529"/>
        <v>19:29:35.000</v>
      </c>
      <c r="U1525" t="str">
        <f t="shared" si="514"/>
        <v>AC3944</v>
      </c>
      <c r="V1525">
        <v>0</v>
      </c>
      <c r="W1525">
        <v>0</v>
      </c>
      <c r="X1525">
        <v>2</v>
      </c>
      <c r="Y1525">
        <v>0</v>
      </c>
      <c r="AA1525">
        <v>1</v>
      </c>
      <c r="AB1525">
        <v>8</v>
      </c>
      <c r="AC1525">
        <v>3</v>
      </c>
      <c r="AD1525">
        <v>0</v>
      </c>
      <c r="AE1525">
        <v>9</v>
      </c>
      <c r="AF1525" t="s">
        <v>138</v>
      </c>
      <c r="AG1525">
        <v>0</v>
      </c>
      <c r="AH1525">
        <v>3</v>
      </c>
      <c r="AI1525">
        <v>1</v>
      </c>
      <c r="AJ1525">
        <v>0</v>
      </c>
      <c r="AK1525" t="s">
        <v>568</v>
      </c>
      <c r="AL1525">
        <v>32.797387000000001</v>
      </c>
      <c r="AM1525" t="s">
        <v>569</v>
      </c>
      <c r="AN1525">
        <v>-116.881721</v>
      </c>
      <c r="AO1525">
        <v>25</v>
      </c>
      <c r="AP1525">
        <v>2600</v>
      </c>
      <c r="AQ1525" t="s">
        <v>129</v>
      </c>
      <c r="AR1525">
        <v>101</v>
      </c>
      <c r="AS1525">
        <v>-68</v>
      </c>
      <c r="AT1525">
        <v>192</v>
      </c>
      <c r="BB1525">
        <v>1200</v>
      </c>
      <c r="BC1525">
        <v>1</v>
      </c>
      <c r="BD1525" t="str">
        <f t="shared" si="515"/>
        <v xml:space="preserve">N887QR  </v>
      </c>
      <c r="BE1525">
        <v>1</v>
      </c>
      <c r="BJ1525">
        <v>2300</v>
      </c>
      <c r="BK1525">
        <v>-300</v>
      </c>
      <c r="BL1525" t="s">
        <v>163</v>
      </c>
      <c r="BM1525">
        <v>1</v>
      </c>
      <c r="BN1525">
        <v>1</v>
      </c>
      <c r="BO1525">
        <v>1</v>
      </c>
      <c r="BP1525">
        <v>0</v>
      </c>
      <c r="BS1525">
        <v>0</v>
      </c>
      <c r="BT1525">
        <v>0</v>
      </c>
      <c r="BU1525">
        <v>0</v>
      </c>
      <c r="CE1525" t="str">
        <f t="shared" si="530"/>
        <v>19:29:35.020</v>
      </c>
      <c r="CF1525">
        <v>19717306</v>
      </c>
      <c r="CS1525">
        <v>3</v>
      </c>
      <c r="CT1525">
        <v>2</v>
      </c>
      <c r="CU1525">
        <v>0</v>
      </c>
      <c r="CV1525">
        <v>2</v>
      </c>
      <c r="CW1525">
        <v>0</v>
      </c>
      <c r="CX1525">
        <v>6</v>
      </c>
      <c r="CY1525">
        <v>7</v>
      </c>
      <c r="CZ1525" t="s">
        <v>131</v>
      </c>
      <c r="DA1525">
        <v>300</v>
      </c>
      <c r="DB1525">
        <v>0</v>
      </c>
      <c r="DC1525" t="s">
        <v>176</v>
      </c>
      <c r="DD1525" t="s">
        <v>177</v>
      </c>
      <c r="DG1525">
        <v>5388501</v>
      </c>
      <c r="DI1525">
        <v>1</v>
      </c>
      <c r="DJ1525">
        <v>0</v>
      </c>
      <c r="DK1525">
        <v>1</v>
      </c>
      <c r="DL1525">
        <v>0</v>
      </c>
      <c r="DM1525">
        <v>0</v>
      </c>
      <c r="DN1525">
        <v>1</v>
      </c>
      <c r="DO1525">
        <v>0</v>
      </c>
      <c r="DP1525">
        <v>0</v>
      </c>
      <c r="DQ1525">
        <v>0</v>
      </c>
      <c r="DR1525">
        <v>0</v>
      </c>
      <c r="DS1525">
        <v>0</v>
      </c>
    </row>
    <row r="1526" spans="1:123" x14ac:dyDescent="0.3">
      <c r="A1526" t="str">
        <f t="shared" si="531"/>
        <v>10/04/2022 19:29:35.276</v>
      </c>
      <c r="C1526" t="str">
        <f t="shared" si="528"/>
        <v>FFDDD3C0</v>
      </c>
      <c r="D1526" t="s">
        <v>141</v>
      </c>
      <c r="E1526">
        <v>4</v>
      </c>
      <c r="H1526">
        <v>4</v>
      </c>
      <c r="I1526" t="s">
        <v>142</v>
      </c>
      <c r="J1526" t="s">
        <v>138</v>
      </c>
      <c r="K1526">
        <v>0</v>
      </c>
      <c r="L1526">
        <v>3</v>
      </c>
      <c r="M1526">
        <v>0</v>
      </c>
      <c r="N1526">
        <v>2</v>
      </c>
      <c r="O1526">
        <v>0</v>
      </c>
      <c r="P1526">
        <v>1</v>
      </c>
      <c r="Q1526">
        <v>0</v>
      </c>
      <c r="S1526" t="str">
        <f t="shared" si="529"/>
        <v>19:29:35.000</v>
      </c>
      <c r="T1526" t="str">
        <f t="shared" si="529"/>
        <v>19:29:35.000</v>
      </c>
      <c r="U1526" t="str">
        <f t="shared" si="514"/>
        <v>AC3944</v>
      </c>
      <c r="V1526">
        <v>0</v>
      </c>
      <c r="W1526">
        <v>0</v>
      </c>
      <c r="X1526">
        <v>2</v>
      </c>
      <c r="Y1526">
        <v>0</v>
      </c>
      <c r="AA1526">
        <v>1</v>
      </c>
      <c r="AB1526">
        <v>8</v>
      </c>
      <c r="AC1526">
        <v>3</v>
      </c>
      <c r="AD1526">
        <v>0</v>
      </c>
      <c r="AE1526">
        <v>9</v>
      </c>
      <c r="AF1526" t="s">
        <v>138</v>
      </c>
      <c r="AG1526">
        <v>0</v>
      </c>
      <c r="AH1526">
        <v>3</v>
      </c>
      <c r="AI1526">
        <v>1</v>
      </c>
      <c r="AJ1526">
        <v>0</v>
      </c>
      <c r="AK1526" t="s">
        <v>568</v>
      </c>
      <c r="AL1526">
        <v>32.797387000000001</v>
      </c>
      <c r="AM1526" t="s">
        <v>569</v>
      </c>
      <c r="AN1526">
        <v>-116.881721</v>
      </c>
      <c r="AO1526">
        <v>25</v>
      </c>
      <c r="AP1526">
        <v>2600</v>
      </c>
      <c r="AQ1526" t="s">
        <v>129</v>
      </c>
      <c r="AR1526">
        <v>101</v>
      </c>
      <c r="AS1526">
        <v>-68</v>
      </c>
      <c r="AT1526">
        <v>192</v>
      </c>
      <c r="BB1526">
        <v>1200</v>
      </c>
      <c r="BC1526">
        <v>1</v>
      </c>
      <c r="BD1526" t="str">
        <f t="shared" si="515"/>
        <v xml:space="preserve">N887QR  </v>
      </c>
      <c r="BE1526">
        <v>1</v>
      </c>
      <c r="BJ1526">
        <v>2300</v>
      </c>
      <c r="BK1526">
        <v>-300</v>
      </c>
      <c r="BL1526" t="s">
        <v>163</v>
      </c>
      <c r="BM1526">
        <v>1</v>
      </c>
      <c r="BN1526">
        <v>1</v>
      </c>
      <c r="BO1526">
        <v>1</v>
      </c>
      <c r="BP1526">
        <v>0</v>
      </c>
      <c r="BS1526">
        <v>0</v>
      </c>
      <c r="BT1526">
        <v>0</v>
      </c>
      <c r="BU1526">
        <v>0</v>
      </c>
      <c r="CE1526" t="str">
        <f t="shared" si="530"/>
        <v>19:29:35.020</v>
      </c>
      <c r="CF1526">
        <v>19717306</v>
      </c>
      <c r="CS1526">
        <v>3</v>
      </c>
      <c r="CT1526">
        <v>2</v>
      </c>
      <c r="CU1526">
        <v>0</v>
      </c>
      <c r="CV1526">
        <v>2</v>
      </c>
      <c r="CW1526">
        <v>0</v>
      </c>
      <c r="CX1526">
        <v>6</v>
      </c>
      <c r="CY1526">
        <v>7</v>
      </c>
      <c r="CZ1526" t="s">
        <v>131</v>
      </c>
      <c r="DA1526">
        <v>300</v>
      </c>
      <c r="DB1526">
        <v>0</v>
      </c>
      <c r="DC1526" t="s">
        <v>176</v>
      </c>
      <c r="DD1526" t="s">
        <v>177</v>
      </c>
      <c r="DG1526">
        <v>5388501</v>
      </c>
      <c r="DI1526">
        <v>1</v>
      </c>
      <c r="DJ1526">
        <v>0</v>
      </c>
      <c r="DK1526">
        <v>1</v>
      </c>
      <c r="DL1526">
        <v>0</v>
      </c>
      <c r="DM1526">
        <v>0</v>
      </c>
      <c r="DN1526">
        <v>1</v>
      </c>
      <c r="DO1526">
        <v>0</v>
      </c>
      <c r="DP1526">
        <v>0</v>
      </c>
      <c r="DQ1526">
        <v>0</v>
      </c>
      <c r="DR1526">
        <v>0</v>
      </c>
      <c r="DS1526">
        <v>0</v>
      </c>
    </row>
    <row r="1527" spans="1:123" x14ac:dyDescent="0.3">
      <c r="A1527" t="str">
        <f>"10/04/2022 19:29:36.556"</f>
        <v>10/04/2022 19:29:36.556</v>
      </c>
      <c r="C1527" t="str">
        <f t="shared" si="528"/>
        <v>FFDDD3C0</v>
      </c>
      <c r="D1527" t="s">
        <v>143</v>
      </c>
      <c r="E1527">
        <v>20</v>
      </c>
      <c r="F1527">
        <v>1020</v>
      </c>
      <c r="G1527" t="s">
        <v>144</v>
      </c>
      <c r="J1527" t="s">
        <v>145</v>
      </c>
      <c r="K1527">
        <v>0</v>
      </c>
      <c r="L1527">
        <v>3</v>
      </c>
      <c r="M1527">
        <v>0</v>
      </c>
      <c r="N1527">
        <v>2</v>
      </c>
      <c r="O1527">
        <v>0</v>
      </c>
      <c r="P1527">
        <v>1</v>
      </c>
      <c r="Q1527">
        <v>0</v>
      </c>
      <c r="S1527" t="str">
        <f t="shared" ref="S1527:T1533" si="532">"19:29:36.000"</f>
        <v>19:29:36.000</v>
      </c>
      <c r="T1527" t="str">
        <f t="shared" si="532"/>
        <v>19:29:36.000</v>
      </c>
      <c r="U1527" t="str">
        <f t="shared" si="514"/>
        <v>AC3944</v>
      </c>
      <c r="V1527">
        <v>0</v>
      </c>
      <c r="W1527">
        <v>0</v>
      </c>
      <c r="X1527">
        <v>2</v>
      </c>
      <c r="Y1527">
        <v>0</v>
      </c>
      <c r="AA1527">
        <v>1</v>
      </c>
      <c r="AB1527">
        <v>8</v>
      </c>
      <c r="AC1527">
        <v>3</v>
      </c>
      <c r="AD1527">
        <v>0</v>
      </c>
      <c r="AE1527">
        <v>9</v>
      </c>
      <c r="AF1527" t="s">
        <v>138</v>
      </c>
      <c r="AG1527">
        <v>0</v>
      </c>
      <c r="AH1527">
        <v>3</v>
      </c>
      <c r="AI1527">
        <v>1</v>
      </c>
      <c r="AJ1527">
        <v>0</v>
      </c>
      <c r="AK1527" t="s">
        <v>570</v>
      </c>
      <c r="AL1527">
        <v>32.797128999999998</v>
      </c>
      <c r="AM1527" t="s">
        <v>571</v>
      </c>
      <c r="AN1527">
        <v>-116.88127</v>
      </c>
      <c r="AO1527">
        <v>25</v>
      </c>
      <c r="AP1527">
        <v>2600</v>
      </c>
      <c r="AQ1527" t="s">
        <v>129</v>
      </c>
      <c r="AR1527">
        <v>102</v>
      </c>
      <c r="AS1527">
        <v>-68</v>
      </c>
      <c r="AT1527">
        <v>128</v>
      </c>
      <c r="BB1527">
        <v>1200</v>
      </c>
      <c r="BC1527">
        <v>1</v>
      </c>
      <c r="BD1527" t="str">
        <f t="shared" si="515"/>
        <v xml:space="preserve">N887QR  </v>
      </c>
      <c r="BE1527">
        <v>1</v>
      </c>
      <c r="BJ1527">
        <v>2300</v>
      </c>
      <c r="BK1527">
        <v>-300</v>
      </c>
      <c r="BL1527" t="s">
        <v>163</v>
      </c>
      <c r="BM1527">
        <v>1</v>
      </c>
      <c r="BN1527">
        <v>1</v>
      </c>
      <c r="BO1527">
        <v>1</v>
      </c>
      <c r="BP1527">
        <v>0</v>
      </c>
      <c r="BS1527">
        <v>0</v>
      </c>
      <c r="BT1527">
        <v>0</v>
      </c>
      <c r="BU1527">
        <v>0</v>
      </c>
      <c r="CE1527" t="str">
        <f t="shared" ref="CE1527:CE1533" si="533">"19:29:36.374"</f>
        <v>19:29:36.374</v>
      </c>
      <c r="CF1527">
        <v>374221765</v>
      </c>
      <c r="CS1527">
        <v>3</v>
      </c>
      <c r="CT1527">
        <v>2</v>
      </c>
      <c r="CU1527">
        <v>0</v>
      </c>
      <c r="CV1527">
        <v>2</v>
      </c>
      <c r="CW1527">
        <v>0</v>
      </c>
      <c r="CX1527">
        <v>6</v>
      </c>
      <c r="CY1527">
        <v>7</v>
      </c>
      <c r="CZ1527" t="s">
        <v>131</v>
      </c>
      <c r="DA1527">
        <v>300</v>
      </c>
      <c r="DB1527">
        <v>0</v>
      </c>
      <c r="DC1527" t="s">
        <v>176</v>
      </c>
      <c r="DD1527" t="s">
        <v>177</v>
      </c>
      <c r="DG1527">
        <v>5388701</v>
      </c>
      <c r="DI1527">
        <v>1</v>
      </c>
      <c r="DJ1527">
        <v>0</v>
      </c>
      <c r="DK1527">
        <v>0</v>
      </c>
      <c r="DL1527">
        <v>0</v>
      </c>
      <c r="DM1527">
        <v>0</v>
      </c>
      <c r="DN1527">
        <v>1</v>
      </c>
      <c r="DO1527">
        <v>0</v>
      </c>
      <c r="DP1527">
        <v>0</v>
      </c>
      <c r="DQ1527">
        <v>0</v>
      </c>
      <c r="DR1527">
        <v>0</v>
      </c>
      <c r="DS1527">
        <v>0</v>
      </c>
    </row>
    <row r="1528" spans="1:123" x14ac:dyDescent="0.3">
      <c r="A1528" t="str">
        <f>"10/04/2022 19:29:36.556"</f>
        <v>10/04/2022 19:29:36.556</v>
      </c>
      <c r="C1528" t="str">
        <f t="shared" si="528"/>
        <v>FFDDD3C0</v>
      </c>
      <c r="D1528" t="s">
        <v>147</v>
      </c>
      <c r="E1528">
        <v>3</v>
      </c>
      <c r="H1528">
        <v>166</v>
      </c>
      <c r="I1528" t="s">
        <v>144</v>
      </c>
      <c r="J1528" t="s">
        <v>148</v>
      </c>
      <c r="K1528">
        <v>0</v>
      </c>
      <c r="L1528">
        <v>3</v>
      </c>
      <c r="M1528">
        <v>0</v>
      </c>
      <c r="N1528">
        <v>2</v>
      </c>
      <c r="O1528">
        <v>0</v>
      </c>
      <c r="P1528">
        <v>1</v>
      </c>
      <c r="Q1528">
        <v>0</v>
      </c>
      <c r="S1528" t="str">
        <f t="shared" si="532"/>
        <v>19:29:36.000</v>
      </c>
      <c r="T1528" t="str">
        <f t="shared" si="532"/>
        <v>19:29:36.000</v>
      </c>
      <c r="U1528" t="str">
        <f t="shared" si="514"/>
        <v>AC3944</v>
      </c>
      <c r="V1528">
        <v>0</v>
      </c>
      <c r="W1528">
        <v>0</v>
      </c>
      <c r="X1528">
        <v>2</v>
      </c>
      <c r="Y1528">
        <v>0</v>
      </c>
      <c r="AA1528">
        <v>1</v>
      </c>
      <c r="AB1528">
        <v>8</v>
      </c>
      <c r="AC1528">
        <v>3</v>
      </c>
      <c r="AD1528">
        <v>0</v>
      </c>
      <c r="AE1528">
        <v>9</v>
      </c>
      <c r="AF1528" t="s">
        <v>138</v>
      </c>
      <c r="AG1528">
        <v>0</v>
      </c>
      <c r="AH1528">
        <v>3</v>
      </c>
      <c r="AI1528">
        <v>1</v>
      </c>
      <c r="AJ1528">
        <v>0</v>
      </c>
      <c r="AK1528" t="s">
        <v>570</v>
      </c>
      <c r="AL1528">
        <v>32.797128999999998</v>
      </c>
      <c r="AM1528" t="s">
        <v>571</v>
      </c>
      <c r="AN1528">
        <v>-116.88127</v>
      </c>
      <c r="AO1528">
        <v>25</v>
      </c>
      <c r="AP1528">
        <v>2600</v>
      </c>
      <c r="AQ1528" t="s">
        <v>129</v>
      </c>
      <c r="AR1528">
        <v>102</v>
      </c>
      <c r="AS1528">
        <v>-68</v>
      </c>
      <c r="AT1528">
        <v>128</v>
      </c>
      <c r="BB1528">
        <v>1200</v>
      </c>
      <c r="BC1528">
        <v>1</v>
      </c>
      <c r="BD1528" t="str">
        <f t="shared" si="515"/>
        <v xml:space="preserve">N887QR  </v>
      </c>
      <c r="BE1528">
        <v>1</v>
      </c>
      <c r="BJ1528">
        <v>2300</v>
      </c>
      <c r="BK1528">
        <v>-300</v>
      </c>
      <c r="BL1528" t="s">
        <v>163</v>
      </c>
      <c r="BM1528">
        <v>1</v>
      </c>
      <c r="BN1528">
        <v>1</v>
      </c>
      <c r="BO1528">
        <v>1</v>
      </c>
      <c r="BP1528">
        <v>0</v>
      </c>
      <c r="BS1528">
        <v>0</v>
      </c>
      <c r="BT1528">
        <v>0</v>
      </c>
      <c r="BU1528">
        <v>0</v>
      </c>
      <c r="CE1528" t="str">
        <f t="shared" si="533"/>
        <v>19:29:36.374</v>
      </c>
      <c r="CF1528">
        <v>374221765</v>
      </c>
      <c r="CS1528">
        <v>3</v>
      </c>
      <c r="CT1528">
        <v>2</v>
      </c>
      <c r="CU1528">
        <v>0</v>
      </c>
      <c r="CV1528">
        <v>2</v>
      </c>
      <c r="CW1528">
        <v>0</v>
      </c>
      <c r="CX1528">
        <v>6</v>
      </c>
      <c r="CY1528">
        <v>7</v>
      </c>
      <c r="CZ1528" t="s">
        <v>131</v>
      </c>
      <c r="DA1528">
        <v>300</v>
      </c>
      <c r="DB1528">
        <v>0</v>
      </c>
      <c r="DC1528" t="s">
        <v>176</v>
      </c>
      <c r="DD1528" t="s">
        <v>177</v>
      </c>
      <c r="DG1528">
        <v>5388701</v>
      </c>
      <c r="DI1528">
        <v>1</v>
      </c>
      <c r="DJ1528">
        <v>0</v>
      </c>
      <c r="DK1528">
        <v>1</v>
      </c>
      <c r="DL1528">
        <v>0</v>
      </c>
      <c r="DM1528">
        <v>0</v>
      </c>
      <c r="DN1528">
        <v>1</v>
      </c>
      <c r="DO1528">
        <v>0</v>
      </c>
      <c r="DP1528">
        <v>0</v>
      </c>
      <c r="DQ1528">
        <v>0</v>
      </c>
      <c r="DR1528">
        <v>0</v>
      </c>
      <c r="DS1528">
        <v>0</v>
      </c>
    </row>
    <row r="1529" spans="1:123" x14ac:dyDescent="0.3">
      <c r="A1529" t="str">
        <f>"10/04/2022 19:29:36.556"</f>
        <v>10/04/2022 19:29:36.556</v>
      </c>
      <c r="C1529" t="str">
        <f t="shared" si="528"/>
        <v>FFDDD3C0</v>
      </c>
      <c r="D1529" t="s">
        <v>123</v>
      </c>
      <c r="E1529">
        <v>7</v>
      </c>
      <c r="F1529">
        <v>2007</v>
      </c>
      <c r="G1529" t="s">
        <v>124</v>
      </c>
      <c r="J1529" t="s">
        <v>125</v>
      </c>
      <c r="K1529">
        <v>0</v>
      </c>
      <c r="L1529">
        <v>3</v>
      </c>
      <c r="M1529">
        <v>0</v>
      </c>
      <c r="N1529">
        <v>2</v>
      </c>
      <c r="O1529">
        <v>0</v>
      </c>
      <c r="P1529">
        <v>1</v>
      </c>
      <c r="Q1529">
        <v>0</v>
      </c>
      <c r="S1529" t="str">
        <f t="shared" si="532"/>
        <v>19:29:36.000</v>
      </c>
      <c r="T1529" t="str">
        <f t="shared" si="532"/>
        <v>19:29:36.000</v>
      </c>
      <c r="U1529" t="str">
        <f t="shared" si="514"/>
        <v>AC3944</v>
      </c>
      <c r="V1529">
        <v>0</v>
      </c>
      <c r="W1529">
        <v>0</v>
      </c>
      <c r="X1529">
        <v>2</v>
      </c>
      <c r="Y1529">
        <v>0</v>
      </c>
      <c r="AA1529">
        <v>1</v>
      </c>
      <c r="AB1529">
        <v>8</v>
      </c>
      <c r="AC1529">
        <v>3</v>
      </c>
      <c r="AD1529">
        <v>0</v>
      </c>
      <c r="AE1529">
        <v>9</v>
      </c>
      <c r="AF1529" t="s">
        <v>138</v>
      </c>
      <c r="AG1529">
        <v>0</v>
      </c>
      <c r="AH1529">
        <v>3</v>
      </c>
      <c r="AI1529">
        <v>1</v>
      </c>
      <c r="AJ1529">
        <v>0</v>
      </c>
      <c r="AK1529" t="s">
        <v>570</v>
      </c>
      <c r="AL1529">
        <v>32.797128999999998</v>
      </c>
      <c r="AM1529" t="s">
        <v>571</v>
      </c>
      <c r="AN1529">
        <v>-116.88127</v>
      </c>
      <c r="AO1529">
        <v>25</v>
      </c>
      <c r="AP1529">
        <v>2600</v>
      </c>
      <c r="AQ1529" t="s">
        <v>129</v>
      </c>
      <c r="AR1529">
        <v>102</v>
      </c>
      <c r="AS1529">
        <v>-68</v>
      </c>
      <c r="AT1529">
        <v>128</v>
      </c>
      <c r="BB1529">
        <v>1200</v>
      </c>
      <c r="BC1529">
        <v>1</v>
      </c>
      <c r="BD1529" t="str">
        <f t="shared" si="515"/>
        <v xml:space="preserve">N887QR  </v>
      </c>
      <c r="BE1529">
        <v>1</v>
      </c>
      <c r="BJ1529">
        <v>2300</v>
      </c>
      <c r="BK1529">
        <v>-300</v>
      </c>
      <c r="BL1529" t="s">
        <v>163</v>
      </c>
      <c r="BM1529">
        <v>1</v>
      </c>
      <c r="BN1529">
        <v>1</v>
      </c>
      <c r="BO1529">
        <v>1</v>
      </c>
      <c r="BP1529">
        <v>0</v>
      </c>
      <c r="BS1529">
        <v>0</v>
      </c>
      <c r="BT1529">
        <v>0</v>
      </c>
      <c r="BU1529">
        <v>0</v>
      </c>
      <c r="CE1529" t="str">
        <f t="shared" si="533"/>
        <v>19:29:36.374</v>
      </c>
      <c r="CF1529">
        <v>374221765</v>
      </c>
      <c r="CS1529">
        <v>3</v>
      </c>
      <c r="CT1529">
        <v>2</v>
      </c>
      <c r="CU1529">
        <v>0</v>
      </c>
      <c r="CV1529">
        <v>2</v>
      </c>
      <c r="CW1529">
        <v>0</v>
      </c>
      <c r="CX1529">
        <v>6</v>
      </c>
      <c r="CY1529">
        <v>7</v>
      </c>
      <c r="CZ1529" t="s">
        <v>131</v>
      </c>
      <c r="DA1529">
        <v>300</v>
      </c>
      <c r="DB1529">
        <v>0</v>
      </c>
      <c r="DC1529" t="s">
        <v>176</v>
      </c>
      <c r="DD1529" t="s">
        <v>177</v>
      </c>
      <c r="DG1529">
        <v>5388701</v>
      </c>
      <c r="DI1529">
        <v>1</v>
      </c>
      <c r="DJ1529">
        <v>0</v>
      </c>
      <c r="DK1529">
        <v>1</v>
      </c>
      <c r="DL1529">
        <v>0</v>
      </c>
      <c r="DM1529">
        <v>0</v>
      </c>
      <c r="DN1529">
        <v>1</v>
      </c>
      <c r="DO1529">
        <v>0</v>
      </c>
      <c r="DP1529">
        <v>0</v>
      </c>
      <c r="DQ1529">
        <v>0</v>
      </c>
      <c r="DR1529">
        <v>0</v>
      </c>
      <c r="DS1529">
        <v>0</v>
      </c>
    </row>
    <row r="1530" spans="1:123" x14ac:dyDescent="0.3">
      <c r="A1530" t="str">
        <f>"10/04/2022 19:29:36.587"</f>
        <v>10/04/2022 19:29:36.587</v>
      </c>
      <c r="C1530" t="str">
        <f t="shared" si="528"/>
        <v>FFDDD3C0</v>
      </c>
      <c r="D1530" t="s">
        <v>136</v>
      </c>
      <c r="E1530">
        <v>8</v>
      </c>
      <c r="H1530">
        <v>225</v>
      </c>
      <c r="I1530" t="s">
        <v>137</v>
      </c>
      <c r="J1530" t="s">
        <v>138</v>
      </c>
      <c r="K1530">
        <v>0</v>
      </c>
      <c r="L1530">
        <v>3</v>
      </c>
      <c r="M1530">
        <v>0</v>
      </c>
      <c r="N1530">
        <v>2</v>
      </c>
      <c r="O1530">
        <v>0</v>
      </c>
      <c r="P1530">
        <v>1</v>
      </c>
      <c r="Q1530">
        <v>0</v>
      </c>
      <c r="S1530" t="str">
        <f t="shared" si="532"/>
        <v>19:29:36.000</v>
      </c>
      <c r="T1530" t="str">
        <f t="shared" si="532"/>
        <v>19:29:36.000</v>
      </c>
      <c r="U1530" t="str">
        <f t="shared" si="514"/>
        <v>AC3944</v>
      </c>
      <c r="V1530">
        <v>0</v>
      </c>
      <c r="W1530">
        <v>0</v>
      </c>
      <c r="X1530">
        <v>2</v>
      </c>
      <c r="Y1530">
        <v>0</v>
      </c>
      <c r="AA1530">
        <v>1</v>
      </c>
      <c r="AB1530">
        <v>8</v>
      </c>
      <c r="AC1530">
        <v>3</v>
      </c>
      <c r="AD1530">
        <v>0</v>
      </c>
      <c r="AE1530">
        <v>9</v>
      </c>
      <c r="AF1530" t="s">
        <v>138</v>
      </c>
      <c r="AG1530">
        <v>0</v>
      </c>
      <c r="AH1530">
        <v>3</v>
      </c>
      <c r="AI1530">
        <v>1</v>
      </c>
      <c r="AJ1530">
        <v>0</v>
      </c>
      <c r="AK1530" t="s">
        <v>570</v>
      </c>
      <c r="AL1530">
        <v>32.797128999999998</v>
      </c>
      <c r="AM1530" t="s">
        <v>571</v>
      </c>
      <c r="AN1530">
        <v>-116.88127</v>
      </c>
      <c r="AO1530">
        <v>25</v>
      </c>
      <c r="AP1530">
        <v>2600</v>
      </c>
      <c r="AQ1530" t="s">
        <v>129</v>
      </c>
      <c r="AR1530">
        <v>102</v>
      </c>
      <c r="AS1530">
        <v>-68</v>
      </c>
      <c r="AT1530">
        <v>128</v>
      </c>
      <c r="BB1530">
        <v>1200</v>
      </c>
      <c r="BC1530">
        <v>1</v>
      </c>
      <c r="BD1530" t="str">
        <f t="shared" si="515"/>
        <v xml:space="preserve">N887QR  </v>
      </c>
      <c r="BE1530">
        <v>1</v>
      </c>
      <c r="BJ1530">
        <v>2300</v>
      </c>
      <c r="BK1530">
        <v>-300</v>
      </c>
      <c r="BL1530" t="s">
        <v>163</v>
      </c>
      <c r="BM1530">
        <v>1</v>
      </c>
      <c r="BN1530">
        <v>1</v>
      </c>
      <c r="BO1530">
        <v>1</v>
      </c>
      <c r="BP1530">
        <v>0</v>
      </c>
      <c r="BS1530">
        <v>0</v>
      </c>
      <c r="BT1530">
        <v>0</v>
      </c>
      <c r="BU1530">
        <v>0</v>
      </c>
      <c r="CE1530" t="str">
        <f t="shared" si="533"/>
        <v>19:29:36.374</v>
      </c>
      <c r="CF1530">
        <v>374221765</v>
      </c>
      <c r="CS1530">
        <v>3</v>
      </c>
      <c r="CT1530">
        <v>2</v>
      </c>
      <c r="CU1530">
        <v>0</v>
      </c>
      <c r="CV1530">
        <v>2</v>
      </c>
      <c r="CW1530">
        <v>0</v>
      </c>
      <c r="CX1530">
        <v>6</v>
      </c>
      <c r="CY1530">
        <v>7</v>
      </c>
      <c r="CZ1530" t="s">
        <v>131</v>
      </c>
      <c r="DA1530">
        <v>300</v>
      </c>
      <c r="DB1530">
        <v>0</v>
      </c>
      <c r="DC1530" t="s">
        <v>176</v>
      </c>
      <c r="DD1530" t="s">
        <v>177</v>
      </c>
      <c r="DG1530">
        <v>5388701</v>
      </c>
      <c r="DI1530">
        <v>1</v>
      </c>
      <c r="DJ1530">
        <v>0</v>
      </c>
      <c r="DK1530">
        <v>1</v>
      </c>
      <c r="DL1530">
        <v>0</v>
      </c>
      <c r="DM1530">
        <v>0</v>
      </c>
      <c r="DN1530">
        <v>1</v>
      </c>
      <c r="DO1530">
        <v>0</v>
      </c>
      <c r="DP1530">
        <v>0</v>
      </c>
      <c r="DQ1530">
        <v>0</v>
      </c>
      <c r="DR1530">
        <v>0</v>
      </c>
      <c r="DS1530">
        <v>0</v>
      </c>
    </row>
    <row r="1531" spans="1:123" x14ac:dyDescent="0.3">
      <c r="A1531" t="str">
        <f>"10/04/2022 19:29:36.587"</f>
        <v>10/04/2022 19:29:36.587</v>
      </c>
      <c r="C1531" t="str">
        <f t="shared" si="528"/>
        <v>FFDDD3C0</v>
      </c>
      <c r="D1531" t="s">
        <v>134</v>
      </c>
      <c r="E1531">
        <v>15</v>
      </c>
      <c r="J1531" t="s">
        <v>135</v>
      </c>
      <c r="K1531">
        <v>0</v>
      </c>
      <c r="L1531">
        <v>3</v>
      </c>
      <c r="M1531">
        <v>0</v>
      </c>
      <c r="N1531">
        <v>2</v>
      </c>
      <c r="O1531">
        <v>0</v>
      </c>
      <c r="P1531">
        <v>1</v>
      </c>
      <c r="Q1531">
        <v>0</v>
      </c>
      <c r="S1531" t="str">
        <f t="shared" si="532"/>
        <v>19:29:36.000</v>
      </c>
      <c r="T1531" t="str">
        <f t="shared" si="532"/>
        <v>19:29:36.000</v>
      </c>
      <c r="U1531" t="str">
        <f t="shared" si="514"/>
        <v>AC3944</v>
      </c>
      <c r="V1531">
        <v>0</v>
      </c>
      <c r="W1531">
        <v>0</v>
      </c>
      <c r="X1531">
        <v>2</v>
      </c>
      <c r="Y1531">
        <v>0</v>
      </c>
      <c r="AA1531">
        <v>1</v>
      </c>
      <c r="AB1531">
        <v>8</v>
      </c>
      <c r="AC1531">
        <v>3</v>
      </c>
      <c r="AD1531">
        <v>0</v>
      </c>
      <c r="AE1531">
        <v>9</v>
      </c>
      <c r="AF1531" t="s">
        <v>138</v>
      </c>
      <c r="AG1531">
        <v>0</v>
      </c>
      <c r="AH1531">
        <v>3</v>
      </c>
      <c r="AI1531">
        <v>1</v>
      </c>
      <c r="AJ1531">
        <v>0</v>
      </c>
      <c r="AK1531" t="s">
        <v>570</v>
      </c>
      <c r="AL1531">
        <v>32.797128999999998</v>
      </c>
      <c r="AM1531" t="s">
        <v>571</v>
      </c>
      <c r="AN1531">
        <v>-116.88127</v>
      </c>
      <c r="AO1531">
        <v>25</v>
      </c>
      <c r="AP1531">
        <v>2600</v>
      </c>
      <c r="AQ1531" t="s">
        <v>129</v>
      </c>
      <c r="AR1531">
        <v>102</v>
      </c>
      <c r="AS1531">
        <v>-68</v>
      </c>
      <c r="AT1531">
        <v>128</v>
      </c>
      <c r="BB1531">
        <v>1200</v>
      </c>
      <c r="BC1531">
        <v>1</v>
      </c>
      <c r="BD1531" t="str">
        <f t="shared" si="515"/>
        <v xml:space="preserve">N887QR  </v>
      </c>
      <c r="BE1531">
        <v>1</v>
      </c>
      <c r="BJ1531">
        <v>2300</v>
      </c>
      <c r="BK1531">
        <v>-300</v>
      </c>
      <c r="BL1531" t="s">
        <v>163</v>
      </c>
      <c r="BM1531">
        <v>1</v>
      </c>
      <c r="BN1531">
        <v>1</v>
      </c>
      <c r="BO1531">
        <v>1</v>
      </c>
      <c r="BP1531">
        <v>0</v>
      </c>
      <c r="BS1531">
        <v>0</v>
      </c>
      <c r="BT1531">
        <v>0</v>
      </c>
      <c r="BU1531">
        <v>0</v>
      </c>
      <c r="CE1531" t="str">
        <f t="shared" si="533"/>
        <v>19:29:36.374</v>
      </c>
      <c r="CF1531">
        <v>374221765</v>
      </c>
      <c r="CS1531">
        <v>3</v>
      </c>
      <c r="CT1531">
        <v>2</v>
      </c>
      <c r="CU1531">
        <v>0</v>
      </c>
      <c r="CV1531">
        <v>2</v>
      </c>
      <c r="CW1531">
        <v>0</v>
      </c>
      <c r="CX1531">
        <v>6</v>
      </c>
      <c r="CY1531">
        <v>7</v>
      </c>
      <c r="CZ1531" t="s">
        <v>131</v>
      </c>
      <c r="DA1531">
        <v>300</v>
      </c>
      <c r="DB1531">
        <v>0</v>
      </c>
      <c r="DC1531" t="s">
        <v>176</v>
      </c>
      <c r="DD1531" t="s">
        <v>177</v>
      </c>
      <c r="DG1531">
        <v>5388701</v>
      </c>
      <c r="DI1531">
        <v>1</v>
      </c>
      <c r="DJ1531">
        <v>0</v>
      </c>
      <c r="DK1531">
        <v>1</v>
      </c>
      <c r="DL1531">
        <v>0</v>
      </c>
      <c r="DM1531">
        <v>0</v>
      </c>
      <c r="DN1531">
        <v>1</v>
      </c>
      <c r="DO1531">
        <v>0</v>
      </c>
      <c r="DP1531">
        <v>0</v>
      </c>
      <c r="DQ1531">
        <v>0</v>
      </c>
      <c r="DR1531">
        <v>0</v>
      </c>
      <c r="DS1531">
        <v>0</v>
      </c>
    </row>
    <row r="1532" spans="1:123" x14ac:dyDescent="0.3">
      <c r="A1532" t="str">
        <f>"10/04/2022 19:29:36.587"</f>
        <v>10/04/2022 19:29:36.587</v>
      </c>
      <c r="C1532" t="str">
        <f t="shared" si="528"/>
        <v>FFDDD3C0</v>
      </c>
      <c r="D1532" t="s">
        <v>141</v>
      </c>
      <c r="E1532">
        <v>3</v>
      </c>
      <c r="H1532">
        <v>3</v>
      </c>
      <c r="I1532" t="s">
        <v>146</v>
      </c>
      <c r="J1532" t="s">
        <v>138</v>
      </c>
      <c r="K1532">
        <v>0</v>
      </c>
      <c r="L1532">
        <v>3</v>
      </c>
      <c r="M1532">
        <v>0</v>
      </c>
      <c r="N1532">
        <v>2</v>
      </c>
      <c r="O1532">
        <v>0</v>
      </c>
      <c r="P1532">
        <v>1</v>
      </c>
      <c r="Q1532">
        <v>0</v>
      </c>
      <c r="S1532" t="str">
        <f t="shared" si="532"/>
        <v>19:29:36.000</v>
      </c>
      <c r="T1532" t="str">
        <f t="shared" si="532"/>
        <v>19:29:36.000</v>
      </c>
      <c r="U1532" t="str">
        <f t="shared" si="514"/>
        <v>AC3944</v>
      </c>
      <c r="V1532">
        <v>0</v>
      </c>
      <c r="W1532">
        <v>0</v>
      </c>
      <c r="X1532">
        <v>2</v>
      </c>
      <c r="Y1532">
        <v>0</v>
      </c>
      <c r="AA1532">
        <v>1</v>
      </c>
      <c r="AB1532">
        <v>8</v>
      </c>
      <c r="AC1532">
        <v>3</v>
      </c>
      <c r="AD1532">
        <v>0</v>
      </c>
      <c r="AE1532">
        <v>9</v>
      </c>
      <c r="AF1532" t="s">
        <v>138</v>
      </c>
      <c r="AG1532">
        <v>0</v>
      </c>
      <c r="AH1532">
        <v>3</v>
      </c>
      <c r="AI1532">
        <v>1</v>
      </c>
      <c r="AJ1532">
        <v>0</v>
      </c>
      <c r="AK1532" t="s">
        <v>570</v>
      </c>
      <c r="AL1532">
        <v>32.797128999999998</v>
      </c>
      <c r="AM1532" t="s">
        <v>571</v>
      </c>
      <c r="AN1532">
        <v>-116.88127</v>
      </c>
      <c r="AO1532">
        <v>25</v>
      </c>
      <c r="AP1532">
        <v>2600</v>
      </c>
      <c r="AQ1532" t="s">
        <v>129</v>
      </c>
      <c r="AR1532">
        <v>102</v>
      </c>
      <c r="AS1532">
        <v>-68</v>
      </c>
      <c r="AT1532">
        <v>128</v>
      </c>
      <c r="BB1532">
        <v>1200</v>
      </c>
      <c r="BC1532">
        <v>1</v>
      </c>
      <c r="BD1532" t="str">
        <f t="shared" si="515"/>
        <v xml:space="preserve">N887QR  </v>
      </c>
      <c r="BE1532">
        <v>1</v>
      </c>
      <c r="BJ1532">
        <v>2300</v>
      </c>
      <c r="BK1532">
        <v>-300</v>
      </c>
      <c r="BL1532" t="s">
        <v>163</v>
      </c>
      <c r="BM1532">
        <v>1</v>
      </c>
      <c r="BN1532">
        <v>1</v>
      </c>
      <c r="BO1532">
        <v>1</v>
      </c>
      <c r="BP1532">
        <v>0</v>
      </c>
      <c r="BS1532">
        <v>0</v>
      </c>
      <c r="BT1532">
        <v>0</v>
      </c>
      <c r="BU1532">
        <v>0</v>
      </c>
      <c r="CE1532" t="str">
        <f t="shared" si="533"/>
        <v>19:29:36.374</v>
      </c>
      <c r="CF1532">
        <v>374221765</v>
      </c>
      <c r="CS1532">
        <v>3</v>
      </c>
      <c r="CT1532">
        <v>2</v>
      </c>
      <c r="CU1532">
        <v>0</v>
      </c>
      <c r="CV1532">
        <v>2</v>
      </c>
      <c r="CW1532">
        <v>0</v>
      </c>
      <c r="CX1532">
        <v>6</v>
      </c>
      <c r="CY1532">
        <v>7</v>
      </c>
      <c r="CZ1532" t="s">
        <v>131</v>
      </c>
      <c r="DA1532">
        <v>300</v>
      </c>
      <c r="DB1532">
        <v>0</v>
      </c>
      <c r="DC1532" t="s">
        <v>176</v>
      </c>
      <c r="DD1532" t="s">
        <v>177</v>
      </c>
      <c r="DG1532">
        <v>5388701</v>
      </c>
      <c r="DI1532">
        <v>1</v>
      </c>
      <c r="DJ1532">
        <v>0</v>
      </c>
      <c r="DK1532">
        <v>1</v>
      </c>
      <c r="DL1532">
        <v>0</v>
      </c>
      <c r="DM1532">
        <v>0</v>
      </c>
      <c r="DN1532">
        <v>1</v>
      </c>
      <c r="DO1532">
        <v>0</v>
      </c>
      <c r="DP1532">
        <v>0</v>
      </c>
      <c r="DQ1532">
        <v>0</v>
      </c>
      <c r="DR1532">
        <v>0</v>
      </c>
      <c r="DS1532">
        <v>0</v>
      </c>
    </row>
    <row r="1533" spans="1:123" x14ac:dyDescent="0.3">
      <c r="A1533" t="str">
        <f>"10/04/2022 19:29:36.587"</f>
        <v>10/04/2022 19:29:36.587</v>
      </c>
      <c r="C1533" t="str">
        <f t="shared" si="528"/>
        <v>FFDDD3C0</v>
      </c>
      <c r="D1533" t="s">
        <v>141</v>
      </c>
      <c r="E1533">
        <v>4</v>
      </c>
      <c r="H1533">
        <v>4</v>
      </c>
      <c r="I1533" t="s">
        <v>142</v>
      </c>
      <c r="J1533" t="s">
        <v>138</v>
      </c>
      <c r="K1533">
        <v>0</v>
      </c>
      <c r="L1533">
        <v>3</v>
      </c>
      <c r="M1533">
        <v>0</v>
      </c>
      <c r="N1533">
        <v>2</v>
      </c>
      <c r="O1533">
        <v>0</v>
      </c>
      <c r="P1533">
        <v>1</v>
      </c>
      <c r="Q1533">
        <v>0</v>
      </c>
      <c r="S1533" t="str">
        <f t="shared" si="532"/>
        <v>19:29:36.000</v>
      </c>
      <c r="T1533" t="str">
        <f t="shared" si="532"/>
        <v>19:29:36.000</v>
      </c>
      <c r="U1533" t="str">
        <f t="shared" si="514"/>
        <v>AC3944</v>
      </c>
      <c r="V1533">
        <v>0</v>
      </c>
      <c r="W1533">
        <v>0</v>
      </c>
      <c r="X1533">
        <v>2</v>
      </c>
      <c r="Y1533">
        <v>0</v>
      </c>
      <c r="AA1533">
        <v>1</v>
      </c>
      <c r="AB1533">
        <v>8</v>
      </c>
      <c r="AC1533">
        <v>3</v>
      </c>
      <c r="AD1533">
        <v>0</v>
      </c>
      <c r="AE1533">
        <v>9</v>
      </c>
      <c r="AF1533" t="s">
        <v>138</v>
      </c>
      <c r="AG1533">
        <v>0</v>
      </c>
      <c r="AH1533">
        <v>3</v>
      </c>
      <c r="AI1533">
        <v>1</v>
      </c>
      <c r="AJ1533">
        <v>0</v>
      </c>
      <c r="AK1533" t="s">
        <v>570</v>
      </c>
      <c r="AL1533">
        <v>32.797128999999998</v>
      </c>
      <c r="AM1533" t="s">
        <v>571</v>
      </c>
      <c r="AN1533">
        <v>-116.88127</v>
      </c>
      <c r="AO1533">
        <v>25</v>
      </c>
      <c r="AP1533">
        <v>2600</v>
      </c>
      <c r="AQ1533" t="s">
        <v>129</v>
      </c>
      <c r="AR1533">
        <v>102</v>
      </c>
      <c r="AS1533">
        <v>-68</v>
      </c>
      <c r="AT1533">
        <v>128</v>
      </c>
      <c r="BB1533">
        <v>1200</v>
      </c>
      <c r="BC1533">
        <v>1</v>
      </c>
      <c r="BD1533" t="str">
        <f t="shared" si="515"/>
        <v xml:space="preserve">N887QR  </v>
      </c>
      <c r="BE1533">
        <v>1</v>
      </c>
      <c r="BJ1533">
        <v>2300</v>
      </c>
      <c r="BK1533">
        <v>-300</v>
      </c>
      <c r="BL1533" t="s">
        <v>163</v>
      </c>
      <c r="BM1533">
        <v>1</v>
      </c>
      <c r="BN1533">
        <v>1</v>
      </c>
      <c r="BO1533">
        <v>1</v>
      </c>
      <c r="BP1533">
        <v>0</v>
      </c>
      <c r="BS1533">
        <v>0</v>
      </c>
      <c r="BT1533">
        <v>0</v>
      </c>
      <c r="BU1533">
        <v>0</v>
      </c>
      <c r="CE1533" t="str">
        <f t="shared" si="533"/>
        <v>19:29:36.374</v>
      </c>
      <c r="CF1533">
        <v>374221765</v>
      </c>
      <c r="CS1533">
        <v>3</v>
      </c>
      <c r="CT1533">
        <v>2</v>
      </c>
      <c r="CU1533">
        <v>0</v>
      </c>
      <c r="CV1533">
        <v>2</v>
      </c>
      <c r="CW1533">
        <v>0</v>
      </c>
      <c r="CX1533">
        <v>6</v>
      </c>
      <c r="CY1533">
        <v>7</v>
      </c>
      <c r="CZ1533" t="s">
        <v>131</v>
      </c>
      <c r="DA1533">
        <v>300</v>
      </c>
      <c r="DB1533">
        <v>0</v>
      </c>
      <c r="DC1533" t="s">
        <v>176</v>
      </c>
      <c r="DD1533" t="s">
        <v>177</v>
      </c>
      <c r="DG1533">
        <v>5388701</v>
      </c>
      <c r="DI1533">
        <v>1</v>
      </c>
      <c r="DJ1533">
        <v>0</v>
      </c>
      <c r="DK1533">
        <v>1</v>
      </c>
      <c r="DL1533">
        <v>0</v>
      </c>
      <c r="DM1533">
        <v>0</v>
      </c>
      <c r="DN1533">
        <v>1</v>
      </c>
      <c r="DO1533">
        <v>0</v>
      </c>
      <c r="DP1533">
        <v>0</v>
      </c>
      <c r="DQ1533">
        <v>0</v>
      </c>
      <c r="DR1533">
        <v>0</v>
      </c>
      <c r="DS1533">
        <v>0</v>
      </c>
    </row>
    <row r="1534" spans="1:123" x14ac:dyDescent="0.3">
      <c r="A1534" t="str">
        <f>"10/04/2022 19:29:37.572"</f>
        <v>10/04/2022 19:29:37.572</v>
      </c>
      <c r="C1534" t="str">
        <f t="shared" si="528"/>
        <v>FFDDD3C0</v>
      </c>
      <c r="D1534" t="s">
        <v>143</v>
      </c>
      <c r="E1534">
        <v>20</v>
      </c>
      <c r="F1534">
        <v>1020</v>
      </c>
      <c r="G1534" t="s">
        <v>144</v>
      </c>
      <c r="J1534" t="s">
        <v>145</v>
      </c>
      <c r="K1534">
        <v>0</v>
      </c>
      <c r="L1534">
        <v>3</v>
      </c>
      <c r="M1534">
        <v>0</v>
      </c>
      <c r="N1534">
        <v>2</v>
      </c>
      <c r="O1534">
        <v>0</v>
      </c>
      <c r="P1534">
        <v>1</v>
      </c>
      <c r="Q1534">
        <v>0</v>
      </c>
      <c r="S1534" t="str">
        <f t="shared" ref="S1534:T1547" si="534">"19:29:37.000"</f>
        <v>19:29:37.000</v>
      </c>
      <c r="T1534" t="str">
        <f t="shared" si="534"/>
        <v>19:29:37.000</v>
      </c>
      <c r="U1534" t="str">
        <f t="shared" si="514"/>
        <v>AC3944</v>
      </c>
      <c r="V1534">
        <v>0</v>
      </c>
      <c r="W1534">
        <v>0</v>
      </c>
      <c r="X1534">
        <v>2</v>
      </c>
      <c r="Y1534">
        <v>0</v>
      </c>
      <c r="AA1534">
        <v>1</v>
      </c>
      <c r="AB1534">
        <v>8</v>
      </c>
      <c r="AC1534">
        <v>3</v>
      </c>
      <c r="AD1534">
        <v>0</v>
      </c>
      <c r="AE1534">
        <v>9</v>
      </c>
      <c r="AF1534" t="s">
        <v>138</v>
      </c>
      <c r="AG1534">
        <v>0</v>
      </c>
      <c r="AH1534">
        <v>3</v>
      </c>
      <c r="AI1534">
        <v>1</v>
      </c>
      <c r="AJ1534">
        <v>0</v>
      </c>
      <c r="AK1534" t="s">
        <v>572</v>
      </c>
      <c r="AL1534">
        <v>32.796807000000001</v>
      </c>
      <c r="AM1534" t="s">
        <v>573</v>
      </c>
      <c r="AN1534">
        <v>-116.880734</v>
      </c>
      <c r="AO1534">
        <v>25</v>
      </c>
      <c r="AP1534">
        <v>2600</v>
      </c>
      <c r="AQ1534" t="s">
        <v>129</v>
      </c>
      <c r="AR1534">
        <v>103</v>
      </c>
      <c r="AS1534">
        <v>-68</v>
      </c>
      <c r="AT1534">
        <v>128</v>
      </c>
      <c r="BB1534">
        <v>1200</v>
      </c>
      <c r="BC1534">
        <v>1</v>
      </c>
      <c r="BD1534" t="str">
        <f t="shared" si="515"/>
        <v xml:space="preserve">N887QR  </v>
      </c>
      <c r="BE1534">
        <v>1</v>
      </c>
      <c r="BJ1534">
        <v>2300</v>
      </c>
      <c r="BK1534">
        <v>-300</v>
      </c>
      <c r="BL1534" t="s">
        <v>163</v>
      </c>
      <c r="BM1534">
        <v>1</v>
      </c>
      <c r="BN1534">
        <v>1</v>
      </c>
      <c r="BO1534">
        <v>1</v>
      </c>
      <c r="BP1534">
        <v>0</v>
      </c>
      <c r="BS1534">
        <v>0</v>
      </c>
      <c r="BT1534">
        <v>0</v>
      </c>
      <c r="BU1534">
        <v>0</v>
      </c>
      <c r="CE1534" t="str">
        <f t="shared" ref="CE1534:CE1540" si="535">"19:29:37.333"</f>
        <v>19:29:37.333</v>
      </c>
      <c r="CF1534">
        <v>332725007</v>
      </c>
      <c r="CS1534">
        <v>3</v>
      </c>
      <c r="CT1534">
        <v>2</v>
      </c>
      <c r="CU1534">
        <v>0</v>
      </c>
      <c r="CV1534">
        <v>2</v>
      </c>
      <c r="CW1534">
        <v>0</v>
      </c>
      <c r="CX1534">
        <v>6</v>
      </c>
      <c r="CY1534">
        <v>7</v>
      </c>
      <c r="CZ1534" t="s">
        <v>131</v>
      </c>
      <c r="DA1534">
        <v>300</v>
      </c>
      <c r="DB1534">
        <v>0</v>
      </c>
      <c r="DC1534" t="s">
        <v>176</v>
      </c>
      <c r="DD1534" t="s">
        <v>177</v>
      </c>
      <c r="DG1534">
        <v>5388859</v>
      </c>
      <c r="DI1534">
        <v>1</v>
      </c>
      <c r="DJ1534">
        <v>0</v>
      </c>
      <c r="DK1534">
        <v>0</v>
      </c>
      <c r="DL1534">
        <v>0</v>
      </c>
      <c r="DM1534">
        <v>0</v>
      </c>
      <c r="DN1534">
        <v>1</v>
      </c>
      <c r="DO1534">
        <v>0</v>
      </c>
      <c r="DP1534">
        <v>0</v>
      </c>
      <c r="DQ1534">
        <v>0</v>
      </c>
      <c r="DR1534">
        <v>0</v>
      </c>
      <c r="DS1534">
        <v>0</v>
      </c>
    </row>
    <row r="1535" spans="1:123" x14ac:dyDescent="0.3">
      <c r="A1535" t="str">
        <f t="shared" ref="A1535:A1540" si="536">"10/04/2022 19:29:37.650"</f>
        <v>10/04/2022 19:29:37.650</v>
      </c>
      <c r="C1535" t="str">
        <f t="shared" si="528"/>
        <v>FFDDD3C0</v>
      </c>
      <c r="D1535" t="s">
        <v>123</v>
      </c>
      <c r="E1535">
        <v>7</v>
      </c>
      <c r="F1535">
        <v>2007</v>
      </c>
      <c r="G1535" t="s">
        <v>124</v>
      </c>
      <c r="J1535" t="s">
        <v>125</v>
      </c>
      <c r="K1535">
        <v>0</v>
      </c>
      <c r="L1535">
        <v>3</v>
      </c>
      <c r="M1535">
        <v>0</v>
      </c>
      <c r="N1535">
        <v>2</v>
      </c>
      <c r="O1535">
        <v>0</v>
      </c>
      <c r="P1535">
        <v>1</v>
      </c>
      <c r="Q1535">
        <v>0</v>
      </c>
      <c r="S1535" t="str">
        <f t="shared" si="534"/>
        <v>19:29:37.000</v>
      </c>
      <c r="T1535" t="str">
        <f t="shared" si="534"/>
        <v>19:29:37.000</v>
      </c>
      <c r="U1535" t="str">
        <f t="shared" si="514"/>
        <v>AC3944</v>
      </c>
      <c r="V1535">
        <v>0</v>
      </c>
      <c r="W1535">
        <v>0</v>
      </c>
      <c r="X1535">
        <v>2</v>
      </c>
      <c r="Y1535">
        <v>0</v>
      </c>
      <c r="AA1535">
        <v>1</v>
      </c>
      <c r="AB1535">
        <v>8</v>
      </c>
      <c r="AC1535">
        <v>3</v>
      </c>
      <c r="AD1535">
        <v>0</v>
      </c>
      <c r="AE1535">
        <v>9</v>
      </c>
      <c r="AF1535" t="s">
        <v>138</v>
      </c>
      <c r="AG1535">
        <v>0</v>
      </c>
      <c r="AH1535">
        <v>3</v>
      </c>
      <c r="AI1535">
        <v>1</v>
      </c>
      <c r="AJ1535">
        <v>0</v>
      </c>
      <c r="AK1535" t="s">
        <v>572</v>
      </c>
      <c r="AL1535">
        <v>32.796807000000001</v>
      </c>
      <c r="AM1535" t="s">
        <v>573</v>
      </c>
      <c r="AN1535">
        <v>-116.880734</v>
      </c>
      <c r="AO1535">
        <v>25</v>
      </c>
      <c r="AP1535">
        <v>2600</v>
      </c>
      <c r="AQ1535" t="s">
        <v>129</v>
      </c>
      <c r="AR1535">
        <v>103</v>
      </c>
      <c r="AS1535">
        <v>-68</v>
      </c>
      <c r="AT1535">
        <v>128</v>
      </c>
      <c r="BB1535">
        <v>1200</v>
      </c>
      <c r="BC1535">
        <v>1</v>
      </c>
      <c r="BD1535" t="str">
        <f t="shared" si="515"/>
        <v xml:space="preserve">N887QR  </v>
      </c>
      <c r="BE1535">
        <v>1</v>
      </c>
      <c r="BJ1535">
        <v>2300</v>
      </c>
      <c r="BK1535">
        <v>-300</v>
      </c>
      <c r="BL1535" t="s">
        <v>163</v>
      </c>
      <c r="BM1535">
        <v>1</v>
      </c>
      <c r="BN1535">
        <v>1</v>
      </c>
      <c r="BO1535">
        <v>1</v>
      </c>
      <c r="BP1535">
        <v>0</v>
      </c>
      <c r="BS1535">
        <v>0</v>
      </c>
      <c r="BT1535">
        <v>0</v>
      </c>
      <c r="BU1535">
        <v>0</v>
      </c>
      <c r="CE1535" t="str">
        <f t="shared" si="535"/>
        <v>19:29:37.333</v>
      </c>
      <c r="CF1535">
        <v>332725007</v>
      </c>
      <c r="CS1535">
        <v>3</v>
      </c>
      <c r="CT1535">
        <v>2</v>
      </c>
      <c r="CU1535">
        <v>0</v>
      </c>
      <c r="CV1535">
        <v>2</v>
      </c>
      <c r="CW1535">
        <v>0</v>
      </c>
      <c r="CX1535">
        <v>6</v>
      </c>
      <c r="CY1535">
        <v>7</v>
      </c>
      <c r="CZ1535" t="s">
        <v>131</v>
      </c>
      <c r="DA1535">
        <v>300</v>
      </c>
      <c r="DB1535">
        <v>0</v>
      </c>
      <c r="DC1535" t="s">
        <v>176</v>
      </c>
      <c r="DD1535" t="s">
        <v>177</v>
      </c>
      <c r="DG1535">
        <v>5388859</v>
      </c>
      <c r="DI1535">
        <v>1</v>
      </c>
      <c r="DJ1535">
        <v>0</v>
      </c>
      <c r="DK1535">
        <v>1</v>
      </c>
      <c r="DL1535">
        <v>0</v>
      </c>
      <c r="DM1535">
        <v>0</v>
      </c>
      <c r="DN1535">
        <v>1</v>
      </c>
      <c r="DO1535">
        <v>0</v>
      </c>
      <c r="DP1535">
        <v>0</v>
      </c>
      <c r="DQ1535">
        <v>0</v>
      </c>
      <c r="DR1535">
        <v>0</v>
      </c>
      <c r="DS1535">
        <v>0</v>
      </c>
    </row>
    <row r="1536" spans="1:123" x14ac:dyDescent="0.3">
      <c r="A1536" t="str">
        <f t="shared" si="536"/>
        <v>10/04/2022 19:29:37.650</v>
      </c>
      <c r="C1536" t="str">
        <f t="shared" si="528"/>
        <v>FFDDD3C0</v>
      </c>
      <c r="D1536" t="s">
        <v>147</v>
      </c>
      <c r="E1536">
        <v>3</v>
      </c>
      <c r="H1536">
        <v>166</v>
      </c>
      <c r="I1536" t="s">
        <v>144</v>
      </c>
      <c r="J1536" t="s">
        <v>148</v>
      </c>
      <c r="K1536">
        <v>0</v>
      </c>
      <c r="L1536">
        <v>3</v>
      </c>
      <c r="M1536">
        <v>0</v>
      </c>
      <c r="N1536">
        <v>2</v>
      </c>
      <c r="O1536">
        <v>0</v>
      </c>
      <c r="P1536">
        <v>1</v>
      </c>
      <c r="Q1536">
        <v>0</v>
      </c>
      <c r="S1536" t="str">
        <f t="shared" si="534"/>
        <v>19:29:37.000</v>
      </c>
      <c r="T1536" t="str">
        <f t="shared" si="534"/>
        <v>19:29:37.000</v>
      </c>
      <c r="U1536" t="str">
        <f t="shared" si="514"/>
        <v>AC3944</v>
      </c>
      <c r="V1536">
        <v>0</v>
      </c>
      <c r="W1536">
        <v>0</v>
      </c>
      <c r="X1536">
        <v>2</v>
      </c>
      <c r="Y1536">
        <v>0</v>
      </c>
      <c r="AA1536">
        <v>1</v>
      </c>
      <c r="AB1536">
        <v>8</v>
      </c>
      <c r="AC1536">
        <v>3</v>
      </c>
      <c r="AD1536">
        <v>0</v>
      </c>
      <c r="AE1536">
        <v>9</v>
      </c>
      <c r="AF1536" t="s">
        <v>138</v>
      </c>
      <c r="AG1536">
        <v>0</v>
      </c>
      <c r="AH1536">
        <v>3</v>
      </c>
      <c r="AI1536">
        <v>1</v>
      </c>
      <c r="AJ1536">
        <v>0</v>
      </c>
      <c r="AK1536" t="s">
        <v>572</v>
      </c>
      <c r="AL1536">
        <v>32.796807000000001</v>
      </c>
      <c r="AM1536" t="s">
        <v>573</v>
      </c>
      <c r="AN1536">
        <v>-116.880734</v>
      </c>
      <c r="AO1536">
        <v>25</v>
      </c>
      <c r="AP1536">
        <v>2600</v>
      </c>
      <c r="AQ1536" t="s">
        <v>129</v>
      </c>
      <c r="AR1536">
        <v>103</v>
      </c>
      <c r="AS1536">
        <v>-68</v>
      </c>
      <c r="AT1536">
        <v>128</v>
      </c>
      <c r="BB1536">
        <v>1200</v>
      </c>
      <c r="BC1536">
        <v>1</v>
      </c>
      <c r="BD1536" t="str">
        <f t="shared" si="515"/>
        <v xml:space="preserve">N887QR  </v>
      </c>
      <c r="BE1536">
        <v>1</v>
      </c>
      <c r="BJ1536">
        <v>2300</v>
      </c>
      <c r="BK1536">
        <v>-300</v>
      </c>
      <c r="BL1536" t="s">
        <v>163</v>
      </c>
      <c r="BM1536">
        <v>1</v>
      </c>
      <c r="BN1536">
        <v>1</v>
      </c>
      <c r="BO1536">
        <v>1</v>
      </c>
      <c r="BP1536">
        <v>0</v>
      </c>
      <c r="BS1536">
        <v>0</v>
      </c>
      <c r="BT1536">
        <v>0</v>
      </c>
      <c r="BU1536">
        <v>0</v>
      </c>
      <c r="CE1536" t="str">
        <f t="shared" si="535"/>
        <v>19:29:37.333</v>
      </c>
      <c r="CF1536">
        <v>332725007</v>
      </c>
      <c r="CS1536">
        <v>3</v>
      </c>
      <c r="CT1536">
        <v>2</v>
      </c>
      <c r="CU1536">
        <v>0</v>
      </c>
      <c r="CV1536">
        <v>2</v>
      </c>
      <c r="CW1536">
        <v>0</v>
      </c>
      <c r="CX1536">
        <v>6</v>
      </c>
      <c r="CY1536">
        <v>7</v>
      </c>
      <c r="CZ1536" t="s">
        <v>131</v>
      </c>
      <c r="DA1536">
        <v>300</v>
      </c>
      <c r="DB1536">
        <v>0</v>
      </c>
      <c r="DC1536" t="s">
        <v>176</v>
      </c>
      <c r="DD1536" t="s">
        <v>177</v>
      </c>
      <c r="DG1536">
        <v>5388859</v>
      </c>
      <c r="DI1536">
        <v>1</v>
      </c>
      <c r="DJ1536">
        <v>0</v>
      </c>
      <c r="DK1536">
        <v>1</v>
      </c>
      <c r="DL1536">
        <v>0</v>
      </c>
      <c r="DM1536">
        <v>0</v>
      </c>
      <c r="DN1536">
        <v>1</v>
      </c>
      <c r="DO1536">
        <v>0</v>
      </c>
      <c r="DP1536">
        <v>0</v>
      </c>
      <c r="DQ1536">
        <v>0</v>
      </c>
      <c r="DR1536">
        <v>0</v>
      </c>
      <c r="DS1536">
        <v>0</v>
      </c>
    </row>
    <row r="1537" spans="1:123" x14ac:dyDescent="0.3">
      <c r="A1537" t="str">
        <f t="shared" si="536"/>
        <v>10/04/2022 19:29:37.650</v>
      </c>
      <c r="C1537" t="str">
        <f t="shared" si="528"/>
        <v>FFDDD3C0</v>
      </c>
      <c r="D1537" t="s">
        <v>136</v>
      </c>
      <c r="E1537">
        <v>8</v>
      </c>
      <c r="H1537">
        <v>225</v>
      </c>
      <c r="I1537" t="s">
        <v>137</v>
      </c>
      <c r="J1537" t="s">
        <v>138</v>
      </c>
      <c r="K1537">
        <v>0</v>
      </c>
      <c r="L1537">
        <v>3</v>
      </c>
      <c r="M1537">
        <v>0</v>
      </c>
      <c r="N1537">
        <v>2</v>
      </c>
      <c r="O1537">
        <v>0</v>
      </c>
      <c r="P1537">
        <v>1</v>
      </c>
      <c r="Q1537">
        <v>0</v>
      </c>
      <c r="S1537" t="str">
        <f t="shared" si="534"/>
        <v>19:29:37.000</v>
      </c>
      <c r="T1537" t="str">
        <f t="shared" si="534"/>
        <v>19:29:37.000</v>
      </c>
      <c r="U1537" t="str">
        <f t="shared" si="514"/>
        <v>AC3944</v>
      </c>
      <c r="V1537">
        <v>0</v>
      </c>
      <c r="W1537">
        <v>0</v>
      </c>
      <c r="X1537">
        <v>2</v>
      </c>
      <c r="Y1537">
        <v>0</v>
      </c>
      <c r="AA1537">
        <v>1</v>
      </c>
      <c r="AB1537">
        <v>8</v>
      </c>
      <c r="AC1537">
        <v>3</v>
      </c>
      <c r="AD1537">
        <v>0</v>
      </c>
      <c r="AE1537">
        <v>9</v>
      </c>
      <c r="AF1537" t="s">
        <v>138</v>
      </c>
      <c r="AG1537">
        <v>0</v>
      </c>
      <c r="AH1537">
        <v>3</v>
      </c>
      <c r="AI1537">
        <v>1</v>
      </c>
      <c r="AJ1537">
        <v>0</v>
      </c>
      <c r="AK1537" t="s">
        <v>572</v>
      </c>
      <c r="AL1537">
        <v>32.796807000000001</v>
      </c>
      <c r="AM1537" t="s">
        <v>573</v>
      </c>
      <c r="AN1537">
        <v>-116.880734</v>
      </c>
      <c r="AO1537">
        <v>25</v>
      </c>
      <c r="AP1537">
        <v>2600</v>
      </c>
      <c r="AQ1537" t="s">
        <v>129</v>
      </c>
      <c r="AR1537">
        <v>103</v>
      </c>
      <c r="AS1537">
        <v>-68</v>
      </c>
      <c r="AT1537">
        <v>128</v>
      </c>
      <c r="BB1537">
        <v>1200</v>
      </c>
      <c r="BC1537">
        <v>1</v>
      </c>
      <c r="BD1537" t="str">
        <f t="shared" si="515"/>
        <v xml:space="preserve">N887QR  </v>
      </c>
      <c r="BE1537">
        <v>1</v>
      </c>
      <c r="BJ1537">
        <v>2300</v>
      </c>
      <c r="BK1537">
        <v>-300</v>
      </c>
      <c r="BL1537" t="s">
        <v>163</v>
      </c>
      <c r="BM1537">
        <v>1</v>
      </c>
      <c r="BN1537">
        <v>1</v>
      </c>
      <c r="BO1537">
        <v>1</v>
      </c>
      <c r="BP1537">
        <v>0</v>
      </c>
      <c r="BS1537">
        <v>0</v>
      </c>
      <c r="BT1537">
        <v>0</v>
      </c>
      <c r="BU1537">
        <v>0</v>
      </c>
      <c r="CE1537" t="str">
        <f t="shared" si="535"/>
        <v>19:29:37.333</v>
      </c>
      <c r="CF1537">
        <v>332725007</v>
      </c>
      <c r="CS1537">
        <v>3</v>
      </c>
      <c r="CT1537">
        <v>2</v>
      </c>
      <c r="CU1537">
        <v>0</v>
      </c>
      <c r="CV1537">
        <v>2</v>
      </c>
      <c r="CW1537">
        <v>0</v>
      </c>
      <c r="CX1537">
        <v>6</v>
      </c>
      <c r="CY1537">
        <v>7</v>
      </c>
      <c r="CZ1537" t="s">
        <v>131</v>
      </c>
      <c r="DA1537">
        <v>300</v>
      </c>
      <c r="DB1537">
        <v>0</v>
      </c>
      <c r="DC1537" t="s">
        <v>176</v>
      </c>
      <c r="DD1537" t="s">
        <v>177</v>
      </c>
      <c r="DG1537">
        <v>5388859</v>
      </c>
      <c r="DI1537">
        <v>1</v>
      </c>
      <c r="DJ1537">
        <v>0</v>
      </c>
      <c r="DK1537">
        <v>1</v>
      </c>
      <c r="DL1537">
        <v>0</v>
      </c>
      <c r="DM1537">
        <v>0</v>
      </c>
      <c r="DN1537">
        <v>1</v>
      </c>
      <c r="DO1537">
        <v>0</v>
      </c>
      <c r="DP1537">
        <v>0</v>
      </c>
      <c r="DQ1537">
        <v>0</v>
      </c>
      <c r="DR1537">
        <v>0</v>
      </c>
      <c r="DS1537">
        <v>0</v>
      </c>
    </row>
    <row r="1538" spans="1:123" x14ac:dyDescent="0.3">
      <c r="A1538" t="str">
        <f t="shared" si="536"/>
        <v>10/04/2022 19:29:37.650</v>
      </c>
      <c r="C1538" t="str">
        <f t="shared" si="528"/>
        <v>FFDDD3C0</v>
      </c>
      <c r="D1538" t="s">
        <v>134</v>
      </c>
      <c r="E1538">
        <v>15</v>
      </c>
      <c r="J1538" t="s">
        <v>135</v>
      </c>
      <c r="K1538">
        <v>0</v>
      </c>
      <c r="L1538">
        <v>3</v>
      </c>
      <c r="M1538">
        <v>0</v>
      </c>
      <c r="N1538">
        <v>2</v>
      </c>
      <c r="O1538">
        <v>0</v>
      </c>
      <c r="P1538">
        <v>1</v>
      </c>
      <c r="Q1538">
        <v>0</v>
      </c>
      <c r="S1538" t="str">
        <f t="shared" si="534"/>
        <v>19:29:37.000</v>
      </c>
      <c r="T1538" t="str">
        <f t="shared" si="534"/>
        <v>19:29:37.000</v>
      </c>
      <c r="U1538" t="str">
        <f t="shared" ref="U1538:U1601" si="537">"AC3944"</f>
        <v>AC3944</v>
      </c>
      <c r="V1538">
        <v>0</v>
      </c>
      <c r="W1538">
        <v>0</v>
      </c>
      <c r="X1538">
        <v>2</v>
      </c>
      <c r="Y1538">
        <v>0</v>
      </c>
      <c r="AA1538">
        <v>1</v>
      </c>
      <c r="AB1538">
        <v>8</v>
      </c>
      <c r="AC1538">
        <v>3</v>
      </c>
      <c r="AD1538">
        <v>0</v>
      </c>
      <c r="AE1538">
        <v>9</v>
      </c>
      <c r="AF1538" t="s">
        <v>138</v>
      </c>
      <c r="AG1538">
        <v>0</v>
      </c>
      <c r="AH1538">
        <v>3</v>
      </c>
      <c r="AI1538">
        <v>1</v>
      </c>
      <c r="AJ1538">
        <v>0</v>
      </c>
      <c r="AK1538" t="s">
        <v>572</v>
      </c>
      <c r="AL1538">
        <v>32.796807000000001</v>
      </c>
      <c r="AM1538" t="s">
        <v>573</v>
      </c>
      <c r="AN1538">
        <v>-116.880734</v>
      </c>
      <c r="AO1538">
        <v>25</v>
      </c>
      <c r="AP1538">
        <v>2600</v>
      </c>
      <c r="AQ1538" t="s">
        <v>129</v>
      </c>
      <c r="AR1538">
        <v>103</v>
      </c>
      <c r="AS1538">
        <v>-68</v>
      </c>
      <c r="AT1538">
        <v>128</v>
      </c>
      <c r="BB1538">
        <v>1200</v>
      </c>
      <c r="BC1538">
        <v>1</v>
      </c>
      <c r="BD1538" t="str">
        <f t="shared" ref="BD1538:BD1601" si="538">"N887QR  "</f>
        <v xml:space="preserve">N887QR  </v>
      </c>
      <c r="BE1538">
        <v>1</v>
      </c>
      <c r="BJ1538">
        <v>2300</v>
      </c>
      <c r="BK1538">
        <v>-300</v>
      </c>
      <c r="BL1538" t="s">
        <v>163</v>
      </c>
      <c r="BM1538">
        <v>1</v>
      </c>
      <c r="BN1538">
        <v>1</v>
      </c>
      <c r="BO1538">
        <v>1</v>
      </c>
      <c r="BP1538">
        <v>0</v>
      </c>
      <c r="BS1538">
        <v>0</v>
      </c>
      <c r="BT1538">
        <v>0</v>
      </c>
      <c r="BU1538">
        <v>0</v>
      </c>
      <c r="CE1538" t="str">
        <f t="shared" si="535"/>
        <v>19:29:37.333</v>
      </c>
      <c r="CF1538">
        <v>332725007</v>
      </c>
      <c r="CS1538">
        <v>3</v>
      </c>
      <c r="CT1538">
        <v>2</v>
      </c>
      <c r="CU1538">
        <v>0</v>
      </c>
      <c r="CV1538">
        <v>2</v>
      </c>
      <c r="CW1538">
        <v>0</v>
      </c>
      <c r="CX1538">
        <v>6</v>
      </c>
      <c r="CY1538">
        <v>7</v>
      </c>
      <c r="CZ1538" t="s">
        <v>131</v>
      </c>
      <c r="DA1538">
        <v>300</v>
      </c>
      <c r="DB1538">
        <v>0</v>
      </c>
      <c r="DC1538" t="s">
        <v>176</v>
      </c>
      <c r="DD1538" t="s">
        <v>177</v>
      </c>
      <c r="DG1538">
        <v>5388859</v>
      </c>
      <c r="DI1538">
        <v>1</v>
      </c>
      <c r="DJ1538">
        <v>0</v>
      </c>
      <c r="DK1538">
        <v>1</v>
      </c>
      <c r="DL1538">
        <v>0</v>
      </c>
      <c r="DM1538">
        <v>0</v>
      </c>
      <c r="DN1538">
        <v>1</v>
      </c>
      <c r="DO1538">
        <v>0</v>
      </c>
      <c r="DP1538">
        <v>0</v>
      </c>
      <c r="DQ1538">
        <v>0</v>
      </c>
      <c r="DR1538">
        <v>0</v>
      </c>
      <c r="DS1538">
        <v>0</v>
      </c>
    </row>
    <row r="1539" spans="1:123" x14ac:dyDescent="0.3">
      <c r="A1539" t="str">
        <f t="shared" si="536"/>
        <v>10/04/2022 19:29:37.650</v>
      </c>
      <c r="C1539" t="str">
        <f t="shared" si="528"/>
        <v>FFDDD3C0</v>
      </c>
      <c r="D1539" t="s">
        <v>141</v>
      </c>
      <c r="E1539">
        <v>4</v>
      </c>
      <c r="H1539">
        <v>4</v>
      </c>
      <c r="I1539" t="s">
        <v>142</v>
      </c>
      <c r="J1539" t="s">
        <v>138</v>
      </c>
      <c r="K1539">
        <v>0</v>
      </c>
      <c r="L1539">
        <v>3</v>
      </c>
      <c r="M1539">
        <v>0</v>
      </c>
      <c r="N1539">
        <v>2</v>
      </c>
      <c r="O1539">
        <v>0</v>
      </c>
      <c r="P1539">
        <v>1</v>
      </c>
      <c r="Q1539">
        <v>0</v>
      </c>
      <c r="S1539" t="str">
        <f t="shared" si="534"/>
        <v>19:29:37.000</v>
      </c>
      <c r="T1539" t="str">
        <f t="shared" si="534"/>
        <v>19:29:37.000</v>
      </c>
      <c r="U1539" t="str">
        <f t="shared" si="537"/>
        <v>AC3944</v>
      </c>
      <c r="V1539">
        <v>0</v>
      </c>
      <c r="W1539">
        <v>0</v>
      </c>
      <c r="X1539">
        <v>2</v>
      </c>
      <c r="Y1539">
        <v>0</v>
      </c>
      <c r="AA1539">
        <v>1</v>
      </c>
      <c r="AB1539">
        <v>8</v>
      </c>
      <c r="AC1539">
        <v>3</v>
      </c>
      <c r="AD1539">
        <v>0</v>
      </c>
      <c r="AE1539">
        <v>9</v>
      </c>
      <c r="AF1539" t="s">
        <v>138</v>
      </c>
      <c r="AG1539">
        <v>0</v>
      </c>
      <c r="AH1539">
        <v>3</v>
      </c>
      <c r="AI1539">
        <v>1</v>
      </c>
      <c r="AJ1539">
        <v>0</v>
      </c>
      <c r="AK1539" t="s">
        <v>572</v>
      </c>
      <c r="AL1539">
        <v>32.796807000000001</v>
      </c>
      <c r="AM1539" t="s">
        <v>573</v>
      </c>
      <c r="AN1539">
        <v>-116.880734</v>
      </c>
      <c r="AO1539">
        <v>25</v>
      </c>
      <c r="AP1539">
        <v>2600</v>
      </c>
      <c r="AQ1539" t="s">
        <v>129</v>
      </c>
      <c r="AR1539">
        <v>103</v>
      </c>
      <c r="AS1539">
        <v>-68</v>
      </c>
      <c r="AT1539">
        <v>128</v>
      </c>
      <c r="BB1539">
        <v>1200</v>
      </c>
      <c r="BC1539">
        <v>1</v>
      </c>
      <c r="BD1539" t="str">
        <f t="shared" si="538"/>
        <v xml:space="preserve">N887QR  </v>
      </c>
      <c r="BE1539">
        <v>1</v>
      </c>
      <c r="BJ1539">
        <v>2300</v>
      </c>
      <c r="BK1539">
        <v>-300</v>
      </c>
      <c r="BL1539" t="s">
        <v>163</v>
      </c>
      <c r="BM1539">
        <v>1</v>
      </c>
      <c r="BN1539">
        <v>1</v>
      </c>
      <c r="BO1539">
        <v>1</v>
      </c>
      <c r="BP1539">
        <v>0</v>
      </c>
      <c r="BS1539">
        <v>0</v>
      </c>
      <c r="BT1539">
        <v>0</v>
      </c>
      <c r="BU1539">
        <v>0</v>
      </c>
      <c r="CE1539" t="str">
        <f t="shared" si="535"/>
        <v>19:29:37.333</v>
      </c>
      <c r="CF1539">
        <v>332725007</v>
      </c>
      <c r="CS1539">
        <v>3</v>
      </c>
      <c r="CT1539">
        <v>2</v>
      </c>
      <c r="CU1539">
        <v>0</v>
      </c>
      <c r="CV1539">
        <v>2</v>
      </c>
      <c r="CW1539">
        <v>0</v>
      </c>
      <c r="CX1539">
        <v>6</v>
      </c>
      <c r="CY1539">
        <v>7</v>
      </c>
      <c r="CZ1539" t="s">
        <v>131</v>
      </c>
      <c r="DA1539">
        <v>300</v>
      </c>
      <c r="DB1539">
        <v>0</v>
      </c>
      <c r="DC1539" t="s">
        <v>176</v>
      </c>
      <c r="DD1539" t="s">
        <v>177</v>
      </c>
      <c r="DG1539">
        <v>5388859</v>
      </c>
      <c r="DI1539">
        <v>1</v>
      </c>
      <c r="DJ1539">
        <v>0</v>
      </c>
      <c r="DK1539">
        <v>1</v>
      </c>
      <c r="DL1539">
        <v>0</v>
      </c>
      <c r="DM1539">
        <v>0</v>
      </c>
      <c r="DN1539">
        <v>1</v>
      </c>
      <c r="DO1539">
        <v>0</v>
      </c>
      <c r="DP1539">
        <v>0</v>
      </c>
      <c r="DQ1539">
        <v>0</v>
      </c>
      <c r="DR1539">
        <v>0</v>
      </c>
      <c r="DS1539">
        <v>0</v>
      </c>
    </row>
    <row r="1540" spans="1:123" x14ac:dyDescent="0.3">
      <c r="A1540" t="str">
        <f t="shared" si="536"/>
        <v>10/04/2022 19:29:37.650</v>
      </c>
      <c r="C1540" t="str">
        <f t="shared" si="528"/>
        <v>FFDDD3C0</v>
      </c>
      <c r="D1540" t="s">
        <v>141</v>
      </c>
      <c r="E1540">
        <v>3</v>
      </c>
      <c r="H1540">
        <v>3</v>
      </c>
      <c r="I1540" t="s">
        <v>146</v>
      </c>
      <c r="J1540" t="s">
        <v>138</v>
      </c>
      <c r="K1540">
        <v>0</v>
      </c>
      <c r="L1540">
        <v>3</v>
      </c>
      <c r="M1540">
        <v>0</v>
      </c>
      <c r="N1540">
        <v>2</v>
      </c>
      <c r="O1540">
        <v>0</v>
      </c>
      <c r="P1540">
        <v>1</v>
      </c>
      <c r="Q1540">
        <v>0</v>
      </c>
      <c r="S1540" t="str">
        <f t="shared" si="534"/>
        <v>19:29:37.000</v>
      </c>
      <c r="T1540" t="str">
        <f t="shared" si="534"/>
        <v>19:29:37.000</v>
      </c>
      <c r="U1540" t="str">
        <f t="shared" si="537"/>
        <v>AC3944</v>
      </c>
      <c r="V1540">
        <v>0</v>
      </c>
      <c r="W1540">
        <v>0</v>
      </c>
      <c r="X1540">
        <v>2</v>
      </c>
      <c r="Y1540">
        <v>0</v>
      </c>
      <c r="AA1540">
        <v>1</v>
      </c>
      <c r="AB1540">
        <v>8</v>
      </c>
      <c r="AC1540">
        <v>3</v>
      </c>
      <c r="AD1540">
        <v>0</v>
      </c>
      <c r="AE1540">
        <v>9</v>
      </c>
      <c r="AF1540" t="s">
        <v>138</v>
      </c>
      <c r="AG1540">
        <v>0</v>
      </c>
      <c r="AH1540">
        <v>3</v>
      </c>
      <c r="AI1540">
        <v>1</v>
      </c>
      <c r="AJ1540">
        <v>0</v>
      </c>
      <c r="AK1540" t="s">
        <v>572</v>
      </c>
      <c r="AL1540">
        <v>32.796807000000001</v>
      </c>
      <c r="AM1540" t="s">
        <v>573</v>
      </c>
      <c r="AN1540">
        <v>-116.880734</v>
      </c>
      <c r="AO1540">
        <v>25</v>
      </c>
      <c r="AP1540">
        <v>2600</v>
      </c>
      <c r="AQ1540" t="s">
        <v>129</v>
      </c>
      <c r="AR1540">
        <v>103</v>
      </c>
      <c r="AS1540">
        <v>-68</v>
      </c>
      <c r="AT1540">
        <v>128</v>
      </c>
      <c r="BB1540">
        <v>1200</v>
      </c>
      <c r="BC1540">
        <v>1</v>
      </c>
      <c r="BD1540" t="str">
        <f t="shared" si="538"/>
        <v xml:space="preserve">N887QR  </v>
      </c>
      <c r="BE1540">
        <v>1</v>
      </c>
      <c r="BJ1540">
        <v>2300</v>
      </c>
      <c r="BK1540">
        <v>-300</v>
      </c>
      <c r="BL1540" t="s">
        <v>163</v>
      </c>
      <c r="BM1540">
        <v>1</v>
      </c>
      <c r="BN1540">
        <v>1</v>
      </c>
      <c r="BO1540">
        <v>1</v>
      </c>
      <c r="BP1540">
        <v>0</v>
      </c>
      <c r="BS1540">
        <v>0</v>
      </c>
      <c r="BT1540">
        <v>0</v>
      </c>
      <c r="BU1540">
        <v>0</v>
      </c>
      <c r="CE1540" t="str">
        <f t="shared" si="535"/>
        <v>19:29:37.333</v>
      </c>
      <c r="CF1540">
        <v>332725007</v>
      </c>
      <c r="CS1540">
        <v>3</v>
      </c>
      <c r="CT1540">
        <v>2</v>
      </c>
      <c r="CU1540">
        <v>0</v>
      </c>
      <c r="CV1540">
        <v>2</v>
      </c>
      <c r="CW1540">
        <v>0</v>
      </c>
      <c r="CX1540">
        <v>6</v>
      </c>
      <c r="CY1540">
        <v>7</v>
      </c>
      <c r="CZ1540" t="s">
        <v>131</v>
      </c>
      <c r="DA1540">
        <v>300</v>
      </c>
      <c r="DB1540">
        <v>0</v>
      </c>
      <c r="DC1540" t="s">
        <v>176</v>
      </c>
      <c r="DD1540" t="s">
        <v>177</v>
      </c>
      <c r="DG1540">
        <v>5388859</v>
      </c>
      <c r="DI1540">
        <v>1</v>
      </c>
      <c r="DJ1540">
        <v>0</v>
      </c>
      <c r="DK1540">
        <v>1</v>
      </c>
      <c r="DL1540">
        <v>0</v>
      </c>
      <c r="DM1540">
        <v>0</v>
      </c>
      <c r="DN1540">
        <v>1</v>
      </c>
      <c r="DO1540">
        <v>0</v>
      </c>
      <c r="DP1540">
        <v>0</v>
      </c>
      <c r="DQ1540">
        <v>0</v>
      </c>
      <c r="DR1540">
        <v>0</v>
      </c>
      <c r="DS1540">
        <v>0</v>
      </c>
    </row>
    <row r="1541" spans="1:123" x14ac:dyDescent="0.3">
      <c r="A1541" t="str">
        <f>"10/04/2022 19:29:38.118"</f>
        <v>10/04/2022 19:29:38.118</v>
      </c>
      <c r="C1541" t="str">
        <f t="shared" ref="C1541:C1572" si="539">"FFDFD3C0"</f>
        <v>FFDFD3C0</v>
      </c>
      <c r="D1541" t="s">
        <v>141</v>
      </c>
      <c r="E1541">
        <v>4</v>
      </c>
      <c r="H1541">
        <v>4</v>
      </c>
      <c r="I1541" t="s">
        <v>142</v>
      </c>
      <c r="J1541" t="s">
        <v>138</v>
      </c>
      <c r="K1541">
        <v>0</v>
      </c>
      <c r="L1541">
        <v>3</v>
      </c>
      <c r="M1541">
        <v>0</v>
      </c>
      <c r="N1541">
        <v>2</v>
      </c>
      <c r="O1541">
        <v>0</v>
      </c>
      <c r="P1541">
        <v>1</v>
      </c>
      <c r="Q1541">
        <v>0</v>
      </c>
      <c r="S1541" t="str">
        <f t="shared" si="534"/>
        <v>19:29:37.000</v>
      </c>
      <c r="T1541" t="str">
        <f t="shared" si="534"/>
        <v>19:29:37.000</v>
      </c>
      <c r="U1541" t="str">
        <f t="shared" si="537"/>
        <v>AC3944</v>
      </c>
      <c r="V1541">
        <v>0</v>
      </c>
      <c r="W1541">
        <v>0</v>
      </c>
      <c r="X1541">
        <v>2</v>
      </c>
      <c r="Y1541">
        <v>0</v>
      </c>
      <c r="AA1541">
        <v>1</v>
      </c>
      <c r="AB1541">
        <v>8</v>
      </c>
      <c r="AC1541">
        <v>3</v>
      </c>
      <c r="AD1541">
        <v>0</v>
      </c>
      <c r="AE1541">
        <v>9</v>
      </c>
      <c r="AF1541" t="s">
        <v>138</v>
      </c>
      <c r="AG1541">
        <v>0</v>
      </c>
      <c r="AH1541">
        <v>3</v>
      </c>
      <c r="AI1541">
        <v>1</v>
      </c>
      <c r="AJ1541">
        <v>0</v>
      </c>
      <c r="AK1541" t="s">
        <v>574</v>
      </c>
      <c r="AL1541">
        <v>32.796421000000002</v>
      </c>
      <c r="AM1541" t="s">
        <v>575</v>
      </c>
      <c r="AN1541">
        <v>-116.880047</v>
      </c>
      <c r="AO1541">
        <v>25</v>
      </c>
      <c r="AP1541">
        <v>2600</v>
      </c>
      <c r="AQ1541" t="s">
        <v>129</v>
      </c>
      <c r="AR1541">
        <v>103</v>
      </c>
      <c r="AS1541">
        <v>-67</v>
      </c>
      <c r="AT1541">
        <v>128</v>
      </c>
      <c r="BB1541">
        <v>1200</v>
      </c>
      <c r="BC1541">
        <v>1</v>
      </c>
      <c r="BD1541" t="str">
        <f t="shared" si="538"/>
        <v xml:space="preserve">N887QR  </v>
      </c>
      <c r="BE1541">
        <v>1</v>
      </c>
      <c r="BG1541">
        <v>0</v>
      </c>
      <c r="BH1541">
        <v>0</v>
      </c>
      <c r="BI1541">
        <v>0</v>
      </c>
      <c r="BJ1541">
        <v>2300</v>
      </c>
      <c r="BK1541">
        <v>-300</v>
      </c>
      <c r="BL1541" t="s">
        <v>163</v>
      </c>
      <c r="BM1541">
        <v>1</v>
      </c>
      <c r="BN1541">
        <v>1</v>
      </c>
      <c r="BO1541">
        <v>1</v>
      </c>
      <c r="BP1541">
        <v>0</v>
      </c>
      <c r="BS1541">
        <v>0</v>
      </c>
      <c r="BT1541">
        <v>0</v>
      </c>
      <c r="BU1541">
        <v>0</v>
      </c>
      <c r="CE1541" t="str">
        <f t="shared" ref="CE1541:CE1547" si="540">"19:29:37.901"</f>
        <v>19:29:37.901</v>
      </c>
      <c r="CF1541">
        <v>901468736</v>
      </c>
      <c r="CS1541">
        <v>3</v>
      </c>
      <c r="CT1541">
        <v>2</v>
      </c>
      <c r="CU1541">
        <v>0</v>
      </c>
      <c r="CV1541">
        <v>2</v>
      </c>
      <c r="CW1541">
        <v>0</v>
      </c>
      <c r="CX1541">
        <v>5</v>
      </c>
      <c r="CY1541">
        <v>7</v>
      </c>
      <c r="CZ1541" t="s">
        <v>131</v>
      </c>
      <c r="DA1541">
        <v>286</v>
      </c>
      <c r="DB1541">
        <v>0</v>
      </c>
      <c r="DC1541" t="s">
        <v>132</v>
      </c>
      <c r="DD1541" t="s">
        <v>133</v>
      </c>
      <c r="DG1541">
        <v>821965</v>
      </c>
      <c r="DI1541">
        <v>1</v>
      </c>
      <c r="DJ1541">
        <v>0</v>
      </c>
      <c r="DK1541">
        <v>0</v>
      </c>
      <c r="DL1541">
        <v>0</v>
      </c>
      <c r="DM1541">
        <v>0</v>
      </c>
      <c r="DN1541">
        <v>1</v>
      </c>
      <c r="DO1541">
        <v>0</v>
      </c>
      <c r="DP1541">
        <v>0</v>
      </c>
      <c r="DQ1541">
        <v>0</v>
      </c>
      <c r="DR1541">
        <v>0</v>
      </c>
      <c r="DS1541">
        <v>0</v>
      </c>
    </row>
    <row r="1542" spans="1:123" x14ac:dyDescent="0.3">
      <c r="A1542" t="str">
        <f>"10/04/2022 19:29:38.118"</f>
        <v>10/04/2022 19:29:38.118</v>
      </c>
      <c r="C1542" t="str">
        <f t="shared" si="539"/>
        <v>FFDFD3C0</v>
      </c>
      <c r="D1542" t="s">
        <v>134</v>
      </c>
      <c r="E1542">
        <v>15</v>
      </c>
      <c r="J1542" t="s">
        <v>135</v>
      </c>
      <c r="K1542">
        <v>0</v>
      </c>
      <c r="L1542">
        <v>3</v>
      </c>
      <c r="M1542">
        <v>0</v>
      </c>
      <c r="N1542">
        <v>2</v>
      </c>
      <c r="O1542">
        <v>0</v>
      </c>
      <c r="P1542">
        <v>1</v>
      </c>
      <c r="Q1542">
        <v>0</v>
      </c>
      <c r="S1542" t="str">
        <f t="shared" si="534"/>
        <v>19:29:37.000</v>
      </c>
      <c r="T1542" t="str">
        <f t="shared" si="534"/>
        <v>19:29:37.000</v>
      </c>
      <c r="U1542" t="str">
        <f t="shared" si="537"/>
        <v>AC3944</v>
      </c>
      <c r="V1542">
        <v>0</v>
      </c>
      <c r="W1542">
        <v>0</v>
      </c>
      <c r="X1542">
        <v>2</v>
      </c>
      <c r="Y1542">
        <v>0</v>
      </c>
      <c r="AA1542">
        <v>1</v>
      </c>
      <c r="AB1542">
        <v>8</v>
      </c>
      <c r="AC1542">
        <v>3</v>
      </c>
      <c r="AD1542">
        <v>0</v>
      </c>
      <c r="AE1542">
        <v>9</v>
      </c>
      <c r="AF1542" t="s">
        <v>138</v>
      </c>
      <c r="AG1542">
        <v>0</v>
      </c>
      <c r="AH1542">
        <v>3</v>
      </c>
      <c r="AI1542">
        <v>1</v>
      </c>
      <c r="AJ1542">
        <v>0</v>
      </c>
      <c r="AK1542" t="s">
        <v>574</v>
      </c>
      <c r="AL1542">
        <v>32.796421000000002</v>
      </c>
      <c r="AM1542" t="s">
        <v>575</v>
      </c>
      <c r="AN1542">
        <v>-116.880047</v>
      </c>
      <c r="AO1542">
        <v>25</v>
      </c>
      <c r="AP1542">
        <v>2600</v>
      </c>
      <c r="AQ1542" t="s">
        <v>129</v>
      </c>
      <c r="AR1542">
        <v>103</v>
      </c>
      <c r="AS1542">
        <v>-67</v>
      </c>
      <c r="AT1542">
        <v>128</v>
      </c>
      <c r="BB1542">
        <v>1200</v>
      </c>
      <c r="BC1542">
        <v>1</v>
      </c>
      <c r="BD1542" t="str">
        <f t="shared" si="538"/>
        <v xml:space="preserve">N887QR  </v>
      </c>
      <c r="BE1542">
        <v>1</v>
      </c>
      <c r="BG1542">
        <v>0</v>
      </c>
      <c r="BH1542">
        <v>0</v>
      </c>
      <c r="BI1542">
        <v>0</v>
      </c>
      <c r="BJ1542">
        <v>2300</v>
      </c>
      <c r="BK1542">
        <v>-300</v>
      </c>
      <c r="BL1542" t="s">
        <v>163</v>
      </c>
      <c r="BM1542">
        <v>1</v>
      </c>
      <c r="BN1542">
        <v>1</v>
      </c>
      <c r="BO1542">
        <v>1</v>
      </c>
      <c r="BP1542">
        <v>0</v>
      </c>
      <c r="BS1542">
        <v>0</v>
      </c>
      <c r="BT1542">
        <v>0</v>
      </c>
      <c r="BU1542">
        <v>0</v>
      </c>
      <c r="CE1542" t="str">
        <f t="shared" si="540"/>
        <v>19:29:37.901</v>
      </c>
      <c r="CF1542">
        <v>901468736</v>
      </c>
      <c r="CS1542">
        <v>3</v>
      </c>
      <c r="CT1542">
        <v>2</v>
      </c>
      <c r="CU1542">
        <v>0</v>
      </c>
      <c r="CV1542">
        <v>2</v>
      </c>
      <c r="CW1542">
        <v>0</v>
      </c>
      <c r="CX1542">
        <v>5</v>
      </c>
      <c r="CY1542">
        <v>7</v>
      </c>
      <c r="CZ1542" t="s">
        <v>131</v>
      </c>
      <c r="DA1542">
        <v>286</v>
      </c>
      <c r="DB1542">
        <v>0</v>
      </c>
      <c r="DC1542" t="s">
        <v>132</v>
      </c>
      <c r="DD1542" t="s">
        <v>133</v>
      </c>
      <c r="DG1542">
        <v>821965</v>
      </c>
      <c r="DI1542">
        <v>1</v>
      </c>
      <c r="DJ1542">
        <v>0</v>
      </c>
      <c r="DK1542">
        <v>1</v>
      </c>
      <c r="DL1542">
        <v>0</v>
      </c>
      <c r="DM1542">
        <v>0</v>
      </c>
      <c r="DN1542">
        <v>1</v>
      </c>
      <c r="DO1542">
        <v>0</v>
      </c>
      <c r="DP1542">
        <v>0</v>
      </c>
      <c r="DQ1542">
        <v>0</v>
      </c>
      <c r="DR1542">
        <v>0</v>
      </c>
      <c r="DS1542">
        <v>0</v>
      </c>
    </row>
    <row r="1543" spans="1:123" x14ac:dyDescent="0.3">
      <c r="A1543" t="str">
        <f>"10/04/2022 19:29:38.118"</f>
        <v>10/04/2022 19:29:38.118</v>
      </c>
      <c r="C1543" t="str">
        <f t="shared" si="539"/>
        <v>FFDFD3C0</v>
      </c>
      <c r="D1543" t="s">
        <v>141</v>
      </c>
      <c r="E1543">
        <v>3</v>
      </c>
      <c r="H1543">
        <v>3</v>
      </c>
      <c r="I1543" t="s">
        <v>146</v>
      </c>
      <c r="J1543" t="s">
        <v>138</v>
      </c>
      <c r="K1543">
        <v>0</v>
      </c>
      <c r="L1543">
        <v>3</v>
      </c>
      <c r="M1543">
        <v>0</v>
      </c>
      <c r="N1543">
        <v>2</v>
      </c>
      <c r="O1543">
        <v>0</v>
      </c>
      <c r="P1543">
        <v>1</v>
      </c>
      <c r="Q1543">
        <v>0</v>
      </c>
      <c r="S1543" t="str">
        <f t="shared" si="534"/>
        <v>19:29:37.000</v>
      </c>
      <c r="T1543" t="str">
        <f t="shared" si="534"/>
        <v>19:29:37.000</v>
      </c>
      <c r="U1543" t="str">
        <f t="shared" si="537"/>
        <v>AC3944</v>
      </c>
      <c r="V1543">
        <v>0</v>
      </c>
      <c r="W1543">
        <v>0</v>
      </c>
      <c r="X1543">
        <v>2</v>
      </c>
      <c r="Y1543">
        <v>0</v>
      </c>
      <c r="AA1543">
        <v>1</v>
      </c>
      <c r="AB1543">
        <v>8</v>
      </c>
      <c r="AC1543">
        <v>3</v>
      </c>
      <c r="AD1543">
        <v>0</v>
      </c>
      <c r="AE1543">
        <v>9</v>
      </c>
      <c r="AF1543" t="s">
        <v>138</v>
      </c>
      <c r="AG1543">
        <v>0</v>
      </c>
      <c r="AH1543">
        <v>3</v>
      </c>
      <c r="AI1543">
        <v>1</v>
      </c>
      <c r="AJ1543">
        <v>0</v>
      </c>
      <c r="AK1543" t="s">
        <v>574</v>
      </c>
      <c r="AL1543">
        <v>32.796421000000002</v>
      </c>
      <c r="AM1543" t="s">
        <v>575</v>
      </c>
      <c r="AN1543">
        <v>-116.880047</v>
      </c>
      <c r="AO1543">
        <v>25</v>
      </c>
      <c r="AP1543">
        <v>2600</v>
      </c>
      <c r="AQ1543" t="s">
        <v>129</v>
      </c>
      <c r="AR1543">
        <v>103</v>
      </c>
      <c r="AS1543">
        <v>-67</v>
      </c>
      <c r="AT1543">
        <v>128</v>
      </c>
      <c r="BB1543">
        <v>1200</v>
      </c>
      <c r="BC1543">
        <v>1</v>
      </c>
      <c r="BD1543" t="str">
        <f t="shared" si="538"/>
        <v xml:space="preserve">N887QR  </v>
      </c>
      <c r="BE1543">
        <v>1</v>
      </c>
      <c r="BG1543">
        <v>0</v>
      </c>
      <c r="BH1543">
        <v>0</v>
      </c>
      <c r="BI1543">
        <v>0</v>
      </c>
      <c r="BJ1543">
        <v>2300</v>
      </c>
      <c r="BK1543">
        <v>-300</v>
      </c>
      <c r="BL1543" t="s">
        <v>163</v>
      </c>
      <c r="BM1543">
        <v>1</v>
      </c>
      <c r="BN1543">
        <v>1</v>
      </c>
      <c r="BO1543">
        <v>1</v>
      </c>
      <c r="BP1543">
        <v>0</v>
      </c>
      <c r="BS1543">
        <v>0</v>
      </c>
      <c r="BT1543">
        <v>0</v>
      </c>
      <c r="BU1543">
        <v>0</v>
      </c>
      <c r="CE1543" t="str">
        <f t="shared" si="540"/>
        <v>19:29:37.901</v>
      </c>
      <c r="CF1543">
        <v>901468736</v>
      </c>
      <c r="CS1543">
        <v>3</v>
      </c>
      <c r="CT1543">
        <v>2</v>
      </c>
      <c r="CU1543">
        <v>0</v>
      </c>
      <c r="CV1543">
        <v>2</v>
      </c>
      <c r="CW1543">
        <v>0</v>
      </c>
      <c r="CX1543">
        <v>5</v>
      </c>
      <c r="CY1543">
        <v>7</v>
      </c>
      <c r="CZ1543" t="s">
        <v>131</v>
      </c>
      <c r="DA1543">
        <v>286</v>
      </c>
      <c r="DB1543">
        <v>0</v>
      </c>
      <c r="DC1543" t="s">
        <v>132</v>
      </c>
      <c r="DD1543" t="s">
        <v>133</v>
      </c>
      <c r="DG1543">
        <v>821965</v>
      </c>
      <c r="DI1543">
        <v>1</v>
      </c>
      <c r="DJ1543">
        <v>0</v>
      </c>
      <c r="DK1543">
        <v>1</v>
      </c>
      <c r="DL1543">
        <v>0</v>
      </c>
      <c r="DM1543">
        <v>0</v>
      </c>
      <c r="DN1543">
        <v>1</v>
      </c>
      <c r="DO1543">
        <v>0</v>
      </c>
      <c r="DP1543">
        <v>0</v>
      </c>
      <c r="DQ1543">
        <v>0</v>
      </c>
      <c r="DR1543">
        <v>0</v>
      </c>
      <c r="DS1543">
        <v>0</v>
      </c>
    </row>
    <row r="1544" spans="1:123" x14ac:dyDescent="0.3">
      <c r="A1544" t="str">
        <f>"10/04/2022 19:29:38.118"</f>
        <v>10/04/2022 19:29:38.118</v>
      </c>
      <c r="C1544" t="str">
        <f t="shared" si="539"/>
        <v>FFDFD3C0</v>
      </c>
      <c r="D1544" t="s">
        <v>143</v>
      </c>
      <c r="E1544">
        <v>20</v>
      </c>
      <c r="F1544">
        <v>1020</v>
      </c>
      <c r="G1544" t="s">
        <v>144</v>
      </c>
      <c r="J1544" t="s">
        <v>145</v>
      </c>
      <c r="K1544">
        <v>0</v>
      </c>
      <c r="L1544">
        <v>3</v>
      </c>
      <c r="M1544">
        <v>0</v>
      </c>
      <c r="N1544">
        <v>2</v>
      </c>
      <c r="O1544">
        <v>0</v>
      </c>
      <c r="P1544">
        <v>1</v>
      </c>
      <c r="Q1544">
        <v>0</v>
      </c>
      <c r="S1544" t="str">
        <f t="shared" si="534"/>
        <v>19:29:37.000</v>
      </c>
      <c r="T1544" t="str">
        <f t="shared" si="534"/>
        <v>19:29:37.000</v>
      </c>
      <c r="U1544" t="str">
        <f t="shared" si="537"/>
        <v>AC3944</v>
      </c>
      <c r="V1544">
        <v>0</v>
      </c>
      <c r="W1544">
        <v>0</v>
      </c>
      <c r="X1544">
        <v>2</v>
      </c>
      <c r="Y1544">
        <v>0</v>
      </c>
      <c r="AA1544">
        <v>1</v>
      </c>
      <c r="AB1544">
        <v>8</v>
      </c>
      <c r="AC1544">
        <v>3</v>
      </c>
      <c r="AD1544">
        <v>0</v>
      </c>
      <c r="AE1544">
        <v>9</v>
      </c>
      <c r="AF1544" t="s">
        <v>138</v>
      </c>
      <c r="AG1544">
        <v>0</v>
      </c>
      <c r="AH1544">
        <v>3</v>
      </c>
      <c r="AI1544">
        <v>1</v>
      </c>
      <c r="AJ1544">
        <v>0</v>
      </c>
      <c r="AK1544" t="s">
        <v>574</v>
      </c>
      <c r="AL1544">
        <v>32.796421000000002</v>
      </c>
      <c r="AM1544" t="s">
        <v>575</v>
      </c>
      <c r="AN1544">
        <v>-116.880047</v>
      </c>
      <c r="AO1544">
        <v>25</v>
      </c>
      <c r="AP1544">
        <v>2600</v>
      </c>
      <c r="AQ1544" t="s">
        <v>129</v>
      </c>
      <c r="AR1544">
        <v>103</v>
      </c>
      <c r="AS1544">
        <v>-67</v>
      </c>
      <c r="AT1544">
        <v>128</v>
      </c>
      <c r="BB1544">
        <v>1200</v>
      </c>
      <c r="BC1544">
        <v>1</v>
      </c>
      <c r="BD1544" t="str">
        <f t="shared" si="538"/>
        <v xml:space="preserve">N887QR  </v>
      </c>
      <c r="BE1544">
        <v>1</v>
      </c>
      <c r="BG1544">
        <v>0</v>
      </c>
      <c r="BH1544">
        <v>0</v>
      </c>
      <c r="BI1544">
        <v>0</v>
      </c>
      <c r="BJ1544">
        <v>2300</v>
      </c>
      <c r="BK1544">
        <v>-300</v>
      </c>
      <c r="BL1544" t="s">
        <v>163</v>
      </c>
      <c r="BM1544">
        <v>1</v>
      </c>
      <c r="BN1544">
        <v>1</v>
      </c>
      <c r="BO1544">
        <v>1</v>
      </c>
      <c r="BP1544">
        <v>0</v>
      </c>
      <c r="BS1544">
        <v>0</v>
      </c>
      <c r="BT1544">
        <v>0</v>
      </c>
      <c r="BU1544">
        <v>0</v>
      </c>
      <c r="CE1544" t="str">
        <f t="shared" si="540"/>
        <v>19:29:37.901</v>
      </c>
      <c r="CF1544">
        <v>901468736</v>
      </c>
      <c r="CS1544">
        <v>3</v>
      </c>
      <c r="CT1544">
        <v>2</v>
      </c>
      <c r="CU1544">
        <v>0</v>
      </c>
      <c r="CV1544">
        <v>2</v>
      </c>
      <c r="CW1544">
        <v>0</v>
      </c>
      <c r="CX1544">
        <v>5</v>
      </c>
      <c r="CY1544">
        <v>7</v>
      </c>
      <c r="CZ1544" t="s">
        <v>131</v>
      </c>
      <c r="DA1544">
        <v>286</v>
      </c>
      <c r="DB1544">
        <v>0</v>
      </c>
      <c r="DC1544" t="s">
        <v>132</v>
      </c>
      <c r="DD1544" t="s">
        <v>133</v>
      </c>
      <c r="DG1544">
        <v>821965</v>
      </c>
      <c r="DI1544">
        <v>1</v>
      </c>
      <c r="DJ1544">
        <v>0</v>
      </c>
      <c r="DK1544">
        <v>1</v>
      </c>
      <c r="DL1544">
        <v>0</v>
      </c>
      <c r="DM1544">
        <v>0</v>
      </c>
      <c r="DN1544">
        <v>1</v>
      </c>
      <c r="DO1544">
        <v>0</v>
      </c>
      <c r="DP1544">
        <v>0</v>
      </c>
      <c r="DQ1544">
        <v>0</v>
      </c>
      <c r="DR1544">
        <v>0</v>
      </c>
      <c r="DS1544">
        <v>0</v>
      </c>
    </row>
    <row r="1545" spans="1:123" x14ac:dyDescent="0.3">
      <c r="A1545" t="str">
        <f>"10/04/2022 19:29:38.118"</f>
        <v>10/04/2022 19:29:38.118</v>
      </c>
      <c r="C1545" t="str">
        <f t="shared" si="539"/>
        <v>FFDFD3C0</v>
      </c>
      <c r="D1545" t="s">
        <v>123</v>
      </c>
      <c r="E1545">
        <v>7</v>
      </c>
      <c r="F1545">
        <v>2007</v>
      </c>
      <c r="G1545" t="s">
        <v>124</v>
      </c>
      <c r="J1545" t="s">
        <v>125</v>
      </c>
      <c r="K1545">
        <v>0</v>
      </c>
      <c r="L1545">
        <v>3</v>
      </c>
      <c r="M1545">
        <v>0</v>
      </c>
      <c r="N1545">
        <v>2</v>
      </c>
      <c r="O1545">
        <v>0</v>
      </c>
      <c r="P1545">
        <v>1</v>
      </c>
      <c r="Q1545">
        <v>0</v>
      </c>
      <c r="S1545" t="str">
        <f t="shared" si="534"/>
        <v>19:29:37.000</v>
      </c>
      <c r="T1545" t="str">
        <f t="shared" si="534"/>
        <v>19:29:37.000</v>
      </c>
      <c r="U1545" t="str">
        <f t="shared" si="537"/>
        <v>AC3944</v>
      </c>
      <c r="V1545">
        <v>0</v>
      </c>
      <c r="W1545">
        <v>0</v>
      </c>
      <c r="X1545">
        <v>2</v>
      </c>
      <c r="Y1545">
        <v>0</v>
      </c>
      <c r="AA1545">
        <v>1</v>
      </c>
      <c r="AB1545">
        <v>8</v>
      </c>
      <c r="AC1545">
        <v>3</v>
      </c>
      <c r="AD1545">
        <v>0</v>
      </c>
      <c r="AE1545">
        <v>9</v>
      </c>
      <c r="AF1545" t="s">
        <v>138</v>
      </c>
      <c r="AG1545">
        <v>0</v>
      </c>
      <c r="AH1545">
        <v>3</v>
      </c>
      <c r="AI1545">
        <v>1</v>
      </c>
      <c r="AJ1545">
        <v>0</v>
      </c>
      <c r="AK1545" t="s">
        <v>574</v>
      </c>
      <c r="AL1545">
        <v>32.796421000000002</v>
      </c>
      <c r="AM1545" t="s">
        <v>575</v>
      </c>
      <c r="AN1545">
        <v>-116.880047</v>
      </c>
      <c r="AO1545">
        <v>25</v>
      </c>
      <c r="AP1545">
        <v>2600</v>
      </c>
      <c r="AQ1545" t="s">
        <v>129</v>
      </c>
      <c r="AR1545">
        <v>103</v>
      </c>
      <c r="AS1545">
        <v>-67</v>
      </c>
      <c r="AT1545">
        <v>128</v>
      </c>
      <c r="BB1545">
        <v>1200</v>
      </c>
      <c r="BC1545">
        <v>1</v>
      </c>
      <c r="BD1545" t="str">
        <f t="shared" si="538"/>
        <v xml:space="preserve">N887QR  </v>
      </c>
      <c r="BE1545">
        <v>1</v>
      </c>
      <c r="BG1545">
        <v>0</v>
      </c>
      <c r="BH1545">
        <v>0</v>
      </c>
      <c r="BI1545">
        <v>0</v>
      </c>
      <c r="BJ1545">
        <v>2300</v>
      </c>
      <c r="BK1545">
        <v>-300</v>
      </c>
      <c r="BL1545" t="s">
        <v>163</v>
      </c>
      <c r="BM1545">
        <v>1</v>
      </c>
      <c r="BN1545">
        <v>1</v>
      </c>
      <c r="BO1545">
        <v>1</v>
      </c>
      <c r="BP1545">
        <v>0</v>
      </c>
      <c r="BS1545">
        <v>0</v>
      </c>
      <c r="BT1545">
        <v>0</v>
      </c>
      <c r="BU1545">
        <v>0</v>
      </c>
      <c r="CE1545" t="str">
        <f t="shared" si="540"/>
        <v>19:29:37.901</v>
      </c>
      <c r="CF1545">
        <v>901468736</v>
      </c>
      <c r="CS1545">
        <v>3</v>
      </c>
      <c r="CT1545">
        <v>2</v>
      </c>
      <c r="CU1545">
        <v>0</v>
      </c>
      <c r="CV1545">
        <v>2</v>
      </c>
      <c r="CW1545">
        <v>0</v>
      </c>
      <c r="CX1545">
        <v>5</v>
      </c>
      <c r="CY1545">
        <v>7</v>
      </c>
      <c r="CZ1545" t="s">
        <v>131</v>
      </c>
      <c r="DA1545">
        <v>286</v>
      </c>
      <c r="DB1545">
        <v>0</v>
      </c>
      <c r="DC1545" t="s">
        <v>132</v>
      </c>
      <c r="DD1545" t="s">
        <v>133</v>
      </c>
      <c r="DG1545">
        <v>821965</v>
      </c>
      <c r="DI1545">
        <v>1</v>
      </c>
      <c r="DJ1545">
        <v>0</v>
      </c>
      <c r="DK1545">
        <v>1</v>
      </c>
      <c r="DL1545">
        <v>0</v>
      </c>
      <c r="DM1545">
        <v>0</v>
      </c>
      <c r="DN1545">
        <v>1</v>
      </c>
      <c r="DO1545">
        <v>0</v>
      </c>
      <c r="DP1545">
        <v>0</v>
      </c>
      <c r="DQ1545">
        <v>0</v>
      </c>
      <c r="DR1545">
        <v>0</v>
      </c>
      <c r="DS1545">
        <v>0</v>
      </c>
    </row>
    <row r="1546" spans="1:123" x14ac:dyDescent="0.3">
      <c r="A1546" t="str">
        <f>"10/04/2022 19:29:38.150"</f>
        <v>10/04/2022 19:29:38.150</v>
      </c>
      <c r="C1546" t="str">
        <f t="shared" si="539"/>
        <v>FFDFD3C0</v>
      </c>
      <c r="D1546" t="s">
        <v>147</v>
      </c>
      <c r="E1546">
        <v>3</v>
      </c>
      <c r="H1546">
        <v>166</v>
      </c>
      <c r="I1546" t="s">
        <v>144</v>
      </c>
      <c r="J1546" t="s">
        <v>148</v>
      </c>
      <c r="K1546">
        <v>0</v>
      </c>
      <c r="L1546">
        <v>3</v>
      </c>
      <c r="M1546">
        <v>0</v>
      </c>
      <c r="N1546">
        <v>2</v>
      </c>
      <c r="O1546">
        <v>0</v>
      </c>
      <c r="P1546">
        <v>1</v>
      </c>
      <c r="Q1546">
        <v>0</v>
      </c>
      <c r="S1546" t="str">
        <f t="shared" si="534"/>
        <v>19:29:37.000</v>
      </c>
      <c r="T1546" t="str">
        <f t="shared" si="534"/>
        <v>19:29:37.000</v>
      </c>
      <c r="U1546" t="str">
        <f t="shared" si="537"/>
        <v>AC3944</v>
      </c>
      <c r="V1546">
        <v>0</v>
      </c>
      <c r="W1546">
        <v>0</v>
      </c>
      <c r="X1546">
        <v>2</v>
      </c>
      <c r="Y1546">
        <v>0</v>
      </c>
      <c r="AA1546">
        <v>1</v>
      </c>
      <c r="AB1546">
        <v>8</v>
      </c>
      <c r="AC1546">
        <v>3</v>
      </c>
      <c r="AD1546">
        <v>0</v>
      </c>
      <c r="AE1546">
        <v>9</v>
      </c>
      <c r="AF1546" t="s">
        <v>138</v>
      </c>
      <c r="AG1546">
        <v>0</v>
      </c>
      <c r="AH1546">
        <v>3</v>
      </c>
      <c r="AI1546">
        <v>1</v>
      </c>
      <c r="AJ1546">
        <v>0</v>
      </c>
      <c r="AK1546" t="s">
        <v>574</v>
      </c>
      <c r="AL1546">
        <v>32.796421000000002</v>
      </c>
      <c r="AM1546" t="s">
        <v>575</v>
      </c>
      <c r="AN1546">
        <v>-116.880047</v>
      </c>
      <c r="AO1546">
        <v>25</v>
      </c>
      <c r="AP1546">
        <v>2600</v>
      </c>
      <c r="AQ1546" t="s">
        <v>129</v>
      </c>
      <c r="AR1546">
        <v>103</v>
      </c>
      <c r="AS1546">
        <v>-67</v>
      </c>
      <c r="AT1546">
        <v>128</v>
      </c>
      <c r="BB1546">
        <v>1200</v>
      </c>
      <c r="BC1546">
        <v>1</v>
      </c>
      <c r="BD1546" t="str">
        <f t="shared" si="538"/>
        <v xml:space="preserve">N887QR  </v>
      </c>
      <c r="BE1546">
        <v>1</v>
      </c>
      <c r="BG1546">
        <v>0</v>
      </c>
      <c r="BH1546">
        <v>0</v>
      </c>
      <c r="BI1546">
        <v>0</v>
      </c>
      <c r="BJ1546">
        <v>2300</v>
      </c>
      <c r="BK1546">
        <v>-300</v>
      </c>
      <c r="BL1546" t="s">
        <v>163</v>
      </c>
      <c r="BM1546">
        <v>1</v>
      </c>
      <c r="BN1546">
        <v>1</v>
      </c>
      <c r="BO1546">
        <v>1</v>
      </c>
      <c r="BP1546">
        <v>0</v>
      </c>
      <c r="BS1546">
        <v>0</v>
      </c>
      <c r="BT1546">
        <v>0</v>
      </c>
      <c r="BU1546">
        <v>0</v>
      </c>
      <c r="CE1546" t="str">
        <f t="shared" si="540"/>
        <v>19:29:37.901</v>
      </c>
      <c r="CF1546">
        <v>901468736</v>
      </c>
      <c r="CS1546">
        <v>3</v>
      </c>
      <c r="CT1546">
        <v>2</v>
      </c>
      <c r="CU1546">
        <v>0</v>
      </c>
      <c r="CV1546">
        <v>2</v>
      </c>
      <c r="CW1546">
        <v>0</v>
      </c>
      <c r="CX1546">
        <v>5</v>
      </c>
      <c r="CY1546">
        <v>7</v>
      </c>
      <c r="CZ1546" t="s">
        <v>131</v>
      </c>
      <c r="DA1546">
        <v>286</v>
      </c>
      <c r="DB1546">
        <v>0</v>
      </c>
      <c r="DC1546" t="s">
        <v>132</v>
      </c>
      <c r="DD1546" t="s">
        <v>133</v>
      </c>
      <c r="DG1546">
        <v>821965</v>
      </c>
      <c r="DI1546">
        <v>1</v>
      </c>
      <c r="DJ1546">
        <v>0</v>
      </c>
      <c r="DK1546">
        <v>1</v>
      </c>
      <c r="DL1546">
        <v>0</v>
      </c>
      <c r="DM1546">
        <v>0</v>
      </c>
      <c r="DN1546">
        <v>1</v>
      </c>
      <c r="DO1546">
        <v>0</v>
      </c>
      <c r="DP1546">
        <v>0</v>
      </c>
      <c r="DQ1546">
        <v>0</v>
      </c>
      <c r="DR1546">
        <v>0</v>
      </c>
      <c r="DS1546">
        <v>0</v>
      </c>
    </row>
    <row r="1547" spans="1:123" x14ac:dyDescent="0.3">
      <c r="A1547" t="str">
        <f>"10/04/2022 19:29:38.197"</f>
        <v>10/04/2022 19:29:38.197</v>
      </c>
      <c r="C1547" t="str">
        <f t="shared" si="539"/>
        <v>FFDFD3C0</v>
      </c>
      <c r="D1547" t="s">
        <v>136</v>
      </c>
      <c r="E1547">
        <v>8</v>
      </c>
      <c r="H1547">
        <v>225</v>
      </c>
      <c r="I1547" t="s">
        <v>137</v>
      </c>
      <c r="J1547" t="s">
        <v>138</v>
      </c>
      <c r="K1547">
        <v>0</v>
      </c>
      <c r="L1547">
        <v>3</v>
      </c>
      <c r="M1547">
        <v>0</v>
      </c>
      <c r="N1547">
        <v>2</v>
      </c>
      <c r="O1547">
        <v>0</v>
      </c>
      <c r="P1547">
        <v>1</v>
      </c>
      <c r="Q1547">
        <v>0</v>
      </c>
      <c r="S1547" t="str">
        <f t="shared" si="534"/>
        <v>19:29:37.000</v>
      </c>
      <c r="T1547" t="str">
        <f t="shared" si="534"/>
        <v>19:29:37.000</v>
      </c>
      <c r="U1547" t="str">
        <f t="shared" si="537"/>
        <v>AC3944</v>
      </c>
      <c r="V1547">
        <v>0</v>
      </c>
      <c r="W1547">
        <v>0</v>
      </c>
      <c r="X1547">
        <v>2</v>
      </c>
      <c r="Y1547">
        <v>0</v>
      </c>
      <c r="AA1547">
        <v>1</v>
      </c>
      <c r="AB1547">
        <v>8</v>
      </c>
      <c r="AC1547">
        <v>3</v>
      </c>
      <c r="AD1547">
        <v>0</v>
      </c>
      <c r="AE1547">
        <v>9</v>
      </c>
      <c r="AF1547" t="s">
        <v>138</v>
      </c>
      <c r="AG1547">
        <v>0</v>
      </c>
      <c r="AH1547">
        <v>3</v>
      </c>
      <c r="AI1547">
        <v>1</v>
      </c>
      <c r="AJ1547">
        <v>0</v>
      </c>
      <c r="AK1547" t="s">
        <v>574</v>
      </c>
      <c r="AL1547">
        <v>32.796421000000002</v>
      </c>
      <c r="AM1547" t="s">
        <v>575</v>
      </c>
      <c r="AN1547">
        <v>-116.880047</v>
      </c>
      <c r="AO1547">
        <v>25</v>
      </c>
      <c r="AP1547">
        <v>2600</v>
      </c>
      <c r="AQ1547" t="s">
        <v>129</v>
      </c>
      <c r="AR1547">
        <v>103</v>
      </c>
      <c r="AS1547">
        <v>-67</v>
      </c>
      <c r="AT1547">
        <v>128</v>
      </c>
      <c r="BB1547">
        <v>1200</v>
      </c>
      <c r="BC1547">
        <v>1</v>
      </c>
      <c r="BD1547" t="str">
        <f t="shared" si="538"/>
        <v xml:space="preserve">N887QR  </v>
      </c>
      <c r="BE1547">
        <v>1</v>
      </c>
      <c r="BG1547">
        <v>0</v>
      </c>
      <c r="BH1547">
        <v>0</v>
      </c>
      <c r="BI1547">
        <v>0</v>
      </c>
      <c r="BJ1547">
        <v>2300</v>
      </c>
      <c r="BK1547">
        <v>-300</v>
      </c>
      <c r="BL1547" t="s">
        <v>163</v>
      </c>
      <c r="BM1547">
        <v>1</v>
      </c>
      <c r="BN1547">
        <v>1</v>
      </c>
      <c r="BO1547">
        <v>1</v>
      </c>
      <c r="BP1547">
        <v>0</v>
      </c>
      <c r="BS1547">
        <v>0</v>
      </c>
      <c r="BT1547">
        <v>0</v>
      </c>
      <c r="BU1547">
        <v>0</v>
      </c>
      <c r="CE1547" t="str">
        <f t="shared" si="540"/>
        <v>19:29:37.901</v>
      </c>
      <c r="CF1547">
        <v>901468736</v>
      </c>
      <c r="CS1547">
        <v>3</v>
      </c>
      <c r="CT1547">
        <v>2</v>
      </c>
      <c r="CU1547">
        <v>0</v>
      </c>
      <c r="CV1547">
        <v>2</v>
      </c>
      <c r="CW1547">
        <v>0</v>
      </c>
      <c r="CX1547">
        <v>5</v>
      </c>
      <c r="CY1547">
        <v>7</v>
      </c>
      <c r="CZ1547" t="s">
        <v>131</v>
      </c>
      <c r="DA1547">
        <v>286</v>
      </c>
      <c r="DB1547">
        <v>0</v>
      </c>
      <c r="DC1547" t="s">
        <v>132</v>
      </c>
      <c r="DD1547" t="s">
        <v>133</v>
      </c>
      <c r="DG1547">
        <v>821965</v>
      </c>
      <c r="DI1547">
        <v>1</v>
      </c>
      <c r="DJ1547">
        <v>0</v>
      </c>
      <c r="DK1547">
        <v>1</v>
      </c>
      <c r="DL1547">
        <v>0</v>
      </c>
      <c r="DM1547">
        <v>0</v>
      </c>
      <c r="DN1547">
        <v>1</v>
      </c>
      <c r="DO1547">
        <v>0</v>
      </c>
      <c r="DP1547">
        <v>0</v>
      </c>
      <c r="DQ1547">
        <v>0</v>
      </c>
      <c r="DR1547">
        <v>0</v>
      </c>
      <c r="DS1547">
        <v>0</v>
      </c>
    </row>
    <row r="1548" spans="1:123" x14ac:dyDescent="0.3">
      <c r="A1548" t="str">
        <f>"10/04/2022 19:29:39.259"</f>
        <v>10/04/2022 19:29:39.259</v>
      </c>
      <c r="C1548" t="str">
        <f t="shared" si="539"/>
        <v>FFDFD3C0</v>
      </c>
      <c r="D1548" t="s">
        <v>143</v>
      </c>
      <c r="E1548">
        <v>20</v>
      </c>
      <c r="F1548">
        <v>1020</v>
      </c>
      <c r="G1548" t="s">
        <v>144</v>
      </c>
      <c r="J1548" t="s">
        <v>145</v>
      </c>
      <c r="K1548">
        <v>0</v>
      </c>
      <c r="L1548">
        <v>3</v>
      </c>
      <c r="M1548">
        <v>0</v>
      </c>
      <c r="N1548">
        <v>2</v>
      </c>
      <c r="O1548">
        <v>0</v>
      </c>
      <c r="P1548">
        <v>1</v>
      </c>
      <c r="Q1548">
        <v>0</v>
      </c>
      <c r="S1548" t="str">
        <f t="shared" ref="S1548:T1554" si="541">"19:29:39.000"</f>
        <v>19:29:39.000</v>
      </c>
      <c r="T1548" t="str">
        <f t="shared" si="541"/>
        <v>19:29:39.000</v>
      </c>
      <c r="U1548" t="str">
        <f t="shared" si="537"/>
        <v>AC3944</v>
      </c>
      <c r="V1548">
        <v>0</v>
      </c>
      <c r="W1548">
        <v>0</v>
      </c>
      <c r="X1548">
        <v>2</v>
      </c>
      <c r="Y1548">
        <v>0</v>
      </c>
      <c r="AA1548">
        <v>1</v>
      </c>
      <c r="AB1548">
        <v>8</v>
      </c>
      <c r="AC1548">
        <v>3</v>
      </c>
      <c r="AD1548">
        <v>0</v>
      </c>
      <c r="AE1548">
        <v>9</v>
      </c>
      <c r="AF1548" t="s">
        <v>138</v>
      </c>
      <c r="AG1548">
        <v>0</v>
      </c>
      <c r="AH1548">
        <v>3</v>
      </c>
      <c r="AI1548">
        <v>1</v>
      </c>
      <c r="AJ1548">
        <v>0</v>
      </c>
      <c r="AK1548" t="s">
        <v>576</v>
      </c>
      <c r="AL1548">
        <v>32.796098999999998</v>
      </c>
      <c r="AM1548" t="s">
        <v>577</v>
      </c>
      <c r="AN1548">
        <v>-116.879468</v>
      </c>
      <c r="AO1548">
        <v>25</v>
      </c>
      <c r="AP1548">
        <v>2600</v>
      </c>
      <c r="AQ1548" t="s">
        <v>129</v>
      </c>
      <c r="AR1548">
        <v>104</v>
      </c>
      <c r="AS1548">
        <v>-67</v>
      </c>
      <c r="AT1548">
        <v>0</v>
      </c>
      <c r="BB1548">
        <v>1200</v>
      </c>
      <c r="BC1548">
        <v>1</v>
      </c>
      <c r="BD1548" t="str">
        <f t="shared" si="538"/>
        <v xml:space="preserve">N887QR  </v>
      </c>
      <c r="BE1548">
        <v>1</v>
      </c>
      <c r="BG1548">
        <v>0</v>
      </c>
      <c r="BH1548">
        <v>0</v>
      </c>
      <c r="BI1548">
        <v>0</v>
      </c>
      <c r="BJ1548">
        <v>2300</v>
      </c>
      <c r="BK1548">
        <v>-300</v>
      </c>
      <c r="BL1548" t="s">
        <v>163</v>
      </c>
      <c r="BM1548">
        <v>1</v>
      </c>
      <c r="BN1548">
        <v>1</v>
      </c>
      <c r="BO1548">
        <v>1</v>
      </c>
      <c r="BP1548">
        <v>0</v>
      </c>
      <c r="BS1548">
        <v>0</v>
      </c>
      <c r="BT1548">
        <v>0</v>
      </c>
      <c r="BU1548">
        <v>0</v>
      </c>
      <c r="CE1548" t="str">
        <f t="shared" ref="CE1548:CE1554" si="542">"19:29:39.052"</f>
        <v>19:29:39.052</v>
      </c>
      <c r="CF1548">
        <v>51730722</v>
      </c>
      <c r="CS1548">
        <v>3</v>
      </c>
      <c r="CT1548">
        <v>2</v>
      </c>
      <c r="CU1548">
        <v>0</v>
      </c>
      <c r="CV1548">
        <v>2</v>
      </c>
      <c r="CW1548">
        <v>0</v>
      </c>
      <c r="CX1548">
        <v>6</v>
      </c>
      <c r="CY1548">
        <v>7</v>
      </c>
      <c r="CZ1548" t="s">
        <v>131</v>
      </c>
      <c r="DA1548">
        <v>300</v>
      </c>
      <c r="DB1548">
        <v>0</v>
      </c>
      <c r="DC1548" t="s">
        <v>176</v>
      </c>
      <c r="DD1548" t="s">
        <v>177</v>
      </c>
      <c r="DG1548">
        <v>5389129</v>
      </c>
      <c r="DI1548">
        <v>1</v>
      </c>
      <c r="DJ1548">
        <v>0</v>
      </c>
      <c r="DK1548">
        <v>0</v>
      </c>
      <c r="DL1548">
        <v>0</v>
      </c>
      <c r="DM1548">
        <v>0</v>
      </c>
      <c r="DN1548">
        <v>1</v>
      </c>
      <c r="DO1548">
        <v>0</v>
      </c>
      <c r="DP1548">
        <v>0</v>
      </c>
      <c r="DQ1548">
        <v>0</v>
      </c>
      <c r="DR1548">
        <v>0</v>
      </c>
      <c r="DS1548">
        <v>0</v>
      </c>
    </row>
    <row r="1549" spans="1:123" x14ac:dyDescent="0.3">
      <c r="A1549" t="str">
        <f>"10/04/2022 19:29:39.259"</f>
        <v>10/04/2022 19:29:39.259</v>
      </c>
      <c r="C1549" t="str">
        <f t="shared" si="539"/>
        <v>FFDFD3C0</v>
      </c>
      <c r="D1549" t="s">
        <v>123</v>
      </c>
      <c r="E1549">
        <v>7</v>
      </c>
      <c r="F1549">
        <v>2007</v>
      </c>
      <c r="G1549" t="s">
        <v>124</v>
      </c>
      <c r="J1549" t="s">
        <v>125</v>
      </c>
      <c r="K1549">
        <v>0</v>
      </c>
      <c r="L1549">
        <v>3</v>
      </c>
      <c r="M1549">
        <v>0</v>
      </c>
      <c r="N1549">
        <v>2</v>
      </c>
      <c r="O1549">
        <v>0</v>
      </c>
      <c r="P1549">
        <v>1</v>
      </c>
      <c r="Q1549">
        <v>0</v>
      </c>
      <c r="S1549" t="str">
        <f t="shared" si="541"/>
        <v>19:29:39.000</v>
      </c>
      <c r="T1549" t="str">
        <f t="shared" si="541"/>
        <v>19:29:39.000</v>
      </c>
      <c r="U1549" t="str">
        <f t="shared" si="537"/>
        <v>AC3944</v>
      </c>
      <c r="V1549">
        <v>0</v>
      </c>
      <c r="W1549">
        <v>0</v>
      </c>
      <c r="X1549">
        <v>2</v>
      </c>
      <c r="Y1549">
        <v>0</v>
      </c>
      <c r="AA1549">
        <v>1</v>
      </c>
      <c r="AB1549">
        <v>8</v>
      </c>
      <c r="AC1549">
        <v>3</v>
      </c>
      <c r="AD1549">
        <v>0</v>
      </c>
      <c r="AE1549">
        <v>9</v>
      </c>
      <c r="AF1549" t="s">
        <v>138</v>
      </c>
      <c r="AG1549">
        <v>0</v>
      </c>
      <c r="AH1549">
        <v>3</v>
      </c>
      <c r="AI1549">
        <v>1</v>
      </c>
      <c r="AJ1549">
        <v>0</v>
      </c>
      <c r="AK1549" t="s">
        <v>576</v>
      </c>
      <c r="AL1549">
        <v>32.796098999999998</v>
      </c>
      <c r="AM1549" t="s">
        <v>577</v>
      </c>
      <c r="AN1549">
        <v>-116.879468</v>
      </c>
      <c r="AO1549">
        <v>25</v>
      </c>
      <c r="AP1549">
        <v>2600</v>
      </c>
      <c r="AQ1549" t="s">
        <v>129</v>
      </c>
      <c r="AR1549">
        <v>104</v>
      </c>
      <c r="AS1549">
        <v>-67</v>
      </c>
      <c r="AT1549">
        <v>0</v>
      </c>
      <c r="BB1549">
        <v>1200</v>
      </c>
      <c r="BC1549">
        <v>1</v>
      </c>
      <c r="BD1549" t="str">
        <f t="shared" si="538"/>
        <v xml:space="preserve">N887QR  </v>
      </c>
      <c r="BE1549">
        <v>1</v>
      </c>
      <c r="BG1549">
        <v>0</v>
      </c>
      <c r="BH1549">
        <v>0</v>
      </c>
      <c r="BI1549">
        <v>0</v>
      </c>
      <c r="BJ1549">
        <v>2300</v>
      </c>
      <c r="BK1549">
        <v>-300</v>
      </c>
      <c r="BL1549" t="s">
        <v>163</v>
      </c>
      <c r="BM1549">
        <v>1</v>
      </c>
      <c r="BN1549">
        <v>1</v>
      </c>
      <c r="BO1549">
        <v>1</v>
      </c>
      <c r="BP1549">
        <v>0</v>
      </c>
      <c r="BS1549">
        <v>0</v>
      </c>
      <c r="BT1549">
        <v>0</v>
      </c>
      <c r="BU1549">
        <v>0</v>
      </c>
      <c r="CE1549" t="str">
        <f t="shared" si="542"/>
        <v>19:29:39.052</v>
      </c>
      <c r="CF1549">
        <v>51730722</v>
      </c>
      <c r="CS1549">
        <v>3</v>
      </c>
      <c r="CT1549">
        <v>2</v>
      </c>
      <c r="CU1549">
        <v>0</v>
      </c>
      <c r="CV1549">
        <v>2</v>
      </c>
      <c r="CW1549">
        <v>0</v>
      </c>
      <c r="CX1549">
        <v>6</v>
      </c>
      <c r="CY1549">
        <v>7</v>
      </c>
      <c r="CZ1549" t="s">
        <v>131</v>
      </c>
      <c r="DA1549">
        <v>300</v>
      </c>
      <c r="DB1549">
        <v>0</v>
      </c>
      <c r="DC1549" t="s">
        <v>176</v>
      </c>
      <c r="DD1549" t="s">
        <v>177</v>
      </c>
      <c r="DG1549">
        <v>5389129</v>
      </c>
      <c r="DI1549">
        <v>1</v>
      </c>
      <c r="DJ1549">
        <v>0</v>
      </c>
      <c r="DK1549">
        <v>1</v>
      </c>
      <c r="DL1549">
        <v>0</v>
      </c>
      <c r="DM1549">
        <v>0</v>
      </c>
      <c r="DN1549">
        <v>1</v>
      </c>
      <c r="DO1549">
        <v>0</v>
      </c>
      <c r="DP1549">
        <v>0</v>
      </c>
      <c r="DQ1549">
        <v>0</v>
      </c>
      <c r="DR1549">
        <v>0</v>
      </c>
      <c r="DS1549">
        <v>0</v>
      </c>
    </row>
    <row r="1550" spans="1:123" x14ac:dyDescent="0.3">
      <c r="A1550" t="str">
        <f>"10/04/2022 19:29:39.259"</f>
        <v>10/04/2022 19:29:39.259</v>
      </c>
      <c r="C1550" t="str">
        <f t="shared" si="539"/>
        <v>FFDFD3C0</v>
      </c>
      <c r="D1550" t="s">
        <v>147</v>
      </c>
      <c r="E1550">
        <v>3</v>
      </c>
      <c r="H1550">
        <v>166</v>
      </c>
      <c r="I1550" t="s">
        <v>144</v>
      </c>
      <c r="J1550" t="s">
        <v>148</v>
      </c>
      <c r="K1550">
        <v>0</v>
      </c>
      <c r="L1550">
        <v>3</v>
      </c>
      <c r="M1550">
        <v>0</v>
      </c>
      <c r="N1550">
        <v>2</v>
      </c>
      <c r="O1550">
        <v>0</v>
      </c>
      <c r="P1550">
        <v>1</v>
      </c>
      <c r="Q1550">
        <v>0</v>
      </c>
      <c r="S1550" t="str">
        <f t="shared" si="541"/>
        <v>19:29:39.000</v>
      </c>
      <c r="T1550" t="str">
        <f t="shared" si="541"/>
        <v>19:29:39.000</v>
      </c>
      <c r="U1550" t="str">
        <f t="shared" si="537"/>
        <v>AC3944</v>
      </c>
      <c r="V1550">
        <v>0</v>
      </c>
      <c r="W1550">
        <v>0</v>
      </c>
      <c r="X1550">
        <v>2</v>
      </c>
      <c r="Y1550">
        <v>0</v>
      </c>
      <c r="AA1550">
        <v>1</v>
      </c>
      <c r="AB1550">
        <v>8</v>
      </c>
      <c r="AC1550">
        <v>3</v>
      </c>
      <c r="AD1550">
        <v>0</v>
      </c>
      <c r="AE1550">
        <v>9</v>
      </c>
      <c r="AF1550" t="s">
        <v>138</v>
      </c>
      <c r="AG1550">
        <v>0</v>
      </c>
      <c r="AH1550">
        <v>3</v>
      </c>
      <c r="AI1550">
        <v>1</v>
      </c>
      <c r="AJ1550">
        <v>0</v>
      </c>
      <c r="AK1550" t="s">
        <v>576</v>
      </c>
      <c r="AL1550">
        <v>32.796098999999998</v>
      </c>
      <c r="AM1550" t="s">
        <v>577</v>
      </c>
      <c r="AN1550">
        <v>-116.879468</v>
      </c>
      <c r="AO1550">
        <v>25</v>
      </c>
      <c r="AP1550">
        <v>2600</v>
      </c>
      <c r="AQ1550" t="s">
        <v>129</v>
      </c>
      <c r="AR1550">
        <v>104</v>
      </c>
      <c r="AS1550">
        <v>-67</v>
      </c>
      <c r="AT1550">
        <v>0</v>
      </c>
      <c r="BB1550">
        <v>1200</v>
      </c>
      <c r="BC1550">
        <v>1</v>
      </c>
      <c r="BD1550" t="str">
        <f t="shared" si="538"/>
        <v xml:space="preserve">N887QR  </v>
      </c>
      <c r="BE1550">
        <v>1</v>
      </c>
      <c r="BG1550">
        <v>0</v>
      </c>
      <c r="BH1550">
        <v>0</v>
      </c>
      <c r="BI1550">
        <v>0</v>
      </c>
      <c r="BJ1550">
        <v>2300</v>
      </c>
      <c r="BK1550">
        <v>-300</v>
      </c>
      <c r="BL1550" t="s">
        <v>163</v>
      </c>
      <c r="BM1550">
        <v>1</v>
      </c>
      <c r="BN1550">
        <v>1</v>
      </c>
      <c r="BO1550">
        <v>1</v>
      </c>
      <c r="BP1550">
        <v>0</v>
      </c>
      <c r="BS1550">
        <v>0</v>
      </c>
      <c r="BT1550">
        <v>0</v>
      </c>
      <c r="BU1550">
        <v>0</v>
      </c>
      <c r="CE1550" t="str">
        <f t="shared" si="542"/>
        <v>19:29:39.052</v>
      </c>
      <c r="CF1550">
        <v>51730722</v>
      </c>
      <c r="CS1550">
        <v>3</v>
      </c>
      <c r="CT1550">
        <v>2</v>
      </c>
      <c r="CU1550">
        <v>0</v>
      </c>
      <c r="CV1550">
        <v>2</v>
      </c>
      <c r="CW1550">
        <v>0</v>
      </c>
      <c r="CX1550">
        <v>6</v>
      </c>
      <c r="CY1550">
        <v>7</v>
      </c>
      <c r="CZ1550" t="s">
        <v>131</v>
      </c>
      <c r="DA1550">
        <v>300</v>
      </c>
      <c r="DB1550">
        <v>0</v>
      </c>
      <c r="DC1550" t="s">
        <v>176</v>
      </c>
      <c r="DD1550" t="s">
        <v>177</v>
      </c>
      <c r="DG1550">
        <v>5389129</v>
      </c>
      <c r="DI1550">
        <v>1</v>
      </c>
      <c r="DJ1550">
        <v>0</v>
      </c>
      <c r="DK1550">
        <v>1</v>
      </c>
      <c r="DL1550">
        <v>0</v>
      </c>
      <c r="DM1550">
        <v>0</v>
      </c>
      <c r="DN1550">
        <v>1</v>
      </c>
      <c r="DO1550">
        <v>0</v>
      </c>
      <c r="DP1550">
        <v>0</v>
      </c>
      <c r="DQ1550">
        <v>0</v>
      </c>
      <c r="DR1550">
        <v>0</v>
      </c>
      <c r="DS1550">
        <v>0</v>
      </c>
    </row>
    <row r="1551" spans="1:123" x14ac:dyDescent="0.3">
      <c r="A1551" t="str">
        <f>"10/04/2022 19:29:39.259"</f>
        <v>10/04/2022 19:29:39.259</v>
      </c>
      <c r="C1551" t="str">
        <f t="shared" si="539"/>
        <v>FFDFD3C0</v>
      </c>
      <c r="D1551" t="s">
        <v>136</v>
      </c>
      <c r="E1551">
        <v>8</v>
      </c>
      <c r="H1551">
        <v>225</v>
      </c>
      <c r="I1551" t="s">
        <v>137</v>
      </c>
      <c r="J1551" t="s">
        <v>138</v>
      </c>
      <c r="K1551">
        <v>0</v>
      </c>
      <c r="L1551">
        <v>3</v>
      </c>
      <c r="M1551">
        <v>0</v>
      </c>
      <c r="N1551">
        <v>2</v>
      </c>
      <c r="O1551">
        <v>0</v>
      </c>
      <c r="P1551">
        <v>1</v>
      </c>
      <c r="Q1551">
        <v>0</v>
      </c>
      <c r="S1551" t="str">
        <f t="shared" si="541"/>
        <v>19:29:39.000</v>
      </c>
      <c r="T1551" t="str">
        <f t="shared" si="541"/>
        <v>19:29:39.000</v>
      </c>
      <c r="U1551" t="str">
        <f t="shared" si="537"/>
        <v>AC3944</v>
      </c>
      <c r="V1551">
        <v>0</v>
      </c>
      <c r="W1551">
        <v>0</v>
      </c>
      <c r="X1551">
        <v>2</v>
      </c>
      <c r="Y1551">
        <v>0</v>
      </c>
      <c r="AA1551">
        <v>1</v>
      </c>
      <c r="AB1551">
        <v>8</v>
      </c>
      <c r="AC1551">
        <v>3</v>
      </c>
      <c r="AD1551">
        <v>0</v>
      </c>
      <c r="AE1551">
        <v>9</v>
      </c>
      <c r="AF1551" t="s">
        <v>138</v>
      </c>
      <c r="AG1551">
        <v>0</v>
      </c>
      <c r="AH1551">
        <v>3</v>
      </c>
      <c r="AI1551">
        <v>1</v>
      </c>
      <c r="AJ1551">
        <v>0</v>
      </c>
      <c r="AK1551" t="s">
        <v>576</v>
      </c>
      <c r="AL1551">
        <v>32.796098999999998</v>
      </c>
      <c r="AM1551" t="s">
        <v>577</v>
      </c>
      <c r="AN1551">
        <v>-116.879468</v>
      </c>
      <c r="AO1551">
        <v>25</v>
      </c>
      <c r="AP1551">
        <v>2600</v>
      </c>
      <c r="AQ1551" t="s">
        <v>129</v>
      </c>
      <c r="AR1551">
        <v>104</v>
      </c>
      <c r="AS1551">
        <v>-67</v>
      </c>
      <c r="AT1551">
        <v>0</v>
      </c>
      <c r="BB1551">
        <v>1200</v>
      </c>
      <c r="BC1551">
        <v>1</v>
      </c>
      <c r="BD1551" t="str">
        <f t="shared" si="538"/>
        <v xml:space="preserve">N887QR  </v>
      </c>
      <c r="BE1551">
        <v>1</v>
      </c>
      <c r="BG1551">
        <v>0</v>
      </c>
      <c r="BH1551">
        <v>0</v>
      </c>
      <c r="BI1551">
        <v>0</v>
      </c>
      <c r="BJ1551">
        <v>2300</v>
      </c>
      <c r="BK1551">
        <v>-300</v>
      </c>
      <c r="BL1551" t="s">
        <v>163</v>
      </c>
      <c r="BM1551">
        <v>1</v>
      </c>
      <c r="BN1551">
        <v>1</v>
      </c>
      <c r="BO1551">
        <v>1</v>
      </c>
      <c r="BP1551">
        <v>0</v>
      </c>
      <c r="BS1551">
        <v>0</v>
      </c>
      <c r="BT1551">
        <v>0</v>
      </c>
      <c r="BU1551">
        <v>0</v>
      </c>
      <c r="CE1551" t="str">
        <f t="shared" si="542"/>
        <v>19:29:39.052</v>
      </c>
      <c r="CF1551">
        <v>51730722</v>
      </c>
      <c r="CS1551">
        <v>3</v>
      </c>
      <c r="CT1551">
        <v>2</v>
      </c>
      <c r="CU1551">
        <v>0</v>
      </c>
      <c r="CV1551">
        <v>2</v>
      </c>
      <c r="CW1551">
        <v>0</v>
      </c>
      <c r="CX1551">
        <v>6</v>
      </c>
      <c r="CY1551">
        <v>7</v>
      </c>
      <c r="CZ1551" t="s">
        <v>131</v>
      </c>
      <c r="DA1551">
        <v>300</v>
      </c>
      <c r="DB1551">
        <v>0</v>
      </c>
      <c r="DC1551" t="s">
        <v>176</v>
      </c>
      <c r="DD1551" t="s">
        <v>177</v>
      </c>
      <c r="DG1551">
        <v>5389129</v>
      </c>
      <c r="DI1551">
        <v>1</v>
      </c>
      <c r="DJ1551">
        <v>0</v>
      </c>
      <c r="DK1551">
        <v>1</v>
      </c>
      <c r="DL1551">
        <v>0</v>
      </c>
      <c r="DM1551">
        <v>0</v>
      </c>
      <c r="DN1551">
        <v>1</v>
      </c>
      <c r="DO1551">
        <v>0</v>
      </c>
      <c r="DP1551">
        <v>0</v>
      </c>
      <c r="DQ1551">
        <v>0</v>
      </c>
      <c r="DR1551">
        <v>0</v>
      </c>
      <c r="DS1551">
        <v>0</v>
      </c>
    </row>
    <row r="1552" spans="1:123" x14ac:dyDescent="0.3">
      <c r="A1552" t="str">
        <f>"10/04/2022 19:29:39.259"</f>
        <v>10/04/2022 19:29:39.259</v>
      </c>
      <c r="C1552" t="str">
        <f t="shared" si="539"/>
        <v>FFDFD3C0</v>
      </c>
      <c r="D1552" t="s">
        <v>141</v>
      </c>
      <c r="E1552">
        <v>4</v>
      </c>
      <c r="H1552">
        <v>4</v>
      </c>
      <c r="I1552" t="s">
        <v>142</v>
      </c>
      <c r="J1552" t="s">
        <v>138</v>
      </c>
      <c r="K1552">
        <v>0</v>
      </c>
      <c r="L1552">
        <v>3</v>
      </c>
      <c r="M1552">
        <v>0</v>
      </c>
      <c r="N1552">
        <v>2</v>
      </c>
      <c r="O1552">
        <v>0</v>
      </c>
      <c r="P1552">
        <v>1</v>
      </c>
      <c r="Q1552">
        <v>0</v>
      </c>
      <c r="S1552" t="str">
        <f t="shared" si="541"/>
        <v>19:29:39.000</v>
      </c>
      <c r="T1552" t="str">
        <f t="shared" si="541"/>
        <v>19:29:39.000</v>
      </c>
      <c r="U1552" t="str">
        <f t="shared" si="537"/>
        <v>AC3944</v>
      </c>
      <c r="V1552">
        <v>0</v>
      </c>
      <c r="W1552">
        <v>0</v>
      </c>
      <c r="X1552">
        <v>2</v>
      </c>
      <c r="Y1552">
        <v>0</v>
      </c>
      <c r="AA1552">
        <v>1</v>
      </c>
      <c r="AB1552">
        <v>8</v>
      </c>
      <c r="AC1552">
        <v>3</v>
      </c>
      <c r="AD1552">
        <v>0</v>
      </c>
      <c r="AE1552">
        <v>9</v>
      </c>
      <c r="AF1552" t="s">
        <v>138</v>
      </c>
      <c r="AG1552">
        <v>0</v>
      </c>
      <c r="AH1552">
        <v>3</v>
      </c>
      <c r="AI1552">
        <v>1</v>
      </c>
      <c r="AJ1552">
        <v>0</v>
      </c>
      <c r="AK1552" t="s">
        <v>576</v>
      </c>
      <c r="AL1552">
        <v>32.796098999999998</v>
      </c>
      <c r="AM1552" t="s">
        <v>577</v>
      </c>
      <c r="AN1552">
        <v>-116.879468</v>
      </c>
      <c r="AO1552">
        <v>25</v>
      </c>
      <c r="AP1552">
        <v>2600</v>
      </c>
      <c r="AQ1552" t="s">
        <v>129</v>
      </c>
      <c r="AR1552">
        <v>104</v>
      </c>
      <c r="AS1552">
        <v>-67</v>
      </c>
      <c r="AT1552">
        <v>0</v>
      </c>
      <c r="BB1552">
        <v>1200</v>
      </c>
      <c r="BC1552">
        <v>1</v>
      </c>
      <c r="BD1552" t="str">
        <f t="shared" si="538"/>
        <v xml:space="preserve">N887QR  </v>
      </c>
      <c r="BE1552">
        <v>1</v>
      </c>
      <c r="BG1552">
        <v>0</v>
      </c>
      <c r="BH1552">
        <v>0</v>
      </c>
      <c r="BI1552">
        <v>0</v>
      </c>
      <c r="BJ1552">
        <v>2300</v>
      </c>
      <c r="BK1552">
        <v>-300</v>
      </c>
      <c r="BL1552" t="s">
        <v>163</v>
      </c>
      <c r="BM1552">
        <v>1</v>
      </c>
      <c r="BN1552">
        <v>1</v>
      </c>
      <c r="BO1552">
        <v>1</v>
      </c>
      <c r="BP1552">
        <v>0</v>
      </c>
      <c r="BS1552">
        <v>0</v>
      </c>
      <c r="BT1552">
        <v>0</v>
      </c>
      <c r="BU1552">
        <v>0</v>
      </c>
      <c r="CE1552" t="str">
        <f t="shared" si="542"/>
        <v>19:29:39.052</v>
      </c>
      <c r="CF1552">
        <v>51730722</v>
      </c>
      <c r="CS1552">
        <v>3</v>
      </c>
      <c r="CT1552">
        <v>2</v>
      </c>
      <c r="CU1552">
        <v>0</v>
      </c>
      <c r="CV1552">
        <v>2</v>
      </c>
      <c r="CW1552">
        <v>0</v>
      </c>
      <c r="CX1552">
        <v>6</v>
      </c>
      <c r="CY1552">
        <v>7</v>
      </c>
      <c r="CZ1552" t="s">
        <v>131</v>
      </c>
      <c r="DA1552">
        <v>300</v>
      </c>
      <c r="DB1552">
        <v>0</v>
      </c>
      <c r="DC1552" t="s">
        <v>176</v>
      </c>
      <c r="DD1552" t="s">
        <v>177</v>
      </c>
      <c r="DG1552">
        <v>5389129</v>
      </c>
      <c r="DI1552">
        <v>1</v>
      </c>
      <c r="DJ1552">
        <v>0</v>
      </c>
      <c r="DK1552">
        <v>1</v>
      </c>
      <c r="DL1552">
        <v>0</v>
      </c>
      <c r="DM1552">
        <v>0</v>
      </c>
      <c r="DN1552">
        <v>1</v>
      </c>
      <c r="DO1552">
        <v>0</v>
      </c>
      <c r="DP1552">
        <v>0</v>
      </c>
      <c r="DQ1552">
        <v>0</v>
      </c>
      <c r="DR1552">
        <v>0</v>
      </c>
      <c r="DS1552">
        <v>0</v>
      </c>
    </row>
    <row r="1553" spans="1:123" x14ac:dyDescent="0.3">
      <c r="A1553" t="str">
        <f>"10/04/2022 19:29:39.275"</f>
        <v>10/04/2022 19:29:39.275</v>
      </c>
      <c r="C1553" t="str">
        <f t="shared" si="539"/>
        <v>FFDFD3C0</v>
      </c>
      <c r="D1553" t="s">
        <v>141</v>
      </c>
      <c r="E1553">
        <v>3</v>
      </c>
      <c r="H1553">
        <v>3</v>
      </c>
      <c r="I1553" t="s">
        <v>146</v>
      </c>
      <c r="J1553" t="s">
        <v>138</v>
      </c>
      <c r="K1553">
        <v>0</v>
      </c>
      <c r="L1553">
        <v>3</v>
      </c>
      <c r="M1553">
        <v>0</v>
      </c>
      <c r="N1553">
        <v>2</v>
      </c>
      <c r="O1553">
        <v>0</v>
      </c>
      <c r="P1553">
        <v>1</v>
      </c>
      <c r="Q1553">
        <v>0</v>
      </c>
      <c r="S1553" t="str">
        <f t="shared" si="541"/>
        <v>19:29:39.000</v>
      </c>
      <c r="T1553" t="str">
        <f t="shared" si="541"/>
        <v>19:29:39.000</v>
      </c>
      <c r="U1553" t="str">
        <f t="shared" si="537"/>
        <v>AC3944</v>
      </c>
      <c r="V1553">
        <v>0</v>
      </c>
      <c r="W1553">
        <v>0</v>
      </c>
      <c r="X1553">
        <v>2</v>
      </c>
      <c r="Y1553">
        <v>0</v>
      </c>
      <c r="AA1553">
        <v>1</v>
      </c>
      <c r="AB1553">
        <v>8</v>
      </c>
      <c r="AC1553">
        <v>3</v>
      </c>
      <c r="AD1553">
        <v>0</v>
      </c>
      <c r="AE1553">
        <v>9</v>
      </c>
      <c r="AF1553" t="s">
        <v>138</v>
      </c>
      <c r="AG1553">
        <v>0</v>
      </c>
      <c r="AH1553">
        <v>3</v>
      </c>
      <c r="AI1553">
        <v>1</v>
      </c>
      <c r="AJ1553">
        <v>0</v>
      </c>
      <c r="AK1553" t="s">
        <v>576</v>
      </c>
      <c r="AL1553">
        <v>32.796098999999998</v>
      </c>
      <c r="AM1553" t="s">
        <v>577</v>
      </c>
      <c r="AN1553">
        <v>-116.879468</v>
      </c>
      <c r="AO1553">
        <v>25</v>
      </c>
      <c r="AP1553">
        <v>2600</v>
      </c>
      <c r="AQ1553" t="s">
        <v>129</v>
      </c>
      <c r="AR1553">
        <v>104</v>
      </c>
      <c r="AS1553">
        <v>-67</v>
      </c>
      <c r="AT1553">
        <v>0</v>
      </c>
      <c r="BB1553">
        <v>1200</v>
      </c>
      <c r="BC1553">
        <v>1</v>
      </c>
      <c r="BD1553" t="str">
        <f t="shared" si="538"/>
        <v xml:space="preserve">N887QR  </v>
      </c>
      <c r="BE1553">
        <v>1</v>
      </c>
      <c r="BG1553">
        <v>0</v>
      </c>
      <c r="BH1553">
        <v>0</v>
      </c>
      <c r="BI1553">
        <v>0</v>
      </c>
      <c r="BJ1553">
        <v>2300</v>
      </c>
      <c r="BK1553">
        <v>-300</v>
      </c>
      <c r="BL1553" t="s">
        <v>163</v>
      </c>
      <c r="BM1553">
        <v>1</v>
      </c>
      <c r="BN1553">
        <v>1</v>
      </c>
      <c r="BO1553">
        <v>1</v>
      </c>
      <c r="BP1553">
        <v>0</v>
      </c>
      <c r="BS1553">
        <v>0</v>
      </c>
      <c r="BT1553">
        <v>0</v>
      </c>
      <c r="BU1553">
        <v>0</v>
      </c>
      <c r="CE1553" t="str">
        <f t="shared" si="542"/>
        <v>19:29:39.052</v>
      </c>
      <c r="CF1553">
        <v>51730722</v>
      </c>
      <c r="CS1553">
        <v>3</v>
      </c>
      <c r="CT1553">
        <v>2</v>
      </c>
      <c r="CU1553">
        <v>0</v>
      </c>
      <c r="CV1553">
        <v>2</v>
      </c>
      <c r="CW1553">
        <v>0</v>
      </c>
      <c r="CX1553">
        <v>6</v>
      </c>
      <c r="CY1553">
        <v>7</v>
      </c>
      <c r="CZ1553" t="s">
        <v>131</v>
      </c>
      <c r="DA1553">
        <v>300</v>
      </c>
      <c r="DB1553">
        <v>0</v>
      </c>
      <c r="DC1553" t="s">
        <v>176</v>
      </c>
      <c r="DD1553" t="s">
        <v>177</v>
      </c>
      <c r="DG1553">
        <v>5389129</v>
      </c>
      <c r="DI1553">
        <v>1</v>
      </c>
      <c r="DJ1553">
        <v>0</v>
      </c>
      <c r="DK1553">
        <v>1</v>
      </c>
      <c r="DL1553">
        <v>0</v>
      </c>
      <c r="DM1553">
        <v>0</v>
      </c>
      <c r="DN1553">
        <v>1</v>
      </c>
      <c r="DO1553">
        <v>0</v>
      </c>
      <c r="DP1553">
        <v>0</v>
      </c>
      <c r="DQ1553">
        <v>0</v>
      </c>
      <c r="DR1553">
        <v>0</v>
      </c>
      <c r="DS1553">
        <v>0</v>
      </c>
    </row>
    <row r="1554" spans="1:123" x14ac:dyDescent="0.3">
      <c r="A1554" t="str">
        <f>"10/04/2022 19:29:39.275"</f>
        <v>10/04/2022 19:29:39.275</v>
      </c>
      <c r="C1554" t="str">
        <f t="shared" si="539"/>
        <v>FFDFD3C0</v>
      </c>
      <c r="D1554" t="s">
        <v>134</v>
      </c>
      <c r="E1554">
        <v>15</v>
      </c>
      <c r="J1554" t="s">
        <v>135</v>
      </c>
      <c r="K1554">
        <v>0</v>
      </c>
      <c r="L1554">
        <v>3</v>
      </c>
      <c r="M1554">
        <v>0</v>
      </c>
      <c r="N1554">
        <v>2</v>
      </c>
      <c r="O1554">
        <v>0</v>
      </c>
      <c r="P1554">
        <v>1</v>
      </c>
      <c r="Q1554">
        <v>0</v>
      </c>
      <c r="S1554" t="str">
        <f t="shared" si="541"/>
        <v>19:29:39.000</v>
      </c>
      <c r="T1554" t="str">
        <f t="shared" si="541"/>
        <v>19:29:39.000</v>
      </c>
      <c r="U1554" t="str">
        <f t="shared" si="537"/>
        <v>AC3944</v>
      </c>
      <c r="V1554">
        <v>0</v>
      </c>
      <c r="W1554">
        <v>0</v>
      </c>
      <c r="X1554">
        <v>2</v>
      </c>
      <c r="Y1554">
        <v>0</v>
      </c>
      <c r="AA1554">
        <v>1</v>
      </c>
      <c r="AB1554">
        <v>8</v>
      </c>
      <c r="AC1554">
        <v>3</v>
      </c>
      <c r="AD1554">
        <v>0</v>
      </c>
      <c r="AE1554">
        <v>9</v>
      </c>
      <c r="AF1554" t="s">
        <v>138</v>
      </c>
      <c r="AG1554">
        <v>0</v>
      </c>
      <c r="AH1554">
        <v>3</v>
      </c>
      <c r="AI1554">
        <v>1</v>
      </c>
      <c r="AJ1554">
        <v>0</v>
      </c>
      <c r="AK1554" t="s">
        <v>576</v>
      </c>
      <c r="AL1554">
        <v>32.796098999999998</v>
      </c>
      <c r="AM1554" t="s">
        <v>577</v>
      </c>
      <c r="AN1554">
        <v>-116.879468</v>
      </c>
      <c r="AO1554">
        <v>25</v>
      </c>
      <c r="AP1554">
        <v>2600</v>
      </c>
      <c r="AQ1554" t="s">
        <v>129</v>
      </c>
      <c r="AR1554">
        <v>104</v>
      </c>
      <c r="AS1554">
        <v>-67</v>
      </c>
      <c r="AT1554">
        <v>0</v>
      </c>
      <c r="BB1554">
        <v>1200</v>
      </c>
      <c r="BC1554">
        <v>1</v>
      </c>
      <c r="BD1554" t="str">
        <f t="shared" si="538"/>
        <v xml:space="preserve">N887QR  </v>
      </c>
      <c r="BE1554">
        <v>1</v>
      </c>
      <c r="BG1554">
        <v>0</v>
      </c>
      <c r="BH1554">
        <v>0</v>
      </c>
      <c r="BI1554">
        <v>0</v>
      </c>
      <c r="BJ1554">
        <v>2300</v>
      </c>
      <c r="BK1554">
        <v>-300</v>
      </c>
      <c r="BL1554" t="s">
        <v>163</v>
      </c>
      <c r="BM1554">
        <v>1</v>
      </c>
      <c r="BN1554">
        <v>1</v>
      </c>
      <c r="BO1554">
        <v>1</v>
      </c>
      <c r="BP1554">
        <v>0</v>
      </c>
      <c r="BS1554">
        <v>0</v>
      </c>
      <c r="BT1554">
        <v>0</v>
      </c>
      <c r="BU1554">
        <v>0</v>
      </c>
      <c r="CE1554" t="str">
        <f t="shared" si="542"/>
        <v>19:29:39.052</v>
      </c>
      <c r="CF1554">
        <v>51730722</v>
      </c>
      <c r="CS1554">
        <v>3</v>
      </c>
      <c r="CT1554">
        <v>2</v>
      </c>
      <c r="CU1554">
        <v>0</v>
      </c>
      <c r="CV1554">
        <v>2</v>
      </c>
      <c r="CW1554">
        <v>0</v>
      </c>
      <c r="CX1554">
        <v>6</v>
      </c>
      <c r="CY1554">
        <v>7</v>
      </c>
      <c r="CZ1554" t="s">
        <v>131</v>
      </c>
      <c r="DA1554">
        <v>300</v>
      </c>
      <c r="DB1554">
        <v>0</v>
      </c>
      <c r="DC1554" t="s">
        <v>176</v>
      </c>
      <c r="DD1554" t="s">
        <v>177</v>
      </c>
      <c r="DG1554">
        <v>5389129</v>
      </c>
      <c r="DI1554">
        <v>1</v>
      </c>
      <c r="DJ1554">
        <v>0</v>
      </c>
      <c r="DK1554">
        <v>1</v>
      </c>
      <c r="DL1554">
        <v>0</v>
      </c>
      <c r="DM1554">
        <v>0</v>
      </c>
      <c r="DN1554">
        <v>1</v>
      </c>
      <c r="DO1554">
        <v>0</v>
      </c>
      <c r="DP1554">
        <v>0</v>
      </c>
      <c r="DQ1554">
        <v>0</v>
      </c>
      <c r="DR1554">
        <v>0</v>
      </c>
      <c r="DS1554">
        <v>0</v>
      </c>
    </row>
    <row r="1555" spans="1:123" x14ac:dyDescent="0.3">
      <c r="A1555" t="str">
        <f>"10/04/2022 19:29:40.620"</f>
        <v>10/04/2022 19:29:40.620</v>
      </c>
      <c r="C1555" t="str">
        <f t="shared" si="539"/>
        <v>FFDFD3C0</v>
      </c>
      <c r="D1555" t="s">
        <v>136</v>
      </c>
      <c r="E1555">
        <v>8</v>
      </c>
      <c r="H1555">
        <v>225</v>
      </c>
      <c r="I1555" t="s">
        <v>137</v>
      </c>
      <c r="J1555" t="s">
        <v>138</v>
      </c>
      <c r="K1555">
        <v>0</v>
      </c>
      <c r="L1555">
        <v>3</v>
      </c>
      <c r="M1555">
        <v>0</v>
      </c>
      <c r="N1555">
        <v>2</v>
      </c>
      <c r="O1555">
        <v>0</v>
      </c>
      <c r="P1555">
        <v>1</v>
      </c>
      <c r="Q1555">
        <v>0</v>
      </c>
      <c r="S1555" t="str">
        <f t="shared" ref="S1555:T1561" si="543">"19:29:40.000"</f>
        <v>19:29:40.000</v>
      </c>
      <c r="T1555" t="str">
        <f t="shared" si="543"/>
        <v>19:29:40.000</v>
      </c>
      <c r="U1555" t="str">
        <f t="shared" si="537"/>
        <v>AC3944</v>
      </c>
      <c r="V1555">
        <v>0</v>
      </c>
      <c r="W1555">
        <v>0</v>
      </c>
      <c r="X1555">
        <v>2</v>
      </c>
      <c r="Y1555">
        <v>0</v>
      </c>
      <c r="AA1555">
        <v>1</v>
      </c>
      <c r="AB1555">
        <v>8</v>
      </c>
      <c r="AC1555">
        <v>3</v>
      </c>
      <c r="AD1555">
        <v>0</v>
      </c>
      <c r="AE1555">
        <v>9</v>
      </c>
      <c r="AF1555" t="s">
        <v>138</v>
      </c>
      <c r="AG1555">
        <v>0</v>
      </c>
      <c r="AH1555">
        <v>3</v>
      </c>
      <c r="AI1555">
        <v>1</v>
      </c>
      <c r="AJ1555">
        <v>0</v>
      </c>
      <c r="AK1555" t="s">
        <v>578</v>
      </c>
      <c r="AL1555">
        <v>32.795799000000002</v>
      </c>
      <c r="AM1555" t="s">
        <v>579</v>
      </c>
      <c r="AN1555">
        <v>-116.878889</v>
      </c>
      <c r="AO1555">
        <v>25</v>
      </c>
      <c r="AP1555">
        <v>2600</v>
      </c>
      <c r="AQ1555" t="s">
        <v>129</v>
      </c>
      <c r="AR1555">
        <v>104</v>
      </c>
      <c r="AS1555">
        <v>-68</v>
      </c>
      <c r="AT1555">
        <v>0</v>
      </c>
      <c r="BB1555">
        <v>1200</v>
      </c>
      <c r="BC1555">
        <v>1</v>
      </c>
      <c r="BD1555" t="str">
        <f t="shared" si="538"/>
        <v xml:space="preserve">N887QR  </v>
      </c>
      <c r="BE1555">
        <v>1</v>
      </c>
      <c r="BG1555">
        <v>0</v>
      </c>
      <c r="BH1555">
        <v>0</v>
      </c>
      <c r="BI1555">
        <v>0</v>
      </c>
      <c r="BJ1555">
        <v>2300</v>
      </c>
      <c r="BK1555">
        <v>-300</v>
      </c>
      <c r="BL1555" t="s">
        <v>163</v>
      </c>
      <c r="BM1555">
        <v>1</v>
      </c>
      <c r="BN1555">
        <v>1</v>
      </c>
      <c r="BO1555">
        <v>1</v>
      </c>
      <c r="BP1555">
        <v>0</v>
      </c>
      <c r="BS1555">
        <v>0</v>
      </c>
      <c r="BT1555">
        <v>0</v>
      </c>
      <c r="BU1555">
        <v>0</v>
      </c>
      <c r="CE1555" t="str">
        <f t="shared" ref="CE1555:CE1561" si="544">"19:29:40.434"</f>
        <v>19:29:40.434</v>
      </c>
      <c r="CF1555">
        <v>433985343</v>
      </c>
      <c r="CS1555">
        <v>3</v>
      </c>
      <c r="CT1555">
        <v>2</v>
      </c>
      <c r="CU1555">
        <v>0</v>
      </c>
      <c r="CV1555">
        <v>2</v>
      </c>
      <c r="CW1555">
        <v>0</v>
      </c>
      <c r="CX1555">
        <v>6</v>
      </c>
      <c r="CY1555">
        <v>7</v>
      </c>
      <c r="CZ1555" t="s">
        <v>131</v>
      </c>
      <c r="DA1555">
        <v>300</v>
      </c>
      <c r="DB1555">
        <v>0</v>
      </c>
      <c r="DC1555" t="s">
        <v>176</v>
      </c>
      <c r="DD1555" t="s">
        <v>177</v>
      </c>
      <c r="DG1555">
        <v>5389336</v>
      </c>
      <c r="DI1555">
        <v>1</v>
      </c>
      <c r="DJ1555">
        <v>0</v>
      </c>
      <c r="DK1555">
        <v>0</v>
      </c>
      <c r="DL1555">
        <v>0</v>
      </c>
      <c r="DM1555">
        <v>0</v>
      </c>
      <c r="DN1555">
        <v>1</v>
      </c>
      <c r="DO1555">
        <v>0</v>
      </c>
      <c r="DP1555">
        <v>0</v>
      </c>
      <c r="DQ1555">
        <v>0</v>
      </c>
      <c r="DR1555">
        <v>0</v>
      </c>
      <c r="DS1555">
        <v>0</v>
      </c>
    </row>
    <row r="1556" spans="1:123" x14ac:dyDescent="0.3">
      <c r="A1556" t="str">
        <f>"10/04/2022 19:29:40.620"</f>
        <v>10/04/2022 19:29:40.620</v>
      </c>
      <c r="C1556" t="str">
        <f t="shared" si="539"/>
        <v>FFDFD3C0</v>
      </c>
      <c r="D1556" t="s">
        <v>141</v>
      </c>
      <c r="E1556">
        <v>4</v>
      </c>
      <c r="H1556">
        <v>4</v>
      </c>
      <c r="I1556" t="s">
        <v>142</v>
      </c>
      <c r="J1556" t="s">
        <v>138</v>
      </c>
      <c r="K1556">
        <v>0</v>
      </c>
      <c r="L1556">
        <v>3</v>
      </c>
      <c r="M1556">
        <v>0</v>
      </c>
      <c r="N1556">
        <v>2</v>
      </c>
      <c r="O1556">
        <v>0</v>
      </c>
      <c r="P1556">
        <v>1</v>
      </c>
      <c r="Q1556">
        <v>0</v>
      </c>
      <c r="S1556" t="str">
        <f t="shared" si="543"/>
        <v>19:29:40.000</v>
      </c>
      <c r="T1556" t="str">
        <f t="shared" si="543"/>
        <v>19:29:40.000</v>
      </c>
      <c r="U1556" t="str">
        <f t="shared" si="537"/>
        <v>AC3944</v>
      </c>
      <c r="V1556">
        <v>0</v>
      </c>
      <c r="W1556">
        <v>0</v>
      </c>
      <c r="X1556">
        <v>2</v>
      </c>
      <c r="Y1556">
        <v>0</v>
      </c>
      <c r="AA1556">
        <v>1</v>
      </c>
      <c r="AB1556">
        <v>8</v>
      </c>
      <c r="AC1556">
        <v>3</v>
      </c>
      <c r="AD1556">
        <v>0</v>
      </c>
      <c r="AE1556">
        <v>9</v>
      </c>
      <c r="AF1556" t="s">
        <v>138</v>
      </c>
      <c r="AG1556">
        <v>0</v>
      </c>
      <c r="AH1556">
        <v>3</v>
      </c>
      <c r="AI1556">
        <v>1</v>
      </c>
      <c r="AJ1556">
        <v>0</v>
      </c>
      <c r="AK1556" t="s">
        <v>578</v>
      </c>
      <c r="AL1556">
        <v>32.795799000000002</v>
      </c>
      <c r="AM1556" t="s">
        <v>579</v>
      </c>
      <c r="AN1556">
        <v>-116.878889</v>
      </c>
      <c r="AO1556">
        <v>25</v>
      </c>
      <c r="AP1556">
        <v>2600</v>
      </c>
      <c r="AQ1556" t="s">
        <v>129</v>
      </c>
      <c r="AR1556">
        <v>104</v>
      </c>
      <c r="AS1556">
        <v>-68</v>
      </c>
      <c r="AT1556">
        <v>0</v>
      </c>
      <c r="BB1556">
        <v>1200</v>
      </c>
      <c r="BC1556">
        <v>1</v>
      </c>
      <c r="BD1556" t="str">
        <f t="shared" si="538"/>
        <v xml:space="preserve">N887QR  </v>
      </c>
      <c r="BE1556">
        <v>1</v>
      </c>
      <c r="BG1556">
        <v>0</v>
      </c>
      <c r="BH1556">
        <v>0</v>
      </c>
      <c r="BI1556">
        <v>0</v>
      </c>
      <c r="BJ1556">
        <v>2300</v>
      </c>
      <c r="BK1556">
        <v>-300</v>
      </c>
      <c r="BL1556" t="s">
        <v>163</v>
      </c>
      <c r="BM1556">
        <v>1</v>
      </c>
      <c r="BN1556">
        <v>1</v>
      </c>
      <c r="BO1556">
        <v>1</v>
      </c>
      <c r="BP1556">
        <v>0</v>
      </c>
      <c r="BS1556">
        <v>0</v>
      </c>
      <c r="BT1556">
        <v>0</v>
      </c>
      <c r="BU1556">
        <v>0</v>
      </c>
      <c r="CE1556" t="str">
        <f t="shared" si="544"/>
        <v>19:29:40.434</v>
      </c>
      <c r="CF1556">
        <v>433985343</v>
      </c>
      <c r="CS1556">
        <v>3</v>
      </c>
      <c r="CT1556">
        <v>2</v>
      </c>
      <c r="CU1556">
        <v>0</v>
      </c>
      <c r="CV1556">
        <v>2</v>
      </c>
      <c r="CW1556">
        <v>0</v>
      </c>
      <c r="CX1556">
        <v>6</v>
      </c>
      <c r="CY1556">
        <v>7</v>
      </c>
      <c r="CZ1556" t="s">
        <v>131</v>
      </c>
      <c r="DA1556">
        <v>300</v>
      </c>
      <c r="DB1556">
        <v>0</v>
      </c>
      <c r="DC1556" t="s">
        <v>176</v>
      </c>
      <c r="DD1556" t="s">
        <v>177</v>
      </c>
      <c r="DG1556">
        <v>5389336</v>
      </c>
      <c r="DI1556">
        <v>1</v>
      </c>
      <c r="DJ1556">
        <v>0</v>
      </c>
      <c r="DK1556">
        <v>1</v>
      </c>
      <c r="DL1556">
        <v>0</v>
      </c>
      <c r="DM1556">
        <v>0</v>
      </c>
      <c r="DN1556">
        <v>1</v>
      </c>
      <c r="DO1556">
        <v>0</v>
      </c>
      <c r="DP1556">
        <v>0</v>
      </c>
      <c r="DQ1556">
        <v>0</v>
      </c>
      <c r="DR1556">
        <v>0</v>
      </c>
      <c r="DS1556">
        <v>0</v>
      </c>
    </row>
    <row r="1557" spans="1:123" x14ac:dyDescent="0.3">
      <c r="A1557" t="str">
        <f>"10/04/2022 19:29:40.620"</f>
        <v>10/04/2022 19:29:40.620</v>
      </c>
      <c r="C1557" t="str">
        <f t="shared" si="539"/>
        <v>FFDFD3C0</v>
      </c>
      <c r="D1557" t="s">
        <v>141</v>
      </c>
      <c r="E1557">
        <v>3</v>
      </c>
      <c r="H1557">
        <v>3</v>
      </c>
      <c r="I1557" t="s">
        <v>146</v>
      </c>
      <c r="J1557" t="s">
        <v>138</v>
      </c>
      <c r="K1557">
        <v>0</v>
      </c>
      <c r="L1557">
        <v>3</v>
      </c>
      <c r="M1557">
        <v>0</v>
      </c>
      <c r="N1557">
        <v>2</v>
      </c>
      <c r="O1557">
        <v>0</v>
      </c>
      <c r="P1557">
        <v>1</v>
      </c>
      <c r="Q1557">
        <v>0</v>
      </c>
      <c r="S1557" t="str">
        <f t="shared" si="543"/>
        <v>19:29:40.000</v>
      </c>
      <c r="T1557" t="str">
        <f t="shared" si="543"/>
        <v>19:29:40.000</v>
      </c>
      <c r="U1557" t="str">
        <f t="shared" si="537"/>
        <v>AC3944</v>
      </c>
      <c r="V1557">
        <v>0</v>
      </c>
      <c r="W1557">
        <v>0</v>
      </c>
      <c r="X1557">
        <v>2</v>
      </c>
      <c r="Y1557">
        <v>0</v>
      </c>
      <c r="AA1557">
        <v>1</v>
      </c>
      <c r="AB1557">
        <v>8</v>
      </c>
      <c r="AC1557">
        <v>3</v>
      </c>
      <c r="AD1557">
        <v>0</v>
      </c>
      <c r="AE1557">
        <v>9</v>
      </c>
      <c r="AF1557" t="s">
        <v>138</v>
      </c>
      <c r="AG1557">
        <v>0</v>
      </c>
      <c r="AH1557">
        <v>3</v>
      </c>
      <c r="AI1557">
        <v>1</v>
      </c>
      <c r="AJ1557">
        <v>0</v>
      </c>
      <c r="AK1557" t="s">
        <v>578</v>
      </c>
      <c r="AL1557">
        <v>32.795799000000002</v>
      </c>
      <c r="AM1557" t="s">
        <v>579</v>
      </c>
      <c r="AN1557">
        <v>-116.878889</v>
      </c>
      <c r="AO1557">
        <v>25</v>
      </c>
      <c r="AP1557">
        <v>2600</v>
      </c>
      <c r="AQ1557" t="s">
        <v>129</v>
      </c>
      <c r="AR1557">
        <v>104</v>
      </c>
      <c r="AS1557">
        <v>-68</v>
      </c>
      <c r="AT1557">
        <v>0</v>
      </c>
      <c r="BB1557">
        <v>1200</v>
      </c>
      <c r="BC1557">
        <v>1</v>
      </c>
      <c r="BD1557" t="str">
        <f t="shared" si="538"/>
        <v xml:space="preserve">N887QR  </v>
      </c>
      <c r="BE1557">
        <v>1</v>
      </c>
      <c r="BG1557">
        <v>0</v>
      </c>
      <c r="BH1557">
        <v>0</v>
      </c>
      <c r="BI1557">
        <v>0</v>
      </c>
      <c r="BJ1557">
        <v>2300</v>
      </c>
      <c r="BK1557">
        <v>-300</v>
      </c>
      <c r="BL1557" t="s">
        <v>163</v>
      </c>
      <c r="BM1557">
        <v>1</v>
      </c>
      <c r="BN1557">
        <v>1</v>
      </c>
      <c r="BO1557">
        <v>1</v>
      </c>
      <c r="BP1557">
        <v>0</v>
      </c>
      <c r="BS1557">
        <v>0</v>
      </c>
      <c r="BT1557">
        <v>0</v>
      </c>
      <c r="BU1557">
        <v>0</v>
      </c>
      <c r="CE1557" t="str">
        <f t="shared" si="544"/>
        <v>19:29:40.434</v>
      </c>
      <c r="CF1557">
        <v>433985343</v>
      </c>
      <c r="CS1557">
        <v>3</v>
      </c>
      <c r="CT1557">
        <v>2</v>
      </c>
      <c r="CU1557">
        <v>0</v>
      </c>
      <c r="CV1557">
        <v>2</v>
      </c>
      <c r="CW1557">
        <v>0</v>
      </c>
      <c r="CX1557">
        <v>6</v>
      </c>
      <c r="CY1557">
        <v>7</v>
      </c>
      <c r="CZ1557" t="s">
        <v>131</v>
      </c>
      <c r="DA1557">
        <v>300</v>
      </c>
      <c r="DB1557">
        <v>0</v>
      </c>
      <c r="DC1557" t="s">
        <v>176</v>
      </c>
      <c r="DD1557" t="s">
        <v>177</v>
      </c>
      <c r="DG1557">
        <v>5389336</v>
      </c>
      <c r="DI1557">
        <v>1</v>
      </c>
      <c r="DJ1557">
        <v>0</v>
      </c>
      <c r="DK1557">
        <v>1</v>
      </c>
      <c r="DL1557">
        <v>0</v>
      </c>
      <c r="DM1557">
        <v>0</v>
      </c>
      <c r="DN1557">
        <v>1</v>
      </c>
      <c r="DO1557">
        <v>0</v>
      </c>
      <c r="DP1557">
        <v>0</v>
      </c>
      <c r="DQ1557">
        <v>0</v>
      </c>
      <c r="DR1557">
        <v>0</v>
      </c>
      <c r="DS1557">
        <v>0</v>
      </c>
    </row>
    <row r="1558" spans="1:123" x14ac:dyDescent="0.3">
      <c r="A1558" t="str">
        <f>"10/04/2022 19:29:40.620"</f>
        <v>10/04/2022 19:29:40.620</v>
      </c>
      <c r="C1558" t="str">
        <f t="shared" si="539"/>
        <v>FFDFD3C0</v>
      </c>
      <c r="D1558" t="s">
        <v>134</v>
      </c>
      <c r="E1558">
        <v>15</v>
      </c>
      <c r="J1558" t="s">
        <v>135</v>
      </c>
      <c r="K1558">
        <v>0</v>
      </c>
      <c r="L1558">
        <v>3</v>
      </c>
      <c r="M1558">
        <v>0</v>
      </c>
      <c r="N1558">
        <v>2</v>
      </c>
      <c r="O1558">
        <v>0</v>
      </c>
      <c r="P1558">
        <v>1</v>
      </c>
      <c r="Q1558">
        <v>0</v>
      </c>
      <c r="S1558" t="str">
        <f t="shared" si="543"/>
        <v>19:29:40.000</v>
      </c>
      <c r="T1558" t="str">
        <f t="shared" si="543"/>
        <v>19:29:40.000</v>
      </c>
      <c r="U1558" t="str">
        <f t="shared" si="537"/>
        <v>AC3944</v>
      </c>
      <c r="V1558">
        <v>0</v>
      </c>
      <c r="W1558">
        <v>0</v>
      </c>
      <c r="X1558">
        <v>2</v>
      </c>
      <c r="Y1558">
        <v>0</v>
      </c>
      <c r="AA1558">
        <v>1</v>
      </c>
      <c r="AB1558">
        <v>8</v>
      </c>
      <c r="AC1558">
        <v>3</v>
      </c>
      <c r="AD1558">
        <v>0</v>
      </c>
      <c r="AE1558">
        <v>9</v>
      </c>
      <c r="AF1558" t="s">
        <v>138</v>
      </c>
      <c r="AG1558">
        <v>0</v>
      </c>
      <c r="AH1558">
        <v>3</v>
      </c>
      <c r="AI1558">
        <v>1</v>
      </c>
      <c r="AJ1558">
        <v>0</v>
      </c>
      <c r="AK1558" t="s">
        <v>578</v>
      </c>
      <c r="AL1558">
        <v>32.795799000000002</v>
      </c>
      <c r="AM1558" t="s">
        <v>579</v>
      </c>
      <c r="AN1558">
        <v>-116.878889</v>
      </c>
      <c r="AO1558">
        <v>25</v>
      </c>
      <c r="AP1558">
        <v>2600</v>
      </c>
      <c r="AQ1558" t="s">
        <v>129</v>
      </c>
      <c r="AR1558">
        <v>104</v>
      </c>
      <c r="AS1558">
        <v>-68</v>
      </c>
      <c r="AT1558">
        <v>0</v>
      </c>
      <c r="BB1558">
        <v>1200</v>
      </c>
      <c r="BC1558">
        <v>1</v>
      </c>
      <c r="BD1558" t="str">
        <f t="shared" si="538"/>
        <v xml:space="preserve">N887QR  </v>
      </c>
      <c r="BE1558">
        <v>1</v>
      </c>
      <c r="BG1558">
        <v>0</v>
      </c>
      <c r="BH1558">
        <v>0</v>
      </c>
      <c r="BI1558">
        <v>0</v>
      </c>
      <c r="BJ1558">
        <v>2300</v>
      </c>
      <c r="BK1558">
        <v>-300</v>
      </c>
      <c r="BL1558" t="s">
        <v>163</v>
      </c>
      <c r="BM1558">
        <v>1</v>
      </c>
      <c r="BN1558">
        <v>1</v>
      </c>
      <c r="BO1558">
        <v>1</v>
      </c>
      <c r="BP1558">
        <v>0</v>
      </c>
      <c r="BS1558">
        <v>0</v>
      </c>
      <c r="BT1558">
        <v>0</v>
      </c>
      <c r="BU1558">
        <v>0</v>
      </c>
      <c r="CE1558" t="str">
        <f t="shared" si="544"/>
        <v>19:29:40.434</v>
      </c>
      <c r="CF1558">
        <v>433985343</v>
      </c>
      <c r="CS1558">
        <v>3</v>
      </c>
      <c r="CT1558">
        <v>2</v>
      </c>
      <c r="CU1558">
        <v>0</v>
      </c>
      <c r="CV1558">
        <v>2</v>
      </c>
      <c r="CW1558">
        <v>0</v>
      </c>
      <c r="CX1558">
        <v>6</v>
      </c>
      <c r="CY1558">
        <v>7</v>
      </c>
      <c r="CZ1558" t="s">
        <v>131</v>
      </c>
      <c r="DA1558">
        <v>300</v>
      </c>
      <c r="DB1558">
        <v>0</v>
      </c>
      <c r="DC1558" t="s">
        <v>176</v>
      </c>
      <c r="DD1558" t="s">
        <v>177</v>
      </c>
      <c r="DG1558">
        <v>5389336</v>
      </c>
      <c r="DI1558">
        <v>1</v>
      </c>
      <c r="DJ1558">
        <v>0</v>
      </c>
      <c r="DK1558">
        <v>1</v>
      </c>
      <c r="DL1558">
        <v>0</v>
      </c>
      <c r="DM1558">
        <v>0</v>
      </c>
      <c r="DN1558">
        <v>1</v>
      </c>
      <c r="DO1558">
        <v>0</v>
      </c>
      <c r="DP1558">
        <v>0</v>
      </c>
      <c r="DQ1558">
        <v>0</v>
      </c>
      <c r="DR1558">
        <v>0</v>
      </c>
      <c r="DS1558">
        <v>0</v>
      </c>
    </row>
    <row r="1559" spans="1:123" x14ac:dyDescent="0.3">
      <c r="A1559" t="str">
        <f>"10/04/2022 19:29:40.620"</f>
        <v>10/04/2022 19:29:40.620</v>
      </c>
      <c r="C1559" t="str">
        <f t="shared" si="539"/>
        <v>FFDFD3C0</v>
      </c>
      <c r="D1559" t="s">
        <v>143</v>
      </c>
      <c r="E1559">
        <v>20</v>
      </c>
      <c r="F1559">
        <v>1020</v>
      </c>
      <c r="G1559" t="s">
        <v>144</v>
      </c>
      <c r="J1559" t="s">
        <v>145</v>
      </c>
      <c r="K1559">
        <v>0</v>
      </c>
      <c r="L1559">
        <v>3</v>
      </c>
      <c r="M1559">
        <v>0</v>
      </c>
      <c r="N1559">
        <v>2</v>
      </c>
      <c r="O1559">
        <v>0</v>
      </c>
      <c r="P1559">
        <v>1</v>
      </c>
      <c r="Q1559">
        <v>0</v>
      </c>
      <c r="S1559" t="str">
        <f t="shared" si="543"/>
        <v>19:29:40.000</v>
      </c>
      <c r="T1559" t="str">
        <f t="shared" si="543"/>
        <v>19:29:40.000</v>
      </c>
      <c r="U1559" t="str">
        <f t="shared" si="537"/>
        <v>AC3944</v>
      </c>
      <c r="V1559">
        <v>0</v>
      </c>
      <c r="W1559">
        <v>0</v>
      </c>
      <c r="X1559">
        <v>2</v>
      </c>
      <c r="Y1559">
        <v>0</v>
      </c>
      <c r="AA1559">
        <v>1</v>
      </c>
      <c r="AB1559">
        <v>8</v>
      </c>
      <c r="AC1559">
        <v>3</v>
      </c>
      <c r="AD1559">
        <v>0</v>
      </c>
      <c r="AE1559">
        <v>9</v>
      </c>
      <c r="AF1559" t="s">
        <v>138</v>
      </c>
      <c r="AG1559">
        <v>0</v>
      </c>
      <c r="AH1559">
        <v>3</v>
      </c>
      <c r="AI1559">
        <v>1</v>
      </c>
      <c r="AJ1559">
        <v>0</v>
      </c>
      <c r="AK1559" t="s">
        <v>578</v>
      </c>
      <c r="AL1559">
        <v>32.795799000000002</v>
      </c>
      <c r="AM1559" t="s">
        <v>579</v>
      </c>
      <c r="AN1559">
        <v>-116.878889</v>
      </c>
      <c r="AO1559">
        <v>25</v>
      </c>
      <c r="AP1559">
        <v>2600</v>
      </c>
      <c r="AQ1559" t="s">
        <v>129</v>
      </c>
      <c r="AR1559">
        <v>104</v>
      </c>
      <c r="AS1559">
        <v>-68</v>
      </c>
      <c r="AT1559">
        <v>0</v>
      </c>
      <c r="BB1559">
        <v>1200</v>
      </c>
      <c r="BC1559">
        <v>1</v>
      </c>
      <c r="BD1559" t="str">
        <f t="shared" si="538"/>
        <v xml:space="preserve">N887QR  </v>
      </c>
      <c r="BE1559">
        <v>1</v>
      </c>
      <c r="BG1559">
        <v>0</v>
      </c>
      <c r="BH1559">
        <v>0</v>
      </c>
      <c r="BI1559">
        <v>0</v>
      </c>
      <c r="BJ1559">
        <v>2300</v>
      </c>
      <c r="BK1559">
        <v>-300</v>
      </c>
      <c r="BL1559" t="s">
        <v>163</v>
      </c>
      <c r="BM1559">
        <v>1</v>
      </c>
      <c r="BN1559">
        <v>1</v>
      </c>
      <c r="BO1559">
        <v>1</v>
      </c>
      <c r="BP1559">
        <v>0</v>
      </c>
      <c r="BS1559">
        <v>0</v>
      </c>
      <c r="BT1559">
        <v>0</v>
      </c>
      <c r="BU1559">
        <v>0</v>
      </c>
      <c r="CE1559" t="str">
        <f t="shared" si="544"/>
        <v>19:29:40.434</v>
      </c>
      <c r="CF1559">
        <v>433985343</v>
      </c>
      <c r="CS1559">
        <v>3</v>
      </c>
      <c r="CT1559">
        <v>2</v>
      </c>
      <c r="CU1559">
        <v>0</v>
      </c>
      <c r="CV1559">
        <v>2</v>
      </c>
      <c r="CW1559">
        <v>0</v>
      </c>
      <c r="CX1559">
        <v>6</v>
      </c>
      <c r="CY1559">
        <v>7</v>
      </c>
      <c r="CZ1559" t="s">
        <v>131</v>
      </c>
      <c r="DA1559">
        <v>300</v>
      </c>
      <c r="DB1559">
        <v>0</v>
      </c>
      <c r="DC1559" t="s">
        <v>176</v>
      </c>
      <c r="DD1559" t="s">
        <v>177</v>
      </c>
      <c r="DG1559">
        <v>5389336</v>
      </c>
      <c r="DI1559">
        <v>1</v>
      </c>
      <c r="DJ1559">
        <v>0</v>
      </c>
      <c r="DK1559">
        <v>1</v>
      </c>
      <c r="DL1559">
        <v>0</v>
      </c>
      <c r="DM1559">
        <v>0</v>
      </c>
      <c r="DN1559">
        <v>1</v>
      </c>
      <c r="DO1559">
        <v>0</v>
      </c>
      <c r="DP1559">
        <v>0</v>
      </c>
      <c r="DQ1559">
        <v>0</v>
      </c>
      <c r="DR1559">
        <v>0</v>
      </c>
      <c r="DS1559">
        <v>0</v>
      </c>
    </row>
    <row r="1560" spans="1:123" x14ac:dyDescent="0.3">
      <c r="A1560" t="str">
        <f>"10/04/2022 19:29:40.651"</f>
        <v>10/04/2022 19:29:40.651</v>
      </c>
      <c r="C1560" t="str">
        <f t="shared" si="539"/>
        <v>FFDFD3C0</v>
      </c>
      <c r="D1560" t="s">
        <v>123</v>
      </c>
      <c r="E1560">
        <v>7</v>
      </c>
      <c r="F1560">
        <v>2007</v>
      </c>
      <c r="G1560" t="s">
        <v>124</v>
      </c>
      <c r="J1560" t="s">
        <v>125</v>
      </c>
      <c r="K1560">
        <v>0</v>
      </c>
      <c r="L1560">
        <v>3</v>
      </c>
      <c r="M1560">
        <v>0</v>
      </c>
      <c r="N1560">
        <v>2</v>
      </c>
      <c r="O1560">
        <v>0</v>
      </c>
      <c r="P1560">
        <v>1</v>
      </c>
      <c r="Q1560">
        <v>0</v>
      </c>
      <c r="S1560" t="str">
        <f t="shared" si="543"/>
        <v>19:29:40.000</v>
      </c>
      <c r="T1560" t="str">
        <f t="shared" si="543"/>
        <v>19:29:40.000</v>
      </c>
      <c r="U1560" t="str">
        <f t="shared" si="537"/>
        <v>AC3944</v>
      </c>
      <c r="V1560">
        <v>0</v>
      </c>
      <c r="W1560">
        <v>0</v>
      </c>
      <c r="X1560">
        <v>2</v>
      </c>
      <c r="Y1560">
        <v>0</v>
      </c>
      <c r="AA1560">
        <v>1</v>
      </c>
      <c r="AB1560">
        <v>8</v>
      </c>
      <c r="AC1560">
        <v>3</v>
      </c>
      <c r="AD1560">
        <v>0</v>
      </c>
      <c r="AE1560">
        <v>9</v>
      </c>
      <c r="AF1560" t="s">
        <v>138</v>
      </c>
      <c r="AG1560">
        <v>0</v>
      </c>
      <c r="AH1560">
        <v>3</v>
      </c>
      <c r="AI1560">
        <v>1</v>
      </c>
      <c r="AJ1560">
        <v>0</v>
      </c>
      <c r="AK1560" t="s">
        <v>578</v>
      </c>
      <c r="AL1560">
        <v>32.795799000000002</v>
      </c>
      <c r="AM1560" t="s">
        <v>579</v>
      </c>
      <c r="AN1560">
        <v>-116.878889</v>
      </c>
      <c r="AO1560">
        <v>25</v>
      </c>
      <c r="AP1560">
        <v>2600</v>
      </c>
      <c r="AQ1560" t="s">
        <v>129</v>
      </c>
      <c r="AR1560">
        <v>104</v>
      </c>
      <c r="AS1560">
        <v>-68</v>
      </c>
      <c r="AT1560">
        <v>0</v>
      </c>
      <c r="BB1560">
        <v>1200</v>
      </c>
      <c r="BC1560">
        <v>1</v>
      </c>
      <c r="BD1560" t="str">
        <f t="shared" si="538"/>
        <v xml:space="preserve">N887QR  </v>
      </c>
      <c r="BE1560">
        <v>1</v>
      </c>
      <c r="BG1560">
        <v>0</v>
      </c>
      <c r="BH1560">
        <v>0</v>
      </c>
      <c r="BI1560">
        <v>0</v>
      </c>
      <c r="BJ1560">
        <v>2300</v>
      </c>
      <c r="BK1560">
        <v>-300</v>
      </c>
      <c r="BL1560" t="s">
        <v>163</v>
      </c>
      <c r="BM1560">
        <v>1</v>
      </c>
      <c r="BN1560">
        <v>1</v>
      </c>
      <c r="BO1560">
        <v>1</v>
      </c>
      <c r="BP1560">
        <v>0</v>
      </c>
      <c r="BS1560">
        <v>0</v>
      </c>
      <c r="BT1560">
        <v>0</v>
      </c>
      <c r="BU1560">
        <v>0</v>
      </c>
      <c r="CE1560" t="str">
        <f t="shared" si="544"/>
        <v>19:29:40.434</v>
      </c>
      <c r="CF1560">
        <v>433985343</v>
      </c>
      <c r="CS1560">
        <v>3</v>
      </c>
      <c r="CT1560">
        <v>2</v>
      </c>
      <c r="CU1560">
        <v>0</v>
      </c>
      <c r="CV1560">
        <v>2</v>
      </c>
      <c r="CW1560">
        <v>0</v>
      </c>
      <c r="CX1560">
        <v>6</v>
      </c>
      <c r="CY1560">
        <v>7</v>
      </c>
      <c r="CZ1560" t="s">
        <v>131</v>
      </c>
      <c r="DA1560">
        <v>300</v>
      </c>
      <c r="DB1560">
        <v>0</v>
      </c>
      <c r="DC1560" t="s">
        <v>176</v>
      </c>
      <c r="DD1560" t="s">
        <v>177</v>
      </c>
      <c r="DG1560">
        <v>5389336</v>
      </c>
      <c r="DI1560">
        <v>1</v>
      </c>
      <c r="DJ1560">
        <v>0</v>
      </c>
      <c r="DK1560">
        <v>1</v>
      </c>
      <c r="DL1560">
        <v>0</v>
      </c>
      <c r="DM1560">
        <v>0</v>
      </c>
      <c r="DN1560">
        <v>1</v>
      </c>
      <c r="DO1560">
        <v>0</v>
      </c>
      <c r="DP1560">
        <v>0</v>
      </c>
      <c r="DQ1560">
        <v>0</v>
      </c>
      <c r="DR1560">
        <v>0</v>
      </c>
      <c r="DS1560">
        <v>0</v>
      </c>
    </row>
    <row r="1561" spans="1:123" x14ac:dyDescent="0.3">
      <c r="A1561" t="str">
        <f>"10/04/2022 19:29:40.682"</f>
        <v>10/04/2022 19:29:40.682</v>
      </c>
      <c r="C1561" t="str">
        <f t="shared" si="539"/>
        <v>FFDFD3C0</v>
      </c>
      <c r="D1561" t="s">
        <v>147</v>
      </c>
      <c r="E1561">
        <v>3</v>
      </c>
      <c r="H1561">
        <v>166</v>
      </c>
      <c r="I1561" t="s">
        <v>144</v>
      </c>
      <c r="J1561" t="s">
        <v>148</v>
      </c>
      <c r="K1561">
        <v>0</v>
      </c>
      <c r="L1561">
        <v>3</v>
      </c>
      <c r="M1561">
        <v>0</v>
      </c>
      <c r="N1561">
        <v>2</v>
      </c>
      <c r="O1561">
        <v>0</v>
      </c>
      <c r="P1561">
        <v>1</v>
      </c>
      <c r="Q1561">
        <v>0</v>
      </c>
      <c r="S1561" t="str">
        <f t="shared" si="543"/>
        <v>19:29:40.000</v>
      </c>
      <c r="T1561" t="str">
        <f t="shared" si="543"/>
        <v>19:29:40.000</v>
      </c>
      <c r="U1561" t="str">
        <f t="shared" si="537"/>
        <v>AC3944</v>
      </c>
      <c r="V1561">
        <v>0</v>
      </c>
      <c r="W1561">
        <v>0</v>
      </c>
      <c r="X1561">
        <v>2</v>
      </c>
      <c r="Y1561">
        <v>0</v>
      </c>
      <c r="AA1561">
        <v>1</v>
      </c>
      <c r="AB1561">
        <v>8</v>
      </c>
      <c r="AC1561">
        <v>3</v>
      </c>
      <c r="AD1561">
        <v>0</v>
      </c>
      <c r="AE1561">
        <v>9</v>
      </c>
      <c r="AF1561" t="s">
        <v>138</v>
      </c>
      <c r="AG1561">
        <v>0</v>
      </c>
      <c r="AH1561">
        <v>3</v>
      </c>
      <c r="AI1561">
        <v>1</v>
      </c>
      <c r="AJ1561">
        <v>0</v>
      </c>
      <c r="AK1561" t="s">
        <v>578</v>
      </c>
      <c r="AL1561">
        <v>32.795799000000002</v>
      </c>
      <c r="AM1561" t="s">
        <v>579</v>
      </c>
      <c r="AN1561">
        <v>-116.878889</v>
      </c>
      <c r="AO1561">
        <v>25</v>
      </c>
      <c r="AP1561">
        <v>2600</v>
      </c>
      <c r="AQ1561" t="s">
        <v>129</v>
      </c>
      <c r="AR1561">
        <v>104</v>
      </c>
      <c r="AS1561">
        <v>-68</v>
      </c>
      <c r="AT1561">
        <v>0</v>
      </c>
      <c r="BB1561">
        <v>1200</v>
      </c>
      <c r="BC1561">
        <v>1</v>
      </c>
      <c r="BD1561" t="str">
        <f t="shared" si="538"/>
        <v xml:space="preserve">N887QR  </v>
      </c>
      <c r="BE1561">
        <v>1</v>
      </c>
      <c r="BG1561">
        <v>0</v>
      </c>
      <c r="BH1561">
        <v>0</v>
      </c>
      <c r="BI1561">
        <v>0</v>
      </c>
      <c r="BJ1561">
        <v>2300</v>
      </c>
      <c r="BK1561">
        <v>-300</v>
      </c>
      <c r="BL1561" t="s">
        <v>163</v>
      </c>
      <c r="BM1561">
        <v>1</v>
      </c>
      <c r="BN1561">
        <v>1</v>
      </c>
      <c r="BO1561">
        <v>1</v>
      </c>
      <c r="BP1561">
        <v>0</v>
      </c>
      <c r="BS1561">
        <v>0</v>
      </c>
      <c r="BT1561">
        <v>0</v>
      </c>
      <c r="BU1561">
        <v>0</v>
      </c>
      <c r="CE1561" t="str">
        <f t="shared" si="544"/>
        <v>19:29:40.434</v>
      </c>
      <c r="CF1561">
        <v>433985343</v>
      </c>
      <c r="CS1561">
        <v>3</v>
      </c>
      <c r="CT1561">
        <v>2</v>
      </c>
      <c r="CU1561">
        <v>0</v>
      </c>
      <c r="CV1561">
        <v>2</v>
      </c>
      <c r="CW1561">
        <v>0</v>
      </c>
      <c r="CX1561">
        <v>6</v>
      </c>
      <c r="CY1561">
        <v>7</v>
      </c>
      <c r="CZ1561" t="s">
        <v>131</v>
      </c>
      <c r="DA1561">
        <v>300</v>
      </c>
      <c r="DB1561">
        <v>0</v>
      </c>
      <c r="DC1561" t="s">
        <v>176</v>
      </c>
      <c r="DD1561" t="s">
        <v>177</v>
      </c>
      <c r="DG1561">
        <v>5389336</v>
      </c>
      <c r="DI1561">
        <v>1</v>
      </c>
      <c r="DJ1561">
        <v>0</v>
      </c>
      <c r="DK1561">
        <v>1</v>
      </c>
      <c r="DL1561">
        <v>0</v>
      </c>
      <c r="DM1561">
        <v>0</v>
      </c>
      <c r="DN1561">
        <v>1</v>
      </c>
      <c r="DO1561">
        <v>0</v>
      </c>
      <c r="DP1561">
        <v>0</v>
      </c>
      <c r="DQ1561">
        <v>0</v>
      </c>
      <c r="DR1561">
        <v>0</v>
      </c>
      <c r="DS1561">
        <v>0</v>
      </c>
    </row>
    <row r="1562" spans="1:123" x14ac:dyDescent="0.3">
      <c r="A1562" t="str">
        <f>"10/04/2022 19:29:41.369"</f>
        <v>10/04/2022 19:29:41.369</v>
      </c>
      <c r="C1562" t="str">
        <f t="shared" si="539"/>
        <v>FFDFD3C0</v>
      </c>
      <c r="D1562" t="s">
        <v>147</v>
      </c>
      <c r="E1562">
        <v>3</v>
      </c>
      <c r="H1562">
        <v>166</v>
      </c>
      <c r="I1562" t="s">
        <v>144</v>
      </c>
      <c r="J1562" t="s">
        <v>148</v>
      </c>
      <c r="K1562">
        <v>0</v>
      </c>
      <c r="L1562">
        <v>3</v>
      </c>
      <c r="M1562">
        <v>0</v>
      </c>
      <c r="N1562">
        <v>2</v>
      </c>
      <c r="O1562">
        <v>0</v>
      </c>
      <c r="P1562">
        <v>1</v>
      </c>
      <c r="Q1562">
        <v>0</v>
      </c>
      <c r="S1562" t="str">
        <f t="shared" ref="S1562:T1575" si="545">"19:29:41.000"</f>
        <v>19:29:41.000</v>
      </c>
      <c r="T1562" t="str">
        <f t="shared" si="545"/>
        <v>19:29:41.000</v>
      </c>
      <c r="U1562" t="str">
        <f t="shared" si="537"/>
        <v>AC3944</v>
      </c>
      <c r="V1562">
        <v>0</v>
      </c>
      <c r="W1562">
        <v>0</v>
      </c>
      <c r="X1562">
        <v>2</v>
      </c>
      <c r="Y1562">
        <v>0</v>
      </c>
      <c r="AA1562">
        <v>1</v>
      </c>
      <c r="AB1562">
        <v>8</v>
      </c>
      <c r="AC1562">
        <v>3</v>
      </c>
      <c r="AD1562">
        <v>0</v>
      </c>
      <c r="AE1562">
        <v>9</v>
      </c>
      <c r="AF1562" t="s">
        <v>138</v>
      </c>
      <c r="AG1562">
        <v>0</v>
      </c>
      <c r="AH1562">
        <v>3</v>
      </c>
      <c r="AI1562">
        <v>1</v>
      </c>
      <c r="AJ1562">
        <v>0</v>
      </c>
      <c r="AK1562" t="s">
        <v>580</v>
      </c>
      <c r="AL1562">
        <v>32.795476999999998</v>
      </c>
      <c r="AM1562" t="s">
        <v>581</v>
      </c>
      <c r="AN1562">
        <v>-116.878331</v>
      </c>
      <c r="AO1562">
        <v>25</v>
      </c>
      <c r="AP1562">
        <v>2600</v>
      </c>
      <c r="AQ1562" t="s">
        <v>129</v>
      </c>
      <c r="AR1562">
        <v>104</v>
      </c>
      <c r="AS1562">
        <v>-68</v>
      </c>
      <c r="AT1562">
        <v>0</v>
      </c>
      <c r="BB1562">
        <v>1200</v>
      </c>
      <c r="BC1562">
        <v>1</v>
      </c>
      <c r="BD1562" t="str">
        <f t="shared" si="538"/>
        <v xml:space="preserve">N887QR  </v>
      </c>
      <c r="BE1562">
        <v>1</v>
      </c>
      <c r="BG1562">
        <v>0</v>
      </c>
      <c r="BH1562">
        <v>0</v>
      </c>
      <c r="BI1562">
        <v>0</v>
      </c>
      <c r="BJ1562">
        <v>2325</v>
      </c>
      <c r="BK1562">
        <v>-275</v>
      </c>
      <c r="BL1562" t="s">
        <v>163</v>
      </c>
      <c r="BM1562">
        <v>1</v>
      </c>
      <c r="BN1562">
        <v>1</v>
      </c>
      <c r="BO1562">
        <v>1</v>
      </c>
      <c r="BP1562">
        <v>0</v>
      </c>
      <c r="BS1562">
        <v>0</v>
      </c>
      <c r="BT1562">
        <v>0</v>
      </c>
      <c r="BU1562">
        <v>0</v>
      </c>
      <c r="CE1562" t="str">
        <f t="shared" ref="CE1562:CE1568" si="546">"19:29:41.177"</f>
        <v>19:29:41.177</v>
      </c>
      <c r="CF1562">
        <v>176987872</v>
      </c>
      <c r="CS1562">
        <v>3</v>
      </c>
      <c r="CT1562">
        <v>2</v>
      </c>
      <c r="CU1562">
        <v>0</v>
      </c>
      <c r="CV1562">
        <v>2</v>
      </c>
      <c r="CW1562">
        <v>0</v>
      </c>
      <c r="CX1562">
        <v>6</v>
      </c>
      <c r="CY1562">
        <v>7</v>
      </c>
      <c r="CZ1562" t="s">
        <v>131</v>
      </c>
      <c r="DA1562">
        <v>300</v>
      </c>
      <c r="DB1562">
        <v>0</v>
      </c>
      <c r="DC1562" t="s">
        <v>176</v>
      </c>
      <c r="DD1562" t="s">
        <v>177</v>
      </c>
      <c r="DG1562">
        <v>5389454</v>
      </c>
      <c r="DI1562">
        <v>1</v>
      </c>
      <c r="DJ1562">
        <v>0</v>
      </c>
      <c r="DK1562">
        <v>0</v>
      </c>
      <c r="DL1562">
        <v>0</v>
      </c>
      <c r="DM1562">
        <v>0</v>
      </c>
      <c r="DN1562">
        <v>1</v>
      </c>
      <c r="DO1562">
        <v>0</v>
      </c>
      <c r="DP1562">
        <v>0</v>
      </c>
      <c r="DQ1562">
        <v>0</v>
      </c>
      <c r="DR1562">
        <v>0</v>
      </c>
      <c r="DS1562">
        <v>0</v>
      </c>
    </row>
    <row r="1563" spans="1:123" x14ac:dyDescent="0.3">
      <c r="A1563" t="str">
        <f>"10/04/2022 19:29:41.369"</f>
        <v>10/04/2022 19:29:41.369</v>
      </c>
      <c r="C1563" t="str">
        <f t="shared" si="539"/>
        <v>FFDFD3C0</v>
      </c>
      <c r="D1563" t="s">
        <v>141</v>
      </c>
      <c r="E1563">
        <v>4</v>
      </c>
      <c r="H1563">
        <v>4</v>
      </c>
      <c r="I1563" t="s">
        <v>142</v>
      </c>
      <c r="J1563" t="s">
        <v>138</v>
      </c>
      <c r="K1563">
        <v>0</v>
      </c>
      <c r="L1563">
        <v>3</v>
      </c>
      <c r="M1563">
        <v>0</v>
      </c>
      <c r="N1563">
        <v>2</v>
      </c>
      <c r="O1563">
        <v>0</v>
      </c>
      <c r="P1563">
        <v>1</v>
      </c>
      <c r="Q1563">
        <v>0</v>
      </c>
      <c r="S1563" t="str">
        <f t="shared" si="545"/>
        <v>19:29:41.000</v>
      </c>
      <c r="T1563" t="str">
        <f t="shared" si="545"/>
        <v>19:29:41.000</v>
      </c>
      <c r="U1563" t="str">
        <f t="shared" si="537"/>
        <v>AC3944</v>
      </c>
      <c r="V1563">
        <v>0</v>
      </c>
      <c r="W1563">
        <v>0</v>
      </c>
      <c r="X1563">
        <v>2</v>
      </c>
      <c r="Y1563">
        <v>0</v>
      </c>
      <c r="AA1563">
        <v>1</v>
      </c>
      <c r="AB1563">
        <v>8</v>
      </c>
      <c r="AC1563">
        <v>3</v>
      </c>
      <c r="AD1563">
        <v>0</v>
      </c>
      <c r="AE1563">
        <v>9</v>
      </c>
      <c r="AF1563" t="s">
        <v>138</v>
      </c>
      <c r="AG1563">
        <v>0</v>
      </c>
      <c r="AH1563">
        <v>3</v>
      </c>
      <c r="AI1563">
        <v>1</v>
      </c>
      <c r="AJ1563">
        <v>0</v>
      </c>
      <c r="AK1563" t="s">
        <v>580</v>
      </c>
      <c r="AL1563">
        <v>32.795476999999998</v>
      </c>
      <c r="AM1563" t="s">
        <v>581</v>
      </c>
      <c r="AN1563">
        <v>-116.878331</v>
      </c>
      <c r="AO1563">
        <v>25</v>
      </c>
      <c r="AP1563">
        <v>2600</v>
      </c>
      <c r="AQ1563" t="s">
        <v>129</v>
      </c>
      <c r="AR1563">
        <v>104</v>
      </c>
      <c r="AS1563">
        <v>-68</v>
      </c>
      <c r="AT1563">
        <v>0</v>
      </c>
      <c r="BB1563">
        <v>1200</v>
      </c>
      <c r="BC1563">
        <v>1</v>
      </c>
      <c r="BD1563" t="str">
        <f t="shared" si="538"/>
        <v xml:space="preserve">N887QR  </v>
      </c>
      <c r="BE1563">
        <v>1</v>
      </c>
      <c r="BG1563">
        <v>0</v>
      </c>
      <c r="BH1563">
        <v>0</v>
      </c>
      <c r="BI1563">
        <v>0</v>
      </c>
      <c r="BJ1563">
        <v>2325</v>
      </c>
      <c r="BK1563">
        <v>-275</v>
      </c>
      <c r="BL1563" t="s">
        <v>163</v>
      </c>
      <c r="BM1563">
        <v>1</v>
      </c>
      <c r="BN1563">
        <v>1</v>
      </c>
      <c r="BO1563">
        <v>1</v>
      </c>
      <c r="BP1563">
        <v>0</v>
      </c>
      <c r="BS1563">
        <v>0</v>
      </c>
      <c r="BT1563">
        <v>0</v>
      </c>
      <c r="BU1563">
        <v>0</v>
      </c>
      <c r="CE1563" t="str">
        <f t="shared" si="546"/>
        <v>19:29:41.177</v>
      </c>
      <c r="CF1563">
        <v>176987872</v>
      </c>
      <c r="CS1563">
        <v>3</v>
      </c>
      <c r="CT1563">
        <v>2</v>
      </c>
      <c r="CU1563">
        <v>0</v>
      </c>
      <c r="CV1563">
        <v>2</v>
      </c>
      <c r="CW1563">
        <v>0</v>
      </c>
      <c r="CX1563">
        <v>6</v>
      </c>
      <c r="CY1563">
        <v>7</v>
      </c>
      <c r="CZ1563" t="s">
        <v>131</v>
      </c>
      <c r="DA1563">
        <v>300</v>
      </c>
      <c r="DB1563">
        <v>0</v>
      </c>
      <c r="DC1563" t="s">
        <v>176</v>
      </c>
      <c r="DD1563" t="s">
        <v>177</v>
      </c>
      <c r="DG1563">
        <v>5389454</v>
      </c>
      <c r="DI1563">
        <v>1</v>
      </c>
      <c r="DJ1563">
        <v>0</v>
      </c>
      <c r="DK1563">
        <v>1</v>
      </c>
      <c r="DL1563">
        <v>0</v>
      </c>
      <c r="DM1563">
        <v>0</v>
      </c>
      <c r="DN1563">
        <v>1</v>
      </c>
      <c r="DO1563">
        <v>0</v>
      </c>
      <c r="DP1563">
        <v>0</v>
      </c>
      <c r="DQ1563">
        <v>0</v>
      </c>
      <c r="DR1563">
        <v>0</v>
      </c>
      <c r="DS1563">
        <v>0</v>
      </c>
    </row>
    <row r="1564" spans="1:123" x14ac:dyDescent="0.3">
      <c r="A1564" t="str">
        <f>"10/04/2022 19:29:41.369"</f>
        <v>10/04/2022 19:29:41.369</v>
      </c>
      <c r="C1564" t="str">
        <f t="shared" si="539"/>
        <v>FFDFD3C0</v>
      </c>
      <c r="D1564" t="s">
        <v>136</v>
      </c>
      <c r="E1564">
        <v>8</v>
      </c>
      <c r="H1564">
        <v>225</v>
      </c>
      <c r="I1564" t="s">
        <v>137</v>
      </c>
      <c r="J1564" t="s">
        <v>138</v>
      </c>
      <c r="K1564">
        <v>0</v>
      </c>
      <c r="L1564">
        <v>3</v>
      </c>
      <c r="M1564">
        <v>0</v>
      </c>
      <c r="N1564">
        <v>2</v>
      </c>
      <c r="O1564">
        <v>0</v>
      </c>
      <c r="P1564">
        <v>1</v>
      </c>
      <c r="Q1564">
        <v>0</v>
      </c>
      <c r="S1564" t="str">
        <f t="shared" si="545"/>
        <v>19:29:41.000</v>
      </c>
      <c r="T1564" t="str">
        <f t="shared" si="545"/>
        <v>19:29:41.000</v>
      </c>
      <c r="U1564" t="str">
        <f t="shared" si="537"/>
        <v>AC3944</v>
      </c>
      <c r="V1564">
        <v>0</v>
      </c>
      <c r="W1564">
        <v>0</v>
      </c>
      <c r="X1564">
        <v>2</v>
      </c>
      <c r="Y1564">
        <v>0</v>
      </c>
      <c r="AA1564">
        <v>1</v>
      </c>
      <c r="AB1564">
        <v>8</v>
      </c>
      <c r="AC1564">
        <v>3</v>
      </c>
      <c r="AD1564">
        <v>0</v>
      </c>
      <c r="AE1564">
        <v>9</v>
      </c>
      <c r="AF1564" t="s">
        <v>138</v>
      </c>
      <c r="AG1564">
        <v>0</v>
      </c>
      <c r="AH1564">
        <v>3</v>
      </c>
      <c r="AI1564">
        <v>1</v>
      </c>
      <c r="AJ1564">
        <v>0</v>
      </c>
      <c r="AK1564" t="s">
        <v>580</v>
      </c>
      <c r="AL1564">
        <v>32.795476999999998</v>
      </c>
      <c r="AM1564" t="s">
        <v>581</v>
      </c>
      <c r="AN1564">
        <v>-116.878331</v>
      </c>
      <c r="AO1564">
        <v>25</v>
      </c>
      <c r="AP1564">
        <v>2600</v>
      </c>
      <c r="AQ1564" t="s">
        <v>129</v>
      </c>
      <c r="AR1564">
        <v>104</v>
      </c>
      <c r="AS1564">
        <v>-68</v>
      </c>
      <c r="AT1564">
        <v>0</v>
      </c>
      <c r="BB1564">
        <v>1200</v>
      </c>
      <c r="BC1564">
        <v>1</v>
      </c>
      <c r="BD1564" t="str">
        <f t="shared" si="538"/>
        <v xml:space="preserve">N887QR  </v>
      </c>
      <c r="BE1564">
        <v>1</v>
      </c>
      <c r="BG1564">
        <v>0</v>
      </c>
      <c r="BH1564">
        <v>0</v>
      </c>
      <c r="BI1564">
        <v>0</v>
      </c>
      <c r="BJ1564">
        <v>2325</v>
      </c>
      <c r="BK1564">
        <v>-275</v>
      </c>
      <c r="BL1564" t="s">
        <v>163</v>
      </c>
      <c r="BM1564">
        <v>1</v>
      </c>
      <c r="BN1564">
        <v>1</v>
      </c>
      <c r="BO1564">
        <v>1</v>
      </c>
      <c r="BP1564">
        <v>0</v>
      </c>
      <c r="BS1564">
        <v>0</v>
      </c>
      <c r="BT1564">
        <v>0</v>
      </c>
      <c r="BU1564">
        <v>0</v>
      </c>
      <c r="CE1564" t="str">
        <f t="shared" si="546"/>
        <v>19:29:41.177</v>
      </c>
      <c r="CF1564">
        <v>176987872</v>
      </c>
      <c r="CS1564">
        <v>3</v>
      </c>
      <c r="CT1564">
        <v>2</v>
      </c>
      <c r="CU1564">
        <v>0</v>
      </c>
      <c r="CV1564">
        <v>2</v>
      </c>
      <c r="CW1564">
        <v>0</v>
      </c>
      <c r="CX1564">
        <v>6</v>
      </c>
      <c r="CY1564">
        <v>7</v>
      </c>
      <c r="CZ1564" t="s">
        <v>131</v>
      </c>
      <c r="DA1564">
        <v>300</v>
      </c>
      <c r="DB1564">
        <v>0</v>
      </c>
      <c r="DC1564" t="s">
        <v>176</v>
      </c>
      <c r="DD1564" t="s">
        <v>177</v>
      </c>
      <c r="DG1564">
        <v>5389454</v>
      </c>
      <c r="DI1564">
        <v>1</v>
      </c>
      <c r="DJ1564">
        <v>0</v>
      </c>
      <c r="DK1564">
        <v>1</v>
      </c>
      <c r="DL1564">
        <v>0</v>
      </c>
      <c r="DM1564">
        <v>0</v>
      </c>
      <c r="DN1564">
        <v>1</v>
      </c>
      <c r="DO1564">
        <v>0</v>
      </c>
      <c r="DP1564">
        <v>0</v>
      </c>
      <c r="DQ1564">
        <v>0</v>
      </c>
      <c r="DR1564">
        <v>0</v>
      </c>
      <c r="DS1564">
        <v>0</v>
      </c>
    </row>
    <row r="1565" spans="1:123" x14ac:dyDescent="0.3">
      <c r="A1565" t="str">
        <f>"10/04/2022 19:29:41.417"</f>
        <v>10/04/2022 19:29:41.417</v>
      </c>
      <c r="C1565" t="str">
        <f t="shared" si="539"/>
        <v>FFDFD3C0</v>
      </c>
      <c r="D1565" t="s">
        <v>141</v>
      </c>
      <c r="E1565">
        <v>3</v>
      </c>
      <c r="H1565">
        <v>3</v>
      </c>
      <c r="I1565" t="s">
        <v>146</v>
      </c>
      <c r="J1565" t="s">
        <v>138</v>
      </c>
      <c r="K1565">
        <v>0</v>
      </c>
      <c r="L1565">
        <v>3</v>
      </c>
      <c r="M1565">
        <v>0</v>
      </c>
      <c r="N1565">
        <v>2</v>
      </c>
      <c r="O1565">
        <v>0</v>
      </c>
      <c r="P1565">
        <v>1</v>
      </c>
      <c r="Q1565">
        <v>0</v>
      </c>
      <c r="S1565" t="str">
        <f t="shared" si="545"/>
        <v>19:29:41.000</v>
      </c>
      <c r="T1565" t="str">
        <f t="shared" si="545"/>
        <v>19:29:41.000</v>
      </c>
      <c r="U1565" t="str">
        <f t="shared" si="537"/>
        <v>AC3944</v>
      </c>
      <c r="V1565">
        <v>0</v>
      </c>
      <c r="W1565">
        <v>0</v>
      </c>
      <c r="X1565">
        <v>2</v>
      </c>
      <c r="Y1565">
        <v>0</v>
      </c>
      <c r="AA1565">
        <v>1</v>
      </c>
      <c r="AB1565">
        <v>8</v>
      </c>
      <c r="AC1565">
        <v>3</v>
      </c>
      <c r="AD1565">
        <v>0</v>
      </c>
      <c r="AE1565">
        <v>9</v>
      </c>
      <c r="AF1565" t="s">
        <v>138</v>
      </c>
      <c r="AG1565">
        <v>0</v>
      </c>
      <c r="AH1565">
        <v>3</v>
      </c>
      <c r="AI1565">
        <v>1</v>
      </c>
      <c r="AJ1565">
        <v>0</v>
      </c>
      <c r="AK1565" t="s">
        <v>580</v>
      </c>
      <c r="AL1565">
        <v>32.795476999999998</v>
      </c>
      <c r="AM1565" t="s">
        <v>581</v>
      </c>
      <c r="AN1565">
        <v>-116.878331</v>
      </c>
      <c r="AO1565">
        <v>25</v>
      </c>
      <c r="AP1565">
        <v>2600</v>
      </c>
      <c r="AQ1565" t="s">
        <v>129</v>
      </c>
      <c r="AR1565">
        <v>104</v>
      </c>
      <c r="AS1565">
        <v>-68</v>
      </c>
      <c r="AT1565">
        <v>0</v>
      </c>
      <c r="BB1565">
        <v>1200</v>
      </c>
      <c r="BC1565">
        <v>1</v>
      </c>
      <c r="BD1565" t="str">
        <f t="shared" si="538"/>
        <v xml:space="preserve">N887QR  </v>
      </c>
      <c r="BE1565">
        <v>1</v>
      </c>
      <c r="BG1565">
        <v>0</v>
      </c>
      <c r="BH1565">
        <v>0</v>
      </c>
      <c r="BI1565">
        <v>0</v>
      </c>
      <c r="BJ1565">
        <v>2325</v>
      </c>
      <c r="BK1565">
        <v>-275</v>
      </c>
      <c r="BL1565" t="s">
        <v>163</v>
      </c>
      <c r="BM1565">
        <v>1</v>
      </c>
      <c r="BN1565">
        <v>1</v>
      </c>
      <c r="BO1565">
        <v>1</v>
      </c>
      <c r="BP1565">
        <v>0</v>
      </c>
      <c r="BS1565">
        <v>0</v>
      </c>
      <c r="BT1565">
        <v>0</v>
      </c>
      <c r="BU1565">
        <v>0</v>
      </c>
      <c r="CE1565" t="str">
        <f t="shared" si="546"/>
        <v>19:29:41.177</v>
      </c>
      <c r="CF1565">
        <v>176987872</v>
      </c>
      <c r="CS1565">
        <v>3</v>
      </c>
      <c r="CT1565">
        <v>2</v>
      </c>
      <c r="CU1565">
        <v>0</v>
      </c>
      <c r="CV1565">
        <v>2</v>
      </c>
      <c r="CW1565">
        <v>0</v>
      </c>
      <c r="CX1565">
        <v>6</v>
      </c>
      <c r="CY1565">
        <v>7</v>
      </c>
      <c r="CZ1565" t="s">
        <v>131</v>
      </c>
      <c r="DA1565">
        <v>300</v>
      </c>
      <c r="DB1565">
        <v>0</v>
      </c>
      <c r="DC1565" t="s">
        <v>176</v>
      </c>
      <c r="DD1565" t="s">
        <v>177</v>
      </c>
      <c r="DG1565">
        <v>5389454</v>
      </c>
      <c r="DI1565">
        <v>1</v>
      </c>
      <c r="DJ1565">
        <v>0</v>
      </c>
      <c r="DK1565">
        <v>1</v>
      </c>
      <c r="DL1565">
        <v>0</v>
      </c>
      <c r="DM1565">
        <v>0</v>
      </c>
      <c r="DN1565">
        <v>1</v>
      </c>
      <c r="DO1565">
        <v>0</v>
      </c>
      <c r="DP1565">
        <v>0</v>
      </c>
      <c r="DQ1565">
        <v>0</v>
      </c>
      <c r="DR1565">
        <v>0</v>
      </c>
      <c r="DS1565">
        <v>0</v>
      </c>
    </row>
    <row r="1566" spans="1:123" x14ac:dyDescent="0.3">
      <c r="A1566" t="str">
        <f>"10/04/2022 19:29:41.417"</f>
        <v>10/04/2022 19:29:41.417</v>
      </c>
      <c r="C1566" t="str">
        <f t="shared" si="539"/>
        <v>FFDFD3C0</v>
      </c>
      <c r="D1566" t="s">
        <v>134</v>
      </c>
      <c r="E1566">
        <v>15</v>
      </c>
      <c r="J1566" t="s">
        <v>135</v>
      </c>
      <c r="K1566">
        <v>0</v>
      </c>
      <c r="L1566">
        <v>3</v>
      </c>
      <c r="M1566">
        <v>0</v>
      </c>
      <c r="N1566">
        <v>2</v>
      </c>
      <c r="O1566">
        <v>0</v>
      </c>
      <c r="P1566">
        <v>1</v>
      </c>
      <c r="Q1566">
        <v>0</v>
      </c>
      <c r="S1566" t="str">
        <f t="shared" si="545"/>
        <v>19:29:41.000</v>
      </c>
      <c r="T1566" t="str">
        <f t="shared" si="545"/>
        <v>19:29:41.000</v>
      </c>
      <c r="U1566" t="str">
        <f t="shared" si="537"/>
        <v>AC3944</v>
      </c>
      <c r="V1566">
        <v>0</v>
      </c>
      <c r="W1566">
        <v>0</v>
      </c>
      <c r="X1566">
        <v>2</v>
      </c>
      <c r="Y1566">
        <v>0</v>
      </c>
      <c r="AA1566">
        <v>1</v>
      </c>
      <c r="AB1566">
        <v>8</v>
      </c>
      <c r="AC1566">
        <v>3</v>
      </c>
      <c r="AD1566">
        <v>0</v>
      </c>
      <c r="AE1566">
        <v>9</v>
      </c>
      <c r="AF1566" t="s">
        <v>138</v>
      </c>
      <c r="AG1566">
        <v>0</v>
      </c>
      <c r="AH1566">
        <v>3</v>
      </c>
      <c r="AI1566">
        <v>1</v>
      </c>
      <c r="AJ1566">
        <v>0</v>
      </c>
      <c r="AK1566" t="s">
        <v>580</v>
      </c>
      <c r="AL1566">
        <v>32.795476999999998</v>
      </c>
      <c r="AM1566" t="s">
        <v>581</v>
      </c>
      <c r="AN1566">
        <v>-116.878331</v>
      </c>
      <c r="AO1566">
        <v>25</v>
      </c>
      <c r="AP1566">
        <v>2600</v>
      </c>
      <c r="AQ1566" t="s">
        <v>129</v>
      </c>
      <c r="AR1566">
        <v>104</v>
      </c>
      <c r="AS1566">
        <v>-68</v>
      </c>
      <c r="AT1566">
        <v>0</v>
      </c>
      <c r="BB1566">
        <v>1200</v>
      </c>
      <c r="BC1566">
        <v>1</v>
      </c>
      <c r="BD1566" t="str">
        <f t="shared" si="538"/>
        <v xml:space="preserve">N887QR  </v>
      </c>
      <c r="BE1566">
        <v>1</v>
      </c>
      <c r="BG1566">
        <v>0</v>
      </c>
      <c r="BH1566">
        <v>0</v>
      </c>
      <c r="BI1566">
        <v>0</v>
      </c>
      <c r="BJ1566">
        <v>2325</v>
      </c>
      <c r="BK1566">
        <v>-275</v>
      </c>
      <c r="BL1566" t="s">
        <v>163</v>
      </c>
      <c r="BM1566">
        <v>1</v>
      </c>
      <c r="BN1566">
        <v>1</v>
      </c>
      <c r="BO1566">
        <v>1</v>
      </c>
      <c r="BP1566">
        <v>0</v>
      </c>
      <c r="BS1566">
        <v>0</v>
      </c>
      <c r="BT1566">
        <v>0</v>
      </c>
      <c r="BU1566">
        <v>0</v>
      </c>
      <c r="CE1566" t="str">
        <f t="shared" si="546"/>
        <v>19:29:41.177</v>
      </c>
      <c r="CF1566">
        <v>176987872</v>
      </c>
      <c r="CS1566">
        <v>3</v>
      </c>
      <c r="CT1566">
        <v>2</v>
      </c>
      <c r="CU1566">
        <v>0</v>
      </c>
      <c r="CV1566">
        <v>2</v>
      </c>
      <c r="CW1566">
        <v>0</v>
      </c>
      <c r="CX1566">
        <v>6</v>
      </c>
      <c r="CY1566">
        <v>7</v>
      </c>
      <c r="CZ1566" t="s">
        <v>131</v>
      </c>
      <c r="DA1566">
        <v>300</v>
      </c>
      <c r="DB1566">
        <v>0</v>
      </c>
      <c r="DC1566" t="s">
        <v>176</v>
      </c>
      <c r="DD1566" t="s">
        <v>177</v>
      </c>
      <c r="DG1566">
        <v>5389454</v>
      </c>
      <c r="DI1566">
        <v>1</v>
      </c>
      <c r="DJ1566">
        <v>0</v>
      </c>
      <c r="DK1566">
        <v>1</v>
      </c>
      <c r="DL1566">
        <v>0</v>
      </c>
      <c r="DM1566">
        <v>0</v>
      </c>
      <c r="DN1566">
        <v>1</v>
      </c>
      <c r="DO1566">
        <v>0</v>
      </c>
      <c r="DP1566">
        <v>0</v>
      </c>
      <c r="DQ1566">
        <v>0</v>
      </c>
      <c r="DR1566">
        <v>0</v>
      </c>
      <c r="DS1566">
        <v>0</v>
      </c>
    </row>
    <row r="1567" spans="1:123" x14ac:dyDescent="0.3">
      <c r="A1567" t="str">
        <f>"10/04/2022 19:29:41.417"</f>
        <v>10/04/2022 19:29:41.417</v>
      </c>
      <c r="C1567" t="str">
        <f t="shared" si="539"/>
        <v>FFDFD3C0</v>
      </c>
      <c r="D1567" t="s">
        <v>143</v>
      </c>
      <c r="E1567">
        <v>20</v>
      </c>
      <c r="F1567">
        <v>1020</v>
      </c>
      <c r="G1567" t="s">
        <v>144</v>
      </c>
      <c r="J1567" t="s">
        <v>145</v>
      </c>
      <c r="K1567">
        <v>0</v>
      </c>
      <c r="L1567">
        <v>3</v>
      </c>
      <c r="M1567">
        <v>0</v>
      </c>
      <c r="N1567">
        <v>2</v>
      </c>
      <c r="O1567">
        <v>0</v>
      </c>
      <c r="P1567">
        <v>1</v>
      </c>
      <c r="Q1567">
        <v>0</v>
      </c>
      <c r="S1567" t="str">
        <f t="shared" si="545"/>
        <v>19:29:41.000</v>
      </c>
      <c r="T1567" t="str">
        <f t="shared" si="545"/>
        <v>19:29:41.000</v>
      </c>
      <c r="U1567" t="str">
        <f t="shared" si="537"/>
        <v>AC3944</v>
      </c>
      <c r="V1567">
        <v>0</v>
      </c>
      <c r="W1567">
        <v>0</v>
      </c>
      <c r="X1567">
        <v>2</v>
      </c>
      <c r="Y1567">
        <v>0</v>
      </c>
      <c r="AA1567">
        <v>1</v>
      </c>
      <c r="AB1567">
        <v>8</v>
      </c>
      <c r="AC1567">
        <v>3</v>
      </c>
      <c r="AD1567">
        <v>0</v>
      </c>
      <c r="AE1567">
        <v>9</v>
      </c>
      <c r="AF1567" t="s">
        <v>138</v>
      </c>
      <c r="AG1567">
        <v>0</v>
      </c>
      <c r="AH1567">
        <v>3</v>
      </c>
      <c r="AI1567">
        <v>1</v>
      </c>
      <c r="AJ1567">
        <v>0</v>
      </c>
      <c r="AK1567" t="s">
        <v>580</v>
      </c>
      <c r="AL1567">
        <v>32.795476999999998</v>
      </c>
      <c r="AM1567" t="s">
        <v>581</v>
      </c>
      <c r="AN1567">
        <v>-116.878331</v>
      </c>
      <c r="AO1567">
        <v>25</v>
      </c>
      <c r="AP1567">
        <v>2600</v>
      </c>
      <c r="AQ1567" t="s">
        <v>129</v>
      </c>
      <c r="AR1567">
        <v>104</v>
      </c>
      <c r="AS1567">
        <v>-68</v>
      </c>
      <c r="AT1567">
        <v>0</v>
      </c>
      <c r="BB1567">
        <v>1200</v>
      </c>
      <c r="BC1567">
        <v>1</v>
      </c>
      <c r="BD1567" t="str">
        <f t="shared" si="538"/>
        <v xml:space="preserve">N887QR  </v>
      </c>
      <c r="BE1567">
        <v>1</v>
      </c>
      <c r="BG1567">
        <v>0</v>
      </c>
      <c r="BH1567">
        <v>0</v>
      </c>
      <c r="BI1567">
        <v>0</v>
      </c>
      <c r="BJ1567">
        <v>2325</v>
      </c>
      <c r="BK1567">
        <v>-275</v>
      </c>
      <c r="BL1567" t="s">
        <v>163</v>
      </c>
      <c r="BM1567">
        <v>1</v>
      </c>
      <c r="BN1567">
        <v>1</v>
      </c>
      <c r="BO1567">
        <v>1</v>
      </c>
      <c r="BP1567">
        <v>0</v>
      </c>
      <c r="BS1567">
        <v>0</v>
      </c>
      <c r="BT1567">
        <v>0</v>
      </c>
      <c r="BU1567">
        <v>0</v>
      </c>
      <c r="CE1567" t="str">
        <f t="shared" si="546"/>
        <v>19:29:41.177</v>
      </c>
      <c r="CF1567">
        <v>176987872</v>
      </c>
      <c r="CS1567">
        <v>3</v>
      </c>
      <c r="CT1567">
        <v>2</v>
      </c>
      <c r="CU1567">
        <v>0</v>
      </c>
      <c r="CV1567">
        <v>2</v>
      </c>
      <c r="CW1567">
        <v>0</v>
      </c>
      <c r="CX1567">
        <v>6</v>
      </c>
      <c r="CY1567">
        <v>7</v>
      </c>
      <c r="CZ1567" t="s">
        <v>131</v>
      </c>
      <c r="DA1567">
        <v>300</v>
      </c>
      <c r="DB1567">
        <v>0</v>
      </c>
      <c r="DC1567" t="s">
        <v>176</v>
      </c>
      <c r="DD1567" t="s">
        <v>177</v>
      </c>
      <c r="DG1567">
        <v>5389454</v>
      </c>
      <c r="DI1567">
        <v>1</v>
      </c>
      <c r="DJ1567">
        <v>0</v>
      </c>
      <c r="DK1567">
        <v>1</v>
      </c>
      <c r="DL1567">
        <v>0</v>
      </c>
      <c r="DM1567">
        <v>0</v>
      </c>
      <c r="DN1567">
        <v>1</v>
      </c>
      <c r="DO1567">
        <v>0</v>
      </c>
      <c r="DP1567">
        <v>0</v>
      </c>
      <c r="DQ1567">
        <v>0</v>
      </c>
      <c r="DR1567">
        <v>0</v>
      </c>
      <c r="DS1567">
        <v>0</v>
      </c>
    </row>
    <row r="1568" spans="1:123" x14ac:dyDescent="0.3">
      <c r="A1568" t="str">
        <f>"10/04/2022 19:29:41.417"</f>
        <v>10/04/2022 19:29:41.417</v>
      </c>
      <c r="C1568" t="str">
        <f t="shared" si="539"/>
        <v>FFDFD3C0</v>
      </c>
      <c r="D1568" t="s">
        <v>123</v>
      </c>
      <c r="E1568">
        <v>7</v>
      </c>
      <c r="F1568">
        <v>2007</v>
      </c>
      <c r="G1568" t="s">
        <v>124</v>
      </c>
      <c r="J1568" t="s">
        <v>125</v>
      </c>
      <c r="K1568">
        <v>0</v>
      </c>
      <c r="L1568">
        <v>3</v>
      </c>
      <c r="M1568">
        <v>0</v>
      </c>
      <c r="N1568">
        <v>2</v>
      </c>
      <c r="O1568">
        <v>0</v>
      </c>
      <c r="P1568">
        <v>1</v>
      </c>
      <c r="Q1568">
        <v>0</v>
      </c>
      <c r="S1568" t="str">
        <f t="shared" si="545"/>
        <v>19:29:41.000</v>
      </c>
      <c r="T1568" t="str">
        <f t="shared" si="545"/>
        <v>19:29:41.000</v>
      </c>
      <c r="U1568" t="str">
        <f t="shared" si="537"/>
        <v>AC3944</v>
      </c>
      <c r="V1568">
        <v>0</v>
      </c>
      <c r="W1568">
        <v>0</v>
      </c>
      <c r="X1568">
        <v>2</v>
      </c>
      <c r="Y1568">
        <v>0</v>
      </c>
      <c r="AA1568">
        <v>1</v>
      </c>
      <c r="AB1568">
        <v>8</v>
      </c>
      <c r="AC1568">
        <v>3</v>
      </c>
      <c r="AD1568">
        <v>0</v>
      </c>
      <c r="AE1568">
        <v>9</v>
      </c>
      <c r="AF1568" t="s">
        <v>138</v>
      </c>
      <c r="AG1568">
        <v>0</v>
      </c>
      <c r="AH1568">
        <v>3</v>
      </c>
      <c r="AI1568">
        <v>1</v>
      </c>
      <c r="AJ1568">
        <v>0</v>
      </c>
      <c r="AK1568" t="s">
        <v>580</v>
      </c>
      <c r="AL1568">
        <v>32.795476999999998</v>
      </c>
      <c r="AM1568" t="s">
        <v>581</v>
      </c>
      <c r="AN1568">
        <v>-116.878331</v>
      </c>
      <c r="AO1568">
        <v>25</v>
      </c>
      <c r="AP1568">
        <v>2600</v>
      </c>
      <c r="AQ1568" t="s">
        <v>129</v>
      </c>
      <c r="AR1568">
        <v>104</v>
      </c>
      <c r="AS1568">
        <v>-68</v>
      </c>
      <c r="AT1568">
        <v>0</v>
      </c>
      <c r="BB1568">
        <v>1200</v>
      </c>
      <c r="BC1568">
        <v>1</v>
      </c>
      <c r="BD1568" t="str">
        <f t="shared" si="538"/>
        <v xml:space="preserve">N887QR  </v>
      </c>
      <c r="BE1568">
        <v>1</v>
      </c>
      <c r="BG1568">
        <v>0</v>
      </c>
      <c r="BH1568">
        <v>0</v>
      </c>
      <c r="BI1568">
        <v>0</v>
      </c>
      <c r="BJ1568">
        <v>2325</v>
      </c>
      <c r="BK1568">
        <v>-275</v>
      </c>
      <c r="BL1568" t="s">
        <v>163</v>
      </c>
      <c r="BM1568">
        <v>1</v>
      </c>
      <c r="BN1568">
        <v>1</v>
      </c>
      <c r="BO1568">
        <v>1</v>
      </c>
      <c r="BP1568">
        <v>0</v>
      </c>
      <c r="BS1568">
        <v>0</v>
      </c>
      <c r="BT1568">
        <v>0</v>
      </c>
      <c r="BU1568">
        <v>0</v>
      </c>
      <c r="CE1568" t="str">
        <f t="shared" si="546"/>
        <v>19:29:41.177</v>
      </c>
      <c r="CF1568">
        <v>176987872</v>
      </c>
      <c r="CS1568">
        <v>3</v>
      </c>
      <c r="CT1568">
        <v>2</v>
      </c>
      <c r="CU1568">
        <v>0</v>
      </c>
      <c r="CV1568">
        <v>2</v>
      </c>
      <c r="CW1568">
        <v>0</v>
      </c>
      <c r="CX1568">
        <v>6</v>
      </c>
      <c r="CY1568">
        <v>7</v>
      </c>
      <c r="CZ1568" t="s">
        <v>131</v>
      </c>
      <c r="DA1568">
        <v>300</v>
      </c>
      <c r="DB1568">
        <v>0</v>
      </c>
      <c r="DC1568" t="s">
        <v>176</v>
      </c>
      <c r="DD1568" t="s">
        <v>177</v>
      </c>
      <c r="DG1568">
        <v>5389454</v>
      </c>
      <c r="DI1568">
        <v>1</v>
      </c>
      <c r="DJ1568">
        <v>0</v>
      </c>
      <c r="DK1568">
        <v>1</v>
      </c>
      <c r="DL1568">
        <v>0</v>
      </c>
      <c r="DM1568">
        <v>0</v>
      </c>
      <c r="DN1568">
        <v>1</v>
      </c>
      <c r="DO1568">
        <v>0</v>
      </c>
      <c r="DP1568">
        <v>0</v>
      </c>
      <c r="DQ1568">
        <v>0</v>
      </c>
      <c r="DR1568">
        <v>0</v>
      </c>
      <c r="DS1568">
        <v>0</v>
      </c>
    </row>
    <row r="1569" spans="1:123" x14ac:dyDescent="0.3">
      <c r="A1569" t="str">
        <f t="shared" ref="A1569:A1575" si="547">"10/04/2022 19:29:42.276"</f>
        <v>10/04/2022 19:29:42.276</v>
      </c>
      <c r="C1569" t="str">
        <f t="shared" si="539"/>
        <v>FFDFD3C0</v>
      </c>
      <c r="D1569" t="s">
        <v>147</v>
      </c>
      <c r="E1569">
        <v>3</v>
      </c>
      <c r="H1569">
        <v>166</v>
      </c>
      <c r="I1569" t="s">
        <v>144</v>
      </c>
      <c r="J1569" t="s">
        <v>148</v>
      </c>
      <c r="K1569">
        <v>0</v>
      </c>
      <c r="L1569">
        <v>3</v>
      </c>
      <c r="M1569">
        <v>0</v>
      </c>
      <c r="N1569">
        <v>2</v>
      </c>
      <c r="O1569">
        <v>0</v>
      </c>
      <c r="P1569">
        <v>1</v>
      </c>
      <c r="Q1569">
        <v>0</v>
      </c>
      <c r="S1569" t="str">
        <f t="shared" si="545"/>
        <v>19:29:41.000</v>
      </c>
      <c r="T1569" t="str">
        <f t="shared" si="545"/>
        <v>19:29:41.000</v>
      </c>
      <c r="U1569" t="str">
        <f t="shared" si="537"/>
        <v>AC3944</v>
      </c>
      <c r="V1569">
        <v>0</v>
      </c>
      <c r="W1569">
        <v>0</v>
      </c>
      <c r="X1569">
        <v>2</v>
      </c>
      <c r="Y1569">
        <v>0</v>
      </c>
      <c r="AA1569">
        <v>1</v>
      </c>
      <c r="AB1569">
        <v>8</v>
      </c>
      <c r="AC1569">
        <v>3</v>
      </c>
      <c r="AD1569">
        <v>0</v>
      </c>
      <c r="AE1569">
        <v>9</v>
      </c>
      <c r="AF1569" t="s">
        <v>138</v>
      </c>
      <c r="AG1569">
        <v>0</v>
      </c>
      <c r="AH1569">
        <v>3</v>
      </c>
      <c r="AI1569">
        <v>1</v>
      </c>
      <c r="AJ1569">
        <v>0</v>
      </c>
      <c r="AK1569" t="s">
        <v>582</v>
      </c>
      <c r="AL1569">
        <v>32.795177000000002</v>
      </c>
      <c r="AM1569" t="s">
        <v>583</v>
      </c>
      <c r="AN1569">
        <v>-116.877751</v>
      </c>
      <c r="AO1569">
        <v>25</v>
      </c>
      <c r="AP1569">
        <v>2600</v>
      </c>
      <c r="AQ1569" t="s">
        <v>129</v>
      </c>
      <c r="AR1569">
        <v>103</v>
      </c>
      <c r="AS1569">
        <v>-71</v>
      </c>
      <c r="AT1569">
        <v>0</v>
      </c>
      <c r="BB1569">
        <v>1200</v>
      </c>
      <c r="BC1569">
        <v>1</v>
      </c>
      <c r="BD1569" t="str">
        <f t="shared" si="538"/>
        <v xml:space="preserve">N887QR  </v>
      </c>
      <c r="BE1569">
        <v>1</v>
      </c>
      <c r="BG1569">
        <v>0</v>
      </c>
      <c r="BH1569">
        <v>0</v>
      </c>
      <c r="BI1569">
        <v>0</v>
      </c>
      <c r="BJ1569">
        <v>2325</v>
      </c>
      <c r="BK1569">
        <v>-275</v>
      </c>
      <c r="BL1569" t="s">
        <v>163</v>
      </c>
      <c r="BM1569">
        <v>1</v>
      </c>
      <c r="BN1569">
        <v>1</v>
      </c>
      <c r="BO1569">
        <v>1</v>
      </c>
      <c r="BP1569">
        <v>0</v>
      </c>
      <c r="BS1569">
        <v>0</v>
      </c>
      <c r="BT1569">
        <v>0</v>
      </c>
      <c r="BU1569">
        <v>0</v>
      </c>
      <c r="CE1569" t="str">
        <f t="shared" ref="CE1569:CE1575" si="548">"19:29:41.972"</f>
        <v>19:29:41.972</v>
      </c>
      <c r="CF1569">
        <v>972490475</v>
      </c>
      <c r="CS1569">
        <v>3</v>
      </c>
      <c r="CT1569">
        <v>2</v>
      </c>
      <c r="CU1569">
        <v>0</v>
      </c>
      <c r="CV1569">
        <v>2</v>
      </c>
      <c r="CW1569">
        <v>0</v>
      </c>
      <c r="CX1569">
        <v>6</v>
      </c>
      <c r="CY1569">
        <v>7</v>
      </c>
      <c r="CZ1569" t="s">
        <v>131</v>
      </c>
      <c r="DA1569">
        <v>300</v>
      </c>
      <c r="DB1569">
        <v>0</v>
      </c>
      <c r="DC1569" t="s">
        <v>176</v>
      </c>
      <c r="DD1569" t="s">
        <v>177</v>
      </c>
      <c r="DG1569">
        <v>5389591</v>
      </c>
      <c r="DI1569">
        <v>1</v>
      </c>
      <c r="DJ1569">
        <v>0</v>
      </c>
      <c r="DK1569">
        <v>0</v>
      </c>
      <c r="DL1569">
        <v>0</v>
      </c>
      <c r="DM1569">
        <v>0</v>
      </c>
      <c r="DN1569">
        <v>1</v>
      </c>
      <c r="DO1569">
        <v>0</v>
      </c>
      <c r="DP1569">
        <v>0</v>
      </c>
      <c r="DQ1569">
        <v>0</v>
      </c>
      <c r="DR1569">
        <v>0</v>
      </c>
      <c r="DS1569">
        <v>0</v>
      </c>
    </row>
    <row r="1570" spans="1:123" x14ac:dyDescent="0.3">
      <c r="A1570" t="str">
        <f t="shared" si="547"/>
        <v>10/04/2022 19:29:42.276</v>
      </c>
      <c r="C1570" t="str">
        <f t="shared" si="539"/>
        <v>FFDFD3C0</v>
      </c>
      <c r="D1570" t="s">
        <v>136</v>
      </c>
      <c r="E1570">
        <v>8</v>
      </c>
      <c r="H1570">
        <v>225</v>
      </c>
      <c r="I1570" t="s">
        <v>137</v>
      </c>
      <c r="J1570" t="s">
        <v>138</v>
      </c>
      <c r="K1570">
        <v>0</v>
      </c>
      <c r="L1570">
        <v>3</v>
      </c>
      <c r="M1570">
        <v>0</v>
      </c>
      <c r="N1570">
        <v>2</v>
      </c>
      <c r="O1570">
        <v>0</v>
      </c>
      <c r="P1570">
        <v>1</v>
      </c>
      <c r="Q1570">
        <v>0</v>
      </c>
      <c r="S1570" t="str">
        <f t="shared" si="545"/>
        <v>19:29:41.000</v>
      </c>
      <c r="T1570" t="str">
        <f t="shared" si="545"/>
        <v>19:29:41.000</v>
      </c>
      <c r="U1570" t="str">
        <f t="shared" si="537"/>
        <v>AC3944</v>
      </c>
      <c r="V1570">
        <v>0</v>
      </c>
      <c r="W1570">
        <v>0</v>
      </c>
      <c r="X1570">
        <v>2</v>
      </c>
      <c r="Y1570">
        <v>0</v>
      </c>
      <c r="AA1570">
        <v>1</v>
      </c>
      <c r="AB1570">
        <v>8</v>
      </c>
      <c r="AC1570">
        <v>3</v>
      </c>
      <c r="AD1570">
        <v>0</v>
      </c>
      <c r="AE1570">
        <v>9</v>
      </c>
      <c r="AF1570" t="s">
        <v>138</v>
      </c>
      <c r="AG1570">
        <v>0</v>
      </c>
      <c r="AH1570">
        <v>3</v>
      </c>
      <c r="AI1570">
        <v>1</v>
      </c>
      <c r="AJ1570">
        <v>0</v>
      </c>
      <c r="AK1570" t="s">
        <v>582</v>
      </c>
      <c r="AL1570">
        <v>32.795177000000002</v>
      </c>
      <c r="AM1570" t="s">
        <v>583</v>
      </c>
      <c r="AN1570">
        <v>-116.877751</v>
      </c>
      <c r="AO1570">
        <v>25</v>
      </c>
      <c r="AP1570">
        <v>2600</v>
      </c>
      <c r="AQ1570" t="s">
        <v>129</v>
      </c>
      <c r="AR1570">
        <v>103</v>
      </c>
      <c r="AS1570">
        <v>-71</v>
      </c>
      <c r="AT1570">
        <v>0</v>
      </c>
      <c r="BB1570">
        <v>1200</v>
      </c>
      <c r="BC1570">
        <v>1</v>
      </c>
      <c r="BD1570" t="str">
        <f t="shared" si="538"/>
        <v xml:space="preserve">N887QR  </v>
      </c>
      <c r="BE1570">
        <v>1</v>
      </c>
      <c r="BG1570">
        <v>0</v>
      </c>
      <c r="BH1570">
        <v>0</v>
      </c>
      <c r="BI1570">
        <v>0</v>
      </c>
      <c r="BJ1570">
        <v>2325</v>
      </c>
      <c r="BK1570">
        <v>-275</v>
      </c>
      <c r="BL1570" t="s">
        <v>163</v>
      </c>
      <c r="BM1570">
        <v>1</v>
      </c>
      <c r="BN1570">
        <v>1</v>
      </c>
      <c r="BO1570">
        <v>1</v>
      </c>
      <c r="BP1570">
        <v>0</v>
      </c>
      <c r="BS1570">
        <v>0</v>
      </c>
      <c r="BT1570">
        <v>0</v>
      </c>
      <c r="BU1570">
        <v>0</v>
      </c>
      <c r="CE1570" t="str">
        <f t="shared" si="548"/>
        <v>19:29:41.972</v>
      </c>
      <c r="CF1570">
        <v>972490475</v>
      </c>
      <c r="CS1570">
        <v>3</v>
      </c>
      <c r="CT1570">
        <v>2</v>
      </c>
      <c r="CU1570">
        <v>0</v>
      </c>
      <c r="CV1570">
        <v>2</v>
      </c>
      <c r="CW1570">
        <v>0</v>
      </c>
      <c r="CX1570">
        <v>6</v>
      </c>
      <c r="CY1570">
        <v>7</v>
      </c>
      <c r="CZ1570" t="s">
        <v>131</v>
      </c>
      <c r="DA1570">
        <v>300</v>
      </c>
      <c r="DB1570">
        <v>0</v>
      </c>
      <c r="DC1570" t="s">
        <v>176</v>
      </c>
      <c r="DD1570" t="s">
        <v>177</v>
      </c>
      <c r="DG1570">
        <v>5389591</v>
      </c>
      <c r="DI1570">
        <v>1</v>
      </c>
      <c r="DJ1570">
        <v>0</v>
      </c>
      <c r="DK1570">
        <v>1</v>
      </c>
      <c r="DL1570">
        <v>0</v>
      </c>
      <c r="DM1570">
        <v>0</v>
      </c>
      <c r="DN1570">
        <v>1</v>
      </c>
      <c r="DO1570">
        <v>0</v>
      </c>
      <c r="DP1570">
        <v>0</v>
      </c>
      <c r="DQ1570">
        <v>0</v>
      </c>
      <c r="DR1570">
        <v>0</v>
      </c>
      <c r="DS1570">
        <v>0</v>
      </c>
    </row>
    <row r="1571" spans="1:123" x14ac:dyDescent="0.3">
      <c r="A1571" t="str">
        <f t="shared" si="547"/>
        <v>10/04/2022 19:29:42.276</v>
      </c>
      <c r="C1571" t="str">
        <f t="shared" si="539"/>
        <v>FFDFD3C0</v>
      </c>
      <c r="D1571" t="s">
        <v>141</v>
      </c>
      <c r="E1571">
        <v>4</v>
      </c>
      <c r="H1571">
        <v>4</v>
      </c>
      <c r="I1571" t="s">
        <v>142</v>
      </c>
      <c r="J1571" t="s">
        <v>138</v>
      </c>
      <c r="K1571">
        <v>0</v>
      </c>
      <c r="L1571">
        <v>3</v>
      </c>
      <c r="M1571">
        <v>0</v>
      </c>
      <c r="N1571">
        <v>2</v>
      </c>
      <c r="O1571">
        <v>0</v>
      </c>
      <c r="P1571">
        <v>1</v>
      </c>
      <c r="Q1571">
        <v>0</v>
      </c>
      <c r="S1571" t="str">
        <f t="shared" si="545"/>
        <v>19:29:41.000</v>
      </c>
      <c r="T1571" t="str">
        <f t="shared" si="545"/>
        <v>19:29:41.000</v>
      </c>
      <c r="U1571" t="str">
        <f t="shared" si="537"/>
        <v>AC3944</v>
      </c>
      <c r="V1571">
        <v>0</v>
      </c>
      <c r="W1571">
        <v>0</v>
      </c>
      <c r="X1571">
        <v>2</v>
      </c>
      <c r="Y1571">
        <v>0</v>
      </c>
      <c r="AA1571">
        <v>1</v>
      </c>
      <c r="AB1571">
        <v>8</v>
      </c>
      <c r="AC1571">
        <v>3</v>
      </c>
      <c r="AD1571">
        <v>0</v>
      </c>
      <c r="AE1571">
        <v>9</v>
      </c>
      <c r="AF1571" t="s">
        <v>138</v>
      </c>
      <c r="AG1571">
        <v>0</v>
      </c>
      <c r="AH1571">
        <v>3</v>
      </c>
      <c r="AI1571">
        <v>1</v>
      </c>
      <c r="AJ1571">
        <v>0</v>
      </c>
      <c r="AK1571" t="s">
        <v>582</v>
      </c>
      <c r="AL1571">
        <v>32.795177000000002</v>
      </c>
      <c r="AM1571" t="s">
        <v>583</v>
      </c>
      <c r="AN1571">
        <v>-116.877751</v>
      </c>
      <c r="AO1571">
        <v>25</v>
      </c>
      <c r="AP1571">
        <v>2600</v>
      </c>
      <c r="AQ1571" t="s">
        <v>129</v>
      </c>
      <c r="AR1571">
        <v>103</v>
      </c>
      <c r="AS1571">
        <v>-71</v>
      </c>
      <c r="AT1571">
        <v>0</v>
      </c>
      <c r="BB1571">
        <v>1200</v>
      </c>
      <c r="BC1571">
        <v>1</v>
      </c>
      <c r="BD1571" t="str">
        <f t="shared" si="538"/>
        <v xml:space="preserve">N887QR  </v>
      </c>
      <c r="BE1571">
        <v>1</v>
      </c>
      <c r="BG1571">
        <v>0</v>
      </c>
      <c r="BH1571">
        <v>0</v>
      </c>
      <c r="BI1571">
        <v>0</v>
      </c>
      <c r="BJ1571">
        <v>2325</v>
      </c>
      <c r="BK1571">
        <v>-275</v>
      </c>
      <c r="BL1571" t="s">
        <v>163</v>
      </c>
      <c r="BM1571">
        <v>1</v>
      </c>
      <c r="BN1571">
        <v>1</v>
      </c>
      <c r="BO1571">
        <v>1</v>
      </c>
      <c r="BP1571">
        <v>0</v>
      </c>
      <c r="BS1571">
        <v>0</v>
      </c>
      <c r="BT1571">
        <v>0</v>
      </c>
      <c r="BU1571">
        <v>0</v>
      </c>
      <c r="CE1571" t="str">
        <f t="shared" si="548"/>
        <v>19:29:41.972</v>
      </c>
      <c r="CF1571">
        <v>972490475</v>
      </c>
      <c r="CS1571">
        <v>3</v>
      </c>
      <c r="CT1571">
        <v>2</v>
      </c>
      <c r="CU1571">
        <v>0</v>
      </c>
      <c r="CV1571">
        <v>2</v>
      </c>
      <c r="CW1571">
        <v>0</v>
      </c>
      <c r="CX1571">
        <v>6</v>
      </c>
      <c r="CY1571">
        <v>7</v>
      </c>
      <c r="CZ1571" t="s">
        <v>131</v>
      </c>
      <c r="DA1571">
        <v>300</v>
      </c>
      <c r="DB1571">
        <v>0</v>
      </c>
      <c r="DC1571" t="s">
        <v>176</v>
      </c>
      <c r="DD1571" t="s">
        <v>177</v>
      </c>
      <c r="DG1571">
        <v>5389591</v>
      </c>
      <c r="DI1571">
        <v>1</v>
      </c>
      <c r="DJ1571">
        <v>0</v>
      </c>
      <c r="DK1571">
        <v>1</v>
      </c>
      <c r="DL1571">
        <v>0</v>
      </c>
      <c r="DM1571">
        <v>0</v>
      </c>
      <c r="DN1571">
        <v>1</v>
      </c>
      <c r="DO1571">
        <v>0</v>
      </c>
      <c r="DP1571">
        <v>0</v>
      </c>
      <c r="DQ1571">
        <v>0</v>
      </c>
      <c r="DR1571">
        <v>0</v>
      </c>
      <c r="DS1571">
        <v>0</v>
      </c>
    </row>
    <row r="1572" spans="1:123" x14ac:dyDescent="0.3">
      <c r="A1572" t="str">
        <f t="shared" si="547"/>
        <v>10/04/2022 19:29:42.276</v>
      </c>
      <c r="C1572" t="str">
        <f t="shared" si="539"/>
        <v>FFDFD3C0</v>
      </c>
      <c r="D1572" t="s">
        <v>141</v>
      </c>
      <c r="E1572">
        <v>3</v>
      </c>
      <c r="H1572">
        <v>3</v>
      </c>
      <c r="I1572" t="s">
        <v>146</v>
      </c>
      <c r="J1572" t="s">
        <v>138</v>
      </c>
      <c r="K1572">
        <v>0</v>
      </c>
      <c r="L1572">
        <v>3</v>
      </c>
      <c r="M1572">
        <v>0</v>
      </c>
      <c r="N1572">
        <v>2</v>
      </c>
      <c r="O1572">
        <v>0</v>
      </c>
      <c r="P1572">
        <v>1</v>
      </c>
      <c r="Q1572">
        <v>0</v>
      </c>
      <c r="S1572" t="str">
        <f t="shared" si="545"/>
        <v>19:29:41.000</v>
      </c>
      <c r="T1572" t="str">
        <f t="shared" si="545"/>
        <v>19:29:41.000</v>
      </c>
      <c r="U1572" t="str">
        <f t="shared" si="537"/>
        <v>AC3944</v>
      </c>
      <c r="V1572">
        <v>0</v>
      </c>
      <c r="W1572">
        <v>0</v>
      </c>
      <c r="X1572">
        <v>2</v>
      </c>
      <c r="Y1572">
        <v>0</v>
      </c>
      <c r="AA1572">
        <v>1</v>
      </c>
      <c r="AB1572">
        <v>8</v>
      </c>
      <c r="AC1572">
        <v>3</v>
      </c>
      <c r="AD1572">
        <v>0</v>
      </c>
      <c r="AE1572">
        <v>9</v>
      </c>
      <c r="AF1572" t="s">
        <v>138</v>
      </c>
      <c r="AG1572">
        <v>0</v>
      </c>
      <c r="AH1572">
        <v>3</v>
      </c>
      <c r="AI1572">
        <v>1</v>
      </c>
      <c r="AJ1572">
        <v>0</v>
      </c>
      <c r="AK1572" t="s">
        <v>582</v>
      </c>
      <c r="AL1572">
        <v>32.795177000000002</v>
      </c>
      <c r="AM1572" t="s">
        <v>583</v>
      </c>
      <c r="AN1572">
        <v>-116.877751</v>
      </c>
      <c r="AO1572">
        <v>25</v>
      </c>
      <c r="AP1572">
        <v>2600</v>
      </c>
      <c r="AQ1572" t="s">
        <v>129</v>
      </c>
      <c r="AR1572">
        <v>103</v>
      </c>
      <c r="AS1572">
        <v>-71</v>
      </c>
      <c r="AT1572">
        <v>0</v>
      </c>
      <c r="BB1572">
        <v>1200</v>
      </c>
      <c r="BC1572">
        <v>1</v>
      </c>
      <c r="BD1572" t="str">
        <f t="shared" si="538"/>
        <v xml:space="preserve">N887QR  </v>
      </c>
      <c r="BE1572">
        <v>1</v>
      </c>
      <c r="BG1572">
        <v>0</v>
      </c>
      <c r="BH1572">
        <v>0</v>
      </c>
      <c r="BI1572">
        <v>0</v>
      </c>
      <c r="BJ1572">
        <v>2325</v>
      </c>
      <c r="BK1572">
        <v>-275</v>
      </c>
      <c r="BL1572" t="s">
        <v>163</v>
      </c>
      <c r="BM1572">
        <v>1</v>
      </c>
      <c r="BN1572">
        <v>1</v>
      </c>
      <c r="BO1572">
        <v>1</v>
      </c>
      <c r="BP1572">
        <v>0</v>
      </c>
      <c r="BS1572">
        <v>0</v>
      </c>
      <c r="BT1572">
        <v>0</v>
      </c>
      <c r="BU1572">
        <v>0</v>
      </c>
      <c r="CE1572" t="str">
        <f t="shared" si="548"/>
        <v>19:29:41.972</v>
      </c>
      <c r="CF1572">
        <v>972490475</v>
      </c>
      <c r="CS1572">
        <v>3</v>
      </c>
      <c r="CT1572">
        <v>2</v>
      </c>
      <c r="CU1572">
        <v>0</v>
      </c>
      <c r="CV1572">
        <v>2</v>
      </c>
      <c r="CW1572">
        <v>0</v>
      </c>
      <c r="CX1572">
        <v>6</v>
      </c>
      <c r="CY1572">
        <v>7</v>
      </c>
      <c r="CZ1572" t="s">
        <v>131</v>
      </c>
      <c r="DA1572">
        <v>300</v>
      </c>
      <c r="DB1572">
        <v>0</v>
      </c>
      <c r="DC1572" t="s">
        <v>176</v>
      </c>
      <c r="DD1572" t="s">
        <v>177</v>
      </c>
      <c r="DG1572">
        <v>5389591</v>
      </c>
      <c r="DI1572">
        <v>1</v>
      </c>
      <c r="DJ1572">
        <v>0</v>
      </c>
      <c r="DK1572">
        <v>1</v>
      </c>
      <c r="DL1572">
        <v>0</v>
      </c>
      <c r="DM1572">
        <v>0</v>
      </c>
      <c r="DN1572">
        <v>1</v>
      </c>
      <c r="DO1572">
        <v>0</v>
      </c>
      <c r="DP1572">
        <v>0</v>
      </c>
      <c r="DQ1572">
        <v>0</v>
      </c>
      <c r="DR1572">
        <v>0</v>
      </c>
      <c r="DS1572">
        <v>0</v>
      </c>
    </row>
    <row r="1573" spans="1:123" x14ac:dyDescent="0.3">
      <c r="A1573" t="str">
        <f t="shared" si="547"/>
        <v>10/04/2022 19:29:42.276</v>
      </c>
      <c r="C1573" t="str">
        <f t="shared" ref="C1573:C1604" si="549">"FFDFD3C0"</f>
        <v>FFDFD3C0</v>
      </c>
      <c r="D1573" t="s">
        <v>143</v>
      </c>
      <c r="E1573">
        <v>20</v>
      </c>
      <c r="F1573">
        <v>1020</v>
      </c>
      <c r="G1573" t="s">
        <v>144</v>
      </c>
      <c r="J1573" t="s">
        <v>145</v>
      </c>
      <c r="K1573">
        <v>0</v>
      </c>
      <c r="L1573">
        <v>3</v>
      </c>
      <c r="M1573">
        <v>0</v>
      </c>
      <c r="N1573">
        <v>2</v>
      </c>
      <c r="O1573">
        <v>0</v>
      </c>
      <c r="P1573">
        <v>1</v>
      </c>
      <c r="Q1573">
        <v>0</v>
      </c>
      <c r="S1573" t="str">
        <f t="shared" si="545"/>
        <v>19:29:41.000</v>
      </c>
      <c r="T1573" t="str">
        <f t="shared" si="545"/>
        <v>19:29:41.000</v>
      </c>
      <c r="U1573" t="str">
        <f t="shared" si="537"/>
        <v>AC3944</v>
      </c>
      <c r="V1573">
        <v>0</v>
      </c>
      <c r="W1573">
        <v>0</v>
      </c>
      <c r="X1573">
        <v>2</v>
      </c>
      <c r="Y1573">
        <v>0</v>
      </c>
      <c r="AA1573">
        <v>1</v>
      </c>
      <c r="AB1573">
        <v>8</v>
      </c>
      <c r="AC1573">
        <v>3</v>
      </c>
      <c r="AD1573">
        <v>0</v>
      </c>
      <c r="AE1573">
        <v>9</v>
      </c>
      <c r="AF1573" t="s">
        <v>138</v>
      </c>
      <c r="AG1573">
        <v>0</v>
      </c>
      <c r="AH1573">
        <v>3</v>
      </c>
      <c r="AI1573">
        <v>1</v>
      </c>
      <c r="AJ1573">
        <v>0</v>
      </c>
      <c r="AK1573" t="s">
        <v>582</v>
      </c>
      <c r="AL1573">
        <v>32.795177000000002</v>
      </c>
      <c r="AM1573" t="s">
        <v>583</v>
      </c>
      <c r="AN1573">
        <v>-116.877751</v>
      </c>
      <c r="AO1573">
        <v>25</v>
      </c>
      <c r="AP1573">
        <v>2600</v>
      </c>
      <c r="AQ1573" t="s">
        <v>129</v>
      </c>
      <c r="AR1573">
        <v>103</v>
      </c>
      <c r="AS1573">
        <v>-71</v>
      </c>
      <c r="AT1573">
        <v>0</v>
      </c>
      <c r="BB1573">
        <v>1200</v>
      </c>
      <c r="BC1573">
        <v>1</v>
      </c>
      <c r="BD1573" t="str">
        <f t="shared" si="538"/>
        <v xml:space="preserve">N887QR  </v>
      </c>
      <c r="BE1573">
        <v>1</v>
      </c>
      <c r="BG1573">
        <v>0</v>
      </c>
      <c r="BH1573">
        <v>0</v>
      </c>
      <c r="BI1573">
        <v>0</v>
      </c>
      <c r="BJ1573">
        <v>2325</v>
      </c>
      <c r="BK1573">
        <v>-275</v>
      </c>
      <c r="BL1573" t="s">
        <v>163</v>
      </c>
      <c r="BM1573">
        <v>1</v>
      </c>
      <c r="BN1573">
        <v>1</v>
      </c>
      <c r="BO1573">
        <v>1</v>
      </c>
      <c r="BP1573">
        <v>0</v>
      </c>
      <c r="BS1573">
        <v>0</v>
      </c>
      <c r="BT1573">
        <v>0</v>
      </c>
      <c r="BU1573">
        <v>0</v>
      </c>
      <c r="CE1573" t="str">
        <f t="shared" si="548"/>
        <v>19:29:41.972</v>
      </c>
      <c r="CF1573">
        <v>972490475</v>
      </c>
      <c r="CS1573">
        <v>3</v>
      </c>
      <c r="CT1573">
        <v>2</v>
      </c>
      <c r="CU1573">
        <v>0</v>
      </c>
      <c r="CV1573">
        <v>2</v>
      </c>
      <c r="CW1573">
        <v>0</v>
      </c>
      <c r="CX1573">
        <v>6</v>
      </c>
      <c r="CY1573">
        <v>7</v>
      </c>
      <c r="CZ1573" t="s">
        <v>131</v>
      </c>
      <c r="DA1573">
        <v>300</v>
      </c>
      <c r="DB1573">
        <v>0</v>
      </c>
      <c r="DC1573" t="s">
        <v>176</v>
      </c>
      <c r="DD1573" t="s">
        <v>177</v>
      </c>
      <c r="DG1573">
        <v>5389591</v>
      </c>
      <c r="DI1573">
        <v>1</v>
      </c>
      <c r="DJ1573">
        <v>0</v>
      </c>
      <c r="DK1573">
        <v>1</v>
      </c>
      <c r="DL1573">
        <v>0</v>
      </c>
      <c r="DM1573">
        <v>0</v>
      </c>
      <c r="DN1573">
        <v>1</v>
      </c>
      <c r="DO1573">
        <v>0</v>
      </c>
      <c r="DP1573">
        <v>0</v>
      </c>
      <c r="DQ1573">
        <v>0</v>
      </c>
      <c r="DR1573">
        <v>0</v>
      </c>
      <c r="DS1573">
        <v>0</v>
      </c>
    </row>
    <row r="1574" spans="1:123" x14ac:dyDescent="0.3">
      <c r="A1574" t="str">
        <f t="shared" si="547"/>
        <v>10/04/2022 19:29:42.276</v>
      </c>
      <c r="C1574" t="str">
        <f t="shared" si="549"/>
        <v>FFDFD3C0</v>
      </c>
      <c r="D1574" t="s">
        <v>134</v>
      </c>
      <c r="E1574">
        <v>15</v>
      </c>
      <c r="J1574" t="s">
        <v>135</v>
      </c>
      <c r="K1574">
        <v>0</v>
      </c>
      <c r="L1574">
        <v>3</v>
      </c>
      <c r="M1574">
        <v>0</v>
      </c>
      <c r="N1574">
        <v>2</v>
      </c>
      <c r="O1574">
        <v>0</v>
      </c>
      <c r="P1574">
        <v>1</v>
      </c>
      <c r="Q1574">
        <v>0</v>
      </c>
      <c r="S1574" t="str">
        <f t="shared" si="545"/>
        <v>19:29:41.000</v>
      </c>
      <c r="T1574" t="str">
        <f t="shared" si="545"/>
        <v>19:29:41.000</v>
      </c>
      <c r="U1574" t="str">
        <f t="shared" si="537"/>
        <v>AC3944</v>
      </c>
      <c r="V1574">
        <v>0</v>
      </c>
      <c r="W1574">
        <v>0</v>
      </c>
      <c r="X1574">
        <v>2</v>
      </c>
      <c r="Y1574">
        <v>0</v>
      </c>
      <c r="AA1574">
        <v>1</v>
      </c>
      <c r="AB1574">
        <v>8</v>
      </c>
      <c r="AC1574">
        <v>3</v>
      </c>
      <c r="AD1574">
        <v>0</v>
      </c>
      <c r="AE1574">
        <v>9</v>
      </c>
      <c r="AF1574" t="s">
        <v>138</v>
      </c>
      <c r="AG1574">
        <v>0</v>
      </c>
      <c r="AH1574">
        <v>3</v>
      </c>
      <c r="AI1574">
        <v>1</v>
      </c>
      <c r="AJ1574">
        <v>0</v>
      </c>
      <c r="AK1574" t="s">
        <v>582</v>
      </c>
      <c r="AL1574">
        <v>32.795177000000002</v>
      </c>
      <c r="AM1574" t="s">
        <v>583</v>
      </c>
      <c r="AN1574">
        <v>-116.877751</v>
      </c>
      <c r="AO1574">
        <v>25</v>
      </c>
      <c r="AP1574">
        <v>2600</v>
      </c>
      <c r="AQ1574" t="s">
        <v>129</v>
      </c>
      <c r="AR1574">
        <v>103</v>
      </c>
      <c r="AS1574">
        <v>-71</v>
      </c>
      <c r="AT1574">
        <v>0</v>
      </c>
      <c r="BB1574">
        <v>1200</v>
      </c>
      <c r="BC1574">
        <v>1</v>
      </c>
      <c r="BD1574" t="str">
        <f t="shared" si="538"/>
        <v xml:space="preserve">N887QR  </v>
      </c>
      <c r="BE1574">
        <v>1</v>
      </c>
      <c r="BG1574">
        <v>0</v>
      </c>
      <c r="BH1574">
        <v>0</v>
      </c>
      <c r="BI1574">
        <v>0</v>
      </c>
      <c r="BJ1574">
        <v>2325</v>
      </c>
      <c r="BK1574">
        <v>-275</v>
      </c>
      <c r="BL1574" t="s">
        <v>163</v>
      </c>
      <c r="BM1574">
        <v>1</v>
      </c>
      <c r="BN1574">
        <v>1</v>
      </c>
      <c r="BO1574">
        <v>1</v>
      </c>
      <c r="BP1574">
        <v>0</v>
      </c>
      <c r="BS1574">
        <v>0</v>
      </c>
      <c r="BT1574">
        <v>0</v>
      </c>
      <c r="BU1574">
        <v>0</v>
      </c>
      <c r="CE1574" t="str">
        <f t="shared" si="548"/>
        <v>19:29:41.972</v>
      </c>
      <c r="CF1574">
        <v>972490475</v>
      </c>
      <c r="CS1574">
        <v>3</v>
      </c>
      <c r="CT1574">
        <v>2</v>
      </c>
      <c r="CU1574">
        <v>0</v>
      </c>
      <c r="CV1574">
        <v>2</v>
      </c>
      <c r="CW1574">
        <v>0</v>
      </c>
      <c r="CX1574">
        <v>6</v>
      </c>
      <c r="CY1574">
        <v>7</v>
      </c>
      <c r="CZ1574" t="s">
        <v>131</v>
      </c>
      <c r="DA1574">
        <v>300</v>
      </c>
      <c r="DB1574">
        <v>0</v>
      </c>
      <c r="DC1574" t="s">
        <v>176</v>
      </c>
      <c r="DD1574" t="s">
        <v>177</v>
      </c>
      <c r="DG1574">
        <v>5389591</v>
      </c>
      <c r="DI1574">
        <v>1</v>
      </c>
      <c r="DJ1574">
        <v>0</v>
      </c>
      <c r="DK1574">
        <v>1</v>
      </c>
      <c r="DL1574">
        <v>0</v>
      </c>
      <c r="DM1574">
        <v>0</v>
      </c>
      <c r="DN1574">
        <v>1</v>
      </c>
      <c r="DO1574">
        <v>0</v>
      </c>
      <c r="DP1574">
        <v>0</v>
      </c>
      <c r="DQ1574">
        <v>0</v>
      </c>
      <c r="DR1574">
        <v>0</v>
      </c>
      <c r="DS1574">
        <v>0</v>
      </c>
    </row>
    <row r="1575" spans="1:123" x14ac:dyDescent="0.3">
      <c r="A1575" t="str">
        <f t="shared" si="547"/>
        <v>10/04/2022 19:29:42.276</v>
      </c>
      <c r="C1575" t="str">
        <f t="shared" si="549"/>
        <v>FFDFD3C0</v>
      </c>
      <c r="D1575" t="s">
        <v>123</v>
      </c>
      <c r="E1575">
        <v>7</v>
      </c>
      <c r="F1575">
        <v>2007</v>
      </c>
      <c r="G1575" t="s">
        <v>124</v>
      </c>
      <c r="J1575" t="s">
        <v>125</v>
      </c>
      <c r="K1575">
        <v>0</v>
      </c>
      <c r="L1575">
        <v>3</v>
      </c>
      <c r="M1575">
        <v>0</v>
      </c>
      <c r="N1575">
        <v>2</v>
      </c>
      <c r="O1575">
        <v>0</v>
      </c>
      <c r="P1575">
        <v>1</v>
      </c>
      <c r="Q1575">
        <v>0</v>
      </c>
      <c r="S1575" t="str">
        <f t="shared" si="545"/>
        <v>19:29:41.000</v>
      </c>
      <c r="T1575" t="str">
        <f t="shared" si="545"/>
        <v>19:29:41.000</v>
      </c>
      <c r="U1575" t="str">
        <f t="shared" si="537"/>
        <v>AC3944</v>
      </c>
      <c r="V1575">
        <v>0</v>
      </c>
      <c r="W1575">
        <v>0</v>
      </c>
      <c r="X1575">
        <v>2</v>
      </c>
      <c r="Y1575">
        <v>0</v>
      </c>
      <c r="AA1575">
        <v>1</v>
      </c>
      <c r="AB1575">
        <v>8</v>
      </c>
      <c r="AC1575">
        <v>3</v>
      </c>
      <c r="AD1575">
        <v>0</v>
      </c>
      <c r="AE1575">
        <v>9</v>
      </c>
      <c r="AF1575" t="s">
        <v>138</v>
      </c>
      <c r="AG1575">
        <v>0</v>
      </c>
      <c r="AH1575">
        <v>3</v>
      </c>
      <c r="AI1575">
        <v>1</v>
      </c>
      <c r="AJ1575">
        <v>0</v>
      </c>
      <c r="AK1575" t="s">
        <v>582</v>
      </c>
      <c r="AL1575">
        <v>32.795177000000002</v>
      </c>
      <c r="AM1575" t="s">
        <v>583</v>
      </c>
      <c r="AN1575">
        <v>-116.877751</v>
      </c>
      <c r="AO1575">
        <v>25</v>
      </c>
      <c r="AP1575">
        <v>2600</v>
      </c>
      <c r="AQ1575" t="s">
        <v>129</v>
      </c>
      <c r="AR1575">
        <v>103</v>
      </c>
      <c r="AS1575">
        <v>-71</v>
      </c>
      <c r="AT1575">
        <v>0</v>
      </c>
      <c r="BB1575">
        <v>1200</v>
      </c>
      <c r="BC1575">
        <v>1</v>
      </c>
      <c r="BD1575" t="str">
        <f t="shared" si="538"/>
        <v xml:space="preserve">N887QR  </v>
      </c>
      <c r="BE1575">
        <v>1</v>
      </c>
      <c r="BG1575">
        <v>0</v>
      </c>
      <c r="BH1575">
        <v>0</v>
      </c>
      <c r="BI1575">
        <v>0</v>
      </c>
      <c r="BJ1575">
        <v>2325</v>
      </c>
      <c r="BK1575">
        <v>-275</v>
      </c>
      <c r="BL1575" t="s">
        <v>163</v>
      </c>
      <c r="BM1575">
        <v>1</v>
      </c>
      <c r="BN1575">
        <v>1</v>
      </c>
      <c r="BO1575">
        <v>1</v>
      </c>
      <c r="BP1575">
        <v>0</v>
      </c>
      <c r="BS1575">
        <v>0</v>
      </c>
      <c r="BT1575">
        <v>0</v>
      </c>
      <c r="BU1575">
        <v>0</v>
      </c>
      <c r="CE1575" t="str">
        <f t="shared" si="548"/>
        <v>19:29:41.972</v>
      </c>
      <c r="CF1575">
        <v>972490475</v>
      </c>
      <c r="CS1575">
        <v>3</v>
      </c>
      <c r="CT1575">
        <v>2</v>
      </c>
      <c r="CU1575">
        <v>0</v>
      </c>
      <c r="CV1575">
        <v>2</v>
      </c>
      <c r="CW1575">
        <v>0</v>
      </c>
      <c r="CX1575">
        <v>6</v>
      </c>
      <c r="CY1575">
        <v>7</v>
      </c>
      <c r="CZ1575" t="s">
        <v>131</v>
      </c>
      <c r="DA1575">
        <v>300</v>
      </c>
      <c r="DB1575">
        <v>0</v>
      </c>
      <c r="DC1575" t="s">
        <v>176</v>
      </c>
      <c r="DD1575" t="s">
        <v>177</v>
      </c>
      <c r="DG1575">
        <v>5389591</v>
      </c>
      <c r="DI1575">
        <v>1</v>
      </c>
      <c r="DJ1575">
        <v>0</v>
      </c>
      <c r="DK1575">
        <v>1</v>
      </c>
      <c r="DL1575">
        <v>0</v>
      </c>
      <c r="DM1575">
        <v>0</v>
      </c>
      <c r="DN1575">
        <v>1</v>
      </c>
      <c r="DO1575">
        <v>0</v>
      </c>
      <c r="DP1575">
        <v>0</v>
      </c>
      <c r="DQ1575">
        <v>0</v>
      </c>
      <c r="DR1575">
        <v>0</v>
      </c>
      <c r="DS1575">
        <v>0</v>
      </c>
    </row>
    <row r="1576" spans="1:123" x14ac:dyDescent="0.3">
      <c r="A1576" t="str">
        <f>"10/04/2022 19:29:43.354"</f>
        <v>10/04/2022 19:29:43.354</v>
      </c>
      <c r="C1576" t="str">
        <f t="shared" si="549"/>
        <v>FFDFD3C0</v>
      </c>
      <c r="D1576" t="s">
        <v>147</v>
      </c>
      <c r="E1576">
        <v>3</v>
      </c>
      <c r="H1576">
        <v>166</v>
      </c>
      <c r="I1576" t="s">
        <v>144</v>
      </c>
      <c r="J1576" t="s">
        <v>148</v>
      </c>
      <c r="K1576">
        <v>0</v>
      </c>
      <c r="L1576">
        <v>3</v>
      </c>
      <c r="M1576">
        <v>0</v>
      </c>
      <c r="N1576">
        <v>2</v>
      </c>
      <c r="O1576">
        <v>0</v>
      </c>
      <c r="P1576">
        <v>1</v>
      </c>
      <c r="Q1576">
        <v>0</v>
      </c>
      <c r="S1576" t="str">
        <f t="shared" ref="S1576:T1589" si="550">"19:29:43.000"</f>
        <v>19:29:43.000</v>
      </c>
      <c r="T1576" t="str">
        <f t="shared" si="550"/>
        <v>19:29:43.000</v>
      </c>
      <c r="U1576" t="str">
        <f t="shared" si="537"/>
        <v>AC3944</v>
      </c>
      <c r="V1576">
        <v>0</v>
      </c>
      <c r="W1576">
        <v>0</v>
      </c>
      <c r="X1576">
        <v>2</v>
      </c>
      <c r="Y1576">
        <v>0</v>
      </c>
      <c r="AA1576">
        <v>1</v>
      </c>
      <c r="AB1576">
        <v>8</v>
      </c>
      <c r="AC1576">
        <v>3</v>
      </c>
      <c r="AD1576">
        <v>0</v>
      </c>
      <c r="AE1576">
        <v>9</v>
      </c>
      <c r="AF1576" t="s">
        <v>138</v>
      </c>
      <c r="AG1576">
        <v>0</v>
      </c>
      <c r="AH1576">
        <v>3</v>
      </c>
      <c r="AI1576">
        <v>1</v>
      </c>
      <c r="AJ1576">
        <v>0</v>
      </c>
      <c r="AK1576" t="s">
        <v>584</v>
      </c>
      <c r="AL1576">
        <v>32.794832999999997</v>
      </c>
      <c r="AM1576" t="s">
        <v>585</v>
      </c>
      <c r="AN1576">
        <v>-116.877172</v>
      </c>
      <c r="AO1576">
        <v>25</v>
      </c>
      <c r="AP1576">
        <v>2600</v>
      </c>
      <c r="AQ1576" t="s">
        <v>129</v>
      </c>
      <c r="AR1576">
        <v>102</v>
      </c>
      <c r="AS1576">
        <v>-72</v>
      </c>
      <c r="AT1576">
        <v>64</v>
      </c>
      <c r="BB1576">
        <v>1200</v>
      </c>
      <c r="BC1576">
        <v>1</v>
      </c>
      <c r="BD1576" t="str">
        <f t="shared" si="538"/>
        <v xml:space="preserve">N887QR  </v>
      </c>
      <c r="BE1576">
        <v>1</v>
      </c>
      <c r="BG1576">
        <v>0</v>
      </c>
      <c r="BH1576">
        <v>0</v>
      </c>
      <c r="BI1576">
        <v>0</v>
      </c>
      <c r="BJ1576">
        <v>2325</v>
      </c>
      <c r="BK1576">
        <v>-275</v>
      </c>
      <c r="BL1576" t="s">
        <v>163</v>
      </c>
      <c r="BM1576">
        <v>1</v>
      </c>
      <c r="BN1576">
        <v>1</v>
      </c>
      <c r="BO1576">
        <v>1</v>
      </c>
      <c r="BP1576">
        <v>0</v>
      </c>
      <c r="BS1576">
        <v>0.04</v>
      </c>
      <c r="BT1576">
        <v>0</v>
      </c>
      <c r="BU1576">
        <v>0</v>
      </c>
      <c r="CE1576" t="str">
        <f t="shared" ref="CE1576:CE1582" si="551">"19:29:43.108"</f>
        <v>19:29:43.108</v>
      </c>
      <c r="CF1576">
        <v>107994260</v>
      </c>
      <c r="CS1576">
        <v>3</v>
      </c>
      <c r="CT1576">
        <v>2</v>
      </c>
      <c r="CU1576">
        <v>0</v>
      </c>
      <c r="CV1576">
        <v>2</v>
      </c>
      <c r="CW1576">
        <v>0</v>
      </c>
      <c r="CX1576">
        <v>6</v>
      </c>
      <c r="CY1576">
        <v>7</v>
      </c>
      <c r="CZ1576" t="s">
        <v>131</v>
      </c>
      <c r="DA1576">
        <v>300</v>
      </c>
      <c r="DB1576">
        <v>0</v>
      </c>
      <c r="DC1576" t="s">
        <v>176</v>
      </c>
      <c r="DD1576" t="s">
        <v>177</v>
      </c>
      <c r="DG1576">
        <v>5389758</v>
      </c>
      <c r="DI1576">
        <v>1</v>
      </c>
      <c r="DJ1576">
        <v>0</v>
      </c>
      <c r="DK1576">
        <v>0</v>
      </c>
      <c r="DL1576">
        <v>0</v>
      </c>
      <c r="DM1576">
        <v>0</v>
      </c>
      <c r="DN1576">
        <v>1</v>
      </c>
      <c r="DO1576">
        <v>0</v>
      </c>
      <c r="DP1576">
        <v>0</v>
      </c>
      <c r="DQ1576">
        <v>0</v>
      </c>
      <c r="DR1576">
        <v>0</v>
      </c>
      <c r="DS1576">
        <v>0</v>
      </c>
    </row>
    <row r="1577" spans="1:123" x14ac:dyDescent="0.3">
      <c r="A1577" t="str">
        <f>"10/04/2022 19:29:43.354"</f>
        <v>10/04/2022 19:29:43.354</v>
      </c>
      <c r="C1577" t="str">
        <f t="shared" si="549"/>
        <v>FFDFD3C0</v>
      </c>
      <c r="D1577" t="s">
        <v>141</v>
      </c>
      <c r="E1577">
        <v>4</v>
      </c>
      <c r="H1577">
        <v>4</v>
      </c>
      <c r="I1577" t="s">
        <v>142</v>
      </c>
      <c r="J1577" t="s">
        <v>138</v>
      </c>
      <c r="K1577">
        <v>0</v>
      </c>
      <c r="L1577">
        <v>3</v>
      </c>
      <c r="M1577">
        <v>0</v>
      </c>
      <c r="N1577">
        <v>2</v>
      </c>
      <c r="O1577">
        <v>0</v>
      </c>
      <c r="P1577">
        <v>1</v>
      </c>
      <c r="Q1577">
        <v>0</v>
      </c>
      <c r="S1577" t="str">
        <f t="shared" si="550"/>
        <v>19:29:43.000</v>
      </c>
      <c r="T1577" t="str">
        <f t="shared" si="550"/>
        <v>19:29:43.000</v>
      </c>
      <c r="U1577" t="str">
        <f t="shared" si="537"/>
        <v>AC3944</v>
      </c>
      <c r="V1577">
        <v>0</v>
      </c>
      <c r="W1577">
        <v>0</v>
      </c>
      <c r="X1577">
        <v>2</v>
      </c>
      <c r="Y1577">
        <v>0</v>
      </c>
      <c r="AA1577">
        <v>1</v>
      </c>
      <c r="AB1577">
        <v>8</v>
      </c>
      <c r="AC1577">
        <v>3</v>
      </c>
      <c r="AD1577">
        <v>0</v>
      </c>
      <c r="AE1577">
        <v>9</v>
      </c>
      <c r="AF1577" t="s">
        <v>138</v>
      </c>
      <c r="AG1577">
        <v>0</v>
      </c>
      <c r="AH1577">
        <v>3</v>
      </c>
      <c r="AI1577">
        <v>1</v>
      </c>
      <c r="AJ1577">
        <v>0</v>
      </c>
      <c r="AK1577" t="s">
        <v>584</v>
      </c>
      <c r="AL1577">
        <v>32.794832999999997</v>
      </c>
      <c r="AM1577" t="s">
        <v>585</v>
      </c>
      <c r="AN1577">
        <v>-116.877172</v>
      </c>
      <c r="AO1577">
        <v>25</v>
      </c>
      <c r="AP1577">
        <v>2600</v>
      </c>
      <c r="AQ1577" t="s">
        <v>129</v>
      </c>
      <c r="AR1577">
        <v>102</v>
      </c>
      <c r="AS1577">
        <v>-72</v>
      </c>
      <c r="AT1577">
        <v>64</v>
      </c>
      <c r="BB1577">
        <v>1200</v>
      </c>
      <c r="BC1577">
        <v>1</v>
      </c>
      <c r="BD1577" t="str">
        <f t="shared" si="538"/>
        <v xml:space="preserve">N887QR  </v>
      </c>
      <c r="BE1577">
        <v>1</v>
      </c>
      <c r="BG1577">
        <v>0</v>
      </c>
      <c r="BH1577">
        <v>0</v>
      </c>
      <c r="BI1577">
        <v>0</v>
      </c>
      <c r="BJ1577">
        <v>2325</v>
      </c>
      <c r="BK1577">
        <v>-275</v>
      </c>
      <c r="BL1577" t="s">
        <v>163</v>
      </c>
      <c r="BM1577">
        <v>1</v>
      </c>
      <c r="BN1577">
        <v>1</v>
      </c>
      <c r="BO1577">
        <v>1</v>
      </c>
      <c r="BP1577">
        <v>0</v>
      </c>
      <c r="BS1577">
        <v>0.04</v>
      </c>
      <c r="BT1577">
        <v>0</v>
      </c>
      <c r="BU1577">
        <v>0</v>
      </c>
      <c r="CE1577" t="str">
        <f t="shared" si="551"/>
        <v>19:29:43.108</v>
      </c>
      <c r="CF1577">
        <v>107994260</v>
      </c>
      <c r="CS1577">
        <v>3</v>
      </c>
      <c r="CT1577">
        <v>2</v>
      </c>
      <c r="CU1577">
        <v>0</v>
      </c>
      <c r="CV1577">
        <v>2</v>
      </c>
      <c r="CW1577">
        <v>0</v>
      </c>
      <c r="CX1577">
        <v>6</v>
      </c>
      <c r="CY1577">
        <v>7</v>
      </c>
      <c r="CZ1577" t="s">
        <v>131</v>
      </c>
      <c r="DA1577">
        <v>300</v>
      </c>
      <c r="DB1577">
        <v>0</v>
      </c>
      <c r="DC1577" t="s">
        <v>176</v>
      </c>
      <c r="DD1577" t="s">
        <v>177</v>
      </c>
      <c r="DG1577">
        <v>5389758</v>
      </c>
      <c r="DI1577">
        <v>1</v>
      </c>
      <c r="DJ1577">
        <v>0</v>
      </c>
      <c r="DK1577">
        <v>1</v>
      </c>
      <c r="DL1577">
        <v>0</v>
      </c>
      <c r="DM1577">
        <v>0</v>
      </c>
      <c r="DN1577">
        <v>1</v>
      </c>
      <c r="DO1577">
        <v>0</v>
      </c>
      <c r="DP1577">
        <v>0</v>
      </c>
      <c r="DQ1577">
        <v>0</v>
      </c>
      <c r="DR1577">
        <v>0</v>
      </c>
      <c r="DS1577">
        <v>0</v>
      </c>
    </row>
    <row r="1578" spans="1:123" x14ac:dyDescent="0.3">
      <c r="A1578" t="str">
        <f>"10/04/2022 19:29:43.385"</f>
        <v>10/04/2022 19:29:43.385</v>
      </c>
      <c r="C1578" t="str">
        <f t="shared" si="549"/>
        <v>FFDFD3C0</v>
      </c>
      <c r="D1578" t="s">
        <v>136</v>
      </c>
      <c r="E1578">
        <v>8</v>
      </c>
      <c r="H1578">
        <v>225</v>
      </c>
      <c r="I1578" t="s">
        <v>137</v>
      </c>
      <c r="J1578" t="s">
        <v>138</v>
      </c>
      <c r="K1578">
        <v>0</v>
      </c>
      <c r="L1578">
        <v>3</v>
      </c>
      <c r="M1578">
        <v>0</v>
      </c>
      <c r="N1578">
        <v>2</v>
      </c>
      <c r="O1578">
        <v>0</v>
      </c>
      <c r="P1578">
        <v>1</v>
      </c>
      <c r="Q1578">
        <v>0</v>
      </c>
      <c r="S1578" t="str">
        <f t="shared" si="550"/>
        <v>19:29:43.000</v>
      </c>
      <c r="T1578" t="str">
        <f t="shared" si="550"/>
        <v>19:29:43.000</v>
      </c>
      <c r="U1578" t="str">
        <f t="shared" si="537"/>
        <v>AC3944</v>
      </c>
      <c r="V1578">
        <v>0</v>
      </c>
      <c r="W1578">
        <v>0</v>
      </c>
      <c r="X1578">
        <v>2</v>
      </c>
      <c r="Y1578">
        <v>0</v>
      </c>
      <c r="AA1578">
        <v>1</v>
      </c>
      <c r="AB1578">
        <v>8</v>
      </c>
      <c r="AC1578">
        <v>3</v>
      </c>
      <c r="AD1578">
        <v>0</v>
      </c>
      <c r="AE1578">
        <v>9</v>
      </c>
      <c r="AF1578" t="s">
        <v>138</v>
      </c>
      <c r="AG1578">
        <v>0</v>
      </c>
      <c r="AH1578">
        <v>3</v>
      </c>
      <c r="AI1578">
        <v>1</v>
      </c>
      <c r="AJ1578">
        <v>0</v>
      </c>
      <c r="AK1578" t="s">
        <v>584</v>
      </c>
      <c r="AL1578">
        <v>32.794832999999997</v>
      </c>
      <c r="AM1578" t="s">
        <v>585</v>
      </c>
      <c r="AN1578">
        <v>-116.877172</v>
      </c>
      <c r="AO1578">
        <v>25</v>
      </c>
      <c r="AP1578">
        <v>2600</v>
      </c>
      <c r="AQ1578" t="s">
        <v>129</v>
      </c>
      <c r="AR1578">
        <v>102</v>
      </c>
      <c r="AS1578">
        <v>-72</v>
      </c>
      <c r="AT1578">
        <v>64</v>
      </c>
      <c r="BB1578">
        <v>1200</v>
      </c>
      <c r="BC1578">
        <v>1</v>
      </c>
      <c r="BD1578" t="str">
        <f t="shared" si="538"/>
        <v xml:space="preserve">N887QR  </v>
      </c>
      <c r="BE1578">
        <v>1</v>
      </c>
      <c r="BG1578">
        <v>0</v>
      </c>
      <c r="BH1578">
        <v>0</v>
      </c>
      <c r="BI1578">
        <v>0</v>
      </c>
      <c r="BJ1578">
        <v>2325</v>
      </c>
      <c r="BK1578">
        <v>-275</v>
      </c>
      <c r="BL1578" t="s">
        <v>163</v>
      </c>
      <c r="BM1578">
        <v>1</v>
      </c>
      <c r="BN1578">
        <v>1</v>
      </c>
      <c r="BO1578">
        <v>1</v>
      </c>
      <c r="BP1578">
        <v>0</v>
      </c>
      <c r="BS1578">
        <v>0.04</v>
      </c>
      <c r="BT1578">
        <v>0</v>
      </c>
      <c r="BU1578">
        <v>0</v>
      </c>
      <c r="CE1578" t="str">
        <f t="shared" si="551"/>
        <v>19:29:43.108</v>
      </c>
      <c r="CF1578">
        <v>107994260</v>
      </c>
      <c r="CS1578">
        <v>3</v>
      </c>
      <c r="CT1578">
        <v>2</v>
      </c>
      <c r="CU1578">
        <v>0</v>
      </c>
      <c r="CV1578">
        <v>2</v>
      </c>
      <c r="CW1578">
        <v>0</v>
      </c>
      <c r="CX1578">
        <v>6</v>
      </c>
      <c r="CY1578">
        <v>7</v>
      </c>
      <c r="CZ1578" t="s">
        <v>131</v>
      </c>
      <c r="DA1578">
        <v>300</v>
      </c>
      <c r="DB1578">
        <v>0</v>
      </c>
      <c r="DC1578" t="s">
        <v>176</v>
      </c>
      <c r="DD1578" t="s">
        <v>177</v>
      </c>
      <c r="DG1578">
        <v>5389758</v>
      </c>
      <c r="DI1578">
        <v>1</v>
      </c>
      <c r="DJ1578">
        <v>0</v>
      </c>
      <c r="DK1578">
        <v>1</v>
      </c>
      <c r="DL1578">
        <v>0</v>
      </c>
      <c r="DM1578">
        <v>0</v>
      </c>
      <c r="DN1578">
        <v>1</v>
      </c>
      <c r="DO1578">
        <v>0</v>
      </c>
      <c r="DP1578">
        <v>0</v>
      </c>
      <c r="DQ1578">
        <v>0</v>
      </c>
      <c r="DR1578">
        <v>0</v>
      </c>
      <c r="DS1578">
        <v>0</v>
      </c>
    </row>
    <row r="1579" spans="1:123" x14ac:dyDescent="0.3">
      <c r="A1579" t="str">
        <f>"10/04/2022 19:29:43.385"</f>
        <v>10/04/2022 19:29:43.385</v>
      </c>
      <c r="C1579" t="str">
        <f t="shared" si="549"/>
        <v>FFDFD3C0</v>
      </c>
      <c r="D1579" t="s">
        <v>143</v>
      </c>
      <c r="E1579">
        <v>20</v>
      </c>
      <c r="F1579">
        <v>1020</v>
      </c>
      <c r="G1579" t="s">
        <v>144</v>
      </c>
      <c r="J1579" t="s">
        <v>145</v>
      </c>
      <c r="K1579">
        <v>0</v>
      </c>
      <c r="L1579">
        <v>3</v>
      </c>
      <c r="M1579">
        <v>0</v>
      </c>
      <c r="N1579">
        <v>2</v>
      </c>
      <c r="O1579">
        <v>0</v>
      </c>
      <c r="P1579">
        <v>1</v>
      </c>
      <c r="Q1579">
        <v>0</v>
      </c>
      <c r="S1579" t="str">
        <f t="shared" si="550"/>
        <v>19:29:43.000</v>
      </c>
      <c r="T1579" t="str">
        <f t="shared" si="550"/>
        <v>19:29:43.000</v>
      </c>
      <c r="U1579" t="str">
        <f t="shared" si="537"/>
        <v>AC3944</v>
      </c>
      <c r="V1579">
        <v>0</v>
      </c>
      <c r="W1579">
        <v>0</v>
      </c>
      <c r="X1579">
        <v>2</v>
      </c>
      <c r="Y1579">
        <v>0</v>
      </c>
      <c r="AA1579">
        <v>1</v>
      </c>
      <c r="AB1579">
        <v>8</v>
      </c>
      <c r="AC1579">
        <v>3</v>
      </c>
      <c r="AD1579">
        <v>0</v>
      </c>
      <c r="AE1579">
        <v>9</v>
      </c>
      <c r="AF1579" t="s">
        <v>138</v>
      </c>
      <c r="AG1579">
        <v>0</v>
      </c>
      <c r="AH1579">
        <v>3</v>
      </c>
      <c r="AI1579">
        <v>1</v>
      </c>
      <c r="AJ1579">
        <v>0</v>
      </c>
      <c r="AK1579" t="s">
        <v>584</v>
      </c>
      <c r="AL1579">
        <v>32.794832999999997</v>
      </c>
      <c r="AM1579" t="s">
        <v>585</v>
      </c>
      <c r="AN1579">
        <v>-116.877172</v>
      </c>
      <c r="AO1579">
        <v>25</v>
      </c>
      <c r="AP1579">
        <v>2600</v>
      </c>
      <c r="AQ1579" t="s">
        <v>129</v>
      </c>
      <c r="AR1579">
        <v>102</v>
      </c>
      <c r="AS1579">
        <v>-72</v>
      </c>
      <c r="AT1579">
        <v>64</v>
      </c>
      <c r="BB1579">
        <v>1200</v>
      </c>
      <c r="BC1579">
        <v>1</v>
      </c>
      <c r="BD1579" t="str">
        <f t="shared" si="538"/>
        <v xml:space="preserve">N887QR  </v>
      </c>
      <c r="BE1579">
        <v>1</v>
      </c>
      <c r="BG1579">
        <v>0</v>
      </c>
      <c r="BH1579">
        <v>0</v>
      </c>
      <c r="BI1579">
        <v>0</v>
      </c>
      <c r="BJ1579">
        <v>2325</v>
      </c>
      <c r="BK1579">
        <v>-275</v>
      </c>
      <c r="BL1579" t="s">
        <v>163</v>
      </c>
      <c r="BM1579">
        <v>1</v>
      </c>
      <c r="BN1579">
        <v>1</v>
      </c>
      <c r="BO1579">
        <v>1</v>
      </c>
      <c r="BP1579">
        <v>0</v>
      </c>
      <c r="BS1579">
        <v>0.04</v>
      </c>
      <c r="BT1579">
        <v>0</v>
      </c>
      <c r="BU1579">
        <v>0</v>
      </c>
      <c r="CE1579" t="str">
        <f t="shared" si="551"/>
        <v>19:29:43.108</v>
      </c>
      <c r="CF1579">
        <v>107994260</v>
      </c>
      <c r="CS1579">
        <v>3</v>
      </c>
      <c r="CT1579">
        <v>2</v>
      </c>
      <c r="CU1579">
        <v>0</v>
      </c>
      <c r="CV1579">
        <v>2</v>
      </c>
      <c r="CW1579">
        <v>0</v>
      </c>
      <c r="CX1579">
        <v>6</v>
      </c>
      <c r="CY1579">
        <v>7</v>
      </c>
      <c r="CZ1579" t="s">
        <v>131</v>
      </c>
      <c r="DA1579">
        <v>300</v>
      </c>
      <c r="DB1579">
        <v>0</v>
      </c>
      <c r="DC1579" t="s">
        <v>176</v>
      </c>
      <c r="DD1579" t="s">
        <v>177</v>
      </c>
      <c r="DG1579">
        <v>5389758</v>
      </c>
      <c r="DI1579">
        <v>1</v>
      </c>
      <c r="DJ1579">
        <v>0</v>
      </c>
      <c r="DK1579">
        <v>1</v>
      </c>
      <c r="DL1579">
        <v>0</v>
      </c>
      <c r="DM1579">
        <v>0</v>
      </c>
      <c r="DN1579">
        <v>1</v>
      </c>
      <c r="DO1579">
        <v>0</v>
      </c>
      <c r="DP1579">
        <v>0</v>
      </c>
      <c r="DQ1579">
        <v>0</v>
      </c>
      <c r="DR1579">
        <v>0</v>
      </c>
      <c r="DS1579">
        <v>0</v>
      </c>
    </row>
    <row r="1580" spans="1:123" x14ac:dyDescent="0.3">
      <c r="A1580" t="str">
        <f>"10/04/2022 19:29:43.385"</f>
        <v>10/04/2022 19:29:43.385</v>
      </c>
      <c r="C1580" t="str">
        <f t="shared" si="549"/>
        <v>FFDFD3C0</v>
      </c>
      <c r="D1580" t="s">
        <v>141</v>
      </c>
      <c r="E1580">
        <v>3</v>
      </c>
      <c r="H1580">
        <v>3</v>
      </c>
      <c r="I1580" t="s">
        <v>146</v>
      </c>
      <c r="J1580" t="s">
        <v>138</v>
      </c>
      <c r="K1580">
        <v>0</v>
      </c>
      <c r="L1580">
        <v>3</v>
      </c>
      <c r="M1580">
        <v>0</v>
      </c>
      <c r="N1580">
        <v>2</v>
      </c>
      <c r="O1580">
        <v>0</v>
      </c>
      <c r="P1580">
        <v>1</v>
      </c>
      <c r="Q1580">
        <v>0</v>
      </c>
      <c r="S1580" t="str">
        <f t="shared" si="550"/>
        <v>19:29:43.000</v>
      </c>
      <c r="T1580" t="str">
        <f t="shared" si="550"/>
        <v>19:29:43.000</v>
      </c>
      <c r="U1580" t="str">
        <f t="shared" si="537"/>
        <v>AC3944</v>
      </c>
      <c r="V1580">
        <v>0</v>
      </c>
      <c r="W1580">
        <v>0</v>
      </c>
      <c r="X1580">
        <v>2</v>
      </c>
      <c r="Y1580">
        <v>0</v>
      </c>
      <c r="AA1580">
        <v>1</v>
      </c>
      <c r="AB1580">
        <v>8</v>
      </c>
      <c r="AC1580">
        <v>3</v>
      </c>
      <c r="AD1580">
        <v>0</v>
      </c>
      <c r="AE1580">
        <v>9</v>
      </c>
      <c r="AF1580" t="s">
        <v>138</v>
      </c>
      <c r="AG1580">
        <v>0</v>
      </c>
      <c r="AH1580">
        <v>3</v>
      </c>
      <c r="AI1580">
        <v>1</v>
      </c>
      <c r="AJ1580">
        <v>0</v>
      </c>
      <c r="AK1580" t="s">
        <v>584</v>
      </c>
      <c r="AL1580">
        <v>32.794832999999997</v>
      </c>
      <c r="AM1580" t="s">
        <v>585</v>
      </c>
      <c r="AN1580">
        <v>-116.877172</v>
      </c>
      <c r="AO1580">
        <v>25</v>
      </c>
      <c r="AP1580">
        <v>2600</v>
      </c>
      <c r="AQ1580" t="s">
        <v>129</v>
      </c>
      <c r="AR1580">
        <v>102</v>
      </c>
      <c r="AS1580">
        <v>-72</v>
      </c>
      <c r="AT1580">
        <v>64</v>
      </c>
      <c r="BB1580">
        <v>1200</v>
      </c>
      <c r="BC1580">
        <v>1</v>
      </c>
      <c r="BD1580" t="str">
        <f t="shared" si="538"/>
        <v xml:space="preserve">N887QR  </v>
      </c>
      <c r="BE1580">
        <v>1</v>
      </c>
      <c r="BG1580">
        <v>0</v>
      </c>
      <c r="BH1580">
        <v>0</v>
      </c>
      <c r="BI1580">
        <v>0</v>
      </c>
      <c r="BJ1580">
        <v>2325</v>
      </c>
      <c r="BK1580">
        <v>-275</v>
      </c>
      <c r="BL1580" t="s">
        <v>163</v>
      </c>
      <c r="BM1580">
        <v>1</v>
      </c>
      <c r="BN1580">
        <v>1</v>
      </c>
      <c r="BO1580">
        <v>1</v>
      </c>
      <c r="BP1580">
        <v>0</v>
      </c>
      <c r="BS1580">
        <v>0.04</v>
      </c>
      <c r="BT1580">
        <v>0</v>
      </c>
      <c r="BU1580">
        <v>0</v>
      </c>
      <c r="CE1580" t="str">
        <f t="shared" si="551"/>
        <v>19:29:43.108</v>
      </c>
      <c r="CF1580">
        <v>107994260</v>
      </c>
      <c r="CS1580">
        <v>3</v>
      </c>
      <c r="CT1580">
        <v>2</v>
      </c>
      <c r="CU1580">
        <v>0</v>
      </c>
      <c r="CV1580">
        <v>2</v>
      </c>
      <c r="CW1580">
        <v>0</v>
      </c>
      <c r="CX1580">
        <v>6</v>
      </c>
      <c r="CY1580">
        <v>7</v>
      </c>
      <c r="CZ1580" t="s">
        <v>131</v>
      </c>
      <c r="DA1580">
        <v>300</v>
      </c>
      <c r="DB1580">
        <v>0</v>
      </c>
      <c r="DC1580" t="s">
        <v>176</v>
      </c>
      <c r="DD1580" t="s">
        <v>177</v>
      </c>
      <c r="DG1580">
        <v>5389758</v>
      </c>
      <c r="DI1580">
        <v>1</v>
      </c>
      <c r="DJ1580">
        <v>0</v>
      </c>
      <c r="DK1580">
        <v>1</v>
      </c>
      <c r="DL1580">
        <v>0</v>
      </c>
      <c r="DM1580">
        <v>0</v>
      </c>
      <c r="DN1580">
        <v>1</v>
      </c>
      <c r="DO1580">
        <v>0</v>
      </c>
      <c r="DP1580">
        <v>0</v>
      </c>
      <c r="DQ1580">
        <v>0</v>
      </c>
      <c r="DR1580">
        <v>0</v>
      </c>
      <c r="DS1580">
        <v>0</v>
      </c>
    </row>
    <row r="1581" spans="1:123" x14ac:dyDescent="0.3">
      <c r="A1581" t="str">
        <f>"10/04/2022 19:29:43.385"</f>
        <v>10/04/2022 19:29:43.385</v>
      </c>
      <c r="C1581" t="str">
        <f t="shared" si="549"/>
        <v>FFDFD3C0</v>
      </c>
      <c r="D1581" t="s">
        <v>123</v>
      </c>
      <c r="E1581">
        <v>7</v>
      </c>
      <c r="F1581">
        <v>2007</v>
      </c>
      <c r="G1581" t="s">
        <v>124</v>
      </c>
      <c r="J1581" t="s">
        <v>125</v>
      </c>
      <c r="K1581">
        <v>0</v>
      </c>
      <c r="L1581">
        <v>3</v>
      </c>
      <c r="M1581">
        <v>0</v>
      </c>
      <c r="N1581">
        <v>2</v>
      </c>
      <c r="O1581">
        <v>0</v>
      </c>
      <c r="P1581">
        <v>1</v>
      </c>
      <c r="Q1581">
        <v>0</v>
      </c>
      <c r="S1581" t="str">
        <f t="shared" si="550"/>
        <v>19:29:43.000</v>
      </c>
      <c r="T1581" t="str">
        <f t="shared" si="550"/>
        <v>19:29:43.000</v>
      </c>
      <c r="U1581" t="str">
        <f t="shared" si="537"/>
        <v>AC3944</v>
      </c>
      <c r="V1581">
        <v>0</v>
      </c>
      <c r="W1581">
        <v>0</v>
      </c>
      <c r="X1581">
        <v>2</v>
      </c>
      <c r="Y1581">
        <v>0</v>
      </c>
      <c r="AA1581">
        <v>1</v>
      </c>
      <c r="AB1581">
        <v>8</v>
      </c>
      <c r="AC1581">
        <v>3</v>
      </c>
      <c r="AD1581">
        <v>0</v>
      </c>
      <c r="AE1581">
        <v>9</v>
      </c>
      <c r="AF1581" t="s">
        <v>138</v>
      </c>
      <c r="AG1581">
        <v>0</v>
      </c>
      <c r="AH1581">
        <v>3</v>
      </c>
      <c r="AI1581">
        <v>1</v>
      </c>
      <c r="AJ1581">
        <v>0</v>
      </c>
      <c r="AK1581" t="s">
        <v>584</v>
      </c>
      <c r="AL1581">
        <v>32.794832999999997</v>
      </c>
      <c r="AM1581" t="s">
        <v>585</v>
      </c>
      <c r="AN1581">
        <v>-116.877172</v>
      </c>
      <c r="AO1581">
        <v>25</v>
      </c>
      <c r="AP1581">
        <v>2600</v>
      </c>
      <c r="AQ1581" t="s">
        <v>129</v>
      </c>
      <c r="AR1581">
        <v>102</v>
      </c>
      <c r="AS1581">
        <v>-72</v>
      </c>
      <c r="AT1581">
        <v>64</v>
      </c>
      <c r="BB1581">
        <v>1200</v>
      </c>
      <c r="BC1581">
        <v>1</v>
      </c>
      <c r="BD1581" t="str">
        <f t="shared" si="538"/>
        <v xml:space="preserve">N887QR  </v>
      </c>
      <c r="BE1581">
        <v>1</v>
      </c>
      <c r="BG1581">
        <v>0</v>
      </c>
      <c r="BH1581">
        <v>0</v>
      </c>
      <c r="BI1581">
        <v>0</v>
      </c>
      <c r="BJ1581">
        <v>2325</v>
      </c>
      <c r="BK1581">
        <v>-275</v>
      </c>
      <c r="BL1581" t="s">
        <v>163</v>
      </c>
      <c r="BM1581">
        <v>1</v>
      </c>
      <c r="BN1581">
        <v>1</v>
      </c>
      <c r="BO1581">
        <v>1</v>
      </c>
      <c r="BP1581">
        <v>0</v>
      </c>
      <c r="BS1581">
        <v>0.04</v>
      </c>
      <c r="BT1581">
        <v>0</v>
      </c>
      <c r="BU1581">
        <v>0</v>
      </c>
      <c r="CE1581" t="str">
        <f t="shared" si="551"/>
        <v>19:29:43.108</v>
      </c>
      <c r="CF1581">
        <v>107994260</v>
      </c>
      <c r="CS1581">
        <v>3</v>
      </c>
      <c r="CT1581">
        <v>2</v>
      </c>
      <c r="CU1581">
        <v>0</v>
      </c>
      <c r="CV1581">
        <v>2</v>
      </c>
      <c r="CW1581">
        <v>0</v>
      </c>
      <c r="CX1581">
        <v>6</v>
      </c>
      <c r="CY1581">
        <v>7</v>
      </c>
      <c r="CZ1581" t="s">
        <v>131</v>
      </c>
      <c r="DA1581">
        <v>300</v>
      </c>
      <c r="DB1581">
        <v>0</v>
      </c>
      <c r="DC1581" t="s">
        <v>176</v>
      </c>
      <c r="DD1581" t="s">
        <v>177</v>
      </c>
      <c r="DG1581">
        <v>5389758</v>
      </c>
      <c r="DI1581">
        <v>1</v>
      </c>
      <c r="DJ1581">
        <v>0</v>
      </c>
      <c r="DK1581">
        <v>1</v>
      </c>
      <c r="DL1581">
        <v>0</v>
      </c>
      <c r="DM1581">
        <v>0</v>
      </c>
      <c r="DN1581">
        <v>1</v>
      </c>
      <c r="DO1581">
        <v>0</v>
      </c>
      <c r="DP1581">
        <v>0</v>
      </c>
      <c r="DQ1581">
        <v>0</v>
      </c>
      <c r="DR1581">
        <v>0</v>
      </c>
      <c r="DS1581">
        <v>0</v>
      </c>
    </row>
    <row r="1582" spans="1:123" x14ac:dyDescent="0.3">
      <c r="A1582" t="str">
        <f>"10/04/2022 19:29:43.417"</f>
        <v>10/04/2022 19:29:43.417</v>
      </c>
      <c r="C1582" t="str">
        <f t="shared" si="549"/>
        <v>FFDFD3C0</v>
      </c>
      <c r="D1582" t="s">
        <v>134</v>
      </c>
      <c r="E1582">
        <v>15</v>
      </c>
      <c r="J1582" t="s">
        <v>135</v>
      </c>
      <c r="K1582">
        <v>0</v>
      </c>
      <c r="L1582">
        <v>3</v>
      </c>
      <c r="M1582">
        <v>0</v>
      </c>
      <c r="N1582">
        <v>2</v>
      </c>
      <c r="O1582">
        <v>0</v>
      </c>
      <c r="P1582">
        <v>1</v>
      </c>
      <c r="Q1582">
        <v>0</v>
      </c>
      <c r="S1582" t="str">
        <f t="shared" si="550"/>
        <v>19:29:43.000</v>
      </c>
      <c r="T1582" t="str">
        <f t="shared" si="550"/>
        <v>19:29:43.000</v>
      </c>
      <c r="U1582" t="str">
        <f t="shared" si="537"/>
        <v>AC3944</v>
      </c>
      <c r="V1582">
        <v>0</v>
      </c>
      <c r="W1582">
        <v>0</v>
      </c>
      <c r="X1582">
        <v>2</v>
      </c>
      <c r="Y1582">
        <v>0</v>
      </c>
      <c r="AA1582">
        <v>1</v>
      </c>
      <c r="AB1582">
        <v>8</v>
      </c>
      <c r="AC1582">
        <v>3</v>
      </c>
      <c r="AD1582">
        <v>0</v>
      </c>
      <c r="AE1582">
        <v>9</v>
      </c>
      <c r="AF1582" t="s">
        <v>138</v>
      </c>
      <c r="AG1582">
        <v>0</v>
      </c>
      <c r="AH1582">
        <v>3</v>
      </c>
      <c r="AI1582">
        <v>1</v>
      </c>
      <c r="AJ1582">
        <v>0</v>
      </c>
      <c r="AK1582" t="s">
        <v>584</v>
      </c>
      <c r="AL1582">
        <v>32.794832999999997</v>
      </c>
      <c r="AM1582" t="s">
        <v>585</v>
      </c>
      <c r="AN1582">
        <v>-116.877172</v>
      </c>
      <c r="AO1582">
        <v>25</v>
      </c>
      <c r="AP1582">
        <v>2600</v>
      </c>
      <c r="AQ1582" t="s">
        <v>129</v>
      </c>
      <c r="AR1582">
        <v>102</v>
      </c>
      <c r="AS1582">
        <v>-72</v>
      </c>
      <c r="AT1582">
        <v>64</v>
      </c>
      <c r="BB1582">
        <v>1200</v>
      </c>
      <c r="BC1582">
        <v>1</v>
      </c>
      <c r="BD1582" t="str">
        <f t="shared" si="538"/>
        <v xml:space="preserve">N887QR  </v>
      </c>
      <c r="BE1582">
        <v>1</v>
      </c>
      <c r="BG1582">
        <v>0</v>
      </c>
      <c r="BH1582">
        <v>0</v>
      </c>
      <c r="BI1582">
        <v>0</v>
      </c>
      <c r="BJ1582">
        <v>2325</v>
      </c>
      <c r="BK1582">
        <v>-275</v>
      </c>
      <c r="BL1582" t="s">
        <v>163</v>
      </c>
      <c r="BM1582">
        <v>1</v>
      </c>
      <c r="BN1582">
        <v>1</v>
      </c>
      <c r="BO1582">
        <v>1</v>
      </c>
      <c r="BP1582">
        <v>0</v>
      </c>
      <c r="BS1582">
        <v>0.04</v>
      </c>
      <c r="BT1582">
        <v>0</v>
      </c>
      <c r="BU1582">
        <v>0</v>
      </c>
      <c r="CE1582" t="str">
        <f t="shared" si="551"/>
        <v>19:29:43.108</v>
      </c>
      <c r="CF1582">
        <v>107994260</v>
      </c>
      <c r="CS1582">
        <v>3</v>
      </c>
      <c r="CT1582">
        <v>2</v>
      </c>
      <c r="CU1582">
        <v>0</v>
      </c>
      <c r="CV1582">
        <v>2</v>
      </c>
      <c r="CW1582">
        <v>0</v>
      </c>
      <c r="CX1582">
        <v>6</v>
      </c>
      <c r="CY1582">
        <v>7</v>
      </c>
      <c r="CZ1582" t="s">
        <v>131</v>
      </c>
      <c r="DA1582">
        <v>300</v>
      </c>
      <c r="DB1582">
        <v>0</v>
      </c>
      <c r="DC1582" t="s">
        <v>176</v>
      </c>
      <c r="DD1582" t="s">
        <v>177</v>
      </c>
      <c r="DG1582">
        <v>5389758</v>
      </c>
      <c r="DI1582">
        <v>1</v>
      </c>
      <c r="DJ1582">
        <v>0</v>
      </c>
      <c r="DK1582">
        <v>1</v>
      </c>
      <c r="DL1582">
        <v>0</v>
      </c>
      <c r="DM1582">
        <v>0</v>
      </c>
      <c r="DN1582">
        <v>1</v>
      </c>
      <c r="DO1582">
        <v>0</v>
      </c>
      <c r="DP1582">
        <v>0</v>
      </c>
      <c r="DQ1582">
        <v>0</v>
      </c>
      <c r="DR1582">
        <v>0</v>
      </c>
      <c r="DS1582">
        <v>0</v>
      </c>
    </row>
    <row r="1583" spans="1:123" x14ac:dyDescent="0.3">
      <c r="A1583" t="str">
        <f t="shared" ref="A1583:A1589" si="552">"10/04/2022 19:29:44.198"</f>
        <v>10/04/2022 19:29:44.198</v>
      </c>
      <c r="C1583" t="str">
        <f t="shared" si="549"/>
        <v>FFDFD3C0</v>
      </c>
      <c r="D1583" t="s">
        <v>143</v>
      </c>
      <c r="E1583">
        <v>20</v>
      </c>
      <c r="F1583">
        <v>1020</v>
      </c>
      <c r="G1583" t="s">
        <v>144</v>
      </c>
      <c r="J1583" t="s">
        <v>145</v>
      </c>
      <c r="K1583">
        <v>0</v>
      </c>
      <c r="L1583">
        <v>3</v>
      </c>
      <c r="M1583">
        <v>0</v>
      </c>
      <c r="N1583">
        <v>2</v>
      </c>
      <c r="O1583">
        <v>0</v>
      </c>
      <c r="P1583">
        <v>1</v>
      </c>
      <c r="Q1583">
        <v>0</v>
      </c>
      <c r="S1583" t="str">
        <f t="shared" si="550"/>
        <v>19:29:43.000</v>
      </c>
      <c r="T1583" t="str">
        <f t="shared" si="550"/>
        <v>19:29:43.000</v>
      </c>
      <c r="U1583" t="str">
        <f t="shared" si="537"/>
        <v>AC3944</v>
      </c>
      <c r="V1583">
        <v>0</v>
      </c>
      <c r="W1583">
        <v>0</v>
      </c>
      <c r="X1583">
        <v>2</v>
      </c>
      <c r="Y1583">
        <v>0</v>
      </c>
      <c r="AA1583">
        <v>1</v>
      </c>
      <c r="AB1583">
        <v>8</v>
      </c>
      <c r="AC1583">
        <v>3</v>
      </c>
      <c r="AD1583">
        <v>0</v>
      </c>
      <c r="AE1583">
        <v>9</v>
      </c>
      <c r="AF1583" t="s">
        <v>138</v>
      </c>
      <c r="AG1583">
        <v>0</v>
      </c>
      <c r="AH1583">
        <v>3</v>
      </c>
      <c r="AI1583">
        <v>1</v>
      </c>
      <c r="AJ1583">
        <v>0</v>
      </c>
      <c r="AK1583" t="s">
        <v>586</v>
      </c>
      <c r="AL1583">
        <v>32.794511</v>
      </c>
      <c r="AM1583" t="s">
        <v>587</v>
      </c>
      <c r="AN1583">
        <v>-116.876614</v>
      </c>
      <c r="AO1583">
        <v>25</v>
      </c>
      <c r="AP1583">
        <v>2600</v>
      </c>
      <c r="AQ1583" t="s">
        <v>129</v>
      </c>
      <c r="AR1583">
        <v>101</v>
      </c>
      <c r="AS1583">
        <v>-74</v>
      </c>
      <c r="AT1583">
        <v>64</v>
      </c>
      <c r="BB1583">
        <v>1200</v>
      </c>
      <c r="BC1583">
        <v>1</v>
      </c>
      <c r="BD1583" t="str">
        <f t="shared" si="538"/>
        <v xml:space="preserve">N887QR  </v>
      </c>
      <c r="BE1583">
        <v>1</v>
      </c>
      <c r="BG1583">
        <v>0</v>
      </c>
      <c r="BH1583">
        <v>0</v>
      </c>
      <c r="BI1583">
        <v>0</v>
      </c>
      <c r="BJ1583">
        <v>2325</v>
      </c>
      <c r="BK1583">
        <v>-275</v>
      </c>
      <c r="BL1583" t="s">
        <v>163</v>
      </c>
      <c r="BM1583">
        <v>1</v>
      </c>
      <c r="BN1583">
        <v>1</v>
      </c>
      <c r="BO1583">
        <v>1</v>
      </c>
      <c r="BP1583">
        <v>0</v>
      </c>
      <c r="BS1583">
        <v>0.04</v>
      </c>
      <c r="BT1583">
        <v>0</v>
      </c>
      <c r="BU1583">
        <v>0</v>
      </c>
      <c r="CE1583" t="str">
        <f t="shared" ref="CE1583:CE1589" si="553">"19:29:43.917"</f>
        <v>19:29:43.917</v>
      </c>
      <c r="CF1583">
        <v>916746979</v>
      </c>
      <c r="CS1583">
        <v>3</v>
      </c>
      <c r="CT1583">
        <v>2</v>
      </c>
      <c r="CU1583">
        <v>0</v>
      </c>
      <c r="CV1583">
        <v>2</v>
      </c>
      <c r="CW1583">
        <v>0</v>
      </c>
      <c r="CX1583">
        <v>6</v>
      </c>
      <c r="CY1583">
        <v>7</v>
      </c>
      <c r="CZ1583" t="s">
        <v>131</v>
      </c>
      <c r="DA1583">
        <v>300</v>
      </c>
      <c r="DB1583">
        <v>0</v>
      </c>
      <c r="DC1583" t="s">
        <v>176</v>
      </c>
      <c r="DD1583" t="s">
        <v>177</v>
      </c>
      <c r="DG1583">
        <v>5389884</v>
      </c>
      <c r="DI1583">
        <v>1</v>
      </c>
      <c r="DJ1583">
        <v>0</v>
      </c>
      <c r="DK1583">
        <v>0</v>
      </c>
      <c r="DL1583">
        <v>0</v>
      </c>
      <c r="DM1583">
        <v>0</v>
      </c>
      <c r="DN1583">
        <v>1</v>
      </c>
      <c r="DO1583">
        <v>0</v>
      </c>
      <c r="DP1583">
        <v>0</v>
      </c>
      <c r="DQ1583">
        <v>0</v>
      </c>
      <c r="DR1583">
        <v>0</v>
      </c>
      <c r="DS1583">
        <v>0</v>
      </c>
    </row>
    <row r="1584" spans="1:123" x14ac:dyDescent="0.3">
      <c r="A1584" t="str">
        <f t="shared" si="552"/>
        <v>10/04/2022 19:29:44.198</v>
      </c>
      <c r="C1584" t="str">
        <f t="shared" si="549"/>
        <v>FFDFD3C0</v>
      </c>
      <c r="D1584" t="s">
        <v>141</v>
      </c>
      <c r="E1584">
        <v>3</v>
      </c>
      <c r="H1584">
        <v>3</v>
      </c>
      <c r="I1584" t="s">
        <v>146</v>
      </c>
      <c r="J1584" t="s">
        <v>138</v>
      </c>
      <c r="K1584">
        <v>0</v>
      </c>
      <c r="L1584">
        <v>3</v>
      </c>
      <c r="M1584">
        <v>0</v>
      </c>
      <c r="N1584">
        <v>2</v>
      </c>
      <c r="O1584">
        <v>0</v>
      </c>
      <c r="P1584">
        <v>1</v>
      </c>
      <c r="Q1584">
        <v>0</v>
      </c>
      <c r="S1584" t="str">
        <f t="shared" si="550"/>
        <v>19:29:43.000</v>
      </c>
      <c r="T1584" t="str">
        <f t="shared" si="550"/>
        <v>19:29:43.000</v>
      </c>
      <c r="U1584" t="str">
        <f t="shared" si="537"/>
        <v>AC3944</v>
      </c>
      <c r="V1584">
        <v>0</v>
      </c>
      <c r="W1584">
        <v>0</v>
      </c>
      <c r="X1584">
        <v>2</v>
      </c>
      <c r="Y1584">
        <v>0</v>
      </c>
      <c r="AA1584">
        <v>1</v>
      </c>
      <c r="AB1584">
        <v>8</v>
      </c>
      <c r="AC1584">
        <v>3</v>
      </c>
      <c r="AD1584">
        <v>0</v>
      </c>
      <c r="AE1584">
        <v>9</v>
      </c>
      <c r="AF1584" t="s">
        <v>138</v>
      </c>
      <c r="AG1584">
        <v>0</v>
      </c>
      <c r="AH1584">
        <v>3</v>
      </c>
      <c r="AI1584">
        <v>1</v>
      </c>
      <c r="AJ1584">
        <v>0</v>
      </c>
      <c r="AK1584" t="s">
        <v>586</v>
      </c>
      <c r="AL1584">
        <v>32.794511</v>
      </c>
      <c r="AM1584" t="s">
        <v>587</v>
      </c>
      <c r="AN1584">
        <v>-116.876614</v>
      </c>
      <c r="AO1584">
        <v>25</v>
      </c>
      <c r="AP1584">
        <v>2600</v>
      </c>
      <c r="AQ1584" t="s">
        <v>129</v>
      </c>
      <c r="AR1584">
        <v>101</v>
      </c>
      <c r="AS1584">
        <v>-74</v>
      </c>
      <c r="AT1584">
        <v>64</v>
      </c>
      <c r="BB1584">
        <v>1200</v>
      </c>
      <c r="BC1584">
        <v>1</v>
      </c>
      <c r="BD1584" t="str">
        <f t="shared" si="538"/>
        <v xml:space="preserve">N887QR  </v>
      </c>
      <c r="BE1584">
        <v>1</v>
      </c>
      <c r="BG1584">
        <v>0</v>
      </c>
      <c r="BH1584">
        <v>0</v>
      </c>
      <c r="BI1584">
        <v>0</v>
      </c>
      <c r="BJ1584">
        <v>2325</v>
      </c>
      <c r="BK1584">
        <v>-275</v>
      </c>
      <c r="BL1584" t="s">
        <v>163</v>
      </c>
      <c r="BM1584">
        <v>1</v>
      </c>
      <c r="BN1584">
        <v>1</v>
      </c>
      <c r="BO1584">
        <v>1</v>
      </c>
      <c r="BP1584">
        <v>0</v>
      </c>
      <c r="BS1584">
        <v>0.04</v>
      </c>
      <c r="BT1584">
        <v>0</v>
      </c>
      <c r="BU1584">
        <v>0</v>
      </c>
      <c r="CE1584" t="str">
        <f t="shared" si="553"/>
        <v>19:29:43.917</v>
      </c>
      <c r="CF1584">
        <v>916746979</v>
      </c>
      <c r="CS1584">
        <v>3</v>
      </c>
      <c r="CT1584">
        <v>2</v>
      </c>
      <c r="CU1584">
        <v>0</v>
      </c>
      <c r="CV1584">
        <v>2</v>
      </c>
      <c r="CW1584">
        <v>0</v>
      </c>
      <c r="CX1584">
        <v>6</v>
      </c>
      <c r="CY1584">
        <v>7</v>
      </c>
      <c r="CZ1584" t="s">
        <v>131</v>
      </c>
      <c r="DA1584">
        <v>300</v>
      </c>
      <c r="DB1584">
        <v>0</v>
      </c>
      <c r="DC1584" t="s">
        <v>176</v>
      </c>
      <c r="DD1584" t="s">
        <v>177</v>
      </c>
      <c r="DG1584">
        <v>5389884</v>
      </c>
      <c r="DI1584">
        <v>1</v>
      </c>
      <c r="DJ1584">
        <v>0</v>
      </c>
      <c r="DK1584">
        <v>1</v>
      </c>
      <c r="DL1584">
        <v>0</v>
      </c>
      <c r="DM1584">
        <v>0</v>
      </c>
      <c r="DN1584">
        <v>1</v>
      </c>
      <c r="DO1584">
        <v>0</v>
      </c>
      <c r="DP1584">
        <v>0</v>
      </c>
      <c r="DQ1584">
        <v>0</v>
      </c>
      <c r="DR1584">
        <v>0</v>
      </c>
      <c r="DS1584">
        <v>0</v>
      </c>
    </row>
    <row r="1585" spans="1:123" x14ac:dyDescent="0.3">
      <c r="A1585" t="str">
        <f t="shared" si="552"/>
        <v>10/04/2022 19:29:44.198</v>
      </c>
      <c r="C1585" t="str">
        <f t="shared" si="549"/>
        <v>FFDFD3C0</v>
      </c>
      <c r="D1585" t="s">
        <v>123</v>
      </c>
      <c r="E1585">
        <v>7</v>
      </c>
      <c r="F1585">
        <v>2007</v>
      </c>
      <c r="G1585" t="s">
        <v>124</v>
      </c>
      <c r="J1585" t="s">
        <v>125</v>
      </c>
      <c r="K1585">
        <v>0</v>
      </c>
      <c r="L1585">
        <v>3</v>
      </c>
      <c r="M1585">
        <v>0</v>
      </c>
      <c r="N1585">
        <v>2</v>
      </c>
      <c r="O1585">
        <v>0</v>
      </c>
      <c r="P1585">
        <v>1</v>
      </c>
      <c r="Q1585">
        <v>0</v>
      </c>
      <c r="S1585" t="str">
        <f t="shared" si="550"/>
        <v>19:29:43.000</v>
      </c>
      <c r="T1585" t="str">
        <f t="shared" si="550"/>
        <v>19:29:43.000</v>
      </c>
      <c r="U1585" t="str">
        <f t="shared" si="537"/>
        <v>AC3944</v>
      </c>
      <c r="V1585">
        <v>0</v>
      </c>
      <c r="W1585">
        <v>0</v>
      </c>
      <c r="X1585">
        <v>2</v>
      </c>
      <c r="Y1585">
        <v>0</v>
      </c>
      <c r="AA1585">
        <v>1</v>
      </c>
      <c r="AB1585">
        <v>8</v>
      </c>
      <c r="AC1585">
        <v>3</v>
      </c>
      <c r="AD1585">
        <v>0</v>
      </c>
      <c r="AE1585">
        <v>9</v>
      </c>
      <c r="AF1585" t="s">
        <v>138</v>
      </c>
      <c r="AG1585">
        <v>0</v>
      </c>
      <c r="AH1585">
        <v>3</v>
      </c>
      <c r="AI1585">
        <v>1</v>
      </c>
      <c r="AJ1585">
        <v>0</v>
      </c>
      <c r="AK1585" t="s">
        <v>586</v>
      </c>
      <c r="AL1585">
        <v>32.794511</v>
      </c>
      <c r="AM1585" t="s">
        <v>587</v>
      </c>
      <c r="AN1585">
        <v>-116.876614</v>
      </c>
      <c r="AO1585">
        <v>25</v>
      </c>
      <c r="AP1585">
        <v>2600</v>
      </c>
      <c r="AQ1585" t="s">
        <v>129</v>
      </c>
      <c r="AR1585">
        <v>101</v>
      </c>
      <c r="AS1585">
        <v>-74</v>
      </c>
      <c r="AT1585">
        <v>64</v>
      </c>
      <c r="BB1585">
        <v>1200</v>
      </c>
      <c r="BC1585">
        <v>1</v>
      </c>
      <c r="BD1585" t="str">
        <f t="shared" si="538"/>
        <v xml:space="preserve">N887QR  </v>
      </c>
      <c r="BE1585">
        <v>1</v>
      </c>
      <c r="BG1585">
        <v>0</v>
      </c>
      <c r="BH1585">
        <v>0</v>
      </c>
      <c r="BI1585">
        <v>0</v>
      </c>
      <c r="BJ1585">
        <v>2325</v>
      </c>
      <c r="BK1585">
        <v>-275</v>
      </c>
      <c r="BL1585" t="s">
        <v>163</v>
      </c>
      <c r="BM1585">
        <v>1</v>
      </c>
      <c r="BN1585">
        <v>1</v>
      </c>
      <c r="BO1585">
        <v>1</v>
      </c>
      <c r="BP1585">
        <v>0</v>
      </c>
      <c r="BS1585">
        <v>0.04</v>
      </c>
      <c r="BT1585">
        <v>0</v>
      </c>
      <c r="BU1585">
        <v>0</v>
      </c>
      <c r="CE1585" t="str">
        <f t="shared" si="553"/>
        <v>19:29:43.917</v>
      </c>
      <c r="CF1585">
        <v>916746979</v>
      </c>
      <c r="CS1585">
        <v>3</v>
      </c>
      <c r="CT1585">
        <v>2</v>
      </c>
      <c r="CU1585">
        <v>0</v>
      </c>
      <c r="CV1585">
        <v>2</v>
      </c>
      <c r="CW1585">
        <v>0</v>
      </c>
      <c r="CX1585">
        <v>6</v>
      </c>
      <c r="CY1585">
        <v>7</v>
      </c>
      <c r="CZ1585" t="s">
        <v>131</v>
      </c>
      <c r="DA1585">
        <v>300</v>
      </c>
      <c r="DB1585">
        <v>0</v>
      </c>
      <c r="DC1585" t="s">
        <v>176</v>
      </c>
      <c r="DD1585" t="s">
        <v>177</v>
      </c>
      <c r="DG1585">
        <v>5389884</v>
      </c>
      <c r="DI1585">
        <v>1</v>
      </c>
      <c r="DJ1585">
        <v>0</v>
      </c>
      <c r="DK1585">
        <v>1</v>
      </c>
      <c r="DL1585">
        <v>0</v>
      </c>
      <c r="DM1585">
        <v>0</v>
      </c>
      <c r="DN1585">
        <v>1</v>
      </c>
      <c r="DO1585">
        <v>0</v>
      </c>
      <c r="DP1585">
        <v>0</v>
      </c>
      <c r="DQ1585">
        <v>0</v>
      </c>
      <c r="DR1585">
        <v>0</v>
      </c>
      <c r="DS1585">
        <v>0</v>
      </c>
    </row>
    <row r="1586" spans="1:123" x14ac:dyDescent="0.3">
      <c r="A1586" t="str">
        <f t="shared" si="552"/>
        <v>10/04/2022 19:29:44.198</v>
      </c>
      <c r="C1586" t="str">
        <f t="shared" si="549"/>
        <v>FFDFD3C0</v>
      </c>
      <c r="D1586" t="s">
        <v>134</v>
      </c>
      <c r="E1586">
        <v>15</v>
      </c>
      <c r="J1586" t="s">
        <v>135</v>
      </c>
      <c r="K1586">
        <v>0</v>
      </c>
      <c r="L1586">
        <v>3</v>
      </c>
      <c r="M1586">
        <v>0</v>
      </c>
      <c r="N1586">
        <v>2</v>
      </c>
      <c r="O1586">
        <v>0</v>
      </c>
      <c r="P1586">
        <v>1</v>
      </c>
      <c r="Q1586">
        <v>0</v>
      </c>
      <c r="S1586" t="str">
        <f t="shared" si="550"/>
        <v>19:29:43.000</v>
      </c>
      <c r="T1586" t="str">
        <f t="shared" si="550"/>
        <v>19:29:43.000</v>
      </c>
      <c r="U1586" t="str">
        <f t="shared" si="537"/>
        <v>AC3944</v>
      </c>
      <c r="V1586">
        <v>0</v>
      </c>
      <c r="W1586">
        <v>0</v>
      </c>
      <c r="X1586">
        <v>2</v>
      </c>
      <c r="Y1586">
        <v>0</v>
      </c>
      <c r="AA1586">
        <v>1</v>
      </c>
      <c r="AB1586">
        <v>8</v>
      </c>
      <c r="AC1586">
        <v>3</v>
      </c>
      <c r="AD1586">
        <v>0</v>
      </c>
      <c r="AE1586">
        <v>9</v>
      </c>
      <c r="AF1586" t="s">
        <v>138</v>
      </c>
      <c r="AG1586">
        <v>0</v>
      </c>
      <c r="AH1586">
        <v>3</v>
      </c>
      <c r="AI1586">
        <v>1</v>
      </c>
      <c r="AJ1586">
        <v>0</v>
      </c>
      <c r="AK1586" t="s">
        <v>586</v>
      </c>
      <c r="AL1586">
        <v>32.794511</v>
      </c>
      <c r="AM1586" t="s">
        <v>587</v>
      </c>
      <c r="AN1586">
        <v>-116.876614</v>
      </c>
      <c r="AO1586">
        <v>25</v>
      </c>
      <c r="AP1586">
        <v>2600</v>
      </c>
      <c r="AQ1586" t="s">
        <v>129</v>
      </c>
      <c r="AR1586">
        <v>101</v>
      </c>
      <c r="AS1586">
        <v>-74</v>
      </c>
      <c r="AT1586">
        <v>64</v>
      </c>
      <c r="BB1586">
        <v>1200</v>
      </c>
      <c r="BC1586">
        <v>1</v>
      </c>
      <c r="BD1586" t="str">
        <f t="shared" si="538"/>
        <v xml:space="preserve">N887QR  </v>
      </c>
      <c r="BE1586">
        <v>1</v>
      </c>
      <c r="BG1586">
        <v>0</v>
      </c>
      <c r="BH1586">
        <v>0</v>
      </c>
      <c r="BI1586">
        <v>0</v>
      </c>
      <c r="BJ1586">
        <v>2325</v>
      </c>
      <c r="BK1586">
        <v>-275</v>
      </c>
      <c r="BL1586" t="s">
        <v>163</v>
      </c>
      <c r="BM1586">
        <v>1</v>
      </c>
      <c r="BN1586">
        <v>1</v>
      </c>
      <c r="BO1586">
        <v>1</v>
      </c>
      <c r="BP1586">
        <v>0</v>
      </c>
      <c r="BS1586">
        <v>0.04</v>
      </c>
      <c r="BT1586">
        <v>0</v>
      </c>
      <c r="BU1586">
        <v>0</v>
      </c>
      <c r="CE1586" t="str">
        <f t="shared" si="553"/>
        <v>19:29:43.917</v>
      </c>
      <c r="CF1586">
        <v>916746979</v>
      </c>
      <c r="CS1586">
        <v>3</v>
      </c>
      <c r="CT1586">
        <v>2</v>
      </c>
      <c r="CU1586">
        <v>0</v>
      </c>
      <c r="CV1586">
        <v>2</v>
      </c>
      <c r="CW1586">
        <v>0</v>
      </c>
      <c r="CX1586">
        <v>6</v>
      </c>
      <c r="CY1586">
        <v>7</v>
      </c>
      <c r="CZ1586" t="s">
        <v>131</v>
      </c>
      <c r="DA1586">
        <v>300</v>
      </c>
      <c r="DB1586">
        <v>0</v>
      </c>
      <c r="DC1586" t="s">
        <v>176</v>
      </c>
      <c r="DD1586" t="s">
        <v>177</v>
      </c>
      <c r="DG1586">
        <v>5389884</v>
      </c>
      <c r="DI1586">
        <v>1</v>
      </c>
      <c r="DJ1586">
        <v>0</v>
      </c>
      <c r="DK1586">
        <v>1</v>
      </c>
      <c r="DL1586">
        <v>0</v>
      </c>
      <c r="DM1586">
        <v>0</v>
      </c>
      <c r="DN1586">
        <v>1</v>
      </c>
      <c r="DO1586">
        <v>0</v>
      </c>
      <c r="DP1586">
        <v>0</v>
      </c>
      <c r="DQ1586">
        <v>0</v>
      </c>
      <c r="DR1586">
        <v>0</v>
      </c>
      <c r="DS1586">
        <v>0</v>
      </c>
    </row>
    <row r="1587" spans="1:123" x14ac:dyDescent="0.3">
      <c r="A1587" t="str">
        <f t="shared" si="552"/>
        <v>10/04/2022 19:29:44.198</v>
      </c>
      <c r="C1587" t="str">
        <f t="shared" si="549"/>
        <v>FFDFD3C0</v>
      </c>
      <c r="D1587" t="s">
        <v>147</v>
      </c>
      <c r="E1587">
        <v>3</v>
      </c>
      <c r="H1587">
        <v>166</v>
      </c>
      <c r="I1587" t="s">
        <v>144</v>
      </c>
      <c r="J1587" t="s">
        <v>148</v>
      </c>
      <c r="K1587">
        <v>0</v>
      </c>
      <c r="L1587">
        <v>3</v>
      </c>
      <c r="M1587">
        <v>0</v>
      </c>
      <c r="N1587">
        <v>2</v>
      </c>
      <c r="O1587">
        <v>0</v>
      </c>
      <c r="P1587">
        <v>1</v>
      </c>
      <c r="Q1587">
        <v>0</v>
      </c>
      <c r="S1587" t="str">
        <f t="shared" si="550"/>
        <v>19:29:43.000</v>
      </c>
      <c r="T1587" t="str">
        <f t="shared" si="550"/>
        <v>19:29:43.000</v>
      </c>
      <c r="U1587" t="str">
        <f t="shared" si="537"/>
        <v>AC3944</v>
      </c>
      <c r="V1587">
        <v>0</v>
      </c>
      <c r="W1587">
        <v>0</v>
      </c>
      <c r="X1587">
        <v>2</v>
      </c>
      <c r="Y1587">
        <v>0</v>
      </c>
      <c r="AA1587">
        <v>1</v>
      </c>
      <c r="AB1587">
        <v>8</v>
      </c>
      <c r="AC1587">
        <v>3</v>
      </c>
      <c r="AD1587">
        <v>0</v>
      </c>
      <c r="AE1587">
        <v>9</v>
      </c>
      <c r="AF1587" t="s">
        <v>138</v>
      </c>
      <c r="AG1587">
        <v>0</v>
      </c>
      <c r="AH1587">
        <v>3</v>
      </c>
      <c r="AI1587">
        <v>1</v>
      </c>
      <c r="AJ1587">
        <v>0</v>
      </c>
      <c r="AK1587" t="s">
        <v>586</v>
      </c>
      <c r="AL1587">
        <v>32.794511</v>
      </c>
      <c r="AM1587" t="s">
        <v>587</v>
      </c>
      <c r="AN1587">
        <v>-116.876614</v>
      </c>
      <c r="AO1587">
        <v>25</v>
      </c>
      <c r="AP1587">
        <v>2600</v>
      </c>
      <c r="AQ1587" t="s">
        <v>129</v>
      </c>
      <c r="AR1587">
        <v>101</v>
      </c>
      <c r="AS1587">
        <v>-74</v>
      </c>
      <c r="AT1587">
        <v>64</v>
      </c>
      <c r="BB1587">
        <v>1200</v>
      </c>
      <c r="BC1587">
        <v>1</v>
      </c>
      <c r="BD1587" t="str">
        <f t="shared" si="538"/>
        <v xml:space="preserve">N887QR  </v>
      </c>
      <c r="BE1587">
        <v>1</v>
      </c>
      <c r="BG1587">
        <v>0</v>
      </c>
      <c r="BH1587">
        <v>0</v>
      </c>
      <c r="BI1587">
        <v>0</v>
      </c>
      <c r="BJ1587">
        <v>2325</v>
      </c>
      <c r="BK1587">
        <v>-275</v>
      </c>
      <c r="BL1587" t="s">
        <v>163</v>
      </c>
      <c r="BM1587">
        <v>1</v>
      </c>
      <c r="BN1587">
        <v>1</v>
      </c>
      <c r="BO1587">
        <v>1</v>
      </c>
      <c r="BP1587">
        <v>0</v>
      </c>
      <c r="BS1587">
        <v>0.04</v>
      </c>
      <c r="BT1587">
        <v>0</v>
      </c>
      <c r="BU1587">
        <v>0</v>
      </c>
      <c r="CE1587" t="str">
        <f t="shared" si="553"/>
        <v>19:29:43.917</v>
      </c>
      <c r="CF1587">
        <v>916746979</v>
      </c>
      <c r="CS1587">
        <v>3</v>
      </c>
      <c r="CT1587">
        <v>2</v>
      </c>
      <c r="CU1587">
        <v>0</v>
      </c>
      <c r="CV1587">
        <v>2</v>
      </c>
      <c r="CW1587">
        <v>0</v>
      </c>
      <c r="CX1587">
        <v>6</v>
      </c>
      <c r="CY1587">
        <v>7</v>
      </c>
      <c r="CZ1587" t="s">
        <v>131</v>
      </c>
      <c r="DA1587">
        <v>300</v>
      </c>
      <c r="DB1587">
        <v>0</v>
      </c>
      <c r="DC1587" t="s">
        <v>176</v>
      </c>
      <c r="DD1587" t="s">
        <v>177</v>
      </c>
      <c r="DG1587">
        <v>5389884</v>
      </c>
      <c r="DI1587">
        <v>1</v>
      </c>
      <c r="DJ1587">
        <v>0</v>
      </c>
      <c r="DK1587">
        <v>1</v>
      </c>
      <c r="DL1587">
        <v>0</v>
      </c>
      <c r="DM1587">
        <v>0</v>
      </c>
      <c r="DN1587">
        <v>1</v>
      </c>
      <c r="DO1587">
        <v>0</v>
      </c>
      <c r="DP1587">
        <v>0</v>
      </c>
      <c r="DQ1587">
        <v>0</v>
      </c>
      <c r="DR1587">
        <v>0</v>
      </c>
      <c r="DS1587">
        <v>0</v>
      </c>
    </row>
    <row r="1588" spans="1:123" x14ac:dyDescent="0.3">
      <c r="A1588" t="str">
        <f t="shared" si="552"/>
        <v>10/04/2022 19:29:44.198</v>
      </c>
      <c r="C1588" t="str">
        <f t="shared" si="549"/>
        <v>FFDFD3C0</v>
      </c>
      <c r="D1588" t="s">
        <v>141</v>
      </c>
      <c r="E1588">
        <v>4</v>
      </c>
      <c r="H1588">
        <v>4</v>
      </c>
      <c r="I1588" t="s">
        <v>142</v>
      </c>
      <c r="J1588" t="s">
        <v>138</v>
      </c>
      <c r="K1588">
        <v>0</v>
      </c>
      <c r="L1588">
        <v>3</v>
      </c>
      <c r="M1588">
        <v>0</v>
      </c>
      <c r="N1588">
        <v>2</v>
      </c>
      <c r="O1588">
        <v>0</v>
      </c>
      <c r="P1588">
        <v>1</v>
      </c>
      <c r="Q1588">
        <v>0</v>
      </c>
      <c r="S1588" t="str">
        <f t="shared" si="550"/>
        <v>19:29:43.000</v>
      </c>
      <c r="T1588" t="str">
        <f t="shared" si="550"/>
        <v>19:29:43.000</v>
      </c>
      <c r="U1588" t="str">
        <f t="shared" si="537"/>
        <v>AC3944</v>
      </c>
      <c r="V1588">
        <v>0</v>
      </c>
      <c r="W1588">
        <v>0</v>
      </c>
      <c r="X1588">
        <v>2</v>
      </c>
      <c r="Y1588">
        <v>0</v>
      </c>
      <c r="AA1588">
        <v>1</v>
      </c>
      <c r="AB1588">
        <v>8</v>
      </c>
      <c r="AC1588">
        <v>3</v>
      </c>
      <c r="AD1588">
        <v>0</v>
      </c>
      <c r="AE1588">
        <v>9</v>
      </c>
      <c r="AF1588" t="s">
        <v>138</v>
      </c>
      <c r="AG1588">
        <v>0</v>
      </c>
      <c r="AH1588">
        <v>3</v>
      </c>
      <c r="AI1588">
        <v>1</v>
      </c>
      <c r="AJ1588">
        <v>0</v>
      </c>
      <c r="AK1588" t="s">
        <v>586</v>
      </c>
      <c r="AL1588">
        <v>32.794511</v>
      </c>
      <c r="AM1588" t="s">
        <v>587</v>
      </c>
      <c r="AN1588">
        <v>-116.876614</v>
      </c>
      <c r="AO1588">
        <v>25</v>
      </c>
      <c r="AP1588">
        <v>2600</v>
      </c>
      <c r="AQ1588" t="s">
        <v>129</v>
      </c>
      <c r="AR1588">
        <v>101</v>
      </c>
      <c r="AS1588">
        <v>-74</v>
      </c>
      <c r="AT1588">
        <v>64</v>
      </c>
      <c r="BB1588">
        <v>1200</v>
      </c>
      <c r="BC1588">
        <v>1</v>
      </c>
      <c r="BD1588" t="str">
        <f t="shared" si="538"/>
        <v xml:space="preserve">N887QR  </v>
      </c>
      <c r="BE1588">
        <v>1</v>
      </c>
      <c r="BG1588">
        <v>0</v>
      </c>
      <c r="BH1588">
        <v>0</v>
      </c>
      <c r="BI1588">
        <v>0</v>
      </c>
      <c r="BJ1588">
        <v>2325</v>
      </c>
      <c r="BK1588">
        <v>-275</v>
      </c>
      <c r="BL1588" t="s">
        <v>163</v>
      </c>
      <c r="BM1588">
        <v>1</v>
      </c>
      <c r="BN1588">
        <v>1</v>
      </c>
      <c r="BO1588">
        <v>1</v>
      </c>
      <c r="BP1588">
        <v>0</v>
      </c>
      <c r="BS1588">
        <v>0.04</v>
      </c>
      <c r="BT1588">
        <v>0</v>
      </c>
      <c r="BU1588">
        <v>0</v>
      </c>
      <c r="CE1588" t="str">
        <f t="shared" si="553"/>
        <v>19:29:43.917</v>
      </c>
      <c r="CF1588">
        <v>916746979</v>
      </c>
      <c r="CS1588">
        <v>3</v>
      </c>
      <c r="CT1588">
        <v>2</v>
      </c>
      <c r="CU1588">
        <v>0</v>
      </c>
      <c r="CV1588">
        <v>2</v>
      </c>
      <c r="CW1588">
        <v>0</v>
      </c>
      <c r="CX1588">
        <v>6</v>
      </c>
      <c r="CY1588">
        <v>7</v>
      </c>
      <c r="CZ1588" t="s">
        <v>131</v>
      </c>
      <c r="DA1588">
        <v>300</v>
      </c>
      <c r="DB1588">
        <v>0</v>
      </c>
      <c r="DC1588" t="s">
        <v>176</v>
      </c>
      <c r="DD1588" t="s">
        <v>177</v>
      </c>
      <c r="DG1588">
        <v>5389884</v>
      </c>
      <c r="DI1588">
        <v>1</v>
      </c>
      <c r="DJ1588">
        <v>0</v>
      </c>
      <c r="DK1588">
        <v>1</v>
      </c>
      <c r="DL1588">
        <v>0</v>
      </c>
      <c r="DM1588">
        <v>0</v>
      </c>
      <c r="DN1588">
        <v>1</v>
      </c>
      <c r="DO1588">
        <v>0</v>
      </c>
      <c r="DP1588">
        <v>0</v>
      </c>
      <c r="DQ1588">
        <v>0</v>
      </c>
      <c r="DR1588">
        <v>0</v>
      </c>
      <c r="DS1588">
        <v>0</v>
      </c>
    </row>
    <row r="1589" spans="1:123" x14ac:dyDescent="0.3">
      <c r="A1589" t="str">
        <f t="shared" si="552"/>
        <v>10/04/2022 19:29:44.198</v>
      </c>
      <c r="C1589" t="str">
        <f t="shared" si="549"/>
        <v>FFDFD3C0</v>
      </c>
      <c r="D1589" t="s">
        <v>136</v>
      </c>
      <c r="E1589">
        <v>8</v>
      </c>
      <c r="H1589">
        <v>225</v>
      </c>
      <c r="I1589" t="s">
        <v>137</v>
      </c>
      <c r="J1589" t="s">
        <v>138</v>
      </c>
      <c r="K1589">
        <v>0</v>
      </c>
      <c r="L1589">
        <v>3</v>
      </c>
      <c r="M1589">
        <v>0</v>
      </c>
      <c r="N1589">
        <v>2</v>
      </c>
      <c r="O1589">
        <v>0</v>
      </c>
      <c r="P1589">
        <v>1</v>
      </c>
      <c r="Q1589">
        <v>0</v>
      </c>
      <c r="S1589" t="str">
        <f t="shared" si="550"/>
        <v>19:29:43.000</v>
      </c>
      <c r="T1589" t="str">
        <f t="shared" si="550"/>
        <v>19:29:43.000</v>
      </c>
      <c r="U1589" t="str">
        <f t="shared" si="537"/>
        <v>AC3944</v>
      </c>
      <c r="V1589">
        <v>0</v>
      </c>
      <c r="W1589">
        <v>0</v>
      </c>
      <c r="X1589">
        <v>2</v>
      </c>
      <c r="Y1589">
        <v>0</v>
      </c>
      <c r="AA1589">
        <v>1</v>
      </c>
      <c r="AB1589">
        <v>8</v>
      </c>
      <c r="AC1589">
        <v>3</v>
      </c>
      <c r="AD1589">
        <v>0</v>
      </c>
      <c r="AE1589">
        <v>9</v>
      </c>
      <c r="AF1589" t="s">
        <v>138</v>
      </c>
      <c r="AG1589">
        <v>0</v>
      </c>
      <c r="AH1589">
        <v>3</v>
      </c>
      <c r="AI1589">
        <v>1</v>
      </c>
      <c r="AJ1589">
        <v>0</v>
      </c>
      <c r="AK1589" t="s">
        <v>586</v>
      </c>
      <c r="AL1589">
        <v>32.794511</v>
      </c>
      <c r="AM1589" t="s">
        <v>587</v>
      </c>
      <c r="AN1589">
        <v>-116.876614</v>
      </c>
      <c r="AO1589">
        <v>25</v>
      </c>
      <c r="AP1589">
        <v>2600</v>
      </c>
      <c r="AQ1589" t="s">
        <v>129</v>
      </c>
      <c r="AR1589">
        <v>101</v>
      </c>
      <c r="AS1589">
        <v>-74</v>
      </c>
      <c r="AT1589">
        <v>64</v>
      </c>
      <c r="BB1589">
        <v>1200</v>
      </c>
      <c r="BC1589">
        <v>1</v>
      </c>
      <c r="BD1589" t="str">
        <f t="shared" si="538"/>
        <v xml:space="preserve">N887QR  </v>
      </c>
      <c r="BE1589">
        <v>1</v>
      </c>
      <c r="BG1589">
        <v>0</v>
      </c>
      <c r="BH1589">
        <v>0</v>
      </c>
      <c r="BI1589">
        <v>0</v>
      </c>
      <c r="BJ1589">
        <v>2325</v>
      </c>
      <c r="BK1589">
        <v>-275</v>
      </c>
      <c r="BL1589" t="s">
        <v>163</v>
      </c>
      <c r="BM1589">
        <v>1</v>
      </c>
      <c r="BN1589">
        <v>1</v>
      </c>
      <c r="BO1589">
        <v>1</v>
      </c>
      <c r="BP1589">
        <v>0</v>
      </c>
      <c r="BS1589">
        <v>0.04</v>
      </c>
      <c r="BT1589">
        <v>0</v>
      </c>
      <c r="BU1589">
        <v>0</v>
      </c>
      <c r="CE1589" t="str">
        <f t="shared" si="553"/>
        <v>19:29:43.917</v>
      </c>
      <c r="CF1589">
        <v>916746979</v>
      </c>
      <c r="CS1589">
        <v>3</v>
      </c>
      <c r="CT1589">
        <v>2</v>
      </c>
      <c r="CU1589">
        <v>0</v>
      </c>
      <c r="CV1589">
        <v>2</v>
      </c>
      <c r="CW1589">
        <v>0</v>
      </c>
      <c r="CX1589">
        <v>6</v>
      </c>
      <c r="CY1589">
        <v>7</v>
      </c>
      <c r="CZ1589" t="s">
        <v>131</v>
      </c>
      <c r="DA1589">
        <v>300</v>
      </c>
      <c r="DB1589">
        <v>0</v>
      </c>
      <c r="DC1589" t="s">
        <v>176</v>
      </c>
      <c r="DD1589" t="s">
        <v>177</v>
      </c>
      <c r="DG1589">
        <v>5389884</v>
      </c>
      <c r="DI1589">
        <v>1</v>
      </c>
      <c r="DJ1589">
        <v>0</v>
      </c>
      <c r="DK1589">
        <v>1</v>
      </c>
      <c r="DL1589">
        <v>0</v>
      </c>
      <c r="DM1589">
        <v>0</v>
      </c>
      <c r="DN1589">
        <v>1</v>
      </c>
      <c r="DO1589">
        <v>0</v>
      </c>
      <c r="DP1589">
        <v>0</v>
      </c>
      <c r="DQ1589">
        <v>0</v>
      </c>
      <c r="DR1589">
        <v>0</v>
      </c>
      <c r="DS1589">
        <v>0</v>
      </c>
    </row>
    <row r="1590" spans="1:123" x14ac:dyDescent="0.3">
      <c r="A1590" t="str">
        <f>"10/04/2022 19:29:45.465"</f>
        <v>10/04/2022 19:29:45.465</v>
      </c>
      <c r="C1590" t="str">
        <f t="shared" si="549"/>
        <v>FFDFD3C0</v>
      </c>
      <c r="D1590" t="s">
        <v>143</v>
      </c>
      <c r="E1590">
        <v>20</v>
      </c>
      <c r="F1590">
        <v>1020</v>
      </c>
      <c r="G1590" t="s">
        <v>144</v>
      </c>
      <c r="J1590" t="s">
        <v>145</v>
      </c>
      <c r="K1590">
        <v>0</v>
      </c>
      <c r="L1590">
        <v>3</v>
      </c>
      <c r="M1590">
        <v>0</v>
      </c>
      <c r="N1590">
        <v>2</v>
      </c>
      <c r="O1590">
        <v>0</v>
      </c>
      <c r="P1590">
        <v>1</v>
      </c>
      <c r="Q1590">
        <v>0</v>
      </c>
      <c r="S1590" t="str">
        <f t="shared" ref="S1590:T1596" si="554">"19:29:45.000"</f>
        <v>19:29:45.000</v>
      </c>
      <c r="T1590" t="str">
        <f t="shared" si="554"/>
        <v>19:29:45.000</v>
      </c>
      <c r="U1590" t="str">
        <f t="shared" si="537"/>
        <v>AC3944</v>
      </c>
      <c r="V1590">
        <v>0</v>
      </c>
      <c r="W1590">
        <v>0</v>
      </c>
      <c r="X1590">
        <v>2</v>
      </c>
      <c r="Y1590">
        <v>0</v>
      </c>
      <c r="AA1590">
        <v>1</v>
      </c>
      <c r="AB1590">
        <v>8</v>
      </c>
      <c r="AC1590">
        <v>3</v>
      </c>
      <c r="AD1590">
        <v>0</v>
      </c>
      <c r="AE1590">
        <v>9</v>
      </c>
      <c r="AF1590" t="s">
        <v>138</v>
      </c>
      <c r="AG1590">
        <v>0</v>
      </c>
      <c r="AH1590">
        <v>3</v>
      </c>
      <c r="AI1590">
        <v>1</v>
      </c>
      <c r="AJ1590">
        <v>0</v>
      </c>
      <c r="AK1590" t="s">
        <v>588</v>
      </c>
      <c r="AL1590">
        <v>32.794232000000001</v>
      </c>
      <c r="AM1590" t="s">
        <v>589</v>
      </c>
      <c r="AN1590">
        <v>-116.87616300000001</v>
      </c>
      <c r="AO1590">
        <v>25</v>
      </c>
      <c r="AP1590">
        <v>2600</v>
      </c>
      <c r="AQ1590" t="s">
        <v>129</v>
      </c>
      <c r="AR1590">
        <v>100</v>
      </c>
      <c r="AS1590">
        <v>-76</v>
      </c>
      <c r="AT1590">
        <v>128</v>
      </c>
      <c r="BB1590">
        <v>1200</v>
      </c>
      <c r="BC1590">
        <v>1</v>
      </c>
      <c r="BD1590" t="str">
        <f t="shared" si="538"/>
        <v xml:space="preserve">N887QR  </v>
      </c>
      <c r="BE1590">
        <v>1</v>
      </c>
      <c r="BG1590">
        <v>0</v>
      </c>
      <c r="BH1590">
        <v>0</v>
      </c>
      <c r="BI1590">
        <v>0</v>
      </c>
      <c r="BJ1590">
        <v>2325</v>
      </c>
      <c r="BK1590">
        <v>-275</v>
      </c>
      <c r="BL1590" t="s">
        <v>163</v>
      </c>
      <c r="BM1590">
        <v>1</v>
      </c>
      <c r="BN1590">
        <v>1</v>
      </c>
      <c r="BO1590">
        <v>1</v>
      </c>
      <c r="BP1590">
        <v>0</v>
      </c>
      <c r="BS1590">
        <v>0.04</v>
      </c>
      <c r="BT1590">
        <v>0</v>
      </c>
      <c r="BU1590">
        <v>0</v>
      </c>
      <c r="CE1590" t="str">
        <f t="shared" ref="CE1590:CE1596" si="555">"19:29:45.245"</f>
        <v>19:29:45.245</v>
      </c>
      <c r="CF1590">
        <v>245251408</v>
      </c>
      <c r="CS1590">
        <v>3</v>
      </c>
      <c r="CT1590">
        <v>2</v>
      </c>
      <c r="CU1590">
        <v>0</v>
      </c>
      <c r="CV1590">
        <v>2</v>
      </c>
      <c r="CW1590">
        <v>0</v>
      </c>
      <c r="CX1590">
        <v>6</v>
      </c>
      <c r="CY1590">
        <v>7</v>
      </c>
      <c r="CZ1590" t="s">
        <v>131</v>
      </c>
      <c r="DA1590">
        <v>300</v>
      </c>
      <c r="DB1590">
        <v>0</v>
      </c>
      <c r="DC1590" t="s">
        <v>176</v>
      </c>
      <c r="DD1590" t="s">
        <v>177</v>
      </c>
      <c r="DG1590">
        <v>5390109</v>
      </c>
      <c r="DI1590">
        <v>1</v>
      </c>
      <c r="DJ1590">
        <v>0</v>
      </c>
      <c r="DK1590">
        <v>0</v>
      </c>
      <c r="DL1590">
        <v>0</v>
      </c>
      <c r="DM1590">
        <v>0</v>
      </c>
      <c r="DN1590">
        <v>1</v>
      </c>
      <c r="DO1590">
        <v>0</v>
      </c>
      <c r="DP1590">
        <v>0</v>
      </c>
      <c r="DQ1590">
        <v>0</v>
      </c>
      <c r="DR1590">
        <v>0</v>
      </c>
      <c r="DS1590">
        <v>0</v>
      </c>
    </row>
    <row r="1591" spans="1:123" x14ac:dyDescent="0.3">
      <c r="A1591" t="str">
        <f>"10/04/2022 19:29:45.465"</f>
        <v>10/04/2022 19:29:45.465</v>
      </c>
      <c r="C1591" t="str">
        <f t="shared" si="549"/>
        <v>FFDFD3C0</v>
      </c>
      <c r="D1591" t="s">
        <v>123</v>
      </c>
      <c r="E1591">
        <v>7</v>
      </c>
      <c r="F1591">
        <v>2007</v>
      </c>
      <c r="G1591" t="s">
        <v>124</v>
      </c>
      <c r="J1591" t="s">
        <v>125</v>
      </c>
      <c r="K1591">
        <v>0</v>
      </c>
      <c r="L1591">
        <v>3</v>
      </c>
      <c r="M1591">
        <v>0</v>
      </c>
      <c r="N1591">
        <v>2</v>
      </c>
      <c r="O1591">
        <v>0</v>
      </c>
      <c r="P1591">
        <v>1</v>
      </c>
      <c r="Q1591">
        <v>0</v>
      </c>
      <c r="S1591" t="str">
        <f t="shared" si="554"/>
        <v>19:29:45.000</v>
      </c>
      <c r="T1591" t="str">
        <f t="shared" si="554"/>
        <v>19:29:45.000</v>
      </c>
      <c r="U1591" t="str">
        <f t="shared" si="537"/>
        <v>AC3944</v>
      </c>
      <c r="V1591">
        <v>0</v>
      </c>
      <c r="W1591">
        <v>0</v>
      </c>
      <c r="X1591">
        <v>2</v>
      </c>
      <c r="Y1591">
        <v>0</v>
      </c>
      <c r="AA1591">
        <v>1</v>
      </c>
      <c r="AB1591">
        <v>8</v>
      </c>
      <c r="AC1591">
        <v>3</v>
      </c>
      <c r="AD1591">
        <v>0</v>
      </c>
      <c r="AE1591">
        <v>9</v>
      </c>
      <c r="AF1591" t="s">
        <v>138</v>
      </c>
      <c r="AG1591">
        <v>0</v>
      </c>
      <c r="AH1591">
        <v>3</v>
      </c>
      <c r="AI1591">
        <v>1</v>
      </c>
      <c r="AJ1591">
        <v>0</v>
      </c>
      <c r="AK1591" t="s">
        <v>588</v>
      </c>
      <c r="AL1591">
        <v>32.794232000000001</v>
      </c>
      <c r="AM1591" t="s">
        <v>589</v>
      </c>
      <c r="AN1591">
        <v>-116.87616300000001</v>
      </c>
      <c r="AO1591">
        <v>25</v>
      </c>
      <c r="AP1591">
        <v>2600</v>
      </c>
      <c r="AQ1591" t="s">
        <v>129</v>
      </c>
      <c r="AR1591">
        <v>100</v>
      </c>
      <c r="AS1591">
        <v>-76</v>
      </c>
      <c r="AT1591">
        <v>128</v>
      </c>
      <c r="BB1591">
        <v>1200</v>
      </c>
      <c r="BC1591">
        <v>1</v>
      </c>
      <c r="BD1591" t="str">
        <f t="shared" si="538"/>
        <v xml:space="preserve">N887QR  </v>
      </c>
      <c r="BE1591">
        <v>1</v>
      </c>
      <c r="BG1591">
        <v>0</v>
      </c>
      <c r="BH1591">
        <v>0</v>
      </c>
      <c r="BI1591">
        <v>0</v>
      </c>
      <c r="BJ1591">
        <v>2325</v>
      </c>
      <c r="BK1591">
        <v>-275</v>
      </c>
      <c r="BL1591" t="s">
        <v>163</v>
      </c>
      <c r="BM1591">
        <v>1</v>
      </c>
      <c r="BN1591">
        <v>1</v>
      </c>
      <c r="BO1591">
        <v>1</v>
      </c>
      <c r="BP1591">
        <v>0</v>
      </c>
      <c r="BS1591">
        <v>0.04</v>
      </c>
      <c r="BT1591">
        <v>0</v>
      </c>
      <c r="BU1591">
        <v>0</v>
      </c>
      <c r="CE1591" t="str">
        <f t="shared" si="555"/>
        <v>19:29:45.245</v>
      </c>
      <c r="CF1591">
        <v>245251408</v>
      </c>
      <c r="CS1591">
        <v>3</v>
      </c>
      <c r="CT1591">
        <v>2</v>
      </c>
      <c r="CU1591">
        <v>0</v>
      </c>
      <c r="CV1591">
        <v>2</v>
      </c>
      <c r="CW1591">
        <v>0</v>
      </c>
      <c r="CX1591">
        <v>6</v>
      </c>
      <c r="CY1591">
        <v>7</v>
      </c>
      <c r="CZ1591" t="s">
        <v>131</v>
      </c>
      <c r="DA1591">
        <v>300</v>
      </c>
      <c r="DB1591">
        <v>0</v>
      </c>
      <c r="DC1591" t="s">
        <v>176</v>
      </c>
      <c r="DD1591" t="s">
        <v>177</v>
      </c>
      <c r="DG1591">
        <v>5390109</v>
      </c>
      <c r="DI1591">
        <v>1</v>
      </c>
      <c r="DJ1591">
        <v>0</v>
      </c>
      <c r="DK1591">
        <v>1</v>
      </c>
      <c r="DL1591">
        <v>0</v>
      </c>
      <c r="DM1591">
        <v>0</v>
      </c>
      <c r="DN1591">
        <v>1</v>
      </c>
      <c r="DO1591">
        <v>0</v>
      </c>
      <c r="DP1591">
        <v>0</v>
      </c>
      <c r="DQ1591">
        <v>0</v>
      </c>
      <c r="DR1591">
        <v>0</v>
      </c>
      <c r="DS1591">
        <v>0</v>
      </c>
    </row>
    <row r="1592" spans="1:123" x14ac:dyDescent="0.3">
      <c r="A1592" t="str">
        <f>"10/04/2022 19:29:45.496"</f>
        <v>10/04/2022 19:29:45.496</v>
      </c>
      <c r="C1592" t="str">
        <f t="shared" si="549"/>
        <v>FFDFD3C0</v>
      </c>
      <c r="D1592" t="s">
        <v>141</v>
      </c>
      <c r="E1592">
        <v>3</v>
      </c>
      <c r="H1592">
        <v>3</v>
      </c>
      <c r="I1592" t="s">
        <v>146</v>
      </c>
      <c r="J1592" t="s">
        <v>138</v>
      </c>
      <c r="K1592">
        <v>0</v>
      </c>
      <c r="L1592">
        <v>3</v>
      </c>
      <c r="M1592">
        <v>0</v>
      </c>
      <c r="N1592">
        <v>2</v>
      </c>
      <c r="O1592">
        <v>0</v>
      </c>
      <c r="P1592">
        <v>1</v>
      </c>
      <c r="Q1592">
        <v>0</v>
      </c>
      <c r="S1592" t="str">
        <f t="shared" si="554"/>
        <v>19:29:45.000</v>
      </c>
      <c r="T1592" t="str">
        <f t="shared" si="554"/>
        <v>19:29:45.000</v>
      </c>
      <c r="U1592" t="str">
        <f t="shared" si="537"/>
        <v>AC3944</v>
      </c>
      <c r="V1592">
        <v>0</v>
      </c>
      <c r="W1592">
        <v>0</v>
      </c>
      <c r="X1592">
        <v>2</v>
      </c>
      <c r="Y1592">
        <v>0</v>
      </c>
      <c r="AA1592">
        <v>1</v>
      </c>
      <c r="AB1592">
        <v>8</v>
      </c>
      <c r="AC1592">
        <v>3</v>
      </c>
      <c r="AD1592">
        <v>0</v>
      </c>
      <c r="AE1592">
        <v>9</v>
      </c>
      <c r="AF1592" t="s">
        <v>138</v>
      </c>
      <c r="AG1592">
        <v>0</v>
      </c>
      <c r="AH1592">
        <v>3</v>
      </c>
      <c r="AI1592">
        <v>1</v>
      </c>
      <c r="AJ1592">
        <v>0</v>
      </c>
      <c r="AK1592" t="s">
        <v>588</v>
      </c>
      <c r="AL1592">
        <v>32.794232000000001</v>
      </c>
      <c r="AM1592" t="s">
        <v>589</v>
      </c>
      <c r="AN1592">
        <v>-116.87616300000001</v>
      </c>
      <c r="AO1592">
        <v>25</v>
      </c>
      <c r="AP1592">
        <v>2600</v>
      </c>
      <c r="AQ1592" t="s">
        <v>129</v>
      </c>
      <c r="AR1592">
        <v>100</v>
      </c>
      <c r="AS1592">
        <v>-76</v>
      </c>
      <c r="AT1592">
        <v>128</v>
      </c>
      <c r="BB1592">
        <v>1200</v>
      </c>
      <c r="BC1592">
        <v>1</v>
      </c>
      <c r="BD1592" t="str">
        <f t="shared" si="538"/>
        <v xml:space="preserve">N887QR  </v>
      </c>
      <c r="BE1592">
        <v>1</v>
      </c>
      <c r="BG1592">
        <v>0</v>
      </c>
      <c r="BH1592">
        <v>0</v>
      </c>
      <c r="BI1592">
        <v>0</v>
      </c>
      <c r="BJ1592">
        <v>2325</v>
      </c>
      <c r="BK1592">
        <v>-275</v>
      </c>
      <c r="BL1592" t="s">
        <v>163</v>
      </c>
      <c r="BM1592">
        <v>1</v>
      </c>
      <c r="BN1592">
        <v>1</v>
      </c>
      <c r="BO1592">
        <v>1</v>
      </c>
      <c r="BP1592">
        <v>0</v>
      </c>
      <c r="BS1592">
        <v>0.04</v>
      </c>
      <c r="BT1592">
        <v>0</v>
      </c>
      <c r="BU1592">
        <v>0</v>
      </c>
      <c r="CE1592" t="str">
        <f t="shared" si="555"/>
        <v>19:29:45.245</v>
      </c>
      <c r="CF1592">
        <v>245251408</v>
      </c>
      <c r="CS1592">
        <v>3</v>
      </c>
      <c r="CT1592">
        <v>2</v>
      </c>
      <c r="CU1592">
        <v>0</v>
      </c>
      <c r="CV1592">
        <v>2</v>
      </c>
      <c r="CW1592">
        <v>0</v>
      </c>
      <c r="CX1592">
        <v>6</v>
      </c>
      <c r="CY1592">
        <v>7</v>
      </c>
      <c r="CZ1592" t="s">
        <v>131</v>
      </c>
      <c r="DA1592">
        <v>300</v>
      </c>
      <c r="DB1592">
        <v>0</v>
      </c>
      <c r="DC1592" t="s">
        <v>176</v>
      </c>
      <c r="DD1592" t="s">
        <v>177</v>
      </c>
      <c r="DG1592">
        <v>5390109</v>
      </c>
      <c r="DI1592">
        <v>1</v>
      </c>
      <c r="DJ1592">
        <v>0</v>
      </c>
      <c r="DK1592">
        <v>1</v>
      </c>
      <c r="DL1592">
        <v>0</v>
      </c>
      <c r="DM1592">
        <v>0</v>
      </c>
      <c r="DN1592">
        <v>1</v>
      </c>
      <c r="DO1592">
        <v>0</v>
      </c>
      <c r="DP1592">
        <v>0</v>
      </c>
      <c r="DQ1592">
        <v>0</v>
      </c>
      <c r="DR1592">
        <v>0</v>
      </c>
      <c r="DS1592">
        <v>0</v>
      </c>
    </row>
    <row r="1593" spans="1:123" x14ac:dyDescent="0.3">
      <c r="A1593" t="str">
        <f>"10/04/2022 19:29:45.512"</f>
        <v>10/04/2022 19:29:45.512</v>
      </c>
      <c r="C1593" t="str">
        <f t="shared" si="549"/>
        <v>FFDFD3C0</v>
      </c>
      <c r="D1593" t="s">
        <v>134</v>
      </c>
      <c r="E1593">
        <v>15</v>
      </c>
      <c r="J1593" t="s">
        <v>135</v>
      </c>
      <c r="K1593">
        <v>0</v>
      </c>
      <c r="L1593">
        <v>3</v>
      </c>
      <c r="M1593">
        <v>0</v>
      </c>
      <c r="N1593">
        <v>2</v>
      </c>
      <c r="O1593">
        <v>0</v>
      </c>
      <c r="P1593">
        <v>1</v>
      </c>
      <c r="Q1593">
        <v>0</v>
      </c>
      <c r="S1593" t="str">
        <f t="shared" si="554"/>
        <v>19:29:45.000</v>
      </c>
      <c r="T1593" t="str">
        <f t="shared" si="554"/>
        <v>19:29:45.000</v>
      </c>
      <c r="U1593" t="str">
        <f t="shared" si="537"/>
        <v>AC3944</v>
      </c>
      <c r="V1593">
        <v>0</v>
      </c>
      <c r="W1593">
        <v>0</v>
      </c>
      <c r="X1593">
        <v>2</v>
      </c>
      <c r="Y1593">
        <v>0</v>
      </c>
      <c r="AA1593">
        <v>1</v>
      </c>
      <c r="AB1593">
        <v>8</v>
      </c>
      <c r="AC1593">
        <v>3</v>
      </c>
      <c r="AD1593">
        <v>0</v>
      </c>
      <c r="AE1593">
        <v>9</v>
      </c>
      <c r="AF1593" t="s">
        <v>138</v>
      </c>
      <c r="AG1593">
        <v>0</v>
      </c>
      <c r="AH1593">
        <v>3</v>
      </c>
      <c r="AI1593">
        <v>1</v>
      </c>
      <c r="AJ1593">
        <v>0</v>
      </c>
      <c r="AK1593" t="s">
        <v>588</v>
      </c>
      <c r="AL1593">
        <v>32.794232000000001</v>
      </c>
      <c r="AM1593" t="s">
        <v>589</v>
      </c>
      <c r="AN1593">
        <v>-116.87616300000001</v>
      </c>
      <c r="AO1593">
        <v>25</v>
      </c>
      <c r="AP1593">
        <v>2600</v>
      </c>
      <c r="AQ1593" t="s">
        <v>129</v>
      </c>
      <c r="AR1593">
        <v>100</v>
      </c>
      <c r="AS1593">
        <v>-76</v>
      </c>
      <c r="AT1593">
        <v>128</v>
      </c>
      <c r="BB1593">
        <v>1200</v>
      </c>
      <c r="BC1593">
        <v>1</v>
      </c>
      <c r="BD1593" t="str">
        <f t="shared" si="538"/>
        <v xml:space="preserve">N887QR  </v>
      </c>
      <c r="BE1593">
        <v>1</v>
      </c>
      <c r="BG1593">
        <v>0</v>
      </c>
      <c r="BH1593">
        <v>0</v>
      </c>
      <c r="BI1593">
        <v>0</v>
      </c>
      <c r="BJ1593">
        <v>2325</v>
      </c>
      <c r="BK1593">
        <v>-275</v>
      </c>
      <c r="BL1593" t="s">
        <v>163</v>
      </c>
      <c r="BM1593">
        <v>1</v>
      </c>
      <c r="BN1593">
        <v>1</v>
      </c>
      <c r="BO1593">
        <v>1</v>
      </c>
      <c r="BP1593">
        <v>0</v>
      </c>
      <c r="BS1593">
        <v>0.04</v>
      </c>
      <c r="BT1593">
        <v>0</v>
      </c>
      <c r="BU1593">
        <v>0</v>
      </c>
      <c r="CE1593" t="str">
        <f t="shared" si="555"/>
        <v>19:29:45.245</v>
      </c>
      <c r="CF1593">
        <v>245251408</v>
      </c>
      <c r="CS1593">
        <v>3</v>
      </c>
      <c r="CT1593">
        <v>2</v>
      </c>
      <c r="CU1593">
        <v>0</v>
      </c>
      <c r="CV1593">
        <v>2</v>
      </c>
      <c r="CW1593">
        <v>0</v>
      </c>
      <c r="CX1593">
        <v>6</v>
      </c>
      <c r="CY1593">
        <v>7</v>
      </c>
      <c r="CZ1593" t="s">
        <v>131</v>
      </c>
      <c r="DA1593">
        <v>300</v>
      </c>
      <c r="DB1593">
        <v>0</v>
      </c>
      <c r="DC1593" t="s">
        <v>176</v>
      </c>
      <c r="DD1593" t="s">
        <v>177</v>
      </c>
      <c r="DG1593">
        <v>5390109</v>
      </c>
      <c r="DI1593">
        <v>1</v>
      </c>
      <c r="DJ1593">
        <v>0</v>
      </c>
      <c r="DK1593">
        <v>1</v>
      </c>
      <c r="DL1593">
        <v>0</v>
      </c>
      <c r="DM1593">
        <v>0</v>
      </c>
      <c r="DN1593">
        <v>1</v>
      </c>
      <c r="DO1593">
        <v>0</v>
      </c>
      <c r="DP1593">
        <v>0</v>
      </c>
      <c r="DQ1593">
        <v>0</v>
      </c>
      <c r="DR1593">
        <v>0</v>
      </c>
      <c r="DS1593">
        <v>0</v>
      </c>
    </row>
    <row r="1594" spans="1:123" x14ac:dyDescent="0.3">
      <c r="A1594" t="str">
        <f>"10/04/2022 19:29:45.512"</f>
        <v>10/04/2022 19:29:45.512</v>
      </c>
      <c r="C1594" t="str">
        <f t="shared" si="549"/>
        <v>FFDFD3C0</v>
      </c>
      <c r="D1594" t="s">
        <v>147</v>
      </c>
      <c r="E1594">
        <v>3</v>
      </c>
      <c r="H1594">
        <v>166</v>
      </c>
      <c r="I1594" t="s">
        <v>144</v>
      </c>
      <c r="J1594" t="s">
        <v>148</v>
      </c>
      <c r="K1594">
        <v>0</v>
      </c>
      <c r="L1594">
        <v>3</v>
      </c>
      <c r="M1594">
        <v>0</v>
      </c>
      <c r="N1594">
        <v>2</v>
      </c>
      <c r="O1594">
        <v>0</v>
      </c>
      <c r="P1594">
        <v>1</v>
      </c>
      <c r="Q1594">
        <v>0</v>
      </c>
      <c r="S1594" t="str">
        <f t="shared" si="554"/>
        <v>19:29:45.000</v>
      </c>
      <c r="T1594" t="str">
        <f t="shared" si="554"/>
        <v>19:29:45.000</v>
      </c>
      <c r="U1594" t="str">
        <f t="shared" si="537"/>
        <v>AC3944</v>
      </c>
      <c r="V1594">
        <v>0</v>
      </c>
      <c r="W1594">
        <v>0</v>
      </c>
      <c r="X1594">
        <v>2</v>
      </c>
      <c r="Y1594">
        <v>0</v>
      </c>
      <c r="AA1594">
        <v>1</v>
      </c>
      <c r="AB1594">
        <v>8</v>
      </c>
      <c r="AC1594">
        <v>3</v>
      </c>
      <c r="AD1594">
        <v>0</v>
      </c>
      <c r="AE1594">
        <v>9</v>
      </c>
      <c r="AF1594" t="s">
        <v>138</v>
      </c>
      <c r="AG1594">
        <v>0</v>
      </c>
      <c r="AH1594">
        <v>3</v>
      </c>
      <c r="AI1594">
        <v>1</v>
      </c>
      <c r="AJ1594">
        <v>0</v>
      </c>
      <c r="AK1594" t="s">
        <v>588</v>
      </c>
      <c r="AL1594">
        <v>32.794232000000001</v>
      </c>
      <c r="AM1594" t="s">
        <v>589</v>
      </c>
      <c r="AN1594">
        <v>-116.87616300000001</v>
      </c>
      <c r="AO1594">
        <v>25</v>
      </c>
      <c r="AP1594">
        <v>2600</v>
      </c>
      <c r="AQ1594" t="s">
        <v>129</v>
      </c>
      <c r="AR1594">
        <v>100</v>
      </c>
      <c r="AS1594">
        <v>-76</v>
      </c>
      <c r="AT1594">
        <v>128</v>
      </c>
      <c r="BB1594">
        <v>1200</v>
      </c>
      <c r="BC1594">
        <v>1</v>
      </c>
      <c r="BD1594" t="str">
        <f t="shared" si="538"/>
        <v xml:space="preserve">N887QR  </v>
      </c>
      <c r="BE1594">
        <v>1</v>
      </c>
      <c r="BG1594">
        <v>0</v>
      </c>
      <c r="BH1594">
        <v>0</v>
      </c>
      <c r="BI1594">
        <v>0</v>
      </c>
      <c r="BJ1594">
        <v>2325</v>
      </c>
      <c r="BK1594">
        <v>-275</v>
      </c>
      <c r="BL1594" t="s">
        <v>163</v>
      </c>
      <c r="BM1594">
        <v>1</v>
      </c>
      <c r="BN1594">
        <v>1</v>
      </c>
      <c r="BO1594">
        <v>1</v>
      </c>
      <c r="BP1594">
        <v>0</v>
      </c>
      <c r="BS1594">
        <v>0.04</v>
      </c>
      <c r="BT1594">
        <v>0</v>
      </c>
      <c r="BU1594">
        <v>0</v>
      </c>
      <c r="CE1594" t="str">
        <f t="shared" si="555"/>
        <v>19:29:45.245</v>
      </c>
      <c r="CF1594">
        <v>245251408</v>
      </c>
      <c r="CS1594">
        <v>3</v>
      </c>
      <c r="CT1594">
        <v>2</v>
      </c>
      <c r="CU1594">
        <v>0</v>
      </c>
      <c r="CV1594">
        <v>2</v>
      </c>
      <c r="CW1594">
        <v>0</v>
      </c>
      <c r="CX1594">
        <v>6</v>
      </c>
      <c r="CY1594">
        <v>7</v>
      </c>
      <c r="CZ1594" t="s">
        <v>131</v>
      </c>
      <c r="DA1594">
        <v>300</v>
      </c>
      <c r="DB1594">
        <v>0</v>
      </c>
      <c r="DC1594" t="s">
        <v>176</v>
      </c>
      <c r="DD1594" t="s">
        <v>177</v>
      </c>
      <c r="DG1594">
        <v>5390109</v>
      </c>
      <c r="DI1594">
        <v>1</v>
      </c>
      <c r="DJ1594">
        <v>0</v>
      </c>
      <c r="DK1594">
        <v>1</v>
      </c>
      <c r="DL1594">
        <v>0</v>
      </c>
      <c r="DM1594">
        <v>0</v>
      </c>
      <c r="DN1594">
        <v>1</v>
      </c>
      <c r="DO1594">
        <v>0</v>
      </c>
      <c r="DP1594">
        <v>0</v>
      </c>
      <c r="DQ1594">
        <v>0</v>
      </c>
      <c r="DR1594">
        <v>0</v>
      </c>
      <c r="DS1594">
        <v>0</v>
      </c>
    </row>
    <row r="1595" spans="1:123" x14ac:dyDescent="0.3">
      <c r="A1595" t="str">
        <f>"10/04/2022 19:29:45.512"</f>
        <v>10/04/2022 19:29:45.512</v>
      </c>
      <c r="C1595" t="str">
        <f t="shared" si="549"/>
        <v>FFDFD3C0</v>
      </c>
      <c r="D1595" t="s">
        <v>141</v>
      </c>
      <c r="E1595">
        <v>4</v>
      </c>
      <c r="H1595">
        <v>4</v>
      </c>
      <c r="I1595" t="s">
        <v>142</v>
      </c>
      <c r="J1595" t="s">
        <v>138</v>
      </c>
      <c r="K1595">
        <v>0</v>
      </c>
      <c r="L1595">
        <v>3</v>
      </c>
      <c r="M1595">
        <v>0</v>
      </c>
      <c r="N1595">
        <v>2</v>
      </c>
      <c r="O1595">
        <v>0</v>
      </c>
      <c r="P1595">
        <v>1</v>
      </c>
      <c r="Q1595">
        <v>0</v>
      </c>
      <c r="S1595" t="str">
        <f t="shared" si="554"/>
        <v>19:29:45.000</v>
      </c>
      <c r="T1595" t="str">
        <f t="shared" si="554"/>
        <v>19:29:45.000</v>
      </c>
      <c r="U1595" t="str">
        <f t="shared" si="537"/>
        <v>AC3944</v>
      </c>
      <c r="V1595">
        <v>0</v>
      </c>
      <c r="W1595">
        <v>0</v>
      </c>
      <c r="X1595">
        <v>2</v>
      </c>
      <c r="Y1595">
        <v>0</v>
      </c>
      <c r="AA1595">
        <v>1</v>
      </c>
      <c r="AB1595">
        <v>8</v>
      </c>
      <c r="AC1595">
        <v>3</v>
      </c>
      <c r="AD1595">
        <v>0</v>
      </c>
      <c r="AE1595">
        <v>9</v>
      </c>
      <c r="AF1595" t="s">
        <v>138</v>
      </c>
      <c r="AG1595">
        <v>0</v>
      </c>
      <c r="AH1595">
        <v>3</v>
      </c>
      <c r="AI1595">
        <v>1</v>
      </c>
      <c r="AJ1595">
        <v>0</v>
      </c>
      <c r="AK1595" t="s">
        <v>588</v>
      </c>
      <c r="AL1595">
        <v>32.794232000000001</v>
      </c>
      <c r="AM1595" t="s">
        <v>589</v>
      </c>
      <c r="AN1595">
        <v>-116.87616300000001</v>
      </c>
      <c r="AO1595">
        <v>25</v>
      </c>
      <c r="AP1595">
        <v>2600</v>
      </c>
      <c r="AQ1595" t="s">
        <v>129</v>
      </c>
      <c r="AR1595">
        <v>100</v>
      </c>
      <c r="AS1595">
        <v>-76</v>
      </c>
      <c r="AT1595">
        <v>128</v>
      </c>
      <c r="BB1595">
        <v>1200</v>
      </c>
      <c r="BC1595">
        <v>1</v>
      </c>
      <c r="BD1595" t="str">
        <f t="shared" si="538"/>
        <v xml:space="preserve">N887QR  </v>
      </c>
      <c r="BE1595">
        <v>1</v>
      </c>
      <c r="BG1595">
        <v>0</v>
      </c>
      <c r="BH1595">
        <v>0</v>
      </c>
      <c r="BI1595">
        <v>0</v>
      </c>
      <c r="BJ1595">
        <v>2325</v>
      </c>
      <c r="BK1595">
        <v>-275</v>
      </c>
      <c r="BL1595" t="s">
        <v>163</v>
      </c>
      <c r="BM1595">
        <v>1</v>
      </c>
      <c r="BN1595">
        <v>1</v>
      </c>
      <c r="BO1595">
        <v>1</v>
      </c>
      <c r="BP1595">
        <v>0</v>
      </c>
      <c r="BS1595">
        <v>0.04</v>
      </c>
      <c r="BT1595">
        <v>0</v>
      </c>
      <c r="BU1595">
        <v>0</v>
      </c>
      <c r="CE1595" t="str">
        <f t="shared" si="555"/>
        <v>19:29:45.245</v>
      </c>
      <c r="CF1595">
        <v>245251408</v>
      </c>
      <c r="CS1595">
        <v>3</v>
      </c>
      <c r="CT1595">
        <v>2</v>
      </c>
      <c r="CU1595">
        <v>0</v>
      </c>
      <c r="CV1595">
        <v>2</v>
      </c>
      <c r="CW1595">
        <v>0</v>
      </c>
      <c r="CX1595">
        <v>6</v>
      </c>
      <c r="CY1595">
        <v>7</v>
      </c>
      <c r="CZ1595" t="s">
        <v>131</v>
      </c>
      <c r="DA1595">
        <v>300</v>
      </c>
      <c r="DB1595">
        <v>0</v>
      </c>
      <c r="DC1595" t="s">
        <v>176</v>
      </c>
      <c r="DD1595" t="s">
        <v>177</v>
      </c>
      <c r="DG1595">
        <v>5390109</v>
      </c>
      <c r="DI1595">
        <v>1</v>
      </c>
      <c r="DJ1595">
        <v>0</v>
      </c>
      <c r="DK1595">
        <v>1</v>
      </c>
      <c r="DL1595">
        <v>0</v>
      </c>
      <c r="DM1595">
        <v>0</v>
      </c>
      <c r="DN1595">
        <v>1</v>
      </c>
      <c r="DO1595">
        <v>0</v>
      </c>
      <c r="DP1595">
        <v>0</v>
      </c>
      <c r="DQ1595">
        <v>0</v>
      </c>
      <c r="DR1595">
        <v>0</v>
      </c>
      <c r="DS1595">
        <v>0</v>
      </c>
    </row>
    <row r="1596" spans="1:123" x14ac:dyDescent="0.3">
      <c r="A1596" t="str">
        <f>"10/04/2022 19:29:45.512"</f>
        <v>10/04/2022 19:29:45.512</v>
      </c>
      <c r="C1596" t="str">
        <f t="shared" si="549"/>
        <v>FFDFD3C0</v>
      </c>
      <c r="D1596" t="s">
        <v>136</v>
      </c>
      <c r="E1596">
        <v>8</v>
      </c>
      <c r="H1596">
        <v>225</v>
      </c>
      <c r="I1596" t="s">
        <v>137</v>
      </c>
      <c r="J1596" t="s">
        <v>138</v>
      </c>
      <c r="K1596">
        <v>0</v>
      </c>
      <c r="L1596">
        <v>3</v>
      </c>
      <c r="M1596">
        <v>0</v>
      </c>
      <c r="N1596">
        <v>2</v>
      </c>
      <c r="O1596">
        <v>0</v>
      </c>
      <c r="P1596">
        <v>1</v>
      </c>
      <c r="Q1596">
        <v>0</v>
      </c>
      <c r="S1596" t="str">
        <f t="shared" si="554"/>
        <v>19:29:45.000</v>
      </c>
      <c r="T1596" t="str">
        <f t="shared" si="554"/>
        <v>19:29:45.000</v>
      </c>
      <c r="U1596" t="str">
        <f t="shared" si="537"/>
        <v>AC3944</v>
      </c>
      <c r="V1596">
        <v>0</v>
      </c>
      <c r="W1596">
        <v>0</v>
      </c>
      <c r="X1596">
        <v>2</v>
      </c>
      <c r="Y1596">
        <v>0</v>
      </c>
      <c r="AA1596">
        <v>1</v>
      </c>
      <c r="AB1596">
        <v>8</v>
      </c>
      <c r="AC1596">
        <v>3</v>
      </c>
      <c r="AD1596">
        <v>0</v>
      </c>
      <c r="AE1596">
        <v>9</v>
      </c>
      <c r="AF1596" t="s">
        <v>138</v>
      </c>
      <c r="AG1596">
        <v>0</v>
      </c>
      <c r="AH1596">
        <v>3</v>
      </c>
      <c r="AI1596">
        <v>1</v>
      </c>
      <c r="AJ1596">
        <v>0</v>
      </c>
      <c r="AK1596" t="s">
        <v>588</v>
      </c>
      <c r="AL1596">
        <v>32.794232000000001</v>
      </c>
      <c r="AM1596" t="s">
        <v>589</v>
      </c>
      <c r="AN1596">
        <v>-116.87616300000001</v>
      </c>
      <c r="AO1596">
        <v>25</v>
      </c>
      <c r="AP1596">
        <v>2600</v>
      </c>
      <c r="AQ1596" t="s">
        <v>129</v>
      </c>
      <c r="AR1596">
        <v>100</v>
      </c>
      <c r="AS1596">
        <v>-76</v>
      </c>
      <c r="AT1596">
        <v>128</v>
      </c>
      <c r="BB1596">
        <v>1200</v>
      </c>
      <c r="BC1596">
        <v>1</v>
      </c>
      <c r="BD1596" t="str">
        <f t="shared" si="538"/>
        <v xml:space="preserve">N887QR  </v>
      </c>
      <c r="BE1596">
        <v>1</v>
      </c>
      <c r="BG1596">
        <v>0</v>
      </c>
      <c r="BH1596">
        <v>0</v>
      </c>
      <c r="BI1596">
        <v>0</v>
      </c>
      <c r="BJ1596">
        <v>2325</v>
      </c>
      <c r="BK1596">
        <v>-275</v>
      </c>
      <c r="BL1596" t="s">
        <v>163</v>
      </c>
      <c r="BM1596">
        <v>1</v>
      </c>
      <c r="BN1596">
        <v>1</v>
      </c>
      <c r="BO1596">
        <v>1</v>
      </c>
      <c r="BP1596">
        <v>0</v>
      </c>
      <c r="BS1596">
        <v>0.04</v>
      </c>
      <c r="BT1596">
        <v>0</v>
      </c>
      <c r="BU1596">
        <v>0</v>
      </c>
      <c r="CE1596" t="str">
        <f t="shared" si="555"/>
        <v>19:29:45.245</v>
      </c>
      <c r="CF1596">
        <v>245251408</v>
      </c>
      <c r="CS1596">
        <v>3</v>
      </c>
      <c r="CT1596">
        <v>2</v>
      </c>
      <c r="CU1596">
        <v>0</v>
      </c>
      <c r="CV1596">
        <v>2</v>
      </c>
      <c r="CW1596">
        <v>0</v>
      </c>
      <c r="CX1596">
        <v>6</v>
      </c>
      <c r="CY1596">
        <v>7</v>
      </c>
      <c r="CZ1596" t="s">
        <v>131</v>
      </c>
      <c r="DA1596">
        <v>300</v>
      </c>
      <c r="DB1596">
        <v>0</v>
      </c>
      <c r="DC1596" t="s">
        <v>176</v>
      </c>
      <c r="DD1596" t="s">
        <v>177</v>
      </c>
      <c r="DG1596">
        <v>5390109</v>
      </c>
      <c r="DI1596">
        <v>1</v>
      </c>
      <c r="DJ1596">
        <v>0</v>
      </c>
      <c r="DK1596">
        <v>1</v>
      </c>
      <c r="DL1596">
        <v>0</v>
      </c>
      <c r="DM1596">
        <v>0</v>
      </c>
      <c r="DN1596">
        <v>1</v>
      </c>
      <c r="DO1596">
        <v>0</v>
      </c>
      <c r="DP1596">
        <v>0</v>
      </c>
      <c r="DQ1596">
        <v>0</v>
      </c>
      <c r="DR1596">
        <v>0</v>
      </c>
      <c r="DS1596">
        <v>0</v>
      </c>
    </row>
    <row r="1597" spans="1:123" x14ac:dyDescent="0.3">
      <c r="A1597" t="str">
        <f t="shared" ref="A1597:A1603" si="556">"10/04/2022 19:29:46.540"</f>
        <v>10/04/2022 19:29:46.540</v>
      </c>
      <c r="C1597" t="str">
        <f t="shared" si="549"/>
        <v>FFDFD3C0</v>
      </c>
      <c r="D1597" t="s">
        <v>143</v>
      </c>
      <c r="E1597">
        <v>20</v>
      </c>
      <c r="F1597">
        <v>1020</v>
      </c>
      <c r="G1597" t="s">
        <v>144</v>
      </c>
      <c r="J1597" t="s">
        <v>145</v>
      </c>
      <c r="K1597">
        <v>0</v>
      </c>
      <c r="L1597">
        <v>3</v>
      </c>
      <c r="M1597">
        <v>0</v>
      </c>
      <c r="N1597">
        <v>2</v>
      </c>
      <c r="O1597">
        <v>0</v>
      </c>
      <c r="P1597">
        <v>1</v>
      </c>
      <c r="Q1597">
        <v>0</v>
      </c>
      <c r="S1597" t="str">
        <f t="shared" ref="S1597:T1603" si="557">"19:29:46.000"</f>
        <v>19:29:46.000</v>
      </c>
      <c r="T1597" t="str">
        <f t="shared" si="557"/>
        <v>19:29:46.000</v>
      </c>
      <c r="U1597" t="str">
        <f t="shared" si="537"/>
        <v>AC3944</v>
      </c>
      <c r="V1597">
        <v>0</v>
      </c>
      <c r="W1597">
        <v>0</v>
      </c>
      <c r="X1597">
        <v>2</v>
      </c>
      <c r="Y1597">
        <v>0</v>
      </c>
      <c r="AA1597">
        <v>1</v>
      </c>
      <c r="AB1597">
        <v>8</v>
      </c>
      <c r="AC1597">
        <v>3</v>
      </c>
      <c r="AD1597">
        <v>0</v>
      </c>
      <c r="AE1597">
        <v>9</v>
      </c>
      <c r="AF1597" t="s">
        <v>138</v>
      </c>
      <c r="AG1597">
        <v>0</v>
      </c>
      <c r="AH1597">
        <v>3</v>
      </c>
      <c r="AI1597">
        <v>1</v>
      </c>
      <c r="AJ1597">
        <v>0</v>
      </c>
      <c r="AK1597" t="s">
        <v>590</v>
      </c>
      <c r="AL1597">
        <v>32.793868000000003</v>
      </c>
      <c r="AM1597" t="s">
        <v>591</v>
      </c>
      <c r="AN1597">
        <v>-116.87562699999999</v>
      </c>
      <c r="AO1597">
        <v>25</v>
      </c>
      <c r="AP1597">
        <v>2600</v>
      </c>
      <c r="AQ1597" t="s">
        <v>129</v>
      </c>
      <c r="AR1597">
        <v>98</v>
      </c>
      <c r="AS1597">
        <v>-77</v>
      </c>
      <c r="AT1597">
        <v>192</v>
      </c>
      <c r="BB1597">
        <v>1200</v>
      </c>
      <c r="BC1597">
        <v>1</v>
      </c>
      <c r="BD1597" t="str">
        <f t="shared" si="538"/>
        <v xml:space="preserve">N887QR  </v>
      </c>
      <c r="BE1597">
        <v>1</v>
      </c>
      <c r="BG1597">
        <v>0</v>
      </c>
      <c r="BH1597">
        <v>0</v>
      </c>
      <c r="BI1597">
        <v>0</v>
      </c>
      <c r="BJ1597">
        <v>2325</v>
      </c>
      <c r="BK1597">
        <v>-275</v>
      </c>
      <c r="BL1597" t="s">
        <v>163</v>
      </c>
      <c r="BM1597">
        <v>1</v>
      </c>
      <c r="BN1597">
        <v>1</v>
      </c>
      <c r="BO1597">
        <v>1</v>
      </c>
      <c r="BP1597">
        <v>0</v>
      </c>
      <c r="BS1597">
        <v>0.04</v>
      </c>
      <c r="BT1597">
        <v>0</v>
      </c>
      <c r="BU1597">
        <v>0</v>
      </c>
      <c r="CE1597" t="str">
        <f t="shared" ref="CE1597:CE1603" si="558">"19:29:46.266"</f>
        <v>19:29:46.266</v>
      </c>
      <c r="CF1597">
        <v>265504877</v>
      </c>
      <c r="CS1597">
        <v>3</v>
      </c>
      <c r="CT1597">
        <v>2</v>
      </c>
      <c r="CU1597">
        <v>0</v>
      </c>
      <c r="CV1597">
        <v>2</v>
      </c>
      <c r="CW1597">
        <v>0</v>
      </c>
      <c r="CX1597">
        <v>6</v>
      </c>
      <c r="CY1597">
        <v>7</v>
      </c>
      <c r="CZ1597" t="s">
        <v>131</v>
      </c>
      <c r="DA1597">
        <v>300</v>
      </c>
      <c r="DB1597">
        <v>0</v>
      </c>
      <c r="DC1597" t="s">
        <v>176</v>
      </c>
      <c r="DD1597" t="s">
        <v>177</v>
      </c>
      <c r="DG1597">
        <v>5390284</v>
      </c>
      <c r="DI1597">
        <v>1</v>
      </c>
      <c r="DJ1597">
        <v>0</v>
      </c>
      <c r="DK1597">
        <v>0</v>
      </c>
      <c r="DL1597">
        <v>0</v>
      </c>
      <c r="DM1597">
        <v>0</v>
      </c>
      <c r="DN1597">
        <v>1</v>
      </c>
      <c r="DO1597">
        <v>0</v>
      </c>
      <c r="DP1597">
        <v>0</v>
      </c>
      <c r="DQ1597">
        <v>0</v>
      </c>
      <c r="DR1597">
        <v>0</v>
      </c>
      <c r="DS1597">
        <v>0</v>
      </c>
    </row>
    <row r="1598" spans="1:123" x14ac:dyDescent="0.3">
      <c r="A1598" t="str">
        <f t="shared" si="556"/>
        <v>10/04/2022 19:29:46.540</v>
      </c>
      <c r="C1598" t="str">
        <f t="shared" si="549"/>
        <v>FFDFD3C0</v>
      </c>
      <c r="D1598" t="s">
        <v>123</v>
      </c>
      <c r="E1598">
        <v>7</v>
      </c>
      <c r="F1598">
        <v>2007</v>
      </c>
      <c r="G1598" t="s">
        <v>124</v>
      </c>
      <c r="J1598" t="s">
        <v>125</v>
      </c>
      <c r="K1598">
        <v>0</v>
      </c>
      <c r="L1598">
        <v>3</v>
      </c>
      <c r="M1598">
        <v>0</v>
      </c>
      <c r="N1598">
        <v>2</v>
      </c>
      <c r="O1598">
        <v>0</v>
      </c>
      <c r="P1598">
        <v>1</v>
      </c>
      <c r="Q1598">
        <v>0</v>
      </c>
      <c r="S1598" t="str">
        <f t="shared" si="557"/>
        <v>19:29:46.000</v>
      </c>
      <c r="T1598" t="str">
        <f t="shared" si="557"/>
        <v>19:29:46.000</v>
      </c>
      <c r="U1598" t="str">
        <f t="shared" si="537"/>
        <v>AC3944</v>
      </c>
      <c r="V1598">
        <v>0</v>
      </c>
      <c r="W1598">
        <v>0</v>
      </c>
      <c r="X1598">
        <v>2</v>
      </c>
      <c r="Y1598">
        <v>0</v>
      </c>
      <c r="AA1598">
        <v>1</v>
      </c>
      <c r="AB1598">
        <v>8</v>
      </c>
      <c r="AC1598">
        <v>3</v>
      </c>
      <c r="AD1598">
        <v>0</v>
      </c>
      <c r="AE1598">
        <v>9</v>
      </c>
      <c r="AF1598" t="s">
        <v>138</v>
      </c>
      <c r="AG1598">
        <v>0</v>
      </c>
      <c r="AH1598">
        <v>3</v>
      </c>
      <c r="AI1598">
        <v>1</v>
      </c>
      <c r="AJ1598">
        <v>0</v>
      </c>
      <c r="AK1598" t="s">
        <v>590</v>
      </c>
      <c r="AL1598">
        <v>32.793868000000003</v>
      </c>
      <c r="AM1598" t="s">
        <v>591</v>
      </c>
      <c r="AN1598">
        <v>-116.87562699999999</v>
      </c>
      <c r="AO1598">
        <v>25</v>
      </c>
      <c r="AP1598">
        <v>2600</v>
      </c>
      <c r="AQ1598" t="s">
        <v>129</v>
      </c>
      <c r="AR1598">
        <v>98</v>
      </c>
      <c r="AS1598">
        <v>-77</v>
      </c>
      <c r="AT1598">
        <v>192</v>
      </c>
      <c r="BB1598">
        <v>1200</v>
      </c>
      <c r="BC1598">
        <v>1</v>
      </c>
      <c r="BD1598" t="str">
        <f t="shared" si="538"/>
        <v xml:space="preserve">N887QR  </v>
      </c>
      <c r="BE1598">
        <v>1</v>
      </c>
      <c r="BG1598">
        <v>0</v>
      </c>
      <c r="BH1598">
        <v>0</v>
      </c>
      <c r="BI1598">
        <v>0</v>
      </c>
      <c r="BJ1598">
        <v>2325</v>
      </c>
      <c r="BK1598">
        <v>-275</v>
      </c>
      <c r="BL1598" t="s">
        <v>163</v>
      </c>
      <c r="BM1598">
        <v>1</v>
      </c>
      <c r="BN1598">
        <v>1</v>
      </c>
      <c r="BO1598">
        <v>1</v>
      </c>
      <c r="BP1598">
        <v>0</v>
      </c>
      <c r="BS1598">
        <v>0.04</v>
      </c>
      <c r="BT1598">
        <v>0</v>
      </c>
      <c r="BU1598">
        <v>0</v>
      </c>
      <c r="CE1598" t="str">
        <f t="shared" si="558"/>
        <v>19:29:46.266</v>
      </c>
      <c r="CF1598">
        <v>265504877</v>
      </c>
      <c r="CS1598">
        <v>3</v>
      </c>
      <c r="CT1598">
        <v>2</v>
      </c>
      <c r="CU1598">
        <v>0</v>
      </c>
      <c r="CV1598">
        <v>2</v>
      </c>
      <c r="CW1598">
        <v>0</v>
      </c>
      <c r="CX1598">
        <v>6</v>
      </c>
      <c r="CY1598">
        <v>7</v>
      </c>
      <c r="CZ1598" t="s">
        <v>131</v>
      </c>
      <c r="DA1598">
        <v>300</v>
      </c>
      <c r="DB1598">
        <v>0</v>
      </c>
      <c r="DC1598" t="s">
        <v>176</v>
      </c>
      <c r="DD1598" t="s">
        <v>177</v>
      </c>
      <c r="DG1598">
        <v>5390284</v>
      </c>
      <c r="DI1598">
        <v>1</v>
      </c>
      <c r="DJ1598">
        <v>0</v>
      </c>
      <c r="DK1598">
        <v>1</v>
      </c>
      <c r="DL1598">
        <v>0</v>
      </c>
      <c r="DM1598">
        <v>0</v>
      </c>
      <c r="DN1598">
        <v>1</v>
      </c>
      <c r="DO1598">
        <v>0</v>
      </c>
      <c r="DP1598">
        <v>0</v>
      </c>
      <c r="DQ1598">
        <v>0</v>
      </c>
      <c r="DR1598">
        <v>0</v>
      </c>
      <c r="DS1598">
        <v>0</v>
      </c>
    </row>
    <row r="1599" spans="1:123" x14ac:dyDescent="0.3">
      <c r="A1599" t="str">
        <f t="shared" si="556"/>
        <v>10/04/2022 19:29:46.540</v>
      </c>
      <c r="C1599" t="str">
        <f t="shared" si="549"/>
        <v>FFDFD3C0</v>
      </c>
      <c r="D1599" t="s">
        <v>141</v>
      </c>
      <c r="E1599">
        <v>3</v>
      </c>
      <c r="H1599">
        <v>3</v>
      </c>
      <c r="I1599" t="s">
        <v>146</v>
      </c>
      <c r="J1599" t="s">
        <v>138</v>
      </c>
      <c r="K1599">
        <v>0</v>
      </c>
      <c r="L1599">
        <v>3</v>
      </c>
      <c r="M1599">
        <v>0</v>
      </c>
      <c r="N1599">
        <v>2</v>
      </c>
      <c r="O1599">
        <v>0</v>
      </c>
      <c r="P1599">
        <v>1</v>
      </c>
      <c r="Q1599">
        <v>0</v>
      </c>
      <c r="S1599" t="str">
        <f t="shared" si="557"/>
        <v>19:29:46.000</v>
      </c>
      <c r="T1599" t="str">
        <f t="shared" si="557"/>
        <v>19:29:46.000</v>
      </c>
      <c r="U1599" t="str">
        <f t="shared" si="537"/>
        <v>AC3944</v>
      </c>
      <c r="V1599">
        <v>0</v>
      </c>
      <c r="W1599">
        <v>0</v>
      </c>
      <c r="X1599">
        <v>2</v>
      </c>
      <c r="Y1599">
        <v>0</v>
      </c>
      <c r="AA1599">
        <v>1</v>
      </c>
      <c r="AB1599">
        <v>8</v>
      </c>
      <c r="AC1599">
        <v>3</v>
      </c>
      <c r="AD1599">
        <v>0</v>
      </c>
      <c r="AE1599">
        <v>9</v>
      </c>
      <c r="AF1599" t="s">
        <v>138</v>
      </c>
      <c r="AG1599">
        <v>0</v>
      </c>
      <c r="AH1599">
        <v>3</v>
      </c>
      <c r="AI1599">
        <v>1</v>
      </c>
      <c r="AJ1599">
        <v>0</v>
      </c>
      <c r="AK1599" t="s">
        <v>590</v>
      </c>
      <c r="AL1599">
        <v>32.793868000000003</v>
      </c>
      <c r="AM1599" t="s">
        <v>591</v>
      </c>
      <c r="AN1599">
        <v>-116.87562699999999</v>
      </c>
      <c r="AO1599">
        <v>25</v>
      </c>
      <c r="AP1599">
        <v>2600</v>
      </c>
      <c r="AQ1599" t="s">
        <v>129</v>
      </c>
      <c r="AR1599">
        <v>98</v>
      </c>
      <c r="AS1599">
        <v>-77</v>
      </c>
      <c r="AT1599">
        <v>192</v>
      </c>
      <c r="BB1599">
        <v>1200</v>
      </c>
      <c r="BC1599">
        <v>1</v>
      </c>
      <c r="BD1599" t="str">
        <f t="shared" si="538"/>
        <v xml:space="preserve">N887QR  </v>
      </c>
      <c r="BE1599">
        <v>1</v>
      </c>
      <c r="BG1599">
        <v>0</v>
      </c>
      <c r="BH1599">
        <v>0</v>
      </c>
      <c r="BI1599">
        <v>0</v>
      </c>
      <c r="BJ1599">
        <v>2325</v>
      </c>
      <c r="BK1599">
        <v>-275</v>
      </c>
      <c r="BL1599" t="s">
        <v>163</v>
      </c>
      <c r="BM1599">
        <v>1</v>
      </c>
      <c r="BN1599">
        <v>1</v>
      </c>
      <c r="BO1599">
        <v>1</v>
      </c>
      <c r="BP1599">
        <v>0</v>
      </c>
      <c r="BS1599">
        <v>0.04</v>
      </c>
      <c r="BT1599">
        <v>0</v>
      </c>
      <c r="BU1599">
        <v>0</v>
      </c>
      <c r="CE1599" t="str">
        <f t="shared" si="558"/>
        <v>19:29:46.266</v>
      </c>
      <c r="CF1599">
        <v>265504877</v>
      </c>
      <c r="CS1599">
        <v>3</v>
      </c>
      <c r="CT1599">
        <v>2</v>
      </c>
      <c r="CU1599">
        <v>0</v>
      </c>
      <c r="CV1599">
        <v>2</v>
      </c>
      <c r="CW1599">
        <v>0</v>
      </c>
      <c r="CX1599">
        <v>6</v>
      </c>
      <c r="CY1599">
        <v>7</v>
      </c>
      <c r="CZ1599" t="s">
        <v>131</v>
      </c>
      <c r="DA1599">
        <v>300</v>
      </c>
      <c r="DB1599">
        <v>0</v>
      </c>
      <c r="DC1599" t="s">
        <v>176</v>
      </c>
      <c r="DD1599" t="s">
        <v>177</v>
      </c>
      <c r="DG1599">
        <v>5390284</v>
      </c>
      <c r="DI1599">
        <v>1</v>
      </c>
      <c r="DJ1599">
        <v>0</v>
      </c>
      <c r="DK1599">
        <v>1</v>
      </c>
      <c r="DL1599">
        <v>0</v>
      </c>
      <c r="DM1599">
        <v>0</v>
      </c>
      <c r="DN1599">
        <v>1</v>
      </c>
      <c r="DO1599">
        <v>0</v>
      </c>
      <c r="DP1599">
        <v>0</v>
      </c>
      <c r="DQ1599">
        <v>0</v>
      </c>
      <c r="DR1599">
        <v>0</v>
      </c>
      <c r="DS1599">
        <v>0</v>
      </c>
    </row>
    <row r="1600" spans="1:123" x14ac:dyDescent="0.3">
      <c r="A1600" t="str">
        <f t="shared" si="556"/>
        <v>10/04/2022 19:29:46.540</v>
      </c>
      <c r="C1600" t="str">
        <f t="shared" si="549"/>
        <v>FFDFD3C0</v>
      </c>
      <c r="D1600" t="s">
        <v>147</v>
      </c>
      <c r="E1600">
        <v>3</v>
      </c>
      <c r="H1600">
        <v>166</v>
      </c>
      <c r="I1600" t="s">
        <v>144</v>
      </c>
      <c r="J1600" t="s">
        <v>148</v>
      </c>
      <c r="K1600">
        <v>0</v>
      </c>
      <c r="L1600">
        <v>3</v>
      </c>
      <c r="M1600">
        <v>0</v>
      </c>
      <c r="N1600">
        <v>2</v>
      </c>
      <c r="O1600">
        <v>0</v>
      </c>
      <c r="P1600">
        <v>1</v>
      </c>
      <c r="Q1600">
        <v>0</v>
      </c>
      <c r="S1600" t="str">
        <f t="shared" si="557"/>
        <v>19:29:46.000</v>
      </c>
      <c r="T1600" t="str">
        <f t="shared" si="557"/>
        <v>19:29:46.000</v>
      </c>
      <c r="U1600" t="str">
        <f t="shared" si="537"/>
        <v>AC3944</v>
      </c>
      <c r="V1600">
        <v>0</v>
      </c>
      <c r="W1600">
        <v>0</v>
      </c>
      <c r="X1600">
        <v>2</v>
      </c>
      <c r="Y1600">
        <v>0</v>
      </c>
      <c r="AA1600">
        <v>1</v>
      </c>
      <c r="AB1600">
        <v>8</v>
      </c>
      <c r="AC1600">
        <v>3</v>
      </c>
      <c r="AD1600">
        <v>0</v>
      </c>
      <c r="AE1600">
        <v>9</v>
      </c>
      <c r="AF1600" t="s">
        <v>138</v>
      </c>
      <c r="AG1600">
        <v>0</v>
      </c>
      <c r="AH1600">
        <v>3</v>
      </c>
      <c r="AI1600">
        <v>1</v>
      </c>
      <c r="AJ1600">
        <v>0</v>
      </c>
      <c r="AK1600" t="s">
        <v>590</v>
      </c>
      <c r="AL1600">
        <v>32.793868000000003</v>
      </c>
      <c r="AM1600" t="s">
        <v>591</v>
      </c>
      <c r="AN1600">
        <v>-116.87562699999999</v>
      </c>
      <c r="AO1600">
        <v>25</v>
      </c>
      <c r="AP1600">
        <v>2600</v>
      </c>
      <c r="AQ1600" t="s">
        <v>129</v>
      </c>
      <c r="AR1600">
        <v>98</v>
      </c>
      <c r="AS1600">
        <v>-77</v>
      </c>
      <c r="AT1600">
        <v>192</v>
      </c>
      <c r="BB1600">
        <v>1200</v>
      </c>
      <c r="BC1600">
        <v>1</v>
      </c>
      <c r="BD1600" t="str">
        <f t="shared" si="538"/>
        <v xml:space="preserve">N887QR  </v>
      </c>
      <c r="BE1600">
        <v>1</v>
      </c>
      <c r="BG1600">
        <v>0</v>
      </c>
      <c r="BH1600">
        <v>0</v>
      </c>
      <c r="BI1600">
        <v>0</v>
      </c>
      <c r="BJ1600">
        <v>2325</v>
      </c>
      <c r="BK1600">
        <v>-275</v>
      </c>
      <c r="BL1600" t="s">
        <v>163</v>
      </c>
      <c r="BM1600">
        <v>1</v>
      </c>
      <c r="BN1600">
        <v>1</v>
      </c>
      <c r="BO1600">
        <v>1</v>
      </c>
      <c r="BP1600">
        <v>0</v>
      </c>
      <c r="BS1600">
        <v>0.04</v>
      </c>
      <c r="BT1600">
        <v>0</v>
      </c>
      <c r="BU1600">
        <v>0</v>
      </c>
      <c r="CE1600" t="str">
        <f t="shared" si="558"/>
        <v>19:29:46.266</v>
      </c>
      <c r="CF1600">
        <v>265504877</v>
      </c>
      <c r="CS1600">
        <v>3</v>
      </c>
      <c r="CT1600">
        <v>2</v>
      </c>
      <c r="CU1600">
        <v>0</v>
      </c>
      <c r="CV1600">
        <v>2</v>
      </c>
      <c r="CW1600">
        <v>0</v>
      </c>
      <c r="CX1600">
        <v>6</v>
      </c>
      <c r="CY1600">
        <v>7</v>
      </c>
      <c r="CZ1600" t="s">
        <v>131</v>
      </c>
      <c r="DA1600">
        <v>300</v>
      </c>
      <c r="DB1600">
        <v>0</v>
      </c>
      <c r="DC1600" t="s">
        <v>176</v>
      </c>
      <c r="DD1600" t="s">
        <v>177</v>
      </c>
      <c r="DG1600">
        <v>5390284</v>
      </c>
      <c r="DI1600">
        <v>1</v>
      </c>
      <c r="DJ1600">
        <v>0</v>
      </c>
      <c r="DK1600">
        <v>1</v>
      </c>
      <c r="DL1600">
        <v>0</v>
      </c>
      <c r="DM1600">
        <v>0</v>
      </c>
      <c r="DN1600">
        <v>1</v>
      </c>
      <c r="DO1600">
        <v>0</v>
      </c>
      <c r="DP1600">
        <v>0</v>
      </c>
      <c r="DQ1600">
        <v>0</v>
      </c>
      <c r="DR1600">
        <v>0</v>
      </c>
      <c r="DS1600">
        <v>0</v>
      </c>
    </row>
    <row r="1601" spans="1:123" x14ac:dyDescent="0.3">
      <c r="A1601" t="str">
        <f t="shared" si="556"/>
        <v>10/04/2022 19:29:46.540</v>
      </c>
      <c r="C1601" t="str">
        <f t="shared" si="549"/>
        <v>FFDFD3C0</v>
      </c>
      <c r="D1601" t="s">
        <v>134</v>
      </c>
      <c r="E1601">
        <v>15</v>
      </c>
      <c r="J1601" t="s">
        <v>135</v>
      </c>
      <c r="K1601">
        <v>0</v>
      </c>
      <c r="L1601">
        <v>3</v>
      </c>
      <c r="M1601">
        <v>0</v>
      </c>
      <c r="N1601">
        <v>2</v>
      </c>
      <c r="O1601">
        <v>0</v>
      </c>
      <c r="P1601">
        <v>1</v>
      </c>
      <c r="Q1601">
        <v>0</v>
      </c>
      <c r="S1601" t="str">
        <f t="shared" si="557"/>
        <v>19:29:46.000</v>
      </c>
      <c r="T1601" t="str">
        <f t="shared" si="557"/>
        <v>19:29:46.000</v>
      </c>
      <c r="U1601" t="str">
        <f t="shared" si="537"/>
        <v>AC3944</v>
      </c>
      <c r="V1601">
        <v>0</v>
      </c>
      <c r="W1601">
        <v>0</v>
      </c>
      <c r="X1601">
        <v>2</v>
      </c>
      <c r="Y1601">
        <v>0</v>
      </c>
      <c r="AA1601">
        <v>1</v>
      </c>
      <c r="AB1601">
        <v>8</v>
      </c>
      <c r="AC1601">
        <v>3</v>
      </c>
      <c r="AD1601">
        <v>0</v>
      </c>
      <c r="AE1601">
        <v>9</v>
      </c>
      <c r="AF1601" t="s">
        <v>138</v>
      </c>
      <c r="AG1601">
        <v>0</v>
      </c>
      <c r="AH1601">
        <v>3</v>
      </c>
      <c r="AI1601">
        <v>1</v>
      </c>
      <c r="AJ1601">
        <v>0</v>
      </c>
      <c r="AK1601" t="s">
        <v>590</v>
      </c>
      <c r="AL1601">
        <v>32.793868000000003</v>
      </c>
      <c r="AM1601" t="s">
        <v>591</v>
      </c>
      <c r="AN1601">
        <v>-116.87562699999999</v>
      </c>
      <c r="AO1601">
        <v>25</v>
      </c>
      <c r="AP1601">
        <v>2600</v>
      </c>
      <c r="AQ1601" t="s">
        <v>129</v>
      </c>
      <c r="AR1601">
        <v>98</v>
      </c>
      <c r="AS1601">
        <v>-77</v>
      </c>
      <c r="AT1601">
        <v>192</v>
      </c>
      <c r="BB1601">
        <v>1200</v>
      </c>
      <c r="BC1601">
        <v>1</v>
      </c>
      <c r="BD1601" t="str">
        <f t="shared" si="538"/>
        <v xml:space="preserve">N887QR  </v>
      </c>
      <c r="BE1601">
        <v>1</v>
      </c>
      <c r="BG1601">
        <v>0</v>
      </c>
      <c r="BH1601">
        <v>0</v>
      </c>
      <c r="BI1601">
        <v>0</v>
      </c>
      <c r="BJ1601">
        <v>2325</v>
      </c>
      <c r="BK1601">
        <v>-275</v>
      </c>
      <c r="BL1601" t="s">
        <v>163</v>
      </c>
      <c r="BM1601">
        <v>1</v>
      </c>
      <c r="BN1601">
        <v>1</v>
      </c>
      <c r="BO1601">
        <v>1</v>
      </c>
      <c r="BP1601">
        <v>0</v>
      </c>
      <c r="BS1601">
        <v>0.04</v>
      </c>
      <c r="BT1601">
        <v>0</v>
      </c>
      <c r="BU1601">
        <v>0</v>
      </c>
      <c r="CE1601" t="str">
        <f t="shared" si="558"/>
        <v>19:29:46.266</v>
      </c>
      <c r="CF1601">
        <v>265504877</v>
      </c>
      <c r="CS1601">
        <v>3</v>
      </c>
      <c r="CT1601">
        <v>2</v>
      </c>
      <c r="CU1601">
        <v>0</v>
      </c>
      <c r="CV1601">
        <v>2</v>
      </c>
      <c r="CW1601">
        <v>0</v>
      </c>
      <c r="CX1601">
        <v>6</v>
      </c>
      <c r="CY1601">
        <v>7</v>
      </c>
      <c r="CZ1601" t="s">
        <v>131</v>
      </c>
      <c r="DA1601">
        <v>300</v>
      </c>
      <c r="DB1601">
        <v>0</v>
      </c>
      <c r="DC1601" t="s">
        <v>176</v>
      </c>
      <c r="DD1601" t="s">
        <v>177</v>
      </c>
      <c r="DG1601">
        <v>5390284</v>
      </c>
      <c r="DI1601">
        <v>1</v>
      </c>
      <c r="DJ1601">
        <v>0</v>
      </c>
      <c r="DK1601">
        <v>1</v>
      </c>
      <c r="DL1601">
        <v>0</v>
      </c>
      <c r="DM1601">
        <v>0</v>
      </c>
      <c r="DN1601">
        <v>1</v>
      </c>
      <c r="DO1601">
        <v>0</v>
      </c>
      <c r="DP1601">
        <v>0</v>
      </c>
      <c r="DQ1601">
        <v>0</v>
      </c>
      <c r="DR1601">
        <v>0</v>
      </c>
      <c r="DS1601">
        <v>0</v>
      </c>
    </row>
    <row r="1602" spans="1:123" x14ac:dyDescent="0.3">
      <c r="A1602" t="str">
        <f t="shared" si="556"/>
        <v>10/04/2022 19:29:46.540</v>
      </c>
      <c r="C1602" t="str">
        <f t="shared" si="549"/>
        <v>FFDFD3C0</v>
      </c>
      <c r="D1602" t="s">
        <v>141</v>
      </c>
      <c r="E1602">
        <v>4</v>
      </c>
      <c r="H1602">
        <v>4</v>
      </c>
      <c r="I1602" t="s">
        <v>142</v>
      </c>
      <c r="J1602" t="s">
        <v>138</v>
      </c>
      <c r="K1602">
        <v>0</v>
      </c>
      <c r="L1602">
        <v>3</v>
      </c>
      <c r="M1602">
        <v>0</v>
      </c>
      <c r="N1602">
        <v>2</v>
      </c>
      <c r="O1602">
        <v>0</v>
      </c>
      <c r="P1602">
        <v>1</v>
      </c>
      <c r="Q1602">
        <v>0</v>
      </c>
      <c r="S1602" t="str">
        <f t="shared" si="557"/>
        <v>19:29:46.000</v>
      </c>
      <c r="T1602" t="str">
        <f t="shared" si="557"/>
        <v>19:29:46.000</v>
      </c>
      <c r="U1602" t="str">
        <f t="shared" ref="U1602:U1665" si="559">"AC3944"</f>
        <v>AC3944</v>
      </c>
      <c r="V1602">
        <v>0</v>
      </c>
      <c r="W1602">
        <v>0</v>
      </c>
      <c r="X1602">
        <v>2</v>
      </c>
      <c r="Y1602">
        <v>0</v>
      </c>
      <c r="AA1602">
        <v>1</v>
      </c>
      <c r="AB1602">
        <v>8</v>
      </c>
      <c r="AC1602">
        <v>3</v>
      </c>
      <c r="AD1602">
        <v>0</v>
      </c>
      <c r="AE1602">
        <v>9</v>
      </c>
      <c r="AF1602" t="s">
        <v>138</v>
      </c>
      <c r="AG1602">
        <v>0</v>
      </c>
      <c r="AH1602">
        <v>3</v>
      </c>
      <c r="AI1602">
        <v>1</v>
      </c>
      <c r="AJ1602">
        <v>0</v>
      </c>
      <c r="AK1602" t="s">
        <v>590</v>
      </c>
      <c r="AL1602">
        <v>32.793868000000003</v>
      </c>
      <c r="AM1602" t="s">
        <v>591</v>
      </c>
      <c r="AN1602">
        <v>-116.87562699999999</v>
      </c>
      <c r="AO1602">
        <v>25</v>
      </c>
      <c r="AP1602">
        <v>2600</v>
      </c>
      <c r="AQ1602" t="s">
        <v>129</v>
      </c>
      <c r="AR1602">
        <v>98</v>
      </c>
      <c r="AS1602">
        <v>-77</v>
      </c>
      <c r="AT1602">
        <v>192</v>
      </c>
      <c r="BB1602">
        <v>1200</v>
      </c>
      <c r="BC1602">
        <v>1</v>
      </c>
      <c r="BD1602" t="str">
        <f t="shared" ref="BD1602:BD1665" si="560">"N887QR  "</f>
        <v xml:space="preserve">N887QR  </v>
      </c>
      <c r="BE1602">
        <v>1</v>
      </c>
      <c r="BG1602">
        <v>0</v>
      </c>
      <c r="BH1602">
        <v>0</v>
      </c>
      <c r="BI1602">
        <v>0</v>
      </c>
      <c r="BJ1602">
        <v>2325</v>
      </c>
      <c r="BK1602">
        <v>-275</v>
      </c>
      <c r="BL1602" t="s">
        <v>163</v>
      </c>
      <c r="BM1602">
        <v>1</v>
      </c>
      <c r="BN1602">
        <v>1</v>
      </c>
      <c r="BO1602">
        <v>1</v>
      </c>
      <c r="BP1602">
        <v>0</v>
      </c>
      <c r="BS1602">
        <v>0.04</v>
      </c>
      <c r="BT1602">
        <v>0</v>
      </c>
      <c r="BU1602">
        <v>0</v>
      </c>
      <c r="CE1602" t="str">
        <f t="shared" si="558"/>
        <v>19:29:46.266</v>
      </c>
      <c r="CF1602">
        <v>265504877</v>
      </c>
      <c r="CS1602">
        <v>3</v>
      </c>
      <c r="CT1602">
        <v>2</v>
      </c>
      <c r="CU1602">
        <v>0</v>
      </c>
      <c r="CV1602">
        <v>2</v>
      </c>
      <c r="CW1602">
        <v>0</v>
      </c>
      <c r="CX1602">
        <v>6</v>
      </c>
      <c r="CY1602">
        <v>7</v>
      </c>
      <c r="CZ1602" t="s">
        <v>131</v>
      </c>
      <c r="DA1602">
        <v>300</v>
      </c>
      <c r="DB1602">
        <v>0</v>
      </c>
      <c r="DC1602" t="s">
        <v>176</v>
      </c>
      <c r="DD1602" t="s">
        <v>177</v>
      </c>
      <c r="DG1602">
        <v>5390284</v>
      </c>
      <c r="DI1602">
        <v>1</v>
      </c>
      <c r="DJ1602">
        <v>0</v>
      </c>
      <c r="DK1602">
        <v>1</v>
      </c>
      <c r="DL1602">
        <v>0</v>
      </c>
      <c r="DM1602">
        <v>0</v>
      </c>
      <c r="DN1602">
        <v>1</v>
      </c>
      <c r="DO1602">
        <v>0</v>
      </c>
      <c r="DP1602">
        <v>0</v>
      </c>
      <c r="DQ1602">
        <v>0</v>
      </c>
      <c r="DR1602">
        <v>0</v>
      </c>
      <c r="DS1602">
        <v>0</v>
      </c>
    </row>
    <row r="1603" spans="1:123" x14ac:dyDescent="0.3">
      <c r="A1603" t="str">
        <f t="shared" si="556"/>
        <v>10/04/2022 19:29:46.540</v>
      </c>
      <c r="C1603" t="str">
        <f t="shared" si="549"/>
        <v>FFDFD3C0</v>
      </c>
      <c r="D1603" t="s">
        <v>136</v>
      </c>
      <c r="E1603">
        <v>8</v>
      </c>
      <c r="H1603">
        <v>225</v>
      </c>
      <c r="I1603" t="s">
        <v>137</v>
      </c>
      <c r="J1603" t="s">
        <v>138</v>
      </c>
      <c r="K1603">
        <v>0</v>
      </c>
      <c r="L1603">
        <v>3</v>
      </c>
      <c r="M1603">
        <v>0</v>
      </c>
      <c r="N1603">
        <v>2</v>
      </c>
      <c r="O1603">
        <v>0</v>
      </c>
      <c r="P1603">
        <v>1</v>
      </c>
      <c r="Q1603">
        <v>0</v>
      </c>
      <c r="S1603" t="str">
        <f t="shared" si="557"/>
        <v>19:29:46.000</v>
      </c>
      <c r="T1603" t="str">
        <f t="shared" si="557"/>
        <v>19:29:46.000</v>
      </c>
      <c r="U1603" t="str">
        <f t="shared" si="559"/>
        <v>AC3944</v>
      </c>
      <c r="V1603">
        <v>0</v>
      </c>
      <c r="W1603">
        <v>0</v>
      </c>
      <c r="X1603">
        <v>2</v>
      </c>
      <c r="Y1603">
        <v>0</v>
      </c>
      <c r="AA1603">
        <v>1</v>
      </c>
      <c r="AB1603">
        <v>8</v>
      </c>
      <c r="AC1603">
        <v>3</v>
      </c>
      <c r="AD1603">
        <v>0</v>
      </c>
      <c r="AE1603">
        <v>9</v>
      </c>
      <c r="AF1603" t="s">
        <v>138</v>
      </c>
      <c r="AG1603">
        <v>0</v>
      </c>
      <c r="AH1603">
        <v>3</v>
      </c>
      <c r="AI1603">
        <v>1</v>
      </c>
      <c r="AJ1603">
        <v>0</v>
      </c>
      <c r="AK1603" t="s">
        <v>590</v>
      </c>
      <c r="AL1603">
        <v>32.793868000000003</v>
      </c>
      <c r="AM1603" t="s">
        <v>591</v>
      </c>
      <c r="AN1603">
        <v>-116.87562699999999</v>
      </c>
      <c r="AO1603">
        <v>25</v>
      </c>
      <c r="AP1603">
        <v>2600</v>
      </c>
      <c r="AQ1603" t="s">
        <v>129</v>
      </c>
      <c r="AR1603">
        <v>98</v>
      </c>
      <c r="AS1603">
        <v>-77</v>
      </c>
      <c r="AT1603">
        <v>192</v>
      </c>
      <c r="BB1603">
        <v>1200</v>
      </c>
      <c r="BC1603">
        <v>1</v>
      </c>
      <c r="BD1603" t="str">
        <f t="shared" si="560"/>
        <v xml:space="preserve">N887QR  </v>
      </c>
      <c r="BE1603">
        <v>1</v>
      </c>
      <c r="BG1603">
        <v>0</v>
      </c>
      <c r="BH1603">
        <v>0</v>
      </c>
      <c r="BI1603">
        <v>0</v>
      </c>
      <c r="BJ1603">
        <v>2325</v>
      </c>
      <c r="BK1603">
        <v>-275</v>
      </c>
      <c r="BL1603" t="s">
        <v>163</v>
      </c>
      <c r="BM1603">
        <v>1</v>
      </c>
      <c r="BN1603">
        <v>1</v>
      </c>
      <c r="BO1603">
        <v>1</v>
      </c>
      <c r="BP1603">
        <v>0</v>
      </c>
      <c r="BS1603">
        <v>0.04</v>
      </c>
      <c r="BT1603">
        <v>0</v>
      </c>
      <c r="BU1603">
        <v>0</v>
      </c>
      <c r="CE1603" t="str">
        <f t="shared" si="558"/>
        <v>19:29:46.266</v>
      </c>
      <c r="CF1603">
        <v>265504877</v>
      </c>
      <c r="CS1603">
        <v>3</v>
      </c>
      <c r="CT1603">
        <v>2</v>
      </c>
      <c r="CU1603">
        <v>0</v>
      </c>
      <c r="CV1603">
        <v>2</v>
      </c>
      <c r="CW1603">
        <v>0</v>
      </c>
      <c r="CX1603">
        <v>6</v>
      </c>
      <c r="CY1603">
        <v>7</v>
      </c>
      <c r="CZ1603" t="s">
        <v>131</v>
      </c>
      <c r="DA1603">
        <v>300</v>
      </c>
      <c r="DB1603">
        <v>0</v>
      </c>
      <c r="DC1603" t="s">
        <v>176</v>
      </c>
      <c r="DD1603" t="s">
        <v>177</v>
      </c>
      <c r="DG1603">
        <v>5390284</v>
      </c>
      <c r="DI1603">
        <v>1</v>
      </c>
      <c r="DJ1603">
        <v>0</v>
      </c>
      <c r="DK1603">
        <v>1</v>
      </c>
      <c r="DL1603">
        <v>0</v>
      </c>
      <c r="DM1603">
        <v>0</v>
      </c>
      <c r="DN1603">
        <v>1</v>
      </c>
      <c r="DO1603">
        <v>0</v>
      </c>
      <c r="DP1603">
        <v>0</v>
      </c>
      <c r="DQ1603">
        <v>0</v>
      </c>
      <c r="DR1603">
        <v>0</v>
      </c>
      <c r="DS1603">
        <v>0</v>
      </c>
    </row>
    <row r="1604" spans="1:123" x14ac:dyDescent="0.3">
      <c r="A1604" t="str">
        <f>"10/04/2022 19:29:47.571"</f>
        <v>10/04/2022 19:29:47.571</v>
      </c>
      <c r="C1604" t="str">
        <f t="shared" si="549"/>
        <v>FFDFD3C0</v>
      </c>
      <c r="D1604" t="s">
        <v>141</v>
      </c>
      <c r="E1604">
        <v>3</v>
      </c>
      <c r="H1604">
        <v>3</v>
      </c>
      <c r="I1604" t="s">
        <v>146</v>
      </c>
      <c r="J1604" t="s">
        <v>138</v>
      </c>
      <c r="K1604">
        <v>0</v>
      </c>
      <c r="L1604">
        <v>3</v>
      </c>
      <c r="M1604">
        <v>0</v>
      </c>
      <c r="N1604">
        <v>2</v>
      </c>
      <c r="O1604">
        <v>0</v>
      </c>
      <c r="P1604">
        <v>1</v>
      </c>
      <c r="Q1604">
        <v>0</v>
      </c>
      <c r="S1604" t="str">
        <f t="shared" ref="S1604:T1610" si="561">"19:29:47.000"</f>
        <v>19:29:47.000</v>
      </c>
      <c r="T1604" t="str">
        <f t="shared" si="561"/>
        <v>19:29:47.000</v>
      </c>
      <c r="U1604" t="str">
        <f t="shared" si="559"/>
        <v>AC3944</v>
      </c>
      <c r="V1604">
        <v>0</v>
      </c>
      <c r="W1604">
        <v>0</v>
      </c>
      <c r="X1604">
        <v>2</v>
      </c>
      <c r="Y1604">
        <v>0</v>
      </c>
      <c r="AA1604">
        <v>1</v>
      </c>
      <c r="AB1604">
        <v>8</v>
      </c>
      <c r="AC1604">
        <v>3</v>
      </c>
      <c r="AD1604">
        <v>0</v>
      </c>
      <c r="AE1604">
        <v>9</v>
      </c>
      <c r="AF1604" t="s">
        <v>138</v>
      </c>
      <c r="AG1604">
        <v>0</v>
      </c>
      <c r="AH1604">
        <v>3</v>
      </c>
      <c r="AI1604">
        <v>1</v>
      </c>
      <c r="AJ1604">
        <v>0</v>
      </c>
      <c r="AK1604" t="s">
        <v>592</v>
      </c>
      <c r="AL1604">
        <v>32.793438000000002</v>
      </c>
      <c r="AM1604" t="s">
        <v>593</v>
      </c>
      <c r="AN1604">
        <v>-116.874962</v>
      </c>
      <c r="AO1604">
        <v>25</v>
      </c>
      <c r="AP1604">
        <v>2600</v>
      </c>
      <c r="AQ1604" t="s">
        <v>129</v>
      </c>
      <c r="AR1604">
        <v>97</v>
      </c>
      <c r="AS1604">
        <v>-78</v>
      </c>
      <c r="AT1604">
        <v>192</v>
      </c>
      <c r="BB1604">
        <v>1200</v>
      </c>
      <c r="BC1604">
        <v>1</v>
      </c>
      <c r="BD1604" t="str">
        <f t="shared" si="560"/>
        <v xml:space="preserve">N887QR  </v>
      </c>
      <c r="BE1604">
        <v>1</v>
      </c>
      <c r="BG1604">
        <v>0</v>
      </c>
      <c r="BH1604">
        <v>0</v>
      </c>
      <c r="BI1604">
        <v>0</v>
      </c>
      <c r="BJ1604">
        <v>2325</v>
      </c>
      <c r="BK1604">
        <v>-275</v>
      </c>
      <c r="BL1604" t="s">
        <v>163</v>
      </c>
      <c r="BM1604">
        <v>1</v>
      </c>
      <c r="BN1604">
        <v>1</v>
      </c>
      <c r="BO1604">
        <v>1</v>
      </c>
      <c r="BP1604">
        <v>0</v>
      </c>
      <c r="BS1604">
        <v>0.04</v>
      </c>
      <c r="BT1604">
        <v>0</v>
      </c>
      <c r="BU1604">
        <v>0</v>
      </c>
      <c r="CE1604" t="str">
        <f t="shared" ref="CE1604:CE1610" si="562">"19:29:47.385"</f>
        <v>19:29:47.385</v>
      </c>
      <c r="CF1604">
        <v>384758588</v>
      </c>
      <c r="CS1604">
        <v>3</v>
      </c>
      <c r="CT1604">
        <v>2</v>
      </c>
      <c r="CU1604">
        <v>0</v>
      </c>
      <c r="CV1604">
        <v>2</v>
      </c>
      <c r="CW1604">
        <v>0</v>
      </c>
      <c r="CX1604">
        <v>6</v>
      </c>
      <c r="CY1604">
        <v>7</v>
      </c>
      <c r="CZ1604" t="s">
        <v>131</v>
      </c>
      <c r="DA1604">
        <v>300</v>
      </c>
      <c r="DB1604">
        <v>0</v>
      </c>
      <c r="DC1604" t="s">
        <v>176</v>
      </c>
      <c r="DD1604" t="s">
        <v>177</v>
      </c>
      <c r="DG1604">
        <v>5390446</v>
      </c>
      <c r="DI1604">
        <v>1</v>
      </c>
      <c r="DJ1604">
        <v>0</v>
      </c>
      <c r="DK1604">
        <v>0</v>
      </c>
      <c r="DL1604">
        <v>0</v>
      </c>
      <c r="DM1604">
        <v>0</v>
      </c>
      <c r="DN1604">
        <v>1</v>
      </c>
      <c r="DO1604">
        <v>0</v>
      </c>
      <c r="DP1604">
        <v>0</v>
      </c>
      <c r="DQ1604">
        <v>0</v>
      </c>
      <c r="DR1604">
        <v>0</v>
      </c>
      <c r="DS1604">
        <v>0</v>
      </c>
    </row>
    <row r="1605" spans="1:123" x14ac:dyDescent="0.3">
      <c r="A1605" t="str">
        <f>"10/04/2022 19:29:47.571"</f>
        <v>10/04/2022 19:29:47.571</v>
      </c>
      <c r="C1605" t="str">
        <f t="shared" ref="C1605:C1636" si="563">"FFDFD3C0"</f>
        <v>FFDFD3C0</v>
      </c>
      <c r="D1605" t="s">
        <v>147</v>
      </c>
      <c r="E1605">
        <v>3</v>
      </c>
      <c r="H1605">
        <v>166</v>
      </c>
      <c r="I1605" t="s">
        <v>144</v>
      </c>
      <c r="J1605" t="s">
        <v>148</v>
      </c>
      <c r="K1605">
        <v>0</v>
      </c>
      <c r="L1605">
        <v>3</v>
      </c>
      <c r="M1605">
        <v>0</v>
      </c>
      <c r="N1605">
        <v>2</v>
      </c>
      <c r="O1605">
        <v>0</v>
      </c>
      <c r="P1605">
        <v>1</v>
      </c>
      <c r="Q1605">
        <v>0</v>
      </c>
      <c r="S1605" t="str">
        <f t="shared" si="561"/>
        <v>19:29:47.000</v>
      </c>
      <c r="T1605" t="str">
        <f t="shared" si="561"/>
        <v>19:29:47.000</v>
      </c>
      <c r="U1605" t="str">
        <f t="shared" si="559"/>
        <v>AC3944</v>
      </c>
      <c r="V1605">
        <v>0</v>
      </c>
      <c r="W1605">
        <v>0</v>
      </c>
      <c r="X1605">
        <v>2</v>
      </c>
      <c r="Y1605">
        <v>0</v>
      </c>
      <c r="AA1605">
        <v>1</v>
      </c>
      <c r="AB1605">
        <v>8</v>
      </c>
      <c r="AC1605">
        <v>3</v>
      </c>
      <c r="AD1605">
        <v>0</v>
      </c>
      <c r="AE1605">
        <v>9</v>
      </c>
      <c r="AF1605" t="s">
        <v>138</v>
      </c>
      <c r="AG1605">
        <v>0</v>
      </c>
      <c r="AH1605">
        <v>3</v>
      </c>
      <c r="AI1605">
        <v>1</v>
      </c>
      <c r="AJ1605">
        <v>0</v>
      </c>
      <c r="AK1605" t="s">
        <v>592</v>
      </c>
      <c r="AL1605">
        <v>32.793438000000002</v>
      </c>
      <c r="AM1605" t="s">
        <v>593</v>
      </c>
      <c r="AN1605">
        <v>-116.874962</v>
      </c>
      <c r="AO1605">
        <v>25</v>
      </c>
      <c r="AP1605">
        <v>2600</v>
      </c>
      <c r="AQ1605" t="s">
        <v>129</v>
      </c>
      <c r="AR1605">
        <v>97</v>
      </c>
      <c r="AS1605">
        <v>-78</v>
      </c>
      <c r="AT1605">
        <v>192</v>
      </c>
      <c r="BB1605">
        <v>1200</v>
      </c>
      <c r="BC1605">
        <v>1</v>
      </c>
      <c r="BD1605" t="str">
        <f t="shared" si="560"/>
        <v xml:space="preserve">N887QR  </v>
      </c>
      <c r="BE1605">
        <v>1</v>
      </c>
      <c r="BG1605">
        <v>0</v>
      </c>
      <c r="BH1605">
        <v>0</v>
      </c>
      <c r="BI1605">
        <v>0</v>
      </c>
      <c r="BJ1605">
        <v>2325</v>
      </c>
      <c r="BK1605">
        <v>-275</v>
      </c>
      <c r="BL1605" t="s">
        <v>163</v>
      </c>
      <c r="BM1605">
        <v>1</v>
      </c>
      <c r="BN1605">
        <v>1</v>
      </c>
      <c r="BO1605">
        <v>1</v>
      </c>
      <c r="BP1605">
        <v>0</v>
      </c>
      <c r="BS1605">
        <v>0.04</v>
      </c>
      <c r="BT1605">
        <v>0</v>
      </c>
      <c r="BU1605">
        <v>0</v>
      </c>
      <c r="CE1605" t="str">
        <f t="shared" si="562"/>
        <v>19:29:47.385</v>
      </c>
      <c r="CF1605">
        <v>384758588</v>
      </c>
      <c r="CS1605">
        <v>3</v>
      </c>
      <c r="CT1605">
        <v>2</v>
      </c>
      <c r="CU1605">
        <v>0</v>
      </c>
      <c r="CV1605">
        <v>2</v>
      </c>
      <c r="CW1605">
        <v>0</v>
      </c>
      <c r="CX1605">
        <v>6</v>
      </c>
      <c r="CY1605">
        <v>7</v>
      </c>
      <c r="CZ1605" t="s">
        <v>131</v>
      </c>
      <c r="DA1605">
        <v>300</v>
      </c>
      <c r="DB1605">
        <v>0</v>
      </c>
      <c r="DC1605" t="s">
        <v>176</v>
      </c>
      <c r="DD1605" t="s">
        <v>177</v>
      </c>
      <c r="DG1605">
        <v>5390446</v>
      </c>
      <c r="DI1605">
        <v>1</v>
      </c>
      <c r="DJ1605">
        <v>0</v>
      </c>
      <c r="DK1605">
        <v>1</v>
      </c>
      <c r="DL1605">
        <v>0</v>
      </c>
      <c r="DM1605">
        <v>0</v>
      </c>
      <c r="DN1605">
        <v>1</v>
      </c>
      <c r="DO1605">
        <v>0</v>
      </c>
      <c r="DP1605">
        <v>0</v>
      </c>
      <c r="DQ1605">
        <v>0</v>
      </c>
      <c r="DR1605">
        <v>0</v>
      </c>
      <c r="DS1605">
        <v>0</v>
      </c>
    </row>
    <row r="1606" spans="1:123" x14ac:dyDescent="0.3">
      <c r="A1606" t="str">
        <f>"10/04/2022 19:29:47.587"</f>
        <v>10/04/2022 19:29:47.587</v>
      </c>
      <c r="C1606" t="str">
        <f t="shared" si="563"/>
        <v>FFDFD3C0</v>
      </c>
      <c r="D1606" t="s">
        <v>141</v>
      </c>
      <c r="E1606">
        <v>4</v>
      </c>
      <c r="H1606">
        <v>4</v>
      </c>
      <c r="I1606" t="s">
        <v>142</v>
      </c>
      <c r="J1606" t="s">
        <v>138</v>
      </c>
      <c r="K1606">
        <v>0</v>
      </c>
      <c r="L1606">
        <v>3</v>
      </c>
      <c r="M1606">
        <v>0</v>
      </c>
      <c r="N1606">
        <v>2</v>
      </c>
      <c r="O1606">
        <v>0</v>
      </c>
      <c r="P1606">
        <v>1</v>
      </c>
      <c r="Q1606">
        <v>0</v>
      </c>
      <c r="S1606" t="str">
        <f t="shared" si="561"/>
        <v>19:29:47.000</v>
      </c>
      <c r="T1606" t="str">
        <f t="shared" si="561"/>
        <v>19:29:47.000</v>
      </c>
      <c r="U1606" t="str">
        <f t="shared" si="559"/>
        <v>AC3944</v>
      </c>
      <c r="V1606">
        <v>0</v>
      </c>
      <c r="W1606">
        <v>0</v>
      </c>
      <c r="X1606">
        <v>2</v>
      </c>
      <c r="Y1606">
        <v>0</v>
      </c>
      <c r="AA1606">
        <v>1</v>
      </c>
      <c r="AB1606">
        <v>8</v>
      </c>
      <c r="AC1606">
        <v>3</v>
      </c>
      <c r="AD1606">
        <v>0</v>
      </c>
      <c r="AE1606">
        <v>9</v>
      </c>
      <c r="AF1606" t="s">
        <v>138</v>
      </c>
      <c r="AG1606">
        <v>0</v>
      </c>
      <c r="AH1606">
        <v>3</v>
      </c>
      <c r="AI1606">
        <v>1</v>
      </c>
      <c r="AJ1606">
        <v>0</v>
      </c>
      <c r="AK1606" t="s">
        <v>592</v>
      </c>
      <c r="AL1606">
        <v>32.793438000000002</v>
      </c>
      <c r="AM1606" t="s">
        <v>593</v>
      </c>
      <c r="AN1606">
        <v>-116.874962</v>
      </c>
      <c r="AO1606">
        <v>25</v>
      </c>
      <c r="AP1606">
        <v>2600</v>
      </c>
      <c r="AQ1606" t="s">
        <v>129</v>
      </c>
      <c r="AR1606">
        <v>97</v>
      </c>
      <c r="AS1606">
        <v>-78</v>
      </c>
      <c r="AT1606">
        <v>192</v>
      </c>
      <c r="BB1606">
        <v>1200</v>
      </c>
      <c r="BC1606">
        <v>1</v>
      </c>
      <c r="BD1606" t="str">
        <f t="shared" si="560"/>
        <v xml:space="preserve">N887QR  </v>
      </c>
      <c r="BE1606">
        <v>1</v>
      </c>
      <c r="BG1606">
        <v>0</v>
      </c>
      <c r="BH1606">
        <v>0</v>
      </c>
      <c r="BI1606">
        <v>0</v>
      </c>
      <c r="BJ1606">
        <v>2325</v>
      </c>
      <c r="BK1606">
        <v>-275</v>
      </c>
      <c r="BL1606" t="s">
        <v>163</v>
      </c>
      <c r="BM1606">
        <v>1</v>
      </c>
      <c r="BN1606">
        <v>1</v>
      </c>
      <c r="BO1606">
        <v>1</v>
      </c>
      <c r="BP1606">
        <v>0</v>
      </c>
      <c r="BS1606">
        <v>0.04</v>
      </c>
      <c r="BT1606">
        <v>0</v>
      </c>
      <c r="BU1606">
        <v>0</v>
      </c>
      <c r="CE1606" t="str">
        <f t="shared" si="562"/>
        <v>19:29:47.385</v>
      </c>
      <c r="CF1606">
        <v>384758588</v>
      </c>
      <c r="CS1606">
        <v>3</v>
      </c>
      <c r="CT1606">
        <v>2</v>
      </c>
      <c r="CU1606">
        <v>0</v>
      </c>
      <c r="CV1606">
        <v>2</v>
      </c>
      <c r="CW1606">
        <v>0</v>
      </c>
      <c r="CX1606">
        <v>6</v>
      </c>
      <c r="CY1606">
        <v>7</v>
      </c>
      <c r="CZ1606" t="s">
        <v>131</v>
      </c>
      <c r="DA1606">
        <v>300</v>
      </c>
      <c r="DB1606">
        <v>0</v>
      </c>
      <c r="DC1606" t="s">
        <v>176</v>
      </c>
      <c r="DD1606" t="s">
        <v>177</v>
      </c>
      <c r="DG1606">
        <v>5390446</v>
      </c>
      <c r="DI1606">
        <v>1</v>
      </c>
      <c r="DJ1606">
        <v>0</v>
      </c>
      <c r="DK1606">
        <v>1</v>
      </c>
      <c r="DL1606">
        <v>0</v>
      </c>
      <c r="DM1606">
        <v>0</v>
      </c>
      <c r="DN1606">
        <v>1</v>
      </c>
      <c r="DO1606">
        <v>0</v>
      </c>
      <c r="DP1606">
        <v>0</v>
      </c>
      <c r="DQ1606">
        <v>0</v>
      </c>
      <c r="DR1606">
        <v>0</v>
      </c>
      <c r="DS1606">
        <v>0</v>
      </c>
    </row>
    <row r="1607" spans="1:123" x14ac:dyDescent="0.3">
      <c r="A1607" t="str">
        <f>"10/04/2022 19:29:47.587"</f>
        <v>10/04/2022 19:29:47.587</v>
      </c>
      <c r="C1607" t="str">
        <f t="shared" si="563"/>
        <v>FFDFD3C0</v>
      </c>
      <c r="D1607" t="s">
        <v>134</v>
      </c>
      <c r="E1607">
        <v>15</v>
      </c>
      <c r="J1607" t="s">
        <v>135</v>
      </c>
      <c r="K1607">
        <v>0</v>
      </c>
      <c r="L1607">
        <v>3</v>
      </c>
      <c r="M1607">
        <v>0</v>
      </c>
      <c r="N1607">
        <v>2</v>
      </c>
      <c r="O1607">
        <v>0</v>
      </c>
      <c r="P1607">
        <v>1</v>
      </c>
      <c r="Q1607">
        <v>0</v>
      </c>
      <c r="S1607" t="str">
        <f t="shared" si="561"/>
        <v>19:29:47.000</v>
      </c>
      <c r="T1607" t="str">
        <f t="shared" si="561"/>
        <v>19:29:47.000</v>
      </c>
      <c r="U1607" t="str">
        <f t="shared" si="559"/>
        <v>AC3944</v>
      </c>
      <c r="V1607">
        <v>0</v>
      </c>
      <c r="W1607">
        <v>0</v>
      </c>
      <c r="X1607">
        <v>2</v>
      </c>
      <c r="Y1607">
        <v>0</v>
      </c>
      <c r="AA1607">
        <v>1</v>
      </c>
      <c r="AB1607">
        <v>8</v>
      </c>
      <c r="AC1607">
        <v>3</v>
      </c>
      <c r="AD1607">
        <v>0</v>
      </c>
      <c r="AE1607">
        <v>9</v>
      </c>
      <c r="AF1607" t="s">
        <v>138</v>
      </c>
      <c r="AG1607">
        <v>0</v>
      </c>
      <c r="AH1607">
        <v>3</v>
      </c>
      <c r="AI1607">
        <v>1</v>
      </c>
      <c r="AJ1607">
        <v>0</v>
      </c>
      <c r="AK1607" t="s">
        <v>592</v>
      </c>
      <c r="AL1607">
        <v>32.793438000000002</v>
      </c>
      <c r="AM1607" t="s">
        <v>593</v>
      </c>
      <c r="AN1607">
        <v>-116.874962</v>
      </c>
      <c r="AO1607">
        <v>25</v>
      </c>
      <c r="AP1607">
        <v>2600</v>
      </c>
      <c r="AQ1607" t="s">
        <v>129</v>
      </c>
      <c r="AR1607">
        <v>97</v>
      </c>
      <c r="AS1607">
        <v>-78</v>
      </c>
      <c r="AT1607">
        <v>192</v>
      </c>
      <c r="BB1607">
        <v>1200</v>
      </c>
      <c r="BC1607">
        <v>1</v>
      </c>
      <c r="BD1607" t="str">
        <f t="shared" si="560"/>
        <v xml:space="preserve">N887QR  </v>
      </c>
      <c r="BE1607">
        <v>1</v>
      </c>
      <c r="BG1607">
        <v>0</v>
      </c>
      <c r="BH1607">
        <v>0</v>
      </c>
      <c r="BI1607">
        <v>0</v>
      </c>
      <c r="BJ1607">
        <v>2325</v>
      </c>
      <c r="BK1607">
        <v>-275</v>
      </c>
      <c r="BL1607" t="s">
        <v>163</v>
      </c>
      <c r="BM1607">
        <v>1</v>
      </c>
      <c r="BN1607">
        <v>1</v>
      </c>
      <c r="BO1607">
        <v>1</v>
      </c>
      <c r="BP1607">
        <v>0</v>
      </c>
      <c r="BS1607">
        <v>0.04</v>
      </c>
      <c r="BT1607">
        <v>0</v>
      </c>
      <c r="BU1607">
        <v>0</v>
      </c>
      <c r="CE1607" t="str">
        <f t="shared" si="562"/>
        <v>19:29:47.385</v>
      </c>
      <c r="CF1607">
        <v>384758588</v>
      </c>
      <c r="CS1607">
        <v>3</v>
      </c>
      <c r="CT1607">
        <v>2</v>
      </c>
      <c r="CU1607">
        <v>0</v>
      </c>
      <c r="CV1607">
        <v>2</v>
      </c>
      <c r="CW1607">
        <v>0</v>
      </c>
      <c r="CX1607">
        <v>6</v>
      </c>
      <c r="CY1607">
        <v>7</v>
      </c>
      <c r="CZ1607" t="s">
        <v>131</v>
      </c>
      <c r="DA1607">
        <v>300</v>
      </c>
      <c r="DB1607">
        <v>0</v>
      </c>
      <c r="DC1607" t="s">
        <v>176</v>
      </c>
      <c r="DD1607" t="s">
        <v>177</v>
      </c>
      <c r="DG1607">
        <v>5390446</v>
      </c>
      <c r="DI1607">
        <v>1</v>
      </c>
      <c r="DJ1607">
        <v>0</v>
      </c>
      <c r="DK1607">
        <v>1</v>
      </c>
      <c r="DL1607">
        <v>0</v>
      </c>
      <c r="DM1607">
        <v>0</v>
      </c>
      <c r="DN1607">
        <v>1</v>
      </c>
      <c r="DO1607">
        <v>0</v>
      </c>
      <c r="DP1607">
        <v>0</v>
      </c>
      <c r="DQ1607">
        <v>0</v>
      </c>
      <c r="DR1607">
        <v>0</v>
      </c>
      <c r="DS1607">
        <v>0</v>
      </c>
    </row>
    <row r="1608" spans="1:123" x14ac:dyDescent="0.3">
      <c r="A1608" t="str">
        <f>"10/04/2022 19:29:47.696"</f>
        <v>10/04/2022 19:29:47.696</v>
      </c>
      <c r="C1608" t="str">
        <f t="shared" si="563"/>
        <v>FFDFD3C0</v>
      </c>
      <c r="D1608" t="s">
        <v>143</v>
      </c>
      <c r="E1608">
        <v>20</v>
      </c>
      <c r="F1608">
        <v>1020</v>
      </c>
      <c r="G1608" t="s">
        <v>144</v>
      </c>
      <c r="J1608" t="s">
        <v>145</v>
      </c>
      <c r="K1608">
        <v>0</v>
      </c>
      <c r="L1608">
        <v>3</v>
      </c>
      <c r="M1608">
        <v>0</v>
      </c>
      <c r="N1608">
        <v>2</v>
      </c>
      <c r="O1608">
        <v>0</v>
      </c>
      <c r="P1608">
        <v>1</v>
      </c>
      <c r="Q1608">
        <v>0</v>
      </c>
      <c r="S1608" t="str">
        <f t="shared" si="561"/>
        <v>19:29:47.000</v>
      </c>
      <c r="T1608" t="str">
        <f t="shared" si="561"/>
        <v>19:29:47.000</v>
      </c>
      <c r="U1608" t="str">
        <f t="shared" si="559"/>
        <v>AC3944</v>
      </c>
      <c r="V1608">
        <v>0</v>
      </c>
      <c r="W1608">
        <v>0</v>
      </c>
      <c r="X1608">
        <v>2</v>
      </c>
      <c r="Y1608">
        <v>0</v>
      </c>
      <c r="AA1608">
        <v>1</v>
      </c>
      <c r="AB1608">
        <v>8</v>
      </c>
      <c r="AC1608">
        <v>3</v>
      </c>
      <c r="AD1608">
        <v>0</v>
      </c>
      <c r="AE1608">
        <v>9</v>
      </c>
      <c r="AF1608" t="s">
        <v>138</v>
      </c>
      <c r="AG1608">
        <v>0</v>
      </c>
      <c r="AH1608">
        <v>3</v>
      </c>
      <c r="AI1608">
        <v>1</v>
      </c>
      <c r="AJ1608">
        <v>0</v>
      </c>
      <c r="AK1608" t="s">
        <v>592</v>
      </c>
      <c r="AL1608">
        <v>32.793438000000002</v>
      </c>
      <c r="AM1608" t="s">
        <v>593</v>
      </c>
      <c r="AN1608">
        <v>-116.874962</v>
      </c>
      <c r="AO1608">
        <v>25</v>
      </c>
      <c r="AP1608">
        <v>2600</v>
      </c>
      <c r="AQ1608" t="s">
        <v>129</v>
      </c>
      <c r="AR1608">
        <v>97</v>
      </c>
      <c r="AS1608">
        <v>-78</v>
      </c>
      <c r="AT1608">
        <v>192</v>
      </c>
      <c r="BB1608">
        <v>1200</v>
      </c>
      <c r="BC1608">
        <v>1</v>
      </c>
      <c r="BD1608" t="str">
        <f t="shared" si="560"/>
        <v xml:space="preserve">N887QR  </v>
      </c>
      <c r="BE1608">
        <v>1</v>
      </c>
      <c r="BG1608">
        <v>0</v>
      </c>
      <c r="BH1608">
        <v>0</v>
      </c>
      <c r="BI1608">
        <v>0</v>
      </c>
      <c r="BJ1608">
        <v>2325</v>
      </c>
      <c r="BK1608">
        <v>-275</v>
      </c>
      <c r="BL1608" t="s">
        <v>163</v>
      </c>
      <c r="BM1608">
        <v>1</v>
      </c>
      <c r="BN1608">
        <v>1</v>
      </c>
      <c r="BO1608">
        <v>1</v>
      </c>
      <c r="BP1608">
        <v>0</v>
      </c>
      <c r="BS1608">
        <v>0.04</v>
      </c>
      <c r="BT1608">
        <v>0</v>
      </c>
      <c r="BU1608">
        <v>0</v>
      </c>
      <c r="CE1608" t="str">
        <f t="shared" si="562"/>
        <v>19:29:47.385</v>
      </c>
      <c r="CF1608">
        <v>384758588</v>
      </c>
      <c r="CS1608">
        <v>3</v>
      </c>
      <c r="CT1608">
        <v>2</v>
      </c>
      <c r="CU1608">
        <v>0</v>
      </c>
      <c r="CV1608">
        <v>2</v>
      </c>
      <c r="CW1608">
        <v>0</v>
      </c>
      <c r="CX1608">
        <v>6</v>
      </c>
      <c r="CY1608">
        <v>7</v>
      </c>
      <c r="CZ1608" t="s">
        <v>131</v>
      </c>
      <c r="DA1608">
        <v>300</v>
      </c>
      <c r="DB1608">
        <v>0</v>
      </c>
      <c r="DC1608" t="s">
        <v>176</v>
      </c>
      <c r="DD1608" t="s">
        <v>177</v>
      </c>
      <c r="DG1608">
        <v>5390446</v>
      </c>
      <c r="DI1608">
        <v>1</v>
      </c>
      <c r="DJ1608">
        <v>0</v>
      </c>
      <c r="DK1608">
        <v>1</v>
      </c>
      <c r="DL1608">
        <v>0</v>
      </c>
      <c r="DM1608">
        <v>0</v>
      </c>
      <c r="DN1608">
        <v>1</v>
      </c>
      <c r="DO1608">
        <v>0</v>
      </c>
      <c r="DP1608">
        <v>0</v>
      </c>
      <c r="DQ1608">
        <v>0</v>
      </c>
      <c r="DR1608">
        <v>0</v>
      </c>
      <c r="DS1608">
        <v>0</v>
      </c>
    </row>
    <row r="1609" spans="1:123" x14ac:dyDescent="0.3">
      <c r="A1609" t="str">
        <f>"10/04/2022 19:29:47.696"</f>
        <v>10/04/2022 19:29:47.696</v>
      </c>
      <c r="C1609" t="str">
        <f t="shared" si="563"/>
        <v>FFDFD3C0</v>
      </c>
      <c r="D1609" t="s">
        <v>136</v>
      </c>
      <c r="E1609">
        <v>8</v>
      </c>
      <c r="H1609">
        <v>225</v>
      </c>
      <c r="I1609" t="s">
        <v>137</v>
      </c>
      <c r="J1609" t="s">
        <v>138</v>
      </c>
      <c r="K1609">
        <v>0</v>
      </c>
      <c r="L1609">
        <v>3</v>
      </c>
      <c r="M1609">
        <v>0</v>
      </c>
      <c r="N1609">
        <v>2</v>
      </c>
      <c r="O1609">
        <v>0</v>
      </c>
      <c r="P1609">
        <v>1</v>
      </c>
      <c r="Q1609">
        <v>0</v>
      </c>
      <c r="S1609" t="str">
        <f t="shared" si="561"/>
        <v>19:29:47.000</v>
      </c>
      <c r="T1609" t="str">
        <f t="shared" si="561"/>
        <v>19:29:47.000</v>
      </c>
      <c r="U1609" t="str">
        <f t="shared" si="559"/>
        <v>AC3944</v>
      </c>
      <c r="V1609">
        <v>0</v>
      </c>
      <c r="W1609">
        <v>0</v>
      </c>
      <c r="X1609">
        <v>2</v>
      </c>
      <c r="Y1609">
        <v>0</v>
      </c>
      <c r="AA1609">
        <v>1</v>
      </c>
      <c r="AB1609">
        <v>8</v>
      </c>
      <c r="AC1609">
        <v>3</v>
      </c>
      <c r="AD1609">
        <v>0</v>
      </c>
      <c r="AE1609">
        <v>9</v>
      </c>
      <c r="AF1609" t="s">
        <v>138</v>
      </c>
      <c r="AG1609">
        <v>0</v>
      </c>
      <c r="AH1609">
        <v>3</v>
      </c>
      <c r="AI1609">
        <v>1</v>
      </c>
      <c r="AJ1609">
        <v>0</v>
      </c>
      <c r="AK1609" t="s">
        <v>592</v>
      </c>
      <c r="AL1609">
        <v>32.793438000000002</v>
      </c>
      <c r="AM1609" t="s">
        <v>593</v>
      </c>
      <c r="AN1609">
        <v>-116.874962</v>
      </c>
      <c r="AO1609">
        <v>25</v>
      </c>
      <c r="AP1609">
        <v>2600</v>
      </c>
      <c r="AQ1609" t="s">
        <v>129</v>
      </c>
      <c r="AR1609">
        <v>97</v>
      </c>
      <c r="AS1609">
        <v>-78</v>
      </c>
      <c r="AT1609">
        <v>192</v>
      </c>
      <c r="BB1609">
        <v>1200</v>
      </c>
      <c r="BC1609">
        <v>1</v>
      </c>
      <c r="BD1609" t="str">
        <f t="shared" si="560"/>
        <v xml:space="preserve">N887QR  </v>
      </c>
      <c r="BE1609">
        <v>1</v>
      </c>
      <c r="BG1609">
        <v>0</v>
      </c>
      <c r="BH1609">
        <v>0</v>
      </c>
      <c r="BI1609">
        <v>0</v>
      </c>
      <c r="BJ1609">
        <v>2325</v>
      </c>
      <c r="BK1609">
        <v>-275</v>
      </c>
      <c r="BL1609" t="s">
        <v>163</v>
      </c>
      <c r="BM1609">
        <v>1</v>
      </c>
      <c r="BN1609">
        <v>1</v>
      </c>
      <c r="BO1609">
        <v>1</v>
      </c>
      <c r="BP1609">
        <v>0</v>
      </c>
      <c r="BS1609">
        <v>0.04</v>
      </c>
      <c r="BT1609">
        <v>0</v>
      </c>
      <c r="BU1609">
        <v>0</v>
      </c>
      <c r="CE1609" t="str">
        <f t="shared" si="562"/>
        <v>19:29:47.385</v>
      </c>
      <c r="CF1609">
        <v>384758588</v>
      </c>
      <c r="CS1609">
        <v>3</v>
      </c>
      <c r="CT1609">
        <v>2</v>
      </c>
      <c r="CU1609">
        <v>0</v>
      </c>
      <c r="CV1609">
        <v>2</v>
      </c>
      <c r="CW1609">
        <v>0</v>
      </c>
      <c r="CX1609">
        <v>6</v>
      </c>
      <c r="CY1609">
        <v>7</v>
      </c>
      <c r="CZ1609" t="s">
        <v>131</v>
      </c>
      <c r="DA1609">
        <v>300</v>
      </c>
      <c r="DB1609">
        <v>0</v>
      </c>
      <c r="DC1609" t="s">
        <v>176</v>
      </c>
      <c r="DD1609" t="s">
        <v>177</v>
      </c>
      <c r="DG1609">
        <v>5390446</v>
      </c>
      <c r="DI1609">
        <v>1</v>
      </c>
      <c r="DJ1609">
        <v>0</v>
      </c>
      <c r="DK1609">
        <v>1</v>
      </c>
      <c r="DL1609">
        <v>0</v>
      </c>
      <c r="DM1609">
        <v>0</v>
      </c>
      <c r="DN1609">
        <v>1</v>
      </c>
      <c r="DO1609">
        <v>0</v>
      </c>
      <c r="DP1609">
        <v>0</v>
      </c>
      <c r="DQ1609">
        <v>0</v>
      </c>
      <c r="DR1609">
        <v>0</v>
      </c>
      <c r="DS1609">
        <v>0</v>
      </c>
    </row>
    <row r="1610" spans="1:123" x14ac:dyDescent="0.3">
      <c r="A1610" t="str">
        <f>"10/04/2022 19:29:47.696"</f>
        <v>10/04/2022 19:29:47.696</v>
      </c>
      <c r="C1610" t="str">
        <f t="shared" si="563"/>
        <v>FFDFD3C0</v>
      </c>
      <c r="D1610" t="s">
        <v>123</v>
      </c>
      <c r="E1610">
        <v>7</v>
      </c>
      <c r="F1610">
        <v>2007</v>
      </c>
      <c r="G1610" t="s">
        <v>124</v>
      </c>
      <c r="J1610" t="s">
        <v>125</v>
      </c>
      <c r="K1610">
        <v>0</v>
      </c>
      <c r="L1610">
        <v>3</v>
      </c>
      <c r="M1610">
        <v>0</v>
      </c>
      <c r="N1610">
        <v>2</v>
      </c>
      <c r="O1610">
        <v>0</v>
      </c>
      <c r="P1610">
        <v>1</v>
      </c>
      <c r="Q1610">
        <v>0</v>
      </c>
      <c r="S1610" t="str">
        <f t="shared" si="561"/>
        <v>19:29:47.000</v>
      </c>
      <c r="T1610" t="str">
        <f t="shared" si="561"/>
        <v>19:29:47.000</v>
      </c>
      <c r="U1610" t="str">
        <f t="shared" si="559"/>
        <v>AC3944</v>
      </c>
      <c r="V1610">
        <v>0</v>
      </c>
      <c r="W1610">
        <v>0</v>
      </c>
      <c r="X1610">
        <v>2</v>
      </c>
      <c r="Y1610">
        <v>0</v>
      </c>
      <c r="AA1610">
        <v>1</v>
      </c>
      <c r="AB1610">
        <v>8</v>
      </c>
      <c r="AC1610">
        <v>3</v>
      </c>
      <c r="AD1610">
        <v>0</v>
      </c>
      <c r="AE1610">
        <v>9</v>
      </c>
      <c r="AF1610" t="s">
        <v>138</v>
      </c>
      <c r="AG1610">
        <v>0</v>
      </c>
      <c r="AH1610">
        <v>3</v>
      </c>
      <c r="AI1610">
        <v>1</v>
      </c>
      <c r="AJ1610">
        <v>0</v>
      </c>
      <c r="AK1610" t="s">
        <v>592</v>
      </c>
      <c r="AL1610">
        <v>32.793438000000002</v>
      </c>
      <c r="AM1610" t="s">
        <v>593</v>
      </c>
      <c r="AN1610">
        <v>-116.874962</v>
      </c>
      <c r="AO1610">
        <v>25</v>
      </c>
      <c r="AP1610">
        <v>2600</v>
      </c>
      <c r="AQ1610" t="s">
        <v>129</v>
      </c>
      <c r="AR1610">
        <v>97</v>
      </c>
      <c r="AS1610">
        <v>-78</v>
      </c>
      <c r="AT1610">
        <v>192</v>
      </c>
      <c r="BB1610">
        <v>1200</v>
      </c>
      <c r="BC1610">
        <v>1</v>
      </c>
      <c r="BD1610" t="str">
        <f t="shared" si="560"/>
        <v xml:space="preserve">N887QR  </v>
      </c>
      <c r="BE1610">
        <v>1</v>
      </c>
      <c r="BG1610">
        <v>0</v>
      </c>
      <c r="BH1610">
        <v>0</v>
      </c>
      <c r="BI1610">
        <v>0</v>
      </c>
      <c r="BJ1610">
        <v>2325</v>
      </c>
      <c r="BK1610">
        <v>-275</v>
      </c>
      <c r="BL1610" t="s">
        <v>163</v>
      </c>
      <c r="BM1610">
        <v>1</v>
      </c>
      <c r="BN1610">
        <v>1</v>
      </c>
      <c r="BO1610">
        <v>1</v>
      </c>
      <c r="BP1610">
        <v>0</v>
      </c>
      <c r="BS1610">
        <v>0.04</v>
      </c>
      <c r="BT1610">
        <v>0</v>
      </c>
      <c r="BU1610">
        <v>0</v>
      </c>
      <c r="CE1610" t="str">
        <f t="shared" si="562"/>
        <v>19:29:47.385</v>
      </c>
      <c r="CF1610">
        <v>384758588</v>
      </c>
      <c r="CS1610">
        <v>3</v>
      </c>
      <c r="CT1610">
        <v>2</v>
      </c>
      <c r="CU1610">
        <v>0</v>
      </c>
      <c r="CV1610">
        <v>2</v>
      </c>
      <c r="CW1610">
        <v>0</v>
      </c>
      <c r="CX1610">
        <v>6</v>
      </c>
      <c r="CY1610">
        <v>7</v>
      </c>
      <c r="CZ1610" t="s">
        <v>131</v>
      </c>
      <c r="DA1610">
        <v>300</v>
      </c>
      <c r="DB1610">
        <v>0</v>
      </c>
      <c r="DC1610" t="s">
        <v>176</v>
      </c>
      <c r="DD1610" t="s">
        <v>177</v>
      </c>
      <c r="DG1610">
        <v>5390446</v>
      </c>
      <c r="DI1610">
        <v>1</v>
      </c>
      <c r="DJ1610">
        <v>0</v>
      </c>
      <c r="DK1610">
        <v>1</v>
      </c>
      <c r="DL1610">
        <v>0</v>
      </c>
      <c r="DM1610">
        <v>0</v>
      </c>
      <c r="DN1610">
        <v>1</v>
      </c>
      <c r="DO1610">
        <v>0</v>
      </c>
      <c r="DP1610">
        <v>0</v>
      </c>
      <c r="DQ1610">
        <v>0</v>
      </c>
      <c r="DR1610">
        <v>0</v>
      </c>
      <c r="DS1610">
        <v>0</v>
      </c>
    </row>
    <row r="1611" spans="1:123" x14ac:dyDescent="0.3">
      <c r="A1611" t="str">
        <f>"10/04/2022 19:29:48.243"</f>
        <v>10/04/2022 19:29:48.243</v>
      </c>
      <c r="C1611" t="str">
        <f t="shared" si="563"/>
        <v>FFDFD3C0</v>
      </c>
      <c r="D1611" t="s">
        <v>134</v>
      </c>
      <c r="E1611">
        <v>15</v>
      </c>
      <c r="J1611" t="s">
        <v>135</v>
      </c>
      <c r="K1611">
        <v>0</v>
      </c>
      <c r="L1611">
        <v>3</v>
      </c>
      <c r="M1611">
        <v>0</v>
      </c>
      <c r="N1611">
        <v>2</v>
      </c>
      <c r="O1611">
        <v>0</v>
      </c>
      <c r="P1611">
        <v>1</v>
      </c>
      <c r="Q1611">
        <v>0</v>
      </c>
      <c r="S1611" t="str">
        <f t="shared" ref="S1611:T1617" si="564">"19:29:48.000"</f>
        <v>19:29:48.000</v>
      </c>
      <c r="T1611" t="str">
        <f t="shared" si="564"/>
        <v>19:29:48.000</v>
      </c>
      <c r="U1611" t="str">
        <f t="shared" si="559"/>
        <v>AC3944</v>
      </c>
      <c r="V1611">
        <v>0</v>
      </c>
      <c r="W1611">
        <v>0</v>
      </c>
      <c r="X1611">
        <v>2</v>
      </c>
      <c r="Y1611">
        <v>0</v>
      </c>
      <c r="AA1611">
        <v>1</v>
      </c>
      <c r="AB1611">
        <v>8</v>
      </c>
      <c r="AC1611">
        <v>3</v>
      </c>
      <c r="AD1611">
        <v>0</v>
      </c>
      <c r="AE1611">
        <v>9</v>
      </c>
      <c r="AF1611" t="s">
        <v>138</v>
      </c>
      <c r="AG1611">
        <v>0</v>
      </c>
      <c r="AH1611">
        <v>3</v>
      </c>
      <c r="AI1611">
        <v>1</v>
      </c>
      <c r="AJ1611">
        <v>0</v>
      </c>
      <c r="AK1611" t="s">
        <v>594</v>
      </c>
      <c r="AL1611">
        <v>32.793095000000001</v>
      </c>
      <c r="AM1611" t="s">
        <v>595</v>
      </c>
      <c r="AN1611">
        <v>-116.874425</v>
      </c>
      <c r="AO1611">
        <v>25</v>
      </c>
      <c r="AP1611">
        <v>2600</v>
      </c>
      <c r="AQ1611" t="s">
        <v>129</v>
      </c>
      <c r="AR1611">
        <v>96</v>
      </c>
      <c r="AS1611">
        <v>-79</v>
      </c>
      <c r="AT1611">
        <v>192</v>
      </c>
      <c r="BB1611">
        <v>1200</v>
      </c>
      <c r="BC1611">
        <v>1</v>
      </c>
      <c r="BD1611" t="str">
        <f t="shared" si="560"/>
        <v xml:space="preserve">N887QR  </v>
      </c>
      <c r="BE1611">
        <v>1</v>
      </c>
      <c r="BG1611">
        <v>0</v>
      </c>
      <c r="BH1611">
        <v>0</v>
      </c>
      <c r="BI1611">
        <v>0</v>
      </c>
      <c r="BJ1611">
        <v>2325</v>
      </c>
      <c r="BK1611">
        <v>-275</v>
      </c>
      <c r="BL1611" t="s">
        <v>163</v>
      </c>
      <c r="BM1611">
        <v>1</v>
      </c>
      <c r="BN1611">
        <v>1</v>
      </c>
      <c r="BO1611">
        <v>1</v>
      </c>
      <c r="BP1611">
        <v>0</v>
      </c>
      <c r="BS1611">
        <v>0.04</v>
      </c>
      <c r="BT1611">
        <v>0</v>
      </c>
      <c r="BU1611">
        <v>0</v>
      </c>
      <c r="CE1611" t="str">
        <f t="shared" ref="CE1611:CE1617" si="565">"19:29:48.019"</f>
        <v>19:29:48.019</v>
      </c>
      <c r="CF1611">
        <v>19010718</v>
      </c>
      <c r="CS1611">
        <v>3</v>
      </c>
      <c r="CT1611">
        <v>2</v>
      </c>
      <c r="CU1611">
        <v>0</v>
      </c>
      <c r="CV1611">
        <v>2</v>
      </c>
      <c r="CW1611">
        <v>0</v>
      </c>
      <c r="CX1611">
        <v>6</v>
      </c>
      <c r="CY1611">
        <v>7</v>
      </c>
      <c r="CZ1611" t="s">
        <v>131</v>
      </c>
      <c r="DA1611">
        <v>300</v>
      </c>
      <c r="DB1611">
        <v>0</v>
      </c>
      <c r="DC1611" t="s">
        <v>176</v>
      </c>
      <c r="DD1611" t="s">
        <v>177</v>
      </c>
      <c r="DG1611">
        <v>5390554</v>
      </c>
      <c r="DI1611">
        <v>1</v>
      </c>
      <c r="DJ1611">
        <v>0</v>
      </c>
      <c r="DK1611">
        <v>0</v>
      </c>
      <c r="DL1611">
        <v>0</v>
      </c>
      <c r="DM1611">
        <v>0</v>
      </c>
      <c r="DN1611">
        <v>1</v>
      </c>
      <c r="DO1611">
        <v>0</v>
      </c>
      <c r="DP1611">
        <v>0</v>
      </c>
      <c r="DQ1611">
        <v>0</v>
      </c>
      <c r="DR1611">
        <v>0</v>
      </c>
      <c r="DS1611">
        <v>0</v>
      </c>
    </row>
    <row r="1612" spans="1:123" x14ac:dyDescent="0.3">
      <c r="A1612" t="str">
        <f>"10/04/2022 19:29:48.243"</f>
        <v>10/04/2022 19:29:48.243</v>
      </c>
      <c r="C1612" t="str">
        <f t="shared" si="563"/>
        <v>FFDFD3C0</v>
      </c>
      <c r="D1612" t="s">
        <v>143</v>
      </c>
      <c r="E1612">
        <v>20</v>
      </c>
      <c r="F1612">
        <v>1020</v>
      </c>
      <c r="G1612" t="s">
        <v>144</v>
      </c>
      <c r="J1612" t="s">
        <v>145</v>
      </c>
      <c r="K1612">
        <v>0</v>
      </c>
      <c r="L1612">
        <v>3</v>
      </c>
      <c r="M1612">
        <v>0</v>
      </c>
      <c r="N1612">
        <v>2</v>
      </c>
      <c r="O1612">
        <v>0</v>
      </c>
      <c r="P1612">
        <v>1</v>
      </c>
      <c r="Q1612">
        <v>0</v>
      </c>
      <c r="S1612" t="str">
        <f t="shared" si="564"/>
        <v>19:29:48.000</v>
      </c>
      <c r="T1612" t="str">
        <f t="shared" si="564"/>
        <v>19:29:48.000</v>
      </c>
      <c r="U1612" t="str">
        <f t="shared" si="559"/>
        <v>AC3944</v>
      </c>
      <c r="V1612">
        <v>0</v>
      </c>
      <c r="W1612">
        <v>0</v>
      </c>
      <c r="X1612">
        <v>2</v>
      </c>
      <c r="Y1612">
        <v>0</v>
      </c>
      <c r="AA1612">
        <v>1</v>
      </c>
      <c r="AB1612">
        <v>8</v>
      </c>
      <c r="AC1612">
        <v>3</v>
      </c>
      <c r="AD1612">
        <v>0</v>
      </c>
      <c r="AE1612">
        <v>9</v>
      </c>
      <c r="AF1612" t="s">
        <v>138</v>
      </c>
      <c r="AG1612">
        <v>0</v>
      </c>
      <c r="AH1612">
        <v>3</v>
      </c>
      <c r="AI1612">
        <v>1</v>
      </c>
      <c r="AJ1612">
        <v>0</v>
      </c>
      <c r="AK1612" t="s">
        <v>594</v>
      </c>
      <c r="AL1612">
        <v>32.793095000000001</v>
      </c>
      <c r="AM1612" t="s">
        <v>595</v>
      </c>
      <c r="AN1612">
        <v>-116.874425</v>
      </c>
      <c r="AO1612">
        <v>25</v>
      </c>
      <c r="AP1612">
        <v>2600</v>
      </c>
      <c r="AQ1612" t="s">
        <v>129</v>
      </c>
      <c r="AR1612">
        <v>96</v>
      </c>
      <c r="AS1612">
        <v>-79</v>
      </c>
      <c r="AT1612">
        <v>192</v>
      </c>
      <c r="BB1612">
        <v>1200</v>
      </c>
      <c r="BC1612">
        <v>1</v>
      </c>
      <c r="BD1612" t="str">
        <f t="shared" si="560"/>
        <v xml:space="preserve">N887QR  </v>
      </c>
      <c r="BE1612">
        <v>1</v>
      </c>
      <c r="BG1612">
        <v>0</v>
      </c>
      <c r="BH1612">
        <v>0</v>
      </c>
      <c r="BI1612">
        <v>0</v>
      </c>
      <c r="BJ1612">
        <v>2325</v>
      </c>
      <c r="BK1612">
        <v>-275</v>
      </c>
      <c r="BL1612" t="s">
        <v>163</v>
      </c>
      <c r="BM1612">
        <v>1</v>
      </c>
      <c r="BN1612">
        <v>1</v>
      </c>
      <c r="BO1612">
        <v>1</v>
      </c>
      <c r="BP1612">
        <v>0</v>
      </c>
      <c r="BS1612">
        <v>0.04</v>
      </c>
      <c r="BT1612">
        <v>0</v>
      </c>
      <c r="BU1612">
        <v>0</v>
      </c>
      <c r="CE1612" t="str">
        <f t="shared" si="565"/>
        <v>19:29:48.019</v>
      </c>
      <c r="CF1612">
        <v>19010718</v>
      </c>
      <c r="CS1612">
        <v>3</v>
      </c>
      <c r="CT1612">
        <v>2</v>
      </c>
      <c r="CU1612">
        <v>0</v>
      </c>
      <c r="CV1612">
        <v>2</v>
      </c>
      <c r="CW1612">
        <v>0</v>
      </c>
      <c r="CX1612">
        <v>6</v>
      </c>
      <c r="CY1612">
        <v>7</v>
      </c>
      <c r="CZ1612" t="s">
        <v>131</v>
      </c>
      <c r="DA1612">
        <v>300</v>
      </c>
      <c r="DB1612">
        <v>0</v>
      </c>
      <c r="DC1612" t="s">
        <v>176</v>
      </c>
      <c r="DD1612" t="s">
        <v>177</v>
      </c>
      <c r="DG1612">
        <v>5390554</v>
      </c>
      <c r="DI1612">
        <v>1</v>
      </c>
      <c r="DJ1612">
        <v>0</v>
      </c>
      <c r="DK1612">
        <v>1</v>
      </c>
      <c r="DL1612">
        <v>0</v>
      </c>
      <c r="DM1612">
        <v>0</v>
      </c>
      <c r="DN1612">
        <v>1</v>
      </c>
      <c r="DO1612">
        <v>0</v>
      </c>
      <c r="DP1612">
        <v>0</v>
      </c>
      <c r="DQ1612">
        <v>0</v>
      </c>
      <c r="DR1612">
        <v>0</v>
      </c>
      <c r="DS1612">
        <v>0</v>
      </c>
    </row>
    <row r="1613" spans="1:123" x14ac:dyDescent="0.3">
      <c r="A1613" t="str">
        <f>"10/04/2022 19:29:48.243"</f>
        <v>10/04/2022 19:29:48.243</v>
      </c>
      <c r="C1613" t="str">
        <f t="shared" si="563"/>
        <v>FFDFD3C0</v>
      </c>
      <c r="D1613" t="s">
        <v>136</v>
      </c>
      <c r="E1613">
        <v>8</v>
      </c>
      <c r="H1613">
        <v>225</v>
      </c>
      <c r="I1613" t="s">
        <v>137</v>
      </c>
      <c r="J1613" t="s">
        <v>138</v>
      </c>
      <c r="K1613">
        <v>0</v>
      </c>
      <c r="L1613">
        <v>3</v>
      </c>
      <c r="M1613">
        <v>0</v>
      </c>
      <c r="N1613">
        <v>2</v>
      </c>
      <c r="O1613">
        <v>0</v>
      </c>
      <c r="P1613">
        <v>1</v>
      </c>
      <c r="Q1613">
        <v>0</v>
      </c>
      <c r="S1613" t="str">
        <f t="shared" si="564"/>
        <v>19:29:48.000</v>
      </c>
      <c r="T1613" t="str">
        <f t="shared" si="564"/>
        <v>19:29:48.000</v>
      </c>
      <c r="U1613" t="str">
        <f t="shared" si="559"/>
        <v>AC3944</v>
      </c>
      <c r="V1613">
        <v>0</v>
      </c>
      <c r="W1613">
        <v>0</v>
      </c>
      <c r="X1613">
        <v>2</v>
      </c>
      <c r="Y1613">
        <v>0</v>
      </c>
      <c r="AA1613">
        <v>1</v>
      </c>
      <c r="AB1613">
        <v>8</v>
      </c>
      <c r="AC1613">
        <v>3</v>
      </c>
      <c r="AD1613">
        <v>0</v>
      </c>
      <c r="AE1613">
        <v>9</v>
      </c>
      <c r="AF1613" t="s">
        <v>138</v>
      </c>
      <c r="AG1613">
        <v>0</v>
      </c>
      <c r="AH1613">
        <v>3</v>
      </c>
      <c r="AI1613">
        <v>1</v>
      </c>
      <c r="AJ1613">
        <v>0</v>
      </c>
      <c r="AK1613" t="s">
        <v>594</v>
      </c>
      <c r="AL1613">
        <v>32.793095000000001</v>
      </c>
      <c r="AM1613" t="s">
        <v>595</v>
      </c>
      <c r="AN1613">
        <v>-116.874425</v>
      </c>
      <c r="AO1613">
        <v>25</v>
      </c>
      <c r="AP1613">
        <v>2600</v>
      </c>
      <c r="AQ1613" t="s">
        <v>129</v>
      </c>
      <c r="AR1613">
        <v>96</v>
      </c>
      <c r="AS1613">
        <v>-79</v>
      </c>
      <c r="AT1613">
        <v>192</v>
      </c>
      <c r="BB1613">
        <v>1200</v>
      </c>
      <c r="BC1613">
        <v>1</v>
      </c>
      <c r="BD1613" t="str">
        <f t="shared" si="560"/>
        <v xml:space="preserve">N887QR  </v>
      </c>
      <c r="BE1613">
        <v>1</v>
      </c>
      <c r="BG1613">
        <v>0</v>
      </c>
      <c r="BH1613">
        <v>0</v>
      </c>
      <c r="BI1613">
        <v>0</v>
      </c>
      <c r="BJ1613">
        <v>2325</v>
      </c>
      <c r="BK1613">
        <v>-275</v>
      </c>
      <c r="BL1613" t="s">
        <v>163</v>
      </c>
      <c r="BM1613">
        <v>1</v>
      </c>
      <c r="BN1613">
        <v>1</v>
      </c>
      <c r="BO1613">
        <v>1</v>
      </c>
      <c r="BP1613">
        <v>0</v>
      </c>
      <c r="BS1613">
        <v>0.04</v>
      </c>
      <c r="BT1613">
        <v>0</v>
      </c>
      <c r="BU1613">
        <v>0</v>
      </c>
      <c r="CE1613" t="str">
        <f t="shared" si="565"/>
        <v>19:29:48.019</v>
      </c>
      <c r="CF1613">
        <v>19010718</v>
      </c>
      <c r="CS1613">
        <v>3</v>
      </c>
      <c r="CT1613">
        <v>2</v>
      </c>
      <c r="CU1613">
        <v>0</v>
      </c>
      <c r="CV1613">
        <v>2</v>
      </c>
      <c r="CW1613">
        <v>0</v>
      </c>
      <c r="CX1613">
        <v>6</v>
      </c>
      <c r="CY1613">
        <v>7</v>
      </c>
      <c r="CZ1613" t="s">
        <v>131</v>
      </c>
      <c r="DA1613">
        <v>300</v>
      </c>
      <c r="DB1613">
        <v>0</v>
      </c>
      <c r="DC1613" t="s">
        <v>176</v>
      </c>
      <c r="DD1613" t="s">
        <v>177</v>
      </c>
      <c r="DG1613">
        <v>5390554</v>
      </c>
      <c r="DI1613">
        <v>1</v>
      </c>
      <c r="DJ1613">
        <v>0</v>
      </c>
      <c r="DK1613">
        <v>1</v>
      </c>
      <c r="DL1613">
        <v>0</v>
      </c>
      <c r="DM1613">
        <v>0</v>
      </c>
      <c r="DN1613">
        <v>1</v>
      </c>
      <c r="DO1613">
        <v>0</v>
      </c>
      <c r="DP1613">
        <v>0</v>
      </c>
      <c r="DQ1613">
        <v>0</v>
      </c>
      <c r="DR1613">
        <v>0</v>
      </c>
      <c r="DS1613">
        <v>0</v>
      </c>
    </row>
    <row r="1614" spans="1:123" x14ac:dyDescent="0.3">
      <c r="A1614" t="str">
        <f>"10/04/2022 19:29:48.243"</f>
        <v>10/04/2022 19:29:48.243</v>
      </c>
      <c r="C1614" t="str">
        <f t="shared" si="563"/>
        <v>FFDFD3C0</v>
      </c>
      <c r="D1614" t="s">
        <v>123</v>
      </c>
      <c r="E1614">
        <v>7</v>
      </c>
      <c r="F1614">
        <v>2007</v>
      </c>
      <c r="G1614" t="s">
        <v>124</v>
      </c>
      <c r="J1614" t="s">
        <v>125</v>
      </c>
      <c r="K1614">
        <v>0</v>
      </c>
      <c r="L1614">
        <v>3</v>
      </c>
      <c r="M1614">
        <v>0</v>
      </c>
      <c r="N1614">
        <v>2</v>
      </c>
      <c r="O1614">
        <v>0</v>
      </c>
      <c r="P1614">
        <v>1</v>
      </c>
      <c r="Q1614">
        <v>0</v>
      </c>
      <c r="S1614" t="str">
        <f t="shared" si="564"/>
        <v>19:29:48.000</v>
      </c>
      <c r="T1614" t="str">
        <f t="shared" si="564"/>
        <v>19:29:48.000</v>
      </c>
      <c r="U1614" t="str">
        <f t="shared" si="559"/>
        <v>AC3944</v>
      </c>
      <c r="V1614">
        <v>0</v>
      </c>
      <c r="W1614">
        <v>0</v>
      </c>
      <c r="X1614">
        <v>2</v>
      </c>
      <c r="Y1614">
        <v>0</v>
      </c>
      <c r="AA1614">
        <v>1</v>
      </c>
      <c r="AB1614">
        <v>8</v>
      </c>
      <c r="AC1614">
        <v>3</v>
      </c>
      <c r="AD1614">
        <v>0</v>
      </c>
      <c r="AE1614">
        <v>9</v>
      </c>
      <c r="AF1614" t="s">
        <v>138</v>
      </c>
      <c r="AG1614">
        <v>0</v>
      </c>
      <c r="AH1614">
        <v>3</v>
      </c>
      <c r="AI1614">
        <v>1</v>
      </c>
      <c r="AJ1614">
        <v>0</v>
      </c>
      <c r="AK1614" t="s">
        <v>594</v>
      </c>
      <c r="AL1614">
        <v>32.793095000000001</v>
      </c>
      <c r="AM1614" t="s">
        <v>595</v>
      </c>
      <c r="AN1614">
        <v>-116.874425</v>
      </c>
      <c r="AO1614">
        <v>25</v>
      </c>
      <c r="AP1614">
        <v>2600</v>
      </c>
      <c r="AQ1614" t="s">
        <v>129</v>
      </c>
      <c r="AR1614">
        <v>96</v>
      </c>
      <c r="AS1614">
        <v>-79</v>
      </c>
      <c r="AT1614">
        <v>192</v>
      </c>
      <c r="BB1614">
        <v>1200</v>
      </c>
      <c r="BC1614">
        <v>1</v>
      </c>
      <c r="BD1614" t="str">
        <f t="shared" si="560"/>
        <v xml:space="preserve">N887QR  </v>
      </c>
      <c r="BE1614">
        <v>1</v>
      </c>
      <c r="BG1614">
        <v>0</v>
      </c>
      <c r="BH1614">
        <v>0</v>
      </c>
      <c r="BI1614">
        <v>0</v>
      </c>
      <c r="BJ1614">
        <v>2325</v>
      </c>
      <c r="BK1614">
        <v>-275</v>
      </c>
      <c r="BL1614" t="s">
        <v>163</v>
      </c>
      <c r="BM1614">
        <v>1</v>
      </c>
      <c r="BN1614">
        <v>1</v>
      </c>
      <c r="BO1614">
        <v>1</v>
      </c>
      <c r="BP1614">
        <v>0</v>
      </c>
      <c r="BS1614">
        <v>0.04</v>
      </c>
      <c r="BT1614">
        <v>0</v>
      </c>
      <c r="BU1614">
        <v>0</v>
      </c>
      <c r="CE1614" t="str">
        <f t="shared" si="565"/>
        <v>19:29:48.019</v>
      </c>
      <c r="CF1614">
        <v>19010718</v>
      </c>
      <c r="CS1614">
        <v>3</v>
      </c>
      <c r="CT1614">
        <v>2</v>
      </c>
      <c r="CU1614">
        <v>0</v>
      </c>
      <c r="CV1614">
        <v>2</v>
      </c>
      <c r="CW1614">
        <v>0</v>
      </c>
      <c r="CX1614">
        <v>6</v>
      </c>
      <c r="CY1614">
        <v>7</v>
      </c>
      <c r="CZ1614" t="s">
        <v>131</v>
      </c>
      <c r="DA1614">
        <v>300</v>
      </c>
      <c r="DB1614">
        <v>0</v>
      </c>
      <c r="DC1614" t="s">
        <v>176</v>
      </c>
      <c r="DD1614" t="s">
        <v>177</v>
      </c>
      <c r="DG1614">
        <v>5390554</v>
      </c>
      <c r="DI1614">
        <v>1</v>
      </c>
      <c r="DJ1614">
        <v>0</v>
      </c>
      <c r="DK1614">
        <v>1</v>
      </c>
      <c r="DL1614">
        <v>0</v>
      </c>
      <c r="DM1614">
        <v>0</v>
      </c>
      <c r="DN1614">
        <v>1</v>
      </c>
      <c r="DO1614">
        <v>0</v>
      </c>
      <c r="DP1614">
        <v>0</v>
      </c>
      <c r="DQ1614">
        <v>0</v>
      </c>
      <c r="DR1614">
        <v>0</v>
      </c>
      <c r="DS1614">
        <v>0</v>
      </c>
    </row>
    <row r="1615" spans="1:123" x14ac:dyDescent="0.3">
      <c r="A1615" t="str">
        <f>"10/04/2022 19:29:48.274"</f>
        <v>10/04/2022 19:29:48.274</v>
      </c>
      <c r="C1615" t="str">
        <f t="shared" si="563"/>
        <v>FFDFD3C0</v>
      </c>
      <c r="D1615" t="s">
        <v>141</v>
      </c>
      <c r="E1615">
        <v>3</v>
      </c>
      <c r="H1615">
        <v>3</v>
      </c>
      <c r="I1615" t="s">
        <v>146</v>
      </c>
      <c r="J1615" t="s">
        <v>138</v>
      </c>
      <c r="K1615">
        <v>0</v>
      </c>
      <c r="L1615">
        <v>3</v>
      </c>
      <c r="M1615">
        <v>0</v>
      </c>
      <c r="N1615">
        <v>2</v>
      </c>
      <c r="O1615">
        <v>0</v>
      </c>
      <c r="P1615">
        <v>1</v>
      </c>
      <c r="Q1615">
        <v>0</v>
      </c>
      <c r="S1615" t="str">
        <f t="shared" si="564"/>
        <v>19:29:48.000</v>
      </c>
      <c r="T1615" t="str">
        <f t="shared" si="564"/>
        <v>19:29:48.000</v>
      </c>
      <c r="U1615" t="str">
        <f t="shared" si="559"/>
        <v>AC3944</v>
      </c>
      <c r="V1615">
        <v>0</v>
      </c>
      <c r="W1615">
        <v>0</v>
      </c>
      <c r="X1615">
        <v>2</v>
      </c>
      <c r="Y1615">
        <v>0</v>
      </c>
      <c r="AA1615">
        <v>1</v>
      </c>
      <c r="AB1615">
        <v>8</v>
      </c>
      <c r="AC1615">
        <v>3</v>
      </c>
      <c r="AD1615">
        <v>0</v>
      </c>
      <c r="AE1615">
        <v>9</v>
      </c>
      <c r="AF1615" t="s">
        <v>138</v>
      </c>
      <c r="AG1615">
        <v>0</v>
      </c>
      <c r="AH1615">
        <v>3</v>
      </c>
      <c r="AI1615">
        <v>1</v>
      </c>
      <c r="AJ1615">
        <v>0</v>
      </c>
      <c r="AK1615" t="s">
        <v>594</v>
      </c>
      <c r="AL1615">
        <v>32.793095000000001</v>
      </c>
      <c r="AM1615" t="s">
        <v>595</v>
      </c>
      <c r="AN1615">
        <v>-116.874425</v>
      </c>
      <c r="AO1615">
        <v>25</v>
      </c>
      <c r="AP1615">
        <v>2600</v>
      </c>
      <c r="AQ1615" t="s">
        <v>129</v>
      </c>
      <c r="AR1615">
        <v>96</v>
      </c>
      <c r="AS1615">
        <v>-79</v>
      </c>
      <c r="AT1615">
        <v>192</v>
      </c>
      <c r="BB1615">
        <v>1200</v>
      </c>
      <c r="BC1615">
        <v>1</v>
      </c>
      <c r="BD1615" t="str">
        <f t="shared" si="560"/>
        <v xml:space="preserve">N887QR  </v>
      </c>
      <c r="BE1615">
        <v>1</v>
      </c>
      <c r="BG1615">
        <v>0</v>
      </c>
      <c r="BH1615">
        <v>0</v>
      </c>
      <c r="BI1615">
        <v>0</v>
      </c>
      <c r="BJ1615">
        <v>2325</v>
      </c>
      <c r="BK1615">
        <v>-275</v>
      </c>
      <c r="BL1615" t="s">
        <v>163</v>
      </c>
      <c r="BM1615">
        <v>1</v>
      </c>
      <c r="BN1615">
        <v>1</v>
      </c>
      <c r="BO1615">
        <v>1</v>
      </c>
      <c r="BP1615">
        <v>0</v>
      </c>
      <c r="BS1615">
        <v>0.04</v>
      </c>
      <c r="BT1615">
        <v>0</v>
      </c>
      <c r="BU1615">
        <v>0</v>
      </c>
      <c r="CE1615" t="str">
        <f t="shared" si="565"/>
        <v>19:29:48.019</v>
      </c>
      <c r="CF1615">
        <v>19010718</v>
      </c>
      <c r="CS1615">
        <v>3</v>
      </c>
      <c r="CT1615">
        <v>2</v>
      </c>
      <c r="CU1615">
        <v>0</v>
      </c>
      <c r="CV1615">
        <v>2</v>
      </c>
      <c r="CW1615">
        <v>0</v>
      </c>
      <c r="CX1615">
        <v>6</v>
      </c>
      <c r="CY1615">
        <v>7</v>
      </c>
      <c r="CZ1615" t="s">
        <v>131</v>
      </c>
      <c r="DA1615">
        <v>300</v>
      </c>
      <c r="DB1615">
        <v>0</v>
      </c>
      <c r="DC1615" t="s">
        <v>176</v>
      </c>
      <c r="DD1615" t="s">
        <v>177</v>
      </c>
      <c r="DG1615">
        <v>5390554</v>
      </c>
      <c r="DI1615">
        <v>1</v>
      </c>
      <c r="DJ1615">
        <v>0</v>
      </c>
      <c r="DK1615">
        <v>1</v>
      </c>
      <c r="DL1615">
        <v>0</v>
      </c>
      <c r="DM1615">
        <v>0</v>
      </c>
      <c r="DN1615">
        <v>1</v>
      </c>
      <c r="DO1615">
        <v>0</v>
      </c>
      <c r="DP1615">
        <v>0</v>
      </c>
      <c r="DQ1615">
        <v>0</v>
      </c>
      <c r="DR1615">
        <v>0</v>
      </c>
      <c r="DS1615">
        <v>0</v>
      </c>
    </row>
    <row r="1616" spans="1:123" x14ac:dyDescent="0.3">
      <c r="A1616" t="str">
        <f>"10/04/2022 19:29:48.274"</f>
        <v>10/04/2022 19:29:48.274</v>
      </c>
      <c r="C1616" t="str">
        <f t="shared" si="563"/>
        <v>FFDFD3C0</v>
      </c>
      <c r="D1616" t="s">
        <v>147</v>
      </c>
      <c r="E1616">
        <v>3</v>
      </c>
      <c r="H1616">
        <v>166</v>
      </c>
      <c r="I1616" t="s">
        <v>144</v>
      </c>
      <c r="J1616" t="s">
        <v>148</v>
      </c>
      <c r="K1616">
        <v>0</v>
      </c>
      <c r="L1616">
        <v>3</v>
      </c>
      <c r="M1616">
        <v>0</v>
      </c>
      <c r="N1616">
        <v>2</v>
      </c>
      <c r="O1616">
        <v>0</v>
      </c>
      <c r="P1616">
        <v>1</v>
      </c>
      <c r="Q1616">
        <v>0</v>
      </c>
      <c r="S1616" t="str">
        <f t="shared" si="564"/>
        <v>19:29:48.000</v>
      </c>
      <c r="T1616" t="str">
        <f t="shared" si="564"/>
        <v>19:29:48.000</v>
      </c>
      <c r="U1616" t="str">
        <f t="shared" si="559"/>
        <v>AC3944</v>
      </c>
      <c r="V1616">
        <v>0</v>
      </c>
      <c r="W1616">
        <v>0</v>
      </c>
      <c r="X1616">
        <v>2</v>
      </c>
      <c r="Y1616">
        <v>0</v>
      </c>
      <c r="AA1616">
        <v>1</v>
      </c>
      <c r="AB1616">
        <v>8</v>
      </c>
      <c r="AC1616">
        <v>3</v>
      </c>
      <c r="AD1616">
        <v>0</v>
      </c>
      <c r="AE1616">
        <v>9</v>
      </c>
      <c r="AF1616" t="s">
        <v>138</v>
      </c>
      <c r="AG1616">
        <v>0</v>
      </c>
      <c r="AH1616">
        <v>3</v>
      </c>
      <c r="AI1616">
        <v>1</v>
      </c>
      <c r="AJ1616">
        <v>0</v>
      </c>
      <c r="AK1616" t="s">
        <v>594</v>
      </c>
      <c r="AL1616">
        <v>32.793095000000001</v>
      </c>
      <c r="AM1616" t="s">
        <v>595</v>
      </c>
      <c r="AN1616">
        <v>-116.874425</v>
      </c>
      <c r="AO1616">
        <v>25</v>
      </c>
      <c r="AP1616">
        <v>2600</v>
      </c>
      <c r="AQ1616" t="s">
        <v>129</v>
      </c>
      <c r="AR1616">
        <v>96</v>
      </c>
      <c r="AS1616">
        <v>-79</v>
      </c>
      <c r="AT1616">
        <v>192</v>
      </c>
      <c r="BB1616">
        <v>1200</v>
      </c>
      <c r="BC1616">
        <v>1</v>
      </c>
      <c r="BD1616" t="str">
        <f t="shared" si="560"/>
        <v xml:space="preserve">N887QR  </v>
      </c>
      <c r="BE1616">
        <v>1</v>
      </c>
      <c r="BG1616">
        <v>0</v>
      </c>
      <c r="BH1616">
        <v>0</v>
      </c>
      <c r="BI1616">
        <v>0</v>
      </c>
      <c r="BJ1616">
        <v>2325</v>
      </c>
      <c r="BK1616">
        <v>-275</v>
      </c>
      <c r="BL1616" t="s">
        <v>163</v>
      </c>
      <c r="BM1616">
        <v>1</v>
      </c>
      <c r="BN1616">
        <v>1</v>
      </c>
      <c r="BO1616">
        <v>1</v>
      </c>
      <c r="BP1616">
        <v>0</v>
      </c>
      <c r="BS1616">
        <v>0.04</v>
      </c>
      <c r="BT1616">
        <v>0</v>
      </c>
      <c r="BU1616">
        <v>0</v>
      </c>
      <c r="CE1616" t="str">
        <f t="shared" si="565"/>
        <v>19:29:48.019</v>
      </c>
      <c r="CF1616">
        <v>19010718</v>
      </c>
      <c r="CS1616">
        <v>3</v>
      </c>
      <c r="CT1616">
        <v>2</v>
      </c>
      <c r="CU1616">
        <v>0</v>
      </c>
      <c r="CV1616">
        <v>2</v>
      </c>
      <c r="CW1616">
        <v>0</v>
      </c>
      <c r="CX1616">
        <v>6</v>
      </c>
      <c r="CY1616">
        <v>7</v>
      </c>
      <c r="CZ1616" t="s">
        <v>131</v>
      </c>
      <c r="DA1616">
        <v>300</v>
      </c>
      <c r="DB1616">
        <v>0</v>
      </c>
      <c r="DC1616" t="s">
        <v>176</v>
      </c>
      <c r="DD1616" t="s">
        <v>177</v>
      </c>
      <c r="DG1616">
        <v>5390554</v>
      </c>
      <c r="DI1616">
        <v>1</v>
      </c>
      <c r="DJ1616">
        <v>0</v>
      </c>
      <c r="DK1616">
        <v>1</v>
      </c>
      <c r="DL1616">
        <v>0</v>
      </c>
      <c r="DM1616">
        <v>0</v>
      </c>
      <c r="DN1616">
        <v>1</v>
      </c>
      <c r="DO1616">
        <v>0</v>
      </c>
      <c r="DP1616">
        <v>0</v>
      </c>
      <c r="DQ1616">
        <v>0</v>
      </c>
      <c r="DR1616">
        <v>0</v>
      </c>
      <c r="DS1616">
        <v>0</v>
      </c>
    </row>
    <row r="1617" spans="1:123" x14ac:dyDescent="0.3">
      <c r="A1617" t="str">
        <f>"10/04/2022 19:29:48.274"</f>
        <v>10/04/2022 19:29:48.274</v>
      </c>
      <c r="C1617" t="str">
        <f t="shared" si="563"/>
        <v>FFDFD3C0</v>
      </c>
      <c r="D1617" t="s">
        <v>141</v>
      </c>
      <c r="E1617">
        <v>4</v>
      </c>
      <c r="H1617">
        <v>4</v>
      </c>
      <c r="I1617" t="s">
        <v>142</v>
      </c>
      <c r="J1617" t="s">
        <v>138</v>
      </c>
      <c r="K1617">
        <v>0</v>
      </c>
      <c r="L1617">
        <v>3</v>
      </c>
      <c r="M1617">
        <v>0</v>
      </c>
      <c r="N1617">
        <v>2</v>
      </c>
      <c r="O1617">
        <v>0</v>
      </c>
      <c r="P1617">
        <v>1</v>
      </c>
      <c r="Q1617">
        <v>0</v>
      </c>
      <c r="S1617" t="str">
        <f t="shared" si="564"/>
        <v>19:29:48.000</v>
      </c>
      <c r="T1617" t="str">
        <f t="shared" si="564"/>
        <v>19:29:48.000</v>
      </c>
      <c r="U1617" t="str">
        <f t="shared" si="559"/>
        <v>AC3944</v>
      </c>
      <c r="V1617">
        <v>0</v>
      </c>
      <c r="W1617">
        <v>0</v>
      </c>
      <c r="X1617">
        <v>2</v>
      </c>
      <c r="Y1617">
        <v>0</v>
      </c>
      <c r="AA1617">
        <v>1</v>
      </c>
      <c r="AB1617">
        <v>8</v>
      </c>
      <c r="AC1617">
        <v>3</v>
      </c>
      <c r="AD1617">
        <v>0</v>
      </c>
      <c r="AE1617">
        <v>9</v>
      </c>
      <c r="AF1617" t="s">
        <v>138</v>
      </c>
      <c r="AG1617">
        <v>0</v>
      </c>
      <c r="AH1617">
        <v>3</v>
      </c>
      <c r="AI1617">
        <v>1</v>
      </c>
      <c r="AJ1617">
        <v>0</v>
      </c>
      <c r="AK1617" t="s">
        <v>594</v>
      </c>
      <c r="AL1617">
        <v>32.793095000000001</v>
      </c>
      <c r="AM1617" t="s">
        <v>595</v>
      </c>
      <c r="AN1617">
        <v>-116.874425</v>
      </c>
      <c r="AO1617">
        <v>25</v>
      </c>
      <c r="AP1617">
        <v>2600</v>
      </c>
      <c r="AQ1617" t="s">
        <v>129</v>
      </c>
      <c r="AR1617">
        <v>96</v>
      </c>
      <c r="AS1617">
        <v>-79</v>
      </c>
      <c r="AT1617">
        <v>192</v>
      </c>
      <c r="BB1617">
        <v>1200</v>
      </c>
      <c r="BC1617">
        <v>1</v>
      </c>
      <c r="BD1617" t="str">
        <f t="shared" si="560"/>
        <v xml:space="preserve">N887QR  </v>
      </c>
      <c r="BE1617">
        <v>1</v>
      </c>
      <c r="BG1617">
        <v>0</v>
      </c>
      <c r="BH1617">
        <v>0</v>
      </c>
      <c r="BI1617">
        <v>0</v>
      </c>
      <c r="BJ1617">
        <v>2325</v>
      </c>
      <c r="BK1617">
        <v>-275</v>
      </c>
      <c r="BL1617" t="s">
        <v>163</v>
      </c>
      <c r="BM1617">
        <v>1</v>
      </c>
      <c r="BN1617">
        <v>1</v>
      </c>
      <c r="BO1617">
        <v>1</v>
      </c>
      <c r="BP1617">
        <v>0</v>
      </c>
      <c r="BS1617">
        <v>0.04</v>
      </c>
      <c r="BT1617">
        <v>0</v>
      </c>
      <c r="BU1617">
        <v>0</v>
      </c>
      <c r="CE1617" t="str">
        <f t="shared" si="565"/>
        <v>19:29:48.019</v>
      </c>
      <c r="CF1617">
        <v>19010718</v>
      </c>
      <c r="CS1617">
        <v>3</v>
      </c>
      <c r="CT1617">
        <v>2</v>
      </c>
      <c r="CU1617">
        <v>0</v>
      </c>
      <c r="CV1617">
        <v>2</v>
      </c>
      <c r="CW1617">
        <v>0</v>
      </c>
      <c r="CX1617">
        <v>6</v>
      </c>
      <c r="CY1617">
        <v>7</v>
      </c>
      <c r="CZ1617" t="s">
        <v>131</v>
      </c>
      <c r="DA1617">
        <v>300</v>
      </c>
      <c r="DB1617">
        <v>0</v>
      </c>
      <c r="DC1617" t="s">
        <v>176</v>
      </c>
      <c r="DD1617" t="s">
        <v>177</v>
      </c>
      <c r="DG1617">
        <v>5390554</v>
      </c>
      <c r="DI1617">
        <v>1</v>
      </c>
      <c r="DJ1617">
        <v>0</v>
      </c>
      <c r="DK1617">
        <v>1</v>
      </c>
      <c r="DL1617">
        <v>0</v>
      </c>
      <c r="DM1617">
        <v>0</v>
      </c>
      <c r="DN1617">
        <v>1</v>
      </c>
      <c r="DO1617">
        <v>0</v>
      </c>
      <c r="DP1617">
        <v>0</v>
      </c>
      <c r="DQ1617">
        <v>0</v>
      </c>
      <c r="DR1617">
        <v>0</v>
      </c>
      <c r="DS1617">
        <v>0</v>
      </c>
    </row>
    <row r="1618" spans="1:123" x14ac:dyDescent="0.3">
      <c r="A1618" t="str">
        <f t="shared" ref="A1618:A1624" si="566">"10/04/2022 19:29:49.775"</f>
        <v>10/04/2022 19:29:49.775</v>
      </c>
      <c r="C1618" t="str">
        <f t="shared" si="563"/>
        <v>FFDFD3C0</v>
      </c>
      <c r="D1618" t="s">
        <v>141</v>
      </c>
      <c r="E1618">
        <v>3</v>
      </c>
      <c r="H1618">
        <v>3</v>
      </c>
      <c r="I1618" t="s">
        <v>146</v>
      </c>
      <c r="J1618" t="s">
        <v>138</v>
      </c>
      <c r="K1618">
        <v>0</v>
      </c>
      <c r="L1618">
        <v>3</v>
      </c>
      <c r="M1618">
        <v>0</v>
      </c>
      <c r="N1618">
        <v>2</v>
      </c>
      <c r="O1618">
        <v>0</v>
      </c>
      <c r="P1618">
        <v>1</v>
      </c>
      <c r="Q1618">
        <v>0</v>
      </c>
      <c r="S1618" t="str">
        <f t="shared" ref="S1618:T1624" si="567">"19:29:49.000"</f>
        <v>19:29:49.000</v>
      </c>
      <c r="T1618" t="str">
        <f t="shared" si="567"/>
        <v>19:29:49.000</v>
      </c>
      <c r="U1618" t="str">
        <f t="shared" si="559"/>
        <v>AC3944</v>
      </c>
      <c r="V1618">
        <v>0</v>
      </c>
      <c r="W1618">
        <v>0</v>
      </c>
      <c r="X1618">
        <v>2</v>
      </c>
      <c r="Y1618">
        <v>0</v>
      </c>
      <c r="AA1618">
        <v>1</v>
      </c>
      <c r="AB1618">
        <v>8</v>
      </c>
      <c r="AC1618">
        <v>3</v>
      </c>
      <c r="AD1618">
        <v>0</v>
      </c>
      <c r="AE1618">
        <v>9</v>
      </c>
      <c r="AF1618" t="s">
        <v>138</v>
      </c>
      <c r="AG1618">
        <v>0</v>
      </c>
      <c r="AH1618">
        <v>3</v>
      </c>
      <c r="AI1618">
        <v>1</v>
      </c>
      <c r="AJ1618">
        <v>0</v>
      </c>
      <c r="AK1618" t="s">
        <v>596</v>
      </c>
      <c r="AL1618">
        <v>32.792709000000002</v>
      </c>
      <c r="AM1618" t="s">
        <v>597</v>
      </c>
      <c r="AN1618">
        <v>-116.87391</v>
      </c>
      <c r="AO1618">
        <v>25</v>
      </c>
      <c r="AP1618">
        <v>2600</v>
      </c>
      <c r="AQ1618" t="s">
        <v>129</v>
      </c>
      <c r="AR1618">
        <v>95</v>
      </c>
      <c r="AS1618">
        <v>-80</v>
      </c>
      <c r="AT1618">
        <v>256</v>
      </c>
      <c r="BB1618">
        <v>1200</v>
      </c>
      <c r="BC1618">
        <v>1</v>
      </c>
      <c r="BD1618" t="str">
        <f t="shared" si="560"/>
        <v xml:space="preserve">N887QR  </v>
      </c>
      <c r="BE1618">
        <v>1</v>
      </c>
      <c r="BG1618">
        <v>0</v>
      </c>
      <c r="BH1618">
        <v>0</v>
      </c>
      <c r="BI1618">
        <v>0</v>
      </c>
      <c r="BJ1618">
        <v>2350</v>
      </c>
      <c r="BK1618">
        <v>-250</v>
      </c>
      <c r="BL1618" t="s">
        <v>163</v>
      </c>
      <c r="BM1618">
        <v>1</v>
      </c>
      <c r="BN1618">
        <v>1</v>
      </c>
      <c r="BO1618">
        <v>1</v>
      </c>
      <c r="BP1618">
        <v>0</v>
      </c>
      <c r="BS1618">
        <v>0</v>
      </c>
      <c r="BT1618">
        <v>0</v>
      </c>
      <c r="BU1618">
        <v>0</v>
      </c>
      <c r="CE1618" t="str">
        <f t="shared" ref="CE1618:CE1624" si="568">"19:29:49.530"</f>
        <v>19:29:49.530</v>
      </c>
      <c r="CF1618">
        <v>529765766</v>
      </c>
      <c r="CS1618">
        <v>3</v>
      </c>
      <c r="CT1618">
        <v>2</v>
      </c>
      <c r="CU1618">
        <v>0</v>
      </c>
      <c r="CV1618">
        <v>2</v>
      </c>
      <c r="CW1618">
        <v>0</v>
      </c>
      <c r="CX1618">
        <v>6</v>
      </c>
      <c r="CY1618">
        <v>7</v>
      </c>
      <c r="CZ1618" t="s">
        <v>131</v>
      </c>
      <c r="DA1618">
        <v>300</v>
      </c>
      <c r="DB1618">
        <v>0</v>
      </c>
      <c r="DC1618" t="s">
        <v>176</v>
      </c>
      <c r="DD1618" t="s">
        <v>177</v>
      </c>
      <c r="DG1618">
        <v>5390809</v>
      </c>
      <c r="DI1618">
        <v>1</v>
      </c>
      <c r="DJ1618">
        <v>0</v>
      </c>
      <c r="DK1618">
        <v>0</v>
      </c>
      <c r="DL1618">
        <v>0</v>
      </c>
      <c r="DM1618">
        <v>0</v>
      </c>
      <c r="DN1618">
        <v>1</v>
      </c>
      <c r="DO1618">
        <v>0</v>
      </c>
      <c r="DP1618">
        <v>0</v>
      </c>
      <c r="DQ1618">
        <v>0</v>
      </c>
      <c r="DR1618">
        <v>0</v>
      </c>
      <c r="DS1618">
        <v>0</v>
      </c>
    </row>
    <row r="1619" spans="1:123" x14ac:dyDescent="0.3">
      <c r="A1619" t="str">
        <f t="shared" si="566"/>
        <v>10/04/2022 19:29:49.775</v>
      </c>
      <c r="C1619" t="str">
        <f t="shared" si="563"/>
        <v>FFDFD3C0</v>
      </c>
      <c r="D1619" t="s">
        <v>147</v>
      </c>
      <c r="E1619">
        <v>3</v>
      </c>
      <c r="H1619">
        <v>166</v>
      </c>
      <c r="I1619" t="s">
        <v>144</v>
      </c>
      <c r="J1619" t="s">
        <v>148</v>
      </c>
      <c r="K1619">
        <v>0</v>
      </c>
      <c r="L1619">
        <v>3</v>
      </c>
      <c r="M1619">
        <v>0</v>
      </c>
      <c r="N1619">
        <v>2</v>
      </c>
      <c r="O1619">
        <v>0</v>
      </c>
      <c r="P1619">
        <v>1</v>
      </c>
      <c r="Q1619">
        <v>0</v>
      </c>
      <c r="S1619" t="str">
        <f t="shared" si="567"/>
        <v>19:29:49.000</v>
      </c>
      <c r="T1619" t="str">
        <f t="shared" si="567"/>
        <v>19:29:49.000</v>
      </c>
      <c r="U1619" t="str">
        <f t="shared" si="559"/>
        <v>AC3944</v>
      </c>
      <c r="V1619">
        <v>0</v>
      </c>
      <c r="W1619">
        <v>0</v>
      </c>
      <c r="X1619">
        <v>2</v>
      </c>
      <c r="Y1619">
        <v>0</v>
      </c>
      <c r="AA1619">
        <v>1</v>
      </c>
      <c r="AB1619">
        <v>8</v>
      </c>
      <c r="AC1619">
        <v>3</v>
      </c>
      <c r="AD1619">
        <v>0</v>
      </c>
      <c r="AE1619">
        <v>9</v>
      </c>
      <c r="AF1619" t="s">
        <v>138</v>
      </c>
      <c r="AG1619">
        <v>0</v>
      </c>
      <c r="AH1619">
        <v>3</v>
      </c>
      <c r="AI1619">
        <v>1</v>
      </c>
      <c r="AJ1619">
        <v>0</v>
      </c>
      <c r="AK1619" t="s">
        <v>596</v>
      </c>
      <c r="AL1619">
        <v>32.792709000000002</v>
      </c>
      <c r="AM1619" t="s">
        <v>597</v>
      </c>
      <c r="AN1619">
        <v>-116.87391</v>
      </c>
      <c r="AO1619">
        <v>25</v>
      </c>
      <c r="AP1619">
        <v>2600</v>
      </c>
      <c r="AQ1619" t="s">
        <v>129</v>
      </c>
      <c r="AR1619">
        <v>95</v>
      </c>
      <c r="AS1619">
        <v>-80</v>
      </c>
      <c r="AT1619">
        <v>256</v>
      </c>
      <c r="BB1619">
        <v>1200</v>
      </c>
      <c r="BC1619">
        <v>1</v>
      </c>
      <c r="BD1619" t="str">
        <f t="shared" si="560"/>
        <v xml:space="preserve">N887QR  </v>
      </c>
      <c r="BE1619">
        <v>1</v>
      </c>
      <c r="BG1619">
        <v>0</v>
      </c>
      <c r="BH1619">
        <v>0</v>
      </c>
      <c r="BI1619">
        <v>0</v>
      </c>
      <c r="BJ1619">
        <v>2350</v>
      </c>
      <c r="BK1619">
        <v>-250</v>
      </c>
      <c r="BL1619" t="s">
        <v>163</v>
      </c>
      <c r="BM1619">
        <v>1</v>
      </c>
      <c r="BN1619">
        <v>1</v>
      </c>
      <c r="BO1619">
        <v>1</v>
      </c>
      <c r="BP1619">
        <v>0</v>
      </c>
      <c r="BS1619">
        <v>0</v>
      </c>
      <c r="BT1619">
        <v>0</v>
      </c>
      <c r="BU1619">
        <v>0</v>
      </c>
      <c r="CE1619" t="str">
        <f t="shared" si="568"/>
        <v>19:29:49.530</v>
      </c>
      <c r="CF1619">
        <v>529765766</v>
      </c>
      <c r="CS1619">
        <v>3</v>
      </c>
      <c r="CT1619">
        <v>2</v>
      </c>
      <c r="CU1619">
        <v>0</v>
      </c>
      <c r="CV1619">
        <v>2</v>
      </c>
      <c r="CW1619">
        <v>0</v>
      </c>
      <c r="CX1619">
        <v>6</v>
      </c>
      <c r="CY1619">
        <v>7</v>
      </c>
      <c r="CZ1619" t="s">
        <v>131</v>
      </c>
      <c r="DA1619">
        <v>300</v>
      </c>
      <c r="DB1619">
        <v>0</v>
      </c>
      <c r="DC1619" t="s">
        <v>176</v>
      </c>
      <c r="DD1619" t="s">
        <v>177</v>
      </c>
      <c r="DG1619">
        <v>5390809</v>
      </c>
      <c r="DI1619">
        <v>1</v>
      </c>
      <c r="DJ1619">
        <v>0</v>
      </c>
      <c r="DK1619">
        <v>1</v>
      </c>
      <c r="DL1619">
        <v>0</v>
      </c>
      <c r="DM1619">
        <v>0</v>
      </c>
      <c r="DN1619">
        <v>1</v>
      </c>
      <c r="DO1619">
        <v>0</v>
      </c>
      <c r="DP1619">
        <v>0</v>
      </c>
      <c r="DQ1619">
        <v>0</v>
      </c>
      <c r="DR1619">
        <v>0</v>
      </c>
      <c r="DS1619">
        <v>0</v>
      </c>
    </row>
    <row r="1620" spans="1:123" x14ac:dyDescent="0.3">
      <c r="A1620" t="str">
        <f t="shared" si="566"/>
        <v>10/04/2022 19:29:49.775</v>
      </c>
      <c r="C1620" t="str">
        <f t="shared" si="563"/>
        <v>FFDFD3C0</v>
      </c>
      <c r="D1620" t="s">
        <v>141</v>
      </c>
      <c r="E1620">
        <v>4</v>
      </c>
      <c r="H1620">
        <v>4</v>
      </c>
      <c r="I1620" t="s">
        <v>142</v>
      </c>
      <c r="J1620" t="s">
        <v>138</v>
      </c>
      <c r="K1620">
        <v>0</v>
      </c>
      <c r="L1620">
        <v>3</v>
      </c>
      <c r="M1620">
        <v>0</v>
      </c>
      <c r="N1620">
        <v>2</v>
      </c>
      <c r="O1620">
        <v>0</v>
      </c>
      <c r="P1620">
        <v>1</v>
      </c>
      <c r="Q1620">
        <v>0</v>
      </c>
      <c r="S1620" t="str">
        <f t="shared" si="567"/>
        <v>19:29:49.000</v>
      </c>
      <c r="T1620" t="str">
        <f t="shared" si="567"/>
        <v>19:29:49.000</v>
      </c>
      <c r="U1620" t="str">
        <f t="shared" si="559"/>
        <v>AC3944</v>
      </c>
      <c r="V1620">
        <v>0</v>
      </c>
      <c r="W1620">
        <v>0</v>
      </c>
      <c r="X1620">
        <v>2</v>
      </c>
      <c r="Y1620">
        <v>0</v>
      </c>
      <c r="AA1620">
        <v>1</v>
      </c>
      <c r="AB1620">
        <v>8</v>
      </c>
      <c r="AC1620">
        <v>3</v>
      </c>
      <c r="AD1620">
        <v>0</v>
      </c>
      <c r="AE1620">
        <v>9</v>
      </c>
      <c r="AF1620" t="s">
        <v>138</v>
      </c>
      <c r="AG1620">
        <v>0</v>
      </c>
      <c r="AH1620">
        <v>3</v>
      </c>
      <c r="AI1620">
        <v>1</v>
      </c>
      <c r="AJ1620">
        <v>0</v>
      </c>
      <c r="AK1620" t="s">
        <v>596</v>
      </c>
      <c r="AL1620">
        <v>32.792709000000002</v>
      </c>
      <c r="AM1620" t="s">
        <v>597</v>
      </c>
      <c r="AN1620">
        <v>-116.87391</v>
      </c>
      <c r="AO1620">
        <v>25</v>
      </c>
      <c r="AP1620">
        <v>2600</v>
      </c>
      <c r="AQ1620" t="s">
        <v>129</v>
      </c>
      <c r="AR1620">
        <v>95</v>
      </c>
      <c r="AS1620">
        <v>-80</v>
      </c>
      <c r="AT1620">
        <v>256</v>
      </c>
      <c r="BB1620">
        <v>1200</v>
      </c>
      <c r="BC1620">
        <v>1</v>
      </c>
      <c r="BD1620" t="str">
        <f t="shared" si="560"/>
        <v xml:space="preserve">N887QR  </v>
      </c>
      <c r="BE1620">
        <v>1</v>
      </c>
      <c r="BG1620">
        <v>0</v>
      </c>
      <c r="BH1620">
        <v>0</v>
      </c>
      <c r="BI1620">
        <v>0</v>
      </c>
      <c r="BJ1620">
        <v>2350</v>
      </c>
      <c r="BK1620">
        <v>-250</v>
      </c>
      <c r="BL1620" t="s">
        <v>163</v>
      </c>
      <c r="BM1620">
        <v>1</v>
      </c>
      <c r="BN1620">
        <v>1</v>
      </c>
      <c r="BO1620">
        <v>1</v>
      </c>
      <c r="BP1620">
        <v>0</v>
      </c>
      <c r="BS1620">
        <v>0</v>
      </c>
      <c r="BT1620">
        <v>0</v>
      </c>
      <c r="BU1620">
        <v>0</v>
      </c>
      <c r="CE1620" t="str">
        <f t="shared" si="568"/>
        <v>19:29:49.530</v>
      </c>
      <c r="CF1620">
        <v>529765766</v>
      </c>
      <c r="CS1620">
        <v>3</v>
      </c>
      <c r="CT1620">
        <v>2</v>
      </c>
      <c r="CU1620">
        <v>0</v>
      </c>
      <c r="CV1620">
        <v>2</v>
      </c>
      <c r="CW1620">
        <v>0</v>
      </c>
      <c r="CX1620">
        <v>6</v>
      </c>
      <c r="CY1620">
        <v>7</v>
      </c>
      <c r="CZ1620" t="s">
        <v>131</v>
      </c>
      <c r="DA1620">
        <v>300</v>
      </c>
      <c r="DB1620">
        <v>0</v>
      </c>
      <c r="DC1620" t="s">
        <v>176</v>
      </c>
      <c r="DD1620" t="s">
        <v>177</v>
      </c>
      <c r="DG1620">
        <v>5390809</v>
      </c>
      <c r="DI1620">
        <v>1</v>
      </c>
      <c r="DJ1620">
        <v>0</v>
      </c>
      <c r="DK1620">
        <v>1</v>
      </c>
      <c r="DL1620">
        <v>0</v>
      </c>
      <c r="DM1620">
        <v>0</v>
      </c>
      <c r="DN1620">
        <v>1</v>
      </c>
      <c r="DO1620">
        <v>0</v>
      </c>
      <c r="DP1620">
        <v>0</v>
      </c>
      <c r="DQ1620">
        <v>0</v>
      </c>
      <c r="DR1620">
        <v>0</v>
      </c>
      <c r="DS1620">
        <v>0</v>
      </c>
    </row>
    <row r="1621" spans="1:123" x14ac:dyDescent="0.3">
      <c r="A1621" t="str">
        <f t="shared" si="566"/>
        <v>10/04/2022 19:29:49.775</v>
      </c>
      <c r="C1621" t="str">
        <f t="shared" si="563"/>
        <v>FFDFD3C0</v>
      </c>
      <c r="D1621" t="s">
        <v>143</v>
      </c>
      <c r="E1621">
        <v>20</v>
      </c>
      <c r="F1621">
        <v>1020</v>
      </c>
      <c r="G1621" t="s">
        <v>144</v>
      </c>
      <c r="J1621" t="s">
        <v>145</v>
      </c>
      <c r="K1621">
        <v>0</v>
      </c>
      <c r="L1621">
        <v>3</v>
      </c>
      <c r="M1621">
        <v>0</v>
      </c>
      <c r="N1621">
        <v>2</v>
      </c>
      <c r="O1621">
        <v>0</v>
      </c>
      <c r="P1621">
        <v>1</v>
      </c>
      <c r="Q1621">
        <v>0</v>
      </c>
      <c r="S1621" t="str">
        <f t="shared" si="567"/>
        <v>19:29:49.000</v>
      </c>
      <c r="T1621" t="str">
        <f t="shared" si="567"/>
        <v>19:29:49.000</v>
      </c>
      <c r="U1621" t="str">
        <f t="shared" si="559"/>
        <v>AC3944</v>
      </c>
      <c r="V1621">
        <v>0</v>
      </c>
      <c r="W1621">
        <v>0</v>
      </c>
      <c r="X1621">
        <v>2</v>
      </c>
      <c r="Y1621">
        <v>0</v>
      </c>
      <c r="AA1621">
        <v>1</v>
      </c>
      <c r="AB1621">
        <v>8</v>
      </c>
      <c r="AC1621">
        <v>3</v>
      </c>
      <c r="AD1621">
        <v>0</v>
      </c>
      <c r="AE1621">
        <v>9</v>
      </c>
      <c r="AF1621" t="s">
        <v>138</v>
      </c>
      <c r="AG1621">
        <v>0</v>
      </c>
      <c r="AH1621">
        <v>3</v>
      </c>
      <c r="AI1621">
        <v>1</v>
      </c>
      <c r="AJ1621">
        <v>0</v>
      </c>
      <c r="AK1621" t="s">
        <v>596</v>
      </c>
      <c r="AL1621">
        <v>32.792709000000002</v>
      </c>
      <c r="AM1621" t="s">
        <v>597</v>
      </c>
      <c r="AN1621">
        <v>-116.87391</v>
      </c>
      <c r="AO1621">
        <v>25</v>
      </c>
      <c r="AP1621">
        <v>2600</v>
      </c>
      <c r="AQ1621" t="s">
        <v>129</v>
      </c>
      <c r="AR1621">
        <v>95</v>
      </c>
      <c r="AS1621">
        <v>-80</v>
      </c>
      <c r="AT1621">
        <v>256</v>
      </c>
      <c r="BB1621">
        <v>1200</v>
      </c>
      <c r="BC1621">
        <v>1</v>
      </c>
      <c r="BD1621" t="str">
        <f t="shared" si="560"/>
        <v xml:space="preserve">N887QR  </v>
      </c>
      <c r="BE1621">
        <v>1</v>
      </c>
      <c r="BG1621">
        <v>0</v>
      </c>
      <c r="BH1621">
        <v>0</v>
      </c>
      <c r="BI1621">
        <v>0</v>
      </c>
      <c r="BJ1621">
        <v>2350</v>
      </c>
      <c r="BK1621">
        <v>-250</v>
      </c>
      <c r="BL1621" t="s">
        <v>163</v>
      </c>
      <c r="BM1621">
        <v>1</v>
      </c>
      <c r="BN1621">
        <v>1</v>
      </c>
      <c r="BO1621">
        <v>1</v>
      </c>
      <c r="BP1621">
        <v>0</v>
      </c>
      <c r="BS1621">
        <v>0</v>
      </c>
      <c r="BT1621">
        <v>0</v>
      </c>
      <c r="BU1621">
        <v>0</v>
      </c>
      <c r="CE1621" t="str">
        <f t="shared" si="568"/>
        <v>19:29:49.530</v>
      </c>
      <c r="CF1621">
        <v>529765766</v>
      </c>
      <c r="CS1621">
        <v>3</v>
      </c>
      <c r="CT1621">
        <v>2</v>
      </c>
      <c r="CU1621">
        <v>0</v>
      </c>
      <c r="CV1621">
        <v>2</v>
      </c>
      <c r="CW1621">
        <v>0</v>
      </c>
      <c r="CX1621">
        <v>6</v>
      </c>
      <c r="CY1621">
        <v>7</v>
      </c>
      <c r="CZ1621" t="s">
        <v>131</v>
      </c>
      <c r="DA1621">
        <v>300</v>
      </c>
      <c r="DB1621">
        <v>0</v>
      </c>
      <c r="DC1621" t="s">
        <v>176</v>
      </c>
      <c r="DD1621" t="s">
        <v>177</v>
      </c>
      <c r="DG1621">
        <v>5390809</v>
      </c>
      <c r="DI1621">
        <v>1</v>
      </c>
      <c r="DJ1621">
        <v>0</v>
      </c>
      <c r="DK1621">
        <v>1</v>
      </c>
      <c r="DL1621">
        <v>0</v>
      </c>
      <c r="DM1621">
        <v>0</v>
      </c>
      <c r="DN1621">
        <v>1</v>
      </c>
      <c r="DO1621">
        <v>0</v>
      </c>
      <c r="DP1621">
        <v>0</v>
      </c>
      <c r="DQ1621">
        <v>0</v>
      </c>
      <c r="DR1621">
        <v>0</v>
      </c>
      <c r="DS1621">
        <v>0</v>
      </c>
    </row>
    <row r="1622" spans="1:123" x14ac:dyDescent="0.3">
      <c r="A1622" t="str">
        <f t="shared" si="566"/>
        <v>10/04/2022 19:29:49.775</v>
      </c>
      <c r="C1622" t="str">
        <f t="shared" si="563"/>
        <v>FFDFD3C0</v>
      </c>
      <c r="D1622" t="s">
        <v>123</v>
      </c>
      <c r="E1622">
        <v>7</v>
      </c>
      <c r="F1622">
        <v>2007</v>
      </c>
      <c r="G1622" t="s">
        <v>124</v>
      </c>
      <c r="J1622" t="s">
        <v>125</v>
      </c>
      <c r="K1622">
        <v>0</v>
      </c>
      <c r="L1622">
        <v>3</v>
      </c>
      <c r="M1622">
        <v>0</v>
      </c>
      <c r="N1622">
        <v>2</v>
      </c>
      <c r="O1622">
        <v>0</v>
      </c>
      <c r="P1622">
        <v>1</v>
      </c>
      <c r="Q1622">
        <v>0</v>
      </c>
      <c r="S1622" t="str">
        <f t="shared" si="567"/>
        <v>19:29:49.000</v>
      </c>
      <c r="T1622" t="str">
        <f t="shared" si="567"/>
        <v>19:29:49.000</v>
      </c>
      <c r="U1622" t="str">
        <f t="shared" si="559"/>
        <v>AC3944</v>
      </c>
      <c r="V1622">
        <v>0</v>
      </c>
      <c r="W1622">
        <v>0</v>
      </c>
      <c r="X1622">
        <v>2</v>
      </c>
      <c r="Y1622">
        <v>0</v>
      </c>
      <c r="AA1622">
        <v>1</v>
      </c>
      <c r="AB1622">
        <v>8</v>
      </c>
      <c r="AC1622">
        <v>3</v>
      </c>
      <c r="AD1622">
        <v>0</v>
      </c>
      <c r="AE1622">
        <v>9</v>
      </c>
      <c r="AF1622" t="s">
        <v>138</v>
      </c>
      <c r="AG1622">
        <v>0</v>
      </c>
      <c r="AH1622">
        <v>3</v>
      </c>
      <c r="AI1622">
        <v>1</v>
      </c>
      <c r="AJ1622">
        <v>0</v>
      </c>
      <c r="AK1622" t="s">
        <v>596</v>
      </c>
      <c r="AL1622">
        <v>32.792709000000002</v>
      </c>
      <c r="AM1622" t="s">
        <v>597</v>
      </c>
      <c r="AN1622">
        <v>-116.87391</v>
      </c>
      <c r="AO1622">
        <v>25</v>
      </c>
      <c r="AP1622">
        <v>2600</v>
      </c>
      <c r="AQ1622" t="s">
        <v>129</v>
      </c>
      <c r="AR1622">
        <v>95</v>
      </c>
      <c r="AS1622">
        <v>-80</v>
      </c>
      <c r="AT1622">
        <v>256</v>
      </c>
      <c r="BB1622">
        <v>1200</v>
      </c>
      <c r="BC1622">
        <v>1</v>
      </c>
      <c r="BD1622" t="str">
        <f t="shared" si="560"/>
        <v xml:space="preserve">N887QR  </v>
      </c>
      <c r="BE1622">
        <v>1</v>
      </c>
      <c r="BG1622">
        <v>0</v>
      </c>
      <c r="BH1622">
        <v>0</v>
      </c>
      <c r="BI1622">
        <v>0</v>
      </c>
      <c r="BJ1622">
        <v>2350</v>
      </c>
      <c r="BK1622">
        <v>-250</v>
      </c>
      <c r="BL1622" t="s">
        <v>163</v>
      </c>
      <c r="BM1622">
        <v>1</v>
      </c>
      <c r="BN1622">
        <v>1</v>
      </c>
      <c r="BO1622">
        <v>1</v>
      </c>
      <c r="BP1622">
        <v>0</v>
      </c>
      <c r="BS1622">
        <v>0</v>
      </c>
      <c r="BT1622">
        <v>0</v>
      </c>
      <c r="BU1622">
        <v>0</v>
      </c>
      <c r="CE1622" t="str">
        <f t="shared" si="568"/>
        <v>19:29:49.530</v>
      </c>
      <c r="CF1622">
        <v>529765766</v>
      </c>
      <c r="CS1622">
        <v>3</v>
      </c>
      <c r="CT1622">
        <v>2</v>
      </c>
      <c r="CU1622">
        <v>0</v>
      </c>
      <c r="CV1622">
        <v>2</v>
      </c>
      <c r="CW1622">
        <v>0</v>
      </c>
      <c r="CX1622">
        <v>6</v>
      </c>
      <c r="CY1622">
        <v>7</v>
      </c>
      <c r="CZ1622" t="s">
        <v>131</v>
      </c>
      <c r="DA1622">
        <v>300</v>
      </c>
      <c r="DB1622">
        <v>0</v>
      </c>
      <c r="DC1622" t="s">
        <v>176</v>
      </c>
      <c r="DD1622" t="s">
        <v>177</v>
      </c>
      <c r="DG1622">
        <v>5390809</v>
      </c>
      <c r="DI1622">
        <v>1</v>
      </c>
      <c r="DJ1622">
        <v>0</v>
      </c>
      <c r="DK1622">
        <v>1</v>
      </c>
      <c r="DL1622">
        <v>0</v>
      </c>
      <c r="DM1622">
        <v>0</v>
      </c>
      <c r="DN1622">
        <v>1</v>
      </c>
      <c r="DO1622">
        <v>0</v>
      </c>
      <c r="DP1622">
        <v>0</v>
      </c>
      <c r="DQ1622">
        <v>0</v>
      </c>
      <c r="DR1622">
        <v>0</v>
      </c>
      <c r="DS1622">
        <v>0</v>
      </c>
    </row>
    <row r="1623" spans="1:123" x14ac:dyDescent="0.3">
      <c r="A1623" t="str">
        <f t="shared" si="566"/>
        <v>10/04/2022 19:29:49.775</v>
      </c>
      <c r="C1623" t="str">
        <f t="shared" si="563"/>
        <v>FFDFD3C0</v>
      </c>
      <c r="D1623" t="s">
        <v>136</v>
      </c>
      <c r="E1623">
        <v>8</v>
      </c>
      <c r="H1623">
        <v>225</v>
      </c>
      <c r="I1623" t="s">
        <v>137</v>
      </c>
      <c r="J1623" t="s">
        <v>138</v>
      </c>
      <c r="K1623">
        <v>0</v>
      </c>
      <c r="L1623">
        <v>3</v>
      </c>
      <c r="M1623">
        <v>0</v>
      </c>
      <c r="N1623">
        <v>2</v>
      </c>
      <c r="O1623">
        <v>0</v>
      </c>
      <c r="P1623">
        <v>1</v>
      </c>
      <c r="Q1623">
        <v>0</v>
      </c>
      <c r="S1623" t="str">
        <f t="shared" si="567"/>
        <v>19:29:49.000</v>
      </c>
      <c r="T1623" t="str">
        <f t="shared" si="567"/>
        <v>19:29:49.000</v>
      </c>
      <c r="U1623" t="str">
        <f t="shared" si="559"/>
        <v>AC3944</v>
      </c>
      <c r="V1623">
        <v>0</v>
      </c>
      <c r="W1623">
        <v>0</v>
      </c>
      <c r="X1623">
        <v>2</v>
      </c>
      <c r="Y1623">
        <v>0</v>
      </c>
      <c r="AA1623">
        <v>1</v>
      </c>
      <c r="AB1623">
        <v>8</v>
      </c>
      <c r="AC1623">
        <v>3</v>
      </c>
      <c r="AD1623">
        <v>0</v>
      </c>
      <c r="AE1623">
        <v>9</v>
      </c>
      <c r="AF1623" t="s">
        <v>138</v>
      </c>
      <c r="AG1623">
        <v>0</v>
      </c>
      <c r="AH1623">
        <v>3</v>
      </c>
      <c r="AI1623">
        <v>1</v>
      </c>
      <c r="AJ1623">
        <v>0</v>
      </c>
      <c r="AK1623" t="s">
        <v>596</v>
      </c>
      <c r="AL1623">
        <v>32.792709000000002</v>
      </c>
      <c r="AM1623" t="s">
        <v>597</v>
      </c>
      <c r="AN1623">
        <v>-116.87391</v>
      </c>
      <c r="AO1623">
        <v>25</v>
      </c>
      <c r="AP1623">
        <v>2600</v>
      </c>
      <c r="AQ1623" t="s">
        <v>129</v>
      </c>
      <c r="AR1623">
        <v>95</v>
      </c>
      <c r="AS1623">
        <v>-80</v>
      </c>
      <c r="AT1623">
        <v>256</v>
      </c>
      <c r="BB1623">
        <v>1200</v>
      </c>
      <c r="BC1623">
        <v>1</v>
      </c>
      <c r="BD1623" t="str">
        <f t="shared" si="560"/>
        <v xml:space="preserve">N887QR  </v>
      </c>
      <c r="BE1623">
        <v>1</v>
      </c>
      <c r="BG1623">
        <v>0</v>
      </c>
      <c r="BH1623">
        <v>0</v>
      </c>
      <c r="BI1623">
        <v>0</v>
      </c>
      <c r="BJ1623">
        <v>2350</v>
      </c>
      <c r="BK1623">
        <v>-250</v>
      </c>
      <c r="BL1623" t="s">
        <v>163</v>
      </c>
      <c r="BM1623">
        <v>1</v>
      </c>
      <c r="BN1623">
        <v>1</v>
      </c>
      <c r="BO1623">
        <v>1</v>
      </c>
      <c r="BP1623">
        <v>0</v>
      </c>
      <c r="BS1623">
        <v>0</v>
      </c>
      <c r="BT1623">
        <v>0</v>
      </c>
      <c r="BU1623">
        <v>0</v>
      </c>
      <c r="CE1623" t="str">
        <f t="shared" si="568"/>
        <v>19:29:49.530</v>
      </c>
      <c r="CF1623">
        <v>529765766</v>
      </c>
      <c r="CS1623">
        <v>3</v>
      </c>
      <c r="CT1623">
        <v>2</v>
      </c>
      <c r="CU1623">
        <v>0</v>
      </c>
      <c r="CV1623">
        <v>2</v>
      </c>
      <c r="CW1623">
        <v>0</v>
      </c>
      <c r="CX1623">
        <v>6</v>
      </c>
      <c r="CY1623">
        <v>7</v>
      </c>
      <c r="CZ1623" t="s">
        <v>131</v>
      </c>
      <c r="DA1623">
        <v>300</v>
      </c>
      <c r="DB1623">
        <v>0</v>
      </c>
      <c r="DC1623" t="s">
        <v>176</v>
      </c>
      <c r="DD1623" t="s">
        <v>177</v>
      </c>
      <c r="DG1623">
        <v>5390809</v>
      </c>
      <c r="DI1623">
        <v>1</v>
      </c>
      <c r="DJ1623">
        <v>0</v>
      </c>
      <c r="DK1623">
        <v>1</v>
      </c>
      <c r="DL1623">
        <v>0</v>
      </c>
      <c r="DM1623">
        <v>0</v>
      </c>
      <c r="DN1623">
        <v>1</v>
      </c>
      <c r="DO1623">
        <v>0</v>
      </c>
      <c r="DP1623">
        <v>0</v>
      </c>
      <c r="DQ1623">
        <v>0</v>
      </c>
      <c r="DR1623">
        <v>0</v>
      </c>
      <c r="DS1623">
        <v>0</v>
      </c>
    </row>
    <row r="1624" spans="1:123" x14ac:dyDescent="0.3">
      <c r="A1624" t="str">
        <f t="shared" si="566"/>
        <v>10/04/2022 19:29:49.775</v>
      </c>
      <c r="C1624" t="str">
        <f t="shared" si="563"/>
        <v>FFDFD3C0</v>
      </c>
      <c r="D1624" t="s">
        <v>134</v>
      </c>
      <c r="E1624">
        <v>15</v>
      </c>
      <c r="J1624" t="s">
        <v>135</v>
      </c>
      <c r="K1624">
        <v>0</v>
      </c>
      <c r="L1624">
        <v>3</v>
      </c>
      <c r="M1624">
        <v>0</v>
      </c>
      <c r="N1624">
        <v>2</v>
      </c>
      <c r="O1624">
        <v>0</v>
      </c>
      <c r="P1624">
        <v>1</v>
      </c>
      <c r="Q1624">
        <v>0</v>
      </c>
      <c r="S1624" t="str">
        <f t="shared" si="567"/>
        <v>19:29:49.000</v>
      </c>
      <c r="T1624" t="str">
        <f t="shared" si="567"/>
        <v>19:29:49.000</v>
      </c>
      <c r="U1624" t="str">
        <f t="shared" si="559"/>
        <v>AC3944</v>
      </c>
      <c r="V1624">
        <v>0</v>
      </c>
      <c r="W1624">
        <v>0</v>
      </c>
      <c r="X1624">
        <v>2</v>
      </c>
      <c r="Y1624">
        <v>0</v>
      </c>
      <c r="AA1624">
        <v>1</v>
      </c>
      <c r="AB1624">
        <v>8</v>
      </c>
      <c r="AC1624">
        <v>3</v>
      </c>
      <c r="AD1624">
        <v>0</v>
      </c>
      <c r="AE1624">
        <v>9</v>
      </c>
      <c r="AF1624" t="s">
        <v>138</v>
      </c>
      <c r="AG1624">
        <v>0</v>
      </c>
      <c r="AH1624">
        <v>3</v>
      </c>
      <c r="AI1624">
        <v>1</v>
      </c>
      <c r="AJ1624">
        <v>0</v>
      </c>
      <c r="AK1624" t="s">
        <v>596</v>
      </c>
      <c r="AL1624">
        <v>32.792709000000002</v>
      </c>
      <c r="AM1624" t="s">
        <v>597</v>
      </c>
      <c r="AN1624">
        <v>-116.87391</v>
      </c>
      <c r="AO1624">
        <v>25</v>
      </c>
      <c r="AP1624">
        <v>2600</v>
      </c>
      <c r="AQ1624" t="s">
        <v>129</v>
      </c>
      <c r="AR1624">
        <v>95</v>
      </c>
      <c r="AS1624">
        <v>-80</v>
      </c>
      <c r="AT1624">
        <v>256</v>
      </c>
      <c r="BB1624">
        <v>1200</v>
      </c>
      <c r="BC1624">
        <v>1</v>
      </c>
      <c r="BD1624" t="str">
        <f t="shared" si="560"/>
        <v xml:space="preserve">N887QR  </v>
      </c>
      <c r="BE1624">
        <v>1</v>
      </c>
      <c r="BG1624">
        <v>0</v>
      </c>
      <c r="BH1624">
        <v>0</v>
      </c>
      <c r="BI1624">
        <v>0</v>
      </c>
      <c r="BJ1624">
        <v>2350</v>
      </c>
      <c r="BK1624">
        <v>-250</v>
      </c>
      <c r="BL1624" t="s">
        <v>163</v>
      </c>
      <c r="BM1624">
        <v>1</v>
      </c>
      <c r="BN1624">
        <v>1</v>
      </c>
      <c r="BO1624">
        <v>1</v>
      </c>
      <c r="BP1624">
        <v>0</v>
      </c>
      <c r="BS1624">
        <v>0</v>
      </c>
      <c r="BT1624">
        <v>0</v>
      </c>
      <c r="BU1624">
        <v>0</v>
      </c>
      <c r="CE1624" t="str">
        <f t="shared" si="568"/>
        <v>19:29:49.530</v>
      </c>
      <c r="CF1624">
        <v>529765766</v>
      </c>
      <c r="CS1624">
        <v>3</v>
      </c>
      <c r="CT1624">
        <v>2</v>
      </c>
      <c r="CU1624">
        <v>0</v>
      </c>
      <c r="CV1624">
        <v>2</v>
      </c>
      <c r="CW1624">
        <v>0</v>
      </c>
      <c r="CX1624">
        <v>6</v>
      </c>
      <c r="CY1624">
        <v>7</v>
      </c>
      <c r="CZ1624" t="s">
        <v>131</v>
      </c>
      <c r="DA1624">
        <v>300</v>
      </c>
      <c r="DB1624">
        <v>0</v>
      </c>
      <c r="DC1624" t="s">
        <v>176</v>
      </c>
      <c r="DD1624" t="s">
        <v>177</v>
      </c>
      <c r="DG1624">
        <v>5390809</v>
      </c>
      <c r="DI1624">
        <v>1</v>
      </c>
      <c r="DJ1624">
        <v>0</v>
      </c>
      <c r="DK1624">
        <v>1</v>
      </c>
      <c r="DL1624">
        <v>0</v>
      </c>
      <c r="DM1624">
        <v>0</v>
      </c>
      <c r="DN1624">
        <v>1</v>
      </c>
      <c r="DO1624">
        <v>0</v>
      </c>
      <c r="DP1624">
        <v>0</v>
      </c>
      <c r="DQ1624">
        <v>0</v>
      </c>
      <c r="DR1624">
        <v>0</v>
      </c>
      <c r="DS1624">
        <v>0</v>
      </c>
    </row>
    <row r="1625" spans="1:123" x14ac:dyDescent="0.3">
      <c r="A1625" t="str">
        <f>"10/04/2022 19:29:50.385"</f>
        <v>10/04/2022 19:29:50.385</v>
      </c>
      <c r="C1625" t="str">
        <f t="shared" si="563"/>
        <v>FFDFD3C0</v>
      </c>
      <c r="D1625" t="s">
        <v>123</v>
      </c>
      <c r="E1625">
        <v>7</v>
      </c>
      <c r="F1625">
        <v>2007</v>
      </c>
      <c r="G1625" t="s">
        <v>124</v>
      </c>
      <c r="J1625" t="s">
        <v>125</v>
      </c>
      <c r="K1625">
        <v>0</v>
      </c>
      <c r="L1625">
        <v>3</v>
      </c>
      <c r="M1625">
        <v>0</v>
      </c>
      <c r="N1625">
        <v>2</v>
      </c>
      <c r="O1625">
        <v>0</v>
      </c>
      <c r="P1625">
        <v>1</v>
      </c>
      <c r="Q1625">
        <v>0</v>
      </c>
      <c r="S1625" t="str">
        <f t="shared" ref="S1625:T1631" si="569">"19:29:50.000"</f>
        <v>19:29:50.000</v>
      </c>
      <c r="T1625" t="str">
        <f t="shared" si="569"/>
        <v>19:29:50.000</v>
      </c>
      <c r="U1625" t="str">
        <f t="shared" si="559"/>
        <v>AC3944</v>
      </c>
      <c r="V1625">
        <v>0</v>
      </c>
      <c r="W1625">
        <v>0</v>
      </c>
      <c r="X1625">
        <v>2</v>
      </c>
      <c r="Y1625">
        <v>0</v>
      </c>
      <c r="AA1625">
        <v>1</v>
      </c>
      <c r="AB1625">
        <v>8</v>
      </c>
      <c r="AC1625">
        <v>3</v>
      </c>
      <c r="AD1625">
        <v>0</v>
      </c>
      <c r="AE1625">
        <v>9</v>
      </c>
      <c r="AF1625" t="s">
        <v>138</v>
      </c>
      <c r="AG1625">
        <v>0</v>
      </c>
      <c r="AH1625">
        <v>3</v>
      </c>
      <c r="AI1625">
        <v>1</v>
      </c>
      <c r="AJ1625">
        <v>0</v>
      </c>
      <c r="AK1625" t="s">
        <v>598</v>
      </c>
      <c r="AL1625">
        <v>32.792344</v>
      </c>
      <c r="AM1625" t="s">
        <v>599</v>
      </c>
      <c r="AN1625">
        <v>-116.873374</v>
      </c>
      <c r="AO1625">
        <v>25</v>
      </c>
      <c r="AP1625">
        <v>2600</v>
      </c>
      <c r="AQ1625" t="s">
        <v>129</v>
      </c>
      <c r="AR1625">
        <v>94</v>
      </c>
      <c r="AS1625">
        <v>-80</v>
      </c>
      <c r="AT1625">
        <v>320</v>
      </c>
      <c r="BB1625">
        <v>1200</v>
      </c>
      <c r="BC1625">
        <v>1</v>
      </c>
      <c r="BD1625" t="str">
        <f t="shared" si="560"/>
        <v xml:space="preserve">N887QR  </v>
      </c>
      <c r="BE1625">
        <v>1</v>
      </c>
      <c r="BG1625">
        <v>0</v>
      </c>
      <c r="BH1625">
        <v>0</v>
      </c>
      <c r="BI1625">
        <v>0</v>
      </c>
      <c r="BJ1625">
        <v>2350</v>
      </c>
      <c r="BK1625">
        <v>-250</v>
      </c>
      <c r="BL1625" t="s">
        <v>163</v>
      </c>
      <c r="BM1625">
        <v>1</v>
      </c>
      <c r="BN1625">
        <v>1</v>
      </c>
      <c r="BO1625">
        <v>1</v>
      </c>
      <c r="BP1625">
        <v>0</v>
      </c>
      <c r="BS1625">
        <v>0</v>
      </c>
      <c r="BT1625">
        <v>0</v>
      </c>
      <c r="BU1625">
        <v>0</v>
      </c>
      <c r="CE1625" t="str">
        <f t="shared" ref="CE1625:CE1631" si="570">"19:29:50.176"</f>
        <v>19:29:50.176</v>
      </c>
      <c r="CF1625">
        <v>176267978</v>
      </c>
      <c r="CS1625">
        <v>3</v>
      </c>
      <c r="CT1625">
        <v>2</v>
      </c>
      <c r="CU1625">
        <v>0</v>
      </c>
      <c r="CV1625">
        <v>2</v>
      </c>
      <c r="CW1625">
        <v>0</v>
      </c>
      <c r="CX1625">
        <v>6</v>
      </c>
      <c r="CY1625">
        <v>7</v>
      </c>
      <c r="CZ1625" t="s">
        <v>131</v>
      </c>
      <c r="DA1625">
        <v>300</v>
      </c>
      <c r="DB1625">
        <v>0</v>
      </c>
      <c r="DC1625" t="s">
        <v>176</v>
      </c>
      <c r="DD1625" t="s">
        <v>177</v>
      </c>
      <c r="DG1625">
        <v>5390904</v>
      </c>
      <c r="DI1625">
        <v>1</v>
      </c>
      <c r="DJ1625">
        <v>0</v>
      </c>
      <c r="DK1625">
        <v>0</v>
      </c>
      <c r="DL1625">
        <v>0</v>
      </c>
      <c r="DM1625">
        <v>0</v>
      </c>
      <c r="DN1625">
        <v>1</v>
      </c>
      <c r="DO1625">
        <v>0</v>
      </c>
      <c r="DP1625">
        <v>0</v>
      </c>
      <c r="DQ1625">
        <v>0</v>
      </c>
      <c r="DR1625">
        <v>0</v>
      </c>
      <c r="DS1625">
        <v>0</v>
      </c>
    </row>
    <row r="1626" spans="1:123" x14ac:dyDescent="0.3">
      <c r="A1626" t="str">
        <f>"10/04/2022 19:29:50.385"</f>
        <v>10/04/2022 19:29:50.385</v>
      </c>
      <c r="C1626" t="str">
        <f t="shared" si="563"/>
        <v>FFDFD3C0</v>
      </c>
      <c r="D1626" t="s">
        <v>136</v>
      </c>
      <c r="E1626">
        <v>8</v>
      </c>
      <c r="H1626">
        <v>225</v>
      </c>
      <c r="I1626" t="s">
        <v>137</v>
      </c>
      <c r="J1626" t="s">
        <v>138</v>
      </c>
      <c r="K1626">
        <v>0</v>
      </c>
      <c r="L1626">
        <v>3</v>
      </c>
      <c r="M1626">
        <v>0</v>
      </c>
      <c r="N1626">
        <v>2</v>
      </c>
      <c r="O1626">
        <v>0</v>
      </c>
      <c r="P1626">
        <v>1</v>
      </c>
      <c r="Q1626">
        <v>0</v>
      </c>
      <c r="S1626" t="str">
        <f t="shared" si="569"/>
        <v>19:29:50.000</v>
      </c>
      <c r="T1626" t="str">
        <f t="shared" si="569"/>
        <v>19:29:50.000</v>
      </c>
      <c r="U1626" t="str">
        <f t="shared" si="559"/>
        <v>AC3944</v>
      </c>
      <c r="V1626">
        <v>0</v>
      </c>
      <c r="W1626">
        <v>0</v>
      </c>
      <c r="X1626">
        <v>2</v>
      </c>
      <c r="Y1626">
        <v>0</v>
      </c>
      <c r="AA1626">
        <v>1</v>
      </c>
      <c r="AB1626">
        <v>8</v>
      </c>
      <c r="AC1626">
        <v>3</v>
      </c>
      <c r="AD1626">
        <v>0</v>
      </c>
      <c r="AE1626">
        <v>9</v>
      </c>
      <c r="AF1626" t="s">
        <v>138</v>
      </c>
      <c r="AG1626">
        <v>0</v>
      </c>
      <c r="AH1626">
        <v>3</v>
      </c>
      <c r="AI1626">
        <v>1</v>
      </c>
      <c r="AJ1626">
        <v>0</v>
      </c>
      <c r="AK1626" t="s">
        <v>598</v>
      </c>
      <c r="AL1626">
        <v>32.792344</v>
      </c>
      <c r="AM1626" t="s">
        <v>599</v>
      </c>
      <c r="AN1626">
        <v>-116.873374</v>
      </c>
      <c r="AO1626">
        <v>25</v>
      </c>
      <c r="AP1626">
        <v>2600</v>
      </c>
      <c r="AQ1626" t="s">
        <v>129</v>
      </c>
      <c r="AR1626">
        <v>94</v>
      </c>
      <c r="AS1626">
        <v>-80</v>
      </c>
      <c r="AT1626">
        <v>320</v>
      </c>
      <c r="BB1626">
        <v>1200</v>
      </c>
      <c r="BC1626">
        <v>1</v>
      </c>
      <c r="BD1626" t="str">
        <f t="shared" si="560"/>
        <v xml:space="preserve">N887QR  </v>
      </c>
      <c r="BE1626">
        <v>1</v>
      </c>
      <c r="BG1626">
        <v>0</v>
      </c>
      <c r="BH1626">
        <v>0</v>
      </c>
      <c r="BI1626">
        <v>0</v>
      </c>
      <c r="BJ1626">
        <v>2350</v>
      </c>
      <c r="BK1626">
        <v>-250</v>
      </c>
      <c r="BL1626" t="s">
        <v>163</v>
      </c>
      <c r="BM1626">
        <v>1</v>
      </c>
      <c r="BN1626">
        <v>1</v>
      </c>
      <c r="BO1626">
        <v>1</v>
      </c>
      <c r="BP1626">
        <v>0</v>
      </c>
      <c r="BS1626">
        <v>0</v>
      </c>
      <c r="BT1626">
        <v>0</v>
      </c>
      <c r="BU1626">
        <v>0</v>
      </c>
      <c r="CE1626" t="str">
        <f t="shared" si="570"/>
        <v>19:29:50.176</v>
      </c>
      <c r="CF1626">
        <v>176267978</v>
      </c>
      <c r="CS1626">
        <v>3</v>
      </c>
      <c r="CT1626">
        <v>2</v>
      </c>
      <c r="CU1626">
        <v>0</v>
      </c>
      <c r="CV1626">
        <v>2</v>
      </c>
      <c r="CW1626">
        <v>0</v>
      </c>
      <c r="CX1626">
        <v>6</v>
      </c>
      <c r="CY1626">
        <v>7</v>
      </c>
      <c r="CZ1626" t="s">
        <v>131</v>
      </c>
      <c r="DA1626">
        <v>300</v>
      </c>
      <c r="DB1626">
        <v>0</v>
      </c>
      <c r="DC1626" t="s">
        <v>176</v>
      </c>
      <c r="DD1626" t="s">
        <v>177</v>
      </c>
      <c r="DG1626">
        <v>5390904</v>
      </c>
      <c r="DI1626">
        <v>1</v>
      </c>
      <c r="DJ1626">
        <v>0</v>
      </c>
      <c r="DK1626">
        <v>1</v>
      </c>
      <c r="DL1626">
        <v>0</v>
      </c>
      <c r="DM1626">
        <v>0</v>
      </c>
      <c r="DN1626">
        <v>1</v>
      </c>
      <c r="DO1626">
        <v>0</v>
      </c>
      <c r="DP1626">
        <v>0</v>
      </c>
      <c r="DQ1626">
        <v>0</v>
      </c>
      <c r="DR1626">
        <v>0</v>
      </c>
      <c r="DS1626">
        <v>0</v>
      </c>
    </row>
    <row r="1627" spans="1:123" x14ac:dyDescent="0.3">
      <c r="A1627" t="str">
        <f>"10/04/2022 19:29:50.385"</f>
        <v>10/04/2022 19:29:50.385</v>
      </c>
      <c r="C1627" t="str">
        <f t="shared" si="563"/>
        <v>FFDFD3C0</v>
      </c>
      <c r="D1627" t="s">
        <v>134</v>
      </c>
      <c r="E1627">
        <v>15</v>
      </c>
      <c r="J1627" t="s">
        <v>135</v>
      </c>
      <c r="K1627">
        <v>0</v>
      </c>
      <c r="L1627">
        <v>3</v>
      </c>
      <c r="M1627">
        <v>0</v>
      </c>
      <c r="N1627">
        <v>2</v>
      </c>
      <c r="O1627">
        <v>0</v>
      </c>
      <c r="P1627">
        <v>1</v>
      </c>
      <c r="Q1627">
        <v>0</v>
      </c>
      <c r="S1627" t="str">
        <f t="shared" si="569"/>
        <v>19:29:50.000</v>
      </c>
      <c r="T1627" t="str">
        <f t="shared" si="569"/>
        <v>19:29:50.000</v>
      </c>
      <c r="U1627" t="str">
        <f t="shared" si="559"/>
        <v>AC3944</v>
      </c>
      <c r="V1627">
        <v>0</v>
      </c>
      <c r="W1627">
        <v>0</v>
      </c>
      <c r="X1627">
        <v>2</v>
      </c>
      <c r="Y1627">
        <v>0</v>
      </c>
      <c r="AA1627">
        <v>1</v>
      </c>
      <c r="AB1627">
        <v>8</v>
      </c>
      <c r="AC1627">
        <v>3</v>
      </c>
      <c r="AD1627">
        <v>0</v>
      </c>
      <c r="AE1627">
        <v>9</v>
      </c>
      <c r="AF1627" t="s">
        <v>138</v>
      </c>
      <c r="AG1627">
        <v>0</v>
      </c>
      <c r="AH1627">
        <v>3</v>
      </c>
      <c r="AI1627">
        <v>1</v>
      </c>
      <c r="AJ1627">
        <v>0</v>
      </c>
      <c r="AK1627" t="s">
        <v>598</v>
      </c>
      <c r="AL1627">
        <v>32.792344</v>
      </c>
      <c r="AM1627" t="s">
        <v>599</v>
      </c>
      <c r="AN1627">
        <v>-116.873374</v>
      </c>
      <c r="AO1627">
        <v>25</v>
      </c>
      <c r="AP1627">
        <v>2600</v>
      </c>
      <c r="AQ1627" t="s">
        <v>129</v>
      </c>
      <c r="AR1627">
        <v>94</v>
      </c>
      <c r="AS1627">
        <v>-80</v>
      </c>
      <c r="AT1627">
        <v>320</v>
      </c>
      <c r="BB1627">
        <v>1200</v>
      </c>
      <c r="BC1627">
        <v>1</v>
      </c>
      <c r="BD1627" t="str">
        <f t="shared" si="560"/>
        <v xml:space="preserve">N887QR  </v>
      </c>
      <c r="BE1627">
        <v>1</v>
      </c>
      <c r="BG1627">
        <v>0</v>
      </c>
      <c r="BH1627">
        <v>0</v>
      </c>
      <c r="BI1627">
        <v>0</v>
      </c>
      <c r="BJ1627">
        <v>2350</v>
      </c>
      <c r="BK1627">
        <v>-250</v>
      </c>
      <c r="BL1627" t="s">
        <v>163</v>
      </c>
      <c r="BM1627">
        <v>1</v>
      </c>
      <c r="BN1627">
        <v>1</v>
      </c>
      <c r="BO1627">
        <v>1</v>
      </c>
      <c r="BP1627">
        <v>0</v>
      </c>
      <c r="BS1627">
        <v>0</v>
      </c>
      <c r="BT1627">
        <v>0</v>
      </c>
      <c r="BU1627">
        <v>0</v>
      </c>
      <c r="CE1627" t="str">
        <f t="shared" si="570"/>
        <v>19:29:50.176</v>
      </c>
      <c r="CF1627">
        <v>176267978</v>
      </c>
      <c r="CS1627">
        <v>3</v>
      </c>
      <c r="CT1627">
        <v>2</v>
      </c>
      <c r="CU1627">
        <v>0</v>
      </c>
      <c r="CV1627">
        <v>2</v>
      </c>
      <c r="CW1627">
        <v>0</v>
      </c>
      <c r="CX1627">
        <v>6</v>
      </c>
      <c r="CY1627">
        <v>7</v>
      </c>
      <c r="CZ1627" t="s">
        <v>131</v>
      </c>
      <c r="DA1627">
        <v>300</v>
      </c>
      <c r="DB1627">
        <v>0</v>
      </c>
      <c r="DC1627" t="s">
        <v>176</v>
      </c>
      <c r="DD1627" t="s">
        <v>177</v>
      </c>
      <c r="DG1627">
        <v>5390904</v>
      </c>
      <c r="DI1627">
        <v>1</v>
      </c>
      <c r="DJ1627">
        <v>0</v>
      </c>
      <c r="DK1627">
        <v>1</v>
      </c>
      <c r="DL1627">
        <v>0</v>
      </c>
      <c r="DM1627">
        <v>0</v>
      </c>
      <c r="DN1627">
        <v>1</v>
      </c>
      <c r="DO1627">
        <v>0</v>
      </c>
      <c r="DP1627">
        <v>0</v>
      </c>
      <c r="DQ1627">
        <v>0</v>
      </c>
      <c r="DR1627">
        <v>0</v>
      </c>
      <c r="DS1627">
        <v>0</v>
      </c>
    </row>
    <row r="1628" spans="1:123" x14ac:dyDescent="0.3">
      <c r="A1628" t="str">
        <f>"10/04/2022 19:29:50.401"</f>
        <v>10/04/2022 19:29:50.401</v>
      </c>
      <c r="C1628" t="str">
        <f t="shared" si="563"/>
        <v>FFDFD3C0</v>
      </c>
      <c r="D1628" t="s">
        <v>141</v>
      </c>
      <c r="E1628">
        <v>3</v>
      </c>
      <c r="H1628">
        <v>3</v>
      </c>
      <c r="I1628" t="s">
        <v>146</v>
      </c>
      <c r="J1628" t="s">
        <v>138</v>
      </c>
      <c r="K1628">
        <v>0</v>
      </c>
      <c r="L1628">
        <v>3</v>
      </c>
      <c r="M1628">
        <v>0</v>
      </c>
      <c r="N1628">
        <v>2</v>
      </c>
      <c r="O1628">
        <v>0</v>
      </c>
      <c r="P1628">
        <v>1</v>
      </c>
      <c r="Q1628">
        <v>0</v>
      </c>
      <c r="S1628" t="str">
        <f t="shared" si="569"/>
        <v>19:29:50.000</v>
      </c>
      <c r="T1628" t="str">
        <f t="shared" si="569"/>
        <v>19:29:50.000</v>
      </c>
      <c r="U1628" t="str">
        <f t="shared" si="559"/>
        <v>AC3944</v>
      </c>
      <c r="V1628">
        <v>0</v>
      </c>
      <c r="W1628">
        <v>0</v>
      </c>
      <c r="X1628">
        <v>2</v>
      </c>
      <c r="Y1628">
        <v>0</v>
      </c>
      <c r="AA1628">
        <v>1</v>
      </c>
      <c r="AB1628">
        <v>8</v>
      </c>
      <c r="AC1628">
        <v>3</v>
      </c>
      <c r="AD1628">
        <v>0</v>
      </c>
      <c r="AE1628">
        <v>9</v>
      </c>
      <c r="AF1628" t="s">
        <v>138</v>
      </c>
      <c r="AG1628">
        <v>0</v>
      </c>
      <c r="AH1628">
        <v>3</v>
      </c>
      <c r="AI1628">
        <v>1</v>
      </c>
      <c r="AJ1628">
        <v>0</v>
      </c>
      <c r="AK1628" t="s">
        <v>598</v>
      </c>
      <c r="AL1628">
        <v>32.792344</v>
      </c>
      <c r="AM1628" t="s">
        <v>599</v>
      </c>
      <c r="AN1628">
        <v>-116.873374</v>
      </c>
      <c r="AO1628">
        <v>25</v>
      </c>
      <c r="AP1628">
        <v>2600</v>
      </c>
      <c r="AQ1628" t="s">
        <v>129</v>
      </c>
      <c r="AR1628">
        <v>94</v>
      </c>
      <c r="AS1628">
        <v>-80</v>
      </c>
      <c r="AT1628">
        <v>320</v>
      </c>
      <c r="BB1628">
        <v>1200</v>
      </c>
      <c r="BC1628">
        <v>1</v>
      </c>
      <c r="BD1628" t="str">
        <f t="shared" si="560"/>
        <v xml:space="preserve">N887QR  </v>
      </c>
      <c r="BE1628">
        <v>1</v>
      </c>
      <c r="BG1628">
        <v>0</v>
      </c>
      <c r="BH1628">
        <v>0</v>
      </c>
      <c r="BI1628">
        <v>0</v>
      </c>
      <c r="BJ1628">
        <v>2350</v>
      </c>
      <c r="BK1628">
        <v>-250</v>
      </c>
      <c r="BL1628" t="s">
        <v>163</v>
      </c>
      <c r="BM1628">
        <v>1</v>
      </c>
      <c r="BN1628">
        <v>1</v>
      </c>
      <c r="BO1628">
        <v>1</v>
      </c>
      <c r="BP1628">
        <v>0</v>
      </c>
      <c r="BS1628">
        <v>0</v>
      </c>
      <c r="BT1628">
        <v>0</v>
      </c>
      <c r="BU1628">
        <v>0</v>
      </c>
      <c r="CE1628" t="str">
        <f t="shared" si="570"/>
        <v>19:29:50.176</v>
      </c>
      <c r="CF1628">
        <v>176267978</v>
      </c>
      <c r="CS1628">
        <v>3</v>
      </c>
      <c r="CT1628">
        <v>2</v>
      </c>
      <c r="CU1628">
        <v>0</v>
      </c>
      <c r="CV1628">
        <v>2</v>
      </c>
      <c r="CW1628">
        <v>0</v>
      </c>
      <c r="CX1628">
        <v>6</v>
      </c>
      <c r="CY1628">
        <v>7</v>
      </c>
      <c r="CZ1628" t="s">
        <v>131</v>
      </c>
      <c r="DA1628">
        <v>300</v>
      </c>
      <c r="DB1628">
        <v>0</v>
      </c>
      <c r="DC1628" t="s">
        <v>176</v>
      </c>
      <c r="DD1628" t="s">
        <v>177</v>
      </c>
      <c r="DG1628">
        <v>5390904</v>
      </c>
      <c r="DI1628">
        <v>1</v>
      </c>
      <c r="DJ1628">
        <v>0</v>
      </c>
      <c r="DK1628">
        <v>1</v>
      </c>
      <c r="DL1628">
        <v>0</v>
      </c>
      <c r="DM1628">
        <v>0</v>
      </c>
      <c r="DN1628">
        <v>1</v>
      </c>
      <c r="DO1628">
        <v>0</v>
      </c>
      <c r="DP1628">
        <v>0</v>
      </c>
      <c r="DQ1628">
        <v>0</v>
      </c>
      <c r="DR1628">
        <v>0</v>
      </c>
      <c r="DS1628">
        <v>0</v>
      </c>
    </row>
    <row r="1629" spans="1:123" x14ac:dyDescent="0.3">
      <c r="A1629" t="str">
        <f>"10/04/2022 19:29:50.416"</f>
        <v>10/04/2022 19:29:50.416</v>
      </c>
      <c r="C1629" t="str">
        <f t="shared" si="563"/>
        <v>FFDFD3C0</v>
      </c>
      <c r="D1629" t="s">
        <v>147</v>
      </c>
      <c r="E1629">
        <v>3</v>
      </c>
      <c r="H1629">
        <v>166</v>
      </c>
      <c r="I1629" t="s">
        <v>144</v>
      </c>
      <c r="J1629" t="s">
        <v>148</v>
      </c>
      <c r="K1629">
        <v>0</v>
      </c>
      <c r="L1629">
        <v>3</v>
      </c>
      <c r="M1629">
        <v>0</v>
      </c>
      <c r="N1629">
        <v>2</v>
      </c>
      <c r="O1629">
        <v>0</v>
      </c>
      <c r="P1629">
        <v>1</v>
      </c>
      <c r="Q1629">
        <v>0</v>
      </c>
      <c r="S1629" t="str">
        <f t="shared" si="569"/>
        <v>19:29:50.000</v>
      </c>
      <c r="T1629" t="str">
        <f t="shared" si="569"/>
        <v>19:29:50.000</v>
      </c>
      <c r="U1629" t="str">
        <f t="shared" si="559"/>
        <v>AC3944</v>
      </c>
      <c r="V1629">
        <v>0</v>
      </c>
      <c r="W1629">
        <v>0</v>
      </c>
      <c r="X1629">
        <v>2</v>
      </c>
      <c r="Y1629">
        <v>0</v>
      </c>
      <c r="AA1629">
        <v>1</v>
      </c>
      <c r="AB1629">
        <v>8</v>
      </c>
      <c r="AC1629">
        <v>3</v>
      </c>
      <c r="AD1629">
        <v>0</v>
      </c>
      <c r="AE1629">
        <v>9</v>
      </c>
      <c r="AF1629" t="s">
        <v>138</v>
      </c>
      <c r="AG1629">
        <v>0</v>
      </c>
      <c r="AH1629">
        <v>3</v>
      </c>
      <c r="AI1629">
        <v>1</v>
      </c>
      <c r="AJ1629">
        <v>0</v>
      </c>
      <c r="AK1629" t="s">
        <v>598</v>
      </c>
      <c r="AL1629">
        <v>32.792344</v>
      </c>
      <c r="AM1629" t="s">
        <v>599</v>
      </c>
      <c r="AN1629">
        <v>-116.873374</v>
      </c>
      <c r="AO1629">
        <v>25</v>
      </c>
      <c r="AP1629">
        <v>2600</v>
      </c>
      <c r="AQ1629" t="s">
        <v>129</v>
      </c>
      <c r="AR1629">
        <v>94</v>
      </c>
      <c r="AS1629">
        <v>-80</v>
      </c>
      <c r="AT1629">
        <v>320</v>
      </c>
      <c r="BB1629">
        <v>1200</v>
      </c>
      <c r="BC1629">
        <v>1</v>
      </c>
      <c r="BD1629" t="str">
        <f t="shared" si="560"/>
        <v xml:space="preserve">N887QR  </v>
      </c>
      <c r="BE1629">
        <v>1</v>
      </c>
      <c r="BG1629">
        <v>0</v>
      </c>
      <c r="BH1629">
        <v>0</v>
      </c>
      <c r="BI1629">
        <v>0</v>
      </c>
      <c r="BJ1629">
        <v>2350</v>
      </c>
      <c r="BK1629">
        <v>-250</v>
      </c>
      <c r="BL1629" t="s">
        <v>163</v>
      </c>
      <c r="BM1629">
        <v>1</v>
      </c>
      <c r="BN1629">
        <v>1</v>
      </c>
      <c r="BO1629">
        <v>1</v>
      </c>
      <c r="BP1629">
        <v>0</v>
      </c>
      <c r="BS1629">
        <v>0</v>
      </c>
      <c r="BT1629">
        <v>0</v>
      </c>
      <c r="BU1629">
        <v>0</v>
      </c>
      <c r="CE1629" t="str">
        <f t="shared" si="570"/>
        <v>19:29:50.176</v>
      </c>
      <c r="CF1629">
        <v>176267978</v>
      </c>
      <c r="CS1629">
        <v>3</v>
      </c>
      <c r="CT1629">
        <v>2</v>
      </c>
      <c r="CU1629">
        <v>0</v>
      </c>
      <c r="CV1629">
        <v>2</v>
      </c>
      <c r="CW1629">
        <v>0</v>
      </c>
      <c r="CX1629">
        <v>6</v>
      </c>
      <c r="CY1629">
        <v>7</v>
      </c>
      <c r="CZ1629" t="s">
        <v>131</v>
      </c>
      <c r="DA1629">
        <v>300</v>
      </c>
      <c r="DB1629">
        <v>0</v>
      </c>
      <c r="DC1629" t="s">
        <v>176</v>
      </c>
      <c r="DD1629" t="s">
        <v>177</v>
      </c>
      <c r="DG1629">
        <v>5390904</v>
      </c>
      <c r="DI1629">
        <v>1</v>
      </c>
      <c r="DJ1629">
        <v>0</v>
      </c>
      <c r="DK1629">
        <v>1</v>
      </c>
      <c r="DL1629">
        <v>0</v>
      </c>
      <c r="DM1629">
        <v>0</v>
      </c>
      <c r="DN1629">
        <v>1</v>
      </c>
      <c r="DO1629">
        <v>0</v>
      </c>
      <c r="DP1629">
        <v>0</v>
      </c>
      <c r="DQ1629">
        <v>0</v>
      </c>
      <c r="DR1629">
        <v>0</v>
      </c>
      <c r="DS1629">
        <v>0</v>
      </c>
    </row>
    <row r="1630" spans="1:123" x14ac:dyDescent="0.3">
      <c r="A1630" t="str">
        <f>"10/04/2022 19:29:50.416"</f>
        <v>10/04/2022 19:29:50.416</v>
      </c>
      <c r="C1630" t="str">
        <f t="shared" si="563"/>
        <v>FFDFD3C0</v>
      </c>
      <c r="D1630" t="s">
        <v>141</v>
      </c>
      <c r="E1630">
        <v>4</v>
      </c>
      <c r="H1630">
        <v>4</v>
      </c>
      <c r="I1630" t="s">
        <v>142</v>
      </c>
      <c r="J1630" t="s">
        <v>138</v>
      </c>
      <c r="K1630">
        <v>0</v>
      </c>
      <c r="L1630">
        <v>3</v>
      </c>
      <c r="M1630">
        <v>0</v>
      </c>
      <c r="N1630">
        <v>2</v>
      </c>
      <c r="O1630">
        <v>0</v>
      </c>
      <c r="P1630">
        <v>1</v>
      </c>
      <c r="Q1630">
        <v>0</v>
      </c>
      <c r="S1630" t="str">
        <f t="shared" si="569"/>
        <v>19:29:50.000</v>
      </c>
      <c r="T1630" t="str">
        <f t="shared" si="569"/>
        <v>19:29:50.000</v>
      </c>
      <c r="U1630" t="str">
        <f t="shared" si="559"/>
        <v>AC3944</v>
      </c>
      <c r="V1630">
        <v>0</v>
      </c>
      <c r="W1630">
        <v>0</v>
      </c>
      <c r="X1630">
        <v>2</v>
      </c>
      <c r="Y1630">
        <v>0</v>
      </c>
      <c r="AA1630">
        <v>1</v>
      </c>
      <c r="AB1630">
        <v>8</v>
      </c>
      <c r="AC1630">
        <v>3</v>
      </c>
      <c r="AD1630">
        <v>0</v>
      </c>
      <c r="AE1630">
        <v>9</v>
      </c>
      <c r="AF1630" t="s">
        <v>138</v>
      </c>
      <c r="AG1630">
        <v>0</v>
      </c>
      <c r="AH1630">
        <v>3</v>
      </c>
      <c r="AI1630">
        <v>1</v>
      </c>
      <c r="AJ1630">
        <v>0</v>
      </c>
      <c r="AK1630" t="s">
        <v>598</v>
      </c>
      <c r="AL1630">
        <v>32.792344</v>
      </c>
      <c r="AM1630" t="s">
        <v>599</v>
      </c>
      <c r="AN1630">
        <v>-116.873374</v>
      </c>
      <c r="AO1630">
        <v>25</v>
      </c>
      <c r="AP1630">
        <v>2600</v>
      </c>
      <c r="AQ1630" t="s">
        <v>129</v>
      </c>
      <c r="AR1630">
        <v>94</v>
      </c>
      <c r="AS1630">
        <v>-80</v>
      </c>
      <c r="AT1630">
        <v>320</v>
      </c>
      <c r="BB1630">
        <v>1200</v>
      </c>
      <c r="BC1630">
        <v>1</v>
      </c>
      <c r="BD1630" t="str">
        <f t="shared" si="560"/>
        <v xml:space="preserve">N887QR  </v>
      </c>
      <c r="BE1630">
        <v>1</v>
      </c>
      <c r="BG1630">
        <v>0</v>
      </c>
      <c r="BH1630">
        <v>0</v>
      </c>
      <c r="BI1630">
        <v>0</v>
      </c>
      <c r="BJ1630">
        <v>2350</v>
      </c>
      <c r="BK1630">
        <v>-250</v>
      </c>
      <c r="BL1630" t="s">
        <v>163</v>
      </c>
      <c r="BM1630">
        <v>1</v>
      </c>
      <c r="BN1630">
        <v>1</v>
      </c>
      <c r="BO1630">
        <v>1</v>
      </c>
      <c r="BP1630">
        <v>0</v>
      </c>
      <c r="BS1630">
        <v>0</v>
      </c>
      <c r="BT1630">
        <v>0</v>
      </c>
      <c r="BU1630">
        <v>0</v>
      </c>
      <c r="CE1630" t="str">
        <f t="shared" si="570"/>
        <v>19:29:50.176</v>
      </c>
      <c r="CF1630">
        <v>176267978</v>
      </c>
      <c r="CS1630">
        <v>3</v>
      </c>
      <c r="CT1630">
        <v>2</v>
      </c>
      <c r="CU1630">
        <v>0</v>
      </c>
      <c r="CV1630">
        <v>2</v>
      </c>
      <c r="CW1630">
        <v>0</v>
      </c>
      <c r="CX1630">
        <v>6</v>
      </c>
      <c r="CY1630">
        <v>7</v>
      </c>
      <c r="CZ1630" t="s">
        <v>131</v>
      </c>
      <c r="DA1630">
        <v>300</v>
      </c>
      <c r="DB1630">
        <v>0</v>
      </c>
      <c r="DC1630" t="s">
        <v>176</v>
      </c>
      <c r="DD1630" t="s">
        <v>177</v>
      </c>
      <c r="DG1630">
        <v>5390904</v>
      </c>
      <c r="DI1630">
        <v>1</v>
      </c>
      <c r="DJ1630">
        <v>0</v>
      </c>
      <c r="DK1630">
        <v>1</v>
      </c>
      <c r="DL1630">
        <v>0</v>
      </c>
      <c r="DM1630">
        <v>0</v>
      </c>
      <c r="DN1630">
        <v>1</v>
      </c>
      <c r="DO1630">
        <v>0</v>
      </c>
      <c r="DP1630">
        <v>0</v>
      </c>
      <c r="DQ1630">
        <v>0</v>
      </c>
      <c r="DR1630">
        <v>0</v>
      </c>
      <c r="DS1630">
        <v>0</v>
      </c>
    </row>
    <row r="1631" spans="1:123" x14ac:dyDescent="0.3">
      <c r="A1631" t="str">
        <f>"10/04/2022 19:29:50.416"</f>
        <v>10/04/2022 19:29:50.416</v>
      </c>
      <c r="C1631" t="str">
        <f t="shared" si="563"/>
        <v>FFDFD3C0</v>
      </c>
      <c r="D1631" t="s">
        <v>143</v>
      </c>
      <c r="E1631">
        <v>20</v>
      </c>
      <c r="F1631">
        <v>1020</v>
      </c>
      <c r="G1631" t="s">
        <v>144</v>
      </c>
      <c r="J1631" t="s">
        <v>145</v>
      </c>
      <c r="K1631">
        <v>0</v>
      </c>
      <c r="L1631">
        <v>3</v>
      </c>
      <c r="M1631">
        <v>0</v>
      </c>
      <c r="N1631">
        <v>2</v>
      </c>
      <c r="O1631">
        <v>0</v>
      </c>
      <c r="P1631">
        <v>1</v>
      </c>
      <c r="Q1631">
        <v>0</v>
      </c>
      <c r="S1631" t="str">
        <f t="shared" si="569"/>
        <v>19:29:50.000</v>
      </c>
      <c r="T1631" t="str">
        <f t="shared" si="569"/>
        <v>19:29:50.000</v>
      </c>
      <c r="U1631" t="str">
        <f t="shared" si="559"/>
        <v>AC3944</v>
      </c>
      <c r="V1631">
        <v>0</v>
      </c>
      <c r="W1631">
        <v>0</v>
      </c>
      <c r="X1631">
        <v>2</v>
      </c>
      <c r="Y1631">
        <v>0</v>
      </c>
      <c r="AA1631">
        <v>1</v>
      </c>
      <c r="AB1631">
        <v>8</v>
      </c>
      <c r="AC1631">
        <v>3</v>
      </c>
      <c r="AD1631">
        <v>0</v>
      </c>
      <c r="AE1631">
        <v>9</v>
      </c>
      <c r="AF1631" t="s">
        <v>138</v>
      </c>
      <c r="AG1631">
        <v>0</v>
      </c>
      <c r="AH1631">
        <v>3</v>
      </c>
      <c r="AI1631">
        <v>1</v>
      </c>
      <c r="AJ1631">
        <v>0</v>
      </c>
      <c r="AK1631" t="s">
        <v>598</v>
      </c>
      <c r="AL1631">
        <v>32.792344</v>
      </c>
      <c r="AM1631" t="s">
        <v>599</v>
      </c>
      <c r="AN1631">
        <v>-116.873374</v>
      </c>
      <c r="AO1631">
        <v>25</v>
      </c>
      <c r="AP1631">
        <v>2600</v>
      </c>
      <c r="AQ1631" t="s">
        <v>129</v>
      </c>
      <c r="AR1631">
        <v>94</v>
      </c>
      <c r="AS1631">
        <v>-80</v>
      </c>
      <c r="AT1631">
        <v>320</v>
      </c>
      <c r="BB1631">
        <v>1200</v>
      </c>
      <c r="BC1631">
        <v>1</v>
      </c>
      <c r="BD1631" t="str">
        <f t="shared" si="560"/>
        <v xml:space="preserve">N887QR  </v>
      </c>
      <c r="BE1631">
        <v>1</v>
      </c>
      <c r="BG1631">
        <v>0</v>
      </c>
      <c r="BH1631">
        <v>0</v>
      </c>
      <c r="BI1631">
        <v>0</v>
      </c>
      <c r="BJ1631">
        <v>2350</v>
      </c>
      <c r="BK1631">
        <v>-250</v>
      </c>
      <c r="BL1631" t="s">
        <v>163</v>
      </c>
      <c r="BM1631">
        <v>1</v>
      </c>
      <c r="BN1631">
        <v>1</v>
      </c>
      <c r="BO1631">
        <v>1</v>
      </c>
      <c r="BP1631">
        <v>0</v>
      </c>
      <c r="BS1631">
        <v>0</v>
      </c>
      <c r="BT1631">
        <v>0</v>
      </c>
      <c r="BU1631">
        <v>0</v>
      </c>
      <c r="CE1631" t="str">
        <f t="shared" si="570"/>
        <v>19:29:50.176</v>
      </c>
      <c r="CF1631">
        <v>176267978</v>
      </c>
      <c r="CS1631">
        <v>3</v>
      </c>
      <c r="CT1631">
        <v>2</v>
      </c>
      <c r="CU1631">
        <v>0</v>
      </c>
      <c r="CV1631">
        <v>2</v>
      </c>
      <c r="CW1631">
        <v>0</v>
      </c>
      <c r="CX1631">
        <v>6</v>
      </c>
      <c r="CY1631">
        <v>7</v>
      </c>
      <c r="CZ1631" t="s">
        <v>131</v>
      </c>
      <c r="DA1631">
        <v>300</v>
      </c>
      <c r="DB1631">
        <v>0</v>
      </c>
      <c r="DC1631" t="s">
        <v>176</v>
      </c>
      <c r="DD1631" t="s">
        <v>177</v>
      </c>
      <c r="DG1631">
        <v>5390904</v>
      </c>
      <c r="DI1631">
        <v>1</v>
      </c>
      <c r="DJ1631">
        <v>0</v>
      </c>
      <c r="DK1631">
        <v>1</v>
      </c>
      <c r="DL1631">
        <v>0</v>
      </c>
      <c r="DM1631">
        <v>0</v>
      </c>
      <c r="DN1631">
        <v>1</v>
      </c>
      <c r="DO1631">
        <v>0</v>
      </c>
      <c r="DP1631">
        <v>0</v>
      </c>
      <c r="DQ1631">
        <v>0</v>
      </c>
      <c r="DR1631">
        <v>0</v>
      </c>
      <c r="DS1631">
        <v>0</v>
      </c>
    </row>
    <row r="1632" spans="1:123" x14ac:dyDescent="0.3">
      <c r="A1632" t="str">
        <f t="shared" ref="A1632:A1637" si="571">"10/04/2022 19:29:51.306"</f>
        <v>10/04/2022 19:29:51.306</v>
      </c>
      <c r="C1632" t="str">
        <f t="shared" si="563"/>
        <v>FFDFD3C0</v>
      </c>
      <c r="D1632" t="s">
        <v>141</v>
      </c>
      <c r="E1632">
        <v>3</v>
      </c>
      <c r="H1632">
        <v>3</v>
      </c>
      <c r="I1632" t="s">
        <v>146</v>
      </c>
      <c r="J1632" t="s">
        <v>138</v>
      </c>
      <c r="K1632">
        <v>0</v>
      </c>
      <c r="L1632">
        <v>3</v>
      </c>
      <c r="M1632">
        <v>0</v>
      </c>
      <c r="N1632">
        <v>2</v>
      </c>
      <c r="O1632">
        <v>0</v>
      </c>
      <c r="P1632">
        <v>1</v>
      </c>
      <c r="Q1632">
        <v>0</v>
      </c>
      <c r="S1632" t="str">
        <f t="shared" ref="S1632:T1638" si="572">"19:29:51.000"</f>
        <v>19:29:51.000</v>
      </c>
      <c r="T1632" t="str">
        <f t="shared" si="572"/>
        <v>19:29:51.000</v>
      </c>
      <c r="U1632" t="str">
        <f t="shared" si="559"/>
        <v>AC3944</v>
      </c>
      <c r="V1632">
        <v>0</v>
      </c>
      <c r="W1632">
        <v>0</v>
      </c>
      <c r="X1632">
        <v>2</v>
      </c>
      <c r="Y1632">
        <v>0</v>
      </c>
      <c r="AA1632">
        <v>1</v>
      </c>
      <c r="AB1632">
        <v>8</v>
      </c>
      <c r="AC1632">
        <v>3</v>
      </c>
      <c r="AD1632">
        <v>0</v>
      </c>
      <c r="AE1632">
        <v>9</v>
      </c>
      <c r="AF1632" t="s">
        <v>138</v>
      </c>
      <c r="AG1632">
        <v>0</v>
      </c>
      <c r="AH1632">
        <v>3</v>
      </c>
      <c r="AI1632">
        <v>1</v>
      </c>
      <c r="AJ1632">
        <v>0</v>
      </c>
      <c r="AK1632" t="s">
        <v>600</v>
      </c>
      <c r="AL1632">
        <v>32.791978999999998</v>
      </c>
      <c r="AM1632" t="s">
        <v>601</v>
      </c>
      <c r="AN1632">
        <v>-116.87285900000001</v>
      </c>
      <c r="AO1632">
        <v>25</v>
      </c>
      <c r="AP1632">
        <v>2700</v>
      </c>
      <c r="AQ1632" t="s">
        <v>129</v>
      </c>
      <c r="AR1632">
        <v>93</v>
      </c>
      <c r="AS1632">
        <v>-81</v>
      </c>
      <c r="AT1632">
        <v>320</v>
      </c>
      <c r="BB1632">
        <v>1200</v>
      </c>
      <c r="BC1632">
        <v>1</v>
      </c>
      <c r="BD1632" t="str">
        <f t="shared" si="560"/>
        <v xml:space="preserve">N887QR  </v>
      </c>
      <c r="BE1632">
        <v>1</v>
      </c>
      <c r="BG1632">
        <v>0</v>
      </c>
      <c r="BH1632">
        <v>0</v>
      </c>
      <c r="BI1632">
        <v>0</v>
      </c>
      <c r="BJ1632">
        <v>2375</v>
      </c>
      <c r="BK1632">
        <v>-325</v>
      </c>
      <c r="BL1632" t="s">
        <v>163</v>
      </c>
      <c r="BM1632">
        <v>1</v>
      </c>
      <c r="BN1632">
        <v>1</v>
      </c>
      <c r="BO1632">
        <v>1</v>
      </c>
      <c r="BP1632">
        <v>0</v>
      </c>
      <c r="BS1632">
        <v>0</v>
      </c>
      <c r="BT1632">
        <v>0</v>
      </c>
      <c r="BU1632">
        <v>0</v>
      </c>
      <c r="CE1632" t="str">
        <f t="shared" ref="CE1632:CE1638" si="573">"19:29:51.079"</f>
        <v>19:29:51.079</v>
      </c>
      <c r="CF1632">
        <v>78520977</v>
      </c>
      <c r="CS1632">
        <v>3</v>
      </c>
      <c r="CT1632">
        <v>2</v>
      </c>
      <c r="CU1632">
        <v>0</v>
      </c>
      <c r="CV1632">
        <v>2</v>
      </c>
      <c r="CW1632">
        <v>0</v>
      </c>
      <c r="CX1632">
        <v>6</v>
      </c>
      <c r="CY1632">
        <v>7</v>
      </c>
      <c r="CZ1632" t="s">
        <v>131</v>
      </c>
      <c r="DA1632">
        <v>300</v>
      </c>
      <c r="DB1632">
        <v>0</v>
      </c>
      <c r="DC1632" t="s">
        <v>176</v>
      </c>
      <c r="DD1632" t="s">
        <v>177</v>
      </c>
      <c r="DG1632">
        <v>5391047</v>
      </c>
      <c r="DI1632">
        <v>1</v>
      </c>
      <c r="DJ1632">
        <v>0</v>
      </c>
      <c r="DK1632">
        <v>0</v>
      </c>
      <c r="DL1632">
        <v>0</v>
      </c>
      <c r="DM1632">
        <v>0</v>
      </c>
      <c r="DN1632">
        <v>1</v>
      </c>
      <c r="DO1632">
        <v>0</v>
      </c>
      <c r="DP1632">
        <v>0</v>
      </c>
      <c r="DQ1632">
        <v>0</v>
      </c>
      <c r="DR1632">
        <v>0</v>
      </c>
      <c r="DS1632">
        <v>0</v>
      </c>
    </row>
    <row r="1633" spans="1:123" x14ac:dyDescent="0.3">
      <c r="A1633" t="str">
        <f t="shared" si="571"/>
        <v>10/04/2022 19:29:51.306</v>
      </c>
      <c r="C1633" t="str">
        <f t="shared" si="563"/>
        <v>FFDFD3C0</v>
      </c>
      <c r="D1633" t="s">
        <v>141</v>
      </c>
      <c r="E1633">
        <v>4</v>
      </c>
      <c r="H1633">
        <v>4</v>
      </c>
      <c r="I1633" t="s">
        <v>142</v>
      </c>
      <c r="J1633" t="s">
        <v>138</v>
      </c>
      <c r="K1633">
        <v>0</v>
      </c>
      <c r="L1633">
        <v>3</v>
      </c>
      <c r="M1633">
        <v>0</v>
      </c>
      <c r="N1633">
        <v>2</v>
      </c>
      <c r="O1633">
        <v>0</v>
      </c>
      <c r="P1633">
        <v>1</v>
      </c>
      <c r="Q1633">
        <v>0</v>
      </c>
      <c r="S1633" t="str">
        <f t="shared" si="572"/>
        <v>19:29:51.000</v>
      </c>
      <c r="T1633" t="str">
        <f t="shared" si="572"/>
        <v>19:29:51.000</v>
      </c>
      <c r="U1633" t="str">
        <f t="shared" si="559"/>
        <v>AC3944</v>
      </c>
      <c r="V1633">
        <v>0</v>
      </c>
      <c r="W1633">
        <v>0</v>
      </c>
      <c r="X1633">
        <v>2</v>
      </c>
      <c r="Y1633">
        <v>0</v>
      </c>
      <c r="AA1633">
        <v>1</v>
      </c>
      <c r="AB1633">
        <v>8</v>
      </c>
      <c r="AC1633">
        <v>3</v>
      </c>
      <c r="AD1633">
        <v>0</v>
      </c>
      <c r="AE1633">
        <v>9</v>
      </c>
      <c r="AF1633" t="s">
        <v>138</v>
      </c>
      <c r="AG1633">
        <v>0</v>
      </c>
      <c r="AH1633">
        <v>3</v>
      </c>
      <c r="AI1633">
        <v>1</v>
      </c>
      <c r="AJ1633">
        <v>0</v>
      </c>
      <c r="AK1633" t="s">
        <v>600</v>
      </c>
      <c r="AL1633">
        <v>32.791978999999998</v>
      </c>
      <c r="AM1633" t="s">
        <v>601</v>
      </c>
      <c r="AN1633">
        <v>-116.87285900000001</v>
      </c>
      <c r="AO1633">
        <v>25</v>
      </c>
      <c r="AP1633">
        <v>2700</v>
      </c>
      <c r="AQ1633" t="s">
        <v>129</v>
      </c>
      <c r="AR1633">
        <v>93</v>
      </c>
      <c r="AS1633">
        <v>-81</v>
      </c>
      <c r="AT1633">
        <v>320</v>
      </c>
      <c r="BB1633">
        <v>1200</v>
      </c>
      <c r="BC1633">
        <v>1</v>
      </c>
      <c r="BD1633" t="str">
        <f t="shared" si="560"/>
        <v xml:space="preserve">N887QR  </v>
      </c>
      <c r="BE1633">
        <v>1</v>
      </c>
      <c r="BG1633">
        <v>0</v>
      </c>
      <c r="BH1633">
        <v>0</v>
      </c>
      <c r="BI1633">
        <v>0</v>
      </c>
      <c r="BJ1633">
        <v>2375</v>
      </c>
      <c r="BK1633">
        <v>-325</v>
      </c>
      <c r="BL1633" t="s">
        <v>163</v>
      </c>
      <c r="BM1633">
        <v>1</v>
      </c>
      <c r="BN1633">
        <v>1</v>
      </c>
      <c r="BO1633">
        <v>1</v>
      </c>
      <c r="BP1633">
        <v>0</v>
      </c>
      <c r="BS1633">
        <v>0</v>
      </c>
      <c r="BT1633">
        <v>0</v>
      </c>
      <c r="BU1633">
        <v>0</v>
      </c>
      <c r="CE1633" t="str">
        <f t="shared" si="573"/>
        <v>19:29:51.079</v>
      </c>
      <c r="CF1633">
        <v>78520977</v>
      </c>
      <c r="CS1633">
        <v>3</v>
      </c>
      <c r="CT1633">
        <v>2</v>
      </c>
      <c r="CU1633">
        <v>0</v>
      </c>
      <c r="CV1633">
        <v>2</v>
      </c>
      <c r="CW1633">
        <v>0</v>
      </c>
      <c r="CX1633">
        <v>6</v>
      </c>
      <c r="CY1633">
        <v>7</v>
      </c>
      <c r="CZ1633" t="s">
        <v>131</v>
      </c>
      <c r="DA1633">
        <v>300</v>
      </c>
      <c r="DB1633">
        <v>0</v>
      </c>
      <c r="DC1633" t="s">
        <v>176</v>
      </c>
      <c r="DD1633" t="s">
        <v>177</v>
      </c>
      <c r="DG1633">
        <v>5391047</v>
      </c>
      <c r="DI1633">
        <v>1</v>
      </c>
      <c r="DJ1633">
        <v>0</v>
      </c>
      <c r="DK1633">
        <v>1</v>
      </c>
      <c r="DL1633">
        <v>0</v>
      </c>
      <c r="DM1633">
        <v>0</v>
      </c>
      <c r="DN1633">
        <v>1</v>
      </c>
      <c r="DO1633">
        <v>0</v>
      </c>
      <c r="DP1633">
        <v>0</v>
      </c>
      <c r="DQ1633">
        <v>0</v>
      </c>
      <c r="DR1633">
        <v>0</v>
      </c>
      <c r="DS1633">
        <v>0</v>
      </c>
    </row>
    <row r="1634" spans="1:123" x14ac:dyDescent="0.3">
      <c r="A1634" t="str">
        <f t="shared" si="571"/>
        <v>10/04/2022 19:29:51.306</v>
      </c>
      <c r="C1634" t="str">
        <f t="shared" si="563"/>
        <v>FFDFD3C0</v>
      </c>
      <c r="D1634" t="s">
        <v>147</v>
      </c>
      <c r="E1634">
        <v>3</v>
      </c>
      <c r="H1634">
        <v>166</v>
      </c>
      <c r="I1634" t="s">
        <v>144</v>
      </c>
      <c r="J1634" t="s">
        <v>148</v>
      </c>
      <c r="K1634">
        <v>0</v>
      </c>
      <c r="L1634">
        <v>3</v>
      </c>
      <c r="M1634">
        <v>0</v>
      </c>
      <c r="N1634">
        <v>2</v>
      </c>
      <c r="O1634">
        <v>0</v>
      </c>
      <c r="P1634">
        <v>1</v>
      </c>
      <c r="Q1634">
        <v>0</v>
      </c>
      <c r="S1634" t="str">
        <f t="shared" si="572"/>
        <v>19:29:51.000</v>
      </c>
      <c r="T1634" t="str">
        <f t="shared" si="572"/>
        <v>19:29:51.000</v>
      </c>
      <c r="U1634" t="str">
        <f t="shared" si="559"/>
        <v>AC3944</v>
      </c>
      <c r="V1634">
        <v>0</v>
      </c>
      <c r="W1634">
        <v>0</v>
      </c>
      <c r="X1634">
        <v>2</v>
      </c>
      <c r="Y1634">
        <v>0</v>
      </c>
      <c r="AA1634">
        <v>1</v>
      </c>
      <c r="AB1634">
        <v>8</v>
      </c>
      <c r="AC1634">
        <v>3</v>
      </c>
      <c r="AD1634">
        <v>0</v>
      </c>
      <c r="AE1634">
        <v>9</v>
      </c>
      <c r="AF1634" t="s">
        <v>138</v>
      </c>
      <c r="AG1634">
        <v>0</v>
      </c>
      <c r="AH1634">
        <v>3</v>
      </c>
      <c r="AI1634">
        <v>1</v>
      </c>
      <c r="AJ1634">
        <v>0</v>
      </c>
      <c r="AK1634" t="s">
        <v>600</v>
      </c>
      <c r="AL1634">
        <v>32.791978999999998</v>
      </c>
      <c r="AM1634" t="s">
        <v>601</v>
      </c>
      <c r="AN1634">
        <v>-116.87285900000001</v>
      </c>
      <c r="AO1634">
        <v>25</v>
      </c>
      <c r="AP1634">
        <v>2700</v>
      </c>
      <c r="AQ1634" t="s">
        <v>129</v>
      </c>
      <c r="AR1634">
        <v>93</v>
      </c>
      <c r="AS1634">
        <v>-81</v>
      </c>
      <c r="AT1634">
        <v>320</v>
      </c>
      <c r="BB1634">
        <v>1200</v>
      </c>
      <c r="BC1634">
        <v>1</v>
      </c>
      <c r="BD1634" t="str">
        <f t="shared" si="560"/>
        <v xml:space="preserve">N887QR  </v>
      </c>
      <c r="BE1634">
        <v>1</v>
      </c>
      <c r="BG1634">
        <v>0</v>
      </c>
      <c r="BH1634">
        <v>0</v>
      </c>
      <c r="BI1634">
        <v>0</v>
      </c>
      <c r="BJ1634">
        <v>2375</v>
      </c>
      <c r="BK1634">
        <v>-325</v>
      </c>
      <c r="BL1634" t="s">
        <v>163</v>
      </c>
      <c r="BM1634">
        <v>1</v>
      </c>
      <c r="BN1634">
        <v>1</v>
      </c>
      <c r="BO1634">
        <v>1</v>
      </c>
      <c r="BP1634">
        <v>0</v>
      </c>
      <c r="BS1634">
        <v>0</v>
      </c>
      <c r="BT1634">
        <v>0</v>
      </c>
      <c r="BU1634">
        <v>0</v>
      </c>
      <c r="CE1634" t="str">
        <f t="shared" si="573"/>
        <v>19:29:51.079</v>
      </c>
      <c r="CF1634">
        <v>78520977</v>
      </c>
      <c r="CS1634">
        <v>3</v>
      </c>
      <c r="CT1634">
        <v>2</v>
      </c>
      <c r="CU1634">
        <v>0</v>
      </c>
      <c r="CV1634">
        <v>2</v>
      </c>
      <c r="CW1634">
        <v>0</v>
      </c>
      <c r="CX1634">
        <v>6</v>
      </c>
      <c r="CY1634">
        <v>7</v>
      </c>
      <c r="CZ1634" t="s">
        <v>131</v>
      </c>
      <c r="DA1634">
        <v>300</v>
      </c>
      <c r="DB1634">
        <v>0</v>
      </c>
      <c r="DC1634" t="s">
        <v>176</v>
      </c>
      <c r="DD1634" t="s">
        <v>177</v>
      </c>
      <c r="DG1634">
        <v>5391047</v>
      </c>
      <c r="DI1634">
        <v>1</v>
      </c>
      <c r="DJ1634">
        <v>0</v>
      </c>
      <c r="DK1634">
        <v>1</v>
      </c>
      <c r="DL1634">
        <v>0</v>
      </c>
      <c r="DM1634">
        <v>0</v>
      </c>
      <c r="DN1634">
        <v>1</v>
      </c>
      <c r="DO1634">
        <v>0</v>
      </c>
      <c r="DP1634">
        <v>0</v>
      </c>
      <c r="DQ1634">
        <v>0</v>
      </c>
      <c r="DR1634">
        <v>0</v>
      </c>
      <c r="DS1634">
        <v>0</v>
      </c>
    </row>
    <row r="1635" spans="1:123" x14ac:dyDescent="0.3">
      <c r="A1635" t="str">
        <f t="shared" si="571"/>
        <v>10/04/2022 19:29:51.306</v>
      </c>
      <c r="C1635" t="str">
        <f t="shared" si="563"/>
        <v>FFDFD3C0</v>
      </c>
      <c r="D1635" t="s">
        <v>143</v>
      </c>
      <c r="E1635">
        <v>20</v>
      </c>
      <c r="F1635">
        <v>1020</v>
      </c>
      <c r="G1635" t="s">
        <v>144</v>
      </c>
      <c r="J1635" t="s">
        <v>145</v>
      </c>
      <c r="K1635">
        <v>0</v>
      </c>
      <c r="L1635">
        <v>3</v>
      </c>
      <c r="M1635">
        <v>0</v>
      </c>
      <c r="N1635">
        <v>2</v>
      </c>
      <c r="O1635">
        <v>0</v>
      </c>
      <c r="P1635">
        <v>1</v>
      </c>
      <c r="Q1635">
        <v>0</v>
      </c>
      <c r="S1635" t="str">
        <f t="shared" si="572"/>
        <v>19:29:51.000</v>
      </c>
      <c r="T1635" t="str">
        <f t="shared" si="572"/>
        <v>19:29:51.000</v>
      </c>
      <c r="U1635" t="str">
        <f t="shared" si="559"/>
        <v>AC3944</v>
      </c>
      <c r="V1635">
        <v>0</v>
      </c>
      <c r="W1635">
        <v>0</v>
      </c>
      <c r="X1635">
        <v>2</v>
      </c>
      <c r="Y1635">
        <v>0</v>
      </c>
      <c r="AA1635">
        <v>1</v>
      </c>
      <c r="AB1635">
        <v>8</v>
      </c>
      <c r="AC1635">
        <v>3</v>
      </c>
      <c r="AD1635">
        <v>0</v>
      </c>
      <c r="AE1635">
        <v>9</v>
      </c>
      <c r="AF1635" t="s">
        <v>138</v>
      </c>
      <c r="AG1635">
        <v>0</v>
      </c>
      <c r="AH1635">
        <v>3</v>
      </c>
      <c r="AI1635">
        <v>1</v>
      </c>
      <c r="AJ1635">
        <v>0</v>
      </c>
      <c r="AK1635" t="s">
        <v>600</v>
      </c>
      <c r="AL1635">
        <v>32.791978999999998</v>
      </c>
      <c r="AM1635" t="s">
        <v>601</v>
      </c>
      <c r="AN1635">
        <v>-116.87285900000001</v>
      </c>
      <c r="AO1635">
        <v>25</v>
      </c>
      <c r="AP1635">
        <v>2700</v>
      </c>
      <c r="AQ1635" t="s">
        <v>129</v>
      </c>
      <c r="AR1635">
        <v>93</v>
      </c>
      <c r="AS1635">
        <v>-81</v>
      </c>
      <c r="AT1635">
        <v>320</v>
      </c>
      <c r="BB1635">
        <v>1200</v>
      </c>
      <c r="BC1635">
        <v>1</v>
      </c>
      <c r="BD1635" t="str">
        <f t="shared" si="560"/>
        <v xml:space="preserve">N887QR  </v>
      </c>
      <c r="BE1635">
        <v>1</v>
      </c>
      <c r="BG1635">
        <v>0</v>
      </c>
      <c r="BH1635">
        <v>0</v>
      </c>
      <c r="BI1635">
        <v>0</v>
      </c>
      <c r="BJ1635">
        <v>2375</v>
      </c>
      <c r="BK1635">
        <v>-325</v>
      </c>
      <c r="BL1635" t="s">
        <v>163</v>
      </c>
      <c r="BM1635">
        <v>1</v>
      </c>
      <c r="BN1635">
        <v>1</v>
      </c>
      <c r="BO1635">
        <v>1</v>
      </c>
      <c r="BP1635">
        <v>0</v>
      </c>
      <c r="BS1635">
        <v>0</v>
      </c>
      <c r="BT1635">
        <v>0</v>
      </c>
      <c r="BU1635">
        <v>0</v>
      </c>
      <c r="CE1635" t="str">
        <f t="shared" si="573"/>
        <v>19:29:51.079</v>
      </c>
      <c r="CF1635">
        <v>78520977</v>
      </c>
      <c r="CS1635">
        <v>3</v>
      </c>
      <c r="CT1635">
        <v>2</v>
      </c>
      <c r="CU1635">
        <v>0</v>
      </c>
      <c r="CV1635">
        <v>2</v>
      </c>
      <c r="CW1635">
        <v>0</v>
      </c>
      <c r="CX1635">
        <v>6</v>
      </c>
      <c r="CY1635">
        <v>7</v>
      </c>
      <c r="CZ1635" t="s">
        <v>131</v>
      </c>
      <c r="DA1635">
        <v>300</v>
      </c>
      <c r="DB1635">
        <v>0</v>
      </c>
      <c r="DC1635" t="s">
        <v>176</v>
      </c>
      <c r="DD1635" t="s">
        <v>177</v>
      </c>
      <c r="DG1635">
        <v>5391047</v>
      </c>
      <c r="DI1635">
        <v>1</v>
      </c>
      <c r="DJ1635">
        <v>0</v>
      </c>
      <c r="DK1635">
        <v>1</v>
      </c>
      <c r="DL1635">
        <v>0</v>
      </c>
      <c r="DM1635">
        <v>0</v>
      </c>
      <c r="DN1635">
        <v>1</v>
      </c>
      <c r="DO1635">
        <v>0</v>
      </c>
      <c r="DP1635">
        <v>0</v>
      </c>
      <c r="DQ1635">
        <v>0</v>
      </c>
      <c r="DR1635">
        <v>0</v>
      </c>
      <c r="DS1635">
        <v>0</v>
      </c>
    </row>
    <row r="1636" spans="1:123" x14ac:dyDescent="0.3">
      <c r="A1636" t="str">
        <f t="shared" si="571"/>
        <v>10/04/2022 19:29:51.306</v>
      </c>
      <c r="C1636" t="str">
        <f t="shared" si="563"/>
        <v>FFDFD3C0</v>
      </c>
      <c r="D1636" t="s">
        <v>123</v>
      </c>
      <c r="E1636">
        <v>7</v>
      </c>
      <c r="F1636">
        <v>2007</v>
      </c>
      <c r="G1636" t="s">
        <v>124</v>
      </c>
      <c r="J1636" t="s">
        <v>125</v>
      </c>
      <c r="K1636">
        <v>0</v>
      </c>
      <c r="L1636">
        <v>3</v>
      </c>
      <c r="M1636">
        <v>0</v>
      </c>
      <c r="N1636">
        <v>2</v>
      </c>
      <c r="O1636">
        <v>0</v>
      </c>
      <c r="P1636">
        <v>1</v>
      </c>
      <c r="Q1636">
        <v>0</v>
      </c>
      <c r="S1636" t="str">
        <f t="shared" si="572"/>
        <v>19:29:51.000</v>
      </c>
      <c r="T1636" t="str">
        <f t="shared" si="572"/>
        <v>19:29:51.000</v>
      </c>
      <c r="U1636" t="str">
        <f t="shared" si="559"/>
        <v>AC3944</v>
      </c>
      <c r="V1636">
        <v>0</v>
      </c>
      <c r="W1636">
        <v>0</v>
      </c>
      <c r="X1636">
        <v>2</v>
      </c>
      <c r="Y1636">
        <v>0</v>
      </c>
      <c r="AA1636">
        <v>1</v>
      </c>
      <c r="AB1636">
        <v>8</v>
      </c>
      <c r="AC1636">
        <v>3</v>
      </c>
      <c r="AD1636">
        <v>0</v>
      </c>
      <c r="AE1636">
        <v>9</v>
      </c>
      <c r="AF1636" t="s">
        <v>138</v>
      </c>
      <c r="AG1636">
        <v>0</v>
      </c>
      <c r="AH1636">
        <v>3</v>
      </c>
      <c r="AI1636">
        <v>1</v>
      </c>
      <c r="AJ1636">
        <v>0</v>
      </c>
      <c r="AK1636" t="s">
        <v>600</v>
      </c>
      <c r="AL1636">
        <v>32.791978999999998</v>
      </c>
      <c r="AM1636" t="s">
        <v>601</v>
      </c>
      <c r="AN1636">
        <v>-116.87285900000001</v>
      </c>
      <c r="AO1636">
        <v>25</v>
      </c>
      <c r="AP1636">
        <v>2700</v>
      </c>
      <c r="AQ1636" t="s">
        <v>129</v>
      </c>
      <c r="AR1636">
        <v>93</v>
      </c>
      <c r="AS1636">
        <v>-81</v>
      </c>
      <c r="AT1636">
        <v>320</v>
      </c>
      <c r="BB1636">
        <v>1200</v>
      </c>
      <c r="BC1636">
        <v>1</v>
      </c>
      <c r="BD1636" t="str">
        <f t="shared" si="560"/>
        <v xml:space="preserve">N887QR  </v>
      </c>
      <c r="BE1636">
        <v>1</v>
      </c>
      <c r="BG1636">
        <v>0</v>
      </c>
      <c r="BH1636">
        <v>0</v>
      </c>
      <c r="BI1636">
        <v>0</v>
      </c>
      <c r="BJ1636">
        <v>2375</v>
      </c>
      <c r="BK1636">
        <v>-325</v>
      </c>
      <c r="BL1636" t="s">
        <v>163</v>
      </c>
      <c r="BM1636">
        <v>1</v>
      </c>
      <c r="BN1636">
        <v>1</v>
      </c>
      <c r="BO1636">
        <v>1</v>
      </c>
      <c r="BP1636">
        <v>0</v>
      </c>
      <c r="BS1636">
        <v>0</v>
      </c>
      <c r="BT1636">
        <v>0</v>
      </c>
      <c r="BU1636">
        <v>0</v>
      </c>
      <c r="CE1636" t="str">
        <f t="shared" si="573"/>
        <v>19:29:51.079</v>
      </c>
      <c r="CF1636">
        <v>78520977</v>
      </c>
      <c r="CS1636">
        <v>3</v>
      </c>
      <c r="CT1636">
        <v>2</v>
      </c>
      <c r="CU1636">
        <v>0</v>
      </c>
      <c r="CV1636">
        <v>2</v>
      </c>
      <c r="CW1636">
        <v>0</v>
      </c>
      <c r="CX1636">
        <v>6</v>
      </c>
      <c r="CY1636">
        <v>7</v>
      </c>
      <c r="CZ1636" t="s">
        <v>131</v>
      </c>
      <c r="DA1636">
        <v>300</v>
      </c>
      <c r="DB1636">
        <v>0</v>
      </c>
      <c r="DC1636" t="s">
        <v>176</v>
      </c>
      <c r="DD1636" t="s">
        <v>177</v>
      </c>
      <c r="DG1636">
        <v>5391047</v>
      </c>
      <c r="DI1636">
        <v>1</v>
      </c>
      <c r="DJ1636">
        <v>0</v>
      </c>
      <c r="DK1636">
        <v>1</v>
      </c>
      <c r="DL1636">
        <v>0</v>
      </c>
      <c r="DM1636">
        <v>0</v>
      </c>
      <c r="DN1636">
        <v>1</v>
      </c>
      <c r="DO1636">
        <v>0</v>
      </c>
      <c r="DP1636">
        <v>0</v>
      </c>
      <c r="DQ1636">
        <v>0</v>
      </c>
      <c r="DR1636">
        <v>0</v>
      </c>
      <c r="DS1636">
        <v>0</v>
      </c>
    </row>
    <row r="1637" spans="1:123" x14ac:dyDescent="0.3">
      <c r="A1637" t="str">
        <f t="shared" si="571"/>
        <v>10/04/2022 19:29:51.306</v>
      </c>
      <c r="C1637" t="str">
        <f t="shared" ref="C1637:C1668" si="574">"FFDFD3C0"</f>
        <v>FFDFD3C0</v>
      </c>
      <c r="D1637" t="s">
        <v>136</v>
      </c>
      <c r="E1637">
        <v>8</v>
      </c>
      <c r="H1637">
        <v>225</v>
      </c>
      <c r="I1637" t="s">
        <v>137</v>
      </c>
      <c r="J1637" t="s">
        <v>138</v>
      </c>
      <c r="K1637">
        <v>0</v>
      </c>
      <c r="L1637">
        <v>3</v>
      </c>
      <c r="M1637">
        <v>0</v>
      </c>
      <c r="N1637">
        <v>2</v>
      </c>
      <c r="O1637">
        <v>0</v>
      </c>
      <c r="P1637">
        <v>1</v>
      </c>
      <c r="Q1637">
        <v>0</v>
      </c>
      <c r="S1637" t="str">
        <f t="shared" si="572"/>
        <v>19:29:51.000</v>
      </c>
      <c r="T1637" t="str">
        <f t="shared" si="572"/>
        <v>19:29:51.000</v>
      </c>
      <c r="U1637" t="str">
        <f t="shared" si="559"/>
        <v>AC3944</v>
      </c>
      <c r="V1637">
        <v>0</v>
      </c>
      <c r="W1637">
        <v>0</v>
      </c>
      <c r="X1637">
        <v>2</v>
      </c>
      <c r="Y1637">
        <v>0</v>
      </c>
      <c r="AA1637">
        <v>1</v>
      </c>
      <c r="AB1637">
        <v>8</v>
      </c>
      <c r="AC1637">
        <v>3</v>
      </c>
      <c r="AD1637">
        <v>0</v>
      </c>
      <c r="AE1637">
        <v>9</v>
      </c>
      <c r="AF1637" t="s">
        <v>138</v>
      </c>
      <c r="AG1637">
        <v>0</v>
      </c>
      <c r="AH1637">
        <v>3</v>
      </c>
      <c r="AI1637">
        <v>1</v>
      </c>
      <c r="AJ1637">
        <v>0</v>
      </c>
      <c r="AK1637" t="s">
        <v>600</v>
      </c>
      <c r="AL1637">
        <v>32.791978999999998</v>
      </c>
      <c r="AM1637" t="s">
        <v>601</v>
      </c>
      <c r="AN1637">
        <v>-116.87285900000001</v>
      </c>
      <c r="AO1637">
        <v>25</v>
      </c>
      <c r="AP1637">
        <v>2700</v>
      </c>
      <c r="AQ1637" t="s">
        <v>129</v>
      </c>
      <c r="AR1637">
        <v>93</v>
      </c>
      <c r="AS1637">
        <v>-81</v>
      </c>
      <c r="AT1637">
        <v>320</v>
      </c>
      <c r="BB1637">
        <v>1200</v>
      </c>
      <c r="BC1637">
        <v>1</v>
      </c>
      <c r="BD1637" t="str">
        <f t="shared" si="560"/>
        <v xml:space="preserve">N887QR  </v>
      </c>
      <c r="BE1637">
        <v>1</v>
      </c>
      <c r="BG1637">
        <v>0</v>
      </c>
      <c r="BH1637">
        <v>0</v>
      </c>
      <c r="BI1637">
        <v>0</v>
      </c>
      <c r="BJ1637">
        <v>2375</v>
      </c>
      <c r="BK1637">
        <v>-325</v>
      </c>
      <c r="BL1637" t="s">
        <v>163</v>
      </c>
      <c r="BM1637">
        <v>1</v>
      </c>
      <c r="BN1637">
        <v>1</v>
      </c>
      <c r="BO1637">
        <v>1</v>
      </c>
      <c r="BP1637">
        <v>0</v>
      </c>
      <c r="BS1637">
        <v>0</v>
      </c>
      <c r="BT1637">
        <v>0</v>
      </c>
      <c r="BU1637">
        <v>0</v>
      </c>
      <c r="CE1637" t="str">
        <f t="shared" si="573"/>
        <v>19:29:51.079</v>
      </c>
      <c r="CF1637">
        <v>78520977</v>
      </c>
      <c r="CS1637">
        <v>3</v>
      </c>
      <c r="CT1637">
        <v>2</v>
      </c>
      <c r="CU1637">
        <v>0</v>
      </c>
      <c r="CV1637">
        <v>2</v>
      </c>
      <c r="CW1637">
        <v>0</v>
      </c>
      <c r="CX1637">
        <v>6</v>
      </c>
      <c r="CY1637">
        <v>7</v>
      </c>
      <c r="CZ1637" t="s">
        <v>131</v>
      </c>
      <c r="DA1637">
        <v>300</v>
      </c>
      <c r="DB1637">
        <v>0</v>
      </c>
      <c r="DC1637" t="s">
        <v>176</v>
      </c>
      <c r="DD1637" t="s">
        <v>177</v>
      </c>
      <c r="DG1637">
        <v>5391047</v>
      </c>
      <c r="DI1637">
        <v>1</v>
      </c>
      <c r="DJ1637">
        <v>0</v>
      </c>
      <c r="DK1637">
        <v>1</v>
      </c>
      <c r="DL1637">
        <v>0</v>
      </c>
      <c r="DM1637">
        <v>0</v>
      </c>
      <c r="DN1637">
        <v>1</v>
      </c>
      <c r="DO1637">
        <v>0</v>
      </c>
      <c r="DP1637">
        <v>0</v>
      </c>
      <c r="DQ1637">
        <v>0</v>
      </c>
      <c r="DR1637">
        <v>0</v>
      </c>
      <c r="DS1637">
        <v>0</v>
      </c>
    </row>
    <row r="1638" spans="1:123" x14ac:dyDescent="0.3">
      <c r="A1638" t="str">
        <f>"10/04/2022 19:29:51.353"</f>
        <v>10/04/2022 19:29:51.353</v>
      </c>
      <c r="C1638" t="str">
        <f t="shared" si="574"/>
        <v>FFDFD3C0</v>
      </c>
      <c r="D1638" t="s">
        <v>134</v>
      </c>
      <c r="E1638">
        <v>15</v>
      </c>
      <c r="J1638" t="s">
        <v>135</v>
      </c>
      <c r="K1638">
        <v>0</v>
      </c>
      <c r="L1638">
        <v>3</v>
      </c>
      <c r="M1638">
        <v>0</v>
      </c>
      <c r="N1638">
        <v>2</v>
      </c>
      <c r="O1638">
        <v>0</v>
      </c>
      <c r="P1638">
        <v>1</v>
      </c>
      <c r="Q1638">
        <v>0</v>
      </c>
      <c r="S1638" t="str">
        <f t="shared" si="572"/>
        <v>19:29:51.000</v>
      </c>
      <c r="T1638" t="str">
        <f t="shared" si="572"/>
        <v>19:29:51.000</v>
      </c>
      <c r="U1638" t="str">
        <f t="shared" si="559"/>
        <v>AC3944</v>
      </c>
      <c r="V1638">
        <v>0</v>
      </c>
      <c r="W1638">
        <v>0</v>
      </c>
      <c r="X1638">
        <v>2</v>
      </c>
      <c r="Y1638">
        <v>0</v>
      </c>
      <c r="AA1638">
        <v>1</v>
      </c>
      <c r="AB1638">
        <v>8</v>
      </c>
      <c r="AC1638">
        <v>3</v>
      </c>
      <c r="AD1638">
        <v>0</v>
      </c>
      <c r="AE1638">
        <v>9</v>
      </c>
      <c r="AF1638" t="s">
        <v>138</v>
      </c>
      <c r="AG1638">
        <v>0</v>
      </c>
      <c r="AH1638">
        <v>3</v>
      </c>
      <c r="AI1638">
        <v>1</v>
      </c>
      <c r="AJ1638">
        <v>0</v>
      </c>
      <c r="AK1638" t="s">
        <v>600</v>
      </c>
      <c r="AL1638">
        <v>32.791978999999998</v>
      </c>
      <c r="AM1638" t="s">
        <v>601</v>
      </c>
      <c r="AN1638">
        <v>-116.87285900000001</v>
      </c>
      <c r="AO1638">
        <v>25</v>
      </c>
      <c r="AP1638">
        <v>2700</v>
      </c>
      <c r="AQ1638" t="s">
        <v>129</v>
      </c>
      <c r="AR1638">
        <v>93</v>
      </c>
      <c r="AS1638">
        <v>-81</v>
      </c>
      <c r="AT1638">
        <v>320</v>
      </c>
      <c r="BB1638">
        <v>1200</v>
      </c>
      <c r="BC1638">
        <v>1</v>
      </c>
      <c r="BD1638" t="str">
        <f t="shared" si="560"/>
        <v xml:space="preserve">N887QR  </v>
      </c>
      <c r="BE1638">
        <v>1</v>
      </c>
      <c r="BG1638">
        <v>0</v>
      </c>
      <c r="BH1638">
        <v>0</v>
      </c>
      <c r="BI1638">
        <v>0</v>
      </c>
      <c r="BJ1638">
        <v>2375</v>
      </c>
      <c r="BK1638">
        <v>-325</v>
      </c>
      <c r="BL1638" t="s">
        <v>163</v>
      </c>
      <c r="BM1638">
        <v>1</v>
      </c>
      <c r="BN1638">
        <v>1</v>
      </c>
      <c r="BO1638">
        <v>1</v>
      </c>
      <c r="BP1638">
        <v>0</v>
      </c>
      <c r="BS1638">
        <v>0</v>
      </c>
      <c r="BT1638">
        <v>0</v>
      </c>
      <c r="BU1638">
        <v>0</v>
      </c>
      <c r="CE1638" t="str">
        <f t="shared" si="573"/>
        <v>19:29:51.079</v>
      </c>
      <c r="CF1638">
        <v>78520977</v>
      </c>
      <c r="CS1638">
        <v>3</v>
      </c>
      <c r="CT1638">
        <v>2</v>
      </c>
      <c r="CU1638">
        <v>0</v>
      </c>
      <c r="CV1638">
        <v>2</v>
      </c>
      <c r="CW1638">
        <v>0</v>
      </c>
      <c r="CX1638">
        <v>6</v>
      </c>
      <c r="CY1638">
        <v>7</v>
      </c>
      <c r="CZ1638" t="s">
        <v>131</v>
      </c>
      <c r="DA1638">
        <v>300</v>
      </c>
      <c r="DB1638">
        <v>0</v>
      </c>
      <c r="DC1638" t="s">
        <v>176</v>
      </c>
      <c r="DD1638" t="s">
        <v>177</v>
      </c>
      <c r="DG1638">
        <v>5391047</v>
      </c>
      <c r="DI1638">
        <v>1</v>
      </c>
      <c r="DJ1638">
        <v>0</v>
      </c>
      <c r="DK1638">
        <v>1</v>
      </c>
      <c r="DL1638">
        <v>0</v>
      </c>
      <c r="DM1638">
        <v>0</v>
      </c>
      <c r="DN1638">
        <v>1</v>
      </c>
      <c r="DO1638">
        <v>0</v>
      </c>
      <c r="DP1638">
        <v>0</v>
      </c>
      <c r="DQ1638">
        <v>0</v>
      </c>
      <c r="DR1638">
        <v>0</v>
      </c>
      <c r="DS1638">
        <v>0</v>
      </c>
    </row>
    <row r="1639" spans="1:123" x14ac:dyDescent="0.3">
      <c r="A1639" t="str">
        <f>"10/04/2022 19:29:52.822"</f>
        <v>10/04/2022 19:29:52.822</v>
      </c>
      <c r="C1639" t="str">
        <f t="shared" si="574"/>
        <v>FFDFD3C0</v>
      </c>
      <c r="D1639" t="s">
        <v>123</v>
      </c>
      <c r="E1639">
        <v>7</v>
      </c>
      <c r="F1639">
        <v>2007</v>
      </c>
      <c r="G1639" t="s">
        <v>124</v>
      </c>
      <c r="J1639" t="s">
        <v>125</v>
      </c>
      <c r="K1639">
        <v>0</v>
      </c>
      <c r="L1639">
        <v>3</v>
      </c>
      <c r="M1639">
        <v>0</v>
      </c>
      <c r="N1639">
        <v>2</v>
      </c>
      <c r="O1639">
        <v>0</v>
      </c>
      <c r="P1639">
        <v>1</v>
      </c>
      <c r="Q1639">
        <v>0</v>
      </c>
      <c r="S1639" t="str">
        <f t="shared" ref="S1639:T1645" si="575">"19:29:52.000"</f>
        <v>19:29:52.000</v>
      </c>
      <c r="T1639" t="str">
        <f t="shared" si="575"/>
        <v>19:29:52.000</v>
      </c>
      <c r="U1639" t="str">
        <f t="shared" si="559"/>
        <v>AC3944</v>
      </c>
      <c r="V1639">
        <v>0</v>
      </c>
      <c r="W1639">
        <v>0</v>
      </c>
      <c r="X1639">
        <v>2</v>
      </c>
      <c r="Y1639">
        <v>0</v>
      </c>
      <c r="AA1639">
        <v>1</v>
      </c>
      <c r="AB1639">
        <v>8</v>
      </c>
      <c r="AC1639">
        <v>3</v>
      </c>
      <c r="AD1639">
        <v>0</v>
      </c>
      <c r="AE1639">
        <v>9</v>
      </c>
      <c r="AF1639" t="s">
        <v>138</v>
      </c>
      <c r="AG1639">
        <v>0</v>
      </c>
      <c r="AH1639">
        <v>3</v>
      </c>
      <c r="AI1639">
        <v>1</v>
      </c>
      <c r="AJ1639">
        <v>0</v>
      </c>
      <c r="AK1639" t="s">
        <v>602</v>
      </c>
      <c r="AL1639">
        <v>32.791592999999999</v>
      </c>
      <c r="AM1639" t="s">
        <v>603</v>
      </c>
      <c r="AN1639">
        <v>-116.872344</v>
      </c>
      <c r="AO1639">
        <v>25</v>
      </c>
      <c r="AP1639">
        <v>2700</v>
      </c>
      <c r="AQ1639" t="s">
        <v>129</v>
      </c>
      <c r="AR1639">
        <v>91</v>
      </c>
      <c r="AS1639">
        <v>-81</v>
      </c>
      <c r="AT1639">
        <v>448</v>
      </c>
      <c r="BB1639">
        <v>1200</v>
      </c>
      <c r="BC1639">
        <v>1</v>
      </c>
      <c r="BD1639" t="str">
        <f t="shared" si="560"/>
        <v xml:space="preserve">N887QR  </v>
      </c>
      <c r="BE1639">
        <v>1</v>
      </c>
      <c r="BG1639">
        <v>0</v>
      </c>
      <c r="BH1639">
        <v>0</v>
      </c>
      <c r="BI1639">
        <v>0</v>
      </c>
      <c r="BJ1639">
        <v>2375</v>
      </c>
      <c r="BK1639">
        <v>-325</v>
      </c>
      <c r="BL1639" t="s">
        <v>163</v>
      </c>
      <c r="BM1639">
        <v>1</v>
      </c>
      <c r="BN1639">
        <v>1</v>
      </c>
      <c r="BO1639">
        <v>1</v>
      </c>
      <c r="BP1639">
        <v>0</v>
      </c>
      <c r="BS1639">
        <v>0</v>
      </c>
      <c r="BT1639">
        <v>0</v>
      </c>
      <c r="BU1639">
        <v>0</v>
      </c>
      <c r="CE1639" t="str">
        <f t="shared" ref="CE1639:CE1645" si="576">"19:29:52.337"</f>
        <v>19:29:52.337</v>
      </c>
      <c r="CF1639">
        <v>337025237</v>
      </c>
      <c r="CS1639">
        <v>3</v>
      </c>
      <c r="CT1639">
        <v>2</v>
      </c>
      <c r="CU1639">
        <v>0</v>
      </c>
      <c r="CV1639">
        <v>2</v>
      </c>
      <c r="CW1639">
        <v>0</v>
      </c>
      <c r="CX1639">
        <v>6</v>
      </c>
      <c r="CY1639">
        <v>7</v>
      </c>
      <c r="CZ1639" t="s">
        <v>131</v>
      </c>
      <c r="DA1639">
        <v>300</v>
      </c>
      <c r="DB1639">
        <v>0</v>
      </c>
      <c r="DC1639" t="s">
        <v>176</v>
      </c>
      <c r="DD1639" t="s">
        <v>177</v>
      </c>
      <c r="DG1639">
        <v>5391205</v>
      </c>
      <c r="DI1639">
        <v>1</v>
      </c>
      <c r="DJ1639">
        <v>0</v>
      </c>
      <c r="DK1639">
        <v>0</v>
      </c>
      <c r="DL1639">
        <v>0</v>
      </c>
      <c r="DM1639">
        <v>0</v>
      </c>
      <c r="DN1639">
        <v>1</v>
      </c>
      <c r="DO1639">
        <v>0</v>
      </c>
      <c r="DP1639">
        <v>0</v>
      </c>
      <c r="DQ1639">
        <v>0</v>
      </c>
      <c r="DR1639">
        <v>0</v>
      </c>
      <c r="DS1639">
        <v>0</v>
      </c>
    </row>
    <row r="1640" spans="1:123" x14ac:dyDescent="0.3">
      <c r="A1640" t="str">
        <f>"10/04/2022 19:29:52.822"</f>
        <v>10/04/2022 19:29:52.822</v>
      </c>
      <c r="C1640" t="str">
        <f t="shared" si="574"/>
        <v>FFDFD3C0</v>
      </c>
      <c r="D1640" t="s">
        <v>136</v>
      </c>
      <c r="E1640">
        <v>8</v>
      </c>
      <c r="H1640">
        <v>225</v>
      </c>
      <c r="I1640" t="s">
        <v>137</v>
      </c>
      <c r="J1640" t="s">
        <v>138</v>
      </c>
      <c r="K1640">
        <v>0</v>
      </c>
      <c r="L1640">
        <v>3</v>
      </c>
      <c r="M1640">
        <v>0</v>
      </c>
      <c r="N1640">
        <v>2</v>
      </c>
      <c r="O1640">
        <v>0</v>
      </c>
      <c r="P1640">
        <v>1</v>
      </c>
      <c r="Q1640">
        <v>0</v>
      </c>
      <c r="S1640" t="str">
        <f t="shared" si="575"/>
        <v>19:29:52.000</v>
      </c>
      <c r="T1640" t="str">
        <f t="shared" si="575"/>
        <v>19:29:52.000</v>
      </c>
      <c r="U1640" t="str">
        <f t="shared" si="559"/>
        <v>AC3944</v>
      </c>
      <c r="V1640">
        <v>0</v>
      </c>
      <c r="W1640">
        <v>0</v>
      </c>
      <c r="X1640">
        <v>2</v>
      </c>
      <c r="Y1640">
        <v>0</v>
      </c>
      <c r="AA1640">
        <v>1</v>
      </c>
      <c r="AB1640">
        <v>8</v>
      </c>
      <c r="AC1640">
        <v>3</v>
      </c>
      <c r="AD1640">
        <v>0</v>
      </c>
      <c r="AE1640">
        <v>9</v>
      </c>
      <c r="AF1640" t="s">
        <v>138</v>
      </c>
      <c r="AG1640">
        <v>0</v>
      </c>
      <c r="AH1640">
        <v>3</v>
      </c>
      <c r="AI1640">
        <v>1</v>
      </c>
      <c r="AJ1640">
        <v>0</v>
      </c>
      <c r="AK1640" t="s">
        <v>602</v>
      </c>
      <c r="AL1640">
        <v>32.791592999999999</v>
      </c>
      <c r="AM1640" t="s">
        <v>603</v>
      </c>
      <c r="AN1640">
        <v>-116.872344</v>
      </c>
      <c r="AO1640">
        <v>25</v>
      </c>
      <c r="AP1640">
        <v>2700</v>
      </c>
      <c r="AQ1640" t="s">
        <v>129</v>
      </c>
      <c r="AR1640">
        <v>91</v>
      </c>
      <c r="AS1640">
        <v>-81</v>
      </c>
      <c r="AT1640">
        <v>448</v>
      </c>
      <c r="BB1640">
        <v>1200</v>
      </c>
      <c r="BC1640">
        <v>1</v>
      </c>
      <c r="BD1640" t="str">
        <f t="shared" si="560"/>
        <v xml:space="preserve">N887QR  </v>
      </c>
      <c r="BE1640">
        <v>1</v>
      </c>
      <c r="BG1640">
        <v>0</v>
      </c>
      <c r="BH1640">
        <v>0</v>
      </c>
      <c r="BI1640">
        <v>0</v>
      </c>
      <c r="BJ1640">
        <v>2375</v>
      </c>
      <c r="BK1640">
        <v>-325</v>
      </c>
      <c r="BL1640" t="s">
        <v>163</v>
      </c>
      <c r="BM1640">
        <v>1</v>
      </c>
      <c r="BN1640">
        <v>1</v>
      </c>
      <c r="BO1640">
        <v>1</v>
      </c>
      <c r="BP1640">
        <v>0</v>
      </c>
      <c r="BS1640">
        <v>0</v>
      </c>
      <c r="BT1640">
        <v>0</v>
      </c>
      <c r="BU1640">
        <v>0</v>
      </c>
      <c r="CE1640" t="str">
        <f t="shared" si="576"/>
        <v>19:29:52.337</v>
      </c>
      <c r="CF1640">
        <v>337025237</v>
      </c>
      <c r="CS1640">
        <v>3</v>
      </c>
      <c r="CT1640">
        <v>2</v>
      </c>
      <c r="CU1640">
        <v>0</v>
      </c>
      <c r="CV1640">
        <v>2</v>
      </c>
      <c r="CW1640">
        <v>0</v>
      </c>
      <c r="CX1640">
        <v>6</v>
      </c>
      <c r="CY1640">
        <v>7</v>
      </c>
      <c r="CZ1640" t="s">
        <v>131</v>
      </c>
      <c r="DA1640">
        <v>300</v>
      </c>
      <c r="DB1640">
        <v>0</v>
      </c>
      <c r="DC1640" t="s">
        <v>176</v>
      </c>
      <c r="DD1640" t="s">
        <v>177</v>
      </c>
      <c r="DG1640">
        <v>5391205</v>
      </c>
      <c r="DI1640">
        <v>1</v>
      </c>
      <c r="DJ1640">
        <v>0</v>
      </c>
      <c r="DK1640">
        <v>1</v>
      </c>
      <c r="DL1640">
        <v>0</v>
      </c>
      <c r="DM1640">
        <v>0</v>
      </c>
      <c r="DN1640">
        <v>1</v>
      </c>
      <c r="DO1640">
        <v>0</v>
      </c>
      <c r="DP1640">
        <v>0</v>
      </c>
      <c r="DQ1640">
        <v>0</v>
      </c>
      <c r="DR1640">
        <v>0</v>
      </c>
      <c r="DS1640">
        <v>0</v>
      </c>
    </row>
    <row r="1641" spans="1:123" x14ac:dyDescent="0.3">
      <c r="A1641" t="str">
        <f>"10/04/2022 19:29:52.822"</f>
        <v>10/04/2022 19:29:52.822</v>
      </c>
      <c r="C1641" t="str">
        <f t="shared" si="574"/>
        <v>FFDFD3C0</v>
      </c>
      <c r="D1641" t="s">
        <v>134</v>
      </c>
      <c r="E1641">
        <v>15</v>
      </c>
      <c r="J1641" t="s">
        <v>135</v>
      </c>
      <c r="K1641">
        <v>0</v>
      </c>
      <c r="L1641">
        <v>3</v>
      </c>
      <c r="M1641">
        <v>0</v>
      </c>
      <c r="N1641">
        <v>2</v>
      </c>
      <c r="O1641">
        <v>0</v>
      </c>
      <c r="P1641">
        <v>1</v>
      </c>
      <c r="Q1641">
        <v>0</v>
      </c>
      <c r="S1641" t="str">
        <f t="shared" si="575"/>
        <v>19:29:52.000</v>
      </c>
      <c r="T1641" t="str">
        <f t="shared" si="575"/>
        <v>19:29:52.000</v>
      </c>
      <c r="U1641" t="str">
        <f t="shared" si="559"/>
        <v>AC3944</v>
      </c>
      <c r="V1641">
        <v>0</v>
      </c>
      <c r="W1641">
        <v>0</v>
      </c>
      <c r="X1641">
        <v>2</v>
      </c>
      <c r="Y1641">
        <v>0</v>
      </c>
      <c r="AA1641">
        <v>1</v>
      </c>
      <c r="AB1641">
        <v>8</v>
      </c>
      <c r="AC1641">
        <v>3</v>
      </c>
      <c r="AD1641">
        <v>0</v>
      </c>
      <c r="AE1641">
        <v>9</v>
      </c>
      <c r="AF1641" t="s">
        <v>138</v>
      </c>
      <c r="AG1641">
        <v>0</v>
      </c>
      <c r="AH1641">
        <v>3</v>
      </c>
      <c r="AI1641">
        <v>1</v>
      </c>
      <c r="AJ1641">
        <v>0</v>
      </c>
      <c r="AK1641" t="s">
        <v>602</v>
      </c>
      <c r="AL1641">
        <v>32.791592999999999</v>
      </c>
      <c r="AM1641" t="s">
        <v>603</v>
      </c>
      <c r="AN1641">
        <v>-116.872344</v>
      </c>
      <c r="AO1641">
        <v>25</v>
      </c>
      <c r="AP1641">
        <v>2700</v>
      </c>
      <c r="AQ1641" t="s">
        <v>129</v>
      </c>
      <c r="AR1641">
        <v>91</v>
      </c>
      <c r="AS1641">
        <v>-81</v>
      </c>
      <c r="AT1641">
        <v>448</v>
      </c>
      <c r="BB1641">
        <v>1200</v>
      </c>
      <c r="BC1641">
        <v>1</v>
      </c>
      <c r="BD1641" t="str">
        <f t="shared" si="560"/>
        <v xml:space="preserve">N887QR  </v>
      </c>
      <c r="BE1641">
        <v>1</v>
      </c>
      <c r="BG1641">
        <v>0</v>
      </c>
      <c r="BH1641">
        <v>0</v>
      </c>
      <c r="BI1641">
        <v>0</v>
      </c>
      <c r="BJ1641">
        <v>2375</v>
      </c>
      <c r="BK1641">
        <v>-325</v>
      </c>
      <c r="BL1641" t="s">
        <v>163</v>
      </c>
      <c r="BM1641">
        <v>1</v>
      </c>
      <c r="BN1641">
        <v>1</v>
      </c>
      <c r="BO1641">
        <v>1</v>
      </c>
      <c r="BP1641">
        <v>0</v>
      </c>
      <c r="BS1641">
        <v>0</v>
      </c>
      <c r="BT1641">
        <v>0</v>
      </c>
      <c r="BU1641">
        <v>0</v>
      </c>
      <c r="CE1641" t="str">
        <f t="shared" si="576"/>
        <v>19:29:52.337</v>
      </c>
      <c r="CF1641">
        <v>337025237</v>
      </c>
      <c r="CS1641">
        <v>3</v>
      </c>
      <c r="CT1641">
        <v>2</v>
      </c>
      <c r="CU1641">
        <v>0</v>
      </c>
      <c r="CV1641">
        <v>2</v>
      </c>
      <c r="CW1641">
        <v>0</v>
      </c>
      <c r="CX1641">
        <v>6</v>
      </c>
      <c r="CY1641">
        <v>7</v>
      </c>
      <c r="CZ1641" t="s">
        <v>131</v>
      </c>
      <c r="DA1641">
        <v>300</v>
      </c>
      <c r="DB1641">
        <v>0</v>
      </c>
      <c r="DC1641" t="s">
        <v>176</v>
      </c>
      <c r="DD1641" t="s">
        <v>177</v>
      </c>
      <c r="DG1641">
        <v>5391205</v>
      </c>
      <c r="DI1641">
        <v>1</v>
      </c>
      <c r="DJ1641">
        <v>0</v>
      </c>
      <c r="DK1641">
        <v>1</v>
      </c>
      <c r="DL1641">
        <v>0</v>
      </c>
      <c r="DM1641">
        <v>0</v>
      </c>
      <c r="DN1641">
        <v>1</v>
      </c>
      <c r="DO1641">
        <v>0</v>
      </c>
      <c r="DP1641">
        <v>0</v>
      </c>
      <c r="DQ1641">
        <v>0</v>
      </c>
      <c r="DR1641">
        <v>0</v>
      </c>
      <c r="DS1641">
        <v>0</v>
      </c>
    </row>
    <row r="1642" spans="1:123" x14ac:dyDescent="0.3">
      <c r="A1642" t="str">
        <f>"10/04/2022 19:29:52.822"</f>
        <v>10/04/2022 19:29:52.822</v>
      </c>
      <c r="C1642" t="str">
        <f t="shared" si="574"/>
        <v>FFDFD3C0</v>
      </c>
      <c r="D1642" t="s">
        <v>141</v>
      </c>
      <c r="E1642">
        <v>3</v>
      </c>
      <c r="H1642">
        <v>3</v>
      </c>
      <c r="I1642" t="s">
        <v>146</v>
      </c>
      <c r="J1642" t="s">
        <v>138</v>
      </c>
      <c r="K1642">
        <v>0</v>
      </c>
      <c r="L1642">
        <v>3</v>
      </c>
      <c r="M1642">
        <v>0</v>
      </c>
      <c r="N1642">
        <v>2</v>
      </c>
      <c r="O1642">
        <v>0</v>
      </c>
      <c r="P1642">
        <v>1</v>
      </c>
      <c r="Q1642">
        <v>0</v>
      </c>
      <c r="S1642" t="str">
        <f t="shared" si="575"/>
        <v>19:29:52.000</v>
      </c>
      <c r="T1642" t="str">
        <f t="shared" si="575"/>
        <v>19:29:52.000</v>
      </c>
      <c r="U1642" t="str">
        <f t="shared" si="559"/>
        <v>AC3944</v>
      </c>
      <c r="V1642">
        <v>0</v>
      </c>
      <c r="W1642">
        <v>0</v>
      </c>
      <c r="X1642">
        <v>2</v>
      </c>
      <c r="Y1642">
        <v>0</v>
      </c>
      <c r="AA1642">
        <v>1</v>
      </c>
      <c r="AB1642">
        <v>8</v>
      </c>
      <c r="AC1642">
        <v>3</v>
      </c>
      <c r="AD1642">
        <v>0</v>
      </c>
      <c r="AE1642">
        <v>9</v>
      </c>
      <c r="AF1642" t="s">
        <v>138</v>
      </c>
      <c r="AG1642">
        <v>0</v>
      </c>
      <c r="AH1642">
        <v>3</v>
      </c>
      <c r="AI1642">
        <v>1</v>
      </c>
      <c r="AJ1642">
        <v>0</v>
      </c>
      <c r="AK1642" t="s">
        <v>602</v>
      </c>
      <c r="AL1642">
        <v>32.791592999999999</v>
      </c>
      <c r="AM1642" t="s">
        <v>603</v>
      </c>
      <c r="AN1642">
        <v>-116.872344</v>
      </c>
      <c r="AO1642">
        <v>25</v>
      </c>
      <c r="AP1642">
        <v>2700</v>
      </c>
      <c r="AQ1642" t="s">
        <v>129</v>
      </c>
      <c r="AR1642">
        <v>91</v>
      </c>
      <c r="AS1642">
        <v>-81</v>
      </c>
      <c r="AT1642">
        <v>448</v>
      </c>
      <c r="BB1642">
        <v>1200</v>
      </c>
      <c r="BC1642">
        <v>1</v>
      </c>
      <c r="BD1642" t="str">
        <f t="shared" si="560"/>
        <v xml:space="preserve">N887QR  </v>
      </c>
      <c r="BE1642">
        <v>1</v>
      </c>
      <c r="BG1642">
        <v>0</v>
      </c>
      <c r="BH1642">
        <v>0</v>
      </c>
      <c r="BI1642">
        <v>0</v>
      </c>
      <c r="BJ1642">
        <v>2375</v>
      </c>
      <c r="BK1642">
        <v>-325</v>
      </c>
      <c r="BL1642" t="s">
        <v>163</v>
      </c>
      <c r="BM1642">
        <v>1</v>
      </c>
      <c r="BN1642">
        <v>1</v>
      </c>
      <c r="BO1642">
        <v>1</v>
      </c>
      <c r="BP1642">
        <v>0</v>
      </c>
      <c r="BS1642">
        <v>0</v>
      </c>
      <c r="BT1642">
        <v>0</v>
      </c>
      <c r="BU1642">
        <v>0</v>
      </c>
      <c r="CE1642" t="str">
        <f t="shared" si="576"/>
        <v>19:29:52.337</v>
      </c>
      <c r="CF1642">
        <v>337025237</v>
      </c>
      <c r="CS1642">
        <v>3</v>
      </c>
      <c r="CT1642">
        <v>2</v>
      </c>
      <c r="CU1642">
        <v>0</v>
      </c>
      <c r="CV1642">
        <v>2</v>
      </c>
      <c r="CW1642">
        <v>0</v>
      </c>
      <c r="CX1642">
        <v>6</v>
      </c>
      <c r="CY1642">
        <v>7</v>
      </c>
      <c r="CZ1642" t="s">
        <v>131</v>
      </c>
      <c r="DA1642">
        <v>300</v>
      </c>
      <c r="DB1642">
        <v>0</v>
      </c>
      <c r="DC1642" t="s">
        <v>176</v>
      </c>
      <c r="DD1642" t="s">
        <v>177</v>
      </c>
      <c r="DG1642">
        <v>5391205</v>
      </c>
      <c r="DI1642">
        <v>1</v>
      </c>
      <c r="DJ1642">
        <v>0</v>
      </c>
      <c r="DK1642">
        <v>1</v>
      </c>
      <c r="DL1642">
        <v>0</v>
      </c>
      <c r="DM1642">
        <v>0</v>
      </c>
      <c r="DN1642">
        <v>1</v>
      </c>
      <c r="DO1642">
        <v>0</v>
      </c>
      <c r="DP1642">
        <v>0</v>
      </c>
      <c r="DQ1642">
        <v>0</v>
      </c>
      <c r="DR1642">
        <v>0</v>
      </c>
      <c r="DS1642">
        <v>0</v>
      </c>
    </row>
    <row r="1643" spans="1:123" x14ac:dyDescent="0.3">
      <c r="A1643" t="str">
        <f>"10/04/2022 19:29:52.822"</f>
        <v>10/04/2022 19:29:52.822</v>
      </c>
      <c r="C1643" t="str">
        <f t="shared" si="574"/>
        <v>FFDFD3C0</v>
      </c>
      <c r="D1643" t="s">
        <v>141</v>
      </c>
      <c r="E1643">
        <v>4</v>
      </c>
      <c r="H1643">
        <v>4</v>
      </c>
      <c r="I1643" t="s">
        <v>142</v>
      </c>
      <c r="J1643" t="s">
        <v>138</v>
      </c>
      <c r="K1643">
        <v>0</v>
      </c>
      <c r="L1643">
        <v>3</v>
      </c>
      <c r="M1643">
        <v>0</v>
      </c>
      <c r="N1643">
        <v>2</v>
      </c>
      <c r="O1643">
        <v>0</v>
      </c>
      <c r="P1643">
        <v>1</v>
      </c>
      <c r="Q1643">
        <v>0</v>
      </c>
      <c r="S1643" t="str">
        <f t="shared" si="575"/>
        <v>19:29:52.000</v>
      </c>
      <c r="T1643" t="str">
        <f t="shared" si="575"/>
        <v>19:29:52.000</v>
      </c>
      <c r="U1643" t="str">
        <f t="shared" si="559"/>
        <v>AC3944</v>
      </c>
      <c r="V1643">
        <v>0</v>
      </c>
      <c r="W1643">
        <v>0</v>
      </c>
      <c r="X1643">
        <v>2</v>
      </c>
      <c r="Y1643">
        <v>0</v>
      </c>
      <c r="AA1643">
        <v>1</v>
      </c>
      <c r="AB1643">
        <v>8</v>
      </c>
      <c r="AC1643">
        <v>3</v>
      </c>
      <c r="AD1643">
        <v>0</v>
      </c>
      <c r="AE1643">
        <v>9</v>
      </c>
      <c r="AF1643" t="s">
        <v>138</v>
      </c>
      <c r="AG1643">
        <v>0</v>
      </c>
      <c r="AH1643">
        <v>3</v>
      </c>
      <c r="AI1643">
        <v>1</v>
      </c>
      <c r="AJ1643">
        <v>0</v>
      </c>
      <c r="AK1643" t="s">
        <v>602</v>
      </c>
      <c r="AL1643">
        <v>32.791592999999999</v>
      </c>
      <c r="AM1643" t="s">
        <v>603</v>
      </c>
      <c r="AN1643">
        <v>-116.872344</v>
      </c>
      <c r="AO1643">
        <v>25</v>
      </c>
      <c r="AP1643">
        <v>2700</v>
      </c>
      <c r="AQ1643" t="s">
        <v>129</v>
      </c>
      <c r="AR1643">
        <v>91</v>
      </c>
      <c r="AS1643">
        <v>-81</v>
      </c>
      <c r="AT1643">
        <v>448</v>
      </c>
      <c r="BB1643">
        <v>1200</v>
      </c>
      <c r="BC1643">
        <v>1</v>
      </c>
      <c r="BD1643" t="str">
        <f t="shared" si="560"/>
        <v xml:space="preserve">N887QR  </v>
      </c>
      <c r="BE1643">
        <v>1</v>
      </c>
      <c r="BG1643">
        <v>0</v>
      </c>
      <c r="BH1643">
        <v>0</v>
      </c>
      <c r="BI1643">
        <v>0</v>
      </c>
      <c r="BJ1643">
        <v>2375</v>
      </c>
      <c r="BK1643">
        <v>-325</v>
      </c>
      <c r="BL1643" t="s">
        <v>163</v>
      </c>
      <c r="BM1643">
        <v>1</v>
      </c>
      <c r="BN1643">
        <v>1</v>
      </c>
      <c r="BO1643">
        <v>1</v>
      </c>
      <c r="BP1643">
        <v>0</v>
      </c>
      <c r="BS1643">
        <v>0</v>
      </c>
      <c r="BT1643">
        <v>0</v>
      </c>
      <c r="BU1643">
        <v>0</v>
      </c>
      <c r="CE1643" t="str">
        <f t="shared" si="576"/>
        <v>19:29:52.337</v>
      </c>
      <c r="CF1643">
        <v>337025237</v>
      </c>
      <c r="CS1643">
        <v>3</v>
      </c>
      <c r="CT1643">
        <v>2</v>
      </c>
      <c r="CU1643">
        <v>0</v>
      </c>
      <c r="CV1643">
        <v>2</v>
      </c>
      <c r="CW1643">
        <v>0</v>
      </c>
      <c r="CX1643">
        <v>6</v>
      </c>
      <c r="CY1643">
        <v>7</v>
      </c>
      <c r="CZ1643" t="s">
        <v>131</v>
      </c>
      <c r="DA1643">
        <v>300</v>
      </c>
      <c r="DB1643">
        <v>0</v>
      </c>
      <c r="DC1643" t="s">
        <v>176</v>
      </c>
      <c r="DD1643" t="s">
        <v>177</v>
      </c>
      <c r="DG1643">
        <v>5391205</v>
      </c>
      <c r="DI1643">
        <v>1</v>
      </c>
      <c r="DJ1643">
        <v>0</v>
      </c>
      <c r="DK1643">
        <v>1</v>
      </c>
      <c r="DL1643">
        <v>0</v>
      </c>
      <c r="DM1643">
        <v>0</v>
      </c>
      <c r="DN1643">
        <v>1</v>
      </c>
      <c r="DO1643">
        <v>0</v>
      </c>
      <c r="DP1643">
        <v>0</v>
      </c>
      <c r="DQ1643">
        <v>0</v>
      </c>
      <c r="DR1643">
        <v>0</v>
      </c>
      <c r="DS1643">
        <v>0</v>
      </c>
    </row>
    <row r="1644" spans="1:123" x14ac:dyDescent="0.3">
      <c r="A1644" t="str">
        <f>"10/04/2022 19:29:52.837"</f>
        <v>10/04/2022 19:29:52.837</v>
      </c>
      <c r="C1644" t="str">
        <f t="shared" si="574"/>
        <v>FFDFD3C0</v>
      </c>
      <c r="D1644" t="s">
        <v>147</v>
      </c>
      <c r="E1644">
        <v>3</v>
      </c>
      <c r="H1644">
        <v>166</v>
      </c>
      <c r="I1644" t="s">
        <v>144</v>
      </c>
      <c r="J1644" t="s">
        <v>148</v>
      </c>
      <c r="K1644">
        <v>0</v>
      </c>
      <c r="L1644">
        <v>3</v>
      </c>
      <c r="M1644">
        <v>0</v>
      </c>
      <c r="N1644">
        <v>2</v>
      </c>
      <c r="O1644">
        <v>0</v>
      </c>
      <c r="P1644">
        <v>1</v>
      </c>
      <c r="Q1644">
        <v>0</v>
      </c>
      <c r="S1644" t="str">
        <f t="shared" si="575"/>
        <v>19:29:52.000</v>
      </c>
      <c r="T1644" t="str">
        <f t="shared" si="575"/>
        <v>19:29:52.000</v>
      </c>
      <c r="U1644" t="str">
        <f t="shared" si="559"/>
        <v>AC3944</v>
      </c>
      <c r="V1644">
        <v>0</v>
      </c>
      <c r="W1644">
        <v>0</v>
      </c>
      <c r="X1644">
        <v>2</v>
      </c>
      <c r="Y1644">
        <v>0</v>
      </c>
      <c r="AA1644">
        <v>1</v>
      </c>
      <c r="AB1644">
        <v>8</v>
      </c>
      <c r="AC1644">
        <v>3</v>
      </c>
      <c r="AD1644">
        <v>0</v>
      </c>
      <c r="AE1644">
        <v>9</v>
      </c>
      <c r="AF1644" t="s">
        <v>138</v>
      </c>
      <c r="AG1644">
        <v>0</v>
      </c>
      <c r="AH1644">
        <v>3</v>
      </c>
      <c r="AI1644">
        <v>1</v>
      </c>
      <c r="AJ1644">
        <v>0</v>
      </c>
      <c r="AK1644" t="s">
        <v>602</v>
      </c>
      <c r="AL1644">
        <v>32.791592999999999</v>
      </c>
      <c r="AM1644" t="s">
        <v>603</v>
      </c>
      <c r="AN1644">
        <v>-116.872344</v>
      </c>
      <c r="AO1644">
        <v>25</v>
      </c>
      <c r="AP1644">
        <v>2700</v>
      </c>
      <c r="AQ1644" t="s">
        <v>129</v>
      </c>
      <c r="AR1644">
        <v>91</v>
      </c>
      <c r="AS1644">
        <v>-81</v>
      </c>
      <c r="AT1644">
        <v>448</v>
      </c>
      <c r="BB1644">
        <v>1200</v>
      </c>
      <c r="BC1644">
        <v>1</v>
      </c>
      <c r="BD1644" t="str">
        <f t="shared" si="560"/>
        <v xml:space="preserve">N887QR  </v>
      </c>
      <c r="BE1644">
        <v>1</v>
      </c>
      <c r="BG1644">
        <v>0</v>
      </c>
      <c r="BH1644">
        <v>0</v>
      </c>
      <c r="BI1644">
        <v>0</v>
      </c>
      <c r="BJ1644">
        <v>2375</v>
      </c>
      <c r="BK1644">
        <v>-325</v>
      </c>
      <c r="BL1644" t="s">
        <v>163</v>
      </c>
      <c r="BM1644">
        <v>1</v>
      </c>
      <c r="BN1644">
        <v>1</v>
      </c>
      <c r="BO1644">
        <v>1</v>
      </c>
      <c r="BP1644">
        <v>0</v>
      </c>
      <c r="BS1644">
        <v>0</v>
      </c>
      <c r="BT1644">
        <v>0</v>
      </c>
      <c r="BU1644">
        <v>0</v>
      </c>
      <c r="CE1644" t="str">
        <f t="shared" si="576"/>
        <v>19:29:52.337</v>
      </c>
      <c r="CF1644">
        <v>337025237</v>
      </c>
      <c r="CS1644">
        <v>3</v>
      </c>
      <c r="CT1644">
        <v>2</v>
      </c>
      <c r="CU1644">
        <v>0</v>
      </c>
      <c r="CV1644">
        <v>2</v>
      </c>
      <c r="CW1644">
        <v>0</v>
      </c>
      <c r="CX1644">
        <v>6</v>
      </c>
      <c r="CY1644">
        <v>7</v>
      </c>
      <c r="CZ1644" t="s">
        <v>131</v>
      </c>
      <c r="DA1644">
        <v>300</v>
      </c>
      <c r="DB1644">
        <v>0</v>
      </c>
      <c r="DC1644" t="s">
        <v>176</v>
      </c>
      <c r="DD1644" t="s">
        <v>177</v>
      </c>
      <c r="DG1644">
        <v>5391205</v>
      </c>
      <c r="DI1644">
        <v>1</v>
      </c>
      <c r="DJ1644">
        <v>0</v>
      </c>
      <c r="DK1644">
        <v>1</v>
      </c>
      <c r="DL1644">
        <v>0</v>
      </c>
      <c r="DM1644">
        <v>0</v>
      </c>
      <c r="DN1644">
        <v>1</v>
      </c>
      <c r="DO1644">
        <v>0</v>
      </c>
      <c r="DP1644">
        <v>0</v>
      </c>
      <c r="DQ1644">
        <v>0</v>
      </c>
      <c r="DR1644">
        <v>0</v>
      </c>
      <c r="DS1644">
        <v>0</v>
      </c>
    </row>
    <row r="1645" spans="1:123" x14ac:dyDescent="0.3">
      <c r="A1645" t="str">
        <f>"10/04/2022 19:29:52.837"</f>
        <v>10/04/2022 19:29:52.837</v>
      </c>
      <c r="C1645" t="str">
        <f t="shared" si="574"/>
        <v>FFDFD3C0</v>
      </c>
      <c r="D1645" t="s">
        <v>143</v>
      </c>
      <c r="E1645">
        <v>20</v>
      </c>
      <c r="F1645">
        <v>1020</v>
      </c>
      <c r="G1645" t="s">
        <v>144</v>
      </c>
      <c r="J1645" t="s">
        <v>145</v>
      </c>
      <c r="K1645">
        <v>0</v>
      </c>
      <c r="L1645">
        <v>3</v>
      </c>
      <c r="M1645">
        <v>0</v>
      </c>
      <c r="N1645">
        <v>2</v>
      </c>
      <c r="O1645">
        <v>0</v>
      </c>
      <c r="P1645">
        <v>1</v>
      </c>
      <c r="Q1645">
        <v>0</v>
      </c>
      <c r="S1645" t="str">
        <f t="shared" si="575"/>
        <v>19:29:52.000</v>
      </c>
      <c r="T1645" t="str">
        <f t="shared" si="575"/>
        <v>19:29:52.000</v>
      </c>
      <c r="U1645" t="str">
        <f t="shared" si="559"/>
        <v>AC3944</v>
      </c>
      <c r="V1645">
        <v>0</v>
      </c>
      <c r="W1645">
        <v>0</v>
      </c>
      <c r="X1645">
        <v>2</v>
      </c>
      <c r="Y1645">
        <v>0</v>
      </c>
      <c r="AA1645">
        <v>1</v>
      </c>
      <c r="AB1645">
        <v>8</v>
      </c>
      <c r="AC1645">
        <v>3</v>
      </c>
      <c r="AD1645">
        <v>0</v>
      </c>
      <c r="AE1645">
        <v>9</v>
      </c>
      <c r="AF1645" t="s">
        <v>138</v>
      </c>
      <c r="AG1645">
        <v>0</v>
      </c>
      <c r="AH1645">
        <v>3</v>
      </c>
      <c r="AI1645">
        <v>1</v>
      </c>
      <c r="AJ1645">
        <v>0</v>
      </c>
      <c r="AK1645" t="s">
        <v>602</v>
      </c>
      <c r="AL1645">
        <v>32.791592999999999</v>
      </c>
      <c r="AM1645" t="s">
        <v>603</v>
      </c>
      <c r="AN1645">
        <v>-116.872344</v>
      </c>
      <c r="AO1645">
        <v>25</v>
      </c>
      <c r="AP1645">
        <v>2700</v>
      </c>
      <c r="AQ1645" t="s">
        <v>129</v>
      </c>
      <c r="AR1645">
        <v>91</v>
      </c>
      <c r="AS1645">
        <v>-81</v>
      </c>
      <c r="AT1645">
        <v>448</v>
      </c>
      <c r="BB1645">
        <v>1200</v>
      </c>
      <c r="BC1645">
        <v>1</v>
      </c>
      <c r="BD1645" t="str">
        <f t="shared" si="560"/>
        <v xml:space="preserve">N887QR  </v>
      </c>
      <c r="BE1645">
        <v>1</v>
      </c>
      <c r="BG1645">
        <v>0</v>
      </c>
      <c r="BH1645">
        <v>0</v>
      </c>
      <c r="BI1645">
        <v>0</v>
      </c>
      <c r="BJ1645">
        <v>2375</v>
      </c>
      <c r="BK1645">
        <v>-325</v>
      </c>
      <c r="BL1645" t="s">
        <v>163</v>
      </c>
      <c r="BM1645">
        <v>1</v>
      </c>
      <c r="BN1645">
        <v>1</v>
      </c>
      <c r="BO1645">
        <v>1</v>
      </c>
      <c r="BP1645">
        <v>0</v>
      </c>
      <c r="BS1645">
        <v>0</v>
      </c>
      <c r="BT1645">
        <v>0</v>
      </c>
      <c r="BU1645">
        <v>0</v>
      </c>
      <c r="CE1645" t="str">
        <f t="shared" si="576"/>
        <v>19:29:52.337</v>
      </c>
      <c r="CF1645">
        <v>337025237</v>
      </c>
      <c r="CS1645">
        <v>3</v>
      </c>
      <c r="CT1645">
        <v>2</v>
      </c>
      <c r="CU1645">
        <v>0</v>
      </c>
      <c r="CV1645">
        <v>2</v>
      </c>
      <c r="CW1645">
        <v>0</v>
      </c>
      <c r="CX1645">
        <v>6</v>
      </c>
      <c r="CY1645">
        <v>7</v>
      </c>
      <c r="CZ1645" t="s">
        <v>131</v>
      </c>
      <c r="DA1645">
        <v>300</v>
      </c>
      <c r="DB1645">
        <v>0</v>
      </c>
      <c r="DC1645" t="s">
        <v>176</v>
      </c>
      <c r="DD1645" t="s">
        <v>177</v>
      </c>
      <c r="DG1645">
        <v>5391205</v>
      </c>
      <c r="DI1645">
        <v>1</v>
      </c>
      <c r="DJ1645">
        <v>0</v>
      </c>
      <c r="DK1645">
        <v>1</v>
      </c>
      <c r="DL1645">
        <v>0</v>
      </c>
      <c r="DM1645">
        <v>0</v>
      </c>
      <c r="DN1645">
        <v>1</v>
      </c>
      <c r="DO1645">
        <v>0</v>
      </c>
      <c r="DP1645">
        <v>0</v>
      </c>
      <c r="DQ1645">
        <v>0</v>
      </c>
      <c r="DR1645">
        <v>0</v>
      </c>
      <c r="DS1645">
        <v>0</v>
      </c>
    </row>
    <row r="1646" spans="1:123" x14ac:dyDescent="0.3">
      <c r="A1646" t="str">
        <f>"10/04/2022 19:29:53.431"</f>
        <v>10/04/2022 19:29:53.431</v>
      </c>
      <c r="C1646" t="str">
        <f t="shared" si="574"/>
        <v>FFDFD3C0</v>
      </c>
      <c r="D1646" t="s">
        <v>143</v>
      </c>
      <c r="E1646">
        <v>20</v>
      </c>
      <c r="F1646">
        <v>1020</v>
      </c>
      <c r="G1646" t="s">
        <v>144</v>
      </c>
      <c r="J1646" t="s">
        <v>145</v>
      </c>
      <c r="K1646">
        <v>0</v>
      </c>
      <c r="L1646">
        <v>3</v>
      </c>
      <c r="M1646">
        <v>0</v>
      </c>
      <c r="N1646">
        <v>2</v>
      </c>
      <c r="O1646">
        <v>0</v>
      </c>
      <c r="P1646">
        <v>1</v>
      </c>
      <c r="Q1646">
        <v>0</v>
      </c>
      <c r="S1646" t="str">
        <f>"19:29:53.000"</f>
        <v>19:29:53.000</v>
      </c>
      <c r="T1646" t="str">
        <f>"19:29:53.000"</f>
        <v>19:29:53.000</v>
      </c>
      <c r="U1646" t="str">
        <f t="shared" si="559"/>
        <v>AC3944</v>
      </c>
      <c r="V1646">
        <v>0</v>
      </c>
      <c r="W1646">
        <v>0</v>
      </c>
      <c r="X1646">
        <v>2</v>
      </c>
      <c r="Y1646">
        <v>0</v>
      </c>
      <c r="AA1646">
        <v>1</v>
      </c>
      <c r="AB1646">
        <v>8</v>
      </c>
      <c r="AC1646">
        <v>3</v>
      </c>
      <c r="AD1646">
        <v>0</v>
      </c>
      <c r="AE1646">
        <v>9</v>
      </c>
      <c r="AF1646" t="s">
        <v>138</v>
      </c>
      <c r="AG1646">
        <v>0</v>
      </c>
      <c r="AH1646">
        <v>3</v>
      </c>
      <c r="AI1646">
        <v>1</v>
      </c>
      <c r="AJ1646">
        <v>0</v>
      </c>
      <c r="AK1646" t="s">
        <v>604</v>
      </c>
      <c r="AL1646">
        <v>32.791293000000003</v>
      </c>
      <c r="AM1646" t="s">
        <v>605</v>
      </c>
      <c r="AN1646">
        <v>-116.87193600000001</v>
      </c>
      <c r="AO1646">
        <v>25</v>
      </c>
      <c r="AP1646">
        <v>2700</v>
      </c>
      <c r="AQ1646" t="s">
        <v>129</v>
      </c>
      <c r="AR1646">
        <v>90</v>
      </c>
      <c r="AS1646">
        <v>-81</v>
      </c>
      <c r="AT1646">
        <v>448</v>
      </c>
      <c r="BB1646">
        <v>1200</v>
      </c>
      <c r="BC1646">
        <v>1</v>
      </c>
      <c r="BD1646" t="str">
        <f t="shared" si="560"/>
        <v xml:space="preserve">N887QR  </v>
      </c>
      <c r="BE1646">
        <v>1</v>
      </c>
      <c r="BG1646">
        <v>0</v>
      </c>
      <c r="BH1646">
        <v>0</v>
      </c>
      <c r="BI1646">
        <v>0</v>
      </c>
      <c r="BJ1646">
        <v>2375</v>
      </c>
      <c r="BK1646">
        <v>-325</v>
      </c>
      <c r="BL1646" t="s">
        <v>163</v>
      </c>
      <c r="BM1646">
        <v>1</v>
      </c>
      <c r="BN1646">
        <v>1</v>
      </c>
      <c r="BO1646">
        <v>1</v>
      </c>
      <c r="BP1646">
        <v>0</v>
      </c>
      <c r="BS1646">
        <v>0</v>
      </c>
      <c r="BT1646">
        <v>0</v>
      </c>
      <c r="BU1646">
        <v>0</v>
      </c>
      <c r="CE1646" t="str">
        <f>"19:29:53.031"</f>
        <v>19:29:53.031</v>
      </c>
      <c r="CF1646">
        <v>31277525</v>
      </c>
      <c r="CS1646">
        <v>3</v>
      </c>
      <c r="CT1646">
        <v>2</v>
      </c>
      <c r="CU1646">
        <v>0</v>
      </c>
      <c r="CV1646">
        <v>2</v>
      </c>
      <c r="CW1646">
        <v>0</v>
      </c>
      <c r="CX1646">
        <v>6</v>
      </c>
      <c r="CY1646">
        <v>7</v>
      </c>
      <c r="CZ1646" t="s">
        <v>131</v>
      </c>
      <c r="DA1646">
        <v>300</v>
      </c>
      <c r="DB1646">
        <v>0</v>
      </c>
      <c r="DC1646" t="s">
        <v>176</v>
      </c>
      <c r="DD1646" t="s">
        <v>177</v>
      </c>
      <c r="DG1646">
        <v>5391314</v>
      </c>
      <c r="DI1646">
        <v>1</v>
      </c>
      <c r="DJ1646">
        <v>0</v>
      </c>
      <c r="DK1646">
        <v>0</v>
      </c>
      <c r="DL1646">
        <v>0</v>
      </c>
      <c r="DM1646">
        <v>0</v>
      </c>
      <c r="DN1646">
        <v>1</v>
      </c>
      <c r="DO1646">
        <v>0</v>
      </c>
      <c r="DP1646">
        <v>0</v>
      </c>
      <c r="DQ1646">
        <v>0</v>
      </c>
      <c r="DR1646">
        <v>0</v>
      </c>
      <c r="DS1646">
        <v>0</v>
      </c>
    </row>
    <row r="1647" spans="1:123" x14ac:dyDescent="0.3">
      <c r="A1647" t="str">
        <f t="shared" ref="A1647:A1653" si="577">"10/04/2022 19:29:54.322"</f>
        <v>10/04/2022 19:29:54.322</v>
      </c>
      <c r="C1647" t="str">
        <f t="shared" si="574"/>
        <v>FFDFD3C0</v>
      </c>
      <c r="D1647" t="s">
        <v>136</v>
      </c>
      <c r="E1647">
        <v>8</v>
      </c>
      <c r="H1647">
        <v>225</v>
      </c>
      <c r="I1647" t="s">
        <v>137</v>
      </c>
      <c r="J1647" t="s">
        <v>138</v>
      </c>
      <c r="K1647">
        <v>0</v>
      </c>
      <c r="L1647">
        <v>3</v>
      </c>
      <c r="M1647">
        <v>0</v>
      </c>
      <c r="N1647">
        <v>2</v>
      </c>
      <c r="O1647">
        <v>0</v>
      </c>
      <c r="P1647">
        <v>1</v>
      </c>
      <c r="Q1647">
        <v>0</v>
      </c>
      <c r="S1647" t="str">
        <f t="shared" ref="S1647:T1660" si="578">"19:29:54.000"</f>
        <v>19:29:54.000</v>
      </c>
      <c r="T1647" t="str">
        <f t="shared" si="578"/>
        <v>19:29:54.000</v>
      </c>
      <c r="U1647" t="str">
        <f t="shared" si="559"/>
        <v>AC3944</v>
      </c>
      <c r="V1647">
        <v>0</v>
      </c>
      <c r="W1647">
        <v>0</v>
      </c>
      <c r="X1647">
        <v>2</v>
      </c>
      <c r="Y1647">
        <v>0</v>
      </c>
      <c r="AA1647">
        <v>1</v>
      </c>
      <c r="AB1647">
        <v>8</v>
      </c>
      <c r="AC1647">
        <v>3</v>
      </c>
      <c r="AD1647">
        <v>0</v>
      </c>
      <c r="AE1647">
        <v>9</v>
      </c>
      <c r="AF1647" t="s">
        <v>138</v>
      </c>
      <c r="AG1647">
        <v>0</v>
      </c>
      <c r="AH1647">
        <v>3</v>
      </c>
      <c r="AI1647">
        <v>1</v>
      </c>
      <c r="AJ1647">
        <v>0</v>
      </c>
      <c r="AK1647" t="s">
        <v>606</v>
      </c>
      <c r="AL1647">
        <v>32.790928000000001</v>
      </c>
      <c r="AM1647" t="s">
        <v>607</v>
      </c>
      <c r="AN1647">
        <v>-116.871443</v>
      </c>
      <c r="AO1647">
        <v>25</v>
      </c>
      <c r="AP1647">
        <v>2700</v>
      </c>
      <c r="AQ1647" t="s">
        <v>129</v>
      </c>
      <c r="AR1647">
        <v>90</v>
      </c>
      <c r="AS1647">
        <v>-81</v>
      </c>
      <c r="AT1647">
        <v>448</v>
      </c>
      <c r="BB1647">
        <v>1200</v>
      </c>
      <c r="BC1647">
        <v>1</v>
      </c>
      <c r="BD1647" t="str">
        <f t="shared" si="560"/>
        <v xml:space="preserve">N887QR  </v>
      </c>
      <c r="BE1647">
        <v>1</v>
      </c>
      <c r="BG1647">
        <v>0</v>
      </c>
      <c r="BH1647">
        <v>0</v>
      </c>
      <c r="BI1647">
        <v>0</v>
      </c>
      <c r="BJ1647">
        <v>2400</v>
      </c>
      <c r="BK1647">
        <v>-300</v>
      </c>
      <c r="BL1647" t="s">
        <v>163</v>
      </c>
      <c r="BM1647">
        <v>1</v>
      </c>
      <c r="BN1647">
        <v>1</v>
      </c>
      <c r="BO1647">
        <v>1</v>
      </c>
      <c r="BP1647">
        <v>0</v>
      </c>
      <c r="BS1647">
        <v>0</v>
      </c>
      <c r="BT1647">
        <v>0</v>
      </c>
      <c r="BU1647">
        <v>0</v>
      </c>
      <c r="CE1647" t="str">
        <f t="shared" ref="CE1647:CE1653" si="579">"19:29:54.100"</f>
        <v>19:29:54.100</v>
      </c>
      <c r="CF1647">
        <v>100281159</v>
      </c>
      <c r="CS1647">
        <v>3</v>
      </c>
      <c r="CT1647">
        <v>2</v>
      </c>
      <c r="CU1647">
        <v>0</v>
      </c>
      <c r="CV1647">
        <v>2</v>
      </c>
      <c r="CW1647">
        <v>0</v>
      </c>
      <c r="CX1647">
        <v>6</v>
      </c>
      <c r="CY1647">
        <v>7</v>
      </c>
      <c r="CZ1647" t="s">
        <v>131</v>
      </c>
      <c r="DA1647">
        <v>300</v>
      </c>
      <c r="DB1647">
        <v>0</v>
      </c>
      <c r="DC1647" t="s">
        <v>176</v>
      </c>
      <c r="DD1647" t="s">
        <v>177</v>
      </c>
      <c r="DG1647">
        <v>5391494</v>
      </c>
      <c r="DI1647">
        <v>1</v>
      </c>
      <c r="DJ1647">
        <v>0</v>
      </c>
      <c r="DK1647">
        <v>0</v>
      </c>
      <c r="DL1647">
        <v>0</v>
      </c>
      <c r="DM1647">
        <v>0</v>
      </c>
      <c r="DN1647">
        <v>1</v>
      </c>
      <c r="DO1647">
        <v>0</v>
      </c>
      <c r="DP1647">
        <v>0</v>
      </c>
      <c r="DQ1647">
        <v>0</v>
      </c>
      <c r="DR1647">
        <v>0</v>
      </c>
      <c r="DS1647">
        <v>0</v>
      </c>
    </row>
    <row r="1648" spans="1:123" x14ac:dyDescent="0.3">
      <c r="A1648" t="str">
        <f t="shared" si="577"/>
        <v>10/04/2022 19:29:54.322</v>
      </c>
      <c r="C1648" t="str">
        <f t="shared" si="574"/>
        <v>FFDFD3C0</v>
      </c>
      <c r="D1648" t="s">
        <v>134</v>
      </c>
      <c r="E1648">
        <v>15</v>
      </c>
      <c r="J1648" t="s">
        <v>135</v>
      </c>
      <c r="K1648">
        <v>0</v>
      </c>
      <c r="L1648">
        <v>3</v>
      </c>
      <c r="M1648">
        <v>0</v>
      </c>
      <c r="N1648">
        <v>2</v>
      </c>
      <c r="O1648">
        <v>0</v>
      </c>
      <c r="P1648">
        <v>1</v>
      </c>
      <c r="Q1648">
        <v>0</v>
      </c>
      <c r="S1648" t="str">
        <f t="shared" si="578"/>
        <v>19:29:54.000</v>
      </c>
      <c r="T1648" t="str">
        <f t="shared" si="578"/>
        <v>19:29:54.000</v>
      </c>
      <c r="U1648" t="str">
        <f t="shared" si="559"/>
        <v>AC3944</v>
      </c>
      <c r="V1648">
        <v>0</v>
      </c>
      <c r="W1648">
        <v>0</v>
      </c>
      <c r="X1648">
        <v>2</v>
      </c>
      <c r="Y1648">
        <v>0</v>
      </c>
      <c r="AA1648">
        <v>1</v>
      </c>
      <c r="AB1648">
        <v>8</v>
      </c>
      <c r="AC1648">
        <v>3</v>
      </c>
      <c r="AD1648">
        <v>0</v>
      </c>
      <c r="AE1648">
        <v>9</v>
      </c>
      <c r="AF1648" t="s">
        <v>138</v>
      </c>
      <c r="AG1648">
        <v>0</v>
      </c>
      <c r="AH1648">
        <v>3</v>
      </c>
      <c r="AI1648">
        <v>1</v>
      </c>
      <c r="AJ1648">
        <v>0</v>
      </c>
      <c r="AK1648" t="s">
        <v>606</v>
      </c>
      <c r="AL1648">
        <v>32.790928000000001</v>
      </c>
      <c r="AM1648" t="s">
        <v>607</v>
      </c>
      <c r="AN1648">
        <v>-116.871443</v>
      </c>
      <c r="AO1648">
        <v>25</v>
      </c>
      <c r="AP1648">
        <v>2700</v>
      </c>
      <c r="AQ1648" t="s">
        <v>129</v>
      </c>
      <c r="AR1648">
        <v>90</v>
      </c>
      <c r="AS1648">
        <v>-81</v>
      </c>
      <c r="AT1648">
        <v>448</v>
      </c>
      <c r="BB1648">
        <v>1200</v>
      </c>
      <c r="BC1648">
        <v>1</v>
      </c>
      <c r="BD1648" t="str">
        <f t="shared" si="560"/>
        <v xml:space="preserve">N887QR  </v>
      </c>
      <c r="BE1648">
        <v>1</v>
      </c>
      <c r="BG1648">
        <v>0</v>
      </c>
      <c r="BH1648">
        <v>0</v>
      </c>
      <c r="BI1648">
        <v>0</v>
      </c>
      <c r="BJ1648">
        <v>2400</v>
      </c>
      <c r="BK1648">
        <v>-300</v>
      </c>
      <c r="BL1648" t="s">
        <v>163</v>
      </c>
      <c r="BM1648">
        <v>1</v>
      </c>
      <c r="BN1648">
        <v>1</v>
      </c>
      <c r="BO1648">
        <v>1</v>
      </c>
      <c r="BP1648">
        <v>0</v>
      </c>
      <c r="BS1648">
        <v>0</v>
      </c>
      <c r="BT1648">
        <v>0</v>
      </c>
      <c r="BU1648">
        <v>0</v>
      </c>
      <c r="CE1648" t="str">
        <f t="shared" si="579"/>
        <v>19:29:54.100</v>
      </c>
      <c r="CF1648">
        <v>100281159</v>
      </c>
      <c r="CS1648">
        <v>3</v>
      </c>
      <c r="CT1648">
        <v>2</v>
      </c>
      <c r="CU1648">
        <v>0</v>
      </c>
      <c r="CV1648">
        <v>2</v>
      </c>
      <c r="CW1648">
        <v>0</v>
      </c>
      <c r="CX1648">
        <v>6</v>
      </c>
      <c r="CY1648">
        <v>7</v>
      </c>
      <c r="CZ1648" t="s">
        <v>131</v>
      </c>
      <c r="DA1648">
        <v>300</v>
      </c>
      <c r="DB1648">
        <v>0</v>
      </c>
      <c r="DC1648" t="s">
        <v>176</v>
      </c>
      <c r="DD1648" t="s">
        <v>177</v>
      </c>
      <c r="DG1648">
        <v>5391494</v>
      </c>
      <c r="DI1648">
        <v>1</v>
      </c>
      <c r="DJ1648">
        <v>0</v>
      </c>
      <c r="DK1648">
        <v>1</v>
      </c>
      <c r="DL1648">
        <v>0</v>
      </c>
      <c r="DM1648">
        <v>0</v>
      </c>
      <c r="DN1648">
        <v>1</v>
      </c>
      <c r="DO1648">
        <v>0</v>
      </c>
      <c r="DP1648">
        <v>0</v>
      </c>
      <c r="DQ1648">
        <v>0</v>
      </c>
      <c r="DR1648">
        <v>0</v>
      </c>
      <c r="DS1648">
        <v>0</v>
      </c>
    </row>
    <row r="1649" spans="1:123" x14ac:dyDescent="0.3">
      <c r="A1649" t="str">
        <f t="shared" si="577"/>
        <v>10/04/2022 19:29:54.322</v>
      </c>
      <c r="C1649" t="str">
        <f t="shared" si="574"/>
        <v>FFDFD3C0</v>
      </c>
      <c r="D1649" t="s">
        <v>141</v>
      </c>
      <c r="E1649">
        <v>4</v>
      </c>
      <c r="H1649">
        <v>4</v>
      </c>
      <c r="I1649" t="s">
        <v>142</v>
      </c>
      <c r="J1649" t="s">
        <v>138</v>
      </c>
      <c r="K1649">
        <v>0</v>
      </c>
      <c r="L1649">
        <v>3</v>
      </c>
      <c r="M1649">
        <v>0</v>
      </c>
      <c r="N1649">
        <v>2</v>
      </c>
      <c r="O1649">
        <v>0</v>
      </c>
      <c r="P1649">
        <v>1</v>
      </c>
      <c r="Q1649">
        <v>0</v>
      </c>
      <c r="S1649" t="str">
        <f t="shared" si="578"/>
        <v>19:29:54.000</v>
      </c>
      <c r="T1649" t="str">
        <f t="shared" si="578"/>
        <v>19:29:54.000</v>
      </c>
      <c r="U1649" t="str">
        <f t="shared" si="559"/>
        <v>AC3944</v>
      </c>
      <c r="V1649">
        <v>0</v>
      </c>
      <c r="W1649">
        <v>0</v>
      </c>
      <c r="X1649">
        <v>2</v>
      </c>
      <c r="Y1649">
        <v>0</v>
      </c>
      <c r="AA1649">
        <v>1</v>
      </c>
      <c r="AB1649">
        <v>8</v>
      </c>
      <c r="AC1649">
        <v>3</v>
      </c>
      <c r="AD1649">
        <v>0</v>
      </c>
      <c r="AE1649">
        <v>9</v>
      </c>
      <c r="AF1649" t="s">
        <v>138</v>
      </c>
      <c r="AG1649">
        <v>0</v>
      </c>
      <c r="AH1649">
        <v>3</v>
      </c>
      <c r="AI1649">
        <v>1</v>
      </c>
      <c r="AJ1649">
        <v>0</v>
      </c>
      <c r="AK1649" t="s">
        <v>606</v>
      </c>
      <c r="AL1649">
        <v>32.790928000000001</v>
      </c>
      <c r="AM1649" t="s">
        <v>607</v>
      </c>
      <c r="AN1649">
        <v>-116.871443</v>
      </c>
      <c r="AO1649">
        <v>25</v>
      </c>
      <c r="AP1649">
        <v>2700</v>
      </c>
      <c r="AQ1649" t="s">
        <v>129</v>
      </c>
      <c r="AR1649">
        <v>90</v>
      </c>
      <c r="AS1649">
        <v>-81</v>
      </c>
      <c r="AT1649">
        <v>448</v>
      </c>
      <c r="BB1649">
        <v>1200</v>
      </c>
      <c r="BC1649">
        <v>1</v>
      </c>
      <c r="BD1649" t="str">
        <f t="shared" si="560"/>
        <v xml:space="preserve">N887QR  </v>
      </c>
      <c r="BE1649">
        <v>1</v>
      </c>
      <c r="BG1649">
        <v>0</v>
      </c>
      <c r="BH1649">
        <v>0</v>
      </c>
      <c r="BI1649">
        <v>0</v>
      </c>
      <c r="BJ1649">
        <v>2400</v>
      </c>
      <c r="BK1649">
        <v>-300</v>
      </c>
      <c r="BL1649" t="s">
        <v>163</v>
      </c>
      <c r="BM1649">
        <v>1</v>
      </c>
      <c r="BN1649">
        <v>1</v>
      </c>
      <c r="BO1649">
        <v>1</v>
      </c>
      <c r="BP1649">
        <v>0</v>
      </c>
      <c r="BS1649">
        <v>0</v>
      </c>
      <c r="BT1649">
        <v>0</v>
      </c>
      <c r="BU1649">
        <v>0</v>
      </c>
      <c r="CE1649" t="str">
        <f t="shared" si="579"/>
        <v>19:29:54.100</v>
      </c>
      <c r="CF1649">
        <v>100281159</v>
      </c>
      <c r="CS1649">
        <v>3</v>
      </c>
      <c r="CT1649">
        <v>2</v>
      </c>
      <c r="CU1649">
        <v>0</v>
      </c>
      <c r="CV1649">
        <v>2</v>
      </c>
      <c r="CW1649">
        <v>0</v>
      </c>
      <c r="CX1649">
        <v>6</v>
      </c>
      <c r="CY1649">
        <v>7</v>
      </c>
      <c r="CZ1649" t="s">
        <v>131</v>
      </c>
      <c r="DA1649">
        <v>300</v>
      </c>
      <c r="DB1649">
        <v>0</v>
      </c>
      <c r="DC1649" t="s">
        <v>176</v>
      </c>
      <c r="DD1649" t="s">
        <v>177</v>
      </c>
      <c r="DG1649">
        <v>5391494</v>
      </c>
      <c r="DI1649">
        <v>1</v>
      </c>
      <c r="DJ1649">
        <v>0</v>
      </c>
      <c r="DK1649">
        <v>1</v>
      </c>
      <c r="DL1649">
        <v>0</v>
      </c>
      <c r="DM1649">
        <v>0</v>
      </c>
      <c r="DN1649">
        <v>1</v>
      </c>
      <c r="DO1649">
        <v>0</v>
      </c>
      <c r="DP1649">
        <v>0</v>
      </c>
      <c r="DQ1649">
        <v>0</v>
      </c>
      <c r="DR1649">
        <v>0</v>
      </c>
      <c r="DS1649">
        <v>0</v>
      </c>
    </row>
    <row r="1650" spans="1:123" x14ac:dyDescent="0.3">
      <c r="A1650" t="str">
        <f t="shared" si="577"/>
        <v>10/04/2022 19:29:54.322</v>
      </c>
      <c r="C1650" t="str">
        <f t="shared" si="574"/>
        <v>FFDFD3C0</v>
      </c>
      <c r="D1650" t="s">
        <v>141</v>
      </c>
      <c r="E1650">
        <v>3</v>
      </c>
      <c r="H1650">
        <v>3</v>
      </c>
      <c r="I1650" t="s">
        <v>146</v>
      </c>
      <c r="J1650" t="s">
        <v>138</v>
      </c>
      <c r="K1650">
        <v>0</v>
      </c>
      <c r="L1650">
        <v>3</v>
      </c>
      <c r="M1650">
        <v>0</v>
      </c>
      <c r="N1650">
        <v>2</v>
      </c>
      <c r="O1650">
        <v>0</v>
      </c>
      <c r="P1650">
        <v>1</v>
      </c>
      <c r="Q1650">
        <v>0</v>
      </c>
      <c r="S1650" t="str">
        <f t="shared" si="578"/>
        <v>19:29:54.000</v>
      </c>
      <c r="T1650" t="str">
        <f t="shared" si="578"/>
        <v>19:29:54.000</v>
      </c>
      <c r="U1650" t="str">
        <f t="shared" si="559"/>
        <v>AC3944</v>
      </c>
      <c r="V1650">
        <v>0</v>
      </c>
      <c r="W1650">
        <v>0</v>
      </c>
      <c r="X1650">
        <v>2</v>
      </c>
      <c r="Y1650">
        <v>0</v>
      </c>
      <c r="AA1650">
        <v>1</v>
      </c>
      <c r="AB1650">
        <v>8</v>
      </c>
      <c r="AC1650">
        <v>3</v>
      </c>
      <c r="AD1650">
        <v>0</v>
      </c>
      <c r="AE1650">
        <v>9</v>
      </c>
      <c r="AF1650" t="s">
        <v>138</v>
      </c>
      <c r="AG1650">
        <v>0</v>
      </c>
      <c r="AH1650">
        <v>3</v>
      </c>
      <c r="AI1650">
        <v>1</v>
      </c>
      <c r="AJ1650">
        <v>0</v>
      </c>
      <c r="AK1650" t="s">
        <v>606</v>
      </c>
      <c r="AL1650">
        <v>32.790928000000001</v>
      </c>
      <c r="AM1650" t="s">
        <v>607</v>
      </c>
      <c r="AN1650">
        <v>-116.871443</v>
      </c>
      <c r="AO1650">
        <v>25</v>
      </c>
      <c r="AP1650">
        <v>2700</v>
      </c>
      <c r="AQ1650" t="s">
        <v>129</v>
      </c>
      <c r="AR1650">
        <v>90</v>
      </c>
      <c r="AS1650">
        <v>-81</v>
      </c>
      <c r="AT1650">
        <v>448</v>
      </c>
      <c r="BB1650">
        <v>1200</v>
      </c>
      <c r="BC1650">
        <v>1</v>
      </c>
      <c r="BD1650" t="str">
        <f t="shared" si="560"/>
        <v xml:space="preserve">N887QR  </v>
      </c>
      <c r="BE1650">
        <v>1</v>
      </c>
      <c r="BG1650">
        <v>0</v>
      </c>
      <c r="BH1650">
        <v>0</v>
      </c>
      <c r="BI1650">
        <v>0</v>
      </c>
      <c r="BJ1650">
        <v>2400</v>
      </c>
      <c r="BK1650">
        <v>-300</v>
      </c>
      <c r="BL1650" t="s">
        <v>163</v>
      </c>
      <c r="BM1650">
        <v>1</v>
      </c>
      <c r="BN1650">
        <v>1</v>
      </c>
      <c r="BO1650">
        <v>1</v>
      </c>
      <c r="BP1650">
        <v>0</v>
      </c>
      <c r="BS1650">
        <v>0</v>
      </c>
      <c r="BT1650">
        <v>0</v>
      </c>
      <c r="BU1650">
        <v>0</v>
      </c>
      <c r="CE1650" t="str">
        <f t="shared" si="579"/>
        <v>19:29:54.100</v>
      </c>
      <c r="CF1650">
        <v>100281159</v>
      </c>
      <c r="CS1650">
        <v>3</v>
      </c>
      <c r="CT1650">
        <v>2</v>
      </c>
      <c r="CU1650">
        <v>0</v>
      </c>
      <c r="CV1650">
        <v>2</v>
      </c>
      <c r="CW1650">
        <v>0</v>
      </c>
      <c r="CX1650">
        <v>6</v>
      </c>
      <c r="CY1650">
        <v>7</v>
      </c>
      <c r="CZ1650" t="s">
        <v>131</v>
      </c>
      <c r="DA1650">
        <v>300</v>
      </c>
      <c r="DB1650">
        <v>0</v>
      </c>
      <c r="DC1650" t="s">
        <v>176</v>
      </c>
      <c r="DD1650" t="s">
        <v>177</v>
      </c>
      <c r="DG1650">
        <v>5391494</v>
      </c>
      <c r="DI1650">
        <v>1</v>
      </c>
      <c r="DJ1650">
        <v>0</v>
      </c>
      <c r="DK1650">
        <v>1</v>
      </c>
      <c r="DL1650">
        <v>0</v>
      </c>
      <c r="DM1650">
        <v>0</v>
      </c>
      <c r="DN1650">
        <v>1</v>
      </c>
      <c r="DO1650">
        <v>0</v>
      </c>
      <c r="DP1650">
        <v>0</v>
      </c>
      <c r="DQ1650">
        <v>0</v>
      </c>
      <c r="DR1650">
        <v>0</v>
      </c>
      <c r="DS1650">
        <v>0</v>
      </c>
    </row>
    <row r="1651" spans="1:123" x14ac:dyDescent="0.3">
      <c r="A1651" t="str">
        <f t="shared" si="577"/>
        <v>10/04/2022 19:29:54.322</v>
      </c>
      <c r="C1651" t="str">
        <f t="shared" si="574"/>
        <v>FFDFD3C0</v>
      </c>
      <c r="D1651" t="s">
        <v>143</v>
      </c>
      <c r="E1651">
        <v>20</v>
      </c>
      <c r="F1651">
        <v>1020</v>
      </c>
      <c r="G1651" t="s">
        <v>144</v>
      </c>
      <c r="J1651" t="s">
        <v>145</v>
      </c>
      <c r="K1651">
        <v>0</v>
      </c>
      <c r="L1651">
        <v>3</v>
      </c>
      <c r="M1651">
        <v>0</v>
      </c>
      <c r="N1651">
        <v>2</v>
      </c>
      <c r="O1651">
        <v>0</v>
      </c>
      <c r="P1651">
        <v>1</v>
      </c>
      <c r="Q1651">
        <v>0</v>
      </c>
      <c r="S1651" t="str">
        <f t="shared" si="578"/>
        <v>19:29:54.000</v>
      </c>
      <c r="T1651" t="str">
        <f t="shared" si="578"/>
        <v>19:29:54.000</v>
      </c>
      <c r="U1651" t="str">
        <f t="shared" si="559"/>
        <v>AC3944</v>
      </c>
      <c r="V1651">
        <v>0</v>
      </c>
      <c r="W1651">
        <v>0</v>
      </c>
      <c r="X1651">
        <v>2</v>
      </c>
      <c r="Y1651">
        <v>0</v>
      </c>
      <c r="AA1651">
        <v>1</v>
      </c>
      <c r="AB1651">
        <v>8</v>
      </c>
      <c r="AC1651">
        <v>3</v>
      </c>
      <c r="AD1651">
        <v>0</v>
      </c>
      <c r="AE1651">
        <v>9</v>
      </c>
      <c r="AF1651" t="s">
        <v>138</v>
      </c>
      <c r="AG1651">
        <v>0</v>
      </c>
      <c r="AH1651">
        <v>3</v>
      </c>
      <c r="AI1651">
        <v>1</v>
      </c>
      <c r="AJ1651">
        <v>0</v>
      </c>
      <c r="AK1651" t="s">
        <v>606</v>
      </c>
      <c r="AL1651">
        <v>32.790928000000001</v>
      </c>
      <c r="AM1651" t="s">
        <v>607</v>
      </c>
      <c r="AN1651">
        <v>-116.871443</v>
      </c>
      <c r="AO1651">
        <v>25</v>
      </c>
      <c r="AP1651">
        <v>2700</v>
      </c>
      <c r="AQ1651" t="s">
        <v>129</v>
      </c>
      <c r="AR1651">
        <v>90</v>
      </c>
      <c r="AS1651">
        <v>-81</v>
      </c>
      <c r="AT1651">
        <v>448</v>
      </c>
      <c r="BB1651">
        <v>1200</v>
      </c>
      <c r="BC1651">
        <v>1</v>
      </c>
      <c r="BD1651" t="str">
        <f t="shared" si="560"/>
        <v xml:space="preserve">N887QR  </v>
      </c>
      <c r="BE1651">
        <v>1</v>
      </c>
      <c r="BG1651">
        <v>0</v>
      </c>
      <c r="BH1651">
        <v>0</v>
      </c>
      <c r="BI1651">
        <v>0</v>
      </c>
      <c r="BJ1651">
        <v>2400</v>
      </c>
      <c r="BK1651">
        <v>-300</v>
      </c>
      <c r="BL1651" t="s">
        <v>163</v>
      </c>
      <c r="BM1651">
        <v>1</v>
      </c>
      <c r="BN1651">
        <v>1</v>
      </c>
      <c r="BO1651">
        <v>1</v>
      </c>
      <c r="BP1651">
        <v>0</v>
      </c>
      <c r="BS1651">
        <v>0</v>
      </c>
      <c r="BT1651">
        <v>0</v>
      </c>
      <c r="BU1651">
        <v>0</v>
      </c>
      <c r="CE1651" t="str">
        <f t="shared" si="579"/>
        <v>19:29:54.100</v>
      </c>
      <c r="CF1651">
        <v>100281159</v>
      </c>
      <c r="CS1651">
        <v>3</v>
      </c>
      <c r="CT1651">
        <v>2</v>
      </c>
      <c r="CU1651">
        <v>0</v>
      </c>
      <c r="CV1651">
        <v>2</v>
      </c>
      <c r="CW1651">
        <v>0</v>
      </c>
      <c r="CX1651">
        <v>6</v>
      </c>
      <c r="CY1651">
        <v>7</v>
      </c>
      <c r="CZ1651" t="s">
        <v>131</v>
      </c>
      <c r="DA1651">
        <v>300</v>
      </c>
      <c r="DB1651">
        <v>0</v>
      </c>
      <c r="DC1651" t="s">
        <v>176</v>
      </c>
      <c r="DD1651" t="s">
        <v>177</v>
      </c>
      <c r="DG1651">
        <v>5391494</v>
      </c>
      <c r="DI1651">
        <v>1</v>
      </c>
      <c r="DJ1651">
        <v>0</v>
      </c>
      <c r="DK1651">
        <v>1</v>
      </c>
      <c r="DL1651">
        <v>0</v>
      </c>
      <c r="DM1651">
        <v>0</v>
      </c>
      <c r="DN1651">
        <v>1</v>
      </c>
      <c r="DO1651">
        <v>0</v>
      </c>
      <c r="DP1651">
        <v>0</v>
      </c>
      <c r="DQ1651">
        <v>0</v>
      </c>
      <c r="DR1651">
        <v>0</v>
      </c>
      <c r="DS1651">
        <v>0</v>
      </c>
    </row>
    <row r="1652" spans="1:123" x14ac:dyDescent="0.3">
      <c r="A1652" t="str">
        <f t="shared" si="577"/>
        <v>10/04/2022 19:29:54.322</v>
      </c>
      <c r="C1652" t="str">
        <f t="shared" si="574"/>
        <v>FFDFD3C0</v>
      </c>
      <c r="D1652" t="s">
        <v>147</v>
      </c>
      <c r="E1652">
        <v>3</v>
      </c>
      <c r="H1652">
        <v>166</v>
      </c>
      <c r="I1652" t="s">
        <v>144</v>
      </c>
      <c r="J1652" t="s">
        <v>148</v>
      </c>
      <c r="K1652">
        <v>0</v>
      </c>
      <c r="L1652">
        <v>3</v>
      </c>
      <c r="M1652">
        <v>0</v>
      </c>
      <c r="N1652">
        <v>2</v>
      </c>
      <c r="O1652">
        <v>0</v>
      </c>
      <c r="P1652">
        <v>1</v>
      </c>
      <c r="Q1652">
        <v>0</v>
      </c>
      <c r="S1652" t="str">
        <f t="shared" si="578"/>
        <v>19:29:54.000</v>
      </c>
      <c r="T1652" t="str">
        <f t="shared" si="578"/>
        <v>19:29:54.000</v>
      </c>
      <c r="U1652" t="str">
        <f t="shared" si="559"/>
        <v>AC3944</v>
      </c>
      <c r="V1652">
        <v>0</v>
      </c>
      <c r="W1652">
        <v>0</v>
      </c>
      <c r="X1652">
        <v>2</v>
      </c>
      <c r="Y1652">
        <v>0</v>
      </c>
      <c r="AA1652">
        <v>1</v>
      </c>
      <c r="AB1652">
        <v>8</v>
      </c>
      <c r="AC1652">
        <v>3</v>
      </c>
      <c r="AD1652">
        <v>0</v>
      </c>
      <c r="AE1652">
        <v>9</v>
      </c>
      <c r="AF1652" t="s">
        <v>138</v>
      </c>
      <c r="AG1652">
        <v>0</v>
      </c>
      <c r="AH1652">
        <v>3</v>
      </c>
      <c r="AI1652">
        <v>1</v>
      </c>
      <c r="AJ1652">
        <v>0</v>
      </c>
      <c r="AK1652" t="s">
        <v>606</v>
      </c>
      <c r="AL1652">
        <v>32.790928000000001</v>
      </c>
      <c r="AM1652" t="s">
        <v>607</v>
      </c>
      <c r="AN1652">
        <v>-116.871443</v>
      </c>
      <c r="AO1652">
        <v>25</v>
      </c>
      <c r="AP1652">
        <v>2700</v>
      </c>
      <c r="AQ1652" t="s">
        <v>129</v>
      </c>
      <c r="AR1652">
        <v>90</v>
      </c>
      <c r="AS1652">
        <v>-81</v>
      </c>
      <c r="AT1652">
        <v>448</v>
      </c>
      <c r="BB1652">
        <v>1200</v>
      </c>
      <c r="BC1652">
        <v>1</v>
      </c>
      <c r="BD1652" t="str">
        <f t="shared" si="560"/>
        <v xml:space="preserve">N887QR  </v>
      </c>
      <c r="BE1652">
        <v>1</v>
      </c>
      <c r="BG1652">
        <v>0</v>
      </c>
      <c r="BH1652">
        <v>0</v>
      </c>
      <c r="BI1652">
        <v>0</v>
      </c>
      <c r="BJ1652">
        <v>2400</v>
      </c>
      <c r="BK1652">
        <v>-300</v>
      </c>
      <c r="BL1652" t="s">
        <v>163</v>
      </c>
      <c r="BM1652">
        <v>1</v>
      </c>
      <c r="BN1652">
        <v>1</v>
      </c>
      <c r="BO1652">
        <v>1</v>
      </c>
      <c r="BP1652">
        <v>0</v>
      </c>
      <c r="BS1652">
        <v>0</v>
      </c>
      <c r="BT1652">
        <v>0</v>
      </c>
      <c r="BU1652">
        <v>0</v>
      </c>
      <c r="CE1652" t="str">
        <f t="shared" si="579"/>
        <v>19:29:54.100</v>
      </c>
      <c r="CF1652">
        <v>100281159</v>
      </c>
      <c r="CS1652">
        <v>3</v>
      </c>
      <c r="CT1652">
        <v>2</v>
      </c>
      <c r="CU1652">
        <v>0</v>
      </c>
      <c r="CV1652">
        <v>2</v>
      </c>
      <c r="CW1652">
        <v>0</v>
      </c>
      <c r="CX1652">
        <v>6</v>
      </c>
      <c r="CY1652">
        <v>7</v>
      </c>
      <c r="CZ1652" t="s">
        <v>131</v>
      </c>
      <c r="DA1652">
        <v>300</v>
      </c>
      <c r="DB1652">
        <v>0</v>
      </c>
      <c r="DC1652" t="s">
        <v>176</v>
      </c>
      <c r="DD1652" t="s">
        <v>177</v>
      </c>
      <c r="DG1652">
        <v>5391494</v>
      </c>
      <c r="DI1652">
        <v>1</v>
      </c>
      <c r="DJ1652">
        <v>0</v>
      </c>
      <c r="DK1652">
        <v>1</v>
      </c>
      <c r="DL1652">
        <v>0</v>
      </c>
      <c r="DM1652">
        <v>0</v>
      </c>
      <c r="DN1652">
        <v>1</v>
      </c>
      <c r="DO1652">
        <v>0</v>
      </c>
      <c r="DP1652">
        <v>0</v>
      </c>
      <c r="DQ1652">
        <v>0</v>
      </c>
      <c r="DR1652">
        <v>0</v>
      </c>
      <c r="DS1652">
        <v>0</v>
      </c>
    </row>
    <row r="1653" spans="1:123" x14ac:dyDescent="0.3">
      <c r="A1653" t="str">
        <f t="shared" si="577"/>
        <v>10/04/2022 19:29:54.322</v>
      </c>
      <c r="C1653" t="str">
        <f t="shared" si="574"/>
        <v>FFDFD3C0</v>
      </c>
      <c r="D1653" t="s">
        <v>123</v>
      </c>
      <c r="E1653">
        <v>7</v>
      </c>
      <c r="F1653">
        <v>2007</v>
      </c>
      <c r="G1653" t="s">
        <v>124</v>
      </c>
      <c r="J1653" t="s">
        <v>125</v>
      </c>
      <c r="K1653">
        <v>0</v>
      </c>
      <c r="L1653">
        <v>3</v>
      </c>
      <c r="M1653">
        <v>0</v>
      </c>
      <c r="N1653">
        <v>2</v>
      </c>
      <c r="O1653">
        <v>0</v>
      </c>
      <c r="P1653">
        <v>1</v>
      </c>
      <c r="Q1653">
        <v>0</v>
      </c>
      <c r="S1653" t="str">
        <f t="shared" si="578"/>
        <v>19:29:54.000</v>
      </c>
      <c r="T1653" t="str">
        <f t="shared" si="578"/>
        <v>19:29:54.000</v>
      </c>
      <c r="U1653" t="str">
        <f t="shared" si="559"/>
        <v>AC3944</v>
      </c>
      <c r="V1653">
        <v>0</v>
      </c>
      <c r="W1653">
        <v>0</v>
      </c>
      <c r="X1653">
        <v>2</v>
      </c>
      <c r="Y1653">
        <v>0</v>
      </c>
      <c r="AA1653">
        <v>1</v>
      </c>
      <c r="AB1653">
        <v>8</v>
      </c>
      <c r="AC1653">
        <v>3</v>
      </c>
      <c r="AD1653">
        <v>0</v>
      </c>
      <c r="AE1653">
        <v>9</v>
      </c>
      <c r="AF1653" t="s">
        <v>138</v>
      </c>
      <c r="AG1653">
        <v>0</v>
      </c>
      <c r="AH1653">
        <v>3</v>
      </c>
      <c r="AI1653">
        <v>1</v>
      </c>
      <c r="AJ1653">
        <v>0</v>
      </c>
      <c r="AK1653" t="s">
        <v>606</v>
      </c>
      <c r="AL1653">
        <v>32.790928000000001</v>
      </c>
      <c r="AM1653" t="s">
        <v>607</v>
      </c>
      <c r="AN1653">
        <v>-116.871443</v>
      </c>
      <c r="AO1653">
        <v>25</v>
      </c>
      <c r="AP1653">
        <v>2700</v>
      </c>
      <c r="AQ1653" t="s">
        <v>129</v>
      </c>
      <c r="AR1653">
        <v>90</v>
      </c>
      <c r="AS1653">
        <v>-81</v>
      </c>
      <c r="AT1653">
        <v>448</v>
      </c>
      <c r="BB1653">
        <v>1200</v>
      </c>
      <c r="BC1653">
        <v>1</v>
      </c>
      <c r="BD1653" t="str">
        <f t="shared" si="560"/>
        <v xml:space="preserve">N887QR  </v>
      </c>
      <c r="BE1653">
        <v>1</v>
      </c>
      <c r="BG1653">
        <v>0</v>
      </c>
      <c r="BH1653">
        <v>0</v>
      </c>
      <c r="BI1653">
        <v>0</v>
      </c>
      <c r="BJ1653">
        <v>2400</v>
      </c>
      <c r="BK1653">
        <v>-300</v>
      </c>
      <c r="BL1653" t="s">
        <v>163</v>
      </c>
      <c r="BM1653">
        <v>1</v>
      </c>
      <c r="BN1653">
        <v>1</v>
      </c>
      <c r="BO1653">
        <v>1</v>
      </c>
      <c r="BP1653">
        <v>0</v>
      </c>
      <c r="BS1653">
        <v>0</v>
      </c>
      <c r="BT1653">
        <v>0</v>
      </c>
      <c r="BU1653">
        <v>0</v>
      </c>
      <c r="CE1653" t="str">
        <f t="shared" si="579"/>
        <v>19:29:54.100</v>
      </c>
      <c r="CF1653">
        <v>100281159</v>
      </c>
      <c r="CS1653">
        <v>3</v>
      </c>
      <c r="CT1653">
        <v>2</v>
      </c>
      <c r="CU1653">
        <v>0</v>
      </c>
      <c r="CV1653">
        <v>2</v>
      </c>
      <c r="CW1653">
        <v>0</v>
      </c>
      <c r="CX1653">
        <v>6</v>
      </c>
      <c r="CY1653">
        <v>7</v>
      </c>
      <c r="CZ1653" t="s">
        <v>131</v>
      </c>
      <c r="DA1653">
        <v>300</v>
      </c>
      <c r="DB1653">
        <v>0</v>
      </c>
      <c r="DC1653" t="s">
        <v>176</v>
      </c>
      <c r="DD1653" t="s">
        <v>177</v>
      </c>
      <c r="DG1653">
        <v>5391494</v>
      </c>
      <c r="DI1653">
        <v>1</v>
      </c>
      <c r="DJ1653">
        <v>0</v>
      </c>
      <c r="DK1653">
        <v>1</v>
      </c>
      <c r="DL1653">
        <v>0</v>
      </c>
      <c r="DM1653">
        <v>0</v>
      </c>
      <c r="DN1653">
        <v>1</v>
      </c>
      <c r="DO1653">
        <v>0</v>
      </c>
      <c r="DP1653">
        <v>0</v>
      </c>
      <c r="DQ1653">
        <v>0</v>
      </c>
      <c r="DR1653">
        <v>0</v>
      </c>
      <c r="DS1653">
        <v>0</v>
      </c>
    </row>
    <row r="1654" spans="1:123" x14ac:dyDescent="0.3">
      <c r="A1654" t="str">
        <f>"10/04/2022 19:29:55.213"</f>
        <v>10/04/2022 19:29:55.213</v>
      </c>
      <c r="C1654" t="str">
        <f t="shared" si="574"/>
        <v>FFDFD3C0</v>
      </c>
      <c r="D1654" t="s">
        <v>141</v>
      </c>
      <c r="E1654">
        <v>3</v>
      </c>
      <c r="H1654">
        <v>3</v>
      </c>
      <c r="I1654" t="s">
        <v>146</v>
      </c>
      <c r="J1654" t="s">
        <v>138</v>
      </c>
      <c r="K1654">
        <v>0</v>
      </c>
      <c r="L1654">
        <v>3</v>
      </c>
      <c r="M1654">
        <v>0</v>
      </c>
      <c r="N1654">
        <v>2</v>
      </c>
      <c r="O1654">
        <v>0</v>
      </c>
      <c r="P1654">
        <v>1</v>
      </c>
      <c r="Q1654">
        <v>0</v>
      </c>
      <c r="S1654" t="str">
        <f t="shared" si="578"/>
        <v>19:29:54.000</v>
      </c>
      <c r="T1654" t="str">
        <f t="shared" si="578"/>
        <v>19:29:54.000</v>
      </c>
      <c r="U1654" t="str">
        <f t="shared" si="559"/>
        <v>AC3944</v>
      </c>
      <c r="V1654">
        <v>0</v>
      </c>
      <c r="W1654">
        <v>0</v>
      </c>
      <c r="X1654">
        <v>2</v>
      </c>
      <c r="Y1654">
        <v>0</v>
      </c>
      <c r="AA1654">
        <v>1</v>
      </c>
      <c r="AB1654">
        <v>8</v>
      </c>
      <c r="AC1654">
        <v>3</v>
      </c>
      <c r="AD1654">
        <v>0</v>
      </c>
      <c r="AE1654">
        <v>9</v>
      </c>
      <c r="AF1654" t="s">
        <v>138</v>
      </c>
      <c r="AG1654">
        <v>0</v>
      </c>
      <c r="AH1654">
        <v>3</v>
      </c>
      <c r="AI1654">
        <v>1</v>
      </c>
      <c r="AJ1654">
        <v>0</v>
      </c>
      <c r="AK1654" t="s">
        <v>608</v>
      </c>
      <c r="AL1654">
        <v>32.790455999999999</v>
      </c>
      <c r="AM1654" t="s">
        <v>609</v>
      </c>
      <c r="AN1654">
        <v>-116.870863</v>
      </c>
      <c r="AO1654">
        <v>25</v>
      </c>
      <c r="AP1654">
        <v>2700</v>
      </c>
      <c r="AQ1654" t="s">
        <v>129</v>
      </c>
      <c r="AR1654">
        <v>89</v>
      </c>
      <c r="AS1654">
        <v>-81</v>
      </c>
      <c r="AT1654">
        <v>576</v>
      </c>
      <c r="BB1654">
        <v>1200</v>
      </c>
      <c r="BC1654">
        <v>1</v>
      </c>
      <c r="BD1654" t="str">
        <f t="shared" si="560"/>
        <v xml:space="preserve">N887QR  </v>
      </c>
      <c r="BE1654">
        <v>1</v>
      </c>
      <c r="BG1654">
        <v>0</v>
      </c>
      <c r="BH1654">
        <v>0</v>
      </c>
      <c r="BI1654">
        <v>0</v>
      </c>
      <c r="BJ1654">
        <v>2400</v>
      </c>
      <c r="BK1654">
        <v>-300</v>
      </c>
      <c r="BL1654" t="s">
        <v>163</v>
      </c>
      <c r="BM1654">
        <v>1</v>
      </c>
      <c r="BN1654">
        <v>1</v>
      </c>
      <c r="BO1654">
        <v>1</v>
      </c>
      <c r="BP1654">
        <v>0</v>
      </c>
      <c r="BS1654">
        <v>0</v>
      </c>
      <c r="BT1654">
        <v>0</v>
      </c>
      <c r="BU1654">
        <v>0</v>
      </c>
      <c r="CE1654" t="str">
        <f t="shared" ref="CE1654:CE1660" si="580">"19:29:54.985"</f>
        <v>19:29:54.985</v>
      </c>
      <c r="CF1654">
        <v>984784081</v>
      </c>
      <c r="CS1654">
        <v>3</v>
      </c>
      <c r="CT1654">
        <v>2</v>
      </c>
      <c r="CU1654">
        <v>0</v>
      </c>
      <c r="CV1654">
        <v>2</v>
      </c>
      <c r="CW1654">
        <v>0</v>
      </c>
      <c r="CX1654">
        <v>5</v>
      </c>
      <c r="CY1654">
        <v>7</v>
      </c>
      <c r="CZ1654" t="s">
        <v>131</v>
      </c>
      <c r="DA1654">
        <v>300</v>
      </c>
      <c r="DB1654">
        <v>0</v>
      </c>
      <c r="DC1654" t="s">
        <v>176</v>
      </c>
      <c r="DD1654" t="s">
        <v>177</v>
      </c>
      <c r="DG1654">
        <v>5391612</v>
      </c>
      <c r="DI1654">
        <v>1</v>
      </c>
      <c r="DJ1654">
        <v>0</v>
      </c>
      <c r="DK1654">
        <v>0</v>
      </c>
      <c r="DL1654">
        <v>0</v>
      </c>
      <c r="DM1654">
        <v>0</v>
      </c>
      <c r="DN1654">
        <v>1</v>
      </c>
      <c r="DO1654">
        <v>0</v>
      </c>
      <c r="DP1654">
        <v>0</v>
      </c>
      <c r="DQ1654">
        <v>0</v>
      </c>
      <c r="DR1654">
        <v>0</v>
      </c>
      <c r="DS1654">
        <v>0</v>
      </c>
    </row>
    <row r="1655" spans="1:123" x14ac:dyDescent="0.3">
      <c r="A1655" t="str">
        <f>"10/04/2022 19:29:55.213"</f>
        <v>10/04/2022 19:29:55.213</v>
      </c>
      <c r="C1655" t="str">
        <f t="shared" si="574"/>
        <v>FFDFD3C0</v>
      </c>
      <c r="D1655" t="s">
        <v>143</v>
      </c>
      <c r="E1655">
        <v>20</v>
      </c>
      <c r="F1655">
        <v>1020</v>
      </c>
      <c r="G1655" t="s">
        <v>144</v>
      </c>
      <c r="J1655" t="s">
        <v>145</v>
      </c>
      <c r="K1655">
        <v>0</v>
      </c>
      <c r="L1655">
        <v>3</v>
      </c>
      <c r="M1655">
        <v>0</v>
      </c>
      <c r="N1655">
        <v>2</v>
      </c>
      <c r="O1655">
        <v>0</v>
      </c>
      <c r="P1655">
        <v>1</v>
      </c>
      <c r="Q1655">
        <v>0</v>
      </c>
      <c r="S1655" t="str">
        <f t="shared" si="578"/>
        <v>19:29:54.000</v>
      </c>
      <c r="T1655" t="str">
        <f t="shared" si="578"/>
        <v>19:29:54.000</v>
      </c>
      <c r="U1655" t="str">
        <f t="shared" si="559"/>
        <v>AC3944</v>
      </c>
      <c r="V1655">
        <v>0</v>
      </c>
      <c r="W1655">
        <v>0</v>
      </c>
      <c r="X1655">
        <v>2</v>
      </c>
      <c r="Y1655">
        <v>0</v>
      </c>
      <c r="AA1655">
        <v>1</v>
      </c>
      <c r="AB1655">
        <v>8</v>
      </c>
      <c r="AC1655">
        <v>3</v>
      </c>
      <c r="AD1655">
        <v>0</v>
      </c>
      <c r="AE1655">
        <v>9</v>
      </c>
      <c r="AF1655" t="s">
        <v>138</v>
      </c>
      <c r="AG1655">
        <v>0</v>
      </c>
      <c r="AH1655">
        <v>3</v>
      </c>
      <c r="AI1655">
        <v>1</v>
      </c>
      <c r="AJ1655">
        <v>0</v>
      </c>
      <c r="AK1655" t="s">
        <v>608</v>
      </c>
      <c r="AL1655">
        <v>32.790455999999999</v>
      </c>
      <c r="AM1655" t="s">
        <v>609</v>
      </c>
      <c r="AN1655">
        <v>-116.870863</v>
      </c>
      <c r="AO1655">
        <v>25</v>
      </c>
      <c r="AP1655">
        <v>2700</v>
      </c>
      <c r="AQ1655" t="s">
        <v>129</v>
      </c>
      <c r="AR1655">
        <v>89</v>
      </c>
      <c r="AS1655">
        <v>-81</v>
      </c>
      <c r="AT1655">
        <v>576</v>
      </c>
      <c r="BB1655">
        <v>1200</v>
      </c>
      <c r="BC1655">
        <v>1</v>
      </c>
      <c r="BD1655" t="str">
        <f t="shared" si="560"/>
        <v xml:space="preserve">N887QR  </v>
      </c>
      <c r="BE1655">
        <v>1</v>
      </c>
      <c r="BG1655">
        <v>0</v>
      </c>
      <c r="BH1655">
        <v>0</v>
      </c>
      <c r="BI1655">
        <v>0</v>
      </c>
      <c r="BJ1655">
        <v>2400</v>
      </c>
      <c r="BK1655">
        <v>-300</v>
      </c>
      <c r="BL1655" t="s">
        <v>163</v>
      </c>
      <c r="BM1655">
        <v>1</v>
      </c>
      <c r="BN1655">
        <v>1</v>
      </c>
      <c r="BO1655">
        <v>1</v>
      </c>
      <c r="BP1655">
        <v>0</v>
      </c>
      <c r="BS1655">
        <v>0</v>
      </c>
      <c r="BT1655">
        <v>0</v>
      </c>
      <c r="BU1655">
        <v>0</v>
      </c>
      <c r="CE1655" t="str">
        <f t="shared" si="580"/>
        <v>19:29:54.985</v>
      </c>
      <c r="CF1655">
        <v>984784081</v>
      </c>
      <c r="CS1655">
        <v>3</v>
      </c>
      <c r="CT1655">
        <v>2</v>
      </c>
      <c r="CU1655">
        <v>0</v>
      </c>
      <c r="CV1655">
        <v>2</v>
      </c>
      <c r="CW1655">
        <v>0</v>
      </c>
      <c r="CX1655">
        <v>5</v>
      </c>
      <c r="CY1655">
        <v>7</v>
      </c>
      <c r="CZ1655" t="s">
        <v>131</v>
      </c>
      <c r="DA1655">
        <v>300</v>
      </c>
      <c r="DB1655">
        <v>0</v>
      </c>
      <c r="DC1655" t="s">
        <v>176</v>
      </c>
      <c r="DD1655" t="s">
        <v>177</v>
      </c>
      <c r="DG1655">
        <v>5391612</v>
      </c>
      <c r="DI1655">
        <v>1</v>
      </c>
      <c r="DJ1655">
        <v>0</v>
      </c>
      <c r="DK1655">
        <v>1</v>
      </c>
      <c r="DL1655">
        <v>0</v>
      </c>
      <c r="DM1655">
        <v>0</v>
      </c>
      <c r="DN1655">
        <v>1</v>
      </c>
      <c r="DO1655">
        <v>0</v>
      </c>
      <c r="DP1655">
        <v>0</v>
      </c>
      <c r="DQ1655">
        <v>0</v>
      </c>
      <c r="DR1655">
        <v>0</v>
      </c>
      <c r="DS1655">
        <v>0</v>
      </c>
    </row>
    <row r="1656" spans="1:123" x14ac:dyDescent="0.3">
      <c r="A1656" t="str">
        <f>"10/04/2022 19:29:55.213"</f>
        <v>10/04/2022 19:29:55.213</v>
      </c>
      <c r="C1656" t="str">
        <f t="shared" si="574"/>
        <v>FFDFD3C0</v>
      </c>
      <c r="D1656" t="s">
        <v>147</v>
      </c>
      <c r="E1656">
        <v>3</v>
      </c>
      <c r="H1656">
        <v>166</v>
      </c>
      <c r="I1656" t="s">
        <v>144</v>
      </c>
      <c r="J1656" t="s">
        <v>148</v>
      </c>
      <c r="K1656">
        <v>0</v>
      </c>
      <c r="L1656">
        <v>3</v>
      </c>
      <c r="M1656">
        <v>0</v>
      </c>
      <c r="N1656">
        <v>2</v>
      </c>
      <c r="O1656">
        <v>0</v>
      </c>
      <c r="P1656">
        <v>1</v>
      </c>
      <c r="Q1656">
        <v>0</v>
      </c>
      <c r="S1656" t="str">
        <f t="shared" si="578"/>
        <v>19:29:54.000</v>
      </c>
      <c r="T1656" t="str">
        <f t="shared" si="578"/>
        <v>19:29:54.000</v>
      </c>
      <c r="U1656" t="str">
        <f t="shared" si="559"/>
        <v>AC3944</v>
      </c>
      <c r="V1656">
        <v>0</v>
      </c>
      <c r="W1656">
        <v>0</v>
      </c>
      <c r="X1656">
        <v>2</v>
      </c>
      <c r="Y1656">
        <v>0</v>
      </c>
      <c r="AA1656">
        <v>1</v>
      </c>
      <c r="AB1656">
        <v>8</v>
      </c>
      <c r="AC1656">
        <v>3</v>
      </c>
      <c r="AD1656">
        <v>0</v>
      </c>
      <c r="AE1656">
        <v>9</v>
      </c>
      <c r="AF1656" t="s">
        <v>138</v>
      </c>
      <c r="AG1656">
        <v>0</v>
      </c>
      <c r="AH1656">
        <v>3</v>
      </c>
      <c r="AI1656">
        <v>1</v>
      </c>
      <c r="AJ1656">
        <v>0</v>
      </c>
      <c r="AK1656" t="s">
        <v>608</v>
      </c>
      <c r="AL1656">
        <v>32.790455999999999</v>
      </c>
      <c r="AM1656" t="s">
        <v>609</v>
      </c>
      <c r="AN1656">
        <v>-116.870863</v>
      </c>
      <c r="AO1656">
        <v>25</v>
      </c>
      <c r="AP1656">
        <v>2700</v>
      </c>
      <c r="AQ1656" t="s">
        <v>129</v>
      </c>
      <c r="AR1656">
        <v>89</v>
      </c>
      <c r="AS1656">
        <v>-81</v>
      </c>
      <c r="AT1656">
        <v>576</v>
      </c>
      <c r="BB1656">
        <v>1200</v>
      </c>
      <c r="BC1656">
        <v>1</v>
      </c>
      <c r="BD1656" t="str">
        <f t="shared" si="560"/>
        <v xml:space="preserve">N887QR  </v>
      </c>
      <c r="BE1656">
        <v>1</v>
      </c>
      <c r="BG1656">
        <v>0</v>
      </c>
      <c r="BH1656">
        <v>0</v>
      </c>
      <c r="BI1656">
        <v>0</v>
      </c>
      <c r="BJ1656">
        <v>2400</v>
      </c>
      <c r="BK1656">
        <v>-300</v>
      </c>
      <c r="BL1656" t="s">
        <v>163</v>
      </c>
      <c r="BM1656">
        <v>1</v>
      </c>
      <c r="BN1656">
        <v>1</v>
      </c>
      <c r="BO1656">
        <v>1</v>
      </c>
      <c r="BP1656">
        <v>0</v>
      </c>
      <c r="BS1656">
        <v>0</v>
      </c>
      <c r="BT1656">
        <v>0</v>
      </c>
      <c r="BU1656">
        <v>0</v>
      </c>
      <c r="CE1656" t="str">
        <f t="shared" si="580"/>
        <v>19:29:54.985</v>
      </c>
      <c r="CF1656">
        <v>984784081</v>
      </c>
      <c r="CS1656">
        <v>3</v>
      </c>
      <c r="CT1656">
        <v>2</v>
      </c>
      <c r="CU1656">
        <v>0</v>
      </c>
      <c r="CV1656">
        <v>2</v>
      </c>
      <c r="CW1656">
        <v>0</v>
      </c>
      <c r="CX1656">
        <v>5</v>
      </c>
      <c r="CY1656">
        <v>7</v>
      </c>
      <c r="CZ1656" t="s">
        <v>131</v>
      </c>
      <c r="DA1656">
        <v>300</v>
      </c>
      <c r="DB1656">
        <v>0</v>
      </c>
      <c r="DC1656" t="s">
        <v>176</v>
      </c>
      <c r="DD1656" t="s">
        <v>177</v>
      </c>
      <c r="DG1656">
        <v>5391612</v>
      </c>
      <c r="DI1656">
        <v>1</v>
      </c>
      <c r="DJ1656">
        <v>0</v>
      </c>
      <c r="DK1656">
        <v>1</v>
      </c>
      <c r="DL1656">
        <v>0</v>
      </c>
      <c r="DM1656">
        <v>0</v>
      </c>
      <c r="DN1656">
        <v>1</v>
      </c>
      <c r="DO1656">
        <v>0</v>
      </c>
      <c r="DP1656">
        <v>0</v>
      </c>
      <c r="DQ1656">
        <v>0</v>
      </c>
      <c r="DR1656">
        <v>0</v>
      </c>
      <c r="DS1656">
        <v>0</v>
      </c>
    </row>
    <row r="1657" spans="1:123" x14ac:dyDescent="0.3">
      <c r="A1657" t="str">
        <f>"10/04/2022 19:29:55.213"</f>
        <v>10/04/2022 19:29:55.213</v>
      </c>
      <c r="C1657" t="str">
        <f t="shared" si="574"/>
        <v>FFDFD3C0</v>
      </c>
      <c r="D1657" t="s">
        <v>123</v>
      </c>
      <c r="E1657">
        <v>7</v>
      </c>
      <c r="F1657">
        <v>2007</v>
      </c>
      <c r="G1657" t="s">
        <v>124</v>
      </c>
      <c r="J1657" t="s">
        <v>125</v>
      </c>
      <c r="K1657">
        <v>0</v>
      </c>
      <c r="L1657">
        <v>3</v>
      </c>
      <c r="M1657">
        <v>0</v>
      </c>
      <c r="N1657">
        <v>2</v>
      </c>
      <c r="O1657">
        <v>0</v>
      </c>
      <c r="P1657">
        <v>1</v>
      </c>
      <c r="Q1657">
        <v>0</v>
      </c>
      <c r="S1657" t="str">
        <f t="shared" si="578"/>
        <v>19:29:54.000</v>
      </c>
      <c r="T1657" t="str">
        <f t="shared" si="578"/>
        <v>19:29:54.000</v>
      </c>
      <c r="U1657" t="str">
        <f t="shared" si="559"/>
        <v>AC3944</v>
      </c>
      <c r="V1657">
        <v>0</v>
      </c>
      <c r="W1657">
        <v>0</v>
      </c>
      <c r="X1657">
        <v>2</v>
      </c>
      <c r="Y1657">
        <v>0</v>
      </c>
      <c r="AA1657">
        <v>1</v>
      </c>
      <c r="AB1657">
        <v>8</v>
      </c>
      <c r="AC1657">
        <v>3</v>
      </c>
      <c r="AD1657">
        <v>0</v>
      </c>
      <c r="AE1657">
        <v>9</v>
      </c>
      <c r="AF1657" t="s">
        <v>138</v>
      </c>
      <c r="AG1657">
        <v>0</v>
      </c>
      <c r="AH1657">
        <v>3</v>
      </c>
      <c r="AI1657">
        <v>1</v>
      </c>
      <c r="AJ1657">
        <v>0</v>
      </c>
      <c r="AK1657" t="s">
        <v>608</v>
      </c>
      <c r="AL1657">
        <v>32.790455999999999</v>
      </c>
      <c r="AM1657" t="s">
        <v>609</v>
      </c>
      <c r="AN1657">
        <v>-116.870863</v>
      </c>
      <c r="AO1657">
        <v>25</v>
      </c>
      <c r="AP1657">
        <v>2700</v>
      </c>
      <c r="AQ1657" t="s">
        <v>129</v>
      </c>
      <c r="AR1657">
        <v>89</v>
      </c>
      <c r="AS1657">
        <v>-81</v>
      </c>
      <c r="AT1657">
        <v>576</v>
      </c>
      <c r="BB1657">
        <v>1200</v>
      </c>
      <c r="BC1657">
        <v>1</v>
      </c>
      <c r="BD1657" t="str">
        <f t="shared" si="560"/>
        <v xml:space="preserve">N887QR  </v>
      </c>
      <c r="BE1657">
        <v>1</v>
      </c>
      <c r="BG1657">
        <v>0</v>
      </c>
      <c r="BH1657">
        <v>0</v>
      </c>
      <c r="BI1657">
        <v>0</v>
      </c>
      <c r="BJ1657">
        <v>2400</v>
      </c>
      <c r="BK1657">
        <v>-300</v>
      </c>
      <c r="BL1657" t="s">
        <v>163</v>
      </c>
      <c r="BM1657">
        <v>1</v>
      </c>
      <c r="BN1657">
        <v>1</v>
      </c>
      <c r="BO1657">
        <v>1</v>
      </c>
      <c r="BP1657">
        <v>0</v>
      </c>
      <c r="BS1657">
        <v>0</v>
      </c>
      <c r="BT1657">
        <v>0</v>
      </c>
      <c r="BU1657">
        <v>0</v>
      </c>
      <c r="CE1657" t="str">
        <f t="shared" si="580"/>
        <v>19:29:54.985</v>
      </c>
      <c r="CF1657">
        <v>984784081</v>
      </c>
      <c r="CS1657">
        <v>3</v>
      </c>
      <c r="CT1657">
        <v>2</v>
      </c>
      <c r="CU1657">
        <v>0</v>
      </c>
      <c r="CV1657">
        <v>2</v>
      </c>
      <c r="CW1657">
        <v>0</v>
      </c>
      <c r="CX1657">
        <v>5</v>
      </c>
      <c r="CY1657">
        <v>7</v>
      </c>
      <c r="CZ1657" t="s">
        <v>131</v>
      </c>
      <c r="DA1657">
        <v>300</v>
      </c>
      <c r="DB1657">
        <v>0</v>
      </c>
      <c r="DC1657" t="s">
        <v>176</v>
      </c>
      <c r="DD1657" t="s">
        <v>177</v>
      </c>
      <c r="DG1657">
        <v>5391612</v>
      </c>
      <c r="DI1657">
        <v>1</v>
      </c>
      <c r="DJ1657">
        <v>0</v>
      </c>
      <c r="DK1657">
        <v>1</v>
      </c>
      <c r="DL1657">
        <v>0</v>
      </c>
      <c r="DM1657">
        <v>0</v>
      </c>
      <c r="DN1657">
        <v>1</v>
      </c>
      <c r="DO1657">
        <v>0</v>
      </c>
      <c r="DP1657">
        <v>0</v>
      </c>
      <c r="DQ1657">
        <v>0</v>
      </c>
      <c r="DR1657">
        <v>0</v>
      </c>
      <c r="DS1657">
        <v>0</v>
      </c>
    </row>
    <row r="1658" spans="1:123" x14ac:dyDescent="0.3">
      <c r="A1658" t="str">
        <f>"10/04/2022 19:29:55.213"</f>
        <v>10/04/2022 19:29:55.213</v>
      </c>
      <c r="C1658" t="str">
        <f t="shared" si="574"/>
        <v>FFDFD3C0</v>
      </c>
      <c r="D1658" t="s">
        <v>136</v>
      </c>
      <c r="E1658">
        <v>8</v>
      </c>
      <c r="H1658">
        <v>225</v>
      </c>
      <c r="I1658" t="s">
        <v>137</v>
      </c>
      <c r="J1658" t="s">
        <v>138</v>
      </c>
      <c r="K1658">
        <v>0</v>
      </c>
      <c r="L1658">
        <v>3</v>
      </c>
      <c r="M1658">
        <v>0</v>
      </c>
      <c r="N1658">
        <v>2</v>
      </c>
      <c r="O1658">
        <v>0</v>
      </c>
      <c r="P1658">
        <v>1</v>
      </c>
      <c r="Q1658">
        <v>0</v>
      </c>
      <c r="S1658" t="str">
        <f t="shared" si="578"/>
        <v>19:29:54.000</v>
      </c>
      <c r="T1658" t="str">
        <f t="shared" si="578"/>
        <v>19:29:54.000</v>
      </c>
      <c r="U1658" t="str">
        <f t="shared" si="559"/>
        <v>AC3944</v>
      </c>
      <c r="V1658">
        <v>0</v>
      </c>
      <c r="W1658">
        <v>0</v>
      </c>
      <c r="X1658">
        <v>2</v>
      </c>
      <c r="Y1658">
        <v>0</v>
      </c>
      <c r="AA1658">
        <v>1</v>
      </c>
      <c r="AB1658">
        <v>8</v>
      </c>
      <c r="AC1658">
        <v>3</v>
      </c>
      <c r="AD1658">
        <v>0</v>
      </c>
      <c r="AE1658">
        <v>9</v>
      </c>
      <c r="AF1658" t="s">
        <v>138</v>
      </c>
      <c r="AG1658">
        <v>0</v>
      </c>
      <c r="AH1658">
        <v>3</v>
      </c>
      <c r="AI1658">
        <v>1</v>
      </c>
      <c r="AJ1658">
        <v>0</v>
      </c>
      <c r="AK1658" t="s">
        <v>608</v>
      </c>
      <c r="AL1658">
        <v>32.790455999999999</v>
      </c>
      <c r="AM1658" t="s">
        <v>609</v>
      </c>
      <c r="AN1658">
        <v>-116.870863</v>
      </c>
      <c r="AO1658">
        <v>25</v>
      </c>
      <c r="AP1658">
        <v>2700</v>
      </c>
      <c r="AQ1658" t="s">
        <v>129</v>
      </c>
      <c r="AR1658">
        <v>89</v>
      </c>
      <c r="AS1658">
        <v>-81</v>
      </c>
      <c r="AT1658">
        <v>576</v>
      </c>
      <c r="BB1658">
        <v>1200</v>
      </c>
      <c r="BC1658">
        <v>1</v>
      </c>
      <c r="BD1658" t="str">
        <f t="shared" si="560"/>
        <v xml:space="preserve">N887QR  </v>
      </c>
      <c r="BE1658">
        <v>1</v>
      </c>
      <c r="BG1658">
        <v>0</v>
      </c>
      <c r="BH1658">
        <v>0</v>
      </c>
      <c r="BI1658">
        <v>0</v>
      </c>
      <c r="BJ1658">
        <v>2400</v>
      </c>
      <c r="BK1658">
        <v>-300</v>
      </c>
      <c r="BL1658" t="s">
        <v>163</v>
      </c>
      <c r="BM1658">
        <v>1</v>
      </c>
      <c r="BN1658">
        <v>1</v>
      </c>
      <c r="BO1658">
        <v>1</v>
      </c>
      <c r="BP1658">
        <v>0</v>
      </c>
      <c r="BS1658">
        <v>0</v>
      </c>
      <c r="BT1658">
        <v>0</v>
      </c>
      <c r="BU1658">
        <v>0</v>
      </c>
      <c r="CE1658" t="str">
        <f t="shared" si="580"/>
        <v>19:29:54.985</v>
      </c>
      <c r="CF1658">
        <v>984784081</v>
      </c>
      <c r="CS1658">
        <v>3</v>
      </c>
      <c r="CT1658">
        <v>2</v>
      </c>
      <c r="CU1658">
        <v>0</v>
      </c>
      <c r="CV1658">
        <v>2</v>
      </c>
      <c r="CW1658">
        <v>0</v>
      </c>
      <c r="CX1658">
        <v>5</v>
      </c>
      <c r="CY1658">
        <v>7</v>
      </c>
      <c r="CZ1658" t="s">
        <v>131</v>
      </c>
      <c r="DA1658">
        <v>300</v>
      </c>
      <c r="DB1658">
        <v>0</v>
      </c>
      <c r="DC1658" t="s">
        <v>176</v>
      </c>
      <c r="DD1658" t="s">
        <v>177</v>
      </c>
      <c r="DG1658">
        <v>5391612</v>
      </c>
      <c r="DI1658">
        <v>1</v>
      </c>
      <c r="DJ1658">
        <v>0</v>
      </c>
      <c r="DK1658">
        <v>1</v>
      </c>
      <c r="DL1658">
        <v>0</v>
      </c>
      <c r="DM1658">
        <v>0</v>
      </c>
      <c r="DN1658">
        <v>1</v>
      </c>
      <c r="DO1658">
        <v>0</v>
      </c>
      <c r="DP1658">
        <v>0</v>
      </c>
      <c r="DQ1658">
        <v>0</v>
      </c>
      <c r="DR1658">
        <v>0</v>
      </c>
      <c r="DS1658">
        <v>0</v>
      </c>
    </row>
    <row r="1659" spans="1:123" x14ac:dyDescent="0.3">
      <c r="A1659" t="str">
        <f>"10/04/2022 19:29:55.276"</f>
        <v>10/04/2022 19:29:55.276</v>
      </c>
      <c r="C1659" t="str">
        <f t="shared" si="574"/>
        <v>FFDFD3C0</v>
      </c>
      <c r="D1659" t="s">
        <v>141</v>
      </c>
      <c r="E1659">
        <v>4</v>
      </c>
      <c r="H1659">
        <v>4</v>
      </c>
      <c r="I1659" t="s">
        <v>142</v>
      </c>
      <c r="J1659" t="s">
        <v>138</v>
      </c>
      <c r="K1659">
        <v>0</v>
      </c>
      <c r="L1659">
        <v>3</v>
      </c>
      <c r="M1659">
        <v>0</v>
      </c>
      <c r="N1659">
        <v>2</v>
      </c>
      <c r="O1659">
        <v>0</v>
      </c>
      <c r="P1659">
        <v>1</v>
      </c>
      <c r="Q1659">
        <v>0</v>
      </c>
      <c r="S1659" t="str">
        <f t="shared" si="578"/>
        <v>19:29:54.000</v>
      </c>
      <c r="T1659" t="str">
        <f t="shared" si="578"/>
        <v>19:29:54.000</v>
      </c>
      <c r="U1659" t="str">
        <f t="shared" si="559"/>
        <v>AC3944</v>
      </c>
      <c r="V1659">
        <v>0</v>
      </c>
      <c r="W1659">
        <v>0</v>
      </c>
      <c r="X1659">
        <v>2</v>
      </c>
      <c r="Y1659">
        <v>0</v>
      </c>
      <c r="AA1659">
        <v>1</v>
      </c>
      <c r="AB1659">
        <v>8</v>
      </c>
      <c r="AC1659">
        <v>3</v>
      </c>
      <c r="AD1659">
        <v>0</v>
      </c>
      <c r="AE1659">
        <v>9</v>
      </c>
      <c r="AF1659" t="s">
        <v>138</v>
      </c>
      <c r="AG1659">
        <v>0</v>
      </c>
      <c r="AH1659">
        <v>3</v>
      </c>
      <c r="AI1659">
        <v>1</v>
      </c>
      <c r="AJ1659">
        <v>0</v>
      </c>
      <c r="AK1659" t="s">
        <v>608</v>
      </c>
      <c r="AL1659">
        <v>32.790455999999999</v>
      </c>
      <c r="AM1659" t="s">
        <v>609</v>
      </c>
      <c r="AN1659">
        <v>-116.870863</v>
      </c>
      <c r="AO1659">
        <v>25</v>
      </c>
      <c r="AP1659">
        <v>2700</v>
      </c>
      <c r="AQ1659" t="s">
        <v>129</v>
      </c>
      <c r="AR1659">
        <v>89</v>
      </c>
      <c r="AS1659">
        <v>-81</v>
      </c>
      <c r="AT1659">
        <v>576</v>
      </c>
      <c r="BB1659">
        <v>1200</v>
      </c>
      <c r="BC1659">
        <v>1</v>
      </c>
      <c r="BD1659" t="str">
        <f t="shared" si="560"/>
        <v xml:space="preserve">N887QR  </v>
      </c>
      <c r="BE1659">
        <v>1</v>
      </c>
      <c r="BG1659">
        <v>0</v>
      </c>
      <c r="BH1659">
        <v>0</v>
      </c>
      <c r="BI1659">
        <v>0</v>
      </c>
      <c r="BJ1659">
        <v>2400</v>
      </c>
      <c r="BK1659">
        <v>-300</v>
      </c>
      <c r="BL1659" t="s">
        <v>163</v>
      </c>
      <c r="BM1659">
        <v>1</v>
      </c>
      <c r="BN1659">
        <v>1</v>
      </c>
      <c r="BO1659">
        <v>1</v>
      </c>
      <c r="BP1659">
        <v>0</v>
      </c>
      <c r="BS1659">
        <v>0</v>
      </c>
      <c r="BT1659">
        <v>0</v>
      </c>
      <c r="BU1659">
        <v>0</v>
      </c>
      <c r="CE1659" t="str">
        <f t="shared" si="580"/>
        <v>19:29:54.985</v>
      </c>
      <c r="CF1659">
        <v>984784081</v>
      </c>
      <c r="CS1659">
        <v>3</v>
      </c>
      <c r="CT1659">
        <v>2</v>
      </c>
      <c r="CU1659">
        <v>0</v>
      </c>
      <c r="CV1659">
        <v>2</v>
      </c>
      <c r="CW1659">
        <v>0</v>
      </c>
      <c r="CX1659">
        <v>5</v>
      </c>
      <c r="CY1659">
        <v>7</v>
      </c>
      <c r="CZ1659" t="s">
        <v>131</v>
      </c>
      <c r="DA1659">
        <v>300</v>
      </c>
      <c r="DB1659">
        <v>0</v>
      </c>
      <c r="DC1659" t="s">
        <v>176</v>
      </c>
      <c r="DD1659" t="s">
        <v>177</v>
      </c>
      <c r="DG1659">
        <v>5391612</v>
      </c>
      <c r="DI1659">
        <v>1</v>
      </c>
      <c r="DJ1659">
        <v>0</v>
      </c>
      <c r="DK1659">
        <v>1</v>
      </c>
      <c r="DL1659">
        <v>0</v>
      </c>
      <c r="DM1659">
        <v>0</v>
      </c>
      <c r="DN1659">
        <v>1</v>
      </c>
      <c r="DO1659">
        <v>0</v>
      </c>
      <c r="DP1659">
        <v>0</v>
      </c>
      <c r="DQ1659">
        <v>0</v>
      </c>
      <c r="DR1659">
        <v>0</v>
      </c>
      <c r="DS1659">
        <v>0</v>
      </c>
    </row>
    <row r="1660" spans="1:123" x14ac:dyDescent="0.3">
      <c r="A1660" t="str">
        <f>"10/04/2022 19:29:55.276"</f>
        <v>10/04/2022 19:29:55.276</v>
      </c>
      <c r="C1660" t="str">
        <f t="shared" si="574"/>
        <v>FFDFD3C0</v>
      </c>
      <c r="D1660" t="s">
        <v>134</v>
      </c>
      <c r="E1660">
        <v>15</v>
      </c>
      <c r="J1660" t="s">
        <v>135</v>
      </c>
      <c r="K1660">
        <v>0</v>
      </c>
      <c r="L1660">
        <v>3</v>
      </c>
      <c r="M1660">
        <v>0</v>
      </c>
      <c r="N1660">
        <v>2</v>
      </c>
      <c r="O1660">
        <v>0</v>
      </c>
      <c r="P1660">
        <v>1</v>
      </c>
      <c r="Q1660">
        <v>0</v>
      </c>
      <c r="S1660" t="str">
        <f t="shared" si="578"/>
        <v>19:29:54.000</v>
      </c>
      <c r="T1660" t="str">
        <f t="shared" si="578"/>
        <v>19:29:54.000</v>
      </c>
      <c r="U1660" t="str">
        <f t="shared" si="559"/>
        <v>AC3944</v>
      </c>
      <c r="V1660">
        <v>0</v>
      </c>
      <c r="W1660">
        <v>0</v>
      </c>
      <c r="X1660">
        <v>2</v>
      </c>
      <c r="Y1660">
        <v>0</v>
      </c>
      <c r="AA1660">
        <v>1</v>
      </c>
      <c r="AB1660">
        <v>8</v>
      </c>
      <c r="AC1660">
        <v>3</v>
      </c>
      <c r="AD1660">
        <v>0</v>
      </c>
      <c r="AE1660">
        <v>9</v>
      </c>
      <c r="AF1660" t="s">
        <v>138</v>
      </c>
      <c r="AG1660">
        <v>0</v>
      </c>
      <c r="AH1660">
        <v>3</v>
      </c>
      <c r="AI1660">
        <v>1</v>
      </c>
      <c r="AJ1660">
        <v>0</v>
      </c>
      <c r="AK1660" t="s">
        <v>608</v>
      </c>
      <c r="AL1660">
        <v>32.790455999999999</v>
      </c>
      <c r="AM1660" t="s">
        <v>609</v>
      </c>
      <c r="AN1660">
        <v>-116.870863</v>
      </c>
      <c r="AO1660">
        <v>25</v>
      </c>
      <c r="AP1660">
        <v>2700</v>
      </c>
      <c r="AQ1660" t="s">
        <v>129</v>
      </c>
      <c r="AR1660">
        <v>89</v>
      </c>
      <c r="AS1660">
        <v>-81</v>
      </c>
      <c r="AT1660">
        <v>576</v>
      </c>
      <c r="BB1660">
        <v>1200</v>
      </c>
      <c r="BC1660">
        <v>1</v>
      </c>
      <c r="BD1660" t="str">
        <f t="shared" si="560"/>
        <v xml:space="preserve">N887QR  </v>
      </c>
      <c r="BE1660">
        <v>1</v>
      </c>
      <c r="BG1660">
        <v>0</v>
      </c>
      <c r="BH1660">
        <v>0</v>
      </c>
      <c r="BI1660">
        <v>0</v>
      </c>
      <c r="BJ1660">
        <v>2400</v>
      </c>
      <c r="BK1660">
        <v>-300</v>
      </c>
      <c r="BL1660" t="s">
        <v>163</v>
      </c>
      <c r="BM1660">
        <v>1</v>
      </c>
      <c r="BN1660">
        <v>1</v>
      </c>
      <c r="BO1660">
        <v>1</v>
      </c>
      <c r="BP1660">
        <v>0</v>
      </c>
      <c r="BS1660">
        <v>0</v>
      </c>
      <c r="BT1660">
        <v>0</v>
      </c>
      <c r="BU1660">
        <v>0</v>
      </c>
      <c r="CE1660" t="str">
        <f t="shared" si="580"/>
        <v>19:29:54.985</v>
      </c>
      <c r="CF1660">
        <v>984784081</v>
      </c>
      <c r="CS1660">
        <v>3</v>
      </c>
      <c r="CT1660">
        <v>2</v>
      </c>
      <c r="CU1660">
        <v>0</v>
      </c>
      <c r="CV1660">
        <v>2</v>
      </c>
      <c r="CW1660">
        <v>0</v>
      </c>
      <c r="CX1660">
        <v>5</v>
      </c>
      <c r="CY1660">
        <v>7</v>
      </c>
      <c r="CZ1660" t="s">
        <v>131</v>
      </c>
      <c r="DA1660">
        <v>300</v>
      </c>
      <c r="DB1660">
        <v>0</v>
      </c>
      <c r="DC1660" t="s">
        <v>176</v>
      </c>
      <c r="DD1660" t="s">
        <v>177</v>
      </c>
      <c r="DG1660">
        <v>5391612</v>
      </c>
      <c r="DI1660">
        <v>1</v>
      </c>
      <c r="DJ1660">
        <v>0</v>
      </c>
      <c r="DK1660">
        <v>1</v>
      </c>
      <c r="DL1660">
        <v>0</v>
      </c>
      <c r="DM1660">
        <v>0</v>
      </c>
      <c r="DN1660">
        <v>1</v>
      </c>
      <c r="DO1660">
        <v>0</v>
      </c>
      <c r="DP1660">
        <v>0</v>
      </c>
      <c r="DQ1660">
        <v>0</v>
      </c>
      <c r="DR1660">
        <v>0</v>
      </c>
      <c r="DS1660">
        <v>0</v>
      </c>
    </row>
    <row r="1661" spans="1:123" x14ac:dyDescent="0.3">
      <c r="A1661" t="str">
        <f>"10/04/2022 19:29:56.650"</f>
        <v>10/04/2022 19:29:56.650</v>
      </c>
      <c r="C1661" t="str">
        <f t="shared" si="574"/>
        <v>FFDFD3C0</v>
      </c>
      <c r="D1661" t="s">
        <v>136</v>
      </c>
      <c r="E1661">
        <v>8</v>
      </c>
      <c r="H1661">
        <v>225</v>
      </c>
      <c r="I1661" t="s">
        <v>137</v>
      </c>
      <c r="J1661" t="s">
        <v>138</v>
      </c>
      <c r="K1661">
        <v>0</v>
      </c>
      <c r="L1661">
        <v>3</v>
      </c>
      <c r="M1661">
        <v>0</v>
      </c>
      <c r="N1661">
        <v>2</v>
      </c>
      <c r="O1661">
        <v>0</v>
      </c>
      <c r="P1661">
        <v>1</v>
      </c>
      <c r="Q1661">
        <v>0</v>
      </c>
      <c r="S1661" t="str">
        <f t="shared" ref="S1661:T1667" si="581">"19:29:56.000"</f>
        <v>19:29:56.000</v>
      </c>
      <c r="T1661" t="str">
        <f t="shared" si="581"/>
        <v>19:29:56.000</v>
      </c>
      <c r="U1661" t="str">
        <f t="shared" si="559"/>
        <v>AC3944</v>
      </c>
      <c r="V1661">
        <v>0</v>
      </c>
      <c r="W1661">
        <v>0</v>
      </c>
      <c r="X1661">
        <v>2</v>
      </c>
      <c r="Y1661">
        <v>0</v>
      </c>
      <c r="AA1661">
        <v>1</v>
      </c>
      <c r="AB1661">
        <v>8</v>
      </c>
      <c r="AC1661">
        <v>3</v>
      </c>
      <c r="AD1661">
        <v>0</v>
      </c>
      <c r="AE1661">
        <v>9</v>
      </c>
      <c r="AF1661" t="s">
        <v>138</v>
      </c>
      <c r="AG1661">
        <v>0</v>
      </c>
      <c r="AH1661">
        <v>3</v>
      </c>
      <c r="AI1661">
        <v>1</v>
      </c>
      <c r="AJ1661">
        <v>0</v>
      </c>
      <c r="AK1661" t="s">
        <v>610</v>
      </c>
      <c r="AL1661">
        <v>32.790090999999997</v>
      </c>
      <c r="AM1661" t="s">
        <v>611</v>
      </c>
      <c r="AN1661">
        <v>-116.87036999999999</v>
      </c>
      <c r="AO1661">
        <v>25</v>
      </c>
      <c r="AP1661">
        <v>2700</v>
      </c>
      <c r="AQ1661" t="s">
        <v>129</v>
      </c>
      <c r="AR1661">
        <v>88</v>
      </c>
      <c r="AS1661">
        <v>-80</v>
      </c>
      <c r="AT1661">
        <v>704</v>
      </c>
      <c r="BB1661">
        <v>1200</v>
      </c>
      <c r="BC1661">
        <v>1</v>
      </c>
      <c r="BD1661" t="str">
        <f t="shared" si="560"/>
        <v xml:space="preserve">N887QR  </v>
      </c>
      <c r="BE1661">
        <v>1</v>
      </c>
      <c r="BG1661">
        <v>0</v>
      </c>
      <c r="BH1661">
        <v>0</v>
      </c>
      <c r="BI1661">
        <v>0</v>
      </c>
      <c r="BJ1661">
        <v>2400</v>
      </c>
      <c r="BK1661">
        <v>-300</v>
      </c>
      <c r="BL1661" t="s">
        <v>163</v>
      </c>
      <c r="BM1661">
        <v>1</v>
      </c>
      <c r="BN1661">
        <v>1</v>
      </c>
      <c r="BO1661">
        <v>1</v>
      </c>
      <c r="BP1661">
        <v>0</v>
      </c>
      <c r="BS1661">
        <v>0</v>
      </c>
      <c r="BT1661">
        <v>0</v>
      </c>
      <c r="BU1661">
        <v>0</v>
      </c>
      <c r="CE1661" t="str">
        <f t="shared" ref="CE1661:CE1667" si="582">"19:29:56.466"</f>
        <v>19:29:56.466</v>
      </c>
      <c r="CF1661">
        <v>466289048</v>
      </c>
      <c r="CS1661">
        <v>3</v>
      </c>
      <c r="CT1661">
        <v>2</v>
      </c>
      <c r="CU1661">
        <v>0</v>
      </c>
      <c r="CV1661">
        <v>2</v>
      </c>
      <c r="CW1661">
        <v>0</v>
      </c>
      <c r="CX1661">
        <v>6</v>
      </c>
      <c r="CY1661">
        <v>7</v>
      </c>
      <c r="CZ1661" t="s">
        <v>131</v>
      </c>
      <c r="DA1661">
        <v>300</v>
      </c>
      <c r="DB1661">
        <v>0</v>
      </c>
      <c r="DC1661" t="s">
        <v>176</v>
      </c>
      <c r="DD1661" t="s">
        <v>177</v>
      </c>
      <c r="DG1661">
        <v>5391865</v>
      </c>
      <c r="DI1661">
        <v>1</v>
      </c>
      <c r="DJ1661">
        <v>0</v>
      </c>
      <c r="DK1661">
        <v>0</v>
      </c>
      <c r="DL1661">
        <v>0</v>
      </c>
      <c r="DM1661">
        <v>0</v>
      </c>
      <c r="DN1661">
        <v>1</v>
      </c>
      <c r="DO1661">
        <v>0</v>
      </c>
      <c r="DP1661">
        <v>0</v>
      </c>
      <c r="DQ1661">
        <v>0</v>
      </c>
      <c r="DR1661">
        <v>0</v>
      </c>
      <c r="DS1661">
        <v>0</v>
      </c>
    </row>
    <row r="1662" spans="1:123" x14ac:dyDescent="0.3">
      <c r="A1662" t="str">
        <f t="shared" ref="A1662:A1667" si="583">"10/04/2022 19:29:56.712"</f>
        <v>10/04/2022 19:29:56.712</v>
      </c>
      <c r="C1662" t="str">
        <f t="shared" si="574"/>
        <v>FFDFD3C0</v>
      </c>
      <c r="D1662" t="s">
        <v>141</v>
      </c>
      <c r="E1662">
        <v>4</v>
      </c>
      <c r="H1662">
        <v>4</v>
      </c>
      <c r="I1662" t="s">
        <v>142</v>
      </c>
      <c r="J1662" t="s">
        <v>138</v>
      </c>
      <c r="K1662">
        <v>0</v>
      </c>
      <c r="L1662">
        <v>3</v>
      </c>
      <c r="M1662">
        <v>0</v>
      </c>
      <c r="N1662">
        <v>2</v>
      </c>
      <c r="O1662">
        <v>0</v>
      </c>
      <c r="P1662">
        <v>1</v>
      </c>
      <c r="Q1662">
        <v>0</v>
      </c>
      <c r="S1662" t="str">
        <f t="shared" si="581"/>
        <v>19:29:56.000</v>
      </c>
      <c r="T1662" t="str">
        <f t="shared" si="581"/>
        <v>19:29:56.000</v>
      </c>
      <c r="U1662" t="str">
        <f t="shared" si="559"/>
        <v>AC3944</v>
      </c>
      <c r="V1662">
        <v>0</v>
      </c>
      <c r="W1662">
        <v>0</v>
      </c>
      <c r="X1662">
        <v>2</v>
      </c>
      <c r="Y1662">
        <v>0</v>
      </c>
      <c r="AA1662">
        <v>1</v>
      </c>
      <c r="AB1662">
        <v>8</v>
      </c>
      <c r="AC1662">
        <v>3</v>
      </c>
      <c r="AD1662">
        <v>0</v>
      </c>
      <c r="AE1662">
        <v>9</v>
      </c>
      <c r="AF1662" t="s">
        <v>138</v>
      </c>
      <c r="AG1662">
        <v>0</v>
      </c>
      <c r="AH1662">
        <v>3</v>
      </c>
      <c r="AI1662">
        <v>1</v>
      </c>
      <c r="AJ1662">
        <v>0</v>
      </c>
      <c r="AK1662" t="s">
        <v>610</v>
      </c>
      <c r="AL1662">
        <v>32.790090999999997</v>
      </c>
      <c r="AM1662" t="s">
        <v>611</v>
      </c>
      <c r="AN1662">
        <v>-116.87036999999999</v>
      </c>
      <c r="AO1662">
        <v>25</v>
      </c>
      <c r="AP1662">
        <v>2700</v>
      </c>
      <c r="AQ1662" t="s">
        <v>129</v>
      </c>
      <c r="AR1662">
        <v>88</v>
      </c>
      <c r="AS1662">
        <v>-80</v>
      </c>
      <c r="AT1662">
        <v>704</v>
      </c>
      <c r="BB1662">
        <v>1200</v>
      </c>
      <c r="BC1662">
        <v>1</v>
      </c>
      <c r="BD1662" t="str">
        <f t="shared" si="560"/>
        <v xml:space="preserve">N887QR  </v>
      </c>
      <c r="BE1662">
        <v>1</v>
      </c>
      <c r="BG1662">
        <v>0</v>
      </c>
      <c r="BH1662">
        <v>0</v>
      </c>
      <c r="BI1662">
        <v>0</v>
      </c>
      <c r="BJ1662">
        <v>2400</v>
      </c>
      <c r="BK1662">
        <v>-300</v>
      </c>
      <c r="BL1662" t="s">
        <v>163</v>
      </c>
      <c r="BM1662">
        <v>1</v>
      </c>
      <c r="BN1662">
        <v>1</v>
      </c>
      <c r="BO1662">
        <v>1</v>
      </c>
      <c r="BP1662">
        <v>0</v>
      </c>
      <c r="BS1662">
        <v>0</v>
      </c>
      <c r="BT1662">
        <v>0</v>
      </c>
      <c r="BU1662">
        <v>0</v>
      </c>
      <c r="CE1662" t="str">
        <f t="shared" si="582"/>
        <v>19:29:56.466</v>
      </c>
      <c r="CF1662">
        <v>466289048</v>
      </c>
      <c r="CS1662">
        <v>3</v>
      </c>
      <c r="CT1662">
        <v>2</v>
      </c>
      <c r="CU1662">
        <v>0</v>
      </c>
      <c r="CV1662">
        <v>2</v>
      </c>
      <c r="CW1662">
        <v>0</v>
      </c>
      <c r="CX1662">
        <v>6</v>
      </c>
      <c r="CY1662">
        <v>7</v>
      </c>
      <c r="CZ1662" t="s">
        <v>131</v>
      </c>
      <c r="DA1662">
        <v>300</v>
      </c>
      <c r="DB1662">
        <v>0</v>
      </c>
      <c r="DC1662" t="s">
        <v>176</v>
      </c>
      <c r="DD1662" t="s">
        <v>177</v>
      </c>
      <c r="DG1662">
        <v>5391865</v>
      </c>
      <c r="DI1662">
        <v>1</v>
      </c>
      <c r="DJ1662">
        <v>0</v>
      </c>
      <c r="DK1662">
        <v>1</v>
      </c>
      <c r="DL1662">
        <v>0</v>
      </c>
      <c r="DM1662">
        <v>0</v>
      </c>
      <c r="DN1662">
        <v>1</v>
      </c>
      <c r="DO1662">
        <v>0</v>
      </c>
      <c r="DP1662">
        <v>0</v>
      </c>
      <c r="DQ1662">
        <v>0</v>
      </c>
      <c r="DR1662">
        <v>0</v>
      </c>
      <c r="DS1662">
        <v>0</v>
      </c>
    </row>
    <row r="1663" spans="1:123" x14ac:dyDescent="0.3">
      <c r="A1663" t="str">
        <f t="shared" si="583"/>
        <v>10/04/2022 19:29:56.712</v>
      </c>
      <c r="C1663" t="str">
        <f t="shared" si="574"/>
        <v>FFDFD3C0</v>
      </c>
      <c r="D1663" t="s">
        <v>143</v>
      </c>
      <c r="E1663">
        <v>20</v>
      </c>
      <c r="F1663">
        <v>1020</v>
      </c>
      <c r="G1663" t="s">
        <v>144</v>
      </c>
      <c r="J1663" t="s">
        <v>145</v>
      </c>
      <c r="K1663">
        <v>0</v>
      </c>
      <c r="L1663">
        <v>3</v>
      </c>
      <c r="M1663">
        <v>0</v>
      </c>
      <c r="N1663">
        <v>2</v>
      </c>
      <c r="O1663">
        <v>0</v>
      </c>
      <c r="P1663">
        <v>1</v>
      </c>
      <c r="Q1663">
        <v>0</v>
      </c>
      <c r="S1663" t="str">
        <f t="shared" si="581"/>
        <v>19:29:56.000</v>
      </c>
      <c r="T1663" t="str">
        <f t="shared" si="581"/>
        <v>19:29:56.000</v>
      </c>
      <c r="U1663" t="str">
        <f t="shared" si="559"/>
        <v>AC3944</v>
      </c>
      <c r="V1663">
        <v>0</v>
      </c>
      <c r="W1663">
        <v>0</v>
      </c>
      <c r="X1663">
        <v>2</v>
      </c>
      <c r="Y1663">
        <v>0</v>
      </c>
      <c r="AA1663">
        <v>1</v>
      </c>
      <c r="AB1663">
        <v>8</v>
      </c>
      <c r="AC1663">
        <v>3</v>
      </c>
      <c r="AD1663">
        <v>0</v>
      </c>
      <c r="AE1663">
        <v>9</v>
      </c>
      <c r="AF1663" t="s">
        <v>138</v>
      </c>
      <c r="AG1663">
        <v>0</v>
      </c>
      <c r="AH1663">
        <v>3</v>
      </c>
      <c r="AI1663">
        <v>1</v>
      </c>
      <c r="AJ1663">
        <v>0</v>
      </c>
      <c r="AK1663" t="s">
        <v>610</v>
      </c>
      <c r="AL1663">
        <v>32.790090999999997</v>
      </c>
      <c r="AM1663" t="s">
        <v>611</v>
      </c>
      <c r="AN1663">
        <v>-116.87036999999999</v>
      </c>
      <c r="AO1663">
        <v>25</v>
      </c>
      <c r="AP1663">
        <v>2700</v>
      </c>
      <c r="AQ1663" t="s">
        <v>129</v>
      </c>
      <c r="AR1663">
        <v>88</v>
      </c>
      <c r="AS1663">
        <v>-80</v>
      </c>
      <c r="AT1663">
        <v>704</v>
      </c>
      <c r="BB1663">
        <v>1200</v>
      </c>
      <c r="BC1663">
        <v>1</v>
      </c>
      <c r="BD1663" t="str">
        <f t="shared" si="560"/>
        <v xml:space="preserve">N887QR  </v>
      </c>
      <c r="BE1663">
        <v>1</v>
      </c>
      <c r="BG1663">
        <v>0</v>
      </c>
      <c r="BH1663">
        <v>0</v>
      </c>
      <c r="BI1663">
        <v>0</v>
      </c>
      <c r="BJ1663">
        <v>2400</v>
      </c>
      <c r="BK1663">
        <v>-300</v>
      </c>
      <c r="BL1663" t="s">
        <v>163</v>
      </c>
      <c r="BM1663">
        <v>1</v>
      </c>
      <c r="BN1663">
        <v>1</v>
      </c>
      <c r="BO1663">
        <v>1</v>
      </c>
      <c r="BP1663">
        <v>0</v>
      </c>
      <c r="BS1663">
        <v>0</v>
      </c>
      <c r="BT1663">
        <v>0</v>
      </c>
      <c r="BU1663">
        <v>0</v>
      </c>
      <c r="CE1663" t="str">
        <f t="shared" si="582"/>
        <v>19:29:56.466</v>
      </c>
      <c r="CF1663">
        <v>466289048</v>
      </c>
      <c r="CS1663">
        <v>3</v>
      </c>
      <c r="CT1663">
        <v>2</v>
      </c>
      <c r="CU1663">
        <v>0</v>
      </c>
      <c r="CV1663">
        <v>2</v>
      </c>
      <c r="CW1663">
        <v>0</v>
      </c>
      <c r="CX1663">
        <v>6</v>
      </c>
      <c r="CY1663">
        <v>7</v>
      </c>
      <c r="CZ1663" t="s">
        <v>131</v>
      </c>
      <c r="DA1663">
        <v>300</v>
      </c>
      <c r="DB1663">
        <v>0</v>
      </c>
      <c r="DC1663" t="s">
        <v>176</v>
      </c>
      <c r="DD1663" t="s">
        <v>177</v>
      </c>
      <c r="DG1663">
        <v>5391865</v>
      </c>
      <c r="DI1663">
        <v>1</v>
      </c>
      <c r="DJ1663">
        <v>0</v>
      </c>
      <c r="DK1663">
        <v>1</v>
      </c>
      <c r="DL1663">
        <v>0</v>
      </c>
      <c r="DM1663">
        <v>0</v>
      </c>
      <c r="DN1663">
        <v>1</v>
      </c>
      <c r="DO1663">
        <v>0</v>
      </c>
      <c r="DP1663">
        <v>0</v>
      </c>
      <c r="DQ1663">
        <v>0</v>
      </c>
      <c r="DR1663">
        <v>0</v>
      </c>
      <c r="DS1663">
        <v>0</v>
      </c>
    </row>
    <row r="1664" spans="1:123" x14ac:dyDescent="0.3">
      <c r="A1664" t="str">
        <f t="shared" si="583"/>
        <v>10/04/2022 19:29:56.712</v>
      </c>
      <c r="C1664" t="str">
        <f t="shared" si="574"/>
        <v>FFDFD3C0</v>
      </c>
      <c r="D1664" t="s">
        <v>134</v>
      </c>
      <c r="E1664">
        <v>15</v>
      </c>
      <c r="J1664" t="s">
        <v>135</v>
      </c>
      <c r="K1664">
        <v>0</v>
      </c>
      <c r="L1664">
        <v>3</v>
      </c>
      <c r="M1664">
        <v>0</v>
      </c>
      <c r="N1664">
        <v>2</v>
      </c>
      <c r="O1664">
        <v>0</v>
      </c>
      <c r="P1664">
        <v>1</v>
      </c>
      <c r="Q1664">
        <v>0</v>
      </c>
      <c r="S1664" t="str">
        <f t="shared" si="581"/>
        <v>19:29:56.000</v>
      </c>
      <c r="T1664" t="str">
        <f t="shared" si="581"/>
        <v>19:29:56.000</v>
      </c>
      <c r="U1664" t="str">
        <f t="shared" si="559"/>
        <v>AC3944</v>
      </c>
      <c r="V1664">
        <v>0</v>
      </c>
      <c r="W1664">
        <v>0</v>
      </c>
      <c r="X1664">
        <v>2</v>
      </c>
      <c r="Y1664">
        <v>0</v>
      </c>
      <c r="AA1664">
        <v>1</v>
      </c>
      <c r="AB1664">
        <v>8</v>
      </c>
      <c r="AC1664">
        <v>3</v>
      </c>
      <c r="AD1664">
        <v>0</v>
      </c>
      <c r="AE1664">
        <v>9</v>
      </c>
      <c r="AF1664" t="s">
        <v>138</v>
      </c>
      <c r="AG1664">
        <v>0</v>
      </c>
      <c r="AH1664">
        <v>3</v>
      </c>
      <c r="AI1664">
        <v>1</v>
      </c>
      <c r="AJ1664">
        <v>0</v>
      </c>
      <c r="AK1664" t="s">
        <v>610</v>
      </c>
      <c r="AL1664">
        <v>32.790090999999997</v>
      </c>
      <c r="AM1664" t="s">
        <v>611</v>
      </c>
      <c r="AN1664">
        <v>-116.87036999999999</v>
      </c>
      <c r="AO1664">
        <v>25</v>
      </c>
      <c r="AP1664">
        <v>2700</v>
      </c>
      <c r="AQ1664" t="s">
        <v>129</v>
      </c>
      <c r="AR1664">
        <v>88</v>
      </c>
      <c r="AS1664">
        <v>-80</v>
      </c>
      <c r="AT1664">
        <v>704</v>
      </c>
      <c r="BB1664">
        <v>1200</v>
      </c>
      <c r="BC1664">
        <v>1</v>
      </c>
      <c r="BD1664" t="str">
        <f t="shared" si="560"/>
        <v xml:space="preserve">N887QR  </v>
      </c>
      <c r="BE1664">
        <v>1</v>
      </c>
      <c r="BG1664">
        <v>0</v>
      </c>
      <c r="BH1664">
        <v>0</v>
      </c>
      <c r="BI1664">
        <v>0</v>
      </c>
      <c r="BJ1664">
        <v>2400</v>
      </c>
      <c r="BK1664">
        <v>-300</v>
      </c>
      <c r="BL1664" t="s">
        <v>163</v>
      </c>
      <c r="BM1664">
        <v>1</v>
      </c>
      <c r="BN1664">
        <v>1</v>
      </c>
      <c r="BO1664">
        <v>1</v>
      </c>
      <c r="BP1664">
        <v>0</v>
      </c>
      <c r="BS1664">
        <v>0</v>
      </c>
      <c r="BT1664">
        <v>0</v>
      </c>
      <c r="BU1664">
        <v>0</v>
      </c>
      <c r="CE1664" t="str">
        <f t="shared" si="582"/>
        <v>19:29:56.466</v>
      </c>
      <c r="CF1664">
        <v>466289048</v>
      </c>
      <c r="CS1664">
        <v>3</v>
      </c>
      <c r="CT1664">
        <v>2</v>
      </c>
      <c r="CU1664">
        <v>0</v>
      </c>
      <c r="CV1664">
        <v>2</v>
      </c>
      <c r="CW1664">
        <v>0</v>
      </c>
      <c r="CX1664">
        <v>6</v>
      </c>
      <c r="CY1664">
        <v>7</v>
      </c>
      <c r="CZ1664" t="s">
        <v>131</v>
      </c>
      <c r="DA1664">
        <v>300</v>
      </c>
      <c r="DB1664">
        <v>0</v>
      </c>
      <c r="DC1664" t="s">
        <v>176</v>
      </c>
      <c r="DD1664" t="s">
        <v>177</v>
      </c>
      <c r="DG1664">
        <v>5391865</v>
      </c>
      <c r="DI1664">
        <v>1</v>
      </c>
      <c r="DJ1664">
        <v>0</v>
      </c>
      <c r="DK1664">
        <v>1</v>
      </c>
      <c r="DL1664">
        <v>0</v>
      </c>
      <c r="DM1664">
        <v>0</v>
      </c>
      <c r="DN1664">
        <v>1</v>
      </c>
      <c r="DO1664">
        <v>0</v>
      </c>
      <c r="DP1664">
        <v>0</v>
      </c>
      <c r="DQ1664">
        <v>0</v>
      </c>
      <c r="DR1664">
        <v>0</v>
      </c>
      <c r="DS1664">
        <v>0</v>
      </c>
    </row>
    <row r="1665" spans="1:123" x14ac:dyDescent="0.3">
      <c r="A1665" t="str">
        <f t="shared" si="583"/>
        <v>10/04/2022 19:29:56.712</v>
      </c>
      <c r="C1665" t="str">
        <f t="shared" si="574"/>
        <v>FFDFD3C0</v>
      </c>
      <c r="D1665" t="s">
        <v>141</v>
      </c>
      <c r="E1665">
        <v>3</v>
      </c>
      <c r="H1665">
        <v>3</v>
      </c>
      <c r="I1665" t="s">
        <v>146</v>
      </c>
      <c r="J1665" t="s">
        <v>138</v>
      </c>
      <c r="K1665">
        <v>0</v>
      </c>
      <c r="L1665">
        <v>3</v>
      </c>
      <c r="M1665">
        <v>0</v>
      </c>
      <c r="N1665">
        <v>2</v>
      </c>
      <c r="O1665">
        <v>0</v>
      </c>
      <c r="P1665">
        <v>1</v>
      </c>
      <c r="Q1665">
        <v>0</v>
      </c>
      <c r="S1665" t="str">
        <f t="shared" si="581"/>
        <v>19:29:56.000</v>
      </c>
      <c r="T1665" t="str">
        <f t="shared" si="581"/>
        <v>19:29:56.000</v>
      </c>
      <c r="U1665" t="str">
        <f t="shared" si="559"/>
        <v>AC3944</v>
      </c>
      <c r="V1665">
        <v>0</v>
      </c>
      <c r="W1665">
        <v>0</v>
      </c>
      <c r="X1665">
        <v>2</v>
      </c>
      <c r="Y1665">
        <v>0</v>
      </c>
      <c r="AA1665">
        <v>1</v>
      </c>
      <c r="AB1665">
        <v>8</v>
      </c>
      <c r="AC1665">
        <v>3</v>
      </c>
      <c r="AD1665">
        <v>0</v>
      </c>
      <c r="AE1665">
        <v>9</v>
      </c>
      <c r="AF1665" t="s">
        <v>138</v>
      </c>
      <c r="AG1665">
        <v>0</v>
      </c>
      <c r="AH1665">
        <v>3</v>
      </c>
      <c r="AI1665">
        <v>1</v>
      </c>
      <c r="AJ1665">
        <v>0</v>
      </c>
      <c r="AK1665" t="s">
        <v>610</v>
      </c>
      <c r="AL1665">
        <v>32.790090999999997</v>
      </c>
      <c r="AM1665" t="s">
        <v>611</v>
      </c>
      <c r="AN1665">
        <v>-116.87036999999999</v>
      </c>
      <c r="AO1665">
        <v>25</v>
      </c>
      <c r="AP1665">
        <v>2700</v>
      </c>
      <c r="AQ1665" t="s">
        <v>129</v>
      </c>
      <c r="AR1665">
        <v>88</v>
      </c>
      <c r="AS1665">
        <v>-80</v>
      </c>
      <c r="AT1665">
        <v>704</v>
      </c>
      <c r="BB1665">
        <v>1200</v>
      </c>
      <c r="BC1665">
        <v>1</v>
      </c>
      <c r="BD1665" t="str">
        <f t="shared" si="560"/>
        <v xml:space="preserve">N887QR  </v>
      </c>
      <c r="BE1665">
        <v>1</v>
      </c>
      <c r="BG1665">
        <v>0</v>
      </c>
      <c r="BH1665">
        <v>0</v>
      </c>
      <c r="BI1665">
        <v>0</v>
      </c>
      <c r="BJ1665">
        <v>2400</v>
      </c>
      <c r="BK1665">
        <v>-300</v>
      </c>
      <c r="BL1665" t="s">
        <v>163</v>
      </c>
      <c r="BM1665">
        <v>1</v>
      </c>
      <c r="BN1665">
        <v>1</v>
      </c>
      <c r="BO1665">
        <v>1</v>
      </c>
      <c r="BP1665">
        <v>0</v>
      </c>
      <c r="BS1665">
        <v>0</v>
      </c>
      <c r="BT1665">
        <v>0</v>
      </c>
      <c r="BU1665">
        <v>0</v>
      </c>
      <c r="CE1665" t="str">
        <f t="shared" si="582"/>
        <v>19:29:56.466</v>
      </c>
      <c r="CF1665">
        <v>466289048</v>
      </c>
      <c r="CS1665">
        <v>3</v>
      </c>
      <c r="CT1665">
        <v>2</v>
      </c>
      <c r="CU1665">
        <v>0</v>
      </c>
      <c r="CV1665">
        <v>2</v>
      </c>
      <c r="CW1665">
        <v>0</v>
      </c>
      <c r="CX1665">
        <v>6</v>
      </c>
      <c r="CY1665">
        <v>7</v>
      </c>
      <c r="CZ1665" t="s">
        <v>131</v>
      </c>
      <c r="DA1665">
        <v>300</v>
      </c>
      <c r="DB1665">
        <v>0</v>
      </c>
      <c r="DC1665" t="s">
        <v>176</v>
      </c>
      <c r="DD1665" t="s">
        <v>177</v>
      </c>
      <c r="DG1665">
        <v>5391865</v>
      </c>
      <c r="DI1665">
        <v>1</v>
      </c>
      <c r="DJ1665">
        <v>0</v>
      </c>
      <c r="DK1665">
        <v>1</v>
      </c>
      <c r="DL1665">
        <v>0</v>
      </c>
      <c r="DM1665">
        <v>0</v>
      </c>
      <c r="DN1665">
        <v>1</v>
      </c>
      <c r="DO1665">
        <v>0</v>
      </c>
      <c r="DP1665">
        <v>0</v>
      </c>
      <c r="DQ1665">
        <v>0</v>
      </c>
      <c r="DR1665">
        <v>0</v>
      </c>
      <c r="DS1665">
        <v>0</v>
      </c>
    </row>
    <row r="1666" spans="1:123" x14ac:dyDescent="0.3">
      <c r="A1666" t="str">
        <f t="shared" si="583"/>
        <v>10/04/2022 19:29:56.712</v>
      </c>
      <c r="C1666" t="str">
        <f t="shared" si="574"/>
        <v>FFDFD3C0</v>
      </c>
      <c r="D1666" t="s">
        <v>147</v>
      </c>
      <c r="E1666">
        <v>3</v>
      </c>
      <c r="H1666">
        <v>166</v>
      </c>
      <c r="I1666" t="s">
        <v>144</v>
      </c>
      <c r="J1666" t="s">
        <v>148</v>
      </c>
      <c r="K1666">
        <v>0</v>
      </c>
      <c r="L1666">
        <v>3</v>
      </c>
      <c r="M1666">
        <v>0</v>
      </c>
      <c r="N1666">
        <v>2</v>
      </c>
      <c r="O1666">
        <v>0</v>
      </c>
      <c r="P1666">
        <v>1</v>
      </c>
      <c r="Q1666">
        <v>0</v>
      </c>
      <c r="S1666" t="str">
        <f t="shared" si="581"/>
        <v>19:29:56.000</v>
      </c>
      <c r="T1666" t="str">
        <f t="shared" si="581"/>
        <v>19:29:56.000</v>
      </c>
      <c r="U1666" t="str">
        <f t="shared" ref="U1666:U1729" si="584">"AC3944"</f>
        <v>AC3944</v>
      </c>
      <c r="V1666">
        <v>0</v>
      </c>
      <c r="W1666">
        <v>0</v>
      </c>
      <c r="X1666">
        <v>2</v>
      </c>
      <c r="Y1666">
        <v>0</v>
      </c>
      <c r="AA1666">
        <v>1</v>
      </c>
      <c r="AB1666">
        <v>8</v>
      </c>
      <c r="AC1666">
        <v>3</v>
      </c>
      <c r="AD1666">
        <v>0</v>
      </c>
      <c r="AE1666">
        <v>9</v>
      </c>
      <c r="AF1666" t="s">
        <v>138</v>
      </c>
      <c r="AG1666">
        <v>0</v>
      </c>
      <c r="AH1666">
        <v>3</v>
      </c>
      <c r="AI1666">
        <v>1</v>
      </c>
      <c r="AJ1666">
        <v>0</v>
      </c>
      <c r="AK1666" t="s">
        <v>610</v>
      </c>
      <c r="AL1666">
        <v>32.790090999999997</v>
      </c>
      <c r="AM1666" t="s">
        <v>611</v>
      </c>
      <c r="AN1666">
        <v>-116.87036999999999</v>
      </c>
      <c r="AO1666">
        <v>25</v>
      </c>
      <c r="AP1666">
        <v>2700</v>
      </c>
      <c r="AQ1666" t="s">
        <v>129</v>
      </c>
      <c r="AR1666">
        <v>88</v>
      </c>
      <c r="AS1666">
        <v>-80</v>
      </c>
      <c r="AT1666">
        <v>704</v>
      </c>
      <c r="BB1666">
        <v>1200</v>
      </c>
      <c r="BC1666">
        <v>1</v>
      </c>
      <c r="BD1666" t="str">
        <f t="shared" ref="BD1666:BD1729" si="585">"N887QR  "</f>
        <v xml:space="preserve">N887QR  </v>
      </c>
      <c r="BE1666">
        <v>1</v>
      </c>
      <c r="BG1666">
        <v>0</v>
      </c>
      <c r="BH1666">
        <v>0</v>
      </c>
      <c r="BI1666">
        <v>0</v>
      </c>
      <c r="BJ1666">
        <v>2400</v>
      </c>
      <c r="BK1666">
        <v>-300</v>
      </c>
      <c r="BL1666" t="s">
        <v>163</v>
      </c>
      <c r="BM1666">
        <v>1</v>
      </c>
      <c r="BN1666">
        <v>1</v>
      </c>
      <c r="BO1666">
        <v>1</v>
      </c>
      <c r="BP1666">
        <v>0</v>
      </c>
      <c r="BS1666">
        <v>0</v>
      </c>
      <c r="BT1666">
        <v>0</v>
      </c>
      <c r="BU1666">
        <v>0</v>
      </c>
      <c r="CE1666" t="str">
        <f t="shared" si="582"/>
        <v>19:29:56.466</v>
      </c>
      <c r="CF1666">
        <v>466289048</v>
      </c>
      <c r="CS1666">
        <v>3</v>
      </c>
      <c r="CT1666">
        <v>2</v>
      </c>
      <c r="CU1666">
        <v>0</v>
      </c>
      <c r="CV1666">
        <v>2</v>
      </c>
      <c r="CW1666">
        <v>0</v>
      </c>
      <c r="CX1666">
        <v>6</v>
      </c>
      <c r="CY1666">
        <v>7</v>
      </c>
      <c r="CZ1666" t="s">
        <v>131</v>
      </c>
      <c r="DA1666">
        <v>300</v>
      </c>
      <c r="DB1666">
        <v>0</v>
      </c>
      <c r="DC1666" t="s">
        <v>176</v>
      </c>
      <c r="DD1666" t="s">
        <v>177</v>
      </c>
      <c r="DG1666">
        <v>5391865</v>
      </c>
      <c r="DI1666">
        <v>1</v>
      </c>
      <c r="DJ1666">
        <v>0</v>
      </c>
      <c r="DK1666">
        <v>1</v>
      </c>
      <c r="DL1666">
        <v>0</v>
      </c>
      <c r="DM1666">
        <v>0</v>
      </c>
      <c r="DN1666">
        <v>1</v>
      </c>
      <c r="DO1666">
        <v>0</v>
      </c>
      <c r="DP1666">
        <v>0</v>
      </c>
      <c r="DQ1666">
        <v>0</v>
      </c>
      <c r="DR1666">
        <v>0</v>
      </c>
      <c r="DS1666">
        <v>0</v>
      </c>
    </row>
    <row r="1667" spans="1:123" x14ac:dyDescent="0.3">
      <c r="A1667" t="str">
        <f t="shared" si="583"/>
        <v>10/04/2022 19:29:56.712</v>
      </c>
      <c r="C1667" t="str">
        <f t="shared" si="574"/>
        <v>FFDFD3C0</v>
      </c>
      <c r="D1667" t="s">
        <v>123</v>
      </c>
      <c r="E1667">
        <v>7</v>
      </c>
      <c r="F1667">
        <v>2007</v>
      </c>
      <c r="G1667" t="s">
        <v>124</v>
      </c>
      <c r="J1667" t="s">
        <v>125</v>
      </c>
      <c r="K1667">
        <v>0</v>
      </c>
      <c r="L1667">
        <v>3</v>
      </c>
      <c r="M1667">
        <v>0</v>
      </c>
      <c r="N1667">
        <v>2</v>
      </c>
      <c r="O1667">
        <v>0</v>
      </c>
      <c r="P1667">
        <v>1</v>
      </c>
      <c r="Q1667">
        <v>0</v>
      </c>
      <c r="S1667" t="str">
        <f t="shared" si="581"/>
        <v>19:29:56.000</v>
      </c>
      <c r="T1667" t="str">
        <f t="shared" si="581"/>
        <v>19:29:56.000</v>
      </c>
      <c r="U1667" t="str">
        <f t="shared" si="584"/>
        <v>AC3944</v>
      </c>
      <c r="V1667">
        <v>0</v>
      </c>
      <c r="W1667">
        <v>0</v>
      </c>
      <c r="X1667">
        <v>2</v>
      </c>
      <c r="Y1667">
        <v>0</v>
      </c>
      <c r="AA1667">
        <v>1</v>
      </c>
      <c r="AB1667">
        <v>8</v>
      </c>
      <c r="AC1667">
        <v>3</v>
      </c>
      <c r="AD1667">
        <v>0</v>
      </c>
      <c r="AE1667">
        <v>9</v>
      </c>
      <c r="AF1667" t="s">
        <v>138</v>
      </c>
      <c r="AG1667">
        <v>0</v>
      </c>
      <c r="AH1667">
        <v>3</v>
      </c>
      <c r="AI1667">
        <v>1</v>
      </c>
      <c r="AJ1667">
        <v>0</v>
      </c>
      <c r="AK1667" t="s">
        <v>610</v>
      </c>
      <c r="AL1667">
        <v>32.790090999999997</v>
      </c>
      <c r="AM1667" t="s">
        <v>611</v>
      </c>
      <c r="AN1667">
        <v>-116.87036999999999</v>
      </c>
      <c r="AO1667">
        <v>25</v>
      </c>
      <c r="AP1667">
        <v>2700</v>
      </c>
      <c r="AQ1667" t="s">
        <v>129</v>
      </c>
      <c r="AR1667">
        <v>88</v>
      </c>
      <c r="AS1667">
        <v>-80</v>
      </c>
      <c r="AT1667">
        <v>704</v>
      </c>
      <c r="BB1667">
        <v>1200</v>
      </c>
      <c r="BC1667">
        <v>1</v>
      </c>
      <c r="BD1667" t="str">
        <f t="shared" si="585"/>
        <v xml:space="preserve">N887QR  </v>
      </c>
      <c r="BE1667">
        <v>1</v>
      </c>
      <c r="BG1667">
        <v>0</v>
      </c>
      <c r="BH1667">
        <v>0</v>
      </c>
      <c r="BI1667">
        <v>0</v>
      </c>
      <c r="BJ1667">
        <v>2400</v>
      </c>
      <c r="BK1667">
        <v>-300</v>
      </c>
      <c r="BL1667" t="s">
        <v>163</v>
      </c>
      <c r="BM1667">
        <v>1</v>
      </c>
      <c r="BN1667">
        <v>1</v>
      </c>
      <c r="BO1667">
        <v>1</v>
      </c>
      <c r="BP1667">
        <v>0</v>
      </c>
      <c r="BS1667">
        <v>0</v>
      </c>
      <c r="BT1667">
        <v>0</v>
      </c>
      <c r="BU1667">
        <v>0</v>
      </c>
      <c r="CE1667" t="str">
        <f t="shared" si="582"/>
        <v>19:29:56.466</v>
      </c>
      <c r="CF1667">
        <v>466289048</v>
      </c>
      <c r="CS1667">
        <v>3</v>
      </c>
      <c r="CT1667">
        <v>2</v>
      </c>
      <c r="CU1667">
        <v>0</v>
      </c>
      <c r="CV1667">
        <v>2</v>
      </c>
      <c r="CW1667">
        <v>0</v>
      </c>
      <c r="CX1667">
        <v>6</v>
      </c>
      <c r="CY1667">
        <v>7</v>
      </c>
      <c r="CZ1667" t="s">
        <v>131</v>
      </c>
      <c r="DA1667">
        <v>300</v>
      </c>
      <c r="DB1667">
        <v>0</v>
      </c>
      <c r="DC1667" t="s">
        <v>176</v>
      </c>
      <c r="DD1667" t="s">
        <v>177</v>
      </c>
      <c r="DG1667">
        <v>5391865</v>
      </c>
      <c r="DI1667">
        <v>1</v>
      </c>
      <c r="DJ1667">
        <v>0</v>
      </c>
      <c r="DK1667">
        <v>1</v>
      </c>
      <c r="DL1667">
        <v>0</v>
      </c>
      <c r="DM1667">
        <v>0</v>
      </c>
      <c r="DN1667">
        <v>1</v>
      </c>
      <c r="DO1667">
        <v>0</v>
      </c>
      <c r="DP1667">
        <v>0</v>
      </c>
      <c r="DQ1667">
        <v>0</v>
      </c>
      <c r="DR1667">
        <v>0</v>
      </c>
      <c r="DS1667">
        <v>0</v>
      </c>
    </row>
    <row r="1668" spans="1:123" x14ac:dyDescent="0.3">
      <c r="A1668" t="str">
        <f>"10/04/2022 19:29:57.627"</f>
        <v>10/04/2022 19:29:57.627</v>
      </c>
      <c r="C1668" t="str">
        <f t="shared" si="574"/>
        <v>FFDFD3C0</v>
      </c>
      <c r="D1668" t="s">
        <v>136</v>
      </c>
      <c r="E1668">
        <v>8</v>
      </c>
      <c r="H1668">
        <v>225</v>
      </c>
      <c r="I1668" t="s">
        <v>137</v>
      </c>
      <c r="J1668" t="s">
        <v>138</v>
      </c>
      <c r="K1668">
        <v>0</v>
      </c>
      <c r="L1668">
        <v>3</v>
      </c>
      <c r="M1668">
        <v>0</v>
      </c>
      <c r="N1668">
        <v>2</v>
      </c>
      <c r="O1668">
        <v>0</v>
      </c>
      <c r="P1668">
        <v>1</v>
      </c>
      <c r="Q1668">
        <v>0</v>
      </c>
      <c r="S1668" t="str">
        <f t="shared" ref="S1668:T1674" si="586">"19:29:57.000"</f>
        <v>19:29:57.000</v>
      </c>
      <c r="T1668" t="str">
        <f t="shared" si="586"/>
        <v>19:29:57.000</v>
      </c>
      <c r="U1668" t="str">
        <f t="shared" si="584"/>
        <v>AC3944</v>
      </c>
      <c r="V1668">
        <v>0</v>
      </c>
      <c r="W1668">
        <v>0</v>
      </c>
      <c r="X1668">
        <v>2</v>
      </c>
      <c r="Y1668">
        <v>0</v>
      </c>
      <c r="AA1668">
        <v>1</v>
      </c>
      <c r="AB1668">
        <v>8</v>
      </c>
      <c r="AC1668">
        <v>3</v>
      </c>
      <c r="AD1668">
        <v>0</v>
      </c>
      <c r="AE1668">
        <v>9</v>
      </c>
      <c r="AF1668" t="s">
        <v>138</v>
      </c>
      <c r="AG1668">
        <v>0</v>
      </c>
      <c r="AH1668">
        <v>3</v>
      </c>
      <c r="AI1668">
        <v>1</v>
      </c>
      <c r="AJ1668">
        <v>0</v>
      </c>
      <c r="AK1668" t="s">
        <v>612</v>
      </c>
      <c r="AL1668">
        <v>32.789704999999998</v>
      </c>
      <c r="AM1668" t="s">
        <v>613</v>
      </c>
      <c r="AN1668">
        <v>-116.869876</v>
      </c>
      <c r="AO1668">
        <v>25</v>
      </c>
      <c r="AP1668">
        <v>2700</v>
      </c>
      <c r="AQ1668" t="s">
        <v>129</v>
      </c>
      <c r="AR1668">
        <v>87</v>
      </c>
      <c r="AS1668">
        <v>-80</v>
      </c>
      <c r="AT1668">
        <v>704</v>
      </c>
      <c r="BB1668">
        <v>1200</v>
      </c>
      <c r="BC1668">
        <v>1</v>
      </c>
      <c r="BD1668" t="str">
        <f t="shared" si="585"/>
        <v xml:space="preserve">N887QR  </v>
      </c>
      <c r="BE1668">
        <v>1</v>
      </c>
      <c r="BG1668">
        <v>0</v>
      </c>
      <c r="BH1668">
        <v>0</v>
      </c>
      <c r="BI1668">
        <v>0</v>
      </c>
      <c r="BJ1668">
        <v>2450</v>
      </c>
      <c r="BK1668">
        <v>-250</v>
      </c>
      <c r="BL1668" t="s">
        <v>163</v>
      </c>
      <c r="BM1668">
        <v>1</v>
      </c>
      <c r="BN1668">
        <v>1</v>
      </c>
      <c r="BO1668">
        <v>1</v>
      </c>
      <c r="BP1668">
        <v>0</v>
      </c>
      <c r="BS1668">
        <v>0</v>
      </c>
      <c r="BT1668">
        <v>0</v>
      </c>
      <c r="BU1668">
        <v>0</v>
      </c>
      <c r="CE1668" t="str">
        <f t="shared" ref="CE1668:CE1674" si="587">"19:29:57.342"</f>
        <v>19:29:57.342</v>
      </c>
      <c r="CF1668">
        <v>342042017</v>
      </c>
      <c r="CS1668">
        <v>3</v>
      </c>
      <c r="CT1668">
        <v>2</v>
      </c>
      <c r="CU1668">
        <v>0</v>
      </c>
      <c r="CV1668">
        <v>2</v>
      </c>
      <c r="CW1668">
        <v>0</v>
      </c>
      <c r="CX1668">
        <v>5</v>
      </c>
      <c r="CY1668">
        <v>7</v>
      </c>
      <c r="CZ1668" t="s">
        <v>131</v>
      </c>
      <c r="DA1668">
        <v>300</v>
      </c>
      <c r="DB1668">
        <v>0</v>
      </c>
      <c r="DC1668" t="s">
        <v>176</v>
      </c>
      <c r="DD1668" t="s">
        <v>177</v>
      </c>
      <c r="DG1668">
        <v>5391988</v>
      </c>
      <c r="DI1668">
        <v>1</v>
      </c>
      <c r="DJ1668">
        <v>0</v>
      </c>
      <c r="DK1668">
        <v>0</v>
      </c>
      <c r="DL1668">
        <v>0</v>
      </c>
      <c r="DM1668">
        <v>0</v>
      </c>
      <c r="DN1668">
        <v>1</v>
      </c>
      <c r="DO1668">
        <v>0</v>
      </c>
      <c r="DP1668">
        <v>0</v>
      </c>
      <c r="DQ1668">
        <v>0</v>
      </c>
      <c r="DR1668">
        <v>0</v>
      </c>
      <c r="DS1668">
        <v>0</v>
      </c>
    </row>
    <row r="1669" spans="1:123" x14ac:dyDescent="0.3">
      <c r="A1669" t="str">
        <f>"10/04/2022 19:29:57.643"</f>
        <v>10/04/2022 19:29:57.643</v>
      </c>
      <c r="C1669" t="str">
        <f t="shared" ref="C1669:C1695" si="588">"FFDFD3C0"</f>
        <v>FFDFD3C0</v>
      </c>
      <c r="D1669" t="s">
        <v>141</v>
      </c>
      <c r="E1669">
        <v>4</v>
      </c>
      <c r="H1669">
        <v>4</v>
      </c>
      <c r="I1669" t="s">
        <v>142</v>
      </c>
      <c r="J1669" t="s">
        <v>138</v>
      </c>
      <c r="K1669">
        <v>0</v>
      </c>
      <c r="L1669">
        <v>3</v>
      </c>
      <c r="M1669">
        <v>0</v>
      </c>
      <c r="N1669">
        <v>2</v>
      </c>
      <c r="O1669">
        <v>0</v>
      </c>
      <c r="P1669">
        <v>1</v>
      </c>
      <c r="Q1669">
        <v>0</v>
      </c>
      <c r="S1669" t="str">
        <f t="shared" si="586"/>
        <v>19:29:57.000</v>
      </c>
      <c r="T1669" t="str">
        <f t="shared" si="586"/>
        <v>19:29:57.000</v>
      </c>
      <c r="U1669" t="str">
        <f t="shared" si="584"/>
        <v>AC3944</v>
      </c>
      <c r="V1669">
        <v>0</v>
      </c>
      <c r="W1669">
        <v>0</v>
      </c>
      <c r="X1669">
        <v>2</v>
      </c>
      <c r="Y1669">
        <v>0</v>
      </c>
      <c r="AA1669">
        <v>1</v>
      </c>
      <c r="AB1669">
        <v>8</v>
      </c>
      <c r="AC1669">
        <v>3</v>
      </c>
      <c r="AD1669">
        <v>0</v>
      </c>
      <c r="AE1669">
        <v>9</v>
      </c>
      <c r="AF1669" t="s">
        <v>138</v>
      </c>
      <c r="AG1669">
        <v>0</v>
      </c>
      <c r="AH1669">
        <v>3</v>
      </c>
      <c r="AI1669">
        <v>1</v>
      </c>
      <c r="AJ1669">
        <v>0</v>
      </c>
      <c r="AK1669" t="s">
        <v>612</v>
      </c>
      <c r="AL1669">
        <v>32.789704999999998</v>
      </c>
      <c r="AM1669" t="s">
        <v>613</v>
      </c>
      <c r="AN1669">
        <v>-116.869876</v>
      </c>
      <c r="AO1669">
        <v>25</v>
      </c>
      <c r="AP1669">
        <v>2700</v>
      </c>
      <c r="AQ1669" t="s">
        <v>129</v>
      </c>
      <c r="AR1669">
        <v>87</v>
      </c>
      <c r="AS1669">
        <v>-80</v>
      </c>
      <c r="AT1669">
        <v>704</v>
      </c>
      <c r="BB1669">
        <v>1200</v>
      </c>
      <c r="BC1669">
        <v>1</v>
      </c>
      <c r="BD1669" t="str">
        <f t="shared" si="585"/>
        <v xml:space="preserve">N887QR  </v>
      </c>
      <c r="BE1669">
        <v>1</v>
      </c>
      <c r="BG1669">
        <v>0</v>
      </c>
      <c r="BH1669">
        <v>0</v>
      </c>
      <c r="BI1669">
        <v>0</v>
      </c>
      <c r="BJ1669">
        <v>2450</v>
      </c>
      <c r="BK1669">
        <v>-250</v>
      </c>
      <c r="BL1669" t="s">
        <v>163</v>
      </c>
      <c r="BM1669">
        <v>1</v>
      </c>
      <c r="BN1669">
        <v>1</v>
      </c>
      <c r="BO1669">
        <v>1</v>
      </c>
      <c r="BP1669">
        <v>0</v>
      </c>
      <c r="BS1669">
        <v>0</v>
      </c>
      <c r="BT1669">
        <v>0</v>
      </c>
      <c r="BU1669">
        <v>0</v>
      </c>
      <c r="CE1669" t="str">
        <f t="shared" si="587"/>
        <v>19:29:57.342</v>
      </c>
      <c r="CF1669">
        <v>342042017</v>
      </c>
      <c r="CS1669">
        <v>3</v>
      </c>
      <c r="CT1669">
        <v>2</v>
      </c>
      <c r="CU1669">
        <v>0</v>
      </c>
      <c r="CV1669">
        <v>2</v>
      </c>
      <c r="CW1669">
        <v>0</v>
      </c>
      <c r="CX1669">
        <v>5</v>
      </c>
      <c r="CY1669">
        <v>7</v>
      </c>
      <c r="CZ1669" t="s">
        <v>131</v>
      </c>
      <c r="DA1669">
        <v>300</v>
      </c>
      <c r="DB1669">
        <v>0</v>
      </c>
      <c r="DC1669" t="s">
        <v>176</v>
      </c>
      <c r="DD1669" t="s">
        <v>177</v>
      </c>
      <c r="DG1669">
        <v>5391988</v>
      </c>
      <c r="DI1669">
        <v>1</v>
      </c>
      <c r="DJ1669">
        <v>0</v>
      </c>
      <c r="DK1669">
        <v>1</v>
      </c>
      <c r="DL1669">
        <v>0</v>
      </c>
      <c r="DM1669">
        <v>0</v>
      </c>
      <c r="DN1669">
        <v>1</v>
      </c>
      <c r="DO1669">
        <v>0</v>
      </c>
      <c r="DP1669">
        <v>0</v>
      </c>
      <c r="DQ1669">
        <v>0</v>
      </c>
      <c r="DR1669">
        <v>0</v>
      </c>
      <c r="DS1669">
        <v>0</v>
      </c>
    </row>
    <row r="1670" spans="1:123" x14ac:dyDescent="0.3">
      <c r="A1670" t="str">
        <f>"10/04/2022 19:29:57.643"</f>
        <v>10/04/2022 19:29:57.643</v>
      </c>
      <c r="C1670" t="str">
        <f t="shared" si="588"/>
        <v>FFDFD3C0</v>
      </c>
      <c r="D1670" t="s">
        <v>143</v>
      </c>
      <c r="E1670">
        <v>20</v>
      </c>
      <c r="F1670">
        <v>1020</v>
      </c>
      <c r="G1670" t="s">
        <v>144</v>
      </c>
      <c r="J1670" t="s">
        <v>145</v>
      </c>
      <c r="K1670">
        <v>0</v>
      </c>
      <c r="L1670">
        <v>3</v>
      </c>
      <c r="M1670">
        <v>0</v>
      </c>
      <c r="N1670">
        <v>2</v>
      </c>
      <c r="O1670">
        <v>0</v>
      </c>
      <c r="P1670">
        <v>1</v>
      </c>
      <c r="Q1670">
        <v>0</v>
      </c>
      <c r="S1670" t="str">
        <f t="shared" si="586"/>
        <v>19:29:57.000</v>
      </c>
      <c r="T1670" t="str">
        <f t="shared" si="586"/>
        <v>19:29:57.000</v>
      </c>
      <c r="U1670" t="str">
        <f t="shared" si="584"/>
        <v>AC3944</v>
      </c>
      <c r="V1670">
        <v>0</v>
      </c>
      <c r="W1670">
        <v>0</v>
      </c>
      <c r="X1670">
        <v>2</v>
      </c>
      <c r="Y1670">
        <v>0</v>
      </c>
      <c r="AA1670">
        <v>1</v>
      </c>
      <c r="AB1670">
        <v>8</v>
      </c>
      <c r="AC1670">
        <v>3</v>
      </c>
      <c r="AD1670">
        <v>0</v>
      </c>
      <c r="AE1670">
        <v>9</v>
      </c>
      <c r="AF1670" t="s">
        <v>138</v>
      </c>
      <c r="AG1670">
        <v>0</v>
      </c>
      <c r="AH1670">
        <v>3</v>
      </c>
      <c r="AI1670">
        <v>1</v>
      </c>
      <c r="AJ1670">
        <v>0</v>
      </c>
      <c r="AK1670" t="s">
        <v>612</v>
      </c>
      <c r="AL1670">
        <v>32.789704999999998</v>
      </c>
      <c r="AM1670" t="s">
        <v>613</v>
      </c>
      <c r="AN1670">
        <v>-116.869876</v>
      </c>
      <c r="AO1670">
        <v>25</v>
      </c>
      <c r="AP1670">
        <v>2700</v>
      </c>
      <c r="AQ1670" t="s">
        <v>129</v>
      </c>
      <c r="AR1670">
        <v>87</v>
      </c>
      <c r="AS1670">
        <v>-80</v>
      </c>
      <c r="AT1670">
        <v>704</v>
      </c>
      <c r="BB1670">
        <v>1200</v>
      </c>
      <c r="BC1670">
        <v>1</v>
      </c>
      <c r="BD1670" t="str">
        <f t="shared" si="585"/>
        <v xml:space="preserve">N887QR  </v>
      </c>
      <c r="BE1670">
        <v>1</v>
      </c>
      <c r="BG1670">
        <v>0</v>
      </c>
      <c r="BH1670">
        <v>0</v>
      </c>
      <c r="BI1670">
        <v>0</v>
      </c>
      <c r="BJ1670">
        <v>2450</v>
      </c>
      <c r="BK1670">
        <v>-250</v>
      </c>
      <c r="BL1670" t="s">
        <v>163</v>
      </c>
      <c r="BM1670">
        <v>1</v>
      </c>
      <c r="BN1670">
        <v>1</v>
      </c>
      <c r="BO1670">
        <v>1</v>
      </c>
      <c r="BP1670">
        <v>0</v>
      </c>
      <c r="BS1670">
        <v>0</v>
      </c>
      <c r="BT1670">
        <v>0</v>
      </c>
      <c r="BU1670">
        <v>0</v>
      </c>
      <c r="CE1670" t="str">
        <f t="shared" si="587"/>
        <v>19:29:57.342</v>
      </c>
      <c r="CF1670">
        <v>342042017</v>
      </c>
      <c r="CS1670">
        <v>3</v>
      </c>
      <c r="CT1670">
        <v>2</v>
      </c>
      <c r="CU1670">
        <v>0</v>
      </c>
      <c r="CV1670">
        <v>2</v>
      </c>
      <c r="CW1670">
        <v>0</v>
      </c>
      <c r="CX1670">
        <v>5</v>
      </c>
      <c r="CY1670">
        <v>7</v>
      </c>
      <c r="CZ1670" t="s">
        <v>131</v>
      </c>
      <c r="DA1670">
        <v>300</v>
      </c>
      <c r="DB1670">
        <v>0</v>
      </c>
      <c r="DC1670" t="s">
        <v>176</v>
      </c>
      <c r="DD1670" t="s">
        <v>177</v>
      </c>
      <c r="DG1670">
        <v>5391988</v>
      </c>
      <c r="DI1670">
        <v>1</v>
      </c>
      <c r="DJ1670">
        <v>0</v>
      </c>
      <c r="DK1670">
        <v>1</v>
      </c>
      <c r="DL1670">
        <v>0</v>
      </c>
      <c r="DM1670">
        <v>0</v>
      </c>
      <c r="DN1670">
        <v>1</v>
      </c>
      <c r="DO1670">
        <v>0</v>
      </c>
      <c r="DP1670">
        <v>0</v>
      </c>
      <c r="DQ1670">
        <v>0</v>
      </c>
      <c r="DR1670">
        <v>0</v>
      </c>
      <c r="DS1670">
        <v>0</v>
      </c>
    </row>
    <row r="1671" spans="1:123" x14ac:dyDescent="0.3">
      <c r="A1671" t="str">
        <f>"10/04/2022 19:29:57.643"</f>
        <v>10/04/2022 19:29:57.643</v>
      </c>
      <c r="C1671" t="str">
        <f t="shared" si="588"/>
        <v>FFDFD3C0</v>
      </c>
      <c r="D1671" t="s">
        <v>134</v>
      </c>
      <c r="E1671">
        <v>15</v>
      </c>
      <c r="J1671" t="s">
        <v>135</v>
      </c>
      <c r="K1671">
        <v>0</v>
      </c>
      <c r="L1671">
        <v>3</v>
      </c>
      <c r="M1671">
        <v>0</v>
      </c>
      <c r="N1671">
        <v>2</v>
      </c>
      <c r="O1671">
        <v>0</v>
      </c>
      <c r="P1671">
        <v>1</v>
      </c>
      <c r="Q1671">
        <v>0</v>
      </c>
      <c r="S1671" t="str">
        <f t="shared" si="586"/>
        <v>19:29:57.000</v>
      </c>
      <c r="T1671" t="str">
        <f t="shared" si="586"/>
        <v>19:29:57.000</v>
      </c>
      <c r="U1671" t="str">
        <f t="shared" si="584"/>
        <v>AC3944</v>
      </c>
      <c r="V1671">
        <v>0</v>
      </c>
      <c r="W1671">
        <v>0</v>
      </c>
      <c r="X1671">
        <v>2</v>
      </c>
      <c r="Y1671">
        <v>0</v>
      </c>
      <c r="AA1671">
        <v>1</v>
      </c>
      <c r="AB1671">
        <v>8</v>
      </c>
      <c r="AC1671">
        <v>3</v>
      </c>
      <c r="AD1671">
        <v>0</v>
      </c>
      <c r="AE1671">
        <v>9</v>
      </c>
      <c r="AF1671" t="s">
        <v>138</v>
      </c>
      <c r="AG1671">
        <v>0</v>
      </c>
      <c r="AH1671">
        <v>3</v>
      </c>
      <c r="AI1671">
        <v>1</v>
      </c>
      <c r="AJ1671">
        <v>0</v>
      </c>
      <c r="AK1671" t="s">
        <v>612</v>
      </c>
      <c r="AL1671">
        <v>32.789704999999998</v>
      </c>
      <c r="AM1671" t="s">
        <v>613</v>
      </c>
      <c r="AN1671">
        <v>-116.869876</v>
      </c>
      <c r="AO1671">
        <v>25</v>
      </c>
      <c r="AP1671">
        <v>2700</v>
      </c>
      <c r="AQ1671" t="s">
        <v>129</v>
      </c>
      <c r="AR1671">
        <v>87</v>
      </c>
      <c r="AS1671">
        <v>-80</v>
      </c>
      <c r="AT1671">
        <v>704</v>
      </c>
      <c r="BB1671">
        <v>1200</v>
      </c>
      <c r="BC1671">
        <v>1</v>
      </c>
      <c r="BD1671" t="str">
        <f t="shared" si="585"/>
        <v xml:space="preserve">N887QR  </v>
      </c>
      <c r="BE1671">
        <v>1</v>
      </c>
      <c r="BG1671">
        <v>0</v>
      </c>
      <c r="BH1671">
        <v>0</v>
      </c>
      <c r="BI1671">
        <v>0</v>
      </c>
      <c r="BJ1671">
        <v>2450</v>
      </c>
      <c r="BK1671">
        <v>-250</v>
      </c>
      <c r="BL1671" t="s">
        <v>163</v>
      </c>
      <c r="BM1671">
        <v>1</v>
      </c>
      <c r="BN1671">
        <v>1</v>
      </c>
      <c r="BO1671">
        <v>1</v>
      </c>
      <c r="BP1671">
        <v>0</v>
      </c>
      <c r="BS1671">
        <v>0</v>
      </c>
      <c r="BT1671">
        <v>0</v>
      </c>
      <c r="BU1671">
        <v>0</v>
      </c>
      <c r="CE1671" t="str">
        <f t="shared" si="587"/>
        <v>19:29:57.342</v>
      </c>
      <c r="CF1671">
        <v>342042017</v>
      </c>
      <c r="CS1671">
        <v>3</v>
      </c>
      <c r="CT1671">
        <v>2</v>
      </c>
      <c r="CU1671">
        <v>0</v>
      </c>
      <c r="CV1671">
        <v>2</v>
      </c>
      <c r="CW1671">
        <v>0</v>
      </c>
      <c r="CX1671">
        <v>5</v>
      </c>
      <c r="CY1671">
        <v>7</v>
      </c>
      <c r="CZ1671" t="s">
        <v>131</v>
      </c>
      <c r="DA1671">
        <v>300</v>
      </c>
      <c r="DB1671">
        <v>0</v>
      </c>
      <c r="DC1671" t="s">
        <v>176</v>
      </c>
      <c r="DD1671" t="s">
        <v>177</v>
      </c>
      <c r="DG1671">
        <v>5391988</v>
      </c>
      <c r="DI1671">
        <v>1</v>
      </c>
      <c r="DJ1671">
        <v>0</v>
      </c>
      <c r="DK1671">
        <v>1</v>
      </c>
      <c r="DL1671">
        <v>0</v>
      </c>
      <c r="DM1671">
        <v>0</v>
      </c>
      <c r="DN1671">
        <v>1</v>
      </c>
      <c r="DO1671">
        <v>0</v>
      </c>
      <c r="DP1671">
        <v>0</v>
      </c>
      <c r="DQ1671">
        <v>0</v>
      </c>
      <c r="DR1671">
        <v>0</v>
      </c>
      <c r="DS1671">
        <v>0</v>
      </c>
    </row>
    <row r="1672" spans="1:123" x14ac:dyDescent="0.3">
      <c r="A1672" t="str">
        <f>"10/04/2022 19:29:57.643"</f>
        <v>10/04/2022 19:29:57.643</v>
      </c>
      <c r="C1672" t="str">
        <f t="shared" si="588"/>
        <v>FFDFD3C0</v>
      </c>
      <c r="D1672" t="s">
        <v>147</v>
      </c>
      <c r="E1672">
        <v>3</v>
      </c>
      <c r="H1672">
        <v>166</v>
      </c>
      <c r="I1672" t="s">
        <v>144</v>
      </c>
      <c r="J1672" t="s">
        <v>148</v>
      </c>
      <c r="K1672">
        <v>0</v>
      </c>
      <c r="L1672">
        <v>3</v>
      </c>
      <c r="M1672">
        <v>0</v>
      </c>
      <c r="N1672">
        <v>2</v>
      </c>
      <c r="O1672">
        <v>0</v>
      </c>
      <c r="P1672">
        <v>1</v>
      </c>
      <c r="Q1672">
        <v>0</v>
      </c>
      <c r="S1672" t="str">
        <f t="shared" si="586"/>
        <v>19:29:57.000</v>
      </c>
      <c r="T1672" t="str">
        <f t="shared" si="586"/>
        <v>19:29:57.000</v>
      </c>
      <c r="U1672" t="str">
        <f t="shared" si="584"/>
        <v>AC3944</v>
      </c>
      <c r="V1672">
        <v>0</v>
      </c>
      <c r="W1672">
        <v>0</v>
      </c>
      <c r="X1672">
        <v>2</v>
      </c>
      <c r="Y1672">
        <v>0</v>
      </c>
      <c r="AA1672">
        <v>1</v>
      </c>
      <c r="AB1672">
        <v>8</v>
      </c>
      <c r="AC1672">
        <v>3</v>
      </c>
      <c r="AD1672">
        <v>0</v>
      </c>
      <c r="AE1672">
        <v>9</v>
      </c>
      <c r="AF1672" t="s">
        <v>138</v>
      </c>
      <c r="AG1672">
        <v>0</v>
      </c>
      <c r="AH1672">
        <v>3</v>
      </c>
      <c r="AI1672">
        <v>1</v>
      </c>
      <c r="AJ1672">
        <v>0</v>
      </c>
      <c r="AK1672" t="s">
        <v>612</v>
      </c>
      <c r="AL1672">
        <v>32.789704999999998</v>
      </c>
      <c r="AM1672" t="s">
        <v>613</v>
      </c>
      <c r="AN1672">
        <v>-116.869876</v>
      </c>
      <c r="AO1672">
        <v>25</v>
      </c>
      <c r="AP1672">
        <v>2700</v>
      </c>
      <c r="AQ1672" t="s">
        <v>129</v>
      </c>
      <c r="AR1672">
        <v>87</v>
      </c>
      <c r="AS1672">
        <v>-80</v>
      </c>
      <c r="AT1672">
        <v>704</v>
      </c>
      <c r="BB1672">
        <v>1200</v>
      </c>
      <c r="BC1672">
        <v>1</v>
      </c>
      <c r="BD1672" t="str">
        <f t="shared" si="585"/>
        <v xml:space="preserve">N887QR  </v>
      </c>
      <c r="BE1672">
        <v>1</v>
      </c>
      <c r="BG1672">
        <v>0</v>
      </c>
      <c r="BH1672">
        <v>0</v>
      </c>
      <c r="BI1672">
        <v>0</v>
      </c>
      <c r="BJ1672">
        <v>2450</v>
      </c>
      <c r="BK1672">
        <v>-250</v>
      </c>
      <c r="BL1672" t="s">
        <v>163</v>
      </c>
      <c r="BM1672">
        <v>1</v>
      </c>
      <c r="BN1672">
        <v>1</v>
      </c>
      <c r="BO1672">
        <v>1</v>
      </c>
      <c r="BP1672">
        <v>0</v>
      </c>
      <c r="BS1672">
        <v>0</v>
      </c>
      <c r="BT1672">
        <v>0</v>
      </c>
      <c r="BU1672">
        <v>0</v>
      </c>
      <c r="CE1672" t="str">
        <f t="shared" si="587"/>
        <v>19:29:57.342</v>
      </c>
      <c r="CF1672">
        <v>342042017</v>
      </c>
      <c r="CS1672">
        <v>3</v>
      </c>
      <c r="CT1672">
        <v>2</v>
      </c>
      <c r="CU1672">
        <v>0</v>
      </c>
      <c r="CV1672">
        <v>2</v>
      </c>
      <c r="CW1672">
        <v>0</v>
      </c>
      <c r="CX1672">
        <v>5</v>
      </c>
      <c r="CY1672">
        <v>7</v>
      </c>
      <c r="CZ1672" t="s">
        <v>131</v>
      </c>
      <c r="DA1672">
        <v>300</v>
      </c>
      <c r="DB1672">
        <v>0</v>
      </c>
      <c r="DC1672" t="s">
        <v>176</v>
      </c>
      <c r="DD1672" t="s">
        <v>177</v>
      </c>
      <c r="DG1672">
        <v>5391988</v>
      </c>
      <c r="DI1672">
        <v>1</v>
      </c>
      <c r="DJ1672">
        <v>0</v>
      </c>
      <c r="DK1672">
        <v>1</v>
      </c>
      <c r="DL1672">
        <v>0</v>
      </c>
      <c r="DM1672">
        <v>0</v>
      </c>
      <c r="DN1672">
        <v>1</v>
      </c>
      <c r="DO1672">
        <v>0</v>
      </c>
      <c r="DP1672">
        <v>0</v>
      </c>
      <c r="DQ1672">
        <v>0</v>
      </c>
      <c r="DR1672">
        <v>0</v>
      </c>
      <c r="DS1672">
        <v>0</v>
      </c>
    </row>
    <row r="1673" spans="1:123" x14ac:dyDescent="0.3">
      <c r="A1673" t="str">
        <f>"10/04/2022 19:29:57.658"</f>
        <v>10/04/2022 19:29:57.658</v>
      </c>
      <c r="C1673" t="str">
        <f t="shared" si="588"/>
        <v>FFDFD3C0</v>
      </c>
      <c r="D1673" t="s">
        <v>123</v>
      </c>
      <c r="E1673">
        <v>7</v>
      </c>
      <c r="F1673">
        <v>2007</v>
      </c>
      <c r="G1673" t="s">
        <v>124</v>
      </c>
      <c r="J1673" t="s">
        <v>125</v>
      </c>
      <c r="K1673">
        <v>0</v>
      </c>
      <c r="L1673">
        <v>3</v>
      </c>
      <c r="M1673">
        <v>0</v>
      </c>
      <c r="N1673">
        <v>2</v>
      </c>
      <c r="O1673">
        <v>0</v>
      </c>
      <c r="P1673">
        <v>1</v>
      </c>
      <c r="Q1673">
        <v>0</v>
      </c>
      <c r="S1673" t="str">
        <f t="shared" si="586"/>
        <v>19:29:57.000</v>
      </c>
      <c r="T1673" t="str">
        <f t="shared" si="586"/>
        <v>19:29:57.000</v>
      </c>
      <c r="U1673" t="str">
        <f t="shared" si="584"/>
        <v>AC3944</v>
      </c>
      <c r="V1673">
        <v>0</v>
      </c>
      <c r="W1673">
        <v>0</v>
      </c>
      <c r="X1673">
        <v>2</v>
      </c>
      <c r="Y1673">
        <v>0</v>
      </c>
      <c r="AA1673">
        <v>1</v>
      </c>
      <c r="AB1673">
        <v>8</v>
      </c>
      <c r="AC1673">
        <v>3</v>
      </c>
      <c r="AD1673">
        <v>0</v>
      </c>
      <c r="AE1673">
        <v>9</v>
      </c>
      <c r="AF1673" t="s">
        <v>138</v>
      </c>
      <c r="AG1673">
        <v>0</v>
      </c>
      <c r="AH1673">
        <v>3</v>
      </c>
      <c r="AI1673">
        <v>1</v>
      </c>
      <c r="AJ1673">
        <v>0</v>
      </c>
      <c r="AK1673" t="s">
        <v>612</v>
      </c>
      <c r="AL1673">
        <v>32.789704999999998</v>
      </c>
      <c r="AM1673" t="s">
        <v>613</v>
      </c>
      <c r="AN1673">
        <v>-116.869876</v>
      </c>
      <c r="AO1673">
        <v>25</v>
      </c>
      <c r="AP1673">
        <v>2700</v>
      </c>
      <c r="AQ1673" t="s">
        <v>129</v>
      </c>
      <c r="AR1673">
        <v>87</v>
      </c>
      <c r="AS1673">
        <v>-80</v>
      </c>
      <c r="AT1673">
        <v>704</v>
      </c>
      <c r="BB1673">
        <v>1200</v>
      </c>
      <c r="BC1673">
        <v>1</v>
      </c>
      <c r="BD1673" t="str">
        <f t="shared" si="585"/>
        <v xml:space="preserve">N887QR  </v>
      </c>
      <c r="BE1673">
        <v>1</v>
      </c>
      <c r="BG1673">
        <v>0</v>
      </c>
      <c r="BH1673">
        <v>0</v>
      </c>
      <c r="BI1673">
        <v>0</v>
      </c>
      <c r="BJ1673">
        <v>2450</v>
      </c>
      <c r="BK1673">
        <v>-250</v>
      </c>
      <c r="BL1673" t="s">
        <v>163</v>
      </c>
      <c r="BM1673">
        <v>1</v>
      </c>
      <c r="BN1673">
        <v>1</v>
      </c>
      <c r="BO1673">
        <v>1</v>
      </c>
      <c r="BP1673">
        <v>0</v>
      </c>
      <c r="BS1673">
        <v>0</v>
      </c>
      <c r="BT1673">
        <v>0</v>
      </c>
      <c r="BU1673">
        <v>0</v>
      </c>
      <c r="CE1673" t="str">
        <f t="shared" si="587"/>
        <v>19:29:57.342</v>
      </c>
      <c r="CF1673">
        <v>342042017</v>
      </c>
      <c r="CS1673">
        <v>3</v>
      </c>
      <c r="CT1673">
        <v>2</v>
      </c>
      <c r="CU1673">
        <v>0</v>
      </c>
      <c r="CV1673">
        <v>2</v>
      </c>
      <c r="CW1673">
        <v>0</v>
      </c>
      <c r="CX1673">
        <v>5</v>
      </c>
      <c r="CY1673">
        <v>7</v>
      </c>
      <c r="CZ1673" t="s">
        <v>131</v>
      </c>
      <c r="DA1673">
        <v>300</v>
      </c>
      <c r="DB1673">
        <v>0</v>
      </c>
      <c r="DC1673" t="s">
        <v>176</v>
      </c>
      <c r="DD1673" t="s">
        <v>177</v>
      </c>
      <c r="DG1673">
        <v>5391988</v>
      </c>
      <c r="DI1673">
        <v>1</v>
      </c>
      <c r="DJ1673">
        <v>0</v>
      </c>
      <c r="DK1673">
        <v>1</v>
      </c>
      <c r="DL1673">
        <v>0</v>
      </c>
      <c r="DM1673">
        <v>0</v>
      </c>
      <c r="DN1673">
        <v>1</v>
      </c>
      <c r="DO1673">
        <v>0</v>
      </c>
      <c r="DP1673">
        <v>0</v>
      </c>
      <c r="DQ1673">
        <v>0</v>
      </c>
      <c r="DR1673">
        <v>0</v>
      </c>
      <c r="DS1673">
        <v>0</v>
      </c>
    </row>
    <row r="1674" spans="1:123" x14ac:dyDescent="0.3">
      <c r="A1674" t="str">
        <f>"10/04/2022 19:29:57.658"</f>
        <v>10/04/2022 19:29:57.658</v>
      </c>
      <c r="C1674" t="str">
        <f t="shared" si="588"/>
        <v>FFDFD3C0</v>
      </c>
      <c r="D1674" t="s">
        <v>141</v>
      </c>
      <c r="E1674">
        <v>3</v>
      </c>
      <c r="H1674">
        <v>3</v>
      </c>
      <c r="I1674" t="s">
        <v>146</v>
      </c>
      <c r="J1674" t="s">
        <v>138</v>
      </c>
      <c r="K1674">
        <v>0</v>
      </c>
      <c r="L1674">
        <v>3</v>
      </c>
      <c r="M1674">
        <v>0</v>
      </c>
      <c r="N1674">
        <v>2</v>
      </c>
      <c r="O1674">
        <v>0</v>
      </c>
      <c r="P1674">
        <v>1</v>
      </c>
      <c r="Q1674">
        <v>0</v>
      </c>
      <c r="S1674" t="str">
        <f t="shared" si="586"/>
        <v>19:29:57.000</v>
      </c>
      <c r="T1674" t="str">
        <f t="shared" si="586"/>
        <v>19:29:57.000</v>
      </c>
      <c r="U1674" t="str">
        <f t="shared" si="584"/>
        <v>AC3944</v>
      </c>
      <c r="V1674">
        <v>0</v>
      </c>
      <c r="W1674">
        <v>0</v>
      </c>
      <c r="X1674">
        <v>2</v>
      </c>
      <c r="Y1674">
        <v>0</v>
      </c>
      <c r="AA1674">
        <v>1</v>
      </c>
      <c r="AB1674">
        <v>8</v>
      </c>
      <c r="AC1674">
        <v>3</v>
      </c>
      <c r="AD1674">
        <v>0</v>
      </c>
      <c r="AE1674">
        <v>9</v>
      </c>
      <c r="AF1674" t="s">
        <v>138</v>
      </c>
      <c r="AG1674">
        <v>0</v>
      </c>
      <c r="AH1674">
        <v>3</v>
      </c>
      <c r="AI1674">
        <v>1</v>
      </c>
      <c r="AJ1674">
        <v>0</v>
      </c>
      <c r="AK1674" t="s">
        <v>612</v>
      </c>
      <c r="AL1674">
        <v>32.789704999999998</v>
      </c>
      <c r="AM1674" t="s">
        <v>613</v>
      </c>
      <c r="AN1674">
        <v>-116.869876</v>
      </c>
      <c r="AO1674">
        <v>25</v>
      </c>
      <c r="AP1674">
        <v>2700</v>
      </c>
      <c r="AQ1674" t="s">
        <v>129</v>
      </c>
      <c r="AR1674">
        <v>87</v>
      </c>
      <c r="AS1674">
        <v>-80</v>
      </c>
      <c r="AT1674">
        <v>704</v>
      </c>
      <c r="BB1674">
        <v>1200</v>
      </c>
      <c r="BC1674">
        <v>1</v>
      </c>
      <c r="BD1674" t="str">
        <f t="shared" si="585"/>
        <v xml:space="preserve">N887QR  </v>
      </c>
      <c r="BE1674">
        <v>1</v>
      </c>
      <c r="BG1674">
        <v>0</v>
      </c>
      <c r="BH1674">
        <v>0</v>
      </c>
      <c r="BI1674">
        <v>0</v>
      </c>
      <c r="BJ1674">
        <v>2450</v>
      </c>
      <c r="BK1674">
        <v>-250</v>
      </c>
      <c r="BL1674" t="s">
        <v>163</v>
      </c>
      <c r="BM1674">
        <v>1</v>
      </c>
      <c r="BN1674">
        <v>1</v>
      </c>
      <c r="BO1674">
        <v>1</v>
      </c>
      <c r="BP1674">
        <v>0</v>
      </c>
      <c r="BS1674">
        <v>0</v>
      </c>
      <c r="BT1674">
        <v>0</v>
      </c>
      <c r="BU1674">
        <v>0</v>
      </c>
      <c r="CE1674" t="str">
        <f t="shared" si="587"/>
        <v>19:29:57.342</v>
      </c>
      <c r="CF1674">
        <v>342042017</v>
      </c>
      <c r="CS1674">
        <v>3</v>
      </c>
      <c r="CT1674">
        <v>2</v>
      </c>
      <c r="CU1674">
        <v>0</v>
      </c>
      <c r="CV1674">
        <v>2</v>
      </c>
      <c r="CW1674">
        <v>0</v>
      </c>
      <c r="CX1674">
        <v>5</v>
      </c>
      <c r="CY1674">
        <v>7</v>
      </c>
      <c r="CZ1674" t="s">
        <v>131</v>
      </c>
      <c r="DA1674">
        <v>300</v>
      </c>
      <c r="DB1674">
        <v>0</v>
      </c>
      <c r="DC1674" t="s">
        <v>176</v>
      </c>
      <c r="DD1674" t="s">
        <v>177</v>
      </c>
      <c r="DG1674">
        <v>5391988</v>
      </c>
      <c r="DI1674">
        <v>1</v>
      </c>
      <c r="DJ1674">
        <v>0</v>
      </c>
      <c r="DK1674">
        <v>1</v>
      </c>
      <c r="DL1674">
        <v>0</v>
      </c>
      <c r="DM1674">
        <v>0</v>
      </c>
      <c r="DN1674">
        <v>1</v>
      </c>
      <c r="DO1674">
        <v>0</v>
      </c>
      <c r="DP1674">
        <v>0</v>
      </c>
      <c r="DQ1674">
        <v>0</v>
      </c>
      <c r="DR1674">
        <v>0</v>
      </c>
      <c r="DS1674">
        <v>0</v>
      </c>
    </row>
    <row r="1675" spans="1:123" x14ac:dyDescent="0.3">
      <c r="A1675" t="str">
        <f>"10/04/2022 19:29:58.518"</f>
        <v>10/04/2022 19:29:58.518</v>
      </c>
      <c r="C1675" t="str">
        <f t="shared" si="588"/>
        <v>FFDFD3C0</v>
      </c>
      <c r="D1675" t="s">
        <v>147</v>
      </c>
      <c r="E1675">
        <v>3</v>
      </c>
      <c r="H1675">
        <v>166</v>
      </c>
      <c r="I1675" t="s">
        <v>144</v>
      </c>
      <c r="J1675" t="s">
        <v>148</v>
      </c>
      <c r="K1675">
        <v>0</v>
      </c>
      <c r="L1675">
        <v>3</v>
      </c>
      <c r="M1675">
        <v>0</v>
      </c>
      <c r="N1675">
        <v>2</v>
      </c>
      <c r="O1675">
        <v>0</v>
      </c>
      <c r="P1675">
        <v>1</v>
      </c>
      <c r="Q1675">
        <v>0</v>
      </c>
      <c r="S1675" t="str">
        <f t="shared" ref="S1675:T1681" si="589">"19:29:58.000"</f>
        <v>19:29:58.000</v>
      </c>
      <c r="T1675" t="str">
        <f t="shared" si="589"/>
        <v>19:29:58.000</v>
      </c>
      <c r="U1675" t="str">
        <f t="shared" si="584"/>
        <v>AC3944</v>
      </c>
      <c r="V1675">
        <v>0</v>
      </c>
      <c r="W1675">
        <v>0</v>
      </c>
      <c r="X1675">
        <v>2</v>
      </c>
      <c r="Y1675">
        <v>0</v>
      </c>
      <c r="AA1675">
        <v>1</v>
      </c>
      <c r="AB1675">
        <v>8</v>
      </c>
      <c r="AC1675">
        <v>3</v>
      </c>
      <c r="AD1675">
        <v>0</v>
      </c>
      <c r="AE1675">
        <v>9</v>
      </c>
      <c r="AF1675" t="s">
        <v>138</v>
      </c>
      <c r="AG1675">
        <v>0</v>
      </c>
      <c r="AH1675">
        <v>3</v>
      </c>
      <c r="AI1675">
        <v>1</v>
      </c>
      <c r="AJ1675">
        <v>0</v>
      </c>
      <c r="AK1675" t="s">
        <v>614</v>
      </c>
      <c r="AL1675">
        <v>32.789340000000003</v>
      </c>
      <c r="AM1675" t="s">
        <v>615</v>
      </c>
      <c r="AN1675">
        <v>-116.869404</v>
      </c>
      <c r="AO1675">
        <v>25</v>
      </c>
      <c r="AP1675">
        <v>2700</v>
      </c>
      <c r="AQ1675" t="s">
        <v>129</v>
      </c>
      <c r="AR1675">
        <v>87</v>
      </c>
      <c r="AS1675">
        <v>-79</v>
      </c>
      <c r="AT1675">
        <v>768</v>
      </c>
      <c r="BB1675">
        <v>1200</v>
      </c>
      <c r="BC1675">
        <v>1</v>
      </c>
      <c r="BD1675" t="str">
        <f t="shared" si="585"/>
        <v xml:space="preserve">N887QR  </v>
      </c>
      <c r="BE1675">
        <v>1</v>
      </c>
      <c r="BG1675">
        <v>0</v>
      </c>
      <c r="BH1675">
        <v>0</v>
      </c>
      <c r="BI1675">
        <v>0</v>
      </c>
      <c r="BJ1675">
        <v>2450</v>
      </c>
      <c r="BK1675">
        <v>-250</v>
      </c>
      <c r="BL1675" t="s">
        <v>163</v>
      </c>
      <c r="BM1675">
        <v>1</v>
      </c>
      <c r="BN1675">
        <v>1</v>
      </c>
      <c r="BO1675">
        <v>1</v>
      </c>
      <c r="BP1675">
        <v>0</v>
      </c>
      <c r="BS1675">
        <v>0</v>
      </c>
      <c r="BT1675">
        <v>0</v>
      </c>
      <c r="BU1675">
        <v>0</v>
      </c>
      <c r="CE1675" t="str">
        <f t="shared" ref="CE1675:CE1681" si="590">"19:29:58.235"</f>
        <v>19:29:58.235</v>
      </c>
      <c r="CF1675">
        <v>234794975</v>
      </c>
      <c r="CS1675">
        <v>3</v>
      </c>
      <c r="CT1675">
        <v>2</v>
      </c>
      <c r="CU1675">
        <v>0</v>
      </c>
      <c r="CV1675">
        <v>2</v>
      </c>
      <c r="CW1675">
        <v>0</v>
      </c>
      <c r="CX1675">
        <v>6</v>
      </c>
      <c r="CY1675">
        <v>7</v>
      </c>
      <c r="CZ1675" t="s">
        <v>131</v>
      </c>
      <c r="DA1675">
        <v>300</v>
      </c>
      <c r="DB1675">
        <v>0</v>
      </c>
      <c r="DC1675" t="s">
        <v>176</v>
      </c>
      <c r="DD1675" t="s">
        <v>177</v>
      </c>
      <c r="DG1675">
        <v>5392138</v>
      </c>
      <c r="DI1675">
        <v>1</v>
      </c>
      <c r="DJ1675">
        <v>0</v>
      </c>
      <c r="DK1675">
        <v>0</v>
      </c>
      <c r="DL1675">
        <v>0</v>
      </c>
      <c r="DM1675">
        <v>0</v>
      </c>
      <c r="DN1675">
        <v>1</v>
      </c>
      <c r="DO1675">
        <v>0</v>
      </c>
      <c r="DP1675">
        <v>0</v>
      </c>
      <c r="DQ1675">
        <v>0</v>
      </c>
      <c r="DR1675">
        <v>0</v>
      </c>
      <c r="DS1675">
        <v>0</v>
      </c>
    </row>
    <row r="1676" spans="1:123" x14ac:dyDescent="0.3">
      <c r="A1676" t="str">
        <f>"10/04/2022 19:29:58.518"</f>
        <v>10/04/2022 19:29:58.518</v>
      </c>
      <c r="C1676" t="str">
        <f t="shared" si="588"/>
        <v>FFDFD3C0</v>
      </c>
      <c r="D1676" t="s">
        <v>141</v>
      </c>
      <c r="E1676">
        <v>3</v>
      </c>
      <c r="H1676">
        <v>3</v>
      </c>
      <c r="I1676" t="s">
        <v>146</v>
      </c>
      <c r="J1676" t="s">
        <v>138</v>
      </c>
      <c r="K1676">
        <v>0</v>
      </c>
      <c r="L1676">
        <v>3</v>
      </c>
      <c r="M1676">
        <v>0</v>
      </c>
      <c r="N1676">
        <v>2</v>
      </c>
      <c r="O1676">
        <v>0</v>
      </c>
      <c r="P1676">
        <v>1</v>
      </c>
      <c r="Q1676">
        <v>0</v>
      </c>
      <c r="S1676" t="str">
        <f t="shared" si="589"/>
        <v>19:29:58.000</v>
      </c>
      <c r="T1676" t="str">
        <f t="shared" si="589"/>
        <v>19:29:58.000</v>
      </c>
      <c r="U1676" t="str">
        <f t="shared" si="584"/>
        <v>AC3944</v>
      </c>
      <c r="V1676">
        <v>0</v>
      </c>
      <c r="W1676">
        <v>0</v>
      </c>
      <c r="X1676">
        <v>2</v>
      </c>
      <c r="Y1676">
        <v>0</v>
      </c>
      <c r="AA1676">
        <v>1</v>
      </c>
      <c r="AB1676">
        <v>8</v>
      </c>
      <c r="AC1676">
        <v>3</v>
      </c>
      <c r="AD1676">
        <v>0</v>
      </c>
      <c r="AE1676">
        <v>9</v>
      </c>
      <c r="AF1676" t="s">
        <v>138</v>
      </c>
      <c r="AG1676">
        <v>0</v>
      </c>
      <c r="AH1676">
        <v>3</v>
      </c>
      <c r="AI1676">
        <v>1</v>
      </c>
      <c r="AJ1676">
        <v>0</v>
      </c>
      <c r="AK1676" t="s">
        <v>614</v>
      </c>
      <c r="AL1676">
        <v>32.789340000000003</v>
      </c>
      <c r="AM1676" t="s">
        <v>615</v>
      </c>
      <c r="AN1676">
        <v>-116.869404</v>
      </c>
      <c r="AO1676">
        <v>25</v>
      </c>
      <c r="AP1676">
        <v>2700</v>
      </c>
      <c r="AQ1676" t="s">
        <v>129</v>
      </c>
      <c r="AR1676">
        <v>87</v>
      </c>
      <c r="AS1676">
        <v>-79</v>
      </c>
      <c r="AT1676">
        <v>768</v>
      </c>
      <c r="BB1676">
        <v>1200</v>
      </c>
      <c r="BC1676">
        <v>1</v>
      </c>
      <c r="BD1676" t="str">
        <f t="shared" si="585"/>
        <v xml:space="preserve">N887QR  </v>
      </c>
      <c r="BE1676">
        <v>1</v>
      </c>
      <c r="BG1676">
        <v>0</v>
      </c>
      <c r="BH1676">
        <v>0</v>
      </c>
      <c r="BI1676">
        <v>0</v>
      </c>
      <c r="BJ1676">
        <v>2450</v>
      </c>
      <c r="BK1676">
        <v>-250</v>
      </c>
      <c r="BL1676" t="s">
        <v>163</v>
      </c>
      <c r="BM1676">
        <v>1</v>
      </c>
      <c r="BN1676">
        <v>1</v>
      </c>
      <c r="BO1676">
        <v>1</v>
      </c>
      <c r="BP1676">
        <v>0</v>
      </c>
      <c r="BS1676">
        <v>0</v>
      </c>
      <c r="BT1676">
        <v>0</v>
      </c>
      <c r="BU1676">
        <v>0</v>
      </c>
      <c r="CE1676" t="str">
        <f t="shared" si="590"/>
        <v>19:29:58.235</v>
      </c>
      <c r="CF1676">
        <v>234794975</v>
      </c>
      <c r="CS1676">
        <v>3</v>
      </c>
      <c r="CT1676">
        <v>2</v>
      </c>
      <c r="CU1676">
        <v>0</v>
      </c>
      <c r="CV1676">
        <v>2</v>
      </c>
      <c r="CW1676">
        <v>0</v>
      </c>
      <c r="CX1676">
        <v>6</v>
      </c>
      <c r="CY1676">
        <v>7</v>
      </c>
      <c r="CZ1676" t="s">
        <v>131</v>
      </c>
      <c r="DA1676">
        <v>300</v>
      </c>
      <c r="DB1676">
        <v>0</v>
      </c>
      <c r="DC1676" t="s">
        <v>176</v>
      </c>
      <c r="DD1676" t="s">
        <v>177</v>
      </c>
      <c r="DG1676">
        <v>5392138</v>
      </c>
      <c r="DI1676">
        <v>1</v>
      </c>
      <c r="DJ1676">
        <v>0</v>
      </c>
      <c r="DK1676">
        <v>1</v>
      </c>
      <c r="DL1676">
        <v>0</v>
      </c>
      <c r="DM1676">
        <v>0</v>
      </c>
      <c r="DN1676">
        <v>1</v>
      </c>
      <c r="DO1676">
        <v>0</v>
      </c>
      <c r="DP1676">
        <v>0</v>
      </c>
      <c r="DQ1676">
        <v>0</v>
      </c>
      <c r="DR1676">
        <v>0</v>
      </c>
      <c r="DS1676">
        <v>0</v>
      </c>
    </row>
    <row r="1677" spans="1:123" x14ac:dyDescent="0.3">
      <c r="A1677" t="str">
        <f>"10/04/2022 19:29:58.580"</f>
        <v>10/04/2022 19:29:58.580</v>
      </c>
      <c r="C1677" t="str">
        <f t="shared" si="588"/>
        <v>FFDFD3C0</v>
      </c>
      <c r="D1677" t="s">
        <v>134</v>
      </c>
      <c r="E1677">
        <v>15</v>
      </c>
      <c r="J1677" t="s">
        <v>135</v>
      </c>
      <c r="K1677">
        <v>0</v>
      </c>
      <c r="L1677">
        <v>3</v>
      </c>
      <c r="M1677">
        <v>0</v>
      </c>
      <c r="N1677">
        <v>2</v>
      </c>
      <c r="O1677">
        <v>0</v>
      </c>
      <c r="P1677">
        <v>1</v>
      </c>
      <c r="Q1677">
        <v>0</v>
      </c>
      <c r="S1677" t="str">
        <f t="shared" si="589"/>
        <v>19:29:58.000</v>
      </c>
      <c r="T1677" t="str">
        <f t="shared" si="589"/>
        <v>19:29:58.000</v>
      </c>
      <c r="U1677" t="str">
        <f t="shared" si="584"/>
        <v>AC3944</v>
      </c>
      <c r="V1677">
        <v>0</v>
      </c>
      <c r="W1677">
        <v>0</v>
      </c>
      <c r="X1677">
        <v>2</v>
      </c>
      <c r="Y1677">
        <v>0</v>
      </c>
      <c r="AA1677">
        <v>1</v>
      </c>
      <c r="AB1677">
        <v>8</v>
      </c>
      <c r="AC1677">
        <v>3</v>
      </c>
      <c r="AD1677">
        <v>0</v>
      </c>
      <c r="AE1677">
        <v>9</v>
      </c>
      <c r="AF1677" t="s">
        <v>138</v>
      </c>
      <c r="AG1677">
        <v>0</v>
      </c>
      <c r="AH1677">
        <v>3</v>
      </c>
      <c r="AI1677">
        <v>1</v>
      </c>
      <c r="AJ1677">
        <v>0</v>
      </c>
      <c r="AK1677" t="s">
        <v>614</v>
      </c>
      <c r="AL1677">
        <v>32.789340000000003</v>
      </c>
      <c r="AM1677" t="s">
        <v>615</v>
      </c>
      <c r="AN1677">
        <v>-116.869404</v>
      </c>
      <c r="AO1677">
        <v>25</v>
      </c>
      <c r="AP1677">
        <v>2700</v>
      </c>
      <c r="AQ1677" t="s">
        <v>129</v>
      </c>
      <c r="AR1677">
        <v>87</v>
      </c>
      <c r="AS1677">
        <v>-79</v>
      </c>
      <c r="AT1677">
        <v>768</v>
      </c>
      <c r="BB1677">
        <v>1200</v>
      </c>
      <c r="BC1677">
        <v>1</v>
      </c>
      <c r="BD1677" t="str">
        <f t="shared" si="585"/>
        <v xml:space="preserve">N887QR  </v>
      </c>
      <c r="BE1677">
        <v>1</v>
      </c>
      <c r="BG1677">
        <v>0</v>
      </c>
      <c r="BH1677">
        <v>0</v>
      </c>
      <c r="BI1677">
        <v>0</v>
      </c>
      <c r="BJ1677">
        <v>2450</v>
      </c>
      <c r="BK1677">
        <v>-250</v>
      </c>
      <c r="BL1677" t="s">
        <v>163</v>
      </c>
      <c r="BM1677">
        <v>1</v>
      </c>
      <c r="BN1677">
        <v>1</v>
      </c>
      <c r="BO1677">
        <v>1</v>
      </c>
      <c r="BP1677">
        <v>0</v>
      </c>
      <c r="BS1677">
        <v>0</v>
      </c>
      <c r="BT1677">
        <v>0</v>
      </c>
      <c r="BU1677">
        <v>0</v>
      </c>
      <c r="CE1677" t="str">
        <f t="shared" si="590"/>
        <v>19:29:58.235</v>
      </c>
      <c r="CF1677">
        <v>234794975</v>
      </c>
      <c r="CS1677">
        <v>3</v>
      </c>
      <c r="CT1677">
        <v>2</v>
      </c>
      <c r="CU1677">
        <v>0</v>
      </c>
      <c r="CV1677">
        <v>2</v>
      </c>
      <c r="CW1677">
        <v>0</v>
      </c>
      <c r="CX1677">
        <v>6</v>
      </c>
      <c r="CY1677">
        <v>7</v>
      </c>
      <c r="CZ1677" t="s">
        <v>131</v>
      </c>
      <c r="DA1677">
        <v>300</v>
      </c>
      <c r="DB1677">
        <v>0</v>
      </c>
      <c r="DC1677" t="s">
        <v>176</v>
      </c>
      <c r="DD1677" t="s">
        <v>177</v>
      </c>
      <c r="DG1677">
        <v>5392138</v>
      </c>
      <c r="DI1677">
        <v>1</v>
      </c>
      <c r="DJ1677">
        <v>0</v>
      </c>
      <c r="DK1677">
        <v>1</v>
      </c>
      <c r="DL1677">
        <v>0</v>
      </c>
      <c r="DM1677">
        <v>0</v>
      </c>
      <c r="DN1677">
        <v>1</v>
      </c>
      <c r="DO1677">
        <v>0</v>
      </c>
      <c r="DP1677">
        <v>0</v>
      </c>
      <c r="DQ1677">
        <v>0</v>
      </c>
      <c r="DR1677">
        <v>0</v>
      </c>
      <c r="DS1677">
        <v>0</v>
      </c>
    </row>
    <row r="1678" spans="1:123" x14ac:dyDescent="0.3">
      <c r="A1678" t="str">
        <f>"10/04/2022 19:29:58.612"</f>
        <v>10/04/2022 19:29:58.612</v>
      </c>
      <c r="C1678" t="str">
        <f t="shared" si="588"/>
        <v>FFDFD3C0</v>
      </c>
      <c r="D1678" t="s">
        <v>136</v>
      </c>
      <c r="E1678">
        <v>8</v>
      </c>
      <c r="H1678">
        <v>225</v>
      </c>
      <c r="I1678" t="s">
        <v>137</v>
      </c>
      <c r="J1678" t="s">
        <v>138</v>
      </c>
      <c r="K1678">
        <v>0</v>
      </c>
      <c r="L1678">
        <v>3</v>
      </c>
      <c r="M1678">
        <v>0</v>
      </c>
      <c r="N1678">
        <v>2</v>
      </c>
      <c r="O1678">
        <v>0</v>
      </c>
      <c r="P1678">
        <v>1</v>
      </c>
      <c r="Q1678">
        <v>0</v>
      </c>
      <c r="S1678" t="str">
        <f t="shared" si="589"/>
        <v>19:29:58.000</v>
      </c>
      <c r="T1678" t="str">
        <f t="shared" si="589"/>
        <v>19:29:58.000</v>
      </c>
      <c r="U1678" t="str">
        <f t="shared" si="584"/>
        <v>AC3944</v>
      </c>
      <c r="V1678">
        <v>0</v>
      </c>
      <c r="W1678">
        <v>0</v>
      </c>
      <c r="X1678">
        <v>2</v>
      </c>
      <c r="Y1678">
        <v>0</v>
      </c>
      <c r="AA1678">
        <v>1</v>
      </c>
      <c r="AB1678">
        <v>8</v>
      </c>
      <c r="AC1678">
        <v>3</v>
      </c>
      <c r="AD1678">
        <v>0</v>
      </c>
      <c r="AE1678">
        <v>9</v>
      </c>
      <c r="AF1678" t="s">
        <v>138</v>
      </c>
      <c r="AG1678">
        <v>0</v>
      </c>
      <c r="AH1678">
        <v>3</v>
      </c>
      <c r="AI1678">
        <v>1</v>
      </c>
      <c r="AJ1678">
        <v>0</v>
      </c>
      <c r="AK1678" t="s">
        <v>614</v>
      </c>
      <c r="AL1678">
        <v>32.789340000000003</v>
      </c>
      <c r="AM1678" t="s">
        <v>615</v>
      </c>
      <c r="AN1678">
        <v>-116.869404</v>
      </c>
      <c r="AO1678">
        <v>25</v>
      </c>
      <c r="AP1678">
        <v>2700</v>
      </c>
      <c r="AQ1678" t="s">
        <v>129</v>
      </c>
      <c r="AR1678">
        <v>87</v>
      </c>
      <c r="AS1678">
        <v>-79</v>
      </c>
      <c r="AT1678">
        <v>768</v>
      </c>
      <c r="BB1678">
        <v>1200</v>
      </c>
      <c r="BC1678">
        <v>1</v>
      </c>
      <c r="BD1678" t="str">
        <f t="shared" si="585"/>
        <v xml:space="preserve">N887QR  </v>
      </c>
      <c r="BE1678">
        <v>1</v>
      </c>
      <c r="BG1678">
        <v>0</v>
      </c>
      <c r="BH1678">
        <v>0</v>
      </c>
      <c r="BI1678">
        <v>0</v>
      </c>
      <c r="BJ1678">
        <v>2450</v>
      </c>
      <c r="BK1678">
        <v>-250</v>
      </c>
      <c r="BL1678" t="s">
        <v>163</v>
      </c>
      <c r="BM1678">
        <v>1</v>
      </c>
      <c r="BN1678">
        <v>1</v>
      </c>
      <c r="BO1678">
        <v>1</v>
      </c>
      <c r="BP1678">
        <v>0</v>
      </c>
      <c r="BS1678">
        <v>0</v>
      </c>
      <c r="BT1678">
        <v>0</v>
      </c>
      <c r="BU1678">
        <v>0</v>
      </c>
      <c r="CE1678" t="str">
        <f t="shared" si="590"/>
        <v>19:29:58.235</v>
      </c>
      <c r="CF1678">
        <v>234794975</v>
      </c>
      <c r="CS1678">
        <v>3</v>
      </c>
      <c r="CT1678">
        <v>2</v>
      </c>
      <c r="CU1678">
        <v>0</v>
      </c>
      <c r="CV1678">
        <v>2</v>
      </c>
      <c r="CW1678">
        <v>0</v>
      </c>
      <c r="CX1678">
        <v>6</v>
      </c>
      <c r="CY1678">
        <v>7</v>
      </c>
      <c r="CZ1678" t="s">
        <v>131</v>
      </c>
      <c r="DA1678">
        <v>300</v>
      </c>
      <c r="DB1678">
        <v>0</v>
      </c>
      <c r="DC1678" t="s">
        <v>176</v>
      </c>
      <c r="DD1678" t="s">
        <v>177</v>
      </c>
      <c r="DG1678">
        <v>5392138</v>
      </c>
      <c r="DI1678">
        <v>1</v>
      </c>
      <c r="DJ1678">
        <v>0</v>
      </c>
      <c r="DK1678">
        <v>1</v>
      </c>
      <c r="DL1678">
        <v>0</v>
      </c>
      <c r="DM1678">
        <v>0</v>
      </c>
      <c r="DN1678">
        <v>1</v>
      </c>
      <c r="DO1678">
        <v>0</v>
      </c>
      <c r="DP1678">
        <v>0</v>
      </c>
      <c r="DQ1678">
        <v>0</v>
      </c>
      <c r="DR1678">
        <v>0</v>
      </c>
      <c r="DS1678">
        <v>0</v>
      </c>
    </row>
    <row r="1679" spans="1:123" x14ac:dyDescent="0.3">
      <c r="A1679" t="str">
        <f>"10/04/2022 19:29:58.612"</f>
        <v>10/04/2022 19:29:58.612</v>
      </c>
      <c r="C1679" t="str">
        <f t="shared" si="588"/>
        <v>FFDFD3C0</v>
      </c>
      <c r="D1679" t="s">
        <v>141</v>
      </c>
      <c r="E1679">
        <v>4</v>
      </c>
      <c r="H1679">
        <v>4</v>
      </c>
      <c r="I1679" t="s">
        <v>142</v>
      </c>
      <c r="J1679" t="s">
        <v>138</v>
      </c>
      <c r="K1679">
        <v>0</v>
      </c>
      <c r="L1679">
        <v>3</v>
      </c>
      <c r="M1679">
        <v>0</v>
      </c>
      <c r="N1679">
        <v>2</v>
      </c>
      <c r="O1679">
        <v>0</v>
      </c>
      <c r="P1679">
        <v>1</v>
      </c>
      <c r="Q1679">
        <v>0</v>
      </c>
      <c r="S1679" t="str">
        <f t="shared" si="589"/>
        <v>19:29:58.000</v>
      </c>
      <c r="T1679" t="str">
        <f t="shared" si="589"/>
        <v>19:29:58.000</v>
      </c>
      <c r="U1679" t="str">
        <f t="shared" si="584"/>
        <v>AC3944</v>
      </c>
      <c r="V1679">
        <v>0</v>
      </c>
      <c r="W1679">
        <v>0</v>
      </c>
      <c r="X1679">
        <v>2</v>
      </c>
      <c r="Y1679">
        <v>0</v>
      </c>
      <c r="AA1679">
        <v>1</v>
      </c>
      <c r="AB1679">
        <v>8</v>
      </c>
      <c r="AC1679">
        <v>3</v>
      </c>
      <c r="AD1679">
        <v>0</v>
      </c>
      <c r="AE1679">
        <v>9</v>
      </c>
      <c r="AF1679" t="s">
        <v>138</v>
      </c>
      <c r="AG1679">
        <v>0</v>
      </c>
      <c r="AH1679">
        <v>3</v>
      </c>
      <c r="AI1679">
        <v>1</v>
      </c>
      <c r="AJ1679">
        <v>0</v>
      </c>
      <c r="AK1679" t="s">
        <v>614</v>
      </c>
      <c r="AL1679">
        <v>32.789340000000003</v>
      </c>
      <c r="AM1679" t="s">
        <v>615</v>
      </c>
      <c r="AN1679">
        <v>-116.869404</v>
      </c>
      <c r="AO1679">
        <v>25</v>
      </c>
      <c r="AP1679">
        <v>2700</v>
      </c>
      <c r="AQ1679" t="s">
        <v>129</v>
      </c>
      <c r="AR1679">
        <v>87</v>
      </c>
      <c r="AS1679">
        <v>-79</v>
      </c>
      <c r="AT1679">
        <v>768</v>
      </c>
      <c r="BB1679">
        <v>1200</v>
      </c>
      <c r="BC1679">
        <v>1</v>
      </c>
      <c r="BD1679" t="str">
        <f t="shared" si="585"/>
        <v xml:space="preserve">N887QR  </v>
      </c>
      <c r="BE1679">
        <v>1</v>
      </c>
      <c r="BG1679">
        <v>0</v>
      </c>
      <c r="BH1679">
        <v>0</v>
      </c>
      <c r="BI1679">
        <v>0</v>
      </c>
      <c r="BJ1679">
        <v>2450</v>
      </c>
      <c r="BK1679">
        <v>-250</v>
      </c>
      <c r="BL1679" t="s">
        <v>163</v>
      </c>
      <c r="BM1679">
        <v>1</v>
      </c>
      <c r="BN1679">
        <v>1</v>
      </c>
      <c r="BO1679">
        <v>1</v>
      </c>
      <c r="BP1679">
        <v>0</v>
      </c>
      <c r="BS1679">
        <v>0</v>
      </c>
      <c r="BT1679">
        <v>0</v>
      </c>
      <c r="BU1679">
        <v>0</v>
      </c>
      <c r="CE1679" t="str">
        <f t="shared" si="590"/>
        <v>19:29:58.235</v>
      </c>
      <c r="CF1679">
        <v>234794975</v>
      </c>
      <c r="CS1679">
        <v>3</v>
      </c>
      <c r="CT1679">
        <v>2</v>
      </c>
      <c r="CU1679">
        <v>0</v>
      </c>
      <c r="CV1679">
        <v>2</v>
      </c>
      <c r="CW1679">
        <v>0</v>
      </c>
      <c r="CX1679">
        <v>6</v>
      </c>
      <c r="CY1679">
        <v>7</v>
      </c>
      <c r="CZ1679" t="s">
        <v>131</v>
      </c>
      <c r="DA1679">
        <v>300</v>
      </c>
      <c r="DB1679">
        <v>0</v>
      </c>
      <c r="DC1679" t="s">
        <v>176</v>
      </c>
      <c r="DD1679" t="s">
        <v>177</v>
      </c>
      <c r="DG1679">
        <v>5392138</v>
      </c>
      <c r="DI1679">
        <v>1</v>
      </c>
      <c r="DJ1679">
        <v>0</v>
      </c>
      <c r="DK1679">
        <v>1</v>
      </c>
      <c r="DL1679">
        <v>0</v>
      </c>
      <c r="DM1679">
        <v>0</v>
      </c>
      <c r="DN1679">
        <v>1</v>
      </c>
      <c r="DO1679">
        <v>0</v>
      </c>
      <c r="DP1679">
        <v>0</v>
      </c>
      <c r="DQ1679">
        <v>0</v>
      </c>
      <c r="DR1679">
        <v>0</v>
      </c>
      <c r="DS1679">
        <v>0</v>
      </c>
    </row>
    <row r="1680" spans="1:123" x14ac:dyDescent="0.3">
      <c r="A1680" t="str">
        <f>"10/04/2022 19:29:58.612"</f>
        <v>10/04/2022 19:29:58.612</v>
      </c>
      <c r="C1680" t="str">
        <f t="shared" si="588"/>
        <v>FFDFD3C0</v>
      </c>
      <c r="D1680" t="s">
        <v>143</v>
      </c>
      <c r="E1680">
        <v>20</v>
      </c>
      <c r="F1680">
        <v>1020</v>
      </c>
      <c r="G1680" t="s">
        <v>144</v>
      </c>
      <c r="J1680" t="s">
        <v>145</v>
      </c>
      <c r="K1680">
        <v>0</v>
      </c>
      <c r="L1680">
        <v>3</v>
      </c>
      <c r="M1680">
        <v>0</v>
      </c>
      <c r="N1680">
        <v>2</v>
      </c>
      <c r="O1680">
        <v>0</v>
      </c>
      <c r="P1680">
        <v>1</v>
      </c>
      <c r="Q1680">
        <v>0</v>
      </c>
      <c r="S1680" t="str">
        <f t="shared" si="589"/>
        <v>19:29:58.000</v>
      </c>
      <c r="T1680" t="str">
        <f t="shared" si="589"/>
        <v>19:29:58.000</v>
      </c>
      <c r="U1680" t="str">
        <f t="shared" si="584"/>
        <v>AC3944</v>
      </c>
      <c r="V1680">
        <v>0</v>
      </c>
      <c r="W1680">
        <v>0</v>
      </c>
      <c r="X1680">
        <v>2</v>
      </c>
      <c r="Y1680">
        <v>0</v>
      </c>
      <c r="AA1680">
        <v>1</v>
      </c>
      <c r="AB1680">
        <v>8</v>
      </c>
      <c r="AC1680">
        <v>3</v>
      </c>
      <c r="AD1680">
        <v>0</v>
      </c>
      <c r="AE1680">
        <v>9</v>
      </c>
      <c r="AF1680" t="s">
        <v>138</v>
      </c>
      <c r="AG1680">
        <v>0</v>
      </c>
      <c r="AH1680">
        <v>3</v>
      </c>
      <c r="AI1680">
        <v>1</v>
      </c>
      <c r="AJ1680">
        <v>0</v>
      </c>
      <c r="AK1680" t="s">
        <v>614</v>
      </c>
      <c r="AL1680">
        <v>32.789340000000003</v>
      </c>
      <c r="AM1680" t="s">
        <v>615</v>
      </c>
      <c r="AN1680">
        <v>-116.869404</v>
      </c>
      <c r="AO1680">
        <v>25</v>
      </c>
      <c r="AP1680">
        <v>2700</v>
      </c>
      <c r="AQ1680" t="s">
        <v>129</v>
      </c>
      <c r="AR1680">
        <v>87</v>
      </c>
      <c r="AS1680">
        <v>-79</v>
      </c>
      <c r="AT1680">
        <v>768</v>
      </c>
      <c r="BB1680">
        <v>1200</v>
      </c>
      <c r="BC1680">
        <v>1</v>
      </c>
      <c r="BD1680" t="str">
        <f t="shared" si="585"/>
        <v xml:space="preserve">N887QR  </v>
      </c>
      <c r="BE1680">
        <v>1</v>
      </c>
      <c r="BG1680">
        <v>0</v>
      </c>
      <c r="BH1680">
        <v>0</v>
      </c>
      <c r="BI1680">
        <v>0</v>
      </c>
      <c r="BJ1680">
        <v>2450</v>
      </c>
      <c r="BK1680">
        <v>-250</v>
      </c>
      <c r="BL1680" t="s">
        <v>163</v>
      </c>
      <c r="BM1680">
        <v>1</v>
      </c>
      <c r="BN1680">
        <v>1</v>
      </c>
      <c r="BO1680">
        <v>1</v>
      </c>
      <c r="BP1680">
        <v>0</v>
      </c>
      <c r="BS1680">
        <v>0</v>
      </c>
      <c r="BT1680">
        <v>0</v>
      </c>
      <c r="BU1680">
        <v>0</v>
      </c>
      <c r="CE1680" t="str">
        <f t="shared" si="590"/>
        <v>19:29:58.235</v>
      </c>
      <c r="CF1680">
        <v>234794975</v>
      </c>
      <c r="CS1680">
        <v>3</v>
      </c>
      <c r="CT1680">
        <v>2</v>
      </c>
      <c r="CU1680">
        <v>0</v>
      </c>
      <c r="CV1680">
        <v>2</v>
      </c>
      <c r="CW1680">
        <v>0</v>
      </c>
      <c r="CX1680">
        <v>6</v>
      </c>
      <c r="CY1680">
        <v>7</v>
      </c>
      <c r="CZ1680" t="s">
        <v>131</v>
      </c>
      <c r="DA1680">
        <v>300</v>
      </c>
      <c r="DB1680">
        <v>0</v>
      </c>
      <c r="DC1680" t="s">
        <v>176</v>
      </c>
      <c r="DD1680" t="s">
        <v>177</v>
      </c>
      <c r="DG1680">
        <v>5392138</v>
      </c>
      <c r="DI1680">
        <v>1</v>
      </c>
      <c r="DJ1680">
        <v>0</v>
      </c>
      <c r="DK1680">
        <v>1</v>
      </c>
      <c r="DL1680">
        <v>0</v>
      </c>
      <c r="DM1680">
        <v>0</v>
      </c>
      <c r="DN1680">
        <v>1</v>
      </c>
      <c r="DO1680">
        <v>0</v>
      </c>
      <c r="DP1680">
        <v>0</v>
      </c>
      <c r="DQ1680">
        <v>0</v>
      </c>
      <c r="DR1680">
        <v>0</v>
      </c>
      <c r="DS1680">
        <v>0</v>
      </c>
    </row>
    <row r="1681" spans="1:123" x14ac:dyDescent="0.3">
      <c r="A1681" t="str">
        <f>"10/04/2022 19:29:58.612"</f>
        <v>10/04/2022 19:29:58.612</v>
      </c>
      <c r="C1681" t="str">
        <f t="shared" si="588"/>
        <v>FFDFD3C0</v>
      </c>
      <c r="D1681" t="s">
        <v>123</v>
      </c>
      <c r="E1681">
        <v>7</v>
      </c>
      <c r="F1681">
        <v>2007</v>
      </c>
      <c r="G1681" t="s">
        <v>124</v>
      </c>
      <c r="J1681" t="s">
        <v>125</v>
      </c>
      <c r="K1681">
        <v>0</v>
      </c>
      <c r="L1681">
        <v>3</v>
      </c>
      <c r="M1681">
        <v>0</v>
      </c>
      <c r="N1681">
        <v>2</v>
      </c>
      <c r="O1681">
        <v>0</v>
      </c>
      <c r="P1681">
        <v>1</v>
      </c>
      <c r="Q1681">
        <v>0</v>
      </c>
      <c r="S1681" t="str">
        <f t="shared" si="589"/>
        <v>19:29:58.000</v>
      </c>
      <c r="T1681" t="str">
        <f t="shared" si="589"/>
        <v>19:29:58.000</v>
      </c>
      <c r="U1681" t="str">
        <f t="shared" si="584"/>
        <v>AC3944</v>
      </c>
      <c r="V1681">
        <v>0</v>
      </c>
      <c r="W1681">
        <v>0</v>
      </c>
      <c r="X1681">
        <v>2</v>
      </c>
      <c r="Y1681">
        <v>0</v>
      </c>
      <c r="AA1681">
        <v>1</v>
      </c>
      <c r="AB1681">
        <v>8</v>
      </c>
      <c r="AC1681">
        <v>3</v>
      </c>
      <c r="AD1681">
        <v>0</v>
      </c>
      <c r="AE1681">
        <v>9</v>
      </c>
      <c r="AF1681" t="s">
        <v>138</v>
      </c>
      <c r="AG1681">
        <v>0</v>
      </c>
      <c r="AH1681">
        <v>3</v>
      </c>
      <c r="AI1681">
        <v>1</v>
      </c>
      <c r="AJ1681">
        <v>0</v>
      </c>
      <c r="AK1681" t="s">
        <v>614</v>
      </c>
      <c r="AL1681">
        <v>32.789340000000003</v>
      </c>
      <c r="AM1681" t="s">
        <v>615</v>
      </c>
      <c r="AN1681">
        <v>-116.869404</v>
      </c>
      <c r="AO1681">
        <v>25</v>
      </c>
      <c r="AP1681">
        <v>2700</v>
      </c>
      <c r="AQ1681" t="s">
        <v>129</v>
      </c>
      <c r="AR1681">
        <v>87</v>
      </c>
      <c r="AS1681">
        <v>-79</v>
      </c>
      <c r="AT1681">
        <v>768</v>
      </c>
      <c r="BB1681">
        <v>1200</v>
      </c>
      <c r="BC1681">
        <v>1</v>
      </c>
      <c r="BD1681" t="str">
        <f t="shared" si="585"/>
        <v xml:space="preserve">N887QR  </v>
      </c>
      <c r="BE1681">
        <v>1</v>
      </c>
      <c r="BG1681">
        <v>0</v>
      </c>
      <c r="BH1681">
        <v>0</v>
      </c>
      <c r="BI1681">
        <v>0</v>
      </c>
      <c r="BJ1681">
        <v>2450</v>
      </c>
      <c r="BK1681">
        <v>-250</v>
      </c>
      <c r="BL1681" t="s">
        <v>163</v>
      </c>
      <c r="BM1681">
        <v>1</v>
      </c>
      <c r="BN1681">
        <v>1</v>
      </c>
      <c r="BO1681">
        <v>1</v>
      </c>
      <c r="BP1681">
        <v>0</v>
      </c>
      <c r="BS1681">
        <v>0</v>
      </c>
      <c r="BT1681">
        <v>0</v>
      </c>
      <c r="BU1681">
        <v>0</v>
      </c>
      <c r="CE1681" t="str">
        <f t="shared" si="590"/>
        <v>19:29:58.235</v>
      </c>
      <c r="CF1681">
        <v>234794975</v>
      </c>
      <c r="CS1681">
        <v>3</v>
      </c>
      <c r="CT1681">
        <v>2</v>
      </c>
      <c r="CU1681">
        <v>0</v>
      </c>
      <c r="CV1681">
        <v>2</v>
      </c>
      <c r="CW1681">
        <v>0</v>
      </c>
      <c r="CX1681">
        <v>6</v>
      </c>
      <c r="CY1681">
        <v>7</v>
      </c>
      <c r="CZ1681" t="s">
        <v>131</v>
      </c>
      <c r="DA1681">
        <v>300</v>
      </c>
      <c r="DB1681">
        <v>0</v>
      </c>
      <c r="DC1681" t="s">
        <v>176</v>
      </c>
      <c r="DD1681" t="s">
        <v>177</v>
      </c>
      <c r="DG1681">
        <v>5392138</v>
      </c>
      <c r="DI1681">
        <v>1</v>
      </c>
      <c r="DJ1681">
        <v>0</v>
      </c>
      <c r="DK1681">
        <v>1</v>
      </c>
      <c r="DL1681">
        <v>0</v>
      </c>
      <c r="DM1681">
        <v>0</v>
      </c>
      <c r="DN1681">
        <v>1</v>
      </c>
      <c r="DO1681">
        <v>0</v>
      </c>
      <c r="DP1681">
        <v>0</v>
      </c>
      <c r="DQ1681">
        <v>0</v>
      </c>
      <c r="DR1681">
        <v>0</v>
      </c>
      <c r="DS1681">
        <v>0</v>
      </c>
    </row>
    <row r="1682" spans="1:123" x14ac:dyDescent="0.3">
      <c r="A1682" t="str">
        <f>"10/04/2022 19:29:59.752"</f>
        <v>10/04/2022 19:29:59.752</v>
      </c>
      <c r="C1682" t="str">
        <f t="shared" si="588"/>
        <v>FFDFD3C0</v>
      </c>
      <c r="D1682" t="s">
        <v>143</v>
      </c>
      <c r="E1682">
        <v>20</v>
      </c>
      <c r="F1682">
        <v>1020</v>
      </c>
      <c r="G1682" t="s">
        <v>144</v>
      </c>
      <c r="J1682" t="s">
        <v>145</v>
      </c>
      <c r="K1682">
        <v>0</v>
      </c>
      <c r="L1682">
        <v>3</v>
      </c>
      <c r="M1682">
        <v>0</v>
      </c>
      <c r="N1682">
        <v>2</v>
      </c>
      <c r="O1682">
        <v>0</v>
      </c>
      <c r="P1682">
        <v>1</v>
      </c>
      <c r="Q1682">
        <v>0</v>
      </c>
      <c r="S1682" t="str">
        <f t="shared" ref="S1682:T1688" si="591">"19:29:59.000"</f>
        <v>19:29:59.000</v>
      </c>
      <c r="T1682" t="str">
        <f t="shared" si="591"/>
        <v>19:29:59.000</v>
      </c>
      <c r="U1682" t="str">
        <f t="shared" si="584"/>
        <v>AC3944</v>
      </c>
      <c r="V1682">
        <v>0</v>
      </c>
      <c r="W1682">
        <v>0</v>
      </c>
      <c r="X1682">
        <v>2</v>
      </c>
      <c r="Y1682">
        <v>0</v>
      </c>
      <c r="AA1682">
        <v>1</v>
      </c>
      <c r="AB1682">
        <v>8</v>
      </c>
      <c r="AC1682">
        <v>3</v>
      </c>
      <c r="AD1682">
        <v>0</v>
      </c>
      <c r="AE1682">
        <v>9</v>
      </c>
      <c r="AF1682" t="s">
        <v>138</v>
      </c>
      <c r="AG1682">
        <v>0</v>
      </c>
      <c r="AH1682">
        <v>3</v>
      </c>
      <c r="AI1682">
        <v>1</v>
      </c>
      <c r="AJ1682">
        <v>0</v>
      </c>
      <c r="AK1682" t="s">
        <v>616</v>
      </c>
      <c r="AL1682">
        <v>32.788975000000001</v>
      </c>
      <c r="AM1682" t="s">
        <v>617</v>
      </c>
      <c r="AN1682">
        <v>-116.868911</v>
      </c>
      <c r="AO1682">
        <v>25</v>
      </c>
      <c r="AP1682">
        <v>2800</v>
      </c>
      <c r="AQ1682" t="s">
        <v>129</v>
      </c>
      <c r="AR1682">
        <v>86</v>
      </c>
      <c r="AS1682">
        <v>-79</v>
      </c>
      <c r="AT1682">
        <v>768</v>
      </c>
      <c r="BB1682">
        <v>1200</v>
      </c>
      <c r="BC1682">
        <v>1</v>
      </c>
      <c r="BD1682" t="str">
        <f t="shared" si="585"/>
        <v xml:space="preserve">N887QR  </v>
      </c>
      <c r="BE1682">
        <v>1</v>
      </c>
      <c r="BG1682">
        <v>0</v>
      </c>
      <c r="BH1682">
        <v>0</v>
      </c>
      <c r="BI1682">
        <v>0</v>
      </c>
      <c r="BJ1682">
        <v>2475</v>
      </c>
      <c r="BK1682">
        <v>-325</v>
      </c>
      <c r="BL1682" t="s">
        <v>163</v>
      </c>
      <c r="BM1682">
        <v>1</v>
      </c>
      <c r="BN1682">
        <v>1</v>
      </c>
      <c r="BO1682">
        <v>1</v>
      </c>
      <c r="BP1682">
        <v>0</v>
      </c>
      <c r="BS1682">
        <v>0</v>
      </c>
      <c r="BT1682">
        <v>0</v>
      </c>
      <c r="BU1682">
        <v>0</v>
      </c>
      <c r="CE1682" t="str">
        <f t="shared" ref="CE1682:CE1688" si="592">"19:29:59.502"</f>
        <v>19:29:59.502</v>
      </c>
      <c r="CF1682">
        <v>502049234</v>
      </c>
      <c r="CS1682">
        <v>3</v>
      </c>
      <c r="CT1682">
        <v>2</v>
      </c>
      <c r="CU1682">
        <v>0</v>
      </c>
      <c r="CV1682">
        <v>2</v>
      </c>
      <c r="CW1682">
        <v>0</v>
      </c>
      <c r="CX1682">
        <v>6</v>
      </c>
      <c r="CY1682">
        <v>7</v>
      </c>
      <c r="CZ1682" t="s">
        <v>131</v>
      </c>
      <c r="DA1682">
        <v>300</v>
      </c>
      <c r="DB1682">
        <v>0</v>
      </c>
      <c r="DC1682" t="s">
        <v>176</v>
      </c>
      <c r="DD1682" t="s">
        <v>177</v>
      </c>
      <c r="DG1682">
        <v>5392364</v>
      </c>
      <c r="DI1682">
        <v>1</v>
      </c>
      <c r="DJ1682">
        <v>0</v>
      </c>
      <c r="DK1682">
        <v>0</v>
      </c>
      <c r="DL1682">
        <v>0</v>
      </c>
      <c r="DM1682">
        <v>0</v>
      </c>
      <c r="DN1682">
        <v>1</v>
      </c>
      <c r="DO1682">
        <v>0</v>
      </c>
      <c r="DP1682">
        <v>0</v>
      </c>
      <c r="DQ1682">
        <v>0</v>
      </c>
      <c r="DR1682">
        <v>0</v>
      </c>
      <c r="DS1682">
        <v>0</v>
      </c>
    </row>
    <row r="1683" spans="1:123" x14ac:dyDescent="0.3">
      <c r="A1683" t="str">
        <f>"10/04/2022 19:29:59.752"</f>
        <v>10/04/2022 19:29:59.752</v>
      </c>
      <c r="C1683" t="str">
        <f t="shared" si="588"/>
        <v>FFDFD3C0</v>
      </c>
      <c r="D1683" t="s">
        <v>123</v>
      </c>
      <c r="E1683">
        <v>7</v>
      </c>
      <c r="F1683">
        <v>2007</v>
      </c>
      <c r="G1683" t="s">
        <v>124</v>
      </c>
      <c r="J1683" t="s">
        <v>125</v>
      </c>
      <c r="K1683">
        <v>0</v>
      </c>
      <c r="L1683">
        <v>3</v>
      </c>
      <c r="M1683">
        <v>0</v>
      </c>
      <c r="N1683">
        <v>2</v>
      </c>
      <c r="O1683">
        <v>0</v>
      </c>
      <c r="P1683">
        <v>1</v>
      </c>
      <c r="Q1683">
        <v>0</v>
      </c>
      <c r="S1683" t="str">
        <f t="shared" si="591"/>
        <v>19:29:59.000</v>
      </c>
      <c r="T1683" t="str">
        <f t="shared" si="591"/>
        <v>19:29:59.000</v>
      </c>
      <c r="U1683" t="str">
        <f t="shared" si="584"/>
        <v>AC3944</v>
      </c>
      <c r="V1683">
        <v>0</v>
      </c>
      <c r="W1683">
        <v>0</v>
      </c>
      <c r="X1683">
        <v>2</v>
      </c>
      <c r="Y1683">
        <v>0</v>
      </c>
      <c r="AA1683">
        <v>1</v>
      </c>
      <c r="AB1683">
        <v>8</v>
      </c>
      <c r="AC1683">
        <v>3</v>
      </c>
      <c r="AD1683">
        <v>0</v>
      </c>
      <c r="AE1683">
        <v>9</v>
      </c>
      <c r="AF1683" t="s">
        <v>138</v>
      </c>
      <c r="AG1683">
        <v>0</v>
      </c>
      <c r="AH1683">
        <v>3</v>
      </c>
      <c r="AI1683">
        <v>1</v>
      </c>
      <c r="AJ1683">
        <v>0</v>
      </c>
      <c r="AK1683" t="s">
        <v>616</v>
      </c>
      <c r="AL1683">
        <v>32.788975000000001</v>
      </c>
      <c r="AM1683" t="s">
        <v>617</v>
      </c>
      <c r="AN1683">
        <v>-116.868911</v>
      </c>
      <c r="AO1683">
        <v>25</v>
      </c>
      <c r="AP1683">
        <v>2800</v>
      </c>
      <c r="AQ1683" t="s">
        <v>129</v>
      </c>
      <c r="AR1683">
        <v>86</v>
      </c>
      <c r="AS1683">
        <v>-79</v>
      </c>
      <c r="AT1683">
        <v>768</v>
      </c>
      <c r="BB1683">
        <v>1200</v>
      </c>
      <c r="BC1683">
        <v>1</v>
      </c>
      <c r="BD1683" t="str">
        <f t="shared" si="585"/>
        <v xml:space="preserve">N887QR  </v>
      </c>
      <c r="BE1683">
        <v>1</v>
      </c>
      <c r="BG1683">
        <v>0</v>
      </c>
      <c r="BH1683">
        <v>0</v>
      </c>
      <c r="BI1683">
        <v>0</v>
      </c>
      <c r="BJ1683">
        <v>2475</v>
      </c>
      <c r="BK1683">
        <v>-325</v>
      </c>
      <c r="BL1683" t="s">
        <v>163</v>
      </c>
      <c r="BM1683">
        <v>1</v>
      </c>
      <c r="BN1683">
        <v>1</v>
      </c>
      <c r="BO1683">
        <v>1</v>
      </c>
      <c r="BP1683">
        <v>0</v>
      </c>
      <c r="BS1683">
        <v>0</v>
      </c>
      <c r="BT1683">
        <v>0</v>
      </c>
      <c r="BU1683">
        <v>0</v>
      </c>
      <c r="CE1683" t="str">
        <f t="shared" si="592"/>
        <v>19:29:59.502</v>
      </c>
      <c r="CF1683">
        <v>502049234</v>
      </c>
      <c r="CS1683">
        <v>3</v>
      </c>
      <c r="CT1683">
        <v>2</v>
      </c>
      <c r="CU1683">
        <v>0</v>
      </c>
      <c r="CV1683">
        <v>2</v>
      </c>
      <c r="CW1683">
        <v>0</v>
      </c>
      <c r="CX1683">
        <v>6</v>
      </c>
      <c r="CY1683">
        <v>7</v>
      </c>
      <c r="CZ1683" t="s">
        <v>131</v>
      </c>
      <c r="DA1683">
        <v>300</v>
      </c>
      <c r="DB1683">
        <v>0</v>
      </c>
      <c r="DC1683" t="s">
        <v>176</v>
      </c>
      <c r="DD1683" t="s">
        <v>177</v>
      </c>
      <c r="DG1683">
        <v>5392364</v>
      </c>
      <c r="DI1683">
        <v>1</v>
      </c>
      <c r="DJ1683">
        <v>0</v>
      </c>
      <c r="DK1683">
        <v>1</v>
      </c>
      <c r="DL1683">
        <v>0</v>
      </c>
      <c r="DM1683">
        <v>0</v>
      </c>
      <c r="DN1683">
        <v>1</v>
      </c>
      <c r="DO1683">
        <v>0</v>
      </c>
      <c r="DP1683">
        <v>0</v>
      </c>
      <c r="DQ1683">
        <v>0</v>
      </c>
      <c r="DR1683">
        <v>0</v>
      </c>
      <c r="DS1683">
        <v>0</v>
      </c>
    </row>
    <row r="1684" spans="1:123" x14ac:dyDescent="0.3">
      <c r="A1684" t="str">
        <f>"10/04/2022 19:29:59.752"</f>
        <v>10/04/2022 19:29:59.752</v>
      </c>
      <c r="C1684" t="str">
        <f t="shared" si="588"/>
        <v>FFDFD3C0</v>
      </c>
      <c r="D1684" t="s">
        <v>147</v>
      </c>
      <c r="E1684">
        <v>3</v>
      </c>
      <c r="H1684">
        <v>166</v>
      </c>
      <c r="I1684" t="s">
        <v>144</v>
      </c>
      <c r="J1684" t="s">
        <v>148</v>
      </c>
      <c r="K1684">
        <v>0</v>
      </c>
      <c r="L1684">
        <v>3</v>
      </c>
      <c r="M1684">
        <v>0</v>
      </c>
      <c r="N1684">
        <v>2</v>
      </c>
      <c r="O1684">
        <v>0</v>
      </c>
      <c r="P1684">
        <v>1</v>
      </c>
      <c r="Q1684">
        <v>0</v>
      </c>
      <c r="S1684" t="str">
        <f t="shared" si="591"/>
        <v>19:29:59.000</v>
      </c>
      <c r="T1684" t="str">
        <f t="shared" si="591"/>
        <v>19:29:59.000</v>
      </c>
      <c r="U1684" t="str">
        <f t="shared" si="584"/>
        <v>AC3944</v>
      </c>
      <c r="V1684">
        <v>0</v>
      </c>
      <c r="W1684">
        <v>0</v>
      </c>
      <c r="X1684">
        <v>2</v>
      </c>
      <c r="Y1684">
        <v>0</v>
      </c>
      <c r="AA1684">
        <v>1</v>
      </c>
      <c r="AB1684">
        <v>8</v>
      </c>
      <c r="AC1684">
        <v>3</v>
      </c>
      <c r="AD1684">
        <v>0</v>
      </c>
      <c r="AE1684">
        <v>9</v>
      </c>
      <c r="AF1684" t="s">
        <v>138</v>
      </c>
      <c r="AG1684">
        <v>0</v>
      </c>
      <c r="AH1684">
        <v>3</v>
      </c>
      <c r="AI1684">
        <v>1</v>
      </c>
      <c r="AJ1684">
        <v>0</v>
      </c>
      <c r="AK1684" t="s">
        <v>616</v>
      </c>
      <c r="AL1684">
        <v>32.788975000000001</v>
      </c>
      <c r="AM1684" t="s">
        <v>617</v>
      </c>
      <c r="AN1684">
        <v>-116.868911</v>
      </c>
      <c r="AO1684">
        <v>25</v>
      </c>
      <c r="AP1684">
        <v>2800</v>
      </c>
      <c r="AQ1684" t="s">
        <v>129</v>
      </c>
      <c r="AR1684">
        <v>86</v>
      </c>
      <c r="AS1684">
        <v>-79</v>
      </c>
      <c r="AT1684">
        <v>768</v>
      </c>
      <c r="BB1684">
        <v>1200</v>
      </c>
      <c r="BC1684">
        <v>1</v>
      </c>
      <c r="BD1684" t="str">
        <f t="shared" si="585"/>
        <v xml:space="preserve">N887QR  </v>
      </c>
      <c r="BE1684">
        <v>1</v>
      </c>
      <c r="BG1684">
        <v>0</v>
      </c>
      <c r="BH1684">
        <v>0</v>
      </c>
      <c r="BI1684">
        <v>0</v>
      </c>
      <c r="BJ1684">
        <v>2475</v>
      </c>
      <c r="BK1684">
        <v>-325</v>
      </c>
      <c r="BL1684" t="s">
        <v>163</v>
      </c>
      <c r="BM1684">
        <v>1</v>
      </c>
      <c r="BN1684">
        <v>1</v>
      </c>
      <c r="BO1684">
        <v>1</v>
      </c>
      <c r="BP1684">
        <v>0</v>
      </c>
      <c r="BS1684">
        <v>0</v>
      </c>
      <c r="BT1684">
        <v>0</v>
      </c>
      <c r="BU1684">
        <v>0</v>
      </c>
      <c r="CE1684" t="str">
        <f t="shared" si="592"/>
        <v>19:29:59.502</v>
      </c>
      <c r="CF1684">
        <v>502049234</v>
      </c>
      <c r="CS1684">
        <v>3</v>
      </c>
      <c r="CT1684">
        <v>2</v>
      </c>
      <c r="CU1684">
        <v>0</v>
      </c>
      <c r="CV1684">
        <v>2</v>
      </c>
      <c r="CW1684">
        <v>0</v>
      </c>
      <c r="CX1684">
        <v>6</v>
      </c>
      <c r="CY1684">
        <v>7</v>
      </c>
      <c r="CZ1684" t="s">
        <v>131</v>
      </c>
      <c r="DA1684">
        <v>300</v>
      </c>
      <c r="DB1684">
        <v>0</v>
      </c>
      <c r="DC1684" t="s">
        <v>176</v>
      </c>
      <c r="DD1684" t="s">
        <v>177</v>
      </c>
      <c r="DG1684">
        <v>5392364</v>
      </c>
      <c r="DI1684">
        <v>1</v>
      </c>
      <c r="DJ1684">
        <v>0</v>
      </c>
      <c r="DK1684">
        <v>1</v>
      </c>
      <c r="DL1684">
        <v>0</v>
      </c>
      <c r="DM1684">
        <v>0</v>
      </c>
      <c r="DN1684">
        <v>1</v>
      </c>
      <c r="DO1684">
        <v>0</v>
      </c>
      <c r="DP1684">
        <v>0</v>
      </c>
      <c r="DQ1684">
        <v>0</v>
      </c>
      <c r="DR1684">
        <v>0</v>
      </c>
      <c r="DS1684">
        <v>0</v>
      </c>
    </row>
    <row r="1685" spans="1:123" x14ac:dyDescent="0.3">
      <c r="A1685" t="str">
        <f>"10/04/2022 19:29:59.752"</f>
        <v>10/04/2022 19:29:59.752</v>
      </c>
      <c r="C1685" t="str">
        <f t="shared" si="588"/>
        <v>FFDFD3C0</v>
      </c>
      <c r="D1685" t="s">
        <v>141</v>
      </c>
      <c r="E1685">
        <v>3</v>
      </c>
      <c r="H1685">
        <v>3</v>
      </c>
      <c r="I1685" t="s">
        <v>146</v>
      </c>
      <c r="J1685" t="s">
        <v>138</v>
      </c>
      <c r="K1685">
        <v>0</v>
      </c>
      <c r="L1685">
        <v>3</v>
      </c>
      <c r="M1685">
        <v>0</v>
      </c>
      <c r="N1685">
        <v>2</v>
      </c>
      <c r="O1685">
        <v>0</v>
      </c>
      <c r="P1685">
        <v>1</v>
      </c>
      <c r="Q1685">
        <v>0</v>
      </c>
      <c r="S1685" t="str">
        <f t="shared" si="591"/>
        <v>19:29:59.000</v>
      </c>
      <c r="T1685" t="str">
        <f t="shared" si="591"/>
        <v>19:29:59.000</v>
      </c>
      <c r="U1685" t="str">
        <f t="shared" si="584"/>
        <v>AC3944</v>
      </c>
      <c r="V1685">
        <v>0</v>
      </c>
      <c r="W1685">
        <v>0</v>
      </c>
      <c r="X1685">
        <v>2</v>
      </c>
      <c r="Y1685">
        <v>0</v>
      </c>
      <c r="AA1685">
        <v>1</v>
      </c>
      <c r="AB1685">
        <v>8</v>
      </c>
      <c r="AC1685">
        <v>3</v>
      </c>
      <c r="AD1685">
        <v>0</v>
      </c>
      <c r="AE1685">
        <v>9</v>
      </c>
      <c r="AF1685" t="s">
        <v>138</v>
      </c>
      <c r="AG1685">
        <v>0</v>
      </c>
      <c r="AH1685">
        <v>3</v>
      </c>
      <c r="AI1685">
        <v>1</v>
      </c>
      <c r="AJ1685">
        <v>0</v>
      </c>
      <c r="AK1685" t="s">
        <v>616</v>
      </c>
      <c r="AL1685">
        <v>32.788975000000001</v>
      </c>
      <c r="AM1685" t="s">
        <v>617</v>
      </c>
      <c r="AN1685">
        <v>-116.868911</v>
      </c>
      <c r="AO1685">
        <v>25</v>
      </c>
      <c r="AP1685">
        <v>2800</v>
      </c>
      <c r="AQ1685" t="s">
        <v>129</v>
      </c>
      <c r="AR1685">
        <v>86</v>
      </c>
      <c r="AS1685">
        <v>-79</v>
      </c>
      <c r="AT1685">
        <v>768</v>
      </c>
      <c r="BB1685">
        <v>1200</v>
      </c>
      <c r="BC1685">
        <v>1</v>
      </c>
      <c r="BD1685" t="str">
        <f t="shared" si="585"/>
        <v xml:space="preserve">N887QR  </v>
      </c>
      <c r="BE1685">
        <v>1</v>
      </c>
      <c r="BG1685">
        <v>0</v>
      </c>
      <c r="BH1685">
        <v>0</v>
      </c>
      <c r="BI1685">
        <v>0</v>
      </c>
      <c r="BJ1685">
        <v>2475</v>
      </c>
      <c r="BK1685">
        <v>-325</v>
      </c>
      <c r="BL1685" t="s">
        <v>163</v>
      </c>
      <c r="BM1685">
        <v>1</v>
      </c>
      <c r="BN1685">
        <v>1</v>
      </c>
      <c r="BO1685">
        <v>1</v>
      </c>
      <c r="BP1685">
        <v>0</v>
      </c>
      <c r="BS1685">
        <v>0</v>
      </c>
      <c r="BT1685">
        <v>0</v>
      </c>
      <c r="BU1685">
        <v>0</v>
      </c>
      <c r="CE1685" t="str">
        <f t="shared" si="592"/>
        <v>19:29:59.502</v>
      </c>
      <c r="CF1685">
        <v>502049234</v>
      </c>
      <c r="CS1685">
        <v>3</v>
      </c>
      <c r="CT1685">
        <v>2</v>
      </c>
      <c r="CU1685">
        <v>0</v>
      </c>
      <c r="CV1685">
        <v>2</v>
      </c>
      <c r="CW1685">
        <v>0</v>
      </c>
      <c r="CX1685">
        <v>6</v>
      </c>
      <c r="CY1685">
        <v>7</v>
      </c>
      <c r="CZ1685" t="s">
        <v>131</v>
      </c>
      <c r="DA1685">
        <v>300</v>
      </c>
      <c r="DB1685">
        <v>0</v>
      </c>
      <c r="DC1685" t="s">
        <v>176</v>
      </c>
      <c r="DD1685" t="s">
        <v>177</v>
      </c>
      <c r="DG1685">
        <v>5392364</v>
      </c>
      <c r="DI1685">
        <v>1</v>
      </c>
      <c r="DJ1685">
        <v>0</v>
      </c>
      <c r="DK1685">
        <v>1</v>
      </c>
      <c r="DL1685">
        <v>0</v>
      </c>
      <c r="DM1685">
        <v>0</v>
      </c>
      <c r="DN1685">
        <v>1</v>
      </c>
      <c r="DO1685">
        <v>0</v>
      </c>
      <c r="DP1685">
        <v>0</v>
      </c>
      <c r="DQ1685">
        <v>0</v>
      </c>
      <c r="DR1685">
        <v>0</v>
      </c>
      <c r="DS1685">
        <v>0</v>
      </c>
    </row>
    <row r="1686" spans="1:123" x14ac:dyDescent="0.3">
      <c r="A1686" t="str">
        <f>"10/04/2022 19:29:59.752"</f>
        <v>10/04/2022 19:29:59.752</v>
      </c>
      <c r="C1686" t="str">
        <f t="shared" si="588"/>
        <v>FFDFD3C0</v>
      </c>
      <c r="D1686" t="s">
        <v>134</v>
      </c>
      <c r="E1686">
        <v>15</v>
      </c>
      <c r="J1686" t="s">
        <v>135</v>
      </c>
      <c r="K1686">
        <v>0</v>
      </c>
      <c r="L1686">
        <v>3</v>
      </c>
      <c r="M1686">
        <v>0</v>
      </c>
      <c r="N1686">
        <v>2</v>
      </c>
      <c r="O1686">
        <v>0</v>
      </c>
      <c r="P1686">
        <v>1</v>
      </c>
      <c r="Q1686">
        <v>0</v>
      </c>
      <c r="S1686" t="str">
        <f t="shared" si="591"/>
        <v>19:29:59.000</v>
      </c>
      <c r="T1686" t="str">
        <f t="shared" si="591"/>
        <v>19:29:59.000</v>
      </c>
      <c r="U1686" t="str">
        <f t="shared" si="584"/>
        <v>AC3944</v>
      </c>
      <c r="V1686">
        <v>0</v>
      </c>
      <c r="W1686">
        <v>0</v>
      </c>
      <c r="X1686">
        <v>2</v>
      </c>
      <c r="Y1686">
        <v>0</v>
      </c>
      <c r="AA1686">
        <v>1</v>
      </c>
      <c r="AB1686">
        <v>8</v>
      </c>
      <c r="AC1686">
        <v>3</v>
      </c>
      <c r="AD1686">
        <v>0</v>
      </c>
      <c r="AE1686">
        <v>9</v>
      </c>
      <c r="AF1686" t="s">
        <v>138</v>
      </c>
      <c r="AG1686">
        <v>0</v>
      </c>
      <c r="AH1686">
        <v>3</v>
      </c>
      <c r="AI1686">
        <v>1</v>
      </c>
      <c r="AJ1686">
        <v>0</v>
      </c>
      <c r="AK1686" t="s">
        <v>616</v>
      </c>
      <c r="AL1686">
        <v>32.788975000000001</v>
      </c>
      <c r="AM1686" t="s">
        <v>617</v>
      </c>
      <c r="AN1686">
        <v>-116.868911</v>
      </c>
      <c r="AO1686">
        <v>25</v>
      </c>
      <c r="AP1686">
        <v>2800</v>
      </c>
      <c r="AQ1686" t="s">
        <v>129</v>
      </c>
      <c r="AR1686">
        <v>86</v>
      </c>
      <c r="AS1686">
        <v>-79</v>
      </c>
      <c r="AT1686">
        <v>768</v>
      </c>
      <c r="BB1686">
        <v>1200</v>
      </c>
      <c r="BC1686">
        <v>1</v>
      </c>
      <c r="BD1686" t="str">
        <f t="shared" si="585"/>
        <v xml:space="preserve">N887QR  </v>
      </c>
      <c r="BE1686">
        <v>1</v>
      </c>
      <c r="BG1686">
        <v>0</v>
      </c>
      <c r="BH1686">
        <v>0</v>
      </c>
      <c r="BI1686">
        <v>0</v>
      </c>
      <c r="BJ1686">
        <v>2475</v>
      </c>
      <c r="BK1686">
        <v>-325</v>
      </c>
      <c r="BL1686" t="s">
        <v>163</v>
      </c>
      <c r="BM1686">
        <v>1</v>
      </c>
      <c r="BN1686">
        <v>1</v>
      </c>
      <c r="BO1686">
        <v>1</v>
      </c>
      <c r="BP1686">
        <v>0</v>
      </c>
      <c r="BS1686">
        <v>0</v>
      </c>
      <c r="BT1686">
        <v>0</v>
      </c>
      <c r="BU1686">
        <v>0</v>
      </c>
      <c r="CE1686" t="str">
        <f t="shared" si="592"/>
        <v>19:29:59.502</v>
      </c>
      <c r="CF1686">
        <v>502049234</v>
      </c>
      <c r="CS1686">
        <v>3</v>
      </c>
      <c r="CT1686">
        <v>2</v>
      </c>
      <c r="CU1686">
        <v>0</v>
      </c>
      <c r="CV1686">
        <v>2</v>
      </c>
      <c r="CW1686">
        <v>0</v>
      </c>
      <c r="CX1686">
        <v>6</v>
      </c>
      <c r="CY1686">
        <v>7</v>
      </c>
      <c r="CZ1686" t="s">
        <v>131</v>
      </c>
      <c r="DA1686">
        <v>300</v>
      </c>
      <c r="DB1686">
        <v>0</v>
      </c>
      <c r="DC1686" t="s">
        <v>176</v>
      </c>
      <c r="DD1686" t="s">
        <v>177</v>
      </c>
      <c r="DG1686">
        <v>5392364</v>
      </c>
      <c r="DI1686">
        <v>1</v>
      </c>
      <c r="DJ1686">
        <v>0</v>
      </c>
      <c r="DK1686">
        <v>0</v>
      </c>
      <c r="DL1686">
        <v>0</v>
      </c>
      <c r="DM1686">
        <v>0</v>
      </c>
      <c r="DN1686">
        <v>1</v>
      </c>
      <c r="DO1686">
        <v>0</v>
      </c>
      <c r="DP1686">
        <v>0</v>
      </c>
      <c r="DQ1686">
        <v>0</v>
      </c>
      <c r="DR1686">
        <v>0</v>
      </c>
      <c r="DS1686">
        <v>0</v>
      </c>
    </row>
    <row r="1687" spans="1:123" x14ac:dyDescent="0.3">
      <c r="A1687" t="str">
        <f>"10/04/2022 19:29:59.800"</f>
        <v>10/04/2022 19:29:59.800</v>
      </c>
      <c r="C1687" t="str">
        <f t="shared" si="588"/>
        <v>FFDFD3C0</v>
      </c>
      <c r="D1687" t="s">
        <v>136</v>
      </c>
      <c r="E1687">
        <v>8</v>
      </c>
      <c r="H1687">
        <v>225</v>
      </c>
      <c r="I1687" t="s">
        <v>137</v>
      </c>
      <c r="J1687" t="s">
        <v>138</v>
      </c>
      <c r="K1687">
        <v>0</v>
      </c>
      <c r="L1687">
        <v>3</v>
      </c>
      <c r="M1687">
        <v>0</v>
      </c>
      <c r="N1687">
        <v>2</v>
      </c>
      <c r="O1687">
        <v>0</v>
      </c>
      <c r="P1687">
        <v>1</v>
      </c>
      <c r="Q1687">
        <v>0</v>
      </c>
      <c r="S1687" t="str">
        <f t="shared" si="591"/>
        <v>19:29:59.000</v>
      </c>
      <c r="T1687" t="str">
        <f t="shared" si="591"/>
        <v>19:29:59.000</v>
      </c>
      <c r="U1687" t="str">
        <f t="shared" si="584"/>
        <v>AC3944</v>
      </c>
      <c r="V1687">
        <v>0</v>
      </c>
      <c r="W1687">
        <v>0</v>
      </c>
      <c r="X1687">
        <v>2</v>
      </c>
      <c r="Y1687">
        <v>0</v>
      </c>
      <c r="AA1687">
        <v>1</v>
      </c>
      <c r="AB1687">
        <v>8</v>
      </c>
      <c r="AC1687">
        <v>3</v>
      </c>
      <c r="AD1687">
        <v>0</v>
      </c>
      <c r="AE1687">
        <v>9</v>
      </c>
      <c r="AF1687" t="s">
        <v>138</v>
      </c>
      <c r="AG1687">
        <v>0</v>
      </c>
      <c r="AH1687">
        <v>3</v>
      </c>
      <c r="AI1687">
        <v>1</v>
      </c>
      <c r="AJ1687">
        <v>0</v>
      </c>
      <c r="AK1687" t="s">
        <v>616</v>
      </c>
      <c r="AL1687">
        <v>32.788975000000001</v>
      </c>
      <c r="AM1687" t="s">
        <v>617</v>
      </c>
      <c r="AN1687">
        <v>-116.868911</v>
      </c>
      <c r="AO1687">
        <v>25</v>
      </c>
      <c r="AP1687">
        <v>2800</v>
      </c>
      <c r="AQ1687" t="s">
        <v>129</v>
      </c>
      <c r="AR1687">
        <v>86</v>
      </c>
      <c r="AS1687">
        <v>-79</v>
      </c>
      <c r="AT1687">
        <v>768</v>
      </c>
      <c r="BB1687">
        <v>1200</v>
      </c>
      <c r="BC1687">
        <v>1</v>
      </c>
      <c r="BD1687" t="str">
        <f t="shared" si="585"/>
        <v xml:space="preserve">N887QR  </v>
      </c>
      <c r="BE1687">
        <v>1</v>
      </c>
      <c r="BG1687">
        <v>0</v>
      </c>
      <c r="BH1687">
        <v>0</v>
      </c>
      <c r="BI1687">
        <v>0</v>
      </c>
      <c r="BJ1687">
        <v>2475</v>
      </c>
      <c r="BK1687">
        <v>-325</v>
      </c>
      <c r="BL1687" t="s">
        <v>163</v>
      </c>
      <c r="BM1687">
        <v>1</v>
      </c>
      <c r="BN1687">
        <v>1</v>
      </c>
      <c r="BO1687">
        <v>1</v>
      </c>
      <c r="BP1687">
        <v>0</v>
      </c>
      <c r="BS1687">
        <v>0</v>
      </c>
      <c r="BT1687">
        <v>0</v>
      </c>
      <c r="BU1687">
        <v>0</v>
      </c>
      <c r="CE1687" t="str">
        <f t="shared" si="592"/>
        <v>19:29:59.502</v>
      </c>
      <c r="CF1687">
        <v>502049234</v>
      </c>
      <c r="CS1687">
        <v>3</v>
      </c>
      <c r="CT1687">
        <v>2</v>
      </c>
      <c r="CU1687">
        <v>0</v>
      </c>
      <c r="CV1687">
        <v>2</v>
      </c>
      <c r="CW1687">
        <v>0</v>
      </c>
      <c r="CX1687">
        <v>6</v>
      </c>
      <c r="CY1687">
        <v>7</v>
      </c>
      <c r="CZ1687" t="s">
        <v>131</v>
      </c>
      <c r="DA1687">
        <v>300</v>
      </c>
      <c r="DB1687">
        <v>0</v>
      </c>
      <c r="DC1687" t="s">
        <v>176</v>
      </c>
      <c r="DD1687" t="s">
        <v>177</v>
      </c>
      <c r="DG1687">
        <v>5392364</v>
      </c>
      <c r="DI1687">
        <v>1</v>
      </c>
      <c r="DJ1687">
        <v>0</v>
      </c>
      <c r="DK1687">
        <v>1</v>
      </c>
      <c r="DL1687">
        <v>0</v>
      </c>
      <c r="DM1687">
        <v>0</v>
      </c>
      <c r="DN1687">
        <v>1</v>
      </c>
      <c r="DO1687">
        <v>0</v>
      </c>
      <c r="DP1687">
        <v>0</v>
      </c>
      <c r="DQ1687">
        <v>0</v>
      </c>
      <c r="DR1687">
        <v>0</v>
      </c>
      <c r="DS1687">
        <v>0</v>
      </c>
    </row>
    <row r="1688" spans="1:123" x14ac:dyDescent="0.3">
      <c r="A1688" t="str">
        <f>"10/04/2022 19:29:59.800"</f>
        <v>10/04/2022 19:29:59.800</v>
      </c>
      <c r="C1688" t="str">
        <f t="shared" si="588"/>
        <v>FFDFD3C0</v>
      </c>
      <c r="D1688" t="s">
        <v>141</v>
      </c>
      <c r="E1688">
        <v>4</v>
      </c>
      <c r="H1688">
        <v>4</v>
      </c>
      <c r="I1688" t="s">
        <v>142</v>
      </c>
      <c r="J1688" t="s">
        <v>138</v>
      </c>
      <c r="K1688">
        <v>0</v>
      </c>
      <c r="L1688">
        <v>3</v>
      </c>
      <c r="M1688">
        <v>0</v>
      </c>
      <c r="N1688">
        <v>2</v>
      </c>
      <c r="O1688">
        <v>0</v>
      </c>
      <c r="P1688">
        <v>1</v>
      </c>
      <c r="Q1688">
        <v>0</v>
      </c>
      <c r="S1688" t="str">
        <f t="shared" si="591"/>
        <v>19:29:59.000</v>
      </c>
      <c r="T1688" t="str">
        <f t="shared" si="591"/>
        <v>19:29:59.000</v>
      </c>
      <c r="U1688" t="str">
        <f t="shared" si="584"/>
        <v>AC3944</v>
      </c>
      <c r="V1688">
        <v>0</v>
      </c>
      <c r="W1688">
        <v>0</v>
      </c>
      <c r="X1688">
        <v>2</v>
      </c>
      <c r="Y1688">
        <v>0</v>
      </c>
      <c r="AA1688">
        <v>1</v>
      </c>
      <c r="AB1688">
        <v>8</v>
      </c>
      <c r="AC1688">
        <v>3</v>
      </c>
      <c r="AD1688">
        <v>0</v>
      </c>
      <c r="AE1688">
        <v>9</v>
      </c>
      <c r="AF1688" t="s">
        <v>138</v>
      </c>
      <c r="AG1688">
        <v>0</v>
      </c>
      <c r="AH1688">
        <v>3</v>
      </c>
      <c r="AI1688">
        <v>1</v>
      </c>
      <c r="AJ1688">
        <v>0</v>
      </c>
      <c r="AK1688" t="s">
        <v>616</v>
      </c>
      <c r="AL1688">
        <v>32.788975000000001</v>
      </c>
      <c r="AM1688" t="s">
        <v>617</v>
      </c>
      <c r="AN1688">
        <v>-116.868911</v>
      </c>
      <c r="AO1688">
        <v>25</v>
      </c>
      <c r="AP1688">
        <v>2800</v>
      </c>
      <c r="AQ1688" t="s">
        <v>129</v>
      </c>
      <c r="AR1688">
        <v>86</v>
      </c>
      <c r="AS1688">
        <v>-79</v>
      </c>
      <c r="AT1688">
        <v>768</v>
      </c>
      <c r="BB1688">
        <v>1200</v>
      </c>
      <c r="BC1688">
        <v>1</v>
      </c>
      <c r="BD1688" t="str">
        <f t="shared" si="585"/>
        <v xml:space="preserve">N887QR  </v>
      </c>
      <c r="BE1688">
        <v>1</v>
      </c>
      <c r="BG1688">
        <v>0</v>
      </c>
      <c r="BH1688">
        <v>0</v>
      </c>
      <c r="BI1688">
        <v>0</v>
      </c>
      <c r="BJ1688">
        <v>2475</v>
      </c>
      <c r="BK1688">
        <v>-325</v>
      </c>
      <c r="BL1688" t="s">
        <v>163</v>
      </c>
      <c r="BM1688">
        <v>1</v>
      </c>
      <c r="BN1688">
        <v>1</v>
      </c>
      <c r="BO1688">
        <v>1</v>
      </c>
      <c r="BP1688">
        <v>0</v>
      </c>
      <c r="BS1688">
        <v>0</v>
      </c>
      <c r="BT1688">
        <v>0</v>
      </c>
      <c r="BU1688">
        <v>0</v>
      </c>
      <c r="CE1688" t="str">
        <f t="shared" si="592"/>
        <v>19:29:59.502</v>
      </c>
      <c r="CF1688">
        <v>502049234</v>
      </c>
      <c r="CS1688">
        <v>3</v>
      </c>
      <c r="CT1688">
        <v>2</v>
      </c>
      <c r="CU1688">
        <v>0</v>
      </c>
      <c r="CV1688">
        <v>2</v>
      </c>
      <c r="CW1688">
        <v>0</v>
      </c>
      <c r="CX1688">
        <v>6</v>
      </c>
      <c r="CY1688">
        <v>7</v>
      </c>
      <c r="CZ1688" t="s">
        <v>131</v>
      </c>
      <c r="DA1688">
        <v>300</v>
      </c>
      <c r="DB1688">
        <v>0</v>
      </c>
      <c r="DC1688" t="s">
        <v>176</v>
      </c>
      <c r="DD1688" t="s">
        <v>177</v>
      </c>
      <c r="DG1688">
        <v>5392364</v>
      </c>
      <c r="DI1688">
        <v>1</v>
      </c>
      <c r="DJ1688">
        <v>0</v>
      </c>
      <c r="DK1688">
        <v>1</v>
      </c>
      <c r="DL1688">
        <v>0</v>
      </c>
      <c r="DM1688">
        <v>0</v>
      </c>
      <c r="DN1688">
        <v>1</v>
      </c>
      <c r="DO1688">
        <v>0</v>
      </c>
      <c r="DP1688">
        <v>0</v>
      </c>
      <c r="DQ1688">
        <v>0</v>
      </c>
      <c r="DR1688">
        <v>0</v>
      </c>
      <c r="DS1688">
        <v>0</v>
      </c>
    </row>
    <row r="1689" spans="1:123" x14ac:dyDescent="0.3">
      <c r="A1689" t="str">
        <f>"10/04/2022 19:30:00.707"</f>
        <v>10/04/2022 19:30:00.707</v>
      </c>
      <c r="C1689" t="str">
        <f t="shared" si="588"/>
        <v>FFDFD3C0</v>
      </c>
      <c r="D1689" t="s">
        <v>123</v>
      </c>
      <c r="E1689">
        <v>7</v>
      </c>
      <c r="F1689">
        <v>2007</v>
      </c>
      <c r="G1689" t="s">
        <v>124</v>
      </c>
      <c r="J1689" t="s">
        <v>125</v>
      </c>
      <c r="K1689">
        <v>0</v>
      </c>
      <c r="L1689">
        <v>3</v>
      </c>
      <c r="M1689">
        <v>0</v>
      </c>
      <c r="N1689">
        <v>2</v>
      </c>
      <c r="O1689">
        <v>0</v>
      </c>
      <c r="P1689">
        <v>1</v>
      </c>
      <c r="Q1689">
        <v>0</v>
      </c>
      <c r="S1689" t="str">
        <f t="shared" ref="S1689:T1695" si="593">"19:30:00.000"</f>
        <v>19:30:00.000</v>
      </c>
      <c r="T1689" t="str">
        <f t="shared" si="593"/>
        <v>19:30:00.000</v>
      </c>
      <c r="U1689" t="str">
        <f t="shared" si="584"/>
        <v>AC3944</v>
      </c>
      <c r="V1689">
        <v>0</v>
      </c>
      <c r="W1689">
        <v>0</v>
      </c>
      <c r="X1689">
        <v>2</v>
      </c>
      <c r="Y1689">
        <v>0</v>
      </c>
      <c r="AA1689">
        <v>1</v>
      </c>
      <c r="AB1689">
        <v>8</v>
      </c>
      <c r="AC1689">
        <v>3</v>
      </c>
      <c r="AD1689">
        <v>0</v>
      </c>
      <c r="AE1689">
        <v>9</v>
      </c>
      <c r="AF1689" t="s">
        <v>138</v>
      </c>
      <c r="AG1689">
        <v>0</v>
      </c>
      <c r="AH1689">
        <v>3</v>
      </c>
      <c r="AI1689">
        <v>1</v>
      </c>
      <c r="AJ1689">
        <v>0</v>
      </c>
      <c r="AK1689" t="s">
        <v>618</v>
      </c>
      <c r="AL1689">
        <v>32.788609999999998</v>
      </c>
      <c r="AM1689" t="s">
        <v>619</v>
      </c>
      <c r="AN1689">
        <v>-116.868439</v>
      </c>
      <c r="AO1689">
        <v>25</v>
      </c>
      <c r="AP1689">
        <v>2800</v>
      </c>
      <c r="AQ1689" t="s">
        <v>129</v>
      </c>
      <c r="AR1689">
        <v>85</v>
      </c>
      <c r="AS1689">
        <v>-79</v>
      </c>
      <c r="AT1689">
        <v>768</v>
      </c>
      <c r="BB1689">
        <v>1200</v>
      </c>
      <c r="BC1689">
        <v>1</v>
      </c>
      <c r="BD1689" t="str">
        <f t="shared" si="585"/>
        <v xml:space="preserve">N887QR  </v>
      </c>
      <c r="BE1689">
        <v>1</v>
      </c>
      <c r="BG1689">
        <v>0</v>
      </c>
      <c r="BH1689">
        <v>0</v>
      </c>
      <c r="BI1689">
        <v>0</v>
      </c>
      <c r="BJ1689">
        <v>2500</v>
      </c>
      <c r="BK1689">
        <v>-300</v>
      </c>
      <c r="BL1689" t="s">
        <v>163</v>
      </c>
      <c r="BM1689">
        <v>1</v>
      </c>
      <c r="BN1689">
        <v>1</v>
      </c>
      <c r="BO1689">
        <v>1</v>
      </c>
      <c r="BP1689">
        <v>0</v>
      </c>
      <c r="BS1689">
        <v>0.12</v>
      </c>
      <c r="BT1689">
        <v>0</v>
      </c>
      <c r="BU1689">
        <v>0</v>
      </c>
      <c r="CE1689" t="str">
        <f t="shared" ref="CE1689:CE1695" si="594">"19:30:00.406"</f>
        <v>19:30:00.406</v>
      </c>
      <c r="CF1689">
        <v>406052195</v>
      </c>
      <c r="CS1689">
        <v>3</v>
      </c>
      <c r="CT1689">
        <v>2</v>
      </c>
      <c r="CU1689">
        <v>0</v>
      </c>
      <c r="CV1689">
        <v>2</v>
      </c>
      <c r="CW1689">
        <v>0</v>
      </c>
      <c r="CX1689">
        <v>5</v>
      </c>
      <c r="CY1689">
        <v>7</v>
      </c>
      <c r="CZ1689" t="s">
        <v>131</v>
      </c>
      <c r="DA1689">
        <v>300</v>
      </c>
      <c r="DB1689">
        <v>0</v>
      </c>
      <c r="DC1689" t="s">
        <v>176</v>
      </c>
      <c r="DD1689" t="s">
        <v>177</v>
      </c>
      <c r="DG1689">
        <v>5392505</v>
      </c>
      <c r="DI1689">
        <v>1</v>
      </c>
      <c r="DJ1689">
        <v>0</v>
      </c>
      <c r="DK1689">
        <v>0</v>
      </c>
      <c r="DL1689">
        <v>0</v>
      </c>
      <c r="DM1689">
        <v>0</v>
      </c>
      <c r="DN1689">
        <v>1</v>
      </c>
      <c r="DO1689">
        <v>0</v>
      </c>
      <c r="DP1689">
        <v>0</v>
      </c>
      <c r="DQ1689">
        <v>0</v>
      </c>
      <c r="DR1689">
        <v>0</v>
      </c>
      <c r="DS1689">
        <v>0</v>
      </c>
    </row>
    <row r="1690" spans="1:123" x14ac:dyDescent="0.3">
      <c r="A1690" t="str">
        <f>"10/04/2022 19:30:00.707"</f>
        <v>10/04/2022 19:30:00.707</v>
      </c>
      <c r="C1690" t="str">
        <f t="shared" si="588"/>
        <v>FFDFD3C0</v>
      </c>
      <c r="D1690" t="s">
        <v>147</v>
      </c>
      <c r="E1690">
        <v>3</v>
      </c>
      <c r="H1690">
        <v>166</v>
      </c>
      <c r="I1690" t="s">
        <v>144</v>
      </c>
      <c r="J1690" t="s">
        <v>148</v>
      </c>
      <c r="K1690">
        <v>0</v>
      </c>
      <c r="L1690">
        <v>3</v>
      </c>
      <c r="M1690">
        <v>0</v>
      </c>
      <c r="N1690">
        <v>2</v>
      </c>
      <c r="O1690">
        <v>0</v>
      </c>
      <c r="P1690">
        <v>1</v>
      </c>
      <c r="Q1690">
        <v>0</v>
      </c>
      <c r="S1690" t="str">
        <f t="shared" si="593"/>
        <v>19:30:00.000</v>
      </c>
      <c r="T1690" t="str">
        <f t="shared" si="593"/>
        <v>19:30:00.000</v>
      </c>
      <c r="U1690" t="str">
        <f t="shared" si="584"/>
        <v>AC3944</v>
      </c>
      <c r="V1690">
        <v>0</v>
      </c>
      <c r="W1690">
        <v>0</v>
      </c>
      <c r="X1690">
        <v>2</v>
      </c>
      <c r="Y1690">
        <v>0</v>
      </c>
      <c r="AA1690">
        <v>1</v>
      </c>
      <c r="AB1690">
        <v>8</v>
      </c>
      <c r="AC1690">
        <v>3</v>
      </c>
      <c r="AD1690">
        <v>0</v>
      </c>
      <c r="AE1690">
        <v>9</v>
      </c>
      <c r="AF1690" t="s">
        <v>138</v>
      </c>
      <c r="AG1690">
        <v>0</v>
      </c>
      <c r="AH1690">
        <v>3</v>
      </c>
      <c r="AI1690">
        <v>1</v>
      </c>
      <c r="AJ1690">
        <v>0</v>
      </c>
      <c r="AK1690" t="s">
        <v>618</v>
      </c>
      <c r="AL1690">
        <v>32.788609999999998</v>
      </c>
      <c r="AM1690" t="s">
        <v>619</v>
      </c>
      <c r="AN1690">
        <v>-116.868439</v>
      </c>
      <c r="AO1690">
        <v>25</v>
      </c>
      <c r="AP1690">
        <v>2800</v>
      </c>
      <c r="AQ1690" t="s">
        <v>129</v>
      </c>
      <c r="AR1690">
        <v>85</v>
      </c>
      <c r="AS1690">
        <v>-79</v>
      </c>
      <c r="AT1690">
        <v>768</v>
      </c>
      <c r="BB1690">
        <v>1200</v>
      </c>
      <c r="BC1690">
        <v>1</v>
      </c>
      <c r="BD1690" t="str">
        <f t="shared" si="585"/>
        <v xml:space="preserve">N887QR  </v>
      </c>
      <c r="BE1690">
        <v>1</v>
      </c>
      <c r="BG1690">
        <v>0</v>
      </c>
      <c r="BH1690">
        <v>0</v>
      </c>
      <c r="BI1690">
        <v>0</v>
      </c>
      <c r="BJ1690">
        <v>2500</v>
      </c>
      <c r="BK1690">
        <v>-300</v>
      </c>
      <c r="BL1690" t="s">
        <v>163</v>
      </c>
      <c r="BM1690">
        <v>1</v>
      </c>
      <c r="BN1690">
        <v>1</v>
      </c>
      <c r="BO1690">
        <v>1</v>
      </c>
      <c r="BP1690">
        <v>0</v>
      </c>
      <c r="BS1690">
        <v>0.12</v>
      </c>
      <c r="BT1690">
        <v>0</v>
      </c>
      <c r="BU1690">
        <v>0</v>
      </c>
      <c r="CE1690" t="str">
        <f t="shared" si="594"/>
        <v>19:30:00.406</v>
      </c>
      <c r="CF1690">
        <v>406052195</v>
      </c>
      <c r="CS1690">
        <v>3</v>
      </c>
      <c r="CT1690">
        <v>2</v>
      </c>
      <c r="CU1690">
        <v>0</v>
      </c>
      <c r="CV1690">
        <v>2</v>
      </c>
      <c r="CW1690">
        <v>0</v>
      </c>
      <c r="CX1690">
        <v>5</v>
      </c>
      <c r="CY1690">
        <v>7</v>
      </c>
      <c r="CZ1690" t="s">
        <v>131</v>
      </c>
      <c r="DA1690">
        <v>300</v>
      </c>
      <c r="DB1690">
        <v>0</v>
      </c>
      <c r="DC1690" t="s">
        <v>176</v>
      </c>
      <c r="DD1690" t="s">
        <v>177</v>
      </c>
      <c r="DG1690">
        <v>5392505</v>
      </c>
      <c r="DI1690">
        <v>1</v>
      </c>
      <c r="DJ1690">
        <v>0</v>
      </c>
      <c r="DK1690">
        <v>1</v>
      </c>
      <c r="DL1690">
        <v>0</v>
      </c>
      <c r="DM1690">
        <v>0</v>
      </c>
      <c r="DN1690">
        <v>1</v>
      </c>
      <c r="DO1690">
        <v>0</v>
      </c>
      <c r="DP1690">
        <v>0</v>
      </c>
      <c r="DQ1690">
        <v>0</v>
      </c>
      <c r="DR1690">
        <v>0</v>
      </c>
      <c r="DS1690">
        <v>0</v>
      </c>
    </row>
    <row r="1691" spans="1:123" x14ac:dyDescent="0.3">
      <c r="A1691" t="str">
        <f>"10/04/2022 19:30:00.722"</f>
        <v>10/04/2022 19:30:00.722</v>
      </c>
      <c r="C1691" t="str">
        <f t="shared" si="588"/>
        <v>FFDFD3C0</v>
      </c>
      <c r="D1691" t="s">
        <v>141</v>
      </c>
      <c r="E1691">
        <v>3</v>
      </c>
      <c r="H1691">
        <v>3</v>
      </c>
      <c r="I1691" t="s">
        <v>146</v>
      </c>
      <c r="J1691" t="s">
        <v>138</v>
      </c>
      <c r="K1691">
        <v>0</v>
      </c>
      <c r="L1691">
        <v>3</v>
      </c>
      <c r="M1691">
        <v>0</v>
      </c>
      <c r="N1691">
        <v>2</v>
      </c>
      <c r="O1691">
        <v>0</v>
      </c>
      <c r="P1691">
        <v>1</v>
      </c>
      <c r="Q1691">
        <v>0</v>
      </c>
      <c r="S1691" t="str">
        <f t="shared" si="593"/>
        <v>19:30:00.000</v>
      </c>
      <c r="T1691" t="str">
        <f t="shared" si="593"/>
        <v>19:30:00.000</v>
      </c>
      <c r="U1691" t="str">
        <f t="shared" si="584"/>
        <v>AC3944</v>
      </c>
      <c r="V1691">
        <v>0</v>
      </c>
      <c r="W1691">
        <v>0</v>
      </c>
      <c r="X1691">
        <v>2</v>
      </c>
      <c r="Y1691">
        <v>0</v>
      </c>
      <c r="AA1691">
        <v>1</v>
      </c>
      <c r="AB1691">
        <v>8</v>
      </c>
      <c r="AC1691">
        <v>3</v>
      </c>
      <c r="AD1691">
        <v>0</v>
      </c>
      <c r="AE1691">
        <v>9</v>
      </c>
      <c r="AF1691" t="s">
        <v>138</v>
      </c>
      <c r="AG1691">
        <v>0</v>
      </c>
      <c r="AH1691">
        <v>3</v>
      </c>
      <c r="AI1691">
        <v>1</v>
      </c>
      <c r="AJ1691">
        <v>0</v>
      </c>
      <c r="AK1691" t="s">
        <v>618</v>
      </c>
      <c r="AL1691">
        <v>32.788609999999998</v>
      </c>
      <c r="AM1691" t="s">
        <v>619</v>
      </c>
      <c r="AN1691">
        <v>-116.868439</v>
      </c>
      <c r="AO1691">
        <v>25</v>
      </c>
      <c r="AP1691">
        <v>2800</v>
      </c>
      <c r="AQ1691" t="s">
        <v>129</v>
      </c>
      <c r="AR1691">
        <v>85</v>
      </c>
      <c r="AS1691">
        <v>-79</v>
      </c>
      <c r="AT1691">
        <v>768</v>
      </c>
      <c r="BB1691">
        <v>1200</v>
      </c>
      <c r="BC1691">
        <v>1</v>
      </c>
      <c r="BD1691" t="str">
        <f t="shared" si="585"/>
        <v xml:space="preserve">N887QR  </v>
      </c>
      <c r="BE1691">
        <v>1</v>
      </c>
      <c r="BG1691">
        <v>0</v>
      </c>
      <c r="BH1691">
        <v>0</v>
      </c>
      <c r="BI1691">
        <v>0</v>
      </c>
      <c r="BJ1691">
        <v>2500</v>
      </c>
      <c r="BK1691">
        <v>-300</v>
      </c>
      <c r="BL1691" t="s">
        <v>163</v>
      </c>
      <c r="BM1691">
        <v>1</v>
      </c>
      <c r="BN1691">
        <v>1</v>
      </c>
      <c r="BO1691">
        <v>1</v>
      </c>
      <c r="BP1691">
        <v>0</v>
      </c>
      <c r="BS1691">
        <v>0.12</v>
      </c>
      <c r="BT1691">
        <v>0</v>
      </c>
      <c r="BU1691">
        <v>0</v>
      </c>
      <c r="CE1691" t="str">
        <f t="shared" si="594"/>
        <v>19:30:00.406</v>
      </c>
      <c r="CF1691">
        <v>406052195</v>
      </c>
      <c r="CS1691">
        <v>3</v>
      </c>
      <c r="CT1691">
        <v>2</v>
      </c>
      <c r="CU1691">
        <v>0</v>
      </c>
      <c r="CV1691">
        <v>2</v>
      </c>
      <c r="CW1691">
        <v>0</v>
      </c>
      <c r="CX1691">
        <v>5</v>
      </c>
      <c r="CY1691">
        <v>7</v>
      </c>
      <c r="CZ1691" t="s">
        <v>131</v>
      </c>
      <c r="DA1691">
        <v>300</v>
      </c>
      <c r="DB1691">
        <v>0</v>
      </c>
      <c r="DC1691" t="s">
        <v>176</v>
      </c>
      <c r="DD1691" t="s">
        <v>177</v>
      </c>
      <c r="DG1691">
        <v>5392505</v>
      </c>
      <c r="DI1691">
        <v>1</v>
      </c>
      <c r="DJ1691">
        <v>0</v>
      </c>
      <c r="DK1691">
        <v>1</v>
      </c>
      <c r="DL1691">
        <v>0</v>
      </c>
      <c r="DM1691">
        <v>0</v>
      </c>
      <c r="DN1691">
        <v>1</v>
      </c>
      <c r="DO1691">
        <v>0</v>
      </c>
      <c r="DP1691">
        <v>0</v>
      </c>
      <c r="DQ1691">
        <v>0</v>
      </c>
      <c r="DR1691">
        <v>0</v>
      </c>
      <c r="DS1691">
        <v>0</v>
      </c>
    </row>
    <row r="1692" spans="1:123" x14ac:dyDescent="0.3">
      <c r="A1692" t="str">
        <f>"10/04/2022 19:30:00.816"</f>
        <v>10/04/2022 19:30:00.816</v>
      </c>
      <c r="C1692" t="str">
        <f t="shared" si="588"/>
        <v>FFDFD3C0</v>
      </c>
      <c r="D1692" t="s">
        <v>134</v>
      </c>
      <c r="E1692">
        <v>15</v>
      </c>
      <c r="J1692" t="s">
        <v>135</v>
      </c>
      <c r="K1692">
        <v>0</v>
      </c>
      <c r="L1692">
        <v>3</v>
      </c>
      <c r="M1692">
        <v>0</v>
      </c>
      <c r="N1692">
        <v>2</v>
      </c>
      <c r="O1692">
        <v>0</v>
      </c>
      <c r="P1692">
        <v>1</v>
      </c>
      <c r="Q1692">
        <v>0</v>
      </c>
      <c r="S1692" t="str">
        <f t="shared" si="593"/>
        <v>19:30:00.000</v>
      </c>
      <c r="T1692" t="str">
        <f t="shared" si="593"/>
        <v>19:30:00.000</v>
      </c>
      <c r="U1692" t="str">
        <f t="shared" si="584"/>
        <v>AC3944</v>
      </c>
      <c r="V1692">
        <v>0</v>
      </c>
      <c r="W1692">
        <v>0</v>
      </c>
      <c r="X1692">
        <v>2</v>
      </c>
      <c r="Y1692">
        <v>0</v>
      </c>
      <c r="AA1692">
        <v>1</v>
      </c>
      <c r="AB1692">
        <v>8</v>
      </c>
      <c r="AC1692">
        <v>3</v>
      </c>
      <c r="AD1692">
        <v>0</v>
      </c>
      <c r="AE1692">
        <v>9</v>
      </c>
      <c r="AF1692" t="s">
        <v>138</v>
      </c>
      <c r="AG1692">
        <v>0</v>
      </c>
      <c r="AH1692">
        <v>3</v>
      </c>
      <c r="AI1692">
        <v>1</v>
      </c>
      <c r="AJ1692">
        <v>0</v>
      </c>
      <c r="AK1692" t="s">
        <v>618</v>
      </c>
      <c r="AL1692">
        <v>32.788609999999998</v>
      </c>
      <c r="AM1692" t="s">
        <v>619</v>
      </c>
      <c r="AN1692">
        <v>-116.868439</v>
      </c>
      <c r="AO1692">
        <v>25</v>
      </c>
      <c r="AP1692">
        <v>2800</v>
      </c>
      <c r="AQ1692" t="s">
        <v>129</v>
      </c>
      <c r="AR1692">
        <v>85</v>
      </c>
      <c r="AS1692">
        <v>-79</v>
      </c>
      <c r="AT1692">
        <v>768</v>
      </c>
      <c r="BB1692">
        <v>1200</v>
      </c>
      <c r="BC1692">
        <v>1</v>
      </c>
      <c r="BD1692" t="str">
        <f t="shared" si="585"/>
        <v xml:space="preserve">N887QR  </v>
      </c>
      <c r="BE1692">
        <v>1</v>
      </c>
      <c r="BG1692">
        <v>0</v>
      </c>
      <c r="BH1692">
        <v>0</v>
      </c>
      <c r="BI1692">
        <v>0</v>
      </c>
      <c r="BJ1692">
        <v>2500</v>
      </c>
      <c r="BK1692">
        <v>-300</v>
      </c>
      <c r="BL1692" t="s">
        <v>163</v>
      </c>
      <c r="BM1692">
        <v>1</v>
      </c>
      <c r="BN1692">
        <v>1</v>
      </c>
      <c r="BO1692">
        <v>1</v>
      </c>
      <c r="BP1692">
        <v>0</v>
      </c>
      <c r="BS1692">
        <v>0.12</v>
      </c>
      <c r="BT1692">
        <v>0</v>
      </c>
      <c r="BU1692">
        <v>0</v>
      </c>
      <c r="CE1692" t="str">
        <f t="shared" si="594"/>
        <v>19:30:00.406</v>
      </c>
      <c r="CF1692">
        <v>406052195</v>
      </c>
      <c r="CS1692">
        <v>3</v>
      </c>
      <c r="CT1692">
        <v>2</v>
      </c>
      <c r="CU1692">
        <v>0</v>
      </c>
      <c r="CV1692">
        <v>2</v>
      </c>
      <c r="CW1692">
        <v>0</v>
      </c>
      <c r="CX1692">
        <v>5</v>
      </c>
      <c r="CY1692">
        <v>7</v>
      </c>
      <c r="CZ1692" t="s">
        <v>131</v>
      </c>
      <c r="DA1692">
        <v>300</v>
      </c>
      <c r="DB1692">
        <v>0</v>
      </c>
      <c r="DC1692" t="s">
        <v>176</v>
      </c>
      <c r="DD1692" t="s">
        <v>177</v>
      </c>
      <c r="DG1692">
        <v>5392505</v>
      </c>
      <c r="DI1692">
        <v>1</v>
      </c>
      <c r="DJ1692">
        <v>0</v>
      </c>
      <c r="DK1692">
        <v>1</v>
      </c>
      <c r="DL1692">
        <v>0</v>
      </c>
      <c r="DM1692">
        <v>0</v>
      </c>
      <c r="DN1692">
        <v>1</v>
      </c>
      <c r="DO1692">
        <v>0</v>
      </c>
      <c r="DP1692">
        <v>0</v>
      </c>
      <c r="DQ1692">
        <v>0</v>
      </c>
      <c r="DR1692">
        <v>0</v>
      </c>
      <c r="DS1692">
        <v>0</v>
      </c>
    </row>
    <row r="1693" spans="1:123" x14ac:dyDescent="0.3">
      <c r="A1693" t="str">
        <f>"10/04/2022 19:30:00.816"</f>
        <v>10/04/2022 19:30:00.816</v>
      </c>
      <c r="C1693" t="str">
        <f t="shared" si="588"/>
        <v>FFDFD3C0</v>
      </c>
      <c r="D1693" t="s">
        <v>136</v>
      </c>
      <c r="E1693">
        <v>8</v>
      </c>
      <c r="H1693">
        <v>225</v>
      </c>
      <c r="I1693" t="s">
        <v>137</v>
      </c>
      <c r="J1693" t="s">
        <v>138</v>
      </c>
      <c r="K1693">
        <v>0</v>
      </c>
      <c r="L1693">
        <v>3</v>
      </c>
      <c r="M1693">
        <v>0</v>
      </c>
      <c r="N1693">
        <v>2</v>
      </c>
      <c r="O1693">
        <v>0</v>
      </c>
      <c r="P1693">
        <v>1</v>
      </c>
      <c r="Q1693">
        <v>0</v>
      </c>
      <c r="S1693" t="str">
        <f t="shared" si="593"/>
        <v>19:30:00.000</v>
      </c>
      <c r="T1693" t="str">
        <f t="shared" si="593"/>
        <v>19:30:00.000</v>
      </c>
      <c r="U1693" t="str">
        <f t="shared" si="584"/>
        <v>AC3944</v>
      </c>
      <c r="V1693">
        <v>0</v>
      </c>
      <c r="W1693">
        <v>0</v>
      </c>
      <c r="X1693">
        <v>2</v>
      </c>
      <c r="Y1693">
        <v>0</v>
      </c>
      <c r="AA1693">
        <v>1</v>
      </c>
      <c r="AB1693">
        <v>8</v>
      </c>
      <c r="AC1693">
        <v>3</v>
      </c>
      <c r="AD1693">
        <v>0</v>
      </c>
      <c r="AE1693">
        <v>9</v>
      </c>
      <c r="AF1693" t="s">
        <v>138</v>
      </c>
      <c r="AG1693">
        <v>0</v>
      </c>
      <c r="AH1693">
        <v>3</v>
      </c>
      <c r="AI1693">
        <v>1</v>
      </c>
      <c r="AJ1693">
        <v>0</v>
      </c>
      <c r="AK1693" t="s">
        <v>618</v>
      </c>
      <c r="AL1693">
        <v>32.788609999999998</v>
      </c>
      <c r="AM1693" t="s">
        <v>619</v>
      </c>
      <c r="AN1693">
        <v>-116.868439</v>
      </c>
      <c r="AO1693">
        <v>25</v>
      </c>
      <c r="AP1693">
        <v>2800</v>
      </c>
      <c r="AQ1693" t="s">
        <v>129</v>
      </c>
      <c r="AR1693">
        <v>85</v>
      </c>
      <c r="AS1693">
        <v>-79</v>
      </c>
      <c r="AT1693">
        <v>768</v>
      </c>
      <c r="BB1693">
        <v>1200</v>
      </c>
      <c r="BC1693">
        <v>1</v>
      </c>
      <c r="BD1693" t="str">
        <f t="shared" si="585"/>
        <v xml:space="preserve">N887QR  </v>
      </c>
      <c r="BE1693">
        <v>1</v>
      </c>
      <c r="BG1693">
        <v>0</v>
      </c>
      <c r="BH1693">
        <v>0</v>
      </c>
      <c r="BI1693">
        <v>0</v>
      </c>
      <c r="BJ1693">
        <v>2500</v>
      </c>
      <c r="BK1693">
        <v>-300</v>
      </c>
      <c r="BL1693" t="s">
        <v>163</v>
      </c>
      <c r="BM1693">
        <v>1</v>
      </c>
      <c r="BN1693">
        <v>1</v>
      </c>
      <c r="BO1693">
        <v>1</v>
      </c>
      <c r="BP1693">
        <v>0</v>
      </c>
      <c r="BS1693">
        <v>0.12</v>
      </c>
      <c r="BT1693">
        <v>0</v>
      </c>
      <c r="BU1693">
        <v>0</v>
      </c>
      <c r="CE1693" t="str">
        <f t="shared" si="594"/>
        <v>19:30:00.406</v>
      </c>
      <c r="CF1693">
        <v>406052195</v>
      </c>
      <c r="CS1693">
        <v>3</v>
      </c>
      <c r="CT1693">
        <v>2</v>
      </c>
      <c r="CU1693">
        <v>0</v>
      </c>
      <c r="CV1693">
        <v>2</v>
      </c>
      <c r="CW1693">
        <v>0</v>
      </c>
      <c r="CX1693">
        <v>5</v>
      </c>
      <c r="CY1693">
        <v>7</v>
      </c>
      <c r="CZ1693" t="s">
        <v>131</v>
      </c>
      <c r="DA1693">
        <v>300</v>
      </c>
      <c r="DB1693">
        <v>0</v>
      </c>
      <c r="DC1693" t="s">
        <v>176</v>
      </c>
      <c r="DD1693" t="s">
        <v>177</v>
      </c>
      <c r="DG1693">
        <v>5392505</v>
      </c>
      <c r="DI1693">
        <v>1</v>
      </c>
      <c r="DJ1693">
        <v>0</v>
      </c>
      <c r="DK1693">
        <v>1</v>
      </c>
      <c r="DL1693">
        <v>0</v>
      </c>
      <c r="DM1693">
        <v>0</v>
      </c>
      <c r="DN1693">
        <v>1</v>
      </c>
      <c r="DO1693">
        <v>0</v>
      </c>
      <c r="DP1693">
        <v>0</v>
      </c>
      <c r="DQ1693">
        <v>0</v>
      </c>
      <c r="DR1693">
        <v>0</v>
      </c>
      <c r="DS1693">
        <v>0</v>
      </c>
    </row>
    <row r="1694" spans="1:123" x14ac:dyDescent="0.3">
      <c r="A1694" t="str">
        <f>"10/04/2022 19:30:00.816"</f>
        <v>10/04/2022 19:30:00.816</v>
      </c>
      <c r="C1694" t="str">
        <f t="shared" si="588"/>
        <v>FFDFD3C0</v>
      </c>
      <c r="D1694" t="s">
        <v>141</v>
      </c>
      <c r="E1694">
        <v>4</v>
      </c>
      <c r="H1694">
        <v>4</v>
      </c>
      <c r="I1694" t="s">
        <v>142</v>
      </c>
      <c r="J1694" t="s">
        <v>138</v>
      </c>
      <c r="K1694">
        <v>0</v>
      </c>
      <c r="L1694">
        <v>3</v>
      </c>
      <c r="M1694">
        <v>0</v>
      </c>
      <c r="N1694">
        <v>2</v>
      </c>
      <c r="O1694">
        <v>0</v>
      </c>
      <c r="P1694">
        <v>1</v>
      </c>
      <c r="Q1694">
        <v>0</v>
      </c>
      <c r="S1694" t="str">
        <f t="shared" si="593"/>
        <v>19:30:00.000</v>
      </c>
      <c r="T1694" t="str">
        <f t="shared" si="593"/>
        <v>19:30:00.000</v>
      </c>
      <c r="U1694" t="str">
        <f t="shared" si="584"/>
        <v>AC3944</v>
      </c>
      <c r="V1694">
        <v>0</v>
      </c>
      <c r="W1694">
        <v>0</v>
      </c>
      <c r="X1694">
        <v>2</v>
      </c>
      <c r="Y1694">
        <v>0</v>
      </c>
      <c r="AA1694">
        <v>1</v>
      </c>
      <c r="AB1694">
        <v>8</v>
      </c>
      <c r="AC1694">
        <v>3</v>
      </c>
      <c r="AD1694">
        <v>0</v>
      </c>
      <c r="AE1694">
        <v>9</v>
      </c>
      <c r="AF1694" t="s">
        <v>138</v>
      </c>
      <c r="AG1694">
        <v>0</v>
      </c>
      <c r="AH1694">
        <v>3</v>
      </c>
      <c r="AI1694">
        <v>1</v>
      </c>
      <c r="AJ1694">
        <v>0</v>
      </c>
      <c r="AK1694" t="s">
        <v>618</v>
      </c>
      <c r="AL1694">
        <v>32.788609999999998</v>
      </c>
      <c r="AM1694" t="s">
        <v>619</v>
      </c>
      <c r="AN1694">
        <v>-116.868439</v>
      </c>
      <c r="AO1694">
        <v>25</v>
      </c>
      <c r="AP1694">
        <v>2800</v>
      </c>
      <c r="AQ1694" t="s">
        <v>129</v>
      </c>
      <c r="AR1694">
        <v>85</v>
      </c>
      <c r="AS1694">
        <v>-79</v>
      </c>
      <c r="AT1694">
        <v>768</v>
      </c>
      <c r="BB1694">
        <v>1200</v>
      </c>
      <c r="BC1694">
        <v>1</v>
      </c>
      <c r="BD1694" t="str">
        <f t="shared" si="585"/>
        <v xml:space="preserve">N887QR  </v>
      </c>
      <c r="BE1694">
        <v>1</v>
      </c>
      <c r="BG1694">
        <v>0</v>
      </c>
      <c r="BH1694">
        <v>0</v>
      </c>
      <c r="BI1694">
        <v>0</v>
      </c>
      <c r="BJ1694">
        <v>2500</v>
      </c>
      <c r="BK1694">
        <v>-300</v>
      </c>
      <c r="BL1694" t="s">
        <v>163</v>
      </c>
      <c r="BM1694">
        <v>1</v>
      </c>
      <c r="BN1694">
        <v>1</v>
      </c>
      <c r="BO1694">
        <v>1</v>
      </c>
      <c r="BP1694">
        <v>0</v>
      </c>
      <c r="BS1694">
        <v>0.12</v>
      </c>
      <c r="BT1694">
        <v>0</v>
      </c>
      <c r="BU1694">
        <v>0</v>
      </c>
      <c r="CE1694" t="str">
        <f t="shared" si="594"/>
        <v>19:30:00.406</v>
      </c>
      <c r="CF1694">
        <v>406052195</v>
      </c>
      <c r="CS1694">
        <v>3</v>
      </c>
      <c r="CT1694">
        <v>2</v>
      </c>
      <c r="CU1694">
        <v>0</v>
      </c>
      <c r="CV1694">
        <v>2</v>
      </c>
      <c r="CW1694">
        <v>0</v>
      </c>
      <c r="CX1694">
        <v>5</v>
      </c>
      <c r="CY1694">
        <v>7</v>
      </c>
      <c r="CZ1694" t="s">
        <v>131</v>
      </c>
      <c r="DA1694">
        <v>300</v>
      </c>
      <c r="DB1694">
        <v>0</v>
      </c>
      <c r="DC1694" t="s">
        <v>176</v>
      </c>
      <c r="DD1694" t="s">
        <v>177</v>
      </c>
      <c r="DG1694">
        <v>5392505</v>
      </c>
      <c r="DI1694">
        <v>1</v>
      </c>
      <c r="DJ1694">
        <v>0</v>
      </c>
      <c r="DK1694">
        <v>1</v>
      </c>
      <c r="DL1694">
        <v>0</v>
      </c>
      <c r="DM1694">
        <v>0</v>
      </c>
      <c r="DN1694">
        <v>1</v>
      </c>
      <c r="DO1694">
        <v>0</v>
      </c>
      <c r="DP1694">
        <v>0</v>
      </c>
      <c r="DQ1694">
        <v>0</v>
      </c>
      <c r="DR1694">
        <v>0</v>
      </c>
      <c r="DS1694">
        <v>0</v>
      </c>
    </row>
    <row r="1695" spans="1:123" x14ac:dyDescent="0.3">
      <c r="A1695" t="str">
        <f>"10/04/2022 19:30:00.816"</f>
        <v>10/04/2022 19:30:00.816</v>
      </c>
      <c r="C1695" t="str">
        <f t="shared" si="588"/>
        <v>FFDFD3C0</v>
      </c>
      <c r="D1695" t="s">
        <v>143</v>
      </c>
      <c r="E1695">
        <v>20</v>
      </c>
      <c r="F1695">
        <v>1020</v>
      </c>
      <c r="G1695" t="s">
        <v>144</v>
      </c>
      <c r="J1695" t="s">
        <v>145</v>
      </c>
      <c r="K1695">
        <v>0</v>
      </c>
      <c r="L1695">
        <v>3</v>
      </c>
      <c r="M1695">
        <v>0</v>
      </c>
      <c r="N1695">
        <v>2</v>
      </c>
      <c r="O1695">
        <v>0</v>
      </c>
      <c r="P1695">
        <v>1</v>
      </c>
      <c r="Q1695">
        <v>0</v>
      </c>
      <c r="S1695" t="str">
        <f t="shared" si="593"/>
        <v>19:30:00.000</v>
      </c>
      <c r="T1695" t="str">
        <f t="shared" si="593"/>
        <v>19:30:00.000</v>
      </c>
      <c r="U1695" t="str">
        <f t="shared" si="584"/>
        <v>AC3944</v>
      </c>
      <c r="V1695">
        <v>0</v>
      </c>
      <c r="W1695">
        <v>0</v>
      </c>
      <c r="X1695">
        <v>2</v>
      </c>
      <c r="Y1695">
        <v>0</v>
      </c>
      <c r="AA1695">
        <v>1</v>
      </c>
      <c r="AB1695">
        <v>8</v>
      </c>
      <c r="AC1695">
        <v>3</v>
      </c>
      <c r="AD1695">
        <v>0</v>
      </c>
      <c r="AE1695">
        <v>9</v>
      </c>
      <c r="AF1695" t="s">
        <v>138</v>
      </c>
      <c r="AG1695">
        <v>0</v>
      </c>
      <c r="AH1695">
        <v>3</v>
      </c>
      <c r="AI1695">
        <v>1</v>
      </c>
      <c r="AJ1695">
        <v>0</v>
      </c>
      <c r="AK1695" t="s">
        <v>618</v>
      </c>
      <c r="AL1695">
        <v>32.788609999999998</v>
      </c>
      <c r="AM1695" t="s">
        <v>619</v>
      </c>
      <c r="AN1695">
        <v>-116.868439</v>
      </c>
      <c r="AO1695">
        <v>25</v>
      </c>
      <c r="AP1695">
        <v>2800</v>
      </c>
      <c r="AQ1695" t="s">
        <v>129</v>
      </c>
      <c r="AR1695">
        <v>85</v>
      </c>
      <c r="AS1695">
        <v>-79</v>
      </c>
      <c r="AT1695">
        <v>768</v>
      </c>
      <c r="BB1695">
        <v>1200</v>
      </c>
      <c r="BC1695">
        <v>1</v>
      </c>
      <c r="BD1695" t="str">
        <f t="shared" si="585"/>
        <v xml:space="preserve">N887QR  </v>
      </c>
      <c r="BE1695">
        <v>1</v>
      </c>
      <c r="BG1695">
        <v>0</v>
      </c>
      <c r="BH1695">
        <v>0</v>
      </c>
      <c r="BI1695">
        <v>0</v>
      </c>
      <c r="BJ1695">
        <v>2500</v>
      </c>
      <c r="BK1695">
        <v>-300</v>
      </c>
      <c r="BL1695" t="s">
        <v>163</v>
      </c>
      <c r="BM1695">
        <v>1</v>
      </c>
      <c r="BN1695">
        <v>1</v>
      </c>
      <c r="BO1695">
        <v>1</v>
      </c>
      <c r="BP1695">
        <v>0</v>
      </c>
      <c r="BS1695">
        <v>0.12</v>
      </c>
      <c r="BT1695">
        <v>0</v>
      </c>
      <c r="BU1695">
        <v>0</v>
      </c>
      <c r="CE1695" t="str">
        <f t="shared" si="594"/>
        <v>19:30:00.406</v>
      </c>
      <c r="CF1695">
        <v>406052195</v>
      </c>
      <c r="CS1695">
        <v>3</v>
      </c>
      <c r="CT1695">
        <v>2</v>
      </c>
      <c r="CU1695">
        <v>0</v>
      </c>
      <c r="CV1695">
        <v>2</v>
      </c>
      <c r="CW1695">
        <v>0</v>
      </c>
      <c r="CX1695">
        <v>5</v>
      </c>
      <c r="CY1695">
        <v>7</v>
      </c>
      <c r="CZ1695" t="s">
        <v>131</v>
      </c>
      <c r="DA1695">
        <v>300</v>
      </c>
      <c r="DB1695">
        <v>0</v>
      </c>
      <c r="DC1695" t="s">
        <v>176</v>
      </c>
      <c r="DD1695" t="s">
        <v>177</v>
      </c>
      <c r="DG1695">
        <v>5392505</v>
      </c>
      <c r="DI1695">
        <v>1</v>
      </c>
      <c r="DJ1695">
        <v>0</v>
      </c>
      <c r="DK1695">
        <v>1</v>
      </c>
      <c r="DL1695">
        <v>0</v>
      </c>
      <c r="DM1695">
        <v>0</v>
      </c>
      <c r="DN1695">
        <v>1</v>
      </c>
      <c r="DO1695">
        <v>0</v>
      </c>
      <c r="DP1695">
        <v>0</v>
      </c>
      <c r="DQ1695">
        <v>0</v>
      </c>
      <c r="DR1695">
        <v>0</v>
      </c>
      <c r="DS1695">
        <v>0</v>
      </c>
    </row>
    <row r="1696" spans="1:123" x14ac:dyDescent="0.3">
      <c r="A1696" t="str">
        <f t="shared" ref="A1696:A1702" si="595">"10/04/2022 19:30:02.704"</f>
        <v>10/04/2022 19:30:02.704</v>
      </c>
      <c r="C1696" t="str">
        <f t="shared" ref="C1696:C1716" si="596">"FFDDD3C0"</f>
        <v>FFDDD3C0</v>
      </c>
      <c r="D1696" t="s">
        <v>143</v>
      </c>
      <c r="E1696">
        <v>20</v>
      </c>
      <c r="F1696">
        <v>1020</v>
      </c>
      <c r="G1696" t="s">
        <v>144</v>
      </c>
      <c r="J1696" t="s">
        <v>145</v>
      </c>
      <c r="K1696">
        <v>0</v>
      </c>
      <c r="L1696">
        <v>3</v>
      </c>
      <c r="M1696">
        <v>0</v>
      </c>
      <c r="N1696">
        <v>2</v>
      </c>
      <c r="O1696">
        <v>0</v>
      </c>
      <c r="P1696">
        <v>1</v>
      </c>
      <c r="Q1696">
        <v>0</v>
      </c>
      <c r="S1696" t="str">
        <f t="shared" ref="S1696:T1702" si="597">"19:30:02.000"</f>
        <v>19:30:02.000</v>
      </c>
      <c r="T1696" t="str">
        <f t="shared" si="597"/>
        <v>19:30:02.000</v>
      </c>
      <c r="U1696" t="str">
        <f t="shared" si="584"/>
        <v>AC3944</v>
      </c>
      <c r="V1696">
        <v>0</v>
      </c>
      <c r="W1696">
        <v>0</v>
      </c>
      <c r="X1696">
        <v>2</v>
      </c>
      <c r="Y1696">
        <v>0</v>
      </c>
      <c r="AA1696">
        <v>1</v>
      </c>
      <c r="AB1696">
        <v>8</v>
      </c>
      <c r="AC1696">
        <v>3</v>
      </c>
      <c r="AD1696">
        <v>0</v>
      </c>
      <c r="AE1696">
        <v>9</v>
      </c>
      <c r="AF1696" t="s">
        <v>138</v>
      </c>
      <c r="AG1696">
        <v>0</v>
      </c>
      <c r="AH1696">
        <v>3</v>
      </c>
      <c r="AI1696">
        <v>1</v>
      </c>
      <c r="AJ1696">
        <v>0</v>
      </c>
      <c r="AK1696" t="s">
        <v>620</v>
      </c>
      <c r="AL1696">
        <v>32.787945000000001</v>
      </c>
      <c r="AM1696" t="s">
        <v>621</v>
      </c>
      <c r="AN1696">
        <v>-116.86760200000001</v>
      </c>
      <c r="AO1696">
        <v>25</v>
      </c>
      <c r="AP1696">
        <v>2800</v>
      </c>
      <c r="AQ1696" t="s">
        <v>129</v>
      </c>
      <c r="AR1696">
        <v>85</v>
      </c>
      <c r="AS1696">
        <v>-79</v>
      </c>
      <c r="AT1696">
        <v>768</v>
      </c>
      <c r="BB1696">
        <v>1200</v>
      </c>
      <c r="BC1696">
        <v>1</v>
      </c>
      <c r="BD1696" t="str">
        <f t="shared" si="585"/>
        <v xml:space="preserve">N887QR  </v>
      </c>
      <c r="BE1696">
        <v>1</v>
      </c>
      <c r="BJ1696">
        <v>2525</v>
      </c>
      <c r="BK1696">
        <v>-275</v>
      </c>
      <c r="BL1696" t="s">
        <v>163</v>
      </c>
      <c r="BM1696">
        <v>1</v>
      </c>
      <c r="BN1696">
        <v>1</v>
      </c>
      <c r="BO1696">
        <v>1</v>
      </c>
      <c r="BP1696">
        <v>0</v>
      </c>
      <c r="BS1696">
        <v>0.12</v>
      </c>
      <c r="BT1696">
        <v>0</v>
      </c>
      <c r="BU1696">
        <v>0</v>
      </c>
      <c r="CE1696" t="str">
        <f t="shared" ref="CE1696:CE1702" si="598">"19:30:02.379"</f>
        <v>19:30:02.379</v>
      </c>
      <c r="CF1696">
        <v>379308864</v>
      </c>
      <c r="CS1696">
        <v>3</v>
      </c>
      <c r="CT1696">
        <v>2</v>
      </c>
      <c r="CU1696">
        <v>0</v>
      </c>
      <c r="CV1696">
        <v>2</v>
      </c>
      <c r="CW1696">
        <v>0</v>
      </c>
      <c r="CX1696">
        <v>5</v>
      </c>
      <c r="CY1696">
        <v>7</v>
      </c>
      <c r="CZ1696" t="s">
        <v>131</v>
      </c>
      <c r="DA1696">
        <v>300</v>
      </c>
      <c r="DB1696">
        <v>0</v>
      </c>
      <c r="DC1696" t="s">
        <v>176</v>
      </c>
      <c r="DD1696" t="s">
        <v>177</v>
      </c>
      <c r="DG1696">
        <v>5392817</v>
      </c>
      <c r="DI1696">
        <v>1</v>
      </c>
      <c r="DJ1696">
        <v>0</v>
      </c>
      <c r="DK1696">
        <v>0</v>
      </c>
      <c r="DL1696">
        <v>0</v>
      </c>
      <c r="DM1696">
        <v>0</v>
      </c>
      <c r="DN1696">
        <v>1</v>
      </c>
      <c r="DO1696">
        <v>0</v>
      </c>
      <c r="DP1696">
        <v>0</v>
      </c>
      <c r="DQ1696">
        <v>0</v>
      </c>
      <c r="DR1696">
        <v>0</v>
      </c>
      <c r="DS1696">
        <v>0</v>
      </c>
    </row>
    <row r="1697" spans="1:123" x14ac:dyDescent="0.3">
      <c r="A1697" t="str">
        <f t="shared" si="595"/>
        <v>10/04/2022 19:30:02.704</v>
      </c>
      <c r="C1697" t="str">
        <f t="shared" si="596"/>
        <v>FFDDD3C0</v>
      </c>
      <c r="D1697" t="s">
        <v>147</v>
      </c>
      <c r="E1697">
        <v>3</v>
      </c>
      <c r="H1697">
        <v>166</v>
      </c>
      <c r="I1697" t="s">
        <v>144</v>
      </c>
      <c r="J1697" t="s">
        <v>148</v>
      </c>
      <c r="K1697">
        <v>0</v>
      </c>
      <c r="L1697">
        <v>3</v>
      </c>
      <c r="M1697">
        <v>0</v>
      </c>
      <c r="N1697">
        <v>2</v>
      </c>
      <c r="O1697">
        <v>0</v>
      </c>
      <c r="P1697">
        <v>1</v>
      </c>
      <c r="Q1697">
        <v>0</v>
      </c>
      <c r="S1697" t="str">
        <f t="shared" si="597"/>
        <v>19:30:02.000</v>
      </c>
      <c r="T1697" t="str">
        <f t="shared" si="597"/>
        <v>19:30:02.000</v>
      </c>
      <c r="U1697" t="str">
        <f t="shared" si="584"/>
        <v>AC3944</v>
      </c>
      <c r="V1697">
        <v>0</v>
      </c>
      <c r="W1697">
        <v>0</v>
      </c>
      <c r="X1697">
        <v>2</v>
      </c>
      <c r="Y1697">
        <v>0</v>
      </c>
      <c r="AA1697">
        <v>1</v>
      </c>
      <c r="AB1697">
        <v>8</v>
      </c>
      <c r="AC1697">
        <v>3</v>
      </c>
      <c r="AD1697">
        <v>0</v>
      </c>
      <c r="AE1697">
        <v>9</v>
      </c>
      <c r="AF1697" t="s">
        <v>138</v>
      </c>
      <c r="AG1697">
        <v>0</v>
      </c>
      <c r="AH1697">
        <v>3</v>
      </c>
      <c r="AI1697">
        <v>1</v>
      </c>
      <c r="AJ1697">
        <v>0</v>
      </c>
      <c r="AK1697" t="s">
        <v>620</v>
      </c>
      <c r="AL1697">
        <v>32.787945000000001</v>
      </c>
      <c r="AM1697" t="s">
        <v>621</v>
      </c>
      <c r="AN1697">
        <v>-116.86760200000001</v>
      </c>
      <c r="AO1697">
        <v>25</v>
      </c>
      <c r="AP1697">
        <v>2800</v>
      </c>
      <c r="AQ1697" t="s">
        <v>129</v>
      </c>
      <c r="AR1697">
        <v>85</v>
      </c>
      <c r="AS1697">
        <v>-79</v>
      </c>
      <c r="AT1697">
        <v>768</v>
      </c>
      <c r="BB1697">
        <v>1200</v>
      </c>
      <c r="BC1697">
        <v>1</v>
      </c>
      <c r="BD1697" t="str">
        <f t="shared" si="585"/>
        <v xml:space="preserve">N887QR  </v>
      </c>
      <c r="BE1697">
        <v>1</v>
      </c>
      <c r="BJ1697">
        <v>2525</v>
      </c>
      <c r="BK1697">
        <v>-275</v>
      </c>
      <c r="BL1697" t="s">
        <v>163</v>
      </c>
      <c r="BM1697">
        <v>1</v>
      </c>
      <c r="BN1697">
        <v>1</v>
      </c>
      <c r="BO1697">
        <v>1</v>
      </c>
      <c r="BP1697">
        <v>0</v>
      </c>
      <c r="BS1697">
        <v>0.12</v>
      </c>
      <c r="BT1697">
        <v>0</v>
      </c>
      <c r="BU1697">
        <v>0</v>
      </c>
      <c r="CE1697" t="str">
        <f t="shared" si="598"/>
        <v>19:30:02.379</v>
      </c>
      <c r="CF1697">
        <v>379308864</v>
      </c>
      <c r="CS1697">
        <v>3</v>
      </c>
      <c r="CT1697">
        <v>2</v>
      </c>
      <c r="CU1697">
        <v>0</v>
      </c>
      <c r="CV1697">
        <v>2</v>
      </c>
      <c r="CW1697">
        <v>0</v>
      </c>
      <c r="CX1697">
        <v>5</v>
      </c>
      <c r="CY1697">
        <v>7</v>
      </c>
      <c r="CZ1697" t="s">
        <v>131</v>
      </c>
      <c r="DA1697">
        <v>300</v>
      </c>
      <c r="DB1697">
        <v>0</v>
      </c>
      <c r="DC1697" t="s">
        <v>176</v>
      </c>
      <c r="DD1697" t="s">
        <v>177</v>
      </c>
      <c r="DG1697">
        <v>5392817</v>
      </c>
      <c r="DI1697">
        <v>1</v>
      </c>
      <c r="DJ1697">
        <v>0</v>
      </c>
      <c r="DK1697">
        <v>1</v>
      </c>
      <c r="DL1697">
        <v>0</v>
      </c>
      <c r="DM1697">
        <v>0</v>
      </c>
      <c r="DN1697">
        <v>1</v>
      </c>
      <c r="DO1697">
        <v>0</v>
      </c>
      <c r="DP1697">
        <v>0</v>
      </c>
      <c r="DQ1697">
        <v>0</v>
      </c>
      <c r="DR1697">
        <v>0</v>
      </c>
      <c r="DS1697">
        <v>0</v>
      </c>
    </row>
    <row r="1698" spans="1:123" x14ac:dyDescent="0.3">
      <c r="A1698" t="str">
        <f t="shared" si="595"/>
        <v>10/04/2022 19:30:02.704</v>
      </c>
      <c r="C1698" t="str">
        <f t="shared" si="596"/>
        <v>FFDDD3C0</v>
      </c>
      <c r="D1698" t="s">
        <v>123</v>
      </c>
      <c r="E1698">
        <v>7</v>
      </c>
      <c r="F1698">
        <v>2007</v>
      </c>
      <c r="G1698" t="s">
        <v>124</v>
      </c>
      <c r="J1698" t="s">
        <v>125</v>
      </c>
      <c r="K1698">
        <v>0</v>
      </c>
      <c r="L1698">
        <v>3</v>
      </c>
      <c r="M1698">
        <v>0</v>
      </c>
      <c r="N1698">
        <v>2</v>
      </c>
      <c r="O1698">
        <v>0</v>
      </c>
      <c r="P1698">
        <v>1</v>
      </c>
      <c r="Q1698">
        <v>0</v>
      </c>
      <c r="S1698" t="str">
        <f t="shared" si="597"/>
        <v>19:30:02.000</v>
      </c>
      <c r="T1698" t="str">
        <f t="shared" si="597"/>
        <v>19:30:02.000</v>
      </c>
      <c r="U1698" t="str">
        <f t="shared" si="584"/>
        <v>AC3944</v>
      </c>
      <c r="V1698">
        <v>0</v>
      </c>
      <c r="W1698">
        <v>0</v>
      </c>
      <c r="X1698">
        <v>2</v>
      </c>
      <c r="Y1698">
        <v>0</v>
      </c>
      <c r="AA1698">
        <v>1</v>
      </c>
      <c r="AB1698">
        <v>8</v>
      </c>
      <c r="AC1698">
        <v>3</v>
      </c>
      <c r="AD1698">
        <v>0</v>
      </c>
      <c r="AE1698">
        <v>9</v>
      </c>
      <c r="AF1698" t="s">
        <v>138</v>
      </c>
      <c r="AG1698">
        <v>0</v>
      </c>
      <c r="AH1698">
        <v>3</v>
      </c>
      <c r="AI1698">
        <v>1</v>
      </c>
      <c r="AJ1698">
        <v>0</v>
      </c>
      <c r="AK1698" t="s">
        <v>620</v>
      </c>
      <c r="AL1698">
        <v>32.787945000000001</v>
      </c>
      <c r="AM1698" t="s">
        <v>621</v>
      </c>
      <c r="AN1698">
        <v>-116.86760200000001</v>
      </c>
      <c r="AO1698">
        <v>25</v>
      </c>
      <c r="AP1698">
        <v>2800</v>
      </c>
      <c r="AQ1698" t="s">
        <v>129</v>
      </c>
      <c r="AR1698">
        <v>85</v>
      </c>
      <c r="AS1698">
        <v>-79</v>
      </c>
      <c r="AT1698">
        <v>768</v>
      </c>
      <c r="BB1698">
        <v>1200</v>
      </c>
      <c r="BC1698">
        <v>1</v>
      </c>
      <c r="BD1698" t="str">
        <f t="shared" si="585"/>
        <v xml:space="preserve">N887QR  </v>
      </c>
      <c r="BE1698">
        <v>1</v>
      </c>
      <c r="BJ1698">
        <v>2525</v>
      </c>
      <c r="BK1698">
        <v>-275</v>
      </c>
      <c r="BL1698" t="s">
        <v>163</v>
      </c>
      <c r="BM1698">
        <v>1</v>
      </c>
      <c r="BN1698">
        <v>1</v>
      </c>
      <c r="BO1698">
        <v>1</v>
      </c>
      <c r="BP1698">
        <v>0</v>
      </c>
      <c r="BS1698">
        <v>0.12</v>
      </c>
      <c r="BT1698">
        <v>0</v>
      </c>
      <c r="BU1698">
        <v>0</v>
      </c>
      <c r="CE1698" t="str">
        <f t="shared" si="598"/>
        <v>19:30:02.379</v>
      </c>
      <c r="CF1698">
        <v>379308864</v>
      </c>
      <c r="CS1698">
        <v>3</v>
      </c>
      <c r="CT1698">
        <v>2</v>
      </c>
      <c r="CU1698">
        <v>0</v>
      </c>
      <c r="CV1698">
        <v>2</v>
      </c>
      <c r="CW1698">
        <v>0</v>
      </c>
      <c r="CX1698">
        <v>5</v>
      </c>
      <c r="CY1698">
        <v>7</v>
      </c>
      <c r="CZ1698" t="s">
        <v>131</v>
      </c>
      <c r="DA1698">
        <v>300</v>
      </c>
      <c r="DB1698">
        <v>0</v>
      </c>
      <c r="DC1698" t="s">
        <v>176</v>
      </c>
      <c r="DD1698" t="s">
        <v>177</v>
      </c>
      <c r="DG1698">
        <v>5392817</v>
      </c>
      <c r="DI1698">
        <v>1</v>
      </c>
      <c r="DJ1698">
        <v>0</v>
      </c>
      <c r="DK1698">
        <v>1</v>
      </c>
      <c r="DL1698">
        <v>0</v>
      </c>
      <c r="DM1698">
        <v>0</v>
      </c>
      <c r="DN1698">
        <v>1</v>
      </c>
      <c r="DO1698">
        <v>0</v>
      </c>
      <c r="DP1698">
        <v>0</v>
      </c>
      <c r="DQ1698">
        <v>0</v>
      </c>
      <c r="DR1698">
        <v>0</v>
      </c>
      <c r="DS1698">
        <v>0</v>
      </c>
    </row>
    <row r="1699" spans="1:123" x14ac:dyDescent="0.3">
      <c r="A1699" t="str">
        <f t="shared" si="595"/>
        <v>10/04/2022 19:30:02.704</v>
      </c>
      <c r="C1699" t="str">
        <f t="shared" si="596"/>
        <v>FFDDD3C0</v>
      </c>
      <c r="D1699" t="s">
        <v>141</v>
      </c>
      <c r="E1699">
        <v>3</v>
      </c>
      <c r="H1699">
        <v>3</v>
      </c>
      <c r="I1699" t="s">
        <v>146</v>
      </c>
      <c r="J1699" t="s">
        <v>138</v>
      </c>
      <c r="K1699">
        <v>0</v>
      </c>
      <c r="L1699">
        <v>3</v>
      </c>
      <c r="M1699">
        <v>0</v>
      </c>
      <c r="N1699">
        <v>2</v>
      </c>
      <c r="O1699">
        <v>0</v>
      </c>
      <c r="P1699">
        <v>1</v>
      </c>
      <c r="Q1699">
        <v>0</v>
      </c>
      <c r="S1699" t="str">
        <f t="shared" si="597"/>
        <v>19:30:02.000</v>
      </c>
      <c r="T1699" t="str">
        <f t="shared" si="597"/>
        <v>19:30:02.000</v>
      </c>
      <c r="U1699" t="str">
        <f t="shared" si="584"/>
        <v>AC3944</v>
      </c>
      <c r="V1699">
        <v>0</v>
      </c>
      <c r="W1699">
        <v>0</v>
      </c>
      <c r="X1699">
        <v>2</v>
      </c>
      <c r="Y1699">
        <v>0</v>
      </c>
      <c r="AA1699">
        <v>1</v>
      </c>
      <c r="AB1699">
        <v>8</v>
      </c>
      <c r="AC1699">
        <v>3</v>
      </c>
      <c r="AD1699">
        <v>0</v>
      </c>
      <c r="AE1699">
        <v>9</v>
      </c>
      <c r="AF1699" t="s">
        <v>138</v>
      </c>
      <c r="AG1699">
        <v>0</v>
      </c>
      <c r="AH1699">
        <v>3</v>
      </c>
      <c r="AI1699">
        <v>1</v>
      </c>
      <c r="AJ1699">
        <v>0</v>
      </c>
      <c r="AK1699" t="s">
        <v>620</v>
      </c>
      <c r="AL1699">
        <v>32.787945000000001</v>
      </c>
      <c r="AM1699" t="s">
        <v>621</v>
      </c>
      <c r="AN1699">
        <v>-116.86760200000001</v>
      </c>
      <c r="AO1699">
        <v>25</v>
      </c>
      <c r="AP1699">
        <v>2800</v>
      </c>
      <c r="AQ1699" t="s">
        <v>129</v>
      </c>
      <c r="AR1699">
        <v>85</v>
      </c>
      <c r="AS1699">
        <v>-79</v>
      </c>
      <c r="AT1699">
        <v>768</v>
      </c>
      <c r="BB1699">
        <v>1200</v>
      </c>
      <c r="BC1699">
        <v>1</v>
      </c>
      <c r="BD1699" t="str">
        <f t="shared" si="585"/>
        <v xml:space="preserve">N887QR  </v>
      </c>
      <c r="BE1699">
        <v>1</v>
      </c>
      <c r="BJ1699">
        <v>2525</v>
      </c>
      <c r="BK1699">
        <v>-275</v>
      </c>
      <c r="BL1699" t="s">
        <v>163</v>
      </c>
      <c r="BM1699">
        <v>1</v>
      </c>
      <c r="BN1699">
        <v>1</v>
      </c>
      <c r="BO1699">
        <v>1</v>
      </c>
      <c r="BP1699">
        <v>0</v>
      </c>
      <c r="BS1699">
        <v>0.12</v>
      </c>
      <c r="BT1699">
        <v>0</v>
      </c>
      <c r="BU1699">
        <v>0</v>
      </c>
      <c r="CE1699" t="str">
        <f t="shared" si="598"/>
        <v>19:30:02.379</v>
      </c>
      <c r="CF1699">
        <v>379308864</v>
      </c>
      <c r="CS1699">
        <v>3</v>
      </c>
      <c r="CT1699">
        <v>2</v>
      </c>
      <c r="CU1699">
        <v>0</v>
      </c>
      <c r="CV1699">
        <v>2</v>
      </c>
      <c r="CW1699">
        <v>0</v>
      </c>
      <c r="CX1699">
        <v>5</v>
      </c>
      <c r="CY1699">
        <v>7</v>
      </c>
      <c r="CZ1699" t="s">
        <v>131</v>
      </c>
      <c r="DA1699">
        <v>300</v>
      </c>
      <c r="DB1699">
        <v>0</v>
      </c>
      <c r="DC1699" t="s">
        <v>176</v>
      </c>
      <c r="DD1699" t="s">
        <v>177</v>
      </c>
      <c r="DG1699">
        <v>5392817</v>
      </c>
      <c r="DI1699">
        <v>1</v>
      </c>
      <c r="DJ1699">
        <v>0</v>
      </c>
      <c r="DK1699">
        <v>1</v>
      </c>
      <c r="DL1699">
        <v>0</v>
      </c>
      <c r="DM1699">
        <v>0</v>
      </c>
      <c r="DN1699">
        <v>1</v>
      </c>
      <c r="DO1699">
        <v>0</v>
      </c>
      <c r="DP1699">
        <v>0</v>
      </c>
      <c r="DQ1699">
        <v>0</v>
      </c>
      <c r="DR1699">
        <v>0</v>
      </c>
      <c r="DS1699">
        <v>0</v>
      </c>
    </row>
    <row r="1700" spans="1:123" x14ac:dyDescent="0.3">
      <c r="A1700" t="str">
        <f t="shared" si="595"/>
        <v>10/04/2022 19:30:02.704</v>
      </c>
      <c r="C1700" t="str">
        <f t="shared" si="596"/>
        <v>FFDDD3C0</v>
      </c>
      <c r="D1700" t="s">
        <v>134</v>
      </c>
      <c r="E1700">
        <v>15</v>
      </c>
      <c r="J1700" t="s">
        <v>135</v>
      </c>
      <c r="K1700">
        <v>0</v>
      </c>
      <c r="L1700">
        <v>3</v>
      </c>
      <c r="M1700">
        <v>0</v>
      </c>
      <c r="N1700">
        <v>2</v>
      </c>
      <c r="O1700">
        <v>0</v>
      </c>
      <c r="P1700">
        <v>1</v>
      </c>
      <c r="Q1700">
        <v>0</v>
      </c>
      <c r="S1700" t="str">
        <f t="shared" si="597"/>
        <v>19:30:02.000</v>
      </c>
      <c r="T1700" t="str">
        <f t="shared" si="597"/>
        <v>19:30:02.000</v>
      </c>
      <c r="U1700" t="str">
        <f t="shared" si="584"/>
        <v>AC3944</v>
      </c>
      <c r="V1700">
        <v>0</v>
      </c>
      <c r="W1700">
        <v>0</v>
      </c>
      <c r="X1700">
        <v>2</v>
      </c>
      <c r="Y1700">
        <v>0</v>
      </c>
      <c r="AA1700">
        <v>1</v>
      </c>
      <c r="AB1700">
        <v>8</v>
      </c>
      <c r="AC1700">
        <v>3</v>
      </c>
      <c r="AD1700">
        <v>0</v>
      </c>
      <c r="AE1700">
        <v>9</v>
      </c>
      <c r="AF1700" t="s">
        <v>138</v>
      </c>
      <c r="AG1700">
        <v>0</v>
      </c>
      <c r="AH1700">
        <v>3</v>
      </c>
      <c r="AI1700">
        <v>1</v>
      </c>
      <c r="AJ1700">
        <v>0</v>
      </c>
      <c r="AK1700" t="s">
        <v>620</v>
      </c>
      <c r="AL1700">
        <v>32.787945000000001</v>
      </c>
      <c r="AM1700" t="s">
        <v>621</v>
      </c>
      <c r="AN1700">
        <v>-116.86760200000001</v>
      </c>
      <c r="AO1700">
        <v>25</v>
      </c>
      <c r="AP1700">
        <v>2800</v>
      </c>
      <c r="AQ1700" t="s">
        <v>129</v>
      </c>
      <c r="AR1700">
        <v>85</v>
      </c>
      <c r="AS1700">
        <v>-79</v>
      </c>
      <c r="AT1700">
        <v>768</v>
      </c>
      <c r="BB1700">
        <v>1200</v>
      </c>
      <c r="BC1700">
        <v>1</v>
      </c>
      <c r="BD1700" t="str">
        <f t="shared" si="585"/>
        <v xml:space="preserve">N887QR  </v>
      </c>
      <c r="BE1700">
        <v>1</v>
      </c>
      <c r="BJ1700">
        <v>2525</v>
      </c>
      <c r="BK1700">
        <v>-275</v>
      </c>
      <c r="BL1700" t="s">
        <v>163</v>
      </c>
      <c r="BM1700">
        <v>1</v>
      </c>
      <c r="BN1700">
        <v>1</v>
      </c>
      <c r="BO1700">
        <v>1</v>
      </c>
      <c r="BP1700">
        <v>0</v>
      </c>
      <c r="BS1700">
        <v>0.12</v>
      </c>
      <c r="BT1700">
        <v>0</v>
      </c>
      <c r="BU1700">
        <v>0</v>
      </c>
      <c r="CE1700" t="str">
        <f t="shared" si="598"/>
        <v>19:30:02.379</v>
      </c>
      <c r="CF1700">
        <v>379308864</v>
      </c>
      <c r="CS1700">
        <v>3</v>
      </c>
      <c r="CT1700">
        <v>2</v>
      </c>
      <c r="CU1700">
        <v>0</v>
      </c>
      <c r="CV1700">
        <v>2</v>
      </c>
      <c r="CW1700">
        <v>0</v>
      </c>
      <c r="CX1700">
        <v>5</v>
      </c>
      <c r="CY1700">
        <v>7</v>
      </c>
      <c r="CZ1700" t="s">
        <v>131</v>
      </c>
      <c r="DA1700">
        <v>300</v>
      </c>
      <c r="DB1700">
        <v>0</v>
      </c>
      <c r="DC1700" t="s">
        <v>176</v>
      </c>
      <c r="DD1700" t="s">
        <v>177</v>
      </c>
      <c r="DG1700">
        <v>5392817</v>
      </c>
      <c r="DI1700">
        <v>1</v>
      </c>
      <c r="DJ1700">
        <v>0</v>
      </c>
      <c r="DK1700">
        <v>1</v>
      </c>
      <c r="DL1700">
        <v>0</v>
      </c>
      <c r="DM1700">
        <v>0</v>
      </c>
      <c r="DN1700">
        <v>1</v>
      </c>
      <c r="DO1700">
        <v>0</v>
      </c>
      <c r="DP1700">
        <v>0</v>
      </c>
      <c r="DQ1700">
        <v>0</v>
      </c>
      <c r="DR1700">
        <v>0</v>
      </c>
      <c r="DS1700">
        <v>0</v>
      </c>
    </row>
    <row r="1701" spans="1:123" x14ac:dyDescent="0.3">
      <c r="A1701" t="str">
        <f t="shared" si="595"/>
        <v>10/04/2022 19:30:02.704</v>
      </c>
      <c r="C1701" t="str">
        <f t="shared" si="596"/>
        <v>FFDDD3C0</v>
      </c>
      <c r="D1701" t="s">
        <v>136</v>
      </c>
      <c r="E1701">
        <v>8</v>
      </c>
      <c r="H1701">
        <v>225</v>
      </c>
      <c r="I1701" t="s">
        <v>137</v>
      </c>
      <c r="J1701" t="s">
        <v>138</v>
      </c>
      <c r="K1701">
        <v>0</v>
      </c>
      <c r="L1701">
        <v>3</v>
      </c>
      <c r="M1701">
        <v>0</v>
      </c>
      <c r="N1701">
        <v>2</v>
      </c>
      <c r="O1701">
        <v>0</v>
      </c>
      <c r="P1701">
        <v>1</v>
      </c>
      <c r="Q1701">
        <v>0</v>
      </c>
      <c r="S1701" t="str">
        <f t="shared" si="597"/>
        <v>19:30:02.000</v>
      </c>
      <c r="T1701" t="str">
        <f t="shared" si="597"/>
        <v>19:30:02.000</v>
      </c>
      <c r="U1701" t="str">
        <f t="shared" si="584"/>
        <v>AC3944</v>
      </c>
      <c r="V1701">
        <v>0</v>
      </c>
      <c r="W1701">
        <v>0</v>
      </c>
      <c r="X1701">
        <v>2</v>
      </c>
      <c r="Y1701">
        <v>0</v>
      </c>
      <c r="AA1701">
        <v>1</v>
      </c>
      <c r="AB1701">
        <v>8</v>
      </c>
      <c r="AC1701">
        <v>3</v>
      </c>
      <c r="AD1701">
        <v>0</v>
      </c>
      <c r="AE1701">
        <v>9</v>
      </c>
      <c r="AF1701" t="s">
        <v>138</v>
      </c>
      <c r="AG1701">
        <v>0</v>
      </c>
      <c r="AH1701">
        <v>3</v>
      </c>
      <c r="AI1701">
        <v>1</v>
      </c>
      <c r="AJ1701">
        <v>0</v>
      </c>
      <c r="AK1701" t="s">
        <v>620</v>
      </c>
      <c r="AL1701">
        <v>32.787945000000001</v>
      </c>
      <c r="AM1701" t="s">
        <v>621</v>
      </c>
      <c r="AN1701">
        <v>-116.86760200000001</v>
      </c>
      <c r="AO1701">
        <v>25</v>
      </c>
      <c r="AP1701">
        <v>2800</v>
      </c>
      <c r="AQ1701" t="s">
        <v>129</v>
      </c>
      <c r="AR1701">
        <v>85</v>
      </c>
      <c r="AS1701">
        <v>-79</v>
      </c>
      <c r="AT1701">
        <v>768</v>
      </c>
      <c r="BB1701">
        <v>1200</v>
      </c>
      <c r="BC1701">
        <v>1</v>
      </c>
      <c r="BD1701" t="str">
        <f t="shared" si="585"/>
        <v xml:space="preserve">N887QR  </v>
      </c>
      <c r="BE1701">
        <v>1</v>
      </c>
      <c r="BJ1701">
        <v>2525</v>
      </c>
      <c r="BK1701">
        <v>-275</v>
      </c>
      <c r="BL1701" t="s">
        <v>163</v>
      </c>
      <c r="BM1701">
        <v>1</v>
      </c>
      <c r="BN1701">
        <v>1</v>
      </c>
      <c r="BO1701">
        <v>1</v>
      </c>
      <c r="BP1701">
        <v>0</v>
      </c>
      <c r="BS1701">
        <v>0.12</v>
      </c>
      <c r="BT1701">
        <v>0</v>
      </c>
      <c r="BU1701">
        <v>0</v>
      </c>
      <c r="CE1701" t="str">
        <f t="shared" si="598"/>
        <v>19:30:02.379</v>
      </c>
      <c r="CF1701">
        <v>379308864</v>
      </c>
      <c r="CS1701">
        <v>3</v>
      </c>
      <c r="CT1701">
        <v>2</v>
      </c>
      <c r="CU1701">
        <v>0</v>
      </c>
      <c r="CV1701">
        <v>2</v>
      </c>
      <c r="CW1701">
        <v>0</v>
      </c>
      <c r="CX1701">
        <v>5</v>
      </c>
      <c r="CY1701">
        <v>7</v>
      </c>
      <c r="CZ1701" t="s">
        <v>131</v>
      </c>
      <c r="DA1701">
        <v>300</v>
      </c>
      <c r="DB1701">
        <v>0</v>
      </c>
      <c r="DC1701" t="s">
        <v>176</v>
      </c>
      <c r="DD1701" t="s">
        <v>177</v>
      </c>
      <c r="DG1701">
        <v>5392817</v>
      </c>
      <c r="DI1701">
        <v>1</v>
      </c>
      <c r="DJ1701">
        <v>0</v>
      </c>
      <c r="DK1701">
        <v>1</v>
      </c>
      <c r="DL1701">
        <v>0</v>
      </c>
      <c r="DM1701">
        <v>0</v>
      </c>
      <c r="DN1701">
        <v>1</v>
      </c>
      <c r="DO1701">
        <v>0</v>
      </c>
      <c r="DP1701">
        <v>0</v>
      </c>
      <c r="DQ1701">
        <v>0</v>
      </c>
      <c r="DR1701">
        <v>0</v>
      </c>
      <c r="DS1701">
        <v>0</v>
      </c>
    </row>
    <row r="1702" spans="1:123" x14ac:dyDescent="0.3">
      <c r="A1702" t="str">
        <f t="shared" si="595"/>
        <v>10/04/2022 19:30:02.704</v>
      </c>
      <c r="C1702" t="str">
        <f t="shared" si="596"/>
        <v>FFDDD3C0</v>
      </c>
      <c r="D1702" t="s">
        <v>141</v>
      </c>
      <c r="E1702">
        <v>4</v>
      </c>
      <c r="H1702">
        <v>4</v>
      </c>
      <c r="I1702" t="s">
        <v>142</v>
      </c>
      <c r="J1702" t="s">
        <v>138</v>
      </c>
      <c r="K1702">
        <v>0</v>
      </c>
      <c r="L1702">
        <v>3</v>
      </c>
      <c r="M1702">
        <v>0</v>
      </c>
      <c r="N1702">
        <v>2</v>
      </c>
      <c r="O1702">
        <v>0</v>
      </c>
      <c r="P1702">
        <v>1</v>
      </c>
      <c r="Q1702">
        <v>0</v>
      </c>
      <c r="S1702" t="str">
        <f t="shared" si="597"/>
        <v>19:30:02.000</v>
      </c>
      <c r="T1702" t="str">
        <f t="shared" si="597"/>
        <v>19:30:02.000</v>
      </c>
      <c r="U1702" t="str">
        <f t="shared" si="584"/>
        <v>AC3944</v>
      </c>
      <c r="V1702">
        <v>0</v>
      </c>
      <c r="W1702">
        <v>0</v>
      </c>
      <c r="X1702">
        <v>2</v>
      </c>
      <c r="Y1702">
        <v>0</v>
      </c>
      <c r="AA1702">
        <v>1</v>
      </c>
      <c r="AB1702">
        <v>8</v>
      </c>
      <c r="AC1702">
        <v>3</v>
      </c>
      <c r="AD1702">
        <v>0</v>
      </c>
      <c r="AE1702">
        <v>9</v>
      </c>
      <c r="AF1702" t="s">
        <v>138</v>
      </c>
      <c r="AG1702">
        <v>0</v>
      </c>
      <c r="AH1702">
        <v>3</v>
      </c>
      <c r="AI1702">
        <v>1</v>
      </c>
      <c r="AJ1702">
        <v>0</v>
      </c>
      <c r="AK1702" t="s">
        <v>620</v>
      </c>
      <c r="AL1702">
        <v>32.787945000000001</v>
      </c>
      <c r="AM1702" t="s">
        <v>621</v>
      </c>
      <c r="AN1702">
        <v>-116.86760200000001</v>
      </c>
      <c r="AO1702">
        <v>25</v>
      </c>
      <c r="AP1702">
        <v>2800</v>
      </c>
      <c r="AQ1702" t="s">
        <v>129</v>
      </c>
      <c r="AR1702">
        <v>85</v>
      </c>
      <c r="AS1702">
        <v>-79</v>
      </c>
      <c r="AT1702">
        <v>768</v>
      </c>
      <c r="BB1702">
        <v>1200</v>
      </c>
      <c r="BC1702">
        <v>1</v>
      </c>
      <c r="BD1702" t="str">
        <f t="shared" si="585"/>
        <v xml:space="preserve">N887QR  </v>
      </c>
      <c r="BE1702">
        <v>1</v>
      </c>
      <c r="BJ1702">
        <v>2525</v>
      </c>
      <c r="BK1702">
        <v>-275</v>
      </c>
      <c r="BL1702" t="s">
        <v>163</v>
      </c>
      <c r="BM1702">
        <v>1</v>
      </c>
      <c r="BN1702">
        <v>1</v>
      </c>
      <c r="BO1702">
        <v>1</v>
      </c>
      <c r="BP1702">
        <v>0</v>
      </c>
      <c r="BS1702">
        <v>0.12</v>
      </c>
      <c r="BT1702">
        <v>0</v>
      </c>
      <c r="BU1702">
        <v>0</v>
      </c>
      <c r="CE1702" t="str">
        <f t="shared" si="598"/>
        <v>19:30:02.379</v>
      </c>
      <c r="CF1702">
        <v>379308864</v>
      </c>
      <c r="CS1702">
        <v>3</v>
      </c>
      <c r="CT1702">
        <v>2</v>
      </c>
      <c r="CU1702">
        <v>0</v>
      </c>
      <c r="CV1702">
        <v>2</v>
      </c>
      <c r="CW1702">
        <v>0</v>
      </c>
      <c r="CX1702">
        <v>5</v>
      </c>
      <c r="CY1702">
        <v>7</v>
      </c>
      <c r="CZ1702" t="s">
        <v>131</v>
      </c>
      <c r="DA1702">
        <v>300</v>
      </c>
      <c r="DB1702">
        <v>0</v>
      </c>
      <c r="DC1702" t="s">
        <v>176</v>
      </c>
      <c r="DD1702" t="s">
        <v>177</v>
      </c>
      <c r="DG1702">
        <v>5392817</v>
      </c>
      <c r="DI1702">
        <v>1</v>
      </c>
      <c r="DJ1702">
        <v>0</v>
      </c>
      <c r="DK1702">
        <v>1</v>
      </c>
      <c r="DL1702">
        <v>0</v>
      </c>
      <c r="DM1702">
        <v>0</v>
      </c>
      <c r="DN1702">
        <v>1</v>
      </c>
      <c r="DO1702">
        <v>0</v>
      </c>
      <c r="DP1702">
        <v>0</v>
      </c>
      <c r="DQ1702">
        <v>0</v>
      </c>
      <c r="DR1702">
        <v>0</v>
      </c>
      <c r="DS1702">
        <v>0</v>
      </c>
    </row>
    <row r="1703" spans="1:123" x14ac:dyDescent="0.3">
      <c r="A1703" t="str">
        <f>"10/04/2022 19:30:03.548"</f>
        <v>10/04/2022 19:30:03.548</v>
      </c>
      <c r="C1703" t="str">
        <f t="shared" si="596"/>
        <v>FFDDD3C0</v>
      </c>
      <c r="D1703" t="s">
        <v>141</v>
      </c>
      <c r="E1703">
        <v>3</v>
      </c>
      <c r="H1703">
        <v>3</v>
      </c>
      <c r="I1703" t="s">
        <v>146</v>
      </c>
      <c r="J1703" t="s">
        <v>138</v>
      </c>
      <c r="K1703">
        <v>0</v>
      </c>
      <c r="L1703">
        <v>3</v>
      </c>
      <c r="M1703">
        <v>0</v>
      </c>
      <c r="N1703">
        <v>2</v>
      </c>
      <c r="O1703">
        <v>0</v>
      </c>
      <c r="P1703">
        <v>1</v>
      </c>
      <c r="Q1703">
        <v>0</v>
      </c>
      <c r="S1703" t="str">
        <f t="shared" ref="S1703:T1709" si="599">"19:30:03.000"</f>
        <v>19:30:03.000</v>
      </c>
      <c r="T1703" t="str">
        <f t="shared" si="599"/>
        <v>19:30:03.000</v>
      </c>
      <c r="U1703" t="str">
        <f t="shared" si="584"/>
        <v>AC3944</v>
      </c>
      <c r="V1703">
        <v>0</v>
      </c>
      <c r="W1703">
        <v>0</v>
      </c>
      <c r="X1703">
        <v>2</v>
      </c>
      <c r="Y1703">
        <v>0</v>
      </c>
      <c r="AA1703">
        <v>1</v>
      </c>
      <c r="AB1703">
        <v>8</v>
      </c>
      <c r="AC1703">
        <v>3</v>
      </c>
      <c r="AD1703">
        <v>0</v>
      </c>
      <c r="AE1703">
        <v>9</v>
      </c>
      <c r="AF1703" t="s">
        <v>138</v>
      </c>
      <c r="AG1703">
        <v>0</v>
      </c>
      <c r="AH1703">
        <v>3</v>
      </c>
      <c r="AI1703">
        <v>1</v>
      </c>
      <c r="AJ1703">
        <v>0</v>
      </c>
      <c r="AK1703" t="s">
        <v>622</v>
      </c>
      <c r="AL1703">
        <v>32.787495</v>
      </c>
      <c r="AM1703" t="s">
        <v>623</v>
      </c>
      <c r="AN1703">
        <v>-116.86704400000001</v>
      </c>
      <c r="AO1703">
        <v>25</v>
      </c>
      <c r="AP1703">
        <v>2800</v>
      </c>
      <c r="AQ1703" t="s">
        <v>129</v>
      </c>
      <c r="AR1703">
        <v>84</v>
      </c>
      <c r="AS1703">
        <v>-79</v>
      </c>
      <c r="AT1703">
        <v>768</v>
      </c>
      <c r="BB1703">
        <v>1200</v>
      </c>
      <c r="BC1703">
        <v>1</v>
      </c>
      <c r="BD1703" t="str">
        <f t="shared" si="585"/>
        <v xml:space="preserve">N887QR  </v>
      </c>
      <c r="BE1703">
        <v>1</v>
      </c>
      <c r="BJ1703">
        <v>2525</v>
      </c>
      <c r="BK1703">
        <v>-275</v>
      </c>
      <c r="BL1703" t="s">
        <v>163</v>
      </c>
      <c r="BM1703">
        <v>1</v>
      </c>
      <c r="BN1703">
        <v>1</v>
      </c>
      <c r="BO1703">
        <v>1</v>
      </c>
      <c r="BP1703">
        <v>0</v>
      </c>
      <c r="BS1703">
        <v>0.12</v>
      </c>
      <c r="BT1703">
        <v>0</v>
      </c>
      <c r="BU1703">
        <v>0</v>
      </c>
      <c r="CE1703" t="str">
        <f t="shared" ref="CE1703:CE1709" si="600">"19:30:03.229"</f>
        <v>19:30:03.229</v>
      </c>
      <c r="CF1703">
        <v>229311706</v>
      </c>
      <c r="CS1703">
        <v>3</v>
      </c>
      <c r="CT1703">
        <v>2</v>
      </c>
      <c r="CU1703">
        <v>0</v>
      </c>
      <c r="CV1703">
        <v>2</v>
      </c>
      <c r="CW1703">
        <v>0</v>
      </c>
      <c r="CX1703">
        <v>5</v>
      </c>
      <c r="CY1703">
        <v>7</v>
      </c>
      <c r="CZ1703" t="s">
        <v>131</v>
      </c>
      <c r="DA1703">
        <v>300</v>
      </c>
      <c r="DB1703">
        <v>0</v>
      </c>
      <c r="DC1703" t="s">
        <v>176</v>
      </c>
      <c r="DD1703" t="s">
        <v>177</v>
      </c>
      <c r="DG1703">
        <v>5392952</v>
      </c>
      <c r="DI1703">
        <v>1</v>
      </c>
      <c r="DJ1703">
        <v>0</v>
      </c>
      <c r="DK1703">
        <v>0</v>
      </c>
      <c r="DL1703">
        <v>0</v>
      </c>
      <c r="DM1703">
        <v>0</v>
      </c>
      <c r="DN1703">
        <v>1</v>
      </c>
      <c r="DO1703">
        <v>0</v>
      </c>
      <c r="DP1703">
        <v>0</v>
      </c>
      <c r="DQ1703">
        <v>0</v>
      </c>
      <c r="DR1703">
        <v>0</v>
      </c>
      <c r="DS1703">
        <v>0</v>
      </c>
    </row>
    <row r="1704" spans="1:123" x14ac:dyDescent="0.3">
      <c r="A1704" t="str">
        <f>"10/04/2022 19:30:03.548"</f>
        <v>10/04/2022 19:30:03.548</v>
      </c>
      <c r="C1704" t="str">
        <f t="shared" si="596"/>
        <v>FFDDD3C0</v>
      </c>
      <c r="D1704" t="s">
        <v>136</v>
      </c>
      <c r="E1704">
        <v>8</v>
      </c>
      <c r="H1704">
        <v>225</v>
      </c>
      <c r="I1704" t="s">
        <v>137</v>
      </c>
      <c r="J1704" t="s">
        <v>138</v>
      </c>
      <c r="K1704">
        <v>0</v>
      </c>
      <c r="L1704">
        <v>3</v>
      </c>
      <c r="M1704">
        <v>0</v>
      </c>
      <c r="N1704">
        <v>2</v>
      </c>
      <c r="O1704">
        <v>0</v>
      </c>
      <c r="P1704">
        <v>1</v>
      </c>
      <c r="Q1704">
        <v>0</v>
      </c>
      <c r="S1704" t="str">
        <f t="shared" si="599"/>
        <v>19:30:03.000</v>
      </c>
      <c r="T1704" t="str">
        <f t="shared" si="599"/>
        <v>19:30:03.000</v>
      </c>
      <c r="U1704" t="str">
        <f t="shared" si="584"/>
        <v>AC3944</v>
      </c>
      <c r="V1704">
        <v>0</v>
      </c>
      <c r="W1704">
        <v>0</v>
      </c>
      <c r="X1704">
        <v>2</v>
      </c>
      <c r="Y1704">
        <v>0</v>
      </c>
      <c r="AA1704">
        <v>1</v>
      </c>
      <c r="AB1704">
        <v>8</v>
      </c>
      <c r="AC1704">
        <v>3</v>
      </c>
      <c r="AD1704">
        <v>0</v>
      </c>
      <c r="AE1704">
        <v>9</v>
      </c>
      <c r="AF1704" t="s">
        <v>138</v>
      </c>
      <c r="AG1704">
        <v>0</v>
      </c>
      <c r="AH1704">
        <v>3</v>
      </c>
      <c r="AI1704">
        <v>1</v>
      </c>
      <c r="AJ1704">
        <v>0</v>
      </c>
      <c r="AK1704" t="s">
        <v>622</v>
      </c>
      <c r="AL1704">
        <v>32.787495</v>
      </c>
      <c r="AM1704" t="s">
        <v>623</v>
      </c>
      <c r="AN1704">
        <v>-116.86704400000001</v>
      </c>
      <c r="AO1704">
        <v>25</v>
      </c>
      <c r="AP1704">
        <v>2800</v>
      </c>
      <c r="AQ1704" t="s">
        <v>129</v>
      </c>
      <c r="AR1704">
        <v>84</v>
      </c>
      <c r="AS1704">
        <v>-79</v>
      </c>
      <c r="AT1704">
        <v>768</v>
      </c>
      <c r="BB1704">
        <v>1200</v>
      </c>
      <c r="BC1704">
        <v>1</v>
      </c>
      <c r="BD1704" t="str">
        <f t="shared" si="585"/>
        <v xml:space="preserve">N887QR  </v>
      </c>
      <c r="BE1704">
        <v>1</v>
      </c>
      <c r="BJ1704">
        <v>2525</v>
      </c>
      <c r="BK1704">
        <v>-275</v>
      </c>
      <c r="BL1704" t="s">
        <v>163</v>
      </c>
      <c r="BM1704">
        <v>1</v>
      </c>
      <c r="BN1704">
        <v>1</v>
      </c>
      <c r="BO1704">
        <v>1</v>
      </c>
      <c r="BP1704">
        <v>0</v>
      </c>
      <c r="BS1704">
        <v>0.12</v>
      </c>
      <c r="BT1704">
        <v>0</v>
      </c>
      <c r="BU1704">
        <v>0</v>
      </c>
      <c r="CE1704" t="str">
        <f t="shared" si="600"/>
        <v>19:30:03.229</v>
      </c>
      <c r="CF1704">
        <v>229311706</v>
      </c>
      <c r="CS1704">
        <v>3</v>
      </c>
      <c r="CT1704">
        <v>2</v>
      </c>
      <c r="CU1704">
        <v>0</v>
      </c>
      <c r="CV1704">
        <v>2</v>
      </c>
      <c r="CW1704">
        <v>0</v>
      </c>
      <c r="CX1704">
        <v>5</v>
      </c>
      <c r="CY1704">
        <v>7</v>
      </c>
      <c r="CZ1704" t="s">
        <v>131</v>
      </c>
      <c r="DA1704">
        <v>300</v>
      </c>
      <c r="DB1704">
        <v>0</v>
      </c>
      <c r="DC1704" t="s">
        <v>176</v>
      </c>
      <c r="DD1704" t="s">
        <v>177</v>
      </c>
      <c r="DG1704">
        <v>5392952</v>
      </c>
      <c r="DI1704">
        <v>1</v>
      </c>
      <c r="DJ1704">
        <v>0</v>
      </c>
      <c r="DK1704">
        <v>1</v>
      </c>
      <c r="DL1704">
        <v>0</v>
      </c>
      <c r="DM1704">
        <v>0</v>
      </c>
      <c r="DN1704">
        <v>1</v>
      </c>
      <c r="DO1704">
        <v>0</v>
      </c>
      <c r="DP1704">
        <v>0</v>
      </c>
      <c r="DQ1704">
        <v>0</v>
      </c>
      <c r="DR1704">
        <v>0</v>
      </c>
      <c r="DS1704">
        <v>0</v>
      </c>
    </row>
    <row r="1705" spans="1:123" x14ac:dyDescent="0.3">
      <c r="A1705" t="str">
        <f>"10/04/2022 19:30:03.548"</f>
        <v>10/04/2022 19:30:03.548</v>
      </c>
      <c r="C1705" t="str">
        <f t="shared" si="596"/>
        <v>FFDDD3C0</v>
      </c>
      <c r="D1705" t="s">
        <v>141</v>
      </c>
      <c r="E1705">
        <v>4</v>
      </c>
      <c r="H1705">
        <v>4</v>
      </c>
      <c r="I1705" t="s">
        <v>142</v>
      </c>
      <c r="J1705" t="s">
        <v>138</v>
      </c>
      <c r="K1705">
        <v>0</v>
      </c>
      <c r="L1705">
        <v>3</v>
      </c>
      <c r="M1705">
        <v>0</v>
      </c>
      <c r="N1705">
        <v>2</v>
      </c>
      <c r="O1705">
        <v>0</v>
      </c>
      <c r="P1705">
        <v>1</v>
      </c>
      <c r="Q1705">
        <v>0</v>
      </c>
      <c r="S1705" t="str">
        <f t="shared" si="599"/>
        <v>19:30:03.000</v>
      </c>
      <c r="T1705" t="str">
        <f t="shared" si="599"/>
        <v>19:30:03.000</v>
      </c>
      <c r="U1705" t="str">
        <f t="shared" si="584"/>
        <v>AC3944</v>
      </c>
      <c r="V1705">
        <v>0</v>
      </c>
      <c r="W1705">
        <v>0</v>
      </c>
      <c r="X1705">
        <v>2</v>
      </c>
      <c r="Y1705">
        <v>0</v>
      </c>
      <c r="AA1705">
        <v>1</v>
      </c>
      <c r="AB1705">
        <v>8</v>
      </c>
      <c r="AC1705">
        <v>3</v>
      </c>
      <c r="AD1705">
        <v>0</v>
      </c>
      <c r="AE1705">
        <v>9</v>
      </c>
      <c r="AF1705" t="s">
        <v>138</v>
      </c>
      <c r="AG1705">
        <v>0</v>
      </c>
      <c r="AH1705">
        <v>3</v>
      </c>
      <c r="AI1705">
        <v>1</v>
      </c>
      <c r="AJ1705">
        <v>0</v>
      </c>
      <c r="AK1705" t="s">
        <v>622</v>
      </c>
      <c r="AL1705">
        <v>32.787495</v>
      </c>
      <c r="AM1705" t="s">
        <v>623</v>
      </c>
      <c r="AN1705">
        <v>-116.86704400000001</v>
      </c>
      <c r="AO1705">
        <v>25</v>
      </c>
      <c r="AP1705">
        <v>2800</v>
      </c>
      <c r="AQ1705" t="s">
        <v>129</v>
      </c>
      <c r="AR1705">
        <v>84</v>
      </c>
      <c r="AS1705">
        <v>-79</v>
      </c>
      <c r="AT1705">
        <v>768</v>
      </c>
      <c r="BB1705">
        <v>1200</v>
      </c>
      <c r="BC1705">
        <v>1</v>
      </c>
      <c r="BD1705" t="str">
        <f t="shared" si="585"/>
        <v xml:space="preserve">N887QR  </v>
      </c>
      <c r="BE1705">
        <v>1</v>
      </c>
      <c r="BJ1705">
        <v>2525</v>
      </c>
      <c r="BK1705">
        <v>-275</v>
      </c>
      <c r="BL1705" t="s">
        <v>163</v>
      </c>
      <c r="BM1705">
        <v>1</v>
      </c>
      <c r="BN1705">
        <v>1</v>
      </c>
      <c r="BO1705">
        <v>1</v>
      </c>
      <c r="BP1705">
        <v>0</v>
      </c>
      <c r="BS1705">
        <v>0.12</v>
      </c>
      <c r="BT1705">
        <v>0</v>
      </c>
      <c r="BU1705">
        <v>0</v>
      </c>
      <c r="CE1705" t="str">
        <f t="shared" si="600"/>
        <v>19:30:03.229</v>
      </c>
      <c r="CF1705">
        <v>229311706</v>
      </c>
      <c r="CS1705">
        <v>3</v>
      </c>
      <c r="CT1705">
        <v>2</v>
      </c>
      <c r="CU1705">
        <v>0</v>
      </c>
      <c r="CV1705">
        <v>2</v>
      </c>
      <c r="CW1705">
        <v>0</v>
      </c>
      <c r="CX1705">
        <v>5</v>
      </c>
      <c r="CY1705">
        <v>7</v>
      </c>
      <c r="CZ1705" t="s">
        <v>131</v>
      </c>
      <c r="DA1705">
        <v>300</v>
      </c>
      <c r="DB1705">
        <v>0</v>
      </c>
      <c r="DC1705" t="s">
        <v>176</v>
      </c>
      <c r="DD1705" t="s">
        <v>177</v>
      </c>
      <c r="DG1705">
        <v>5392952</v>
      </c>
      <c r="DI1705">
        <v>1</v>
      </c>
      <c r="DJ1705">
        <v>0</v>
      </c>
      <c r="DK1705">
        <v>1</v>
      </c>
      <c r="DL1705">
        <v>0</v>
      </c>
      <c r="DM1705">
        <v>0</v>
      </c>
      <c r="DN1705">
        <v>1</v>
      </c>
      <c r="DO1705">
        <v>0</v>
      </c>
      <c r="DP1705">
        <v>0</v>
      </c>
      <c r="DQ1705">
        <v>0</v>
      </c>
      <c r="DR1705">
        <v>0</v>
      </c>
      <c r="DS1705">
        <v>0</v>
      </c>
    </row>
    <row r="1706" spans="1:123" x14ac:dyDescent="0.3">
      <c r="A1706" t="str">
        <f>"10/04/2022 19:30:03.548"</f>
        <v>10/04/2022 19:30:03.548</v>
      </c>
      <c r="C1706" t="str">
        <f t="shared" si="596"/>
        <v>FFDDD3C0</v>
      </c>
      <c r="D1706" t="s">
        <v>134</v>
      </c>
      <c r="E1706">
        <v>15</v>
      </c>
      <c r="J1706" t="s">
        <v>135</v>
      </c>
      <c r="K1706">
        <v>0</v>
      </c>
      <c r="L1706">
        <v>3</v>
      </c>
      <c r="M1706">
        <v>0</v>
      </c>
      <c r="N1706">
        <v>2</v>
      </c>
      <c r="O1706">
        <v>0</v>
      </c>
      <c r="P1706">
        <v>1</v>
      </c>
      <c r="Q1706">
        <v>0</v>
      </c>
      <c r="S1706" t="str">
        <f t="shared" si="599"/>
        <v>19:30:03.000</v>
      </c>
      <c r="T1706" t="str">
        <f t="shared" si="599"/>
        <v>19:30:03.000</v>
      </c>
      <c r="U1706" t="str">
        <f t="shared" si="584"/>
        <v>AC3944</v>
      </c>
      <c r="V1706">
        <v>0</v>
      </c>
      <c r="W1706">
        <v>0</v>
      </c>
      <c r="X1706">
        <v>2</v>
      </c>
      <c r="Y1706">
        <v>0</v>
      </c>
      <c r="AA1706">
        <v>1</v>
      </c>
      <c r="AB1706">
        <v>8</v>
      </c>
      <c r="AC1706">
        <v>3</v>
      </c>
      <c r="AD1706">
        <v>0</v>
      </c>
      <c r="AE1706">
        <v>9</v>
      </c>
      <c r="AF1706" t="s">
        <v>138</v>
      </c>
      <c r="AG1706">
        <v>0</v>
      </c>
      <c r="AH1706">
        <v>3</v>
      </c>
      <c r="AI1706">
        <v>1</v>
      </c>
      <c r="AJ1706">
        <v>0</v>
      </c>
      <c r="AK1706" t="s">
        <v>622</v>
      </c>
      <c r="AL1706">
        <v>32.787495</v>
      </c>
      <c r="AM1706" t="s">
        <v>623</v>
      </c>
      <c r="AN1706">
        <v>-116.86704400000001</v>
      </c>
      <c r="AO1706">
        <v>25</v>
      </c>
      <c r="AP1706">
        <v>2800</v>
      </c>
      <c r="AQ1706" t="s">
        <v>129</v>
      </c>
      <c r="AR1706">
        <v>84</v>
      </c>
      <c r="AS1706">
        <v>-79</v>
      </c>
      <c r="AT1706">
        <v>768</v>
      </c>
      <c r="BB1706">
        <v>1200</v>
      </c>
      <c r="BC1706">
        <v>1</v>
      </c>
      <c r="BD1706" t="str">
        <f t="shared" si="585"/>
        <v xml:space="preserve">N887QR  </v>
      </c>
      <c r="BE1706">
        <v>1</v>
      </c>
      <c r="BJ1706">
        <v>2525</v>
      </c>
      <c r="BK1706">
        <v>-275</v>
      </c>
      <c r="BL1706" t="s">
        <v>163</v>
      </c>
      <c r="BM1706">
        <v>1</v>
      </c>
      <c r="BN1706">
        <v>1</v>
      </c>
      <c r="BO1706">
        <v>1</v>
      </c>
      <c r="BP1706">
        <v>0</v>
      </c>
      <c r="BS1706">
        <v>0.12</v>
      </c>
      <c r="BT1706">
        <v>0</v>
      </c>
      <c r="BU1706">
        <v>0</v>
      </c>
      <c r="CE1706" t="str">
        <f t="shared" si="600"/>
        <v>19:30:03.229</v>
      </c>
      <c r="CF1706">
        <v>229311706</v>
      </c>
      <c r="CS1706">
        <v>3</v>
      </c>
      <c r="CT1706">
        <v>2</v>
      </c>
      <c r="CU1706">
        <v>0</v>
      </c>
      <c r="CV1706">
        <v>2</v>
      </c>
      <c r="CW1706">
        <v>0</v>
      </c>
      <c r="CX1706">
        <v>5</v>
      </c>
      <c r="CY1706">
        <v>7</v>
      </c>
      <c r="CZ1706" t="s">
        <v>131</v>
      </c>
      <c r="DA1706">
        <v>300</v>
      </c>
      <c r="DB1706">
        <v>0</v>
      </c>
      <c r="DC1706" t="s">
        <v>176</v>
      </c>
      <c r="DD1706" t="s">
        <v>177</v>
      </c>
      <c r="DG1706">
        <v>5392952</v>
      </c>
      <c r="DI1706">
        <v>1</v>
      </c>
      <c r="DJ1706">
        <v>0</v>
      </c>
      <c r="DK1706">
        <v>1</v>
      </c>
      <c r="DL1706">
        <v>0</v>
      </c>
      <c r="DM1706">
        <v>0</v>
      </c>
      <c r="DN1706">
        <v>1</v>
      </c>
      <c r="DO1706">
        <v>0</v>
      </c>
      <c r="DP1706">
        <v>0</v>
      </c>
      <c r="DQ1706">
        <v>0</v>
      </c>
      <c r="DR1706">
        <v>0</v>
      </c>
      <c r="DS1706">
        <v>0</v>
      </c>
    </row>
    <row r="1707" spans="1:123" x14ac:dyDescent="0.3">
      <c r="A1707" t="str">
        <f>"10/04/2022 19:30:03.579"</f>
        <v>10/04/2022 19:30:03.579</v>
      </c>
      <c r="C1707" t="str">
        <f t="shared" si="596"/>
        <v>FFDDD3C0</v>
      </c>
      <c r="D1707" t="s">
        <v>143</v>
      </c>
      <c r="E1707">
        <v>20</v>
      </c>
      <c r="F1707">
        <v>1020</v>
      </c>
      <c r="G1707" t="s">
        <v>144</v>
      </c>
      <c r="J1707" t="s">
        <v>145</v>
      </c>
      <c r="K1707">
        <v>0</v>
      </c>
      <c r="L1707">
        <v>3</v>
      </c>
      <c r="M1707">
        <v>0</v>
      </c>
      <c r="N1707">
        <v>2</v>
      </c>
      <c r="O1707">
        <v>0</v>
      </c>
      <c r="P1707">
        <v>1</v>
      </c>
      <c r="Q1707">
        <v>0</v>
      </c>
      <c r="S1707" t="str">
        <f t="shared" si="599"/>
        <v>19:30:03.000</v>
      </c>
      <c r="T1707" t="str">
        <f t="shared" si="599"/>
        <v>19:30:03.000</v>
      </c>
      <c r="U1707" t="str">
        <f t="shared" si="584"/>
        <v>AC3944</v>
      </c>
      <c r="V1707">
        <v>0</v>
      </c>
      <c r="W1707">
        <v>0</v>
      </c>
      <c r="X1707">
        <v>2</v>
      </c>
      <c r="Y1707">
        <v>0</v>
      </c>
      <c r="AA1707">
        <v>1</v>
      </c>
      <c r="AB1707">
        <v>8</v>
      </c>
      <c r="AC1707">
        <v>3</v>
      </c>
      <c r="AD1707">
        <v>0</v>
      </c>
      <c r="AE1707">
        <v>9</v>
      </c>
      <c r="AF1707" t="s">
        <v>138</v>
      </c>
      <c r="AG1707">
        <v>0</v>
      </c>
      <c r="AH1707">
        <v>3</v>
      </c>
      <c r="AI1707">
        <v>1</v>
      </c>
      <c r="AJ1707">
        <v>0</v>
      </c>
      <c r="AK1707" t="s">
        <v>622</v>
      </c>
      <c r="AL1707">
        <v>32.787495</v>
      </c>
      <c r="AM1707" t="s">
        <v>623</v>
      </c>
      <c r="AN1707">
        <v>-116.86704400000001</v>
      </c>
      <c r="AO1707">
        <v>25</v>
      </c>
      <c r="AP1707">
        <v>2800</v>
      </c>
      <c r="AQ1707" t="s">
        <v>129</v>
      </c>
      <c r="AR1707">
        <v>84</v>
      </c>
      <c r="AS1707">
        <v>-79</v>
      </c>
      <c r="AT1707">
        <v>768</v>
      </c>
      <c r="BB1707">
        <v>1200</v>
      </c>
      <c r="BC1707">
        <v>1</v>
      </c>
      <c r="BD1707" t="str">
        <f t="shared" si="585"/>
        <v xml:space="preserve">N887QR  </v>
      </c>
      <c r="BE1707">
        <v>1</v>
      </c>
      <c r="BJ1707">
        <v>2525</v>
      </c>
      <c r="BK1707">
        <v>-275</v>
      </c>
      <c r="BL1707" t="s">
        <v>163</v>
      </c>
      <c r="BM1707">
        <v>1</v>
      </c>
      <c r="BN1707">
        <v>1</v>
      </c>
      <c r="BO1707">
        <v>1</v>
      </c>
      <c r="BP1707">
        <v>0</v>
      </c>
      <c r="BS1707">
        <v>0.12</v>
      </c>
      <c r="BT1707">
        <v>0</v>
      </c>
      <c r="BU1707">
        <v>0</v>
      </c>
      <c r="CE1707" t="str">
        <f t="shared" si="600"/>
        <v>19:30:03.229</v>
      </c>
      <c r="CF1707">
        <v>229311706</v>
      </c>
      <c r="CS1707">
        <v>3</v>
      </c>
      <c r="CT1707">
        <v>2</v>
      </c>
      <c r="CU1707">
        <v>0</v>
      </c>
      <c r="CV1707">
        <v>2</v>
      </c>
      <c r="CW1707">
        <v>0</v>
      </c>
      <c r="CX1707">
        <v>5</v>
      </c>
      <c r="CY1707">
        <v>7</v>
      </c>
      <c r="CZ1707" t="s">
        <v>131</v>
      </c>
      <c r="DA1707">
        <v>300</v>
      </c>
      <c r="DB1707">
        <v>0</v>
      </c>
      <c r="DC1707" t="s">
        <v>176</v>
      </c>
      <c r="DD1707" t="s">
        <v>177</v>
      </c>
      <c r="DG1707">
        <v>5392952</v>
      </c>
      <c r="DI1707">
        <v>1</v>
      </c>
      <c r="DJ1707">
        <v>0</v>
      </c>
      <c r="DK1707">
        <v>1</v>
      </c>
      <c r="DL1707">
        <v>0</v>
      </c>
      <c r="DM1707">
        <v>0</v>
      </c>
      <c r="DN1707">
        <v>1</v>
      </c>
      <c r="DO1707">
        <v>0</v>
      </c>
      <c r="DP1707">
        <v>0</v>
      </c>
      <c r="DQ1707">
        <v>0</v>
      </c>
      <c r="DR1707">
        <v>0</v>
      </c>
      <c r="DS1707">
        <v>0</v>
      </c>
    </row>
    <row r="1708" spans="1:123" x14ac:dyDescent="0.3">
      <c r="A1708" t="str">
        <f>"10/04/2022 19:30:03.579"</f>
        <v>10/04/2022 19:30:03.579</v>
      </c>
      <c r="C1708" t="str">
        <f t="shared" si="596"/>
        <v>FFDDD3C0</v>
      </c>
      <c r="D1708" t="s">
        <v>123</v>
      </c>
      <c r="E1708">
        <v>7</v>
      </c>
      <c r="F1708">
        <v>2007</v>
      </c>
      <c r="G1708" t="s">
        <v>124</v>
      </c>
      <c r="J1708" t="s">
        <v>125</v>
      </c>
      <c r="K1708">
        <v>0</v>
      </c>
      <c r="L1708">
        <v>3</v>
      </c>
      <c r="M1708">
        <v>0</v>
      </c>
      <c r="N1708">
        <v>2</v>
      </c>
      <c r="O1708">
        <v>0</v>
      </c>
      <c r="P1708">
        <v>1</v>
      </c>
      <c r="Q1708">
        <v>0</v>
      </c>
      <c r="S1708" t="str">
        <f t="shared" si="599"/>
        <v>19:30:03.000</v>
      </c>
      <c r="T1708" t="str">
        <f t="shared" si="599"/>
        <v>19:30:03.000</v>
      </c>
      <c r="U1708" t="str">
        <f t="shared" si="584"/>
        <v>AC3944</v>
      </c>
      <c r="V1708">
        <v>0</v>
      </c>
      <c r="W1708">
        <v>0</v>
      </c>
      <c r="X1708">
        <v>2</v>
      </c>
      <c r="Y1708">
        <v>0</v>
      </c>
      <c r="AA1708">
        <v>1</v>
      </c>
      <c r="AB1708">
        <v>8</v>
      </c>
      <c r="AC1708">
        <v>3</v>
      </c>
      <c r="AD1708">
        <v>0</v>
      </c>
      <c r="AE1708">
        <v>9</v>
      </c>
      <c r="AF1708" t="s">
        <v>138</v>
      </c>
      <c r="AG1708">
        <v>0</v>
      </c>
      <c r="AH1708">
        <v>3</v>
      </c>
      <c r="AI1708">
        <v>1</v>
      </c>
      <c r="AJ1708">
        <v>0</v>
      </c>
      <c r="AK1708" t="s">
        <v>622</v>
      </c>
      <c r="AL1708">
        <v>32.787495</v>
      </c>
      <c r="AM1708" t="s">
        <v>623</v>
      </c>
      <c r="AN1708">
        <v>-116.86704400000001</v>
      </c>
      <c r="AO1708">
        <v>25</v>
      </c>
      <c r="AP1708">
        <v>2800</v>
      </c>
      <c r="AQ1708" t="s">
        <v>129</v>
      </c>
      <c r="AR1708">
        <v>84</v>
      </c>
      <c r="AS1708">
        <v>-79</v>
      </c>
      <c r="AT1708">
        <v>768</v>
      </c>
      <c r="BB1708">
        <v>1200</v>
      </c>
      <c r="BC1708">
        <v>1</v>
      </c>
      <c r="BD1708" t="str">
        <f t="shared" si="585"/>
        <v xml:space="preserve">N887QR  </v>
      </c>
      <c r="BE1708">
        <v>1</v>
      </c>
      <c r="BJ1708">
        <v>2525</v>
      </c>
      <c r="BK1708">
        <v>-275</v>
      </c>
      <c r="BL1708" t="s">
        <v>163</v>
      </c>
      <c r="BM1708">
        <v>1</v>
      </c>
      <c r="BN1708">
        <v>1</v>
      </c>
      <c r="BO1708">
        <v>1</v>
      </c>
      <c r="BP1708">
        <v>0</v>
      </c>
      <c r="BS1708">
        <v>0.12</v>
      </c>
      <c r="BT1708">
        <v>0</v>
      </c>
      <c r="BU1708">
        <v>0</v>
      </c>
      <c r="CE1708" t="str">
        <f t="shared" si="600"/>
        <v>19:30:03.229</v>
      </c>
      <c r="CF1708">
        <v>229311706</v>
      </c>
      <c r="CS1708">
        <v>3</v>
      </c>
      <c r="CT1708">
        <v>2</v>
      </c>
      <c r="CU1708">
        <v>0</v>
      </c>
      <c r="CV1708">
        <v>2</v>
      </c>
      <c r="CW1708">
        <v>0</v>
      </c>
      <c r="CX1708">
        <v>5</v>
      </c>
      <c r="CY1708">
        <v>7</v>
      </c>
      <c r="CZ1708" t="s">
        <v>131</v>
      </c>
      <c r="DA1708">
        <v>300</v>
      </c>
      <c r="DB1708">
        <v>0</v>
      </c>
      <c r="DC1708" t="s">
        <v>176</v>
      </c>
      <c r="DD1708" t="s">
        <v>177</v>
      </c>
      <c r="DG1708">
        <v>5392952</v>
      </c>
      <c r="DI1708">
        <v>1</v>
      </c>
      <c r="DJ1708">
        <v>0</v>
      </c>
      <c r="DK1708">
        <v>1</v>
      </c>
      <c r="DL1708">
        <v>0</v>
      </c>
      <c r="DM1708">
        <v>0</v>
      </c>
      <c r="DN1708">
        <v>1</v>
      </c>
      <c r="DO1708">
        <v>0</v>
      </c>
      <c r="DP1708">
        <v>0</v>
      </c>
      <c r="DQ1708">
        <v>0</v>
      </c>
      <c r="DR1708">
        <v>0</v>
      </c>
      <c r="DS1708">
        <v>0</v>
      </c>
    </row>
    <row r="1709" spans="1:123" x14ac:dyDescent="0.3">
      <c r="A1709" t="str">
        <f>"10/04/2022 19:30:03.579"</f>
        <v>10/04/2022 19:30:03.579</v>
      </c>
      <c r="C1709" t="str">
        <f t="shared" si="596"/>
        <v>FFDDD3C0</v>
      </c>
      <c r="D1709" t="s">
        <v>147</v>
      </c>
      <c r="E1709">
        <v>3</v>
      </c>
      <c r="H1709">
        <v>166</v>
      </c>
      <c r="I1709" t="s">
        <v>144</v>
      </c>
      <c r="J1709" t="s">
        <v>148</v>
      </c>
      <c r="K1709">
        <v>0</v>
      </c>
      <c r="L1709">
        <v>3</v>
      </c>
      <c r="M1709">
        <v>0</v>
      </c>
      <c r="N1709">
        <v>2</v>
      </c>
      <c r="O1709">
        <v>0</v>
      </c>
      <c r="P1709">
        <v>1</v>
      </c>
      <c r="Q1709">
        <v>0</v>
      </c>
      <c r="S1709" t="str">
        <f t="shared" si="599"/>
        <v>19:30:03.000</v>
      </c>
      <c r="T1709" t="str">
        <f t="shared" si="599"/>
        <v>19:30:03.000</v>
      </c>
      <c r="U1709" t="str">
        <f t="shared" si="584"/>
        <v>AC3944</v>
      </c>
      <c r="V1709">
        <v>0</v>
      </c>
      <c r="W1709">
        <v>0</v>
      </c>
      <c r="X1709">
        <v>2</v>
      </c>
      <c r="Y1709">
        <v>0</v>
      </c>
      <c r="AA1709">
        <v>1</v>
      </c>
      <c r="AB1709">
        <v>8</v>
      </c>
      <c r="AC1709">
        <v>3</v>
      </c>
      <c r="AD1709">
        <v>0</v>
      </c>
      <c r="AE1709">
        <v>9</v>
      </c>
      <c r="AF1709" t="s">
        <v>138</v>
      </c>
      <c r="AG1709">
        <v>0</v>
      </c>
      <c r="AH1709">
        <v>3</v>
      </c>
      <c r="AI1709">
        <v>1</v>
      </c>
      <c r="AJ1709">
        <v>0</v>
      </c>
      <c r="AK1709" t="s">
        <v>622</v>
      </c>
      <c r="AL1709">
        <v>32.787495</v>
      </c>
      <c r="AM1709" t="s">
        <v>623</v>
      </c>
      <c r="AN1709">
        <v>-116.86704400000001</v>
      </c>
      <c r="AO1709">
        <v>25</v>
      </c>
      <c r="AP1709">
        <v>2800</v>
      </c>
      <c r="AQ1709" t="s">
        <v>129</v>
      </c>
      <c r="AR1709">
        <v>84</v>
      </c>
      <c r="AS1709">
        <v>-79</v>
      </c>
      <c r="AT1709">
        <v>768</v>
      </c>
      <c r="BB1709">
        <v>1200</v>
      </c>
      <c r="BC1709">
        <v>1</v>
      </c>
      <c r="BD1709" t="str">
        <f t="shared" si="585"/>
        <v xml:space="preserve">N887QR  </v>
      </c>
      <c r="BE1709">
        <v>1</v>
      </c>
      <c r="BJ1709">
        <v>2525</v>
      </c>
      <c r="BK1709">
        <v>-275</v>
      </c>
      <c r="BL1709" t="s">
        <v>163</v>
      </c>
      <c r="BM1709">
        <v>1</v>
      </c>
      <c r="BN1709">
        <v>1</v>
      </c>
      <c r="BO1709">
        <v>1</v>
      </c>
      <c r="BP1709">
        <v>0</v>
      </c>
      <c r="BS1709">
        <v>0.12</v>
      </c>
      <c r="BT1709">
        <v>0</v>
      </c>
      <c r="BU1709">
        <v>0</v>
      </c>
      <c r="CE1709" t="str">
        <f t="shared" si="600"/>
        <v>19:30:03.229</v>
      </c>
      <c r="CF1709">
        <v>229311706</v>
      </c>
      <c r="CS1709">
        <v>3</v>
      </c>
      <c r="CT1709">
        <v>2</v>
      </c>
      <c r="CU1709">
        <v>0</v>
      </c>
      <c r="CV1709">
        <v>2</v>
      </c>
      <c r="CW1709">
        <v>0</v>
      </c>
      <c r="CX1709">
        <v>5</v>
      </c>
      <c r="CY1709">
        <v>7</v>
      </c>
      <c r="CZ1709" t="s">
        <v>131</v>
      </c>
      <c r="DA1709">
        <v>300</v>
      </c>
      <c r="DB1709">
        <v>0</v>
      </c>
      <c r="DC1709" t="s">
        <v>176</v>
      </c>
      <c r="DD1709" t="s">
        <v>177</v>
      </c>
      <c r="DG1709">
        <v>5392952</v>
      </c>
      <c r="DI1709">
        <v>1</v>
      </c>
      <c r="DJ1709">
        <v>0</v>
      </c>
      <c r="DK1709">
        <v>1</v>
      </c>
      <c r="DL1709">
        <v>0</v>
      </c>
      <c r="DM1709">
        <v>0</v>
      </c>
      <c r="DN1709">
        <v>1</v>
      </c>
      <c r="DO1709">
        <v>0</v>
      </c>
      <c r="DP1709">
        <v>0</v>
      </c>
      <c r="DQ1709">
        <v>0</v>
      </c>
      <c r="DR1709">
        <v>0</v>
      </c>
      <c r="DS1709">
        <v>0</v>
      </c>
    </row>
    <row r="1710" spans="1:123" x14ac:dyDescent="0.3">
      <c r="A1710" t="str">
        <f t="shared" ref="A1710:A1715" si="601">"10/04/2022 19:30:04.578"</f>
        <v>10/04/2022 19:30:04.578</v>
      </c>
      <c r="C1710" t="str">
        <f t="shared" si="596"/>
        <v>FFDDD3C0</v>
      </c>
      <c r="D1710" t="s">
        <v>123</v>
      </c>
      <c r="E1710">
        <v>7</v>
      </c>
      <c r="F1710">
        <v>2007</v>
      </c>
      <c r="G1710" t="s">
        <v>124</v>
      </c>
      <c r="J1710" t="s">
        <v>125</v>
      </c>
      <c r="K1710">
        <v>0</v>
      </c>
      <c r="L1710">
        <v>3</v>
      </c>
      <c r="M1710">
        <v>0</v>
      </c>
      <c r="N1710">
        <v>2</v>
      </c>
      <c r="O1710">
        <v>0</v>
      </c>
      <c r="P1710">
        <v>1</v>
      </c>
      <c r="Q1710">
        <v>0</v>
      </c>
      <c r="S1710" t="str">
        <f t="shared" ref="S1710:T1723" si="602">"19:30:04.000"</f>
        <v>19:30:04.000</v>
      </c>
      <c r="T1710" t="str">
        <f t="shared" si="602"/>
        <v>19:30:04.000</v>
      </c>
      <c r="U1710" t="str">
        <f t="shared" si="584"/>
        <v>AC3944</v>
      </c>
      <c r="V1710">
        <v>0</v>
      </c>
      <c r="W1710">
        <v>0</v>
      </c>
      <c r="X1710">
        <v>2</v>
      </c>
      <c r="Y1710">
        <v>0</v>
      </c>
      <c r="AA1710">
        <v>1</v>
      </c>
      <c r="AB1710">
        <v>8</v>
      </c>
      <c r="AC1710">
        <v>3</v>
      </c>
      <c r="AD1710">
        <v>0</v>
      </c>
      <c r="AE1710">
        <v>9</v>
      </c>
      <c r="AF1710" t="s">
        <v>138</v>
      </c>
      <c r="AG1710">
        <v>0</v>
      </c>
      <c r="AH1710">
        <v>3</v>
      </c>
      <c r="AI1710">
        <v>1</v>
      </c>
      <c r="AJ1710">
        <v>0</v>
      </c>
      <c r="AK1710" t="s">
        <v>624</v>
      </c>
      <c r="AL1710">
        <v>32.787129999999998</v>
      </c>
      <c r="AM1710" t="s">
        <v>625</v>
      </c>
      <c r="AN1710">
        <v>-116.86657200000001</v>
      </c>
      <c r="AO1710">
        <v>25</v>
      </c>
      <c r="AP1710">
        <v>2800</v>
      </c>
      <c r="AQ1710" t="s">
        <v>129</v>
      </c>
      <c r="AR1710">
        <v>84</v>
      </c>
      <c r="AS1710">
        <v>-79</v>
      </c>
      <c r="AT1710">
        <v>768</v>
      </c>
      <c r="BB1710">
        <v>1200</v>
      </c>
      <c r="BC1710">
        <v>1</v>
      </c>
      <c r="BD1710" t="str">
        <f t="shared" si="585"/>
        <v xml:space="preserve">N887QR  </v>
      </c>
      <c r="BE1710">
        <v>1</v>
      </c>
      <c r="BJ1710">
        <v>2525</v>
      </c>
      <c r="BK1710">
        <v>-275</v>
      </c>
      <c r="BL1710" t="s">
        <v>163</v>
      </c>
      <c r="BM1710">
        <v>1</v>
      </c>
      <c r="BN1710">
        <v>1</v>
      </c>
      <c r="BO1710">
        <v>1</v>
      </c>
      <c r="BP1710">
        <v>0</v>
      </c>
      <c r="BS1710">
        <v>0.12</v>
      </c>
      <c r="BT1710">
        <v>0</v>
      </c>
      <c r="BU1710">
        <v>0</v>
      </c>
      <c r="CE1710" t="str">
        <f t="shared" ref="CE1710:CE1716" si="603">"19:30:04.355"</f>
        <v>19:30:04.355</v>
      </c>
      <c r="CF1710">
        <v>355065499</v>
      </c>
      <c r="CS1710">
        <v>3</v>
      </c>
      <c r="CT1710">
        <v>2</v>
      </c>
      <c r="CU1710">
        <v>0</v>
      </c>
      <c r="CV1710">
        <v>2</v>
      </c>
      <c r="CW1710">
        <v>0</v>
      </c>
      <c r="CX1710">
        <v>5</v>
      </c>
      <c r="CY1710">
        <v>7</v>
      </c>
      <c r="CZ1710" t="s">
        <v>131</v>
      </c>
      <c r="DA1710">
        <v>300</v>
      </c>
      <c r="DB1710">
        <v>0</v>
      </c>
      <c r="DC1710" t="s">
        <v>176</v>
      </c>
      <c r="DD1710" t="s">
        <v>177</v>
      </c>
      <c r="DG1710">
        <v>5393141</v>
      </c>
      <c r="DI1710">
        <v>1</v>
      </c>
      <c r="DJ1710">
        <v>0</v>
      </c>
      <c r="DK1710">
        <v>0</v>
      </c>
      <c r="DL1710">
        <v>0</v>
      </c>
      <c r="DM1710">
        <v>0</v>
      </c>
      <c r="DN1710">
        <v>1</v>
      </c>
      <c r="DO1710">
        <v>0</v>
      </c>
      <c r="DP1710">
        <v>0</v>
      </c>
      <c r="DQ1710">
        <v>0</v>
      </c>
      <c r="DR1710">
        <v>0</v>
      </c>
      <c r="DS1710">
        <v>0</v>
      </c>
    </row>
    <row r="1711" spans="1:123" x14ac:dyDescent="0.3">
      <c r="A1711" t="str">
        <f t="shared" si="601"/>
        <v>10/04/2022 19:30:04.578</v>
      </c>
      <c r="C1711" t="str">
        <f t="shared" si="596"/>
        <v>FFDDD3C0</v>
      </c>
      <c r="D1711" t="s">
        <v>147</v>
      </c>
      <c r="E1711">
        <v>3</v>
      </c>
      <c r="H1711">
        <v>166</v>
      </c>
      <c r="I1711" t="s">
        <v>144</v>
      </c>
      <c r="J1711" t="s">
        <v>148</v>
      </c>
      <c r="K1711">
        <v>0</v>
      </c>
      <c r="L1711">
        <v>3</v>
      </c>
      <c r="M1711">
        <v>0</v>
      </c>
      <c r="N1711">
        <v>2</v>
      </c>
      <c r="O1711">
        <v>0</v>
      </c>
      <c r="P1711">
        <v>1</v>
      </c>
      <c r="Q1711">
        <v>0</v>
      </c>
      <c r="S1711" t="str">
        <f t="shared" si="602"/>
        <v>19:30:04.000</v>
      </c>
      <c r="T1711" t="str">
        <f t="shared" si="602"/>
        <v>19:30:04.000</v>
      </c>
      <c r="U1711" t="str">
        <f t="shared" si="584"/>
        <v>AC3944</v>
      </c>
      <c r="V1711">
        <v>0</v>
      </c>
      <c r="W1711">
        <v>0</v>
      </c>
      <c r="X1711">
        <v>2</v>
      </c>
      <c r="Y1711">
        <v>0</v>
      </c>
      <c r="AA1711">
        <v>1</v>
      </c>
      <c r="AB1711">
        <v>8</v>
      </c>
      <c r="AC1711">
        <v>3</v>
      </c>
      <c r="AD1711">
        <v>0</v>
      </c>
      <c r="AE1711">
        <v>9</v>
      </c>
      <c r="AF1711" t="s">
        <v>138</v>
      </c>
      <c r="AG1711">
        <v>0</v>
      </c>
      <c r="AH1711">
        <v>3</v>
      </c>
      <c r="AI1711">
        <v>1</v>
      </c>
      <c r="AJ1711">
        <v>0</v>
      </c>
      <c r="AK1711" t="s">
        <v>624</v>
      </c>
      <c r="AL1711">
        <v>32.787129999999998</v>
      </c>
      <c r="AM1711" t="s">
        <v>625</v>
      </c>
      <c r="AN1711">
        <v>-116.86657200000001</v>
      </c>
      <c r="AO1711">
        <v>25</v>
      </c>
      <c r="AP1711">
        <v>2800</v>
      </c>
      <c r="AQ1711" t="s">
        <v>129</v>
      </c>
      <c r="AR1711">
        <v>84</v>
      </c>
      <c r="AS1711">
        <v>-79</v>
      </c>
      <c r="AT1711">
        <v>768</v>
      </c>
      <c r="BB1711">
        <v>1200</v>
      </c>
      <c r="BC1711">
        <v>1</v>
      </c>
      <c r="BD1711" t="str">
        <f t="shared" si="585"/>
        <v xml:space="preserve">N887QR  </v>
      </c>
      <c r="BE1711">
        <v>1</v>
      </c>
      <c r="BJ1711">
        <v>2525</v>
      </c>
      <c r="BK1711">
        <v>-275</v>
      </c>
      <c r="BL1711" t="s">
        <v>163</v>
      </c>
      <c r="BM1711">
        <v>1</v>
      </c>
      <c r="BN1711">
        <v>1</v>
      </c>
      <c r="BO1711">
        <v>1</v>
      </c>
      <c r="BP1711">
        <v>0</v>
      </c>
      <c r="BS1711">
        <v>0.12</v>
      </c>
      <c r="BT1711">
        <v>0</v>
      </c>
      <c r="BU1711">
        <v>0</v>
      </c>
      <c r="CE1711" t="str">
        <f t="shared" si="603"/>
        <v>19:30:04.355</v>
      </c>
      <c r="CF1711">
        <v>355065499</v>
      </c>
      <c r="CS1711">
        <v>3</v>
      </c>
      <c r="CT1711">
        <v>2</v>
      </c>
      <c r="CU1711">
        <v>0</v>
      </c>
      <c r="CV1711">
        <v>2</v>
      </c>
      <c r="CW1711">
        <v>0</v>
      </c>
      <c r="CX1711">
        <v>5</v>
      </c>
      <c r="CY1711">
        <v>7</v>
      </c>
      <c r="CZ1711" t="s">
        <v>131</v>
      </c>
      <c r="DA1711">
        <v>300</v>
      </c>
      <c r="DB1711">
        <v>0</v>
      </c>
      <c r="DC1711" t="s">
        <v>176</v>
      </c>
      <c r="DD1711" t="s">
        <v>177</v>
      </c>
      <c r="DG1711">
        <v>5393141</v>
      </c>
      <c r="DI1711">
        <v>1</v>
      </c>
      <c r="DJ1711">
        <v>0</v>
      </c>
      <c r="DK1711">
        <v>1</v>
      </c>
      <c r="DL1711">
        <v>0</v>
      </c>
      <c r="DM1711">
        <v>0</v>
      </c>
      <c r="DN1711">
        <v>1</v>
      </c>
      <c r="DO1711">
        <v>0</v>
      </c>
      <c r="DP1711">
        <v>0</v>
      </c>
      <c r="DQ1711">
        <v>0</v>
      </c>
      <c r="DR1711">
        <v>0</v>
      </c>
      <c r="DS1711">
        <v>0</v>
      </c>
    </row>
    <row r="1712" spans="1:123" x14ac:dyDescent="0.3">
      <c r="A1712" t="str">
        <f t="shared" si="601"/>
        <v>10/04/2022 19:30:04.578</v>
      </c>
      <c r="C1712" t="str">
        <f t="shared" si="596"/>
        <v>FFDDD3C0</v>
      </c>
      <c r="D1712" t="s">
        <v>141</v>
      </c>
      <c r="E1712">
        <v>3</v>
      </c>
      <c r="H1712">
        <v>3</v>
      </c>
      <c r="I1712" t="s">
        <v>146</v>
      </c>
      <c r="J1712" t="s">
        <v>138</v>
      </c>
      <c r="K1712">
        <v>0</v>
      </c>
      <c r="L1712">
        <v>3</v>
      </c>
      <c r="M1712">
        <v>0</v>
      </c>
      <c r="N1712">
        <v>2</v>
      </c>
      <c r="O1712">
        <v>0</v>
      </c>
      <c r="P1712">
        <v>1</v>
      </c>
      <c r="Q1712">
        <v>0</v>
      </c>
      <c r="S1712" t="str">
        <f t="shared" si="602"/>
        <v>19:30:04.000</v>
      </c>
      <c r="T1712" t="str">
        <f t="shared" si="602"/>
        <v>19:30:04.000</v>
      </c>
      <c r="U1712" t="str">
        <f t="shared" si="584"/>
        <v>AC3944</v>
      </c>
      <c r="V1712">
        <v>0</v>
      </c>
      <c r="W1712">
        <v>0</v>
      </c>
      <c r="X1712">
        <v>2</v>
      </c>
      <c r="Y1712">
        <v>0</v>
      </c>
      <c r="AA1712">
        <v>1</v>
      </c>
      <c r="AB1712">
        <v>8</v>
      </c>
      <c r="AC1712">
        <v>3</v>
      </c>
      <c r="AD1712">
        <v>0</v>
      </c>
      <c r="AE1712">
        <v>9</v>
      </c>
      <c r="AF1712" t="s">
        <v>138</v>
      </c>
      <c r="AG1712">
        <v>0</v>
      </c>
      <c r="AH1712">
        <v>3</v>
      </c>
      <c r="AI1712">
        <v>1</v>
      </c>
      <c r="AJ1712">
        <v>0</v>
      </c>
      <c r="AK1712" t="s">
        <v>624</v>
      </c>
      <c r="AL1712">
        <v>32.787129999999998</v>
      </c>
      <c r="AM1712" t="s">
        <v>625</v>
      </c>
      <c r="AN1712">
        <v>-116.86657200000001</v>
      </c>
      <c r="AO1712">
        <v>25</v>
      </c>
      <c r="AP1712">
        <v>2800</v>
      </c>
      <c r="AQ1712" t="s">
        <v>129</v>
      </c>
      <c r="AR1712">
        <v>84</v>
      </c>
      <c r="AS1712">
        <v>-79</v>
      </c>
      <c r="AT1712">
        <v>768</v>
      </c>
      <c r="BB1712">
        <v>1200</v>
      </c>
      <c r="BC1712">
        <v>1</v>
      </c>
      <c r="BD1712" t="str">
        <f t="shared" si="585"/>
        <v xml:space="preserve">N887QR  </v>
      </c>
      <c r="BE1712">
        <v>1</v>
      </c>
      <c r="BJ1712">
        <v>2525</v>
      </c>
      <c r="BK1712">
        <v>-275</v>
      </c>
      <c r="BL1712" t="s">
        <v>163</v>
      </c>
      <c r="BM1712">
        <v>1</v>
      </c>
      <c r="BN1712">
        <v>1</v>
      </c>
      <c r="BO1712">
        <v>1</v>
      </c>
      <c r="BP1712">
        <v>0</v>
      </c>
      <c r="BS1712">
        <v>0.12</v>
      </c>
      <c r="BT1712">
        <v>0</v>
      </c>
      <c r="BU1712">
        <v>0</v>
      </c>
      <c r="CE1712" t="str">
        <f t="shared" si="603"/>
        <v>19:30:04.355</v>
      </c>
      <c r="CF1712">
        <v>355065499</v>
      </c>
      <c r="CS1712">
        <v>3</v>
      </c>
      <c r="CT1712">
        <v>2</v>
      </c>
      <c r="CU1712">
        <v>0</v>
      </c>
      <c r="CV1712">
        <v>2</v>
      </c>
      <c r="CW1712">
        <v>0</v>
      </c>
      <c r="CX1712">
        <v>5</v>
      </c>
      <c r="CY1712">
        <v>7</v>
      </c>
      <c r="CZ1712" t="s">
        <v>131</v>
      </c>
      <c r="DA1712">
        <v>300</v>
      </c>
      <c r="DB1712">
        <v>0</v>
      </c>
      <c r="DC1712" t="s">
        <v>176</v>
      </c>
      <c r="DD1712" t="s">
        <v>177</v>
      </c>
      <c r="DG1712">
        <v>5393141</v>
      </c>
      <c r="DI1712">
        <v>1</v>
      </c>
      <c r="DJ1712">
        <v>0</v>
      </c>
      <c r="DK1712">
        <v>1</v>
      </c>
      <c r="DL1712">
        <v>0</v>
      </c>
      <c r="DM1712">
        <v>0</v>
      </c>
      <c r="DN1712">
        <v>1</v>
      </c>
      <c r="DO1712">
        <v>0</v>
      </c>
      <c r="DP1712">
        <v>0</v>
      </c>
      <c r="DQ1712">
        <v>0</v>
      </c>
      <c r="DR1712">
        <v>0</v>
      </c>
      <c r="DS1712">
        <v>0</v>
      </c>
    </row>
    <row r="1713" spans="1:123" x14ac:dyDescent="0.3">
      <c r="A1713" t="str">
        <f t="shared" si="601"/>
        <v>10/04/2022 19:30:04.578</v>
      </c>
      <c r="C1713" t="str">
        <f t="shared" si="596"/>
        <v>FFDDD3C0</v>
      </c>
      <c r="D1713" t="s">
        <v>136</v>
      </c>
      <c r="E1713">
        <v>8</v>
      </c>
      <c r="H1713">
        <v>225</v>
      </c>
      <c r="I1713" t="s">
        <v>137</v>
      </c>
      <c r="J1713" t="s">
        <v>138</v>
      </c>
      <c r="K1713">
        <v>0</v>
      </c>
      <c r="L1713">
        <v>3</v>
      </c>
      <c r="M1713">
        <v>0</v>
      </c>
      <c r="N1713">
        <v>2</v>
      </c>
      <c r="O1713">
        <v>0</v>
      </c>
      <c r="P1713">
        <v>1</v>
      </c>
      <c r="Q1713">
        <v>0</v>
      </c>
      <c r="S1713" t="str">
        <f t="shared" si="602"/>
        <v>19:30:04.000</v>
      </c>
      <c r="T1713" t="str">
        <f t="shared" si="602"/>
        <v>19:30:04.000</v>
      </c>
      <c r="U1713" t="str">
        <f t="shared" si="584"/>
        <v>AC3944</v>
      </c>
      <c r="V1713">
        <v>0</v>
      </c>
      <c r="W1713">
        <v>0</v>
      </c>
      <c r="X1713">
        <v>2</v>
      </c>
      <c r="Y1713">
        <v>0</v>
      </c>
      <c r="AA1713">
        <v>1</v>
      </c>
      <c r="AB1713">
        <v>8</v>
      </c>
      <c r="AC1713">
        <v>3</v>
      </c>
      <c r="AD1713">
        <v>0</v>
      </c>
      <c r="AE1713">
        <v>9</v>
      </c>
      <c r="AF1713" t="s">
        <v>138</v>
      </c>
      <c r="AG1713">
        <v>0</v>
      </c>
      <c r="AH1713">
        <v>3</v>
      </c>
      <c r="AI1713">
        <v>1</v>
      </c>
      <c r="AJ1713">
        <v>0</v>
      </c>
      <c r="AK1713" t="s">
        <v>624</v>
      </c>
      <c r="AL1713">
        <v>32.787129999999998</v>
      </c>
      <c r="AM1713" t="s">
        <v>625</v>
      </c>
      <c r="AN1713">
        <v>-116.86657200000001</v>
      </c>
      <c r="AO1713">
        <v>25</v>
      </c>
      <c r="AP1713">
        <v>2800</v>
      </c>
      <c r="AQ1713" t="s">
        <v>129</v>
      </c>
      <c r="AR1713">
        <v>84</v>
      </c>
      <c r="AS1713">
        <v>-79</v>
      </c>
      <c r="AT1713">
        <v>768</v>
      </c>
      <c r="BB1713">
        <v>1200</v>
      </c>
      <c r="BC1713">
        <v>1</v>
      </c>
      <c r="BD1713" t="str">
        <f t="shared" si="585"/>
        <v xml:space="preserve">N887QR  </v>
      </c>
      <c r="BE1713">
        <v>1</v>
      </c>
      <c r="BJ1713">
        <v>2525</v>
      </c>
      <c r="BK1713">
        <v>-275</v>
      </c>
      <c r="BL1713" t="s">
        <v>163</v>
      </c>
      <c r="BM1713">
        <v>1</v>
      </c>
      <c r="BN1713">
        <v>1</v>
      </c>
      <c r="BO1713">
        <v>1</v>
      </c>
      <c r="BP1713">
        <v>0</v>
      </c>
      <c r="BS1713">
        <v>0.12</v>
      </c>
      <c r="BT1713">
        <v>0</v>
      </c>
      <c r="BU1713">
        <v>0</v>
      </c>
      <c r="CE1713" t="str">
        <f t="shared" si="603"/>
        <v>19:30:04.355</v>
      </c>
      <c r="CF1713">
        <v>355065499</v>
      </c>
      <c r="CS1713">
        <v>3</v>
      </c>
      <c r="CT1713">
        <v>2</v>
      </c>
      <c r="CU1713">
        <v>0</v>
      </c>
      <c r="CV1713">
        <v>2</v>
      </c>
      <c r="CW1713">
        <v>0</v>
      </c>
      <c r="CX1713">
        <v>5</v>
      </c>
      <c r="CY1713">
        <v>7</v>
      </c>
      <c r="CZ1713" t="s">
        <v>131</v>
      </c>
      <c r="DA1713">
        <v>300</v>
      </c>
      <c r="DB1713">
        <v>0</v>
      </c>
      <c r="DC1713" t="s">
        <v>176</v>
      </c>
      <c r="DD1713" t="s">
        <v>177</v>
      </c>
      <c r="DG1713">
        <v>5393141</v>
      </c>
      <c r="DI1713">
        <v>1</v>
      </c>
      <c r="DJ1713">
        <v>0</v>
      </c>
      <c r="DK1713">
        <v>1</v>
      </c>
      <c r="DL1713">
        <v>0</v>
      </c>
      <c r="DM1713">
        <v>0</v>
      </c>
      <c r="DN1713">
        <v>1</v>
      </c>
      <c r="DO1713">
        <v>0</v>
      </c>
      <c r="DP1713">
        <v>0</v>
      </c>
      <c r="DQ1713">
        <v>0</v>
      </c>
      <c r="DR1713">
        <v>0</v>
      </c>
      <c r="DS1713">
        <v>0</v>
      </c>
    </row>
    <row r="1714" spans="1:123" x14ac:dyDescent="0.3">
      <c r="A1714" t="str">
        <f t="shared" si="601"/>
        <v>10/04/2022 19:30:04.578</v>
      </c>
      <c r="C1714" t="str">
        <f t="shared" si="596"/>
        <v>FFDDD3C0</v>
      </c>
      <c r="D1714" t="s">
        <v>141</v>
      </c>
      <c r="E1714">
        <v>4</v>
      </c>
      <c r="H1714">
        <v>4</v>
      </c>
      <c r="I1714" t="s">
        <v>142</v>
      </c>
      <c r="J1714" t="s">
        <v>138</v>
      </c>
      <c r="K1714">
        <v>0</v>
      </c>
      <c r="L1714">
        <v>3</v>
      </c>
      <c r="M1714">
        <v>0</v>
      </c>
      <c r="N1714">
        <v>2</v>
      </c>
      <c r="O1714">
        <v>0</v>
      </c>
      <c r="P1714">
        <v>1</v>
      </c>
      <c r="Q1714">
        <v>0</v>
      </c>
      <c r="S1714" t="str">
        <f t="shared" si="602"/>
        <v>19:30:04.000</v>
      </c>
      <c r="T1714" t="str">
        <f t="shared" si="602"/>
        <v>19:30:04.000</v>
      </c>
      <c r="U1714" t="str">
        <f t="shared" si="584"/>
        <v>AC3944</v>
      </c>
      <c r="V1714">
        <v>0</v>
      </c>
      <c r="W1714">
        <v>0</v>
      </c>
      <c r="X1714">
        <v>2</v>
      </c>
      <c r="Y1714">
        <v>0</v>
      </c>
      <c r="AA1714">
        <v>1</v>
      </c>
      <c r="AB1714">
        <v>8</v>
      </c>
      <c r="AC1714">
        <v>3</v>
      </c>
      <c r="AD1714">
        <v>0</v>
      </c>
      <c r="AE1714">
        <v>9</v>
      </c>
      <c r="AF1714" t="s">
        <v>138</v>
      </c>
      <c r="AG1714">
        <v>0</v>
      </c>
      <c r="AH1714">
        <v>3</v>
      </c>
      <c r="AI1714">
        <v>1</v>
      </c>
      <c r="AJ1714">
        <v>0</v>
      </c>
      <c r="AK1714" t="s">
        <v>624</v>
      </c>
      <c r="AL1714">
        <v>32.787129999999998</v>
      </c>
      <c r="AM1714" t="s">
        <v>625</v>
      </c>
      <c r="AN1714">
        <v>-116.86657200000001</v>
      </c>
      <c r="AO1714">
        <v>25</v>
      </c>
      <c r="AP1714">
        <v>2800</v>
      </c>
      <c r="AQ1714" t="s">
        <v>129</v>
      </c>
      <c r="AR1714">
        <v>84</v>
      </c>
      <c r="AS1714">
        <v>-79</v>
      </c>
      <c r="AT1714">
        <v>768</v>
      </c>
      <c r="BB1714">
        <v>1200</v>
      </c>
      <c r="BC1714">
        <v>1</v>
      </c>
      <c r="BD1714" t="str">
        <f t="shared" si="585"/>
        <v xml:space="preserve">N887QR  </v>
      </c>
      <c r="BE1714">
        <v>1</v>
      </c>
      <c r="BJ1714">
        <v>2525</v>
      </c>
      <c r="BK1714">
        <v>-275</v>
      </c>
      <c r="BL1714" t="s">
        <v>163</v>
      </c>
      <c r="BM1714">
        <v>1</v>
      </c>
      <c r="BN1714">
        <v>1</v>
      </c>
      <c r="BO1714">
        <v>1</v>
      </c>
      <c r="BP1714">
        <v>0</v>
      </c>
      <c r="BS1714">
        <v>0.12</v>
      </c>
      <c r="BT1714">
        <v>0</v>
      </c>
      <c r="BU1714">
        <v>0</v>
      </c>
      <c r="CE1714" t="str">
        <f t="shared" si="603"/>
        <v>19:30:04.355</v>
      </c>
      <c r="CF1714">
        <v>355065499</v>
      </c>
      <c r="CS1714">
        <v>3</v>
      </c>
      <c r="CT1714">
        <v>2</v>
      </c>
      <c r="CU1714">
        <v>0</v>
      </c>
      <c r="CV1714">
        <v>2</v>
      </c>
      <c r="CW1714">
        <v>0</v>
      </c>
      <c r="CX1714">
        <v>5</v>
      </c>
      <c r="CY1714">
        <v>7</v>
      </c>
      <c r="CZ1714" t="s">
        <v>131</v>
      </c>
      <c r="DA1714">
        <v>300</v>
      </c>
      <c r="DB1714">
        <v>0</v>
      </c>
      <c r="DC1714" t="s">
        <v>176</v>
      </c>
      <c r="DD1714" t="s">
        <v>177</v>
      </c>
      <c r="DG1714">
        <v>5393141</v>
      </c>
      <c r="DI1714">
        <v>1</v>
      </c>
      <c r="DJ1714">
        <v>0</v>
      </c>
      <c r="DK1714">
        <v>1</v>
      </c>
      <c r="DL1714">
        <v>0</v>
      </c>
      <c r="DM1714">
        <v>0</v>
      </c>
      <c r="DN1714">
        <v>1</v>
      </c>
      <c r="DO1714">
        <v>0</v>
      </c>
      <c r="DP1714">
        <v>0</v>
      </c>
      <c r="DQ1714">
        <v>0</v>
      </c>
      <c r="DR1714">
        <v>0</v>
      </c>
      <c r="DS1714">
        <v>0</v>
      </c>
    </row>
    <row r="1715" spans="1:123" x14ac:dyDescent="0.3">
      <c r="A1715" t="str">
        <f t="shared" si="601"/>
        <v>10/04/2022 19:30:04.578</v>
      </c>
      <c r="C1715" t="str">
        <f t="shared" si="596"/>
        <v>FFDDD3C0</v>
      </c>
      <c r="D1715" t="s">
        <v>134</v>
      </c>
      <c r="E1715">
        <v>15</v>
      </c>
      <c r="J1715" t="s">
        <v>135</v>
      </c>
      <c r="K1715">
        <v>0</v>
      </c>
      <c r="L1715">
        <v>3</v>
      </c>
      <c r="M1715">
        <v>0</v>
      </c>
      <c r="N1715">
        <v>2</v>
      </c>
      <c r="O1715">
        <v>0</v>
      </c>
      <c r="P1715">
        <v>1</v>
      </c>
      <c r="Q1715">
        <v>0</v>
      </c>
      <c r="S1715" t="str">
        <f t="shared" si="602"/>
        <v>19:30:04.000</v>
      </c>
      <c r="T1715" t="str">
        <f t="shared" si="602"/>
        <v>19:30:04.000</v>
      </c>
      <c r="U1715" t="str">
        <f t="shared" si="584"/>
        <v>AC3944</v>
      </c>
      <c r="V1715">
        <v>0</v>
      </c>
      <c r="W1715">
        <v>0</v>
      </c>
      <c r="X1715">
        <v>2</v>
      </c>
      <c r="Y1715">
        <v>0</v>
      </c>
      <c r="AA1715">
        <v>1</v>
      </c>
      <c r="AB1715">
        <v>8</v>
      </c>
      <c r="AC1715">
        <v>3</v>
      </c>
      <c r="AD1715">
        <v>0</v>
      </c>
      <c r="AE1715">
        <v>9</v>
      </c>
      <c r="AF1715" t="s">
        <v>138</v>
      </c>
      <c r="AG1715">
        <v>0</v>
      </c>
      <c r="AH1715">
        <v>3</v>
      </c>
      <c r="AI1715">
        <v>1</v>
      </c>
      <c r="AJ1715">
        <v>0</v>
      </c>
      <c r="AK1715" t="s">
        <v>624</v>
      </c>
      <c r="AL1715">
        <v>32.787129999999998</v>
      </c>
      <c r="AM1715" t="s">
        <v>625</v>
      </c>
      <c r="AN1715">
        <v>-116.86657200000001</v>
      </c>
      <c r="AO1715">
        <v>25</v>
      </c>
      <c r="AP1715">
        <v>2800</v>
      </c>
      <c r="AQ1715" t="s">
        <v>129</v>
      </c>
      <c r="AR1715">
        <v>84</v>
      </c>
      <c r="AS1715">
        <v>-79</v>
      </c>
      <c r="AT1715">
        <v>768</v>
      </c>
      <c r="BB1715">
        <v>1200</v>
      </c>
      <c r="BC1715">
        <v>1</v>
      </c>
      <c r="BD1715" t="str">
        <f t="shared" si="585"/>
        <v xml:space="preserve">N887QR  </v>
      </c>
      <c r="BE1715">
        <v>1</v>
      </c>
      <c r="BJ1715">
        <v>2525</v>
      </c>
      <c r="BK1715">
        <v>-275</v>
      </c>
      <c r="BL1715" t="s">
        <v>163</v>
      </c>
      <c r="BM1715">
        <v>1</v>
      </c>
      <c r="BN1715">
        <v>1</v>
      </c>
      <c r="BO1715">
        <v>1</v>
      </c>
      <c r="BP1715">
        <v>0</v>
      </c>
      <c r="BS1715">
        <v>0.12</v>
      </c>
      <c r="BT1715">
        <v>0</v>
      </c>
      <c r="BU1715">
        <v>0</v>
      </c>
      <c r="CE1715" t="str">
        <f t="shared" si="603"/>
        <v>19:30:04.355</v>
      </c>
      <c r="CF1715">
        <v>355065499</v>
      </c>
      <c r="CS1715">
        <v>3</v>
      </c>
      <c r="CT1715">
        <v>2</v>
      </c>
      <c r="CU1715">
        <v>0</v>
      </c>
      <c r="CV1715">
        <v>2</v>
      </c>
      <c r="CW1715">
        <v>0</v>
      </c>
      <c r="CX1715">
        <v>5</v>
      </c>
      <c r="CY1715">
        <v>7</v>
      </c>
      <c r="CZ1715" t="s">
        <v>131</v>
      </c>
      <c r="DA1715">
        <v>300</v>
      </c>
      <c r="DB1715">
        <v>0</v>
      </c>
      <c r="DC1715" t="s">
        <v>176</v>
      </c>
      <c r="DD1715" t="s">
        <v>177</v>
      </c>
      <c r="DG1715">
        <v>5393141</v>
      </c>
      <c r="DI1715">
        <v>1</v>
      </c>
      <c r="DJ1715">
        <v>0</v>
      </c>
      <c r="DK1715">
        <v>1</v>
      </c>
      <c r="DL1715">
        <v>0</v>
      </c>
      <c r="DM1715">
        <v>0</v>
      </c>
      <c r="DN1715">
        <v>1</v>
      </c>
      <c r="DO1715">
        <v>0</v>
      </c>
      <c r="DP1715">
        <v>0</v>
      </c>
      <c r="DQ1715">
        <v>0</v>
      </c>
      <c r="DR1715">
        <v>0</v>
      </c>
      <c r="DS1715">
        <v>0</v>
      </c>
    </row>
    <row r="1716" spans="1:123" x14ac:dyDescent="0.3">
      <c r="A1716" t="str">
        <f>"10/04/2022 19:30:04.593"</f>
        <v>10/04/2022 19:30:04.593</v>
      </c>
      <c r="C1716" t="str">
        <f t="shared" si="596"/>
        <v>FFDDD3C0</v>
      </c>
      <c r="D1716" t="s">
        <v>143</v>
      </c>
      <c r="E1716">
        <v>20</v>
      </c>
      <c r="F1716">
        <v>1020</v>
      </c>
      <c r="G1716" t="s">
        <v>144</v>
      </c>
      <c r="J1716" t="s">
        <v>145</v>
      </c>
      <c r="K1716">
        <v>0</v>
      </c>
      <c r="L1716">
        <v>3</v>
      </c>
      <c r="M1716">
        <v>0</v>
      </c>
      <c r="N1716">
        <v>2</v>
      </c>
      <c r="O1716">
        <v>0</v>
      </c>
      <c r="P1716">
        <v>1</v>
      </c>
      <c r="Q1716">
        <v>0</v>
      </c>
      <c r="S1716" t="str">
        <f t="shared" si="602"/>
        <v>19:30:04.000</v>
      </c>
      <c r="T1716" t="str">
        <f t="shared" si="602"/>
        <v>19:30:04.000</v>
      </c>
      <c r="U1716" t="str">
        <f t="shared" si="584"/>
        <v>AC3944</v>
      </c>
      <c r="V1716">
        <v>0</v>
      </c>
      <c r="W1716">
        <v>0</v>
      </c>
      <c r="X1716">
        <v>2</v>
      </c>
      <c r="Y1716">
        <v>0</v>
      </c>
      <c r="AA1716">
        <v>1</v>
      </c>
      <c r="AB1716">
        <v>8</v>
      </c>
      <c r="AC1716">
        <v>3</v>
      </c>
      <c r="AD1716">
        <v>0</v>
      </c>
      <c r="AE1716">
        <v>9</v>
      </c>
      <c r="AF1716" t="s">
        <v>138</v>
      </c>
      <c r="AG1716">
        <v>0</v>
      </c>
      <c r="AH1716">
        <v>3</v>
      </c>
      <c r="AI1716">
        <v>1</v>
      </c>
      <c r="AJ1716">
        <v>0</v>
      </c>
      <c r="AK1716" t="s">
        <v>624</v>
      </c>
      <c r="AL1716">
        <v>32.787129999999998</v>
      </c>
      <c r="AM1716" t="s">
        <v>625</v>
      </c>
      <c r="AN1716">
        <v>-116.86657200000001</v>
      </c>
      <c r="AO1716">
        <v>25</v>
      </c>
      <c r="AP1716">
        <v>2800</v>
      </c>
      <c r="AQ1716" t="s">
        <v>129</v>
      </c>
      <c r="AR1716">
        <v>84</v>
      </c>
      <c r="AS1716">
        <v>-79</v>
      </c>
      <c r="AT1716">
        <v>768</v>
      </c>
      <c r="BB1716">
        <v>1200</v>
      </c>
      <c r="BC1716">
        <v>1</v>
      </c>
      <c r="BD1716" t="str">
        <f t="shared" si="585"/>
        <v xml:space="preserve">N887QR  </v>
      </c>
      <c r="BE1716">
        <v>1</v>
      </c>
      <c r="BJ1716">
        <v>2525</v>
      </c>
      <c r="BK1716">
        <v>-275</v>
      </c>
      <c r="BL1716" t="s">
        <v>163</v>
      </c>
      <c r="BM1716">
        <v>1</v>
      </c>
      <c r="BN1716">
        <v>1</v>
      </c>
      <c r="BO1716">
        <v>1</v>
      </c>
      <c r="BP1716">
        <v>0</v>
      </c>
      <c r="BS1716">
        <v>0.12</v>
      </c>
      <c r="BT1716">
        <v>0</v>
      </c>
      <c r="BU1716">
        <v>0</v>
      </c>
      <c r="CE1716" t="str">
        <f t="shared" si="603"/>
        <v>19:30:04.355</v>
      </c>
      <c r="CF1716">
        <v>355065499</v>
      </c>
      <c r="CS1716">
        <v>3</v>
      </c>
      <c r="CT1716">
        <v>2</v>
      </c>
      <c r="CU1716">
        <v>0</v>
      </c>
      <c r="CV1716">
        <v>2</v>
      </c>
      <c r="CW1716">
        <v>0</v>
      </c>
      <c r="CX1716">
        <v>5</v>
      </c>
      <c r="CY1716">
        <v>7</v>
      </c>
      <c r="CZ1716" t="s">
        <v>131</v>
      </c>
      <c r="DA1716">
        <v>300</v>
      </c>
      <c r="DB1716">
        <v>0</v>
      </c>
      <c r="DC1716" t="s">
        <v>176</v>
      </c>
      <c r="DD1716" t="s">
        <v>177</v>
      </c>
      <c r="DG1716">
        <v>5393141</v>
      </c>
      <c r="DI1716">
        <v>1</v>
      </c>
      <c r="DJ1716">
        <v>0</v>
      </c>
      <c r="DK1716">
        <v>1</v>
      </c>
      <c r="DL1716">
        <v>0</v>
      </c>
      <c r="DM1716">
        <v>0</v>
      </c>
      <c r="DN1716">
        <v>1</v>
      </c>
      <c r="DO1716">
        <v>0</v>
      </c>
      <c r="DP1716">
        <v>0</v>
      </c>
      <c r="DQ1716">
        <v>0</v>
      </c>
      <c r="DR1716">
        <v>0</v>
      </c>
      <c r="DS1716">
        <v>0</v>
      </c>
    </row>
    <row r="1717" spans="1:123" x14ac:dyDescent="0.3">
      <c r="A1717" t="str">
        <f>"10/04/2022 19:30:05.251"</f>
        <v>10/04/2022 19:30:05.251</v>
      </c>
      <c r="C1717" t="str">
        <f t="shared" ref="C1717:C1780" si="604">"FFDFD3C0"</f>
        <v>FFDFD3C0</v>
      </c>
      <c r="D1717" t="s">
        <v>136</v>
      </c>
      <c r="E1717">
        <v>8</v>
      </c>
      <c r="H1717">
        <v>225</v>
      </c>
      <c r="I1717" t="s">
        <v>137</v>
      </c>
      <c r="J1717" t="s">
        <v>138</v>
      </c>
      <c r="K1717">
        <v>0</v>
      </c>
      <c r="L1717">
        <v>3</v>
      </c>
      <c r="M1717">
        <v>0</v>
      </c>
      <c r="N1717">
        <v>2</v>
      </c>
      <c r="O1717">
        <v>0</v>
      </c>
      <c r="P1717">
        <v>1</v>
      </c>
      <c r="Q1717">
        <v>0</v>
      </c>
      <c r="S1717" t="str">
        <f t="shared" si="602"/>
        <v>19:30:04.000</v>
      </c>
      <c r="T1717" t="str">
        <f t="shared" si="602"/>
        <v>19:30:04.000</v>
      </c>
      <c r="U1717" t="str">
        <f t="shared" si="584"/>
        <v>AC3944</v>
      </c>
      <c r="V1717">
        <v>0</v>
      </c>
      <c r="W1717">
        <v>0</v>
      </c>
      <c r="X1717">
        <v>2</v>
      </c>
      <c r="Y1717">
        <v>0</v>
      </c>
      <c r="AA1717">
        <v>1</v>
      </c>
      <c r="AB1717">
        <v>8</v>
      </c>
      <c r="AC1717">
        <v>3</v>
      </c>
      <c r="AD1717">
        <v>0</v>
      </c>
      <c r="AE1717">
        <v>9</v>
      </c>
      <c r="AF1717" t="s">
        <v>138</v>
      </c>
      <c r="AG1717">
        <v>0</v>
      </c>
      <c r="AH1717">
        <v>3</v>
      </c>
      <c r="AI1717">
        <v>1</v>
      </c>
      <c r="AJ1717">
        <v>0</v>
      </c>
      <c r="AK1717" t="s">
        <v>626</v>
      </c>
      <c r="AL1717">
        <v>32.786765000000003</v>
      </c>
      <c r="AM1717" t="s">
        <v>627</v>
      </c>
      <c r="AN1717">
        <v>-116.8661</v>
      </c>
      <c r="AO1717">
        <v>25</v>
      </c>
      <c r="AP1717">
        <v>2800</v>
      </c>
      <c r="AQ1717" t="s">
        <v>129</v>
      </c>
      <c r="AR1717">
        <v>84</v>
      </c>
      <c r="AS1717">
        <v>-79</v>
      </c>
      <c r="AT1717">
        <v>768</v>
      </c>
      <c r="BB1717">
        <v>1200</v>
      </c>
      <c r="BC1717">
        <v>1</v>
      </c>
      <c r="BD1717" t="str">
        <f t="shared" si="585"/>
        <v xml:space="preserve">N887QR  </v>
      </c>
      <c r="BE1717">
        <v>1</v>
      </c>
      <c r="BG1717">
        <v>0</v>
      </c>
      <c r="BH1717">
        <v>0</v>
      </c>
      <c r="BI1717">
        <v>0</v>
      </c>
      <c r="BJ1717">
        <v>2550</v>
      </c>
      <c r="BK1717">
        <v>-250</v>
      </c>
      <c r="BL1717" t="s">
        <v>163</v>
      </c>
      <c r="BM1717">
        <v>1</v>
      </c>
      <c r="BN1717">
        <v>1</v>
      </c>
      <c r="BO1717">
        <v>1</v>
      </c>
      <c r="BP1717">
        <v>0</v>
      </c>
      <c r="BS1717">
        <v>0</v>
      </c>
      <c r="BT1717">
        <v>0</v>
      </c>
      <c r="BU1717">
        <v>0</v>
      </c>
      <c r="CE1717" t="str">
        <f t="shared" ref="CE1717:CE1723" si="605">"19:30:04.997"</f>
        <v>19:30:04.997</v>
      </c>
      <c r="CF1717">
        <v>996550457</v>
      </c>
      <c r="CS1717">
        <v>3</v>
      </c>
      <c r="CT1717">
        <v>2</v>
      </c>
      <c r="CU1717">
        <v>0</v>
      </c>
      <c r="CV1717">
        <v>2</v>
      </c>
      <c r="CW1717">
        <v>0</v>
      </c>
      <c r="CX1717">
        <v>4</v>
      </c>
      <c r="CY1717">
        <v>7</v>
      </c>
      <c r="CZ1717" t="s">
        <v>131</v>
      </c>
      <c r="DA1717">
        <v>286</v>
      </c>
      <c r="DB1717">
        <v>0</v>
      </c>
      <c r="DC1717" t="s">
        <v>132</v>
      </c>
      <c r="DD1717" t="s">
        <v>133</v>
      </c>
      <c r="DG1717">
        <v>826708</v>
      </c>
      <c r="DI1717">
        <v>1</v>
      </c>
      <c r="DJ1717">
        <v>0</v>
      </c>
      <c r="DK1717">
        <v>0</v>
      </c>
      <c r="DL1717">
        <v>0</v>
      </c>
      <c r="DM1717">
        <v>0</v>
      </c>
      <c r="DN1717">
        <v>1</v>
      </c>
      <c r="DO1717">
        <v>0</v>
      </c>
      <c r="DP1717">
        <v>0</v>
      </c>
      <c r="DQ1717">
        <v>0</v>
      </c>
      <c r="DR1717">
        <v>0</v>
      </c>
      <c r="DS1717">
        <v>0</v>
      </c>
    </row>
    <row r="1718" spans="1:123" x14ac:dyDescent="0.3">
      <c r="A1718" t="str">
        <f>"10/04/2022 19:30:05.251"</f>
        <v>10/04/2022 19:30:05.251</v>
      </c>
      <c r="C1718" t="str">
        <f t="shared" si="604"/>
        <v>FFDFD3C0</v>
      </c>
      <c r="D1718" t="s">
        <v>141</v>
      </c>
      <c r="E1718">
        <v>4</v>
      </c>
      <c r="H1718">
        <v>4</v>
      </c>
      <c r="I1718" t="s">
        <v>142</v>
      </c>
      <c r="J1718" t="s">
        <v>138</v>
      </c>
      <c r="K1718">
        <v>0</v>
      </c>
      <c r="L1718">
        <v>3</v>
      </c>
      <c r="M1718">
        <v>0</v>
      </c>
      <c r="N1718">
        <v>2</v>
      </c>
      <c r="O1718">
        <v>0</v>
      </c>
      <c r="P1718">
        <v>1</v>
      </c>
      <c r="Q1718">
        <v>0</v>
      </c>
      <c r="S1718" t="str">
        <f t="shared" si="602"/>
        <v>19:30:04.000</v>
      </c>
      <c r="T1718" t="str">
        <f t="shared" si="602"/>
        <v>19:30:04.000</v>
      </c>
      <c r="U1718" t="str">
        <f t="shared" si="584"/>
        <v>AC3944</v>
      </c>
      <c r="V1718">
        <v>0</v>
      </c>
      <c r="W1718">
        <v>0</v>
      </c>
      <c r="X1718">
        <v>2</v>
      </c>
      <c r="Y1718">
        <v>0</v>
      </c>
      <c r="AA1718">
        <v>1</v>
      </c>
      <c r="AB1718">
        <v>8</v>
      </c>
      <c r="AC1718">
        <v>3</v>
      </c>
      <c r="AD1718">
        <v>0</v>
      </c>
      <c r="AE1718">
        <v>9</v>
      </c>
      <c r="AF1718" t="s">
        <v>138</v>
      </c>
      <c r="AG1718">
        <v>0</v>
      </c>
      <c r="AH1718">
        <v>3</v>
      </c>
      <c r="AI1718">
        <v>1</v>
      </c>
      <c r="AJ1718">
        <v>0</v>
      </c>
      <c r="AK1718" t="s">
        <v>626</v>
      </c>
      <c r="AL1718">
        <v>32.786765000000003</v>
      </c>
      <c r="AM1718" t="s">
        <v>627</v>
      </c>
      <c r="AN1718">
        <v>-116.8661</v>
      </c>
      <c r="AO1718">
        <v>25</v>
      </c>
      <c r="AP1718">
        <v>2800</v>
      </c>
      <c r="AQ1718" t="s">
        <v>129</v>
      </c>
      <c r="AR1718">
        <v>84</v>
      </c>
      <c r="AS1718">
        <v>-79</v>
      </c>
      <c r="AT1718">
        <v>768</v>
      </c>
      <c r="BB1718">
        <v>1200</v>
      </c>
      <c r="BC1718">
        <v>1</v>
      </c>
      <c r="BD1718" t="str">
        <f t="shared" si="585"/>
        <v xml:space="preserve">N887QR  </v>
      </c>
      <c r="BE1718">
        <v>1</v>
      </c>
      <c r="BG1718">
        <v>0</v>
      </c>
      <c r="BH1718">
        <v>0</v>
      </c>
      <c r="BI1718">
        <v>0</v>
      </c>
      <c r="BJ1718">
        <v>2550</v>
      </c>
      <c r="BK1718">
        <v>-250</v>
      </c>
      <c r="BL1718" t="s">
        <v>163</v>
      </c>
      <c r="BM1718">
        <v>1</v>
      </c>
      <c r="BN1718">
        <v>1</v>
      </c>
      <c r="BO1718">
        <v>1</v>
      </c>
      <c r="BP1718">
        <v>0</v>
      </c>
      <c r="BS1718">
        <v>0</v>
      </c>
      <c r="BT1718">
        <v>0</v>
      </c>
      <c r="BU1718">
        <v>0</v>
      </c>
      <c r="CE1718" t="str">
        <f t="shared" si="605"/>
        <v>19:30:04.997</v>
      </c>
      <c r="CF1718">
        <v>996550457</v>
      </c>
      <c r="CS1718">
        <v>3</v>
      </c>
      <c r="CT1718">
        <v>2</v>
      </c>
      <c r="CU1718">
        <v>0</v>
      </c>
      <c r="CV1718">
        <v>2</v>
      </c>
      <c r="CW1718">
        <v>0</v>
      </c>
      <c r="CX1718">
        <v>4</v>
      </c>
      <c r="CY1718">
        <v>7</v>
      </c>
      <c r="CZ1718" t="s">
        <v>131</v>
      </c>
      <c r="DA1718">
        <v>286</v>
      </c>
      <c r="DB1718">
        <v>0</v>
      </c>
      <c r="DC1718" t="s">
        <v>132</v>
      </c>
      <c r="DD1718" t="s">
        <v>133</v>
      </c>
      <c r="DG1718">
        <v>826708</v>
      </c>
      <c r="DI1718">
        <v>1</v>
      </c>
      <c r="DJ1718">
        <v>0</v>
      </c>
      <c r="DK1718">
        <v>1</v>
      </c>
      <c r="DL1718">
        <v>0</v>
      </c>
      <c r="DM1718">
        <v>0</v>
      </c>
      <c r="DN1718">
        <v>1</v>
      </c>
      <c r="DO1718">
        <v>0</v>
      </c>
      <c r="DP1718">
        <v>0</v>
      </c>
      <c r="DQ1718">
        <v>0</v>
      </c>
      <c r="DR1718">
        <v>0</v>
      </c>
      <c r="DS1718">
        <v>0</v>
      </c>
    </row>
    <row r="1719" spans="1:123" x14ac:dyDescent="0.3">
      <c r="A1719" t="str">
        <f>"10/04/2022 19:30:05.251"</f>
        <v>10/04/2022 19:30:05.251</v>
      </c>
      <c r="C1719" t="str">
        <f t="shared" si="604"/>
        <v>FFDFD3C0</v>
      </c>
      <c r="D1719" t="s">
        <v>134</v>
      </c>
      <c r="E1719">
        <v>15</v>
      </c>
      <c r="J1719" t="s">
        <v>135</v>
      </c>
      <c r="K1719">
        <v>0</v>
      </c>
      <c r="L1719">
        <v>3</v>
      </c>
      <c r="M1719">
        <v>0</v>
      </c>
      <c r="N1719">
        <v>2</v>
      </c>
      <c r="O1719">
        <v>0</v>
      </c>
      <c r="P1719">
        <v>1</v>
      </c>
      <c r="Q1719">
        <v>0</v>
      </c>
      <c r="S1719" t="str">
        <f t="shared" si="602"/>
        <v>19:30:04.000</v>
      </c>
      <c r="T1719" t="str">
        <f t="shared" si="602"/>
        <v>19:30:04.000</v>
      </c>
      <c r="U1719" t="str">
        <f t="shared" si="584"/>
        <v>AC3944</v>
      </c>
      <c r="V1719">
        <v>0</v>
      </c>
      <c r="W1719">
        <v>0</v>
      </c>
      <c r="X1719">
        <v>2</v>
      </c>
      <c r="Y1719">
        <v>0</v>
      </c>
      <c r="AA1719">
        <v>1</v>
      </c>
      <c r="AB1719">
        <v>8</v>
      </c>
      <c r="AC1719">
        <v>3</v>
      </c>
      <c r="AD1719">
        <v>0</v>
      </c>
      <c r="AE1719">
        <v>9</v>
      </c>
      <c r="AF1719" t="s">
        <v>138</v>
      </c>
      <c r="AG1719">
        <v>0</v>
      </c>
      <c r="AH1719">
        <v>3</v>
      </c>
      <c r="AI1719">
        <v>1</v>
      </c>
      <c r="AJ1719">
        <v>0</v>
      </c>
      <c r="AK1719" t="s">
        <v>626</v>
      </c>
      <c r="AL1719">
        <v>32.786765000000003</v>
      </c>
      <c r="AM1719" t="s">
        <v>627</v>
      </c>
      <c r="AN1719">
        <v>-116.8661</v>
      </c>
      <c r="AO1719">
        <v>25</v>
      </c>
      <c r="AP1719">
        <v>2800</v>
      </c>
      <c r="AQ1719" t="s">
        <v>129</v>
      </c>
      <c r="AR1719">
        <v>84</v>
      </c>
      <c r="AS1719">
        <v>-79</v>
      </c>
      <c r="AT1719">
        <v>768</v>
      </c>
      <c r="BB1719">
        <v>1200</v>
      </c>
      <c r="BC1719">
        <v>1</v>
      </c>
      <c r="BD1719" t="str">
        <f t="shared" si="585"/>
        <v xml:space="preserve">N887QR  </v>
      </c>
      <c r="BE1719">
        <v>1</v>
      </c>
      <c r="BG1719">
        <v>0</v>
      </c>
      <c r="BH1719">
        <v>0</v>
      </c>
      <c r="BI1719">
        <v>0</v>
      </c>
      <c r="BJ1719">
        <v>2550</v>
      </c>
      <c r="BK1719">
        <v>-250</v>
      </c>
      <c r="BL1719" t="s">
        <v>163</v>
      </c>
      <c r="BM1719">
        <v>1</v>
      </c>
      <c r="BN1719">
        <v>1</v>
      </c>
      <c r="BO1719">
        <v>1</v>
      </c>
      <c r="BP1719">
        <v>0</v>
      </c>
      <c r="BS1719">
        <v>0</v>
      </c>
      <c r="BT1719">
        <v>0</v>
      </c>
      <c r="BU1719">
        <v>0</v>
      </c>
      <c r="CE1719" t="str">
        <f t="shared" si="605"/>
        <v>19:30:04.997</v>
      </c>
      <c r="CF1719">
        <v>996550457</v>
      </c>
      <c r="CS1719">
        <v>3</v>
      </c>
      <c r="CT1719">
        <v>2</v>
      </c>
      <c r="CU1719">
        <v>0</v>
      </c>
      <c r="CV1719">
        <v>2</v>
      </c>
      <c r="CW1719">
        <v>0</v>
      </c>
      <c r="CX1719">
        <v>4</v>
      </c>
      <c r="CY1719">
        <v>7</v>
      </c>
      <c r="CZ1719" t="s">
        <v>131</v>
      </c>
      <c r="DA1719">
        <v>286</v>
      </c>
      <c r="DB1719">
        <v>0</v>
      </c>
      <c r="DC1719" t="s">
        <v>132</v>
      </c>
      <c r="DD1719" t="s">
        <v>133</v>
      </c>
      <c r="DG1719">
        <v>826708</v>
      </c>
      <c r="DI1719">
        <v>1</v>
      </c>
      <c r="DJ1719">
        <v>0</v>
      </c>
      <c r="DK1719">
        <v>1</v>
      </c>
      <c r="DL1719">
        <v>0</v>
      </c>
      <c r="DM1719">
        <v>0</v>
      </c>
      <c r="DN1719">
        <v>1</v>
      </c>
      <c r="DO1719">
        <v>0</v>
      </c>
      <c r="DP1719">
        <v>0</v>
      </c>
      <c r="DQ1719">
        <v>0</v>
      </c>
      <c r="DR1719">
        <v>0</v>
      </c>
      <c r="DS1719">
        <v>0</v>
      </c>
    </row>
    <row r="1720" spans="1:123" x14ac:dyDescent="0.3">
      <c r="A1720" t="str">
        <f>"10/04/2022 19:30:05.251"</f>
        <v>10/04/2022 19:30:05.251</v>
      </c>
      <c r="C1720" t="str">
        <f t="shared" si="604"/>
        <v>FFDFD3C0</v>
      </c>
      <c r="D1720" t="s">
        <v>143</v>
      </c>
      <c r="E1720">
        <v>20</v>
      </c>
      <c r="F1720">
        <v>1020</v>
      </c>
      <c r="G1720" t="s">
        <v>144</v>
      </c>
      <c r="J1720" t="s">
        <v>145</v>
      </c>
      <c r="K1720">
        <v>0</v>
      </c>
      <c r="L1720">
        <v>3</v>
      </c>
      <c r="M1720">
        <v>0</v>
      </c>
      <c r="N1720">
        <v>2</v>
      </c>
      <c r="O1720">
        <v>0</v>
      </c>
      <c r="P1720">
        <v>1</v>
      </c>
      <c r="Q1720">
        <v>0</v>
      </c>
      <c r="S1720" t="str">
        <f t="shared" si="602"/>
        <v>19:30:04.000</v>
      </c>
      <c r="T1720" t="str">
        <f t="shared" si="602"/>
        <v>19:30:04.000</v>
      </c>
      <c r="U1720" t="str">
        <f t="shared" si="584"/>
        <v>AC3944</v>
      </c>
      <c r="V1720">
        <v>0</v>
      </c>
      <c r="W1720">
        <v>0</v>
      </c>
      <c r="X1720">
        <v>2</v>
      </c>
      <c r="Y1720">
        <v>0</v>
      </c>
      <c r="AA1720">
        <v>1</v>
      </c>
      <c r="AB1720">
        <v>8</v>
      </c>
      <c r="AC1720">
        <v>3</v>
      </c>
      <c r="AD1720">
        <v>0</v>
      </c>
      <c r="AE1720">
        <v>9</v>
      </c>
      <c r="AF1720" t="s">
        <v>138</v>
      </c>
      <c r="AG1720">
        <v>0</v>
      </c>
      <c r="AH1720">
        <v>3</v>
      </c>
      <c r="AI1720">
        <v>1</v>
      </c>
      <c r="AJ1720">
        <v>0</v>
      </c>
      <c r="AK1720" t="s">
        <v>626</v>
      </c>
      <c r="AL1720">
        <v>32.786765000000003</v>
      </c>
      <c r="AM1720" t="s">
        <v>627</v>
      </c>
      <c r="AN1720">
        <v>-116.8661</v>
      </c>
      <c r="AO1720">
        <v>25</v>
      </c>
      <c r="AP1720">
        <v>2800</v>
      </c>
      <c r="AQ1720" t="s">
        <v>129</v>
      </c>
      <c r="AR1720">
        <v>84</v>
      </c>
      <c r="AS1720">
        <v>-79</v>
      </c>
      <c r="AT1720">
        <v>768</v>
      </c>
      <c r="BB1720">
        <v>1200</v>
      </c>
      <c r="BC1720">
        <v>1</v>
      </c>
      <c r="BD1720" t="str">
        <f t="shared" si="585"/>
        <v xml:space="preserve">N887QR  </v>
      </c>
      <c r="BE1720">
        <v>1</v>
      </c>
      <c r="BG1720">
        <v>0</v>
      </c>
      <c r="BH1720">
        <v>0</v>
      </c>
      <c r="BI1720">
        <v>0</v>
      </c>
      <c r="BJ1720">
        <v>2550</v>
      </c>
      <c r="BK1720">
        <v>-250</v>
      </c>
      <c r="BL1720" t="s">
        <v>163</v>
      </c>
      <c r="BM1720">
        <v>1</v>
      </c>
      <c r="BN1720">
        <v>1</v>
      </c>
      <c r="BO1720">
        <v>1</v>
      </c>
      <c r="BP1720">
        <v>0</v>
      </c>
      <c r="BS1720">
        <v>0</v>
      </c>
      <c r="BT1720">
        <v>0</v>
      </c>
      <c r="BU1720">
        <v>0</v>
      </c>
      <c r="CE1720" t="str">
        <f t="shared" si="605"/>
        <v>19:30:04.997</v>
      </c>
      <c r="CF1720">
        <v>996550457</v>
      </c>
      <c r="CS1720">
        <v>3</v>
      </c>
      <c r="CT1720">
        <v>2</v>
      </c>
      <c r="CU1720">
        <v>0</v>
      </c>
      <c r="CV1720">
        <v>2</v>
      </c>
      <c r="CW1720">
        <v>0</v>
      </c>
      <c r="CX1720">
        <v>4</v>
      </c>
      <c r="CY1720">
        <v>7</v>
      </c>
      <c r="CZ1720" t="s">
        <v>131</v>
      </c>
      <c r="DA1720">
        <v>286</v>
      </c>
      <c r="DB1720">
        <v>0</v>
      </c>
      <c r="DC1720" t="s">
        <v>132</v>
      </c>
      <c r="DD1720" t="s">
        <v>133</v>
      </c>
      <c r="DG1720">
        <v>826708</v>
      </c>
      <c r="DI1720">
        <v>1</v>
      </c>
      <c r="DJ1720">
        <v>0</v>
      </c>
      <c r="DK1720">
        <v>1</v>
      </c>
      <c r="DL1720">
        <v>0</v>
      </c>
      <c r="DM1720">
        <v>0</v>
      </c>
      <c r="DN1720">
        <v>1</v>
      </c>
      <c r="DO1720">
        <v>0</v>
      </c>
      <c r="DP1720">
        <v>0</v>
      </c>
      <c r="DQ1720">
        <v>0</v>
      </c>
      <c r="DR1720">
        <v>0</v>
      </c>
      <c r="DS1720">
        <v>0</v>
      </c>
    </row>
    <row r="1721" spans="1:123" x14ac:dyDescent="0.3">
      <c r="A1721" t="str">
        <f>"10/04/2022 19:30:05.298"</f>
        <v>10/04/2022 19:30:05.298</v>
      </c>
      <c r="C1721" t="str">
        <f t="shared" si="604"/>
        <v>FFDFD3C0</v>
      </c>
      <c r="D1721" t="s">
        <v>123</v>
      </c>
      <c r="E1721">
        <v>7</v>
      </c>
      <c r="F1721">
        <v>2007</v>
      </c>
      <c r="G1721" t="s">
        <v>124</v>
      </c>
      <c r="J1721" t="s">
        <v>125</v>
      </c>
      <c r="K1721">
        <v>0</v>
      </c>
      <c r="L1721">
        <v>3</v>
      </c>
      <c r="M1721">
        <v>0</v>
      </c>
      <c r="N1721">
        <v>2</v>
      </c>
      <c r="O1721">
        <v>0</v>
      </c>
      <c r="P1721">
        <v>1</v>
      </c>
      <c r="Q1721">
        <v>0</v>
      </c>
      <c r="S1721" t="str">
        <f t="shared" si="602"/>
        <v>19:30:04.000</v>
      </c>
      <c r="T1721" t="str">
        <f t="shared" si="602"/>
        <v>19:30:04.000</v>
      </c>
      <c r="U1721" t="str">
        <f t="shared" si="584"/>
        <v>AC3944</v>
      </c>
      <c r="V1721">
        <v>0</v>
      </c>
      <c r="W1721">
        <v>0</v>
      </c>
      <c r="X1721">
        <v>2</v>
      </c>
      <c r="Y1721">
        <v>0</v>
      </c>
      <c r="AA1721">
        <v>1</v>
      </c>
      <c r="AB1721">
        <v>8</v>
      </c>
      <c r="AC1721">
        <v>3</v>
      </c>
      <c r="AD1721">
        <v>0</v>
      </c>
      <c r="AE1721">
        <v>9</v>
      </c>
      <c r="AF1721" t="s">
        <v>138</v>
      </c>
      <c r="AG1721">
        <v>0</v>
      </c>
      <c r="AH1721">
        <v>3</v>
      </c>
      <c r="AI1721">
        <v>1</v>
      </c>
      <c r="AJ1721">
        <v>0</v>
      </c>
      <c r="AK1721" t="s">
        <v>626</v>
      </c>
      <c r="AL1721">
        <v>32.786765000000003</v>
      </c>
      <c r="AM1721" t="s">
        <v>627</v>
      </c>
      <c r="AN1721">
        <v>-116.8661</v>
      </c>
      <c r="AO1721">
        <v>25</v>
      </c>
      <c r="AP1721">
        <v>2800</v>
      </c>
      <c r="AQ1721" t="s">
        <v>129</v>
      </c>
      <c r="AR1721">
        <v>84</v>
      </c>
      <c r="AS1721">
        <v>-79</v>
      </c>
      <c r="AT1721">
        <v>768</v>
      </c>
      <c r="BB1721">
        <v>1200</v>
      </c>
      <c r="BC1721">
        <v>1</v>
      </c>
      <c r="BD1721" t="str">
        <f t="shared" si="585"/>
        <v xml:space="preserve">N887QR  </v>
      </c>
      <c r="BE1721">
        <v>1</v>
      </c>
      <c r="BG1721">
        <v>0</v>
      </c>
      <c r="BH1721">
        <v>0</v>
      </c>
      <c r="BI1721">
        <v>0</v>
      </c>
      <c r="BJ1721">
        <v>2550</v>
      </c>
      <c r="BK1721">
        <v>-250</v>
      </c>
      <c r="BL1721" t="s">
        <v>163</v>
      </c>
      <c r="BM1721">
        <v>1</v>
      </c>
      <c r="BN1721">
        <v>1</v>
      </c>
      <c r="BO1721">
        <v>1</v>
      </c>
      <c r="BP1721">
        <v>0</v>
      </c>
      <c r="BS1721">
        <v>0</v>
      </c>
      <c r="BT1721">
        <v>0</v>
      </c>
      <c r="BU1721">
        <v>0</v>
      </c>
      <c r="CE1721" t="str">
        <f t="shared" si="605"/>
        <v>19:30:04.997</v>
      </c>
      <c r="CF1721">
        <v>996550457</v>
      </c>
      <c r="CS1721">
        <v>3</v>
      </c>
      <c r="CT1721">
        <v>2</v>
      </c>
      <c r="CU1721">
        <v>0</v>
      </c>
      <c r="CV1721">
        <v>2</v>
      </c>
      <c r="CW1721">
        <v>0</v>
      </c>
      <c r="CX1721">
        <v>4</v>
      </c>
      <c r="CY1721">
        <v>7</v>
      </c>
      <c r="CZ1721" t="s">
        <v>131</v>
      </c>
      <c r="DA1721">
        <v>286</v>
      </c>
      <c r="DB1721">
        <v>0</v>
      </c>
      <c r="DC1721" t="s">
        <v>132</v>
      </c>
      <c r="DD1721" t="s">
        <v>133</v>
      </c>
      <c r="DG1721">
        <v>826708</v>
      </c>
      <c r="DI1721">
        <v>1</v>
      </c>
      <c r="DJ1721">
        <v>0</v>
      </c>
      <c r="DK1721">
        <v>1</v>
      </c>
      <c r="DL1721">
        <v>0</v>
      </c>
      <c r="DM1721">
        <v>0</v>
      </c>
      <c r="DN1721">
        <v>1</v>
      </c>
      <c r="DO1721">
        <v>0</v>
      </c>
      <c r="DP1721">
        <v>0</v>
      </c>
      <c r="DQ1721">
        <v>0</v>
      </c>
      <c r="DR1721">
        <v>0</v>
      </c>
      <c r="DS1721">
        <v>0</v>
      </c>
    </row>
    <row r="1722" spans="1:123" x14ac:dyDescent="0.3">
      <c r="A1722" t="str">
        <f>"10/04/2022 19:30:05.298"</f>
        <v>10/04/2022 19:30:05.298</v>
      </c>
      <c r="C1722" t="str">
        <f t="shared" si="604"/>
        <v>FFDFD3C0</v>
      </c>
      <c r="D1722" t="s">
        <v>147</v>
      </c>
      <c r="E1722">
        <v>3</v>
      </c>
      <c r="H1722">
        <v>166</v>
      </c>
      <c r="I1722" t="s">
        <v>144</v>
      </c>
      <c r="J1722" t="s">
        <v>148</v>
      </c>
      <c r="K1722">
        <v>0</v>
      </c>
      <c r="L1722">
        <v>3</v>
      </c>
      <c r="M1722">
        <v>0</v>
      </c>
      <c r="N1722">
        <v>2</v>
      </c>
      <c r="O1722">
        <v>0</v>
      </c>
      <c r="P1722">
        <v>1</v>
      </c>
      <c r="Q1722">
        <v>0</v>
      </c>
      <c r="S1722" t="str">
        <f t="shared" si="602"/>
        <v>19:30:04.000</v>
      </c>
      <c r="T1722" t="str">
        <f t="shared" si="602"/>
        <v>19:30:04.000</v>
      </c>
      <c r="U1722" t="str">
        <f t="shared" si="584"/>
        <v>AC3944</v>
      </c>
      <c r="V1722">
        <v>0</v>
      </c>
      <c r="W1722">
        <v>0</v>
      </c>
      <c r="X1722">
        <v>2</v>
      </c>
      <c r="Y1722">
        <v>0</v>
      </c>
      <c r="AA1722">
        <v>1</v>
      </c>
      <c r="AB1722">
        <v>8</v>
      </c>
      <c r="AC1722">
        <v>3</v>
      </c>
      <c r="AD1722">
        <v>0</v>
      </c>
      <c r="AE1722">
        <v>9</v>
      </c>
      <c r="AF1722" t="s">
        <v>138</v>
      </c>
      <c r="AG1722">
        <v>0</v>
      </c>
      <c r="AH1722">
        <v>3</v>
      </c>
      <c r="AI1722">
        <v>1</v>
      </c>
      <c r="AJ1722">
        <v>0</v>
      </c>
      <c r="AK1722" t="s">
        <v>626</v>
      </c>
      <c r="AL1722">
        <v>32.786765000000003</v>
      </c>
      <c r="AM1722" t="s">
        <v>627</v>
      </c>
      <c r="AN1722">
        <v>-116.8661</v>
      </c>
      <c r="AO1722">
        <v>25</v>
      </c>
      <c r="AP1722">
        <v>2800</v>
      </c>
      <c r="AQ1722" t="s">
        <v>129</v>
      </c>
      <c r="AR1722">
        <v>84</v>
      </c>
      <c r="AS1722">
        <v>-79</v>
      </c>
      <c r="AT1722">
        <v>768</v>
      </c>
      <c r="BB1722">
        <v>1200</v>
      </c>
      <c r="BC1722">
        <v>1</v>
      </c>
      <c r="BD1722" t="str">
        <f t="shared" si="585"/>
        <v xml:space="preserve">N887QR  </v>
      </c>
      <c r="BE1722">
        <v>1</v>
      </c>
      <c r="BG1722">
        <v>0</v>
      </c>
      <c r="BH1722">
        <v>0</v>
      </c>
      <c r="BI1722">
        <v>0</v>
      </c>
      <c r="BJ1722">
        <v>2550</v>
      </c>
      <c r="BK1722">
        <v>-250</v>
      </c>
      <c r="BL1722" t="s">
        <v>163</v>
      </c>
      <c r="BM1722">
        <v>1</v>
      </c>
      <c r="BN1722">
        <v>1</v>
      </c>
      <c r="BO1722">
        <v>1</v>
      </c>
      <c r="BP1722">
        <v>0</v>
      </c>
      <c r="BS1722">
        <v>0</v>
      </c>
      <c r="BT1722">
        <v>0</v>
      </c>
      <c r="BU1722">
        <v>0</v>
      </c>
      <c r="CE1722" t="str">
        <f t="shared" si="605"/>
        <v>19:30:04.997</v>
      </c>
      <c r="CF1722">
        <v>996550457</v>
      </c>
      <c r="CS1722">
        <v>3</v>
      </c>
      <c r="CT1722">
        <v>2</v>
      </c>
      <c r="CU1722">
        <v>0</v>
      </c>
      <c r="CV1722">
        <v>2</v>
      </c>
      <c r="CW1722">
        <v>0</v>
      </c>
      <c r="CX1722">
        <v>4</v>
      </c>
      <c r="CY1722">
        <v>7</v>
      </c>
      <c r="CZ1722" t="s">
        <v>131</v>
      </c>
      <c r="DA1722">
        <v>286</v>
      </c>
      <c r="DB1722">
        <v>0</v>
      </c>
      <c r="DC1722" t="s">
        <v>132</v>
      </c>
      <c r="DD1722" t="s">
        <v>133</v>
      </c>
      <c r="DG1722">
        <v>826708</v>
      </c>
      <c r="DI1722">
        <v>1</v>
      </c>
      <c r="DJ1722">
        <v>0</v>
      </c>
      <c r="DK1722">
        <v>1</v>
      </c>
      <c r="DL1722">
        <v>0</v>
      </c>
      <c r="DM1722">
        <v>0</v>
      </c>
      <c r="DN1722">
        <v>1</v>
      </c>
      <c r="DO1722">
        <v>0</v>
      </c>
      <c r="DP1722">
        <v>0</v>
      </c>
      <c r="DQ1722">
        <v>0</v>
      </c>
      <c r="DR1722">
        <v>0</v>
      </c>
      <c r="DS1722">
        <v>0</v>
      </c>
    </row>
    <row r="1723" spans="1:123" x14ac:dyDescent="0.3">
      <c r="A1723" t="str">
        <f>"10/04/2022 19:30:05.298"</f>
        <v>10/04/2022 19:30:05.298</v>
      </c>
      <c r="C1723" t="str">
        <f t="shared" si="604"/>
        <v>FFDFD3C0</v>
      </c>
      <c r="D1723" t="s">
        <v>141</v>
      </c>
      <c r="E1723">
        <v>3</v>
      </c>
      <c r="H1723">
        <v>3</v>
      </c>
      <c r="I1723" t="s">
        <v>146</v>
      </c>
      <c r="J1723" t="s">
        <v>138</v>
      </c>
      <c r="K1723">
        <v>0</v>
      </c>
      <c r="L1723">
        <v>3</v>
      </c>
      <c r="M1723">
        <v>0</v>
      </c>
      <c r="N1723">
        <v>2</v>
      </c>
      <c r="O1723">
        <v>0</v>
      </c>
      <c r="P1723">
        <v>1</v>
      </c>
      <c r="Q1723">
        <v>0</v>
      </c>
      <c r="S1723" t="str">
        <f t="shared" si="602"/>
        <v>19:30:04.000</v>
      </c>
      <c r="T1723" t="str">
        <f t="shared" si="602"/>
        <v>19:30:04.000</v>
      </c>
      <c r="U1723" t="str">
        <f t="shared" si="584"/>
        <v>AC3944</v>
      </c>
      <c r="V1723">
        <v>0</v>
      </c>
      <c r="W1723">
        <v>0</v>
      </c>
      <c r="X1723">
        <v>2</v>
      </c>
      <c r="Y1723">
        <v>0</v>
      </c>
      <c r="AA1723">
        <v>1</v>
      </c>
      <c r="AB1723">
        <v>8</v>
      </c>
      <c r="AC1723">
        <v>3</v>
      </c>
      <c r="AD1723">
        <v>0</v>
      </c>
      <c r="AE1723">
        <v>9</v>
      </c>
      <c r="AF1723" t="s">
        <v>138</v>
      </c>
      <c r="AG1723">
        <v>0</v>
      </c>
      <c r="AH1723">
        <v>3</v>
      </c>
      <c r="AI1723">
        <v>1</v>
      </c>
      <c r="AJ1723">
        <v>0</v>
      </c>
      <c r="AK1723" t="s">
        <v>626</v>
      </c>
      <c r="AL1723">
        <v>32.786765000000003</v>
      </c>
      <c r="AM1723" t="s">
        <v>627</v>
      </c>
      <c r="AN1723">
        <v>-116.8661</v>
      </c>
      <c r="AO1723">
        <v>25</v>
      </c>
      <c r="AP1723">
        <v>2800</v>
      </c>
      <c r="AQ1723" t="s">
        <v>129</v>
      </c>
      <c r="AR1723">
        <v>84</v>
      </c>
      <c r="AS1723">
        <v>-79</v>
      </c>
      <c r="AT1723">
        <v>768</v>
      </c>
      <c r="BB1723">
        <v>1200</v>
      </c>
      <c r="BC1723">
        <v>1</v>
      </c>
      <c r="BD1723" t="str">
        <f t="shared" si="585"/>
        <v xml:space="preserve">N887QR  </v>
      </c>
      <c r="BE1723">
        <v>1</v>
      </c>
      <c r="BG1723">
        <v>0</v>
      </c>
      <c r="BH1723">
        <v>0</v>
      </c>
      <c r="BI1723">
        <v>0</v>
      </c>
      <c r="BJ1723">
        <v>2550</v>
      </c>
      <c r="BK1723">
        <v>-250</v>
      </c>
      <c r="BL1723" t="s">
        <v>163</v>
      </c>
      <c r="BM1723">
        <v>1</v>
      </c>
      <c r="BN1723">
        <v>1</v>
      </c>
      <c r="BO1723">
        <v>1</v>
      </c>
      <c r="BP1723">
        <v>0</v>
      </c>
      <c r="BS1723">
        <v>0</v>
      </c>
      <c r="BT1723">
        <v>0</v>
      </c>
      <c r="BU1723">
        <v>0</v>
      </c>
      <c r="CE1723" t="str">
        <f t="shared" si="605"/>
        <v>19:30:04.997</v>
      </c>
      <c r="CF1723">
        <v>996550457</v>
      </c>
      <c r="CS1723">
        <v>3</v>
      </c>
      <c r="CT1723">
        <v>2</v>
      </c>
      <c r="CU1723">
        <v>0</v>
      </c>
      <c r="CV1723">
        <v>2</v>
      </c>
      <c r="CW1723">
        <v>0</v>
      </c>
      <c r="CX1723">
        <v>4</v>
      </c>
      <c r="CY1723">
        <v>7</v>
      </c>
      <c r="CZ1723" t="s">
        <v>131</v>
      </c>
      <c r="DA1723">
        <v>286</v>
      </c>
      <c r="DB1723">
        <v>0</v>
      </c>
      <c r="DC1723" t="s">
        <v>132</v>
      </c>
      <c r="DD1723" t="s">
        <v>133</v>
      </c>
      <c r="DG1723">
        <v>826708</v>
      </c>
      <c r="DI1723">
        <v>1</v>
      </c>
      <c r="DJ1723">
        <v>0</v>
      </c>
      <c r="DK1723">
        <v>1</v>
      </c>
      <c r="DL1723">
        <v>0</v>
      </c>
      <c r="DM1723">
        <v>0</v>
      </c>
      <c r="DN1723">
        <v>1</v>
      </c>
      <c r="DO1723">
        <v>0</v>
      </c>
      <c r="DP1723">
        <v>0</v>
      </c>
      <c r="DQ1723">
        <v>0</v>
      </c>
      <c r="DR1723">
        <v>0</v>
      </c>
      <c r="DS1723">
        <v>0</v>
      </c>
    </row>
    <row r="1724" spans="1:123" x14ac:dyDescent="0.3">
      <c r="A1724" t="str">
        <f t="shared" ref="A1724:A1730" si="606">"10/04/2022 19:30:06.572"</f>
        <v>10/04/2022 19:30:06.572</v>
      </c>
      <c r="C1724" t="str">
        <f t="shared" si="604"/>
        <v>FFDFD3C0</v>
      </c>
      <c r="D1724" t="s">
        <v>123</v>
      </c>
      <c r="E1724">
        <v>7</v>
      </c>
      <c r="F1724">
        <v>2007</v>
      </c>
      <c r="G1724" t="s">
        <v>124</v>
      </c>
      <c r="J1724" t="s">
        <v>125</v>
      </c>
      <c r="K1724">
        <v>0</v>
      </c>
      <c r="L1724">
        <v>3</v>
      </c>
      <c r="M1724">
        <v>0</v>
      </c>
      <c r="N1724">
        <v>2</v>
      </c>
      <c r="O1724">
        <v>0</v>
      </c>
      <c r="P1724">
        <v>1</v>
      </c>
      <c r="Q1724">
        <v>0</v>
      </c>
      <c r="S1724" t="str">
        <f t="shared" ref="S1724:T1730" si="607">"19:30:06.000"</f>
        <v>19:30:06.000</v>
      </c>
      <c r="T1724" t="str">
        <f t="shared" si="607"/>
        <v>19:30:06.000</v>
      </c>
      <c r="U1724" t="str">
        <f t="shared" si="584"/>
        <v>AC3944</v>
      </c>
      <c r="V1724">
        <v>0</v>
      </c>
      <c r="W1724">
        <v>0</v>
      </c>
      <c r="X1724">
        <v>2</v>
      </c>
      <c r="Y1724">
        <v>0</v>
      </c>
      <c r="AA1724">
        <v>1</v>
      </c>
      <c r="AB1724">
        <v>8</v>
      </c>
      <c r="AC1724">
        <v>3</v>
      </c>
      <c r="AD1724">
        <v>0</v>
      </c>
      <c r="AE1724">
        <v>9</v>
      </c>
      <c r="AF1724" t="s">
        <v>138</v>
      </c>
      <c r="AG1724">
        <v>0</v>
      </c>
      <c r="AH1724">
        <v>3</v>
      </c>
      <c r="AI1724">
        <v>1</v>
      </c>
      <c r="AJ1724">
        <v>0</v>
      </c>
      <c r="AK1724" t="s">
        <v>628</v>
      </c>
      <c r="AL1724">
        <v>32.7864</v>
      </c>
      <c r="AM1724" t="s">
        <v>629</v>
      </c>
      <c r="AN1724">
        <v>-116.865628</v>
      </c>
      <c r="AO1724">
        <v>25</v>
      </c>
      <c r="AP1724">
        <v>2800</v>
      </c>
      <c r="AQ1724" t="s">
        <v>129</v>
      </c>
      <c r="AR1724">
        <v>84</v>
      </c>
      <c r="AS1724">
        <v>-79</v>
      </c>
      <c r="AT1724">
        <v>640</v>
      </c>
      <c r="BB1724">
        <v>1200</v>
      </c>
      <c r="BC1724">
        <v>1</v>
      </c>
      <c r="BD1724" t="str">
        <f t="shared" si="585"/>
        <v xml:space="preserve">N887QR  </v>
      </c>
      <c r="BE1724">
        <v>1</v>
      </c>
      <c r="BG1724">
        <v>0</v>
      </c>
      <c r="BH1724">
        <v>0</v>
      </c>
      <c r="BI1724">
        <v>0</v>
      </c>
      <c r="BJ1724">
        <v>2550</v>
      </c>
      <c r="BK1724">
        <v>-250</v>
      </c>
      <c r="BL1724" t="s">
        <v>163</v>
      </c>
      <c r="BM1724">
        <v>1</v>
      </c>
      <c r="BN1724">
        <v>1</v>
      </c>
      <c r="BO1724">
        <v>1</v>
      </c>
      <c r="BP1724">
        <v>0</v>
      </c>
      <c r="BS1724">
        <v>0</v>
      </c>
      <c r="BT1724">
        <v>0</v>
      </c>
      <c r="BU1724">
        <v>0</v>
      </c>
      <c r="CE1724" t="str">
        <f t="shared" ref="CE1724:CE1730" si="608">"19:30:06.333"</f>
        <v>19:30:06.333</v>
      </c>
      <c r="CF1724">
        <v>333322086</v>
      </c>
      <c r="CS1724">
        <v>3</v>
      </c>
      <c r="CT1724">
        <v>2</v>
      </c>
      <c r="CU1724">
        <v>0</v>
      </c>
      <c r="CV1724">
        <v>2</v>
      </c>
      <c r="CW1724">
        <v>0</v>
      </c>
      <c r="CX1724">
        <v>5</v>
      </c>
      <c r="CY1724">
        <v>7</v>
      </c>
      <c r="CZ1724" t="s">
        <v>131</v>
      </c>
      <c r="DA1724">
        <v>300</v>
      </c>
      <c r="DB1724">
        <v>0</v>
      </c>
      <c r="DC1724" t="s">
        <v>176</v>
      </c>
      <c r="DD1724" t="s">
        <v>177</v>
      </c>
      <c r="DG1724">
        <v>5393462</v>
      </c>
      <c r="DI1724">
        <v>1</v>
      </c>
      <c r="DJ1724">
        <v>0</v>
      </c>
      <c r="DK1724">
        <v>0</v>
      </c>
      <c r="DL1724">
        <v>0</v>
      </c>
      <c r="DM1724">
        <v>0</v>
      </c>
      <c r="DN1724">
        <v>1</v>
      </c>
      <c r="DO1724">
        <v>0</v>
      </c>
      <c r="DP1724">
        <v>0</v>
      </c>
      <c r="DQ1724">
        <v>0</v>
      </c>
      <c r="DR1724">
        <v>0</v>
      </c>
      <c r="DS1724">
        <v>0</v>
      </c>
    </row>
    <row r="1725" spans="1:123" x14ac:dyDescent="0.3">
      <c r="A1725" t="str">
        <f t="shared" si="606"/>
        <v>10/04/2022 19:30:06.572</v>
      </c>
      <c r="C1725" t="str">
        <f t="shared" si="604"/>
        <v>FFDFD3C0</v>
      </c>
      <c r="D1725" t="s">
        <v>147</v>
      </c>
      <c r="E1725">
        <v>3</v>
      </c>
      <c r="H1725">
        <v>166</v>
      </c>
      <c r="I1725" t="s">
        <v>144</v>
      </c>
      <c r="J1725" t="s">
        <v>148</v>
      </c>
      <c r="K1725">
        <v>0</v>
      </c>
      <c r="L1725">
        <v>3</v>
      </c>
      <c r="M1725">
        <v>0</v>
      </c>
      <c r="N1725">
        <v>2</v>
      </c>
      <c r="O1725">
        <v>0</v>
      </c>
      <c r="P1725">
        <v>1</v>
      </c>
      <c r="Q1725">
        <v>0</v>
      </c>
      <c r="S1725" t="str">
        <f t="shared" si="607"/>
        <v>19:30:06.000</v>
      </c>
      <c r="T1725" t="str">
        <f t="shared" si="607"/>
        <v>19:30:06.000</v>
      </c>
      <c r="U1725" t="str">
        <f t="shared" si="584"/>
        <v>AC3944</v>
      </c>
      <c r="V1725">
        <v>0</v>
      </c>
      <c r="W1725">
        <v>0</v>
      </c>
      <c r="X1725">
        <v>2</v>
      </c>
      <c r="Y1725">
        <v>0</v>
      </c>
      <c r="AA1725">
        <v>1</v>
      </c>
      <c r="AB1725">
        <v>8</v>
      </c>
      <c r="AC1725">
        <v>3</v>
      </c>
      <c r="AD1725">
        <v>0</v>
      </c>
      <c r="AE1725">
        <v>9</v>
      </c>
      <c r="AF1725" t="s">
        <v>138</v>
      </c>
      <c r="AG1725">
        <v>0</v>
      </c>
      <c r="AH1725">
        <v>3</v>
      </c>
      <c r="AI1725">
        <v>1</v>
      </c>
      <c r="AJ1725">
        <v>0</v>
      </c>
      <c r="AK1725" t="s">
        <v>628</v>
      </c>
      <c r="AL1725">
        <v>32.7864</v>
      </c>
      <c r="AM1725" t="s">
        <v>629</v>
      </c>
      <c r="AN1725">
        <v>-116.865628</v>
      </c>
      <c r="AO1725">
        <v>25</v>
      </c>
      <c r="AP1725">
        <v>2800</v>
      </c>
      <c r="AQ1725" t="s">
        <v>129</v>
      </c>
      <c r="AR1725">
        <v>84</v>
      </c>
      <c r="AS1725">
        <v>-79</v>
      </c>
      <c r="AT1725">
        <v>640</v>
      </c>
      <c r="BB1725">
        <v>1200</v>
      </c>
      <c r="BC1725">
        <v>1</v>
      </c>
      <c r="BD1725" t="str">
        <f t="shared" si="585"/>
        <v xml:space="preserve">N887QR  </v>
      </c>
      <c r="BE1725">
        <v>1</v>
      </c>
      <c r="BG1725">
        <v>0</v>
      </c>
      <c r="BH1725">
        <v>0</v>
      </c>
      <c r="BI1725">
        <v>0</v>
      </c>
      <c r="BJ1725">
        <v>2550</v>
      </c>
      <c r="BK1725">
        <v>-250</v>
      </c>
      <c r="BL1725" t="s">
        <v>163</v>
      </c>
      <c r="BM1725">
        <v>1</v>
      </c>
      <c r="BN1725">
        <v>1</v>
      </c>
      <c r="BO1725">
        <v>1</v>
      </c>
      <c r="BP1725">
        <v>0</v>
      </c>
      <c r="BS1725">
        <v>0</v>
      </c>
      <c r="BT1725">
        <v>0</v>
      </c>
      <c r="BU1725">
        <v>0</v>
      </c>
      <c r="CE1725" t="str">
        <f t="shared" si="608"/>
        <v>19:30:06.333</v>
      </c>
      <c r="CF1725">
        <v>333322086</v>
      </c>
      <c r="CS1725">
        <v>3</v>
      </c>
      <c r="CT1725">
        <v>2</v>
      </c>
      <c r="CU1725">
        <v>0</v>
      </c>
      <c r="CV1725">
        <v>2</v>
      </c>
      <c r="CW1725">
        <v>0</v>
      </c>
      <c r="CX1725">
        <v>5</v>
      </c>
      <c r="CY1725">
        <v>7</v>
      </c>
      <c r="CZ1725" t="s">
        <v>131</v>
      </c>
      <c r="DA1725">
        <v>300</v>
      </c>
      <c r="DB1725">
        <v>0</v>
      </c>
      <c r="DC1725" t="s">
        <v>176</v>
      </c>
      <c r="DD1725" t="s">
        <v>177</v>
      </c>
      <c r="DG1725">
        <v>5393462</v>
      </c>
      <c r="DI1725">
        <v>1</v>
      </c>
      <c r="DJ1725">
        <v>0</v>
      </c>
      <c r="DK1725">
        <v>1</v>
      </c>
      <c r="DL1725">
        <v>0</v>
      </c>
      <c r="DM1725">
        <v>0</v>
      </c>
      <c r="DN1725">
        <v>1</v>
      </c>
      <c r="DO1725">
        <v>0</v>
      </c>
      <c r="DP1725">
        <v>0</v>
      </c>
      <c r="DQ1725">
        <v>0</v>
      </c>
      <c r="DR1725">
        <v>0</v>
      </c>
      <c r="DS1725">
        <v>0</v>
      </c>
    </row>
    <row r="1726" spans="1:123" x14ac:dyDescent="0.3">
      <c r="A1726" t="str">
        <f t="shared" si="606"/>
        <v>10/04/2022 19:30:06.572</v>
      </c>
      <c r="C1726" t="str">
        <f t="shared" si="604"/>
        <v>FFDFD3C0</v>
      </c>
      <c r="D1726" t="s">
        <v>141</v>
      </c>
      <c r="E1726">
        <v>3</v>
      </c>
      <c r="H1726">
        <v>3</v>
      </c>
      <c r="I1726" t="s">
        <v>146</v>
      </c>
      <c r="J1726" t="s">
        <v>138</v>
      </c>
      <c r="K1726">
        <v>0</v>
      </c>
      <c r="L1726">
        <v>3</v>
      </c>
      <c r="M1726">
        <v>0</v>
      </c>
      <c r="N1726">
        <v>2</v>
      </c>
      <c r="O1726">
        <v>0</v>
      </c>
      <c r="P1726">
        <v>1</v>
      </c>
      <c r="Q1726">
        <v>0</v>
      </c>
      <c r="S1726" t="str">
        <f t="shared" si="607"/>
        <v>19:30:06.000</v>
      </c>
      <c r="T1726" t="str">
        <f t="shared" si="607"/>
        <v>19:30:06.000</v>
      </c>
      <c r="U1726" t="str">
        <f t="shared" si="584"/>
        <v>AC3944</v>
      </c>
      <c r="V1726">
        <v>0</v>
      </c>
      <c r="W1726">
        <v>0</v>
      </c>
      <c r="X1726">
        <v>2</v>
      </c>
      <c r="Y1726">
        <v>0</v>
      </c>
      <c r="AA1726">
        <v>1</v>
      </c>
      <c r="AB1726">
        <v>8</v>
      </c>
      <c r="AC1726">
        <v>3</v>
      </c>
      <c r="AD1726">
        <v>0</v>
      </c>
      <c r="AE1726">
        <v>9</v>
      </c>
      <c r="AF1726" t="s">
        <v>138</v>
      </c>
      <c r="AG1726">
        <v>0</v>
      </c>
      <c r="AH1726">
        <v>3</v>
      </c>
      <c r="AI1726">
        <v>1</v>
      </c>
      <c r="AJ1726">
        <v>0</v>
      </c>
      <c r="AK1726" t="s">
        <v>628</v>
      </c>
      <c r="AL1726">
        <v>32.7864</v>
      </c>
      <c r="AM1726" t="s">
        <v>629</v>
      </c>
      <c r="AN1726">
        <v>-116.865628</v>
      </c>
      <c r="AO1726">
        <v>25</v>
      </c>
      <c r="AP1726">
        <v>2800</v>
      </c>
      <c r="AQ1726" t="s">
        <v>129</v>
      </c>
      <c r="AR1726">
        <v>84</v>
      </c>
      <c r="AS1726">
        <v>-79</v>
      </c>
      <c r="AT1726">
        <v>640</v>
      </c>
      <c r="BB1726">
        <v>1200</v>
      </c>
      <c r="BC1726">
        <v>1</v>
      </c>
      <c r="BD1726" t="str">
        <f t="shared" si="585"/>
        <v xml:space="preserve">N887QR  </v>
      </c>
      <c r="BE1726">
        <v>1</v>
      </c>
      <c r="BG1726">
        <v>0</v>
      </c>
      <c r="BH1726">
        <v>0</v>
      </c>
      <c r="BI1726">
        <v>0</v>
      </c>
      <c r="BJ1726">
        <v>2550</v>
      </c>
      <c r="BK1726">
        <v>-250</v>
      </c>
      <c r="BL1726" t="s">
        <v>163</v>
      </c>
      <c r="BM1726">
        <v>1</v>
      </c>
      <c r="BN1726">
        <v>1</v>
      </c>
      <c r="BO1726">
        <v>1</v>
      </c>
      <c r="BP1726">
        <v>0</v>
      </c>
      <c r="BS1726">
        <v>0</v>
      </c>
      <c r="BT1726">
        <v>0</v>
      </c>
      <c r="BU1726">
        <v>0</v>
      </c>
      <c r="CE1726" t="str">
        <f t="shared" si="608"/>
        <v>19:30:06.333</v>
      </c>
      <c r="CF1726">
        <v>333322086</v>
      </c>
      <c r="CS1726">
        <v>3</v>
      </c>
      <c r="CT1726">
        <v>2</v>
      </c>
      <c r="CU1726">
        <v>0</v>
      </c>
      <c r="CV1726">
        <v>2</v>
      </c>
      <c r="CW1726">
        <v>0</v>
      </c>
      <c r="CX1726">
        <v>5</v>
      </c>
      <c r="CY1726">
        <v>7</v>
      </c>
      <c r="CZ1726" t="s">
        <v>131</v>
      </c>
      <c r="DA1726">
        <v>300</v>
      </c>
      <c r="DB1726">
        <v>0</v>
      </c>
      <c r="DC1726" t="s">
        <v>176</v>
      </c>
      <c r="DD1726" t="s">
        <v>177</v>
      </c>
      <c r="DG1726">
        <v>5393462</v>
      </c>
      <c r="DI1726">
        <v>1</v>
      </c>
      <c r="DJ1726">
        <v>0</v>
      </c>
      <c r="DK1726">
        <v>1</v>
      </c>
      <c r="DL1726">
        <v>0</v>
      </c>
      <c r="DM1726">
        <v>0</v>
      </c>
      <c r="DN1726">
        <v>1</v>
      </c>
      <c r="DO1726">
        <v>0</v>
      </c>
      <c r="DP1726">
        <v>0</v>
      </c>
      <c r="DQ1726">
        <v>0</v>
      </c>
      <c r="DR1726">
        <v>0</v>
      </c>
      <c r="DS1726">
        <v>0</v>
      </c>
    </row>
    <row r="1727" spans="1:123" x14ac:dyDescent="0.3">
      <c r="A1727" t="str">
        <f t="shared" si="606"/>
        <v>10/04/2022 19:30:06.572</v>
      </c>
      <c r="C1727" t="str">
        <f t="shared" si="604"/>
        <v>FFDFD3C0</v>
      </c>
      <c r="D1727" t="s">
        <v>136</v>
      </c>
      <c r="E1727">
        <v>8</v>
      </c>
      <c r="H1727">
        <v>225</v>
      </c>
      <c r="I1727" t="s">
        <v>137</v>
      </c>
      <c r="J1727" t="s">
        <v>138</v>
      </c>
      <c r="K1727">
        <v>0</v>
      </c>
      <c r="L1727">
        <v>3</v>
      </c>
      <c r="M1727">
        <v>0</v>
      </c>
      <c r="N1727">
        <v>2</v>
      </c>
      <c r="O1727">
        <v>0</v>
      </c>
      <c r="P1727">
        <v>1</v>
      </c>
      <c r="Q1727">
        <v>0</v>
      </c>
      <c r="S1727" t="str">
        <f t="shared" si="607"/>
        <v>19:30:06.000</v>
      </c>
      <c r="T1727" t="str">
        <f t="shared" si="607"/>
        <v>19:30:06.000</v>
      </c>
      <c r="U1727" t="str">
        <f t="shared" si="584"/>
        <v>AC3944</v>
      </c>
      <c r="V1727">
        <v>0</v>
      </c>
      <c r="W1727">
        <v>0</v>
      </c>
      <c r="X1727">
        <v>2</v>
      </c>
      <c r="Y1727">
        <v>0</v>
      </c>
      <c r="AA1727">
        <v>1</v>
      </c>
      <c r="AB1727">
        <v>8</v>
      </c>
      <c r="AC1727">
        <v>3</v>
      </c>
      <c r="AD1727">
        <v>0</v>
      </c>
      <c r="AE1727">
        <v>9</v>
      </c>
      <c r="AF1727" t="s">
        <v>138</v>
      </c>
      <c r="AG1727">
        <v>0</v>
      </c>
      <c r="AH1727">
        <v>3</v>
      </c>
      <c r="AI1727">
        <v>1</v>
      </c>
      <c r="AJ1727">
        <v>0</v>
      </c>
      <c r="AK1727" t="s">
        <v>628</v>
      </c>
      <c r="AL1727">
        <v>32.7864</v>
      </c>
      <c r="AM1727" t="s">
        <v>629</v>
      </c>
      <c r="AN1727">
        <v>-116.865628</v>
      </c>
      <c r="AO1727">
        <v>25</v>
      </c>
      <c r="AP1727">
        <v>2800</v>
      </c>
      <c r="AQ1727" t="s">
        <v>129</v>
      </c>
      <c r="AR1727">
        <v>84</v>
      </c>
      <c r="AS1727">
        <v>-79</v>
      </c>
      <c r="AT1727">
        <v>640</v>
      </c>
      <c r="BB1727">
        <v>1200</v>
      </c>
      <c r="BC1727">
        <v>1</v>
      </c>
      <c r="BD1727" t="str">
        <f t="shared" si="585"/>
        <v xml:space="preserve">N887QR  </v>
      </c>
      <c r="BE1727">
        <v>1</v>
      </c>
      <c r="BG1727">
        <v>0</v>
      </c>
      <c r="BH1727">
        <v>0</v>
      </c>
      <c r="BI1727">
        <v>0</v>
      </c>
      <c r="BJ1727">
        <v>2550</v>
      </c>
      <c r="BK1727">
        <v>-250</v>
      </c>
      <c r="BL1727" t="s">
        <v>163</v>
      </c>
      <c r="BM1727">
        <v>1</v>
      </c>
      <c r="BN1727">
        <v>1</v>
      </c>
      <c r="BO1727">
        <v>1</v>
      </c>
      <c r="BP1727">
        <v>0</v>
      </c>
      <c r="BS1727">
        <v>0</v>
      </c>
      <c r="BT1727">
        <v>0</v>
      </c>
      <c r="BU1727">
        <v>0</v>
      </c>
      <c r="CE1727" t="str">
        <f t="shared" si="608"/>
        <v>19:30:06.333</v>
      </c>
      <c r="CF1727">
        <v>333322086</v>
      </c>
      <c r="CS1727">
        <v>3</v>
      </c>
      <c r="CT1727">
        <v>2</v>
      </c>
      <c r="CU1727">
        <v>0</v>
      </c>
      <c r="CV1727">
        <v>2</v>
      </c>
      <c r="CW1727">
        <v>0</v>
      </c>
      <c r="CX1727">
        <v>5</v>
      </c>
      <c r="CY1727">
        <v>7</v>
      </c>
      <c r="CZ1727" t="s">
        <v>131</v>
      </c>
      <c r="DA1727">
        <v>300</v>
      </c>
      <c r="DB1727">
        <v>0</v>
      </c>
      <c r="DC1727" t="s">
        <v>176</v>
      </c>
      <c r="DD1727" t="s">
        <v>177</v>
      </c>
      <c r="DG1727">
        <v>5393462</v>
      </c>
      <c r="DI1727">
        <v>1</v>
      </c>
      <c r="DJ1727">
        <v>0</v>
      </c>
      <c r="DK1727">
        <v>1</v>
      </c>
      <c r="DL1727">
        <v>0</v>
      </c>
      <c r="DM1727">
        <v>0</v>
      </c>
      <c r="DN1727">
        <v>1</v>
      </c>
      <c r="DO1727">
        <v>0</v>
      </c>
      <c r="DP1727">
        <v>0</v>
      </c>
      <c r="DQ1727">
        <v>0</v>
      </c>
      <c r="DR1727">
        <v>0</v>
      </c>
      <c r="DS1727">
        <v>0</v>
      </c>
    </row>
    <row r="1728" spans="1:123" x14ac:dyDescent="0.3">
      <c r="A1728" t="str">
        <f t="shared" si="606"/>
        <v>10/04/2022 19:30:06.572</v>
      </c>
      <c r="C1728" t="str">
        <f t="shared" si="604"/>
        <v>FFDFD3C0</v>
      </c>
      <c r="D1728" t="s">
        <v>141</v>
      </c>
      <c r="E1728">
        <v>4</v>
      </c>
      <c r="H1728">
        <v>4</v>
      </c>
      <c r="I1728" t="s">
        <v>142</v>
      </c>
      <c r="J1728" t="s">
        <v>138</v>
      </c>
      <c r="K1728">
        <v>0</v>
      </c>
      <c r="L1728">
        <v>3</v>
      </c>
      <c r="M1728">
        <v>0</v>
      </c>
      <c r="N1728">
        <v>2</v>
      </c>
      <c r="O1728">
        <v>0</v>
      </c>
      <c r="P1728">
        <v>1</v>
      </c>
      <c r="Q1728">
        <v>0</v>
      </c>
      <c r="S1728" t="str">
        <f t="shared" si="607"/>
        <v>19:30:06.000</v>
      </c>
      <c r="T1728" t="str">
        <f t="shared" si="607"/>
        <v>19:30:06.000</v>
      </c>
      <c r="U1728" t="str">
        <f t="shared" si="584"/>
        <v>AC3944</v>
      </c>
      <c r="V1728">
        <v>0</v>
      </c>
      <c r="W1728">
        <v>0</v>
      </c>
      <c r="X1728">
        <v>2</v>
      </c>
      <c r="Y1728">
        <v>0</v>
      </c>
      <c r="AA1728">
        <v>1</v>
      </c>
      <c r="AB1728">
        <v>8</v>
      </c>
      <c r="AC1728">
        <v>3</v>
      </c>
      <c r="AD1728">
        <v>0</v>
      </c>
      <c r="AE1728">
        <v>9</v>
      </c>
      <c r="AF1728" t="s">
        <v>138</v>
      </c>
      <c r="AG1728">
        <v>0</v>
      </c>
      <c r="AH1728">
        <v>3</v>
      </c>
      <c r="AI1728">
        <v>1</v>
      </c>
      <c r="AJ1728">
        <v>0</v>
      </c>
      <c r="AK1728" t="s">
        <v>628</v>
      </c>
      <c r="AL1728">
        <v>32.7864</v>
      </c>
      <c r="AM1728" t="s">
        <v>629</v>
      </c>
      <c r="AN1728">
        <v>-116.865628</v>
      </c>
      <c r="AO1728">
        <v>25</v>
      </c>
      <c r="AP1728">
        <v>2800</v>
      </c>
      <c r="AQ1728" t="s">
        <v>129</v>
      </c>
      <c r="AR1728">
        <v>84</v>
      </c>
      <c r="AS1728">
        <v>-79</v>
      </c>
      <c r="AT1728">
        <v>640</v>
      </c>
      <c r="BB1728">
        <v>1200</v>
      </c>
      <c r="BC1728">
        <v>1</v>
      </c>
      <c r="BD1728" t="str">
        <f t="shared" si="585"/>
        <v xml:space="preserve">N887QR  </v>
      </c>
      <c r="BE1728">
        <v>1</v>
      </c>
      <c r="BG1728">
        <v>0</v>
      </c>
      <c r="BH1728">
        <v>0</v>
      </c>
      <c r="BI1728">
        <v>0</v>
      </c>
      <c r="BJ1728">
        <v>2550</v>
      </c>
      <c r="BK1728">
        <v>-250</v>
      </c>
      <c r="BL1728" t="s">
        <v>163</v>
      </c>
      <c r="BM1728">
        <v>1</v>
      </c>
      <c r="BN1728">
        <v>1</v>
      </c>
      <c r="BO1728">
        <v>1</v>
      </c>
      <c r="BP1728">
        <v>0</v>
      </c>
      <c r="BS1728">
        <v>0</v>
      </c>
      <c r="BT1728">
        <v>0</v>
      </c>
      <c r="BU1728">
        <v>0</v>
      </c>
      <c r="CE1728" t="str">
        <f t="shared" si="608"/>
        <v>19:30:06.333</v>
      </c>
      <c r="CF1728">
        <v>333322086</v>
      </c>
      <c r="CS1728">
        <v>3</v>
      </c>
      <c r="CT1728">
        <v>2</v>
      </c>
      <c r="CU1728">
        <v>0</v>
      </c>
      <c r="CV1728">
        <v>2</v>
      </c>
      <c r="CW1728">
        <v>0</v>
      </c>
      <c r="CX1728">
        <v>5</v>
      </c>
      <c r="CY1728">
        <v>7</v>
      </c>
      <c r="CZ1728" t="s">
        <v>131</v>
      </c>
      <c r="DA1728">
        <v>300</v>
      </c>
      <c r="DB1728">
        <v>0</v>
      </c>
      <c r="DC1728" t="s">
        <v>176</v>
      </c>
      <c r="DD1728" t="s">
        <v>177</v>
      </c>
      <c r="DG1728">
        <v>5393462</v>
      </c>
      <c r="DI1728">
        <v>1</v>
      </c>
      <c r="DJ1728">
        <v>0</v>
      </c>
      <c r="DK1728">
        <v>1</v>
      </c>
      <c r="DL1728">
        <v>0</v>
      </c>
      <c r="DM1728">
        <v>0</v>
      </c>
      <c r="DN1728">
        <v>1</v>
      </c>
      <c r="DO1728">
        <v>0</v>
      </c>
      <c r="DP1728">
        <v>0</v>
      </c>
      <c r="DQ1728">
        <v>0</v>
      </c>
      <c r="DR1728">
        <v>0</v>
      </c>
      <c r="DS1728">
        <v>0</v>
      </c>
    </row>
    <row r="1729" spans="1:123" x14ac:dyDescent="0.3">
      <c r="A1729" t="str">
        <f t="shared" si="606"/>
        <v>10/04/2022 19:30:06.572</v>
      </c>
      <c r="C1729" t="str">
        <f t="shared" si="604"/>
        <v>FFDFD3C0</v>
      </c>
      <c r="D1729" t="s">
        <v>134</v>
      </c>
      <c r="E1729">
        <v>15</v>
      </c>
      <c r="J1729" t="s">
        <v>135</v>
      </c>
      <c r="K1729">
        <v>0</v>
      </c>
      <c r="L1729">
        <v>3</v>
      </c>
      <c r="M1729">
        <v>0</v>
      </c>
      <c r="N1729">
        <v>2</v>
      </c>
      <c r="O1729">
        <v>0</v>
      </c>
      <c r="P1729">
        <v>1</v>
      </c>
      <c r="Q1729">
        <v>0</v>
      </c>
      <c r="S1729" t="str">
        <f t="shared" si="607"/>
        <v>19:30:06.000</v>
      </c>
      <c r="T1729" t="str">
        <f t="shared" si="607"/>
        <v>19:30:06.000</v>
      </c>
      <c r="U1729" t="str">
        <f t="shared" si="584"/>
        <v>AC3944</v>
      </c>
      <c r="V1729">
        <v>0</v>
      </c>
      <c r="W1729">
        <v>0</v>
      </c>
      <c r="X1729">
        <v>2</v>
      </c>
      <c r="Y1729">
        <v>0</v>
      </c>
      <c r="AA1729">
        <v>1</v>
      </c>
      <c r="AB1729">
        <v>8</v>
      </c>
      <c r="AC1729">
        <v>3</v>
      </c>
      <c r="AD1729">
        <v>0</v>
      </c>
      <c r="AE1729">
        <v>9</v>
      </c>
      <c r="AF1729" t="s">
        <v>138</v>
      </c>
      <c r="AG1729">
        <v>0</v>
      </c>
      <c r="AH1729">
        <v>3</v>
      </c>
      <c r="AI1729">
        <v>1</v>
      </c>
      <c r="AJ1729">
        <v>0</v>
      </c>
      <c r="AK1729" t="s">
        <v>628</v>
      </c>
      <c r="AL1729">
        <v>32.7864</v>
      </c>
      <c r="AM1729" t="s">
        <v>629</v>
      </c>
      <c r="AN1729">
        <v>-116.865628</v>
      </c>
      <c r="AO1729">
        <v>25</v>
      </c>
      <c r="AP1729">
        <v>2800</v>
      </c>
      <c r="AQ1729" t="s">
        <v>129</v>
      </c>
      <c r="AR1729">
        <v>84</v>
      </c>
      <c r="AS1729">
        <v>-79</v>
      </c>
      <c r="AT1729">
        <v>640</v>
      </c>
      <c r="BB1729">
        <v>1200</v>
      </c>
      <c r="BC1729">
        <v>1</v>
      </c>
      <c r="BD1729" t="str">
        <f t="shared" si="585"/>
        <v xml:space="preserve">N887QR  </v>
      </c>
      <c r="BE1729">
        <v>1</v>
      </c>
      <c r="BG1729">
        <v>0</v>
      </c>
      <c r="BH1729">
        <v>0</v>
      </c>
      <c r="BI1729">
        <v>0</v>
      </c>
      <c r="BJ1729">
        <v>2550</v>
      </c>
      <c r="BK1729">
        <v>-250</v>
      </c>
      <c r="BL1729" t="s">
        <v>163</v>
      </c>
      <c r="BM1729">
        <v>1</v>
      </c>
      <c r="BN1729">
        <v>1</v>
      </c>
      <c r="BO1729">
        <v>1</v>
      </c>
      <c r="BP1729">
        <v>0</v>
      </c>
      <c r="BS1729">
        <v>0</v>
      </c>
      <c r="BT1729">
        <v>0</v>
      </c>
      <c r="BU1729">
        <v>0</v>
      </c>
      <c r="CE1729" t="str">
        <f t="shared" si="608"/>
        <v>19:30:06.333</v>
      </c>
      <c r="CF1729">
        <v>333322086</v>
      </c>
      <c r="CS1729">
        <v>3</v>
      </c>
      <c r="CT1729">
        <v>2</v>
      </c>
      <c r="CU1729">
        <v>0</v>
      </c>
      <c r="CV1729">
        <v>2</v>
      </c>
      <c r="CW1729">
        <v>0</v>
      </c>
      <c r="CX1729">
        <v>5</v>
      </c>
      <c r="CY1729">
        <v>7</v>
      </c>
      <c r="CZ1729" t="s">
        <v>131</v>
      </c>
      <c r="DA1729">
        <v>300</v>
      </c>
      <c r="DB1729">
        <v>0</v>
      </c>
      <c r="DC1729" t="s">
        <v>176</v>
      </c>
      <c r="DD1729" t="s">
        <v>177</v>
      </c>
      <c r="DG1729">
        <v>5393462</v>
      </c>
      <c r="DI1729">
        <v>1</v>
      </c>
      <c r="DJ1729">
        <v>0</v>
      </c>
      <c r="DK1729">
        <v>1</v>
      </c>
      <c r="DL1729">
        <v>0</v>
      </c>
      <c r="DM1729">
        <v>0</v>
      </c>
      <c r="DN1729">
        <v>1</v>
      </c>
      <c r="DO1729">
        <v>0</v>
      </c>
      <c r="DP1729">
        <v>0</v>
      </c>
      <c r="DQ1729">
        <v>0</v>
      </c>
      <c r="DR1729">
        <v>0</v>
      </c>
      <c r="DS1729">
        <v>0</v>
      </c>
    </row>
    <row r="1730" spans="1:123" x14ac:dyDescent="0.3">
      <c r="A1730" t="str">
        <f t="shared" si="606"/>
        <v>10/04/2022 19:30:06.572</v>
      </c>
      <c r="C1730" t="str">
        <f t="shared" si="604"/>
        <v>FFDFD3C0</v>
      </c>
      <c r="D1730" t="s">
        <v>143</v>
      </c>
      <c r="E1730">
        <v>20</v>
      </c>
      <c r="F1730">
        <v>1020</v>
      </c>
      <c r="G1730" t="s">
        <v>144</v>
      </c>
      <c r="J1730" t="s">
        <v>145</v>
      </c>
      <c r="K1730">
        <v>0</v>
      </c>
      <c r="L1730">
        <v>3</v>
      </c>
      <c r="M1730">
        <v>0</v>
      </c>
      <c r="N1730">
        <v>2</v>
      </c>
      <c r="O1730">
        <v>0</v>
      </c>
      <c r="P1730">
        <v>1</v>
      </c>
      <c r="Q1730">
        <v>0</v>
      </c>
      <c r="S1730" t="str">
        <f t="shared" si="607"/>
        <v>19:30:06.000</v>
      </c>
      <c r="T1730" t="str">
        <f t="shared" si="607"/>
        <v>19:30:06.000</v>
      </c>
      <c r="U1730" t="str">
        <f t="shared" ref="U1730:U1793" si="609">"AC3944"</f>
        <v>AC3944</v>
      </c>
      <c r="V1730">
        <v>0</v>
      </c>
      <c r="W1730">
        <v>0</v>
      </c>
      <c r="X1730">
        <v>2</v>
      </c>
      <c r="Y1730">
        <v>0</v>
      </c>
      <c r="AA1730">
        <v>1</v>
      </c>
      <c r="AB1730">
        <v>8</v>
      </c>
      <c r="AC1730">
        <v>3</v>
      </c>
      <c r="AD1730">
        <v>0</v>
      </c>
      <c r="AE1730">
        <v>9</v>
      </c>
      <c r="AF1730" t="s">
        <v>138</v>
      </c>
      <c r="AG1730">
        <v>0</v>
      </c>
      <c r="AH1730">
        <v>3</v>
      </c>
      <c r="AI1730">
        <v>1</v>
      </c>
      <c r="AJ1730">
        <v>0</v>
      </c>
      <c r="AK1730" t="s">
        <v>628</v>
      </c>
      <c r="AL1730">
        <v>32.7864</v>
      </c>
      <c r="AM1730" t="s">
        <v>629</v>
      </c>
      <c r="AN1730">
        <v>-116.865628</v>
      </c>
      <c r="AO1730">
        <v>25</v>
      </c>
      <c r="AP1730">
        <v>2800</v>
      </c>
      <c r="AQ1730" t="s">
        <v>129</v>
      </c>
      <c r="AR1730">
        <v>84</v>
      </c>
      <c r="AS1730">
        <v>-79</v>
      </c>
      <c r="AT1730">
        <v>640</v>
      </c>
      <c r="BB1730">
        <v>1200</v>
      </c>
      <c r="BC1730">
        <v>1</v>
      </c>
      <c r="BD1730" t="str">
        <f t="shared" ref="BD1730:BD1793" si="610">"N887QR  "</f>
        <v xml:space="preserve">N887QR  </v>
      </c>
      <c r="BE1730">
        <v>1</v>
      </c>
      <c r="BG1730">
        <v>0</v>
      </c>
      <c r="BH1730">
        <v>0</v>
      </c>
      <c r="BI1730">
        <v>0</v>
      </c>
      <c r="BJ1730">
        <v>2550</v>
      </c>
      <c r="BK1730">
        <v>-250</v>
      </c>
      <c r="BL1730" t="s">
        <v>163</v>
      </c>
      <c r="BM1730">
        <v>1</v>
      </c>
      <c r="BN1730">
        <v>1</v>
      </c>
      <c r="BO1730">
        <v>1</v>
      </c>
      <c r="BP1730">
        <v>0</v>
      </c>
      <c r="BS1730">
        <v>0</v>
      </c>
      <c r="BT1730">
        <v>0</v>
      </c>
      <c r="BU1730">
        <v>0</v>
      </c>
      <c r="CE1730" t="str">
        <f t="shared" si="608"/>
        <v>19:30:06.333</v>
      </c>
      <c r="CF1730">
        <v>333322086</v>
      </c>
      <c r="CS1730">
        <v>3</v>
      </c>
      <c r="CT1730">
        <v>2</v>
      </c>
      <c r="CU1730">
        <v>0</v>
      </c>
      <c r="CV1730">
        <v>2</v>
      </c>
      <c r="CW1730">
        <v>0</v>
      </c>
      <c r="CX1730">
        <v>5</v>
      </c>
      <c r="CY1730">
        <v>7</v>
      </c>
      <c r="CZ1730" t="s">
        <v>131</v>
      </c>
      <c r="DA1730">
        <v>300</v>
      </c>
      <c r="DB1730">
        <v>0</v>
      </c>
      <c r="DC1730" t="s">
        <v>176</v>
      </c>
      <c r="DD1730" t="s">
        <v>177</v>
      </c>
      <c r="DG1730">
        <v>5393462</v>
      </c>
      <c r="DI1730">
        <v>1</v>
      </c>
      <c r="DJ1730">
        <v>0</v>
      </c>
      <c r="DK1730">
        <v>1</v>
      </c>
      <c r="DL1730">
        <v>0</v>
      </c>
      <c r="DM1730">
        <v>0</v>
      </c>
      <c r="DN1730">
        <v>1</v>
      </c>
      <c r="DO1730">
        <v>0</v>
      </c>
      <c r="DP1730">
        <v>0</v>
      </c>
      <c r="DQ1730">
        <v>0</v>
      </c>
      <c r="DR1730">
        <v>0</v>
      </c>
      <c r="DS1730">
        <v>0</v>
      </c>
    </row>
    <row r="1731" spans="1:123" x14ac:dyDescent="0.3">
      <c r="A1731" t="str">
        <f t="shared" ref="A1731:A1737" si="611">"10/04/2022 19:30:07.494"</f>
        <v>10/04/2022 19:30:07.494</v>
      </c>
      <c r="C1731" t="str">
        <f t="shared" si="604"/>
        <v>FFDFD3C0</v>
      </c>
      <c r="D1731" t="s">
        <v>123</v>
      </c>
      <c r="E1731">
        <v>7</v>
      </c>
      <c r="F1731">
        <v>2007</v>
      </c>
      <c r="G1731" t="s">
        <v>124</v>
      </c>
      <c r="J1731" t="s">
        <v>125</v>
      </c>
      <c r="K1731">
        <v>0</v>
      </c>
      <c r="L1731">
        <v>3</v>
      </c>
      <c r="M1731">
        <v>0</v>
      </c>
      <c r="N1731">
        <v>2</v>
      </c>
      <c r="O1731">
        <v>0</v>
      </c>
      <c r="P1731">
        <v>1</v>
      </c>
      <c r="Q1731">
        <v>0</v>
      </c>
      <c r="S1731" t="str">
        <f t="shared" ref="S1731:T1737" si="612">"19:30:07.000"</f>
        <v>19:30:07.000</v>
      </c>
      <c r="T1731" t="str">
        <f t="shared" si="612"/>
        <v>19:30:07.000</v>
      </c>
      <c r="U1731" t="str">
        <f t="shared" si="609"/>
        <v>AC3944</v>
      </c>
      <c r="V1731">
        <v>0</v>
      </c>
      <c r="W1731">
        <v>0</v>
      </c>
      <c r="X1731">
        <v>2</v>
      </c>
      <c r="Y1731">
        <v>0</v>
      </c>
      <c r="AA1731">
        <v>1</v>
      </c>
      <c r="AB1731">
        <v>8</v>
      </c>
      <c r="AC1731">
        <v>3</v>
      </c>
      <c r="AD1731">
        <v>0</v>
      </c>
      <c r="AE1731">
        <v>9</v>
      </c>
      <c r="AF1731" t="s">
        <v>138</v>
      </c>
      <c r="AG1731">
        <v>0</v>
      </c>
      <c r="AH1731">
        <v>3</v>
      </c>
      <c r="AI1731">
        <v>1</v>
      </c>
      <c r="AJ1731">
        <v>0</v>
      </c>
      <c r="AK1731" t="s">
        <v>630</v>
      </c>
      <c r="AL1731">
        <v>32.786036000000003</v>
      </c>
      <c r="AM1731" t="s">
        <v>631</v>
      </c>
      <c r="AN1731">
        <v>-116.865199</v>
      </c>
      <c r="AO1731">
        <v>25</v>
      </c>
      <c r="AP1731">
        <v>2800</v>
      </c>
      <c r="AQ1731" t="s">
        <v>129</v>
      </c>
      <c r="AR1731">
        <v>84</v>
      </c>
      <c r="AS1731">
        <v>-80</v>
      </c>
      <c r="AT1731">
        <v>640</v>
      </c>
      <c r="BB1731">
        <v>1200</v>
      </c>
      <c r="BC1731">
        <v>1</v>
      </c>
      <c r="BD1731" t="str">
        <f t="shared" si="610"/>
        <v xml:space="preserve">N887QR  </v>
      </c>
      <c r="BE1731">
        <v>1</v>
      </c>
      <c r="BG1731">
        <v>0</v>
      </c>
      <c r="BH1731">
        <v>0</v>
      </c>
      <c r="BI1731">
        <v>0</v>
      </c>
      <c r="BJ1731">
        <v>2575</v>
      </c>
      <c r="BK1731">
        <v>-225</v>
      </c>
      <c r="BL1731" t="s">
        <v>163</v>
      </c>
      <c r="BM1731">
        <v>1</v>
      </c>
      <c r="BN1731">
        <v>1</v>
      </c>
      <c r="BO1731">
        <v>1</v>
      </c>
      <c r="BP1731">
        <v>0</v>
      </c>
      <c r="BS1731">
        <v>0</v>
      </c>
      <c r="BT1731">
        <v>0</v>
      </c>
      <c r="BU1731">
        <v>0</v>
      </c>
      <c r="CE1731" t="str">
        <f t="shared" ref="CE1731:CE1737" si="613">"19:30:07.166"</f>
        <v>19:30:07.166</v>
      </c>
      <c r="CF1731">
        <v>166324888</v>
      </c>
      <c r="CS1731">
        <v>3</v>
      </c>
      <c r="CT1731">
        <v>2</v>
      </c>
      <c r="CU1731">
        <v>0</v>
      </c>
      <c r="CV1731">
        <v>2</v>
      </c>
      <c r="CW1731">
        <v>0</v>
      </c>
      <c r="CX1731">
        <v>5</v>
      </c>
      <c r="CY1731">
        <v>7</v>
      </c>
      <c r="CZ1731" t="s">
        <v>131</v>
      </c>
      <c r="DA1731">
        <v>300</v>
      </c>
      <c r="DB1731">
        <v>0</v>
      </c>
      <c r="DC1731" t="s">
        <v>176</v>
      </c>
      <c r="DD1731" t="s">
        <v>177</v>
      </c>
      <c r="DG1731">
        <v>5393586</v>
      </c>
      <c r="DI1731">
        <v>1</v>
      </c>
      <c r="DJ1731">
        <v>0</v>
      </c>
      <c r="DK1731">
        <v>0</v>
      </c>
      <c r="DL1731">
        <v>0</v>
      </c>
      <c r="DM1731">
        <v>0</v>
      </c>
      <c r="DN1731">
        <v>1</v>
      </c>
      <c r="DO1731">
        <v>0</v>
      </c>
      <c r="DP1731">
        <v>0</v>
      </c>
      <c r="DQ1731">
        <v>0</v>
      </c>
      <c r="DR1731">
        <v>0</v>
      </c>
      <c r="DS1731">
        <v>0</v>
      </c>
    </row>
    <row r="1732" spans="1:123" x14ac:dyDescent="0.3">
      <c r="A1732" t="str">
        <f t="shared" si="611"/>
        <v>10/04/2022 19:30:07.494</v>
      </c>
      <c r="C1732" t="str">
        <f t="shared" si="604"/>
        <v>FFDFD3C0</v>
      </c>
      <c r="D1732" t="s">
        <v>147</v>
      </c>
      <c r="E1732">
        <v>3</v>
      </c>
      <c r="H1732">
        <v>166</v>
      </c>
      <c r="I1732" t="s">
        <v>144</v>
      </c>
      <c r="J1732" t="s">
        <v>148</v>
      </c>
      <c r="K1732">
        <v>0</v>
      </c>
      <c r="L1732">
        <v>3</v>
      </c>
      <c r="M1732">
        <v>0</v>
      </c>
      <c r="N1732">
        <v>2</v>
      </c>
      <c r="O1732">
        <v>0</v>
      </c>
      <c r="P1732">
        <v>1</v>
      </c>
      <c r="Q1732">
        <v>0</v>
      </c>
      <c r="S1732" t="str">
        <f t="shared" si="612"/>
        <v>19:30:07.000</v>
      </c>
      <c r="T1732" t="str">
        <f t="shared" si="612"/>
        <v>19:30:07.000</v>
      </c>
      <c r="U1732" t="str">
        <f t="shared" si="609"/>
        <v>AC3944</v>
      </c>
      <c r="V1732">
        <v>0</v>
      </c>
      <c r="W1732">
        <v>0</v>
      </c>
      <c r="X1732">
        <v>2</v>
      </c>
      <c r="Y1732">
        <v>0</v>
      </c>
      <c r="AA1732">
        <v>1</v>
      </c>
      <c r="AB1732">
        <v>8</v>
      </c>
      <c r="AC1732">
        <v>3</v>
      </c>
      <c r="AD1732">
        <v>0</v>
      </c>
      <c r="AE1732">
        <v>9</v>
      </c>
      <c r="AF1732" t="s">
        <v>138</v>
      </c>
      <c r="AG1732">
        <v>0</v>
      </c>
      <c r="AH1732">
        <v>3</v>
      </c>
      <c r="AI1732">
        <v>1</v>
      </c>
      <c r="AJ1732">
        <v>0</v>
      </c>
      <c r="AK1732" t="s">
        <v>630</v>
      </c>
      <c r="AL1732">
        <v>32.786036000000003</v>
      </c>
      <c r="AM1732" t="s">
        <v>631</v>
      </c>
      <c r="AN1732">
        <v>-116.865199</v>
      </c>
      <c r="AO1732">
        <v>25</v>
      </c>
      <c r="AP1732">
        <v>2800</v>
      </c>
      <c r="AQ1732" t="s">
        <v>129</v>
      </c>
      <c r="AR1732">
        <v>84</v>
      </c>
      <c r="AS1732">
        <v>-80</v>
      </c>
      <c r="AT1732">
        <v>640</v>
      </c>
      <c r="BB1732">
        <v>1200</v>
      </c>
      <c r="BC1732">
        <v>1</v>
      </c>
      <c r="BD1732" t="str">
        <f t="shared" si="610"/>
        <v xml:space="preserve">N887QR  </v>
      </c>
      <c r="BE1732">
        <v>1</v>
      </c>
      <c r="BG1732">
        <v>0</v>
      </c>
      <c r="BH1732">
        <v>0</v>
      </c>
      <c r="BI1732">
        <v>0</v>
      </c>
      <c r="BJ1732">
        <v>2575</v>
      </c>
      <c r="BK1732">
        <v>-225</v>
      </c>
      <c r="BL1732" t="s">
        <v>163</v>
      </c>
      <c r="BM1732">
        <v>1</v>
      </c>
      <c r="BN1732">
        <v>1</v>
      </c>
      <c r="BO1732">
        <v>1</v>
      </c>
      <c r="BP1732">
        <v>0</v>
      </c>
      <c r="BS1732">
        <v>0</v>
      </c>
      <c r="BT1732">
        <v>0</v>
      </c>
      <c r="BU1732">
        <v>0</v>
      </c>
      <c r="CE1732" t="str">
        <f t="shared" si="613"/>
        <v>19:30:07.166</v>
      </c>
      <c r="CF1732">
        <v>166324888</v>
      </c>
      <c r="CS1732">
        <v>3</v>
      </c>
      <c r="CT1732">
        <v>2</v>
      </c>
      <c r="CU1732">
        <v>0</v>
      </c>
      <c r="CV1732">
        <v>2</v>
      </c>
      <c r="CW1732">
        <v>0</v>
      </c>
      <c r="CX1732">
        <v>5</v>
      </c>
      <c r="CY1732">
        <v>7</v>
      </c>
      <c r="CZ1732" t="s">
        <v>131</v>
      </c>
      <c r="DA1732">
        <v>300</v>
      </c>
      <c r="DB1732">
        <v>0</v>
      </c>
      <c r="DC1732" t="s">
        <v>176</v>
      </c>
      <c r="DD1732" t="s">
        <v>177</v>
      </c>
      <c r="DG1732">
        <v>5393586</v>
      </c>
      <c r="DI1732">
        <v>1</v>
      </c>
      <c r="DJ1732">
        <v>0</v>
      </c>
      <c r="DK1732">
        <v>1</v>
      </c>
      <c r="DL1732">
        <v>0</v>
      </c>
      <c r="DM1732">
        <v>0</v>
      </c>
      <c r="DN1732">
        <v>1</v>
      </c>
      <c r="DO1732">
        <v>0</v>
      </c>
      <c r="DP1732">
        <v>0</v>
      </c>
      <c r="DQ1732">
        <v>0</v>
      </c>
      <c r="DR1732">
        <v>0</v>
      </c>
      <c r="DS1732">
        <v>0</v>
      </c>
    </row>
    <row r="1733" spans="1:123" x14ac:dyDescent="0.3">
      <c r="A1733" t="str">
        <f t="shared" si="611"/>
        <v>10/04/2022 19:30:07.494</v>
      </c>
      <c r="C1733" t="str">
        <f t="shared" si="604"/>
        <v>FFDFD3C0</v>
      </c>
      <c r="D1733" t="s">
        <v>141</v>
      </c>
      <c r="E1733">
        <v>3</v>
      </c>
      <c r="H1733">
        <v>3</v>
      </c>
      <c r="I1733" t="s">
        <v>146</v>
      </c>
      <c r="J1733" t="s">
        <v>138</v>
      </c>
      <c r="K1733">
        <v>0</v>
      </c>
      <c r="L1733">
        <v>3</v>
      </c>
      <c r="M1733">
        <v>0</v>
      </c>
      <c r="N1733">
        <v>2</v>
      </c>
      <c r="O1733">
        <v>0</v>
      </c>
      <c r="P1733">
        <v>1</v>
      </c>
      <c r="Q1733">
        <v>0</v>
      </c>
      <c r="S1733" t="str">
        <f t="shared" si="612"/>
        <v>19:30:07.000</v>
      </c>
      <c r="T1733" t="str">
        <f t="shared" si="612"/>
        <v>19:30:07.000</v>
      </c>
      <c r="U1733" t="str">
        <f t="shared" si="609"/>
        <v>AC3944</v>
      </c>
      <c r="V1733">
        <v>0</v>
      </c>
      <c r="W1733">
        <v>0</v>
      </c>
      <c r="X1733">
        <v>2</v>
      </c>
      <c r="Y1733">
        <v>0</v>
      </c>
      <c r="AA1733">
        <v>1</v>
      </c>
      <c r="AB1733">
        <v>8</v>
      </c>
      <c r="AC1733">
        <v>3</v>
      </c>
      <c r="AD1733">
        <v>0</v>
      </c>
      <c r="AE1733">
        <v>9</v>
      </c>
      <c r="AF1733" t="s">
        <v>138</v>
      </c>
      <c r="AG1733">
        <v>0</v>
      </c>
      <c r="AH1733">
        <v>3</v>
      </c>
      <c r="AI1733">
        <v>1</v>
      </c>
      <c r="AJ1733">
        <v>0</v>
      </c>
      <c r="AK1733" t="s">
        <v>630</v>
      </c>
      <c r="AL1733">
        <v>32.786036000000003</v>
      </c>
      <c r="AM1733" t="s">
        <v>631</v>
      </c>
      <c r="AN1733">
        <v>-116.865199</v>
      </c>
      <c r="AO1733">
        <v>25</v>
      </c>
      <c r="AP1733">
        <v>2800</v>
      </c>
      <c r="AQ1733" t="s">
        <v>129</v>
      </c>
      <c r="AR1733">
        <v>84</v>
      </c>
      <c r="AS1733">
        <v>-80</v>
      </c>
      <c r="AT1733">
        <v>640</v>
      </c>
      <c r="BB1733">
        <v>1200</v>
      </c>
      <c r="BC1733">
        <v>1</v>
      </c>
      <c r="BD1733" t="str">
        <f t="shared" si="610"/>
        <v xml:space="preserve">N887QR  </v>
      </c>
      <c r="BE1733">
        <v>1</v>
      </c>
      <c r="BG1733">
        <v>0</v>
      </c>
      <c r="BH1733">
        <v>0</v>
      </c>
      <c r="BI1733">
        <v>0</v>
      </c>
      <c r="BJ1733">
        <v>2575</v>
      </c>
      <c r="BK1733">
        <v>-225</v>
      </c>
      <c r="BL1733" t="s">
        <v>163</v>
      </c>
      <c r="BM1733">
        <v>1</v>
      </c>
      <c r="BN1733">
        <v>1</v>
      </c>
      <c r="BO1733">
        <v>1</v>
      </c>
      <c r="BP1733">
        <v>0</v>
      </c>
      <c r="BS1733">
        <v>0</v>
      </c>
      <c r="BT1733">
        <v>0</v>
      </c>
      <c r="BU1733">
        <v>0</v>
      </c>
      <c r="CE1733" t="str">
        <f t="shared" si="613"/>
        <v>19:30:07.166</v>
      </c>
      <c r="CF1733">
        <v>166324888</v>
      </c>
      <c r="CS1733">
        <v>3</v>
      </c>
      <c r="CT1733">
        <v>2</v>
      </c>
      <c r="CU1733">
        <v>0</v>
      </c>
      <c r="CV1733">
        <v>2</v>
      </c>
      <c r="CW1733">
        <v>0</v>
      </c>
      <c r="CX1733">
        <v>5</v>
      </c>
      <c r="CY1733">
        <v>7</v>
      </c>
      <c r="CZ1733" t="s">
        <v>131</v>
      </c>
      <c r="DA1733">
        <v>300</v>
      </c>
      <c r="DB1733">
        <v>0</v>
      </c>
      <c r="DC1733" t="s">
        <v>176</v>
      </c>
      <c r="DD1733" t="s">
        <v>177</v>
      </c>
      <c r="DG1733">
        <v>5393586</v>
      </c>
      <c r="DI1733">
        <v>1</v>
      </c>
      <c r="DJ1733">
        <v>0</v>
      </c>
      <c r="DK1733">
        <v>1</v>
      </c>
      <c r="DL1733">
        <v>0</v>
      </c>
      <c r="DM1733">
        <v>0</v>
      </c>
      <c r="DN1733">
        <v>1</v>
      </c>
      <c r="DO1733">
        <v>0</v>
      </c>
      <c r="DP1733">
        <v>0</v>
      </c>
      <c r="DQ1733">
        <v>0</v>
      </c>
      <c r="DR1733">
        <v>0</v>
      </c>
      <c r="DS1733">
        <v>0</v>
      </c>
    </row>
    <row r="1734" spans="1:123" x14ac:dyDescent="0.3">
      <c r="A1734" t="str">
        <f t="shared" si="611"/>
        <v>10/04/2022 19:30:07.494</v>
      </c>
      <c r="C1734" t="str">
        <f t="shared" si="604"/>
        <v>FFDFD3C0</v>
      </c>
      <c r="D1734" t="s">
        <v>136</v>
      </c>
      <c r="E1734">
        <v>8</v>
      </c>
      <c r="H1734">
        <v>225</v>
      </c>
      <c r="I1734" t="s">
        <v>137</v>
      </c>
      <c r="J1734" t="s">
        <v>138</v>
      </c>
      <c r="K1734">
        <v>0</v>
      </c>
      <c r="L1734">
        <v>3</v>
      </c>
      <c r="M1734">
        <v>0</v>
      </c>
      <c r="N1734">
        <v>2</v>
      </c>
      <c r="O1734">
        <v>0</v>
      </c>
      <c r="P1734">
        <v>1</v>
      </c>
      <c r="Q1734">
        <v>0</v>
      </c>
      <c r="S1734" t="str">
        <f t="shared" si="612"/>
        <v>19:30:07.000</v>
      </c>
      <c r="T1734" t="str">
        <f t="shared" si="612"/>
        <v>19:30:07.000</v>
      </c>
      <c r="U1734" t="str">
        <f t="shared" si="609"/>
        <v>AC3944</v>
      </c>
      <c r="V1734">
        <v>0</v>
      </c>
      <c r="W1734">
        <v>0</v>
      </c>
      <c r="X1734">
        <v>2</v>
      </c>
      <c r="Y1734">
        <v>0</v>
      </c>
      <c r="AA1734">
        <v>1</v>
      </c>
      <c r="AB1734">
        <v>8</v>
      </c>
      <c r="AC1734">
        <v>3</v>
      </c>
      <c r="AD1734">
        <v>0</v>
      </c>
      <c r="AE1734">
        <v>9</v>
      </c>
      <c r="AF1734" t="s">
        <v>138</v>
      </c>
      <c r="AG1734">
        <v>0</v>
      </c>
      <c r="AH1734">
        <v>3</v>
      </c>
      <c r="AI1734">
        <v>1</v>
      </c>
      <c r="AJ1734">
        <v>0</v>
      </c>
      <c r="AK1734" t="s">
        <v>630</v>
      </c>
      <c r="AL1734">
        <v>32.786036000000003</v>
      </c>
      <c r="AM1734" t="s">
        <v>631</v>
      </c>
      <c r="AN1734">
        <v>-116.865199</v>
      </c>
      <c r="AO1734">
        <v>25</v>
      </c>
      <c r="AP1734">
        <v>2800</v>
      </c>
      <c r="AQ1734" t="s">
        <v>129</v>
      </c>
      <c r="AR1734">
        <v>84</v>
      </c>
      <c r="AS1734">
        <v>-80</v>
      </c>
      <c r="AT1734">
        <v>640</v>
      </c>
      <c r="BB1734">
        <v>1200</v>
      </c>
      <c r="BC1734">
        <v>1</v>
      </c>
      <c r="BD1734" t="str">
        <f t="shared" si="610"/>
        <v xml:space="preserve">N887QR  </v>
      </c>
      <c r="BE1734">
        <v>1</v>
      </c>
      <c r="BG1734">
        <v>0</v>
      </c>
      <c r="BH1734">
        <v>0</v>
      </c>
      <c r="BI1734">
        <v>0</v>
      </c>
      <c r="BJ1734">
        <v>2575</v>
      </c>
      <c r="BK1734">
        <v>-225</v>
      </c>
      <c r="BL1734" t="s">
        <v>163</v>
      </c>
      <c r="BM1734">
        <v>1</v>
      </c>
      <c r="BN1734">
        <v>1</v>
      </c>
      <c r="BO1734">
        <v>1</v>
      </c>
      <c r="BP1734">
        <v>0</v>
      </c>
      <c r="BS1734">
        <v>0</v>
      </c>
      <c r="BT1734">
        <v>0</v>
      </c>
      <c r="BU1734">
        <v>0</v>
      </c>
      <c r="CE1734" t="str">
        <f t="shared" si="613"/>
        <v>19:30:07.166</v>
      </c>
      <c r="CF1734">
        <v>166324888</v>
      </c>
      <c r="CS1734">
        <v>3</v>
      </c>
      <c r="CT1734">
        <v>2</v>
      </c>
      <c r="CU1734">
        <v>0</v>
      </c>
      <c r="CV1734">
        <v>2</v>
      </c>
      <c r="CW1734">
        <v>0</v>
      </c>
      <c r="CX1734">
        <v>5</v>
      </c>
      <c r="CY1734">
        <v>7</v>
      </c>
      <c r="CZ1734" t="s">
        <v>131</v>
      </c>
      <c r="DA1734">
        <v>300</v>
      </c>
      <c r="DB1734">
        <v>0</v>
      </c>
      <c r="DC1734" t="s">
        <v>176</v>
      </c>
      <c r="DD1734" t="s">
        <v>177</v>
      </c>
      <c r="DG1734">
        <v>5393586</v>
      </c>
      <c r="DI1734">
        <v>1</v>
      </c>
      <c r="DJ1734">
        <v>0</v>
      </c>
      <c r="DK1734">
        <v>1</v>
      </c>
      <c r="DL1734">
        <v>0</v>
      </c>
      <c r="DM1734">
        <v>0</v>
      </c>
      <c r="DN1734">
        <v>1</v>
      </c>
      <c r="DO1734">
        <v>0</v>
      </c>
      <c r="DP1734">
        <v>0</v>
      </c>
      <c r="DQ1734">
        <v>0</v>
      </c>
      <c r="DR1734">
        <v>0</v>
      </c>
      <c r="DS1734">
        <v>0</v>
      </c>
    </row>
    <row r="1735" spans="1:123" x14ac:dyDescent="0.3">
      <c r="A1735" t="str">
        <f t="shared" si="611"/>
        <v>10/04/2022 19:30:07.494</v>
      </c>
      <c r="C1735" t="str">
        <f t="shared" si="604"/>
        <v>FFDFD3C0</v>
      </c>
      <c r="D1735" t="s">
        <v>141</v>
      </c>
      <c r="E1735">
        <v>4</v>
      </c>
      <c r="H1735">
        <v>4</v>
      </c>
      <c r="I1735" t="s">
        <v>142</v>
      </c>
      <c r="J1735" t="s">
        <v>138</v>
      </c>
      <c r="K1735">
        <v>0</v>
      </c>
      <c r="L1735">
        <v>3</v>
      </c>
      <c r="M1735">
        <v>0</v>
      </c>
      <c r="N1735">
        <v>2</v>
      </c>
      <c r="O1735">
        <v>0</v>
      </c>
      <c r="P1735">
        <v>1</v>
      </c>
      <c r="Q1735">
        <v>0</v>
      </c>
      <c r="S1735" t="str">
        <f t="shared" si="612"/>
        <v>19:30:07.000</v>
      </c>
      <c r="T1735" t="str">
        <f t="shared" si="612"/>
        <v>19:30:07.000</v>
      </c>
      <c r="U1735" t="str">
        <f t="shared" si="609"/>
        <v>AC3944</v>
      </c>
      <c r="V1735">
        <v>0</v>
      </c>
      <c r="W1735">
        <v>0</v>
      </c>
      <c r="X1735">
        <v>2</v>
      </c>
      <c r="Y1735">
        <v>0</v>
      </c>
      <c r="AA1735">
        <v>1</v>
      </c>
      <c r="AB1735">
        <v>8</v>
      </c>
      <c r="AC1735">
        <v>3</v>
      </c>
      <c r="AD1735">
        <v>0</v>
      </c>
      <c r="AE1735">
        <v>9</v>
      </c>
      <c r="AF1735" t="s">
        <v>138</v>
      </c>
      <c r="AG1735">
        <v>0</v>
      </c>
      <c r="AH1735">
        <v>3</v>
      </c>
      <c r="AI1735">
        <v>1</v>
      </c>
      <c r="AJ1735">
        <v>0</v>
      </c>
      <c r="AK1735" t="s">
        <v>630</v>
      </c>
      <c r="AL1735">
        <v>32.786036000000003</v>
      </c>
      <c r="AM1735" t="s">
        <v>631</v>
      </c>
      <c r="AN1735">
        <v>-116.865199</v>
      </c>
      <c r="AO1735">
        <v>25</v>
      </c>
      <c r="AP1735">
        <v>2800</v>
      </c>
      <c r="AQ1735" t="s">
        <v>129</v>
      </c>
      <c r="AR1735">
        <v>84</v>
      </c>
      <c r="AS1735">
        <v>-80</v>
      </c>
      <c r="AT1735">
        <v>640</v>
      </c>
      <c r="BB1735">
        <v>1200</v>
      </c>
      <c r="BC1735">
        <v>1</v>
      </c>
      <c r="BD1735" t="str">
        <f t="shared" si="610"/>
        <v xml:space="preserve">N887QR  </v>
      </c>
      <c r="BE1735">
        <v>1</v>
      </c>
      <c r="BG1735">
        <v>0</v>
      </c>
      <c r="BH1735">
        <v>0</v>
      </c>
      <c r="BI1735">
        <v>0</v>
      </c>
      <c r="BJ1735">
        <v>2575</v>
      </c>
      <c r="BK1735">
        <v>-225</v>
      </c>
      <c r="BL1735" t="s">
        <v>163</v>
      </c>
      <c r="BM1735">
        <v>1</v>
      </c>
      <c r="BN1735">
        <v>1</v>
      </c>
      <c r="BO1735">
        <v>1</v>
      </c>
      <c r="BP1735">
        <v>0</v>
      </c>
      <c r="BS1735">
        <v>0</v>
      </c>
      <c r="BT1735">
        <v>0</v>
      </c>
      <c r="BU1735">
        <v>0</v>
      </c>
      <c r="CE1735" t="str">
        <f t="shared" si="613"/>
        <v>19:30:07.166</v>
      </c>
      <c r="CF1735">
        <v>166324888</v>
      </c>
      <c r="CS1735">
        <v>3</v>
      </c>
      <c r="CT1735">
        <v>2</v>
      </c>
      <c r="CU1735">
        <v>0</v>
      </c>
      <c r="CV1735">
        <v>2</v>
      </c>
      <c r="CW1735">
        <v>0</v>
      </c>
      <c r="CX1735">
        <v>5</v>
      </c>
      <c r="CY1735">
        <v>7</v>
      </c>
      <c r="CZ1735" t="s">
        <v>131</v>
      </c>
      <c r="DA1735">
        <v>300</v>
      </c>
      <c r="DB1735">
        <v>0</v>
      </c>
      <c r="DC1735" t="s">
        <v>176</v>
      </c>
      <c r="DD1735" t="s">
        <v>177</v>
      </c>
      <c r="DG1735">
        <v>5393586</v>
      </c>
      <c r="DI1735">
        <v>1</v>
      </c>
      <c r="DJ1735">
        <v>0</v>
      </c>
      <c r="DK1735">
        <v>1</v>
      </c>
      <c r="DL1735">
        <v>0</v>
      </c>
      <c r="DM1735">
        <v>0</v>
      </c>
      <c r="DN1735">
        <v>1</v>
      </c>
      <c r="DO1735">
        <v>0</v>
      </c>
      <c r="DP1735">
        <v>0</v>
      </c>
      <c r="DQ1735">
        <v>0</v>
      </c>
      <c r="DR1735">
        <v>0</v>
      </c>
      <c r="DS1735">
        <v>0</v>
      </c>
    </row>
    <row r="1736" spans="1:123" x14ac:dyDescent="0.3">
      <c r="A1736" t="str">
        <f t="shared" si="611"/>
        <v>10/04/2022 19:30:07.494</v>
      </c>
      <c r="C1736" t="str">
        <f t="shared" si="604"/>
        <v>FFDFD3C0</v>
      </c>
      <c r="D1736" t="s">
        <v>134</v>
      </c>
      <c r="E1736">
        <v>15</v>
      </c>
      <c r="J1736" t="s">
        <v>135</v>
      </c>
      <c r="K1736">
        <v>0</v>
      </c>
      <c r="L1736">
        <v>3</v>
      </c>
      <c r="M1736">
        <v>0</v>
      </c>
      <c r="N1736">
        <v>2</v>
      </c>
      <c r="O1736">
        <v>0</v>
      </c>
      <c r="P1736">
        <v>1</v>
      </c>
      <c r="Q1736">
        <v>0</v>
      </c>
      <c r="S1736" t="str">
        <f t="shared" si="612"/>
        <v>19:30:07.000</v>
      </c>
      <c r="T1736" t="str">
        <f t="shared" si="612"/>
        <v>19:30:07.000</v>
      </c>
      <c r="U1736" t="str">
        <f t="shared" si="609"/>
        <v>AC3944</v>
      </c>
      <c r="V1736">
        <v>0</v>
      </c>
      <c r="W1736">
        <v>0</v>
      </c>
      <c r="X1736">
        <v>2</v>
      </c>
      <c r="Y1736">
        <v>0</v>
      </c>
      <c r="AA1736">
        <v>1</v>
      </c>
      <c r="AB1736">
        <v>8</v>
      </c>
      <c r="AC1736">
        <v>3</v>
      </c>
      <c r="AD1736">
        <v>0</v>
      </c>
      <c r="AE1736">
        <v>9</v>
      </c>
      <c r="AF1736" t="s">
        <v>138</v>
      </c>
      <c r="AG1736">
        <v>0</v>
      </c>
      <c r="AH1736">
        <v>3</v>
      </c>
      <c r="AI1736">
        <v>1</v>
      </c>
      <c r="AJ1736">
        <v>0</v>
      </c>
      <c r="AK1736" t="s">
        <v>630</v>
      </c>
      <c r="AL1736">
        <v>32.786036000000003</v>
      </c>
      <c r="AM1736" t="s">
        <v>631</v>
      </c>
      <c r="AN1736">
        <v>-116.865199</v>
      </c>
      <c r="AO1736">
        <v>25</v>
      </c>
      <c r="AP1736">
        <v>2800</v>
      </c>
      <c r="AQ1736" t="s">
        <v>129</v>
      </c>
      <c r="AR1736">
        <v>84</v>
      </c>
      <c r="AS1736">
        <v>-80</v>
      </c>
      <c r="AT1736">
        <v>640</v>
      </c>
      <c r="BB1736">
        <v>1200</v>
      </c>
      <c r="BC1736">
        <v>1</v>
      </c>
      <c r="BD1736" t="str">
        <f t="shared" si="610"/>
        <v xml:space="preserve">N887QR  </v>
      </c>
      <c r="BE1736">
        <v>1</v>
      </c>
      <c r="BG1736">
        <v>0</v>
      </c>
      <c r="BH1736">
        <v>0</v>
      </c>
      <c r="BI1736">
        <v>0</v>
      </c>
      <c r="BJ1736">
        <v>2575</v>
      </c>
      <c r="BK1736">
        <v>-225</v>
      </c>
      <c r="BL1736" t="s">
        <v>163</v>
      </c>
      <c r="BM1736">
        <v>1</v>
      </c>
      <c r="BN1736">
        <v>1</v>
      </c>
      <c r="BO1736">
        <v>1</v>
      </c>
      <c r="BP1736">
        <v>0</v>
      </c>
      <c r="BS1736">
        <v>0</v>
      </c>
      <c r="BT1736">
        <v>0</v>
      </c>
      <c r="BU1736">
        <v>0</v>
      </c>
      <c r="CE1736" t="str">
        <f t="shared" si="613"/>
        <v>19:30:07.166</v>
      </c>
      <c r="CF1736">
        <v>166324888</v>
      </c>
      <c r="CS1736">
        <v>3</v>
      </c>
      <c r="CT1736">
        <v>2</v>
      </c>
      <c r="CU1736">
        <v>0</v>
      </c>
      <c r="CV1736">
        <v>2</v>
      </c>
      <c r="CW1736">
        <v>0</v>
      </c>
      <c r="CX1736">
        <v>5</v>
      </c>
      <c r="CY1736">
        <v>7</v>
      </c>
      <c r="CZ1736" t="s">
        <v>131</v>
      </c>
      <c r="DA1736">
        <v>300</v>
      </c>
      <c r="DB1736">
        <v>0</v>
      </c>
      <c r="DC1736" t="s">
        <v>176</v>
      </c>
      <c r="DD1736" t="s">
        <v>177</v>
      </c>
      <c r="DG1736">
        <v>5393586</v>
      </c>
      <c r="DI1736">
        <v>1</v>
      </c>
      <c r="DJ1736">
        <v>0</v>
      </c>
      <c r="DK1736">
        <v>1</v>
      </c>
      <c r="DL1736">
        <v>0</v>
      </c>
      <c r="DM1736">
        <v>0</v>
      </c>
      <c r="DN1736">
        <v>1</v>
      </c>
      <c r="DO1736">
        <v>0</v>
      </c>
      <c r="DP1736">
        <v>0</v>
      </c>
      <c r="DQ1736">
        <v>0</v>
      </c>
      <c r="DR1736">
        <v>0</v>
      </c>
      <c r="DS1736">
        <v>0</v>
      </c>
    </row>
    <row r="1737" spans="1:123" x14ac:dyDescent="0.3">
      <c r="A1737" t="str">
        <f t="shared" si="611"/>
        <v>10/04/2022 19:30:07.494</v>
      </c>
      <c r="C1737" t="str">
        <f t="shared" si="604"/>
        <v>FFDFD3C0</v>
      </c>
      <c r="D1737" t="s">
        <v>143</v>
      </c>
      <c r="E1737">
        <v>20</v>
      </c>
      <c r="F1737">
        <v>1020</v>
      </c>
      <c r="G1737" t="s">
        <v>144</v>
      </c>
      <c r="J1737" t="s">
        <v>145</v>
      </c>
      <c r="K1737">
        <v>0</v>
      </c>
      <c r="L1737">
        <v>3</v>
      </c>
      <c r="M1737">
        <v>0</v>
      </c>
      <c r="N1737">
        <v>2</v>
      </c>
      <c r="O1737">
        <v>0</v>
      </c>
      <c r="P1737">
        <v>1</v>
      </c>
      <c r="Q1737">
        <v>0</v>
      </c>
      <c r="S1737" t="str">
        <f t="shared" si="612"/>
        <v>19:30:07.000</v>
      </c>
      <c r="T1737" t="str">
        <f t="shared" si="612"/>
        <v>19:30:07.000</v>
      </c>
      <c r="U1737" t="str">
        <f t="shared" si="609"/>
        <v>AC3944</v>
      </c>
      <c r="V1737">
        <v>0</v>
      </c>
      <c r="W1737">
        <v>0</v>
      </c>
      <c r="X1737">
        <v>2</v>
      </c>
      <c r="Y1737">
        <v>0</v>
      </c>
      <c r="AA1737">
        <v>1</v>
      </c>
      <c r="AB1737">
        <v>8</v>
      </c>
      <c r="AC1737">
        <v>3</v>
      </c>
      <c r="AD1737">
        <v>0</v>
      </c>
      <c r="AE1737">
        <v>9</v>
      </c>
      <c r="AF1737" t="s">
        <v>138</v>
      </c>
      <c r="AG1737">
        <v>0</v>
      </c>
      <c r="AH1737">
        <v>3</v>
      </c>
      <c r="AI1737">
        <v>1</v>
      </c>
      <c r="AJ1737">
        <v>0</v>
      </c>
      <c r="AK1737" t="s">
        <v>630</v>
      </c>
      <c r="AL1737">
        <v>32.786036000000003</v>
      </c>
      <c r="AM1737" t="s">
        <v>631</v>
      </c>
      <c r="AN1737">
        <v>-116.865199</v>
      </c>
      <c r="AO1737">
        <v>25</v>
      </c>
      <c r="AP1737">
        <v>2800</v>
      </c>
      <c r="AQ1737" t="s">
        <v>129</v>
      </c>
      <c r="AR1737">
        <v>84</v>
      </c>
      <c r="AS1737">
        <v>-80</v>
      </c>
      <c r="AT1737">
        <v>640</v>
      </c>
      <c r="BB1737">
        <v>1200</v>
      </c>
      <c r="BC1737">
        <v>1</v>
      </c>
      <c r="BD1737" t="str">
        <f t="shared" si="610"/>
        <v xml:space="preserve">N887QR  </v>
      </c>
      <c r="BE1737">
        <v>1</v>
      </c>
      <c r="BG1737">
        <v>0</v>
      </c>
      <c r="BH1737">
        <v>0</v>
      </c>
      <c r="BI1737">
        <v>0</v>
      </c>
      <c r="BJ1737">
        <v>2575</v>
      </c>
      <c r="BK1737">
        <v>-225</v>
      </c>
      <c r="BL1737" t="s">
        <v>163</v>
      </c>
      <c r="BM1737">
        <v>1</v>
      </c>
      <c r="BN1737">
        <v>1</v>
      </c>
      <c r="BO1737">
        <v>1</v>
      </c>
      <c r="BP1737">
        <v>0</v>
      </c>
      <c r="BS1737">
        <v>0</v>
      </c>
      <c r="BT1737">
        <v>0</v>
      </c>
      <c r="BU1737">
        <v>0</v>
      </c>
      <c r="CE1737" t="str">
        <f t="shared" si="613"/>
        <v>19:30:07.166</v>
      </c>
      <c r="CF1737">
        <v>166324888</v>
      </c>
      <c r="CS1737">
        <v>3</v>
      </c>
      <c r="CT1737">
        <v>2</v>
      </c>
      <c r="CU1737">
        <v>0</v>
      </c>
      <c r="CV1737">
        <v>2</v>
      </c>
      <c r="CW1737">
        <v>0</v>
      </c>
      <c r="CX1737">
        <v>5</v>
      </c>
      <c r="CY1737">
        <v>7</v>
      </c>
      <c r="CZ1737" t="s">
        <v>131</v>
      </c>
      <c r="DA1737">
        <v>300</v>
      </c>
      <c r="DB1737">
        <v>0</v>
      </c>
      <c r="DC1737" t="s">
        <v>176</v>
      </c>
      <c r="DD1737" t="s">
        <v>177</v>
      </c>
      <c r="DG1737">
        <v>5393586</v>
      </c>
      <c r="DI1737">
        <v>1</v>
      </c>
      <c r="DJ1737">
        <v>0</v>
      </c>
      <c r="DK1737">
        <v>1</v>
      </c>
      <c r="DL1737">
        <v>0</v>
      </c>
      <c r="DM1737">
        <v>0</v>
      </c>
      <c r="DN1737">
        <v>1</v>
      </c>
      <c r="DO1737">
        <v>0</v>
      </c>
      <c r="DP1737">
        <v>0</v>
      </c>
      <c r="DQ1737">
        <v>0</v>
      </c>
      <c r="DR1737">
        <v>0</v>
      </c>
      <c r="DS1737">
        <v>0</v>
      </c>
    </row>
    <row r="1738" spans="1:123" x14ac:dyDescent="0.3">
      <c r="A1738" t="str">
        <f t="shared" ref="A1738:A1744" si="614">"10/04/2022 19:30:08.603"</f>
        <v>10/04/2022 19:30:08.603</v>
      </c>
      <c r="C1738" t="str">
        <f t="shared" si="604"/>
        <v>FFDFD3C0</v>
      </c>
      <c r="D1738" t="s">
        <v>143</v>
      </c>
      <c r="E1738">
        <v>20</v>
      </c>
      <c r="F1738">
        <v>1020</v>
      </c>
      <c r="G1738" t="s">
        <v>144</v>
      </c>
      <c r="J1738" t="s">
        <v>145</v>
      </c>
      <c r="K1738">
        <v>0</v>
      </c>
      <c r="L1738">
        <v>3</v>
      </c>
      <c r="M1738">
        <v>0</v>
      </c>
      <c r="N1738">
        <v>2</v>
      </c>
      <c r="O1738">
        <v>0</v>
      </c>
      <c r="P1738">
        <v>1</v>
      </c>
      <c r="Q1738">
        <v>0</v>
      </c>
      <c r="S1738" t="str">
        <f t="shared" ref="S1738:T1751" si="615">"19:30:08.000"</f>
        <v>19:30:08.000</v>
      </c>
      <c r="T1738" t="str">
        <f t="shared" si="615"/>
        <v>19:30:08.000</v>
      </c>
      <c r="U1738" t="str">
        <f t="shared" si="609"/>
        <v>AC3944</v>
      </c>
      <c r="V1738">
        <v>0</v>
      </c>
      <c r="W1738">
        <v>0</v>
      </c>
      <c r="X1738">
        <v>2</v>
      </c>
      <c r="Y1738">
        <v>0</v>
      </c>
      <c r="AA1738">
        <v>1</v>
      </c>
      <c r="AB1738">
        <v>8</v>
      </c>
      <c r="AC1738">
        <v>3</v>
      </c>
      <c r="AD1738">
        <v>0</v>
      </c>
      <c r="AE1738">
        <v>9</v>
      </c>
      <c r="AF1738" t="s">
        <v>138</v>
      </c>
      <c r="AG1738">
        <v>0</v>
      </c>
      <c r="AH1738">
        <v>3</v>
      </c>
      <c r="AI1738">
        <v>1</v>
      </c>
      <c r="AJ1738">
        <v>0</v>
      </c>
      <c r="AK1738" t="s">
        <v>632</v>
      </c>
      <c r="AL1738">
        <v>32.785648999999999</v>
      </c>
      <c r="AM1738" t="s">
        <v>633</v>
      </c>
      <c r="AN1738">
        <v>-116.864705</v>
      </c>
      <c r="AO1738">
        <v>25</v>
      </c>
      <c r="AP1738">
        <v>2800</v>
      </c>
      <c r="AQ1738" t="s">
        <v>129</v>
      </c>
      <c r="AR1738">
        <v>83</v>
      </c>
      <c r="AS1738">
        <v>-80</v>
      </c>
      <c r="AT1738">
        <v>512</v>
      </c>
      <c r="BB1738">
        <v>1200</v>
      </c>
      <c r="BC1738">
        <v>1</v>
      </c>
      <c r="BD1738" t="str">
        <f t="shared" si="610"/>
        <v xml:space="preserve">N887QR  </v>
      </c>
      <c r="BE1738">
        <v>1</v>
      </c>
      <c r="BG1738">
        <v>0</v>
      </c>
      <c r="BH1738">
        <v>0</v>
      </c>
      <c r="BI1738">
        <v>0</v>
      </c>
      <c r="BJ1738">
        <v>2575</v>
      </c>
      <c r="BK1738">
        <v>-225</v>
      </c>
      <c r="BL1738" t="s">
        <v>163</v>
      </c>
      <c r="BM1738">
        <v>1</v>
      </c>
      <c r="BN1738">
        <v>1</v>
      </c>
      <c r="BO1738">
        <v>1</v>
      </c>
      <c r="BP1738">
        <v>0</v>
      </c>
      <c r="BS1738">
        <v>0</v>
      </c>
      <c r="BT1738">
        <v>0</v>
      </c>
      <c r="BU1738">
        <v>0</v>
      </c>
      <c r="CE1738" t="str">
        <f t="shared" ref="CE1738:CE1744" si="616">"19:30:08.314"</f>
        <v>19:30:08.314</v>
      </c>
      <c r="CF1738">
        <v>313828678</v>
      </c>
      <c r="CS1738">
        <v>3</v>
      </c>
      <c r="CT1738">
        <v>2</v>
      </c>
      <c r="CU1738">
        <v>0</v>
      </c>
      <c r="CV1738">
        <v>2</v>
      </c>
      <c r="CW1738">
        <v>0</v>
      </c>
      <c r="CX1738">
        <v>5</v>
      </c>
      <c r="CY1738">
        <v>7</v>
      </c>
      <c r="CZ1738" t="s">
        <v>131</v>
      </c>
      <c r="DA1738">
        <v>300</v>
      </c>
      <c r="DB1738">
        <v>0</v>
      </c>
      <c r="DC1738" t="s">
        <v>176</v>
      </c>
      <c r="DD1738" t="s">
        <v>177</v>
      </c>
      <c r="DG1738">
        <v>5393768</v>
      </c>
      <c r="DI1738">
        <v>1</v>
      </c>
      <c r="DJ1738">
        <v>0</v>
      </c>
      <c r="DK1738">
        <v>0</v>
      </c>
      <c r="DL1738">
        <v>0</v>
      </c>
      <c r="DM1738">
        <v>0</v>
      </c>
      <c r="DN1738">
        <v>1</v>
      </c>
      <c r="DO1738">
        <v>0</v>
      </c>
      <c r="DP1738">
        <v>0</v>
      </c>
      <c r="DQ1738">
        <v>0</v>
      </c>
      <c r="DR1738">
        <v>0</v>
      </c>
      <c r="DS1738">
        <v>0</v>
      </c>
    </row>
    <row r="1739" spans="1:123" x14ac:dyDescent="0.3">
      <c r="A1739" t="str">
        <f t="shared" si="614"/>
        <v>10/04/2022 19:30:08.603</v>
      </c>
      <c r="C1739" t="str">
        <f t="shared" si="604"/>
        <v>FFDFD3C0</v>
      </c>
      <c r="D1739" t="s">
        <v>123</v>
      </c>
      <c r="E1739">
        <v>7</v>
      </c>
      <c r="F1739">
        <v>2007</v>
      </c>
      <c r="G1739" t="s">
        <v>124</v>
      </c>
      <c r="J1739" t="s">
        <v>125</v>
      </c>
      <c r="K1739">
        <v>0</v>
      </c>
      <c r="L1739">
        <v>3</v>
      </c>
      <c r="M1739">
        <v>0</v>
      </c>
      <c r="N1739">
        <v>2</v>
      </c>
      <c r="O1739">
        <v>0</v>
      </c>
      <c r="P1739">
        <v>1</v>
      </c>
      <c r="Q1739">
        <v>0</v>
      </c>
      <c r="S1739" t="str">
        <f t="shared" si="615"/>
        <v>19:30:08.000</v>
      </c>
      <c r="T1739" t="str">
        <f t="shared" si="615"/>
        <v>19:30:08.000</v>
      </c>
      <c r="U1739" t="str">
        <f t="shared" si="609"/>
        <v>AC3944</v>
      </c>
      <c r="V1739">
        <v>0</v>
      </c>
      <c r="W1739">
        <v>0</v>
      </c>
      <c r="X1739">
        <v>2</v>
      </c>
      <c r="Y1739">
        <v>0</v>
      </c>
      <c r="AA1739">
        <v>1</v>
      </c>
      <c r="AB1739">
        <v>8</v>
      </c>
      <c r="AC1739">
        <v>3</v>
      </c>
      <c r="AD1739">
        <v>0</v>
      </c>
      <c r="AE1739">
        <v>9</v>
      </c>
      <c r="AF1739" t="s">
        <v>138</v>
      </c>
      <c r="AG1739">
        <v>0</v>
      </c>
      <c r="AH1739">
        <v>3</v>
      </c>
      <c r="AI1739">
        <v>1</v>
      </c>
      <c r="AJ1739">
        <v>0</v>
      </c>
      <c r="AK1739" t="s">
        <v>632</v>
      </c>
      <c r="AL1739">
        <v>32.785648999999999</v>
      </c>
      <c r="AM1739" t="s">
        <v>633</v>
      </c>
      <c r="AN1739">
        <v>-116.864705</v>
      </c>
      <c r="AO1739">
        <v>25</v>
      </c>
      <c r="AP1739">
        <v>2800</v>
      </c>
      <c r="AQ1739" t="s">
        <v>129</v>
      </c>
      <c r="AR1739">
        <v>83</v>
      </c>
      <c r="AS1739">
        <v>-80</v>
      </c>
      <c r="AT1739">
        <v>512</v>
      </c>
      <c r="BB1739">
        <v>1200</v>
      </c>
      <c r="BC1739">
        <v>1</v>
      </c>
      <c r="BD1739" t="str">
        <f t="shared" si="610"/>
        <v xml:space="preserve">N887QR  </v>
      </c>
      <c r="BE1739">
        <v>1</v>
      </c>
      <c r="BG1739">
        <v>0</v>
      </c>
      <c r="BH1739">
        <v>0</v>
      </c>
      <c r="BI1739">
        <v>0</v>
      </c>
      <c r="BJ1739">
        <v>2575</v>
      </c>
      <c r="BK1739">
        <v>-225</v>
      </c>
      <c r="BL1739" t="s">
        <v>163</v>
      </c>
      <c r="BM1739">
        <v>1</v>
      </c>
      <c r="BN1739">
        <v>1</v>
      </c>
      <c r="BO1739">
        <v>1</v>
      </c>
      <c r="BP1739">
        <v>0</v>
      </c>
      <c r="BS1739">
        <v>0</v>
      </c>
      <c r="BT1739">
        <v>0</v>
      </c>
      <c r="BU1739">
        <v>0</v>
      </c>
      <c r="CE1739" t="str">
        <f t="shared" si="616"/>
        <v>19:30:08.314</v>
      </c>
      <c r="CF1739">
        <v>313828678</v>
      </c>
      <c r="CS1739">
        <v>3</v>
      </c>
      <c r="CT1739">
        <v>2</v>
      </c>
      <c r="CU1739">
        <v>0</v>
      </c>
      <c r="CV1739">
        <v>2</v>
      </c>
      <c r="CW1739">
        <v>0</v>
      </c>
      <c r="CX1739">
        <v>5</v>
      </c>
      <c r="CY1739">
        <v>7</v>
      </c>
      <c r="CZ1739" t="s">
        <v>131</v>
      </c>
      <c r="DA1739">
        <v>300</v>
      </c>
      <c r="DB1739">
        <v>0</v>
      </c>
      <c r="DC1739" t="s">
        <v>176</v>
      </c>
      <c r="DD1739" t="s">
        <v>177</v>
      </c>
      <c r="DG1739">
        <v>5393768</v>
      </c>
      <c r="DI1739">
        <v>1</v>
      </c>
      <c r="DJ1739">
        <v>0</v>
      </c>
      <c r="DK1739">
        <v>1</v>
      </c>
      <c r="DL1739">
        <v>0</v>
      </c>
      <c r="DM1739">
        <v>0</v>
      </c>
      <c r="DN1739">
        <v>1</v>
      </c>
      <c r="DO1739">
        <v>0</v>
      </c>
      <c r="DP1739">
        <v>0</v>
      </c>
      <c r="DQ1739">
        <v>0</v>
      </c>
      <c r="DR1739">
        <v>0</v>
      </c>
      <c r="DS1739">
        <v>0</v>
      </c>
    </row>
    <row r="1740" spans="1:123" x14ac:dyDescent="0.3">
      <c r="A1740" t="str">
        <f t="shared" si="614"/>
        <v>10/04/2022 19:30:08.603</v>
      </c>
      <c r="C1740" t="str">
        <f t="shared" si="604"/>
        <v>FFDFD3C0</v>
      </c>
      <c r="D1740" t="s">
        <v>147</v>
      </c>
      <c r="E1740">
        <v>3</v>
      </c>
      <c r="H1740">
        <v>166</v>
      </c>
      <c r="I1740" t="s">
        <v>144</v>
      </c>
      <c r="J1740" t="s">
        <v>148</v>
      </c>
      <c r="K1740">
        <v>0</v>
      </c>
      <c r="L1740">
        <v>3</v>
      </c>
      <c r="M1740">
        <v>0</v>
      </c>
      <c r="N1740">
        <v>2</v>
      </c>
      <c r="O1740">
        <v>0</v>
      </c>
      <c r="P1740">
        <v>1</v>
      </c>
      <c r="Q1740">
        <v>0</v>
      </c>
      <c r="S1740" t="str">
        <f t="shared" si="615"/>
        <v>19:30:08.000</v>
      </c>
      <c r="T1740" t="str">
        <f t="shared" si="615"/>
        <v>19:30:08.000</v>
      </c>
      <c r="U1740" t="str">
        <f t="shared" si="609"/>
        <v>AC3944</v>
      </c>
      <c r="V1740">
        <v>0</v>
      </c>
      <c r="W1740">
        <v>0</v>
      </c>
      <c r="X1740">
        <v>2</v>
      </c>
      <c r="Y1740">
        <v>0</v>
      </c>
      <c r="AA1740">
        <v>1</v>
      </c>
      <c r="AB1740">
        <v>8</v>
      </c>
      <c r="AC1740">
        <v>3</v>
      </c>
      <c r="AD1740">
        <v>0</v>
      </c>
      <c r="AE1740">
        <v>9</v>
      </c>
      <c r="AF1740" t="s">
        <v>138</v>
      </c>
      <c r="AG1740">
        <v>0</v>
      </c>
      <c r="AH1740">
        <v>3</v>
      </c>
      <c r="AI1740">
        <v>1</v>
      </c>
      <c r="AJ1740">
        <v>0</v>
      </c>
      <c r="AK1740" t="s">
        <v>632</v>
      </c>
      <c r="AL1740">
        <v>32.785648999999999</v>
      </c>
      <c r="AM1740" t="s">
        <v>633</v>
      </c>
      <c r="AN1740">
        <v>-116.864705</v>
      </c>
      <c r="AO1740">
        <v>25</v>
      </c>
      <c r="AP1740">
        <v>2800</v>
      </c>
      <c r="AQ1740" t="s">
        <v>129</v>
      </c>
      <c r="AR1740">
        <v>83</v>
      </c>
      <c r="AS1740">
        <v>-80</v>
      </c>
      <c r="AT1740">
        <v>512</v>
      </c>
      <c r="BB1740">
        <v>1200</v>
      </c>
      <c r="BC1740">
        <v>1</v>
      </c>
      <c r="BD1740" t="str">
        <f t="shared" si="610"/>
        <v xml:space="preserve">N887QR  </v>
      </c>
      <c r="BE1740">
        <v>1</v>
      </c>
      <c r="BG1740">
        <v>0</v>
      </c>
      <c r="BH1740">
        <v>0</v>
      </c>
      <c r="BI1740">
        <v>0</v>
      </c>
      <c r="BJ1740">
        <v>2575</v>
      </c>
      <c r="BK1740">
        <v>-225</v>
      </c>
      <c r="BL1740" t="s">
        <v>163</v>
      </c>
      <c r="BM1740">
        <v>1</v>
      </c>
      <c r="BN1740">
        <v>1</v>
      </c>
      <c r="BO1740">
        <v>1</v>
      </c>
      <c r="BP1740">
        <v>0</v>
      </c>
      <c r="BS1740">
        <v>0</v>
      </c>
      <c r="BT1740">
        <v>0</v>
      </c>
      <c r="BU1740">
        <v>0</v>
      </c>
      <c r="CE1740" t="str">
        <f t="shared" si="616"/>
        <v>19:30:08.314</v>
      </c>
      <c r="CF1740">
        <v>313828678</v>
      </c>
      <c r="CS1740">
        <v>3</v>
      </c>
      <c r="CT1740">
        <v>2</v>
      </c>
      <c r="CU1740">
        <v>0</v>
      </c>
      <c r="CV1740">
        <v>2</v>
      </c>
      <c r="CW1740">
        <v>0</v>
      </c>
      <c r="CX1740">
        <v>5</v>
      </c>
      <c r="CY1740">
        <v>7</v>
      </c>
      <c r="CZ1740" t="s">
        <v>131</v>
      </c>
      <c r="DA1740">
        <v>300</v>
      </c>
      <c r="DB1740">
        <v>0</v>
      </c>
      <c r="DC1740" t="s">
        <v>176</v>
      </c>
      <c r="DD1740" t="s">
        <v>177</v>
      </c>
      <c r="DG1740">
        <v>5393768</v>
      </c>
      <c r="DI1740">
        <v>1</v>
      </c>
      <c r="DJ1740">
        <v>0</v>
      </c>
      <c r="DK1740">
        <v>1</v>
      </c>
      <c r="DL1740">
        <v>0</v>
      </c>
      <c r="DM1740">
        <v>0</v>
      </c>
      <c r="DN1740">
        <v>1</v>
      </c>
      <c r="DO1740">
        <v>0</v>
      </c>
      <c r="DP1740">
        <v>0</v>
      </c>
      <c r="DQ1740">
        <v>0</v>
      </c>
      <c r="DR1740">
        <v>0</v>
      </c>
      <c r="DS1740">
        <v>0</v>
      </c>
    </row>
    <row r="1741" spans="1:123" x14ac:dyDescent="0.3">
      <c r="A1741" t="str">
        <f t="shared" si="614"/>
        <v>10/04/2022 19:30:08.603</v>
      </c>
      <c r="C1741" t="str">
        <f t="shared" si="604"/>
        <v>FFDFD3C0</v>
      </c>
      <c r="D1741" t="s">
        <v>141</v>
      </c>
      <c r="E1741">
        <v>3</v>
      </c>
      <c r="H1741">
        <v>3</v>
      </c>
      <c r="I1741" t="s">
        <v>146</v>
      </c>
      <c r="J1741" t="s">
        <v>138</v>
      </c>
      <c r="K1741">
        <v>0</v>
      </c>
      <c r="L1741">
        <v>3</v>
      </c>
      <c r="M1741">
        <v>0</v>
      </c>
      <c r="N1741">
        <v>2</v>
      </c>
      <c r="O1741">
        <v>0</v>
      </c>
      <c r="P1741">
        <v>1</v>
      </c>
      <c r="Q1741">
        <v>0</v>
      </c>
      <c r="S1741" t="str">
        <f t="shared" si="615"/>
        <v>19:30:08.000</v>
      </c>
      <c r="T1741" t="str">
        <f t="shared" si="615"/>
        <v>19:30:08.000</v>
      </c>
      <c r="U1741" t="str">
        <f t="shared" si="609"/>
        <v>AC3944</v>
      </c>
      <c r="V1741">
        <v>0</v>
      </c>
      <c r="W1741">
        <v>0</v>
      </c>
      <c r="X1741">
        <v>2</v>
      </c>
      <c r="Y1741">
        <v>0</v>
      </c>
      <c r="AA1741">
        <v>1</v>
      </c>
      <c r="AB1741">
        <v>8</v>
      </c>
      <c r="AC1741">
        <v>3</v>
      </c>
      <c r="AD1741">
        <v>0</v>
      </c>
      <c r="AE1741">
        <v>9</v>
      </c>
      <c r="AF1741" t="s">
        <v>138</v>
      </c>
      <c r="AG1741">
        <v>0</v>
      </c>
      <c r="AH1741">
        <v>3</v>
      </c>
      <c r="AI1741">
        <v>1</v>
      </c>
      <c r="AJ1741">
        <v>0</v>
      </c>
      <c r="AK1741" t="s">
        <v>632</v>
      </c>
      <c r="AL1741">
        <v>32.785648999999999</v>
      </c>
      <c r="AM1741" t="s">
        <v>633</v>
      </c>
      <c r="AN1741">
        <v>-116.864705</v>
      </c>
      <c r="AO1741">
        <v>25</v>
      </c>
      <c r="AP1741">
        <v>2800</v>
      </c>
      <c r="AQ1741" t="s">
        <v>129</v>
      </c>
      <c r="AR1741">
        <v>83</v>
      </c>
      <c r="AS1741">
        <v>-80</v>
      </c>
      <c r="AT1741">
        <v>512</v>
      </c>
      <c r="BB1741">
        <v>1200</v>
      </c>
      <c r="BC1741">
        <v>1</v>
      </c>
      <c r="BD1741" t="str">
        <f t="shared" si="610"/>
        <v xml:space="preserve">N887QR  </v>
      </c>
      <c r="BE1741">
        <v>1</v>
      </c>
      <c r="BG1741">
        <v>0</v>
      </c>
      <c r="BH1741">
        <v>0</v>
      </c>
      <c r="BI1741">
        <v>0</v>
      </c>
      <c r="BJ1741">
        <v>2575</v>
      </c>
      <c r="BK1741">
        <v>-225</v>
      </c>
      <c r="BL1741" t="s">
        <v>163</v>
      </c>
      <c r="BM1741">
        <v>1</v>
      </c>
      <c r="BN1741">
        <v>1</v>
      </c>
      <c r="BO1741">
        <v>1</v>
      </c>
      <c r="BP1741">
        <v>0</v>
      </c>
      <c r="BS1741">
        <v>0</v>
      </c>
      <c r="BT1741">
        <v>0</v>
      </c>
      <c r="BU1741">
        <v>0</v>
      </c>
      <c r="CE1741" t="str">
        <f t="shared" si="616"/>
        <v>19:30:08.314</v>
      </c>
      <c r="CF1741">
        <v>313828678</v>
      </c>
      <c r="CS1741">
        <v>3</v>
      </c>
      <c r="CT1741">
        <v>2</v>
      </c>
      <c r="CU1741">
        <v>0</v>
      </c>
      <c r="CV1741">
        <v>2</v>
      </c>
      <c r="CW1741">
        <v>0</v>
      </c>
      <c r="CX1741">
        <v>5</v>
      </c>
      <c r="CY1741">
        <v>7</v>
      </c>
      <c r="CZ1741" t="s">
        <v>131</v>
      </c>
      <c r="DA1741">
        <v>300</v>
      </c>
      <c r="DB1741">
        <v>0</v>
      </c>
      <c r="DC1741" t="s">
        <v>176</v>
      </c>
      <c r="DD1741" t="s">
        <v>177</v>
      </c>
      <c r="DG1741">
        <v>5393768</v>
      </c>
      <c r="DI1741">
        <v>1</v>
      </c>
      <c r="DJ1741">
        <v>0</v>
      </c>
      <c r="DK1741">
        <v>1</v>
      </c>
      <c r="DL1741">
        <v>0</v>
      </c>
      <c r="DM1741">
        <v>0</v>
      </c>
      <c r="DN1741">
        <v>1</v>
      </c>
      <c r="DO1741">
        <v>0</v>
      </c>
      <c r="DP1741">
        <v>0</v>
      </c>
      <c r="DQ1741">
        <v>0</v>
      </c>
      <c r="DR1741">
        <v>0</v>
      </c>
      <c r="DS1741">
        <v>0</v>
      </c>
    </row>
    <row r="1742" spans="1:123" x14ac:dyDescent="0.3">
      <c r="A1742" t="str">
        <f t="shared" si="614"/>
        <v>10/04/2022 19:30:08.603</v>
      </c>
      <c r="C1742" t="str">
        <f t="shared" si="604"/>
        <v>FFDFD3C0</v>
      </c>
      <c r="D1742" t="s">
        <v>136</v>
      </c>
      <c r="E1742">
        <v>8</v>
      </c>
      <c r="H1742">
        <v>225</v>
      </c>
      <c r="I1742" t="s">
        <v>137</v>
      </c>
      <c r="J1742" t="s">
        <v>138</v>
      </c>
      <c r="K1742">
        <v>0</v>
      </c>
      <c r="L1742">
        <v>3</v>
      </c>
      <c r="M1742">
        <v>0</v>
      </c>
      <c r="N1742">
        <v>2</v>
      </c>
      <c r="O1742">
        <v>0</v>
      </c>
      <c r="P1742">
        <v>1</v>
      </c>
      <c r="Q1742">
        <v>0</v>
      </c>
      <c r="S1742" t="str">
        <f t="shared" si="615"/>
        <v>19:30:08.000</v>
      </c>
      <c r="T1742" t="str">
        <f t="shared" si="615"/>
        <v>19:30:08.000</v>
      </c>
      <c r="U1742" t="str">
        <f t="shared" si="609"/>
        <v>AC3944</v>
      </c>
      <c r="V1742">
        <v>0</v>
      </c>
      <c r="W1742">
        <v>0</v>
      </c>
      <c r="X1742">
        <v>2</v>
      </c>
      <c r="Y1742">
        <v>0</v>
      </c>
      <c r="AA1742">
        <v>1</v>
      </c>
      <c r="AB1742">
        <v>8</v>
      </c>
      <c r="AC1742">
        <v>3</v>
      </c>
      <c r="AD1742">
        <v>0</v>
      </c>
      <c r="AE1742">
        <v>9</v>
      </c>
      <c r="AF1742" t="s">
        <v>138</v>
      </c>
      <c r="AG1742">
        <v>0</v>
      </c>
      <c r="AH1742">
        <v>3</v>
      </c>
      <c r="AI1742">
        <v>1</v>
      </c>
      <c r="AJ1742">
        <v>0</v>
      </c>
      <c r="AK1742" t="s">
        <v>632</v>
      </c>
      <c r="AL1742">
        <v>32.785648999999999</v>
      </c>
      <c r="AM1742" t="s">
        <v>633</v>
      </c>
      <c r="AN1742">
        <v>-116.864705</v>
      </c>
      <c r="AO1742">
        <v>25</v>
      </c>
      <c r="AP1742">
        <v>2800</v>
      </c>
      <c r="AQ1742" t="s">
        <v>129</v>
      </c>
      <c r="AR1742">
        <v>83</v>
      </c>
      <c r="AS1742">
        <v>-80</v>
      </c>
      <c r="AT1742">
        <v>512</v>
      </c>
      <c r="BB1742">
        <v>1200</v>
      </c>
      <c r="BC1742">
        <v>1</v>
      </c>
      <c r="BD1742" t="str">
        <f t="shared" si="610"/>
        <v xml:space="preserve">N887QR  </v>
      </c>
      <c r="BE1742">
        <v>1</v>
      </c>
      <c r="BG1742">
        <v>0</v>
      </c>
      <c r="BH1742">
        <v>0</v>
      </c>
      <c r="BI1742">
        <v>0</v>
      </c>
      <c r="BJ1742">
        <v>2575</v>
      </c>
      <c r="BK1742">
        <v>-225</v>
      </c>
      <c r="BL1742" t="s">
        <v>163</v>
      </c>
      <c r="BM1742">
        <v>1</v>
      </c>
      <c r="BN1742">
        <v>1</v>
      </c>
      <c r="BO1742">
        <v>1</v>
      </c>
      <c r="BP1742">
        <v>0</v>
      </c>
      <c r="BS1742">
        <v>0</v>
      </c>
      <c r="BT1742">
        <v>0</v>
      </c>
      <c r="BU1742">
        <v>0</v>
      </c>
      <c r="CE1742" t="str">
        <f t="shared" si="616"/>
        <v>19:30:08.314</v>
      </c>
      <c r="CF1742">
        <v>313828678</v>
      </c>
      <c r="CS1742">
        <v>3</v>
      </c>
      <c r="CT1742">
        <v>2</v>
      </c>
      <c r="CU1742">
        <v>0</v>
      </c>
      <c r="CV1742">
        <v>2</v>
      </c>
      <c r="CW1742">
        <v>0</v>
      </c>
      <c r="CX1742">
        <v>5</v>
      </c>
      <c r="CY1742">
        <v>7</v>
      </c>
      <c r="CZ1742" t="s">
        <v>131</v>
      </c>
      <c r="DA1742">
        <v>300</v>
      </c>
      <c r="DB1742">
        <v>0</v>
      </c>
      <c r="DC1742" t="s">
        <v>176</v>
      </c>
      <c r="DD1742" t="s">
        <v>177</v>
      </c>
      <c r="DG1742">
        <v>5393768</v>
      </c>
      <c r="DI1742">
        <v>1</v>
      </c>
      <c r="DJ1742">
        <v>0</v>
      </c>
      <c r="DK1742">
        <v>1</v>
      </c>
      <c r="DL1742">
        <v>0</v>
      </c>
      <c r="DM1742">
        <v>0</v>
      </c>
      <c r="DN1742">
        <v>1</v>
      </c>
      <c r="DO1742">
        <v>0</v>
      </c>
      <c r="DP1742">
        <v>0</v>
      </c>
      <c r="DQ1742">
        <v>0</v>
      </c>
      <c r="DR1742">
        <v>0</v>
      </c>
      <c r="DS1742">
        <v>0</v>
      </c>
    </row>
    <row r="1743" spans="1:123" x14ac:dyDescent="0.3">
      <c r="A1743" t="str">
        <f t="shared" si="614"/>
        <v>10/04/2022 19:30:08.603</v>
      </c>
      <c r="C1743" t="str">
        <f t="shared" si="604"/>
        <v>FFDFD3C0</v>
      </c>
      <c r="D1743" t="s">
        <v>141</v>
      </c>
      <c r="E1743">
        <v>4</v>
      </c>
      <c r="H1743">
        <v>4</v>
      </c>
      <c r="I1743" t="s">
        <v>142</v>
      </c>
      <c r="J1743" t="s">
        <v>138</v>
      </c>
      <c r="K1743">
        <v>0</v>
      </c>
      <c r="L1743">
        <v>3</v>
      </c>
      <c r="M1743">
        <v>0</v>
      </c>
      <c r="N1743">
        <v>2</v>
      </c>
      <c r="O1743">
        <v>0</v>
      </c>
      <c r="P1743">
        <v>1</v>
      </c>
      <c r="Q1743">
        <v>0</v>
      </c>
      <c r="S1743" t="str">
        <f t="shared" si="615"/>
        <v>19:30:08.000</v>
      </c>
      <c r="T1743" t="str">
        <f t="shared" si="615"/>
        <v>19:30:08.000</v>
      </c>
      <c r="U1743" t="str">
        <f t="shared" si="609"/>
        <v>AC3944</v>
      </c>
      <c r="V1743">
        <v>0</v>
      </c>
      <c r="W1743">
        <v>0</v>
      </c>
      <c r="X1743">
        <v>2</v>
      </c>
      <c r="Y1743">
        <v>0</v>
      </c>
      <c r="AA1743">
        <v>1</v>
      </c>
      <c r="AB1743">
        <v>8</v>
      </c>
      <c r="AC1743">
        <v>3</v>
      </c>
      <c r="AD1743">
        <v>0</v>
      </c>
      <c r="AE1743">
        <v>9</v>
      </c>
      <c r="AF1743" t="s">
        <v>138</v>
      </c>
      <c r="AG1743">
        <v>0</v>
      </c>
      <c r="AH1743">
        <v>3</v>
      </c>
      <c r="AI1743">
        <v>1</v>
      </c>
      <c r="AJ1743">
        <v>0</v>
      </c>
      <c r="AK1743" t="s">
        <v>632</v>
      </c>
      <c r="AL1743">
        <v>32.785648999999999</v>
      </c>
      <c r="AM1743" t="s">
        <v>633</v>
      </c>
      <c r="AN1743">
        <v>-116.864705</v>
      </c>
      <c r="AO1743">
        <v>25</v>
      </c>
      <c r="AP1743">
        <v>2800</v>
      </c>
      <c r="AQ1743" t="s">
        <v>129</v>
      </c>
      <c r="AR1743">
        <v>83</v>
      </c>
      <c r="AS1743">
        <v>-80</v>
      </c>
      <c r="AT1743">
        <v>512</v>
      </c>
      <c r="BB1743">
        <v>1200</v>
      </c>
      <c r="BC1743">
        <v>1</v>
      </c>
      <c r="BD1743" t="str">
        <f t="shared" si="610"/>
        <v xml:space="preserve">N887QR  </v>
      </c>
      <c r="BE1743">
        <v>1</v>
      </c>
      <c r="BG1743">
        <v>0</v>
      </c>
      <c r="BH1743">
        <v>0</v>
      </c>
      <c r="BI1743">
        <v>0</v>
      </c>
      <c r="BJ1743">
        <v>2575</v>
      </c>
      <c r="BK1743">
        <v>-225</v>
      </c>
      <c r="BL1743" t="s">
        <v>163</v>
      </c>
      <c r="BM1743">
        <v>1</v>
      </c>
      <c r="BN1743">
        <v>1</v>
      </c>
      <c r="BO1743">
        <v>1</v>
      </c>
      <c r="BP1743">
        <v>0</v>
      </c>
      <c r="BS1743">
        <v>0</v>
      </c>
      <c r="BT1743">
        <v>0</v>
      </c>
      <c r="BU1743">
        <v>0</v>
      </c>
      <c r="CE1743" t="str">
        <f t="shared" si="616"/>
        <v>19:30:08.314</v>
      </c>
      <c r="CF1743">
        <v>313828678</v>
      </c>
      <c r="CS1743">
        <v>3</v>
      </c>
      <c r="CT1743">
        <v>2</v>
      </c>
      <c r="CU1743">
        <v>0</v>
      </c>
      <c r="CV1743">
        <v>2</v>
      </c>
      <c r="CW1743">
        <v>0</v>
      </c>
      <c r="CX1743">
        <v>5</v>
      </c>
      <c r="CY1743">
        <v>7</v>
      </c>
      <c r="CZ1743" t="s">
        <v>131</v>
      </c>
      <c r="DA1743">
        <v>300</v>
      </c>
      <c r="DB1743">
        <v>0</v>
      </c>
      <c r="DC1743" t="s">
        <v>176</v>
      </c>
      <c r="DD1743" t="s">
        <v>177</v>
      </c>
      <c r="DG1743">
        <v>5393768</v>
      </c>
      <c r="DI1743">
        <v>1</v>
      </c>
      <c r="DJ1743">
        <v>0</v>
      </c>
      <c r="DK1743">
        <v>1</v>
      </c>
      <c r="DL1743">
        <v>0</v>
      </c>
      <c r="DM1743">
        <v>0</v>
      </c>
      <c r="DN1743">
        <v>1</v>
      </c>
      <c r="DO1743">
        <v>0</v>
      </c>
      <c r="DP1743">
        <v>0</v>
      </c>
      <c r="DQ1743">
        <v>0</v>
      </c>
      <c r="DR1743">
        <v>0</v>
      </c>
      <c r="DS1743">
        <v>0</v>
      </c>
    </row>
    <row r="1744" spans="1:123" x14ac:dyDescent="0.3">
      <c r="A1744" t="str">
        <f t="shared" si="614"/>
        <v>10/04/2022 19:30:08.603</v>
      </c>
      <c r="C1744" t="str">
        <f t="shared" si="604"/>
        <v>FFDFD3C0</v>
      </c>
      <c r="D1744" t="s">
        <v>134</v>
      </c>
      <c r="E1744">
        <v>15</v>
      </c>
      <c r="J1744" t="s">
        <v>135</v>
      </c>
      <c r="K1744">
        <v>0</v>
      </c>
      <c r="L1744">
        <v>3</v>
      </c>
      <c r="M1744">
        <v>0</v>
      </c>
      <c r="N1744">
        <v>2</v>
      </c>
      <c r="O1744">
        <v>0</v>
      </c>
      <c r="P1744">
        <v>1</v>
      </c>
      <c r="Q1744">
        <v>0</v>
      </c>
      <c r="S1744" t="str">
        <f t="shared" si="615"/>
        <v>19:30:08.000</v>
      </c>
      <c r="T1744" t="str">
        <f t="shared" si="615"/>
        <v>19:30:08.000</v>
      </c>
      <c r="U1744" t="str">
        <f t="shared" si="609"/>
        <v>AC3944</v>
      </c>
      <c r="V1744">
        <v>0</v>
      </c>
      <c r="W1744">
        <v>0</v>
      </c>
      <c r="X1744">
        <v>2</v>
      </c>
      <c r="Y1744">
        <v>0</v>
      </c>
      <c r="AA1744">
        <v>1</v>
      </c>
      <c r="AB1744">
        <v>8</v>
      </c>
      <c r="AC1744">
        <v>3</v>
      </c>
      <c r="AD1744">
        <v>0</v>
      </c>
      <c r="AE1744">
        <v>9</v>
      </c>
      <c r="AF1744" t="s">
        <v>138</v>
      </c>
      <c r="AG1744">
        <v>0</v>
      </c>
      <c r="AH1744">
        <v>3</v>
      </c>
      <c r="AI1744">
        <v>1</v>
      </c>
      <c r="AJ1744">
        <v>0</v>
      </c>
      <c r="AK1744" t="s">
        <v>632</v>
      </c>
      <c r="AL1744">
        <v>32.785648999999999</v>
      </c>
      <c r="AM1744" t="s">
        <v>633</v>
      </c>
      <c r="AN1744">
        <v>-116.864705</v>
      </c>
      <c r="AO1744">
        <v>25</v>
      </c>
      <c r="AP1744">
        <v>2800</v>
      </c>
      <c r="AQ1744" t="s">
        <v>129</v>
      </c>
      <c r="AR1744">
        <v>83</v>
      </c>
      <c r="AS1744">
        <v>-80</v>
      </c>
      <c r="AT1744">
        <v>512</v>
      </c>
      <c r="BB1744">
        <v>1200</v>
      </c>
      <c r="BC1744">
        <v>1</v>
      </c>
      <c r="BD1744" t="str">
        <f t="shared" si="610"/>
        <v xml:space="preserve">N887QR  </v>
      </c>
      <c r="BE1744">
        <v>1</v>
      </c>
      <c r="BG1744">
        <v>0</v>
      </c>
      <c r="BH1744">
        <v>0</v>
      </c>
      <c r="BI1744">
        <v>0</v>
      </c>
      <c r="BJ1744">
        <v>2575</v>
      </c>
      <c r="BK1744">
        <v>-225</v>
      </c>
      <c r="BL1744" t="s">
        <v>163</v>
      </c>
      <c r="BM1744">
        <v>1</v>
      </c>
      <c r="BN1744">
        <v>1</v>
      </c>
      <c r="BO1744">
        <v>1</v>
      </c>
      <c r="BP1744">
        <v>0</v>
      </c>
      <c r="BS1744">
        <v>0</v>
      </c>
      <c r="BT1744">
        <v>0</v>
      </c>
      <c r="BU1744">
        <v>0</v>
      </c>
      <c r="CE1744" t="str">
        <f t="shared" si="616"/>
        <v>19:30:08.314</v>
      </c>
      <c r="CF1744">
        <v>313828678</v>
      </c>
      <c r="CS1744">
        <v>3</v>
      </c>
      <c r="CT1744">
        <v>2</v>
      </c>
      <c r="CU1744">
        <v>0</v>
      </c>
      <c r="CV1744">
        <v>2</v>
      </c>
      <c r="CW1744">
        <v>0</v>
      </c>
      <c r="CX1744">
        <v>5</v>
      </c>
      <c r="CY1744">
        <v>7</v>
      </c>
      <c r="CZ1744" t="s">
        <v>131</v>
      </c>
      <c r="DA1744">
        <v>300</v>
      </c>
      <c r="DB1744">
        <v>0</v>
      </c>
      <c r="DC1744" t="s">
        <v>176</v>
      </c>
      <c r="DD1744" t="s">
        <v>177</v>
      </c>
      <c r="DG1744">
        <v>5393768</v>
      </c>
      <c r="DI1744">
        <v>1</v>
      </c>
      <c r="DJ1744">
        <v>0</v>
      </c>
      <c r="DK1744">
        <v>1</v>
      </c>
      <c r="DL1744">
        <v>0</v>
      </c>
      <c r="DM1744">
        <v>0</v>
      </c>
      <c r="DN1744">
        <v>1</v>
      </c>
      <c r="DO1744">
        <v>0</v>
      </c>
      <c r="DP1744">
        <v>0</v>
      </c>
      <c r="DQ1744">
        <v>0</v>
      </c>
      <c r="DR1744">
        <v>0</v>
      </c>
      <c r="DS1744">
        <v>0</v>
      </c>
    </row>
    <row r="1745" spans="1:123" x14ac:dyDescent="0.3">
      <c r="A1745" t="str">
        <f>"10/04/2022 19:30:08.931"</f>
        <v>10/04/2022 19:30:08.931</v>
      </c>
      <c r="C1745" t="str">
        <f t="shared" si="604"/>
        <v>FFDFD3C0</v>
      </c>
      <c r="D1745" t="s">
        <v>147</v>
      </c>
      <c r="E1745">
        <v>3</v>
      </c>
      <c r="H1745">
        <v>166</v>
      </c>
      <c r="I1745" t="s">
        <v>144</v>
      </c>
      <c r="J1745" t="s">
        <v>148</v>
      </c>
      <c r="K1745">
        <v>0</v>
      </c>
      <c r="L1745">
        <v>3</v>
      </c>
      <c r="M1745">
        <v>0</v>
      </c>
      <c r="N1745">
        <v>2</v>
      </c>
      <c r="O1745">
        <v>0</v>
      </c>
      <c r="P1745">
        <v>1</v>
      </c>
      <c r="Q1745">
        <v>0</v>
      </c>
      <c r="S1745" t="str">
        <f t="shared" si="615"/>
        <v>19:30:08.000</v>
      </c>
      <c r="T1745" t="str">
        <f t="shared" si="615"/>
        <v>19:30:08.000</v>
      </c>
      <c r="U1745" t="str">
        <f t="shared" si="609"/>
        <v>AC3944</v>
      </c>
      <c r="V1745">
        <v>0</v>
      </c>
      <c r="W1745">
        <v>0</v>
      </c>
      <c r="X1745">
        <v>2</v>
      </c>
      <c r="Y1745">
        <v>0</v>
      </c>
      <c r="AA1745">
        <v>1</v>
      </c>
      <c r="AB1745">
        <v>8</v>
      </c>
      <c r="AC1745">
        <v>3</v>
      </c>
      <c r="AD1745">
        <v>0</v>
      </c>
      <c r="AE1745">
        <v>9</v>
      </c>
      <c r="AF1745" t="s">
        <v>138</v>
      </c>
      <c r="AG1745">
        <v>0</v>
      </c>
      <c r="AH1745">
        <v>3</v>
      </c>
      <c r="AI1745">
        <v>1</v>
      </c>
      <c r="AJ1745">
        <v>0</v>
      </c>
      <c r="AK1745" t="s">
        <v>634</v>
      </c>
      <c r="AL1745">
        <v>32.785348999999997</v>
      </c>
      <c r="AM1745" t="s">
        <v>635</v>
      </c>
      <c r="AN1745">
        <v>-116.864362</v>
      </c>
      <c r="AO1745">
        <v>25</v>
      </c>
      <c r="AP1745">
        <v>2800</v>
      </c>
      <c r="AQ1745" t="s">
        <v>129</v>
      </c>
      <c r="AR1745">
        <v>83</v>
      </c>
      <c r="AS1745">
        <v>-81</v>
      </c>
      <c r="AT1745">
        <v>512</v>
      </c>
      <c r="BB1745">
        <v>1200</v>
      </c>
      <c r="BC1745">
        <v>1</v>
      </c>
      <c r="BD1745" t="str">
        <f t="shared" si="610"/>
        <v xml:space="preserve">N887QR  </v>
      </c>
      <c r="BE1745">
        <v>1</v>
      </c>
      <c r="BG1745">
        <v>0</v>
      </c>
      <c r="BH1745">
        <v>0</v>
      </c>
      <c r="BI1745">
        <v>0</v>
      </c>
      <c r="BJ1745">
        <v>2575</v>
      </c>
      <c r="BK1745">
        <v>-225</v>
      </c>
      <c r="BL1745" t="s">
        <v>163</v>
      </c>
      <c r="BM1745">
        <v>1</v>
      </c>
      <c r="BN1745">
        <v>1</v>
      </c>
      <c r="BO1745">
        <v>1</v>
      </c>
      <c r="BP1745">
        <v>0</v>
      </c>
      <c r="BS1745">
        <v>0</v>
      </c>
      <c r="BT1745">
        <v>0</v>
      </c>
      <c r="BU1745">
        <v>0</v>
      </c>
      <c r="CE1745" t="str">
        <f t="shared" ref="CE1745:CE1751" si="617">"19:30:08.739"</f>
        <v>19:30:08.739</v>
      </c>
      <c r="CF1745">
        <v>738811739</v>
      </c>
      <c r="CS1745">
        <v>3</v>
      </c>
      <c r="CT1745">
        <v>2</v>
      </c>
      <c r="CU1745">
        <v>0</v>
      </c>
      <c r="CV1745">
        <v>2</v>
      </c>
      <c r="CW1745">
        <v>0</v>
      </c>
      <c r="CX1745">
        <v>4</v>
      </c>
      <c r="CY1745">
        <v>7</v>
      </c>
      <c r="CZ1745" t="s">
        <v>131</v>
      </c>
      <c r="DA1745">
        <v>286</v>
      </c>
      <c r="DB1745">
        <v>0</v>
      </c>
      <c r="DC1745" t="s">
        <v>132</v>
      </c>
      <c r="DD1745" t="s">
        <v>133</v>
      </c>
      <c r="DG1745">
        <v>827353</v>
      </c>
      <c r="DI1745">
        <v>1</v>
      </c>
      <c r="DJ1745">
        <v>0</v>
      </c>
      <c r="DK1745">
        <v>0</v>
      </c>
      <c r="DL1745">
        <v>0</v>
      </c>
      <c r="DM1745">
        <v>0</v>
      </c>
      <c r="DN1745">
        <v>1</v>
      </c>
      <c r="DO1745">
        <v>0</v>
      </c>
      <c r="DP1745">
        <v>0</v>
      </c>
      <c r="DQ1745">
        <v>0</v>
      </c>
      <c r="DR1745">
        <v>0</v>
      </c>
      <c r="DS1745">
        <v>0</v>
      </c>
    </row>
    <row r="1746" spans="1:123" x14ac:dyDescent="0.3">
      <c r="A1746" t="str">
        <f>"10/04/2022 19:30:08.931"</f>
        <v>10/04/2022 19:30:08.931</v>
      </c>
      <c r="C1746" t="str">
        <f t="shared" si="604"/>
        <v>FFDFD3C0</v>
      </c>
      <c r="D1746" t="s">
        <v>141</v>
      </c>
      <c r="E1746">
        <v>3</v>
      </c>
      <c r="H1746">
        <v>3</v>
      </c>
      <c r="I1746" t="s">
        <v>146</v>
      </c>
      <c r="J1746" t="s">
        <v>138</v>
      </c>
      <c r="K1746">
        <v>0</v>
      </c>
      <c r="L1746">
        <v>3</v>
      </c>
      <c r="M1746">
        <v>0</v>
      </c>
      <c r="N1746">
        <v>2</v>
      </c>
      <c r="O1746">
        <v>0</v>
      </c>
      <c r="P1746">
        <v>1</v>
      </c>
      <c r="Q1746">
        <v>0</v>
      </c>
      <c r="S1746" t="str">
        <f t="shared" si="615"/>
        <v>19:30:08.000</v>
      </c>
      <c r="T1746" t="str">
        <f t="shared" si="615"/>
        <v>19:30:08.000</v>
      </c>
      <c r="U1746" t="str">
        <f t="shared" si="609"/>
        <v>AC3944</v>
      </c>
      <c r="V1746">
        <v>0</v>
      </c>
      <c r="W1746">
        <v>0</v>
      </c>
      <c r="X1746">
        <v>2</v>
      </c>
      <c r="Y1746">
        <v>0</v>
      </c>
      <c r="AA1746">
        <v>1</v>
      </c>
      <c r="AB1746">
        <v>8</v>
      </c>
      <c r="AC1746">
        <v>3</v>
      </c>
      <c r="AD1746">
        <v>0</v>
      </c>
      <c r="AE1746">
        <v>9</v>
      </c>
      <c r="AF1746" t="s">
        <v>138</v>
      </c>
      <c r="AG1746">
        <v>0</v>
      </c>
      <c r="AH1746">
        <v>3</v>
      </c>
      <c r="AI1746">
        <v>1</v>
      </c>
      <c r="AJ1746">
        <v>0</v>
      </c>
      <c r="AK1746" t="s">
        <v>634</v>
      </c>
      <c r="AL1746">
        <v>32.785348999999997</v>
      </c>
      <c r="AM1746" t="s">
        <v>635</v>
      </c>
      <c r="AN1746">
        <v>-116.864362</v>
      </c>
      <c r="AO1746">
        <v>25</v>
      </c>
      <c r="AP1746">
        <v>2800</v>
      </c>
      <c r="AQ1746" t="s">
        <v>129</v>
      </c>
      <c r="AR1746">
        <v>83</v>
      </c>
      <c r="AS1746">
        <v>-81</v>
      </c>
      <c r="AT1746">
        <v>512</v>
      </c>
      <c r="BB1746">
        <v>1200</v>
      </c>
      <c r="BC1746">
        <v>1</v>
      </c>
      <c r="BD1746" t="str">
        <f t="shared" si="610"/>
        <v xml:space="preserve">N887QR  </v>
      </c>
      <c r="BE1746">
        <v>1</v>
      </c>
      <c r="BG1746">
        <v>0</v>
      </c>
      <c r="BH1746">
        <v>0</v>
      </c>
      <c r="BI1746">
        <v>0</v>
      </c>
      <c r="BJ1746">
        <v>2575</v>
      </c>
      <c r="BK1746">
        <v>-225</v>
      </c>
      <c r="BL1746" t="s">
        <v>163</v>
      </c>
      <c r="BM1746">
        <v>1</v>
      </c>
      <c r="BN1746">
        <v>1</v>
      </c>
      <c r="BO1746">
        <v>1</v>
      </c>
      <c r="BP1746">
        <v>0</v>
      </c>
      <c r="BS1746">
        <v>0</v>
      </c>
      <c r="BT1746">
        <v>0</v>
      </c>
      <c r="BU1746">
        <v>0</v>
      </c>
      <c r="CE1746" t="str">
        <f t="shared" si="617"/>
        <v>19:30:08.739</v>
      </c>
      <c r="CF1746">
        <v>738811739</v>
      </c>
      <c r="CS1746">
        <v>3</v>
      </c>
      <c r="CT1746">
        <v>2</v>
      </c>
      <c r="CU1746">
        <v>0</v>
      </c>
      <c r="CV1746">
        <v>2</v>
      </c>
      <c r="CW1746">
        <v>0</v>
      </c>
      <c r="CX1746">
        <v>4</v>
      </c>
      <c r="CY1746">
        <v>7</v>
      </c>
      <c r="CZ1746" t="s">
        <v>131</v>
      </c>
      <c r="DA1746">
        <v>286</v>
      </c>
      <c r="DB1746">
        <v>0</v>
      </c>
      <c r="DC1746" t="s">
        <v>132</v>
      </c>
      <c r="DD1746" t="s">
        <v>133</v>
      </c>
      <c r="DG1746">
        <v>827353</v>
      </c>
      <c r="DI1746">
        <v>1</v>
      </c>
      <c r="DJ1746">
        <v>0</v>
      </c>
      <c r="DK1746">
        <v>1</v>
      </c>
      <c r="DL1746">
        <v>0</v>
      </c>
      <c r="DM1746">
        <v>0</v>
      </c>
      <c r="DN1746">
        <v>1</v>
      </c>
      <c r="DO1746">
        <v>0</v>
      </c>
      <c r="DP1746">
        <v>0</v>
      </c>
      <c r="DQ1746">
        <v>0</v>
      </c>
      <c r="DR1746">
        <v>0</v>
      </c>
      <c r="DS1746">
        <v>0</v>
      </c>
    </row>
    <row r="1747" spans="1:123" x14ac:dyDescent="0.3">
      <c r="A1747" t="str">
        <f>"10/04/2022 19:30:08.931"</f>
        <v>10/04/2022 19:30:08.931</v>
      </c>
      <c r="C1747" t="str">
        <f t="shared" si="604"/>
        <v>FFDFD3C0</v>
      </c>
      <c r="D1747" t="s">
        <v>136</v>
      </c>
      <c r="E1747">
        <v>8</v>
      </c>
      <c r="H1747">
        <v>225</v>
      </c>
      <c r="I1747" t="s">
        <v>137</v>
      </c>
      <c r="J1747" t="s">
        <v>138</v>
      </c>
      <c r="K1747">
        <v>0</v>
      </c>
      <c r="L1747">
        <v>3</v>
      </c>
      <c r="M1747">
        <v>0</v>
      </c>
      <c r="N1747">
        <v>2</v>
      </c>
      <c r="O1747">
        <v>0</v>
      </c>
      <c r="P1747">
        <v>1</v>
      </c>
      <c r="Q1747">
        <v>0</v>
      </c>
      <c r="S1747" t="str">
        <f t="shared" si="615"/>
        <v>19:30:08.000</v>
      </c>
      <c r="T1747" t="str">
        <f t="shared" si="615"/>
        <v>19:30:08.000</v>
      </c>
      <c r="U1747" t="str">
        <f t="shared" si="609"/>
        <v>AC3944</v>
      </c>
      <c r="V1747">
        <v>0</v>
      </c>
      <c r="W1747">
        <v>0</v>
      </c>
      <c r="X1747">
        <v>2</v>
      </c>
      <c r="Y1747">
        <v>0</v>
      </c>
      <c r="AA1747">
        <v>1</v>
      </c>
      <c r="AB1747">
        <v>8</v>
      </c>
      <c r="AC1747">
        <v>3</v>
      </c>
      <c r="AD1747">
        <v>0</v>
      </c>
      <c r="AE1747">
        <v>9</v>
      </c>
      <c r="AF1747" t="s">
        <v>138</v>
      </c>
      <c r="AG1747">
        <v>0</v>
      </c>
      <c r="AH1747">
        <v>3</v>
      </c>
      <c r="AI1747">
        <v>1</v>
      </c>
      <c r="AJ1747">
        <v>0</v>
      </c>
      <c r="AK1747" t="s">
        <v>634</v>
      </c>
      <c r="AL1747">
        <v>32.785348999999997</v>
      </c>
      <c r="AM1747" t="s">
        <v>635</v>
      </c>
      <c r="AN1747">
        <v>-116.864362</v>
      </c>
      <c r="AO1747">
        <v>25</v>
      </c>
      <c r="AP1747">
        <v>2800</v>
      </c>
      <c r="AQ1747" t="s">
        <v>129</v>
      </c>
      <c r="AR1747">
        <v>83</v>
      </c>
      <c r="AS1747">
        <v>-81</v>
      </c>
      <c r="AT1747">
        <v>512</v>
      </c>
      <c r="BB1747">
        <v>1200</v>
      </c>
      <c r="BC1747">
        <v>1</v>
      </c>
      <c r="BD1747" t="str">
        <f t="shared" si="610"/>
        <v xml:space="preserve">N887QR  </v>
      </c>
      <c r="BE1747">
        <v>1</v>
      </c>
      <c r="BG1747">
        <v>0</v>
      </c>
      <c r="BH1747">
        <v>0</v>
      </c>
      <c r="BI1747">
        <v>0</v>
      </c>
      <c r="BJ1747">
        <v>2575</v>
      </c>
      <c r="BK1747">
        <v>-225</v>
      </c>
      <c r="BL1747" t="s">
        <v>163</v>
      </c>
      <c r="BM1747">
        <v>1</v>
      </c>
      <c r="BN1747">
        <v>1</v>
      </c>
      <c r="BO1747">
        <v>1</v>
      </c>
      <c r="BP1747">
        <v>0</v>
      </c>
      <c r="BS1747">
        <v>0</v>
      </c>
      <c r="BT1747">
        <v>0</v>
      </c>
      <c r="BU1747">
        <v>0</v>
      </c>
      <c r="CE1747" t="str">
        <f t="shared" si="617"/>
        <v>19:30:08.739</v>
      </c>
      <c r="CF1747">
        <v>738811739</v>
      </c>
      <c r="CS1747">
        <v>3</v>
      </c>
      <c r="CT1747">
        <v>2</v>
      </c>
      <c r="CU1747">
        <v>0</v>
      </c>
      <c r="CV1747">
        <v>2</v>
      </c>
      <c r="CW1747">
        <v>0</v>
      </c>
      <c r="CX1747">
        <v>4</v>
      </c>
      <c r="CY1747">
        <v>7</v>
      </c>
      <c r="CZ1747" t="s">
        <v>131</v>
      </c>
      <c r="DA1747">
        <v>286</v>
      </c>
      <c r="DB1747">
        <v>0</v>
      </c>
      <c r="DC1747" t="s">
        <v>132</v>
      </c>
      <c r="DD1747" t="s">
        <v>133</v>
      </c>
      <c r="DG1747">
        <v>827353</v>
      </c>
      <c r="DI1747">
        <v>1</v>
      </c>
      <c r="DJ1747">
        <v>0</v>
      </c>
      <c r="DK1747">
        <v>1</v>
      </c>
      <c r="DL1747">
        <v>0</v>
      </c>
      <c r="DM1747">
        <v>0</v>
      </c>
      <c r="DN1747">
        <v>1</v>
      </c>
      <c r="DO1747">
        <v>0</v>
      </c>
      <c r="DP1747">
        <v>0</v>
      </c>
      <c r="DQ1747">
        <v>0</v>
      </c>
      <c r="DR1747">
        <v>0</v>
      </c>
      <c r="DS1747">
        <v>0</v>
      </c>
    </row>
    <row r="1748" spans="1:123" x14ac:dyDescent="0.3">
      <c r="A1748" t="str">
        <f>"10/04/2022 19:30:08.931"</f>
        <v>10/04/2022 19:30:08.931</v>
      </c>
      <c r="C1748" t="str">
        <f t="shared" si="604"/>
        <v>FFDFD3C0</v>
      </c>
      <c r="D1748" t="s">
        <v>134</v>
      </c>
      <c r="E1748">
        <v>15</v>
      </c>
      <c r="J1748" t="s">
        <v>135</v>
      </c>
      <c r="K1748">
        <v>0</v>
      </c>
      <c r="L1748">
        <v>3</v>
      </c>
      <c r="M1748">
        <v>0</v>
      </c>
      <c r="N1748">
        <v>2</v>
      </c>
      <c r="O1748">
        <v>0</v>
      </c>
      <c r="P1748">
        <v>1</v>
      </c>
      <c r="Q1748">
        <v>0</v>
      </c>
      <c r="S1748" t="str">
        <f t="shared" si="615"/>
        <v>19:30:08.000</v>
      </c>
      <c r="T1748" t="str">
        <f t="shared" si="615"/>
        <v>19:30:08.000</v>
      </c>
      <c r="U1748" t="str">
        <f t="shared" si="609"/>
        <v>AC3944</v>
      </c>
      <c r="V1748">
        <v>0</v>
      </c>
      <c r="W1748">
        <v>0</v>
      </c>
      <c r="X1748">
        <v>2</v>
      </c>
      <c r="Y1748">
        <v>0</v>
      </c>
      <c r="AA1748">
        <v>1</v>
      </c>
      <c r="AB1748">
        <v>8</v>
      </c>
      <c r="AC1748">
        <v>3</v>
      </c>
      <c r="AD1748">
        <v>0</v>
      </c>
      <c r="AE1748">
        <v>9</v>
      </c>
      <c r="AF1748" t="s">
        <v>138</v>
      </c>
      <c r="AG1748">
        <v>0</v>
      </c>
      <c r="AH1748">
        <v>3</v>
      </c>
      <c r="AI1748">
        <v>1</v>
      </c>
      <c r="AJ1748">
        <v>0</v>
      </c>
      <c r="AK1748" t="s">
        <v>634</v>
      </c>
      <c r="AL1748">
        <v>32.785348999999997</v>
      </c>
      <c r="AM1748" t="s">
        <v>635</v>
      </c>
      <c r="AN1748">
        <v>-116.864362</v>
      </c>
      <c r="AO1748">
        <v>25</v>
      </c>
      <c r="AP1748">
        <v>2800</v>
      </c>
      <c r="AQ1748" t="s">
        <v>129</v>
      </c>
      <c r="AR1748">
        <v>83</v>
      </c>
      <c r="AS1748">
        <v>-81</v>
      </c>
      <c r="AT1748">
        <v>512</v>
      </c>
      <c r="BB1748">
        <v>1200</v>
      </c>
      <c r="BC1748">
        <v>1</v>
      </c>
      <c r="BD1748" t="str">
        <f t="shared" si="610"/>
        <v xml:space="preserve">N887QR  </v>
      </c>
      <c r="BE1748">
        <v>1</v>
      </c>
      <c r="BG1748">
        <v>0</v>
      </c>
      <c r="BH1748">
        <v>0</v>
      </c>
      <c r="BI1748">
        <v>0</v>
      </c>
      <c r="BJ1748">
        <v>2575</v>
      </c>
      <c r="BK1748">
        <v>-225</v>
      </c>
      <c r="BL1748" t="s">
        <v>163</v>
      </c>
      <c r="BM1748">
        <v>1</v>
      </c>
      <c r="BN1748">
        <v>1</v>
      </c>
      <c r="BO1748">
        <v>1</v>
      </c>
      <c r="BP1748">
        <v>0</v>
      </c>
      <c r="BS1748">
        <v>0</v>
      </c>
      <c r="BT1748">
        <v>0</v>
      </c>
      <c r="BU1748">
        <v>0</v>
      </c>
      <c r="CE1748" t="str">
        <f t="shared" si="617"/>
        <v>19:30:08.739</v>
      </c>
      <c r="CF1748">
        <v>738811739</v>
      </c>
      <c r="CS1748">
        <v>3</v>
      </c>
      <c r="CT1748">
        <v>2</v>
      </c>
      <c r="CU1748">
        <v>0</v>
      </c>
      <c r="CV1748">
        <v>2</v>
      </c>
      <c r="CW1748">
        <v>0</v>
      </c>
      <c r="CX1748">
        <v>4</v>
      </c>
      <c r="CY1748">
        <v>7</v>
      </c>
      <c r="CZ1748" t="s">
        <v>131</v>
      </c>
      <c r="DA1748">
        <v>286</v>
      </c>
      <c r="DB1748">
        <v>0</v>
      </c>
      <c r="DC1748" t="s">
        <v>132</v>
      </c>
      <c r="DD1748" t="s">
        <v>133</v>
      </c>
      <c r="DG1748">
        <v>827353</v>
      </c>
      <c r="DI1748">
        <v>1</v>
      </c>
      <c r="DJ1748">
        <v>0</v>
      </c>
      <c r="DK1748">
        <v>1</v>
      </c>
      <c r="DL1748">
        <v>0</v>
      </c>
      <c r="DM1748">
        <v>0</v>
      </c>
      <c r="DN1748">
        <v>1</v>
      </c>
      <c r="DO1748">
        <v>0</v>
      </c>
      <c r="DP1748">
        <v>0</v>
      </c>
      <c r="DQ1748">
        <v>0</v>
      </c>
      <c r="DR1748">
        <v>0</v>
      </c>
      <c r="DS1748">
        <v>0</v>
      </c>
    </row>
    <row r="1749" spans="1:123" x14ac:dyDescent="0.3">
      <c r="A1749" t="str">
        <f>"10/04/2022 19:30:08.931"</f>
        <v>10/04/2022 19:30:08.931</v>
      </c>
      <c r="C1749" t="str">
        <f t="shared" si="604"/>
        <v>FFDFD3C0</v>
      </c>
      <c r="D1749" t="s">
        <v>141</v>
      </c>
      <c r="E1749">
        <v>4</v>
      </c>
      <c r="H1749">
        <v>4</v>
      </c>
      <c r="I1749" t="s">
        <v>142</v>
      </c>
      <c r="J1749" t="s">
        <v>138</v>
      </c>
      <c r="K1749">
        <v>0</v>
      </c>
      <c r="L1749">
        <v>3</v>
      </c>
      <c r="M1749">
        <v>0</v>
      </c>
      <c r="N1749">
        <v>2</v>
      </c>
      <c r="O1749">
        <v>0</v>
      </c>
      <c r="P1749">
        <v>1</v>
      </c>
      <c r="Q1749">
        <v>0</v>
      </c>
      <c r="S1749" t="str">
        <f t="shared" si="615"/>
        <v>19:30:08.000</v>
      </c>
      <c r="T1749" t="str">
        <f t="shared" si="615"/>
        <v>19:30:08.000</v>
      </c>
      <c r="U1749" t="str">
        <f t="shared" si="609"/>
        <v>AC3944</v>
      </c>
      <c r="V1749">
        <v>0</v>
      </c>
      <c r="W1749">
        <v>0</v>
      </c>
      <c r="X1749">
        <v>2</v>
      </c>
      <c r="Y1749">
        <v>0</v>
      </c>
      <c r="AA1749">
        <v>1</v>
      </c>
      <c r="AB1749">
        <v>8</v>
      </c>
      <c r="AC1749">
        <v>3</v>
      </c>
      <c r="AD1749">
        <v>0</v>
      </c>
      <c r="AE1749">
        <v>9</v>
      </c>
      <c r="AF1749" t="s">
        <v>138</v>
      </c>
      <c r="AG1749">
        <v>0</v>
      </c>
      <c r="AH1749">
        <v>3</v>
      </c>
      <c r="AI1749">
        <v>1</v>
      </c>
      <c r="AJ1749">
        <v>0</v>
      </c>
      <c r="AK1749" t="s">
        <v>634</v>
      </c>
      <c r="AL1749">
        <v>32.785348999999997</v>
      </c>
      <c r="AM1749" t="s">
        <v>635</v>
      </c>
      <c r="AN1749">
        <v>-116.864362</v>
      </c>
      <c r="AO1749">
        <v>25</v>
      </c>
      <c r="AP1749">
        <v>2800</v>
      </c>
      <c r="AQ1749" t="s">
        <v>129</v>
      </c>
      <c r="AR1749">
        <v>83</v>
      </c>
      <c r="AS1749">
        <v>-81</v>
      </c>
      <c r="AT1749">
        <v>512</v>
      </c>
      <c r="BB1749">
        <v>1200</v>
      </c>
      <c r="BC1749">
        <v>1</v>
      </c>
      <c r="BD1749" t="str">
        <f t="shared" si="610"/>
        <v xml:space="preserve">N887QR  </v>
      </c>
      <c r="BE1749">
        <v>1</v>
      </c>
      <c r="BG1749">
        <v>0</v>
      </c>
      <c r="BH1749">
        <v>0</v>
      </c>
      <c r="BI1749">
        <v>0</v>
      </c>
      <c r="BJ1749">
        <v>2575</v>
      </c>
      <c r="BK1749">
        <v>-225</v>
      </c>
      <c r="BL1749" t="s">
        <v>163</v>
      </c>
      <c r="BM1749">
        <v>1</v>
      </c>
      <c r="BN1749">
        <v>1</v>
      </c>
      <c r="BO1749">
        <v>1</v>
      </c>
      <c r="BP1749">
        <v>0</v>
      </c>
      <c r="BS1749">
        <v>0</v>
      </c>
      <c r="BT1749">
        <v>0</v>
      </c>
      <c r="BU1749">
        <v>0</v>
      </c>
      <c r="CE1749" t="str">
        <f t="shared" si="617"/>
        <v>19:30:08.739</v>
      </c>
      <c r="CF1749">
        <v>738811739</v>
      </c>
      <c r="CS1749">
        <v>3</v>
      </c>
      <c r="CT1749">
        <v>2</v>
      </c>
      <c r="CU1749">
        <v>0</v>
      </c>
      <c r="CV1749">
        <v>2</v>
      </c>
      <c r="CW1749">
        <v>0</v>
      </c>
      <c r="CX1749">
        <v>4</v>
      </c>
      <c r="CY1749">
        <v>7</v>
      </c>
      <c r="CZ1749" t="s">
        <v>131</v>
      </c>
      <c r="DA1749">
        <v>286</v>
      </c>
      <c r="DB1749">
        <v>0</v>
      </c>
      <c r="DC1749" t="s">
        <v>132</v>
      </c>
      <c r="DD1749" t="s">
        <v>133</v>
      </c>
      <c r="DG1749">
        <v>827353</v>
      </c>
      <c r="DI1749">
        <v>1</v>
      </c>
      <c r="DJ1749">
        <v>0</v>
      </c>
      <c r="DK1749">
        <v>1</v>
      </c>
      <c r="DL1749">
        <v>0</v>
      </c>
      <c r="DM1749">
        <v>0</v>
      </c>
      <c r="DN1749">
        <v>1</v>
      </c>
      <c r="DO1749">
        <v>0</v>
      </c>
      <c r="DP1749">
        <v>0</v>
      </c>
      <c r="DQ1749">
        <v>0</v>
      </c>
      <c r="DR1749">
        <v>0</v>
      </c>
      <c r="DS1749">
        <v>0</v>
      </c>
    </row>
    <row r="1750" spans="1:123" x14ac:dyDescent="0.3">
      <c r="A1750" t="str">
        <f>"10/04/2022 19:30:08.994"</f>
        <v>10/04/2022 19:30:08.994</v>
      </c>
      <c r="C1750" t="str">
        <f t="shared" si="604"/>
        <v>FFDFD3C0</v>
      </c>
      <c r="D1750" t="s">
        <v>143</v>
      </c>
      <c r="E1750">
        <v>20</v>
      </c>
      <c r="F1750">
        <v>1020</v>
      </c>
      <c r="G1750" t="s">
        <v>144</v>
      </c>
      <c r="J1750" t="s">
        <v>145</v>
      </c>
      <c r="K1750">
        <v>0</v>
      </c>
      <c r="L1750">
        <v>3</v>
      </c>
      <c r="M1750">
        <v>0</v>
      </c>
      <c r="N1750">
        <v>2</v>
      </c>
      <c r="O1750">
        <v>0</v>
      </c>
      <c r="P1750">
        <v>1</v>
      </c>
      <c r="Q1750">
        <v>0</v>
      </c>
      <c r="S1750" t="str">
        <f t="shared" si="615"/>
        <v>19:30:08.000</v>
      </c>
      <c r="T1750" t="str">
        <f t="shared" si="615"/>
        <v>19:30:08.000</v>
      </c>
      <c r="U1750" t="str">
        <f t="shared" si="609"/>
        <v>AC3944</v>
      </c>
      <c r="V1750">
        <v>0</v>
      </c>
      <c r="W1750">
        <v>0</v>
      </c>
      <c r="X1750">
        <v>2</v>
      </c>
      <c r="Y1750">
        <v>0</v>
      </c>
      <c r="AA1750">
        <v>1</v>
      </c>
      <c r="AB1750">
        <v>8</v>
      </c>
      <c r="AC1750">
        <v>3</v>
      </c>
      <c r="AD1750">
        <v>0</v>
      </c>
      <c r="AE1750">
        <v>9</v>
      </c>
      <c r="AF1750" t="s">
        <v>138</v>
      </c>
      <c r="AG1750">
        <v>0</v>
      </c>
      <c r="AH1750">
        <v>3</v>
      </c>
      <c r="AI1750">
        <v>1</v>
      </c>
      <c r="AJ1750">
        <v>0</v>
      </c>
      <c r="AK1750" t="s">
        <v>634</v>
      </c>
      <c r="AL1750">
        <v>32.785348999999997</v>
      </c>
      <c r="AM1750" t="s">
        <v>635</v>
      </c>
      <c r="AN1750">
        <v>-116.864362</v>
      </c>
      <c r="AO1750">
        <v>25</v>
      </c>
      <c r="AP1750">
        <v>2800</v>
      </c>
      <c r="AQ1750" t="s">
        <v>129</v>
      </c>
      <c r="AR1750">
        <v>83</v>
      </c>
      <c r="AS1750">
        <v>-81</v>
      </c>
      <c r="AT1750">
        <v>512</v>
      </c>
      <c r="BB1750">
        <v>1200</v>
      </c>
      <c r="BC1750">
        <v>1</v>
      </c>
      <c r="BD1750" t="str">
        <f t="shared" si="610"/>
        <v xml:space="preserve">N887QR  </v>
      </c>
      <c r="BE1750">
        <v>1</v>
      </c>
      <c r="BG1750">
        <v>0</v>
      </c>
      <c r="BH1750">
        <v>0</v>
      </c>
      <c r="BI1750">
        <v>0</v>
      </c>
      <c r="BJ1750">
        <v>2575</v>
      </c>
      <c r="BK1750">
        <v>-225</v>
      </c>
      <c r="BL1750" t="s">
        <v>163</v>
      </c>
      <c r="BM1750">
        <v>1</v>
      </c>
      <c r="BN1750">
        <v>1</v>
      </c>
      <c r="BO1750">
        <v>1</v>
      </c>
      <c r="BP1750">
        <v>0</v>
      </c>
      <c r="BS1750">
        <v>0</v>
      </c>
      <c r="BT1750">
        <v>0</v>
      </c>
      <c r="BU1750">
        <v>0</v>
      </c>
      <c r="CE1750" t="str">
        <f t="shared" si="617"/>
        <v>19:30:08.739</v>
      </c>
      <c r="CF1750">
        <v>738811739</v>
      </c>
      <c r="CS1750">
        <v>3</v>
      </c>
      <c r="CT1750">
        <v>2</v>
      </c>
      <c r="CU1750">
        <v>0</v>
      </c>
      <c r="CV1750">
        <v>2</v>
      </c>
      <c r="CW1750">
        <v>0</v>
      </c>
      <c r="CX1750">
        <v>4</v>
      </c>
      <c r="CY1750">
        <v>7</v>
      </c>
      <c r="CZ1750" t="s">
        <v>131</v>
      </c>
      <c r="DA1750">
        <v>286</v>
      </c>
      <c r="DB1750">
        <v>0</v>
      </c>
      <c r="DC1750" t="s">
        <v>132</v>
      </c>
      <c r="DD1750" t="s">
        <v>133</v>
      </c>
      <c r="DG1750">
        <v>827353</v>
      </c>
      <c r="DI1750">
        <v>1</v>
      </c>
      <c r="DJ1750">
        <v>0</v>
      </c>
      <c r="DK1750">
        <v>1</v>
      </c>
      <c r="DL1750">
        <v>0</v>
      </c>
      <c r="DM1750">
        <v>0</v>
      </c>
      <c r="DN1750">
        <v>1</v>
      </c>
      <c r="DO1750">
        <v>0</v>
      </c>
      <c r="DP1750">
        <v>0</v>
      </c>
      <c r="DQ1750">
        <v>0</v>
      </c>
      <c r="DR1750">
        <v>0</v>
      </c>
      <c r="DS1750">
        <v>0</v>
      </c>
    </row>
    <row r="1751" spans="1:123" x14ac:dyDescent="0.3">
      <c r="A1751" t="str">
        <f>"10/04/2022 19:30:09.041"</f>
        <v>10/04/2022 19:30:09.041</v>
      </c>
      <c r="C1751" t="str">
        <f t="shared" si="604"/>
        <v>FFDFD3C0</v>
      </c>
      <c r="D1751" t="s">
        <v>123</v>
      </c>
      <c r="E1751">
        <v>7</v>
      </c>
      <c r="F1751">
        <v>2007</v>
      </c>
      <c r="G1751" t="s">
        <v>124</v>
      </c>
      <c r="J1751" t="s">
        <v>125</v>
      </c>
      <c r="K1751">
        <v>0</v>
      </c>
      <c r="L1751">
        <v>3</v>
      </c>
      <c r="M1751">
        <v>0</v>
      </c>
      <c r="N1751">
        <v>2</v>
      </c>
      <c r="O1751">
        <v>0</v>
      </c>
      <c r="P1751">
        <v>1</v>
      </c>
      <c r="Q1751">
        <v>0</v>
      </c>
      <c r="S1751" t="str">
        <f t="shared" si="615"/>
        <v>19:30:08.000</v>
      </c>
      <c r="T1751" t="str">
        <f t="shared" si="615"/>
        <v>19:30:08.000</v>
      </c>
      <c r="U1751" t="str">
        <f t="shared" si="609"/>
        <v>AC3944</v>
      </c>
      <c r="V1751">
        <v>0</v>
      </c>
      <c r="W1751">
        <v>0</v>
      </c>
      <c r="X1751">
        <v>2</v>
      </c>
      <c r="Y1751">
        <v>0</v>
      </c>
      <c r="AA1751">
        <v>1</v>
      </c>
      <c r="AB1751">
        <v>8</v>
      </c>
      <c r="AC1751">
        <v>3</v>
      </c>
      <c r="AD1751">
        <v>0</v>
      </c>
      <c r="AE1751">
        <v>9</v>
      </c>
      <c r="AF1751" t="s">
        <v>138</v>
      </c>
      <c r="AG1751">
        <v>0</v>
      </c>
      <c r="AH1751">
        <v>3</v>
      </c>
      <c r="AI1751">
        <v>1</v>
      </c>
      <c r="AJ1751">
        <v>0</v>
      </c>
      <c r="AK1751" t="s">
        <v>634</v>
      </c>
      <c r="AL1751">
        <v>32.785348999999997</v>
      </c>
      <c r="AM1751" t="s">
        <v>635</v>
      </c>
      <c r="AN1751">
        <v>-116.864362</v>
      </c>
      <c r="AO1751">
        <v>25</v>
      </c>
      <c r="AP1751">
        <v>2800</v>
      </c>
      <c r="AQ1751" t="s">
        <v>129</v>
      </c>
      <c r="AR1751">
        <v>83</v>
      </c>
      <c r="AS1751">
        <v>-81</v>
      </c>
      <c r="AT1751">
        <v>512</v>
      </c>
      <c r="BB1751">
        <v>1200</v>
      </c>
      <c r="BC1751">
        <v>1</v>
      </c>
      <c r="BD1751" t="str">
        <f t="shared" si="610"/>
        <v xml:space="preserve">N887QR  </v>
      </c>
      <c r="BE1751">
        <v>1</v>
      </c>
      <c r="BG1751">
        <v>0</v>
      </c>
      <c r="BH1751">
        <v>0</v>
      </c>
      <c r="BI1751">
        <v>0</v>
      </c>
      <c r="BJ1751">
        <v>2575</v>
      </c>
      <c r="BK1751">
        <v>-225</v>
      </c>
      <c r="BL1751" t="s">
        <v>163</v>
      </c>
      <c r="BM1751">
        <v>1</v>
      </c>
      <c r="BN1751">
        <v>1</v>
      </c>
      <c r="BO1751">
        <v>1</v>
      </c>
      <c r="BP1751">
        <v>0</v>
      </c>
      <c r="BS1751">
        <v>0</v>
      </c>
      <c r="BT1751">
        <v>0</v>
      </c>
      <c r="BU1751">
        <v>0</v>
      </c>
      <c r="CE1751" t="str">
        <f t="shared" si="617"/>
        <v>19:30:08.739</v>
      </c>
      <c r="CF1751">
        <v>738811739</v>
      </c>
      <c r="CS1751">
        <v>3</v>
      </c>
      <c r="CT1751">
        <v>2</v>
      </c>
      <c r="CU1751">
        <v>0</v>
      </c>
      <c r="CV1751">
        <v>2</v>
      </c>
      <c r="CW1751">
        <v>0</v>
      </c>
      <c r="CX1751">
        <v>4</v>
      </c>
      <c r="CY1751">
        <v>7</v>
      </c>
      <c r="CZ1751" t="s">
        <v>131</v>
      </c>
      <c r="DA1751">
        <v>286</v>
      </c>
      <c r="DB1751">
        <v>0</v>
      </c>
      <c r="DC1751" t="s">
        <v>132</v>
      </c>
      <c r="DD1751" t="s">
        <v>133</v>
      </c>
      <c r="DG1751">
        <v>827353</v>
      </c>
      <c r="DI1751">
        <v>1</v>
      </c>
      <c r="DJ1751">
        <v>0</v>
      </c>
      <c r="DK1751">
        <v>1</v>
      </c>
      <c r="DL1751">
        <v>0</v>
      </c>
      <c r="DM1751">
        <v>0</v>
      </c>
      <c r="DN1751">
        <v>1</v>
      </c>
      <c r="DO1751">
        <v>0</v>
      </c>
      <c r="DP1751">
        <v>0</v>
      </c>
      <c r="DQ1751">
        <v>0</v>
      </c>
      <c r="DR1751">
        <v>0</v>
      </c>
      <c r="DS1751">
        <v>0</v>
      </c>
    </row>
    <row r="1752" spans="1:123" x14ac:dyDescent="0.3">
      <c r="A1752" t="str">
        <f t="shared" ref="A1752:A1758" si="618">"10/04/2022 19:30:10.573"</f>
        <v>10/04/2022 19:30:10.573</v>
      </c>
      <c r="C1752" t="str">
        <f t="shared" si="604"/>
        <v>FFDFD3C0</v>
      </c>
      <c r="D1752" t="s">
        <v>143</v>
      </c>
      <c r="E1752">
        <v>20</v>
      </c>
      <c r="F1752">
        <v>1020</v>
      </c>
      <c r="G1752" t="s">
        <v>144</v>
      </c>
      <c r="J1752" t="s">
        <v>145</v>
      </c>
      <c r="K1752">
        <v>0</v>
      </c>
      <c r="L1752">
        <v>3</v>
      </c>
      <c r="M1752">
        <v>0</v>
      </c>
      <c r="N1752">
        <v>2</v>
      </c>
      <c r="O1752">
        <v>0</v>
      </c>
      <c r="P1752">
        <v>1</v>
      </c>
      <c r="Q1752">
        <v>0</v>
      </c>
      <c r="S1752" t="str">
        <f t="shared" ref="S1752:T1758" si="619">"19:30:10.000"</f>
        <v>19:30:10.000</v>
      </c>
      <c r="T1752" t="str">
        <f t="shared" si="619"/>
        <v>19:30:10.000</v>
      </c>
      <c r="U1752" t="str">
        <f t="shared" si="609"/>
        <v>AC3944</v>
      </c>
      <c r="V1752">
        <v>0</v>
      </c>
      <c r="W1752">
        <v>0</v>
      </c>
      <c r="X1752">
        <v>2</v>
      </c>
      <c r="Y1752">
        <v>0</v>
      </c>
      <c r="AA1752">
        <v>1</v>
      </c>
      <c r="AB1752">
        <v>8</v>
      </c>
      <c r="AC1752">
        <v>3</v>
      </c>
      <c r="AD1752">
        <v>0</v>
      </c>
      <c r="AE1752">
        <v>9</v>
      </c>
      <c r="AF1752" t="s">
        <v>138</v>
      </c>
      <c r="AG1752">
        <v>0</v>
      </c>
      <c r="AH1752">
        <v>3</v>
      </c>
      <c r="AI1752">
        <v>1</v>
      </c>
      <c r="AJ1752">
        <v>0</v>
      </c>
      <c r="AK1752" t="s">
        <v>636</v>
      </c>
      <c r="AL1752">
        <v>32.784984000000001</v>
      </c>
      <c r="AM1752" t="s">
        <v>637</v>
      </c>
      <c r="AN1752">
        <v>-116.86389</v>
      </c>
      <c r="AO1752">
        <v>25</v>
      </c>
      <c r="AP1752">
        <v>2800</v>
      </c>
      <c r="AQ1752" t="s">
        <v>129</v>
      </c>
      <c r="AR1752">
        <v>84</v>
      </c>
      <c r="AS1752">
        <v>-81</v>
      </c>
      <c r="AT1752">
        <v>448</v>
      </c>
      <c r="BB1752">
        <v>1200</v>
      </c>
      <c r="BC1752">
        <v>1</v>
      </c>
      <c r="BD1752" t="str">
        <f t="shared" si="610"/>
        <v xml:space="preserve">N887QR  </v>
      </c>
      <c r="BE1752">
        <v>1</v>
      </c>
      <c r="BG1752">
        <v>0</v>
      </c>
      <c r="BH1752">
        <v>0</v>
      </c>
      <c r="BI1752">
        <v>0</v>
      </c>
      <c r="BJ1752">
        <v>2600</v>
      </c>
      <c r="BK1752">
        <v>-200</v>
      </c>
      <c r="BL1752" t="s">
        <v>163</v>
      </c>
      <c r="BM1752">
        <v>1</v>
      </c>
      <c r="BN1752">
        <v>1</v>
      </c>
      <c r="BO1752">
        <v>1</v>
      </c>
      <c r="BP1752">
        <v>0</v>
      </c>
      <c r="BS1752">
        <v>0</v>
      </c>
      <c r="BT1752">
        <v>0</v>
      </c>
      <c r="BU1752">
        <v>0</v>
      </c>
      <c r="CE1752" t="str">
        <f t="shared" ref="CE1752:CE1758" si="620">"19:30:10.296"</f>
        <v>19:30:10.296</v>
      </c>
      <c r="CF1752">
        <v>295835351</v>
      </c>
      <c r="CS1752">
        <v>0</v>
      </c>
      <c r="CT1752">
        <v>2</v>
      </c>
      <c r="CU1752">
        <v>0</v>
      </c>
      <c r="CV1752">
        <v>2</v>
      </c>
      <c r="CW1752">
        <v>0</v>
      </c>
      <c r="CX1752">
        <v>5</v>
      </c>
      <c r="CY1752">
        <v>7</v>
      </c>
      <c r="CZ1752" t="s">
        <v>131</v>
      </c>
      <c r="DA1752">
        <v>300</v>
      </c>
      <c r="DB1752">
        <v>0</v>
      </c>
      <c r="DC1752" t="s">
        <v>176</v>
      </c>
      <c r="DD1752" t="s">
        <v>177</v>
      </c>
      <c r="DG1752">
        <v>5394100</v>
      </c>
      <c r="DI1752">
        <v>1</v>
      </c>
      <c r="DJ1752">
        <v>0</v>
      </c>
      <c r="DK1752">
        <v>0</v>
      </c>
      <c r="DL1752">
        <v>0</v>
      </c>
      <c r="DM1752">
        <v>0</v>
      </c>
      <c r="DN1752">
        <v>1</v>
      </c>
      <c r="DO1752">
        <v>0</v>
      </c>
      <c r="DP1752">
        <v>0</v>
      </c>
      <c r="DQ1752">
        <v>0</v>
      </c>
      <c r="DR1752">
        <v>0</v>
      </c>
      <c r="DS1752">
        <v>0</v>
      </c>
    </row>
    <row r="1753" spans="1:123" x14ac:dyDescent="0.3">
      <c r="A1753" t="str">
        <f t="shared" si="618"/>
        <v>10/04/2022 19:30:10.573</v>
      </c>
      <c r="C1753" t="str">
        <f t="shared" si="604"/>
        <v>FFDFD3C0</v>
      </c>
      <c r="D1753" t="s">
        <v>123</v>
      </c>
      <c r="E1753">
        <v>7</v>
      </c>
      <c r="F1753">
        <v>2007</v>
      </c>
      <c r="G1753" t="s">
        <v>124</v>
      </c>
      <c r="J1753" t="s">
        <v>125</v>
      </c>
      <c r="K1753">
        <v>0</v>
      </c>
      <c r="L1753">
        <v>3</v>
      </c>
      <c r="M1753">
        <v>0</v>
      </c>
      <c r="N1753">
        <v>2</v>
      </c>
      <c r="O1753">
        <v>0</v>
      </c>
      <c r="P1753">
        <v>1</v>
      </c>
      <c r="Q1753">
        <v>0</v>
      </c>
      <c r="S1753" t="str">
        <f t="shared" si="619"/>
        <v>19:30:10.000</v>
      </c>
      <c r="T1753" t="str">
        <f t="shared" si="619"/>
        <v>19:30:10.000</v>
      </c>
      <c r="U1753" t="str">
        <f t="shared" si="609"/>
        <v>AC3944</v>
      </c>
      <c r="V1753">
        <v>0</v>
      </c>
      <c r="W1753">
        <v>0</v>
      </c>
      <c r="X1753">
        <v>2</v>
      </c>
      <c r="Y1753">
        <v>0</v>
      </c>
      <c r="AA1753">
        <v>1</v>
      </c>
      <c r="AB1753">
        <v>8</v>
      </c>
      <c r="AC1753">
        <v>3</v>
      </c>
      <c r="AD1753">
        <v>0</v>
      </c>
      <c r="AE1753">
        <v>9</v>
      </c>
      <c r="AF1753" t="s">
        <v>138</v>
      </c>
      <c r="AG1753">
        <v>0</v>
      </c>
      <c r="AH1753">
        <v>3</v>
      </c>
      <c r="AI1753">
        <v>1</v>
      </c>
      <c r="AJ1753">
        <v>0</v>
      </c>
      <c r="AK1753" t="s">
        <v>636</v>
      </c>
      <c r="AL1753">
        <v>32.784984000000001</v>
      </c>
      <c r="AM1753" t="s">
        <v>637</v>
      </c>
      <c r="AN1753">
        <v>-116.86389</v>
      </c>
      <c r="AO1753">
        <v>25</v>
      </c>
      <c r="AP1753">
        <v>2800</v>
      </c>
      <c r="AQ1753" t="s">
        <v>129</v>
      </c>
      <c r="AR1753">
        <v>84</v>
      </c>
      <c r="AS1753">
        <v>-81</v>
      </c>
      <c r="AT1753">
        <v>448</v>
      </c>
      <c r="BB1753">
        <v>1200</v>
      </c>
      <c r="BC1753">
        <v>1</v>
      </c>
      <c r="BD1753" t="str">
        <f t="shared" si="610"/>
        <v xml:space="preserve">N887QR  </v>
      </c>
      <c r="BE1753">
        <v>1</v>
      </c>
      <c r="BG1753">
        <v>0</v>
      </c>
      <c r="BH1753">
        <v>0</v>
      </c>
      <c r="BI1753">
        <v>0</v>
      </c>
      <c r="BJ1753">
        <v>2600</v>
      </c>
      <c r="BK1753">
        <v>-200</v>
      </c>
      <c r="BL1753" t="s">
        <v>163</v>
      </c>
      <c r="BM1753">
        <v>1</v>
      </c>
      <c r="BN1753">
        <v>1</v>
      </c>
      <c r="BO1753">
        <v>1</v>
      </c>
      <c r="BP1753">
        <v>0</v>
      </c>
      <c r="BS1753">
        <v>0</v>
      </c>
      <c r="BT1753">
        <v>0</v>
      </c>
      <c r="BU1753">
        <v>0</v>
      </c>
      <c r="CE1753" t="str">
        <f t="shared" si="620"/>
        <v>19:30:10.296</v>
      </c>
      <c r="CF1753">
        <v>295835351</v>
      </c>
      <c r="CS1753">
        <v>0</v>
      </c>
      <c r="CT1753">
        <v>2</v>
      </c>
      <c r="CU1753">
        <v>0</v>
      </c>
      <c r="CV1753">
        <v>2</v>
      </c>
      <c r="CW1753">
        <v>0</v>
      </c>
      <c r="CX1753">
        <v>5</v>
      </c>
      <c r="CY1753">
        <v>7</v>
      </c>
      <c r="CZ1753" t="s">
        <v>131</v>
      </c>
      <c r="DA1753">
        <v>300</v>
      </c>
      <c r="DB1753">
        <v>0</v>
      </c>
      <c r="DC1753" t="s">
        <v>176</v>
      </c>
      <c r="DD1753" t="s">
        <v>177</v>
      </c>
      <c r="DG1753">
        <v>5394100</v>
      </c>
      <c r="DI1753">
        <v>1</v>
      </c>
      <c r="DJ1753">
        <v>0</v>
      </c>
      <c r="DK1753">
        <v>1</v>
      </c>
      <c r="DL1753">
        <v>0</v>
      </c>
      <c r="DM1753">
        <v>0</v>
      </c>
      <c r="DN1753">
        <v>1</v>
      </c>
      <c r="DO1753">
        <v>0</v>
      </c>
      <c r="DP1753">
        <v>0</v>
      </c>
      <c r="DQ1753">
        <v>0</v>
      </c>
      <c r="DR1753">
        <v>0</v>
      </c>
      <c r="DS1753">
        <v>0</v>
      </c>
    </row>
    <row r="1754" spans="1:123" x14ac:dyDescent="0.3">
      <c r="A1754" t="str">
        <f t="shared" si="618"/>
        <v>10/04/2022 19:30:10.573</v>
      </c>
      <c r="C1754" t="str">
        <f t="shared" si="604"/>
        <v>FFDFD3C0</v>
      </c>
      <c r="D1754" t="s">
        <v>147</v>
      </c>
      <c r="E1754">
        <v>3</v>
      </c>
      <c r="H1754">
        <v>166</v>
      </c>
      <c r="I1754" t="s">
        <v>144</v>
      </c>
      <c r="J1754" t="s">
        <v>148</v>
      </c>
      <c r="K1754">
        <v>0</v>
      </c>
      <c r="L1754">
        <v>3</v>
      </c>
      <c r="M1754">
        <v>0</v>
      </c>
      <c r="N1754">
        <v>2</v>
      </c>
      <c r="O1754">
        <v>0</v>
      </c>
      <c r="P1754">
        <v>1</v>
      </c>
      <c r="Q1754">
        <v>0</v>
      </c>
      <c r="S1754" t="str">
        <f t="shared" si="619"/>
        <v>19:30:10.000</v>
      </c>
      <c r="T1754" t="str">
        <f t="shared" si="619"/>
        <v>19:30:10.000</v>
      </c>
      <c r="U1754" t="str">
        <f t="shared" si="609"/>
        <v>AC3944</v>
      </c>
      <c r="V1754">
        <v>0</v>
      </c>
      <c r="W1754">
        <v>0</v>
      </c>
      <c r="X1754">
        <v>2</v>
      </c>
      <c r="Y1754">
        <v>0</v>
      </c>
      <c r="AA1754">
        <v>1</v>
      </c>
      <c r="AB1754">
        <v>8</v>
      </c>
      <c r="AC1754">
        <v>3</v>
      </c>
      <c r="AD1754">
        <v>0</v>
      </c>
      <c r="AE1754">
        <v>9</v>
      </c>
      <c r="AF1754" t="s">
        <v>138</v>
      </c>
      <c r="AG1754">
        <v>0</v>
      </c>
      <c r="AH1754">
        <v>3</v>
      </c>
      <c r="AI1754">
        <v>1</v>
      </c>
      <c r="AJ1754">
        <v>0</v>
      </c>
      <c r="AK1754" t="s">
        <v>636</v>
      </c>
      <c r="AL1754">
        <v>32.784984000000001</v>
      </c>
      <c r="AM1754" t="s">
        <v>637</v>
      </c>
      <c r="AN1754">
        <v>-116.86389</v>
      </c>
      <c r="AO1754">
        <v>25</v>
      </c>
      <c r="AP1754">
        <v>2800</v>
      </c>
      <c r="AQ1754" t="s">
        <v>129</v>
      </c>
      <c r="AR1754">
        <v>84</v>
      </c>
      <c r="AS1754">
        <v>-81</v>
      </c>
      <c r="AT1754">
        <v>448</v>
      </c>
      <c r="BB1754">
        <v>1200</v>
      </c>
      <c r="BC1754">
        <v>1</v>
      </c>
      <c r="BD1754" t="str">
        <f t="shared" si="610"/>
        <v xml:space="preserve">N887QR  </v>
      </c>
      <c r="BE1754">
        <v>1</v>
      </c>
      <c r="BG1754">
        <v>0</v>
      </c>
      <c r="BH1754">
        <v>0</v>
      </c>
      <c r="BI1754">
        <v>0</v>
      </c>
      <c r="BJ1754">
        <v>2600</v>
      </c>
      <c r="BK1754">
        <v>-200</v>
      </c>
      <c r="BL1754" t="s">
        <v>163</v>
      </c>
      <c r="BM1754">
        <v>1</v>
      </c>
      <c r="BN1754">
        <v>1</v>
      </c>
      <c r="BO1754">
        <v>1</v>
      </c>
      <c r="BP1754">
        <v>0</v>
      </c>
      <c r="BS1754">
        <v>0</v>
      </c>
      <c r="BT1754">
        <v>0</v>
      </c>
      <c r="BU1754">
        <v>0</v>
      </c>
      <c r="CE1754" t="str">
        <f t="shared" si="620"/>
        <v>19:30:10.296</v>
      </c>
      <c r="CF1754">
        <v>295835351</v>
      </c>
      <c r="CS1754">
        <v>0</v>
      </c>
      <c r="CT1754">
        <v>2</v>
      </c>
      <c r="CU1754">
        <v>0</v>
      </c>
      <c r="CV1754">
        <v>2</v>
      </c>
      <c r="CW1754">
        <v>0</v>
      </c>
      <c r="CX1754">
        <v>5</v>
      </c>
      <c r="CY1754">
        <v>7</v>
      </c>
      <c r="CZ1754" t="s">
        <v>131</v>
      </c>
      <c r="DA1754">
        <v>300</v>
      </c>
      <c r="DB1754">
        <v>0</v>
      </c>
      <c r="DC1754" t="s">
        <v>176</v>
      </c>
      <c r="DD1754" t="s">
        <v>177</v>
      </c>
      <c r="DG1754">
        <v>5394100</v>
      </c>
      <c r="DI1754">
        <v>1</v>
      </c>
      <c r="DJ1754">
        <v>0</v>
      </c>
      <c r="DK1754">
        <v>1</v>
      </c>
      <c r="DL1754">
        <v>0</v>
      </c>
      <c r="DM1754">
        <v>0</v>
      </c>
      <c r="DN1754">
        <v>1</v>
      </c>
      <c r="DO1754">
        <v>0</v>
      </c>
      <c r="DP1754">
        <v>0</v>
      </c>
      <c r="DQ1754">
        <v>0</v>
      </c>
      <c r="DR1754">
        <v>0</v>
      </c>
      <c r="DS1754">
        <v>0</v>
      </c>
    </row>
    <row r="1755" spans="1:123" x14ac:dyDescent="0.3">
      <c r="A1755" t="str">
        <f t="shared" si="618"/>
        <v>10/04/2022 19:30:10.573</v>
      </c>
      <c r="C1755" t="str">
        <f t="shared" si="604"/>
        <v>FFDFD3C0</v>
      </c>
      <c r="D1755" t="s">
        <v>141</v>
      </c>
      <c r="E1755">
        <v>3</v>
      </c>
      <c r="H1755">
        <v>3</v>
      </c>
      <c r="I1755" t="s">
        <v>146</v>
      </c>
      <c r="J1755" t="s">
        <v>138</v>
      </c>
      <c r="K1755">
        <v>0</v>
      </c>
      <c r="L1755">
        <v>3</v>
      </c>
      <c r="M1755">
        <v>0</v>
      </c>
      <c r="N1755">
        <v>2</v>
      </c>
      <c r="O1755">
        <v>0</v>
      </c>
      <c r="P1755">
        <v>1</v>
      </c>
      <c r="Q1755">
        <v>0</v>
      </c>
      <c r="S1755" t="str">
        <f t="shared" si="619"/>
        <v>19:30:10.000</v>
      </c>
      <c r="T1755" t="str">
        <f t="shared" si="619"/>
        <v>19:30:10.000</v>
      </c>
      <c r="U1755" t="str">
        <f t="shared" si="609"/>
        <v>AC3944</v>
      </c>
      <c r="V1755">
        <v>0</v>
      </c>
      <c r="W1755">
        <v>0</v>
      </c>
      <c r="X1755">
        <v>2</v>
      </c>
      <c r="Y1755">
        <v>0</v>
      </c>
      <c r="AA1755">
        <v>1</v>
      </c>
      <c r="AB1755">
        <v>8</v>
      </c>
      <c r="AC1755">
        <v>3</v>
      </c>
      <c r="AD1755">
        <v>0</v>
      </c>
      <c r="AE1755">
        <v>9</v>
      </c>
      <c r="AF1755" t="s">
        <v>138</v>
      </c>
      <c r="AG1755">
        <v>0</v>
      </c>
      <c r="AH1755">
        <v>3</v>
      </c>
      <c r="AI1755">
        <v>1</v>
      </c>
      <c r="AJ1755">
        <v>0</v>
      </c>
      <c r="AK1755" t="s">
        <v>636</v>
      </c>
      <c r="AL1755">
        <v>32.784984000000001</v>
      </c>
      <c r="AM1755" t="s">
        <v>637</v>
      </c>
      <c r="AN1755">
        <v>-116.86389</v>
      </c>
      <c r="AO1755">
        <v>25</v>
      </c>
      <c r="AP1755">
        <v>2800</v>
      </c>
      <c r="AQ1755" t="s">
        <v>129</v>
      </c>
      <c r="AR1755">
        <v>84</v>
      </c>
      <c r="AS1755">
        <v>-81</v>
      </c>
      <c r="AT1755">
        <v>448</v>
      </c>
      <c r="BB1755">
        <v>1200</v>
      </c>
      <c r="BC1755">
        <v>1</v>
      </c>
      <c r="BD1755" t="str">
        <f t="shared" si="610"/>
        <v xml:space="preserve">N887QR  </v>
      </c>
      <c r="BE1755">
        <v>1</v>
      </c>
      <c r="BG1755">
        <v>0</v>
      </c>
      <c r="BH1755">
        <v>0</v>
      </c>
      <c r="BI1755">
        <v>0</v>
      </c>
      <c r="BJ1755">
        <v>2600</v>
      </c>
      <c r="BK1755">
        <v>-200</v>
      </c>
      <c r="BL1755" t="s">
        <v>163</v>
      </c>
      <c r="BM1755">
        <v>1</v>
      </c>
      <c r="BN1755">
        <v>1</v>
      </c>
      <c r="BO1755">
        <v>1</v>
      </c>
      <c r="BP1755">
        <v>0</v>
      </c>
      <c r="BS1755">
        <v>0</v>
      </c>
      <c r="BT1755">
        <v>0</v>
      </c>
      <c r="BU1755">
        <v>0</v>
      </c>
      <c r="CE1755" t="str">
        <f t="shared" si="620"/>
        <v>19:30:10.296</v>
      </c>
      <c r="CF1755">
        <v>295835351</v>
      </c>
      <c r="CS1755">
        <v>0</v>
      </c>
      <c r="CT1755">
        <v>2</v>
      </c>
      <c r="CU1755">
        <v>0</v>
      </c>
      <c r="CV1755">
        <v>2</v>
      </c>
      <c r="CW1755">
        <v>0</v>
      </c>
      <c r="CX1755">
        <v>5</v>
      </c>
      <c r="CY1755">
        <v>7</v>
      </c>
      <c r="CZ1755" t="s">
        <v>131</v>
      </c>
      <c r="DA1755">
        <v>300</v>
      </c>
      <c r="DB1755">
        <v>0</v>
      </c>
      <c r="DC1755" t="s">
        <v>176</v>
      </c>
      <c r="DD1755" t="s">
        <v>177</v>
      </c>
      <c r="DG1755">
        <v>5394100</v>
      </c>
      <c r="DI1755">
        <v>1</v>
      </c>
      <c r="DJ1755">
        <v>0</v>
      </c>
      <c r="DK1755">
        <v>1</v>
      </c>
      <c r="DL1755">
        <v>0</v>
      </c>
      <c r="DM1755">
        <v>0</v>
      </c>
      <c r="DN1755">
        <v>1</v>
      </c>
      <c r="DO1755">
        <v>0</v>
      </c>
      <c r="DP1755">
        <v>0</v>
      </c>
      <c r="DQ1755">
        <v>0</v>
      </c>
      <c r="DR1755">
        <v>0</v>
      </c>
      <c r="DS1755">
        <v>0</v>
      </c>
    </row>
    <row r="1756" spans="1:123" x14ac:dyDescent="0.3">
      <c r="A1756" t="str">
        <f t="shared" si="618"/>
        <v>10/04/2022 19:30:10.573</v>
      </c>
      <c r="C1756" t="str">
        <f t="shared" si="604"/>
        <v>FFDFD3C0</v>
      </c>
      <c r="D1756" t="s">
        <v>141</v>
      </c>
      <c r="E1756">
        <v>4</v>
      </c>
      <c r="H1756">
        <v>4</v>
      </c>
      <c r="I1756" t="s">
        <v>142</v>
      </c>
      <c r="J1756" t="s">
        <v>138</v>
      </c>
      <c r="K1756">
        <v>0</v>
      </c>
      <c r="L1756">
        <v>3</v>
      </c>
      <c r="M1756">
        <v>0</v>
      </c>
      <c r="N1756">
        <v>2</v>
      </c>
      <c r="O1756">
        <v>0</v>
      </c>
      <c r="P1756">
        <v>1</v>
      </c>
      <c r="Q1756">
        <v>0</v>
      </c>
      <c r="S1756" t="str">
        <f t="shared" si="619"/>
        <v>19:30:10.000</v>
      </c>
      <c r="T1756" t="str">
        <f t="shared" si="619"/>
        <v>19:30:10.000</v>
      </c>
      <c r="U1756" t="str">
        <f t="shared" si="609"/>
        <v>AC3944</v>
      </c>
      <c r="V1756">
        <v>0</v>
      </c>
      <c r="W1756">
        <v>0</v>
      </c>
      <c r="X1756">
        <v>2</v>
      </c>
      <c r="Y1756">
        <v>0</v>
      </c>
      <c r="AA1756">
        <v>1</v>
      </c>
      <c r="AB1756">
        <v>8</v>
      </c>
      <c r="AC1756">
        <v>3</v>
      </c>
      <c r="AD1756">
        <v>0</v>
      </c>
      <c r="AE1756">
        <v>9</v>
      </c>
      <c r="AF1756" t="s">
        <v>138</v>
      </c>
      <c r="AG1756">
        <v>0</v>
      </c>
      <c r="AH1756">
        <v>3</v>
      </c>
      <c r="AI1756">
        <v>1</v>
      </c>
      <c r="AJ1756">
        <v>0</v>
      </c>
      <c r="AK1756" t="s">
        <v>636</v>
      </c>
      <c r="AL1756">
        <v>32.784984000000001</v>
      </c>
      <c r="AM1756" t="s">
        <v>637</v>
      </c>
      <c r="AN1756">
        <v>-116.86389</v>
      </c>
      <c r="AO1756">
        <v>25</v>
      </c>
      <c r="AP1756">
        <v>2800</v>
      </c>
      <c r="AQ1756" t="s">
        <v>129</v>
      </c>
      <c r="AR1756">
        <v>84</v>
      </c>
      <c r="AS1756">
        <v>-81</v>
      </c>
      <c r="AT1756">
        <v>448</v>
      </c>
      <c r="BB1756">
        <v>1200</v>
      </c>
      <c r="BC1756">
        <v>1</v>
      </c>
      <c r="BD1756" t="str">
        <f t="shared" si="610"/>
        <v xml:space="preserve">N887QR  </v>
      </c>
      <c r="BE1756">
        <v>1</v>
      </c>
      <c r="BG1756">
        <v>0</v>
      </c>
      <c r="BH1756">
        <v>0</v>
      </c>
      <c r="BI1756">
        <v>0</v>
      </c>
      <c r="BJ1756">
        <v>2600</v>
      </c>
      <c r="BK1756">
        <v>-200</v>
      </c>
      <c r="BL1756" t="s">
        <v>163</v>
      </c>
      <c r="BM1756">
        <v>1</v>
      </c>
      <c r="BN1756">
        <v>1</v>
      </c>
      <c r="BO1756">
        <v>1</v>
      </c>
      <c r="BP1756">
        <v>0</v>
      </c>
      <c r="BS1756">
        <v>0</v>
      </c>
      <c r="BT1756">
        <v>0</v>
      </c>
      <c r="BU1756">
        <v>0</v>
      </c>
      <c r="CE1756" t="str">
        <f t="shared" si="620"/>
        <v>19:30:10.296</v>
      </c>
      <c r="CF1756">
        <v>295835351</v>
      </c>
      <c r="CS1756">
        <v>0</v>
      </c>
      <c r="CT1756">
        <v>2</v>
      </c>
      <c r="CU1756">
        <v>0</v>
      </c>
      <c r="CV1756">
        <v>2</v>
      </c>
      <c r="CW1756">
        <v>0</v>
      </c>
      <c r="CX1756">
        <v>5</v>
      </c>
      <c r="CY1756">
        <v>7</v>
      </c>
      <c r="CZ1756" t="s">
        <v>131</v>
      </c>
      <c r="DA1756">
        <v>300</v>
      </c>
      <c r="DB1756">
        <v>0</v>
      </c>
      <c r="DC1756" t="s">
        <v>176</v>
      </c>
      <c r="DD1756" t="s">
        <v>177</v>
      </c>
      <c r="DG1756">
        <v>5394100</v>
      </c>
      <c r="DI1756">
        <v>1</v>
      </c>
      <c r="DJ1756">
        <v>0</v>
      </c>
      <c r="DK1756">
        <v>1</v>
      </c>
      <c r="DL1756">
        <v>0</v>
      </c>
      <c r="DM1756">
        <v>0</v>
      </c>
      <c r="DN1756">
        <v>1</v>
      </c>
      <c r="DO1756">
        <v>0</v>
      </c>
      <c r="DP1756">
        <v>0</v>
      </c>
      <c r="DQ1756">
        <v>0</v>
      </c>
      <c r="DR1756">
        <v>0</v>
      </c>
      <c r="DS1756">
        <v>0</v>
      </c>
    </row>
    <row r="1757" spans="1:123" x14ac:dyDescent="0.3">
      <c r="A1757" t="str">
        <f t="shared" si="618"/>
        <v>10/04/2022 19:30:10.573</v>
      </c>
      <c r="C1757" t="str">
        <f t="shared" si="604"/>
        <v>FFDFD3C0</v>
      </c>
      <c r="D1757" t="s">
        <v>136</v>
      </c>
      <c r="E1757">
        <v>8</v>
      </c>
      <c r="H1757">
        <v>225</v>
      </c>
      <c r="I1757" t="s">
        <v>137</v>
      </c>
      <c r="J1757" t="s">
        <v>138</v>
      </c>
      <c r="K1757">
        <v>0</v>
      </c>
      <c r="L1757">
        <v>3</v>
      </c>
      <c r="M1757">
        <v>0</v>
      </c>
      <c r="N1757">
        <v>2</v>
      </c>
      <c r="O1757">
        <v>0</v>
      </c>
      <c r="P1757">
        <v>1</v>
      </c>
      <c r="Q1757">
        <v>0</v>
      </c>
      <c r="S1757" t="str">
        <f t="shared" si="619"/>
        <v>19:30:10.000</v>
      </c>
      <c r="T1757" t="str">
        <f t="shared" si="619"/>
        <v>19:30:10.000</v>
      </c>
      <c r="U1757" t="str">
        <f t="shared" si="609"/>
        <v>AC3944</v>
      </c>
      <c r="V1757">
        <v>0</v>
      </c>
      <c r="W1757">
        <v>0</v>
      </c>
      <c r="X1757">
        <v>2</v>
      </c>
      <c r="Y1757">
        <v>0</v>
      </c>
      <c r="AA1757">
        <v>1</v>
      </c>
      <c r="AB1757">
        <v>8</v>
      </c>
      <c r="AC1757">
        <v>3</v>
      </c>
      <c r="AD1757">
        <v>0</v>
      </c>
      <c r="AE1757">
        <v>9</v>
      </c>
      <c r="AF1757" t="s">
        <v>138</v>
      </c>
      <c r="AG1757">
        <v>0</v>
      </c>
      <c r="AH1757">
        <v>3</v>
      </c>
      <c r="AI1757">
        <v>1</v>
      </c>
      <c r="AJ1757">
        <v>0</v>
      </c>
      <c r="AK1757" t="s">
        <v>636</v>
      </c>
      <c r="AL1757">
        <v>32.784984000000001</v>
      </c>
      <c r="AM1757" t="s">
        <v>637</v>
      </c>
      <c r="AN1757">
        <v>-116.86389</v>
      </c>
      <c r="AO1757">
        <v>25</v>
      </c>
      <c r="AP1757">
        <v>2800</v>
      </c>
      <c r="AQ1757" t="s">
        <v>129</v>
      </c>
      <c r="AR1757">
        <v>84</v>
      </c>
      <c r="AS1757">
        <v>-81</v>
      </c>
      <c r="AT1757">
        <v>448</v>
      </c>
      <c r="BB1757">
        <v>1200</v>
      </c>
      <c r="BC1757">
        <v>1</v>
      </c>
      <c r="BD1757" t="str">
        <f t="shared" si="610"/>
        <v xml:space="preserve">N887QR  </v>
      </c>
      <c r="BE1757">
        <v>1</v>
      </c>
      <c r="BG1757">
        <v>0</v>
      </c>
      <c r="BH1757">
        <v>0</v>
      </c>
      <c r="BI1757">
        <v>0</v>
      </c>
      <c r="BJ1757">
        <v>2600</v>
      </c>
      <c r="BK1757">
        <v>-200</v>
      </c>
      <c r="BL1757" t="s">
        <v>163</v>
      </c>
      <c r="BM1757">
        <v>1</v>
      </c>
      <c r="BN1757">
        <v>1</v>
      </c>
      <c r="BO1757">
        <v>1</v>
      </c>
      <c r="BP1757">
        <v>0</v>
      </c>
      <c r="BS1757">
        <v>0</v>
      </c>
      <c r="BT1757">
        <v>0</v>
      </c>
      <c r="BU1757">
        <v>0</v>
      </c>
      <c r="CE1757" t="str">
        <f t="shared" si="620"/>
        <v>19:30:10.296</v>
      </c>
      <c r="CF1757">
        <v>295835351</v>
      </c>
      <c r="CS1757">
        <v>0</v>
      </c>
      <c r="CT1757">
        <v>2</v>
      </c>
      <c r="CU1757">
        <v>0</v>
      </c>
      <c r="CV1757">
        <v>2</v>
      </c>
      <c r="CW1757">
        <v>0</v>
      </c>
      <c r="CX1757">
        <v>5</v>
      </c>
      <c r="CY1757">
        <v>7</v>
      </c>
      <c r="CZ1757" t="s">
        <v>131</v>
      </c>
      <c r="DA1757">
        <v>300</v>
      </c>
      <c r="DB1757">
        <v>0</v>
      </c>
      <c r="DC1757" t="s">
        <v>176</v>
      </c>
      <c r="DD1757" t="s">
        <v>177</v>
      </c>
      <c r="DG1757">
        <v>5394100</v>
      </c>
      <c r="DI1757">
        <v>1</v>
      </c>
      <c r="DJ1757">
        <v>0</v>
      </c>
      <c r="DK1757">
        <v>1</v>
      </c>
      <c r="DL1757">
        <v>0</v>
      </c>
      <c r="DM1757">
        <v>0</v>
      </c>
      <c r="DN1757">
        <v>1</v>
      </c>
      <c r="DO1757">
        <v>0</v>
      </c>
      <c r="DP1757">
        <v>0</v>
      </c>
      <c r="DQ1757">
        <v>0</v>
      </c>
      <c r="DR1757">
        <v>0</v>
      </c>
      <c r="DS1757">
        <v>0</v>
      </c>
    </row>
    <row r="1758" spans="1:123" x14ac:dyDescent="0.3">
      <c r="A1758" t="str">
        <f t="shared" si="618"/>
        <v>10/04/2022 19:30:10.573</v>
      </c>
      <c r="C1758" t="str">
        <f t="shared" si="604"/>
        <v>FFDFD3C0</v>
      </c>
      <c r="D1758" t="s">
        <v>134</v>
      </c>
      <c r="E1758">
        <v>15</v>
      </c>
      <c r="J1758" t="s">
        <v>135</v>
      </c>
      <c r="K1758">
        <v>0</v>
      </c>
      <c r="L1758">
        <v>3</v>
      </c>
      <c r="M1758">
        <v>0</v>
      </c>
      <c r="N1758">
        <v>2</v>
      </c>
      <c r="O1758">
        <v>0</v>
      </c>
      <c r="P1758">
        <v>1</v>
      </c>
      <c r="Q1758">
        <v>0</v>
      </c>
      <c r="S1758" t="str">
        <f t="shared" si="619"/>
        <v>19:30:10.000</v>
      </c>
      <c r="T1758" t="str">
        <f t="shared" si="619"/>
        <v>19:30:10.000</v>
      </c>
      <c r="U1758" t="str">
        <f t="shared" si="609"/>
        <v>AC3944</v>
      </c>
      <c r="V1758">
        <v>0</v>
      </c>
      <c r="W1758">
        <v>0</v>
      </c>
      <c r="X1758">
        <v>2</v>
      </c>
      <c r="Y1758">
        <v>0</v>
      </c>
      <c r="AA1758">
        <v>1</v>
      </c>
      <c r="AB1758">
        <v>8</v>
      </c>
      <c r="AC1758">
        <v>3</v>
      </c>
      <c r="AD1758">
        <v>0</v>
      </c>
      <c r="AE1758">
        <v>9</v>
      </c>
      <c r="AF1758" t="s">
        <v>138</v>
      </c>
      <c r="AG1758">
        <v>0</v>
      </c>
      <c r="AH1758">
        <v>3</v>
      </c>
      <c r="AI1758">
        <v>1</v>
      </c>
      <c r="AJ1758">
        <v>0</v>
      </c>
      <c r="AK1758" t="s">
        <v>636</v>
      </c>
      <c r="AL1758">
        <v>32.784984000000001</v>
      </c>
      <c r="AM1758" t="s">
        <v>637</v>
      </c>
      <c r="AN1758">
        <v>-116.86389</v>
      </c>
      <c r="AO1758">
        <v>25</v>
      </c>
      <c r="AP1758">
        <v>2800</v>
      </c>
      <c r="AQ1758" t="s">
        <v>129</v>
      </c>
      <c r="AR1758">
        <v>84</v>
      </c>
      <c r="AS1758">
        <v>-81</v>
      </c>
      <c r="AT1758">
        <v>448</v>
      </c>
      <c r="BB1758">
        <v>1200</v>
      </c>
      <c r="BC1758">
        <v>1</v>
      </c>
      <c r="BD1758" t="str">
        <f t="shared" si="610"/>
        <v xml:space="preserve">N887QR  </v>
      </c>
      <c r="BE1758">
        <v>1</v>
      </c>
      <c r="BG1758">
        <v>0</v>
      </c>
      <c r="BH1758">
        <v>0</v>
      </c>
      <c r="BI1758">
        <v>0</v>
      </c>
      <c r="BJ1758">
        <v>2600</v>
      </c>
      <c r="BK1758">
        <v>-200</v>
      </c>
      <c r="BL1758" t="s">
        <v>163</v>
      </c>
      <c r="BM1758">
        <v>1</v>
      </c>
      <c r="BN1758">
        <v>1</v>
      </c>
      <c r="BO1758">
        <v>1</v>
      </c>
      <c r="BP1758">
        <v>0</v>
      </c>
      <c r="BS1758">
        <v>0</v>
      </c>
      <c r="BT1758">
        <v>0</v>
      </c>
      <c r="BU1758">
        <v>0</v>
      </c>
      <c r="CE1758" t="str">
        <f t="shared" si="620"/>
        <v>19:30:10.296</v>
      </c>
      <c r="CF1758">
        <v>295835351</v>
      </c>
      <c r="CS1758">
        <v>0</v>
      </c>
      <c r="CT1758">
        <v>2</v>
      </c>
      <c r="CU1758">
        <v>0</v>
      </c>
      <c r="CV1758">
        <v>2</v>
      </c>
      <c r="CW1758">
        <v>0</v>
      </c>
      <c r="CX1758">
        <v>5</v>
      </c>
      <c r="CY1758">
        <v>7</v>
      </c>
      <c r="CZ1758" t="s">
        <v>131</v>
      </c>
      <c r="DA1758">
        <v>300</v>
      </c>
      <c r="DB1758">
        <v>0</v>
      </c>
      <c r="DC1758" t="s">
        <v>176</v>
      </c>
      <c r="DD1758" t="s">
        <v>177</v>
      </c>
      <c r="DG1758">
        <v>5394100</v>
      </c>
      <c r="DI1758">
        <v>1</v>
      </c>
      <c r="DJ1758">
        <v>0</v>
      </c>
      <c r="DK1758">
        <v>1</v>
      </c>
      <c r="DL1758">
        <v>0</v>
      </c>
      <c r="DM1758">
        <v>0</v>
      </c>
      <c r="DN1758">
        <v>1</v>
      </c>
      <c r="DO1758">
        <v>0</v>
      </c>
      <c r="DP1758">
        <v>0</v>
      </c>
      <c r="DQ1758">
        <v>0</v>
      </c>
      <c r="DR1758">
        <v>0</v>
      </c>
      <c r="DS1758">
        <v>0</v>
      </c>
    </row>
    <row r="1759" spans="1:123" x14ac:dyDescent="0.3">
      <c r="A1759" t="str">
        <f>"10/04/2022 19:30:11.697"</f>
        <v>10/04/2022 19:30:11.697</v>
      </c>
      <c r="C1759" t="str">
        <f t="shared" si="604"/>
        <v>FFDFD3C0</v>
      </c>
      <c r="D1759" t="s">
        <v>123</v>
      </c>
      <c r="E1759">
        <v>7</v>
      </c>
      <c r="F1759">
        <v>2007</v>
      </c>
      <c r="G1759" t="s">
        <v>124</v>
      </c>
      <c r="J1759" t="s">
        <v>125</v>
      </c>
      <c r="K1759">
        <v>0</v>
      </c>
      <c r="L1759">
        <v>3</v>
      </c>
      <c r="M1759">
        <v>0</v>
      </c>
      <c r="N1759">
        <v>2</v>
      </c>
      <c r="O1759">
        <v>0</v>
      </c>
      <c r="P1759">
        <v>1</v>
      </c>
      <c r="Q1759">
        <v>0</v>
      </c>
      <c r="S1759" t="str">
        <f t="shared" ref="S1759:T1772" si="621">"19:30:11.000"</f>
        <v>19:30:11.000</v>
      </c>
      <c r="T1759" t="str">
        <f t="shared" si="621"/>
        <v>19:30:11.000</v>
      </c>
      <c r="U1759" t="str">
        <f t="shared" si="609"/>
        <v>AC3944</v>
      </c>
      <c r="V1759">
        <v>0</v>
      </c>
      <c r="W1759">
        <v>0</v>
      </c>
      <c r="X1759">
        <v>2</v>
      </c>
      <c r="Y1759">
        <v>0</v>
      </c>
      <c r="AA1759">
        <v>1</v>
      </c>
      <c r="AB1759">
        <v>8</v>
      </c>
      <c r="AC1759">
        <v>3</v>
      </c>
      <c r="AD1759">
        <v>0</v>
      </c>
      <c r="AE1759">
        <v>9</v>
      </c>
      <c r="AF1759" t="s">
        <v>138</v>
      </c>
      <c r="AG1759">
        <v>0</v>
      </c>
      <c r="AH1759">
        <v>3</v>
      </c>
      <c r="AI1759">
        <v>1</v>
      </c>
      <c r="AJ1759">
        <v>0</v>
      </c>
      <c r="AK1759" t="s">
        <v>638</v>
      </c>
      <c r="AL1759">
        <v>32.784534000000001</v>
      </c>
      <c r="AM1759" t="s">
        <v>639</v>
      </c>
      <c r="AN1759">
        <v>-116.863332</v>
      </c>
      <c r="AO1759">
        <v>25</v>
      </c>
      <c r="AP1759">
        <v>2800</v>
      </c>
      <c r="AQ1759" t="s">
        <v>129</v>
      </c>
      <c r="AR1759">
        <v>84</v>
      </c>
      <c r="AS1759">
        <v>-81</v>
      </c>
      <c r="AT1759">
        <v>448</v>
      </c>
      <c r="BB1759">
        <v>1200</v>
      </c>
      <c r="BC1759">
        <v>1</v>
      </c>
      <c r="BD1759" t="str">
        <f t="shared" si="610"/>
        <v xml:space="preserve">N887QR  </v>
      </c>
      <c r="BE1759">
        <v>1</v>
      </c>
      <c r="BG1759">
        <v>0</v>
      </c>
      <c r="BH1759">
        <v>0</v>
      </c>
      <c r="BI1759">
        <v>0</v>
      </c>
      <c r="BJ1759">
        <v>2600</v>
      </c>
      <c r="BK1759">
        <v>-200</v>
      </c>
      <c r="BL1759" t="s">
        <v>163</v>
      </c>
      <c r="BM1759">
        <v>1</v>
      </c>
      <c r="BN1759">
        <v>1</v>
      </c>
      <c r="BO1759">
        <v>1</v>
      </c>
      <c r="BP1759">
        <v>0</v>
      </c>
      <c r="BS1759">
        <v>0</v>
      </c>
      <c r="BT1759">
        <v>0</v>
      </c>
      <c r="BU1759">
        <v>0</v>
      </c>
      <c r="CE1759" t="str">
        <f t="shared" ref="CE1759:CE1765" si="622">"19:30:11.511"</f>
        <v>19:30:11.511</v>
      </c>
      <c r="CF1759">
        <v>511339410</v>
      </c>
      <c r="CS1759">
        <v>0</v>
      </c>
      <c r="CT1759">
        <v>2</v>
      </c>
      <c r="CU1759">
        <v>0</v>
      </c>
      <c r="CV1759">
        <v>2</v>
      </c>
      <c r="CW1759">
        <v>3</v>
      </c>
      <c r="CX1759">
        <v>5</v>
      </c>
      <c r="CY1759">
        <v>7</v>
      </c>
      <c r="CZ1759" t="s">
        <v>131</v>
      </c>
      <c r="DA1759">
        <v>300</v>
      </c>
      <c r="DB1759">
        <v>0</v>
      </c>
      <c r="DC1759" t="s">
        <v>176</v>
      </c>
      <c r="DD1759" t="s">
        <v>177</v>
      </c>
      <c r="DG1759">
        <v>5394286</v>
      </c>
      <c r="DI1759">
        <v>1</v>
      </c>
      <c r="DJ1759">
        <v>0</v>
      </c>
      <c r="DK1759">
        <v>0</v>
      </c>
      <c r="DL1759">
        <v>0</v>
      </c>
      <c r="DM1759">
        <v>0</v>
      </c>
      <c r="DN1759">
        <v>1</v>
      </c>
      <c r="DO1759">
        <v>0</v>
      </c>
      <c r="DP1759">
        <v>0</v>
      </c>
      <c r="DQ1759">
        <v>0</v>
      </c>
      <c r="DR1759">
        <v>0</v>
      </c>
      <c r="DS1759">
        <v>0</v>
      </c>
    </row>
    <row r="1760" spans="1:123" x14ac:dyDescent="0.3">
      <c r="A1760" t="str">
        <f>"10/04/2022 19:30:11.697"</f>
        <v>10/04/2022 19:30:11.697</v>
      </c>
      <c r="C1760" t="str">
        <f t="shared" si="604"/>
        <v>FFDFD3C0</v>
      </c>
      <c r="D1760" t="s">
        <v>147</v>
      </c>
      <c r="E1760">
        <v>3</v>
      </c>
      <c r="H1760">
        <v>166</v>
      </c>
      <c r="I1760" t="s">
        <v>144</v>
      </c>
      <c r="J1760" t="s">
        <v>148</v>
      </c>
      <c r="K1760">
        <v>0</v>
      </c>
      <c r="L1760">
        <v>3</v>
      </c>
      <c r="M1760">
        <v>0</v>
      </c>
      <c r="N1760">
        <v>2</v>
      </c>
      <c r="O1760">
        <v>0</v>
      </c>
      <c r="P1760">
        <v>1</v>
      </c>
      <c r="Q1760">
        <v>0</v>
      </c>
      <c r="S1760" t="str">
        <f t="shared" si="621"/>
        <v>19:30:11.000</v>
      </c>
      <c r="T1760" t="str">
        <f t="shared" si="621"/>
        <v>19:30:11.000</v>
      </c>
      <c r="U1760" t="str">
        <f t="shared" si="609"/>
        <v>AC3944</v>
      </c>
      <c r="V1760">
        <v>0</v>
      </c>
      <c r="W1760">
        <v>0</v>
      </c>
      <c r="X1760">
        <v>2</v>
      </c>
      <c r="Y1760">
        <v>0</v>
      </c>
      <c r="AA1760">
        <v>1</v>
      </c>
      <c r="AB1760">
        <v>8</v>
      </c>
      <c r="AC1760">
        <v>3</v>
      </c>
      <c r="AD1760">
        <v>0</v>
      </c>
      <c r="AE1760">
        <v>9</v>
      </c>
      <c r="AF1760" t="s">
        <v>138</v>
      </c>
      <c r="AG1760">
        <v>0</v>
      </c>
      <c r="AH1760">
        <v>3</v>
      </c>
      <c r="AI1760">
        <v>1</v>
      </c>
      <c r="AJ1760">
        <v>0</v>
      </c>
      <c r="AK1760" t="s">
        <v>638</v>
      </c>
      <c r="AL1760">
        <v>32.784534000000001</v>
      </c>
      <c r="AM1760" t="s">
        <v>639</v>
      </c>
      <c r="AN1760">
        <v>-116.863332</v>
      </c>
      <c r="AO1760">
        <v>25</v>
      </c>
      <c r="AP1760">
        <v>2800</v>
      </c>
      <c r="AQ1760" t="s">
        <v>129</v>
      </c>
      <c r="AR1760">
        <v>84</v>
      </c>
      <c r="AS1760">
        <v>-81</v>
      </c>
      <c r="AT1760">
        <v>448</v>
      </c>
      <c r="BB1760">
        <v>1200</v>
      </c>
      <c r="BC1760">
        <v>1</v>
      </c>
      <c r="BD1760" t="str">
        <f t="shared" si="610"/>
        <v xml:space="preserve">N887QR  </v>
      </c>
      <c r="BE1760">
        <v>1</v>
      </c>
      <c r="BG1760">
        <v>0</v>
      </c>
      <c r="BH1760">
        <v>0</v>
      </c>
      <c r="BI1760">
        <v>0</v>
      </c>
      <c r="BJ1760">
        <v>2600</v>
      </c>
      <c r="BK1760">
        <v>-200</v>
      </c>
      <c r="BL1760" t="s">
        <v>163</v>
      </c>
      <c r="BM1760">
        <v>1</v>
      </c>
      <c r="BN1760">
        <v>1</v>
      </c>
      <c r="BO1760">
        <v>1</v>
      </c>
      <c r="BP1760">
        <v>0</v>
      </c>
      <c r="BS1760">
        <v>0</v>
      </c>
      <c r="BT1760">
        <v>0</v>
      </c>
      <c r="BU1760">
        <v>0</v>
      </c>
      <c r="CE1760" t="str">
        <f t="shared" si="622"/>
        <v>19:30:11.511</v>
      </c>
      <c r="CF1760">
        <v>511339410</v>
      </c>
      <c r="CS1760">
        <v>0</v>
      </c>
      <c r="CT1760">
        <v>2</v>
      </c>
      <c r="CU1760">
        <v>0</v>
      </c>
      <c r="CV1760">
        <v>2</v>
      </c>
      <c r="CW1760">
        <v>3</v>
      </c>
      <c r="CX1760">
        <v>5</v>
      </c>
      <c r="CY1760">
        <v>7</v>
      </c>
      <c r="CZ1760" t="s">
        <v>131</v>
      </c>
      <c r="DA1760">
        <v>300</v>
      </c>
      <c r="DB1760">
        <v>0</v>
      </c>
      <c r="DC1760" t="s">
        <v>176</v>
      </c>
      <c r="DD1760" t="s">
        <v>177</v>
      </c>
      <c r="DG1760">
        <v>5394286</v>
      </c>
      <c r="DI1760">
        <v>1</v>
      </c>
      <c r="DJ1760">
        <v>0</v>
      </c>
      <c r="DK1760">
        <v>1</v>
      </c>
      <c r="DL1760">
        <v>0</v>
      </c>
      <c r="DM1760">
        <v>0</v>
      </c>
      <c r="DN1760">
        <v>1</v>
      </c>
      <c r="DO1760">
        <v>0</v>
      </c>
      <c r="DP1760">
        <v>0</v>
      </c>
      <c r="DQ1760">
        <v>0</v>
      </c>
      <c r="DR1760">
        <v>0</v>
      </c>
      <c r="DS1760">
        <v>0</v>
      </c>
    </row>
    <row r="1761" spans="1:123" x14ac:dyDescent="0.3">
      <c r="A1761" t="str">
        <f>"10/04/2022 19:30:11.697"</f>
        <v>10/04/2022 19:30:11.697</v>
      </c>
      <c r="C1761" t="str">
        <f t="shared" si="604"/>
        <v>FFDFD3C0</v>
      </c>
      <c r="D1761" t="s">
        <v>141</v>
      </c>
      <c r="E1761">
        <v>3</v>
      </c>
      <c r="H1761">
        <v>3</v>
      </c>
      <c r="I1761" t="s">
        <v>146</v>
      </c>
      <c r="J1761" t="s">
        <v>138</v>
      </c>
      <c r="K1761">
        <v>0</v>
      </c>
      <c r="L1761">
        <v>3</v>
      </c>
      <c r="M1761">
        <v>0</v>
      </c>
      <c r="N1761">
        <v>2</v>
      </c>
      <c r="O1761">
        <v>0</v>
      </c>
      <c r="P1761">
        <v>1</v>
      </c>
      <c r="Q1761">
        <v>0</v>
      </c>
      <c r="S1761" t="str">
        <f t="shared" si="621"/>
        <v>19:30:11.000</v>
      </c>
      <c r="T1761" t="str">
        <f t="shared" si="621"/>
        <v>19:30:11.000</v>
      </c>
      <c r="U1761" t="str">
        <f t="shared" si="609"/>
        <v>AC3944</v>
      </c>
      <c r="V1761">
        <v>0</v>
      </c>
      <c r="W1761">
        <v>0</v>
      </c>
      <c r="X1761">
        <v>2</v>
      </c>
      <c r="Y1761">
        <v>0</v>
      </c>
      <c r="AA1761">
        <v>1</v>
      </c>
      <c r="AB1761">
        <v>8</v>
      </c>
      <c r="AC1761">
        <v>3</v>
      </c>
      <c r="AD1761">
        <v>0</v>
      </c>
      <c r="AE1761">
        <v>9</v>
      </c>
      <c r="AF1761" t="s">
        <v>138</v>
      </c>
      <c r="AG1761">
        <v>0</v>
      </c>
      <c r="AH1761">
        <v>3</v>
      </c>
      <c r="AI1761">
        <v>1</v>
      </c>
      <c r="AJ1761">
        <v>0</v>
      </c>
      <c r="AK1761" t="s">
        <v>638</v>
      </c>
      <c r="AL1761">
        <v>32.784534000000001</v>
      </c>
      <c r="AM1761" t="s">
        <v>639</v>
      </c>
      <c r="AN1761">
        <v>-116.863332</v>
      </c>
      <c r="AO1761">
        <v>25</v>
      </c>
      <c r="AP1761">
        <v>2800</v>
      </c>
      <c r="AQ1761" t="s">
        <v>129</v>
      </c>
      <c r="AR1761">
        <v>84</v>
      </c>
      <c r="AS1761">
        <v>-81</v>
      </c>
      <c r="AT1761">
        <v>448</v>
      </c>
      <c r="BB1761">
        <v>1200</v>
      </c>
      <c r="BC1761">
        <v>1</v>
      </c>
      <c r="BD1761" t="str">
        <f t="shared" si="610"/>
        <v xml:space="preserve">N887QR  </v>
      </c>
      <c r="BE1761">
        <v>1</v>
      </c>
      <c r="BG1761">
        <v>0</v>
      </c>
      <c r="BH1761">
        <v>0</v>
      </c>
      <c r="BI1761">
        <v>0</v>
      </c>
      <c r="BJ1761">
        <v>2600</v>
      </c>
      <c r="BK1761">
        <v>-200</v>
      </c>
      <c r="BL1761" t="s">
        <v>163</v>
      </c>
      <c r="BM1761">
        <v>1</v>
      </c>
      <c r="BN1761">
        <v>1</v>
      </c>
      <c r="BO1761">
        <v>1</v>
      </c>
      <c r="BP1761">
        <v>0</v>
      </c>
      <c r="BS1761">
        <v>0</v>
      </c>
      <c r="BT1761">
        <v>0</v>
      </c>
      <c r="BU1761">
        <v>0</v>
      </c>
      <c r="CE1761" t="str">
        <f t="shared" si="622"/>
        <v>19:30:11.511</v>
      </c>
      <c r="CF1761">
        <v>511339410</v>
      </c>
      <c r="CS1761">
        <v>0</v>
      </c>
      <c r="CT1761">
        <v>2</v>
      </c>
      <c r="CU1761">
        <v>0</v>
      </c>
      <c r="CV1761">
        <v>2</v>
      </c>
      <c r="CW1761">
        <v>3</v>
      </c>
      <c r="CX1761">
        <v>5</v>
      </c>
      <c r="CY1761">
        <v>7</v>
      </c>
      <c r="CZ1761" t="s">
        <v>131</v>
      </c>
      <c r="DA1761">
        <v>300</v>
      </c>
      <c r="DB1761">
        <v>0</v>
      </c>
      <c r="DC1761" t="s">
        <v>176</v>
      </c>
      <c r="DD1761" t="s">
        <v>177</v>
      </c>
      <c r="DG1761">
        <v>5394286</v>
      </c>
      <c r="DI1761">
        <v>1</v>
      </c>
      <c r="DJ1761">
        <v>0</v>
      </c>
      <c r="DK1761">
        <v>1</v>
      </c>
      <c r="DL1761">
        <v>0</v>
      </c>
      <c r="DM1761">
        <v>0</v>
      </c>
      <c r="DN1761">
        <v>1</v>
      </c>
      <c r="DO1761">
        <v>0</v>
      </c>
      <c r="DP1761">
        <v>0</v>
      </c>
      <c r="DQ1761">
        <v>0</v>
      </c>
      <c r="DR1761">
        <v>0</v>
      </c>
      <c r="DS1761">
        <v>0</v>
      </c>
    </row>
    <row r="1762" spans="1:123" x14ac:dyDescent="0.3">
      <c r="A1762" t="str">
        <f>"10/04/2022 19:30:11.713"</f>
        <v>10/04/2022 19:30:11.713</v>
      </c>
      <c r="C1762" t="str">
        <f t="shared" si="604"/>
        <v>FFDFD3C0</v>
      </c>
      <c r="D1762" t="s">
        <v>141</v>
      </c>
      <c r="E1762">
        <v>4</v>
      </c>
      <c r="H1762">
        <v>4</v>
      </c>
      <c r="I1762" t="s">
        <v>142</v>
      </c>
      <c r="J1762" t="s">
        <v>138</v>
      </c>
      <c r="K1762">
        <v>0</v>
      </c>
      <c r="L1762">
        <v>3</v>
      </c>
      <c r="M1762">
        <v>0</v>
      </c>
      <c r="N1762">
        <v>2</v>
      </c>
      <c r="O1762">
        <v>0</v>
      </c>
      <c r="P1762">
        <v>1</v>
      </c>
      <c r="Q1762">
        <v>0</v>
      </c>
      <c r="S1762" t="str">
        <f t="shared" si="621"/>
        <v>19:30:11.000</v>
      </c>
      <c r="T1762" t="str">
        <f t="shared" si="621"/>
        <v>19:30:11.000</v>
      </c>
      <c r="U1762" t="str">
        <f t="shared" si="609"/>
        <v>AC3944</v>
      </c>
      <c r="V1762">
        <v>0</v>
      </c>
      <c r="W1762">
        <v>0</v>
      </c>
      <c r="X1762">
        <v>2</v>
      </c>
      <c r="Y1762">
        <v>0</v>
      </c>
      <c r="AA1762">
        <v>1</v>
      </c>
      <c r="AB1762">
        <v>8</v>
      </c>
      <c r="AC1762">
        <v>3</v>
      </c>
      <c r="AD1762">
        <v>0</v>
      </c>
      <c r="AE1762">
        <v>9</v>
      </c>
      <c r="AF1762" t="s">
        <v>138</v>
      </c>
      <c r="AG1762">
        <v>0</v>
      </c>
      <c r="AH1762">
        <v>3</v>
      </c>
      <c r="AI1762">
        <v>1</v>
      </c>
      <c r="AJ1762">
        <v>0</v>
      </c>
      <c r="AK1762" t="s">
        <v>638</v>
      </c>
      <c r="AL1762">
        <v>32.784534000000001</v>
      </c>
      <c r="AM1762" t="s">
        <v>639</v>
      </c>
      <c r="AN1762">
        <v>-116.863332</v>
      </c>
      <c r="AO1762">
        <v>25</v>
      </c>
      <c r="AP1762">
        <v>2800</v>
      </c>
      <c r="AQ1762" t="s">
        <v>129</v>
      </c>
      <c r="AR1762">
        <v>84</v>
      </c>
      <c r="AS1762">
        <v>-81</v>
      </c>
      <c r="AT1762">
        <v>448</v>
      </c>
      <c r="BB1762">
        <v>1200</v>
      </c>
      <c r="BC1762">
        <v>1</v>
      </c>
      <c r="BD1762" t="str">
        <f t="shared" si="610"/>
        <v xml:space="preserve">N887QR  </v>
      </c>
      <c r="BE1762">
        <v>1</v>
      </c>
      <c r="BG1762">
        <v>0</v>
      </c>
      <c r="BH1762">
        <v>0</v>
      </c>
      <c r="BI1762">
        <v>0</v>
      </c>
      <c r="BJ1762">
        <v>2600</v>
      </c>
      <c r="BK1762">
        <v>-200</v>
      </c>
      <c r="BL1762" t="s">
        <v>163</v>
      </c>
      <c r="BM1762">
        <v>1</v>
      </c>
      <c r="BN1762">
        <v>1</v>
      </c>
      <c r="BO1762">
        <v>1</v>
      </c>
      <c r="BP1762">
        <v>0</v>
      </c>
      <c r="BS1762">
        <v>0</v>
      </c>
      <c r="BT1762">
        <v>0</v>
      </c>
      <c r="BU1762">
        <v>0</v>
      </c>
      <c r="CE1762" t="str">
        <f t="shared" si="622"/>
        <v>19:30:11.511</v>
      </c>
      <c r="CF1762">
        <v>511339410</v>
      </c>
      <c r="CS1762">
        <v>0</v>
      </c>
      <c r="CT1762">
        <v>2</v>
      </c>
      <c r="CU1762">
        <v>0</v>
      </c>
      <c r="CV1762">
        <v>2</v>
      </c>
      <c r="CW1762">
        <v>3</v>
      </c>
      <c r="CX1762">
        <v>5</v>
      </c>
      <c r="CY1762">
        <v>7</v>
      </c>
      <c r="CZ1762" t="s">
        <v>131</v>
      </c>
      <c r="DA1762">
        <v>300</v>
      </c>
      <c r="DB1762">
        <v>0</v>
      </c>
      <c r="DC1762" t="s">
        <v>176</v>
      </c>
      <c r="DD1762" t="s">
        <v>177</v>
      </c>
      <c r="DG1762">
        <v>5394286</v>
      </c>
      <c r="DI1762">
        <v>1</v>
      </c>
      <c r="DJ1762">
        <v>0</v>
      </c>
      <c r="DK1762">
        <v>1</v>
      </c>
      <c r="DL1762">
        <v>0</v>
      </c>
      <c r="DM1762">
        <v>0</v>
      </c>
      <c r="DN1762">
        <v>1</v>
      </c>
      <c r="DO1762">
        <v>0</v>
      </c>
      <c r="DP1762">
        <v>0</v>
      </c>
      <c r="DQ1762">
        <v>0</v>
      </c>
      <c r="DR1762">
        <v>0</v>
      </c>
      <c r="DS1762">
        <v>0</v>
      </c>
    </row>
    <row r="1763" spans="1:123" x14ac:dyDescent="0.3">
      <c r="A1763" t="str">
        <f>"10/04/2022 19:30:11.713"</f>
        <v>10/04/2022 19:30:11.713</v>
      </c>
      <c r="C1763" t="str">
        <f t="shared" si="604"/>
        <v>FFDFD3C0</v>
      </c>
      <c r="D1763" t="s">
        <v>136</v>
      </c>
      <c r="E1763">
        <v>8</v>
      </c>
      <c r="H1763">
        <v>225</v>
      </c>
      <c r="I1763" t="s">
        <v>137</v>
      </c>
      <c r="J1763" t="s">
        <v>138</v>
      </c>
      <c r="K1763">
        <v>0</v>
      </c>
      <c r="L1763">
        <v>3</v>
      </c>
      <c r="M1763">
        <v>0</v>
      </c>
      <c r="N1763">
        <v>2</v>
      </c>
      <c r="O1763">
        <v>0</v>
      </c>
      <c r="P1763">
        <v>1</v>
      </c>
      <c r="Q1763">
        <v>0</v>
      </c>
      <c r="S1763" t="str">
        <f t="shared" si="621"/>
        <v>19:30:11.000</v>
      </c>
      <c r="T1763" t="str">
        <f t="shared" si="621"/>
        <v>19:30:11.000</v>
      </c>
      <c r="U1763" t="str">
        <f t="shared" si="609"/>
        <v>AC3944</v>
      </c>
      <c r="V1763">
        <v>0</v>
      </c>
      <c r="W1763">
        <v>0</v>
      </c>
      <c r="X1763">
        <v>2</v>
      </c>
      <c r="Y1763">
        <v>0</v>
      </c>
      <c r="AA1763">
        <v>1</v>
      </c>
      <c r="AB1763">
        <v>8</v>
      </c>
      <c r="AC1763">
        <v>3</v>
      </c>
      <c r="AD1763">
        <v>0</v>
      </c>
      <c r="AE1763">
        <v>9</v>
      </c>
      <c r="AF1763" t="s">
        <v>138</v>
      </c>
      <c r="AG1763">
        <v>0</v>
      </c>
      <c r="AH1763">
        <v>3</v>
      </c>
      <c r="AI1763">
        <v>1</v>
      </c>
      <c r="AJ1763">
        <v>0</v>
      </c>
      <c r="AK1763" t="s">
        <v>638</v>
      </c>
      <c r="AL1763">
        <v>32.784534000000001</v>
      </c>
      <c r="AM1763" t="s">
        <v>639</v>
      </c>
      <c r="AN1763">
        <v>-116.863332</v>
      </c>
      <c r="AO1763">
        <v>25</v>
      </c>
      <c r="AP1763">
        <v>2800</v>
      </c>
      <c r="AQ1763" t="s">
        <v>129</v>
      </c>
      <c r="AR1763">
        <v>84</v>
      </c>
      <c r="AS1763">
        <v>-81</v>
      </c>
      <c r="AT1763">
        <v>448</v>
      </c>
      <c r="BB1763">
        <v>1200</v>
      </c>
      <c r="BC1763">
        <v>1</v>
      </c>
      <c r="BD1763" t="str">
        <f t="shared" si="610"/>
        <v xml:space="preserve">N887QR  </v>
      </c>
      <c r="BE1763">
        <v>1</v>
      </c>
      <c r="BG1763">
        <v>0</v>
      </c>
      <c r="BH1763">
        <v>0</v>
      </c>
      <c r="BI1763">
        <v>0</v>
      </c>
      <c r="BJ1763">
        <v>2600</v>
      </c>
      <c r="BK1763">
        <v>-200</v>
      </c>
      <c r="BL1763" t="s">
        <v>163</v>
      </c>
      <c r="BM1763">
        <v>1</v>
      </c>
      <c r="BN1763">
        <v>1</v>
      </c>
      <c r="BO1763">
        <v>1</v>
      </c>
      <c r="BP1763">
        <v>0</v>
      </c>
      <c r="BS1763">
        <v>0</v>
      </c>
      <c r="BT1763">
        <v>0</v>
      </c>
      <c r="BU1763">
        <v>0</v>
      </c>
      <c r="CE1763" t="str">
        <f t="shared" si="622"/>
        <v>19:30:11.511</v>
      </c>
      <c r="CF1763">
        <v>511339410</v>
      </c>
      <c r="CS1763">
        <v>0</v>
      </c>
      <c r="CT1763">
        <v>2</v>
      </c>
      <c r="CU1763">
        <v>0</v>
      </c>
      <c r="CV1763">
        <v>2</v>
      </c>
      <c r="CW1763">
        <v>3</v>
      </c>
      <c r="CX1763">
        <v>5</v>
      </c>
      <c r="CY1763">
        <v>7</v>
      </c>
      <c r="CZ1763" t="s">
        <v>131</v>
      </c>
      <c r="DA1763">
        <v>300</v>
      </c>
      <c r="DB1763">
        <v>0</v>
      </c>
      <c r="DC1763" t="s">
        <v>176</v>
      </c>
      <c r="DD1763" t="s">
        <v>177</v>
      </c>
      <c r="DG1763">
        <v>5394286</v>
      </c>
      <c r="DI1763">
        <v>1</v>
      </c>
      <c r="DJ1763">
        <v>0</v>
      </c>
      <c r="DK1763">
        <v>1</v>
      </c>
      <c r="DL1763">
        <v>0</v>
      </c>
      <c r="DM1763">
        <v>0</v>
      </c>
      <c r="DN1763">
        <v>1</v>
      </c>
      <c r="DO1763">
        <v>0</v>
      </c>
      <c r="DP1763">
        <v>0</v>
      </c>
      <c r="DQ1763">
        <v>0</v>
      </c>
      <c r="DR1763">
        <v>0</v>
      </c>
      <c r="DS1763">
        <v>0</v>
      </c>
    </row>
    <row r="1764" spans="1:123" x14ac:dyDescent="0.3">
      <c r="A1764" t="str">
        <f>"10/04/2022 19:30:11.713"</f>
        <v>10/04/2022 19:30:11.713</v>
      </c>
      <c r="C1764" t="str">
        <f t="shared" si="604"/>
        <v>FFDFD3C0</v>
      </c>
      <c r="D1764" t="s">
        <v>134</v>
      </c>
      <c r="E1764">
        <v>15</v>
      </c>
      <c r="J1764" t="s">
        <v>135</v>
      </c>
      <c r="K1764">
        <v>0</v>
      </c>
      <c r="L1764">
        <v>3</v>
      </c>
      <c r="M1764">
        <v>0</v>
      </c>
      <c r="N1764">
        <v>2</v>
      </c>
      <c r="O1764">
        <v>0</v>
      </c>
      <c r="P1764">
        <v>1</v>
      </c>
      <c r="Q1764">
        <v>0</v>
      </c>
      <c r="S1764" t="str">
        <f t="shared" si="621"/>
        <v>19:30:11.000</v>
      </c>
      <c r="T1764" t="str">
        <f t="shared" si="621"/>
        <v>19:30:11.000</v>
      </c>
      <c r="U1764" t="str">
        <f t="shared" si="609"/>
        <v>AC3944</v>
      </c>
      <c r="V1764">
        <v>0</v>
      </c>
      <c r="W1764">
        <v>0</v>
      </c>
      <c r="X1764">
        <v>2</v>
      </c>
      <c r="Y1764">
        <v>0</v>
      </c>
      <c r="AA1764">
        <v>1</v>
      </c>
      <c r="AB1764">
        <v>8</v>
      </c>
      <c r="AC1764">
        <v>3</v>
      </c>
      <c r="AD1764">
        <v>0</v>
      </c>
      <c r="AE1764">
        <v>9</v>
      </c>
      <c r="AF1764" t="s">
        <v>138</v>
      </c>
      <c r="AG1764">
        <v>0</v>
      </c>
      <c r="AH1764">
        <v>3</v>
      </c>
      <c r="AI1764">
        <v>1</v>
      </c>
      <c r="AJ1764">
        <v>0</v>
      </c>
      <c r="AK1764" t="s">
        <v>638</v>
      </c>
      <c r="AL1764">
        <v>32.784534000000001</v>
      </c>
      <c r="AM1764" t="s">
        <v>639</v>
      </c>
      <c r="AN1764">
        <v>-116.863332</v>
      </c>
      <c r="AO1764">
        <v>25</v>
      </c>
      <c r="AP1764">
        <v>2800</v>
      </c>
      <c r="AQ1764" t="s">
        <v>129</v>
      </c>
      <c r="AR1764">
        <v>84</v>
      </c>
      <c r="AS1764">
        <v>-81</v>
      </c>
      <c r="AT1764">
        <v>448</v>
      </c>
      <c r="BB1764">
        <v>1200</v>
      </c>
      <c r="BC1764">
        <v>1</v>
      </c>
      <c r="BD1764" t="str">
        <f t="shared" si="610"/>
        <v xml:space="preserve">N887QR  </v>
      </c>
      <c r="BE1764">
        <v>1</v>
      </c>
      <c r="BG1764">
        <v>0</v>
      </c>
      <c r="BH1764">
        <v>0</v>
      </c>
      <c r="BI1764">
        <v>0</v>
      </c>
      <c r="BJ1764">
        <v>2600</v>
      </c>
      <c r="BK1764">
        <v>-200</v>
      </c>
      <c r="BL1764" t="s">
        <v>163</v>
      </c>
      <c r="BM1764">
        <v>1</v>
      </c>
      <c r="BN1764">
        <v>1</v>
      </c>
      <c r="BO1764">
        <v>1</v>
      </c>
      <c r="BP1764">
        <v>0</v>
      </c>
      <c r="BS1764">
        <v>0</v>
      </c>
      <c r="BT1764">
        <v>0</v>
      </c>
      <c r="BU1764">
        <v>0</v>
      </c>
      <c r="CE1764" t="str">
        <f t="shared" si="622"/>
        <v>19:30:11.511</v>
      </c>
      <c r="CF1764">
        <v>511339410</v>
      </c>
      <c r="CS1764">
        <v>0</v>
      </c>
      <c r="CT1764">
        <v>2</v>
      </c>
      <c r="CU1764">
        <v>0</v>
      </c>
      <c r="CV1764">
        <v>2</v>
      </c>
      <c r="CW1764">
        <v>3</v>
      </c>
      <c r="CX1764">
        <v>5</v>
      </c>
      <c r="CY1764">
        <v>7</v>
      </c>
      <c r="CZ1764" t="s">
        <v>131</v>
      </c>
      <c r="DA1764">
        <v>300</v>
      </c>
      <c r="DB1764">
        <v>0</v>
      </c>
      <c r="DC1764" t="s">
        <v>176</v>
      </c>
      <c r="DD1764" t="s">
        <v>177</v>
      </c>
      <c r="DG1764">
        <v>5394286</v>
      </c>
      <c r="DI1764">
        <v>1</v>
      </c>
      <c r="DJ1764">
        <v>0</v>
      </c>
      <c r="DK1764">
        <v>1</v>
      </c>
      <c r="DL1764">
        <v>0</v>
      </c>
      <c r="DM1764">
        <v>0</v>
      </c>
      <c r="DN1764">
        <v>1</v>
      </c>
      <c r="DO1764">
        <v>0</v>
      </c>
      <c r="DP1764">
        <v>0</v>
      </c>
      <c r="DQ1764">
        <v>0</v>
      </c>
      <c r="DR1764">
        <v>0</v>
      </c>
      <c r="DS1764">
        <v>0</v>
      </c>
    </row>
    <row r="1765" spans="1:123" x14ac:dyDescent="0.3">
      <c r="A1765" t="str">
        <f>"10/04/2022 19:30:11.728"</f>
        <v>10/04/2022 19:30:11.728</v>
      </c>
      <c r="C1765" t="str">
        <f t="shared" si="604"/>
        <v>FFDFD3C0</v>
      </c>
      <c r="D1765" t="s">
        <v>143</v>
      </c>
      <c r="E1765">
        <v>20</v>
      </c>
      <c r="F1765">
        <v>1020</v>
      </c>
      <c r="G1765" t="s">
        <v>144</v>
      </c>
      <c r="J1765" t="s">
        <v>145</v>
      </c>
      <c r="K1765">
        <v>0</v>
      </c>
      <c r="L1765">
        <v>3</v>
      </c>
      <c r="M1765">
        <v>0</v>
      </c>
      <c r="N1765">
        <v>2</v>
      </c>
      <c r="O1765">
        <v>0</v>
      </c>
      <c r="P1765">
        <v>1</v>
      </c>
      <c r="Q1765">
        <v>0</v>
      </c>
      <c r="S1765" t="str">
        <f t="shared" si="621"/>
        <v>19:30:11.000</v>
      </c>
      <c r="T1765" t="str">
        <f t="shared" si="621"/>
        <v>19:30:11.000</v>
      </c>
      <c r="U1765" t="str">
        <f t="shared" si="609"/>
        <v>AC3944</v>
      </c>
      <c r="V1765">
        <v>0</v>
      </c>
      <c r="W1765">
        <v>0</v>
      </c>
      <c r="X1765">
        <v>2</v>
      </c>
      <c r="Y1765">
        <v>0</v>
      </c>
      <c r="AA1765">
        <v>1</v>
      </c>
      <c r="AB1765">
        <v>8</v>
      </c>
      <c r="AC1765">
        <v>3</v>
      </c>
      <c r="AD1765">
        <v>0</v>
      </c>
      <c r="AE1765">
        <v>9</v>
      </c>
      <c r="AF1765" t="s">
        <v>138</v>
      </c>
      <c r="AG1765">
        <v>0</v>
      </c>
      <c r="AH1765">
        <v>3</v>
      </c>
      <c r="AI1765">
        <v>1</v>
      </c>
      <c r="AJ1765">
        <v>0</v>
      </c>
      <c r="AK1765" t="s">
        <v>638</v>
      </c>
      <c r="AL1765">
        <v>32.784534000000001</v>
      </c>
      <c r="AM1765" t="s">
        <v>639</v>
      </c>
      <c r="AN1765">
        <v>-116.863332</v>
      </c>
      <c r="AO1765">
        <v>25</v>
      </c>
      <c r="AP1765">
        <v>2800</v>
      </c>
      <c r="AQ1765" t="s">
        <v>129</v>
      </c>
      <c r="AR1765">
        <v>84</v>
      </c>
      <c r="AS1765">
        <v>-81</v>
      </c>
      <c r="AT1765">
        <v>448</v>
      </c>
      <c r="BB1765">
        <v>1200</v>
      </c>
      <c r="BC1765">
        <v>1</v>
      </c>
      <c r="BD1765" t="str">
        <f t="shared" si="610"/>
        <v xml:space="preserve">N887QR  </v>
      </c>
      <c r="BE1765">
        <v>1</v>
      </c>
      <c r="BG1765">
        <v>0</v>
      </c>
      <c r="BH1765">
        <v>0</v>
      </c>
      <c r="BI1765">
        <v>0</v>
      </c>
      <c r="BJ1765">
        <v>2600</v>
      </c>
      <c r="BK1765">
        <v>-200</v>
      </c>
      <c r="BL1765" t="s">
        <v>163</v>
      </c>
      <c r="BM1765">
        <v>1</v>
      </c>
      <c r="BN1765">
        <v>1</v>
      </c>
      <c r="BO1765">
        <v>1</v>
      </c>
      <c r="BP1765">
        <v>0</v>
      </c>
      <c r="BS1765">
        <v>0</v>
      </c>
      <c r="BT1765">
        <v>0</v>
      </c>
      <c r="BU1765">
        <v>0</v>
      </c>
      <c r="CE1765" t="str">
        <f t="shared" si="622"/>
        <v>19:30:11.511</v>
      </c>
      <c r="CF1765">
        <v>511339410</v>
      </c>
      <c r="CS1765">
        <v>0</v>
      </c>
      <c r="CT1765">
        <v>2</v>
      </c>
      <c r="CU1765">
        <v>0</v>
      </c>
      <c r="CV1765">
        <v>2</v>
      </c>
      <c r="CW1765">
        <v>3</v>
      </c>
      <c r="CX1765">
        <v>5</v>
      </c>
      <c r="CY1765">
        <v>7</v>
      </c>
      <c r="CZ1765" t="s">
        <v>131</v>
      </c>
      <c r="DA1765">
        <v>300</v>
      </c>
      <c r="DB1765">
        <v>0</v>
      </c>
      <c r="DC1765" t="s">
        <v>176</v>
      </c>
      <c r="DD1765" t="s">
        <v>177</v>
      </c>
      <c r="DG1765">
        <v>5394286</v>
      </c>
      <c r="DI1765">
        <v>1</v>
      </c>
      <c r="DJ1765">
        <v>0</v>
      </c>
      <c r="DK1765">
        <v>1</v>
      </c>
      <c r="DL1765">
        <v>0</v>
      </c>
      <c r="DM1765">
        <v>0</v>
      </c>
      <c r="DN1765">
        <v>1</v>
      </c>
      <c r="DO1765">
        <v>0</v>
      </c>
      <c r="DP1765">
        <v>0</v>
      </c>
      <c r="DQ1765">
        <v>0</v>
      </c>
      <c r="DR1765">
        <v>0</v>
      </c>
      <c r="DS1765">
        <v>0</v>
      </c>
    </row>
    <row r="1766" spans="1:123" x14ac:dyDescent="0.3">
      <c r="A1766" t="str">
        <f t="shared" ref="A1766:A1772" si="623">"10/04/2022 19:30:12.166"</f>
        <v>10/04/2022 19:30:12.166</v>
      </c>
      <c r="C1766" t="str">
        <f t="shared" si="604"/>
        <v>FFDFD3C0</v>
      </c>
      <c r="D1766" t="s">
        <v>147</v>
      </c>
      <c r="E1766">
        <v>3</v>
      </c>
      <c r="H1766">
        <v>166</v>
      </c>
      <c r="I1766" t="s">
        <v>144</v>
      </c>
      <c r="J1766" t="s">
        <v>148</v>
      </c>
      <c r="K1766">
        <v>0</v>
      </c>
      <c r="L1766">
        <v>3</v>
      </c>
      <c r="M1766">
        <v>0</v>
      </c>
      <c r="N1766">
        <v>2</v>
      </c>
      <c r="O1766">
        <v>0</v>
      </c>
      <c r="P1766">
        <v>1</v>
      </c>
      <c r="Q1766">
        <v>0</v>
      </c>
      <c r="S1766" t="str">
        <f t="shared" si="621"/>
        <v>19:30:11.000</v>
      </c>
      <c r="T1766" t="str">
        <f t="shared" si="621"/>
        <v>19:30:11.000</v>
      </c>
      <c r="U1766" t="str">
        <f t="shared" si="609"/>
        <v>AC3944</v>
      </c>
      <c r="V1766">
        <v>0</v>
      </c>
      <c r="W1766">
        <v>0</v>
      </c>
      <c r="X1766">
        <v>2</v>
      </c>
      <c r="Y1766">
        <v>0</v>
      </c>
      <c r="AA1766">
        <v>1</v>
      </c>
      <c r="AB1766">
        <v>8</v>
      </c>
      <c r="AC1766">
        <v>3</v>
      </c>
      <c r="AD1766">
        <v>0</v>
      </c>
      <c r="AE1766">
        <v>9</v>
      </c>
      <c r="AF1766" t="s">
        <v>138</v>
      </c>
      <c r="AG1766">
        <v>0</v>
      </c>
      <c r="AH1766">
        <v>3</v>
      </c>
      <c r="AI1766">
        <v>1</v>
      </c>
      <c r="AJ1766">
        <v>0</v>
      </c>
      <c r="AK1766" t="s">
        <v>640</v>
      </c>
      <c r="AL1766">
        <v>32.784146999999997</v>
      </c>
      <c r="AM1766" t="s">
        <v>641</v>
      </c>
      <c r="AN1766">
        <v>-116.862881</v>
      </c>
      <c r="AO1766">
        <v>25</v>
      </c>
      <c r="AP1766">
        <v>2900</v>
      </c>
      <c r="AQ1766" t="s">
        <v>129</v>
      </c>
      <c r="AR1766">
        <v>84</v>
      </c>
      <c r="AS1766">
        <v>-81</v>
      </c>
      <c r="AT1766">
        <v>448</v>
      </c>
      <c r="BB1766">
        <v>1200</v>
      </c>
      <c r="BC1766">
        <v>1</v>
      </c>
      <c r="BD1766" t="str">
        <f t="shared" si="610"/>
        <v xml:space="preserve">N887QR  </v>
      </c>
      <c r="BE1766">
        <v>1</v>
      </c>
      <c r="BG1766">
        <v>0</v>
      </c>
      <c r="BH1766">
        <v>0</v>
      </c>
      <c r="BI1766">
        <v>0</v>
      </c>
      <c r="BJ1766">
        <v>2600</v>
      </c>
      <c r="BK1766">
        <v>-300</v>
      </c>
      <c r="BL1766" t="s">
        <v>163</v>
      </c>
      <c r="BM1766">
        <v>1</v>
      </c>
      <c r="BN1766">
        <v>1</v>
      </c>
      <c r="BO1766">
        <v>1</v>
      </c>
      <c r="BP1766">
        <v>0</v>
      </c>
      <c r="BS1766">
        <v>0</v>
      </c>
      <c r="BT1766">
        <v>0</v>
      </c>
      <c r="BU1766">
        <v>0</v>
      </c>
      <c r="CE1766" t="str">
        <f t="shared" ref="CE1766:CE1772" si="624">"19:30:11.880"</f>
        <v>19:30:11.880</v>
      </c>
      <c r="CF1766">
        <v>880071233</v>
      </c>
      <c r="CS1766">
        <v>0</v>
      </c>
      <c r="CT1766">
        <v>2</v>
      </c>
      <c r="CU1766">
        <v>0</v>
      </c>
      <c r="CV1766">
        <v>2</v>
      </c>
      <c r="CW1766">
        <v>3</v>
      </c>
      <c r="CX1766">
        <v>4</v>
      </c>
      <c r="CY1766">
        <v>7</v>
      </c>
      <c r="CZ1766" t="s">
        <v>131</v>
      </c>
      <c r="DA1766">
        <v>286</v>
      </c>
      <c r="DB1766">
        <v>0</v>
      </c>
      <c r="DC1766" t="s">
        <v>132</v>
      </c>
      <c r="DD1766" t="s">
        <v>133</v>
      </c>
      <c r="DG1766">
        <v>827880</v>
      </c>
      <c r="DI1766">
        <v>1</v>
      </c>
      <c r="DJ1766">
        <v>0</v>
      </c>
      <c r="DK1766">
        <v>0</v>
      </c>
      <c r="DL1766">
        <v>0</v>
      </c>
      <c r="DM1766">
        <v>0</v>
      </c>
      <c r="DN1766">
        <v>1</v>
      </c>
      <c r="DO1766">
        <v>0</v>
      </c>
      <c r="DP1766">
        <v>0</v>
      </c>
      <c r="DQ1766">
        <v>0</v>
      </c>
      <c r="DR1766">
        <v>0</v>
      </c>
      <c r="DS1766">
        <v>0</v>
      </c>
    </row>
    <row r="1767" spans="1:123" x14ac:dyDescent="0.3">
      <c r="A1767" t="str">
        <f t="shared" si="623"/>
        <v>10/04/2022 19:30:12.166</v>
      </c>
      <c r="C1767" t="str">
        <f t="shared" si="604"/>
        <v>FFDFD3C0</v>
      </c>
      <c r="D1767" t="s">
        <v>141</v>
      </c>
      <c r="E1767">
        <v>3</v>
      </c>
      <c r="H1767">
        <v>3</v>
      </c>
      <c r="I1767" t="s">
        <v>146</v>
      </c>
      <c r="J1767" t="s">
        <v>138</v>
      </c>
      <c r="K1767">
        <v>0</v>
      </c>
      <c r="L1767">
        <v>3</v>
      </c>
      <c r="M1767">
        <v>0</v>
      </c>
      <c r="N1767">
        <v>2</v>
      </c>
      <c r="O1767">
        <v>0</v>
      </c>
      <c r="P1767">
        <v>1</v>
      </c>
      <c r="Q1767">
        <v>0</v>
      </c>
      <c r="S1767" t="str">
        <f t="shared" si="621"/>
        <v>19:30:11.000</v>
      </c>
      <c r="T1767" t="str">
        <f t="shared" si="621"/>
        <v>19:30:11.000</v>
      </c>
      <c r="U1767" t="str">
        <f t="shared" si="609"/>
        <v>AC3944</v>
      </c>
      <c r="V1767">
        <v>0</v>
      </c>
      <c r="W1767">
        <v>0</v>
      </c>
      <c r="X1767">
        <v>2</v>
      </c>
      <c r="Y1767">
        <v>0</v>
      </c>
      <c r="AA1767">
        <v>1</v>
      </c>
      <c r="AB1767">
        <v>8</v>
      </c>
      <c r="AC1767">
        <v>3</v>
      </c>
      <c r="AD1767">
        <v>0</v>
      </c>
      <c r="AE1767">
        <v>9</v>
      </c>
      <c r="AF1767" t="s">
        <v>138</v>
      </c>
      <c r="AG1767">
        <v>0</v>
      </c>
      <c r="AH1767">
        <v>3</v>
      </c>
      <c r="AI1767">
        <v>1</v>
      </c>
      <c r="AJ1767">
        <v>0</v>
      </c>
      <c r="AK1767" t="s">
        <v>640</v>
      </c>
      <c r="AL1767">
        <v>32.784146999999997</v>
      </c>
      <c r="AM1767" t="s">
        <v>641</v>
      </c>
      <c r="AN1767">
        <v>-116.862881</v>
      </c>
      <c r="AO1767">
        <v>25</v>
      </c>
      <c r="AP1767">
        <v>2900</v>
      </c>
      <c r="AQ1767" t="s">
        <v>129</v>
      </c>
      <c r="AR1767">
        <v>84</v>
      </c>
      <c r="AS1767">
        <v>-81</v>
      </c>
      <c r="AT1767">
        <v>448</v>
      </c>
      <c r="BB1767">
        <v>1200</v>
      </c>
      <c r="BC1767">
        <v>1</v>
      </c>
      <c r="BD1767" t="str">
        <f t="shared" si="610"/>
        <v xml:space="preserve">N887QR  </v>
      </c>
      <c r="BE1767">
        <v>1</v>
      </c>
      <c r="BG1767">
        <v>0</v>
      </c>
      <c r="BH1767">
        <v>0</v>
      </c>
      <c r="BI1767">
        <v>0</v>
      </c>
      <c r="BJ1767">
        <v>2600</v>
      </c>
      <c r="BK1767">
        <v>-300</v>
      </c>
      <c r="BL1767" t="s">
        <v>163</v>
      </c>
      <c r="BM1767">
        <v>1</v>
      </c>
      <c r="BN1767">
        <v>1</v>
      </c>
      <c r="BO1767">
        <v>1</v>
      </c>
      <c r="BP1767">
        <v>0</v>
      </c>
      <c r="BS1767">
        <v>0</v>
      </c>
      <c r="BT1767">
        <v>0</v>
      </c>
      <c r="BU1767">
        <v>0</v>
      </c>
      <c r="CE1767" t="str">
        <f t="shared" si="624"/>
        <v>19:30:11.880</v>
      </c>
      <c r="CF1767">
        <v>880071233</v>
      </c>
      <c r="CS1767">
        <v>0</v>
      </c>
      <c r="CT1767">
        <v>2</v>
      </c>
      <c r="CU1767">
        <v>0</v>
      </c>
      <c r="CV1767">
        <v>2</v>
      </c>
      <c r="CW1767">
        <v>3</v>
      </c>
      <c r="CX1767">
        <v>4</v>
      </c>
      <c r="CY1767">
        <v>7</v>
      </c>
      <c r="CZ1767" t="s">
        <v>131</v>
      </c>
      <c r="DA1767">
        <v>286</v>
      </c>
      <c r="DB1767">
        <v>0</v>
      </c>
      <c r="DC1767" t="s">
        <v>132</v>
      </c>
      <c r="DD1767" t="s">
        <v>133</v>
      </c>
      <c r="DG1767">
        <v>827880</v>
      </c>
      <c r="DI1767">
        <v>1</v>
      </c>
      <c r="DJ1767">
        <v>0</v>
      </c>
      <c r="DK1767">
        <v>1</v>
      </c>
      <c r="DL1767">
        <v>0</v>
      </c>
      <c r="DM1767">
        <v>0</v>
      </c>
      <c r="DN1767">
        <v>1</v>
      </c>
      <c r="DO1767">
        <v>0</v>
      </c>
      <c r="DP1767">
        <v>0</v>
      </c>
      <c r="DQ1767">
        <v>0</v>
      </c>
      <c r="DR1767">
        <v>0</v>
      </c>
      <c r="DS1767">
        <v>0</v>
      </c>
    </row>
    <row r="1768" spans="1:123" x14ac:dyDescent="0.3">
      <c r="A1768" t="str">
        <f t="shared" si="623"/>
        <v>10/04/2022 19:30:12.166</v>
      </c>
      <c r="C1768" t="str">
        <f t="shared" si="604"/>
        <v>FFDFD3C0</v>
      </c>
      <c r="D1768" t="s">
        <v>141</v>
      </c>
      <c r="E1768">
        <v>4</v>
      </c>
      <c r="H1768">
        <v>4</v>
      </c>
      <c r="I1768" t="s">
        <v>142</v>
      </c>
      <c r="J1768" t="s">
        <v>138</v>
      </c>
      <c r="K1768">
        <v>0</v>
      </c>
      <c r="L1768">
        <v>3</v>
      </c>
      <c r="M1768">
        <v>0</v>
      </c>
      <c r="N1768">
        <v>2</v>
      </c>
      <c r="O1768">
        <v>0</v>
      </c>
      <c r="P1768">
        <v>1</v>
      </c>
      <c r="Q1768">
        <v>0</v>
      </c>
      <c r="S1768" t="str">
        <f t="shared" si="621"/>
        <v>19:30:11.000</v>
      </c>
      <c r="T1768" t="str">
        <f t="shared" si="621"/>
        <v>19:30:11.000</v>
      </c>
      <c r="U1768" t="str">
        <f t="shared" si="609"/>
        <v>AC3944</v>
      </c>
      <c r="V1768">
        <v>0</v>
      </c>
      <c r="W1768">
        <v>0</v>
      </c>
      <c r="X1768">
        <v>2</v>
      </c>
      <c r="Y1768">
        <v>0</v>
      </c>
      <c r="AA1768">
        <v>1</v>
      </c>
      <c r="AB1768">
        <v>8</v>
      </c>
      <c r="AC1768">
        <v>3</v>
      </c>
      <c r="AD1768">
        <v>0</v>
      </c>
      <c r="AE1768">
        <v>9</v>
      </c>
      <c r="AF1768" t="s">
        <v>138</v>
      </c>
      <c r="AG1768">
        <v>0</v>
      </c>
      <c r="AH1768">
        <v>3</v>
      </c>
      <c r="AI1768">
        <v>1</v>
      </c>
      <c r="AJ1768">
        <v>0</v>
      </c>
      <c r="AK1768" t="s">
        <v>640</v>
      </c>
      <c r="AL1768">
        <v>32.784146999999997</v>
      </c>
      <c r="AM1768" t="s">
        <v>641</v>
      </c>
      <c r="AN1768">
        <v>-116.862881</v>
      </c>
      <c r="AO1768">
        <v>25</v>
      </c>
      <c r="AP1768">
        <v>2900</v>
      </c>
      <c r="AQ1768" t="s">
        <v>129</v>
      </c>
      <c r="AR1768">
        <v>84</v>
      </c>
      <c r="AS1768">
        <v>-81</v>
      </c>
      <c r="AT1768">
        <v>448</v>
      </c>
      <c r="BB1768">
        <v>1200</v>
      </c>
      <c r="BC1768">
        <v>1</v>
      </c>
      <c r="BD1768" t="str">
        <f t="shared" si="610"/>
        <v xml:space="preserve">N887QR  </v>
      </c>
      <c r="BE1768">
        <v>1</v>
      </c>
      <c r="BG1768">
        <v>0</v>
      </c>
      <c r="BH1768">
        <v>0</v>
      </c>
      <c r="BI1768">
        <v>0</v>
      </c>
      <c r="BJ1768">
        <v>2600</v>
      </c>
      <c r="BK1768">
        <v>-300</v>
      </c>
      <c r="BL1768" t="s">
        <v>163</v>
      </c>
      <c r="BM1768">
        <v>1</v>
      </c>
      <c r="BN1768">
        <v>1</v>
      </c>
      <c r="BO1768">
        <v>1</v>
      </c>
      <c r="BP1768">
        <v>0</v>
      </c>
      <c r="BS1768">
        <v>0</v>
      </c>
      <c r="BT1768">
        <v>0</v>
      </c>
      <c r="BU1768">
        <v>0</v>
      </c>
      <c r="CE1768" t="str">
        <f t="shared" si="624"/>
        <v>19:30:11.880</v>
      </c>
      <c r="CF1768">
        <v>880071233</v>
      </c>
      <c r="CS1768">
        <v>0</v>
      </c>
      <c r="CT1768">
        <v>2</v>
      </c>
      <c r="CU1768">
        <v>0</v>
      </c>
      <c r="CV1768">
        <v>2</v>
      </c>
      <c r="CW1768">
        <v>3</v>
      </c>
      <c r="CX1768">
        <v>4</v>
      </c>
      <c r="CY1768">
        <v>7</v>
      </c>
      <c r="CZ1768" t="s">
        <v>131</v>
      </c>
      <c r="DA1768">
        <v>286</v>
      </c>
      <c r="DB1768">
        <v>0</v>
      </c>
      <c r="DC1768" t="s">
        <v>132</v>
      </c>
      <c r="DD1768" t="s">
        <v>133</v>
      </c>
      <c r="DG1768">
        <v>827880</v>
      </c>
      <c r="DI1768">
        <v>1</v>
      </c>
      <c r="DJ1768">
        <v>0</v>
      </c>
      <c r="DK1768">
        <v>1</v>
      </c>
      <c r="DL1768">
        <v>0</v>
      </c>
      <c r="DM1768">
        <v>0</v>
      </c>
      <c r="DN1768">
        <v>1</v>
      </c>
      <c r="DO1768">
        <v>0</v>
      </c>
      <c r="DP1768">
        <v>0</v>
      </c>
      <c r="DQ1768">
        <v>0</v>
      </c>
      <c r="DR1768">
        <v>0</v>
      </c>
      <c r="DS1768">
        <v>0</v>
      </c>
    </row>
    <row r="1769" spans="1:123" x14ac:dyDescent="0.3">
      <c r="A1769" t="str">
        <f t="shared" si="623"/>
        <v>10/04/2022 19:30:12.166</v>
      </c>
      <c r="C1769" t="str">
        <f t="shared" si="604"/>
        <v>FFDFD3C0</v>
      </c>
      <c r="D1769" t="s">
        <v>136</v>
      </c>
      <c r="E1769">
        <v>8</v>
      </c>
      <c r="H1769">
        <v>225</v>
      </c>
      <c r="I1769" t="s">
        <v>137</v>
      </c>
      <c r="J1769" t="s">
        <v>138</v>
      </c>
      <c r="K1769">
        <v>0</v>
      </c>
      <c r="L1769">
        <v>3</v>
      </c>
      <c r="M1769">
        <v>0</v>
      </c>
      <c r="N1769">
        <v>2</v>
      </c>
      <c r="O1769">
        <v>0</v>
      </c>
      <c r="P1769">
        <v>1</v>
      </c>
      <c r="Q1769">
        <v>0</v>
      </c>
      <c r="S1769" t="str">
        <f t="shared" si="621"/>
        <v>19:30:11.000</v>
      </c>
      <c r="T1769" t="str">
        <f t="shared" si="621"/>
        <v>19:30:11.000</v>
      </c>
      <c r="U1769" t="str">
        <f t="shared" si="609"/>
        <v>AC3944</v>
      </c>
      <c r="V1769">
        <v>0</v>
      </c>
      <c r="W1769">
        <v>0</v>
      </c>
      <c r="X1769">
        <v>2</v>
      </c>
      <c r="Y1769">
        <v>0</v>
      </c>
      <c r="AA1769">
        <v>1</v>
      </c>
      <c r="AB1769">
        <v>8</v>
      </c>
      <c r="AC1769">
        <v>3</v>
      </c>
      <c r="AD1769">
        <v>0</v>
      </c>
      <c r="AE1769">
        <v>9</v>
      </c>
      <c r="AF1769" t="s">
        <v>138</v>
      </c>
      <c r="AG1769">
        <v>0</v>
      </c>
      <c r="AH1769">
        <v>3</v>
      </c>
      <c r="AI1769">
        <v>1</v>
      </c>
      <c r="AJ1769">
        <v>0</v>
      </c>
      <c r="AK1769" t="s">
        <v>640</v>
      </c>
      <c r="AL1769">
        <v>32.784146999999997</v>
      </c>
      <c r="AM1769" t="s">
        <v>641</v>
      </c>
      <c r="AN1769">
        <v>-116.862881</v>
      </c>
      <c r="AO1769">
        <v>25</v>
      </c>
      <c r="AP1769">
        <v>2900</v>
      </c>
      <c r="AQ1769" t="s">
        <v>129</v>
      </c>
      <c r="AR1769">
        <v>84</v>
      </c>
      <c r="AS1769">
        <v>-81</v>
      </c>
      <c r="AT1769">
        <v>448</v>
      </c>
      <c r="BB1769">
        <v>1200</v>
      </c>
      <c r="BC1769">
        <v>1</v>
      </c>
      <c r="BD1769" t="str">
        <f t="shared" si="610"/>
        <v xml:space="preserve">N887QR  </v>
      </c>
      <c r="BE1769">
        <v>1</v>
      </c>
      <c r="BG1769">
        <v>0</v>
      </c>
      <c r="BH1769">
        <v>0</v>
      </c>
      <c r="BI1769">
        <v>0</v>
      </c>
      <c r="BJ1769">
        <v>2600</v>
      </c>
      <c r="BK1769">
        <v>-300</v>
      </c>
      <c r="BL1769" t="s">
        <v>163</v>
      </c>
      <c r="BM1769">
        <v>1</v>
      </c>
      <c r="BN1769">
        <v>1</v>
      </c>
      <c r="BO1769">
        <v>1</v>
      </c>
      <c r="BP1769">
        <v>0</v>
      </c>
      <c r="BS1769">
        <v>0</v>
      </c>
      <c r="BT1769">
        <v>0</v>
      </c>
      <c r="BU1769">
        <v>0</v>
      </c>
      <c r="CE1769" t="str">
        <f t="shared" si="624"/>
        <v>19:30:11.880</v>
      </c>
      <c r="CF1769">
        <v>880071233</v>
      </c>
      <c r="CS1769">
        <v>0</v>
      </c>
      <c r="CT1769">
        <v>2</v>
      </c>
      <c r="CU1769">
        <v>0</v>
      </c>
      <c r="CV1769">
        <v>2</v>
      </c>
      <c r="CW1769">
        <v>3</v>
      </c>
      <c r="CX1769">
        <v>4</v>
      </c>
      <c r="CY1769">
        <v>7</v>
      </c>
      <c r="CZ1769" t="s">
        <v>131</v>
      </c>
      <c r="DA1769">
        <v>286</v>
      </c>
      <c r="DB1769">
        <v>0</v>
      </c>
      <c r="DC1769" t="s">
        <v>132</v>
      </c>
      <c r="DD1769" t="s">
        <v>133</v>
      </c>
      <c r="DG1769">
        <v>827880</v>
      </c>
      <c r="DI1769">
        <v>1</v>
      </c>
      <c r="DJ1769">
        <v>0</v>
      </c>
      <c r="DK1769">
        <v>1</v>
      </c>
      <c r="DL1769">
        <v>0</v>
      </c>
      <c r="DM1769">
        <v>0</v>
      </c>
      <c r="DN1769">
        <v>1</v>
      </c>
      <c r="DO1769">
        <v>0</v>
      </c>
      <c r="DP1769">
        <v>0</v>
      </c>
      <c r="DQ1769">
        <v>0</v>
      </c>
      <c r="DR1769">
        <v>0</v>
      </c>
      <c r="DS1769">
        <v>0</v>
      </c>
    </row>
    <row r="1770" spans="1:123" x14ac:dyDescent="0.3">
      <c r="A1770" t="str">
        <f t="shared" si="623"/>
        <v>10/04/2022 19:30:12.166</v>
      </c>
      <c r="C1770" t="str">
        <f t="shared" si="604"/>
        <v>FFDFD3C0</v>
      </c>
      <c r="D1770" t="s">
        <v>134</v>
      </c>
      <c r="E1770">
        <v>15</v>
      </c>
      <c r="J1770" t="s">
        <v>135</v>
      </c>
      <c r="K1770">
        <v>0</v>
      </c>
      <c r="L1770">
        <v>3</v>
      </c>
      <c r="M1770">
        <v>0</v>
      </c>
      <c r="N1770">
        <v>2</v>
      </c>
      <c r="O1770">
        <v>0</v>
      </c>
      <c r="P1770">
        <v>1</v>
      </c>
      <c r="Q1770">
        <v>0</v>
      </c>
      <c r="S1770" t="str">
        <f t="shared" si="621"/>
        <v>19:30:11.000</v>
      </c>
      <c r="T1770" t="str">
        <f t="shared" si="621"/>
        <v>19:30:11.000</v>
      </c>
      <c r="U1770" t="str">
        <f t="shared" si="609"/>
        <v>AC3944</v>
      </c>
      <c r="V1770">
        <v>0</v>
      </c>
      <c r="W1770">
        <v>0</v>
      </c>
      <c r="X1770">
        <v>2</v>
      </c>
      <c r="Y1770">
        <v>0</v>
      </c>
      <c r="AA1770">
        <v>1</v>
      </c>
      <c r="AB1770">
        <v>8</v>
      </c>
      <c r="AC1770">
        <v>3</v>
      </c>
      <c r="AD1770">
        <v>0</v>
      </c>
      <c r="AE1770">
        <v>9</v>
      </c>
      <c r="AF1770" t="s">
        <v>138</v>
      </c>
      <c r="AG1770">
        <v>0</v>
      </c>
      <c r="AH1770">
        <v>3</v>
      </c>
      <c r="AI1770">
        <v>1</v>
      </c>
      <c r="AJ1770">
        <v>0</v>
      </c>
      <c r="AK1770" t="s">
        <v>640</v>
      </c>
      <c r="AL1770">
        <v>32.784146999999997</v>
      </c>
      <c r="AM1770" t="s">
        <v>641</v>
      </c>
      <c r="AN1770">
        <v>-116.862881</v>
      </c>
      <c r="AO1770">
        <v>25</v>
      </c>
      <c r="AP1770">
        <v>2900</v>
      </c>
      <c r="AQ1770" t="s">
        <v>129</v>
      </c>
      <c r="AR1770">
        <v>84</v>
      </c>
      <c r="AS1770">
        <v>-81</v>
      </c>
      <c r="AT1770">
        <v>448</v>
      </c>
      <c r="BB1770">
        <v>1200</v>
      </c>
      <c r="BC1770">
        <v>1</v>
      </c>
      <c r="BD1770" t="str">
        <f t="shared" si="610"/>
        <v xml:space="preserve">N887QR  </v>
      </c>
      <c r="BE1770">
        <v>1</v>
      </c>
      <c r="BG1770">
        <v>0</v>
      </c>
      <c r="BH1770">
        <v>0</v>
      </c>
      <c r="BI1770">
        <v>0</v>
      </c>
      <c r="BJ1770">
        <v>2600</v>
      </c>
      <c r="BK1770">
        <v>-300</v>
      </c>
      <c r="BL1770" t="s">
        <v>163</v>
      </c>
      <c r="BM1770">
        <v>1</v>
      </c>
      <c r="BN1770">
        <v>1</v>
      </c>
      <c r="BO1770">
        <v>1</v>
      </c>
      <c r="BP1770">
        <v>0</v>
      </c>
      <c r="BS1770">
        <v>0</v>
      </c>
      <c r="BT1770">
        <v>0</v>
      </c>
      <c r="BU1770">
        <v>0</v>
      </c>
      <c r="CE1770" t="str">
        <f t="shared" si="624"/>
        <v>19:30:11.880</v>
      </c>
      <c r="CF1770">
        <v>880071233</v>
      </c>
      <c r="CS1770">
        <v>0</v>
      </c>
      <c r="CT1770">
        <v>2</v>
      </c>
      <c r="CU1770">
        <v>0</v>
      </c>
      <c r="CV1770">
        <v>2</v>
      </c>
      <c r="CW1770">
        <v>3</v>
      </c>
      <c r="CX1770">
        <v>4</v>
      </c>
      <c r="CY1770">
        <v>7</v>
      </c>
      <c r="CZ1770" t="s">
        <v>131</v>
      </c>
      <c r="DA1770">
        <v>286</v>
      </c>
      <c r="DB1770">
        <v>0</v>
      </c>
      <c r="DC1770" t="s">
        <v>132</v>
      </c>
      <c r="DD1770" t="s">
        <v>133</v>
      </c>
      <c r="DG1770">
        <v>827880</v>
      </c>
      <c r="DI1770">
        <v>1</v>
      </c>
      <c r="DJ1770">
        <v>0</v>
      </c>
      <c r="DK1770">
        <v>1</v>
      </c>
      <c r="DL1770">
        <v>0</v>
      </c>
      <c r="DM1770">
        <v>0</v>
      </c>
      <c r="DN1770">
        <v>1</v>
      </c>
      <c r="DO1770">
        <v>0</v>
      </c>
      <c r="DP1770">
        <v>0</v>
      </c>
      <c r="DQ1770">
        <v>0</v>
      </c>
      <c r="DR1770">
        <v>0</v>
      </c>
      <c r="DS1770">
        <v>0</v>
      </c>
    </row>
    <row r="1771" spans="1:123" x14ac:dyDescent="0.3">
      <c r="A1771" t="str">
        <f t="shared" si="623"/>
        <v>10/04/2022 19:30:12.166</v>
      </c>
      <c r="C1771" t="str">
        <f t="shared" si="604"/>
        <v>FFDFD3C0</v>
      </c>
      <c r="D1771" t="s">
        <v>143</v>
      </c>
      <c r="E1771">
        <v>20</v>
      </c>
      <c r="F1771">
        <v>1020</v>
      </c>
      <c r="G1771" t="s">
        <v>144</v>
      </c>
      <c r="J1771" t="s">
        <v>145</v>
      </c>
      <c r="K1771">
        <v>0</v>
      </c>
      <c r="L1771">
        <v>3</v>
      </c>
      <c r="M1771">
        <v>0</v>
      </c>
      <c r="N1771">
        <v>2</v>
      </c>
      <c r="O1771">
        <v>0</v>
      </c>
      <c r="P1771">
        <v>1</v>
      </c>
      <c r="Q1771">
        <v>0</v>
      </c>
      <c r="S1771" t="str">
        <f t="shared" si="621"/>
        <v>19:30:11.000</v>
      </c>
      <c r="T1771" t="str">
        <f t="shared" si="621"/>
        <v>19:30:11.000</v>
      </c>
      <c r="U1771" t="str">
        <f t="shared" si="609"/>
        <v>AC3944</v>
      </c>
      <c r="V1771">
        <v>0</v>
      </c>
      <c r="W1771">
        <v>0</v>
      </c>
      <c r="X1771">
        <v>2</v>
      </c>
      <c r="Y1771">
        <v>0</v>
      </c>
      <c r="AA1771">
        <v>1</v>
      </c>
      <c r="AB1771">
        <v>8</v>
      </c>
      <c r="AC1771">
        <v>3</v>
      </c>
      <c r="AD1771">
        <v>0</v>
      </c>
      <c r="AE1771">
        <v>9</v>
      </c>
      <c r="AF1771" t="s">
        <v>138</v>
      </c>
      <c r="AG1771">
        <v>0</v>
      </c>
      <c r="AH1771">
        <v>3</v>
      </c>
      <c r="AI1771">
        <v>1</v>
      </c>
      <c r="AJ1771">
        <v>0</v>
      </c>
      <c r="AK1771" t="s">
        <v>640</v>
      </c>
      <c r="AL1771">
        <v>32.784146999999997</v>
      </c>
      <c r="AM1771" t="s">
        <v>641</v>
      </c>
      <c r="AN1771">
        <v>-116.862881</v>
      </c>
      <c r="AO1771">
        <v>25</v>
      </c>
      <c r="AP1771">
        <v>2900</v>
      </c>
      <c r="AQ1771" t="s">
        <v>129</v>
      </c>
      <c r="AR1771">
        <v>84</v>
      </c>
      <c r="AS1771">
        <v>-81</v>
      </c>
      <c r="AT1771">
        <v>448</v>
      </c>
      <c r="BB1771">
        <v>1200</v>
      </c>
      <c r="BC1771">
        <v>1</v>
      </c>
      <c r="BD1771" t="str">
        <f t="shared" si="610"/>
        <v xml:space="preserve">N887QR  </v>
      </c>
      <c r="BE1771">
        <v>1</v>
      </c>
      <c r="BG1771">
        <v>0</v>
      </c>
      <c r="BH1771">
        <v>0</v>
      </c>
      <c r="BI1771">
        <v>0</v>
      </c>
      <c r="BJ1771">
        <v>2600</v>
      </c>
      <c r="BK1771">
        <v>-300</v>
      </c>
      <c r="BL1771" t="s">
        <v>163</v>
      </c>
      <c r="BM1771">
        <v>1</v>
      </c>
      <c r="BN1771">
        <v>1</v>
      </c>
      <c r="BO1771">
        <v>1</v>
      </c>
      <c r="BP1771">
        <v>0</v>
      </c>
      <c r="BS1771">
        <v>0</v>
      </c>
      <c r="BT1771">
        <v>0</v>
      </c>
      <c r="BU1771">
        <v>0</v>
      </c>
      <c r="CE1771" t="str">
        <f t="shared" si="624"/>
        <v>19:30:11.880</v>
      </c>
      <c r="CF1771">
        <v>880071233</v>
      </c>
      <c r="CS1771">
        <v>0</v>
      </c>
      <c r="CT1771">
        <v>2</v>
      </c>
      <c r="CU1771">
        <v>0</v>
      </c>
      <c r="CV1771">
        <v>2</v>
      </c>
      <c r="CW1771">
        <v>3</v>
      </c>
      <c r="CX1771">
        <v>4</v>
      </c>
      <c r="CY1771">
        <v>7</v>
      </c>
      <c r="CZ1771" t="s">
        <v>131</v>
      </c>
      <c r="DA1771">
        <v>286</v>
      </c>
      <c r="DB1771">
        <v>0</v>
      </c>
      <c r="DC1771" t="s">
        <v>132</v>
      </c>
      <c r="DD1771" t="s">
        <v>133</v>
      </c>
      <c r="DG1771">
        <v>827880</v>
      </c>
      <c r="DI1771">
        <v>1</v>
      </c>
      <c r="DJ1771">
        <v>0</v>
      </c>
      <c r="DK1771">
        <v>1</v>
      </c>
      <c r="DL1771">
        <v>0</v>
      </c>
      <c r="DM1771">
        <v>0</v>
      </c>
      <c r="DN1771">
        <v>1</v>
      </c>
      <c r="DO1771">
        <v>0</v>
      </c>
      <c r="DP1771">
        <v>0</v>
      </c>
      <c r="DQ1771">
        <v>0</v>
      </c>
      <c r="DR1771">
        <v>0</v>
      </c>
      <c r="DS1771">
        <v>0</v>
      </c>
    </row>
    <row r="1772" spans="1:123" x14ac:dyDescent="0.3">
      <c r="A1772" t="str">
        <f t="shared" si="623"/>
        <v>10/04/2022 19:30:12.166</v>
      </c>
      <c r="C1772" t="str">
        <f t="shared" si="604"/>
        <v>FFDFD3C0</v>
      </c>
      <c r="D1772" t="s">
        <v>123</v>
      </c>
      <c r="E1772">
        <v>7</v>
      </c>
      <c r="F1772">
        <v>2007</v>
      </c>
      <c r="G1772" t="s">
        <v>124</v>
      </c>
      <c r="J1772" t="s">
        <v>125</v>
      </c>
      <c r="K1772">
        <v>0</v>
      </c>
      <c r="L1772">
        <v>3</v>
      </c>
      <c r="M1772">
        <v>0</v>
      </c>
      <c r="N1772">
        <v>2</v>
      </c>
      <c r="O1772">
        <v>0</v>
      </c>
      <c r="P1772">
        <v>1</v>
      </c>
      <c r="Q1772">
        <v>0</v>
      </c>
      <c r="S1772" t="str">
        <f t="shared" si="621"/>
        <v>19:30:11.000</v>
      </c>
      <c r="T1772" t="str">
        <f t="shared" si="621"/>
        <v>19:30:11.000</v>
      </c>
      <c r="U1772" t="str">
        <f t="shared" si="609"/>
        <v>AC3944</v>
      </c>
      <c r="V1772">
        <v>0</v>
      </c>
      <c r="W1772">
        <v>0</v>
      </c>
      <c r="X1772">
        <v>2</v>
      </c>
      <c r="Y1772">
        <v>0</v>
      </c>
      <c r="AA1772">
        <v>1</v>
      </c>
      <c r="AB1772">
        <v>8</v>
      </c>
      <c r="AC1772">
        <v>3</v>
      </c>
      <c r="AD1772">
        <v>0</v>
      </c>
      <c r="AE1772">
        <v>9</v>
      </c>
      <c r="AF1772" t="s">
        <v>138</v>
      </c>
      <c r="AG1772">
        <v>0</v>
      </c>
      <c r="AH1772">
        <v>3</v>
      </c>
      <c r="AI1772">
        <v>1</v>
      </c>
      <c r="AJ1772">
        <v>0</v>
      </c>
      <c r="AK1772" t="s">
        <v>640</v>
      </c>
      <c r="AL1772">
        <v>32.784146999999997</v>
      </c>
      <c r="AM1772" t="s">
        <v>641</v>
      </c>
      <c r="AN1772">
        <v>-116.862881</v>
      </c>
      <c r="AO1772">
        <v>25</v>
      </c>
      <c r="AP1772">
        <v>2900</v>
      </c>
      <c r="AQ1772" t="s">
        <v>129</v>
      </c>
      <c r="AR1772">
        <v>84</v>
      </c>
      <c r="AS1772">
        <v>-81</v>
      </c>
      <c r="AT1772">
        <v>448</v>
      </c>
      <c r="BB1772">
        <v>1200</v>
      </c>
      <c r="BC1772">
        <v>1</v>
      </c>
      <c r="BD1772" t="str">
        <f t="shared" si="610"/>
        <v xml:space="preserve">N887QR  </v>
      </c>
      <c r="BE1772">
        <v>1</v>
      </c>
      <c r="BG1772">
        <v>0</v>
      </c>
      <c r="BH1772">
        <v>0</v>
      </c>
      <c r="BI1772">
        <v>0</v>
      </c>
      <c r="BJ1772">
        <v>2600</v>
      </c>
      <c r="BK1772">
        <v>-300</v>
      </c>
      <c r="BL1772" t="s">
        <v>163</v>
      </c>
      <c r="BM1772">
        <v>1</v>
      </c>
      <c r="BN1772">
        <v>1</v>
      </c>
      <c r="BO1772">
        <v>1</v>
      </c>
      <c r="BP1772">
        <v>0</v>
      </c>
      <c r="BS1772">
        <v>0</v>
      </c>
      <c r="BT1772">
        <v>0</v>
      </c>
      <c r="BU1772">
        <v>0</v>
      </c>
      <c r="CE1772" t="str">
        <f t="shared" si="624"/>
        <v>19:30:11.880</v>
      </c>
      <c r="CF1772">
        <v>880071233</v>
      </c>
      <c r="CS1772">
        <v>0</v>
      </c>
      <c r="CT1772">
        <v>2</v>
      </c>
      <c r="CU1772">
        <v>0</v>
      </c>
      <c r="CV1772">
        <v>2</v>
      </c>
      <c r="CW1772">
        <v>3</v>
      </c>
      <c r="CX1772">
        <v>4</v>
      </c>
      <c r="CY1772">
        <v>7</v>
      </c>
      <c r="CZ1772" t="s">
        <v>131</v>
      </c>
      <c r="DA1772">
        <v>286</v>
      </c>
      <c r="DB1772">
        <v>0</v>
      </c>
      <c r="DC1772" t="s">
        <v>132</v>
      </c>
      <c r="DD1772" t="s">
        <v>133</v>
      </c>
      <c r="DG1772">
        <v>827880</v>
      </c>
      <c r="DI1772">
        <v>1</v>
      </c>
      <c r="DJ1772">
        <v>0</v>
      </c>
      <c r="DK1772">
        <v>1</v>
      </c>
      <c r="DL1772">
        <v>0</v>
      </c>
      <c r="DM1772">
        <v>0</v>
      </c>
      <c r="DN1772">
        <v>1</v>
      </c>
      <c r="DO1772">
        <v>0</v>
      </c>
      <c r="DP1772">
        <v>0</v>
      </c>
      <c r="DQ1772">
        <v>0</v>
      </c>
      <c r="DR1772">
        <v>0</v>
      </c>
      <c r="DS1772">
        <v>0</v>
      </c>
    </row>
    <row r="1773" spans="1:123" x14ac:dyDescent="0.3">
      <c r="A1773" t="str">
        <f>"10/04/2022 19:30:13.463"</f>
        <v>10/04/2022 19:30:13.463</v>
      </c>
      <c r="C1773" t="str">
        <f t="shared" si="604"/>
        <v>FFDFD3C0</v>
      </c>
      <c r="D1773" t="s">
        <v>141</v>
      </c>
      <c r="E1773">
        <v>4</v>
      </c>
      <c r="H1773">
        <v>4</v>
      </c>
      <c r="I1773" t="s">
        <v>142</v>
      </c>
      <c r="J1773" t="s">
        <v>138</v>
      </c>
      <c r="K1773">
        <v>0</v>
      </c>
      <c r="L1773">
        <v>3</v>
      </c>
      <c r="M1773">
        <v>0</v>
      </c>
      <c r="N1773">
        <v>2</v>
      </c>
      <c r="O1773">
        <v>0</v>
      </c>
      <c r="P1773">
        <v>1</v>
      </c>
      <c r="Q1773">
        <v>0</v>
      </c>
      <c r="S1773" t="str">
        <f t="shared" ref="S1773:T1779" si="625">"19:30:13.000"</f>
        <v>19:30:13.000</v>
      </c>
      <c r="T1773" t="str">
        <f t="shared" si="625"/>
        <v>19:30:13.000</v>
      </c>
      <c r="U1773" t="str">
        <f t="shared" si="609"/>
        <v>AC3944</v>
      </c>
      <c r="V1773">
        <v>0</v>
      </c>
      <c r="W1773">
        <v>0</v>
      </c>
      <c r="X1773">
        <v>2</v>
      </c>
      <c r="Y1773">
        <v>0</v>
      </c>
      <c r="AA1773">
        <v>1</v>
      </c>
      <c r="AB1773">
        <v>8</v>
      </c>
      <c r="AC1773">
        <v>3</v>
      </c>
      <c r="AD1773">
        <v>0</v>
      </c>
      <c r="AE1773">
        <v>9</v>
      </c>
      <c r="AF1773" t="s">
        <v>138</v>
      </c>
      <c r="AG1773">
        <v>0</v>
      </c>
      <c r="AH1773">
        <v>3</v>
      </c>
      <c r="AI1773">
        <v>1</v>
      </c>
      <c r="AJ1773">
        <v>0</v>
      </c>
      <c r="AK1773" t="s">
        <v>642</v>
      </c>
      <c r="AL1773">
        <v>32.783782000000002</v>
      </c>
      <c r="AM1773" t="s">
        <v>643</v>
      </c>
      <c r="AN1773">
        <v>-116.862409</v>
      </c>
      <c r="AO1773">
        <v>25</v>
      </c>
      <c r="AP1773">
        <v>2900</v>
      </c>
      <c r="AQ1773" t="s">
        <v>129</v>
      </c>
      <c r="AR1773">
        <v>85</v>
      </c>
      <c r="AS1773">
        <v>-81</v>
      </c>
      <c r="AT1773">
        <v>384</v>
      </c>
      <c r="BB1773">
        <v>1200</v>
      </c>
      <c r="BC1773">
        <v>1</v>
      </c>
      <c r="BD1773" t="str">
        <f t="shared" si="610"/>
        <v xml:space="preserve">N887QR  </v>
      </c>
      <c r="BE1773">
        <v>1</v>
      </c>
      <c r="BG1773">
        <v>0</v>
      </c>
      <c r="BH1773">
        <v>0</v>
      </c>
      <c r="BI1773">
        <v>0</v>
      </c>
      <c r="BJ1773">
        <v>2600</v>
      </c>
      <c r="BK1773">
        <v>-300</v>
      </c>
      <c r="BL1773" t="s">
        <v>163</v>
      </c>
      <c r="BM1773">
        <v>1</v>
      </c>
      <c r="BN1773">
        <v>1</v>
      </c>
      <c r="BO1773">
        <v>1</v>
      </c>
      <c r="BP1773">
        <v>0</v>
      </c>
      <c r="BS1773">
        <v>0</v>
      </c>
      <c r="BT1773">
        <v>0</v>
      </c>
      <c r="BU1773">
        <v>0</v>
      </c>
      <c r="CE1773" t="str">
        <f t="shared" ref="CE1773:CE1779" si="626">"19:30:13.287"</f>
        <v>19:30:13.287</v>
      </c>
      <c r="CF1773">
        <v>286845410</v>
      </c>
      <c r="CS1773">
        <v>0</v>
      </c>
      <c r="CT1773">
        <v>2</v>
      </c>
      <c r="CU1773">
        <v>0</v>
      </c>
      <c r="CV1773">
        <v>2</v>
      </c>
      <c r="CW1773">
        <v>0</v>
      </c>
      <c r="CX1773">
        <v>5</v>
      </c>
      <c r="CY1773">
        <v>7</v>
      </c>
      <c r="CZ1773" t="s">
        <v>131</v>
      </c>
      <c r="DA1773">
        <v>300</v>
      </c>
      <c r="DB1773">
        <v>0</v>
      </c>
      <c r="DC1773" t="s">
        <v>176</v>
      </c>
      <c r="DD1773" t="s">
        <v>177</v>
      </c>
      <c r="DG1773">
        <v>5394560</v>
      </c>
      <c r="DI1773">
        <v>1</v>
      </c>
      <c r="DJ1773">
        <v>0</v>
      </c>
      <c r="DK1773">
        <v>0</v>
      </c>
      <c r="DL1773">
        <v>0</v>
      </c>
      <c r="DM1773">
        <v>0</v>
      </c>
      <c r="DN1773">
        <v>1</v>
      </c>
      <c r="DO1773">
        <v>0</v>
      </c>
      <c r="DP1773">
        <v>0</v>
      </c>
      <c r="DQ1773">
        <v>0</v>
      </c>
      <c r="DR1773">
        <v>0</v>
      </c>
      <c r="DS1773">
        <v>0</v>
      </c>
    </row>
    <row r="1774" spans="1:123" x14ac:dyDescent="0.3">
      <c r="A1774" t="str">
        <f>"10/04/2022 19:30:13.463"</f>
        <v>10/04/2022 19:30:13.463</v>
      </c>
      <c r="C1774" t="str">
        <f t="shared" si="604"/>
        <v>FFDFD3C0</v>
      </c>
      <c r="D1774" t="s">
        <v>141</v>
      </c>
      <c r="E1774">
        <v>3</v>
      </c>
      <c r="H1774">
        <v>3</v>
      </c>
      <c r="I1774" t="s">
        <v>146</v>
      </c>
      <c r="J1774" t="s">
        <v>138</v>
      </c>
      <c r="K1774">
        <v>0</v>
      </c>
      <c r="L1774">
        <v>3</v>
      </c>
      <c r="M1774">
        <v>0</v>
      </c>
      <c r="N1774">
        <v>2</v>
      </c>
      <c r="O1774">
        <v>0</v>
      </c>
      <c r="P1774">
        <v>1</v>
      </c>
      <c r="Q1774">
        <v>0</v>
      </c>
      <c r="S1774" t="str">
        <f t="shared" si="625"/>
        <v>19:30:13.000</v>
      </c>
      <c r="T1774" t="str">
        <f t="shared" si="625"/>
        <v>19:30:13.000</v>
      </c>
      <c r="U1774" t="str">
        <f t="shared" si="609"/>
        <v>AC3944</v>
      </c>
      <c r="V1774">
        <v>0</v>
      </c>
      <c r="W1774">
        <v>0</v>
      </c>
      <c r="X1774">
        <v>2</v>
      </c>
      <c r="Y1774">
        <v>0</v>
      </c>
      <c r="AA1774">
        <v>1</v>
      </c>
      <c r="AB1774">
        <v>8</v>
      </c>
      <c r="AC1774">
        <v>3</v>
      </c>
      <c r="AD1774">
        <v>0</v>
      </c>
      <c r="AE1774">
        <v>9</v>
      </c>
      <c r="AF1774" t="s">
        <v>138</v>
      </c>
      <c r="AG1774">
        <v>0</v>
      </c>
      <c r="AH1774">
        <v>3</v>
      </c>
      <c r="AI1774">
        <v>1</v>
      </c>
      <c r="AJ1774">
        <v>0</v>
      </c>
      <c r="AK1774" t="s">
        <v>642</v>
      </c>
      <c r="AL1774">
        <v>32.783782000000002</v>
      </c>
      <c r="AM1774" t="s">
        <v>643</v>
      </c>
      <c r="AN1774">
        <v>-116.862409</v>
      </c>
      <c r="AO1774">
        <v>25</v>
      </c>
      <c r="AP1774">
        <v>2900</v>
      </c>
      <c r="AQ1774" t="s">
        <v>129</v>
      </c>
      <c r="AR1774">
        <v>85</v>
      </c>
      <c r="AS1774">
        <v>-81</v>
      </c>
      <c r="AT1774">
        <v>384</v>
      </c>
      <c r="BB1774">
        <v>1200</v>
      </c>
      <c r="BC1774">
        <v>1</v>
      </c>
      <c r="BD1774" t="str">
        <f t="shared" si="610"/>
        <v xml:space="preserve">N887QR  </v>
      </c>
      <c r="BE1774">
        <v>1</v>
      </c>
      <c r="BG1774">
        <v>0</v>
      </c>
      <c r="BH1774">
        <v>0</v>
      </c>
      <c r="BI1774">
        <v>0</v>
      </c>
      <c r="BJ1774">
        <v>2600</v>
      </c>
      <c r="BK1774">
        <v>-300</v>
      </c>
      <c r="BL1774" t="s">
        <v>163</v>
      </c>
      <c r="BM1774">
        <v>1</v>
      </c>
      <c r="BN1774">
        <v>1</v>
      </c>
      <c r="BO1774">
        <v>1</v>
      </c>
      <c r="BP1774">
        <v>0</v>
      </c>
      <c r="BS1774">
        <v>0</v>
      </c>
      <c r="BT1774">
        <v>0</v>
      </c>
      <c r="BU1774">
        <v>0</v>
      </c>
      <c r="CE1774" t="str">
        <f t="shared" si="626"/>
        <v>19:30:13.287</v>
      </c>
      <c r="CF1774">
        <v>286845410</v>
      </c>
      <c r="CS1774">
        <v>0</v>
      </c>
      <c r="CT1774">
        <v>2</v>
      </c>
      <c r="CU1774">
        <v>0</v>
      </c>
      <c r="CV1774">
        <v>2</v>
      </c>
      <c r="CW1774">
        <v>0</v>
      </c>
      <c r="CX1774">
        <v>5</v>
      </c>
      <c r="CY1774">
        <v>7</v>
      </c>
      <c r="CZ1774" t="s">
        <v>131</v>
      </c>
      <c r="DA1774">
        <v>300</v>
      </c>
      <c r="DB1774">
        <v>0</v>
      </c>
      <c r="DC1774" t="s">
        <v>176</v>
      </c>
      <c r="DD1774" t="s">
        <v>177</v>
      </c>
      <c r="DG1774">
        <v>5394560</v>
      </c>
      <c r="DI1774">
        <v>1</v>
      </c>
      <c r="DJ1774">
        <v>0</v>
      </c>
      <c r="DK1774">
        <v>1</v>
      </c>
      <c r="DL1774">
        <v>0</v>
      </c>
      <c r="DM1774">
        <v>0</v>
      </c>
      <c r="DN1774">
        <v>1</v>
      </c>
      <c r="DO1774">
        <v>0</v>
      </c>
      <c r="DP1774">
        <v>0</v>
      </c>
      <c r="DQ1774">
        <v>0</v>
      </c>
      <c r="DR1774">
        <v>0</v>
      </c>
      <c r="DS1774">
        <v>0</v>
      </c>
    </row>
    <row r="1775" spans="1:123" x14ac:dyDescent="0.3">
      <c r="A1775" t="str">
        <f>"10/04/2022 19:30:13.557"</f>
        <v>10/04/2022 19:30:13.557</v>
      </c>
      <c r="C1775" t="str">
        <f t="shared" si="604"/>
        <v>FFDFD3C0</v>
      </c>
      <c r="D1775" t="s">
        <v>136</v>
      </c>
      <c r="E1775">
        <v>8</v>
      </c>
      <c r="H1775">
        <v>225</v>
      </c>
      <c r="I1775" t="s">
        <v>137</v>
      </c>
      <c r="J1775" t="s">
        <v>138</v>
      </c>
      <c r="K1775">
        <v>0</v>
      </c>
      <c r="L1775">
        <v>3</v>
      </c>
      <c r="M1775">
        <v>0</v>
      </c>
      <c r="N1775">
        <v>2</v>
      </c>
      <c r="O1775">
        <v>0</v>
      </c>
      <c r="P1775">
        <v>1</v>
      </c>
      <c r="Q1775">
        <v>0</v>
      </c>
      <c r="S1775" t="str">
        <f t="shared" si="625"/>
        <v>19:30:13.000</v>
      </c>
      <c r="T1775" t="str">
        <f t="shared" si="625"/>
        <v>19:30:13.000</v>
      </c>
      <c r="U1775" t="str">
        <f t="shared" si="609"/>
        <v>AC3944</v>
      </c>
      <c r="V1775">
        <v>0</v>
      </c>
      <c r="W1775">
        <v>0</v>
      </c>
      <c r="X1775">
        <v>2</v>
      </c>
      <c r="Y1775">
        <v>0</v>
      </c>
      <c r="AA1775">
        <v>1</v>
      </c>
      <c r="AB1775">
        <v>8</v>
      </c>
      <c r="AC1775">
        <v>3</v>
      </c>
      <c r="AD1775">
        <v>0</v>
      </c>
      <c r="AE1775">
        <v>9</v>
      </c>
      <c r="AF1775" t="s">
        <v>138</v>
      </c>
      <c r="AG1775">
        <v>0</v>
      </c>
      <c r="AH1775">
        <v>3</v>
      </c>
      <c r="AI1775">
        <v>1</v>
      </c>
      <c r="AJ1775">
        <v>0</v>
      </c>
      <c r="AK1775" t="s">
        <v>642</v>
      </c>
      <c r="AL1775">
        <v>32.783782000000002</v>
      </c>
      <c r="AM1775" t="s">
        <v>643</v>
      </c>
      <c r="AN1775">
        <v>-116.862409</v>
      </c>
      <c r="AO1775">
        <v>25</v>
      </c>
      <c r="AP1775">
        <v>2900</v>
      </c>
      <c r="AQ1775" t="s">
        <v>129</v>
      </c>
      <c r="AR1775">
        <v>85</v>
      </c>
      <c r="AS1775">
        <v>-81</v>
      </c>
      <c r="AT1775">
        <v>384</v>
      </c>
      <c r="BB1775">
        <v>1200</v>
      </c>
      <c r="BC1775">
        <v>1</v>
      </c>
      <c r="BD1775" t="str">
        <f t="shared" si="610"/>
        <v xml:space="preserve">N887QR  </v>
      </c>
      <c r="BE1775">
        <v>1</v>
      </c>
      <c r="BG1775">
        <v>0</v>
      </c>
      <c r="BH1775">
        <v>0</v>
      </c>
      <c r="BI1775">
        <v>0</v>
      </c>
      <c r="BJ1775">
        <v>2600</v>
      </c>
      <c r="BK1775">
        <v>-300</v>
      </c>
      <c r="BL1775" t="s">
        <v>163</v>
      </c>
      <c r="BM1775">
        <v>1</v>
      </c>
      <c r="BN1775">
        <v>1</v>
      </c>
      <c r="BO1775">
        <v>1</v>
      </c>
      <c r="BP1775">
        <v>0</v>
      </c>
      <c r="BS1775">
        <v>0</v>
      </c>
      <c r="BT1775">
        <v>0</v>
      </c>
      <c r="BU1775">
        <v>0</v>
      </c>
      <c r="CE1775" t="str">
        <f t="shared" si="626"/>
        <v>19:30:13.287</v>
      </c>
      <c r="CF1775">
        <v>286845410</v>
      </c>
      <c r="CS1775">
        <v>0</v>
      </c>
      <c r="CT1775">
        <v>2</v>
      </c>
      <c r="CU1775">
        <v>0</v>
      </c>
      <c r="CV1775">
        <v>2</v>
      </c>
      <c r="CW1775">
        <v>0</v>
      </c>
      <c r="CX1775">
        <v>5</v>
      </c>
      <c r="CY1775">
        <v>7</v>
      </c>
      <c r="CZ1775" t="s">
        <v>131</v>
      </c>
      <c r="DA1775">
        <v>300</v>
      </c>
      <c r="DB1775">
        <v>0</v>
      </c>
      <c r="DC1775" t="s">
        <v>176</v>
      </c>
      <c r="DD1775" t="s">
        <v>177</v>
      </c>
      <c r="DG1775">
        <v>5394560</v>
      </c>
      <c r="DI1775">
        <v>1</v>
      </c>
      <c r="DJ1775">
        <v>0</v>
      </c>
      <c r="DK1775">
        <v>1</v>
      </c>
      <c r="DL1775">
        <v>0</v>
      </c>
      <c r="DM1775">
        <v>0</v>
      </c>
      <c r="DN1775">
        <v>1</v>
      </c>
      <c r="DO1775">
        <v>0</v>
      </c>
      <c r="DP1775">
        <v>0</v>
      </c>
      <c r="DQ1775">
        <v>0</v>
      </c>
      <c r="DR1775">
        <v>0</v>
      </c>
      <c r="DS1775">
        <v>0</v>
      </c>
    </row>
    <row r="1776" spans="1:123" x14ac:dyDescent="0.3">
      <c r="A1776" t="str">
        <f>"10/04/2022 19:30:13.557"</f>
        <v>10/04/2022 19:30:13.557</v>
      </c>
      <c r="C1776" t="str">
        <f t="shared" si="604"/>
        <v>FFDFD3C0</v>
      </c>
      <c r="D1776" t="s">
        <v>143</v>
      </c>
      <c r="E1776">
        <v>20</v>
      </c>
      <c r="F1776">
        <v>1020</v>
      </c>
      <c r="G1776" t="s">
        <v>144</v>
      </c>
      <c r="J1776" t="s">
        <v>145</v>
      </c>
      <c r="K1776">
        <v>0</v>
      </c>
      <c r="L1776">
        <v>3</v>
      </c>
      <c r="M1776">
        <v>0</v>
      </c>
      <c r="N1776">
        <v>2</v>
      </c>
      <c r="O1776">
        <v>0</v>
      </c>
      <c r="P1776">
        <v>1</v>
      </c>
      <c r="Q1776">
        <v>0</v>
      </c>
      <c r="S1776" t="str">
        <f t="shared" si="625"/>
        <v>19:30:13.000</v>
      </c>
      <c r="T1776" t="str">
        <f t="shared" si="625"/>
        <v>19:30:13.000</v>
      </c>
      <c r="U1776" t="str">
        <f t="shared" si="609"/>
        <v>AC3944</v>
      </c>
      <c r="V1776">
        <v>0</v>
      </c>
      <c r="W1776">
        <v>0</v>
      </c>
      <c r="X1776">
        <v>2</v>
      </c>
      <c r="Y1776">
        <v>0</v>
      </c>
      <c r="AA1776">
        <v>1</v>
      </c>
      <c r="AB1776">
        <v>8</v>
      </c>
      <c r="AC1776">
        <v>3</v>
      </c>
      <c r="AD1776">
        <v>0</v>
      </c>
      <c r="AE1776">
        <v>9</v>
      </c>
      <c r="AF1776" t="s">
        <v>138</v>
      </c>
      <c r="AG1776">
        <v>0</v>
      </c>
      <c r="AH1776">
        <v>3</v>
      </c>
      <c r="AI1776">
        <v>1</v>
      </c>
      <c r="AJ1776">
        <v>0</v>
      </c>
      <c r="AK1776" t="s">
        <v>642</v>
      </c>
      <c r="AL1776">
        <v>32.783782000000002</v>
      </c>
      <c r="AM1776" t="s">
        <v>643</v>
      </c>
      <c r="AN1776">
        <v>-116.862409</v>
      </c>
      <c r="AO1776">
        <v>25</v>
      </c>
      <c r="AP1776">
        <v>2900</v>
      </c>
      <c r="AQ1776" t="s">
        <v>129</v>
      </c>
      <c r="AR1776">
        <v>85</v>
      </c>
      <c r="AS1776">
        <v>-81</v>
      </c>
      <c r="AT1776">
        <v>384</v>
      </c>
      <c r="BB1776">
        <v>1200</v>
      </c>
      <c r="BC1776">
        <v>1</v>
      </c>
      <c r="BD1776" t="str">
        <f t="shared" si="610"/>
        <v xml:space="preserve">N887QR  </v>
      </c>
      <c r="BE1776">
        <v>1</v>
      </c>
      <c r="BG1776">
        <v>0</v>
      </c>
      <c r="BH1776">
        <v>0</v>
      </c>
      <c r="BI1776">
        <v>0</v>
      </c>
      <c r="BJ1776">
        <v>2600</v>
      </c>
      <c r="BK1776">
        <v>-300</v>
      </c>
      <c r="BL1776" t="s">
        <v>163</v>
      </c>
      <c r="BM1776">
        <v>1</v>
      </c>
      <c r="BN1776">
        <v>1</v>
      </c>
      <c r="BO1776">
        <v>1</v>
      </c>
      <c r="BP1776">
        <v>0</v>
      </c>
      <c r="BS1776">
        <v>0</v>
      </c>
      <c r="BT1776">
        <v>0</v>
      </c>
      <c r="BU1776">
        <v>0</v>
      </c>
      <c r="CE1776" t="str">
        <f t="shared" si="626"/>
        <v>19:30:13.287</v>
      </c>
      <c r="CF1776">
        <v>286845410</v>
      </c>
      <c r="CS1776">
        <v>0</v>
      </c>
      <c r="CT1776">
        <v>2</v>
      </c>
      <c r="CU1776">
        <v>0</v>
      </c>
      <c r="CV1776">
        <v>2</v>
      </c>
      <c r="CW1776">
        <v>0</v>
      </c>
      <c r="CX1776">
        <v>5</v>
      </c>
      <c r="CY1776">
        <v>7</v>
      </c>
      <c r="CZ1776" t="s">
        <v>131</v>
      </c>
      <c r="DA1776">
        <v>300</v>
      </c>
      <c r="DB1776">
        <v>0</v>
      </c>
      <c r="DC1776" t="s">
        <v>176</v>
      </c>
      <c r="DD1776" t="s">
        <v>177</v>
      </c>
      <c r="DG1776">
        <v>5394560</v>
      </c>
      <c r="DI1776">
        <v>1</v>
      </c>
      <c r="DJ1776">
        <v>0</v>
      </c>
      <c r="DK1776">
        <v>1</v>
      </c>
      <c r="DL1776">
        <v>0</v>
      </c>
      <c r="DM1776">
        <v>0</v>
      </c>
      <c r="DN1776">
        <v>1</v>
      </c>
      <c r="DO1776">
        <v>0</v>
      </c>
      <c r="DP1776">
        <v>0</v>
      </c>
      <c r="DQ1776">
        <v>0</v>
      </c>
      <c r="DR1776">
        <v>0</v>
      </c>
      <c r="DS1776">
        <v>0</v>
      </c>
    </row>
    <row r="1777" spans="1:123" x14ac:dyDescent="0.3">
      <c r="A1777" t="str">
        <f>"10/04/2022 19:30:13.557"</f>
        <v>10/04/2022 19:30:13.557</v>
      </c>
      <c r="C1777" t="str">
        <f t="shared" si="604"/>
        <v>FFDFD3C0</v>
      </c>
      <c r="D1777" t="s">
        <v>134</v>
      </c>
      <c r="E1777">
        <v>15</v>
      </c>
      <c r="J1777" t="s">
        <v>135</v>
      </c>
      <c r="K1777">
        <v>0</v>
      </c>
      <c r="L1777">
        <v>3</v>
      </c>
      <c r="M1777">
        <v>0</v>
      </c>
      <c r="N1777">
        <v>2</v>
      </c>
      <c r="O1777">
        <v>0</v>
      </c>
      <c r="P1777">
        <v>1</v>
      </c>
      <c r="Q1777">
        <v>0</v>
      </c>
      <c r="S1777" t="str">
        <f t="shared" si="625"/>
        <v>19:30:13.000</v>
      </c>
      <c r="T1777" t="str">
        <f t="shared" si="625"/>
        <v>19:30:13.000</v>
      </c>
      <c r="U1777" t="str">
        <f t="shared" si="609"/>
        <v>AC3944</v>
      </c>
      <c r="V1777">
        <v>0</v>
      </c>
      <c r="W1777">
        <v>0</v>
      </c>
      <c r="X1777">
        <v>2</v>
      </c>
      <c r="Y1777">
        <v>0</v>
      </c>
      <c r="AA1777">
        <v>1</v>
      </c>
      <c r="AB1777">
        <v>8</v>
      </c>
      <c r="AC1777">
        <v>3</v>
      </c>
      <c r="AD1777">
        <v>0</v>
      </c>
      <c r="AE1777">
        <v>9</v>
      </c>
      <c r="AF1777" t="s">
        <v>138</v>
      </c>
      <c r="AG1777">
        <v>0</v>
      </c>
      <c r="AH1777">
        <v>3</v>
      </c>
      <c r="AI1777">
        <v>1</v>
      </c>
      <c r="AJ1777">
        <v>0</v>
      </c>
      <c r="AK1777" t="s">
        <v>642</v>
      </c>
      <c r="AL1777">
        <v>32.783782000000002</v>
      </c>
      <c r="AM1777" t="s">
        <v>643</v>
      </c>
      <c r="AN1777">
        <v>-116.862409</v>
      </c>
      <c r="AO1777">
        <v>25</v>
      </c>
      <c r="AP1777">
        <v>2900</v>
      </c>
      <c r="AQ1777" t="s">
        <v>129</v>
      </c>
      <c r="AR1777">
        <v>85</v>
      </c>
      <c r="AS1777">
        <v>-81</v>
      </c>
      <c r="AT1777">
        <v>384</v>
      </c>
      <c r="BB1777">
        <v>1200</v>
      </c>
      <c r="BC1777">
        <v>1</v>
      </c>
      <c r="BD1777" t="str">
        <f t="shared" si="610"/>
        <v xml:space="preserve">N887QR  </v>
      </c>
      <c r="BE1777">
        <v>1</v>
      </c>
      <c r="BG1777">
        <v>0</v>
      </c>
      <c r="BH1777">
        <v>0</v>
      </c>
      <c r="BI1777">
        <v>0</v>
      </c>
      <c r="BJ1777">
        <v>2600</v>
      </c>
      <c r="BK1777">
        <v>-300</v>
      </c>
      <c r="BL1777" t="s">
        <v>163</v>
      </c>
      <c r="BM1777">
        <v>1</v>
      </c>
      <c r="BN1777">
        <v>1</v>
      </c>
      <c r="BO1777">
        <v>1</v>
      </c>
      <c r="BP1777">
        <v>0</v>
      </c>
      <c r="BS1777">
        <v>0</v>
      </c>
      <c r="BT1777">
        <v>0</v>
      </c>
      <c r="BU1777">
        <v>0</v>
      </c>
      <c r="CE1777" t="str">
        <f t="shared" si="626"/>
        <v>19:30:13.287</v>
      </c>
      <c r="CF1777">
        <v>286845410</v>
      </c>
      <c r="CS1777">
        <v>0</v>
      </c>
      <c r="CT1777">
        <v>2</v>
      </c>
      <c r="CU1777">
        <v>0</v>
      </c>
      <c r="CV1777">
        <v>2</v>
      </c>
      <c r="CW1777">
        <v>0</v>
      </c>
      <c r="CX1777">
        <v>5</v>
      </c>
      <c r="CY1777">
        <v>7</v>
      </c>
      <c r="CZ1777" t="s">
        <v>131</v>
      </c>
      <c r="DA1777">
        <v>300</v>
      </c>
      <c r="DB1777">
        <v>0</v>
      </c>
      <c r="DC1777" t="s">
        <v>176</v>
      </c>
      <c r="DD1777" t="s">
        <v>177</v>
      </c>
      <c r="DG1777">
        <v>5394560</v>
      </c>
      <c r="DI1777">
        <v>1</v>
      </c>
      <c r="DJ1777">
        <v>0</v>
      </c>
      <c r="DK1777">
        <v>1</v>
      </c>
      <c r="DL1777">
        <v>0</v>
      </c>
      <c r="DM1777">
        <v>0</v>
      </c>
      <c r="DN1777">
        <v>1</v>
      </c>
      <c r="DO1777">
        <v>0</v>
      </c>
      <c r="DP1777">
        <v>0</v>
      </c>
      <c r="DQ1777">
        <v>0</v>
      </c>
      <c r="DR1777">
        <v>0</v>
      </c>
      <c r="DS1777">
        <v>0</v>
      </c>
    </row>
    <row r="1778" spans="1:123" x14ac:dyDescent="0.3">
      <c r="A1778" t="str">
        <f>"10/04/2022 19:30:13.557"</f>
        <v>10/04/2022 19:30:13.557</v>
      </c>
      <c r="C1778" t="str">
        <f t="shared" si="604"/>
        <v>FFDFD3C0</v>
      </c>
      <c r="D1778" t="s">
        <v>123</v>
      </c>
      <c r="E1778">
        <v>7</v>
      </c>
      <c r="F1778">
        <v>2007</v>
      </c>
      <c r="G1778" t="s">
        <v>124</v>
      </c>
      <c r="J1778" t="s">
        <v>125</v>
      </c>
      <c r="K1778">
        <v>0</v>
      </c>
      <c r="L1778">
        <v>3</v>
      </c>
      <c r="M1778">
        <v>0</v>
      </c>
      <c r="N1778">
        <v>2</v>
      </c>
      <c r="O1778">
        <v>0</v>
      </c>
      <c r="P1778">
        <v>1</v>
      </c>
      <c r="Q1778">
        <v>0</v>
      </c>
      <c r="S1778" t="str">
        <f t="shared" si="625"/>
        <v>19:30:13.000</v>
      </c>
      <c r="T1778" t="str">
        <f t="shared" si="625"/>
        <v>19:30:13.000</v>
      </c>
      <c r="U1778" t="str">
        <f t="shared" si="609"/>
        <v>AC3944</v>
      </c>
      <c r="V1778">
        <v>0</v>
      </c>
      <c r="W1778">
        <v>0</v>
      </c>
      <c r="X1778">
        <v>2</v>
      </c>
      <c r="Y1778">
        <v>0</v>
      </c>
      <c r="AA1778">
        <v>1</v>
      </c>
      <c r="AB1778">
        <v>8</v>
      </c>
      <c r="AC1778">
        <v>3</v>
      </c>
      <c r="AD1778">
        <v>0</v>
      </c>
      <c r="AE1778">
        <v>9</v>
      </c>
      <c r="AF1778" t="s">
        <v>138</v>
      </c>
      <c r="AG1778">
        <v>0</v>
      </c>
      <c r="AH1778">
        <v>3</v>
      </c>
      <c r="AI1778">
        <v>1</v>
      </c>
      <c r="AJ1778">
        <v>0</v>
      </c>
      <c r="AK1778" t="s">
        <v>642</v>
      </c>
      <c r="AL1778">
        <v>32.783782000000002</v>
      </c>
      <c r="AM1778" t="s">
        <v>643</v>
      </c>
      <c r="AN1778">
        <v>-116.862409</v>
      </c>
      <c r="AO1778">
        <v>25</v>
      </c>
      <c r="AP1778">
        <v>2900</v>
      </c>
      <c r="AQ1778" t="s">
        <v>129</v>
      </c>
      <c r="AR1778">
        <v>85</v>
      </c>
      <c r="AS1778">
        <v>-81</v>
      </c>
      <c r="AT1778">
        <v>384</v>
      </c>
      <c r="BB1778">
        <v>1200</v>
      </c>
      <c r="BC1778">
        <v>1</v>
      </c>
      <c r="BD1778" t="str">
        <f t="shared" si="610"/>
        <v xml:space="preserve">N887QR  </v>
      </c>
      <c r="BE1778">
        <v>1</v>
      </c>
      <c r="BG1778">
        <v>0</v>
      </c>
      <c r="BH1778">
        <v>0</v>
      </c>
      <c r="BI1778">
        <v>0</v>
      </c>
      <c r="BJ1778">
        <v>2600</v>
      </c>
      <c r="BK1778">
        <v>-300</v>
      </c>
      <c r="BL1778" t="s">
        <v>163</v>
      </c>
      <c r="BM1778">
        <v>1</v>
      </c>
      <c r="BN1778">
        <v>1</v>
      </c>
      <c r="BO1778">
        <v>1</v>
      </c>
      <c r="BP1778">
        <v>0</v>
      </c>
      <c r="BS1778">
        <v>0</v>
      </c>
      <c r="BT1778">
        <v>0</v>
      </c>
      <c r="BU1778">
        <v>0</v>
      </c>
      <c r="CE1778" t="str">
        <f t="shared" si="626"/>
        <v>19:30:13.287</v>
      </c>
      <c r="CF1778">
        <v>286845410</v>
      </c>
      <c r="CS1778">
        <v>0</v>
      </c>
      <c r="CT1778">
        <v>2</v>
      </c>
      <c r="CU1778">
        <v>0</v>
      </c>
      <c r="CV1778">
        <v>2</v>
      </c>
      <c r="CW1778">
        <v>0</v>
      </c>
      <c r="CX1778">
        <v>5</v>
      </c>
      <c r="CY1778">
        <v>7</v>
      </c>
      <c r="CZ1778" t="s">
        <v>131</v>
      </c>
      <c r="DA1778">
        <v>300</v>
      </c>
      <c r="DB1778">
        <v>0</v>
      </c>
      <c r="DC1778" t="s">
        <v>176</v>
      </c>
      <c r="DD1778" t="s">
        <v>177</v>
      </c>
      <c r="DG1778">
        <v>5394560</v>
      </c>
      <c r="DI1778">
        <v>1</v>
      </c>
      <c r="DJ1778">
        <v>0</v>
      </c>
      <c r="DK1778">
        <v>1</v>
      </c>
      <c r="DL1778">
        <v>0</v>
      </c>
      <c r="DM1778">
        <v>0</v>
      </c>
      <c r="DN1778">
        <v>1</v>
      </c>
      <c r="DO1778">
        <v>0</v>
      </c>
      <c r="DP1778">
        <v>0</v>
      </c>
      <c r="DQ1778">
        <v>0</v>
      </c>
      <c r="DR1778">
        <v>0</v>
      </c>
      <c r="DS1778">
        <v>0</v>
      </c>
    </row>
    <row r="1779" spans="1:123" x14ac:dyDescent="0.3">
      <c r="A1779" t="str">
        <f>"10/04/2022 19:30:13.557"</f>
        <v>10/04/2022 19:30:13.557</v>
      </c>
      <c r="C1779" t="str">
        <f t="shared" si="604"/>
        <v>FFDFD3C0</v>
      </c>
      <c r="D1779" t="s">
        <v>147</v>
      </c>
      <c r="E1779">
        <v>3</v>
      </c>
      <c r="H1779">
        <v>166</v>
      </c>
      <c r="I1779" t="s">
        <v>144</v>
      </c>
      <c r="J1779" t="s">
        <v>148</v>
      </c>
      <c r="K1779">
        <v>0</v>
      </c>
      <c r="L1779">
        <v>3</v>
      </c>
      <c r="M1779">
        <v>0</v>
      </c>
      <c r="N1779">
        <v>2</v>
      </c>
      <c r="O1779">
        <v>0</v>
      </c>
      <c r="P1779">
        <v>1</v>
      </c>
      <c r="Q1779">
        <v>0</v>
      </c>
      <c r="S1779" t="str">
        <f t="shared" si="625"/>
        <v>19:30:13.000</v>
      </c>
      <c r="T1779" t="str">
        <f t="shared" si="625"/>
        <v>19:30:13.000</v>
      </c>
      <c r="U1779" t="str">
        <f t="shared" si="609"/>
        <v>AC3944</v>
      </c>
      <c r="V1779">
        <v>0</v>
      </c>
      <c r="W1779">
        <v>0</v>
      </c>
      <c r="X1779">
        <v>2</v>
      </c>
      <c r="Y1779">
        <v>0</v>
      </c>
      <c r="AA1779">
        <v>1</v>
      </c>
      <c r="AB1779">
        <v>8</v>
      </c>
      <c r="AC1779">
        <v>3</v>
      </c>
      <c r="AD1779">
        <v>0</v>
      </c>
      <c r="AE1779">
        <v>9</v>
      </c>
      <c r="AF1779" t="s">
        <v>138</v>
      </c>
      <c r="AG1779">
        <v>0</v>
      </c>
      <c r="AH1779">
        <v>3</v>
      </c>
      <c r="AI1779">
        <v>1</v>
      </c>
      <c r="AJ1779">
        <v>0</v>
      </c>
      <c r="AK1779" t="s">
        <v>642</v>
      </c>
      <c r="AL1779">
        <v>32.783782000000002</v>
      </c>
      <c r="AM1779" t="s">
        <v>643</v>
      </c>
      <c r="AN1779">
        <v>-116.862409</v>
      </c>
      <c r="AO1779">
        <v>25</v>
      </c>
      <c r="AP1779">
        <v>2900</v>
      </c>
      <c r="AQ1779" t="s">
        <v>129</v>
      </c>
      <c r="AR1779">
        <v>85</v>
      </c>
      <c r="AS1779">
        <v>-81</v>
      </c>
      <c r="AT1779">
        <v>384</v>
      </c>
      <c r="BB1779">
        <v>1200</v>
      </c>
      <c r="BC1779">
        <v>1</v>
      </c>
      <c r="BD1779" t="str">
        <f t="shared" si="610"/>
        <v xml:space="preserve">N887QR  </v>
      </c>
      <c r="BE1779">
        <v>1</v>
      </c>
      <c r="BG1779">
        <v>0</v>
      </c>
      <c r="BH1779">
        <v>0</v>
      </c>
      <c r="BI1779">
        <v>0</v>
      </c>
      <c r="BJ1779">
        <v>2600</v>
      </c>
      <c r="BK1779">
        <v>-300</v>
      </c>
      <c r="BL1779" t="s">
        <v>163</v>
      </c>
      <c r="BM1779">
        <v>1</v>
      </c>
      <c r="BN1779">
        <v>1</v>
      </c>
      <c r="BO1779">
        <v>1</v>
      </c>
      <c r="BP1779">
        <v>0</v>
      </c>
      <c r="BS1779">
        <v>0</v>
      </c>
      <c r="BT1779">
        <v>0</v>
      </c>
      <c r="BU1779">
        <v>0</v>
      </c>
      <c r="CE1779" t="str">
        <f t="shared" si="626"/>
        <v>19:30:13.287</v>
      </c>
      <c r="CF1779">
        <v>286845410</v>
      </c>
      <c r="CS1779">
        <v>0</v>
      </c>
      <c r="CT1779">
        <v>2</v>
      </c>
      <c r="CU1779">
        <v>0</v>
      </c>
      <c r="CV1779">
        <v>2</v>
      </c>
      <c r="CW1779">
        <v>0</v>
      </c>
      <c r="CX1779">
        <v>5</v>
      </c>
      <c r="CY1779">
        <v>7</v>
      </c>
      <c r="CZ1779" t="s">
        <v>131</v>
      </c>
      <c r="DA1779">
        <v>300</v>
      </c>
      <c r="DB1779">
        <v>0</v>
      </c>
      <c r="DC1779" t="s">
        <v>176</v>
      </c>
      <c r="DD1779" t="s">
        <v>177</v>
      </c>
      <c r="DG1779">
        <v>5394560</v>
      </c>
      <c r="DI1779">
        <v>1</v>
      </c>
      <c r="DJ1779">
        <v>0</v>
      </c>
      <c r="DK1779">
        <v>1</v>
      </c>
      <c r="DL1779">
        <v>0</v>
      </c>
      <c r="DM1779">
        <v>0</v>
      </c>
      <c r="DN1779">
        <v>1</v>
      </c>
      <c r="DO1779">
        <v>0</v>
      </c>
      <c r="DP1779">
        <v>0</v>
      </c>
      <c r="DQ1779">
        <v>0</v>
      </c>
      <c r="DR1779">
        <v>0</v>
      </c>
      <c r="DS1779">
        <v>0</v>
      </c>
    </row>
    <row r="1780" spans="1:123" x14ac:dyDescent="0.3">
      <c r="A1780" t="str">
        <f>"10/04/2022 19:30:14.260"</f>
        <v>10/04/2022 19:30:14.260</v>
      </c>
      <c r="C1780" t="str">
        <f t="shared" si="604"/>
        <v>FFDFD3C0</v>
      </c>
      <c r="D1780" t="s">
        <v>136</v>
      </c>
      <c r="E1780">
        <v>8</v>
      </c>
      <c r="H1780">
        <v>225</v>
      </c>
      <c r="I1780" t="s">
        <v>137</v>
      </c>
      <c r="J1780" t="s">
        <v>138</v>
      </c>
      <c r="K1780">
        <v>0</v>
      </c>
      <c r="L1780">
        <v>3</v>
      </c>
      <c r="M1780">
        <v>0</v>
      </c>
      <c r="N1780">
        <v>2</v>
      </c>
      <c r="O1780">
        <v>0</v>
      </c>
      <c r="P1780">
        <v>1</v>
      </c>
      <c r="Q1780">
        <v>0</v>
      </c>
      <c r="S1780" t="str">
        <f t="shared" ref="S1780:T1786" si="627">"19:30:14.000"</f>
        <v>19:30:14.000</v>
      </c>
      <c r="T1780" t="str">
        <f t="shared" si="627"/>
        <v>19:30:14.000</v>
      </c>
      <c r="U1780" t="str">
        <f t="shared" si="609"/>
        <v>AC3944</v>
      </c>
      <c r="V1780">
        <v>0</v>
      </c>
      <c r="W1780">
        <v>0</v>
      </c>
      <c r="X1780">
        <v>2</v>
      </c>
      <c r="Y1780">
        <v>0</v>
      </c>
      <c r="AA1780">
        <v>1</v>
      </c>
      <c r="AB1780">
        <v>8</v>
      </c>
      <c r="AC1780">
        <v>3</v>
      </c>
      <c r="AD1780">
        <v>0</v>
      </c>
      <c r="AE1780">
        <v>9</v>
      </c>
      <c r="AF1780" t="s">
        <v>138</v>
      </c>
      <c r="AG1780">
        <v>0</v>
      </c>
      <c r="AH1780">
        <v>3</v>
      </c>
      <c r="AI1780">
        <v>1</v>
      </c>
      <c r="AJ1780">
        <v>0</v>
      </c>
      <c r="AK1780" t="s">
        <v>644</v>
      </c>
      <c r="AL1780">
        <v>32.783396000000003</v>
      </c>
      <c r="AM1780" t="s">
        <v>645</v>
      </c>
      <c r="AN1780">
        <v>-116.861937</v>
      </c>
      <c r="AO1780">
        <v>25</v>
      </c>
      <c r="AP1780">
        <v>2900</v>
      </c>
      <c r="AQ1780" t="s">
        <v>129</v>
      </c>
      <c r="AR1780">
        <v>86</v>
      </c>
      <c r="AS1780">
        <v>-80</v>
      </c>
      <c r="AT1780">
        <v>384</v>
      </c>
      <c r="BB1780">
        <v>1200</v>
      </c>
      <c r="BC1780">
        <v>1</v>
      </c>
      <c r="BD1780" t="str">
        <f t="shared" si="610"/>
        <v xml:space="preserve">N887QR  </v>
      </c>
      <c r="BE1780">
        <v>1</v>
      </c>
      <c r="BG1780">
        <v>0</v>
      </c>
      <c r="BH1780">
        <v>0</v>
      </c>
      <c r="BI1780">
        <v>0</v>
      </c>
      <c r="BJ1780">
        <v>2600</v>
      </c>
      <c r="BK1780">
        <v>-300</v>
      </c>
      <c r="BL1780" t="s">
        <v>163</v>
      </c>
      <c r="BM1780">
        <v>1</v>
      </c>
      <c r="BN1780">
        <v>1</v>
      </c>
      <c r="BO1780">
        <v>1</v>
      </c>
      <c r="BP1780">
        <v>0</v>
      </c>
      <c r="BS1780">
        <v>0</v>
      </c>
      <c r="BT1780">
        <v>0</v>
      </c>
      <c r="BU1780">
        <v>0</v>
      </c>
      <c r="CE1780" t="str">
        <f t="shared" ref="CE1780:CE1786" si="628">"19:30:14.067"</f>
        <v>19:30:14.067</v>
      </c>
      <c r="CF1780">
        <v>66598015</v>
      </c>
      <c r="CS1780">
        <v>0</v>
      </c>
      <c r="CT1780">
        <v>2</v>
      </c>
      <c r="CU1780">
        <v>0</v>
      </c>
      <c r="CV1780">
        <v>2</v>
      </c>
      <c r="CW1780">
        <v>0</v>
      </c>
      <c r="CX1780">
        <v>5</v>
      </c>
      <c r="CY1780">
        <v>7</v>
      </c>
      <c r="CZ1780" t="s">
        <v>131</v>
      </c>
      <c r="DA1780">
        <v>300</v>
      </c>
      <c r="DB1780">
        <v>0</v>
      </c>
      <c r="DC1780" t="s">
        <v>176</v>
      </c>
      <c r="DD1780" t="s">
        <v>177</v>
      </c>
      <c r="DG1780">
        <v>5394683</v>
      </c>
      <c r="DI1780">
        <v>1</v>
      </c>
      <c r="DJ1780">
        <v>0</v>
      </c>
      <c r="DK1780">
        <v>0</v>
      </c>
      <c r="DL1780">
        <v>0</v>
      </c>
      <c r="DM1780">
        <v>0</v>
      </c>
      <c r="DN1780">
        <v>1</v>
      </c>
      <c r="DO1780">
        <v>0</v>
      </c>
      <c r="DP1780">
        <v>0</v>
      </c>
      <c r="DQ1780">
        <v>0</v>
      </c>
      <c r="DR1780">
        <v>0</v>
      </c>
      <c r="DS1780">
        <v>0</v>
      </c>
    </row>
    <row r="1781" spans="1:123" x14ac:dyDescent="0.3">
      <c r="A1781" t="str">
        <f>"10/04/2022 19:30:14.260"</f>
        <v>10/04/2022 19:30:14.260</v>
      </c>
      <c r="C1781" t="str">
        <f t="shared" ref="C1781:C1844" si="629">"FFDFD3C0"</f>
        <v>FFDFD3C0</v>
      </c>
      <c r="D1781" t="s">
        <v>143</v>
      </c>
      <c r="E1781">
        <v>20</v>
      </c>
      <c r="F1781">
        <v>1020</v>
      </c>
      <c r="G1781" t="s">
        <v>144</v>
      </c>
      <c r="J1781" t="s">
        <v>145</v>
      </c>
      <c r="K1781">
        <v>0</v>
      </c>
      <c r="L1781">
        <v>3</v>
      </c>
      <c r="M1781">
        <v>0</v>
      </c>
      <c r="N1781">
        <v>2</v>
      </c>
      <c r="O1781">
        <v>0</v>
      </c>
      <c r="P1781">
        <v>1</v>
      </c>
      <c r="Q1781">
        <v>0</v>
      </c>
      <c r="S1781" t="str">
        <f t="shared" si="627"/>
        <v>19:30:14.000</v>
      </c>
      <c r="T1781" t="str">
        <f t="shared" si="627"/>
        <v>19:30:14.000</v>
      </c>
      <c r="U1781" t="str">
        <f t="shared" si="609"/>
        <v>AC3944</v>
      </c>
      <c r="V1781">
        <v>0</v>
      </c>
      <c r="W1781">
        <v>0</v>
      </c>
      <c r="X1781">
        <v>2</v>
      </c>
      <c r="Y1781">
        <v>0</v>
      </c>
      <c r="AA1781">
        <v>1</v>
      </c>
      <c r="AB1781">
        <v>8</v>
      </c>
      <c r="AC1781">
        <v>3</v>
      </c>
      <c r="AD1781">
        <v>0</v>
      </c>
      <c r="AE1781">
        <v>9</v>
      </c>
      <c r="AF1781" t="s">
        <v>138</v>
      </c>
      <c r="AG1781">
        <v>0</v>
      </c>
      <c r="AH1781">
        <v>3</v>
      </c>
      <c r="AI1781">
        <v>1</v>
      </c>
      <c r="AJ1781">
        <v>0</v>
      </c>
      <c r="AK1781" t="s">
        <v>644</v>
      </c>
      <c r="AL1781">
        <v>32.783396000000003</v>
      </c>
      <c r="AM1781" t="s">
        <v>645</v>
      </c>
      <c r="AN1781">
        <v>-116.861937</v>
      </c>
      <c r="AO1781">
        <v>25</v>
      </c>
      <c r="AP1781">
        <v>2900</v>
      </c>
      <c r="AQ1781" t="s">
        <v>129</v>
      </c>
      <c r="AR1781">
        <v>86</v>
      </c>
      <c r="AS1781">
        <v>-80</v>
      </c>
      <c r="AT1781">
        <v>384</v>
      </c>
      <c r="BB1781">
        <v>1200</v>
      </c>
      <c r="BC1781">
        <v>1</v>
      </c>
      <c r="BD1781" t="str">
        <f t="shared" si="610"/>
        <v xml:space="preserve">N887QR  </v>
      </c>
      <c r="BE1781">
        <v>1</v>
      </c>
      <c r="BG1781">
        <v>0</v>
      </c>
      <c r="BH1781">
        <v>0</v>
      </c>
      <c r="BI1781">
        <v>0</v>
      </c>
      <c r="BJ1781">
        <v>2600</v>
      </c>
      <c r="BK1781">
        <v>-300</v>
      </c>
      <c r="BL1781" t="s">
        <v>163</v>
      </c>
      <c r="BM1781">
        <v>1</v>
      </c>
      <c r="BN1781">
        <v>1</v>
      </c>
      <c r="BO1781">
        <v>1</v>
      </c>
      <c r="BP1781">
        <v>0</v>
      </c>
      <c r="BS1781">
        <v>0</v>
      </c>
      <c r="BT1781">
        <v>0</v>
      </c>
      <c r="BU1781">
        <v>0</v>
      </c>
      <c r="CE1781" t="str">
        <f t="shared" si="628"/>
        <v>19:30:14.067</v>
      </c>
      <c r="CF1781">
        <v>66598015</v>
      </c>
      <c r="CS1781">
        <v>0</v>
      </c>
      <c r="CT1781">
        <v>2</v>
      </c>
      <c r="CU1781">
        <v>0</v>
      </c>
      <c r="CV1781">
        <v>2</v>
      </c>
      <c r="CW1781">
        <v>0</v>
      </c>
      <c r="CX1781">
        <v>5</v>
      </c>
      <c r="CY1781">
        <v>7</v>
      </c>
      <c r="CZ1781" t="s">
        <v>131</v>
      </c>
      <c r="DA1781">
        <v>300</v>
      </c>
      <c r="DB1781">
        <v>0</v>
      </c>
      <c r="DC1781" t="s">
        <v>176</v>
      </c>
      <c r="DD1781" t="s">
        <v>177</v>
      </c>
      <c r="DG1781">
        <v>5394683</v>
      </c>
      <c r="DI1781">
        <v>1</v>
      </c>
      <c r="DJ1781">
        <v>0</v>
      </c>
      <c r="DK1781">
        <v>1</v>
      </c>
      <c r="DL1781">
        <v>0</v>
      </c>
      <c r="DM1781">
        <v>0</v>
      </c>
      <c r="DN1781">
        <v>1</v>
      </c>
      <c r="DO1781">
        <v>0</v>
      </c>
      <c r="DP1781">
        <v>0</v>
      </c>
      <c r="DQ1781">
        <v>0</v>
      </c>
      <c r="DR1781">
        <v>0</v>
      </c>
      <c r="DS1781">
        <v>0</v>
      </c>
    </row>
    <row r="1782" spans="1:123" x14ac:dyDescent="0.3">
      <c r="A1782" t="str">
        <f>"10/04/2022 19:30:14.260"</f>
        <v>10/04/2022 19:30:14.260</v>
      </c>
      <c r="C1782" t="str">
        <f t="shared" si="629"/>
        <v>FFDFD3C0</v>
      </c>
      <c r="D1782" t="s">
        <v>134</v>
      </c>
      <c r="E1782">
        <v>15</v>
      </c>
      <c r="J1782" t="s">
        <v>135</v>
      </c>
      <c r="K1782">
        <v>0</v>
      </c>
      <c r="L1782">
        <v>3</v>
      </c>
      <c r="M1782">
        <v>0</v>
      </c>
      <c r="N1782">
        <v>2</v>
      </c>
      <c r="O1782">
        <v>0</v>
      </c>
      <c r="P1782">
        <v>1</v>
      </c>
      <c r="Q1782">
        <v>0</v>
      </c>
      <c r="S1782" t="str">
        <f t="shared" si="627"/>
        <v>19:30:14.000</v>
      </c>
      <c r="T1782" t="str">
        <f t="shared" si="627"/>
        <v>19:30:14.000</v>
      </c>
      <c r="U1782" t="str">
        <f t="shared" si="609"/>
        <v>AC3944</v>
      </c>
      <c r="V1782">
        <v>0</v>
      </c>
      <c r="W1782">
        <v>0</v>
      </c>
      <c r="X1782">
        <v>2</v>
      </c>
      <c r="Y1782">
        <v>0</v>
      </c>
      <c r="AA1782">
        <v>1</v>
      </c>
      <c r="AB1782">
        <v>8</v>
      </c>
      <c r="AC1782">
        <v>3</v>
      </c>
      <c r="AD1782">
        <v>0</v>
      </c>
      <c r="AE1782">
        <v>9</v>
      </c>
      <c r="AF1782" t="s">
        <v>138</v>
      </c>
      <c r="AG1782">
        <v>0</v>
      </c>
      <c r="AH1782">
        <v>3</v>
      </c>
      <c r="AI1782">
        <v>1</v>
      </c>
      <c r="AJ1782">
        <v>0</v>
      </c>
      <c r="AK1782" t="s">
        <v>644</v>
      </c>
      <c r="AL1782">
        <v>32.783396000000003</v>
      </c>
      <c r="AM1782" t="s">
        <v>645</v>
      </c>
      <c r="AN1782">
        <v>-116.861937</v>
      </c>
      <c r="AO1782">
        <v>25</v>
      </c>
      <c r="AP1782">
        <v>2900</v>
      </c>
      <c r="AQ1782" t="s">
        <v>129</v>
      </c>
      <c r="AR1782">
        <v>86</v>
      </c>
      <c r="AS1782">
        <v>-80</v>
      </c>
      <c r="AT1782">
        <v>384</v>
      </c>
      <c r="BB1782">
        <v>1200</v>
      </c>
      <c r="BC1782">
        <v>1</v>
      </c>
      <c r="BD1782" t="str">
        <f t="shared" si="610"/>
        <v xml:space="preserve">N887QR  </v>
      </c>
      <c r="BE1782">
        <v>1</v>
      </c>
      <c r="BG1782">
        <v>0</v>
      </c>
      <c r="BH1782">
        <v>0</v>
      </c>
      <c r="BI1782">
        <v>0</v>
      </c>
      <c r="BJ1782">
        <v>2600</v>
      </c>
      <c r="BK1782">
        <v>-300</v>
      </c>
      <c r="BL1782" t="s">
        <v>163</v>
      </c>
      <c r="BM1782">
        <v>1</v>
      </c>
      <c r="BN1782">
        <v>1</v>
      </c>
      <c r="BO1782">
        <v>1</v>
      </c>
      <c r="BP1782">
        <v>0</v>
      </c>
      <c r="BS1782">
        <v>0</v>
      </c>
      <c r="BT1782">
        <v>0</v>
      </c>
      <c r="BU1782">
        <v>0</v>
      </c>
      <c r="CE1782" t="str">
        <f t="shared" si="628"/>
        <v>19:30:14.067</v>
      </c>
      <c r="CF1782">
        <v>66598015</v>
      </c>
      <c r="CS1782">
        <v>0</v>
      </c>
      <c r="CT1782">
        <v>2</v>
      </c>
      <c r="CU1782">
        <v>0</v>
      </c>
      <c r="CV1782">
        <v>2</v>
      </c>
      <c r="CW1782">
        <v>0</v>
      </c>
      <c r="CX1782">
        <v>5</v>
      </c>
      <c r="CY1782">
        <v>7</v>
      </c>
      <c r="CZ1782" t="s">
        <v>131</v>
      </c>
      <c r="DA1782">
        <v>300</v>
      </c>
      <c r="DB1782">
        <v>0</v>
      </c>
      <c r="DC1782" t="s">
        <v>176</v>
      </c>
      <c r="DD1782" t="s">
        <v>177</v>
      </c>
      <c r="DG1782">
        <v>5394683</v>
      </c>
      <c r="DI1782">
        <v>1</v>
      </c>
      <c r="DJ1782">
        <v>0</v>
      </c>
      <c r="DK1782">
        <v>1</v>
      </c>
      <c r="DL1782">
        <v>0</v>
      </c>
      <c r="DM1782">
        <v>0</v>
      </c>
      <c r="DN1782">
        <v>1</v>
      </c>
      <c r="DO1782">
        <v>0</v>
      </c>
      <c r="DP1782">
        <v>0</v>
      </c>
      <c r="DQ1782">
        <v>0</v>
      </c>
      <c r="DR1782">
        <v>0</v>
      </c>
      <c r="DS1782">
        <v>0</v>
      </c>
    </row>
    <row r="1783" spans="1:123" x14ac:dyDescent="0.3">
      <c r="A1783" t="str">
        <f>"10/04/2022 19:30:14.260"</f>
        <v>10/04/2022 19:30:14.260</v>
      </c>
      <c r="C1783" t="str">
        <f t="shared" si="629"/>
        <v>FFDFD3C0</v>
      </c>
      <c r="D1783" t="s">
        <v>123</v>
      </c>
      <c r="E1783">
        <v>7</v>
      </c>
      <c r="F1783">
        <v>2007</v>
      </c>
      <c r="G1783" t="s">
        <v>124</v>
      </c>
      <c r="J1783" t="s">
        <v>125</v>
      </c>
      <c r="K1783">
        <v>0</v>
      </c>
      <c r="L1783">
        <v>3</v>
      </c>
      <c r="M1783">
        <v>0</v>
      </c>
      <c r="N1783">
        <v>2</v>
      </c>
      <c r="O1783">
        <v>0</v>
      </c>
      <c r="P1783">
        <v>1</v>
      </c>
      <c r="Q1783">
        <v>0</v>
      </c>
      <c r="S1783" t="str">
        <f t="shared" si="627"/>
        <v>19:30:14.000</v>
      </c>
      <c r="T1783" t="str">
        <f t="shared" si="627"/>
        <v>19:30:14.000</v>
      </c>
      <c r="U1783" t="str">
        <f t="shared" si="609"/>
        <v>AC3944</v>
      </c>
      <c r="V1783">
        <v>0</v>
      </c>
      <c r="W1783">
        <v>0</v>
      </c>
      <c r="X1783">
        <v>2</v>
      </c>
      <c r="Y1783">
        <v>0</v>
      </c>
      <c r="AA1783">
        <v>1</v>
      </c>
      <c r="AB1783">
        <v>8</v>
      </c>
      <c r="AC1783">
        <v>3</v>
      </c>
      <c r="AD1783">
        <v>0</v>
      </c>
      <c r="AE1783">
        <v>9</v>
      </c>
      <c r="AF1783" t="s">
        <v>138</v>
      </c>
      <c r="AG1783">
        <v>0</v>
      </c>
      <c r="AH1783">
        <v>3</v>
      </c>
      <c r="AI1783">
        <v>1</v>
      </c>
      <c r="AJ1783">
        <v>0</v>
      </c>
      <c r="AK1783" t="s">
        <v>644</v>
      </c>
      <c r="AL1783">
        <v>32.783396000000003</v>
      </c>
      <c r="AM1783" t="s">
        <v>645</v>
      </c>
      <c r="AN1783">
        <v>-116.861937</v>
      </c>
      <c r="AO1783">
        <v>25</v>
      </c>
      <c r="AP1783">
        <v>2900</v>
      </c>
      <c r="AQ1783" t="s">
        <v>129</v>
      </c>
      <c r="AR1783">
        <v>86</v>
      </c>
      <c r="AS1783">
        <v>-80</v>
      </c>
      <c r="AT1783">
        <v>384</v>
      </c>
      <c r="BB1783">
        <v>1200</v>
      </c>
      <c r="BC1783">
        <v>1</v>
      </c>
      <c r="BD1783" t="str">
        <f t="shared" si="610"/>
        <v xml:space="preserve">N887QR  </v>
      </c>
      <c r="BE1783">
        <v>1</v>
      </c>
      <c r="BG1783">
        <v>0</v>
      </c>
      <c r="BH1783">
        <v>0</v>
      </c>
      <c r="BI1783">
        <v>0</v>
      </c>
      <c r="BJ1783">
        <v>2600</v>
      </c>
      <c r="BK1783">
        <v>-300</v>
      </c>
      <c r="BL1783" t="s">
        <v>163</v>
      </c>
      <c r="BM1783">
        <v>1</v>
      </c>
      <c r="BN1783">
        <v>1</v>
      </c>
      <c r="BO1783">
        <v>1</v>
      </c>
      <c r="BP1783">
        <v>0</v>
      </c>
      <c r="BS1783">
        <v>0</v>
      </c>
      <c r="BT1783">
        <v>0</v>
      </c>
      <c r="BU1783">
        <v>0</v>
      </c>
      <c r="CE1783" t="str">
        <f t="shared" si="628"/>
        <v>19:30:14.067</v>
      </c>
      <c r="CF1783">
        <v>66598015</v>
      </c>
      <c r="CS1783">
        <v>0</v>
      </c>
      <c r="CT1783">
        <v>2</v>
      </c>
      <c r="CU1783">
        <v>0</v>
      </c>
      <c r="CV1783">
        <v>2</v>
      </c>
      <c r="CW1783">
        <v>0</v>
      </c>
      <c r="CX1783">
        <v>5</v>
      </c>
      <c r="CY1783">
        <v>7</v>
      </c>
      <c r="CZ1783" t="s">
        <v>131</v>
      </c>
      <c r="DA1783">
        <v>300</v>
      </c>
      <c r="DB1783">
        <v>0</v>
      </c>
      <c r="DC1783" t="s">
        <v>176</v>
      </c>
      <c r="DD1783" t="s">
        <v>177</v>
      </c>
      <c r="DG1783">
        <v>5394683</v>
      </c>
      <c r="DI1783">
        <v>1</v>
      </c>
      <c r="DJ1783">
        <v>0</v>
      </c>
      <c r="DK1783">
        <v>1</v>
      </c>
      <c r="DL1783">
        <v>0</v>
      </c>
      <c r="DM1783">
        <v>0</v>
      </c>
      <c r="DN1783">
        <v>1</v>
      </c>
      <c r="DO1783">
        <v>0</v>
      </c>
      <c r="DP1783">
        <v>0</v>
      </c>
      <c r="DQ1783">
        <v>0</v>
      </c>
      <c r="DR1783">
        <v>0</v>
      </c>
      <c r="DS1783">
        <v>0</v>
      </c>
    </row>
    <row r="1784" spans="1:123" x14ac:dyDescent="0.3">
      <c r="A1784" t="str">
        <f>"10/04/2022 19:30:14.291"</f>
        <v>10/04/2022 19:30:14.291</v>
      </c>
      <c r="C1784" t="str">
        <f t="shared" si="629"/>
        <v>FFDFD3C0</v>
      </c>
      <c r="D1784" t="s">
        <v>147</v>
      </c>
      <c r="E1784">
        <v>3</v>
      </c>
      <c r="H1784">
        <v>166</v>
      </c>
      <c r="I1784" t="s">
        <v>144</v>
      </c>
      <c r="J1784" t="s">
        <v>148</v>
      </c>
      <c r="K1784">
        <v>0</v>
      </c>
      <c r="L1784">
        <v>3</v>
      </c>
      <c r="M1784">
        <v>0</v>
      </c>
      <c r="N1784">
        <v>2</v>
      </c>
      <c r="O1784">
        <v>0</v>
      </c>
      <c r="P1784">
        <v>1</v>
      </c>
      <c r="Q1784">
        <v>0</v>
      </c>
      <c r="S1784" t="str">
        <f t="shared" si="627"/>
        <v>19:30:14.000</v>
      </c>
      <c r="T1784" t="str">
        <f t="shared" si="627"/>
        <v>19:30:14.000</v>
      </c>
      <c r="U1784" t="str">
        <f t="shared" si="609"/>
        <v>AC3944</v>
      </c>
      <c r="V1784">
        <v>0</v>
      </c>
      <c r="W1784">
        <v>0</v>
      </c>
      <c r="X1784">
        <v>2</v>
      </c>
      <c r="Y1784">
        <v>0</v>
      </c>
      <c r="AA1784">
        <v>1</v>
      </c>
      <c r="AB1784">
        <v>8</v>
      </c>
      <c r="AC1784">
        <v>3</v>
      </c>
      <c r="AD1784">
        <v>0</v>
      </c>
      <c r="AE1784">
        <v>9</v>
      </c>
      <c r="AF1784" t="s">
        <v>138</v>
      </c>
      <c r="AG1784">
        <v>0</v>
      </c>
      <c r="AH1784">
        <v>3</v>
      </c>
      <c r="AI1784">
        <v>1</v>
      </c>
      <c r="AJ1784">
        <v>0</v>
      </c>
      <c r="AK1784" t="s">
        <v>644</v>
      </c>
      <c r="AL1784">
        <v>32.783396000000003</v>
      </c>
      <c r="AM1784" t="s">
        <v>645</v>
      </c>
      <c r="AN1784">
        <v>-116.861937</v>
      </c>
      <c r="AO1784">
        <v>25</v>
      </c>
      <c r="AP1784">
        <v>2900</v>
      </c>
      <c r="AQ1784" t="s">
        <v>129</v>
      </c>
      <c r="AR1784">
        <v>86</v>
      </c>
      <c r="AS1784">
        <v>-80</v>
      </c>
      <c r="AT1784">
        <v>384</v>
      </c>
      <c r="BB1784">
        <v>1200</v>
      </c>
      <c r="BC1784">
        <v>1</v>
      </c>
      <c r="BD1784" t="str">
        <f t="shared" si="610"/>
        <v xml:space="preserve">N887QR  </v>
      </c>
      <c r="BE1784">
        <v>1</v>
      </c>
      <c r="BG1784">
        <v>0</v>
      </c>
      <c r="BH1784">
        <v>0</v>
      </c>
      <c r="BI1784">
        <v>0</v>
      </c>
      <c r="BJ1784">
        <v>2600</v>
      </c>
      <c r="BK1784">
        <v>-300</v>
      </c>
      <c r="BL1784" t="s">
        <v>163</v>
      </c>
      <c r="BM1784">
        <v>1</v>
      </c>
      <c r="BN1784">
        <v>1</v>
      </c>
      <c r="BO1784">
        <v>1</v>
      </c>
      <c r="BP1784">
        <v>0</v>
      </c>
      <c r="BS1784">
        <v>0</v>
      </c>
      <c r="BT1784">
        <v>0</v>
      </c>
      <c r="BU1784">
        <v>0</v>
      </c>
      <c r="CE1784" t="str">
        <f t="shared" si="628"/>
        <v>19:30:14.067</v>
      </c>
      <c r="CF1784">
        <v>66598015</v>
      </c>
      <c r="CS1784">
        <v>0</v>
      </c>
      <c r="CT1784">
        <v>2</v>
      </c>
      <c r="CU1784">
        <v>0</v>
      </c>
      <c r="CV1784">
        <v>2</v>
      </c>
      <c r="CW1784">
        <v>0</v>
      </c>
      <c r="CX1784">
        <v>5</v>
      </c>
      <c r="CY1784">
        <v>7</v>
      </c>
      <c r="CZ1784" t="s">
        <v>131</v>
      </c>
      <c r="DA1784">
        <v>300</v>
      </c>
      <c r="DB1784">
        <v>0</v>
      </c>
      <c r="DC1784" t="s">
        <v>176</v>
      </c>
      <c r="DD1784" t="s">
        <v>177</v>
      </c>
      <c r="DG1784">
        <v>5394683</v>
      </c>
      <c r="DI1784">
        <v>1</v>
      </c>
      <c r="DJ1784">
        <v>0</v>
      </c>
      <c r="DK1784">
        <v>1</v>
      </c>
      <c r="DL1784">
        <v>0</v>
      </c>
      <c r="DM1784">
        <v>0</v>
      </c>
      <c r="DN1784">
        <v>1</v>
      </c>
      <c r="DO1784">
        <v>0</v>
      </c>
      <c r="DP1784">
        <v>0</v>
      </c>
      <c r="DQ1784">
        <v>0</v>
      </c>
      <c r="DR1784">
        <v>0</v>
      </c>
      <c r="DS1784">
        <v>0</v>
      </c>
    </row>
    <row r="1785" spans="1:123" x14ac:dyDescent="0.3">
      <c r="A1785" t="str">
        <f>"10/04/2022 19:30:14.322"</f>
        <v>10/04/2022 19:30:14.322</v>
      </c>
      <c r="C1785" t="str">
        <f t="shared" si="629"/>
        <v>FFDFD3C0</v>
      </c>
      <c r="D1785" t="s">
        <v>141</v>
      </c>
      <c r="E1785">
        <v>4</v>
      </c>
      <c r="H1785">
        <v>4</v>
      </c>
      <c r="I1785" t="s">
        <v>142</v>
      </c>
      <c r="J1785" t="s">
        <v>138</v>
      </c>
      <c r="K1785">
        <v>0</v>
      </c>
      <c r="L1785">
        <v>3</v>
      </c>
      <c r="M1785">
        <v>0</v>
      </c>
      <c r="N1785">
        <v>2</v>
      </c>
      <c r="O1785">
        <v>0</v>
      </c>
      <c r="P1785">
        <v>1</v>
      </c>
      <c r="Q1785">
        <v>0</v>
      </c>
      <c r="S1785" t="str">
        <f t="shared" si="627"/>
        <v>19:30:14.000</v>
      </c>
      <c r="T1785" t="str">
        <f t="shared" si="627"/>
        <v>19:30:14.000</v>
      </c>
      <c r="U1785" t="str">
        <f t="shared" si="609"/>
        <v>AC3944</v>
      </c>
      <c r="V1785">
        <v>0</v>
      </c>
      <c r="W1785">
        <v>0</v>
      </c>
      <c r="X1785">
        <v>2</v>
      </c>
      <c r="Y1785">
        <v>0</v>
      </c>
      <c r="AA1785">
        <v>1</v>
      </c>
      <c r="AB1785">
        <v>8</v>
      </c>
      <c r="AC1785">
        <v>3</v>
      </c>
      <c r="AD1785">
        <v>0</v>
      </c>
      <c r="AE1785">
        <v>9</v>
      </c>
      <c r="AF1785" t="s">
        <v>138</v>
      </c>
      <c r="AG1785">
        <v>0</v>
      </c>
      <c r="AH1785">
        <v>3</v>
      </c>
      <c r="AI1785">
        <v>1</v>
      </c>
      <c r="AJ1785">
        <v>0</v>
      </c>
      <c r="AK1785" t="s">
        <v>644</v>
      </c>
      <c r="AL1785">
        <v>32.783396000000003</v>
      </c>
      <c r="AM1785" t="s">
        <v>645</v>
      </c>
      <c r="AN1785">
        <v>-116.861937</v>
      </c>
      <c r="AO1785">
        <v>25</v>
      </c>
      <c r="AP1785">
        <v>2900</v>
      </c>
      <c r="AQ1785" t="s">
        <v>129</v>
      </c>
      <c r="AR1785">
        <v>86</v>
      </c>
      <c r="AS1785">
        <v>-80</v>
      </c>
      <c r="AT1785">
        <v>384</v>
      </c>
      <c r="BB1785">
        <v>1200</v>
      </c>
      <c r="BC1785">
        <v>1</v>
      </c>
      <c r="BD1785" t="str">
        <f t="shared" si="610"/>
        <v xml:space="preserve">N887QR  </v>
      </c>
      <c r="BE1785">
        <v>1</v>
      </c>
      <c r="BG1785">
        <v>0</v>
      </c>
      <c r="BH1785">
        <v>0</v>
      </c>
      <c r="BI1785">
        <v>0</v>
      </c>
      <c r="BJ1785">
        <v>2600</v>
      </c>
      <c r="BK1785">
        <v>-300</v>
      </c>
      <c r="BL1785" t="s">
        <v>163</v>
      </c>
      <c r="BM1785">
        <v>1</v>
      </c>
      <c r="BN1785">
        <v>1</v>
      </c>
      <c r="BO1785">
        <v>1</v>
      </c>
      <c r="BP1785">
        <v>0</v>
      </c>
      <c r="BS1785">
        <v>0</v>
      </c>
      <c r="BT1785">
        <v>0</v>
      </c>
      <c r="BU1785">
        <v>0</v>
      </c>
      <c r="CE1785" t="str">
        <f t="shared" si="628"/>
        <v>19:30:14.067</v>
      </c>
      <c r="CF1785">
        <v>66598015</v>
      </c>
      <c r="CS1785">
        <v>0</v>
      </c>
      <c r="CT1785">
        <v>2</v>
      </c>
      <c r="CU1785">
        <v>0</v>
      </c>
      <c r="CV1785">
        <v>2</v>
      </c>
      <c r="CW1785">
        <v>0</v>
      </c>
      <c r="CX1785">
        <v>5</v>
      </c>
      <c r="CY1785">
        <v>7</v>
      </c>
      <c r="CZ1785" t="s">
        <v>131</v>
      </c>
      <c r="DA1785">
        <v>300</v>
      </c>
      <c r="DB1785">
        <v>0</v>
      </c>
      <c r="DC1785" t="s">
        <v>176</v>
      </c>
      <c r="DD1785" t="s">
        <v>177</v>
      </c>
      <c r="DG1785">
        <v>5394683</v>
      </c>
      <c r="DI1785">
        <v>1</v>
      </c>
      <c r="DJ1785">
        <v>0</v>
      </c>
      <c r="DK1785">
        <v>1</v>
      </c>
      <c r="DL1785">
        <v>0</v>
      </c>
      <c r="DM1785">
        <v>0</v>
      </c>
      <c r="DN1785">
        <v>1</v>
      </c>
      <c r="DO1785">
        <v>0</v>
      </c>
      <c r="DP1785">
        <v>0</v>
      </c>
      <c r="DQ1785">
        <v>0</v>
      </c>
      <c r="DR1785">
        <v>0</v>
      </c>
      <c r="DS1785">
        <v>0</v>
      </c>
    </row>
    <row r="1786" spans="1:123" x14ac:dyDescent="0.3">
      <c r="A1786" t="str">
        <f>"10/04/2022 19:30:14.322"</f>
        <v>10/04/2022 19:30:14.322</v>
      </c>
      <c r="C1786" t="str">
        <f t="shared" si="629"/>
        <v>FFDFD3C0</v>
      </c>
      <c r="D1786" t="s">
        <v>141</v>
      </c>
      <c r="E1786">
        <v>3</v>
      </c>
      <c r="H1786">
        <v>3</v>
      </c>
      <c r="I1786" t="s">
        <v>146</v>
      </c>
      <c r="J1786" t="s">
        <v>138</v>
      </c>
      <c r="K1786">
        <v>0</v>
      </c>
      <c r="L1786">
        <v>3</v>
      </c>
      <c r="M1786">
        <v>0</v>
      </c>
      <c r="N1786">
        <v>2</v>
      </c>
      <c r="O1786">
        <v>0</v>
      </c>
      <c r="P1786">
        <v>1</v>
      </c>
      <c r="Q1786">
        <v>0</v>
      </c>
      <c r="S1786" t="str">
        <f t="shared" si="627"/>
        <v>19:30:14.000</v>
      </c>
      <c r="T1786" t="str">
        <f t="shared" si="627"/>
        <v>19:30:14.000</v>
      </c>
      <c r="U1786" t="str">
        <f t="shared" si="609"/>
        <v>AC3944</v>
      </c>
      <c r="V1786">
        <v>0</v>
      </c>
      <c r="W1786">
        <v>0</v>
      </c>
      <c r="X1786">
        <v>2</v>
      </c>
      <c r="Y1786">
        <v>0</v>
      </c>
      <c r="AA1786">
        <v>1</v>
      </c>
      <c r="AB1786">
        <v>8</v>
      </c>
      <c r="AC1786">
        <v>3</v>
      </c>
      <c r="AD1786">
        <v>0</v>
      </c>
      <c r="AE1786">
        <v>9</v>
      </c>
      <c r="AF1786" t="s">
        <v>138</v>
      </c>
      <c r="AG1786">
        <v>0</v>
      </c>
      <c r="AH1786">
        <v>3</v>
      </c>
      <c r="AI1786">
        <v>1</v>
      </c>
      <c r="AJ1786">
        <v>0</v>
      </c>
      <c r="AK1786" t="s">
        <v>644</v>
      </c>
      <c r="AL1786">
        <v>32.783396000000003</v>
      </c>
      <c r="AM1786" t="s">
        <v>645</v>
      </c>
      <c r="AN1786">
        <v>-116.861937</v>
      </c>
      <c r="AO1786">
        <v>25</v>
      </c>
      <c r="AP1786">
        <v>2900</v>
      </c>
      <c r="AQ1786" t="s">
        <v>129</v>
      </c>
      <c r="AR1786">
        <v>86</v>
      </c>
      <c r="AS1786">
        <v>-80</v>
      </c>
      <c r="AT1786">
        <v>384</v>
      </c>
      <c r="BB1786">
        <v>1200</v>
      </c>
      <c r="BC1786">
        <v>1</v>
      </c>
      <c r="BD1786" t="str">
        <f t="shared" si="610"/>
        <v xml:space="preserve">N887QR  </v>
      </c>
      <c r="BE1786">
        <v>1</v>
      </c>
      <c r="BG1786">
        <v>0</v>
      </c>
      <c r="BH1786">
        <v>0</v>
      </c>
      <c r="BI1786">
        <v>0</v>
      </c>
      <c r="BJ1786">
        <v>2600</v>
      </c>
      <c r="BK1786">
        <v>-300</v>
      </c>
      <c r="BL1786" t="s">
        <v>163</v>
      </c>
      <c r="BM1786">
        <v>1</v>
      </c>
      <c r="BN1786">
        <v>1</v>
      </c>
      <c r="BO1786">
        <v>1</v>
      </c>
      <c r="BP1786">
        <v>0</v>
      </c>
      <c r="BS1786">
        <v>0</v>
      </c>
      <c r="BT1786">
        <v>0</v>
      </c>
      <c r="BU1786">
        <v>0</v>
      </c>
      <c r="CE1786" t="str">
        <f t="shared" si="628"/>
        <v>19:30:14.067</v>
      </c>
      <c r="CF1786">
        <v>66598015</v>
      </c>
      <c r="CS1786">
        <v>0</v>
      </c>
      <c r="CT1786">
        <v>2</v>
      </c>
      <c r="CU1786">
        <v>0</v>
      </c>
      <c r="CV1786">
        <v>2</v>
      </c>
      <c r="CW1786">
        <v>0</v>
      </c>
      <c r="CX1786">
        <v>5</v>
      </c>
      <c r="CY1786">
        <v>7</v>
      </c>
      <c r="CZ1786" t="s">
        <v>131</v>
      </c>
      <c r="DA1786">
        <v>300</v>
      </c>
      <c r="DB1786">
        <v>0</v>
      </c>
      <c r="DC1786" t="s">
        <v>176</v>
      </c>
      <c r="DD1786" t="s">
        <v>177</v>
      </c>
      <c r="DG1786">
        <v>5394683</v>
      </c>
      <c r="DI1786">
        <v>1</v>
      </c>
      <c r="DJ1786">
        <v>0</v>
      </c>
      <c r="DK1786">
        <v>1</v>
      </c>
      <c r="DL1786">
        <v>0</v>
      </c>
      <c r="DM1786">
        <v>0</v>
      </c>
      <c r="DN1786">
        <v>1</v>
      </c>
      <c r="DO1786">
        <v>0</v>
      </c>
      <c r="DP1786">
        <v>0</v>
      </c>
      <c r="DQ1786">
        <v>0</v>
      </c>
      <c r="DR1786">
        <v>0</v>
      </c>
      <c r="DS1786">
        <v>0</v>
      </c>
    </row>
    <row r="1787" spans="1:123" x14ac:dyDescent="0.3">
      <c r="A1787" t="str">
        <f>"10/04/2022 19:30:15.480"</f>
        <v>10/04/2022 19:30:15.480</v>
      </c>
      <c r="C1787" t="str">
        <f t="shared" si="629"/>
        <v>FFDFD3C0</v>
      </c>
      <c r="D1787" t="s">
        <v>134</v>
      </c>
      <c r="E1787">
        <v>15</v>
      </c>
      <c r="J1787" t="s">
        <v>135</v>
      </c>
      <c r="K1787">
        <v>0</v>
      </c>
      <c r="L1787">
        <v>3</v>
      </c>
      <c r="M1787">
        <v>0</v>
      </c>
      <c r="N1787">
        <v>2</v>
      </c>
      <c r="O1787">
        <v>0</v>
      </c>
      <c r="P1787">
        <v>1</v>
      </c>
      <c r="Q1787">
        <v>0</v>
      </c>
      <c r="S1787" t="str">
        <f t="shared" ref="S1787:T1800" si="630">"19:30:15.000"</f>
        <v>19:30:15.000</v>
      </c>
      <c r="T1787" t="str">
        <f t="shared" si="630"/>
        <v>19:30:15.000</v>
      </c>
      <c r="U1787" t="str">
        <f t="shared" si="609"/>
        <v>AC3944</v>
      </c>
      <c r="V1787">
        <v>0</v>
      </c>
      <c r="W1787">
        <v>0</v>
      </c>
      <c r="X1787">
        <v>2</v>
      </c>
      <c r="Y1787">
        <v>0</v>
      </c>
      <c r="AA1787">
        <v>1</v>
      </c>
      <c r="AB1787">
        <v>8</v>
      </c>
      <c r="AC1787">
        <v>3</v>
      </c>
      <c r="AD1787">
        <v>0</v>
      </c>
      <c r="AE1787">
        <v>9</v>
      </c>
      <c r="AF1787" t="s">
        <v>138</v>
      </c>
      <c r="AG1787">
        <v>0</v>
      </c>
      <c r="AH1787">
        <v>3</v>
      </c>
      <c r="AI1787">
        <v>1</v>
      </c>
      <c r="AJ1787">
        <v>0</v>
      </c>
      <c r="AK1787" t="s">
        <v>646</v>
      </c>
      <c r="AL1787">
        <v>32.783031000000001</v>
      </c>
      <c r="AM1787" t="s">
        <v>647</v>
      </c>
      <c r="AN1787">
        <v>-116.861465</v>
      </c>
      <c r="AO1787">
        <v>25</v>
      </c>
      <c r="AP1787">
        <v>2900</v>
      </c>
      <c r="AQ1787" t="s">
        <v>129</v>
      </c>
      <c r="AR1787">
        <v>89</v>
      </c>
      <c r="AS1787">
        <v>-79</v>
      </c>
      <c r="AT1787">
        <v>320</v>
      </c>
      <c r="BB1787">
        <v>1200</v>
      </c>
      <c r="BC1787">
        <v>1</v>
      </c>
      <c r="BD1787" t="str">
        <f t="shared" si="610"/>
        <v xml:space="preserve">N887QR  </v>
      </c>
      <c r="BE1787">
        <v>1</v>
      </c>
      <c r="BG1787">
        <v>0</v>
      </c>
      <c r="BH1787">
        <v>0</v>
      </c>
      <c r="BI1787">
        <v>0</v>
      </c>
      <c r="BJ1787">
        <v>2625</v>
      </c>
      <c r="BK1787">
        <v>-275</v>
      </c>
      <c r="BL1787" t="s">
        <v>163</v>
      </c>
      <c r="BM1787">
        <v>1</v>
      </c>
      <c r="BN1787">
        <v>1</v>
      </c>
      <c r="BO1787">
        <v>1</v>
      </c>
      <c r="BP1787">
        <v>0</v>
      </c>
      <c r="BS1787">
        <v>0</v>
      </c>
      <c r="BT1787">
        <v>0</v>
      </c>
      <c r="BU1787">
        <v>0</v>
      </c>
      <c r="CE1787" t="str">
        <f t="shared" ref="CE1787:CE1793" si="631">"19:30:15.289"</f>
        <v>19:30:15.289</v>
      </c>
      <c r="CF1787">
        <v>288581506</v>
      </c>
      <c r="CS1787">
        <v>0</v>
      </c>
      <c r="CT1787">
        <v>2</v>
      </c>
      <c r="CU1787">
        <v>0</v>
      </c>
      <c r="CV1787">
        <v>2</v>
      </c>
      <c r="CW1787">
        <v>0</v>
      </c>
      <c r="CX1787">
        <v>5</v>
      </c>
      <c r="CY1787">
        <v>7</v>
      </c>
      <c r="CZ1787" t="s">
        <v>131</v>
      </c>
      <c r="DA1787">
        <v>286</v>
      </c>
      <c r="DB1787">
        <v>0</v>
      </c>
      <c r="DC1787" t="s">
        <v>132</v>
      </c>
      <c r="DD1787" t="s">
        <v>133</v>
      </c>
      <c r="DG1787">
        <v>828478</v>
      </c>
      <c r="DI1787">
        <v>1</v>
      </c>
      <c r="DJ1787">
        <v>0</v>
      </c>
      <c r="DK1787">
        <v>0</v>
      </c>
      <c r="DL1787">
        <v>0</v>
      </c>
      <c r="DM1787">
        <v>0</v>
      </c>
      <c r="DN1787">
        <v>1</v>
      </c>
      <c r="DO1787">
        <v>0</v>
      </c>
      <c r="DP1787">
        <v>0</v>
      </c>
      <c r="DQ1787">
        <v>0</v>
      </c>
      <c r="DR1787">
        <v>0</v>
      </c>
      <c r="DS1787">
        <v>0</v>
      </c>
    </row>
    <row r="1788" spans="1:123" x14ac:dyDescent="0.3">
      <c r="A1788" t="str">
        <f>"10/04/2022 19:30:15.495"</f>
        <v>10/04/2022 19:30:15.495</v>
      </c>
      <c r="C1788" t="str">
        <f t="shared" si="629"/>
        <v>FFDFD3C0</v>
      </c>
      <c r="D1788" t="s">
        <v>141</v>
      </c>
      <c r="E1788">
        <v>4</v>
      </c>
      <c r="H1788">
        <v>4</v>
      </c>
      <c r="I1788" t="s">
        <v>142</v>
      </c>
      <c r="J1788" t="s">
        <v>138</v>
      </c>
      <c r="K1788">
        <v>0</v>
      </c>
      <c r="L1788">
        <v>3</v>
      </c>
      <c r="M1788">
        <v>0</v>
      </c>
      <c r="N1788">
        <v>2</v>
      </c>
      <c r="O1788">
        <v>0</v>
      </c>
      <c r="P1788">
        <v>1</v>
      </c>
      <c r="Q1788">
        <v>0</v>
      </c>
      <c r="S1788" t="str">
        <f t="shared" si="630"/>
        <v>19:30:15.000</v>
      </c>
      <c r="T1788" t="str">
        <f t="shared" si="630"/>
        <v>19:30:15.000</v>
      </c>
      <c r="U1788" t="str">
        <f t="shared" si="609"/>
        <v>AC3944</v>
      </c>
      <c r="V1788">
        <v>0</v>
      </c>
      <c r="W1788">
        <v>0</v>
      </c>
      <c r="X1788">
        <v>2</v>
      </c>
      <c r="Y1788">
        <v>0</v>
      </c>
      <c r="AA1788">
        <v>1</v>
      </c>
      <c r="AB1788">
        <v>8</v>
      </c>
      <c r="AC1788">
        <v>3</v>
      </c>
      <c r="AD1788">
        <v>0</v>
      </c>
      <c r="AE1788">
        <v>9</v>
      </c>
      <c r="AF1788" t="s">
        <v>138</v>
      </c>
      <c r="AG1788">
        <v>0</v>
      </c>
      <c r="AH1788">
        <v>3</v>
      </c>
      <c r="AI1788">
        <v>1</v>
      </c>
      <c r="AJ1788">
        <v>0</v>
      </c>
      <c r="AK1788" t="s">
        <v>646</v>
      </c>
      <c r="AL1788">
        <v>32.783031000000001</v>
      </c>
      <c r="AM1788" t="s">
        <v>647</v>
      </c>
      <c r="AN1788">
        <v>-116.861465</v>
      </c>
      <c r="AO1788">
        <v>25</v>
      </c>
      <c r="AP1788">
        <v>2900</v>
      </c>
      <c r="AQ1788" t="s">
        <v>129</v>
      </c>
      <c r="AR1788">
        <v>89</v>
      </c>
      <c r="AS1788">
        <v>-79</v>
      </c>
      <c r="AT1788">
        <v>320</v>
      </c>
      <c r="BB1788">
        <v>1200</v>
      </c>
      <c r="BC1788">
        <v>1</v>
      </c>
      <c r="BD1788" t="str">
        <f t="shared" si="610"/>
        <v xml:space="preserve">N887QR  </v>
      </c>
      <c r="BE1788">
        <v>1</v>
      </c>
      <c r="BG1788">
        <v>0</v>
      </c>
      <c r="BH1788">
        <v>0</v>
      </c>
      <c r="BI1788">
        <v>0</v>
      </c>
      <c r="BJ1788">
        <v>2625</v>
      </c>
      <c r="BK1788">
        <v>-275</v>
      </c>
      <c r="BL1788" t="s">
        <v>163</v>
      </c>
      <c r="BM1788">
        <v>1</v>
      </c>
      <c r="BN1788">
        <v>1</v>
      </c>
      <c r="BO1788">
        <v>1</v>
      </c>
      <c r="BP1788">
        <v>0</v>
      </c>
      <c r="BS1788">
        <v>0</v>
      </c>
      <c r="BT1788">
        <v>0</v>
      </c>
      <c r="BU1788">
        <v>0</v>
      </c>
      <c r="CE1788" t="str">
        <f t="shared" si="631"/>
        <v>19:30:15.289</v>
      </c>
      <c r="CF1788">
        <v>288581506</v>
      </c>
      <c r="CS1788">
        <v>0</v>
      </c>
      <c r="CT1788">
        <v>2</v>
      </c>
      <c r="CU1788">
        <v>0</v>
      </c>
      <c r="CV1788">
        <v>2</v>
      </c>
      <c r="CW1788">
        <v>0</v>
      </c>
      <c r="CX1788">
        <v>5</v>
      </c>
      <c r="CY1788">
        <v>7</v>
      </c>
      <c r="CZ1788" t="s">
        <v>131</v>
      </c>
      <c r="DA1788">
        <v>286</v>
      </c>
      <c r="DB1788">
        <v>0</v>
      </c>
      <c r="DC1788" t="s">
        <v>132</v>
      </c>
      <c r="DD1788" t="s">
        <v>133</v>
      </c>
      <c r="DG1788">
        <v>828478</v>
      </c>
      <c r="DI1788">
        <v>1</v>
      </c>
      <c r="DJ1788">
        <v>0</v>
      </c>
      <c r="DK1788">
        <v>1</v>
      </c>
      <c r="DL1788">
        <v>0</v>
      </c>
      <c r="DM1788">
        <v>0</v>
      </c>
      <c r="DN1788">
        <v>1</v>
      </c>
      <c r="DO1788">
        <v>0</v>
      </c>
      <c r="DP1788">
        <v>0</v>
      </c>
      <c r="DQ1788">
        <v>0</v>
      </c>
      <c r="DR1788">
        <v>0</v>
      </c>
      <c r="DS1788">
        <v>0</v>
      </c>
    </row>
    <row r="1789" spans="1:123" x14ac:dyDescent="0.3">
      <c r="A1789" t="str">
        <f>"10/04/2022 19:30:15.495"</f>
        <v>10/04/2022 19:30:15.495</v>
      </c>
      <c r="C1789" t="str">
        <f t="shared" si="629"/>
        <v>FFDFD3C0</v>
      </c>
      <c r="D1789" t="s">
        <v>147</v>
      </c>
      <c r="E1789">
        <v>3</v>
      </c>
      <c r="H1789">
        <v>166</v>
      </c>
      <c r="I1789" t="s">
        <v>144</v>
      </c>
      <c r="J1789" t="s">
        <v>148</v>
      </c>
      <c r="K1789">
        <v>0</v>
      </c>
      <c r="L1789">
        <v>3</v>
      </c>
      <c r="M1789">
        <v>0</v>
      </c>
      <c r="N1789">
        <v>2</v>
      </c>
      <c r="O1789">
        <v>0</v>
      </c>
      <c r="P1789">
        <v>1</v>
      </c>
      <c r="Q1789">
        <v>0</v>
      </c>
      <c r="S1789" t="str">
        <f t="shared" si="630"/>
        <v>19:30:15.000</v>
      </c>
      <c r="T1789" t="str">
        <f t="shared" si="630"/>
        <v>19:30:15.000</v>
      </c>
      <c r="U1789" t="str">
        <f t="shared" si="609"/>
        <v>AC3944</v>
      </c>
      <c r="V1789">
        <v>0</v>
      </c>
      <c r="W1789">
        <v>0</v>
      </c>
      <c r="X1789">
        <v>2</v>
      </c>
      <c r="Y1789">
        <v>0</v>
      </c>
      <c r="AA1789">
        <v>1</v>
      </c>
      <c r="AB1789">
        <v>8</v>
      </c>
      <c r="AC1789">
        <v>3</v>
      </c>
      <c r="AD1789">
        <v>0</v>
      </c>
      <c r="AE1789">
        <v>9</v>
      </c>
      <c r="AF1789" t="s">
        <v>138</v>
      </c>
      <c r="AG1789">
        <v>0</v>
      </c>
      <c r="AH1789">
        <v>3</v>
      </c>
      <c r="AI1789">
        <v>1</v>
      </c>
      <c r="AJ1789">
        <v>0</v>
      </c>
      <c r="AK1789" t="s">
        <v>646</v>
      </c>
      <c r="AL1789">
        <v>32.783031000000001</v>
      </c>
      <c r="AM1789" t="s">
        <v>647</v>
      </c>
      <c r="AN1789">
        <v>-116.861465</v>
      </c>
      <c r="AO1789">
        <v>25</v>
      </c>
      <c r="AP1789">
        <v>2900</v>
      </c>
      <c r="AQ1789" t="s">
        <v>129</v>
      </c>
      <c r="AR1789">
        <v>89</v>
      </c>
      <c r="AS1789">
        <v>-79</v>
      </c>
      <c r="AT1789">
        <v>320</v>
      </c>
      <c r="BB1789">
        <v>1200</v>
      </c>
      <c r="BC1789">
        <v>1</v>
      </c>
      <c r="BD1789" t="str">
        <f t="shared" si="610"/>
        <v xml:space="preserve">N887QR  </v>
      </c>
      <c r="BE1789">
        <v>1</v>
      </c>
      <c r="BG1789">
        <v>0</v>
      </c>
      <c r="BH1789">
        <v>0</v>
      </c>
      <c r="BI1789">
        <v>0</v>
      </c>
      <c r="BJ1789">
        <v>2625</v>
      </c>
      <c r="BK1789">
        <v>-275</v>
      </c>
      <c r="BL1789" t="s">
        <v>163</v>
      </c>
      <c r="BM1789">
        <v>1</v>
      </c>
      <c r="BN1789">
        <v>1</v>
      </c>
      <c r="BO1789">
        <v>1</v>
      </c>
      <c r="BP1789">
        <v>0</v>
      </c>
      <c r="BS1789">
        <v>0</v>
      </c>
      <c r="BT1789">
        <v>0</v>
      </c>
      <c r="BU1789">
        <v>0</v>
      </c>
      <c r="CE1789" t="str">
        <f t="shared" si="631"/>
        <v>19:30:15.289</v>
      </c>
      <c r="CF1789">
        <v>288581506</v>
      </c>
      <c r="CS1789">
        <v>0</v>
      </c>
      <c r="CT1789">
        <v>2</v>
      </c>
      <c r="CU1789">
        <v>0</v>
      </c>
      <c r="CV1789">
        <v>2</v>
      </c>
      <c r="CW1789">
        <v>0</v>
      </c>
      <c r="CX1789">
        <v>5</v>
      </c>
      <c r="CY1789">
        <v>7</v>
      </c>
      <c r="CZ1789" t="s">
        <v>131</v>
      </c>
      <c r="DA1789">
        <v>286</v>
      </c>
      <c r="DB1789">
        <v>0</v>
      </c>
      <c r="DC1789" t="s">
        <v>132</v>
      </c>
      <c r="DD1789" t="s">
        <v>133</v>
      </c>
      <c r="DG1789">
        <v>828478</v>
      </c>
      <c r="DI1789">
        <v>1</v>
      </c>
      <c r="DJ1789">
        <v>0</v>
      </c>
      <c r="DK1789">
        <v>1</v>
      </c>
      <c r="DL1789">
        <v>0</v>
      </c>
      <c r="DM1789">
        <v>0</v>
      </c>
      <c r="DN1789">
        <v>1</v>
      </c>
      <c r="DO1789">
        <v>0</v>
      </c>
      <c r="DP1789">
        <v>0</v>
      </c>
      <c r="DQ1789">
        <v>0</v>
      </c>
      <c r="DR1789">
        <v>0</v>
      </c>
      <c r="DS1789">
        <v>0</v>
      </c>
    </row>
    <row r="1790" spans="1:123" x14ac:dyDescent="0.3">
      <c r="A1790" t="str">
        <f>"10/04/2022 19:30:15.511"</f>
        <v>10/04/2022 19:30:15.511</v>
      </c>
      <c r="C1790" t="str">
        <f t="shared" si="629"/>
        <v>FFDFD3C0</v>
      </c>
      <c r="D1790" t="s">
        <v>141</v>
      </c>
      <c r="E1790">
        <v>3</v>
      </c>
      <c r="H1790">
        <v>3</v>
      </c>
      <c r="I1790" t="s">
        <v>146</v>
      </c>
      <c r="J1790" t="s">
        <v>138</v>
      </c>
      <c r="K1790">
        <v>0</v>
      </c>
      <c r="L1790">
        <v>3</v>
      </c>
      <c r="M1790">
        <v>0</v>
      </c>
      <c r="N1790">
        <v>2</v>
      </c>
      <c r="O1790">
        <v>0</v>
      </c>
      <c r="P1790">
        <v>1</v>
      </c>
      <c r="Q1790">
        <v>0</v>
      </c>
      <c r="S1790" t="str">
        <f t="shared" si="630"/>
        <v>19:30:15.000</v>
      </c>
      <c r="T1790" t="str">
        <f t="shared" si="630"/>
        <v>19:30:15.000</v>
      </c>
      <c r="U1790" t="str">
        <f t="shared" si="609"/>
        <v>AC3944</v>
      </c>
      <c r="V1790">
        <v>0</v>
      </c>
      <c r="W1790">
        <v>0</v>
      </c>
      <c r="X1790">
        <v>2</v>
      </c>
      <c r="Y1790">
        <v>0</v>
      </c>
      <c r="AA1790">
        <v>1</v>
      </c>
      <c r="AB1790">
        <v>8</v>
      </c>
      <c r="AC1790">
        <v>3</v>
      </c>
      <c r="AD1790">
        <v>0</v>
      </c>
      <c r="AE1790">
        <v>9</v>
      </c>
      <c r="AF1790" t="s">
        <v>138</v>
      </c>
      <c r="AG1790">
        <v>0</v>
      </c>
      <c r="AH1790">
        <v>3</v>
      </c>
      <c r="AI1790">
        <v>1</v>
      </c>
      <c r="AJ1790">
        <v>0</v>
      </c>
      <c r="AK1790" t="s">
        <v>646</v>
      </c>
      <c r="AL1790">
        <v>32.783031000000001</v>
      </c>
      <c r="AM1790" t="s">
        <v>647</v>
      </c>
      <c r="AN1790">
        <v>-116.861465</v>
      </c>
      <c r="AO1790">
        <v>25</v>
      </c>
      <c r="AP1790">
        <v>2900</v>
      </c>
      <c r="AQ1790" t="s">
        <v>129</v>
      </c>
      <c r="AR1790">
        <v>89</v>
      </c>
      <c r="AS1790">
        <v>-79</v>
      </c>
      <c r="AT1790">
        <v>320</v>
      </c>
      <c r="BB1790">
        <v>1200</v>
      </c>
      <c r="BC1790">
        <v>1</v>
      </c>
      <c r="BD1790" t="str">
        <f t="shared" si="610"/>
        <v xml:space="preserve">N887QR  </v>
      </c>
      <c r="BE1790">
        <v>1</v>
      </c>
      <c r="BG1790">
        <v>0</v>
      </c>
      <c r="BH1790">
        <v>0</v>
      </c>
      <c r="BI1790">
        <v>0</v>
      </c>
      <c r="BJ1790">
        <v>2625</v>
      </c>
      <c r="BK1790">
        <v>-275</v>
      </c>
      <c r="BL1790" t="s">
        <v>163</v>
      </c>
      <c r="BM1790">
        <v>1</v>
      </c>
      <c r="BN1790">
        <v>1</v>
      </c>
      <c r="BO1790">
        <v>1</v>
      </c>
      <c r="BP1790">
        <v>0</v>
      </c>
      <c r="BS1790">
        <v>0</v>
      </c>
      <c r="BT1790">
        <v>0</v>
      </c>
      <c r="BU1790">
        <v>0</v>
      </c>
      <c r="CE1790" t="str">
        <f t="shared" si="631"/>
        <v>19:30:15.289</v>
      </c>
      <c r="CF1790">
        <v>288581506</v>
      </c>
      <c r="CS1790">
        <v>0</v>
      </c>
      <c r="CT1790">
        <v>2</v>
      </c>
      <c r="CU1790">
        <v>0</v>
      </c>
      <c r="CV1790">
        <v>2</v>
      </c>
      <c r="CW1790">
        <v>0</v>
      </c>
      <c r="CX1790">
        <v>5</v>
      </c>
      <c r="CY1790">
        <v>7</v>
      </c>
      <c r="CZ1790" t="s">
        <v>131</v>
      </c>
      <c r="DA1790">
        <v>286</v>
      </c>
      <c r="DB1790">
        <v>0</v>
      </c>
      <c r="DC1790" t="s">
        <v>132</v>
      </c>
      <c r="DD1790" t="s">
        <v>133</v>
      </c>
      <c r="DG1790">
        <v>828478</v>
      </c>
      <c r="DI1790">
        <v>1</v>
      </c>
      <c r="DJ1790">
        <v>0</v>
      </c>
      <c r="DK1790">
        <v>1</v>
      </c>
      <c r="DL1790">
        <v>0</v>
      </c>
      <c r="DM1790">
        <v>0</v>
      </c>
      <c r="DN1790">
        <v>1</v>
      </c>
      <c r="DO1790">
        <v>0</v>
      </c>
      <c r="DP1790">
        <v>0</v>
      </c>
      <c r="DQ1790">
        <v>0</v>
      </c>
      <c r="DR1790">
        <v>0</v>
      </c>
      <c r="DS1790">
        <v>0</v>
      </c>
    </row>
    <row r="1791" spans="1:123" x14ac:dyDescent="0.3">
      <c r="A1791" t="str">
        <f>"10/04/2022 19:30:15.527"</f>
        <v>10/04/2022 19:30:15.527</v>
      </c>
      <c r="C1791" t="str">
        <f t="shared" si="629"/>
        <v>FFDFD3C0</v>
      </c>
      <c r="D1791" t="s">
        <v>136</v>
      </c>
      <c r="E1791">
        <v>8</v>
      </c>
      <c r="H1791">
        <v>225</v>
      </c>
      <c r="I1791" t="s">
        <v>137</v>
      </c>
      <c r="J1791" t="s">
        <v>138</v>
      </c>
      <c r="K1791">
        <v>0</v>
      </c>
      <c r="L1791">
        <v>3</v>
      </c>
      <c r="M1791">
        <v>0</v>
      </c>
      <c r="N1791">
        <v>2</v>
      </c>
      <c r="O1791">
        <v>0</v>
      </c>
      <c r="P1791">
        <v>1</v>
      </c>
      <c r="Q1791">
        <v>0</v>
      </c>
      <c r="S1791" t="str">
        <f t="shared" si="630"/>
        <v>19:30:15.000</v>
      </c>
      <c r="T1791" t="str">
        <f t="shared" si="630"/>
        <v>19:30:15.000</v>
      </c>
      <c r="U1791" t="str">
        <f t="shared" si="609"/>
        <v>AC3944</v>
      </c>
      <c r="V1791">
        <v>0</v>
      </c>
      <c r="W1791">
        <v>0</v>
      </c>
      <c r="X1791">
        <v>2</v>
      </c>
      <c r="Y1791">
        <v>0</v>
      </c>
      <c r="AA1791">
        <v>1</v>
      </c>
      <c r="AB1791">
        <v>8</v>
      </c>
      <c r="AC1791">
        <v>3</v>
      </c>
      <c r="AD1791">
        <v>0</v>
      </c>
      <c r="AE1791">
        <v>9</v>
      </c>
      <c r="AF1791" t="s">
        <v>138</v>
      </c>
      <c r="AG1791">
        <v>0</v>
      </c>
      <c r="AH1791">
        <v>3</v>
      </c>
      <c r="AI1791">
        <v>1</v>
      </c>
      <c r="AJ1791">
        <v>0</v>
      </c>
      <c r="AK1791" t="s">
        <v>646</v>
      </c>
      <c r="AL1791">
        <v>32.783031000000001</v>
      </c>
      <c r="AM1791" t="s">
        <v>647</v>
      </c>
      <c r="AN1791">
        <v>-116.861465</v>
      </c>
      <c r="AO1791">
        <v>25</v>
      </c>
      <c r="AP1791">
        <v>2900</v>
      </c>
      <c r="AQ1791" t="s">
        <v>129</v>
      </c>
      <c r="AR1791">
        <v>89</v>
      </c>
      <c r="AS1791">
        <v>-79</v>
      </c>
      <c r="AT1791">
        <v>320</v>
      </c>
      <c r="BB1791">
        <v>1200</v>
      </c>
      <c r="BC1791">
        <v>1</v>
      </c>
      <c r="BD1791" t="str">
        <f t="shared" si="610"/>
        <v xml:space="preserve">N887QR  </v>
      </c>
      <c r="BE1791">
        <v>1</v>
      </c>
      <c r="BG1791">
        <v>0</v>
      </c>
      <c r="BH1791">
        <v>0</v>
      </c>
      <c r="BI1791">
        <v>0</v>
      </c>
      <c r="BJ1791">
        <v>2625</v>
      </c>
      <c r="BK1791">
        <v>-275</v>
      </c>
      <c r="BL1791" t="s">
        <v>163</v>
      </c>
      <c r="BM1791">
        <v>1</v>
      </c>
      <c r="BN1791">
        <v>1</v>
      </c>
      <c r="BO1791">
        <v>1</v>
      </c>
      <c r="BP1791">
        <v>0</v>
      </c>
      <c r="BS1791">
        <v>0</v>
      </c>
      <c r="BT1791">
        <v>0</v>
      </c>
      <c r="BU1791">
        <v>0</v>
      </c>
      <c r="CE1791" t="str">
        <f t="shared" si="631"/>
        <v>19:30:15.289</v>
      </c>
      <c r="CF1791">
        <v>288581506</v>
      </c>
      <c r="CS1791">
        <v>0</v>
      </c>
      <c r="CT1791">
        <v>2</v>
      </c>
      <c r="CU1791">
        <v>0</v>
      </c>
      <c r="CV1791">
        <v>2</v>
      </c>
      <c r="CW1791">
        <v>0</v>
      </c>
      <c r="CX1791">
        <v>5</v>
      </c>
      <c r="CY1791">
        <v>7</v>
      </c>
      <c r="CZ1791" t="s">
        <v>131</v>
      </c>
      <c r="DA1791">
        <v>286</v>
      </c>
      <c r="DB1791">
        <v>0</v>
      </c>
      <c r="DC1791" t="s">
        <v>132</v>
      </c>
      <c r="DD1791" t="s">
        <v>133</v>
      </c>
      <c r="DG1791">
        <v>828478</v>
      </c>
      <c r="DI1791">
        <v>1</v>
      </c>
      <c r="DJ1791">
        <v>0</v>
      </c>
      <c r="DK1791">
        <v>1</v>
      </c>
      <c r="DL1791">
        <v>0</v>
      </c>
      <c r="DM1791">
        <v>0</v>
      </c>
      <c r="DN1791">
        <v>1</v>
      </c>
      <c r="DO1791">
        <v>0</v>
      </c>
      <c r="DP1791">
        <v>0</v>
      </c>
      <c r="DQ1791">
        <v>0</v>
      </c>
      <c r="DR1791">
        <v>0</v>
      </c>
      <c r="DS1791">
        <v>0</v>
      </c>
    </row>
    <row r="1792" spans="1:123" x14ac:dyDescent="0.3">
      <c r="A1792" t="str">
        <f>"10/04/2022 19:30:15.527"</f>
        <v>10/04/2022 19:30:15.527</v>
      </c>
      <c r="C1792" t="str">
        <f t="shared" si="629"/>
        <v>FFDFD3C0</v>
      </c>
      <c r="D1792" t="s">
        <v>143</v>
      </c>
      <c r="E1792">
        <v>20</v>
      </c>
      <c r="F1792">
        <v>1020</v>
      </c>
      <c r="G1792" t="s">
        <v>144</v>
      </c>
      <c r="J1792" t="s">
        <v>145</v>
      </c>
      <c r="K1792">
        <v>0</v>
      </c>
      <c r="L1792">
        <v>3</v>
      </c>
      <c r="M1792">
        <v>0</v>
      </c>
      <c r="N1792">
        <v>2</v>
      </c>
      <c r="O1792">
        <v>0</v>
      </c>
      <c r="P1792">
        <v>1</v>
      </c>
      <c r="Q1792">
        <v>0</v>
      </c>
      <c r="S1792" t="str">
        <f t="shared" si="630"/>
        <v>19:30:15.000</v>
      </c>
      <c r="T1792" t="str">
        <f t="shared" si="630"/>
        <v>19:30:15.000</v>
      </c>
      <c r="U1792" t="str">
        <f t="shared" si="609"/>
        <v>AC3944</v>
      </c>
      <c r="V1792">
        <v>0</v>
      </c>
      <c r="W1792">
        <v>0</v>
      </c>
      <c r="X1792">
        <v>2</v>
      </c>
      <c r="Y1792">
        <v>0</v>
      </c>
      <c r="AA1792">
        <v>1</v>
      </c>
      <c r="AB1792">
        <v>8</v>
      </c>
      <c r="AC1792">
        <v>3</v>
      </c>
      <c r="AD1792">
        <v>0</v>
      </c>
      <c r="AE1792">
        <v>9</v>
      </c>
      <c r="AF1792" t="s">
        <v>138</v>
      </c>
      <c r="AG1792">
        <v>0</v>
      </c>
      <c r="AH1792">
        <v>3</v>
      </c>
      <c r="AI1792">
        <v>1</v>
      </c>
      <c r="AJ1792">
        <v>0</v>
      </c>
      <c r="AK1792" t="s">
        <v>646</v>
      </c>
      <c r="AL1792">
        <v>32.783031000000001</v>
      </c>
      <c r="AM1792" t="s">
        <v>647</v>
      </c>
      <c r="AN1792">
        <v>-116.861465</v>
      </c>
      <c r="AO1792">
        <v>25</v>
      </c>
      <c r="AP1792">
        <v>2900</v>
      </c>
      <c r="AQ1792" t="s">
        <v>129</v>
      </c>
      <c r="AR1792">
        <v>89</v>
      </c>
      <c r="AS1792">
        <v>-79</v>
      </c>
      <c r="AT1792">
        <v>320</v>
      </c>
      <c r="BB1792">
        <v>1200</v>
      </c>
      <c r="BC1792">
        <v>1</v>
      </c>
      <c r="BD1792" t="str">
        <f t="shared" si="610"/>
        <v xml:space="preserve">N887QR  </v>
      </c>
      <c r="BE1792">
        <v>1</v>
      </c>
      <c r="BG1792">
        <v>0</v>
      </c>
      <c r="BH1792">
        <v>0</v>
      </c>
      <c r="BI1792">
        <v>0</v>
      </c>
      <c r="BJ1792">
        <v>2625</v>
      </c>
      <c r="BK1792">
        <v>-275</v>
      </c>
      <c r="BL1792" t="s">
        <v>163</v>
      </c>
      <c r="BM1792">
        <v>1</v>
      </c>
      <c r="BN1792">
        <v>1</v>
      </c>
      <c r="BO1792">
        <v>1</v>
      </c>
      <c r="BP1792">
        <v>0</v>
      </c>
      <c r="BS1792">
        <v>0</v>
      </c>
      <c r="BT1792">
        <v>0</v>
      </c>
      <c r="BU1792">
        <v>0</v>
      </c>
      <c r="CE1792" t="str">
        <f t="shared" si="631"/>
        <v>19:30:15.289</v>
      </c>
      <c r="CF1792">
        <v>288581506</v>
      </c>
      <c r="CS1792">
        <v>0</v>
      </c>
      <c r="CT1792">
        <v>2</v>
      </c>
      <c r="CU1792">
        <v>0</v>
      </c>
      <c r="CV1792">
        <v>2</v>
      </c>
      <c r="CW1792">
        <v>0</v>
      </c>
      <c r="CX1792">
        <v>5</v>
      </c>
      <c r="CY1792">
        <v>7</v>
      </c>
      <c r="CZ1792" t="s">
        <v>131</v>
      </c>
      <c r="DA1792">
        <v>286</v>
      </c>
      <c r="DB1792">
        <v>0</v>
      </c>
      <c r="DC1792" t="s">
        <v>132</v>
      </c>
      <c r="DD1792" t="s">
        <v>133</v>
      </c>
      <c r="DG1792">
        <v>828478</v>
      </c>
      <c r="DI1792">
        <v>1</v>
      </c>
      <c r="DJ1792">
        <v>0</v>
      </c>
      <c r="DK1792">
        <v>1</v>
      </c>
      <c r="DL1792">
        <v>0</v>
      </c>
      <c r="DM1792">
        <v>0</v>
      </c>
      <c r="DN1792">
        <v>1</v>
      </c>
      <c r="DO1792">
        <v>0</v>
      </c>
      <c r="DP1792">
        <v>0</v>
      </c>
      <c r="DQ1792">
        <v>0</v>
      </c>
      <c r="DR1792">
        <v>0</v>
      </c>
      <c r="DS1792">
        <v>0</v>
      </c>
    </row>
    <row r="1793" spans="1:123" x14ac:dyDescent="0.3">
      <c r="A1793" t="str">
        <f>"10/04/2022 19:30:15.527"</f>
        <v>10/04/2022 19:30:15.527</v>
      </c>
      <c r="C1793" t="str">
        <f t="shared" si="629"/>
        <v>FFDFD3C0</v>
      </c>
      <c r="D1793" t="s">
        <v>123</v>
      </c>
      <c r="E1793">
        <v>7</v>
      </c>
      <c r="F1793">
        <v>2007</v>
      </c>
      <c r="G1793" t="s">
        <v>124</v>
      </c>
      <c r="J1793" t="s">
        <v>125</v>
      </c>
      <c r="K1793">
        <v>0</v>
      </c>
      <c r="L1793">
        <v>3</v>
      </c>
      <c r="M1793">
        <v>0</v>
      </c>
      <c r="N1793">
        <v>2</v>
      </c>
      <c r="O1793">
        <v>0</v>
      </c>
      <c r="P1793">
        <v>1</v>
      </c>
      <c r="Q1793">
        <v>0</v>
      </c>
      <c r="S1793" t="str">
        <f t="shared" si="630"/>
        <v>19:30:15.000</v>
      </c>
      <c r="T1793" t="str">
        <f t="shared" si="630"/>
        <v>19:30:15.000</v>
      </c>
      <c r="U1793" t="str">
        <f t="shared" si="609"/>
        <v>AC3944</v>
      </c>
      <c r="V1793">
        <v>0</v>
      </c>
      <c r="W1793">
        <v>0</v>
      </c>
      <c r="X1793">
        <v>2</v>
      </c>
      <c r="Y1793">
        <v>0</v>
      </c>
      <c r="AA1793">
        <v>1</v>
      </c>
      <c r="AB1793">
        <v>8</v>
      </c>
      <c r="AC1793">
        <v>3</v>
      </c>
      <c r="AD1793">
        <v>0</v>
      </c>
      <c r="AE1793">
        <v>9</v>
      </c>
      <c r="AF1793" t="s">
        <v>138</v>
      </c>
      <c r="AG1793">
        <v>0</v>
      </c>
      <c r="AH1793">
        <v>3</v>
      </c>
      <c r="AI1793">
        <v>1</v>
      </c>
      <c r="AJ1793">
        <v>0</v>
      </c>
      <c r="AK1793" t="s">
        <v>646</v>
      </c>
      <c r="AL1793">
        <v>32.783031000000001</v>
      </c>
      <c r="AM1793" t="s">
        <v>647</v>
      </c>
      <c r="AN1793">
        <v>-116.861465</v>
      </c>
      <c r="AO1793">
        <v>25</v>
      </c>
      <c r="AP1793">
        <v>2900</v>
      </c>
      <c r="AQ1793" t="s">
        <v>129</v>
      </c>
      <c r="AR1793">
        <v>89</v>
      </c>
      <c r="AS1793">
        <v>-79</v>
      </c>
      <c r="AT1793">
        <v>320</v>
      </c>
      <c r="BB1793">
        <v>1200</v>
      </c>
      <c r="BC1793">
        <v>1</v>
      </c>
      <c r="BD1793" t="str">
        <f t="shared" si="610"/>
        <v xml:space="preserve">N887QR  </v>
      </c>
      <c r="BE1793">
        <v>1</v>
      </c>
      <c r="BG1793">
        <v>0</v>
      </c>
      <c r="BH1793">
        <v>0</v>
      </c>
      <c r="BI1793">
        <v>0</v>
      </c>
      <c r="BJ1793">
        <v>2625</v>
      </c>
      <c r="BK1793">
        <v>-275</v>
      </c>
      <c r="BL1793" t="s">
        <v>163</v>
      </c>
      <c r="BM1793">
        <v>1</v>
      </c>
      <c r="BN1793">
        <v>1</v>
      </c>
      <c r="BO1793">
        <v>1</v>
      </c>
      <c r="BP1793">
        <v>0</v>
      </c>
      <c r="BS1793">
        <v>0</v>
      </c>
      <c r="BT1793">
        <v>0</v>
      </c>
      <c r="BU1793">
        <v>0</v>
      </c>
      <c r="CE1793" t="str">
        <f t="shared" si="631"/>
        <v>19:30:15.289</v>
      </c>
      <c r="CF1793">
        <v>288581506</v>
      </c>
      <c r="CS1793">
        <v>0</v>
      </c>
      <c r="CT1793">
        <v>2</v>
      </c>
      <c r="CU1793">
        <v>0</v>
      </c>
      <c r="CV1793">
        <v>2</v>
      </c>
      <c r="CW1793">
        <v>0</v>
      </c>
      <c r="CX1793">
        <v>5</v>
      </c>
      <c r="CY1793">
        <v>7</v>
      </c>
      <c r="CZ1793" t="s">
        <v>131</v>
      </c>
      <c r="DA1793">
        <v>286</v>
      </c>
      <c r="DB1793">
        <v>0</v>
      </c>
      <c r="DC1793" t="s">
        <v>132</v>
      </c>
      <c r="DD1793" t="s">
        <v>133</v>
      </c>
      <c r="DG1793">
        <v>828478</v>
      </c>
      <c r="DI1793">
        <v>1</v>
      </c>
      <c r="DJ1793">
        <v>0</v>
      </c>
      <c r="DK1793">
        <v>1</v>
      </c>
      <c r="DL1793">
        <v>0</v>
      </c>
      <c r="DM1793">
        <v>0</v>
      </c>
      <c r="DN1793">
        <v>1</v>
      </c>
      <c r="DO1793">
        <v>0</v>
      </c>
      <c r="DP1793">
        <v>0</v>
      </c>
      <c r="DQ1793">
        <v>0</v>
      </c>
      <c r="DR1793">
        <v>0</v>
      </c>
      <c r="DS1793">
        <v>0</v>
      </c>
    </row>
    <row r="1794" spans="1:123" x14ac:dyDescent="0.3">
      <c r="A1794" t="str">
        <f>"10/04/2022 19:30:16.058"</f>
        <v>10/04/2022 19:30:16.058</v>
      </c>
      <c r="C1794" t="str">
        <f t="shared" si="629"/>
        <v>FFDFD3C0</v>
      </c>
      <c r="D1794" t="s">
        <v>136</v>
      </c>
      <c r="E1794">
        <v>8</v>
      </c>
      <c r="H1794">
        <v>225</v>
      </c>
      <c r="I1794" t="s">
        <v>137</v>
      </c>
      <c r="J1794" t="s">
        <v>138</v>
      </c>
      <c r="K1794">
        <v>0</v>
      </c>
      <c r="L1794">
        <v>3</v>
      </c>
      <c r="M1794">
        <v>0</v>
      </c>
      <c r="N1794">
        <v>2</v>
      </c>
      <c r="O1794">
        <v>0</v>
      </c>
      <c r="P1794">
        <v>1</v>
      </c>
      <c r="Q1794">
        <v>0</v>
      </c>
      <c r="S1794" t="str">
        <f t="shared" si="630"/>
        <v>19:30:15.000</v>
      </c>
      <c r="T1794" t="str">
        <f t="shared" si="630"/>
        <v>19:30:15.000</v>
      </c>
      <c r="U1794" t="str">
        <f t="shared" ref="U1794:U1857" si="632">"AC3944"</f>
        <v>AC3944</v>
      </c>
      <c r="V1794">
        <v>0</v>
      </c>
      <c r="W1794">
        <v>0</v>
      </c>
      <c r="X1794">
        <v>2</v>
      </c>
      <c r="Y1794">
        <v>0</v>
      </c>
      <c r="AA1794">
        <v>1</v>
      </c>
      <c r="AB1794">
        <v>8</v>
      </c>
      <c r="AC1794">
        <v>3</v>
      </c>
      <c r="AD1794">
        <v>0</v>
      </c>
      <c r="AE1794">
        <v>9</v>
      </c>
      <c r="AF1794" t="s">
        <v>138</v>
      </c>
      <c r="AG1794">
        <v>0</v>
      </c>
      <c r="AH1794">
        <v>3</v>
      </c>
      <c r="AI1794">
        <v>1</v>
      </c>
      <c r="AJ1794">
        <v>0</v>
      </c>
      <c r="AK1794" t="s">
        <v>648</v>
      </c>
      <c r="AL1794">
        <v>32.782645000000002</v>
      </c>
      <c r="AM1794" t="s">
        <v>649</v>
      </c>
      <c r="AN1794">
        <v>-116.86097100000001</v>
      </c>
      <c r="AO1794">
        <v>25</v>
      </c>
      <c r="AP1794">
        <v>2900</v>
      </c>
      <c r="AQ1794" t="s">
        <v>129</v>
      </c>
      <c r="AR1794">
        <v>91</v>
      </c>
      <c r="AS1794">
        <v>-77</v>
      </c>
      <c r="AT1794">
        <v>320</v>
      </c>
      <c r="BB1794">
        <v>1200</v>
      </c>
      <c r="BC1794">
        <v>1</v>
      </c>
      <c r="BD1794" t="str">
        <f t="shared" ref="BD1794:BD1857" si="633">"N887QR  "</f>
        <v xml:space="preserve">N887QR  </v>
      </c>
      <c r="BE1794">
        <v>1</v>
      </c>
      <c r="BG1794">
        <v>0</v>
      </c>
      <c r="BH1794">
        <v>0</v>
      </c>
      <c r="BI1794">
        <v>0</v>
      </c>
      <c r="BJ1794">
        <v>2625</v>
      </c>
      <c r="BK1794">
        <v>-275</v>
      </c>
      <c r="BL1794" t="s">
        <v>163</v>
      </c>
      <c r="BM1794">
        <v>1</v>
      </c>
      <c r="BN1794">
        <v>1</v>
      </c>
      <c r="BO1794">
        <v>1</v>
      </c>
      <c r="BP1794">
        <v>0</v>
      </c>
      <c r="BS1794">
        <v>0</v>
      </c>
      <c r="BT1794">
        <v>0</v>
      </c>
      <c r="BU1794">
        <v>0</v>
      </c>
      <c r="CE1794" t="str">
        <f t="shared" ref="CE1794:CE1800" si="634">"19:30:15.880"</f>
        <v>19:30:15.880</v>
      </c>
      <c r="CF1794">
        <v>879583298</v>
      </c>
      <c r="CS1794">
        <v>0</v>
      </c>
      <c r="CT1794">
        <v>2</v>
      </c>
      <c r="CU1794">
        <v>0</v>
      </c>
      <c r="CV1794">
        <v>2</v>
      </c>
      <c r="CW1794">
        <v>0</v>
      </c>
      <c r="CX1794">
        <v>5</v>
      </c>
      <c r="CY1794">
        <v>7</v>
      </c>
      <c r="CZ1794" t="s">
        <v>131</v>
      </c>
      <c r="DA1794">
        <v>286</v>
      </c>
      <c r="DB1794">
        <v>0</v>
      </c>
      <c r="DC1794" t="s">
        <v>132</v>
      </c>
      <c r="DD1794" t="s">
        <v>133</v>
      </c>
      <c r="DG1794">
        <v>828591</v>
      </c>
      <c r="DI1794">
        <v>1</v>
      </c>
      <c r="DJ1794">
        <v>0</v>
      </c>
      <c r="DK1794">
        <v>0</v>
      </c>
      <c r="DL1794">
        <v>0</v>
      </c>
      <c r="DM1794">
        <v>0</v>
      </c>
      <c r="DN1794">
        <v>1</v>
      </c>
      <c r="DO1794">
        <v>0</v>
      </c>
      <c r="DP1794">
        <v>0</v>
      </c>
      <c r="DQ1794">
        <v>0</v>
      </c>
      <c r="DR1794">
        <v>0</v>
      </c>
      <c r="DS1794">
        <v>0</v>
      </c>
    </row>
    <row r="1795" spans="1:123" x14ac:dyDescent="0.3">
      <c r="A1795" t="str">
        <f>"10/04/2022 19:30:16.105"</f>
        <v>10/04/2022 19:30:16.105</v>
      </c>
      <c r="C1795" t="str">
        <f t="shared" si="629"/>
        <v>FFDFD3C0</v>
      </c>
      <c r="D1795" t="s">
        <v>123</v>
      </c>
      <c r="E1795">
        <v>7</v>
      </c>
      <c r="F1795">
        <v>2007</v>
      </c>
      <c r="G1795" t="s">
        <v>124</v>
      </c>
      <c r="J1795" t="s">
        <v>125</v>
      </c>
      <c r="K1795">
        <v>0</v>
      </c>
      <c r="L1795">
        <v>3</v>
      </c>
      <c r="M1795">
        <v>0</v>
      </c>
      <c r="N1795">
        <v>2</v>
      </c>
      <c r="O1795">
        <v>0</v>
      </c>
      <c r="P1795">
        <v>1</v>
      </c>
      <c r="Q1795">
        <v>0</v>
      </c>
      <c r="S1795" t="str">
        <f t="shared" si="630"/>
        <v>19:30:15.000</v>
      </c>
      <c r="T1795" t="str">
        <f t="shared" si="630"/>
        <v>19:30:15.000</v>
      </c>
      <c r="U1795" t="str">
        <f t="shared" si="632"/>
        <v>AC3944</v>
      </c>
      <c r="V1795">
        <v>0</v>
      </c>
      <c r="W1795">
        <v>0</v>
      </c>
      <c r="X1795">
        <v>2</v>
      </c>
      <c r="Y1795">
        <v>0</v>
      </c>
      <c r="AA1795">
        <v>1</v>
      </c>
      <c r="AB1795">
        <v>8</v>
      </c>
      <c r="AC1795">
        <v>3</v>
      </c>
      <c r="AD1795">
        <v>0</v>
      </c>
      <c r="AE1795">
        <v>9</v>
      </c>
      <c r="AF1795" t="s">
        <v>138</v>
      </c>
      <c r="AG1795">
        <v>0</v>
      </c>
      <c r="AH1795">
        <v>3</v>
      </c>
      <c r="AI1795">
        <v>1</v>
      </c>
      <c r="AJ1795">
        <v>0</v>
      </c>
      <c r="AK1795" t="s">
        <v>648</v>
      </c>
      <c r="AL1795">
        <v>32.782645000000002</v>
      </c>
      <c r="AM1795" t="s">
        <v>649</v>
      </c>
      <c r="AN1795">
        <v>-116.86097100000001</v>
      </c>
      <c r="AO1795">
        <v>25</v>
      </c>
      <c r="AP1795">
        <v>2900</v>
      </c>
      <c r="AQ1795" t="s">
        <v>129</v>
      </c>
      <c r="AR1795">
        <v>91</v>
      </c>
      <c r="AS1795">
        <v>-77</v>
      </c>
      <c r="AT1795">
        <v>320</v>
      </c>
      <c r="BB1795">
        <v>1200</v>
      </c>
      <c r="BC1795">
        <v>1</v>
      </c>
      <c r="BD1795" t="str">
        <f t="shared" si="633"/>
        <v xml:space="preserve">N887QR  </v>
      </c>
      <c r="BE1795">
        <v>1</v>
      </c>
      <c r="BG1795">
        <v>0</v>
      </c>
      <c r="BH1795">
        <v>0</v>
      </c>
      <c r="BI1795">
        <v>0</v>
      </c>
      <c r="BJ1795">
        <v>2625</v>
      </c>
      <c r="BK1795">
        <v>-275</v>
      </c>
      <c r="BL1795" t="s">
        <v>163</v>
      </c>
      <c r="BM1795">
        <v>1</v>
      </c>
      <c r="BN1795">
        <v>1</v>
      </c>
      <c r="BO1795">
        <v>1</v>
      </c>
      <c r="BP1795">
        <v>0</v>
      </c>
      <c r="BS1795">
        <v>0</v>
      </c>
      <c r="BT1795">
        <v>0</v>
      </c>
      <c r="BU1795">
        <v>0</v>
      </c>
      <c r="CE1795" t="str">
        <f t="shared" si="634"/>
        <v>19:30:15.880</v>
      </c>
      <c r="CF1795">
        <v>879583298</v>
      </c>
      <c r="CS1795">
        <v>0</v>
      </c>
      <c r="CT1795">
        <v>2</v>
      </c>
      <c r="CU1795">
        <v>0</v>
      </c>
      <c r="CV1795">
        <v>2</v>
      </c>
      <c r="CW1795">
        <v>0</v>
      </c>
      <c r="CX1795">
        <v>5</v>
      </c>
      <c r="CY1795">
        <v>7</v>
      </c>
      <c r="CZ1795" t="s">
        <v>131</v>
      </c>
      <c r="DA1795">
        <v>286</v>
      </c>
      <c r="DB1795">
        <v>0</v>
      </c>
      <c r="DC1795" t="s">
        <v>132</v>
      </c>
      <c r="DD1795" t="s">
        <v>133</v>
      </c>
      <c r="DG1795">
        <v>828591</v>
      </c>
      <c r="DI1795">
        <v>1</v>
      </c>
      <c r="DJ1795">
        <v>0</v>
      </c>
      <c r="DK1795">
        <v>1</v>
      </c>
      <c r="DL1795">
        <v>0</v>
      </c>
      <c r="DM1795">
        <v>0</v>
      </c>
      <c r="DN1795">
        <v>1</v>
      </c>
      <c r="DO1795">
        <v>0</v>
      </c>
      <c r="DP1795">
        <v>0</v>
      </c>
      <c r="DQ1795">
        <v>0</v>
      </c>
      <c r="DR1795">
        <v>0</v>
      </c>
      <c r="DS1795">
        <v>0</v>
      </c>
    </row>
    <row r="1796" spans="1:123" x14ac:dyDescent="0.3">
      <c r="A1796" t="str">
        <f>"10/04/2022 19:30:16.058"</f>
        <v>10/04/2022 19:30:16.058</v>
      </c>
      <c r="C1796" t="str">
        <f t="shared" si="629"/>
        <v>FFDFD3C0</v>
      </c>
      <c r="D1796" t="s">
        <v>143</v>
      </c>
      <c r="E1796">
        <v>20</v>
      </c>
      <c r="F1796">
        <v>1020</v>
      </c>
      <c r="G1796" t="s">
        <v>144</v>
      </c>
      <c r="J1796" t="s">
        <v>145</v>
      </c>
      <c r="K1796">
        <v>0</v>
      </c>
      <c r="L1796">
        <v>3</v>
      </c>
      <c r="M1796">
        <v>0</v>
      </c>
      <c r="N1796">
        <v>2</v>
      </c>
      <c r="O1796">
        <v>0</v>
      </c>
      <c r="P1796">
        <v>1</v>
      </c>
      <c r="Q1796">
        <v>0</v>
      </c>
      <c r="S1796" t="str">
        <f t="shared" si="630"/>
        <v>19:30:15.000</v>
      </c>
      <c r="T1796" t="str">
        <f t="shared" si="630"/>
        <v>19:30:15.000</v>
      </c>
      <c r="U1796" t="str">
        <f t="shared" si="632"/>
        <v>AC3944</v>
      </c>
      <c r="V1796">
        <v>0</v>
      </c>
      <c r="W1796">
        <v>0</v>
      </c>
      <c r="X1796">
        <v>2</v>
      </c>
      <c r="Y1796">
        <v>0</v>
      </c>
      <c r="AA1796">
        <v>1</v>
      </c>
      <c r="AB1796">
        <v>8</v>
      </c>
      <c r="AC1796">
        <v>3</v>
      </c>
      <c r="AD1796">
        <v>0</v>
      </c>
      <c r="AE1796">
        <v>9</v>
      </c>
      <c r="AF1796" t="s">
        <v>138</v>
      </c>
      <c r="AG1796">
        <v>0</v>
      </c>
      <c r="AH1796">
        <v>3</v>
      </c>
      <c r="AI1796">
        <v>1</v>
      </c>
      <c r="AJ1796">
        <v>0</v>
      </c>
      <c r="AK1796" t="s">
        <v>648</v>
      </c>
      <c r="AL1796">
        <v>32.782645000000002</v>
      </c>
      <c r="AM1796" t="s">
        <v>649</v>
      </c>
      <c r="AN1796">
        <v>-116.86097100000001</v>
      </c>
      <c r="AO1796">
        <v>25</v>
      </c>
      <c r="AP1796">
        <v>2900</v>
      </c>
      <c r="AQ1796" t="s">
        <v>129</v>
      </c>
      <c r="AR1796">
        <v>91</v>
      </c>
      <c r="AS1796">
        <v>-77</v>
      </c>
      <c r="AT1796">
        <v>320</v>
      </c>
      <c r="BB1796">
        <v>1200</v>
      </c>
      <c r="BC1796">
        <v>1</v>
      </c>
      <c r="BD1796" t="str">
        <f t="shared" si="633"/>
        <v xml:space="preserve">N887QR  </v>
      </c>
      <c r="BE1796">
        <v>1</v>
      </c>
      <c r="BG1796">
        <v>0</v>
      </c>
      <c r="BH1796">
        <v>0</v>
      </c>
      <c r="BI1796">
        <v>0</v>
      </c>
      <c r="BJ1796">
        <v>2625</v>
      </c>
      <c r="BK1796">
        <v>-275</v>
      </c>
      <c r="BL1796" t="s">
        <v>163</v>
      </c>
      <c r="BM1796">
        <v>1</v>
      </c>
      <c r="BN1796">
        <v>1</v>
      </c>
      <c r="BO1796">
        <v>1</v>
      </c>
      <c r="BP1796">
        <v>0</v>
      </c>
      <c r="BS1796">
        <v>0</v>
      </c>
      <c r="BT1796">
        <v>0</v>
      </c>
      <c r="BU1796">
        <v>0</v>
      </c>
      <c r="CE1796" t="str">
        <f t="shared" si="634"/>
        <v>19:30:15.880</v>
      </c>
      <c r="CF1796">
        <v>879583298</v>
      </c>
      <c r="CS1796">
        <v>0</v>
      </c>
      <c r="CT1796">
        <v>2</v>
      </c>
      <c r="CU1796">
        <v>0</v>
      </c>
      <c r="CV1796">
        <v>2</v>
      </c>
      <c r="CW1796">
        <v>0</v>
      </c>
      <c r="CX1796">
        <v>5</v>
      </c>
      <c r="CY1796">
        <v>7</v>
      </c>
      <c r="CZ1796" t="s">
        <v>131</v>
      </c>
      <c r="DA1796">
        <v>286</v>
      </c>
      <c r="DB1796">
        <v>0</v>
      </c>
      <c r="DC1796" t="s">
        <v>132</v>
      </c>
      <c r="DD1796" t="s">
        <v>133</v>
      </c>
      <c r="DG1796">
        <v>828591</v>
      </c>
      <c r="DI1796">
        <v>1</v>
      </c>
      <c r="DJ1796">
        <v>0</v>
      </c>
      <c r="DK1796">
        <v>1</v>
      </c>
      <c r="DL1796">
        <v>0</v>
      </c>
      <c r="DM1796">
        <v>0</v>
      </c>
      <c r="DN1796">
        <v>1</v>
      </c>
      <c r="DO1796">
        <v>0</v>
      </c>
      <c r="DP1796">
        <v>0</v>
      </c>
      <c r="DQ1796">
        <v>0</v>
      </c>
      <c r="DR1796">
        <v>0</v>
      </c>
      <c r="DS1796">
        <v>0</v>
      </c>
    </row>
    <row r="1797" spans="1:123" x14ac:dyDescent="0.3">
      <c r="A1797" t="str">
        <f>"10/04/2022 19:30:16.105"</f>
        <v>10/04/2022 19:30:16.105</v>
      </c>
      <c r="C1797" t="str">
        <f t="shared" si="629"/>
        <v>FFDFD3C0</v>
      </c>
      <c r="D1797" t="s">
        <v>134</v>
      </c>
      <c r="E1797">
        <v>15</v>
      </c>
      <c r="J1797" t="s">
        <v>135</v>
      </c>
      <c r="K1797">
        <v>0</v>
      </c>
      <c r="L1797">
        <v>3</v>
      </c>
      <c r="M1797">
        <v>0</v>
      </c>
      <c r="N1797">
        <v>2</v>
      </c>
      <c r="O1797">
        <v>0</v>
      </c>
      <c r="P1797">
        <v>1</v>
      </c>
      <c r="Q1797">
        <v>0</v>
      </c>
      <c r="S1797" t="str">
        <f t="shared" si="630"/>
        <v>19:30:15.000</v>
      </c>
      <c r="T1797" t="str">
        <f t="shared" si="630"/>
        <v>19:30:15.000</v>
      </c>
      <c r="U1797" t="str">
        <f t="shared" si="632"/>
        <v>AC3944</v>
      </c>
      <c r="V1797">
        <v>0</v>
      </c>
      <c r="W1797">
        <v>0</v>
      </c>
      <c r="X1797">
        <v>2</v>
      </c>
      <c r="Y1797">
        <v>0</v>
      </c>
      <c r="AA1797">
        <v>1</v>
      </c>
      <c r="AB1797">
        <v>8</v>
      </c>
      <c r="AC1797">
        <v>3</v>
      </c>
      <c r="AD1797">
        <v>0</v>
      </c>
      <c r="AE1797">
        <v>9</v>
      </c>
      <c r="AF1797" t="s">
        <v>138</v>
      </c>
      <c r="AG1797">
        <v>0</v>
      </c>
      <c r="AH1797">
        <v>3</v>
      </c>
      <c r="AI1797">
        <v>1</v>
      </c>
      <c r="AJ1797">
        <v>0</v>
      </c>
      <c r="AK1797" t="s">
        <v>648</v>
      </c>
      <c r="AL1797">
        <v>32.782645000000002</v>
      </c>
      <c r="AM1797" t="s">
        <v>649</v>
      </c>
      <c r="AN1797">
        <v>-116.86097100000001</v>
      </c>
      <c r="AO1797">
        <v>25</v>
      </c>
      <c r="AP1797">
        <v>2900</v>
      </c>
      <c r="AQ1797" t="s">
        <v>129</v>
      </c>
      <c r="AR1797">
        <v>91</v>
      </c>
      <c r="AS1797">
        <v>-77</v>
      </c>
      <c r="AT1797">
        <v>320</v>
      </c>
      <c r="BB1797">
        <v>1200</v>
      </c>
      <c r="BC1797">
        <v>1</v>
      </c>
      <c r="BD1797" t="str">
        <f t="shared" si="633"/>
        <v xml:space="preserve">N887QR  </v>
      </c>
      <c r="BE1797">
        <v>1</v>
      </c>
      <c r="BG1797">
        <v>0</v>
      </c>
      <c r="BH1797">
        <v>0</v>
      </c>
      <c r="BI1797">
        <v>0</v>
      </c>
      <c r="BJ1797">
        <v>2625</v>
      </c>
      <c r="BK1797">
        <v>-275</v>
      </c>
      <c r="BL1797" t="s">
        <v>163</v>
      </c>
      <c r="BM1797">
        <v>1</v>
      </c>
      <c r="BN1797">
        <v>1</v>
      </c>
      <c r="BO1797">
        <v>1</v>
      </c>
      <c r="BP1797">
        <v>0</v>
      </c>
      <c r="BS1797">
        <v>0</v>
      </c>
      <c r="BT1797">
        <v>0</v>
      </c>
      <c r="BU1797">
        <v>0</v>
      </c>
      <c r="CE1797" t="str">
        <f t="shared" si="634"/>
        <v>19:30:15.880</v>
      </c>
      <c r="CF1797">
        <v>879583298</v>
      </c>
      <c r="CS1797">
        <v>0</v>
      </c>
      <c r="CT1797">
        <v>2</v>
      </c>
      <c r="CU1797">
        <v>0</v>
      </c>
      <c r="CV1797">
        <v>2</v>
      </c>
      <c r="CW1797">
        <v>0</v>
      </c>
      <c r="CX1797">
        <v>5</v>
      </c>
      <c r="CY1797">
        <v>7</v>
      </c>
      <c r="CZ1797" t="s">
        <v>131</v>
      </c>
      <c r="DA1797">
        <v>286</v>
      </c>
      <c r="DB1797">
        <v>0</v>
      </c>
      <c r="DC1797" t="s">
        <v>132</v>
      </c>
      <c r="DD1797" t="s">
        <v>133</v>
      </c>
      <c r="DG1797">
        <v>828591</v>
      </c>
      <c r="DI1797">
        <v>1</v>
      </c>
      <c r="DJ1797">
        <v>0</v>
      </c>
      <c r="DK1797">
        <v>1</v>
      </c>
      <c r="DL1797">
        <v>0</v>
      </c>
      <c r="DM1797">
        <v>0</v>
      </c>
      <c r="DN1797">
        <v>1</v>
      </c>
      <c r="DO1797">
        <v>0</v>
      </c>
      <c r="DP1797">
        <v>0</v>
      </c>
      <c r="DQ1797">
        <v>0</v>
      </c>
      <c r="DR1797">
        <v>0</v>
      </c>
      <c r="DS1797">
        <v>0</v>
      </c>
    </row>
    <row r="1798" spans="1:123" x14ac:dyDescent="0.3">
      <c r="A1798" t="str">
        <f>"10/04/2022 19:30:16.105"</f>
        <v>10/04/2022 19:30:16.105</v>
      </c>
      <c r="C1798" t="str">
        <f t="shared" si="629"/>
        <v>FFDFD3C0</v>
      </c>
      <c r="D1798" t="s">
        <v>141</v>
      </c>
      <c r="E1798">
        <v>4</v>
      </c>
      <c r="H1798">
        <v>4</v>
      </c>
      <c r="I1798" t="s">
        <v>142</v>
      </c>
      <c r="J1798" t="s">
        <v>138</v>
      </c>
      <c r="K1798">
        <v>0</v>
      </c>
      <c r="L1798">
        <v>3</v>
      </c>
      <c r="M1798">
        <v>0</v>
      </c>
      <c r="N1798">
        <v>2</v>
      </c>
      <c r="O1798">
        <v>0</v>
      </c>
      <c r="P1798">
        <v>1</v>
      </c>
      <c r="Q1798">
        <v>0</v>
      </c>
      <c r="S1798" t="str">
        <f t="shared" si="630"/>
        <v>19:30:15.000</v>
      </c>
      <c r="T1798" t="str">
        <f t="shared" si="630"/>
        <v>19:30:15.000</v>
      </c>
      <c r="U1798" t="str">
        <f t="shared" si="632"/>
        <v>AC3944</v>
      </c>
      <c r="V1798">
        <v>0</v>
      </c>
      <c r="W1798">
        <v>0</v>
      </c>
      <c r="X1798">
        <v>2</v>
      </c>
      <c r="Y1798">
        <v>0</v>
      </c>
      <c r="AA1798">
        <v>1</v>
      </c>
      <c r="AB1798">
        <v>8</v>
      </c>
      <c r="AC1798">
        <v>3</v>
      </c>
      <c r="AD1798">
        <v>0</v>
      </c>
      <c r="AE1798">
        <v>9</v>
      </c>
      <c r="AF1798" t="s">
        <v>138</v>
      </c>
      <c r="AG1798">
        <v>0</v>
      </c>
      <c r="AH1798">
        <v>3</v>
      </c>
      <c r="AI1798">
        <v>1</v>
      </c>
      <c r="AJ1798">
        <v>0</v>
      </c>
      <c r="AK1798" t="s">
        <v>648</v>
      </c>
      <c r="AL1798">
        <v>32.782645000000002</v>
      </c>
      <c r="AM1798" t="s">
        <v>649</v>
      </c>
      <c r="AN1798">
        <v>-116.86097100000001</v>
      </c>
      <c r="AO1798">
        <v>25</v>
      </c>
      <c r="AP1798">
        <v>2900</v>
      </c>
      <c r="AQ1798" t="s">
        <v>129</v>
      </c>
      <c r="AR1798">
        <v>91</v>
      </c>
      <c r="AS1798">
        <v>-77</v>
      </c>
      <c r="AT1798">
        <v>320</v>
      </c>
      <c r="BB1798">
        <v>1200</v>
      </c>
      <c r="BC1798">
        <v>1</v>
      </c>
      <c r="BD1798" t="str">
        <f t="shared" si="633"/>
        <v xml:space="preserve">N887QR  </v>
      </c>
      <c r="BE1798">
        <v>1</v>
      </c>
      <c r="BG1798">
        <v>0</v>
      </c>
      <c r="BH1798">
        <v>0</v>
      </c>
      <c r="BI1798">
        <v>0</v>
      </c>
      <c r="BJ1798">
        <v>2625</v>
      </c>
      <c r="BK1798">
        <v>-275</v>
      </c>
      <c r="BL1798" t="s">
        <v>163</v>
      </c>
      <c r="BM1798">
        <v>1</v>
      </c>
      <c r="BN1798">
        <v>1</v>
      </c>
      <c r="BO1798">
        <v>1</v>
      </c>
      <c r="BP1798">
        <v>0</v>
      </c>
      <c r="BS1798">
        <v>0</v>
      </c>
      <c r="BT1798">
        <v>0</v>
      </c>
      <c r="BU1798">
        <v>0</v>
      </c>
      <c r="CE1798" t="str">
        <f t="shared" si="634"/>
        <v>19:30:15.880</v>
      </c>
      <c r="CF1798">
        <v>879583298</v>
      </c>
      <c r="CS1798">
        <v>0</v>
      </c>
      <c r="CT1798">
        <v>2</v>
      </c>
      <c r="CU1798">
        <v>0</v>
      </c>
      <c r="CV1798">
        <v>2</v>
      </c>
      <c r="CW1798">
        <v>0</v>
      </c>
      <c r="CX1798">
        <v>5</v>
      </c>
      <c r="CY1798">
        <v>7</v>
      </c>
      <c r="CZ1798" t="s">
        <v>131</v>
      </c>
      <c r="DA1798">
        <v>286</v>
      </c>
      <c r="DB1798">
        <v>0</v>
      </c>
      <c r="DC1798" t="s">
        <v>132</v>
      </c>
      <c r="DD1798" t="s">
        <v>133</v>
      </c>
      <c r="DG1798">
        <v>828591</v>
      </c>
      <c r="DI1798">
        <v>1</v>
      </c>
      <c r="DJ1798">
        <v>0</v>
      </c>
      <c r="DK1798">
        <v>1</v>
      </c>
      <c r="DL1798">
        <v>0</v>
      </c>
      <c r="DM1798">
        <v>0</v>
      </c>
      <c r="DN1798">
        <v>1</v>
      </c>
      <c r="DO1798">
        <v>0</v>
      </c>
      <c r="DP1798">
        <v>0</v>
      </c>
      <c r="DQ1798">
        <v>0</v>
      </c>
      <c r="DR1798">
        <v>0</v>
      </c>
      <c r="DS1798">
        <v>0</v>
      </c>
    </row>
    <row r="1799" spans="1:123" x14ac:dyDescent="0.3">
      <c r="A1799" t="str">
        <f>"10/04/2022 19:30:16.105"</f>
        <v>10/04/2022 19:30:16.105</v>
      </c>
      <c r="C1799" t="str">
        <f t="shared" si="629"/>
        <v>FFDFD3C0</v>
      </c>
      <c r="D1799" t="s">
        <v>147</v>
      </c>
      <c r="E1799">
        <v>3</v>
      </c>
      <c r="H1799">
        <v>166</v>
      </c>
      <c r="I1799" t="s">
        <v>144</v>
      </c>
      <c r="J1799" t="s">
        <v>148</v>
      </c>
      <c r="K1799">
        <v>0</v>
      </c>
      <c r="L1799">
        <v>3</v>
      </c>
      <c r="M1799">
        <v>0</v>
      </c>
      <c r="N1799">
        <v>2</v>
      </c>
      <c r="O1799">
        <v>0</v>
      </c>
      <c r="P1799">
        <v>1</v>
      </c>
      <c r="Q1799">
        <v>0</v>
      </c>
      <c r="S1799" t="str">
        <f t="shared" si="630"/>
        <v>19:30:15.000</v>
      </c>
      <c r="T1799" t="str">
        <f t="shared" si="630"/>
        <v>19:30:15.000</v>
      </c>
      <c r="U1799" t="str">
        <f t="shared" si="632"/>
        <v>AC3944</v>
      </c>
      <c r="V1799">
        <v>0</v>
      </c>
      <c r="W1799">
        <v>0</v>
      </c>
      <c r="X1799">
        <v>2</v>
      </c>
      <c r="Y1799">
        <v>0</v>
      </c>
      <c r="AA1799">
        <v>1</v>
      </c>
      <c r="AB1799">
        <v>8</v>
      </c>
      <c r="AC1799">
        <v>3</v>
      </c>
      <c r="AD1799">
        <v>0</v>
      </c>
      <c r="AE1799">
        <v>9</v>
      </c>
      <c r="AF1799" t="s">
        <v>138</v>
      </c>
      <c r="AG1799">
        <v>0</v>
      </c>
      <c r="AH1799">
        <v>3</v>
      </c>
      <c r="AI1799">
        <v>1</v>
      </c>
      <c r="AJ1799">
        <v>0</v>
      </c>
      <c r="AK1799" t="s">
        <v>648</v>
      </c>
      <c r="AL1799">
        <v>32.782645000000002</v>
      </c>
      <c r="AM1799" t="s">
        <v>649</v>
      </c>
      <c r="AN1799">
        <v>-116.86097100000001</v>
      </c>
      <c r="AO1799">
        <v>25</v>
      </c>
      <c r="AP1799">
        <v>2900</v>
      </c>
      <c r="AQ1799" t="s">
        <v>129</v>
      </c>
      <c r="AR1799">
        <v>91</v>
      </c>
      <c r="AS1799">
        <v>-77</v>
      </c>
      <c r="AT1799">
        <v>320</v>
      </c>
      <c r="BB1799">
        <v>1200</v>
      </c>
      <c r="BC1799">
        <v>1</v>
      </c>
      <c r="BD1799" t="str">
        <f t="shared" si="633"/>
        <v xml:space="preserve">N887QR  </v>
      </c>
      <c r="BE1799">
        <v>1</v>
      </c>
      <c r="BG1799">
        <v>0</v>
      </c>
      <c r="BH1799">
        <v>0</v>
      </c>
      <c r="BI1799">
        <v>0</v>
      </c>
      <c r="BJ1799">
        <v>2625</v>
      </c>
      <c r="BK1799">
        <v>-275</v>
      </c>
      <c r="BL1799" t="s">
        <v>163</v>
      </c>
      <c r="BM1799">
        <v>1</v>
      </c>
      <c r="BN1799">
        <v>1</v>
      </c>
      <c r="BO1799">
        <v>1</v>
      </c>
      <c r="BP1799">
        <v>0</v>
      </c>
      <c r="BS1799">
        <v>0</v>
      </c>
      <c r="BT1799">
        <v>0</v>
      </c>
      <c r="BU1799">
        <v>0</v>
      </c>
      <c r="CE1799" t="str">
        <f t="shared" si="634"/>
        <v>19:30:15.880</v>
      </c>
      <c r="CF1799">
        <v>879583298</v>
      </c>
      <c r="CS1799">
        <v>0</v>
      </c>
      <c r="CT1799">
        <v>2</v>
      </c>
      <c r="CU1799">
        <v>0</v>
      </c>
      <c r="CV1799">
        <v>2</v>
      </c>
      <c r="CW1799">
        <v>0</v>
      </c>
      <c r="CX1799">
        <v>5</v>
      </c>
      <c r="CY1799">
        <v>7</v>
      </c>
      <c r="CZ1799" t="s">
        <v>131</v>
      </c>
      <c r="DA1799">
        <v>286</v>
      </c>
      <c r="DB1799">
        <v>0</v>
      </c>
      <c r="DC1799" t="s">
        <v>132</v>
      </c>
      <c r="DD1799" t="s">
        <v>133</v>
      </c>
      <c r="DG1799">
        <v>828591</v>
      </c>
      <c r="DI1799">
        <v>1</v>
      </c>
      <c r="DJ1799">
        <v>0</v>
      </c>
      <c r="DK1799">
        <v>1</v>
      </c>
      <c r="DL1799">
        <v>0</v>
      </c>
      <c r="DM1799">
        <v>0</v>
      </c>
      <c r="DN1799">
        <v>1</v>
      </c>
      <c r="DO1799">
        <v>0</v>
      </c>
      <c r="DP1799">
        <v>0</v>
      </c>
      <c r="DQ1799">
        <v>0</v>
      </c>
      <c r="DR1799">
        <v>0</v>
      </c>
      <c r="DS1799">
        <v>0</v>
      </c>
    </row>
    <row r="1800" spans="1:123" x14ac:dyDescent="0.3">
      <c r="A1800" t="str">
        <f>"10/04/2022 19:30:16.105"</f>
        <v>10/04/2022 19:30:16.105</v>
      </c>
      <c r="C1800" t="str">
        <f t="shared" si="629"/>
        <v>FFDFD3C0</v>
      </c>
      <c r="D1800" t="s">
        <v>141</v>
      </c>
      <c r="E1800">
        <v>3</v>
      </c>
      <c r="H1800">
        <v>3</v>
      </c>
      <c r="I1800" t="s">
        <v>146</v>
      </c>
      <c r="J1800" t="s">
        <v>138</v>
      </c>
      <c r="K1800">
        <v>0</v>
      </c>
      <c r="L1800">
        <v>3</v>
      </c>
      <c r="M1800">
        <v>0</v>
      </c>
      <c r="N1800">
        <v>2</v>
      </c>
      <c r="O1800">
        <v>0</v>
      </c>
      <c r="P1800">
        <v>1</v>
      </c>
      <c r="Q1800">
        <v>0</v>
      </c>
      <c r="S1800" t="str">
        <f t="shared" si="630"/>
        <v>19:30:15.000</v>
      </c>
      <c r="T1800" t="str">
        <f t="shared" si="630"/>
        <v>19:30:15.000</v>
      </c>
      <c r="U1800" t="str">
        <f t="shared" si="632"/>
        <v>AC3944</v>
      </c>
      <c r="V1800">
        <v>0</v>
      </c>
      <c r="W1800">
        <v>0</v>
      </c>
      <c r="X1800">
        <v>2</v>
      </c>
      <c r="Y1800">
        <v>0</v>
      </c>
      <c r="AA1800">
        <v>1</v>
      </c>
      <c r="AB1800">
        <v>8</v>
      </c>
      <c r="AC1800">
        <v>3</v>
      </c>
      <c r="AD1800">
        <v>0</v>
      </c>
      <c r="AE1800">
        <v>9</v>
      </c>
      <c r="AF1800" t="s">
        <v>138</v>
      </c>
      <c r="AG1800">
        <v>0</v>
      </c>
      <c r="AH1800">
        <v>3</v>
      </c>
      <c r="AI1800">
        <v>1</v>
      </c>
      <c r="AJ1800">
        <v>0</v>
      </c>
      <c r="AK1800" t="s">
        <v>648</v>
      </c>
      <c r="AL1800">
        <v>32.782645000000002</v>
      </c>
      <c r="AM1800" t="s">
        <v>649</v>
      </c>
      <c r="AN1800">
        <v>-116.86097100000001</v>
      </c>
      <c r="AO1800">
        <v>25</v>
      </c>
      <c r="AP1800">
        <v>2900</v>
      </c>
      <c r="AQ1800" t="s">
        <v>129</v>
      </c>
      <c r="AR1800">
        <v>91</v>
      </c>
      <c r="AS1800">
        <v>-77</v>
      </c>
      <c r="AT1800">
        <v>320</v>
      </c>
      <c r="BB1800">
        <v>1200</v>
      </c>
      <c r="BC1800">
        <v>1</v>
      </c>
      <c r="BD1800" t="str">
        <f t="shared" si="633"/>
        <v xml:space="preserve">N887QR  </v>
      </c>
      <c r="BE1800">
        <v>1</v>
      </c>
      <c r="BG1800">
        <v>0</v>
      </c>
      <c r="BH1800">
        <v>0</v>
      </c>
      <c r="BI1800">
        <v>0</v>
      </c>
      <c r="BJ1800">
        <v>2625</v>
      </c>
      <c r="BK1800">
        <v>-275</v>
      </c>
      <c r="BL1800" t="s">
        <v>163</v>
      </c>
      <c r="BM1800">
        <v>1</v>
      </c>
      <c r="BN1800">
        <v>1</v>
      </c>
      <c r="BO1800">
        <v>1</v>
      </c>
      <c r="BP1800">
        <v>0</v>
      </c>
      <c r="BS1800">
        <v>0</v>
      </c>
      <c r="BT1800">
        <v>0</v>
      </c>
      <c r="BU1800">
        <v>0</v>
      </c>
      <c r="CE1800" t="str">
        <f t="shared" si="634"/>
        <v>19:30:15.880</v>
      </c>
      <c r="CF1800">
        <v>879583298</v>
      </c>
      <c r="CS1800">
        <v>0</v>
      </c>
      <c r="CT1800">
        <v>2</v>
      </c>
      <c r="CU1800">
        <v>0</v>
      </c>
      <c r="CV1800">
        <v>2</v>
      </c>
      <c r="CW1800">
        <v>0</v>
      </c>
      <c r="CX1800">
        <v>5</v>
      </c>
      <c r="CY1800">
        <v>7</v>
      </c>
      <c r="CZ1800" t="s">
        <v>131</v>
      </c>
      <c r="DA1800">
        <v>286</v>
      </c>
      <c r="DB1800">
        <v>0</v>
      </c>
      <c r="DC1800" t="s">
        <v>132</v>
      </c>
      <c r="DD1800" t="s">
        <v>133</v>
      </c>
      <c r="DG1800">
        <v>828591</v>
      </c>
      <c r="DI1800">
        <v>1</v>
      </c>
      <c r="DJ1800">
        <v>0</v>
      </c>
      <c r="DK1800">
        <v>1</v>
      </c>
      <c r="DL1800">
        <v>0</v>
      </c>
      <c r="DM1800">
        <v>0</v>
      </c>
      <c r="DN1800">
        <v>1</v>
      </c>
      <c r="DO1800">
        <v>0</v>
      </c>
      <c r="DP1800">
        <v>0</v>
      </c>
      <c r="DQ1800">
        <v>0</v>
      </c>
      <c r="DR1800">
        <v>0</v>
      </c>
      <c r="DS1800">
        <v>0</v>
      </c>
    </row>
    <row r="1801" spans="1:123" x14ac:dyDescent="0.3">
      <c r="A1801" t="str">
        <f t="shared" ref="A1801:A1806" si="635">"10/04/2022 19:30:17.321"</f>
        <v>10/04/2022 19:30:17.321</v>
      </c>
      <c r="C1801" t="str">
        <f t="shared" si="629"/>
        <v>FFDFD3C0</v>
      </c>
      <c r="D1801" t="s">
        <v>134</v>
      </c>
      <c r="E1801">
        <v>15</v>
      </c>
      <c r="J1801" t="s">
        <v>135</v>
      </c>
      <c r="K1801">
        <v>0</v>
      </c>
      <c r="L1801">
        <v>3</v>
      </c>
      <c r="M1801">
        <v>0</v>
      </c>
      <c r="N1801">
        <v>2</v>
      </c>
      <c r="O1801">
        <v>0</v>
      </c>
      <c r="P1801">
        <v>1</v>
      </c>
      <c r="Q1801">
        <v>0</v>
      </c>
      <c r="S1801" t="str">
        <f t="shared" ref="S1801:T1814" si="636">"19:30:17.000"</f>
        <v>19:30:17.000</v>
      </c>
      <c r="T1801" t="str">
        <f t="shared" si="636"/>
        <v>19:30:17.000</v>
      </c>
      <c r="U1801" t="str">
        <f t="shared" si="632"/>
        <v>AC3944</v>
      </c>
      <c r="V1801">
        <v>0</v>
      </c>
      <c r="W1801">
        <v>0</v>
      </c>
      <c r="X1801">
        <v>2</v>
      </c>
      <c r="Y1801">
        <v>0</v>
      </c>
      <c r="AA1801">
        <v>1</v>
      </c>
      <c r="AB1801">
        <v>8</v>
      </c>
      <c r="AC1801">
        <v>3</v>
      </c>
      <c r="AD1801">
        <v>0</v>
      </c>
      <c r="AE1801">
        <v>9</v>
      </c>
      <c r="AF1801" t="s">
        <v>138</v>
      </c>
      <c r="AG1801">
        <v>0</v>
      </c>
      <c r="AH1801">
        <v>3</v>
      </c>
      <c r="AI1801">
        <v>1</v>
      </c>
      <c r="AJ1801">
        <v>0</v>
      </c>
      <c r="AK1801" t="s">
        <v>650</v>
      </c>
      <c r="AL1801">
        <v>32.782366000000003</v>
      </c>
      <c r="AM1801" t="s">
        <v>651</v>
      </c>
      <c r="AN1801">
        <v>-116.860564</v>
      </c>
      <c r="AO1801">
        <v>25</v>
      </c>
      <c r="AP1801">
        <v>2900</v>
      </c>
      <c r="AQ1801" t="s">
        <v>129</v>
      </c>
      <c r="AR1801">
        <v>95</v>
      </c>
      <c r="AS1801">
        <v>-74</v>
      </c>
      <c r="AT1801">
        <v>256</v>
      </c>
      <c r="BB1801">
        <v>1200</v>
      </c>
      <c r="BC1801">
        <v>1</v>
      </c>
      <c r="BD1801" t="str">
        <f t="shared" si="633"/>
        <v xml:space="preserve">N887QR  </v>
      </c>
      <c r="BE1801">
        <v>1</v>
      </c>
      <c r="BG1801">
        <v>0</v>
      </c>
      <c r="BH1801">
        <v>0</v>
      </c>
      <c r="BI1801">
        <v>0</v>
      </c>
      <c r="BJ1801">
        <v>2625</v>
      </c>
      <c r="BK1801">
        <v>-275</v>
      </c>
      <c r="BL1801" t="s">
        <v>163</v>
      </c>
      <c r="BM1801">
        <v>1</v>
      </c>
      <c r="BN1801">
        <v>1</v>
      </c>
      <c r="BO1801">
        <v>1</v>
      </c>
      <c r="BP1801">
        <v>0</v>
      </c>
      <c r="BS1801">
        <v>0</v>
      </c>
      <c r="BT1801">
        <v>0</v>
      </c>
      <c r="BU1801">
        <v>0</v>
      </c>
      <c r="CE1801" t="str">
        <f t="shared" ref="CE1801:CE1807" si="637">"19:30:17.094"</f>
        <v>19:30:17.094</v>
      </c>
      <c r="CF1801">
        <v>93837018</v>
      </c>
      <c r="CS1801">
        <v>0</v>
      </c>
      <c r="CT1801">
        <v>2</v>
      </c>
      <c r="CU1801">
        <v>0</v>
      </c>
      <c r="CV1801">
        <v>2</v>
      </c>
      <c r="CW1801">
        <v>0</v>
      </c>
      <c r="CX1801">
        <v>5</v>
      </c>
      <c r="CY1801">
        <v>7</v>
      </c>
      <c r="CZ1801" t="s">
        <v>131</v>
      </c>
      <c r="DA1801">
        <v>286</v>
      </c>
      <c r="DB1801">
        <v>0</v>
      </c>
      <c r="DC1801" t="s">
        <v>132</v>
      </c>
      <c r="DD1801" t="s">
        <v>133</v>
      </c>
      <c r="DG1801">
        <v>828768</v>
      </c>
      <c r="DI1801">
        <v>1</v>
      </c>
      <c r="DJ1801">
        <v>0</v>
      </c>
      <c r="DK1801">
        <v>0</v>
      </c>
      <c r="DL1801">
        <v>0</v>
      </c>
      <c r="DM1801">
        <v>0</v>
      </c>
      <c r="DN1801">
        <v>1</v>
      </c>
      <c r="DO1801">
        <v>0</v>
      </c>
      <c r="DP1801">
        <v>0</v>
      </c>
      <c r="DQ1801">
        <v>0</v>
      </c>
      <c r="DR1801">
        <v>0</v>
      </c>
      <c r="DS1801">
        <v>0</v>
      </c>
    </row>
    <row r="1802" spans="1:123" x14ac:dyDescent="0.3">
      <c r="A1802" t="str">
        <f t="shared" si="635"/>
        <v>10/04/2022 19:30:17.321</v>
      </c>
      <c r="C1802" t="str">
        <f t="shared" si="629"/>
        <v>FFDFD3C0</v>
      </c>
      <c r="D1802" t="s">
        <v>147</v>
      </c>
      <c r="E1802">
        <v>3</v>
      </c>
      <c r="H1802">
        <v>166</v>
      </c>
      <c r="I1802" t="s">
        <v>144</v>
      </c>
      <c r="J1802" t="s">
        <v>148</v>
      </c>
      <c r="K1802">
        <v>0</v>
      </c>
      <c r="L1802">
        <v>3</v>
      </c>
      <c r="M1802">
        <v>0</v>
      </c>
      <c r="N1802">
        <v>2</v>
      </c>
      <c r="O1802">
        <v>0</v>
      </c>
      <c r="P1802">
        <v>1</v>
      </c>
      <c r="Q1802">
        <v>0</v>
      </c>
      <c r="S1802" t="str">
        <f t="shared" si="636"/>
        <v>19:30:17.000</v>
      </c>
      <c r="T1802" t="str">
        <f t="shared" si="636"/>
        <v>19:30:17.000</v>
      </c>
      <c r="U1802" t="str">
        <f t="shared" si="632"/>
        <v>AC3944</v>
      </c>
      <c r="V1802">
        <v>0</v>
      </c>
      <c r="W1802">
        <v>0</v>
      </c>
      <c r="X1802">
        <v>2</v>
      </c>
      <c r="Y1802">
        <v>0</v>
      </c>
      <c r="AA1802">
        <v>1</v>
      </c>
      <c r="AB1802">
        <v>8</v>
      </c>
      <c r="AC1802">
        <v>3</v>
      </c>
      <c r="AD1802">
        <v>0</v>
      </c>
      <c r="AE1802">
        <v>9</v>
      </c>
      <c r="AF1802" t="s">
        <v>138</v>
      </c>
      <c r="AG1802">
        <v>0</v>
      </c>
      <c r="AH1802">
        <v>3</v>
      </c>
      <c r="AI1802">
        <v>1</v>
      </c>
      <c r="AJ1802">
        <v>0</v>
      </c>
      <c r="AK1802" t="s">
        <v>650</v>
      </c>
      <c r="AL1802">
        <v>32.782366000000003</v>
      </c>
      <c r="AM1802" t="s">
        <v>651</v>
      </c>
      <c r="AN1802">
        <v>-116.860564</v>
      </c>
      <c r="AO1802">
        <v>25</v>
      </c>
      <c r="AP1802">
        <v>2900</v>
      </c>
      <c r="AQ1802" t="s">
        <v>129</v>
      </c>
      <c r="AR1802">
        <v>95</v>
      </c>
      <c r="AS1802">
        <v>-74</v>
      </c>
      <c r="AT1802">
        <v>256</v>
      </c>
      <c r="BB1802">
        <v>1200</v>
      </c>
      <c r="BC1802">
        <v>1</v>
      </c>
      <c r="BD1802" t="str">
        <f t="shared" si="633"/>
        <v xml:space="preserve">N887QR  </v>
      </c>
      <c r="BE1802">
        <v>1</v>
      </c>
      <c r="BG1802">
        <v>0</v>
      </c>
      <c r="BH1802">
        <v>0</v>
      </c>
      <c r="BI1802">
        <v>0</v>
      </c>
      <c r="BJ1802">
        <v>2625</v>
      </c>
      <c r="BK1802">
        <v>-275</v>
      </c>
      <c r="BL1802" t="s">
        <v>163</v>
      </c>
      <c r="BM1802">
        <v>1</v>
      </c>
      <c r="BN1802">
        <v>1</v>
      </c>
      <c r="BO1802">
        <v>1</v>
      </c>
      <c r="BP1802">
        <v>0</v>
      </c>
      <c r="BS1802">
        <v>0</v>
      </c>
      <c r="BT1802">
        <v>0</v>
      </c>
      <c r="BU1802">
        <v>0</v>
      </c>
      <c r="CE1802" t="str">
        <f t="shared" si="637"/>
        <v>19:30:17.094</v>
      </c>
      <c r="CF1802">
        <v>93837018</v>
      </c>
      <c r="CS1802">
        <v>0</v>
      </c>
      <c r="CT1802">
        <v>2</v>
      </c>
      <c r="CU1802">
        <v>0</v>
      </c>
      <c r="CV1802">
        <v>2</v>
      </c>
      <c r="CW1802">
        <v>0</v>
      </c>
      <c r="CX1802">
        <v>5</v>
      </c>
      <c r="CY1802">
        <v>7</v>
      </c>
      <c r="CZ1802" t="s">
        <v>131</v>
      </c>
      <c r="DA1802">
        <v>286</v>
      </c>
      <c r="DB1802">
        <v>0</v>
      </c>
      <c r="DC1802" t="s">
        <v>132</v>
      </c>
      <c r="DD1802" t="s">
        <v>133</v>
      </c>
      <c r="DG1802">
        <v>828768</v>
      </c>
      <c r="DI1802">
        <v>1</v>
      </c>
      <c r="DJ1802">
        <v>0</v>
      </c>
      <c r="DK1802">
        <v>1</v>
      </c>
      <c r="DL1802">
        <v>0</v>
      </c>
      <c r="DM1802">
        <v>0</v>
      </c>
      <c r="DN1802">
        <v>1</v>
      </c>
      <c r="DO1802">
        <v>0</v>
      </c>
      <c r="DP1802">
        <v>0</v>
      </c>
      <c r="DQ1802">
        <v>0</v>
      </c>
      <c r="DR1802">
        <v>0</v>
      </c>
      <c r="DS1802">
        <v>0</v>
      </c>
    </row>
    <row r="1803" spans="1:123" x14ac:dyDescent="0.3">
      <c r="A1803" t="str">
        <f t="shared" si="635"/>
        <v>10/04/2022 19:30:17.321</v>
      </c>
      <c r="C1803" t="str">
        <f t="shared" si="629"/>
        <v>FFDFD3C0</v>
      </c>
      <c r="D1803" t="s">
        <v>141</v>
      </c>
      <c r="E1803">
        <v>4</v>
      </c>
      <c r="H1803">
        <v>4</v>
      </c>
      <c r="I1803" t="s">
        <v>142</v>
      </c>
      <c r="J1803" t="s">
        <v>138</v>
      </c>
      <c r="K1803">
        <v>0</v>
      </c>
      <c r="L1803">
        <v>3</v>
      </c>
      <c r="M1803">
        <v>0</v>
      </c>
      <c r="N1803">
        <v>2</v>
      </c>
      <c r="O1803">
        <v>0</v>
      </c>
      <c r="P1803">
        <v>1</v>
      </c>
      <c r="Q1803">
        <v>0</v>
      </c>
      <c r="S1803" t="str">
        <f t="shared" si="636"/>
        <v>19:30:17.000</v>
      </c>
      <c r="T1803" t="str">
        <f t="shared" si="636"/>
        <v>19:30:17.000</v>
      </c>
      <c r="U1803" t="str">
        <f t="shared" si="632"/>
        <v>AC3944</v>
      </c>
      <c r="V1803">
        <v>0</v>
      </c>
      <c r="W1803">
        <v>0</v>
      </c>
      <c r="X1803">
        <v>2</v>
      </c>
      <c r="Y1803">
        <v>0</v>
      </c>
      <c r="AA1803">
        <v>1</v>
      </c>
      <c r="AB1803">
        <v>8</v>
      </c>
      <c r="AC1803">
        <v>3</v>
      </c>
      <c r="AD1803">
        <v>0</v>
      </c>
      <c r="AE1803">
        <v>9</v>
      </c>
      <c r="AF1803" t="s">
        <v>138</v>
      </c>
      <c r="AG1803">
        <v>0</v>
      </c>
      <c r="AH1803">
        <v>3</v>
      </c>
      <c r="AI1803">
        <v>1</v>
      </c>
      <c r="AJ1803">
        <v>0</v>
      </c>
      <c r="AK1803" t="s">
        <v>650</v>
      </c>
      <c r="AL1803">
        <v>32.782366000000003</v>
      </c>
      <c r="AM1803" t="s">
        <v>651</v>
      </c>
      <c r="AN1803">
        <v>-116.860564</v>
      </c>
      <c r="AO1803">
        <v>25</v>
      </c>
      <c r="AP1803">
        <v>2900</v>
      </c>
      <c r="AQ1803" t="s">
        <v>129</v>
      </c>
      <c r="AR1803">
        <v>95</v>
      </c>
      <c r="AS1803">
        <v>-74</v>
      </c>
      <c r="AT1803">
        <v>256</v>
      </c>
      <c r="BB1803">
        <v>1200</v>
      </c>
      <c r="BC1803">
        <v>1</v>
      </c>
      <c r="BD1803" t="str">
        <f t="shared" si="633"/>
        <v xml:space="preserve">N887QR  </v>
      </c>
      <c r="BE1803">
        <v>1</v>
      </c>
      <c r="BG1803">
        <v>0</v>
      </c>
      <c r="BH1803">
        <v>0</v>
      </c>
      <c r="BI1803">
        <v>0</v>
      </c>
      <c r="BJ1803">
        <v>2625</v>
      </c>
      <c r="BK1803">
        <v>-275</v>
      </c>
      <c r="BL1803" t="s">
        <v>163</v>
      </c>
      <c r="BM1803">
        <v>1</v>
      </c>
      <c r="BN1803">
        <v>1</v>
      </c>
      <c r="BO1803">
        <v>1</v>
      </c>
      <c r="BP1803">
        <v>0</v>
      </c>
      <c r="BS1803">
        <v>0</v>
      </c>
      <c r="BT1803">
        <v>0</v>
      </c>
      <c r="BU1803">
        <v>0</v>
      </c>
      <c r="CE1803" t="str">
        <f t="shared" si="637"/>
        <v>19:30:17.094</v>
      </c>
      <c r="CF1803">
        <v>93837018</v>
      </c>
      <c r="CS1803">
        <v>0</v>
      </c>
      <c r="CT1803">
        <v>2</v>
      </c>
      <c r="CU1803">
        <v>0</v>
      </c>
      <c r="CV1803">
        <v>2</v>
      </c>
      <c r="CW1803">
        <v>0</v>
      </c>
      <c r="CX1803">
        <v>5</v>
      </c>
      <c r="CY1803">
        <v>7</v>
      </c>
      <c r="CZ1803" t="s">
        <v>131</v>
      </c>
      <c r="DA1803">
        <v>286</v>
      </c>
      <c r="DB1803">
        <v>0</v>
      </c>
      <c r="DC1803" t="s">
        <v>132</v>
      </c>
      <c r="DD1803" t="s">
        <v>133</v>
      </c>
      <c r="DG1803">
        <v>828768</v>
      </c>
      <c r="DI1803">
        <v>1</v>
      </c>
      <c r="DJ1803">
        <v>0</v>
      </c>
      <c r="DK1803">
        <v>1</v>
      </c>
      <c r="DL1803">
        <v>0</v>
      </c>
      <c r="DM1803">
        <v>0</v>
      </c>
      <c r="DN1803">
        <v>1</v>
      </c>
      <c r="DO1803">
        <v>0</v>
      </c>
      <c r="DP1803">
        <v>0</v>
      </c>
      <c r="DQ1803">
        <v>0</v>
      </c>
      <c r="DR1803">
        <v>0</v>
      </c>
      <c r="DS1803">
        <v>0</v>
      </c>
    </row>
    <row r="1804" spans="1:123" x14ac:dyDescent="0.3">
      <c r="A1804" t="str">
        <f t="shared" si="635"/>
        <v>10/04/2022 19:30:17.321</v>
      </c>
      <c r="C1804" t="str">
        <f t="shared" si="629"/>
        <v>FFDFD3C0</v>
      </c>
      <c r="D1804" t="s">
        <v>141</v>
      </c>
      <c r="E1804">
        <v>3</v>
      </c>
      <c r="H1804">
        <v>3</v>
      </c>
      <c r="I1804" t="s">
        <v>146</v>
      </c>
      <c r="J1804" t="s">
        <v>138</v>
      </c>
      <c r="K1804">
        <v>0</v>
      </c>
      <c r="L1804">
        <v>3</v>
      </c>
      <c r="M1804">
        <v>0</v>
      </c>
      <c r="N1804">
        <v>2</v>
      </c>
      <c r="O1804">
        <v>0</v>
      </c>
      <c r="P1804">
        <v>1</v>
      </c>
      <c r="Q1804">
        <v>0</v>
      </c>
      <c r="S1804" t="str">
        <f t="shared" si="636"/>
        <v>19:30:17.000</v>
      </c>
      <c r="T1804" t="str">
        <f t="shared" si="636"/>
        <v>19:30:17.000</v>
      </c>
      <c r="U1804" t="str">
        <f t="shared" si="632"/>
        <v>AC3944</v>
      </c>
      <c r="V1804">
        <v>0</v>
      </c>
      <c r="W1804">
        <v>0</v>
      </c>
      <c r="X1804">
        <v>2</v>
      </c>
      <c r="Y1804">
        <v>0</v>
      </c>
      <c r="AA1804">
        <v>1</v>
      </c>
      <c r="AB1804">
        <v>8</v>
      </c>
      <c r="AC1804">
        <v>3</v>
      </c>
      <c r="AD1804">
        <v>0</v>
      </c>
      <c r="AE1804">
        <v>9</v>
      </c>
      <c r="AF1804" t="s">
        <v>138</v>
      </c>
      <c r="AG1804">
        <v>0</v>
      </c>
      <c r="AH1804">
        <v>3</v>
      </c>
      <c r="AI1804">
        <v>1</v>
      </c>
      <c r="AJ1804">
        <v>0</v>
      </c>
      <c r="AK1804" t="s">
        <v>650</v>
      </c>
      <c r="AL1804">
        <v>32.782366000000003</v>
      </c>
      <c r="AM1804" t="s">
        <v>651</v>
      </c>
      <c r="AN1804">
        <v>-116.860564</v>
      </c>
      <c r="AO1804">
        <v>25</v>
      </c>
      <c r="AP1804">
        <v>2900</v>
      </c>
      <c r="AQ1804" t="s">
        <v>129</v>
      </c>
      <c r="AR1804">
        <v>95</v>
      </c>
      <c r="AS1804">
        <v>-74</v>
      </c>
      <c r="AT1804">
        <v>256</v>
      </c>
      <c r="BB1804">
        <v>1200</v>
      </c>
      <c r="BC1804">
        <v>1</v>
      </c>
      <c r="BD1804" t="str">
        <f t="shared" si="633"/>
        <v xml:space="preserve">N887QR  </v>
      </c>
      <c r="BE1804">
        <v>1</v>
      </c>
      <c r="BG1804">
        <v>0</v>
      </c>
      <c r="BH1804">
        <v>0</v>
      </c>
      <c r="BI1804">
        <v>0</v>
      </c>
      <c r="BJ1804">
        <v>2625</v>
      </c>
      <c r="BK1804">
        <v>-275</v>
      </c>
      <c r="BL1804" t="s">
        <v>163</v>
      </c>
      <c r="BM1804">
        <v>1</v>
      </c>
      <c r="BN1804">
        <v>1</v>
      </c>
      <c r="BO1804">
        <v>1</v>
      </c>
      <c r="BP1804">
        <v>0</v>
      </c>
      <c r="BS1804">
        <v>0</v>
      </c>
      <c r="BT1804">
        <v>0</v>
      </c>
      <c r="BU1804">
        <v>0</v>
      </c>
      <c r="CE1804" t="str">
        <f t="shared" si="637"/>
        <v>19:30:17.094</v>
      </c>
      <c r="CF1804">
        <v>93837018</v>
      </c>
      <c r="CS1804">
        <v>0</v>
      </c>
      <c r="CT1804">
        <v>2</v>
      </c>
      <c r="CU1804">
        <v>0</v>
      </c>
      <c r="CV1804">
        <v>2</v>
      </c>
      <c r="CW1804">
        <v>0</v>
      </c>
      <c r="CX1804">
        <v>5</v>
      </c>
      <c r="CY1804">
        <v>7</v>
      </c>
      <c r="CZ1804" t="s">
        <v>131</v>
      </c>
      <c r="DA1804">
        <v>286</v>
      </c>
      <c r="DB1804">
        <v>0</v>
      </c>
      <c r="DC1804" t="s">
        <v>132</v>
      </c>
      <c r="DD1804" t="s">
        <v>133</v>
      </c>
      <c r="DG1804">
        <v>828768</v>
      </c>
      <c r="DI1804">
        <v>1</v>
      </c>
      <c r="DJ1804">
        <v>0</v>
      </c>
      <c r="DK1804">
        <v>1</v>
      </c>
      <c r="DL1804">
        <v>0</v>
      </c>
      <c r="DM1804">
        <v>0</v>
      </c>
      <c r="DN1804">
        <v>1</v>
      </c>
      <c r="DO1804">
        <v>0</v>
      </c>
      <c r="DP1804">
        <v>0</v>
      </c>
      <c r="DQ1804">
        <v>0</v>
      </c>
      <c r="DR1804">
        <v>0</v>
      </c>
      <c r="DS1804">
        <v>0</v>
      </c>
    </row>
    <row r="1805" spans="1:123" x14ac:dyDescent="0.3">
      <c r="A1805" t="str">
        <f t="shared" si="635"/>
        <v>10/04/2022 19:30:17.321</v>
      </c>
      <c r="C1805" t="str">
        <f t="shared" si="629"/>
        <v>FFDFD3C0</v>
      </c>
      <c r="D1805" t="s">
        <v>136</v>
      </c>
      <c r="E1805">
        <v>8</v>
      </c>
      <c r="H1805">
        <v>225</v>
      </c>
      <c r="I1805" t="s">
        <v>137</v>
      </c>
      <c r="J1805" t="s">
        <v>138</v>
      </c>
      <c r="K1805">
        <v>0</v>
      </c>
      <c r="L1805">
        <v>3</v>
      </c>
      <c r="M1805">
        <v>0</v>
      </c>
      <c r="N1805">
        <v>2</v>
      </c>
      <c r="O1805">
        <v>0</v>
      </c>
      <c r="P1805">
        <v>1</v>
      </c>
      <c r="Q1805">
        <v>0</v>
      </c>
      <c r="S1805" t="str">
        <f t="shared" si="636"/>
        <v>19:30:17.000</v>
      </c>
      <c r="T1805" t="str">
        <f t="shared" si="636"/>
        <v>19:30:17.000</v>
      </c>
      <c r="U1805" t="str">
        <f t="shared" si="632"/>
        <v>AC3944</v>
      </c>
      <c r="V1805">
        <v>0</v>
      </c>
      <c r="W1805">
        <v>0</v>
      </c>
      <c r="X1805">
        <v>2</v>
      </c>
      <c r="Y1805">
        <v>0</v>
      </c>
      <c r="AA1805">
        <v>1</v>
      </c>
      <c r="AB1805">
        <v>8</v>
      </c>
      <c r="AC1805">
        <v>3</v>
      </c>
      <c r="AD1805">
        <v>0</v>
      </c>
      <c r="AE1805">
        <v>9</v>
      </c>
      <c r="AF1805" t="s">
        <v>138</v>
      </c>
      <c r="AG1805">
        <v>0</v>
      </c>
      <c r="AH1805">
        <v>3</v>
      </c>
      <c r="AI1805">
        <v>1</v>
      </c>
      <c r="AJ1805">
        <v>0</v>
      </c>
      <c r="AK1805" t="s">
        <v>650</v>
      </c>
      <c r="AL1805">
        <v>32.782366000000003</v>
      </c>
      <c r="AM1805" t="s">
        <v>651</v>
      </c>
      <c r="AN1805">
        <v>-116.860564</v>
      </c>
      <c r="AO1805">
        <v>25</v>
      </c>
      <c r="AP1805">
        <v>2900</v>
      </c>
      <c r="AQ1805" t="s">
        <v>129</v>
      </c>
      <c r="AR1805">
        <v>95</v>
      </c>
      <c r="AS1805">
        <v>-74</v>
      </c>
      <c r="AT1805">
        <v>256</v>
      </c>
      <c r="BB1805">
        <v>1200</v>
      </c>
      <c r="BC1805">
        <v>1</v>
      </c>
      <c r="BD1805" t="str">
        <f t="shared" si="633"/>
        <v xml:space="preserve">N887QR  </v>
      </c>
      <c r="BE1805">
        <v>1</v>
      </c>
      <c r="BG1805">
        <v>0</v>
      </c>
      <c r="BH1805">
        <v>0</v>
      </c>
      <c r="BI1805">
        <v>0</v>
      </c>
      <c r="BJ1805">
        <v>2625</v>
      </c>
      <c r="BK1805">
        <v>-275</v>
      </c>
      <c r="BL1805" t="s">
        <v>163</v>
      </c>
      <c r="BM1805">
        <v>1</v>
      </c>
      <c r="BN1805">
        <v>1</v>
      </c>
      <c r="BO1805">
        <v>1</v>
      </c>
      <c r="BP1805">
        <v>0</v>
      </c>
      <c r="BS1805">
        <v>0</v>
      </c>
      <c r="BT1805">
        <v>0</v>
      </c>
      <c r="BU1805">
        <v>0</v>
      </c>
      <c r="CE1805" t="str">
        <f t="shared" si="637"/>
        <v>19:30:17.094</v>
      </c>
      <c r="CF1805">
        <v>93837018</v>
      </c>
      <c r="CS1805">
        <v>0</v>
      </c>
      <c r="CT1805">
        <v>2</v>
      </c>
      <c r="CU1805">
        <v>0</v>
      </c>
      <c r="CV1805">
        <v>2</v>
      </c>
      <c r="CW1805">
        <v>0</v>
      </c>
      <c r="CX1805">
        <v>5</v>
      </c>
      <c r="CY1805">
        <v>7</v>
      </c>
      <c r="CZ1805" t="s">
        <v>131</v>
      </c>
      <c r="DA1805">
        <v>286</v>
      </c>
      <c r="DB1805">
        <v>0</v>
      </c>
      <c r="DC1805" t="s">
        <v>132</v>
      </c>
      <c r="DD1805" t="s">
        <v>133</v>
      </c>
      <c r="DG1805">
        <v>828768</v>
      </c>
      <c r="DI1805">
        <v>1</v>
      </c>
      <c r="DJ1805">
        <v>0</v>
      </c>
      <c r="DK1805">
        <v>1</v>
      </c>
      <c r="DL1805">
        <v>0</v>
      </c>
      <c r="DM1805">
        <v>0</v>
      </c>
      <c r="DN1805">
        <v>1</v>
      </c>
      <c r="DO1805">
        <v>0</v>
      </c>
      <c r="DP1805">
        <v>0</v>
      </c>
      <c r="DQ1805">
        <v>0</v>
      </c>
      <c r="DR1805">
        <v>0</v>
      </c>
      <c r="DS1805">
        <v>0</v>
      </c>
    </row>
    <row r="1806" spans="1:123" x14ac:dyDescent="0.3">
      <c r="A1806" t="str">
        <f t="shared" si="635"/>
        <v>10/04/2022 19:30:17.321</v>
      </c>
      <c r="C1806" t="str">
        <f t="shared" si="629"/>
        <v>FFDFD3C0</v>
      </c>
      <c r="D1806" t="s">
        <v>143</v>
      </c>
      <c r="E1806">
        <v>20</v>
      </c>
      <c r="F1806">
        <v>1020</v>
      </c>
      <c r="G1806" t="s">
        <v>144</v>
      </c>
      <c r="J1806" t="s">
        <v>145</v>
      </c>
      <c r="K1806">
        <v>0</v>
      </c>
      <c r="L1806">
        <v>3</v>
      </c>
      <c r="M1806">
        <v>0</v>
      </c>
      <c r="N1806">
        <v>2</v>
      </c>
      <c r="O1806">
        <v>0</v>
      </c>
      <c r="P1806">
        <v>1</v>
      </c>
      <c r="Q1806">
        <v>0</v>
      </c>
      <c r="S1806" t="str">
        <f t="shared" si="636"/>
        <v>19:30:17.000</v>
      </c>
      <c r="T1806" t="str">
        <f t="shared" si="636"/>
        <v>19:30:17.000</v>
      </c>
      <c r="U1806" t="str">
        <f t="shared" si="632"/>
        <v>AC3944</v>
      </c>
      <c r="V1806">
        <v>0</v>
      </c>
      <c r="W1806">
        <v>0</v>
      </c>
      <c r="X1806">
        <v>2</v>
      </c>
      <c r="Y1806">
        <v>0</v>
      </c>
      <c r="AA1806">
        <v>1</v>
      </c>
      <c r="AB1806">
        <v>8</v>
      </c>
      <c r="AC1806">
        <v>3</v>
      </c>
      <c r="AD1806">
        <v>0</v>
      </c>
      <c r="AE1806">
        <v>9</v>
      </c>
      <c r="AF1806" t="s">
        <v>138</v>
      </c>
      <c r="AG1806">
        <v>0</v>
      </c>
      <c r="AH1806">
        <v>3</v>
      </c>
      <c r="AI1806">
        <v>1</v>
      </c>
      <c r="AJ1806">
        <v>0</v>
      </c>
      <c r="AK1806" t="s">
        <v>650</v>
      </c>
      <c r="AL1806">
        <v>32.782366000000003</v>
      </c>
      <c r="AM1806" t="s">
        <v>651</v>
      </c>
      <c r="AN1806">
        <v>-116.860564</v>
      </c>
      <c r="AO1806">
        <v>25</v>
      </c>
      <c r="AP1806">
        <v>2900</v>
      </c>
      <c r="AQ1806" t="s">
        <v>129</v>
      </c>
      <c r="AR1806">
        <v>95</v>
      </c>
      <c r="AS1806">
        <v>-74</v>
      </c>
      <c r="AT1806">
        <v>256</v>
      </c>
      <c r="BB1806">
        <v>1200</v>
      </c>
      <c r="BC1806">
        <v>1</v>
      </c>
      <c r="BD1806" t="str">
        <f t="shared" si="633"/>
        <v xml:space="preserve">N887QR  </v>
      </c>
      <c r="BE1806">
        <v>1</v>
      </c>
      <c r="BG1806">
        <v>0</v>
      </c>
      <c r="BH1806">
        <v>0</v>
      </c>
      <c r="BI1806">
        <v>0</v>
      </c>
      <c r="BJ1806">
        <v>2625</v>
      </c>
      <c r="BK1806">
        <v>-275</v>
      </c>
      <c r="BL1806" t="s">
        <v>163</v>
      </c>
      <c r="BM1806">
        <v>1</v>
      </c>
      <c r="BN1806">
        <v>1</v>
      </c>
      <c r="BO1806">
        <v>1</v>
      </c>
      <c r="BP1806">
        <v>0</v>
      </c>
      <c r="BS1806">
        <v>0</v>
      </c>
      <c r="BT1806">
        <v>0</v>
      </c>
      <c r="BU1806">
        <v>0</v>
      </c>
      <c r="CE1806" t="str">
        <f t="shared" si="637"/>
        <v>19:30:17.094</v>
      </c>
      <c r="CF1806">
        <v>93837018</v>
      </c>
      <c r="CS1806">
        <v>0</v>
      </c>
      <c r="CT1806">
        <v>2</v>
      </c>
      <c r="CU1806">
        <v>0</v>
      </c>
      <c r="CV1806">
        <v>2</v>
      </c>
      <c r="CW1806">
        <v>0</v>
      </c>
      <c r="CX1806">
        <v>5</v>
      </c>
      <c r="CY1806">
        <v>7</v>
      </c>
      <c r="CZ1806" t="s">
        <v>131</v>
      </c>
      <c r="DA1806">
        <v>286</v>
      </c>
      <c r="DB1806">
        <v>0</v>
      </c>
      <c r="DC1806" t="s">
        <v>132</v>
      </c>
      <c r="DD1806" t="s">
        <v>133</v>
      </c>
      <c r="DG1806">
        <v>828768</v>
      </c>
      <c r="DI1806">
        <v>1</v>
      </c>
      <c r="DJ1806">
        <v>0</v>
      </c>
      <c r="DK1806">
        <v>1</v>
      </c>
      <c r="DL1806">
        <v>0</v>
      </c>
      <c r="DM1806">
        <v>0</v>
      </c>
      <c r="DN1806">
        <v>1</v>
      </c>
      <c r="DO1806">
        <v>0</v>
      </c>
      <c r="DP1806">
        <v>0</v>
      </c>
      <c r="DQ1806">
        <v>0</v>
      </c>
      <c r="DR1806">
        <v>0</v>
      </c>
      <c r="DS1806">
        <v>0</v>
      </c>
    </row>
    <row r="1807" spans="1:123" x14ac:dyDescent="0.3">
      <c r="A1807" t="str">
        <f>"10/04/2022 19:30:17.400"</f>
        <v>10/04/2022 19:30:17.400</v>
      </c>
      <c r="C1807" t="str">
        <f t="shared" si="629"/>
        <v>FFDFD3C0</v>
      </c>
      <c r="D1807" t="s">
        <v>123</v>
      </c>
      <c r="E1807">
        <v>7</v>
      </c>
      <c r="F1807">
        <v>2007</v>
      </c>
      <c r="G1807" t="s">
        <v>124</v>
      </c>
      <c r="J1807" t="s">
        <v>125</v>
      </c>
      <c r="K1807">
        <v>0</v>
      </c>
      <c r="L1807">
        <v>3</v>
      </c>
      <c r="M1807">
        <v>0</v>
      </c>
      <c r="N1807">
        <v>2</v>
      </c>
      <c r="O1807">
        <v>0</v>
      </c>
      <c r="P1807">
        <v>1</v>
      </c>
      <c r="Q1807">
        <v>0</v>
      </c>
      <c r="S1807" t="str">
        <f t="shared" si="636"/>
        <v>19:30:17.000</v>
      </c>
      <c r="T1807" t="str">
        <f t="shared" si="636"/>
        <v>19:30:17.000</v>
      </c>
      <c r="U1807" t="str">
        <f t="shared" si="632"/>
        <v>AC3944</v>
      </c>
      <c r="V1807">
        <v>0</v>
      </c>
      <c r="W1807">
        <v>0</v>
      </c>
      <c r="X1807">
        <v>2</v>
      </c>
      <c r="Y1807">
        <v>0</v>
      </c>
      <c r="AA1807">
        <v>1</v>
      </c>
      <c r="AB1807">
        <v>8</v>
      </c>
      <c r="AC1807">
        <v>3</v>
      </c>
      <c r="AD1807">
        <v>0</v>
      </c>
      <c r="AE1807">
        <v>9</v>
      </c>
      <c r="AF1807" t="s">
        <v>138</v>
      </c>
      <c r="AG1807">
        <v>0</v>
      </c>
      <c r="AH1807">
        <v>3</v>
      </c>
      <c r="AI1807">
        <v>1</v>
      </c>
      <c r="AJ1807">
        <v>0</v>
      </c>
      <c r="AK1807" t="s">
        <v>650</v>
      </c>
      <c r="AL1807">
        <v>32.782366000000003</v>
      </c>
      <c r="AM1807" t="s">
        <v>651</v>
      </c>
      <c r="AN1807">
        <v>-116.860564</v>
      </c>
      <c r="AO1807">
        <v>25</v>
      </c>
      <c r="AP1807">
        <v>2900</v>
      </c>
      <c r="AQ1807" t="s">
        <v>129</v>
      </c>
      <c r="AR1807">
        <v>95</v>
      </c>
      <c r="AS1807">
        <v>-74</v>
      </c>
      <c r="AT1807">
        <v>256</v>
      </c>
      <c r="BB1807">
        <v>1200</v>
      </c>
      <c r="BC1807">
        <v>1</v>
      </c>
      <c r="BD1807" t="str">
        <f t="shared" si="633"/>
        <v xml:space="preserve">N887QR  </v>
      </c>
      <c r="BE1807">
        <v>1</v>
      </c>
      <c r="BG1807">
        <v>0</v>
      </c>
      <c r="BH1807">
        <v>0</v>
      </c>
      <c r="BI1807">
        <v>0</v>
      </c>
      <c r="BJ1807">
        <v>2625</v>
      </c>
      <c r="BK1807">
        <v>-275</v>
      </c>
      <c r="BL1807" t="s">
        <v>163</v>
      </c>
      <c r="BM1807">
        <v>1</v>
      </c>
      <c r="BN1807">
        <v>1</v>
      </c>
      <c r="BO1807">
        <v>1</v>
      </c>
      <c r="BP1807">
        <v>0</v>
      </c>
      <c r="BS1807">
        <v>0</v>
      </c>
      <c r="BT1807">
        <v>0</v>
      </c>
      <c r="BU1807">
        <v>0</v>
      </c>
      <c r="CE1807" t="str">
        <f t="shared" si="637"/>
        <v>19:30:17.094</v>
      </c>
      <c r="CF1807">
        <v>93837018</v>
      </c>
      <c r="CS1807">
        <v>0</v>
      </c>
      <c r="CT1807">
        <v>2</v>
      </c>
      <c r="CU1807">
        <v>0</v>
      </c>
      <c r="CV1807">
        <v>2</v>
      </c>
      <c r="CW1807">
        <v>0</v>
      </c>
      <c r="CX1807">
        <v>5</v>
      </c>
      <c r="CY1807">
        <v>7</v>
      </c>
      <c r="CZ1807" t="s">
        <v>131</v>
      </c>
      <c r="DA1807">
        <v>286</v>
      </c>
      <c r="DB1807">
        <v>0</v>
      </c>
      <c r="DC1807" t="s">
        <v>132</v>
      </c>
      <c r="DD1807" t="s">
        <v>133</v>
      </c>
      <c r="DG1807">
        <v>828768</v>
      </c>
      <c r="DI1807">
        <v>1</v>
      </c>
      <c r="DJ1807">
        <v>0</v>
      </c>
      <c r="DK1807">
        <v>1</v>
      </c>
      <c r="DL1807">
        <v>0</v>
      </c>
      <c r="DM1807">
        <v>0</v>
      </c>
      <c r="DN1807">
        <v>1</v>
      </c>
      <c r="DO1807">
        <v>0</v>
      </c>
      <c r="DP1807">
        <v>0</v>
      </c>
      <c r="DQ1807">
        <v>0</v>
      </c>
      <c r="DR1807">
        <v>0</v>
      </c>
      <c r="DS1807">
        <v>0</v>
      </c>
    </row>
    <row r="1808" spans="1:123" x14ac:dyDescent="0.3">
      <c r="A1808" t="str">
        <f t="shared" ref="A1808:A1814" si="638">"10/04/2022 19:30:18.150"</f>
        <v>10/04/2022 19:30:18.150</v>
      </c>
      <c r="C1808" t="str">
        <f t="shared" si="629"/>
        <v>FFDFD3C0</v>
      </c>
      <c r="D1808" t="s">
        <v>136</v>
      </c>
      <c r="E1808">
        <v>8</v>
      </c>
      <c r="H1808">
        <v>225</v>
      </c>
      <c r="I1808" t="s">
        <v>137</v>
      </c>
      <c r="J1808" t="s">
        <v>138</v>
      </c>
      <c r="K1808">
        <v>0</v>
      </c>
      <c r="L1808">
        <v>3</v>
      </c>
      <c r="M1808">
        <v>0</v>
      </c>
      <c r="N1808">
        <v>2</v>
      </c>
      <c r="O1808">
        <v>0</v>
      </c>
      <c r="P1808">
        <v>1</v>
      </c>
      <c r="Q1808">
        <v>0</v>
      </c>
      <c r="S1808" t="str">
        <f t="shared" si="636"/>
        <v>19:30:17.000</v>
      </c>
      <c r="T1808" t="str">
        <f t="shared" si="636"/>
        <v>19:30:17.000</v>
      </c>
      <c r="U1808" t="str">
        <f t="shared" si="632"/>
        <v>AC3944</v>
      </c>
      <c r="V1808">
        <v>0</v>
      </c>
      <c r="W1808">
        <v>0</v>
      </c>
      <c r="X1808">
        <v>2</v>
      </c>
      <c r="Y1808">
        <v>0</v>
      </c>
      <c r="AA1808">
        <v>1</v>
      </c>
      <c r="AB1808">
        <v>8</v>
      </c>
      <c r="AC1808">
        <v>3</v>
      </c>
      <c r="AD1808">
        <v>0</v>
      </c>
      <c r="AE1808">
        <v>9</v>
      </c>
      <c r="AF1808" t="s">
        <v>138</v>
      </c>
      <c r="AG1808">
        <v>0</v>
      </c>
      <c r="AH1808">
        <v>3</v>
      </c>
      <c r="AI1808">
        <v>1</v>
      </c>
      <c r="AJ1808">
        <v>0</v>
      </c>
      <c r="AK1808" t="s">
        <v>652</v>
      </c>
      <c r="AL1808">
        <v>32.782023000000002</v>
      </c>
      <c r="AM1808" t="s">
        <v>653</v>
      </c>
      <c r="AN1808">
        <v>-116.860049</v>
      </c>
      <c r="AO1808">
        <v>25</v>
      </c>
      <c r="AP1808">
        <v>2900</v>
      </c>
      <c r="AQ1808" t="s">
        <v>129</v>
      </c>
      <c r="AR1808">
        <v>98</v>
      </c>
      <c r="AS1808">
        <v>-72</v>
      </c>
      <c r="AT1808">
        <v>256</v>
      </c>
      <c r="BB1808">
        <v>1200</v>
      </c>
      <c r="BC1808">
        <v>1</v>
      </c>
      <c r="BD1808" t="str">
        <f t="shared" si="633"/>
        <v xml:space="preserve">N887QR  </v>
      </c>
      <c r="BE1808">
        <v>1</v>
      </c>
      <c r="BG1808">
        <v>0</v>
      </c>
      <c r="BH1808">
        <v>0</v>
      </c>
      <c r="BI1808">
        <v>0</v>
      </c>
      <c r="BJ1808">
        <v>2625</v>
      </c>
      <c r="BK1808">
        <v>-275</v>
      </c>
      <c r="BL1808" t="s">
        <v>163</v>
      </c>
      <c r="BM1808">
        <v>1</v>
      </c>
      <c r="BN1808">
        <v>1</v>
      </c>
      <c r="BO1808">
        <v>1</v>
      </c>
      <c r="BP1808">
        <v>0</v>
      </c>
      <c r="BS1808">
        <v>0</v>
      </c>
      <c r="BT1808">
        <v>0</v>
      </c>
      <c r="BU1808">
        <v>0</v>
      </c>
      <c r="CE1808" t="str">
        <f t="shared" ref="CE1808:CE1814" si="639">"19:30:17.896"</f>
        <v>19:30:17.896</v>
      </c>
      <c r="CF1808">
        <v>895589403</v>
      </c>
      <c r="CS1808">
        <v>0</v>
      </c>
      <c r="CT1808">
        <v>2</v>
      </c>
      <c r="CU1808">
        <v>0</v>
      </c>
      <c r="CV1808">
        <v>2</v>
      </c>
      <c r="CW1808">
        <v>0</v>
      </c>
      <c r="CX1808">
        <v>5</v>
      </c>
      <c r="CY1808">
        <v>7</v>
      </c>
      <c r="CZ1808" t="s">
        <v>131</v>
      </c>
      <c r="DA1808">
        <v>286</v>
      </c>
      <c r="DB1808">
        <v>0</v>
      </c>
      <c r="DC1808" t="s">
        <v>132</v>
      </c>
      <c r="DD1808" t="s">
        <v>133</v>
      </c>
      <c r="DG1808">
        <v>828931</v>
      </c>
      <c r="DI1808">
        <v>1</v>
      </c>
      <c r="DJ1808">
        <v>0</v>
      </c>
      <c r="DK1808">
        <v>0</v>
      </c>
      <c r="DL1808">
        <v>0</v>
      </c>
      <c r="DM1808">
        <v>0</v>
      </c>
      <c r="DN1808">
        <v>1</v>
      </c>
      <c r="DO1808">
        <v>0</v>
      </c>
      <c r="DP1808">
        <v>0</v>
      </c>
      <c r="DQ1808">
        <v>0</v>
      </c>
      <c r="DR1808">
        <v>0</v>
      </c>
      <c r="DS1808">
        <v>0</v>
      </c>
    </row>
    <row r="1809" spans="1:123" x14ac:dyDescent="0.3">
      <c r="A1809" t="str">
        <f t="shared" si="638"/>
        <v>10/04/2022 19:30:18.150</v>
      </c>
      <c r="C1809" t="str">
        <f t="shared" si="629"/>
        <v>FFDFD3C0</v>
      </c>
      <c r="D1809" t="s">
        <v>143</v>
      </c>
      <c r="E1809">
        <v>20</v>
      </c>
      <c r="F1809">
        <v>1020</v>
      </c>
      <c r="G1809" t="s">
        <v>144</v>
      </c>
      <c r="J1809" t="s">
        <v>145</v>
      </c>
      <c r="K1809">
        <v>0</v>
      </c>
      <c r="L1809">
        <v>3</v>
      </c>
      <c r="M1809">
        <v>0</v>
      </c>
      <c r="N1809">
        <v>2</v>
      </c>
      <c r="O1809">
        <v>0</v>
      </c>
      <c r="P1809">
        <v>1</v>
      </c>
      <c r="Q1809">
        <v>0</v>
      </c>
      <c r="S1809" t="str">
        <f t="shared" si="636"/>
        <v>19:30:17.000</v>
      </c>
      <c r="T1809" t="str">
        <f t="shared" si="636"/>
        <v>19:30:17.000</v>
      </c>
      <c r="U1809" t="str">
        <f t="shared" si="632"/>
        <v>AC3944</v>
      </c>
      <c r="V1809">
        <v>0</v>
      </c>
      <c r="W1809">
        <v>0</v>
      </c>
      <c r="X1809">
        <v>2</v>
      </c>
      <c r="Y1809">
        <v>0</v>
      </c>
      <c r="AA1809">
        <v>1</v>
      </c>
      <c r="AB1809">
        <v>8</v>
      </c>
      <c r="AC1809">
        <v>3</v>
      </c>
      <c r="AD1809">
        <v>0</v>
      </c>
      <c r="AE1809">
        <v>9</v>
      </c>
      <c r="AF1809" t="s">
        <v>138</v>
      </c>
      <c r="AG1809">
        <v>0</v>
      </c>
      <c r="AH1809">
        <v>3</v>
      </c>
      <c r="AI1809">
        <v>1</v>
      </c>
      <c r="AJ1809">
        <v>0</v>
      </c>
      <c r="AK1809" t="s">
        <v>652</v>
      </c>
      <c r="AL1809">
        <v>32.782023000000002</v>
      </c>
      <c r="AM1809" t="s">
        <v>653</v>
      </c>
      <c r="AN1809">
        <v>-116.860049</v>
      </c>
      <c r="AO1809">
        <v>25</v>
      </c>
      <c r="AP1809">
        <v>2900</v>
      </c>
      <c r="AQ1809" t="s">
        <v>129</v>
      </c>
      <c r="AR1809">
        <v>98</v>
      </c>
      <c r="AS1809">
        <v>-72</v>
      </c>
      <c r="AT1809">
        <v>256</v>
      </c>
      <c r="BB1809">
        <v>1200</v>
      </c>
      <c r="BC1809">
        <v>1</v>
      </c>
      <c r="BD1809" t="str">
        <f t="shared" si="633"/>
        <v xml:space="preserve">N887QR  </v>
      </c>
      <c r="BE1809">
        <v>1</v>
      </c>
      <c r="BG1809">
        <v>0</v>
      </c>
      <c r="BH1809">
        <v>0</v>
      </c>
      <c r="BI1809">
        <v>0</v>
      </c>
      <c r="BJ1809">
        <v>2625</v>
      </c>
      <c r="BK1809">
        <v>-275</v>
      </c>
      <c r="BL1809" t="s">
        <v>163</v>
      </c>
      <c r="BM1809">
        <v>1</v>
      </c>
      <c r="BN1809">
        <v>1</v>
      </c>
      <c r="BO1809">
        <v>1</v>
      </c>
      <c r="BP1809">
        <v>0</v>
      </c>
      <c r="BS1809">
        <v>0</v>
      </c>
      <c r="BT1809">
        <v>0</v>
      </c>
      <c r="BU1809">
        <v>0</v>
      </c>
      <c r="CE1809" t="str">
        <f t="shared" si="639"/>
        <v>19:30:17.896</v>
      </c>
      <c r="CF1809">
        <v>895589403</v>
      </c>
      <c r="CS1809">
        <v>0</v>
      </c>
      <c r="CT1809">
        <v>2</v>
      </c>
      <c r="CU1809">
        <v>0</v>
      </c>
      <c r="CV1809">
        <v>2</v>
      </c>
      <c r="CW1809">
        <v>0</v>
      </c>
      <c r="CX1809">
        <v>5</v>
      </c>
      <c r="CY1809">
        <v>7</v>
      </c>
      <c r="CZ1809" t="s">
        <v>131</v>
      </c>
      <c r="DA1809">
        <v>286</v>
      </c>
      <c r="DB1809">
        <v>0</v>
      </c>
      <c r="DC1809" t="s">
        <v>132</v>
      </c>
      <c r="DD1809" t="s">
        <v>133</v>
      </c>
      <c r="DG1809">
        <v>828931</v>
      </c>
      <c r="DI1809">
        <v>1</v>
      </c>
      <c r="DJ1809">
        <v>0</v>
      </c>
      <c r="DK1809">
        <v>1</v>
      </c>
      <c r="DL1809">
        <v>0</v>
      </c>
      <c r="DM1809">
        <v>0</v>
      </c>
      <c r="DN1809">
        <v>1</v>
      </c>
      <c r="DO1809">
        <v>0</v>
      </c>
      <c r="DP1809">
        <v>0</v>
      </c>
      <c r="DQ1809">
        <v>0</v>
      </c>
      <c r="DR1809">
        <v>0</v>
      </c>
      <c r="DS1809">
        <v>0</v>
      </c>
    </row>
    <row r="1810" spans="1:123" x14ac:dyDescent="0.3">
      <c r="A1810" t="str">
        <f t="shared" si="638"/>
        <v>10/04/2022 19:30:18.150</v>
      </c>
      <c r="C1810" t="str">
        <f t="shared" si="629"/>
        <v>FFDFD3C0</v>
      </c>
      <c r="D1810" t="s">
        <v>123</v>
      </c>
      <c r="E1810">
        <v>7</v>
      </c>
      <c r="F1810">
        <v>2007</v>
      </c>
      <c r="G1810" t="s">
        <v>124</v>
      </c>
      <c r="J1810" t="s">
        <v>125</v>
      </c>
      <c r="K1810">
        <v>0</v>
      </c>
      <c r="L1810">
        <v>3</v>
      </c>
      <c r="M1810">
        <v>0</v>
      </c>
      <c r="N1810">
        <v>2</v>
      </c>
      <c r="O1810">
        <v>0</v>
      </c>
      <c r="P1810">
        <v>1</v>
      </c>
      <c r="Q1810">
        <v>0</v>
      </c>
      <c r="S1810" t="str">
        <f t="shared" si="636"/>
        <v>19:30:17.000</v>
      </c>
      <c r="T1810" t="str">
        <f t="shared" si="636"/>
        <v>19:30:17.000</v>
      </c>
      <c r="U1810" t="str">
        <f t="shared" si="632"/>
        <v>AC3944</v>
      </c>
      <c r="V1810">
        <v>0</v>
      </c>
      <c r="W1810">
        <v>0</v>
      </c>
      <c r="X1810">
        <v>2</v>
      </c>
      <c r="Y1810">
        <v>0</v>
      </c>
      <c r="AA1810">
        <v>1</v>
      </c>
      <c r="AB1810">
        <v>8</v>
      </c>
      <c r="AC1810">
        <v>3</v>
      </c>
      <c r="AD1810">
        <v>0</v>
      </c>
      <c r="AE1810">
        <v>9</v>
      </c>
      <c r="AF1810" t="s">
        <v>138</v>
      </c>
      <c r="AG1810">
        <v>0</v>
      </c>
      <c r="AH1810">
        <v>3</v>
      </c>
      <c r="AI1810">
        <v>1</v>
      </c>
      <c r="AJ1810">
        <v>0</v>
      </c>
      <c r="AK1810" t="s">
        <v>652</v>
      </c>
      <c r="AL1810">
        <v>32.782023000000002</v>
      </c>
      <c r="AM1810" t="s">
        <v>653</v>
      </c>
      <c r="AN1810">
        <v>-116.860049</v>
      </c>
      <c r="AO1810">
        <v>25</v>
      </c>
      <c r="AP1810">
        <v>2900</v>
      </c>
      <c r="AQ1810" t="s">
        <v>129</v>
      </c>
      <c r="AR1810">
        <v>98</v>
      </c>
      <c r="AS1810">
        <v>-72</v>
      </c>
      <c r="AT1810">
        <v>256</v>
      </c>
      <c r="BB1810">
        <v>1200</v>
      </c>
      <c r="BC1810">
        <v>1</v>
      </c>
      <c r="BD1810" t="str">
        <f t="shared" si="633"/>
        <v xml:space="preserve">N887QR  </v>
      </c>
      <c r="BE1810">
        <v>1</v>
      </c>
      <c r="BG1810">
        <v>0</v>
      </c>
      <c r="BH1810">
        <v>0</v>
      </c>
      <c r="BI1810">
        <v>0</v>
      </c>
      <c r="BJ1810">
        <v>2625</v>
      </c>
      <c r="BK1810">
        <v>-275</v>
      </c>
      <c r="BL1810" t="s">
        <v>163</v>
      </c>
      <c r="BM1810">
        <v>1</v>
      </c>
      <c r="BN1810">
        <v>1</v>
      </c>
      <c r="BO1810">
        <v>1</v>
      </c>
      <c r="BP1810">
        <v>0</v>
      </c>
      <c r="BS1810">
        <v>0</v>
      </c>
      <c r="BT1810">
        <v>0</v>
      </c>
      <c r="BU1810">
        <v>0</v>
      </c>
      <c r="CE1810" t="str">
        <f t="shared" si="639"/>
        <v>19:30:17.896</v>
      </c>
      <c r="CF1810">
        <v>895589403</v>
      </c>
      <c r="CS1810">
        <v>0</v>
      </c>
      <c r="CT1810">
        <v>2</v>
      </c>
      <c r="CU1810">
        <v>0</v>
      </c>
      <c r="CV1810">
        <v>2</v>
      </c>
      <c r="CW1810">
        <v>0</v>
      </c>
      <c r="CX1810">
        <v>5</v>
      </c>
      <c r="CY1810">
        <v>7</v>
      </c>
      <c r="CZ1810" t="s">
        <v>131</v>
      </c>
      <c r="DA1810">
        <v>286</v>
      </c>
      <c r="DB1810">
        <v>0</v>
      </c>
      <c r="DC1810" t="s">
        <v>132</v>
      </c>
      <c r="DD1810" t="s">
        <v>133</v>
      </c>
      <c r="DG1810">
        <v>828931</v>
      </c>
      <c r="DI1810">
        <v>1</v>
      </c>
      <c r="DJ1810">
        <v>0</v>
      </c>
      <c r="DK1810">
        <v>1</v>
      </c>
      <c r="DL1810">
        <v>0</v>
      </c>
      <c r="DM1810">
        <v>0</v>
      </c>
      <c r="DN1810">
        <v>1</v>
      </c>
      <c r="DO1810">
        <v>0</v>
      </c>
      <c r="DP1810">
        <v>0</v>
      </c>
      <c r="DQ1810">
        <v>0</v>
      </c>
      <c r="DR1810">
        <v>0</v>
      </c>
      <c r="DS1810">
        <v>0</v>
      </c>
    </row>
    <row r="1811" spans="1:123" x14ac:dyDescent="0.3">
      <c r="A1811" t="str">
        <f t="shared" si="638"/>
        <v>10/04/2022 19:30:18.150</v>
      </c>
      <c r="C1811" t="str">
        <f t="shared" si="629"/>
        <v>FFDFD3C0</v>
      </c>
      <c r="D1811" t="s">
        <v>141</v>
      </c>
      <c r="E1811">
        <v>4</v>
      </c>
      <c r="H1811">
        <v>4</v>
      </c>
      <c r="I1811" t="s">
        <v>142</v>
      </c>
      <c r="J1811" t="s">
        <v>138</v>
      </c>
      <c r="K1811">
        <v>0</v>
      </c>
      <c r="L1811">
        <v>3</v>
      </c>
      <c r="M1811">
        <v>0</v>
      </c>
      <c r="N1811">
        <v>2</v>
      </c>
      <c r="O1811">
        <v>0</v>
      </c>
      <c r="P1811">
        <v>1</v>
      </c>
      <c r="Q1811">
        <v>0</v>
      </c>
      <c r="S1811" t="str">
        <f t="shared" si="636"/>
        <v>19:30:17.000</v>
      </c>
      <c r="T1811" t="str">
        <f t="shared" si="636"/>
        <v>19:30:17.000</v>
      </c>
      <c r="U1811" t="str">
        <f t="shared" si="632"/>
        <v>AC3944</v>
      </c>
      <c r="V1811">
        <v>0</v>
      </c>
      <c r="W1811">
        <v>0</v>
      </c>
      <c r="X1811">
        <v>2</v>
      </c>
      <c r="Y1811">
        <v>0</v>
      </c>
      <c r="AA1811">
        <v>1</v>
      </c>
      <c r="AB1811">
        <v>8</v>
      </c>
      <c r="AC1811">
        <v>3</v>
      </c>
      <c r="AD1811">
        <v>0</v>
      </c>
      <c r="AE1811">
        <v>9</v>
      </c>
      <c r="AF1811" t="s">
        <v>138</v>
      </c>
      <c r="AG1811">
        <v>0</v>
      </c>
      <c r="AH1811">
        <v>3</v>
      </c>
      <c r="AI1811">
        <v>1</v>
      </c>
      <c r="AJ1811">
        <v>0</v>
      </c>
      <c r="AK1811" t="s">
        <v>652</v>
      </c>
      <c r="AL1811">
        <v>32.782023000000002</v>
      </c>
      <c r="AM1811" t="s">
        <v>653</v>
      </c>
      <c r="AN1811">
        <v>-116.860049</v>
      </c>
      <c r="AO1811">
        <v>25</v>
      </c>
      <c r="AP1811">
        <v>2900</v>
      </c>
      <c r="AQ1811" t="s">
        <v>129</v>
      </c>
      <c r="AR1811">
        <v>98</v>
      </c>
      <c r="AS1811">
        <v>-72</v>
      </c>
      <c r="AT1811">
        <v>256</v>
      </c>
      <c r="BB1811">
        <v>1200</v>
      </c>
      <c r="BC1811">
        <v>1</v>
      </c>
      <c r="BD1811" t="str">
        <f t="shared" si="633"/>
        <v xml:space="preserve">N887QR  </v>
      </c>
      <c r="BE1811">
        <v>1</v>
      </c>
      <c r="BG1811">
        <v>0</v>
      </c>
      <c r="BH1811">
        <v>0</v>
      </c>
      <c r="BI1811">
        <v>0</v>
      </c>
      <c r="BJ1811">
        <v>2625</v>
      </c>
      <c r="BK1811">
        <v>-275</v>
      </c>
      <c r="BL1811" t="s">
        <v>163</v>
      </c>
      <c r="BM1811">
        <v>1</v>
      </c>
      <c r="BN1811">
        <v>1</v>
      </c>
      <c r="BO1811">
        <v>1</v>
      </c>
      <c r="BP1811">
        <v>0</v>
      </c>
      <c r="BS1811">
        <v>0</v>
      </c>
      <c r="BT1811">
        <v>0</v>
      </c>
      <c r="BU1811">
        <v>0</v>
      </c>
      <c r="CE1811" t="str">
        <f t="shared" si="639"/>
        <v>19:30:17.896</v>
      </c>
      <c r="CF1811">
        <v>895589403</v>
      </c>
      <c r="CS1811">
        <v>0</v>
      </c>
      <c r="CT1811">
        <v>2</v>
      </c>
      <c r="CU1811">
        <v>0</v>
      </c>
      <c r="CV1811">
        <v>2</v>
      </c>
      <c r="CW1811">
        <v>0</v>
      </c>
      <c r="CX1811">
        <v>5</v>
      </c>
      <c r="CY1811">
        <v>7</v>
      </c>
      <c r="CZ1811" t="s">
        <v>131</v>
      </c>
      <c r="DA1811">
        <v>286</v>
      </c>
      <c r="DB1811">
        <v>0</v>
      </c>
      <c r="DC1811" t="s">
        <v>132</v>
      </c>
      <c r="DD1811" t="s">
        <v>133</v>
      </c>
      <c r="DG1811">
        <v>828931</v>
      </c>
      <c r="DI1811">
        <v>1</v>
      </c>
      <c r="DJ1811">
        <v>0</v>
      </c>
      <c r="DK1811">
        <v>1</v>
      </c>
      <c r="DL1811">
        <v>0</v>
      </c>
      <c r="DM1811">
        <v>0</v>
      </c>
      <c r="DN1811">
        <v>1</v>
      </c>
      <c r="DO1811">
        <v>0</v>
      </c>
      <c r="DP1811">
        <v>0</v>
      </c>
      <c r="DQ1811">
        <v>0</v>
      </c>
      <c r="DR1811">
        <v>0</v>
      </c>
      <c r="DS1811">
        <v>0</v>
      </c>
    </row>
    <row r="1812" spans="1:123" x14ac:dyDescent="0.3">
      <c r="A1812" t="str">
        <f t="shared" si="638"/>
        <v>10/04/2022 19:30:18.150</v>
      </c>
      <c r="C1812" t="str">
        <f t="shared" si="629"/>
        <v>FFDFD3C0</v>
      </c>
      <c r="D1812" t="s">
        <v>147</v>
      </c>
      <c r="E1812">
        <v>3</v>
      </c>
      <c r="H1812">
        <v>166</v>
      </c>
      <c r="I1812" t="s">
        <v>144</v>
      </c>
      <c r="J1812" t="s">
        <v>148</v>
      </c>
      <c r="K1812">
        <v>0</v>
      </c>
      <c r="L1812">
        <v>3</v>
      </c>
      <c r="M1812">
        <v>0</v>
      </c>
      <c r="N1812">
        <v>2</v>
      </c>
      <c r="O1812">
        <v>0</v>
      </c>
      <c r="P1812">
        <v>1</v>
      </c>
      <c r="Q1812">
        <v>0</v>
      </c>
      <c r="S1812" t="str">
        <f t="shared" si="636"/>
        <v>19:30:17.000</v>
      </c>
      <c r="T1812" t="str">
        <f t="shared" si="636"/>
        <v>19:30:17.000</v>
      </c>
      <c r="U1812" t="str">
        <f t="shared" si="632"/>
        <v>AC3944</v>
      </c>
      <c r="V1812">
        <v>0</v>
      </c>
      <c r="W1812">
        <v>0</v>
      </c>
      <c r="X1812">
        <v>2</v>
      </c>
      <c r="Y1812">
        <v>0</v>
      </c>
      <c r="AA1812">
        <v>1</v>
      </c>
      <c r="AB1812">
        <v>8</v>
      </c>
      <c r="AC1812">
        <v>3</v>
      </c>
      <c r="AD1812">
        <v>0</v>
      </c>
      <c r="AE1812">
        <v>9</v>
      </c>
      <c r="AF1812" t="s">
        <v>138</v>
      </c>
      <c r="AG1812">
        <v>0</v>
      </c>
      <c r="AH1812">
        <v>3</v>
      </c>
      <c r="AI1812">
        <v>1</v>
      </c>
      <c r="AJ1812">
        <v>0</v>
      </c>
      <c r="AK1812" t="s">
        <v>652</v>
      </c>
      <c r="AL1812">
        <v>32.782023000000002</v>
      </c>
      <c r="AM1812" t="s">
        <v>653</v>
      </c>
      <c r="AN1812">
        <v>-116.860049</v>
      </c>
      <c r="AO1812">
        <v>25</v>
      </c>
      <c r="AP1812">
        <v>2900</v>
      </c>
      <c r="AQ1812" t="s">
        <v>129</v>
      </c>
      <c r="AR1812">
        <v>98</v>
      </c>
      <c r="AS1812">
        <v>-72</v>
      </c>
      <c r="AT1812">
        <v>256</v>
      </c>
      <c r="BB1812">
        <v>1200</v>
      </c>
      <c r="BC1812">
        <v>1</v>
      </c>
      <c r="BD1812" t="str">
        <f t="shared" si="633"/>
        <v xml:space="preserve">N887QR  </v>
      </c>
      <c r="BE1812">
        <v>1</v>
      </c>
      <c r="BG1812">
        <v>0</v>
      </c>
      <c r="BH1812">
        <v>0</v>
      </c>
      <c r="BI1812">
        <v>0</v>
      </c>
      <c r="BJ1812">
        <v>2625</v>
      </c>
      <c r="BK1812">
        <v>-275</v>
      </c>
      <c r="BL1812" t="s">
        <v>163</v>
      </c>
      <c r="BM1812">
        <v>1</v>
      </c>
      <c r="BN1812">
        <v>1</v>
      </c>
      <c r="BO1812">
        <v>1</v>
      </c>
      <c r="BP1812">
        <v>0</v>
      </c>
      <c r="BS1812">
        <v>0</v>
      </c>
      <c r="BT1812">
        <v>0</v>
      </c>
      <c r="BU1812">
        <v>0</v>
      </c>
      <c r="CE1812" t="str">
        <f t="shared" si="639"/>
        <v>19:30:17.896</v>
      </c>
      <c r="CF1812">
        <v>895589403</v>
      </c>
      <c r="CS1812">
        <v>0</v>
      </c>
      <c r="CT1812">
        <v>2</v>
      </c>
      <c r="CU1812">
        <v>0</v>
      </c>
      <c r="CV1812">
        <v>2</v>
      </c>
      <c r="CW1812">
        <v>0</v>
      </c>
      <c r="CX1812">
        <v>5</v>
      </c>
      <c r="CY1812">
        <v>7</v>
      </c>
      <c r="CZ1812" t="s">
        <v>131</v>
      </c>
      <c r="DA1812">
        <v>286</v>
      </c>
      <c r="DB1812">
        <v>0</v>
      </c>
      <c r="DC1812" t="s">
        <v>132</v>
      </c>
      <c r="DD1812" t="s">
        <v>133</v>
      </c>
      <c r="DG1812">
        <v>828931</v>
      </c>
      <c r="DI1812">
        <v>1</v>
      </c>
      <c r="DJ1812">
        <v>0</v>
      </c>
      <c r="DK1812">
        <v>1</v>
      </c>
      <c r="DL1812">
        <v>0</v>
      </c>
      <c r="DM1812">
        <v>0</v>
      </c>
      <c r="DN1812">
        <v>1</v>
      </c>
      <c r="DO1812">
        <v>0</v>
      </c>
      <c r="DP1812">
        <v>0</v>
      </c>
      <c r="DQ1812">
        <v>0</v>
      </c>
      <c r="DR1812">
        <v>0</v>
      </c>
      <c r="DS1812">
        <v>0</v>
      </c>
    </row>
    <row r="1813" spans="1:123" x14ac:dyDescent="0.3">
      <c r="A1813" t="str">
        <f t="shared" si="638"/>
        <v>10/04/2022 19:30:18.150</v>
      </c>
      <c r="C1813" t="str">
        <f t="shared" si="629"/>
        <v>FFDFD3C0</v>
      </c>
      <c r="D1813" t="s">
        <v>141</v>
      </c>
      <c r="E1813">
        <v>3</v>
      </c>
      <c r="H1813">
        <v>3</v>
      </c>
      <c r="I1813" t="s">
        <v>146</v>
      </c>
      <c r="J1813" t="s">
        <v>138</v>
      </c>
      <c r="K1813">
        <v>0</v>
      </c>
      <c r="L1813">
        <v>3</v>
      </c>
      <c r="M1813">
        <v>0</v>
      </c>
      <c r="N1813">
        <v>2</v>
      </c>
      <c r="O1813">
        <v>0</v>
      </c>
      <c r="P1813">
        <v>1</v>
      </c>
      <c r="Q1813">
        <v>0</v>
      </c>
      <c r="S1813" t="str">
        <f t="shared" si="636"/>
        <v>19:30:17.000</v>
      </c>
      <c r="T1813" t="str">
        <f t="shared" si="636"/>
        <v>19:30:17.000</v>
      </c>
      <c r="U1813" t="str">
        <f t="shared" si="632"/>
        <v>AC3944</v>
      </c>
      <c r="V1813">
        <v>0</v>
      </c>
      <c r="W1813">
        <v>0</v>
      </c>
      <c r="X1813">
        <v>2</v>
      </c>
      <c r="Y1813">
        <v>0</v>
      </c>
      <c r="AA1813">
        <v>1</v>
      </c>
      <c r="AB1813">
        <v>8</v>
      </c>
      <c r="AC1813">
        <v>3</v>
      </c>
      <c r="AD1813">
        <v>0</v>
      </c>
      <c r="AE1813">
        <v>9</v>
      </c>
      <c r="AF1813" t="s">
        <v>138</v>
      </c>
      <c r="AG1813">
        <v>0</v>
      </c>
      <c r="AH1813">
        <v>3</v>
      </c>
      <c r="AI1813">
        <v>1</v>
      </c>
      <c r="AJ1813">
        <v>0</v>
      </c>
      <c r="AK1813" t="s">
        <v>652</v>
      </c>
      <c r="AL1813">
        <v>32.782023000000002</v>
      </c>
      <c r="AM1813" t="s">
        <v>653</v>
      </c>
      <c r="AN1813">
        <v>-116.860049</v>
      </c>
      <c r="AO1813">
        <v>25</v>
      </c>
      <c r="AP1813">
        <v>2900</v>
      </c>
      <c r="AQ1813" t="s">
        <v>129</v>
      </c>
      <c r="AR1813">
        <v>98</v>
      </c>
      <c r="AS1813">
        <v>-72</v>
      </c>
      <c r="AT1813">
        <v>256</v>
      </c>
      <c r="BB1813">
        <v>1200</v>
      </c>
      <c r="BC1813">
        <v>1</v>
      </c>
      <c r="BD1813" t="str">
        <f t="shared" si="633"/>
        <v xml:space="preserve">N887QR  </v>
      </c>
      <c r="BE1813">
        <v>1</v>
      </c>
      <c r="BG1813">
        <v>0</v>
      </c>
      <c r="BH1813">
        <v>0</v>
      </c>
      <c r="BI1813">
        <v>0</v>
      </c>
      <c r="BJ1813">
        <v>2625</v>
      </c>
      <c r="BK1813">
        <v>-275</v>
      </c>
      <c r="BL1813" t="s">
        <v>163</v>
      </c>
      <c r="BM1813">
        <v>1</v>
      </c>
      <c r="BN1813">
        <v>1</v>
      </c>
      <c r="BO1813">
        <v>1</v>
      </c>
      <c r="BP1813">
        <v>0</v>
      </c>
      <c r="BS1813">
        <v>0</v>
      </c>
      <c r="BT1813">
        <v>0</v>
      </c>
      <c r="BU1813">
        <v>0</v>
      </c>
      <c r="CE1813" t="str">
        <f t="shared" si="639"/>
        <v>19:30:17.896</v>
      </c>
      <c r="CF1813">
        <v>895589403</v>
      </c>
      <c r="CS1813">
        <v>0</v>
      </c>
      <c r="CT1813">
        <v>2</v>
      </c>
      <c r="CU1813">
        <v>0</v>
      </c>
      <c r="CV1813">
        <v>2</v>
      </c>
      <c r="CW1813">
        <v>0</v>
      </c>
      <c r="CX1813">
        <v>5</v>
      </c>
      <c r="CY1813">
        <v>7</v>
      </c>
      <c r="CZ1813" t="s">
        <v>131</v>
      </c>
      <c r="DA1813">
        <v>286</v>
      </c>
      <c r="DB1813">
        <v>0</v>
      </c>
      <c r="DC1813" t="s">
        <v>132</v>
      </c>
      <c r="DD1813" t="s">
        <v>133</v>
      </c>
      <c r="DG1813">
        <v>828931</v>
      </c>
      <c r="DI1813">
        <v>1</v>
      </c>
      <c r="DJ1813">
        <v>0</v>
      </c>
      <c r="DK1813">
        <v>1</v>
      </c>
      <c r="DL1813">
        <v>0</v>
      </c>
      <c r="DM1813">
        <v>0</v>
      </c>
      <c r="DN1813">
        <v>1</v>
      </c>
      <c r="DO1813">
        <v>0</v>
      </c>
      <c r="DP1813">
        <v>0</v>
      </c>
      <c r="DQ1813">
        <v>0</v>
      </c>
      <c r="DR1813">
        <v>0</v>
      </c>
      <c r="DS1813">
        <v>0</v>
      </c>
    </row>
    <row r="1814" spans="1:123" x14ac:dyDescent="0.3">
      <c r="A1814" t="str">
        <f t="shared" si="638"/>
        <v>10/04/2022 19:30:18.150</v>
      </c>
      <c r="C1814" t="str">
        <f t="shared" si="629"/>
        <v>FFDFD3C0</v>
      </c>
      <c r="D1814" t="s">
        <v>134</v>
      </c>
      <c r="E1814">
        <v>15</v>
      </c>
      <c r="J1814" t="s">
        <v>135</v>
      </c>
      <c r="K1814">
        <v>0</v>
      </c>
      <c r="L1814">
        <v>3</v>
      </c>
      <c r="M1814">
        <v>0</v>
      </c>
      <c r="N1814">
        <v>2</v>
      </c>
      <c r="O1814">
        <v>0</v>
      </c>
      <c r="P1814">
        <v>1</v>
      </c>
      <c r="Q1814">
        <v>0</v>
      </c>
      <c r="S1814" t="str">
        <f t="shared" si="636"/>
        <v>19:30:17.000</v>
      </c>
      <c r="T1814" t="str">
        <f t="shared" si="636"/>
        <v>19:30:17.000</v>
      </c>
      <c r="U1814" t="str">
        <f t="shared" si="632"/>
        <v>AC3944</v>
      </c>
      <c r="V1814">
        <v>0</v>
      </c>
      <c r="W1814">
        <v>0</v>
      </c>
      <c r="X1814">
        <v>2</v>
      </c>
      <c r="Y1814">
        <v>0</v>
      </c>
      <c r="AA1814">
        <v>1</v>
      </c>
      <c r="AB1814">
        <v>8</v>
      </c>
      <c r="AC1814">
        <v>3</v>
      </c>
      <c r="AD1814">
        <v>0</v>
      </c>
      <c r="AE1814">
        <v>9</v>
      </c>
      <c r="AF1814" t="s">
        <v>138</v>
      </c>
      <c r="AG1814">
        <v>0</v>
      </c>
      <c r="AH1814">
        <v>3</v>
      </c>
      <c r="AI1814">
        <v>1</v>
      </c>
      <c r="AJ1814">
        <v>0</v>
      </c>
      <c r="AK1814" t="s">
        <v>652</v>
      </c>
      <c r="AL1814">
        <v>32.782023000000002</v>
      </c>
      <c r="AM1814" t="s">
        <v>653</v>
      </c>
      <c r="AN1814">
        <v>-116.860049</v>
      </c>
      <c r="AO1814">
        <v>25</v>
      </c>
      <c r="AP1814">
        <v>2900</v>
      </c>
      <c r="AQ1814" t="s">
        <v>129</v>
      </c>
      <c r="AR1814">
        <v>98</v>
      </c>
      <c r="AS1814">
        <v>-72</v>
      </c>
      <c r="AT1814">
        <v>256</v>
      </c>
      <c r="BB1814">
        <v>1200</v>
      </c>
      <c r="BC1814">
        <v>1</v>
      </c>
      <c r="BD1814" t="str">
        <f t="shared" si="633"/>
        <v xml:space="preserve">N887QR  </v>
      </c>
      <c r="BE1814">
        <v>1</v>
      </c>
      <c r="BG1814">
        <v>0</v>
      </c>
      <c r="BH1814">
        <v>0</v>
      </c>
      <c r="BI1814">
        <v>0</v>
      </c>
      <c r="BJ1814">
        <v>2625</v>
      </c>
      <c r="BK1814">
        <v>-275</v>
      </c>
      <c r="BL1814" t="s">
        <v>163</v>
      </c>
      <c r="BM1814">
        <v>1</v>
      </c>
      <c r="BN1814">
        <v>1</v>
      </c>
      <c r="BO1814">
        <v>1</v>
      </c>
      <c r="BP1814">
        <v>0</v>
      </c>
      <c r="BS1814">
        <v>0</v>
      </c>
      <c r="BT1814">
        <v>0</v>
      </c>
      <c r="BU1814">
        <v>0</v>
      </c>
      <c r="CE1814" t="str">
        <f t="shared" si="639"/>
        <v>19:30:17.896</v>
      </c>
      <c r="CF1814">
        <v>895589403</v>
      </c>
      <c r="CS1814">
        <v>0</v>
      </c>
      <c r="CT1814">
        <v>2</v>
      </c>
      <c r="CU1814">
        <v>0</v>
      </c>
      <c r="CV1814">
        <v>2</v>
      </c>
      <c r="CW1814">
        <v>0</v>
      </c>
      <c r="CX1814">
        <v>5</v>
      </c>
      <c r="CY1814">
        <v>7</v>
      </c>
      <c r="CZ1814" t="s">
        <v>131</v>
      </c>
      <c r="DA1814">
        <v>286</v>
      </c>
      <c r="DB1814">
        <v>0</v>
      </c>
      <c r="DC1814" t="s">
        <v>132</v>
      </c>
      <c r="DD1814" t="s">
        <v>133</v>
      </c>
      <c r="DG1814">
        <v>828931</v>
      </c>
      <c r="DI1814">
        <v>1</v>
      </c>
      <c r="DJ1814">
        <v>0</v>
      </c>
      <c r="DK1814">
        <v>1</v>
      </c>
      <c r="DL1814">
        <v>0</v>
      </c>
      <c r="DM1814">
        <v>0</v>
      </c>
      <c r="DN1814">
        <v>1</v>
      </c>
      <c r="DO1814">
        <v>0</v>
      </c>
      <c r="DP1814">
        <v>0</v>
      </c>
      <c r="DQ1814">
        <v>0</v>
      </c>
      <c r="DR1814">
        <v>0</v>
      </c>
      <c r="DS1814">
        <v>0</v>
      </c>
    </row>
    <row r="1815" spans="1:123" x14ac:dyDescent="0.3">
      <c r="A1815" t="str">
        <f>"10/04/2022 19:30:20.307"</f>
        <v>10/04/2022 19:30:20.307</v>
      </c>
      <c r="C1815" t="str">
        <f t="shared" si="629"/>
        <v>FFDFD3C0</v>
      </c>
      <c r="D1815" t="s">
        <v>143</v>
      </c>
      <c r="E1815">
        <v>20</v>
      </c>
      <c r="F1815">
        <v>1020</v>
      </c>
      <c r="G1815" t="s">
        <v>144</v>
      </c>
      <c r="J1815" t="s">
        <v>145</v>
      </c>
      <c r="K1815">
        <v>0</v>
      </c>
      <c r="L1815">
        <v>3</v>
      </c>
      <c r="M1815">
        <v>0</v>
      </c>
      <c r="N1815">
        <v>2</v>
      </c>
      <c r="O1815">
        <v>0</v>
      </c>
      <c r="P1815">
        <v>1</v>
      </c>
      <c r="Q1815">
        <v>0</v>
      </c>
      <c r="S1815" t="str">
        <f t="shared" ref="S1815:T1821" si="640">"19:30:20.000"</f>
        <v>19:30:20.000</v>
      </c>
      <c r="T1815" t="str">
        <f t="shared" si="640"/>
        <v>19:30:20.000</v>
      </c>
      <c r="U1815" t="str">
        <f t="shared" si="632"/>
        <v>AC3944</v>
      </c>
      <c r="V1815">
        <v>0</v>
      </c>
      <c r="W1815">
        <v>0</v>
      </c>
      <c r="X1815">
        <v>2</v>
      </c>
      <c r="Y1815">
        <v>0</v>
      </c>
      <c r="AA1815">
        <v>1</v>
      </c>
      <c r="AB1815">
        <v>8</v>
      </c>
      <c r="AC1815">
        <v>3</v>
      </c>
      <c r="AD1815">
        <v>0</v>
      </c>
      <c r="AE1815">
        <v>9</v>
      </c>
      <c r="AF1815" t="s">
        <v>138</v>
      </c>
      <c r="AG1815">
        <v>0</v>
      </c>
      <c r="AH1815">
        <v>3</v>
      </c>
      <c r="AI1815">
        <v>1</v>
      </c>
      <c r="AJ1815">
        <v>0</v>
      </c>
      <c r="AK1815" t="s">
        <v>654</v>
      </c>
      <c r="AL1815">
        <v>32.781314999999999</v>
      </c>
      <c r="AM1815" t="s">
        <v>655</v>
      </c>
      <c r="AN1815">
        <v>-116.85880400000001</v>
      </c>
      <c r="AO1815">
        <v>25</v>
      </c>
      <c r="AP1815">
        <v>2900</v>
      </c>
      <c r="AQ1815" t="s">
        <v>129</v>
      </c>
      <c r="AR1815">
        <v>107</v>
      </c>
      <c r="AS1815">
        <v>-64</v>
      </c>
      <c r="AT1815">
        <v>-64</v>
      </c>
      <c r="BB1815">
        <v>1200</v>
      </c>
      <c r="BC1815">
        <v>1</v>
      </c>
      <c r="BD1815" t="str">
        <f t="shared" si="633"/>
        <v xml:space="preserve">N887QR  </v>
      </c>
      <c r="BE1815">
        <v>1</v>
      </c>
      <c r="BG1815">
        <v>0</v>
      </c>
      <c r="BH1815">
        <v>0</v>
      </c>
      <c r="BI1815">
        <v>0</v>
      </c>
      <c r="BJ1815">
        <v>2625</v>
      </c>
      <c r="BK1815">
        <v>-275</v>
      </c>
      <c r="BL1815" t="s">
        <v>163</v>
      </c>
      <c r="BM1815">
        <v>1</v>
      </c>
      <c r="BN1815">
        <v>1</v>
      </c>
      <c r="BO1815">
        <v>1</v>
      </c>
      <c r="BP1815">
        <v>0</v>
      </c>
      <c r="BS1815">
        <v>0</v>
      </c>
      <c r="BT1815">
        <v>0</v>
      </c>
      <c r="BU1815">
        <v>0</v>
      </c>
      <c r="CE1815" t="str">
        <f t="shared" ref="CE1815:CE1821" si="641">"19:30:20.117"</f>
        <v>19:30:20.117</v>
      </c>
      <c r="CF1815">
        <v>117368260</v>
      </c>
      <c r="CS1815">
        <v>0</v>
      </c>
      <c r="CT1815">
        <v>2</v>
      </c>
      <c r="CU1815">
        <v>0</v>
      </c>
      <c r="CV1815">
        <v>2</v>
      </c>
      <c r="CW1815">
        <v>0</v>
      </c>
      <c r="CX1815">
        <v>5</v>
      </c>
      <c r="CY1815">
        <v>7</v>
      </c>
      <c r="CZ1815" t="s">
        <v>131</v>
      </c>
      <c r="DA1815">
        <v>300</v>
      </c>
      <c r="DB1815">
        <v>0</v>
      </c>
      <c r="DC1815" t="s">
        <v>176</v>
      </c>
      <c r="DD1815" t="s">
        <v>177</v>
      </c>
      <c r="DG1815">
        <v>5395650</v>
      </c>
      <c r="DI1815">
        <v>1</v>
      </c>
      <c r="DJ1815">
        <v>0</v>
      </c>
      <c r="DK1815">
        <v>0</v>
      </c>
      <c r="DL1815">
        <v>0</v>
      </c>
      <c r="DM1815">
        <v>0</v>
      </c>
      <c r="DN1815">
        <v>1</v>
      </c>
      <c r="DO1815">
        <v>0</v>
      </c>
      <c r="DP1815">
        <v>0</v>
      </c>
      <c r="DQ1815">
        <v>0</v>
      </c>
      <c r="DR1815">
        <v>0</v>
      </c>
      <c r="DS1815">
        <v>0</v>
      </c>
    </row>
    <row r="1816" spans="1:123" x14ac:dyDescent="0.3">
      <c r="A1816" t="str">
        <f>"10/04/2022 19:30:20.323"</f>
        <v>10/04/2022 19:30:20.323</v>
      </c>
      <c r="C1816" t="str">
        <f t="shared" si="629"/>
        <v>FFDFD3C0</v>
      </c>
      <c r="D1816" t="s">
        <v>136</v>
      </c>
      <c r="E1816">
        <v>8</v>
      </c>
      <c r="H1816">
        <v>225</v>
      </c>
      <c r="I1816" t="s">
        <v>137</v>
      </c>
      <c r="J1816" t="s">
        <v>138</v>
      </c>
      <c r="K1816">
        <v>0</v>
      </c>
      <c r="L1816">
        <v>3</v>
      </c>
      <c r="M1816">
        <v>0</v>
      </c>
      <c r="N1816">
        <v>2</v>
      </c>
      <c r="O1816">
        <v>0</v>
      </c>
      <c r="P1816">
        <v>1</v>
      </c>
      <c r="Q1816">
        <v>0</v>
      </c>
      <c r="S1816" t="str">
        <f t="shared" si="640"/>
        <v>19:30:20.000</v>
      </c>
      <c r="T1816" t="str">
        <f t="shared" si="640"/>
        <v>19:30:20.000</v>
      </c>
      <c r="U1816" t="str">
        <f t="shared" si="632"/>
        <v>AC3944</v>
      </c>
      <c r="V1816">
        <v>0</v>
      </c>
      <c r="W1816">
        <v>0</v>
      </c>
      <c r="X1816">
        <v>2</v>
      </c>
      <c r="Y1816">
        <v>0</v>
      </c>
      <c r="AA1816">
        <v>1</v>
      </c>
      <c r="AB1816">
        <v>8</v>
      </c>
      <c r="AC1816">
        <v>3</v>
      </c>
      <c r="AD1816">
        <v>0</v>
      </c>
      <c r="AE1816">
        <v>9</v>
      </c>
      <c r="AF1816" t="s">
        <v>138</v>
      </c>
      <c r="AG1816">
        <v>0</v>
      </c>
      <c r="AH1816">
        <v>3</v>
      </c>
      <c r="AI1816">
        <v>1</v>
      </c>
      <c r="AJ1816">
        <v>0</v>
      </c>
      <c r="AK1816" t="s">
        <v>654</v>
      </c>
      <c r="AL1816">
        <v>32.781314999999999</v>
      </c>
      <c r="AM1816" t="s">
        <v>655</v>
      </c>
      <c r="AN1816">
        <v>-116.85880400000001</v>
      </c>
      <c r="AO1816">
        <v>25</v>
      </c>
      <c r="AP1816">
        <v>2900</v>
      </c>
      <c r="AQ1816" t="s">
        <v>129</v>
      </c>
      <c r="AR1816">
        <v>107</v>
      </c>
      <c r="AS1816">
        <v>-64</v>
      </c>
      <c r="AT1816">
        <v>-64</v>
      </c>
      <c r="BB1816">
        <v>1200</v>
      </c>
      <c r="BC1816">
        <v>1</v>
      </c>
      <c r="BD1816" t="str">
        <f t="shared" si="633"/>
        <v xml:space="preserve">N887QR  </v>
      </c>
      <c r="BE1816">
        <v>1</v>
      </c>
      <c r="BG1816">
        <v>0</v>
      </c>
      <c r="BH1816">
        <v>0</v>
      </c>
      <c r="BI1816">
        <v>0</v>
      </c>
      <c r="BJ1816">
        <v>2625</v>
      </c>
      <c r="BK1816">
        <v>-275</v>
      </c>
      <c r="BL1816" t="s">
        <v>163</v>
      </c>
      <c r="BM1816">
        <v>1</v>
      </c>
      <c r="BN1816">
        <v>1</v>
      </c>
      <c r="BO1816">
        <v>1</v>
      </c>
      <c r="BP1816">
        <v>0</v>
      </c>
      <c r="BS1816">
        <v>0</v>
      </c>
      <c r="BT1816">
        <v>0</v>
      </c>
      <c r="BU1816">
        <v>0</v>
      </c>
      <c r="CE1816" t="str">
        <f t="shared" si="641"/>
        <v>19:30:20.117</v>
      </c>
      <c r="CF1816">
        <v>117368260</v>
      </c>
      <c r="CS1816">
        <v>0</v>
      </c>
      <c r="CT1816">
        <v>2</v>
      </c>
      <c r="CU1816">
        <v>0</v>
      </c>
      <c r="CV1816">
        <v>2</v>
      </c>
      <c r="CW1816">
        <v>0</v>
      </c>
      <c r="CX1816">
        <v>5</v>
      </c>
      <c r="CY1816">
        <v>7</v>
      </c>
      <c r="CZ1816" t="s">
        <v>131</v>
      </c>
      <c r="DA1816">
        <v>300</v>
      </c>
      <c r="DB1816">
        <v>0</v>
      </c>
      <c r="DC1816" t="s">
        <v>176</v>
      </c>
      <c r="DD1816" t="s">
        <v>177</v>
      </c>
      <c r="DG1816">
        <v>5395650</v>
      </c>
      <c r="DI1816">
        <v>1</v>
      </c>
      <c r="DJ1816">
        <v>0</v>
      </c>
      <c r="DK1816">
        <v>1</v>
      </c>
      <c r="DL1816">
        <v>0</v>
      </c>
      <c r="DM1816">
        <v>0</v>
      </c>
      <c r="DN1816">
        <v>1</v>
      </c>
      <c r="DO1816">
        <v>0</v>
      </c>
      <c r="DP1816">
        <v>0</v>
      </c>
      <c r="DQ1816">
        <v>0</v>
      </c>
      <c r="DR1816">
        <v>0</v>
      </c>
      <c r="DS1816">
        <v>0</v>
      </c>
    </row>
    <row r="1817" spans="1:123" x14ac:dyDescent="0.3">
      <c r="A1817" t="str">
        <f>"10/04/2022 19:30:20.338"</f>
        <v>10/04/2022 19:30:20.338</v>
      </c>
      <c r="C1817" t="str">
        <f t="shared" si="629"/>
        <v>FFDFD3C0</v>
      </c>
      <c r="D1817" t="s">
        <v>123</v>
      </c>
      <c r="E1817">
        <v>7</v>
      </c>
      <c r="F1817">
        <v>2007</v>
      </c>
      <c r="G1817" t="s">
        <v>124</v>
      </c>
      <c r="J1817" t="s">
        <v>125</v>
      </c>
      <c r="K1817">
        <v>0</v>
      </c>
      <c r="L1817">
        <v>3</v>
      </c>
      <c r="M1817">
        <v>0</v>
      </c>
      <c r="N1817">
        <v>2</v>
      </c>
      <c r="O1817">
        <v>0</v>
      </c>
      <c r="P1817">
        <v>1</v>
      </c>
      <c r="Q1817">
        <v>0</v>
      </c>
      <c r="S1817" t="str">
        <f t="shared" si="640"/>
        <v>19:30:20.000</v>
      </c>
      <c r="T1817" t="str">
        <f t="shared" si="640"/>
        <v>19:30:20.000</v>
      </c>
      <c r="U1817" t="str">
        <f t="shared" si="632"/>
        <v>AC3944</v>
      </c>
      <c r="V1817">
        <v>0</v>
      </c>
      <c r="W1817">
        <v>0</v>
      </c>
      <c r="X1817">
        <v>2</v>
      </c>
      <c r="Y1817">
        <v>0</v>
      </c>
      <c r="AA1817">
        <v>1</v>
      </c>
      <c r="AB1817">
        <v>8</v>
      </c>
      <c r="AC1817">
        <v>3</v>
      </c>
      <c r="AD1817">
        <v>0</v>
      </c>
      <c r="AE1817">
        <v>9</v>
      </c>
      <c r="AF1817" t="s">
        <v>138</v>
      </c>
      <c r="AG1817">
        <v>0</v>
      </c>
      <c r="AH1817">
        <v>3</v>
      </c>
      <c r="AI1817">
        <v>1</v>
      </c>
      <c r="AJ1817">
        <v>0</v>
      </c>
      <c r="AK1817" t="s">
        <v>654</v>
      </c>
      <c r="AL1817">
        <v>32.781314999999999</v>
      </c>
      <c r="AM1817" t="s">
        <v>655</v>
      </c>
      <c r="AN1817">
        <v>-116.85880400000001</v>
      </c>
      <c r="AO1817">
        <v>25</v>
      </c>
      <c r="AP1817">
        <v>2900</v>
      </c>
      <c r="AQ1817" t="s">
        <v>129</v>
      </c>
      <c r="AR1817">
        <v>107</v>
      </c>
      <c r="AS1817">
        <v>-64</v>
      </c>
      <c r="AT1817">
        <v>-64</v>
      </c>
      <c r="BB1817">
        <v>1200</v>
      </c>
      <c r="BC1817">
        <v>1</v>
      </c>
      <c r="BD1817" t="str">
        <f t="shared" si="633"/>
        <v xml:space="preserve">N887QR  </v>
      </c>
      <c r="BE1817">
        <v>1</v>
      </c>
      <c r="BG1817">
        <v>0</v>
      </c>
      <c r="BH1817">
        <v>0</v>
      </c>
      <c r="BI1817">
        <v>0</v>
      </c>
      <c r="BJ1817">
        <v>2625</v>
      </c>
      <c r="BK1817">
        <v>-275</v>
      </c>
      <c r="BL1817" t="s">
        <v>163</v>
      </c>
      <c r="BM1817">
        <v>1</v>
      </c>
      <c r="BN1817">
        <v>1</v>
      </c>
      <c r="BO1817">
        <v>1</v>
      </c>
      <c r="BP1817">
        <v>0</v>
      </c>
      <c r="BS1817">
        <v>0</v>
      </c>
      <c r="BT1817">
        <v>0</v>
      </c>
      <c r="BU1817">
        <v>0</v>
      </c>
      <c r="CE1817" t="str">
        <f t="shared" si="641"/>
        <v>19:30:20.117</v>
      </c>
      <c r="CF1817">
        <v>117368260</v>
      </c>
      <c r="CS1817">
        <v>0</v>
      </c>
      <c r="CT1817">
        <v>2</v>
      </c>
      <c r="CU1817">
        <v>0</v>
      </c>
      <c r="CV1817">
        <v>2</v>
      </c>
      <c r="CW1817">
        <v>0</v>
      </c>
      <c r="CX1817">
        <v>5</v>
      </c>
      <c r="CY1817">
        <v>7</v>
      </c>
      <c r="CZ1817" t="s">
        <v>131</v>
      </c>
      <c r="DA1817">
        <v>300</v>
      </c>
      <c r="DB1817">
        <v>0</v>
      </c>
      <c r="DC1817" t="s">
        <v>176</v>
      </c>
      <c r="DD1817" t="s">
        <v>177</v>
      </c>
      <c r="DG1817">
        <v>5395650</v>
      </c>
      <c r="DI1817">
        <v>1</v>
      </c>
      <c r="DJ1817">
        <v>0</v>
      </c>
      <c r="DK1817">
        <v>1</v>
      </c>
      <c r="DL1817">
        <v>0</v>
      </c>
      <c r="DM1817">
        <v>0</v>
      </c>
      <c r="DN1817">
        <v>1</v>
      </c>
      <c r="DO1817">
        <v>0</v>
      </c>
      <c r="DP1817">
        <v>0</v>
      </c>
      <c r="DQ1817">
        <v>0</v>
      </c>
      <c r="DR1817">
        <v>0</v>
      </c>
      <c r="DS1817">
        <v>0</v>
      </c>
    </row>
    <row r="1818" spans="1:123" x14ac:dyDescent="0.3">
      <c r="A1818" t="str">
        <f>"10/04/2022 19:30:20.416"</f>
        <v>10/04/2022 19:30:20.416</v>
      </c>
      <c r="C1818" t="str">
        <f t="shared" si="629"/>
        <v>FFDFD3C0</v>
      </c>
      <c r="D1818" t="s">
        <v>141</v>
      </c>
      <c r="E1818">
        <v>4</v>
      </c>
      <c r="H1818">
        <v>4</v>
      </c>
      <c r="I1818" t="s">
        <v>142</v>
      </c>
      <c r="J1818" t="s">
        <v>138</v>
      </c>
      <c r="K1818">
        <v>0</v>
      </c>
      <c r="L1818">
        <v>3</v>
      </c>
      <c r="M1818">
        <v>0</v>
      </c>
      <c r="N1818">
        <v>2</v>
      </c>
      <c r="O1818">
        <v>0</v>
      </c>
      <c r="P1818">
        <v>1</v>
      </c>
      <c r="Q1818">
        <v>0</v>
      </c>
      <c r="S1818" t="str">
        <f t="shared" si="640"/>
        <v>19:30:20.000</v>
      </c>
      <c r="T1818" t="str">
        <f t="shared" si="640"/>
        <v>19:30:20.000</v>
      </c>
      <c r="U1818" t="str">
        <f t="shared" si="632"/>
        <v>AC3944</v>
      </c>
      <c r="V1818">
        <v>0</v>
      </c>
      <c r="W1818">
        <v>0</v>
      </c>
      <c r="X1818">
        <v>2</v>
      </c>
      <c r="Y1818">
        <v>0</v>
      </c>
      <c r="AA1818">
        <v>1</v>
      </c>
      <c r="AB1818">
        <v>8</v>
      </c>
      <c r="AC1818">
        <v>3</v>
      </c>
      <c r="AD1818">
        <v>0</v>
      </c>
      <c r="AE1818">
        <v>9</v>
      </c>
      <c r="AF1818" t="s">
        <v>138</v>
      </c>
      <c r="AG1818">
        <v>0</v>
      </c>
      <c r="AH1818">
        <v>3</v>
      </c>
      <c r="AI1818">
        <v>1</v>
      </c>
      <c r="AJ1818">
        <v>0</v>
      </c>
      <c r="AK1818" t="s">
        <v>654</v>
      </c>
      <c r="AL1818">
        <v>32.781314999999999</v>
      </c>
      <c r="AM1818" t="s">
        <v>655</v>
      </c>
      <c r="AN1818">
        <v>-116.85880400000001</v>
      </c>
      <c r="AO1818">
        <v>25</v>
      </c>
      <c r="AP1818">
        <v>2900</v>
      </c>
      <c r="AQ1818" t="s">
        <v>129</v>
      </c>
      <c r="AR1818">
        <v>107</v>
      </c>
      <c r="AS1818">
        <v>-64</v>
      </c>
      <c r="AT1818">
        <v>-64</v>
      </c>
      <c r="BB1818">
        <v>1200</v>
      </c>
      <c r="BC1818">
        <v>1</v>
      </c>
      <c r="BD1818" t="str">
        <f t="shared" si="633"/>
        <v xml:space="preserve">N887QR  </v>
      </c>
      <c r="BE1818">
        <v>1</v>
      </c>
      <c r="BG1818">
        <v>0</v>
      </c>
      <c r="BH1818">
        <v>0</v>
      </c>
      <c r="BI1818">
        <v>0</v>
      </c>
      <c r="BJ1818">
        <v>2625</v>
      </c>
      <c r="BK1818">
        <v>-275</v>
      </c>
      <c r="BL1818" t="s">
        <v>163</v>
      </c>
      <c r="BM1818">
        <v>1</v>
      </c>
      <c r="BN1818">
        <v>1</v>
      </c>
      <c r="BO1818">
        <v>1</v>
      </c>
      <c r="BP1818">
        <v>0</v>
      </c>
      <c r="BS1818">
        <v>0</v>
      </c>
      <c r="BT1818">
        <v>0</v>
      </c>
      <c r="BU1818">
        <v>0</v>
      </c>
      <c r="CE1818" t="str">
        <f t="shared" si="641"/>
        <v>19:30:20.117</v>
      </c>
      <c r="CF1818">
        <v>117368260</v>
      </c>
      <c r="CS1818">
        <v>0</v>
      </c>
      <c r="CT1818">
        <v>2</v>
      </c>
      <c r="CU1818">
        <v>0</v>
      </c>
      <c r="CV1818">
        <v>2</v>
      </c>
      <c r="CW1818">
        <v>0</v>
      </c>
      <c r="CX1818">
        <v>5</v>
      </c>
      <c r="CY1818">
        <v>7</v>
      </c>
      <c r="CZ1818" t="s">
        <v>131</v>
      </c>
      <c r="DA1818">
        <v>300</v>
      </c>
      <c r="DB1818">
        <v>0</v>
      </c>
      <c r="DC1818" t="s">
        <v>176</v>
      </c>
      <c r="DD1818" t="s">
        <v>177</v>
      </c>
      <c r="DG1818">
        <v>5395650</v>
      </c>
      <c r="DI1818">
        <v>1</v>
      </c>
      <c r="DJ1818">
        <v>0</v>
      </c>
      <c r="DK1818">
        <v>1</v>
      </c>
      <c r="DL1818">
        <v>0</v>
      </c>
      <c r="DM1818">
        <v>0</v>
      </c>
      <c r="DN1818">
        <v>1</v>
      </c>
      <c r="DO1818">
        <v>0</v>
      </c>
      <c r="DP1818">
        <v>0</v>
      </c>
      <c r="DQ1818">
        <v>0</v>
      </c>
      <c r="DR1818">
        <v>0</v>
      </c>
      <c r="DS1818">
        <v>0</v>
      </c>
    </row>
    <row r="1819" spans="1:123" x14ac:dyDescent="0.3">
      <c r="A1819" t="str">
        <f>"10/04/2022 19:30:20.416"</f>
        <v>10/04/2022 19:30:20.416</v>
      </c>
      <c r="C1819" t="str">
        <f t="shared" si="629"/>
        <v>FFDFD3C0</v>
      </c>
      <c r="D1819" t="s">
        <v>147</v>
      </c>
      <c r="E1819">
        <v>3</v>
      </c>
      <c r="H1819">
        <v>166</v>
      </c>
      <c r="I1819" t="s">
        <v>144</v>
      </c>
      <c r="J1819" t="s">
        <v>148</v>
      </c>
      <c r="K1819">
        <v>0</v>
      </c>
      <c r="L1819">
        <v>3</v>
      </c>
      <c r="M1819">
        <v>0</v>
      </c>
      <c r="N1819">
        <v>2</v>
      </c>
      <c r="O1819">
        <v>0</v>
      </c>
      <c r="P1819">
        <v>1</v>
      </c>
      <c r="Q1819">
        <v>0</v>
      </c>
      <c r="S1819" t="str">
        <f t="shared" si="640"/>
        <v>19:30:20.000</v>
      </c>
      <c r="T1819" t="str">
        <f t="shared" si="640"/>
        <v>19:30:20.000</v>
      </c>
      <c r="U1819" t="str">
        <f t="shared" si="632"/>
        <v>AC3944</v>
      </c>
      <c r="V1819">
        <v>0</v>
      </c>
      <c r="W1819">
        <v>0</v>
      </c>
      <c r="X1819">
        <v>2</v>
      </c>
      <c r="Y1819">
        <v>0</v>
      </c>
      <c r="AA1819">
        <v>1</v>
      </c>
      <c r="AB1819">
        <v>8</v>
      </c>
      <c r="AC1819">
        <v>3</v>
      </c>
      <c r="AD1819">
        <v>0</v>
      </c>
      <c r="AE1819">
        <v>9</v>
      </c>
      <c r="AF1819" t="s">
        <v>138</v>
      </c>
      <c r="AG1819">
        <v>0</v>
      </c>
      <c r="AH1819">
        <v>3</v>
      </c>
      <c r="AI1819">
        <v>1</v>
      </c>
      <c r="AJ1819">
        <v>0</v>
      </c>
      <c r="AK1819" t="s">
        <v>654</v>
      </c>
      <c r="AL1819">
        <v>32.781314999999999</v>
      </c>
      <c r="AM1819" t="s">
        <v>655</v>
      </c>
      <c r="AN1819">
        <v>-116.85880400000001</v>
      </c>
      <c r="AO1819">
        <v>25</v>
      </c>
      <c r="AP1819">
        <v>2900</v>
      </c>
      <c r="AQ1819" t="s">
        <v>129</v>
      </c>
      <c r="AR1819">
        <v>107</v>
      </c>
      <c r="AS1819">
        <v>-64</v>
      </c>
      <c r="AT1819">
        <v>-64</v>
      </c>
      <c r="BB1819">
        <v>1200</v>
      </c>
      <c r="BC1819">
        <v>1</v>
      </c>
      <c r="BD1819" t="str">
        <f t="shared" si="633"/>
        <v xml:space="preserve">N887QR  </v>
      </c>
      <c r="BE1819">
        <v>1</v>
      </c>
      <c r="BG1819">
        <v>0</v>
      </c>
      <c r="BH1819">
        <v>0</v>
      </c>
      <c r="BI1819">
        <v>0</v>
      </c>
      <c r="BJ1819">
        <v>2625</v>
      </c>
      <c r="BK1819">
        <v>-275</v>
      </c>
      <c r="BL1819" t="s">
        <v>163</v>
      </c>
      <c r="BM1819">
        <v>1</v>
      </c>
      <c r="BN1819">
        <v>1</v>
      </c>
      <c r="BO1819">
        <v>1</v>
      </c>
      <c r="BP1819">
        <v>0</v>
      </c>
      <c r="BS1819">
        <v>0</v>
      </c>
      <c r="BT1819">
        <v>0</v>
      </c>
      <c r="BU1819">
        <v>0</v>
      </c>
      <c r="CE1819" t="str">
        <f t="shared" si="641"/>
        <v>19:30:20.117</v>
      </c>
      <c r="CF1819">
        <v>117368260</v>
      </c>
      <c r="CS1819">
        <v>0</v>
      </c>
      <c r="CT1819">
        <v>2</v>
      </c>
      <c r="CU1819">
        <v>0</v>
      </c>
      <c r="CV1819">
        <v>2</v>
      </c>
      <c r="CW1819">
        <v>0</v>
      </c>
      <c r="CX1819">
        <v>5</v>
      </c>
      <c r="CY1819">
        <v>7</v>
      </c>
      <c r="CZ1819" t="s">
        <v>131</v>
      </c>
      <c r="DA1819">
        <v>300</v>
      </c>
      <c r="DB1819">
        <v>0</v>
      </c>
      <c r="DC1819" t="s">
        <v>176</v>
      </c>
      <c r="DD1819" t="s">
        <v>177</v>
      </c>
      <c r="DG1819">
        <v>5395650</v>
      </c>
      <c r="DI1819">
        <v>1</v>
      </c>
      <c r="DJ1819">
        <v>0</v>
      </c>
      <c r="DK1819">
        <v>1</v>
      </c>
      <c r="DL1819">
        <v>0</v>
      </c>
      <c r="DM1819">
        <v>0</v>
      </c>
      <c r="DN1819">
        <v>1</v>
      </c>
      <c r="DO1819">
        <v>0</v>
      </c>
      <c r="DP1819">
        <v>0</v>
      </c>
      <c r="DQ1819">
        <v>0</v>
      </c>
      <c r="DR1819">
        <v>0</v>
      </c>
      <c r="DS1819">
        <v>0</v>
      </c>
    </row>
    <row r="1820" spans="1:123" x14ac:dyDescent="0.3">
      <c r="A1820" t="str">
        <f>"10/04/2022 19:30:20.416"</f>
        <v>10/04/2022 19:30:20.416</v>
      </c>
      <c r="C1820" t="str">
        <f t="shared" si="629"/>
        <v>FFDFD3C0</v>
      </c>
      <c r="D1820" t="s">
        <v>134</v>
      </c>
      <c r="E1820">
        <v>15</v>
      </c>
      <c r="J1820" t="s">
        <v>135</v>
      </c>
      <c r="K1820">
        <v>0</v>
      </c>
      <c r="L1820">
        <v>3</v>
      </c>
      <c r="M1820">
        <v>0</v>
      </c>
      <c r="N1820">
        <v>2</v>
      </c>
      <c r="O1820">
        <v>0</v>
      </c>
      <c r="P1820">
        <v>1</v>
      </c>
      <c r="Q1820">
        <v>0</v>
      </c>
      <c r="S1820" t="str">
        <f t="shared" si="640"/>
        <v>19:30:20.000</v>
      </c>
      <c r="T1820" t="str">
        <f t="shared" si="640"/>
        <v>19:30:20.000</v>
      </c>
      <c r="U1820" t="str">
        <f t="shared" si="632"/>
        <v>AC3944</v>
      </c>
      <c r="V1820">
        <v>0</v>
      </c>
      <c r="W1820">
        <v>0</v>
      </c>
      <c r="X1820">
        <v>2</v>
      </c>
      <c r="Y1820">
        <v>0</v>
      </c>
      <c r="AA1820">
        <v>1</v>
      </c>
      <c r="AB1820">
        <v>8</v>
      </c>
      <c r="AC1820">
        <v>3</v>
      </c>
      <c r="AD1820">
        <v>0</v>
      </c>
      <c r="AE1820">
        <v>9</v>
      </c>
      <c r="AF1820" t="s">
        <v>138</v>
      </c>
      <c r="AG1820">
        <v>0</v>
      </c>
      <c r="AH1820">
        <v>3</v>
      </c>
      <c r="AI1820">
        <v>1</v>
      </c>
      <c r="AJ1820">
        <v>0</v>
      </c>
      <c r="AK1820" t="s">
        <v>654</v>
      </c>
      <c r="AL1820">
        <v>32.781314999999999</v>
      </c>
      <c r="AM1820" t="s">
        <v>655</v>
      </c>
      <c r="AN1820">
        <v>-116.85880400000001</v>
      </c>
      <c r="AO1820">
        <v>25</v>
      </c>
      <c r="AP1820">
        <v>2900</v>
      </c>
      <c r="AQ1820" t="s">
        <v>129</v>
      </c>
      <c r="AR1820">
        <v>107</v>
      </c>
      <c r="AS1820">
        <v>-64</v>
      </c>
      <c r="AT1820">
        <v>-64</v>
      </c>
      <c r="BB1820">
        <v>1200</v>
      </c>
      <c r="BC1820">
        <v>1</v>
      </c>
      <c r="BD1820" t="str">
        <f t="shared" si="633"/>
        <v xml:space="preserve">N887QR  </v>
      </c>
      <c r="BE1820">
        <v>1</v>
      </c>
      <c r="BG1820">
        <v>0</v>
      </c>
      <c r="BH1820">
        <v>0</v>
      </c>
      <c r="BI1820">
        <v>0</v>
      </c>
      <c r="BJ1820">
        <v>2625</v>
      </c>
      <c r="BK1820">
        <v>-275</v>
      </c>
      <c r="BL1820" t="s">
        <v>163</v>
      </c>
      <c r="BM1820">
        <v>1</v>
      </c>
      <c r="BN1820">
        <v>1</v>
      </c>
      <c r="BO1820">
        <v>1</v>
      </c>
      <c r="BP1820">
        <v>0</v>
      </c>
      <c r="BS1820">
        <v>0</v>
      </c>
      <c r="BT1820">
        <v>0</v>
      </c>
      <c r="BU1820">
        <v>0</v>
      </c>
      <c r="CE1820" t="str">
        <f t="shared" si="641"/>
        <v>19:30:20.117</v>
      </c>
      <c r="CF1820">
        <v>117368260</v>
      </c>
      <c r="CS1820">
        <v>0</v>
      </c>
      <c r="CT1820">
        <v>2</v>
      </c>
      <c r="CU1820">
        <v>0</v>
      </c>
      <c r="CV1820">
        <v>2</v>
      </c>
      <c r="CW1820">
        <v>0</v>
      </c>
      <c r="CX1820">
        <v>5</v>
      </c>
      <c r="CY1820">
        <v>7</v>
      </c>
      <c r="CZ1820" t="s">
        <v>131</v>
      </c>
      <c r="DA1820">
        <v>300</v>
      </c>
      <c r="DB1820">
        <v>0</v>
      </c>
      <c r="DC1820" t="s">
        <v>176</v>
      </c>
      <c r="DD1820" t="s">
        <v>177</v>
      </c>
      <c r="DG1820">
        <v>5395650</v>
      </c>
      <c r="DI1820">
        <v>1</v>
      </c>
      <c r="DJ1820">
        <v>0</v>
      </c>
      <c r="DK1820">
        <v>1</v>
      </c>
      <c r="DL1820">
        <v>0</v>
      </c>
      <c r="DM1820">
        <v>0</v>
      </c>
      <c r="DN1820">
        <v>1</v>
      </c>
      <c r="DO1820">
        <v>0</v>
      </c>
      <c r="DP1820">
        <v>0</v>
      </c>
      <c r="DQ1820">
        <v>0</v>
      </c>
      <c r="DR1820">
        <v>0</v>
      </c>
      <c r="DS1820">
        <v>0</v>
      </c>
    </row>
    <row r="1821" spans="1:123" x14ac:dyDescent="0.3">
      <c r="A1821" t="str">
        <f>"10/04/2022 19:30:20.416"</f>
        <v>10/04/2022 19:30:20.416</v>
      </c>
      <c r="C1821" t="str">
        <f t="shared" si="629"/>
        <v>FFDFD3C0</v>
      </c>
      <c r="D1821" t="s">
        <v>141</v>
      </c>
      <c r="E1821">
        <v>3</v>
      </c>
      <c r="H1821">
        <v>3</v>
      </c>
      <c r="I1821" t="s">
        <v>146</v>
      </c>
      <c r="J1821" t="s">
        <v>138</v>
      </c>
      <c r="K1821">
        <v>0</v>
      </c>
      <c r="L1821">
        <v>3</v>
      </c>
      <c r="M1821">
        <v>0</v>
      </c>
      <c r="N1821">
        <v>2</v>
      </c>
      <c r="O1821">
        <v>0</v>
      </c>
      <c r="P1821">
        <v>1</v>
      </c>
      <c r="Q1821">
        <v>0</v>
      </c>
      <c r="S1821" t="str">
        <f t="shared" si="640"/>
        <v>19:30:20.000</v>
      </c>
      <c r="T1821" t="str">
        <f t="shared" si="640"/>
        <v>19:30:20.000</v>
      </c>
      <c r="U1821" t="str">
        <f t="shared" si="632"/>
        <v>AC3944</v>
      </c>
      <c r="V1821">
        <v>0</v>
      </c>
      <c r="W1821">
        <v>0</v>
      </c>
      <c r="X1821">
        <v>2</v>
      </c>
      <c r="Y1821">
        <v>0</v>
      </c>
      <c r="AA1821">
        <v>1</v>
      </c>
      <c r="AB1821">
        <v>8</v>
      </c>
      <c r="AC1821">
        <v>3</v>
      </c>
      <c r="AD1821">
        <v>0</v>
      </c>
      <c r="AE1821">
        <v>9</v>
      </c>
      <c r="AF1821" t="s">
        <v>138</v>
      </c>
      <c r="AG1821">
        <v>0</v>
      </c>
      <c r="AH1821">
        <v>3</v>
      </c>
      <c r="AI1821">
        <v>1</v>
      </c>
      <c r="AJ1821">
        <v>0</v>
      </c>
      <c r="AK1821" t="s">
        <v>654</v>
      </c>
      <c r="AL1821">
        <v>32.781314999999999</v>
      </c>
      <c r="AM1821" t="s">
        <v>655</v>
      </c>
      <c r="AN1821">
        <v>-116.85880400000001</v>
      </c>
      <c r="AO1821">
        <v>25</v>
      </c>
      <c r="AP1821">
        <v>2900</v>
      </c>
      <c r="AQ1821" t="s">
        <v>129</v>
      </c>
      <c r="AR1821">
        <v>107</v>
      </c>
      <c r="AS1821">
        <v>-64</v>
      </c>
      <c r="AT1821">
        <v>-64</v>
      </c>
      <c r="BB1821">
        <v>1200</v>
      </c>
      <c r="BC1821">
        <v>1</v>
      </c>
      <c r="BD1821" t="str">
        <f t="shared" si="633"/>
        <v xml:space="preserve">N887QR  </v>
      </c>
      <c r="BE1821">
        <v>1</v>
      </c>
      <c r="BG1821">
        <v>0</v>
      </c>
      <c r="BH1821">
        <v>0</v>
      </c>
      <c r="BI1821">
        <v>0</v>
      </c>
      <c r="BJ1821">
        <v>2625</v>
      </c>
      <c r="BK1821">
        <v>-275</v>
      </c>
      <c r="BL1821" t="s">
        <v>163</v>
      </c>
      <c r="BM1821">
        <v>1</v>
      </c>
      <c r="BN1821">
        <v>1</v>
      </c>
      <c r="BO1821">
        <v>1</v>
      </c>
      <c r="BP1821">
        <v>0</v>
      </c>
      <c r="BS1821">
        <v>0</v>
      </c>
      <c r="BT1821">
        <v>0</v>
      </c>
      <c r="BU1821">
        <v>0</v>
      </c>
      <c r="CE1821" t="str">
        <f t="shared" si="641"/>
        <v>19:30:20.117</v>
      </c>
      <c r="CF1821">
        <v>117368260</v>
      </c>
      <c r="CS1821">
        <v>0</v>
      </c>
      <c r="CT1821">
        <v>2</v>
      </c>
      <c r="CU1821">
        <v>0</v>
      </c>
      <c r="CV1821">
        <v>2</v>
      </c>
      <c r="CW1821">
        <v>0</v>
      </c>
      <c r="CX1821">
        <v>5</v>
      </c>
      <c r="CY1821">
        <v>7</v>
      </c>
      <c r="CZ1821" t="s">
        <v>131</v>
      </c>
      <c r="DA1821">
        <v>300</v>
      </c>
      <c r="DB1821">
        <v>0</v>
      </c>
      <c r="DC1821" t="s">
        <v>176</v>
      </c>
      <c r="DD1821" t="s">
        <v>177</v>
      </c>
      <c r="DG1821">
        <v>5395650</v>
      </c>
      <c r="DI1821">
        <v>1</v>
      </c>
      <c r="DJ1821">
        <v>0</v>
      </c>
      <c r="DK1821">
        <v>1</v>
      </c>
      <c r="DL1821">
        <v>0</v>
      </c>
      <c r="DM1821">
        <v>0</v>
      </c>
      <c r="DN1821">
        <v>1</v>
      </c>
      <c r="DO1821">
        <v>0</v>
      </c>
      <c r="DP1821">
        <v>0</v>
      </c>
      <c r="DQ1821">
        <v>0</v>
      </c>
      <c r="DR1821">
        <v>0</v>
      </c>
      <c r="DS1821">
        <v>0</v>
      </c>
    </row>
    <row r="1822" spans="1:123" x14ac:dyDescent="0.3">
      <c r="A1822" t="str">
        <f t="shared" ref="A1822:A1828" si="642">"10/04/2022 19:30:21.353"</f>
        <v>10/04/2022 19:30:21.353</v>
      </c>
      <c r="C1822" t="str">
        <f t="shared" si="629"/>
        <v>FFDFD3C0</v>
      </c>
      <c r="D1822" t="s">
        <v>134</v>
      </c>
      <c r="E1822">
        <v>15</v>
      </c>
      <c r="J1822" t="s">
        <v>135</v>
      </c>
      <c r="K1822">
        <v>0</v>
      </c>
      <c r="L1822">
        <v>3</v>
      </c>
      <c r="M1822">
        <v>0</v>
      </c>
      <c r="N1822">
        <v>2</v>
      </c>
      <c r="O1822">
        <v>0</v>
      </c>
      <c r="P1822">
        <v>1</v>
      </c>
      <c r="Q1822">
        <v>0</v>
      </c>
      <c r="S1822" t="str">
        <f t="shared" ref="S1822:T1835" si="643">"19:30:21.000"</f>
        <v>19:30:21.000</v>
      </c>
      <c r="T1822" t="str">
        <f t="shared" si="643"/>
        <v>19:30:21.000</v>
      </c>
      <c r="U1822" t="str">
        <f t="shared" si="632"/>
        <v>AC3944</v>
      </c>
      <c r="V1822">
        <v>0</v>
      </c>
      <c r="W1822">
        <v>0</v>
      </c>
      <c r="X1822">
        <v>2</v>
      </c>
      <c r="Y1822">
        <v>0</v>
      </c>
      <c r="AA1822">
        <v>1</v>
      </c>
      <c r="AB1822">
        <v>8</v>
      </c>
      <c r="AC1822">
        <v>3</v>
      </c>
      <c r="AD1822">
        <v>0</v>
      </c>
      <c r="AE1822">
        <v>9</v>
      </c>
      <c r="AF1822" t="s">
        <v>138</v>
      </c>
      <c r="AG1822">
        <v>0</v>
      </c>
      <c r="AH1822">
        <v>3</v>
      </c>
      <c r="AI1822">
        <v>1</v>
      </c>
      <c r="AJ1822">
        <v>0</v>
      </c>
      <c r="AK1822" t="s">
        <v>656</v>
      </c>
      <c r="AL1822">
        <v>32.780993000000002</v>
      </c>
      <c r="AM1822" t="s">
        <v>657</v>
      </c>
      <c r="AN1822">
        <v>-116.858225</v>
      </c>
      <c r="AO1822">
        <v>25</v>
      </c>
      <c r="AP1822">
        <v>2900</v>
      </c>
      <c r="AQ1822" t="s">
        <v>129</v>
      </c>
      <c r="AR1822">
        <v>111</v>
      </c>
      <c r="AS1822">
        <v>-62</v>
      </c>
      <c r="AT1822">
        <v>-64</v>
      </c>
      <c r="BB1822">
        <v>1200</v>
      </c>
      <c r="BC1822">
        <v>1</v>
      </c>
      <c r="BD1822" t="str">
        <f t="shared" si="633"/>
        <v xml:space="preserve">N887QR  </v>
      </c>
      <c r="BE1822">
        <v>1</v>
      </c>
      <c r="BG1822">
        <v>0</v>
      </c>
      <c r="BH1822">
        <v>0</v>
      </c>
      <c r="BI1822">
        <v>0</v>
      </c>
      <c r="BJ1822">
        <v>2600</v>
      </c>
      <c r="BK1822">
        <v>-300</v>
      </c>
      <c r="BL1822" t="s">
        <v>163</v>
      </c>
      <c r="BM1822">
        <v>1</v>
      </c>
      <c r="BN1822">
        <v>1</v>
      </c>
      <c r="BO1822">
        <v>1</v>
      </c>
      <c r="BP1822">
        <v>0</v>
      </c>
      <c r="BS1822">
        <v>0</v>
      </c>
      <c r="BT1822">
        <v>0</v>
      </c>
      <c r="BU1822">
        <v>0</v>
      </c>
      <c r="CE1822" t="str">
        <f t="shared" ref="CE1822:CE1828" si="644">"19:30:21.116"</f>
        <v>19:30:21.116</v>
      </c>
      <c r="CF1822">
        <v>115599200</v>
      </c>
      <c r="CS1822">
        <v>0</v>
      </c>
      <c r="CT1822">
        <v>2</v>
      </c>
      <c r="CU1822">
        <v>0</v>
      </c>
      <c r="CV1822">
        <v>2</v>
      </c>
      <c r="CW1822">
        <v>0</v>
      </c>
      <c r="CX1822">
        <v>5</v>
      </c>
      <c r="CY1822">
        <v>7</v>
      </c>
      <c r="CZ1822" t="s">
        <v>131</v>
      </c>
      <c r="DA1822">
        <v>286</v>
      </c>
      <c r="DB1822">
        <v>0</v>
      </c>
      <c r="DC1822" t="s">
        <v>132</v>
      </c>
      <c r="DD1822" t="s">
        <v>133</v>
      </c>
      <c r="DG1822">
        <v>829462</v>
      </c>
      <c r="DI1822">
        <v>1</v>
      </c>
      <c r="DJ1822">
        <v>0</v>
      </c>
      <c r="DK1822">
        <v>0</v>
      </c>
      <c r="DL1822">
        <v>0</v>
      </c>
      <c r="DM1822">
        <v>0</v>
      </c>
      <c r="DN1822">
        <v>1</v>
      </c>
      <c r="DO1822">
        <v>0</v>
      </c>
      <c r="DP1822">
        <v>0</v>
      </c>
      <c r="DQ1822">
        <v>0</v>
      </c>
      <c r="DR1822">
        <v>0</v>
      </c>
      <c r="DS1822">
        <v>0</v>
      </c>
    </row>
    <row r="1823" spans="1:123" x14ac:dyDescent="0.3">
      <c r="A1823" t="str">
        <f t="shared" si="642"/>
        <v>10/04/2022 19:30:21.353</v>
      </c>
      <c r="C1823" t="str">
        <f t="shared" si="629"/>
        <v>FFDFD3C0</v>
      </c>
      <c r="D1823" t="s">
        <v>143</v>
      </c>
      <c r="E1823">
        <v>20</v>
      </c>
      <c r="F1823">
        <v>1020</v>
      </c>
      <c r="G1823" t="s">
        <v>144</v>
      </c>
      <c r="J1823" t="s">
        <v>145</v>
      </c>
      <c r="K1823">
        <v>0</v>
      </c>
      <c r="L1823">
        <v>3</v>
      </c>
      <c r="M1823">
        <v>0</v>
      </c>
      <c r="N1823">
        <v>2</v>
      </c>
      <c r="O1823">
        <v>0</v>
      </c>
      <c r="P1823">
        <v>1</v>
      </c>
      <c r="Q1823">
        <v>0</v>
      </c>
      <c r="S1823" t="str">
        <f t="shared" si="643"/>
        <v>19:30:21.000</v>
      </c>
      <c r="T1823" t="str">
        <f t="shared" si="643"/>
        <v>19:30:21.000</v>
      </c>
      <c r="U1823" t="str">
        <f t="shared" si="632"/>
        <v>AC3944</v>
      </c>
      <c r="V1823">
        <v>0</v>
      </c>
      <c r="W1823">
        <v>0</v>
      </c>
      <c r="X1823">
        <v>2</v>
      </c>
      <c r="Y1823">
        <v>0</v>
      </c>
      <c r="AA1823">
        <v>1</v>
      </c>
      <c r="AB1823">
        <v>8</v>
      </c>
      <c r="AC1823">
        <v>3</v>
      </c>
      <c r="AD1823">
        <v>0</v>
      </c>
      <c r="AE1823">
        <v>9</v>
      </c>
      <c r="AF1823" t="s">
        <v>138</v>
      </c>
      <c r="AG1823">
        <v>0</v>
      </c>
      <c r="AH1823">
        <v>3</v>
      </c>
      <c r="AI1823">
        <v>1</v>
      </c>
      <c r="AJ1823">
        <v>0</v>
      </c>
      <c r="AK1823" t="s">
        <v>656</v>
      </c>
      <c r="AL1823">
        <v>32.780993000000002</v>
      </c>
      <c r="AM1823" t="s">
        <v>657</v>
      </c>
      <c r="AN1823">
        <v>-116.858225</v>
      </c>
      <c r="AO1823">
        <v>25</v>
      </c>
      <c r="AP1823">
        <v>2900</v>
      </c>
      <c r="AQ1823" t="s">
        <v>129</v>
      </c>
      <c r="AR1823">
        <v>111</v>
      </c>
      <c r="AS1823">
        <v>-62</v>
      </c>
      <c r="AT1823">
        <v>-64</v>
      </c>
      <c r="BB1823">
        <v>1200</v>
      </c>
      <c r="BC1823">
        <v>1</v>
      </c>
      <c r="BD1823" t="str">
        <f t="shared" si="633"/>
        <v xml:space="preserve">N887QR  </v>
      </c>
      <c r="BE1823">
        <v>1</v>
      </c>
      <c r="BG1823">
        <v>0</v>
      </c>
      <c r="BH1823">
        <v>0</v>
      </c>
      <c r="BI1823">
        <v>0</v>
      </c>
      <c r="BJ1823">
        <v>2600</v>
      </c>
      <c r="BK1823">
        <v>-300</v>
      </c>
      <c r="BL1823" t="s">
        <v>163</v>
      </c>
      <c r="BM1823">
        <v>1</v>
      </c>
      <c r="BN1823">
        <v>1</v>
      </c>
      <c r="BO1823">
        <v>1</v>
      </c>
      <c r="BP1823">
        <v>0</v>
      </c>
      <c r="BS1823">
        <v>0</v>
      </c>
      <c r="BT1823">
        <v>0</v>
      </c>
      <c r="BU1823">
        <v>0</v>
      </c>
      <c r="CE1823" t="str">
        <f t="shared" si="644"/>
        <v>19:30:21.116</v>
      </c>
      <c r="CF1823">
        <v>115599200</v>
      </c>
      <c r="CS1823">
        <v>0</v>
      </c>
      <c r="CT1823">
        <v>2</v>
      </c>
      <c r="CU1823">
        <v>0</v>
      </c>
      <c r="CV1823">
        <v>2</v>
      </c>
      <c r="CW1823">
        <v>0</v>
      </c>
      <c r="CX1823">
        <v>5</v>
      </c>
      <c r="CY1823">
        <v>7</v>
      </c>
      <c r="CZ1823" t="s">
        <v>131</v>
      </c>
      <c r="DA1823">
        <v>286</v>
      </c>
      <c r="DB1823">
        <v>0</v>
      </c>
      <c r="DC1823" t="s">
        <v>132</v>
      </c>
      <c r="DD1823" t="s">
        <v>133</v>
      </c>
      <c r="DG1823">
        <v>829462</v>
      </c>
      <c r="DI1823">
        <v>1</v>
      </c>
      <c r="DJ1823">
        <v>0</v>
      </c>
      <c r="DK1823">
        <v>1</v>
      </c>
      <c r="DL1823">
        <v>0</v>
      </c>
      <c r="DM1823">
        <v>0</v>
      </c>
      <c r="DN1823">
        <v>1</v>
      </c>
      <c r="DO1823">
        <v>0</v>
      </c>
      <c r="DP1823">
        <v>0</v>
      </c>
      <c r="DQ1823">
        <v>0</v>
      </c>
      <c r="DR1823">
        <v>0</v>
      </c>
      <c r="DS1823">
        <v>0</v>
      </c>
    </row>
    <row r="1824" spans="1:123" x14ac:dyDescent="0.3">
      <c r="A1824" t="str">
        <f t="shared" si="642"/>
        <v>10/04/2022 19:30:21.353</v>
      </c>
      <c r="C1824" t="str">
        <f t="shared" si="629"/>
        <v>FFDFD3C0</v>
      </c>
      <c r="D1824" t="s">
        <v>141</v>
      </c>
      <c r="E1824">
        <v>3</v>
      </c>
      <c r="H1824">
        <v>3</v>
      </c>
      <c r="I1824" t="s">
        <v>146</v>
      </c>
      <c r="J1824" t="s">
        <v>138</v>
      </c>
      <c r="K1824">
        <v>0</v>
      </c>
      <c r="L1824">
        <v>3</v>
      </c>
      <c r="M1824">
        <v>0</v>
      </c>
      <c r="N1824">
        <v>2</v>
      </c>
      <c r="O1824">
        <v>0</v>
      </c>
      <c r="P1824">
        <v>1</v>
      </c>
      <c r="Q1824">
        <v>0</v>
      </c>
      <c r="S1824" t="str">
        <f t="shared" si="643"/>
        <v>19:30:21.000</v>
      </c>
      <c r="T1824" t="str">
        <f t="shared" si="643"/>
        <v>19:30:21.000</v>
      </c>
      <c r="U1824" t="str">
        <f t="shared" si="632"/>
        <v>AC3944</v>
      </c>
      <c r="V1824">
        <v>0</v>
      </c>
      <c r="W1824">
        <v>0</v>
      </c>
      <c r="X1824">
        <v>2</v>
      </c>
      <c r="Y1824">
        <v>0</v>
      </c>
      <c r="AA1824">
        <v>1</v>
      </c>
      <c r="AB1824">
        <v>8</v>
      </c>
      <c r="AC1824">
        <v>3</v>
      </c>
      <c r="AD1824">
        <v>0</v>
      </c>
      <c r="AE1824">
        <v>9</v>
      </c>
      <c r="AF1824" t="s">
        <v>138</v>
      </c>
      <c r="AG1824">
        <v>0</v>
      </c>
      <c r="AH1824">
        <v>3</v>
      </c>
      <c r="AI1824">
        <v>1</v>
      </c>
      <c r="AJ1824">
        <v>0</v>
      </c>
      <c r="AK1824" t="s">
        <v>656</v>
      </c>
      <c r="AL1824">
        <v>32.780993000000002</v>
      </c>
      <c r="AM1824" t="s">
        <v>657</v>
      </c>
      <c r="AN1824">
        <v>-116.858225</v>
      </c>
      <c r="AO1824">
        <v>25</v>
      </c>
      <c r="AP1824">
        <v>2900</v>
      </c>
      <c r="AQ1824" t="s">
        <v>129</v>
      </c>
      <c r="AR1824">
        <v>111</v>
      </c>
      <c r="AS1824">
        <v>-62</v>
      </c>
      <c r="AT1824">
        <v>-64</v>
      </c>
      <c r="BB1824">
        <v>1200</v>
      </c>
      <c r="BC1824">
        <v>1</v>
      </c>
      <c r="BD1824" t="str">
        <f t="shared" si="633"/>
        <v xml:space="preserve">N887QR  </v>
      </c>
      <c r="BE1824">
        <v>1</v>
      </c>
      <c r="BG1824">
        <v>0</v>
      </c>
      <c r="BH1824">
        <v>0</v>
      </c>
      <c r="BI1824">
        <v>0</v>
      </c>
      <c r="BJ1824">
        <v>2600</v>
      </c>
      <c r="BK1824">
        <v>-300</v>
      </c>
      <c r="BL1824" t="s">
        <v>163</v>
      </c>
      <c r="BM1824">
        <v>1</v>
      </c>
      <c r="BN1824">
        <v>1</v>
      </c>
      <c r="BO1824">
        <v>1</v>
      </c>
      <c r="BP1824">
        <v>0</v>
      </c>
      <c r="BS1824">
        <v>0</v>
      </c>
      <c r="BT1824">
        <v>0</v>
      </c>
      <c r="BU1824">
        <v>0</v>
      </c>
      <c r="CE1824" t="str">
        <f t="shared" si="644"/>
        <v>19:30:21.116</v>
      </c>
      <c r="CF1824">
        <v>115599200</v>
      </c>
      <c r="CS1824">
        <v>0</v>
      </c>
      <c r="CT1824">
        <v>2</v>
      </c>
      <c r="CU1824">
        <v>0</v>
      </c>
      <c r="CV1824">
        <v>2</v>
      </c>
      <c r="CW1824">
        <v>0</v>
      </c>
      <c r="CX1824">
        <v>5</v>
      </c>
      <c r="CY1824">
        <v>7</v>
      </c>
      <c r="CZ1824" t="s">
        <v>131</v>
      </c>
      <c r="DA1824">
        <v>286</v>
      </c>
      <c r="DB1824">
        <v>0</v>
      </c>
      <c r="DC1824" t="s">
        <v>132</v>
      </c>
      <c r="DD1824" t="s">
        <v>133</v>
      </c>
      <c r="DG1824">
        <v>829462</v>
      </c>
      <c r="DI1824">
        <v>1</v>
      </c>
      <c r="DJ1824">
        <v>0</v>
      </c>
      <c r="DK1824">
        <v>1</v>
      </c>
      <c r="DL1824">
        <v>0</v>
      </c>
      <c r="DM1824">
        <v>0</v>
      </c>
      <c r="DN1824">
        <v>1</v>
      </c>
      <c r="DO1824">
        <v>0</v>
      </c>
      <c r="DP1824">
        <v>0</v>
      </c>
      <c r="DQ1824">
        <v>0</v>
      </c>
      <c r="DR1824">
        <v>0</v>
      </c>
      <c r="DS1824">
        <v>0</v>
      </c>
    </row>
    <row r="1825" spans="1:123" x14ac:dyDescent="0.3">
      <c r="A1825" t="str">
        <f t="shared" si="642"/>
        <v>10/04/2022 19:30:21.353</v>
      </c>
      <c r="C1825" t="str">
        <f t="shared" si="629"/>
        <v>FFDFD3C0</v>
      </c>
      <c r="D1825" t="s">
        <v>136</v>
      </c>
      <c r="E1825">
        <v>8</v>
      </c>
      <c r="H1825">
        <v>225</v>
      </c>
      <c r="I1825" t="s">
        <v>137</v>
      </c>
      <c r="J1825" t="s">
        <v>138</v>
      </c>
      <c r="K1825">
        <v>0</v>
      </c>
      <c r="L1825">
        <v>3</v>
      </c>
      <c r="M1825">
        <v>0</v>
      </c>
      <c r="N1825">
        <v>2</v>
      </c>
      <c r="O1825">
        <v>0</v>
      </c>
      <c r="P1825">
        <v>1</v>
      </c>
      <c r="Q1825">
        <v>0</v>
      </c>
      <c r="S1825" t="str">
        <f t="shared" si="643"/>
        <v>19:30:21.000</v>
      </c>
      <c r="T1825" t="str">
        <f t="shared" si="643"/>
        <v>19:30:21.000</v>
      </c>
      <c r="U1825" t="str">
        <f t="shared" si="632"/>
        <v>AC3944</v>
      </c>
      <c r="V1825">
        <v>0</v>
      </c>
      <c r="W1825">
        <v>0</v>
      </c>
      <c r="X1825">
        <v>2</v>
      </c>
      <c r="Y1825">
        <v>0</v>
      </c>
      <c r="AA1825">
        <v>1</v>
      </c>
      <c r="AB1825">
        <v>8</v>
      </c>
      <c r="AC1825">
        <v>3</v>
      </c>
      <c r="AD1825">
        <v>0</v>
      </c>
      <c r="AE1825">
        <v>9</v>
      </c>
      <c r="AF1825" t="s">
        <v>138</v>
      </c>
      <c r="AG1825">
        <v>0</v>
      </c>
      <c r="AH1825">
        <v>3</v>
      </c>
      <c r="AI1825">
        <v>1</v>
      </c>
      <c r="AJ1825">
        <v>0</v>
      </c>
      <c r="AK1825" t="s">
        <v>656</v>
      </c>
      <c r="AL1825">
        <v>32.780993000000002</v>
      </c>
      <c r="AM1825" t="s">
        <v>657</v>
      </c>
      <c r="AN1825">
        <v>-116.858225</v>
      </c>
      <c r="AO1825">
        <v>25</v>
      </c>
      <c r="AP1825">
        <v>2900</v>
      </c>
      <c r="AQ1825" t="s">
        <v>129</v>
      </c>
      <c r="AR1825">
        <v>111</v>
      </c>
      <c r="AS1825">
        <v>-62</v>
      </c>
      <c r="AT1825">
        <v>-64</v>
      </c>
      <c r="BB1825">
        <v>1200</v>
      </c>
      <c r="BC1825">
        <v>1</v>
      </c>
      <c r="BD1825" t="str">
        <f t="shared" si="633"/>
        <v xml:space="preserve">N887QR  </v>
      </c>
      <c r="BE1825">
        <v>1</v>
      </c>
      <c r="BG1825">
        <v>0</v>
      </c>
      <c r="BH1825">
        <v>0</v>
      </c>
      <c r="BI1825">
        <v>0</v>
      </c>
      <c r="BJ1825">
        <v>2600</v>
      </c>
      <c r="BK1825">
        <v>-300</v>
      </c>
      <c r="BL1825" t="s">
        <v>163</v>
      </c>
      <c r="BM1825">
        <v>1</v>
      </c>
      <c r="BN1825">
        <v>1</v>
      </c>
      <c r="BO1825">
        <v>1</v>
      </c>
      <c r="BP1825">
        <v>0</v>
      </c>
      <c r="BS1825">
        <v>0</v>
      </c>
      <c r="BT1825">
        <v>0</v>
      </c>
      <c r="BU1825">
        <v>0</v>
      </c>
      <c r="CE1825" t="str">
        <f t="shared" si="644"/>
        <v>19:30:21.116</v>
      </c>
      <c r="CF1825">
        <v>115599200</v>
      </c>
      <c r="CS1825">
        <v>0</v>
      </c>
      <c r="CT1825">
        <v>2</v>
      </c>
      <c r="CU1825">
        <v>0</v>
      </c>
      <c r="CV1825">
        <v>2</v>
      </c>
      <c r="CW1825">
        <v>0</v>
      </c>
      <c r="CX1825">
        <v>5</v>
      </c>
      <c r="CY1825">
        <v>7</v>
      </c>
      <c r="CZ1825" t="s">
        <v>131</v>
      </c>
      <c r="DA1825">
        <v>286</v>
      </c>
      <c r="DB1825">
        <v>0</v>
      </c>
      <c r="DC1825" t="s">
        <v>132</v>
      </c>
      <c r="DD1825" t="s">
        <v>133</v>
      </c>
      <c r="DG1825">
        <v>829462</v>
      </c>
      <c r="DI1825">
        <v>1</v>
      </c>
      <c r="DJ1825">
        <v>0</v>
      </c>
      <c r="DK1825">
        <v>1</v>
      </c>
      <c r="DL1825">
        <v>0</v>
      </c>
      <c r="DM1825">
        <v>0</v>
      </c>
      <c r="DN1825">
        <v>1</v>
      </c>
      <c r="DO1825">
        <v>0</v>
      </c>
      <c r="DP1825">
        <v>0</v>
      </c>
      <c r="DQ1825">
        <v>0</v>
      </c>
      <c r="DR1825">
        <v>0</v>
      </c>
      <c r="DS1825">
        <v>0</v>
      </c>
    </row>
    <row r="1826" spans="1:123" x14ac:dyDescent="0.3">
      <c r="A1826" t="str">
        <f t="shared" si="642"/>
        <v>10/04/2022 19:30:21.353</v>
      </c>
      <c r="C1826" t="str">
        <f t="shared" si="629"/>
        <v>FFDFD3C0</v>
      </c>
      <c r="D1826" t="s">
        <v>123</v>
      </c>
      <c r="E1826">
        <v>7</v>
      </c>
      <c r="F1826">
        <v>2007</v>
      </c>
      <c r="G1826" t="s">
        <v>124</v>
      </c>
      <c r="J1826" t="s">
        <v>125</v>
      </c>
      <c r="K1826">
        <v>0</v>
      </c>
      <c r="L1826">
        <v>3</v>
      </c>
      <c r="M1826">
        <v>0</v>
      </c>
      <c r="N1826">
        <v>2</v>
      </c>
      <c r="O1826">
        <v>0</v>
      </c>
      <c r="P1826">
        <v>1</v>
      </c>
      <c r="Q1826">
        <v>0</v>
      </c>
      <c r="S1826" t="str">
        <f t="shared" si="643"/>
        <v>19:30:21.000</v>
      </c>
      <c r="T1826" t="str">
        <f t="shared" si="643"/>
        <v>19:30:21.000</v>
      </c>
      <c r="U1826" t="str">
        <f t="shared" si="632"/>
        <v>AC3944</v>
      </c>
      <c r="V1826">
        <v>0</v>
      </c>
      <c r="W1826">
        <v>0</v>
      </c>
      <c r="X1826">
        <v>2</v>
      </c>
      <c r="Y1826">
        <v>0</v>
      </c>
      <c r="AA1826">
        <v>1</v>
      </c>
      <c r="AB1826">
        <v>8</v>
      </c>
      <c r="AC1826">
        <v>3</v>
      </c>
      <c r="AD1826">
        <v>0</v>
      </c>
      <c r="AE1826">
        <v>9</v>
      </c>
      <c r="AF1826" t="s">
        <v>138</v>
      </c>
      <c r="AG1826">
        <v>0</v>
      </c>
      <c r="AH1826">
        <v>3</v>
      </c>
      <c r="AI1826">
        <v>1</v>
      </c>
      <c r="AJ1826">
        <v>0</v>
      </c>
      <c r="AK1826" t="s">
        <v>656</v>
      </c>
      <c r="AL1826">
        <v>32.780993000000002</v>
      </c>
      <c r="AM1826" t="s">
        <v>657</v>
      </c>
      <c r="AN1826">
        <v>-116.858225</v>
      </c>
      <c r="AO1826">
        <v>25</v>
      </c>
      <c r="AP1826">
        <v>2900</v>
      </c>
      <c r="AQ1826" t="s">
        <v>129</v>
      </c>
      <c r="AR1826">
        <v>111</v>
      </c>
      <c r="AS1826">
        <v>-62</v>
      </c>
      <c r="AT1826">
        <v>-64</v>
      </c>
      <c r="BB1826">
        <v>1200</v>
      </c>
      <c r="BC1826">
        <v>1</v>
      </c>
      <c r="BD1826" t="str">
        <f t="shared" si="633"/>
        <v xml:space="preserve">N887QR  </v>
      </c>
      <c r="BE1826">
        <v>1</v>
      </c>
      <c r="BG1826">
        <v>0</v>
      </c>
      <c r="BH1826">
        <v>0</v>
      </c>
      <c r="BI1826">
        <v>0</v>
      </c>
      <c r="BJ1826">
        <v>2600</v>
      </c>
      <c r="BK1826">
        <v>-300</v>
      </c>
      <c r="BL1826" t="s">
        <v>163</v>
      </c>
      <c r="BM1826">
        <v>1</v>
      </c>
      <c r="BN1826">
        <v>1</v>
      </c>
      <c r="BO1826">
        <v>1</v>
      </c>
      <c r="BP1826">
        <v>0</v>
      </c>
      <c r="BS1826">
        <v>0</v>
      </c>
      <c r="BT1826">
        <v>0</v>
      </c>
      <c r="BU1826">
        <v>0</v>
      </c>
      <c r="CE1826" t="str">
        <f t="shared" si="644"/>
        <v>19:30:21.116</v>
      </c>
      <c r="CF1826">
        <v>115599200</v>
      </c>
      <c r="CS1826">
        <v>0</v>
      </c>
      <c r="CT1826">
        <v>2</v>
      </c>
      <c r="CU1826">
        <v>0</v>
      </c>
      <c r="CV1826">
        <v>2</v>
      </c>
      <c r="CW1826">
        <v>0</v>
      </c>
      <c r="CX1826">
        <v>5</v>
      </c>
      <c r="CY1826">
        <v>7</v>
      </c>
      <c r="CZ1826" t="s">
        <v>131</v>
      </c>
      <c r="DA1826">
        <v>286</v>
      </c>
      <c r="DB1826">
        <v>0</v>
      </c>
      <c r="DC1826" t="s">
        <v>132</v>
      </c>
      <c r="DD1826" t="s">
        <v>133</v>
      </c>
      <c r="DG1826">
        <v>829462</v>
      </c>
      <c r="DI1826">
        <v>1</v>
      </c>
      <c r="DJ1826">
        <v>0</v>
      </c>
      <c r="DK1826">
        <v>1</v>
      </c>
      <c r="DL1826">
        <v>0</v>
      </c>
      <c r="DM1826">
        <v>0</v>
      </c>
      <c r="DN1826">
        <v>1</v>
      </c>
      <c r="DO1826">
        <v>0</v>
      </c>
      <c r="DP1826">
        <v>0</v>
      </c>
      <c r="DQ1826">
        <v>0</v>
      </c>
      <c r="DR1826">
        <v>0</v>
      </c>
      <c r="DS1826">
        <v>0</v>
      </c>
    </row>
    <row r="1827" spans="1:123" x14ac:dyDescent="0.3">
      <c r="A1827" t="str">
        <f t="shared" si="642"/>
        <v>10/04/2022 19:30:21.353</v>
      </c>
      <c r="C1827" t="str">
        <f t="shared" si="629"/>
        <v>FFDFD3C0</v>
      </c>
      <c r="D1827" t="s">
        <v>141</v>
      </c>
      <c r="E1827">
        <v>4</v>
      </c>
      <c r="H1827">
        <v>4</v>
      </c>
      <c r="I1827" t="s">
        <v>142</v>
      </c>
      <c r="J1827" t="s">
        <v>138</v>
      </c>
      <c r="K1827">
        <v>0</v>
      </c>
      <c r="L1827">
        <v>3</v>
      </c>
      <c r="M1827">
        <v>0</v>
      </c>
      <c r="N1827">
        <v>2</v>
      </c>
      <c r="O1827">
        <v>0</v>
      </c>
      <c r="P1827">
        <v>1</v>
      </c>
      <c r="Q1827">
        <v>0</v>
      </c>
      <c r="S1827" t="str">
        <f t="shared" si="643"/>
        <v>19:30:21.000</v>
      </c>
      <c r="T1827" t="str">
        <f t="shared" si="643"/>
        <v>19:30:21.000</v>
      </c>
      <c r="U1827" t="str">
        <f t="shared" si="632"/>
        <v>AC3944</v>
      </c>
      <c r="V1827">
        <v>0</v>
      </c>
      <c r="W1827">
        <v>0</v>
      </c>
      <c r="X1827">
        <v>2</v>
      </c>
      <c r="Y1827">
        <v>0</v>
      </c>
      <c r="AA1827">
        <v>1</v>
      </c>
      <c r="AB1827">
        <v>8</v>
      </c>
      <c r="AC1827">
        <v>3</v>
      </c>
      <c r="AD1827">
        <v>0</v>
      </c>
      <c r="AE1827">
        <v>9</v>
      </c>
      <c r="AF1827" t="s">
        <v>138</v>
      </c>
      <c r="AG1827">
        <v>0</v>
      </c>
      <c r="AH1827">
        <v>3</v>
      </c>
      <c r="AI1827">
        <v>1</v>
      </c>
      <c r="AJ1827">
        <v>0</v>
      </c>
      <c r="AK1827" t="s">
        <v>656</v>
      </c>
      <c r="AL1827">
        <v>32.780993000000002</v>
      </c>
      <c r="AM1827" t="s">
        <v>657</v>
      </c>
      <c r="AN1827">
        <v>-116.858225</v>
      </c>
      <c r="AO1827">
        <v>25</v>
      </c>
      <c r="AP1827">
        <v>2900</v>
      </c>
      <c r="AQ1827" t="s">
        <v>129</v>
      </c>
      <c r="AR1827">
        <v>111</v>
      </c>
      <c r="AS1827">
        <v>-62</v>
      </c>
      <c r="AT1827">
        <v>-64</v>
      </c>
      <c r="BB1827">
        <v>1200</v>
      </c>
      <c r="BC1827">
        <v>1</v>
      </c>
      <c r="BD1827" t="str">
        <f t="shared" si="633"/>
        <v xml:space="preserve">N887QR  </v>
      </c>
      <c r="BE1827">
        <v>1</v>
      </c>
      <c r="BG1827">
        <v>0</v>
      </c>
      <c r="BH1827">
        <v>0</v>
      </c>
      <c r="BI1827">
        <v>0</v>
      </c>
      <c r="BJ1827">
        <v>2600</v>
      </c>
      <c r="BK1827">
        <v>-300</v>
      </c>
      <c r="BL1827" t="s">
        <v>163</v>
      </c>
      <c r="BM1827">
        <v>1</v>
      </c>
      <c r="BN1827">
        <v>1</v>
      </c>
      <c r="BO1827">
        <v>1</v>
      </c>
      <c r="BP1827">
        <v>0</v>
      </c>
      <c r="BS1827">
        <v>0</v>
      </c>
      <c r="BT1827">
        <v>0</v>
      </c>
      <c r="BU1827">
        <v>0</v>
      </c>
      <c r="CE1827" t="str">
        <f t="shared" si="644"/>
        <v>19:30:21.116</v>
      </c>
      <c r="CF1827">
        <v>115599200</v>
      </c>
      <c r="CS1827">
        <v>0</v>
      </c>
      <c r="CT1827">
        <v>2</v>
      </c>
      <c r="CU1827">
        <v>0</v>
      </c>
      <c r="CV1827">
        <v>2</v>
      </c>
      <c r="CW1827">
        <v>0</v>
      </c>
      <c r="CX1827">
        <v>5</v>
      </c>
      <c r="CY1827">
        <v>7</v>
      </c>
      <c r="CZ1827" t="s">
        <v>131</v>
      </c>
      <c r="DA1827">
        <v>286</v>
      </c>
      <c r="DB1827">
        <v>0</v>
      </c>
      <c r="DC1827" t="s">
        <v>132</v>
      </c>
      <c r="DD1827" t="s">
        <v>133</v>
      </c>
      <c r="DG1827">
        <v>829462</v>
      </c>
      <c r="DI1827">
        <v>1</v>
      </c>
      <c r="DJ1827">
        <v>0</v>
      </c>
      <c r="DK1827">
        <v>1</v>
      </c>
      <c r="DL1827">
        <v>0</v>
      </c>
      <c r="DM1827">
        <v>0</v>
      </c>
      <c r="DN1827">
        <v>1</v>
      </c>
      <c r="DO1827">
        <v>0</v>
      </c>
      <c r="DP1827">
        <v>0</v>
      </c>
      <c r="DQ1827">
        <v>0</v>
      </c>
      <c r="DR1827">
        <v>0</v>
      </c>
      <c r="DS1827">
        <v>0</v>
      </c>
    </row>
    <row r="1828" spans="1:123" x14ac:dyDescent="0.3">
      <c r="A1828" t="str">
        <f t="shared" si="642"/>
        <v>10/04/2022 19:30:21.353</v>
      </c>
      <c r="C1828" t="str">
        <f t="shared" si="629"/>
        <v>FFDFD3C0</v>
      </c>
      <c r="D1828" t="s">
        <v>147</v>
      </c>
      <c r="E1828">
        <v>3</v>
      </c>
      <c r="H1828">
        <v>166</v>
      </c>
      <c r="I1828" t="s">
        <v>144</v>
      </c>
      <c r="J1828" t="s">
        <v>148</v>
      </c>
      <c r="K1828">
        <v>0</v>
      </c>
      <c r="L1828">
        <v>3</v>
      </c>
      <c r="M1828">
        <v>0</v>
      </c>
      <c r="N1828">
        <v>2</v>
      </c>
      <c r="O1828">
        <v>0</v>
      </c>
      <c r="P1828">
        <v>1</v>
      </c>
      <c r="Q1828">
        <v>0</v>
      </c>
      <c r="S1828" t="str">
        <f t="shared" si="643"/>
        <v>19:30:21.000</v>
      </c>
      <c r="T1828" t="str">
        <f t="shared" si="643"/>
        <v>19:30:21.000</v>
      </c>
      <c r="U1828" t="str">
        <f t="shared" si="632"/>
        <v>AC3944</v>
      </c>
      <c r="V1828">
        <v>0</v>
      </c>
      <c r="W1828">
        <v>0</v>
      </c>
      <c r="X1828">
        <v>2</v>
      </c>
      <c r="Y1828">
        <v>0</v>
      </c>
      <c r="AA1828">
        <v>1</v>
      </c>
      <c r="AB1828">
        <v>8</v>
      </c>
      <c r="AC1828">
        <v>3</v>
      </c>
      <c r="AD1828">
        <v>0</v>
      </c>
      <c r="AE1828">
        <v>9</v>
      </c>
      <c r="AF1828" t="s">
        <v>138</v>
      </c>
      <c r="AG1828">
        <v>0</v>
      </c>
      <c r="AH1828">
        <v>3</v>
      </c>
      <c r="AI1828">
        <v>1</v>
      </c>
      <c r="AJ1828">
        <v>0</v>
      </c>
      <c r="AK1828" t="s">
        <v>656</v>
      </c>
      <c r="AL1828">
        <v>32.780993000000002</v>
      </c>
      <c r="AM1828" t="s">
        <v>657</v>
      </c>
      <c r="AN1828">
        <v>-116.858225</v>
      </c>
      <c r="AO1828">
        <v>25</v>
      </c>
      <c r="AP1828">
        <v>2900</v>
      </c>
      <c r="AQ1828" t="s">
        <v>129</v>
      </c>
      <c r="AR1828">
        <v>111</v>
      </c>
      <c r="AS1828">
        <v>-62</v>
      </c>
      <c r="AT1828">
        <v>-64</v>
      </c>
      <c r="BB1828">
        <v>1200</v>
      </c>
      <c r="BC1828">
        <v>1</v>
      </c>
      <c r="BD1828" t="str">
        <f t="shared" si="633"/>
        <v xml:space="preserve">N887QR  </v>
      </c>
      <c r="BE1828">
        <v>1</v>
      </c>
      <c r="BG1828">
        <v>0</v>
      </c>
      <c r="BH1828">
        <v>0</v>
      </c>
      <c r="BI1828">
        <v>0</v>
      </c>
      <c r="BJ1828">
        <v>2600</v>
      </c>
      <c r="BK1828">
        <v>-300</v>
      </c>
      <c r="BL1828" t="s">
        <v>163</v>
      </c>
      <c r="BM1828">
        <v>1</v>
      </c>
      <c r="BN1828">
        <v>1</v>
      </c>
      <c r="BO1828">
        <v>1</v>
      </c>
      <c r="BP1828">
        <v>0</v>
      </c>
      <c r="BS1828">
        <v>0</v>
      </c>
      <c r="BT1828">
        <v>0</v>
      </c>
      <c r="BU1828">
        <v>0</v>
      </c>
      <c r="CE1828" t="str">
        <f t="shared" si="644"/>
        <v>19:30:21.116</v>
      </c>
      <c r="CF1828">
        <v>115599200</v>
      </c>
      <c r="CS1828">
        <v>0</v>
      </c>
      <c r="CT1828">
        <v>2</v>
      </c>
      <c r="CU1828">
        <v>0</v>
      </c>
      <c r="CV1828">
        <v>2</v>
      </c>
      <c r="CW1828">
        <v>0</v>
      </c>
      <c r="CX1828">
        <v>5</v>
      </c>
      <c r="CY1828">
        <v>7</v>
      </c>
      <c r="CZ1828" t="s">
        <v>131</v>
      </c>
      <c r="DA1828">
        <v>286</v>
      </c>
      <c r="DB1828">
        <v>0</v>
      </c>
      <c r="DC1828" t="s">
        <v>132</v>
      </c>
      <c r="DD1828" t="s">
        <v>133</v>
      </c>
      <c r="DG1828">
        <v>829462</v>
      </c>
      <c r="DI1828">
        <v>1</v>
      </c>
      <c r="DJ1828">
        <v>0</v>
      </c>
      <c r="DK1828">
        <v>1</v>
      </c>
      <c r="DL1828">
        <v>0</v>
      </c>
      <c r="DM1828">
        <v>0</v>
      </c>
      <c r="DN1828">
        <v>1</v>
      </c>
      <c r="DO1828">
        <v>0</v>
      </c>
      <c r="DP1828">
        <v>0</v>
      </c>
      <c r="DQ1828">
        <v>0</v>
      </c>
      <c r="DR1828">
        <v>0</v>
      </c>
      <c r="DS1828">
        <v>0</v>
      </c>
    </row>
    <row r="1829" spans="1:123" x14ac:dyDescent="0.3">
      <c r="A1829" t="str">
        <f>"10/04/2022 19:30:21.947"</f>
        <v>10/04/2022 19:30:21.947</v>
      </c>
      <c r="C1829" t="str">
        <f t="shared" si="629"/>
        <v>FFDFD3C0</v>
      </c>
      <c r="D1829" t="s">
        <v>141</v>
      </c>
      <c r="E1829">
        <v>4</v>
      </c>
      <c r="H1829">
        <v>4</v>
      </c>
      <c r="I1829" t="s">
        <v>142</v>
      </c>
      <c r="J1829" t="s">
        <v>138</v>
      </c>
      <c r="K1829">
        <v>0</v>
      </c>
      <c r="L1829">
        <v>3</v>
      </c>
      <c r="M1829">
        <v>0</v>
      </c>
      <c r="N1829">
        <v>2</v>
      </c>
      <c r="O1829">
        <v>0</v>
      </c>
      <c r="P1829">
        <v>1</v>
      </c>
      <c r="Q1829">
        <v>0</v>
      </c>
      <c r="S1829" t="str">
        <f t="shared" si="643"/>
        <v>19:30:21.000</v>
      </c>
      <c r="T1829" t="str">
        <f t="shared" si="643"/>
        <v>19:30:21.000</v>
      </c>
      <c r="U1829" t="str">
        <f t="shared" si="632"/>
        <v>AC3944</v>
      </c>
      <c r="V1829">
        <v>0</v>
      </c>
      <c r="W1829">
        <v>0</v>
      </c>
      <c r="X1829">
        <v>2</v>
      </c>
      <c r="Y1829">
        <v>0</v>
      </c>
      <c r="AA1829">
        <v>1</v>
      </c>
      <c r="AB1829">
        <v>8</v>
      </c>
      <c r="AC1829">
        <v>3</v>
      </c>
      <c r="AD1829">
        <v>0</v>
      </c>
      <c r="AE1829">
        <v>9</v>
      </c>
      <c r="AF1829" t="s">
        <v>138</v>
      </c>
      <c r="AG1829">
        <v>0</v>
      </c>
      <c r="AH1829">
        <v>3</v>
      </c>
      <c r="AI1829">
        <v>1</v>
      </c>
      <c r="AJ1829">
        <v>0</v>
      </c>
      <c r="AK1829" t="s">
        <v>658</v>
      </c>
      <c r="AL1829">
        <v>32.780714000000003</v>
      </c>
      <c r="AM1829" t="s">
        <v>659</v>
      </c>
      <c r="AN1829">
        <v>-116.857603</v>
      </c>
      <c r="AO1829">
        <v>25</v>
      </c>
      <c r="AP1829">
        <v>2900</v>
      </c>
      <c r="AQ1829" t="s">
        <v>129</v>
      </c>
      <c r="AR1829">
        <v>112</v>
      </c>
      <c r="AS1829">
        <v>-60</v>
      </c>
      <c r="AT1829">
        <v>-64</v>
      </c>
      <c r="BB1829">
        <v>1200</v>
      </c>
      <c r="BC1829">
        <v>1</v>
      </c>
      <c r="BD1829" t="str">
        <f t="shared" si="633"/>
        <v xml:space="preserve">N887QR  </v>
      </c>
      <c r="BE1829">
        <v>1</v>
      </c>
      <c r="BG1829">
        <v>0</v>
      </c>
      <c r="BH1829">
        <v>0</v>
      </c>
      <c r="BI1829">
        <v>0</v>
      </c>
      <c r="BJ1829">
        <v>2600</v>
      </c>
      <c r="BK1829">
        <v>-300</v>
      </c>
      <c r="BL1829" t="s">
        <v>163</v>
      </c>
      <c r="BM1829">
        <v>1</v>
      </c>
      <c r="BN1829">
        <v>1</v>
      </c>
      <c r="BO1829">
        <v>1</v>
      </c>
      <c r="BP1829">
        <v>0</v>
      </c>
      <c r="BS1829">
        <v>0</v>
      </c>
      <c r="BT1829">
        <v>0</v>
      </c>
      <c r="BU1829">
        <v>0</v>
      </c>
      <c r="CE1829" t="str">
        <f t="shared" ref="CE1829:CE1835" si="645">"19:30:21.746"</f>
        <v>19:30:21.746</v>
      </c>
      <c r="CF1829">
        <v>745873664</v>
      </c>
      <c r="CS1829">
        <v>0</v>
      </c>
      <c r="CT1829">
        <v>2</v>
      </c>
      <c r="CU1829">
        <v>0</v>
      </c>
      <c r="CV1829">
        <v>2</v>
      </c>
      <c r="CW1829">
        <v>0</v>
      </c>
      <c r="CX1829">
        <v>5</v>
      </c>
      <c r="CY1829">
        <v>7</v>
      </c>
      <c r="CZ1829" t="s">
        <v>131</v>
      </c>
      <c r="DA1829">
        <v>300</v>
      </c>
      <c r="DB1829">
        <v>0</v>
      </c>
      <c r="DC1829" t="s">
        <v>176</v>
      </c>
      <c r="DD1829" t="s">
        <v>177</v>
      </c>
      <c r="DG1829">
        <v>5395943</v>
      </c>
      <c r="DI1829">
        <v>1</v>
      </c>
      <c r="DJ1829">
        <v>0</v>
      </c>
      <c r="DK1829">
        <v>0</v>
      </c>
      <c r="DL1829">
        <v>0</v>
      </c>
      <c r="DM1829">
        <v>0</v>
      </c>
      <c r="DN1829">
        <v>1</v>
      </c>
      <c r="DO1829">
        <v>0</v>
      </c>
      <c r="DP1829">
        <v>0</v>
      </c>
      <c r="DQ1829">
        <v>0</v>
      </c>
      <c r="DR1829">
        <v>0</v>
      </c>
      <c r="DS1829">
        <v>0</v>
      </c>
    </row>
    <row r="1830" spans="1:123" x14ac:dyDescent="0.3">
      <c r="A1830" t="str">
        <f t="shared" ref="A1830:A1835" si="646">"10/04/2022 19:30:21.994"</f>
        <v>10/04/2022 19:30:21.994</v>
      </c>
      <c r="C1830" t="str">
        <f t="shared" si="629"/>
        <v>FFDFD3C0</v>
      </c>
      <c r="D1830" t="s">
        <v>147</v>
      </c>
      <c r="E1830">
        <v>3</v>
      </c>
      <c r="H1830">
        <v>166</v>
      </c>
      <c r="I1830" t="s">
        <v>144</v>
      </c>
      <c r="J1830" t="s">
        <v>148</v>
      </c>
      <c r="K1830">
        <v>0</v>
      </c>
      <c r="L1830">
        <v>3</v>
      </c>
      <c r="M1830">
        <v>0</v>
      </c>
      <c r="N1830">
        <v>2</v>
      </c>
      <c r="O1830">
        <v>0</v>
      </c>
      <c r="P1830">
        <v>1</v>
      </c>
      <c r="Q1830">
        <v>0</v>
      </c>
      <c r="S1830" t="str">
        <f t="shared" si="643"/>
        <v>19:30:21.000</v>
      </c>
      <c r="T1830" t="str">
        <f t="shared" si="643"/>
        <v>19:30:21.000</v>
      </c>
      <c r="U1830" t="str">
        <f t="shared" si="632"/>
        <v>AC3944</v>
      </c>
      <c r="V1830">
        <v>0</v>
      </c>
      <c r="W1830">
        <v>0</v>
      </c>
      <c r="X1830">
        <v>2</v>
      </c>
      <c r="Y1830">
        <v>0</v>
      </c>
      <c r="AA1830">
        <v>1</v>
      </c>
      <c r="AB1830">
        <v>8</v>
      </c>
      <c r="AC1830">
        <v>3</v>
      </c>
      <c r="AD1830">
        <v>0</v>
      </c>
      <c r="AE1830">
        <v>9</v>
      </c>
      <c r="AF1830" t="s">
        <v>138</v>
      </c>
      <c r="AG1830">
        <v>0</v>
      </c>
      <c r="AH1830">
        <v>3</v>
      </c>
      <c r="AI1830">
        <v>1</v>
      </c>
      <c r="AJ1830">
        <v>0</v>
      </c>
      <c r="AK1830" t="s">
        <v>658</v>
      </c>
      <c r="AL1830">
        <v>32.780714000000003</v>
      </c>
      <c r="AM1830" t="s">
        <v>659</v>
      </c>
      <c r="AN1830">
        <v>-116.857603</v>
      </c>
      <c r="AO1830">
        <v>25</v>
      </c>
      <c r="AP1830">
        <v>2900</v>
      </c>
      <c r="AQ1830" t="s">
        <v>129</v>
      </c>
      <c r="AR1830">
        <v>112</v>
      </c>
      <c r="AS1830">
        <v>-60</v>
      </c>
      <c r="AT1830">
        <v>-64</v>
      </c>
      <c r="BB1830">
        <v>1200</v>
      </c>
      <c r="BC1830">
        <v>1</v>
      </c>
      <c r="BD1830" t="str">
        <f t="shared" si="633"/>
        <v xml:space="preserve">N887QR  </v>
      </c>
      <c r="BE1830">
        <v>1</v>
      </c>
      <c r="BG1830">
        <v>0</v>
      </c>
      <c r="BH1830">
        <v>0</v>
      </c>
      <c r="BI1830">
        <v>0</v>
      </c>
      <c r="BJ1830">
        <v>2600</v>
      </c>
      <c r="BK1830">
        <v>-300</v>
      </c>
      <c r="BL1830" t="s">
        <v>163</v>
      </c>
      <c r="BM1830">
        <v>1</v>
      </c>
      <c r="BN1830">
        <v>1</v>
      </c>
      <c r="BO1830">
        <v>1</v>
      </c>
      <c r="BP1830">
        <v>0</v>
      </c>
      <c r="BS1830">
        <v>0</v>
      </c>
      <c r="BT1830">
        <v>0</v>
      </c>
      <c r="BU1830">
        <v>0</v>
      </c>
      <c r="CE1830" t="str">
        <f t="shared" si="645"/>
        <v>19:30:21.746</v>
      </c>
      <c r="CF1830">
        <v>745873664</v>
      </c>
      <c r="CS1830">
        <v>0</v>
      </c>
      <c r="CT1830">
        <v>2</v>
      </c>
      <c r="CU1830">
        <v>0</v>
      </c>
      <c r="CV1830">
        <v>2</v>
      </c>
      <c r="CW1830">
        <v>0</v>
      </c>
      <c r="CX1830">
        <v>5</v>
      </c>
      <c r="CY1830">
        <v>7</v>
      </c>
      <c r="CZ1830" t="s">
        <v>131</v>
      </c>
      <c r="DA1830">
        <v>300</v>
      </c>
      <c r="DB1830">
        <v>0</v>
      </c>
      <c r="DC1830" t="s">
        <v>176</v>
      </c>
      <c r="DD1830" t="s">
        <v>177</v>
      </c>
      <c r="DG1830">
        <v>5395943</v>
      </c>
      <c r="DI1830">
        <v>1</v>
      </c>
      <c r="DJ1830">
        <v>0</v>
      </c>
      <c r="DK1830">
        <v>1</v>
      </c>
      <c r="DL1830">
        <v>0</v>
      </c>
      <c r="DM1830">
        <v>0</v>
      </c>
      <c r="DN1830">
        <v>1</v>
      </c>
      <c r="DO1830">
        <v>0</v>
      </c>
      <c r="DP1830">
        <v>0</v>
      </c>
      <c r="DQ1830">
        <v>0</v>
      </c>
      <c r="DR1830">
        <v>0</v>
      </c>
      <c r="DS1830">
        <v>0</v>
      </c>
    </row>
    <row r="1831" spans="1:123" x14ac:dyDescent="0.3">
      <c r="A1831" t="str">
        <f t="shared" si="646"/>
        <v>10/04/2022 19:30:21.994</v>
      </c>
      <c r="C1831" t="str">
        <f t="shared" si="629"/>
        <v>FFDFD3C0</v>
      </c>
      <c r="D1831" t="s">
        <v>134</v>
      </c>
      <c r="E1831">
        <v>15</v>
      </c>
      <c r="J1831" t="s">
        <v>135</v>
      </c>
      <c r="K1831">
        <v>0</v>
      </c>
      <c r="L1831">
        <v>3</v>
      </c>
      <c r="M1831">
        <v>0</v>
      </c>
      <c r="N1831">
        <v>2</v>
      </c>
      <c r="O1831">
        <v>0</v>
      </c>
      <c r="P1831">
        <v>1</v>
      </c>
      <c r="Q1831">
        <v>0</v>
      </c>
      <c r="S1831" t="str">
        <f t="shared" si="643"/>
        <v>19:30:21.000</v>
      </c>
      <c r="T1831" t="str">
        <f t="shared" si="643"/>
        <v>19:30:21.000</v>
      </c>
      <c r="U1831" t="str">
        <f t="shared" si="632"/>
        <v>AC3944</v>
      </c>
      <c r="V1831">
        <v>0</v>
      </c>
      <c r="W1831">
        <v>0</v>
      </c>
      <c r="X1831">
        <v>2</v>
      </c>
      <c r="Y1831">
        <v>0</v>
      </c>
      <c r="AA1831">
        <v>1</v>
      </c>
      <c r="AB1831">
        <v>8</v>
      </c>
      <c r="AC1831">
        <v>3</v>
      </c>
      <c r="AD1831">
        <v>0</v>
      </c>
      <c r="AE1831">
        <v>9</v>
      </c>
      <c r="AF1831" t="s">
        <v>138</v>
      </c>
      <c r="AG1831">
        <v>0</v>
      </c>
      <c r="AH1831">
        <v>3</v>
      </c>
      <c r="AI1831">
        <v>1</v>
      </c>
      <c r="AJ1831">
        <v>0</v>
      </c>
      <c r="AK1831" t="s">
        <v>658</v>
      </c>
      <c r="AL1831">
        <v>32.780714000000003</v>
      </c>
      <c r="AM1831" t="s">
        <v>659</v>
      </c>
      <c r="AN1831">
        <v>-116.857603</v>
      </c>
      <c r="AO1831">
        <v>25</v>
      </c>
      <c r="AP1831">
        <v>2900</v>
      </c>
      <c r="AQ1831" t="s">
        <v>129</v>
      </c>
      <c r="AR1831">
        <v>112</v>
      </c>
      <c r="AS1831">
        <v>-60</v>
      </c>
      <c r="AT1831">
        <v>-64</v>
      </c>
      <c r="BB1831">
        <v>1200</v>
      </c>
      <c r="BC1831">
        <v>1</v>
      </c>
      <c r="BD1831" t="str">
        <f t="shared" si="633"/>
        <v xml:space="preserve">N887QR  </v>
      </c>
      <c r="BE1831">
        <v>1</v>
      </c>
      <c r="BG1831">
        <v>0</v>
      </c>
      <c r="BH1831">
        <v>0</v>
      </c>
      <c r="BI1831">
        <v>0</v>
      </c>
      <c r="BJ1831">
        <v>2600</v>
      </c>
      <c r="BK1831">
        <v>-300</v>
      </c>
      <c r="BL1831" t="s">
        <v>163</v>
      </c>
      <c r="BM1831">
        <v>1</v>
      </c>
      <c r="BN1831">
        <v>1</v>
      </c>
      <c r="BO1831">
        <v>1</v>
      </c>
      <c r="BP1831">
        <v>0</v>
      </c>
      <c r="BS1831">
        <v>0</v>
      </c>
      <c r="BT1831">
        <v>0</v>
      </c>
      <c r="BU1831">
        <v>0</v>
      </c>
      <c r="CE1831" t="str">
        <f t="shared" si="645"/>
        <v>19:30:21.746</v>
      </c>
      <c r="CF1831">
        <v>745873664</v>
      </c>
      <c r="CS1831">
        <v>0</v>
      </c>
      <c r="CT1831">
        <v>2</v>
      </c>
      <c r="CU1831">
        <v>0</v>
      </c>
      <c r="CV1831">
        <v>2</v>
      </c>
      <c r="CW1831">
        <v>0</v>
      </c>
      <c r="CX1831">
        <v>5</v>
      </c>
      <c r="CY1831">
        <v>7</v>
      </c>
      <c r="CZ1831" t="s">
        <v>131</v>
      </c>
      <c r="DA1831">
        <v>300</v>
      </c>
      <c r="DB1831">
        <v>0</v>
      </c>
      <c r="DC1831" t="s">
        <v>176</v>
      </c>
      <c r="DD1831" t="s">
        <v>177</v>
      </c>
      <c r="DG1831">
        <v>5395943</v>
      </c>
      <c r="DI1831">
        <v>1</v>
      </c>
      <c r="DJ1831">
        <v>0</v>
      </c>
      <c r="DK1831">
        <v>1</v>
      </c>
      <c r="DL1831">
        <v>0</v>
      </c>
      <c r="DM1831">
        <v>0</v>
      </c>
      <c r="DN1831">
        <v>1</v>
      </c>
      <c r="DO1831">
        <v>0</v>
      </c>
      <c r="DP1831">
        <v>0</v>
      </c>
      <c r="DQ1831">
        <v>0</v>
      </c>
      <c r="DR1831">
        <v>0</v>
      </c>
      <c r="DS1831">
        <v>0</v>
      </c>
    </row>
    <row r="1832" spans="1:123" x14ac:dyDescent="0.3">
      <c r="A1832" t="str">
        <f t="shared" si="646"/>
        <v>10/04/2022 19:30:21.994</v>
      </c>
      <c r="C1832" t="str">
        <f t="shared" si="629"/>
        <v>FFDFD3C0</v>
      </c>
      <c r="D1832" t="s">
        <v>143</v>
      </c>
      <c r="E1832">
        <v>20</v>
      </c>
      <c r="F1832">
        <v>1020</v>
      </c>
      <c r="G1832" t="s">
        <v>144</v>
      </c>
      <c r="J1832" t="s">
        <v>145</v>
      </c>
      <c r="K1832">
        <v>0</v>
      </c>
      <c r="L1832">
        <v>3</v>
      </c>
      <c r="M1832">
        <v>0</v>
      </c>
      <c r="N1832">
        <v>2</v>
      </c>
      <c r="O1832">
        <v>0</v>
      </c>
      <c r="P1832">
        <v>1</v>
      </c>
      <c r="Q1832">
        <v>0</v>
      </c>
      <c r="S1832" t="str">
        <f t="shared" si="643"/>
        <v>19:30:21.000</v>
      </c>
      <c r="T1832" t="str">
        <f t="shared" si="643"/>
        <v>19:30:21.000</v>
      </c>
      <c r="U1832" t="str">
        <f t="shared" si="632"/>
        <v>AC3944</v>
      </c>
      <c r="V1832">
        <v>0</v>
      </c>
      <c r="W1832">
        <v>0</v>
      </c>
      <c r="X1832">
        <v>2</v>
      </c>
      <c r="Y1832">
        <v>0</v>
      </c>
      <c r="AA1832">
        <v>1</v>
      </c>
      <c r="AB1832">
        <v>8</v>
      </c>
      <c r="AC1832">
        <v>3</v>
      </c>
      <c r="AD1832">
        <v>0</v>
      </c>
      <c r="AE1832">
        <v>9</v>
      </c>
      <c r="AF1832" t="s">
        <v>138</v>
      </c>
      <c r="AG1832">
        <v>0</v>
      </c>
      <c r="AH1832">
        <v>3</v>
      </c>
      <c r="AI1832">
        <v>1</v>
      </c>
      <c r="AJ1832">
        <v>0</v>
      </c>
      <c r="AK1832" t="s">
        <v>658</v>
      </c>
      <c r="AL1832">
        <v>32.780714000000003</v>
      </c>
      <c r="AM1832" t="s">
        <v>659</v>
      </c>
      <c r="AN1832">
        <v>-116.857603</v>
      </c>
      <c r="AO1832">
        <v>25</v>
      </c>
      <c r="AP1832">
        <v>2900</v>
      </c>
      <c r="AQ1832" t="s">
        <v>129</v>
      </c>
      <c r="AR1832">
        <v>112</v>
      </c>
      <c r="AS1832">
        <v>-60</v>
      </c>
      <c r="AT1832">
        <v>-64</v>
      </c>
      <c r="BB1832">
        <v>1200</v>
      </c>
      <c r="BC1832">
        <v>1</v>
      </c>
      <c r="BD1832" t="str">
        <f t="shared" si="633"/>
        <v xml:space="preserve">N887QR  </v>
      </c>
      <c r="BE1832">
        <v>1</v>
      </c>
      <c r="BG1832">
        <v>0</v>
      </c>
      <c r="BH1832">
        <v>0</v>
      </c>
      <c r="BI1832">
        <v>0</v>
      </c>
      <c r="BJ1832">
        <v>2600</v>
      </c>
      <c r="BK1832">
        <v>-300</v>
      </c>
      <c r="BL1832" t="s">
        <v>163</v>
      </c>
      <c r="BM1832">
        <v>1</v>
      </c>
      <c r="BN1832">
        <v>1</v>
      </c>
      <c r="BO1832">
        <v>1</v>
      </c>
      <c r="BP1832">
        <v>0</v>
      </c>
      <c r="BS1832">
        <v>0</v>
      </c>
      <c r="BT1832">
        <v>0</v>
      </c>
      <c r="BU1832">
        <v>0</v>
      </c>
      <c r="CE1832" t="str">
        <f t="shared" si="645"/>
        <v>19:30:21.746</v>
      </c>
      <c r="CF1832">
        <v>745873664</v>
      </c>
      <c r="CS1832">
        <v>0</v>
      </c>
      <c r="CT1832">
        <v>2</v>
      </c>
      <c r="CU1832">
        <v>0</v>
      </c>
      <c r="CV1832">
        <v>2</v>
      </c>
      <c r="CW1832">
        <v>0</v>
      </c>
      <c r="CX1832">
        <v>5</v>
      </c>
      <c r="CY1832">
        <v>7</v>
      </c>
      <c r="CZ1832" t="s">
        <v>131</v>
      </c>
      <c r="DA1832">
        <v>300</v>
      </c>
      <c r="DB1832">
        <v>0</v>
      </c>
      <c r="DC1832" t="s">
        <v>176</v>
      </c>
      <c r="DD1832" t="s">
        <v>177</v>
      </c>
      <c r="DG1832">
        <v>5395943</v>
      </c>
      <c r="DI1832">
        <v>1</v>
      </c>
      <c r="DJ1832">
        <v>0</v>
      </c>
      <c r="DK1832">
        <v>1</v>
      </c>
      <c r="DL1832">
        <v>0</v>
      </c>
      <c r="DM1832">
        <v>0</v>
      </c>
      <c r="DN1832">
        <v>1</v>
      </c>
      <c r="DO1832">
        <v>0</v>
      </c>
      <c r="DP1832">
        <v>0</v>
      </c>
      <c r="DQ1832">
        <v>0</v>
      </c>
      <c r="DR1832">
        <v>0</v>
      </c>
      <c r="DS1832">
        <v>0</v>
      </c>
    </row>
    <row r="1833" spans="1:123" x14ac:dyDescent="0.3">
      <c r="A1833" t="str">
        <f t="shared" si="646"/>
        <v>10/04/2022 19:30:21.994</v>
      </c>
      <c r="C1833" t="str">
        <f t="shared" si="629"/>
        <v>FFDFD3C0</v>
      </c>
      <c r="D1833" t="s">
        <v>141</v>
      </c>
      <c r="E1833">
        <v>3</v>
      </c>
      <c r="H1833">
        <v>3</v>
      </c>
      <c r="I1833" t="s">
        <v>146</v>
      </c>
      <c r="J1833" t="s">
        <v>138</v>
      </c>
      <c r="K1833">
        <v>0</v>
      </c>
      <c r="L1833">
        <v>3</v>
      </c>
      <c r="M1833">
        <v>0</v>
      </c>
      <c r="N1833">
        <v>2</v>
      </c>
      <c r="O1833">
        <v>0</v>
      </c>
      <c r="P1833">
        <v>1</v>
      </c>
      <c r="Q1833">
        <v>0</v>
      </c>
      <c r="S1833" t="str">
        <f t="shared" si="643"/>
        <v>19:30:21.000</v>
      </c>
      <c r="T1833" t="str">
        <f t="shared" si="643"/>
        <v>19:30:21.000</v>
      </c>
      <c r="U1833" t="str">
        <f t="shared" si="632"/>
        <v>AC3944</v>
      </c>
      <c r="V1833">
        <v>0</v>
      </c>
      <c r="W1833">
        <v>0</v>
      </c>
      <c r="X1833">
        <v>2</v>
      </c>
      <c r="Y1833">
        <v>0</v>
      </c>
      <c r="AA1833">
        <v>1</v>
      </c>
      <c r="AB1833">
        <v>8</v>
      </c>
      <c r="AC1833">
        <v>3</v>
      </c>
      <c r="AD1833">
        <v>0</v>
      </c>
      <c r="AE1833">
        <v>9</v>
      </c>
      <c r="AF1833" t="s">
        <v>138</v>
      </c>
      <c r="AG1833">
        <v>0</v>
      </c>
      <c r="AH1833">
        <v>3</v>
      </c>
      <c r="AI1833">
        <v>1</v>
      </c>
      <c r="AJ1833">
        <v>0</v>
      </c>
      <c r="AK1833" t="s">
        <v>658</v>
      </c>
      <c r="AL1833">
        <v>32.780714000000003</v>
      </c>
      <c r="AM1833" t="s">
        <v>659</v>
      </c>
      <c r="AN1833">
        <v>-116.857603</v>
      </c>
      <c r="AO1833">
        <v>25</v>
      </c>
      <c r="AP1833">
        <v>2900</v>
      </c>
      <c r="AQ1833" t="s">
        <v>129</v>
      </c>
      <c r="AR1833">
        <v>112</v>
      </c>
      <c r="AS1833">
        <v>-60</v>
      </c>
      <c r="AT1833">
        <v>-64</v>
      </c>
      <c r="BB1833">
        <v>1200</v>
      </c>
      <c r="BC1833">
        <v>1</v>
      </c>
      <c r="BD1833" t="str">
        <f t="shared" si="633"/>
        <v xml:space="preserve">N887QR  </v>
      </c>
      <c r="BE1833">
        <v>1</v>
      </c>
      <c r="BG1833">
        <v>0</v>
      </c>
      <c r="BH1833">
        <v>0</v>
      </c>
      <c r="BI1833">
        <v>0</v>
      </c>
      <c r="BJ1833">
        <v>2600</v>
      </c>
      <c r="BK1833">
        <v>-300</v>
      </c>
      <c r="BL1833" t="s">
        <v>163</v>
      </c>
      <c r="BM1833">
        <v>1</v>
      </c>
      <c r="BN1833">
        <v>1</v>
      </c>
      <c r="BO1833">
        <v>1</v>
      </c>
      <c r="BP1833">
        <v>0</v>
      </c>
      <c r="BS1833">
        <v>0</v>
      </c>
      <c r="BT1833">
        <v>0</v>
      </c>
      <c r="BU1833">
        <v>0</v>
      </c>
      <c r="CE1833" t="str">
        <f t="shared" si="645"/>
        <v>19:30:21.746</v>
      </c>
      <c r="CF1833">
        <v>745873664</v>
      </c>
      <c r="CS1833">
        <v>0</v>
      </c>
      <c r="CT1833">
        <v>2</v>
      </c>
      <c r="CU1833">
        <v>0</v>
      </c>
      <c r="CV1833">
        <v>2</v>
      </c>
      <c r="CW1833">
        <v>0</v>
      </c>
      <c r="CX1833">
        <v>5</v>
      </c>
      <c r="CY1833">
        <v>7</v>
      </c>
      <c r="CZ1833" t="s">
        <v>131</v>
      </c>
      <c r="DA1833">
        <v>300</v>
      </c>
      <c r="DB1833">
        <v>0</v>
      </c>
      <c r="DC1833" t="s">
        <v>176</v>
      </c>
      <c r="DD1833" t="s">
        <v>177</v>
      </c>
      <c r="DG1833">
        <v>5395943</v>
      </c>
      <c r="DI1833">
        <v>1</v>
      </c>
      <c r="DJ1833">
        <v>0</v>
      </c>
      <c r="DK1833">
        <v>1</v>
      </c>
      <c r="DL1833">
        <v>0</v>
      </c>
      <c r="DM1833">
        <v>0</v>
      </c>
      <c r="DN1833">
        <v>1</v>
      </c>
      <c r="DO1833">
        <v>0</v>
      </c>
      <c r="DP1833">
        <v>0</v>
      </c>
      <c r="DQ1833">
        <v>0</v>
      </c>
      <c r="DR1833">
        <v>0</v>
      </c>
      <c r="DS1833">
        <v>0</v>
      </c>
    </row>
    <row r="1834" spans="1:123" x14ac:dyDescent="0.3">
      <c r="A1834" t="str">
        <f t="shared" si="646"/>
        <v>10/04/2022 19:30:21.994</v>
      </c>
      <c r="C1834" t="str">
        <f t="shared" si="629"/>
        <v>FFDFD3C0</v>
      </c>
      <c r="D1834" t="s">
        <v>136</v>
      </c>
      <c r="E1834">
        <v>8</v>
      </c>
      <c r="H1834">
        <v>225</v>
      </c>
      <c r="I1834" t="s">
        <v>137</v>
      </c>
      <c r="J1834" t="s">
        <v>138</v>
      </c>
      <c r="K1834">
        <v>0</v>
      </c>
      <c r="L1834">
        <v>3</v>
      </c>
      <c r="M1834">
        <v>0</v>
      </c>
      <c r="N1834">
        <v>2</v>
      </c>
      <c r="O1834">
        <v>0</v>
      </c>
      <c r="P1834">
        <v>1</v>
      </c>
      <c r="Q1834">
        <v>0</v>
      </c>
      <c r="S1834" t="str">
        <f t="shared" si="643"/>
        <v>19:30:21.000</v>
      </c>
      <c r="T1834" t="str">
        <f t="shared" si="643"/>
        <v>19:30:21.000</v>
      </c>
      <c r="U1834" t="str">
        <f t="shared" si="632"/>
        <v>AC3944</v>
      </c>
      <c r="V1834">
        <v>0</v>
      </c>
      <c r="W1834">
        <v>0</v>
      </c>
      <c r="X1834">
        <v>2</v>
      </c>
      <c r="Y1834">
        <v>0</v>
      </c>
      <c r="AA1834">
        <v>1</v>
      </c>
      <c r="AB1834">
        <v>8</v>
      </c>
      <c r="AC1834">
        <v>3</v>
      </c>
      <c r="AD1834">
        <v>0</v>
      </c>
      <c r="AE1834">
        <v>9</v>
      </c>
      <c r="AF1834" t="s">
        <v>138</v>
      </c>
      <c r="AG1834">
        <v>0</v>
      </c>
      <c r="AH1834">
        <v>3</v>
      </c>
      <c r="AI1834">
        <v>1</v>
      </c>
      <c r="AJ1834">
        <v>0</v>
      </c>
      <c r="AK1834" t="s">
        <v>658</v>
      </c>
      <c r="AL1834">
        <v>32.780714000000003</v>
      </c>
      <c r="AM1834" t="s">
        <v>659</v>
      </c>
      <c r="AN1834">
        <v>-116.857603</v>
      </c>
      <c r="AO1834">
        <v>25</v>
      </c>
      <c r="AP1834">
        <v>2900</v>
      </c>
      <c r="AQ1834" t="s">
        <v>129</v>
      </c>
      <c r="AR1834">
        <v>112</v>
      </c>
      <c r="AS1834">
        <v>-60</v>
      </c>
      <c r="AT1834">
        <v>-64</v>
      </c>
      <c r="BB1834">
        <v>1200</v>
      </c>
      <c r="BC1834">
        <v>1</v>
      </c>
      <c r="BD1834" t="str">
        <f t="shared" si="633"/>
        <v xml:space="preserve">N887QR  </v>
      </c>
      <c r="BE1834">
        <v>1</v>
      </c>
      <c r="BG1834">
        <v>0</v>
      </c>
      <c r="BH1834">
        <v>0</v>
      </c>
      <c r="BI1834">
        <v>0</v>
      </c>
      <c r="BJ1834">
        <v>2600</v>
      </c>
      <c r="BK1834">
        <v>-300</v>
      </c>
      <c r="BL1834" t="s">
        <v>163</v>
      </c>
      <c r="BM1834">
        <v>1</v>
      </c>
      <c r="BN1834">
        <v>1</v>
      </c>
      <c r="BO1834">
        <v>1</v>
      </c>
      <c r="BP1834">
        <v>0</v>
      </c>
      <c r="BS1834">
        <v>0</v>
      </c>
      <c r="BT1834">
        <v>0</v>
      </c>
      <c r="BU1834">
        <v>0</v>
      </c>
      <c r="CE1834" t="str">
        <f t="shared" si="645"/>
        <v>19:30:21.746</v>
      </c>
      <c r="CF1834">
        <v>745873664</v>
      </c>
      <c r="CS1834">
        <v>0</v>
      </c>
      <c r="CT1834">
        <v>2</v>
      </c>
      <c r="CU1834">
        <v>0</v>
      </c>
      <c r="CV1834">
        <v>2</v>
      </c>
      <c r="CW1834">
        <v>0</v>
      </c>
      <c r="CX1834">
        <v>5</v>
      </c>
      <c r="CY1834">
        <v>7</v>
      </c>
      <c r="CZ1834" t="s">
        <v>131</v>
      </c>
      <c r="DA1834">
        <v>300</v>
      </c>
      <c r="DB1834">
        <v>0</v>
      </c>
      <c r="DC1834" t="s">
        <v>176</v>
      </c>
      <c r="DD1834" t="s">
        <v>177</v>
      </c>
      <c r="DG1834">
        <v>5395943</v>
      </c>
      <c r="DI1834">
        <v>1</v>
      </c>
      <c r="DJ1834">
        <v>0</v>
      </c>
      <c r="DK1834">
        <v>1</v>
      </c>
      <c r="DL1834">
        <v>0</v>
      </c>
      <c r="DM1834">
        <v>0</v>
      </c>
      <c r="DN1834">
        <v>1</v>
      </c>
      <c r="DO1834">
        <v>0</v>
      </c>
      <c r="DP1834">
        <v>0</v>
      </c>
      <c r="DQ1834">
        <v>0</v>
      </c>
      <c r="DR1834">
        <v>0</v>
      </c>
      <c r="DS1834">
        <v>0</v>
      </c>
    </row>
    <row r="1835" spans="1:123" x14ac:dyDescent="0.3">
      <c r="A1835" t="str">
        <f t="shared" si="646"/>
        <v>10/04/2022 19:30:21.994</v>
      </c>
      <c r="C1835" t="str">
        <f t="shared" si="629"/>
        <v>FFDFD3C0</v>
      </c>
      <c r="D1835" t="s">
        <v>123</v>
      </c>
      <c r="E1835">
        <v>7</v>
      </c>
      <c r="F1835">
        <v>2007</v>
      </c>
      <c r="G1835" t="s">
        <v>124</v>
      </c>
      <c r="J1835" t="s">
        <v>125</v>
      </c>
      <c r="K1835">
        <v>0</v>
      </c>
      <c r="L1835">
        <v>3</v>
      </c>
      <c r="M1835">
        <v>0</v>
      </c>
      <c r="N1835">
        <v>2</v>
      </c>
      <c r="O1835">
        <v>0</v>
      </c>
      <c r="P1835">
        <v>1</v>
      </c>
      <c r="Q1835">
        <v>0</v>
      </c>
      <c r="S1835" t="str">
        <f t="shared" si="643"/>
        <v>19:30:21.000</v>
      </c>
      <c r="T1835" t="str">
        <f t="shared" si="643"/>
        <v>19:30:21.000</v>
      </c>
      <c r="U1835" t="str">
        <f t="shared" si="632"/>
        <v>AC3944</v>
      </c>
      <c r="V1835">
        <v>0</v>
      </c>
      <c r="W1835">
        <v>0</v>
      </c>
      <c r="X1835">
        <v>2</v>
      </c>
      <c r="Y1835">
        <v>0</v>
      </c>
      <c r="AA1835">
        <v>1</v>
      </c>
      <c r="AB1835">
        <v>8</v>
      </c>
      <c r="AC1835">
        <v>3</v>
      </c>
      <c r="AD1835">
        <v>0</v>
      </c>
      <c r="AE1835">
        <v>9</v>
      </c>
      <c r="AF1835" t="s">
        <v>138</v>
      </c>
      <c r="AG1835">
        <v>0</v>
      </c>
      <c r="AH1835">
        <v>3</v>
      </c>
      <c r="AI1835">
        <v>1</v>
      </c>
      <c r="AJ1835">
        <v>0</v>
      </c>
      <c r="AK1835" t="s">
        <v>658</v>
      </c>
      <c r="AL1835">
        <v>32.780714000000003</v>
      </c>
      <c r="AM1835" t="s">
        <v>659</v>
      </c>
      <c r="AN1835">
        <v>-116.857603</v>
      </c>
      <c r="AO1835">
        <v>25</v>
      </c>
      <c r="AP1835">
        <v>2900</v>
      </c>
      <c r="AQ1835" t="s">
        <v>129</v>
      </c>
      <c r="AR1835">
        <v>112</v>
      </c>
      <c r="AS1835">
        <v>-60</v>
      </c>
      <c r="AT1835">
        <v>-64</v>
      </c>
      <c r="BB1835">
        <v>1200</v>
      </c>
      <c r="BC1835">
        <v>1</v>
      </c>
      <c r="BD1835" t="str">
        <f t="shared" si="633"/>
        <v xml:space="preserve">N887QR  </v>
      </c>
      <c r="BE1835">
        <v>1</v>
      </c>
      <c r="BG1835">
        <v>0</v>
      </c>
      <c r="BH1835">
        <v>0</v>
      </c>
      <c r="BI1835">
        <v>0</v>
      </c>
      <c r="BJ1835">
        <v>2600</v>
      </c>
      <c r="BK1835">
        <v>-300</v>
      </c>
      <c r="BL1835" t="s">
        <v>163</v>
      </c>
      <c r="BM1835">
        <v>1</v>
      </c>
      <c r="BN1835">
        <v>1</v>
      </c>
      <c r="BO1835">
        <v>1</v>
      </c>
      <c r="BP1835">
        <v>0</v>
      </c>
      <c r="BS1835">
        <v>0</v>
      </c>
      <c r="BT1835">
        <v>0</v>
      </c>
      <c r="BU1835">
        <v>0</v>
      </c>
      <c r="CE1835" t="str">
        <f t="shared" si="645"/>
        <v>19:30:21.746</v>
      </c>
      <c r="CF1835">
        <v>745873664</v>
      </c>
      <c r="CS1835">
        <v>0</v>
      </c>
      <c r="CT1835">
        <v>2</v>
      </c>
      <c r="CU1835">
        <v>0</v>
      </c>
      <c r="CV1835">
        <v>2</v>
      </c>
      <c r="CW1835">
        <v>0</v>
      </c>
      <c r="CX1835">
        <v>5</v>
      </c>
      <c r="CY1835">
        <v>7</v>
      </c>
      <c r="CZ1835" t="s">
        <v>131</v>
      </c>
      <c r="DA1835">
        <v>300</v>
      </c>
      <c r="DB1835">
        <v>0</v>
      </c>
      <c r="DC1835" t="s">
        <v>176</v>
      </c>
      <c r="DD1835" t="s">
        <v>177</v>
      </c>
      <c r="DG1835">
        <v>5395943</v>
      </c>
      <c r="DI1835">
        <v>1</v>
      </c>
      <c r="DJ1835">
        <v>0</v>
      </c>
      <c r="DK1835">
        <v>1</v>
      </c>
      <c r="DL1835">
        <v>0</v>
      </c>
      <c r="DM1835">
        <v>0</v>
      </c>
      <c r="DN1835">
        <v>1</v>
      </c>
      <c r="DO1835">
        <v>0</v>
      </c>
      <c r="DP1835">
        <v>0</v>
      </c>
      <c r="DQ1835">
        <v>0</v>
      </c>
      <c r="DR1835">
        <v>0</v>
      </c>
      <c r="DS1835">
        <v>0</v>
      </c>
    </row>
    <row r="1836" spans="1:123" x14ac:dyDescent="0.3">
      <c r="A1836" t="str">
        <f>"10/04/2022 19:30:23.322"</f>
        <v>10/04/2022 19:30:23.322</v>
      </c>
      <c r="C1836" t="str">
        <f t="shared" si="629"/>
        <v>FFDFD3C0</v>
      </c>
      <c r="D1836" t="s">
        <v>147</v>
      </c>
      <c r="E1836">
        <v>3</v>
      </c>
      <c r="H1836">
        <v>166</v>
      </c>
      <c r="I1836" t="s">
        <v>144</v>
      </c>
      <c r="J1836" t="s">
        <v>148</v>
      </c>
      <c r="K1836">
        <v>0</v>
      </c>
      <c r="L1836">
        <v>3</v>
      </c>
      <c r="M1836">
        <v>0</v>
      </c>
      <c r="N1836">
        <v>2</v>
      </c>
      <c r="O1836">
        <v>0</v>
      </c>
      <c r="P1836">
        <v>1</v>
      </c>
      <c r="Q1836">
        <v>0</v>
      </c>
      <c r="S1836" t="str">
        <f t="shared" ref="S1836:T1849" si="647">"19:30:23.000"</f>
        <v>19:30:23.000</v>
      </c>
      <c r="T1836" t="str">
        <f t="shared" si="647"/>
        <v>19:30:23.000</v>
      </c>
      <c r="U1836" t="str">
        <f t="shared" si="632"/>
        <v>AC3944</v>
      </c>
      <c r="V1836">
        <v>0</v>
      </c>
      <c r="W1836">
        <v>0</v>
      </c>
      <c r="X1836">
        <v>2</v>
      </c>
      <c r="Y1836">
        <v>0</v>
      </c>
      <c r="AA1836">
        <v>1</v>
      </c>
      <c r="AB1836">
        <v>8</v>
      </c>
      <c r="AC1836">
        <v>3</v>
      </c>
      <c r="AD1836">
        <v>0</v>
      </c>
      <c r="AE1836">
        <v>9</v>
      </c>
      <c r="AF1836" t="s">
        <v>138</v>
      </c>
      <c r="AG1836">
        <v>0</v>
      </c>
      <c r="AH1836">
        <v>3</v>
      </c>
      <c r="AI1836">
        <v>1</v>
      </c>
      <c r="AJ1836">
        <v>0</v>
      </c>
      <c r="AK1836" t="s">
        <v>660</v>
      </c>
      <c r="AL1836">
        <v>32.780434999999997</v>
      </c>
      <c r="AM1836" t="s">
        <v>661</v>
      </c>
      <c r="AN1836">
        <v>-116.85700199999999</v>
      </c>
      <c r="AO1836">
        <v>25</v>
      </c>
      <c r="AP1836">
        <v>2900</v>
      </c>
      <c r="AQ1836" t="s">
        <v>129</v>
      </c>
      <c r="AR1836">
        <v>116</v>
      </c>
      <c r="AS1836">
        <v>-57</v>
      </c>
      <c r="AT1836">
        <v>-384</v>
      </c>
      <c r="BB1836">
        <v>1200</v>
      </c>
      <c r="BC1836">
        <v>1</v>
      </c>
      <c r="BD1836" t="str">
        <f t="shared" si="633"/>
        <v xml:space="preserve">N887QR  </v>
      </c>
      <c r="BE1836">
        <v>1</v>
      </c>
      <c r="BG1836">
        <v>0</v>
      </c>
      <c r="BH1836">
        <v>0</v>
      </c>
      <c r="BI1836">
        <v>0</v>
      </c>
      <c r="BJ1836">
        <v>2575</v>
      </c>
      <c r="BK1836">
        <v>-325</v>
      </c>
      <c r="BL1836" t="s">
        <v>163</v>
      </c>
      <c r="BM1836">
        <v>1</v>
      </c>
      <c r="BN1836">
        <v>1</v>
      </c>
      <c r="BO1836">
        <v>1</v>
      </c>
      <c r="BP1836">
        <v>0</v>
      </c>
      <c r="BS1836">
        <v>0</v>
      </c>
      <c r="BT1836">
        <v>0</v>
      </c>
      <c r="BU1836">
        <v>0</v>
      </c>
      <c r="CE1836" t="str">
        <f t="shared" ref="CE1836:CE1842" si="648">"19:30:23.138"</f>
        <v>19:30:23.138</v>
      </c>
      <c r="CF1836">
        <v>137605398</v>
      </c>
      <c r="CS1836">
        <v>0</v>
      </c>
      <c r="CT1836">
        <v>2</v>
      </c>
      <c r="CU1836">
        <v>0</v>
      </c>
      <c r="CV1836">
        <v>2</v>
      </c>
      <c r="CW1836">
        <v>0</v>
      </c>
      <c r="CX1836">
        <v>4</v>
      </c>
      <c r="CY1836">
        <v>7</v>
      </c>
      <c r="CZ1836" t="s">
        <v>131</v>
      </c>
      <c r="DA1836">
        <v>286</v>
      </c>
      <c r="DB1836">
        <v>0</v>
      </c>
      <c r="DC1836" t="s">
        <v>132</v>
      </c>
      <c r="DD1836" t="s">
        <v>133</v>
      </c>
      <c r="DG1836">
        <v>829740</v>
      </c>
      <c r="DI1836">
        <v>1</v>
      </c>
      <c r="DJ1836">
        <v>0</v>
      </c>
      <c r="DK1836">
        <v>0</v>
      </c>
      <c r="DL1836">
        <v>0</v>
      </c>
      <c r="DM1836">
        <v>0</v>
      </c>
      <c r="DN1836">
        <v>1</v>
      </c>
      <c r="DO1836">
        <v>0</v>
      </c>
      <c r="DP1836">
        <v>0</v>
      </c>
      <c r="DQ1836">
        <v>0</v>
      </c>
      <c r="DR1836">
        <v>0</v>
      </c>
      <c r="DS1836">
        <v>0</v>
      </c>
    </row>
    <row r="1837" spans="1:123" x14ac:dyDescent="0.3">
      <c r="A1837" t="str">
        <f>"10/04/2022 19:30:23.322"</f>
        <v>10/04/2022 19:30:23.322</v>
      </c>
      <c r="C1837" t="str">
        <f t="shared" si="629"/>
        <v>FFDFD3C0</v>
      </c>
      <c r="D1837" t="s">
        <v>143</v>
      </c>
      <c r="E1837">
        <v>20</v>
      </c>
      <c r="F1837">
        <v>1020</v>
      </c>
      <c r="G1837" t="s">
        <v>144</v>
      </c>
      <c r="J1837" t="s">
        <v>145</v>
      </c>
      <c r="K1837">
        <v>0</v>
      </c>
      <c r="L1837">
        <v>3</v>
      </c>
      <c r="M1837">
        <v>0</v>
      </c>
      <c r="N1837">
        <v>2</v>
      </c>
      <c r="O1837">
        <v>0</v>
      </c>
      <c r="P1837">
        <v>1</v>
      </c>
      <c r="Q1837">
        <v>0</v>
      </c>
      <c r="S1837" t="str">
        <f t="shared" si="647"/>
        <v>19:30:23.000</v>
      </c>
      <c r="T1837" t="str">
        <f t="shared" si="647"/>
        <v>19:30:23.000</v>
      </c>
      <c r="U1837" t="str">
        <f t="shared" si="632"/>
        <v>AC3944</v>
      </c>
      <c r="V1837">
        <v>0</v>
      </c>
      <c r="W1837">
        <v>0</v>
      </c>
      <c r="X1837">
        <v>2</v>
      </c>
      <c r="Y1837">
        <v>0</v>
      </c>
      <c r="AA1837">
        <v>1</v>
      </c>
      <c r="AB1837">
        <v>8</v>
      </c>
      <c r="AC1837">
        <v>3</v>
      </c>
      <c r="AD1837">
        <v>0</v>
      </c>
      <c r="AE1837">
        <v>9</v>
      </c>
      <c r="AF1837" t="s">
        <v>138</v>
      </c>
      <c r="AG1837">
        <v>0</v>
      </c>
      <c r="AH1837">
        <v>3</v>
      </c>
      <c r="AI1837">
        <v>1</v>
      </c>
      <c r="AJ1837">
        <v>0</v>
      </c>
      <c r="AK1837" t="s">
        <v>660</v>
      </c>
      <c r="AL1837">
        <v>32.780434999999997</v>
      </c>
      <c r="AM1837" t="s">
        <v>661</v>
      </c>
      <c r="AN1837">
        <v>-116.85700199999999</v>
      </c>
      <c r="AO1837">
        <v>25</v>
      </c>
      <c r="AP1837">
        <v>2900</v>
      </c>
      <c r="AQ1837" t="s">
        <v>129</v>
      </c>
      <c r="AR1837">
        <v>116</v>
      </c>
      <c r="AS1837">
        <v>-57</v>
      </c>
      <c r="AT1837">
        <v>-384</v>
      </c>
      <c r="BB1837">
        <v>1200</v>
      </c>
      <c r="BC1837">
        <v>1</v>
      </c>
      <c r="BD1837" t="str">
        <f t="shared" si="633"/>
        <v xml:space="preserve">N887QR  </v>
      </c>
      <c r="BE1837">
        <v>1</v>
      </c>
      <c r="BG1837">
        <v>0</v>
      </c>
      <c r="BH1837">
        <v>0</v>
      </c>
      <c r="BI1837">
        <v>0</v>
      </c>
      <c r="BJ1837">
        <v>2575</v>
      </c>
      <c r="BK1837">
        <v>-325</v>
      </c>
      <c r="BL1837" t="s">
        <v>163</v>
      </c>
      <c r="BM1837">
        <v>1</v>
      </c>
      <c r="BN1837">
        <v>1</v>
      </c>
      <c r="BO1837">
        <v>1</v>
      </c>
      <c r="BP1837">
        <v>0</v>
      </c>
      <c r="BS1837">
        <v>0</v>
      </c>
      <c r="BT1837">
        <v>0</v>
      </c>
      <c r="BU1837">
        <v>0</v>
      </c>
      <c r="CE1837" t="str">
        <f t="shared" si="648"/>
        <v>19:30:23.138</v>
      </c>
      <c r="CF1837">
        <v>137605398</v>
      </c>
      <c r="CS1837">
        <v>0</v>
      </c>
      <c r="CT1837">
        <v>2</v>
      </c>
      <c r="CU1837">
        <v>0</v>
      </c>
      <c r="CV1837">
        <v>2</v>
      </c>
      <c r="CW1837">
        <v>0</v>
      </c>
      <c r="CX1837">
        <v>4</v>
      </c>
      <c r="CY1837">
        <v>7</v>
      </c>
      <c r="CZ1837" t="s">
        <v>131</v>
      </c>
      <c r="DA1837">
        <v>286</v>
      </c>
      <c r="DB1837">
        <v>0</v>
      </c>
      <c r="DC1837" t="s">
        <v>132</v>
      </c>
      <c r="DD1837" t="s">
        <v>133</v>
      </c>
      <c r="DG1837">
        <v>829740</v>
      </c>
      <c r="DI1837">
        <v>1</v>
      </c>
      <c r="DJ1837">
        <v>0</v>
      </c>
      <c r="DK1837">
        <v>1</v>
      </c>
      <c r="DL1837">
        <v>0</v>
      </c>
      <c r="DM1837">
        <v>0</v>
      </c>
      <c r="DN1837">
        <v>1</v>
      </c>
      <c r="DO1837">
        <v>0</v>
      </c>
      <c r="DP1837">
        <v>0</v>
      </c>
      <c r="DQ1837">
        <v>0</v>
      </c>
      <c r="DR1837">
        <v>0</v>
      </c>
      <c r="DS1837">
        <v>0</v>
      </c>
    </row>
    <row r="1838" spans="1:123" x14ac:dyDescent="0.3">
      <c r="A1838" t="str">
        <f>"10/04/2022 19:30:23.353"</f>
        <v>10/04/2022 19:30:23.353</v>
      </c>
      <c r="C1838" t="str">
        <f t="shared" si="629"/>
        <v>FFDFD3C0</v>
      </c>
      <c r="D1838" t="s">
        <v>123</v>
      </c>
      <c r="E1838">
        <v>7</v>
      </c>
      <c r="F1838">
        <v>2007</v>
      </c>
      <c r="G1838" t="s">
        <v>124</v>
      </c>
      <c r="J1838" t="s">
        <v>125</v>
      </c>
      <c r="K1838">
        <v>0</v>
      </c>
      <c r="L1838">
        <v>3</v>
      </c>
      <c r="M1838">
        <v>0</v>
      </c>
      <c r="N1838">
        <v>2</v>
      </c>
      <c r="O1838">
        <v>0</v>
      </c>
      <c r="P1838">
        <v>1</v>
      </c>
      <c r="Q1838">
        <v>0</v>
      </c>
      <c r="S1838" t="str">
        <f t="shared" si="647"/>
        <v>19:30:23.000</v>
      </c>
      <c r="T1838" t="str">
        <f t="shared" si="647"/>
        <v>19:30:23.000</v>
      </c>
      <c r="U1838" t="str">
        <f t="shared" si="632"/>
        <v>AC3944</v>
      </c>
      <c r="V1838">
        <v>0</v>
      </c>
      <c r="W1838">
        <v>0</v>
      </c>
      <c r="X1838">
        <v>2</v>
      </c>
      <c r="Y1838">
        <v>0</v>
      </c>
      <c r="AA1838">
        <v>1</v>
      </c>
      <c r="AB1838">
        <v>8</v>
      </c>
      <c r="AC1838">
        <v>3</v>
      </c>
      <c r="AD1838">
        <v>0</v>
      </c>
      <c r="AE1838">
        <v>9</v>
      </c>
      <c r="AF1838" t="s">
        <v>138</v>
      </c>
      <c r="AG1838">
        <v>0</v>
      </c>
      <c r="AH1838">
        <v>3</v>
      </c>
      <c r="AI1838">
        <v>1</v>
      </c>
      <c r="AJ1838">
        <v>0</v>
      </c>
      <c r="AK1838" t="s">
        <v>660</v>
      </c>
      <c r="AL1838">
        <v>32.780434999999997</v>
      </c>
      <c r="AM1838" t="s">
        <v>661</v>
      </c>
      <c r="AN1838">
        <v>-116.85700199999999</v>
      </c>
      <c r="AO1838">
        <v>25</v>
      </c>
      <c r="AP1838">
        <v>2900</v>
      </c>
      <c r="AQ1838" t="s">
        <v>129</v>
      </c>
      <c r="AR1838">
        <v>116</v>
      </c>
      <c r="AS1838">
        <v>-57</v>
      </c>
      <c r="AT1838">
        <v>-384</v>
      </c>
      <c r="BB1838">
        <v>1200</v>
      </c>
      <c r="BC1838">
        <v>1</v>
      </c>
      <c r="BD1838" t="str">
        <f t="shared" si="633"/>
        <v xml:space="preserve">N887QR  </v>
      </c>
      <c r="BE1838">
        <v>1</v>
      </c>
      <c r="BG1838">
        <v>0</v>
      </c>
      <c r="BH1838">
        <v>0</v>
      </c>
      <c r="BI1838">
        <v>0</v>
      </c>
      <c r="BJ1838">
        <v>2575</v>
      </c>
      <c r="BK1838">
        <v>-325</v>
      </c>
      <c r="BL1838" t="s">
        <v>163</v>
      </c>
      <c r="BM1838">
        <v>1</v>
      </c>
      <c r="BN1838">
        <v>1</v>
      </c>
      <c r="BO1838">
        <v>1</v>
      </c>
      <c r="BP1838">
        <v>0</v>
      </c>
      <c r="BS1838">
        <v>0</v>
      </c>
      <c r="BT1838">
        <v>0</v>
      </c>
      <c r="BU1838">
        <v>0</v>
      </c>
      <c r="CE1838" t="str">
        <f t="shared" si="648"/>
        <v>19:30:23.138</v>
      </c>
      <c r="CF1838">
        <v>137605398</v>
      </c>
      <c r="CS1838">
        <v>0</v>
      </c>
      <c r="CT1838">
        <v>2</v>
      </c>
      <c r="CU1838">
        <v>0</v>
      </c>
      <c r="CV1838">
        <v>2</v>
      </c>
      <c r="CW1838">
        <v>0</v>
      </c>
      <c r="CX1838">
        <v>4</v>
      </c>
      <c r="CY1838">
        <v>7</v>
      </c>
      <c r="CZ1838" t="s">
        <v>131</v>
      </c>
      <c r="DA1838">
        <v>286</v>
      </c>
      <c r="DB1838">
        <v>0</v>
      </c>
      <c r="DC1838" t="s">
        <v>132</v>
      </c>
      <c r="DD1838" t="s">
        <v>133</v>
      </c>
      <c r="DG1838">
        <v>829740</v>
      </c>
      <c r="DI1838">
        <v>1</v>
      </c>
      <c r="DJ1838">
        <v>0</v>
      </c>
      <c r="DK1838">
        <v>1</v>
      </c>
      <c r="DL1838">
        <v>0</v>
      </c>
      <c r="DM1838">
        <v>0</v>
      </c>
      <c r="DN1838">
        <v>1</v>
      </c>
      <c r="DO1838">
        <v>0</v>
      </c>
      <c r="DP1838">
        <v>0</v>
      </c>
      <c r="DQ1838">
        <v>0</v>
      </c>
      <c r="DR1838">
        <v>0</v>
      </c>
      <c r="DS1838">
        <v>0</v>
      </c>
    </row>
    <row r="1839" spans="1:123" x14ac:dyDescent="0.3">
      <c r="A1839" t="str">
        <f>"10/04/2022 19:30:23.353"</f>
        <v>10/04/2022 19:30:23.353</v>
      </c>
      <c r="C1839" t="str">
        <f t="shared" si="629"/>
        <v>FFDFD3C0</v>
      </c>
      <c r="D1839" t="s">
        <v>134</v>
      </c>
      <c r="E1839">
        <v>15</v>
      </c>
      <c r="J1839" t="s">
        <v>135</v>
      </c>
      <c r="K1839">
        <v>0</v>
      </c>
      <c r="L1839">
        <v>3</v>
      </c>
      <c r="M1839">
        <v>0</v>
      </c>
      <c r="N1839">
        <v>2</v>
      </c>
      <c r="O1839">
        <v>0</v>
      </c>
      <c r="P1839">
        <v>1</v>
      </c>
      <c r="Q1839">
        <v>0</v>
      </c>
      <c r="S1839" t="str">
        <f t="shared" si="647"/>
        <v>19:30:23.000</v>
      </c>
      <c r="T1839" t="str">
        <f t="shared" si="647"/>
        <v>19:30:23.000</v>
      </c>
      <c r="U1839" t="str">
        <f t="shared" si="632"/>
        <v>AC3944</v>
      </c>
      <c r="V1839">
        <v>0</v>
      </c>
      <c r="W1839">
        <v>0</v>
      </c>
      <c r="X1839">
        <v>2</v>
      </c>
      <c r="Y1839">
        <v>0</v>
      </c>
      <c r="AA1839">
        <v>1</v>
      </c>
      <c r="AB1839">
        <v>8</v>
      </c>
      <c r="AC1839">
        <v>3</v>
      </c>
      <c r="AD1839">
        <v>0</v>
      </c>
      <c r="AE1839">
        <v>9</v>
      </c>
      <c r="AF1839" t="s">
        <v>138</v>
      </c>
      <c r="AG1839">
        <v>0</v>
      </c>
      <c r="AH1839">
        <v>3</v>
      </c>
      <c r="AI1839">
        <v>1</v>
      </c>
      <c r="AJ1839">
        <v>0</v>
      </c>
      <c r="AK1839" t="s">
        <v>660</v>
      </c>
      <c r="AL1839">
        <v>32.780434999999997</v>
      </c>
      <c r="AM1839" t="s">
        <v>661</v>
      </c>
      <c r="AN1839">
        <v>-116.85700199999999</v>
      </c>
      <c r="AO1839">
        <v>25</v>
      </c>
      <c r="AP1839">
        <v>2900</v>
      </c>
      <c r="AQ1839" t="s">
        <v>129</v>
      </c>
      <c r="AR1839">
        <v>116</v>
      </c>
      <c r="AS1839">
        <v>-57</v>
      </c>
      <c r="AT1839">
        <v>-384</v>
      </c>
      <c r="BB1839">
        <v>1200</v>
      </c>
      <c r="BC1839">
        <v>1</v>
      </c>
      <c r="BD1839" t="str">
        <f t="shared" si="633"/>
        <v xml:space="preserve">N887QR  </v>
      </c>
      <c r="BE1839">
        <v>1</v>
      </c>
      <c r="BG1839">
        <v>0</v>
      </c>
      <c r="BH1839">
        <v>0</v>
      </c>
      <c r="BI1839">
        <v>0</v>
      </c>
      <c r="BJ1839">
        <v>2575</v>
      </c>
      <c r="BK1839">
        <v>-325</v>
      </c>
      <c r="BL1839" t="s">
        <v>163</v>
      </c>
      <c r="BM1839">
        <v>1</v>
      </c>
      <c r="BN1839">
        <v>1</v>
      </c>
      <c r="BO1839">
        <v>1</v>
      </c>
      <c r="BP1839">
        <v>0</v>
      </c>
      <c r="BS1839">
        <v>0</v>
      </c>
      <c r="BT1839">
        <v>0</v>
      </c>
      <c r="BU1839">
        <v>0</v>
      </c>
      <c r="CE1839" t="str">
        <f t="shared" si="648"/>
        <v>19:30:23.138</v>
      </c>
      <c r="CF1839">
        <v>137605398</v>
      </c>
      <c r="CS1839">
        <v>0</v>
      </c>
      <c r="CT1839">
        <v>2</v>
      </c>
      <c r="CU1839">
        <v>0</v>
      </c>
      <c r="CV1839">
        <v>2</v>
      </c>
      <c r="CW1839">
        <v>0</v>
      </c>
      <c r="CX1839">
        <v>4</v>
      </c>
      <c r="CY1839">
        <v>7</v>
      </c>
      <c r="CZ1839" t="s">
        <v>131</v>
      </c>
      <c r="DA1839">
        <v>286</v>
      </c>
      <c r="DB1839">
        <v>0</v>
      </c>
      <c r="DC1839" t="s">
        <v>132</v>
      </c>
      <c r="DD1839" t="s">
        <v>133</v>
      </c>
      <c r="DG1839">
        <v>829740</v>
      </c>
      <c r="DI1839">
        <v>1</v>
      </c>
      <c r="DJ1839">
        <v>0</v>
      </c>
      <c r="DK1839">
        <v>1</v>
      </c>
      <c r="DL1839">
        <v>0</v>
      </c>
      <c r="DM1839">
        <v>0</v>
      </c>
      <c r="DN1839">
        <v>1</v>
      </c>
      <c r="DO1839">
        <v>0</v>
      </c>
      <c r="DP1839">
        <v>0</v>
      </c>
      <c r="DQ1839">
        <v>0</v>
      </c>
      <c r="DR1839">
        <v>0</v>
      </c>
      <c r="DS1839">
        <v>0</v>
      </c>
    </row>
    <row r="1840" spans="1:123" x14ac:dyDescent="0.3">
      <c r="A1840" t="str">
        <f>"10/04/2022 19:30:23.353"</f>
        <v>10/04/2022 19:30:23.353</v>
      </c>
      <c r="C1840" t="str">
        <f t="shared" si="629"/>
        <v>FFDFD3C0</v>
      </c>
      <c r="D1840" t="s">
        <v>141</v>
      </c>
      <c r="E1840">
        <v>3</v>
      </c>
      <c r="H1840">
        <v>3</v>
      </c>
      <c r="I1840" t="s">
        <v>146</v>
      </c>
      <c r="J1840" t="s">
        <v>138</v>
      </c>
      <c r="K1840">
        <v>0</v>
      </c>
      <c r="L1840">
        <v>3</v>
      </c>
      <c r="M1840">
        <v>0</v>
      </c>
      <c r="N1840">
        <v>2</v>
      </c>
      <c r="O1840">
        <v>0</v>
      </c>
      <c r="P1840">
        <v>1</v>
      </c>
      <c r="Q1840">
        <v>0</v>
      </c>
      <c r="S1840" t="str">
        <f t="shared" si="647"/>
        <v>19:30:23.000</v>
      </c>
      <c r="T1840" t="str">
        <f t="shared" si="647"/>
        <v>19:30:23.000</v>
      </c>
      <c r="U1840" t="str">
        <f t="shared" si="632"/>
        <v>AC3944</v>
      </c>
      <c r="V1840">
        <v>0</v>
      </c>
      <c r="W1840">
        <v>0</v>
      </c>
      <c r="X1840">
        <v>2</v>
      </c>
      <c r="Y1840">
        <v>0</v>
      </c>
      <c r="AA1840">
        <v>1</v>
      </c>
      <c r="AB1840">
        <v>8</v>
      </c>
      <c r="AC1840">
        <v>3</v>
      </c>
      <c r="AD1840">
        <v>0</v>
      </c>
      <c r="AE1840">
        <v>9</v>
      </c>
      <c r="AF1840" t="s">
        <v>138</v>
      </c>
      <c r="AG1840">
        <v>0</v>
      </c>
      <c r="AH1840">
        <v>3</v>
      </c>
      <c r="AI1840">
        <v>1</v>
      </c>
      <c r="AJ1840">
        <v>0</v>
      </c>
      <c r="AK1840" t="s">
        <v>660</v>
      </c>
      <c r="AL1840">
        <v>32.780434999999997</v>
      </c>
      <c r="AM1840" t="s">
        <v>661</v>
      </c>
      <c r="AN1840">
        <v>-116.85700199999999</v>
      </c>
      <c r="AO1840">
        <v>25</v>
      </c>
      <c r="AP1840">
        <v>2900</v>
      </c>
      <c r="AQ1840" t="s">
        <v>129</v>
      </c>
      <c r="AR1840">
        <v>116</v>
      </c>
      <c r="AS1840">
        <v>-57</v>
      </c>
      <c r="AT1840">
        <v>-384</v>
      </c>
      <c r="BB1840">
        <v>1200</v>
      </c>
      <c r="BC1840">
        <v>1</v>
      </c>
      <c r="BD1840" t="str">
        <f t="shared" si="633"/>
        <v xml:space="preserve">N887QR  </v>
      </c>
      <c r="BE1840">
        <v>1</v>
      </c>
      <c r="BG1840">
        <v>0</v>
      </c>
      <c r="BH1840">
        <v>0</v>
      </c>
      <c r="BI1840">
        <v>0</v>
      </c>
      <c r="BJ1840">
        <v>2575</v>
      </c>
      <c r="BK1840">
        <v>-325</v>
      </c>
      <c r="BL1840" t="s">
        <v>163</v>
      </c>
      <c r="BM1840">
        <v>1</v>
      </c>
      <c r="BN1840">
        <v>1</v>
      </c>
      <c r="BO1840">
        <v>1</v>
      </c>
      <c r="BP1840">
        <v>0</v>
      </c>
      <c r="BS1840">
        <v>0</v>
      </c>
      <c r="BT1840">
        <v>0</v>
      </c>
      <c r="BU1840">
        <v>0</v>
      </c>
      <c r="CE1840" t="str">
        <f t="shared" si="648"/>
        <v>19:30:23.138</v>
      </c>
      <c r="CF1840">
        <v>137605398</v>
      </c>
      <c r="CS1840">
        <v>0</v>
      </c>
      <c r="CT1840">
        <v>2</v>
      </c>
      <c r="CU1840">
        <v>0</v>
      </c>
      <c r="CV1840">
        <v>2</v>
      </c>
      <c r="CW1840">
        <v>0</v>
      </c>
      <c r="CX1840">
        <v>4</v>
      </c>
      <c r="CY1840">
        <v>7</v>
      </c>
      <c r="CZ1840" t="s">
        <v>131</v>
      </c>
      <c r="DA1840">
        <v>286</v>
      </c>
      <c r="DB1840">
        <v>0</v>
      </c>
      <c r="DC1840" t="s">
        <v>132</v>
      </c>
      <c r="DD1840" t="s">
        <v>133</v>
      </c>
      <c r="DG1840">
        <v>829740</v>
      </c>
      <c r="DI1840">
        <v>1</v>
      </c>
      <c r="DJ1840">
        <v>0</v>
      </c>
      <c r="DK1840">
        <v>1</v>
      </c>
      <c r="DL1840">
        <v>0</v>
      </c>
      <c r="DM1840">
        <v>0</v>
      </c>
      <c r="DN1840">
        <v>1</v>
      </c>
      <c r="DO1840">
        <v>0</v>
      </c>
      <c r="DP1840">
        <v>0</v>
      </c>
      <c r="DQ1840">
        <v>0</v>
      </c>
      <c r="DR1840">
        <v>0</v>
      </c>
      <c r="DS1840">
        <v>0</v>
      </c>
    </row>
    <row r="1841" spans="1:123" x14ac:dyDescent="0.3">
      <c r="A1841" t="str">
        <f>"10/04/2022 19:30:23.353"</f>
        <v>10/04/2022 19:30:23.353</v>
      </c>
      <c r="C1841" t="str">
        <f t="shared" si="629"/>
        <v>FFDFD3C0</v>
      </c>
      <c r="D1841" t="s">
        <v>136</v>
      </c>
      <c r="E1841">
        <v>8</v>
      </c>
      <c r="H1841">
        <v>225</v>
      </c>
      <c r="I1841" t="s">
        <v>137</v>
      </c>
      <c r="J1841" t="s">
        <v>138</v>
      </c>
      <c r="K1841">
        <v>0</v>
      </c>
      <c r="L1841">
        <v>3</v>
      </c>
      <c r="M1841">
        <v>0</v>
      </c>
      <c r="N1841">
        <v>2</v>
      </c>
      <c r="O1841">
        <v>0</v>
      </c>
      <c r="P1841">
        <v>1</v>
      </c>
      <c r="Q1841">
        <v>0</v>
      </c>
      <c r="S1841" t="str">
        <f t="shared" si="647"/>
        <v>19:30:23.000</v>
      </c>
      <c r="T1841" t="str">
        <f t="shared" si="647"/>
        <v>19:30:23.000</v>
      </c>
      <c r="U1841" t="str">
        <f t="shared" si="632"/>
        <v>AC3944</v>
      </c>
      <c r="V1841">
        <v>0</v>
      </c>
      <c r="W1841">
        <v>0</v>
      </c>
      <c r="X1841">
        <v>2</v>
      </c>
      <c r="Y1841">
        <v>0</v>
      </c>
      <c r="AA1841">
        <v>1</v>
      </c>
      <c r="AB1841">
        <v>8</v>
      </c>
      <c r="AC1841">
        <v>3</v>
      </c>
      <c r="AD1841">
        <v>0</v>
      </c>
      <c r="AE1841">
        <v>9</v>
      </c>
      <c r="AF1841" t="s">
        <v>138</v>
      </c>
      <c r="AG1841">
        <v>0</v>
      </c>
      <c r="AH1841">
        <v>3</v>
      </c>
      <c r="AI1841">
        <v>1</v>
      </c>
      <c r="AJ1841">
        <v>0</v>
      </c>
      <c r="AK1841" t="s">
        <v>660</v>
      </c>
      <c r="AL1841">
        <v>32.780434999999997</v>
      </c>
      <c r="AM1841" t="s">
        <v>661</v>
      </c>
      <c r="AN1841">
        <v>-116.85700199999999</v>
      </c>
      <c r="AO1841">
        <v>25</v>
      </c>
      <c r="AP1841">
        <v>2900</v>
      </c>
      <c r="AQ1841" t="s">
        <v>129</v>
      </c>
      <c r="AR1841">
        <v>116</v>
      </c>
      <c r="AS1841">
        <v>-57</v>
      </c>
      <c r="AT1841">
        <v>-384</v>
      </c>
      <c r="BB1841">
        <v>1200</v>
      </c>
      <c r="BC1841">
        <v>1</v>
      </c>
      <c r="BD1841" t="str">
        <f t="shared" si="633"/>
        <v xml:space="preserve">N887QR  </v>
      </c>
      <c r="BE1841">
        <v>1</v>
      </c>
      <c r="BG1841">
        <v>0</v>
      </c>
      <c r="BH1841">
        <v>0</v>
      </c>
      <c r="BI1841">
        <v>0</v>
      </c>
      <c r="BJ1841">
        <v>2575</v>
      </c>
      <c r="BK1841">
        <v>-325</v>
      </c>
      <c r="BL1841" t="s">
        <v>163</v>
      </c>
      <c r="BM1841">
        <v>1</v>
      </c>
      <c r="BN1841">
        <v>1</v>
      </c>
      <c r="BO1841">
        <v>1</v>
      </c>
      <c r="BP1841">
        <v>0</v>
      </c>
      <c r="BS1841">
        <v>0</v>
      </c>
      <c r="BT1841">
        <v>0</v>
      </c>
      <c r="BU1841">
        <v>0</v>
      </c>
      <c r="CE1841" t="str">
        <f t="shared" si="648"/>
        <v>19:30:23.138</v>
      </c>
      <c r="CF1841">
        <v>137605398</v>
      </c>
      <c r="CS1841">
        <v>0</v>
      </c>
      <c r="CT1841">
        <v>2</v>
      </c>
      <c r="CU1841">
        <v>0</v>
      </c>
      <c r="CV1841">
        <v>2</v>
      </c>
      <c r="CW1841">
        <v>0</v>
      </c>
      <c r="CX1841">
        <v>4</v>
      </c>
      <c r="CY1841">
        <v>7</v>
      </c>
      <c r="CZ1841" t="s">
        <v>131</v>
      </c>
      <c r="DA1841">
        <v>286</v>
      </c>
      <c r="DB1841">
        <v>0</v>
      </c>
      <c r="DC1841" t="s">
        <v>132</v>
      </c>
      <c r="DD1841" t="s">
        <v>133</v>
      </c>
      <c r="DG1841">
        <v>829740</v>
      </c>
      <c r="DI1841">
        <v>1</v>
      </c>
      <c r="DJ1841">
        <v>0</v>
      </c>
      <c r="DK1841">
        <v>1</v>
      </c>
      <c r="DL1841">
        <v>0</v>
      </c>
      <c r="DM1841">
        <v>0</v>
      </c>
      <c r="DN1841">
        <v>1</v>
      </c>
      <c r="DO1841">
        <v>0</v>
      </c>
      <c r="DP1841">
        <v>0</v>
      </c>
      <c r="DQ1841">
        <v>0</v>
      </c>
      <c r="DR1841">
        <v>0</v>
      </c>
      <c r="DS1841">
        <v>0</v>
      </c>
    </row>
    <row r="1842" spans="1:123" x14ac:dyDescent="0.3">
      <c r="A1842" t="str">
        <f>"10/04/2022 19:30:23.384"</f>
        <v>10/04/2022 19:30:23.384</v>
      </c>
      <c r="C1842" t="str">
        <f t="shared" si="629"/>
        <v>FFDFD3C0</v>
      </c>
      <c r="D1842" t="s">
        <v>141</v>
      </c>
      <c r="E1842">
        <v>4</v>
      </c>
      <c r="H1842">
        <v>4</v>
      </c>
      <c r="I1842" t="s">
        <v>142</v>
      </c>
      <c r="J1842" t="s">
        <v>138</v>
      </c>
      <c r="K1842">
        <v>0</v>
      </c>
      <c r="L1842">
        <v>3</v>
      </c>
      <c r="M1842">
        <v>0</v>
      </c>
      <c r="N1842">
        <v>2</v>
      </c>
      <c r="O1842">
        <v>0</v>
      </c>
      <c r="P1842">
        <v>1</v>
      </c>
      <c r="Q1842">
        <v>0</v>
      </c>
      <c r="S1842" t="str">
        <f t="shared" si="647"/>
        <v>19:30:23.000</v>
      </c>
      <c r="T1842" t="str">
        <f t="shared" si="647"/>
        <v>19:30:23.000</v>
      </c>
      <c r="U1842" t="str">
        <f t="shared" si="632"/>
        <v>AC3944</v>
      </c>
      <c r="V1842">
        <v>0</v>
      </c>
      <c r="W1842">
        <v>0</v>
      </c>
      <c r="X1842">
        <v>2</v>
      </c>
      <c r="Y1842">
        <v>0</v>
      </c>
      <c r="AA1842">
        <v>1</v>
      </c>
      <c r="AB1842">
        <v>8</v>
      </c>
      <c r="AC1842">
        <v>3</v>
      </c>
      <c r="AD1842">
        <v>0</v>
      </c>
      <c r="AE1842">
        <v>9</v>
      </c>
      <c r="AF1842" t="s">
        <v>138</v>
      </c>
      <c r="AG1842">
        <v>0</v>
      </c>
      <c r="AH1842">
        <v>3</v>
      </c>
      <c r="AI1842">
        <v>1</v>
      </c>
      <c r="AJ1842">
        <v>0</v>
      </c>
      <c r="AK1842" t="s">
        <v>660</v>
      </c>
      <c r="AL1842">
        <v>32.780434999999997</v>
      </c>
      <c r="AM1842" t="s">
        <v>661</v>
      </c>
      <c r="AN1842">
        <v>-116.85700199999999</v>
      </c>
      <c r="AO1842">
        <v>25</v>
      </c>
      <c r="AP1842">
        <v>2900</v>
      </c>
      <c r="AQ1842" t="s">
        <v>129</v>
      </c>
      <c r="AR1842">
        <v>116</v>
      </c>
      <c r="AS1842">
        <v>-57</v>
      </c>
      <c r="AT1842">
        <v>-384</v>
      </c>
      <c r="BB1842">
        <v>1200</v>
      </c>
      <c r="BC1842">
        <v>1</v>
      </c>
      <c r="BD1842" t="str">
        <f t="shared" si="633"/>
        <v xml:space="preserve">N887QR  </v>
      </c>
      <c r="BE1842">
        <v>1</v>
      </c>
      <c r="BG1842">
        <v>0</v>
      </c>
      <c r="BH1842">
        <v>0</v>
      </c>
      <c r="BI1842">
        <v>0</v>
      </c>
      <c r="BJ1842">
        <v>2575</v>
      </c>
      <c r="BK1842">
        <v>-325</v>
      </c>
      <c r="BL1842" t="s">
        <v>163</v>
      </c>
      <c r="BM1842">
        <v>1</v>
      </c>
      <c r="BN1842">
        <v>1</v>
      </c>
      <c r="BO1842">
        <v>1</v>
      </c>
      <c r="BP1842">
        <v>0</v>
      </c>
      <c r="BS1842">
        <v>0</v>
      </c>
      <c r="BT1842">
        <v>0</v>
      </c>
      <c r="BU1842">
        <v>0</v>
      </c>
      <c r="CE1842" t="str">
        <f t="shared" si="648"/>
        <v>19:30:23.138</v>
      </c>
      <c r="CF1842">
        <v>137605398</v>
      </c>
      <c r="CS1842">
        <v>0</v>
      </c>
      <c r="CT1842">
        <v>2</v>
      </c>
      <c r="CU1842">
        <v>0</v>
      </c>
      <c r="CV1842">
        <v>2</v>
      </c>
      <c r="CW1842">
        <v>0</v>
      </c>
      <c r="CX1842">
        <v>4</v>
      </c>
      <c r="CY1842">
        <v>7</v>
      </c>
      <c r="CZ1842" t="s">
        <v>131</v>
      </c>
      <c r="DA1842">
        <v>286</v>
      </c>
      <c r="DB1842">
        <v>0</v>
      </c>
      <c r="DC1842" t="s">
        <v>132</v>
      </c>
      <c r="DD1842" t="s">
        <v>133</v>
      </c>
      <c r="DG1842">
        <v>829740</v>
      </c>
      <c r="DI1842">
        <v>1</v>
      </c>
      <c r="DJ1842">
        <v>0</v>
      </c>
      <c r="DK1842">
        <v>1</v>
      </c>
      <c r="DL1842">
        <v>0</v>
      </c>
      <c r="DM1842">
        <v>0</v>
      </c>
      <c r="DN1842">
        <v>1</v>
      </c>
      <c r="DO1842">
        <v>0</v>
      </c>
      <c r="DP1842">
        <v>0</v>
      </c>
      <c r="DQ1842">
        <v>0</v>
      </c>
      <c r="DR1842">
        <v>0</v>
      </c>
      <c r="DS1842">
        <v>0</v>
      </c>
    </row>
    <row r="1843" spans="1:123" x14ac:dyDescent="0.3">
      <c r="A1843" t="str">
        <f>"10/04/2022 19:30:23.978"</f>
        <v>10/04/2022 19:30:23.978</v>
      </c>
      <c r="C1843" t="str">
        <f t="shared" si="629"/>
        <v>FFDFD3C0</v>
      </c>
      <c r="D1843" t="s">
        <v>143</v>
      </c>
      <c r="E1843">
        <v>20</v>
      </c>
      <c r="F1843">
        <v>1020</v>
      </c>
      <c r="G1843" t="s">
        <v>144</v>
      </c>
      <c r="J1843" t="s">
        <v>145</v>
      </c>
      <c r="K1843">
        <v>0</v>
      </c>
      <c r="L1843">
        <v>3</v>
      </c>
      <c r="M1843">
        <v>0</v>
      </c>
      <c r="N1843">
        <v>2</v>
      </c>
      <c r="O1843">
        <v>0</v>
      </c>
      <c r="P1843">
        <v>1</v>
      </c>
      <c r="Q1843">
        <v>0</v>
      </c>
      <c r="S1843" t="str">
        <f t="shared" si="647"/>
        <v>19:30:23.000</v>
      </c>
      <c r="T1843" t="str">
        <f t="shared" si="647"/>
        <v>19:30:23.000</v>
      </c>
      <c r="U1843" t="str">
        <f t="shared" si="632"/>
        <v>AC3944</v>
      </c>
      <c r="V1843">
        <v>0</v>
      </c>
      <c r="W1843">
        <v>0</v>
      </c>
      <c r="X1843">
        <v>2</v>
      </c>
      <c r="Y1843">
        <v>0</v>
      </c>
      <c r="AA1843">
        <v>1</v>
      </c>
      <c r="AB1843">
        <v>8</v>
      </c>
      <c r="AC1843">
        <v>3</v>
      </c>
      <c r="AD1843">
        <v>0</v>
      </c>
      <c r="AE1843">
        <v>9</v>
      </c>
      <c r="AF1843" t="s">
        <v>138</v>
      </c>
      <c r="AG1843">
        <v>0</v>
      </c>
      <c r="AH1843">
        <v>3</v>
      </c>
      <c r="AI1843">
        <v>1</v>
      </c>
      <c r="AJ1843">
        <v>0</v>
      </c>
      <c r="AK1843" t="s">
        <v>662</v>
      </c>
      <c r="AL1843">
        <v>32.780177999999999</v>
      </c>
      <c r="AM1843" t="s">
        <v>663</v>
      </c>
      <c r="AN1843">
        <v>-116.856337</v>
      </c>
      <c r="AO1843">
        <v>25</v>
      </c>
      <c r="AP1843">
        <v>2900</v>
      </c>
      <c r="AQ1843" t="s">
        <v>129</v>
      </c>
      <c r="AR1843">
        <v>117</v>
      </c>
      <c r="AS1843">
        <v>-56</v>
      </c>
      <c r="AT1843">
        <v>-384</v>
      </c>
      <c r="BB1843">
        <v>1200</v>
      </c>
      <c r="BC1843">
        <v>1</v>
      </c>
      <c r="BD1843" t="str">
        <f t="shared" si="633"/>
        <v xml:space="preserve">N887QR  </v>
      </c>
      <c r="BE1843">
        <v>1</v>
      </c>
      <c r="BG1843">
        <v>0</v>
      </c>
      <c r="BH1843">
        <v>0</v>
      </c>
      <c r="BI1843">
        <v>0</v>
      </c>
      <c r="BJ1843">
        <v>2575</v>
      </c>
      <c r="BK1843">
        <v>-325</v>
      </c>
      <c r="BL1843" t="s">
        <v>163</v>
      </c>
      <c r="BM1843">
        <v>1</v>
      </c>
      <c r="BN1843">
        <v>1</v>
      </c>
      <c r="BO1843">
        <v>1</v>
      </c>
      <c r="BP1843">
        <v>0</v>
      </c>
      <c r="BS1843">
        <v>0</v>
      </c>
      <c r="BT1843">
        <v>0</v>
      </c>
      <c r="BU1843">
        <v>0</v>
      </c>
      <c r="CE1843" t="str">
        <f t="shared" ref="CE1843:CE1849" si="649">"19:30:23.783"</f>
        <v>19:30:23.783</v>
      </c>
      <c r="CF1843">
        <v>782630493</v>
      </c>
      <c r="CS1843">
        <v>0</v>
      </c>
      <c r="CT1843">
        <v>2</v>
      </c>
      <c r="CU1843">
        <v>0</v>
      </c>
      <c r="CV1843">
        <v>2</v>
      </c>
      <c r="CW1843">
        <v>0</v>
      </c>
      <c r="CX1843">
        <v>5</v>
      </c>
      <c r="CY1843">
        <v>7</v>
      </c>
      <c r="CZ1843" t="s">
        <v>131</v>
      </c>
      <c r="DA1843">
        <v>300</v>
      </c>
      <c r="DB1843">
        <v>0</v>
      </c>
      <c r="DC1843" t="s">
        <v>176</v>
      </c>
      <c r="DD1843" t="s">
        <v>177</v>
      </c>
      <c r="DG1843">
        <v>5396267</v>
      </c>
      <c r="DI1843">
        <v>1</v>
      </c>
      <c r="DJ1843">
        <v>0</v>
      </c>
      <c r="DK1843">
        <v>0</v>
      </c>
      <c r="DL1843">
        <v>0</v>
      </c>
      <c r="DM1843">
        <v>0</v>
      </c>
      <c r="DN1843">
        <v>1</v>
      </c>
      <c r="DO1843">
        <v>0</v>
      </c>
      <c r="DP1843">
        <v>0</v>
      </c>
      <c r="DQ1843">
        <v>0</v>
      </c>
      <c r="DR1843">
        <v>0</v>
      </c>
      <c r="DS1843">
        <v>0</v>
      </c>
    </row>
    <row r="1844" spans="1:123" x14ac:dyDescent="0.3">
      <c r="A1844" t="str">
        <f>"10/04/2022 19:30:23.978"</f>
        <v>10/04/2022 19:30:23.978</v>
      </c>
      <c r="C1844" t="str">
        <f t="shared" si="629"/>
        <v>FFDFD3C0</v>
      </c>
      <c r="D1844" t="s">
        <v>147</v>
      </c>
      <c r="E1844">
        <v>3</v>
      </c>
      <c r="H1844">
        <v>166</v>
      </c>
      <c r="I1844" t="s">
        <v>144</v>
      </c>
      <c r="J1844" t="s">
        <v>148</v>
      </c>
      <c r="K1844">
        <v>0</v>
      </c>
      <c r="L1844">
        <v>3</v>
      </c>
      <c r="M1844">
        <v>0</v>
      </c>
      <c r="N1844">
        <v>2</v>
      </c>
      <c r="O1844">
        <v>0</v>
      </c>
      <c r="P1844">
        <v>1</v>
      </c>
      <c r="Q1844">
        <v>0</v>
      </c>
      <c r="S1844" t="str">
        <f t="shared" si="647"/>
        <v>19:30:23.000</v>
      </c>
      <c r="T1844" t="str">
        <f t="shared" si="647"/>
        <v>19:30:23.000</v>
      </c>
      <c r="U1844" t="str">
        <f t="shared" si="632"/>
        <v>AC3944</v>
      </c>
      <c r="V1844">
        <v>0</v>
      </c>
      <c r="W1844">
        <v>0</v>
      </c>
      <c r="X1844">
        <v>2</v>
      </c>
      <c r="Y1844">
        <v>0</v>
      </c>
      <c r="AA1844">
        <v>1</v>
      </c>
      <c r="AB1844">
        <v>8</v>
      </c>
      <c r="AC1844">
        <v>3</v>
      </c>
      <c r="AD1844">
        <v>0</v>
      </c>
      <c r="AE1844">
        <v>9</v>
      </c>
      <c r="AF1844" t="s">
        <v>138</v>
      </c>
      <c r="AG1844">
        <v>0</v>
      </c>
      <c r="AH1844">
        <v>3</v>
      </c>
      <c r="AI1844">
        <v>1</v>
      </c>
      <c r="AJ1844">
        <v>0</v>
      </c>
      <c r="AK1844" t="s">
        <v>662</v>
      </c>
      <c r="AL1844">
        <v>32.780177999999999</v>
      </c>
      <c r="AM1844" t="s">
        <v>663</v>
      </c>
      <c r="AN1844">
        <v>-116.856337</v>
      </c>
      <c r="AO1844">
        <v>25</v>
      </c>
      <c r="AP1844">
        <v>2900</v>
      </c>
      <c r="AQ1844" t="s">
        <v>129</v>
      </c>
      <c r="AR1844">
        <v>117</v>
      </c>
      <c r="AS1844">
        <v>-56</v>
      </c>
      <c r="AT1844">
        <v>-384</v>
      </c>
      <c r="BB1844">
        <v>1200</v>
      </c>
      <c r="BC1844">
        <v>1</v>
      </c>
      <c r="BD1844" t="str">
        <f t="shared" si="633"/>
        <v xml:space="preserve">N887QR  </v>
      </c>
      <c r="BE1844">
        <v>1</v>
      </c>
      <c r="BG1844">
        <v>0</v>
      </c>
      <c r="BH1844">
        <v>0</v>
      </c>
      <c r="BI1844">
        <v>0</v>
      </c>
      <c r="BJ1844">
        <v>2575</v>
      </c>
      <c r="BK1844">
        <v>-325</v>
      </c>
      <c r="BL1844" t="s">
        <v>163</v>
      </c>
      <c r="BM1844">
        <v>1</v>
      </c>
      <c r="BN1844">
        <v>1</v>
      </c>
      <c r="BO1844">
        <v>1</v>
      </c>
      <c r="BP1844">
        <v>0</v>
      </c>
      <c r="BS1844">
        <v>0</v>
      </c>
      <c r="BT1844">
        <v>0</v>
      </c>
      <c r="BU1844">
        <v>0</v>
      </c>
      <c r="CE1844" t="str">
        <f t="shared" si="649"/>
        <v>19:30:23.783</v>
      </c>
      <c r="CF1844">
        <v>782630493</v>
      </c>
      <c r="CS1844">
        <v>0</v>
      </c>
      <c r="CT1844">
        <v>2</v>
      </c>
      <c r="CU1844">
        <v>0</v>
      </c>
      <c r="CV1844">
        <v>2</v>
      </c>
      <c r="CW1844">
        <v>0</v>
      </c>
      <c r="CX1844">
        <v>5</v>
      </c>
      <c r="CY1844">
        <v>7</v>
      </c>
      <c r="CZ1844" t="s">
        <v>131</v>
      </c>
      <c r="DA1844">
        <v>300</v>
      </c>
      <c r="DB1844">
        <v>0</v>
      </c>
      <c r="DC1844" t="s">
        <v>176</v>
      </c>
      <c r="DD1844" t="s">
        <v>177</v>
      </c>
      <c r="DG1844">
        <v>5396267</v>
      </c>
      <c r="DI1844">
        <v>1</v>
      </c>
      <c r="DJ1844">
        <v>0</v>
      </c>
      <c r="DK1844">
        <v>1</v>
      </c>
      <c r="DL1844">
        <v>0</v>
      </c>
      <c r="DM1844">
        <v>0</v>
      </c>
      <c r="DN1844">
        <v>1</v>
      </c>
      <c r="DO1844">
        <v>0</v>
      </c>
      <c r="DP1844">
        <v>0</v>
      </c>
      <c r="DQ1844">
        <v>0</v>
      </c>
      <c r="DR1844">
        <v>0</v>
      </c>
      <c r="DS1844">
        <v>0</v>
      </c>
    </row>
    <row r="1845" spans="1:123" x14ac:dyDescent="0.3">
      <c r="A1845" t="str">
        <f>"10/04/2022 19:30:24.041"</f>
        <v>10/04/2022 19:30:24.041</v>
      </c>
      <c r="C1845" t="str">
        <f t="shared" ref="C1845:C1908" si="650">"FFDFD3C0"</f>
        <v>FFDFD3C0</v>
      </c>
      <c r="D1845" t="s">
        <v>123</v>
      </c>
      <c r="E1845">
        <v>7</v>
      </c>
      <c r="F1845">
        <v>2007</v>
      </c>
      <c r="G1845" t="s">
        <v>124</v>
      </c>
      <c r="J1845" t="s">
        <v>125</v>
      </c>
      <c r="K1845">
        <v>0</v>
      </c>
      <c r="L1845">
        <v>3</v>
      </c>
      <c r="M1845">
        <v>0</v>
      </c>
      <c r="N1845">
        <v>2</v>
      </c>
      <c r="O1845">
        <v>0</v>
      </c>
      <c r="P1845">
        <v>1</v>
      </c>
      <c r="Q1845">
        <v>0</v>
      </c>
      <c r="S1845" t="str">
        <f t="shared" si="647"/>
        <v>19:30:23.000</v>
      </c>
      <c r="T1845" t="str">
        <f t="shared" si="647"/>
        <v>19:30:23.000</v>
      </c>
      <c r="U1845" t="str">
        <f t="shared" si="632"/>
        <v>AC3944</v>
      </c>
      <c r="V1845">
        <v>0</v>
      </c>
      <c r="W1845">
        <v>0</v>
      </c>
      <c r="X1845">
        <v>2</v>
      </c>
      <c r="Y1845">
        <v>0</v>
      </c>
      <c r="AA1845">
        <v>1</v>
      </c>
      <c r="AB1845">
        <v>8</v>
      </c>
      <c r="AC1845">
        <v>3</v>
      </c>
      <c r="AD1845">
        <v>0</v>
      </c>
      <c r="AE1845">
        <v>9</v>
      </c>
      <c r="AF1845" t="s">
        <v>138</v>
      </c>
      <c r="AG1845">
        <v>0</v>
      </c>
      <c r="AH1845">
        <v>3</v>
      </c>
      <c r="AI1845">
        <v>1</v>
      </c>
      <c r="AJ1845">
        <v>0</v>
      </c>
      <c r="AK1845" t="s">
        <v>662</v>
      </c>
      <c r="AL1845">
        <v>32.780177999999999</v>
      </c>
      <c r="AM1845" t="s">
        <v>663</v>
      </c>
      <c r="AN1845">
        <v>-116.856337</v>
      </c>
      <c r="AO1845">
        <v>25</v>
      </c>
      <c r="AP1845">
        <v>2900</v>
      </c>
      <c r="AQ1845" t="s">
        <v>129</v>
      </c>
      <c r="AR1845">
        <v>117</v>
      </c>
      <c r="AS1845">
        <v>-56</v>
      </c>
      <c r="AT1845">
        <v>-384</v>
      </c>
      <c r="BB1845">
        <v>1200</v>
      </c>
      <c r="BC1845">
        <v>1</v>
      </c>
      <c r="BD1845" t="str">
        <f t="shared" si="633"/>
        <v xml:space="preserve">N887QR  </v>
      </c>
      <c r="BE1845">
        <v>1</v>
      </c>
      <c r="BG1845">
        <v>0</v>
      </c>
      <c r="BH1845">
        <v>0</v>
      </c>
      <c r="BI1845">
        <v>0</v>
      </c>
      <c r="BJ1845">
        <v>2575</v>
      </c>
      <c r="BK1845">
        <v>-325</v>
      </c>
      <c r="BL1845" t="s">
        <v>163</v>
      </c>
      <c r="BM1845">
        <v>1</v>
      </c>
      <c r="BN1845">
        <v>1</v>
      </c>
      <c r="BO1845">
        <v>1</v>
      </c>
      <c r="BP1845">
        <v>0</v>
      </c>
      <c r="BS1845">
        <v>0</v>
      </c>
      <c r="BT1845">
        <v>0</v>
      </c>
      <c r="BU1845">
        <v>0</v>
      </c>
      <c r="CE1845" t="str">
        <f t="shared" si="649"/>
        <v>19:30:23.783</v>
      </c>
      <c r="CF1845">
        <v>782630493</v>
      </c>
      <c r="CS1845">
        <v>0</v>
      </c>
      <c r="CT1845">
        <v>2</v>
      </c>
      <c r="CU1845">
        <v>0</v>
      </c>
      <c r="CV1845">
        <v>2</v>
      </c>
      <c r="CW1845">
        <v>0</v>
      </c>
      <c r="CX1845">
        <v>5</v>
      </c>
      <c r="CY1845">
        <v>7</v>
      </c>
      <c r="CZ1845" t="s">
        <v>131</v>
      </c>
      <c r="DA1845">
        <v>300</v>
      </c>
      <c r="DB1845">
        <v>0</v>
      </c>
      <c r="DC1845" t="s">
        <v>176</v>
      </c>
      <c r="DD1845" t="s">
        <v>177</v>
      </c>
      <c r="DG1845">
        <v>5396267</v>
      </c>
      <c r="DI1845">
        <v>1</v>
      </c>
      <c r="DJ1845">
        <v>0</v>
      </c>
      <c r="DK1845">
        <v>1</v>
      </c>
      <c r="DL1845">
        <v>0</v>
      </c>
      <c r="DM1845">
        <v>0</v>
      </c>
      <c r="DN1845">
        <v>1</v>
      </c>
      <c r="DO1845">
        <v>0</v>
      </c>
      <c r="DP1845">
        <v>0</v>
      </c>
      <c r="DQ1845">
        <v>0</v>
      </c>
      <c r="DR1845">
        <v>0</v>
      </c>
      <c r="DS1845">
        <v>0</v>
      </c>
    </row>
    <row r="1846" spans="1:123" x14ac:dyDescent="0.3">
      <c r="A1846" t="str">
        <f>"10/04/2022 19:30:24.041"</f>
        <v>10/04/2022 19:30:24.041</v>
      </c>
      <c r="C1846" t="str">
        <f t="shared" si="650"/>
        <v>FFDFD3C0</v>
      </c>
      <c r="D1846" t="s">
        <v>141</v>
      </c>
      <c r="E1846">
        <v>3</v>
      </c>
      <c r="H1846">
        <v>3</v>
      </c>
      <c r="I1846" t="s">
        <v>146</v>
      </c>
      <c r="J1846" t="s">
        <v>138</v>
      </c>
      <c r="K1846">
        <v>0</v>
      </c>
      <c r="L1846">
        <v>3</v>
      </c>
      <c r="M1846">
        <v>0</v>
      </c>
      <c r="N1846">
        <v>2</v>
      </c>
      <c r="O1846">
        <v>0</v>
      </c>
      <c r="P1846">
        <v>1</v>
      </c>
      <c r="Q1846">
        <v>0</v>
      </c>
      <c r="S1846" t="str">
        <f t="shared" si="647"/>
        <v>19:30:23.000</v>
      </c>
      <c r="T1846" t="str">
        <f t="shared" si="647"/>
        <v>19:30:23.000</v>
      </c>
      <c r="U1846" t="str">
        <f t="shared" si="632"/>
        <v>AC3944</v>
      </c>
      <c r="V1846">
        <v>0</v>
      </c>
      <c r="W1846">
        <v>0</v>
      </c>
      <c r="X1846">
        <v>2</v>
      </c>
      <c r="Y1846">
        <v>0</v>
      </c>
      <c r="AA1846">
        <v>1</v>
      </c>
      <c r="AB1846">
        <v>8</v>
      </c>
      <c r="AC1846">
        <v>3</v>
      </c>
      <c r="AD1846">
        <v>0</v>
      </c>
      <c r="AE1846">
        <v>9</v>
      </c>
      <c r="AF1846" t="s">
        <v>138</v>
      </c>
      <c r="AG1846">
        <v>0</v>
      </c>
      <c r="AH1846">
        <v>3</v>
      </c>
      <c r="AI1846">
        <v>1</v>
      </c>
      <c r="AJ1846">
        <v>0</v>
      </c>
      <c r="AK1846" t="s">
        <v>662</v>
      </c>
      <c r="AL1846">
        <v>32.780177999999999</v>
      </c>
      <c r="AM1846" t="s">
        <v>663</v>
      </c>
      <c r="AN1846">
        <v>-116.856337</v>
      </c>
      <c r="AO1846">
        <v>25</v>
      </c>
      <c r="AP1846">
        <v>2900</v>
      </c>
      <c r="AQ1846" t="s">
        <v>129</v>
      </c>
      <c r="AR1846">
        <v>117</v>
      </c>
      <c r="AS1846">
        <v>-56</v>
      </c>
      <c r="AT1846">
        <v>-384</v>
      </c>
      <c r="BB1846">
        <v>1200</v>
      </c>
      <c r="BC1846">
        <v>1</v>
      </c>
      <c r="BD1846" t="str">
        <f t="shared" si="633"/>
        <v xml:space="preserve">N887QR  </v>
      </c>
      <c r="BE1846">
        <v>1</v>
      </c>
      <c r="BG1846">
        <v>0</v>
      </c>
      <c r="BH1846">
        <v>0</v>
      </c>
      <c r="BI1846">
        <v>0</v>
      </c>
      <c r="BJ1846">
        <v>2575</v>
      </c>
      <c r="BK1846">
        <v>-325</v>
      </c>
      <c r="BL1846" t="s">
        <v>163</v>
      </c>
      <c r="BM1846">
        <v>1</v>
      </c>
      <c r="BN1846">
        <v>1</v>
      </c>
      <c r="BO1846">
        <v>1</v>
      </c>
      <c r="BP1846">
        <v>0</v>
      </c>
      <c r="BS1846">
        <v>0</v>
      </c>
      <c r="BT1846">
        <v>0</v>
      </c>
      <c r="BU1846">
        <v>0</v>
      </c>
      <c r="CE1846" t="str">
        <f t="shared" si="649"/>
        <v>19:30:23.783</v>
      </c>
      <c r="CF1846">
        <v>782630493</v>
      </c>
      <c r="CS1846">
        <v>0</v>
      </c>
      <c r="CT1846">
        <v>2</v>
      </c>
      <c r="CU1846">
        <v>0</v>
      </c>
      <c r="CV1846">
        <v>2</v>
      </c>
      <c r="CW1846">
        <v>0</v>
      </c>
      <c r="CX1846">
        <v>5</v>
      </c>
      <c r="CY1846">
        <v>7</v>
      </c>
      <c r="CZ1846" t="s">
        <v>131</v>
      </c>
      <c r="DA1846">
        <v>300</v>
      </c>
      <c r="DB1846">
        <v>0</v>
      </c>
      <c r="DC1846" t="s">
        <v>176</v>
      </c>
      <c r="DD1846" t="s">
        <v>177</v>
      </c>
      <c r="DG1846">
        <v>5396267</v>
      </c>
      <c r="DI1846">
        <v>1</v>
      </c>
      <c r="DJ1846">
        <v>0</v>
      </c>
      <c r="DK1846">
        <v>1</v>
      </c>
      <c r="DL1846">
        <v>0</v>
      </c>
      <c r="DM1846">
        <v>0</v>
      </c>
      <c r="DN1846">
        <v>1</v>
      </c>
      <c r="DO1846">
        <v>0</v>
      </c>
      <c r="DP1846">
        <v>0</v>
      </c>
      <c r="DQ1846">
        <v>0</v>
      </c>
      <c r="DR1846">
        <v>0</v>
      </c>
      <c r="DS1846">
        <v>0</v>
      </c>
    </row>
    <row r="1847" spans="1:123" x14ac:dyDescent="0.3">
      <c r="A1847" t="str">
        <f>"10/04/2022 19:30:24.041"</f>
        <v>10/04/2022 19:30:24.041</v>
      </c>
      <c r="C1847" t="str">
        <f t="shared" si="650"/>
        <v>FFDFD3C0</v>
      </c>
      <c r="D1847" t="s">
        <v>134</v>
      </c>
      <c r="E1847">
        <v>15</v>
      </c>
      <c r="J1847" t="s">
        <v>135</v>
      </c>
      <c r="K1847">
        <v>0</v>
      </c>
      <c r="L1847">
        <v>3</v>
      </c>
      <c r="M1847">
        <v>0</v>
      </c>
      <c r="N1847">
        <v>2</v>
      </c>
      <c r="O1847">
        <v>0</v>
      </c>
      <c r="P1847">
        <v>1</v>
      </c>
      <c r="Q1847">
        <v>0</v>
      </c>
      <c r="S1847" t="str">
        <f t="shared" si="647"/>
        <v>19:30:23.000</v>
      </c>
      <c r="T1847" t="str">
        <f t="shared" si="647"/>
        <v>19:30:23.000</v>
      </c>
      <c r="U1847" t="str">
        <f t="shared" si="632"/>
        <v>AC3944</v>
      </c>
      <c r="V1847">
        <v>0</v>
      </c>
      <c r="W1847">
        <v>0</v>
      </c>
      <c r="X1847">
        <v>2</v>
      </c>
      <c r="Y1847">
        <v>0</v>
      </c>
      <c r="AA1847">
        <v>1</v>
      </c>
      <c r="AB1847">
        <v>8</v>
      </c>
      <c r="AC1847">
        <v>3</v>
      </c>
      <c r="AD1847">
        <v>0</v>
      </c>
      <c r="AE1847">
        <v>9</v>
      </c>
      <c r="AF1847" t="s">
        <v>138</v>
      </c>
      <c r="AG1847">
        <v>0</v>
      </c>
      <c r="AH1847">
        <v>3</v>
      </c>
      <c r="AI1847">
        <v>1</v>
      </c>
      <c r="AJ1847">
        <v>0</v>
      </c>
      <c r="AK1847" t="s">
        <v>662</v>
      </c>
      <c r="AL1847">
        <v>32.780177999999999</v>
      </c>
      <c r="AM1847" t="s">
        <v>663</v>
      </c>
      <c r="AN1847">
        <v>-116.856337</v>
      </c>
      <c r="AO1847">
        <v>25</v>
      </c>
      <c r="AP1847">
        <v>2900</v>
      </c>
      <c r="AQ1847" t="s">
        <v>129</v>
      </c>
      <c r="AR1847">
        <v>117</v>
      </c>
      <c r="AS1847">
        <v>-56</v>
      </c>
      <c r="AT1847">
        <v>-384</v>
      </c>
      <c r="BB1847">
        <v>1200</v>
      </c>
      <c r="BC1847">
        <v>1</v>
      </c>
      <c r="BD1847" t="str">
        <f t="shared" si="633"/>
        <v xml:space="preserve">N887QR  </v>
      </c>
      <c r="BE1847">
        <v>1</v>
      </c>
      <c r="BG1847">
        <v>0</v>
      </c>
      <c r="BH1847">
        <v>0</v>
      </c>
      <c r="BI1847">
        <v>0</v>
      </c>
      <c r="BJ1847">
        <v>2575</v>
      </c>
      <c r="BK1847">
        <v>-325</v>
      </c>
      <c r="BL1847" t="s">
        <v>163</v>
      </c>
      <c r="BM1847">
        <v>1</v>
      </c>
      <c r="BN1847">
        <v>1</v>
      </c>
      <c r="BO1847">
        <v>1</v>
      </c>
      <c r="BP1847">
        <v>0</v>
      </c>
      <c r="BS1847">
        <v>0</v>
      </c>
      <c r="BT1847">
        <v>0</v>
      </c>
      <c r="BU1847">
        <v>0</v>
      </c>
      <c r="CE1847" t="str">
        <f t="shared" si="649"/>
        <v>19:30:23.783</v>
      </c>
      <c r="CF1847">
        <v>782630493</v>
      </c>
      <c r="CS1847">
        <v>0</v>
      </c>
      <c r="CT1847">
        <v>2</v>
      </c>
      <c r="CU1847">
        <v>0</v>
      </c>
      <c r="CV1847">
        <v>2</v>
      </c>
      <c r="CW1847">
        <v>0</v>
      </c>
      <c r="CX1847">
        <v>5</v>
      </c>
      <c r="CY1847">
        <v>7</v>
      </c>
      <c r="CZ1847" t="s">
        <v>131</v>
      </c>
      <c r="DA1847">
        <v>300</v>
      </c>
      <c r="DB1847">
        <v>0</v>
      </c>
      <c r="DC1847" t="s">
        <v>176</v>
      </c>
      <c r="DD1847" t="s">
        <v>177</v>
      </c>
      <c r="DG1847">
        <v>5396267</v>
      </c>
      <c r="DI1847">
        <v>1</v>
      </c>
      <c r="DJ1847">
        <v>0</v>
      </c>
      <c r="DK1847">
        <v>1</v>
      </c>
      <c r="DL1847">
        <v>0</v>
      </c>
      <c r="DM1847">
        <v>0</v>
      </c>
      <c r="DN1847">
        <v>1</v>
      </c>
      <c r="DO1847">
        <v>0</v>
      </c>
      <c r="DP1847">
        <v>0</v>
      </c>
      <c r="DQ1847">
        <v>0</v>
      </c>
      <c r="DR1847">
        <v>0</v>
      </c>
      <c r="DS1847">
        <v>0</v>
      </c>
    </row>
    <row r="1848" spans="1:123" x14ac:dyDescent="0.3">
      <c r="A1848" t="str">
        <f>"10/04/2022 19:30:24.041"</f>
        <v>10/04/2022 19:30:24.041</v>
      </c>
      <c r="C1848" t="str">
        <f t="shared" si="650"/>
        <v>FFDFD3C0</v>
      </c>
      <c r="D1848" t="s">
        <v>136</v>
      </c>
      <c r="E1848">
        <v>8</v>
      </c>
      <c r="H1848">
        <v>225</v>
      </c>
      <c r="I1848" t="s">
        <v>137</v>
      </c>
      <c r="J1848" t="s">
        <v>138</v>
      </c>
      <c r="K1848">
        <v>0</v>
      </c>
      <c r="L1848">
        <v>3</v>
      </c>
      <c r="M1848">
        <v>0</v>
      </c>
      <c r="N1848">
        <v>2</v>
      </c>
      <c r="O1848">
        <v>0</v>
      </c>
      <c r="P1848">
        <v>1</v>
      </c>
      <c r="Q1848">
        <v>0</v>
      </c>
      <c r="S1848" t="str">
        <f t="shared" si="647"/>
        <v>19:30:23.000</v>
      </c>
      <c r="T1848" t="str">
        <f t="shared" si="647"/>
        <v>19:30:23.000</v>
      </c>
      <c r="U1848" t="str">
        <f t="shared" si="632"/>
        <v>AC3944</v>
      </c>
      <c r="V1848">
        <v>0</v>
      </c>
      <c r="W1848">
        <v>0</v>
      </c>
      <c r="X1848">
        <v>2</v>
      </c>
      <c r="Y1848">
        <v>0</v>
      </c>
      <c r="AA1848">
        <v>1</v>
      </c>
      <c r="AB1848">
        <v>8</v>
      </c>
      <c r="AC1848">
        <v>3</v>
      </c>
      <c r="AD1848">
        <v>0</v>
      </c>
      <c r="AE1848">
        <v>9</v>
      </c>
      <c r="AF1848" t="s">
        <v>138</v>
      </c>
      <c r="AG1848">
        <v>0</v>
      </c>
      <c r="AH1848">
        <v>3</v>
      </c>
      <c r="AI1848">
        <v>1</v>
      </c>
      <c r="AJ1848">
        <v>0</v>
      </c>
      <c r="AK1848" t="s">
        <v>662</v>
      </c>
      <c r="AL1848">
        <v>32.780177999999999</v>
      </c>
      <c r="AM1848" t="s">
        <v>663</v>
      </c>
      <c r="AN1848">
        <v>-116.856337</v>
      </c>
      <c r="AO1848">
        <v>25</v>
      </c>
      <c r="AP1848">
        <v>2900</v>
      </c>
      <c r="AQ1848" t="s">
        <v>129</v>
      </c>
      <c r="AR1848">
        <v>117</v>
      </c>
      <c r="AS1848">
        <v>-56</v>
      </c>
      <c r="AT1848">
        <v>-384</v>
      </c>
      <c r="BB1848">
        <v>1200</v>
      </c>
      <c r="BC1848">
        <v>1</v>
      </c>
      <c r="BD1848" t="str">
        <f t="shared" si="633"/>
        <v xml:space="preserve">N887QR  </v>
      </c>
      <c r="BE1848">
        <v>1</v>
      </c>
      <c r="BG1848">
        <v>0</v>
      </c>
      <c r="BH1848">
        <v>0</v>
      </c>
      <c r="BI1848">
        <v>0</v>
      </c>
      <c r="BJ1848">
        <v>2575</v>
      </c>
      <c r="BK1848">
        <v>-325</v>
      </c>
      <c r="BL1848" t="s">
        <v>163</v>
      </c>
      <c r="BM1848">
        <v>1</v>
      </c>
      <c r="BN1848">
        <v>1</v>
      </c>
      <c r="BO1848">
        <v>1</v>
      </c>
      <c r="BP1848">
        <v>0</v>
      </c>
      <c r="BS1848">
        <v>0</v>
      </c>
      <c r="BT1848">
        <v>0</v>
      </c>
      <c r="BU1848">
        <v>0</v>
      </c>
      <c r="CE1848" t="str">
        <f t="shared" si="649"/>
        <v>19:30:23.783</v>
      </c>
      <c r="CF1848">
        <v>782630493</v>
      </c>
      <c r="CS1848">
        <v>0</v>
      </c>
      <c r="CT1848">
        <v>2</v>
      </c>
      <c r="CU1848">
        <v>0</v>
      </c>
      <c r="CV1848">
        <v>2</v>
      </c>
      <c r="CW1848">
        <v>0</v>
      </c>
      <c r="CX1848">
        <v>5</v>
      </c>
      <c r="CY1848">
        <v>7</v>
      </c>
      <c r="CZ1848" t="s">
        <v>131</v>
      </c>
      <c r="DA1848">
        <v>300</v>
      </c>
      <c r="DB1848">
        <v>0</v>
      </c>
      <c r="DC1848" t="s">
        <v>176</v>
      </c>
      <c r="DD1848" t="s">
        <v>177</v>
      </c>
      <c r="DG1848">
        <v>5396267</v>
      </c>
      <c r="DI1848">
        <v>1</v>
      </c>
      <c r="DJ1848">
        <v>0</v>
      </c>
      <c r="DK1848">
        <v>1</v>
      </c>
      <c r="DL1848">
        <v>0</v>
      </c>
      <c r="DM1848">
        <v>0</v>
      </c>
      <c r="DN1848">
        <v>1</v>
      </c>
      <c r="DO1848">
        <v>0</v>
      </c>
      <c r="DP1848">
        <v>0</v>
      </c>
      <c r="DQ1848">
        <v>0</v>
      </c>
      <c r="DR1848">
        <v>0</v>
      </c>
      <c r="DS1848">
        <v>0</v>
      </c>
    </row>
    <row r="1849" spans="1:123" x14ac:dyDescent="0.3">
      <c r="A1849" t="str">
        <f>"10/04/2022 19:30:24.056"</f>
        <v>10/04/2022 19:30:24.056</v>
      </c>
      <c r="C1849" t="str">
        <f t="shared" si="650"/>
        <v>FFDFD3C0</v>
      </c>
      <c r="D1849" t="s">
        <v>141</v>
      </c>
      <c r="E1849">
        <v>4</v>
      </c>
      <c r="H1849">
        <v>4</v>
      </c>
      <c r="I1849" t="s">
        <v>142</v>
      </c>
      <c r="J1849" t="s">
        <v>138</v>
      </c>
      <c r="K1849">
        <v>0</v>
      </c>
      <c r="L1849">
        <v>3</v>
      </c>
      <c r="M1849">
        <v>0</v>
      </c>
      <c r="N1849">
        <v>2</v>
      </c>
      <c r="O1849">
        <v>0</v>
      </c>
      <c r="P1849">
        <v>1</v>
      </c>
      <c r="Q1849">
        <v>0</v>
      </c>
      <c r="S1849" t="str">
        <f t="shared" si="647"/>
        <v>19:30:23.000</v>
      </c>
      <c r="T1849" t="str">
        <f t="shared" si="647"/>
        <v>19:30:23.000</v>
      </c>
      <c r="U1849" t="str">
        <f t="shared" si="632"/>
        <v>AC3944</v>
      </c>
      <c r="V1849">
        <v>0</v>
      </c>
      <c r="W1849">
        <v>0</v>
      </c>
      <c r="X1849">
        <v>2</v>
      </c>
      <c r="Y1849">
        <v>0</v>
      </c>
      <c r="AA1849">
        <v>1</v>
      </c>
      <c r="AB1849">
        <v>8</v>
      </c>
      <c r="AC1849">
        <v>3</v>
      </c>
      <c r="AD1849">
        <v>0</v>
      </c>
      <c r="AE1849">
        <v>9</v>
      </c>
      <c r="AF1849" t="s">
        <v>138</v>
      </c>
      <c r="AG1849">
        <v>0</v>
      </c>
      <c r="AH1849">
        <v>3</v>
      </c>
      <c r="AI1849">
        <v>1</v>
      </c>
      <c r="AJ1849">
        <v>0</v>
      </c>
      <c r="AK1849" t="s">
        <v>662</v>
      </c>
      <c r="AL1849">
        <v>32.780177999999999</v>
      </c>
      <c r="AM1849" t="s">
        <v>663</v>
      </c>
      <c r="AN1849">
        <v>-116.856337</v>
      </c>
      <c r="AO1849">
        <v>25</v>
      </c>
      <c r="AP1849">
        <v>2900</v>
      </c>
      <c r="AQ1849" t="s">
        <v>129</v>
      </c>
      <c r="AR1849">
        <v>117</v>
      </c>
      <c r="AS1849">
        <v>-56</v>
      </c>
      <c r="AT1849">
        <v>-384</v>
      </c>
      <c r="BB1849">
        <v>1200</v>
      </c>
      <c r="BC1849">
        <v>1</v>
      </c>
      <c r="BD1849" t="str">
        <f t="shared" si="633"/>
        <v xml:space="preserve">N887QR  </v>
      </c>
      <c r="BE1849">
        <v>1</v>
      </c>
      <c r="BG1849">
        <v>0</v>
      </c>
      <c r="BH1849">
        <v>0</v>
      </c>
      <c r="BI1849">
        <v>0</v>
      </c>
      <c r="BJ1849">
        <v>2575</v>
      </c>
      <c r="BK1849">
        <v>-325</v>
      </c>
      <c r="BL1849" t="s">
        <v>163</v>
      </c>
      <c r="BM1849">
        <v>1</v>
      </c>
      <c r="BN1849">
        <v>1</v>
      </c>
      <c r="BO1849">
        <v>1</v>
      </c>
      <c r="BP1849">
        <v>0</v>
      </c>
      <c r="BS1849">
        <v>0</v>
      </c>
      <c r="BT1849">
        <v>0</v>
      </c>
      <c r="BU1849">
        <v>0</v>
      </c>
      <c r="CE1849" t="str">
        <f t="shared" si="649"/>
        <v>19:30:23.783</v>
      </c>
      <c r="CF1849">
        <v>782630493</v>
      </c>
      <c r="CS1849">
        <v>0</v>
      </c>
      <c r="CT1849">
        <v>2</v>
      </c>
      <c r="CU1849">
        <v>0</v>
      </c>
      <c r="CV1849">
        <v>2</v>
      </c>
      <c r="CW1849">
        <v>0</v>
      </c>
      <c r="CX1849">
        <v>5</v>
      </c>
      <c r="CY1849">
        <v>7</v>
      </c>
      <c r="CZ1849" t="s">
        <v>131</v>
      </c>
      <c r="DA1849">
        <v>300</v>
      </c>
      <c r="DB1849">
        <v>0</v>
      </c>
      <c r="DC1849" t="s">
        <v>176</v>
      </c>
      <c r="DD1849" t="s">
        <v>177</v>
      </c>
      <c r="DG1849">
        <v>5396267</v>
      </c>
      <c r="DI1849">
        <v>1</v>
      </c>
      <c r="DJ1849">
        <v>0</v>
      </c>
      <c r="DK1849">
        <v>1</v>
      </c>
      <c r="DL1849">
        <v>0</v>
      </c>
      <c r="DM1849">
        <v>0</v>
      </c>
      <c r="DN1849">
        <v>1</v>
      </c>
      <c r="DO1849">
        <v>0</v>
      </c>
      <c r="DP1849">
        <v>0</v>
      </c>
      <c r="DQ1849">
        <v>0</v>
      </c>
      <c r="DR1849">
        <v>0</v>
      </c>
      <c r="DS1849">
        <v>0</v>
      </c>
    </row>
    <row r="1850" spans="1:123" x14ac:dyDescent="0.3">
      <c r="A1850" t="str">
        <f>"10/04/2022 19:30:25.151"</f>
        <v>10/04/2022 19:30:25.151</v>
      </c>
      <c r="C1850" t="str">
        <f t="shared" si="650"/>
        <v>FFDFD3C0</v>
      </c>
      <c r="D1850" t="s">
        <v>147</v>
      </c>
      <c r="E1850">
        <v>3</v>
      </c>
      <c r="H1850">
        <v>166</v>
      </c>
      <c r="I1850" t="s">
        <v>144</v>
      </c>
      <c r="J1850" t="s">
        <v>148</v>
      </c>
      <c r="K1850">
        <v>0</v>
      </c>
      <c r="L1850">
        <v>3</v>
      </c>
      <c r="M1850">
        <v>0</v>
      </c>
      <c r="N1850">
        <v>2</v>
      </c>
      <c r="O1850">
        <v>0</v>
      </c>
      <c r="P1850">
        <v>1</v>
      </c>
      <c r="Q1850">
        <v>0</v>
      </c>
      <c r="S1850" t="str">
        <f t="shared" ref="S1850:T1856" si="651">"19:30:24.000"</f>
        <v>19:30:24.000</v>
      </c>
      <c r="T1850" t="str">
        <f t="shared" si="651"/>
        <v>19:30:24.000</v>
      </c>
      <c r="U1850" t="str">
        <f t="shared" si="632"/>
        <v>AC3944</v>
      </c>
      <c r="V1850">
        <v>0</v>
      </c>
      <c r="W1850">
        <v>0</v>
      </c>
      <c r="X1850">
        <v>2</v>
      </c>
      <c r="Y1850">
        <v>0</v>
      </c>
      <c r="AA1850">
        <v>1</v>
      </c>
      <c r="AB1850">
        <v>8</v>
      </c>
      <c r="AC1850">
        <v>3</v>
      </c>
      <c r="AD1850">
        <v>0</v>
      </c>
      <c r="AE1850">
        <v>9</v>
      </c>
      <c r="AF1850" t="s">
        <v>138</v>
      </c>
      <c r="AG1850">
        <v>0</v>
      </c>
      <c r="AH1850">
        <v>3</v>
      </c>
      <c r="AI1850">
        <v>1</v>
      </c>
      <c r="AJ1850">
        <v>0</v>
      </c>
      <c r="AK1850" t="s">
        <v>664</v>
      </c>
      <c r="AL1850">
        <v>32.779899</v>
      </c>
      <c r="AM1850" t="s">
        <v>665</v>
      </c>
      <c r="AN1850">
        <v>-116.855693</v>
      </c>
      <c r="AO1850">
        <v>25</v>
      </c>
      <c r="AP1850">
        <v>2900</v>
      </c>
      <c r="AQ1850" t="s">
        <v>129</v>
      </c>
      <c r="AR1850">
        <v>118</v>
      </c>
      <c r="AS1850">
        <v>-54</v>
      </c>
      <c r="AT1850">
        <v>-448</v>
      </c>
      <c r="BB1850">
        <v>1200</v>
      </c>
      <c r="BC1850">
        <v>1</v>
      </c>
      <c r="BD1850" t="str">
        <f t="shared" si="633"/>
        <v xml:space="preserve">N887QR  </v>
      </c>
      <c r="BE1850">
        <v>1</v>
      </c>
      <c r="BG1850">
        <v>0</v>
      </c>
      <c r="BH1850">
        <v>0</v>
      </c>
      <c r="BI1850">
        <v>0</v>
      </c>
      <c r="BJ1850">
        <v>2575</v>
      </c>
      <c r="BK1850">
        <v>-325</v>
      </c>
      <c r="BL1850" t="s">
        <v>163</v>
      </c>
      <c r="BM1850">
        <v>1</v>
      </c>
      <c r="BN1850">
        <v>1</v>
      </c>
      <c r="BO1850">
        <v>1</v>
      </c>
      <c r="BP1850">
        <v>0</v>
      </c>
      <c r="BS1850">
        <v>0</v>
      </c>
      <c r="BT1850">
        <v>0</v>
      </c>
      <c r="BU1850">
        <v>0</v>
      </c>
      <c r="CE1850" t="str">
        <f t="shared" ref="CE1850:CE1856" si="652">"19:30:24.968"</f>
        <v>19:30:24.968</v>
      </c>
      <c r="CF1850">
        <v>968134440</v>
      </c>
      <c r="CS1850">
        <v>0</v>
      </c>
      <c r="CT1850">
        <v>2</v>
      </c>
      <c r="CU1850">
        <v>0</v>
      </c>
      <c r="CV1850">
        <v>2</v>
      </c>
      <c r="CW1850">
        <v>0</v>
      </c>
      <c r="CX1850">
        <v>5</v>
      </c>
      <c r="CY1850">
        <v>7</v>
      </c>
      <c r="CZ1850" t="s">
        <v>131</v>
      </c>
      <c r="DA1850">
        <v>300</v>
      </c>
      <c r="DB1850">
        <v>0</v>
      </c>
      <c r="DC1850" t="s">
        <v>176</v>
      </c>
      <c r="DD1850" t="s">
        <v>177</v>
      </c>
      <c r="DG1850">
        <v>5396448</v>
      </c>
      <c r="DI1850">
        <v>1</v>
      </c>
      <c r="DJ1850">
        <v>0</v>
      </c>
      <c r="DK1850">
        <v>0</v>
      </c>
      <c r="DL1850">
        <v>0</v>
      </c>
      <c r="DM1850">
        <v>0</v>
      </c>
      <c r="DN1850">
        <v>1</v>
      </c>
      <c r="DO1850">
        <v>0</v>
      </c>
      <c r="DP1850">
        <v>0</v>
      </c>
      <c r="DQ1850">
        <v>0</v>
      </c>
      <c r="DR1850">
        <v>0</v>
      </c>
      <c r="DS1850">
        <v>0</v>
      </c>
    </row>
    <row r="1851" spans="1:123" x14ac:dyDescent="0.3">
      <c r="A1851" t="str">
        <f>"10/04/2022 19:30:25.167"</f>
        <v>10/04/2022 19:30:25.167</v>
      </c>
      <c r="C1851" t="str">
        <f t="shared" si="650"/>
        <v>FFDFD3C0</v>
      </c>
      <c r="D1851" t="s">
        <v>123</v>
      </c>
      <c r="E1851">
        <v>7</v>
      </c>
      <c r="F1851">
        <v>2007</v>
      </c>
      <c r="G1851" t="s">
        <v>124</v>
      </c>
      <c r="J1851" t="s">
        <v>125</v>
      </c>
      <c r="K1851">
        <v>0</v>
      </c>
      <c r="L1851">
        <v>3</v>
      </c>
      <c r="M1851">
        <v>0</v>
      </c>
      <c r="N1851">
        <v>2</v>
      </c>
      <c r="O1851">
        <v>0</v>
      </c>
      <c r="P1851">
        <v>1</v>
      </c>
      <c r="Q1851">
        <v>0</v>
      </c>
      <c r="S1851" t="str">
        <f t="shared" si="651"/>
        <v>19:30:24.000</v>
      </c>
      <c r="T1851" t="str">
        <f t="shared" si="651"/>
        <v>19:30:24.000</v>
      </c>
      <c r="U1851" t="str">
        <f t="shared" si="632"/>
        <v>AC3944</v>
      </c>
      <c r="V1851">
        <v>0</v>
      </c>
      <c r="W1851">
        <v>0</v>
      </c>
      <c r="X1851">
        <v>2</v>
      </c>
      <c r="Y1851">
        <v>0</v>
      </c>
      <c r="AA1851">
        <v>1</v>
      </c>
      <c r="AB1851">
        <v>8</v>
      </c>
      <c r="AC1851">
        <v>3</v>
      </c>
      <c r="AD1851">
        <v>0</v>
      </c>
      <c r="AE1851">
        <v>9</v>
      </c>
      <c r="AF1851" t="s">
        <v>138</v>
      </c>
      <c r="AG1851">
        <v>0</v>
      </c>
      <c r="AH1851">
        <v>3</v>
      </c>
      <c r="AI1851">
        <v>1</v>
      </c>
      <c r="AJ1851">
        <v>0</v>
      </c>
      <c r="AK1851" t="s">
        <v>664</v>
      </c>
      <c r="AL1851">
        <v>32.779899</v>
      </c>
      <c r="AM1851" t="s">
        <v>665</v>
      </c>
      <c r="AN1851">
        <v>-116.855693</v>
      </c>
      <c r="AO1851">
        <v>25</v>
      </c>
      <c r="AP1851">
        <v>2900</v>
      </c>
      <c r="AQ1851" t="s">
        <v>129</v>
      </c>
      <c r="AR1851">
        <v>118</v>
      </c>
      <c r="AS1851">
        <v>-54</v>
      </c>
      <c r="AT1851">
        <v>-448</v>
      </c>
      <c r="BB1851">
        <v>1200</v>
      </c>
      <c r="BC1851">
        <v>1</v>
      </c>
      <c r="BD1851" t="str">
        <f t="shared" si="633"/>
        <v xml:space="preserve">N887QR  </v>
      </c>
      <c r="BE1851">
        <v>1</v>
      </c>
      <c r="BG1851">
        <v>0</v>
      </c>
      <c r="BH1851">
        <v>0</v>
      </c>
      <c r="BI1851">
        <v>0</v>
      </c>
      <c r="BJ1851">
        <v>2575</v>
      </c>
      <c r="BK1851">
        <v>-325</v>
      </c>
      <c r="BL1851" t="s">
        <v>163</v>
      </c>
      <c r="BM1851">
        <v>1</v>
      </c>
      <c r="BN1851">
        <v>1</v>
      </c>
      <c r="BO1851">
        <v>1</v>
      </c>
      <c r="BP1851">
        <v>0</v>
      </c>
      <c r="BS1851">
        <v>0</v>
      </c>
      <c r="BT1851">
        <v>0</v>
      </c>
      <c r="BU1851">
        <v>0</v>
      </c>
      <c r="CE1851" t="str">
        <f t="shared" si="652"/>
        <v>19:30:24.968</v>
      </c>
      <c r="CF1851">
        <v>968134440</v>
      </c>
      <c r="CS1851">
        <v>0</v>
      </c>
      <c r="CT1851">
        <v>2</v>
      </c>
      <c r="CU1851">
        <v>0</v>
      </c>
      <c r="CV1851">
        <v>2</v>
      </c>
      <c r="CW1851">
        <v>0</v>
      </c>
      <c r="CX1851">
        <v>5</v>
      </c>
      <c r="CY1851">
        <v>7</v>
      </c>
      <c r="CZ1851" t="s">
        <v>131</v>
      </c>
      <c r="DA1851">
        <v>300</v>
      </c>
      <c r="DB1851">
        <v>0</v>
      </c>
      <c r="DC1851" t="s">
        <v>176</v>
      </c>
      <c r="DD1851" t="s">
        <v>177</v>
      </c>
      <c r="DG1851">
        <v>5396448</v>
      </c>
      <c r="DI1851">
        <v>1</v>
      </c>
      <c r="DJ1851">
        <v>0</v>
      </c>
      <c r="DK1851">
        <v>1</v>
      </c>
      <c r="DL1851">
        <v>0</v>
      </c>
      <c r="DM1851">
        <v>0</v>
      </c>
      <c r="DN1851">
        <v>1</v>
      </c>
      <c r="DO1851">
        <v>0</v>
      </c>
      <c r="DP1851">
        <v>0</v>
      </c>
      <c r="DQ1851">
        <v>0</v>
      </c>
      <c r="DR1851">
        <v>0</v>
      </c>
      <c r="DS1851">
        <v>0</v>
      </c>
    </row>
    <row r="1852" spans="1:123" x14ac:dyDescent="0.3">
      <c r="A1852" t="str">
        <f>"10/04/2022 19:30:25.167"</f>
        <v>10/04/2022 19:30:25.167</v>
      </c>
      <c r="C1852" t="str">
        <f t="shared" si="650"/>
        <v>FFDFD3C0</v>
      </c>
      <c r="D1852" t="s">
        <v>141</v>
      </c>
      <c r="E1852">
        <v>3</v>
      </c>
      <c r="H1852">
        <v>3</v>
      </c>
      <c r="I1852" t="s">
        <v>146</v>
      </c>
      <c r="J1852" t="s">
        <v>138</v>
      </c>
      <c r="K1852">
        <v>0</v>
      </c>
      <c r="L1852">
        <v>3</v>
      </c>
      <c r="M1852">
        <v>0</v>
      </c>
      <c r="N1852">
        <v>2</v>
      </c>
      <c r="O1852">
        <v>0</v>
      </c>
      <c r="P1852">
        <v>1</v>
      </c>
      <c r="Q1852">
        <v>0</v>
      </c>
      <c r="S1852" t="str">
        <f t="shared" si="651"/>
        <v>19:30:24.000</v>
      </c>
      <c r="T1852" t="str">
        <f t="shared" si="651"/>
        <v>19:30:24.000</v>
      </c>
      <c r="U1852" t="str">
        <f t="shared" si="632"/>
        <v>AC3944</v>
      </c>
      <c r="V1852">
        <v>0</v>
      </c>
      <c r="W1852">
        <v>0</v>
      </c>
      <c r="X1852">
        <v>2</v>
      </c>
      <c r="Y1852">
        <v>0</v>
      </c>
      <c r="AA1852">
        <v>1</v>
      </c>
      <c r="AB1852">
        <v>8</v>
      </c>
      <c r="AC1852">
        <v>3</v>
      </c>
      <c r="AD1852">
        <v>0</v>
      </c>
      <c r="AE1852">
        <v>9</v>
      </c>
      <c r="AF1852" t="s">
        <v>138</v>
      </c>
      <c r="AG1852">
        <v>0</v>
      </c>
      <c r="AH1852">
        <v>3</v>
      </c>
      <c r="AI1852">
        <v>1</v>
      </c>
      <c r="AJ1852">
        <v>0</v>
      </c>
      <c r="AK1852" t="s">
        <v>664</v>
      </c>
      <c r="AL1852">
        <v>32.779899</v>
      </c>
      <c r="AM1852" t="s">
        <v>665</v>
      </c>
      <c r="AN1852">
        <v>-116.855693</v>
      </c>
      <c r="AO1852">
        <v>25</v>
      </c>
      <c r="AP1852">
        <v>2900</v>
      </c>
      <c r="AQ1852" t="s">
        <v>129</v>
      </c>
      <c r="AR1852">
        <v>118</v>
      </c>
      <c r="AS1852">
        <v>-54</v>
      </c>
      <c r="AT1852">
        <v>-448</v>
      </c>
      <c r="BB1852">
        <v>1200</v>
      </c>
      <c r="BC1852">
        <v>1</v>
      </c>
      <c r="BD1852" t="str">
        <f t="shared" si="633"/>
        <v xml:space="preserve">N887QR  </v>
      </c>
      <c r="BE1852">
        <v>1</v>
      </c>
      <c r="BG1852">
        <v>0</v>
      </c>
      <c r="BH1852">
        <v>0</v>
      </c>
      <c r="BI1852">
        <v>0</v>
      </c>
      <c r="BJ1852">
        <v>2575</v>
      </c>
      <c r="BK1852">
        <v>-325</v>
      </c>
      <c r="BL1852" t="s">
        <v>163</v>
      </c>
      <c r="BM1852">
        <v>1</v>
      </c>
      <c r="BN1852">
        <v>1</v>
      </c>
      <c r="BO1852">
        <v>1</v>
      </c>
      <c r="BP1852">
        <v>0</v>
      </c>
      <c r="BS1852">
        <v>0</v>
      </c>
      <c r="BT1852">
        <v>0</v>
      </c>
      <c r="BU1852">
        <v>0</v>
      </c>
      <c r="CE1852" t="str">
        <f t="shared" si="652"/>
        <v>19:30:24.968</v>
      </c>
      <c r="CF1852">
        <v>968134440</v>
      </c>
      <c r="CS1852">
        <v>0</v>
      </c>
      <c r="CT1852">
        <v>2</v>
      </c>
      <c r="CU1852">
        <v>0</v>
      </c>
      <c r="CV1852">
        <v>2</v>
      </c>
      <c r="CW1852">
        <v>0</v>
      </c>
      <c r="CX1852">
        <v>5</v>
      </c>
      <c r="CY1852">
        <v>7</v>
      </c>
      <c r="CZ1852" t="s">
        <v>131</v>
      </c>
      <c r="DA1852">
        <v>300</v>
      </c>
      <c r="DB1852">
        <v>0</v>
      </c>
      <c r="DC1852" t="s">
        <v>176</v>
      </c>
      <c r="DD1852" t="s">
        <v>177</v>
      </c>
      <c r="DG1852">
        <v>5396448</v>
      </c>
      <c r="DI1852">
        <v>1</v>
      </c>
      <c r="DJ1852">
        <v>0</v>
      </c>
      <c r="DK1852">
        <v>1</v>
      </c>
      <c r="DL1852">
        <v>0</v>
      </c>
      <c r="DM1852">
        <v>0</v>
      </c>
      <c r="DN1852">
        <v>1</v>
      </c>
      <c r="DO1852">
        <v>0</v>
      </c>
      <c r="DP1852">
        <v>0</v>
      </c>
      <c r="DQ1852">
        <v>0</v>
      </c>
      <c r="DR1852">
        <v>0</v>
      </c>
      <c r="DS1852">
        <v>0</v>
      </c>
    </row>
    <row r="1853" spans="1:123" x14ac:dyDescent="0.3">
      <c r="A1853" t="str">
        <f>"10/04/2022 19:30:25.167"</f>
        <v>10/04/2022 19:30:25.167</v>
      </c>
      <c r="C1853" t="str">
        <f t="shared" si="650"/>
        <v>FFDFD3C0</v>
      </c>
      <c r="D1853" t="s">
        <v>136</v>
      </c>
      <c r="E1853">
        <v>8</v>
      </c>
      <c r="H1853">
        <v>225</v>
      </c>
      <c r="I1853" t="s">
        <v>137</v>
      </c>
      <c r="J1853" t="s">
        <v>138</v>
      </c>
      <c r="K1853">
        <v>0</v>
      </c>
      <c r="L1853">
        <v>3</v>
      </c>
      <c r="M1853">
        <v>0</v>
      </c>
      <c r="N1853">
        <v>2</v>
      </c>
      <c r="O1853">
        <v>0</v>
      </c>
      <c r="P1853">
        <v>1</v>
      </c>
      <c r="Q1853">
        <v>0</v>
      </c>
      <c r="S1853" t="str">
        <f t="shared" si="651"/>
        <v>19:30:24.000</v>
      </c>
      <c r="T1853" t="str">
        <f t="shared" si="651"/>
        <v>19:30:24.000</v>
      </c>
      <c r="U1853" t="str">
        <f t="shared" si="632"/>
        <v>AC3944</v>
      </c>
      <c r="V1853">
        <v>0</v>
      </c>
      <c r="W1853">
        <v>0</v>
      </c>
      <c r="X1853">
        <v>2</v>
      </c>
      <c r="Y1853">
        <v>0</v>
      </c>
      <c r="AA1853">
        <v>1</v>
      </c>
      <c r="AB1853">
        <v>8</v>
      </c>
      <c r="AC1853">
        <v>3</v>
      </c>
      <c r="AD1853">
        <v>0</v>
      </c>
      <c r="AE1853">
        <v>9</v>
      </c>
      <c r="AF1853" t="s">
        <v>138</v>
      </c>
      <c r="AG1853">
        <v>0</v>
      </c>
      <c r="AH1853">
        <v>3</v>
      </c>
      <c r="AI1853">
        <v>1</v>
      </c>
      <c r="AJ1853">
        <v>0</v>
      </c>
      <c r="AK1853" t="s">
        <v>664</v>
      </c>
      <c r="AL1853">
        <v>32.779899</v>
      </c>
      <c r="AM1853" t="s">
        <v>665</v>
      </c>
      <c r="AN1853">
        <v>-116.855693</v>
      </c>
      <c r="AO1853">
        <v>25</v>
      </c>
      <c r="AP1853">
        <v>2900</v>
      </c>
      <c r="AQ1853" t="s">
        <v>129</v>
      </c>
      <c r="AR1853">
        <v>118</v>
      </c>
      <c r="AS1853">
        <v>-54</v>
      </c>
      <c r="AT1853">
        <v>-448</v>
      </c>
      <c r="BB1853">
        <v>1200</v>
      </c>
      <c r="BC1853">
        <v>1</v>
      </c>
      <c r="BD1853" t="str">
        <f t="shared" si="633"/>
        <v xml:space="preserve">N887QR  </v>
      </c>
      <c r="BE1853">
        <v>1</v>
      </c>
      <c r="BG1853">
        <v>0</v>
      </c>
      <c r="BH1853">
        <v>0</v>
      </c>
      <c r="BI1853">
        <v>0</v>
      </c>
      <c r="BJ1853">
        <v>2575</v>
      </c>
      <c r="BK1853">
        <v>-325</v>
      </c>
      <c r="BL1853" t="s">
        <v>163</v>
      </c>
      <c r="BM1853">
        <v>1</v>
      </c>
      <c r="BN1853">
        <v>1</v>
      </c>
      <c r="BO1853">
        <v>1</v>
      </c>
      <c r="BP1853">
        <v>0</v>
      </c>
      <c r="BS1853">
        <v>0</v>
      </c>
      <c r="BT1853">
        <v>0</v>
      </c>
      <c r="BU1853">
        <v>0</v>
      </c>
      <c r="CE1853" t="str">
        <f t="shared" si="652"/>
        <v>19:30:24.968</v>
      </c>
      <c r="CF1853">
        <v>968134440</v>
      </c>
      <c r="CS1853">
        <v>0</v>
      </c>
      <c r="CT1853">
        <v>2</v>
      </c>
      <c r="CU1853">
        <v>0</v>
      </c>
      <c r="CV1853">
        <v>2</v>
      </c>
      <c r="CW1853">
        <v>0</v>
      </c>
      <c r="CX1853">
        <v>5</v>
      </c>
      <c r="CY1853">
        <v>7</v>
      </c>
      <c r="CZ1853" t="s">
        <v>131</v>
      </c>
      <c r="DA1853">
        <v>300</v>
      </c>
      <c r="DB1853">
        <v>0</v>
      </c>
      <c r="DC1853" t="s">
        <v>176</v>
      </c>
      <c r="DD1853" t="s">
        <v>177</v>
      </c>
      <c r="DG1853">
        <v>5396448</v>
      </c>
      <c r="DI1853">
        <v>1</v>
      </c>
      <c r="DJ1853">
        <v>0</v>
      </c>
      <c r="DK1853">
        <v>1</v>
      </c>
      <c r="DL1853">
        <v>0</v>
      </c>
      <c r="DM1853">
        <v>0</v>
      </c>
      <c r="DN1853">
        <v>1</v>
      </c>
      <c r="DO1853">
        <v>0</v>
      </c>
      <c r="DP1853">
        <v>0</v>
      </c>
      <c r="DQ1853">
        <v>0</v>
      </c>
      <c r="DR1853">
        <v>0</v>
      </c>
      <c r="DS1853">
        <v>0</v>
      </c>
    </row>
    <row r="1854" spans="1:123" x14ac:dyDescent="0.3">
      <c r="A1854" t="str">
        <f>"10/04/2022 19:30:25.167"</f>
        <v>10/04/2022 19:30:25.167</v>
      </c>
      <c r="C1854" t="str">
        <f t="shared" si="650"/>
        <v>FFDFD3C0</v>
      </c>
      <c r="D1854" t="s">
        <v>134</v>
      </c>
      <c r="E1854">
        <v>15</v>
      </c>
      <c r="J1854" t="s">
        <v>135</v>
      </c>
      <c r="K1854">
        <v>0</v>
      </c>
      <c r="L1854">
        <v>3</v>
      </c>
      <c r="M1854">
        <v>0</v>
      </c>
      <c r="N1854">
        <v>2</v>
      </c>
      <c r="O1854">
        <v>0</v>
      </c>
      <c r="P1854">
        <v>1</v>
      </c>
      <c r="Q1854">
        <v>0</v>
      </c>
      <c r="S1854" t="str">
        <f t="shared" si="651"/>
        <v>19:30:24.000</v>
      </c>
      <c r="T1854" t="str">
        <f t="shared" si="651"/>
        <v>19:30:24.000</v>
      </c>
      <c r="U1854" t="str">
        <f t="shared" si="632"/>
        <v>AC3944</v>
      </c>
      <c r="V1854">
        <v>0</v>
      </c>
      <c r="W1854">
        <v>0</v>
      </c>
      <c r="X1854">
        <v>2</v>
      </c>
      <c r="Y1854">
        <v>0</v>
      </c>
      <c r="AA1854">
        <v>1</v>
      </c>
      <c r="AB1854">
        <v>8</v>
      </c>
      <c r="AC1854">
        <v>3</v>
      </c>
      <c r="AD1854">
        <v>0</v>
      </c>
      <c r="AE1854">
        <v>9</v>
      </c>
      <c r="AF1854" t="s">
        <v>138</v>
      </c>
      <c r="AG1854">
        <v>0</v>
      </c>
      <c r="AH1854">
        <v>3</v>
      </c>
      <c r="AI1854">
        <v>1</v>
      </c>
      <c r="AJ1854">
        <v>0</v>
      </c>
      <c r="AK1854" t="s">
        <v>664</v>
      </c>
      <c r="AL1854">
        <v>32.779899</v>
      </c>
      <c r="AM1854" t="s">
        <v>665</v>
      </c>
      <c r="AN1854">
        <v>-116.855693</v>
      </c>
      <c r="AO1854">
        <v>25</v>
      </c>
      <c r="AP1854">
        <v>2900</v>
      </c>
      <c r="AQ1854" t="s">
        <v>129</v>
      </c>
      <c r="AR1854">
        <v>118</v>
      </c>
      <c r="AS1854">
        <v>-54</v>
      </c>
      <c r="AT1854">
        <v>-448</v>
      </c>
      <c r="BB1854">
        <v>1200</v>
      </c>
      <c r="BC1854">
        <v>1</v>
      </c>
      <c r="BD1854" t="str">
        <f t="shared" si="633"/>
        <v xml:space="preserve">N887QR  </v>
      </c>
      <c r="BE1854">
        <v>1</v>
      </c>
      <c r="BG1854">
        <v>0</v>
      </c>
      <c r="BH1854">
        <v>0</v>
      </c>
      <c r="BI1854">
        <v>0</v>
      </c>
      <c r="BJ1854">
        <v>2575</v>
      </c>
      <c r="BK1854">
        <v>-325</v>
      </c>
      <c r="BL1854" t="s">
        <v>163</v>
      </c>
      <c r="BM1854">
        <v>1</v>
      </c>
      <c r="BN1854">
        <v>1</v>
      </c>
      <c r="BO1854">
        <v>1</v>
      </c>
      <c r="BP1854">
        <v>0</v>
      </c>
      <c r="BS1854">
        <v>0</v>
      </c>
      <c r="BT1854">
        <v>0</v>
      </c>
      <c r="BU1854">
        <v>0</v>
      </c>
      <c r="CE1854" t="str">
        <f t="shared" si="652"/>
        <v>19:30:24.968</v>
      </c>
      <c r="CF1854">
        <v>968134440</v>
      </c>
      <c r="CS1854">
        <v>0</v>
      </c>
      <c r="CT1854">
        <v>2</v>
      </c>
      <c r="CU1854">
        <v>0</v>
      </c>
      <c r="CV1854">
        <v>2</v>
      </c>
      <c r="CW1854">
        <v>0</v>
      </c>
      <c r="CX1854">
        <v>5</v>
      </c>
      <c r="CY1854">
        <v>7</v>
      </c>
      <c r="CZ1854" t="s">
        <v>131</v>
      </c>
      <c r="DA1854">
        <v>300</v>
      </c>
      <c r="DB1854">
        <v>0</v>
      </c>
      <c r="DC1854" t="s">
        <v>176</v>
      </c>
      <c r="DD1854" t="s">
        <v>177</v>
      </c>
      <c r="DG1854">
        <v>5396448</v>
      </c>
      <c r="DI1854">
        <v>1</v>
      </c>
      <c r="DJ1854">
        <v>0</v>
      </c>
      <c r="DK1854">
        <v>1</v>
      </c>
      <c r="DL1854">
        <v>0</v>
      </c>
      <c r="DM1854">
        <v>0</v>
      </c>
      <c r="DN1854">
        <v>1</v>
      </c>
      <c r="DO1854">
        <v>0</v>
      </c>
      <c r="DP1854">
        <v>0</v>
      </c>
      <c r="DQ1854">
        <v>0</v>
      </c>
      <c r="DR1854">
        <v>0</v>
      </c>
      <c r="DS1854">
        <v>0</v>
      </c>
    </row>
    <row r="1855" spans="1:123" x14ac:dyDescent="0.3">
      <c r="A1855" t="str">
        <f>"10/04/2022 19:30:25.167"</f>
        <v>10/04/2022 19:30:25.167</v>
      </c>
      <c r="C1855" t="str">
        <f t="shared" si="650"/>
        <v>FFDFD3C0</v>
      </c>
      <c r="D1855" t="s">
        <v>141</v>
      </c>
      <c r="E1855">
        <v>4</v>
      </c>
      <c r="H1855">
        <v>4</v>
      </c>
      <c r="I1855" t="s">
        <v>142</v>
      </c>
      <c r="J1855" t="s">
        <v>138</v>
      </c>
      <c r="K1855">
        <v>0</v>
      </c>
      <c r="L1855">
        <v>3</v>
      </c>
      <c r="M1855">
        <v>0</v>
      </c>
      <c r="N1855">
        <v>2</v>
      </c>
      <c r="O1855">
        <v>0</v>
      </c>
      <c r="P1855">
        <v>1</v>
      </c>
      <c r="Q1855">
        <v>0</v>
      </c>
      <c r="S1855" t="str">
        <f t="shared" si="651"/>
        <v>19:30:24.000</v>
      </c>
      <c r="T1855" t="str">
        <f t="shared" si="651"/>
        <v>19:30:24.000</v>
      </c>
      <c r="U1855" t="str">
        <f t="shared" si="632"/>
        <v>AC3944</v>
      </c>
      <c r="V1855">
        <v>0</v>
      </c>
      <c r="W1855">
        <v>0</v>
      </c>
      <c r="X1855">
        <v>2</v>
      </c>
      <c r="Y1855">
        <v>0</v>
      </c>
      <c r="AA1855">
        <v>1</v>
      </c>
      <c r="AB1855">
        <v>8</v>
      </c>
      <c r="AC1855">
        <v>3</v>
      </c>
      <c r="AD1855">
        <v>0</v>
      </c>
      <c r="AE1855">
        <v>9</v>
      </c>
      <c r="AF1855" t="s">
        <v>138</v>
      </c>
      <c r="AG1855">
        <v>0</v>
      </c>
      <c r="AH1855">
        <v>3</v>
      </c>
      <c r="AI1855">
        <v>1</v>
      </c>
      <c r="AJ1855">
        <v>0</v>
      </c>
      <c r="AK1855" t="s">
        <v>664</v>
      </c>
      <c r="AL1855">
        <v>32.779899</v>
      </c>
      <c r="AM1855" t="s">
        <v>665</v>
      </c>
      <c r="AN1855">
        <v>-116.855693</v>
      </c>
      <c r="AO1855">
        <v>25</v>
      </c>
      <c r="AP1855">
        <v>2900</v>
      </c>
      <c r="AQ1855" t="s">
        <v>129</v>
      </c>
      <c r="AR1855">
        <v>118</v>
      </c>
      <c r="AS1855">
        <v>-54</v>
      </c>
      <c r="AT1855">
        <v>-448</v>
      </c>
      <c r="BB1855">
        <v>1200</v>
      </c>
      <c r="BC1855">
        <v>1</v>
      </c>
      <c r="BD1855" t="str">
        <f t="shared" si="633"/>
        <v xml:space="preserve">N887QR  </v>
      </c>
      <c r="BE1855">
        <v>1</v>
      </c>
      <c r="BG1855">
        <v>0</v>
      </c>
      <c r="BH1855">
        <v>0</v>
      </c>
      <c r="BI1855">
        <v>0</v>
      </c>
      <c r="BJ1855">
        <v>2575</v>
      </c>
      <c r="BK1855">
        <v>-325</v>
      </c>
      <c r="BL1855" t="s">
        <v>163</v>
      </c>
      <c r="BM1855">
        <v>1</v>
      </c>
      <c r="BN1855">
        <v>1</v>
      </c>
      <c r="BO1855">
        <v>1</v>
      </c>
      <c r="BP1855">
        <v>0</v>
      </c>
      <c r="BS1855">
        <v>0</v>
      </c>
      <c r="BT1855">
        <v>0</v>
      </c>
      <c r="BU1855">
        <v>0</v>
      </c>
      <c r="CE1855" t="str">
        <f t="shared" si="652"/>
        <v>19:30:24.968</v>
      </c>
      <c r="CF1855">
        <v>968134440</v>
      </c>
      <c r="CS1855">
        <v>0</v>
      </c>
      <c r="CT1855">
        <v>2</v>
      </c>
      <c r="CU1855">
        <v>0</v>
      </c>
      <c r="CV1855">
        <v>2</v>
      </c>
      <c r="CW1855">
        <v>0</v>
      </c>
      <c r="CX1855">
        <v>5</v>
      </c>
      <c r="CY1855">
        <v>7</v>
      </c>
      <c r="CZ1855" t="s">
        <v>131</v>
      </c>
      <c r="DA1855">
        <v>300</v>
      </c>
      <c r="DB1855">
        <v>0</v>
      </c>
      <c r="DC1855" t="s">
        <v>176</v>
      </c>
      <c r="DD1855" t="s">
        <v>177</v>
      </c>
      <c r="DG1855">
        <v>5396448</v>
      </c>
      <c r="DI1855">
        <v>1</v>
      </c>
      <c r="DJ1855">
        <v>0</v>
      </c>
      <c r="DK1855">
        <v>1</v>
      </c>
      <c r="DL1855">
        <v>0</v>
      </c>
      <c r="DM1855">
        <v>0</v>
      </c>
      <c r="DN1855">
        <v>1</v>
      </c>
      <c r="DO1855">
        <v>0</v>
      </c>
      <c r="DP1855">
        <v>0</v>
      </c>
      <c r="DQ1855">
        <v>0</v>
      </c>
      <c r="DR1855">
        <v>0</v>
      </c>
      <c r="DS1855">
        <v>0</v>
      </c>
    </row>
    <row r="1856" spans="1:123" x14ac:dyDescent="0.3">
      <c r="A1856" t="str">
        <f>"10/04/2022 19:30:25.182"</f>
        <v>10/04/2022 19:30:25.182</v>
      </c>
      <c r="C1856" t="str">
        <f t="shared" si="650"/>
        <v>FFDFD3C0</v>
      </c>
      <c r="D1856" t="s">
        <v>143</v>
      </c>
      <c r="E1856">
        <v>20</v>
      </c>
      <c r="F1856">
        <v>1020</v>
      </c>
      <c r="G1856" t="s">
        <v>144</v>
      </c>
      <c r="J1856" t="s">
        <v>145</v>
      </c>
      <c r="K1856">
        <v>0</v>
      </c>
      <c r="L1856">
        <v>3</v>
      </c>
      <c r="M1856">
        <v>0</v>
      </c>
      <c r="N1856">
        <v>2</v>
      </c>
      <c r="O1856">
        <v>0</v>
      </c>
      <c r="P1856">
        <v>1</v>
      </c>
      <c r="Q1856">
        <v>0</v>
      </c>
      <c r="S1856" t="str">
        <f t="shared" si="651"/>
        <v>19:30:24.000</v>
      </c>
      <c r="T1856" t="str">
        <f t="shared" si="651"/>
        <v>19:30:24.000</v>
      </c>
      <c r="U1856" t="str">
        <f t="shared" si="632"/>
        <v>AC3944</v>
      </c>
      <c r="V1856">
        <v>0</v>
      </c>
      <c r="W1856">
        <v>0</v>
      </c>
      <c r="X1856">
        <v>2</v>
      </c>
      <c r="Y1856">
        <v>0</v>
      </c>
      <c r="AA1856">
        <v>1</v>
      </c>
      <c r="AB1856">
        <v>8</v>
      </c>
      <c r="AC1856">
        <v>3</v>
      </c>
      <c r="AD1856">
        <v>0</v>
      </c>
      <c r="AE1856">
        <v>9</v>
      </c>
      <c r="AF1856" t="s">
        <v>138</v>
      </c>
      <c r="AG1856">
        <v>0</v>
      </c>
      <c r="AH1856">
        <v>3</v>
      </c>
      <c r="AI1856">
        <v>1</v>
      </c>
      <c r="AJ1856">
        <v>0</v>
      </c>
      <c r="AK1856" t="s">
        <v>664</v>
      </c>
      <c r="AL1856">
        <v>32.779899</v>
      </c>
      <c r="AM1856" t="s">
        <v>665</v>
      </c>
      <c r="AN1856">
        <v>-116.855693</v>
      </c>
      <c r="AO1856">
        <v>25</v>
      </c>
      <c r="AP1856">
        <v>2900</v>
      </c>
      <c r="AQ1856" t="s">
        <v>129</v>
      </c>
      <c r="AR1856">
        <v>118</v>
      </c>
      <c r="AS1856">
        <v>-54</v>
      </c>
      <c r="AT1856">
        <v>-448</v>
      </c>
      <c r="BB1856">
        <v>1200</v>
      </c>
      <c r="BC1856">
        <v>1</v>
      </c>
      <c r="BD1856" t="str">
        <f t="shared" si="633"/>
        <v xml:space="preserve">N887QR  </v>
      </c>
      <c r="BE1856">
        <v>1</v>
      </c>
      <c r="BG1856">
        <v>0</v>
      </c>
      <c r="BH1856">
        <v>0</v>
      </c>
      <c r="BI1856">
        <v>0</v>
      </c>
      <c r="BJ1856">
        <v>2575</v>
      </c>
      <c r="BK1856">
        <v>-325</v>
      </c>
      <c r="BL1856" t="s">
        <v>163</v>
      </c>
      <c r="BM1856">
        <v>1</v>
      </c>
      <c r="BN1856">
        <v>1</v>
      </c>
      <c r="BO1856">
        <v>1</v>
      </c>
      <c r="BP1856">
        <v>0</v>
      </c>
      <c r="BS1856">
        <v>0</v>
      </c>
      <c r="BT1856">
        <v>0</v>
      </c>
      <c r="BU1856">
        <v>0</v>
      </c>
      <c r="CE1856" t="str">
        <f t="shared" si="652"/>
        <v>19:30:24.968</v>
      </c>
      <c r="CF1856">
        <v>968134440</v>
      </c>
      <c r="CS1856">
        <v>0</v>
      </c>
      <c r="CT1856">
        <v>2</v>
      </c>
      <c r="CU1856">
        <v>0</v>
      </c>
      <c r="CV1856">
        <v>2</v>
      </c>
      <c r="CW1856">
        <v>0</v>
      </c>
      <c r="CX1856">
        <v>5</v>
      </c>
      <c r="CY1856">
        <v>7</v>
      </c>
      <c r="CZ1856" t="s">
        <v>131</v>
      </c>
      <c r="DA1856">
        <v>300</v>
      </c>
      <c r="DB1856">
        <v>0</v>
      </c>
      <c r="DC1856" t="s">
        <v>176</v>
      </c>
      <c r="DD1856" t="s">
        <v>177</v>
      </c>
      <c r="DG1856">
        <v>5396448</v>
      </c>
      <c r="DI1856">
        <v>1</v>
      </c>
      <c r="DJ1856">
        <v>0</v>
      </c>
      <c r="DK1856">
        <v>1</v>
      </c>
      <c r="DL1856">
        <v>0</v>
      </c>
      <c r="DM1856">
        <v>0</v>
      </c>
      <c r="DN1856">
        <v>1</v>
      </c>
      <c r="DO1856">
        <v>0</v>
      </c>
      <c r="DP1856">
        <v>0</v>
      </c>
      <c r="DQ1856">
        <v>0</v>
      </c>
      <c r="DR1856">
        <v>0</v>
      </c>
      <c r="DS1856">
        <v>0</v>
      </c>
    </row>
    <row r="1857" spans="1:123" x14ac:dyDescent="0.3">
      <c r="A1857" t="str">
        <f t="shared" ref="A1857:A1863" si="653">"10/04/2022 19:30:26.229"</f>
        <v>10/04/2022 19:30:26.229</v>
      </c>
      <c r="C1857" t="str">
        <f t="shared" si="650"/>
        <v>FFDFD3C0</v>
      </c>
      <c r="D1857" t="s">
        <v>123</v>
      </c>
      <c r="E1857">
        <v>7</v>
      </c>
      <c r="F1857">
        <v>2007</v>
      </c>
      <c r="G1857" t="s">
        <v>124</v>
      </c>
      <c r="J1857" t="s">
        <v>125</v>
      </c>
      <c r="K1857">
        <v>0</v>
      </c>
      <c r="L1857">
        <v>3</v>
      </c>
      <c r="M1857">
        <v>0</v>
      </c>
      <c r="N1857">
        <v>2</v>
      </c>
      <c r="O1857">
        <v>0</v>
      </c>
      <c r="P1857">
        <v>1</v>
      </c>
      <c r="Q1857">
        <v>0</v>
      </c>
      <c r="S1857" t="str">
        <f t="shared" ref="S1857:T1863" si="654">"19:30:26.000"</f>
        <v>19:30:26.000</v>
      </c>
      <c r="T1857" t="str">
        <f t="shared" si="654"/>
        <v>19:30:26.000</v>
      </c>
      <c r="U1857" t="str">
        <f t="shared" si="632"/>
        <v>AC3944</v>
      </c>
      <c r="V1857">
        <v>0</v>
      </c>
      <c r="W1857">
        <v>0</v>
      </c>
      <c r="X1857">
        <v>2</v>
      </c>
      <c r="Y1857">
        <v>0</v>
      </c>
      <c r="AA1857">
        <v>1</v>
      </c>
      <c r="AB1857">
        <v>8</v>
      </c>
      <c r="AC1857">
        <v>3</v>
      </c>
      <c r="AD1857">
        <v>0</v>
      </c>
      <c r="AE1857">
        <v>9</v>
      </c>
      <c r="AF1857" t="s">
        <v>138</v>
      </c>
      <c r="AG1857">
        <v>0</v>
      </c>
      <c r="AH1857">
        <v>3</v>
      </c>
      <c r="AI1857">
        <v>1</v>
      </c>
      <c r="AJ1857">
        <v>0</v>
      </c>
      <c r="AK1857" t="s">
        <v>666</v>
      </c>
      <c r="AL1857">
        <v>32.779705999999997</v>
      </c>
      <c r="AM1857" t="s">
        <v>667</v>
      </c>
      <c r="AN1857">
        <v>-116.855178</v>
      </c>
      <c r="AO1857">
        <v>25</v>
      </c>
      <c r="AP1857">
        <v>2900</v>
      </c>
      <c r="AQ1857" t="s">
        <v>129</v>
      </c>
      <c r="AR1857">
        <v>120</v>
      </c>
      <c r="AS1857">
        <v>-52</v>
      </c>
      <c r="AT1857">
        <v>-448</v>
      </c>
      <c r="BB1857">
        <v>1200</v>
      </c>
      <c r="BC1857">
        <v>1</v>
      </c>
      <c r="BD1857" t="str">
        <f t="shared" si="633"/>
        <v xml:space="preserve">N887QR  </v>
      </c>
      <c r="BE1857">
        <v>1</v>
      </c>
      <c r="BG1857">
        <v>0</v>
      </c>
      <c r="BH1857">
        <v>0</v>
      </c>
      <c r="BI1857">
        <v>0</v>
      </c>
      <c r="BJ1857">
        <v>2550</v>
      </c>
      <c r="BK1857">
        <v>-350</v>
      </c>
      <c r="BL1857" t="s">
        <v>163</v>
      </c>
      <c r="BM1857">
        <v>1</v>
      </c>
      <c r="BN1857">
        <v>1</v>
      </c>
      <c r="BO1857">
        <v>1</v>
      </c>
      <c r="BP1857">
        <v>0</v>
      </c>
      <c r="BS1857">
        <v>0</v>
      </c>
      <c r="BT1857">
        <v>0</v>
      </c>
      <c r="BU1857">
        <v>0</v>
      </c>
      <c r="CE1857" t="str">
        <f t="shared" ref="CE1857:CE1863" si="655">"19:30:26.027"</f>
        <v>19:30:26.027</v>
      </c>
      <c r="CF1857">
        <v>26637994</v>
      </c>
      <c r="CS1857">
        <v>0</v>
      </c>
      <c r="CT1857">
        <v>2</v>
      </c>
      <c r="CU1857">
        <v>0</v>
      </c>
      <c r="CV1857">
        <v>2</v>
      </c>
      <c r="CW1857">
        <v>0</v>
      </c>
      <c r="CX1857">
        <v>5</v>
      </c>
      <c r="CY1857">
        <v>7</v>
      </c>
      <c r="CZ1857" t="s">
        <v>131</v>
      </c>
      <c r="DA1857">
        <v>300</v>
      </c>
      <c r="DB1857">
        <v>0</v>
      </c>
      <c r="DC1857" t="s">
        <v>176</v>
      </c>
      <c r="DD1857" t="s">
        <v>177</v>
      </c>
      <c r="DG1857">
        <v>5396610</v>
      </c>
      <c r="DI1857">
        <v>1</v>
      </c>
      <c r="DJ1857">
        <v>0</v>
      </c>
      <c r="DK1857">
        <v>0</v>
      </c>
      <c r="DL1857">
        <v>0</v>
      </c>
      <c r="DM1857">
        <v>0</v>
      </c>
      <c r="DN1857">
        <v>1</v>
      </c>
      <c r="DO1857">
        <v>0</v>
      </c>
      <c r="DP1857">
        <v>0</v>
      </c>
      <c r="DQ1857">
        <v>0</v>
      </c>
      <c r="DR1857">
        <v>0</v>
      </c>
      <c r="DS1857">
        <v>0</v>
      </c>
    </row>
    <row r="1858" spans="1:123" x14ac:dyDescent="0.3">
      <c r="A1858" t="str">
        <f t="shared" si="653"/>
        <v>10/04/2022 19:30:26.229</v>
      </c>
      <c r="C1858" t="str">
        <f t="shared" si="650"/>
        <v>FFDFD3C0</v>
      </c>
      <c r="D1858" t="s">
        <v>147</v>
      </c>
      <c r="E1858">
        <v>3</v>
      </c>
      <c r="H1858">
        <v>166</v>
      </c>
      <c r="I1858" t="s">
        <v>144</v>
      </c>
      <c r="J1858" t="s">
        <v>148</v>
      </c>
      <c r="K1858">
        <v>0</v>
      </c>
      <c r="L1858">
        <v>3</v>
      </c>
      <c r="M1858">
        <v>0</v>
      </c>
      <c r="N1858">
        <v>2</v>
      </c>
      <c r="O1858">
        <v>0</v>
      </c>
      <c r="P1858">
        <v>1</v>
      </c>
      <c r="Q1858">
        <v>0</v>
      </c>
      <c r="S1858" t="str">
        <f t="shared" si="654"/>
        <v>19:30:26.000</v>
      </c>
      <c r="T1858" t="str">
        <f t="shared" si="654"/>
        <v>19:30:26.000</v>
      </c>
      <c r="U1858" t="str">
        <f t="shared" ref="U1858:U1921" si="656">"AC3944"</f>
        <v>AC3944</v>
      </c>
      <c r="V1858">
        <v>0</v>
      </c>
      <c r="W1858">
        <v>0</v>
      </c>
      <c r="X1858">
        <v>2</v>
      </c>
      <c r="Y1858">
        <v>0</v>
      </c>
      <c r="AA1858">
        <v>1</v>
      </c>
      <c r="AB1858">
        <v>8</v>
      </c>
      <c r="AC1858">
        <v>3</v>
      </c>
      <c r="AD1858">
        <v>0</v>
      </c>
      <c r="AE1858">
        <v>9</v>
      </c>
      <c r="AF1858" t="s">
        <v>138</v>
      </c>
      <c r="AG1858">
        <v>0</v>
      </c>
      <c r="AH1858">
        <v>3</v>
      </c>
      <c r="AI1858">
        <v>1</v>
      </c>
      <c r="AJ1858">
        <v>0</v>
      </c>
      <c r="AK1858" t="s">
        <v>666</v>
      </c>
      <c r="AL1858">
        <v>32.779705999999997</v>
      </c>
      <c r="AM1858" t="s">
        <v>667</v>
      </c>
      <c r="AN1858">
        <v>-116.855178</v>
      </c>
      <c r="AO1858">
        <v>25</v>
      </c>
      <c r="AP1858">
        <v>2900</v>
      </c>
      <c r="AQ1858" t="s">
        <v>129</v>
      </c>
      <c r="AR1858">
        <v>120</v>
      </c>
      <c r="AS1858">
        <v>-52</v>
      </c>
      <c r="AT1858">
        <v>-448</v>
      </c>
      <c r="BB1858">
        <v>1200</v>
      </c>
      <c r="BC1858">
        <v>1</v>
      </c>
      <c r="BD1858" t="str">
        <f t="shared" ref="BD1858:BD1921" si="657">"N887QR  "</f>
        <v xml:space="preserve">N887QR  </v>
      </c>
      <c r="BE1858">
        <v>1</v>
      </c>
      <c r="BG1858">
        <v>0</v>
      </c>
      <c r="BH1858">
        <v>0</v>
      </c>
      <c r="BI1858">
        <v>0</v>
      </c>
      <c r="BJ1858">
        <v>2550</v>
      </c>
      <c r="BK1858">
        <v>-350</v>
      </c>
      <c r="BL1858" t="s">
        <v>163</v>
      </c>
      <c r="BM1858">
        <v>1</v>
      </c>
      <c r="BN1858">
        <v>1</v>
      </c>
      <c r="BO1858">
        <v>1</v>
      </c>
      <c r="BP1858">
        <v>0</v>
      </c>
      <c r="BS1858">
        <v>0</v>
      </c>
      <c r="BT1858">
        <v>0</v>
      </c>
      <c r="BU1858">
        <v>0</v>
      </c>
      <c r="CE1858" t="str">
        <f t="shared" si="655"/>
        <v>19:30:26.027</v>
      </c>
      <c r="CF1858">
        <v>26637994</v>
      </c>
      <c r="CS1858">
        <v>0</v>
      </c>
      <c r="CT1858">
        <v>2</v>
      </c>
      <c r="CU1858">
        <v>0</v>
      </c>
      <c r="CV1858">
        <v>2</v>
      </c>
      <c r="CW1858">
        <v>0</v>
      </c>
      <c r="CX1858">
        <v>5</v>
      </c>
      <c r="CY1858">
        <v>7</v>
      </c>
      <c r="CZ1858" t="s">
        <v>131</v>
      </c>
      <c r="DA1858">
        <v>300</v>
      </c>
      <c r="DB1858">
        <v>0</v>
      </c>
      <c r="DC1858" t="s">
        <v>176</v>
      </c>
      <c r="DD1858" t="s">
        <v>177</v>
      </c>
      <c r="DG1858">
        <v>5396610</v>
      </c>
      <c r="DI1858">
        <v>1</v>
      </c>
      <c r="DJ1858">
        <v>0</v>
      </c>
      <c r="DK1858">
        <v>1</v>
      </c>
      <c r="DL1858">
        <v>0</v>
      </c>
      <c r="DM1858">
        <v>0</v>
      </c>
      <c r="DN1858">
        <v>1</v>
      </c>
      <c r="DO1858">
        <v>0</v>
      </c>
      <c r="DP1858">
        <v>0</v>
      </c>
      <c r="DQ1858">
        <v>0</v>
      </c>
      <c r="DR1858">
        <v>0</v>
      </c>
      <c r="DS1858">
        <v>0</v>
      </c>
    </row>
    <row r="1859" spans="1:123" x14ac:dyDescent="0.3">
      <c r="A1859" t="str">
        <f t="shared" si="653"/>
        <v>10/04/2022 19:30:26.229</v>
      </c>
      <c r="C1859" t="str">
        <f t="shared" si="650"/>
        <v>FFDFD3C0</v>
      </c>
      <c r="D1859" t="s">
        <v>141</v>
      </c>
      <c r="E1859">
        <v>3</v>
      </c>
      <c r="H1859">
        <v>3</v>
      </c>
      <c r="I1859" t="s">
        <v>146</v>
      </c>
      <c r="J1859" t="s">
        <v>138</v>
      </c>
      <c r="K1859">
        <v>0</v>
      </c>
      <c r="L1859">
        <v>3</v>
      </c>
      <c r="M1859">
        <v>0</v>
      </c>
      <c r="N1859">
        <v>2</v>
      </c>
      <c r="O1859">
        <v>0</v>
      </c>
      <c r="P1859">
        <v>1</v>
      </c>
      <c r="Q1859">
        <v>0</v>
      </c>
      <c r="S1859" t="str">
        <f t="shared" si="654"/>
        <v>19:30:26.000</v>
      </c>
      <c r="T1859" t="str">
        <f t="shared" si="654"/>
        <v>19:30:26.000</v>
      </c>
      <c r="U1859" t="str">
        <f t="shared" si="656"/>
        <v>AC3944</v>
      </c>
      <c r="V1859">
        <v>0</v>
      </c>
      <c r="W1859">
        <v>0</v>
      </c>
      <c r="X1859">
        <v>2</v>
      </c>
      <c r="Y1859">
        <v>0</v>
      </c>
      <c r="AA1859">
        <v>1</v>
      </c>
      <c r="AB1859">
        <v>8</v>
      </c>
      <c r="AC1859">
        <v>3</v>
      </c>
      <c r="AD1859">
        <v>0</v>
      </c>
      <c r="AE1859">
        <v>9</v>
      </c>
      <c r="AF1859" t="s">
        <v>138</v>
      </c>
      <c r="AG1859">
        <v>0</v>
      </c>
      <c r="AH1859">
        <v>3</v>
      </c>
      <c r="AI1859">
        <v>1</v>
      </c>
      <c r="AJ1859">
        <v>0</v>
      </c>
      <c r="AK1859" t="s">
        <v>666</v>
      </c>
      <c r="AL1859">
        <v>32.779705999999997</v>
      </c>
      <c r="AM1859" t="s">
        <v>667</v>
      </c>
      <c r="AN1859">
        <v>-116.855178</v>
      </c>
      <c r="AO1859">
        <v>25</v>
      </c>
      <c r="AP1859">
        <v>2900</v>
      </c>
      <c r="AQ1859" t="s">
        <v>129</v>
      </c>
      <c r="AR1859">
        <v>120</v>
      </c>
      <c r="AS1859">
        <v>-52</v>
      </c>
      <c r="AT1859">
        <v>-448</v>
      </c>
      <c r="BB1859">
        <v>1200</v>
      </c>
      <c r="BC1859">
        <v>1</v>
      </c>
      <c r="BD1859" t="str">
        <f t="shared" si="657"/>
        <v xml:space="preserve">N887QR  </v>
      </c>
      <c r="BE1859">
        <v>1</v>
      </c>
      <c r="BG1859">
        <v>0</v>
      </c>
      <c r="BH1859">
        <v>0</v>
      </c>
      <c r="BI1859">
        <v>0</v>
      </c>
      <c r="BJ1859">
        <v>2550</v>
      </c>
      <c r="BK1859">
        <v>-350</v>
      </c>
      <c r="BL1859" t="s">
        <v>163</v>
      </c>
      <c r="BM1859">
        <v>1</v>
      </c>
      <c r="BN1859">
        <v>1</v>
      </c>
      <c r="BO1859">
        <v>1</v>
      </c>
      <c r="BP1859">
        <v>0</v>
      </c>
      <c r="BS1859">
        <v>0</v>
      </c>
      <c r="BT1859">
        <v>0</v>
      </c>
      <c r="BU1859">
        <v>0</v>
      </c>
      <c r="CE1859" t="str">
        <f t="shared" si="655"/>
        <v>19:30:26.027</v>
      </c>
      <c r="CF1859">
        <v>26637994</v>
      </c>
      <c r="CS1859">
        <v>0</v>
      </c>
      <c r="CT1859">
        <v>2</v>
      </c>
      <c r="CU1859">
        <v>0</v>
      </c>
      <c r="CV1859">
        <v>2</v>
      </c>
      <c r="CW1859">
        <v>0</v>
      </c>
      <c r="CX1859">
        <v>5</v>
      </c>
      <c r="CY1859">
        <v>7</v>
      </c>
      <c r="CZ1859" t="s">
        <v>131</v>
      </c>
      <c r="DA1859">
        <v>300</v>
      </c>
      <c r="DB1859">
        <v>0</v>
      </c>
      <c r="DC1859" t="s">
        <v>176</v>
      </c>
      <c r="DD1859" t="s">
        <v>177</v>
      </c>
      <c r="DG1859">
        <v>5396610</v>
      </c>
      <c r="DI1859">
        <v>1</v>
      </c>
      <c r="DJ1859">
        <v>0</v>
      </c>
      <c r="DK1859">
        <v>1</v>
      </c>
      <c r="DL1859">
        <v>0</v>
      </c>
      <c r="DM1859">
        <v>0</v>
      </c>
      <c r="DN1859">
        <v>1</v>
      </c>
      <c r="DO1859">
        <v>0</v>
      </c>
      <c r="DP1859">
        <v>0</v>
      </c>
      <c r="DQ1859">
        <v>0</v>
      </c>
      <c r="DR1859">
        <v>0</v>
      </c>
      <c r="DS1859">
        <v>0</v>
      </c>
    </row>
    <row r="1860" spans="1:123" x14ac:dyDescent="0.3">
      <c r="A1860" t="str">
        <f t="shared" si="653"/>
        <v>10/04/2022 19:30:26.229</v>
      </c>
      <c r="C1860" t="str">
        <f t="shared" si="650"/>
        <v>FFDFD3C0</v>
      </c>
      <c r="D1860" t="s">
        <v>136</v>
      </c>
      <c r="E1860">
        <v>8</v>
      </c>
      <c r="H1860">
        <v>225</v>
      </c>
      <c r="I1860" t="s">
        <v>137</v>
      </c>
      <c r="J1860" t="s">
        <v>138</v>
      </c>
      <c r="K1860">
        <v>0</v>
      </c>
      <c r="L1860">
        <v>3</v>
      </c>
      <c r="M1860">
        <v>0</v>
      </c>
      <c r="N1860">
        <v>2</v>
      </c>
      <c r="O1860">
        <v>0</v>
      </c>
      <c r="P1860">
        <v>1</v>
      </c>
      <c r="Q1860">
        <v>0</v>
      </c>
      <c r="S1860" t="str">
        <f t="shared" si="654"/>
        <v>19:30:26.000</v>
      </c>
      <c r="T1860" t="str">
        <f t="shared" si="654"/>
        <v>19:30:26.000</v>
      </c>
      <c r="U1860" t="str">
        <f t="shared" si="656"/>
        <v>AC3944</v>
      </c>
      <c r="V1860">
        <v>0</v>
      </c>
      <c r="W1860">
        <v>0</v>
      </c>
      <c r="X1860">
        <v>2</v>
      </c>
      <c r="Y1860">
        <v>0</v>
      </c>
      <c r="AA1860">
        <v>1</v>
      </c>
      <c r="AB1860">
        <v>8</v>
      </c>
      <c r="AC1860">
        <v>3</v>
      </c>
      <c r="AD1860">
        <v>0</v>
      </c>
      <c r="AE1860">
        <v>9</v>
      </c>
      <c r="AF1860" t="s">
        <v>138</v>
      </c>
      <c r="AG1860">
        <v>0</v>
      </c>
      <c r="AH1860">
        <v>3</v>
      </c>
      <c r="AI1860">
        <v>1</v>
      </c>
      <c r="AJ1860">
        <v>0</v>
      </c>
      <c r="AK1860" t="s">
        <v>666</v>
      </c>
      <c r="AL1860">
        <v>32.779705999999997</v>
      </c>
      <c r="AM1860" t="s">
        <v>667</v>
      </c>
      <c r="AN1860">
        <v>-116.855178</v>
      </c>
      <c r="AO1860">
        <v>25</v>
      </c>
      <c r="AP1860">
        <v>2900</v>
      </c>
      <c r="AQ1860" t="s">
        <v>129</v>
      </c>
      <c r="AR1860">
        <v>120</v>
      </c>
      <c r="AS1860">
        <v>-52</v>
      </c>
      <c r="AT1860">
        <v>-448</v>
      </c>
      <c r="BB1860">
        <v>1200</v>
      </c>
      <c r="BC1860">
        <v>1</v>
      </c>
      <c r="BD1860" t="str">
        <f t="shared" si="657"/>
        <v xml:space="preserve">N887QR  </v>
      </c>
      <c r="BE1860">
        <v>1</v>
      </c>
      <c r="BG1860">
        <v>0</v>
      </c>
      <c r="BH1860">
        <v>0</v>
      </c>
      <c r="BI1860">
        <v>0</v>
      </c>
      <c r="BJ1860">
        <v>2550</v>
      </c>
      <c r="BK1860">
        <v>-350</v>
      </c>
      <c r="BL1860" t="s">
        <v>163</v>
      </c>
      <c r="BM1860">
        <v>1</v>
      </c>
      <c r="BN1860">
        <v>1</v>
      </c>
      <c r="BO1860">
        <v>1</v>
      </c>
      <c r="BP1860">
        <v>0</v>
      </c>
      <c r="BS1860">
        <v>0</v>
      </c>
      <c r="BT1860">
        <v>0</v>
      </c>
      <c r="BU1860">
        <v>0</v>
      </c>
      <c r="CE1860" t="str">
        <f t="shared" si="655"/>
        <v>19:30:26.027</v>
      </c>
      <c r="CF1860">
        <v>26637994</v>
      </c>
      <c r="CS1860">
        <v>0</v>
      </c>
      <c r="CT1860">
        <v>2</v>
      </c>
      <c r="CU1860">
        <v>0</v>
      </c>
      <c r="CV1860">
        <v>2</v>
      </c>
      <c r="CW1860">
        <v>0</v>
      </c>
      <c r="CX1860">
        <v>5</v>
      </c>
      <c r="CY1860">
        <v>7</v>
      </c>
      <c r="CZ1860" t="s">
        <v>131</v>
      </c>
      <c r="DA1860">
        <v>300</v>
      </c>
      <c r="DB1860">
        <v>0</v>
      </c>
      <c r="DC1860" t="s">
        <v>176</v>
      </c>
      <c r="DD1860" t="s">
        <v>177</v>
      </c>
      <c r="DG1860">
        <v>5396610</v>
      </c>
      <c r="DI1860">
        <v>1</v>
      </c>
      <c r="DJ1860">
        <v>0</v>
      </c>
      <c r="DK1860">
        <v>1</v>
      </c>
      <c r="DL1860">
        <v>0</v>
      </c>
      <c r="DM1860">
        <v>0</v>
      </c>
      <c r="DN1860">
        <v>1</v>
      </c>
      <c r="DO1860">
        <v>0</v>
      </c>
      <c r="DP1860">
        <v>0</v>
      </c>
      <c r="DQ1860">
        <v>0</v>
      </c>
      <c r="DR1860">
        <v>0</v>
      </c>
      <c r="DS1860">
        <v>0</v>
      </c>
    </row>
    <row r="1861" spans="1:123" x14ac:dyDescent="0.3">
      <c r="A1861" t="str">
        <f t="shared" si="653"/>
        <v>10/04/2022 19:30:26.229</v>
      </c>
      <c r="C1861" t="str">
        <f t="shared" si="650"/>
        <v>FFDFD3C0</v>
      </c>
      <c r="D1861" t="s">
        <v>134</v>
      </c>
      <c r="E1861">
        <v>15</v>
      </c>
      <c r="J1861" t="s">
        <v>135</v>
      </c>
      <c r="K1861">
        <v>0</v>
      </c>
      <c r="L1861">
        <v>3</v>
      </c>
      <c r="M1861">
        <v>0</v>
      </c>
      <c r="N1861">
        <v>2</v>
      </c>
      <c r="O1861">
        <v>0</v>
      </c>
      <c r="P1861">
        <v>1</v>
      </c>
      <c r="Q1861">
        <v>0</v>
      </c>
      <c r="S1861" t="str">
        <f t="shared" si="654"/>
        <v>19:30:26.000</v>
      </c>
      <c r="T1861" t="str">
        <f t="shared" si="654"/>
        <v>19:30:26.000</v>
      </c>
      <c r="U1861" t="str">
        <f t="shared" si="656"/>
        <v>AC3944</v>
      </c>
      <c r="V1861">
        <v>0</v>
      </c>
      <c r="W1861">
        <v>0</v>
      </c>
      <c r="X1861">
        <v>2</v>
      </c>
      <c r="Y1861">
        <v>0</v>
      </c>
      <c r="AA1861">
        <v>1</v>
      </c>
      <c r="AB1861">
        <v>8</v>
      </c>
      <c r="AC1861">
        <v>3</v>
      </c>
      <c r="AD1861">
        <v>0</v>
      </c>
      <c r="AE1861">
        <v>9</v>
      </c>
      <c r="AF1861" t="s">
        <v>138</v>
      </c>
      <c r="AG1861">
        <v>0</v>
      </c>
      <c r="AH1861">
        <v>3</v>
      </c>
      <c r="AI1861">
        <v>1</v>
      </c>
      <c r="AJ1861">
        <v>0</v>
      </c>
      <c r="AK1861" t="s">
        <v>666</v>
      </c>
      <c r="AL1861">
        <v>32.779705999999997</v>
      </c>
      <c r="AM1861" t="s">
        <v>667</v>
      </c>
      <c r="AN1861">
        <v>-116.855178</v>
      </c>
      <c r="AO1861">
        <v>25</v>
      </c>
      <c r="AP1861">
        <v>2900</v>
      </c>
      <c r="AQ1861" t="s">
        <v>129</v>
      </c>
      <c r="AR1861">
        <v>120</v>
      </c>
      <c r="AS1861">
        <v>-52</v>
      </c>
      <c r="AT1861">
        <v>-448</v>
      </c>
      <c r="BB1861">
        <v>1200</v>
      </c>
      <c r="BC1861">
        <v>1</v>
      </c>
      <c r="BD1861" t="str">
        <f t="shared" si="657"/>
        <v xml:space="preserve">N887QR  </v>
      </c>
      <c r="BE1861">
        <v>1</v>
      </c>
      <c r="BG1861">
        <v>0</v>
      </c>
      <c r="BH1861">
        <v>0</v>
      </c>
      <c r="BI1861">
        <v>0</v>
      </c>
      <c r="BJ1861">
        <v>2550</v>
      </c>
      <c r="BK1861">
        <v>-350</v>
      </c>
      <c r="BL1861" t="s">
        <v>163</v>
      </c>
      <c r="BM1861">
        <v>1</v>
      </c>
      <c r="BN1861">
        <v>1</v>
      </c>
      <c r="BO1861">
        <v>1</v>
      </c>
      <c r="BP1861">
        <v>0</v>
      </c>
      <c r="BS1861">
        <v>0</v>
      </c>
      <c r="BT1861">
        <v>0</v>
      </c>
      <c r="BU1861">
        <v>0</v>
      </c>
      <c r="CE1861" t="str">
        <f t="shared" si="655"/>
        <v>19:30:26.027</v>
      </c>
      <c r="CF1861">
        <v>26637994</v>
      </c>
      <c r="CS1861">
        <v>0</v>
      </c>
      <c r="CT1861">
        <v>2</v>
      </c>
      <c r="CU1861">
        <v>0</v>
      </c>
      <c r="CV1861">
        <v>2</v>
      </c>
      <c r="CW1861">
        <v>0</v>
      </c>
      <c r="CX1861">
        <v>5</v>
      </c>
      <c r="CY1861">
        <v>7</v>
      </c>
      <c r="CZ1861" t="s">
        <v>131</v>
      </c>
      <c r="DA1861">
        <v>300</v>
      </c>
      <c r="DB1861">
        <v>0</v>
      </c>
      <c r="DC1861" t="s">
        <v>176</v>
      </c>
      <c r="DD1861" t="s">
        <v>177</v>
      </c>
      <c r="DG1861">
        <v>5396610</v>
      </c>
      <c r="DI1861">
        <v>1</v>
      </c>
      <c r="DJ1861">
        <v>0</v>
      </c>
      <c r="DK1861">
        <v>1</v>
      </c>
      <c r="DL1861">
        <v>0</v>
      </c>
      <c r="DM1861">
        <v>0</v>
      </c>
      <c r="DN1861">
        <v>1</v>
      </c>
      <c r="DO1861">
        <v>0</v>
      </c>
      <c r="DP1861">
        <v>0</v>
      </c>
      <c r="DQ1861">
        <v>0</v>
      </c>
      <c r="DR1861">
        <v>0</v>
      </c>
      <c r="DS1861">
        <v>0</v>
      </c>
    </row>
    <row r="1862" spans="1:123" x14ac:dyDescent="0.3">
      <c r="A1862" t="str">
        <f t="shared" si="653"/>
        <v>10/04/2022 19:30:26.229</v>
      </c>
      <c r="C1862" t="str">
        <f t="shared" si="650"/>
        <v>FFDFD3C0</v>
      </c>
      <c r="D1862" t="s">
        <v>141</v>
      </c>
      <c r="E1862">
        <v>4</v>
      </c>
      <c r="H1862">
        <v>4</v>
      </c>
      <c r="I1862" t="s">
        <v>142</v>
      </c>
      <c r="J1862" t="s">
        <v>138</v>
      </c>
      <c r="K1862">
        <v>0</v>
      </c>
      <c r="L1862">
        <v>3</v>
      </c>
      <c r="M1862">
        <v>0</v>
      </c>
      <c r="N1862">
        <v>2</v>
      </c>
      <c r="O1862">
        <v>0</v>
      </c>
      <c r="P1862">
        <v>1</v>
      </c>
      <c r="Q1862">
        <v>0</v>
      </c>
      <c r="S1862" t="str">
        <f t="shared" si="654"/>
        <v>19:30:26.000</v>
      </c>
      <c r="T1862" t="str">
        <f t="shared" si="654"/>
        <v>19:30:26.000</v>
      </c>
      <c r="U1862" t="str">
        <f t="shared" si="656"/>
        <v>AC3944</v>
      </c>
      <c r="V1862">
        <v>0</v>
      </c>
      <c r="W1862">
        <v>0</v>
      </c>
      <c r="X1862">
        <v>2</v>
      </c>
      <c r="Y1862">
        <v>0</v>
      </c>
      <c r="AA1862">
        <v>1</v>
      </c>
      <c r="AB1862">
        <v>8</v>
      </c>
      <c r="AC1862">
        <v>3</v>
      </c>
      <c r="AD1862">
        <v>0</v>
      </c>
      <c r="AE1862">
        <v>9</v>
      </c>
      <c r="AF1862" t="s">
        <v>138</v>
      </c>
      <c r="AG1862">
        <v>0</v>
      </c>
      <c r="AH1862">
        <v>3</v>
      </c>
      <c r="AI1862">
        <v>1</v>
      </c>
      <c r="AJ1862">
        <v>0</v>
      </c>
      <c r="AK1862" t="s">
        <v>666</v>
      </c>
      <c r="AL1862">
        <v>32.779705999999997</v>
      </c>
      <c r="AM1862" t="s">
        <v>667</v>
      </c>
      <c r="AN1862">
        <v>-116.855178</v>
      </c>
      <c r="AO1862">
        <v>25</v>
      </c>
      <c r="AP1862">
        <v>2900</v>
      </c>
      <c r="AQ1862" t="s">
        <v>129</v>
      </c>
      <c r="AR1862">
        <v>120</v>
      </c>
      <c r="AS1862">
        <v>-52</v>
      </c>
      <c r="AT1862">
        <v>-448</v>
      </c>
      <c r="BB1862">
        <v>1200</v>
      </c>
      <c r="BC1862">
        <v>1</v>
      </c>
      <c r="BD1862" t="str">
        <f t="shared" si="657"/>
        <v xml:space="preserve">N887QR  </v>
      </c>
      <c r="BE1862">
        <v>1</v>
      </c>
      <c r="BG1862">
        <v>0</v>
      </c>
      <c r="BH1862">
        <v>0</v>
      </c>
      <c r="BI1862">
        <v>0</v>
      </c>
      <c r="BJ1862">
        <v>2550</v>
      </c>
      <c r="BK1862">
        <v>-350</v>
      </c>
      <c r="BL1862" t="s">
        <v>163</v>
      </c>
      <c r="BM1862">
        <v>1</v>
      </c>
      <c r="BN1862">
        <v>1</v>
      </c>
      <c r="BO1862">
        <v>1</v>
      </c>
      <c r="BP1862">
        <v>0</v>
      </c>
      <c r="BS1862">
        <v>0</v>
      </c>
      <c r="BT1862">
        <v>0</v>
      </c>
      <c r="BU1862">
        <v>0</v>
      </c>
      <c r="CE1862" t="str">
        <f t="shared" si="655"/>
        <v>19:30:26.027</v>
      </c>
      <c r="CF1862">
        <v>26637994</v>
      </c>
      <c r="CS1862">
        <v>0</v>
      </c>
      <c r="CT1862">
        <v>2</v>
      </c>
      <c r="CU1862">
        <v>0</v>
      </c>
      <c r="CV1862">
        <v>2</v>
      </c>
      <c r="CW1862">
        <v>0</v>
      </c>
      <c r="CX1862">
        <v>5</v>
      </c>
      <c r="CY1862">
        <v>7</v>
      </c>
      <c r="CZ1862" t="s">
        <v>131</v>
      </c>
      <c r="DA1862">
        <v>300</v>
      </c>
      <c r="DB1862">
        <v>0</v>
      </c>
      <c r="DC1862" t="s">
        <v>176</v>
      </c>
      <c r="DD1862" t="s">
        <v>177</v>
      </c>
      <c r="DG1862">
        <v>5396610</v>
      </c>
      <c r="DI1862">
        <v>1</v>
      </c>
      <c r="DJ1862">
        <v>0</v>
      </c>
      <c r="DK1862">
        <v>1</v>
      </c>
      <c r="DL1862">
        <v>0</v>
      </c>
      <c r="DM1862">
        <v>0</v>
      </c>
      <c r="DN1862">
        <v>1</v>
      </c>
      <c r="DO1862">
        <v>0</v>
      </c>
      <c r="DP1862">
        <v>0</v>
      </c>
      <c r="DQ1862">
        <v>0</v>
      </c>
      <c r="DR1862">
        <v>0</v>
      </c>
      <c r="DS1862">
        <v>0</v>
      </c>
    </row>
    <row r="1863" spans="1:123" x14ac:dyDescent="0.3">
      <c r="A1863" t="str">
        <f t="shared" si="653"/>
        <v>10/04/2022 19:30:26.229</v>
      </c>
      <c r="C1863" t="str">
        <f t="shared" si="650"/>
        <v>FFDFD3C0</v>
      </c>
      <c r="D1863" t="s">
        <v>143</v>
      </c>
      <c r="E1863">
        <v>20</v>
      </c>
      <c r="F1863">
        <v>1020</v>
      </c>
      <c r="G1863" t="s">
        <v>144</v>
      </c>
      <c r="J1863" t="s">
        <v>145</v>
      </c>
      <c r="K1863">
        <v>0</v>
      </c>
      <c r="L1863">
        <v>3</v>
      </c>
      <c r="M1863">
        <v>0</v>
      </c>
      <c r="N1863">
        <v>2</v>
      </c>
      <c r="O1863">
        <v>0</v>
      </c>
      <c r="P1863">
        <v>1</v>
      </c>
      <c r="Q1863">
        <v>0</v>
      </c>
      <c r="S1863" t="str">
        <f t="shared" si="654"/>
        <v>19:30:26.000</v>
      </c>
      <c r="T1863" t="str">
        <f t="shared" si="654"/>
        <v>19:30:26.000</v>
      </c>
      <c r="U1863" t="str">
        <f t="shared" si="656"/>
        <v>AC3944</v>
      </c>
      <c r="V1863">
        <v>0</v>
      </c>
      <c r="W1863">
        <v>0</v>
      </c>
      <c r="X1863">
        <v>2</v>
      </c>
      <c r="Y1863">
        <v>0</v>
      </c>
      <c r="AA1863">
        <v>1</v>
      </c>
      <c r="AB1863">
        <v>8</v>
      </c>
      <c r="AC1863">
        <v>3</v>
      </c>
      <c r="AD1863">
        <v>0</v>
      </c>
      <c r="AE1863">
        <v>9</v>
      </c>
      <c r="AF1863" t="s">
        <v>138</v>
      </c>
      <c r="AG1863">
        <v>0</v>
      </c>
      <c r="AH1863">
        <v>3</v>
      </c>
      <c r="AI1863">
        <v>1</v>
      </c>
      <c r="AJ1863">
        <v>0</v>
      </c>
      <c r="AK1863" t="s">
        <v>666</v>
      </c>
      <c r="AL1863">
        <v>32.779705999999997</v>
      </c>
      <c r="AM1863" t="s">
        <v>667</v>
      </c>
      <c r="AN1863">
        <v>-116.855178</v>
      </c>
      <c r="AO1863">
        <v>25</v>
      </c>
      <c r="AP1863">
        <v>2900</v>
      </c>
      <c r="AQ1863" t="s">
        <v>129</v>
      </c>
      <c r="AR1863">
        <v>120</v>
      </c>
      <c r="AS1863">
        <v>-52</v>
      </c>
      <c r="AT1863">
        <v>-448</v>
      </c>
      <c r="BB1863">
        <v>1200</v>
      </c>
      <c r="BC1863">
        <v>1</v>
      </c>
      <c r="BD1863" t="str">
        <f t="shared" si="657"/>
        <v xml:space="preserve">N887QR  </v>
      </c>
      <c r="BE1863">
        <v>1</v>
      </c>
      <c r="BG1863">
        <v>0</v>
      </c>
      <c r="BH1863">
        <v>0</v>
      </c>
      <c r="BI1863">
        <v>0</v>
      </c>
      <c r="BJ1863">
        <v>2550</v>
      </c>
      <c r="BK1863">
        <v>-350</v>
      </c>
      <c r="BL1863" t="s">
        <v>163</v>
      </c>
      <c r="BM1863">
        <v>1</v>
      </c>
      <c r="BN1863">
        <v>1</v>
      </c>
      <c r="BO1863">
        <v>1</v>
      </c>
      <c r="BP1863">
        <v>0</v>
      </c>
      <c r="BS1863">
        <v>0</v>
      </c>
      <c r="BT1863">
        <v>0</v>
      </c>
      <c r="BU1863">
        <v>0</v>
      </c>
      <c r="CE1863" t="str">
        <f t="shared" si="655"/>
        <v>19:30:26.027</v>
      </c>
      <c r="CF1863">
        <v>26637994</v>
      </c>
      <c r="CS1863">
        <v>0</v>
      </c>
      <c r="CT1863">
        <v>2</v>
      </c>
      <c r="CU1863">
        <v>0</v>
      </c>
      <c r="CV1863">
        <v>2</v>
      </c>
      <c r="CW1863">
        <v>0</v>
      </c>
      <c r="CX1863">
        <v>5</v>
      </c>
      <c r="CY1863">
        <v>7</v>
      </c>
      <c r="CZ1863" t="s">
        <v>131</v>
      </c>
      <c r="DA1863">
        <v>300</v>
      </c>
      <c r="DB1863">
        <v>0</v>
      </c>
      <c r="DC1863" t="s">
        <v>176</v>
      </c>
      <c r="DD1863" t="s">
        <v>177</v>
      </c>
      <c r="DG1863">
        <v>5396610</v>
      </c>
      <c r="DI1863">
        <v>1</v>
      </c>
      <c r="DJ1863">
        <v>0</v>
      </c>
      <c r="DK1863">
        <v>1</v>
      </c>
      <c r="DL1863">
        <v>0</v>
      </c>
      <c r="DM1863">
        <v>0</v>
      </c>
      <c r="DN1863">
        <v>1</v>
      </c>
      <c r="DO1863">
        <v>0</v>
      </c>
      <c r="DP1863">
        <v>0</v>
      </c>
      <c r="DQ1863">
        <v>0</v>
      </c>
      <c r="DR1863">
        <v>0</v>
      </c>
      <c r="DS1863">
        <v>0</v>
      </c>
    </row>
    <row r="1864" spans="1:123" x14ac:dyDescent="0.3">
      <c r="A1864" t="str">
        <f>"10/04/2022 19:30:27.385"</f>
        <v>10/04/2022 19:30:27.385</v>
      </c>
      <c r="C1864" t="str">
        <f t="shared" si="650"/>
        <v>FFDFD3C0</v>
      </c>
      <c r="D1864" t="s">
        <v>141</v>
      </c>
      <c r="E1864">
        <v>3</v>
      </c>
      <c r="H1864">
        <v>3</v>
      </c>
      <c r="I1864" t="s">
        <v>146</v>
      </c>
      <c r="J1864" t="s">
        <v>138</v>
      </c>
      <c r="K1864">
        <v>0</v>
      </c>
      <c r="L1864">
        <v>3</v>
      </c>
      <c r="M1864">
        <v>0</v>
      </c>
      <c r="N1864">
        <v>2</v>
      </c>
      <c r="O1864">
        <v>0</v>
      </c>
      <c r="P1864">
        <v>1</v>
      </c>
      <c r="Q1864">
        <v>0</v>
      </c>
      <c r="S1864" t="str">
        <f t="shared" ref="S1864:T1870" si="658">"19:30:27.000"</f>
        <v>19:30:27.000</v>
      </c>
      <c r="T1864" t="str">
        <f t="shared" si="658"/>
        <v>19:30:27.000</v>
      </c>
      <c r="U1864" t="str">
        <f t="shared" si="656"/>
        <v>AC3944</v>
      </c>
      <c r="V1864">
        <v>0</v>
      </c>
      <c r="W1864">
        <v>0</v>
      </c>
      <c r="X1864">
        <v>2</v>
      </c>
      <c r="Y1864">
        <v>0</v>
      </c>
      <c r="AA1864">
        <v>1</v>
      </c>
      <c r="AB1864">
        <v>8</v>
      </c>
      <c r="AC1864">
        <v>3</v>
      </c>
      <c r="AD1864">
        <v>0</v>
      </c>
      <c r="AE1864">
        <v>9</v>
      </c>
      <c r="AF1864" t="s">
        <v>138</v>
      </c>
      <c r="AG1864">
        <v>0</v>
      </c>
      <c r="AH1864">
        <v>3</v>
      </c>
      <c r="AI1864">
        <v>1</v>
      </c>
      <c r="AJ1864">
        <v>0</v>
      </c>
      <c r="AK1864" t="s">
        <v>668</v>
      </c>
      <c r="AL1864">
        <v>32.779468999999999</v>
      </c>
      <c r="AM1864" t="s">
        <v>669</v>
      </c>
      <c r="AN1864">
        <v>-116.854513</v>
      </c>
      <c r="AO1864">
        <v>25</v>
      </c>
      <c r="AP1864">
        <v>2900</v>
      </c>
      <c r="AQ1864" t="s">
        <v>129</v>
      </c>
      <c r="AR1864">
        <v>120</v>
      </c>
      <c r="AS1864">
        <v>-51</v>
      </c>
      <c r="AT1864">
        <v>-320</v>
      </c>
      <c r="BB1864">
        <v>1200</v>
      </c>
      <c r="BC1864">
        <v>1</v>
      </c>
      <c r="BD1864" t="str">
        <f t="shared" si="657"/>
        <v xml:space="preserve">N887QR  </v>
      </c>
      <c r="BE1864">
        <v>1</v>
      </c>
      <c r="BG1864">
        <v>0</v>
      </c>
      <c r="BH1864">
        <v>0</v>
      </c>
      <c r="BI1864">
        <v>0</v>
      </c>
      <c r="BJ1864">
        <v>2550</v>
      </c>
      <c r="BK1864">
        <v>-350</v>
      </c>
      <c r="BL1864" t="s">
        <v>163</v>
      </c>
      <c r="BM1864">
        <v>1</v>
      </c>
      <c r="BN1864">
        <v>1</v>
      </c>
      <c r="BO1864">
        <v>1</v>
      </c>
      <c r="BP1864">
        <v>0</v>
      </c>
      <c r="BS1864">
        <v>0</v>
      </c>
      <c r="BT1864">
        <v>0</v>
      </c>
      <c r="BU1864">
        <v>0</v>
      </c>
      <c r="CE1864" t="str">
        <f t="shared" ref="CE1864:CE1870" si="659">"19:30:27.207"</f>
        <v>19:30:27.207</v>
      </c>
      <c r="CF1864">
        <v>207141900</v>
      </c>
      <c r="CS1864">
        <v>0</v>
      </c>
      <c r="CT1864">
        <v>2</v>
      </c>
      <c r="CU1864">
        <v>0</v>
      </c>
      <c r="CV1864">
        <v>2</v>
      </c>
      <c r="CW1864">
        <v>2</v>
      </c>
      <c r="CX1864">
        <v>5</v>
      </c>
      <c r="CY1864">
        <v>7</v>
      </c>
      <c r="CZ1864" t="s">
        <v>131</v>
      </c>
      <c r="DA1864">
        <v>300</v>
      </c>
      <c r="DB1864">
        <v>0</v>
      </c>
      <c r="DC1864" t="s">
        <v>176</v>
      </c>
      <c r="DD1864" t="s">
        <v>177</v>
      </c>
      <c r="DG1864">
        <v>5396786</v>
      </c>
      <c r="DI1864">
        <v>1</v>
      </c>
      <c r="DJ1864">
        <v>0</v>
      </c>
      <c r="DK1864">
        <v>0</v>
      </c>
      <c r="DL1864">
        <v>0</v>
      </c>
      <c r="DM1864">
        <v>0</v>
      </c>
      <c r="DN1864">
        <v>1</v>
      </c>
      <c r="DO1864">
        <v>0</v>
      </c>
      <c r="DP1864">
        <v>0</v>
      </c>
      <c r="DQ1864">
        <v>0</v>
      </c>
      <c r="DR1864">
        <v>0</v>
      </c>
      <c r="DS1864">
        <v>0</v>
      </c>
    </row>
    <row r="1865" spans="1:123" x14ac:dyDescent="0.3">
      <c r="A1865" t="str">
        <f>"10/04/2022 19:30:27.385"</f>
        <v>10/04/2022 19:30:27.385</v>
      </c>
      <c r="C1865" t="str">
        <f t="shared" si="650"/>
        <v>FFDFD3C0</v>
      </c>
      <c r="D1865" t="s">
        <v>136</v>
      </c>
      <c r="E1865">
        <v>8</v>
      </c>
      <c r="H1865">
        <v>225</v>
      </c>
      <c r="I1865" t="s">
        <v>137</v>
      </c>
      <c r="J1865" t="s">
        <v>138</v>
      </c>
      <c r="K1865">
        <v>0</v>
      </c>
      <c r="L1865">
        <v>3</v>
      </c>
      <c r="M1865">
        <v>0</v>
      </c>
      <c r="N1865">
        <v>2</v>
      </c>
      <c r="O1865">
        <v>0</v>
      </c>
      <c r="P1865">
        <v>1</v>
      </c>
      <c r="Q1865">
        <v>0</v>
      </c>
      <c r="S1865" t="str">
        <f t="shared" si="658"/>
        <v>19:30:27.000</v>
      </c>
      <c r="T1865" t="str">
        <f t="shared" si="658"/>
        <v>19:30:27.000</v>
      </c>
      <c r="U1865" t="str">
        <f t="shared" si="656"/>
        <v>AC3944</v>
      </c>
      <c r="V1865">
        <v>0</v>
      </c>
      <c r="W1865">
        <v>0</v>
      </c>
      <c r="X1865">
        <v>2</v>
      </c>
      <c r="Y1865">
        <v>0</v>
      </c>
      <c r="AA1865">
        <v>1</v>
      </c>
      <c r="AB1865">
        <v>8</v>
      </c>
      <c r="AC1865">
        <v>3</v>
      </c>
      <c r="AD1865">
        <v>0</v>
      </c>
      <c r="AE1865">
        <v>9</v>
      </c>
      <c r="AF1865" t="s">
        <v>138</v>
      </c>
      <c r="AG1865">
        <v>0</v>
      </c>
      <c r="AH1865">
        <v>3</v>
      </c>
      <c r="AI1865">
        <v>1</v>
      </c>
      <c r="AJ1865">
        <v>0</v>
      </c>
      <c r="AK1865" t="s">
        <v>668</v>
      </c>
      <c r="AL1865">
        <v>32.779468999999999</v>
      </c>
      <c r="AM1865" t="s">
        <v>669</v>
      </c>
      <c r="AN1865">
        <v>-116.854513</v>
      </c>
      <c r="AO1865">
        <v>25</v>
      </c>
      <c r="AP1865">
        <v>2900</v>
      </c>
      <c r="AQ1865" t="s">
        <v>129</v>
      </c>
      <c r="AR1865">
        <v>120</v>
      </c>
      <c r="AS1865">
        <v>-51</v>
      </c>
      <c r="AT1865">
        <v>-320</v>
      </c>
      <c r="BB1865">
        <v>1200</v>
      </c>
      <c r="BC1865">
        <v>1</v>
      </c>
      <c r="BD1865" t="str">
        <f t="shared" si="657"/>
        <v xml:space="preserve">N887QR  </v>
      </c>
      <c r="BE1865">
        <v>1</v>
      </c>
      <c r="BG1865">
        <v>0</v>
      </c>
      <c r="BH1865">
        <v>0</v>
      </c>
      <c r="BI1865">
        <v>0</v>
      </c>
      <c r="BJ1865">
        <v>2550</v>
      </c>
      <c r="BK1865">
        <v>-350</v>
      </c>
      <c r="BL1865" t="s">
        <v>163</v>
      </c>
      <c r="BM1865">
        <v>1</v>
      </c>
      <c r="BN1865">
        <v>1</v>
      </c>
      <c r="BO1865">
        <v>1</v>
      </c>
      <c r="BP1865">
        <v>0</v>
      </c>
      <c r="BS1865">
        <v>0</v>
      </c>
      <c r="BT1865">
        <v>0</v>
      </c>
      <c r="BU1865">
        <v>0</v>
      </c>
      <c r="CE1865" t="str">
        <f t="shared" si="659"/>
        <v>19:30:27.207</v>
      </c>
      <c r="CF1865">
        <v>207141900</v>
      </c>
      <c r="CS1865">
        <v>0</v>
      </c>
      <c r="CT1865">
        <v>2</v>
      </c>
      <c r="CU1865">
        <v>0</v>
      </c>
      <c r="CV1865">
        <v>2</v>
      </c>
      <c r="CW1865">
        <v>2</v>
      </c>
      <c r="CX1865">
        <v>5</v>
      </c>
      <c r="CY1865">
        <v>7</v>
      </c>
      <c r="CZ1865" t="s">
        <v>131</v>
      </c>
      <c r="DA1865">
        <v>300</v>
      </c>
      <c r="DB1865">
        <v>0</v>
      </c>
      <c r="DC1865" t="s">
        <v>176</v>
      </c>
      <c r="DD1865" t="s">
        <v>177</v>
      </c>
      <c r="DG1865">
        <v>5396786</v>
      </c>
      <c r="DI1865">
        <v>1</v>
      </c>
      <c r="DJ1865">
        <v>0</v>
      </c>
      <c r="DK1865">
        <v>1</v>
      </c>
      <c r="DL1865">
        <v>0</v>
      </c>
      <c r="DM1865">
        <v>0</v>
      </c>
      <c r="DN1865">
        <v>1</v>
      </c>
      <c r="DO1865">
        <v>0</v>
      </c>
      <c r="DP1865">
        <v>0</v>
      </c>
      <c r="DQ1865">
        <v>0</v>
      </c>
      <c r="DR1865">
        <v>0</v>
      </c>
      <c r="DS1865">
        <v>0</v>
      </c>
    </row>
    <row r="1866" spans="1:123" x14ac:dyDescent="0.3">
      <c r="A1866" t="str">
        <f>"10/04/2022 19:30:27.401"</f>
        <v>10/04/2022 19:30:27.401</v>
      </c>
      <c r="C1866" t="str">
        <f t="shared" si="650"/>
        <v>FFDFD3C0</v>
      </c>
      <c r="D1866" t="s">
        <v>141</v>
      </c>
      <c r="E1866">
        <v>4</v>
      </c>
      <c r="H1866">
        <v>4</v>
      </c>
      <c r="I1866" t="s">
        <v>142</v>
      </c>
      <c r="J1866" t="s">
        <v>138</v>
      </c>
      <c r="K1866">
        <v>0</v>
      </c>
      <c r="L1866">
        <v>3</v>
      </c>
      <c r="M1866">
        <v>0</v>
      </c>
      <c r="N1866">
        <v>2</v>
      </c>
      <c r="O1866">
        <v>0</v>
      </c>
      <c r="P1866">
        <v>1</v>
      </c>
      <c r="Q1866">
        <v>0</v>
      </c>
      <c r="S1866" t="str">
        <f t="shared" si="658"/>
        <v>19:30:27.000</v>
      </c>
      <c r="T1866" t="str">
        <f t="shared" si="658"/>
        <v>19:30:27.000</v>
      </c>
      <c r="U1866" t="str">
        <f t="shared" si="656"/>
        <v>AC3944</v>
      </c>
      <c r="V1866">
        <v>0</v>
      </c>
      <c r="W1866">
        <v>0</v>
      </c>
      <c r="X1866">
        <v>2</v>
      </c>
      <c r="Y1866">
        <v>0</v>
      </c>
      <c r="AA1866">
        <v>1</v>
      </c>
      <c r="AB1866">
        <v>8</v>
      </c>
      <c r="AC1866">
        <v>3</v>
      </c>
      <c r="AD1866">
        <v>0</v>
      </c>
      <c r="AE1866">
        <v>9</v>
      </c>
      <c r="AF1866" t="s">
        <v>138</v>
      </c>
      <c r="AG1866">
        <v>0</v>
      </c>
      <c r="AH1866">
        <v>3</v>
      </c>
      <c r="AI1866">
        <v>1</v>
      </c>
      <c r="AJ1866">
        <v>0</v>
      </c>
      <c r="AK1866" t="s">
        <v>668</v>
      </c>
      <c r="AL1866">
        <v>32.779468999999999</v>
      </c>
      <c r="AM1866" t="s">
        <v>669</v>
      </c>
      <c r="AN1866">
        <v>-116.854513</v>
      </c>
      <c r="AO1866">
        <v>25</v>
      </c>
      <c r="AP1866">
        <v>2900</v>
      </c>
      <c r="AQ1866" t="s">
        <v>129</v>
      </c>
      <c r="AR1866">
        <v>120</v>
      </c>
      <c r="AS1866">
        <v>-51</v>
      </c>
      <c r="AT1866">
        <v>-320</v>
      </c>
      <c r="BB1866">
        <v>1200</v>
      </c>
      <c r="BC1866">
        <v>1</v>
      </c>
      <c r="BD1866" t="str">
        <f t="shared" si="657"/>
        <v xml:space="preserve">N887QR  </v>
      </c>
      <c r="BE1866">
        <v>1</v>
      </c>
      <c r="BG1866">
        <v>0</v>
      </c>
      <c r="BH1866">
        <v>0</v>
      </c>
      <c r="BI1866">
        <v>0</v>
      </c>
      <c r="BJ1866">
        <v>2550</v>
      </c>
      <c r="BK1866">
        <v>-350</v>
      </c>
      <c r="BL1866" t="s">
        <v>163</v>
      </c>
      <c r="BM1866">
        <v>1</v>
      </c>
      <c r="BN1866">
        <v>1</v>
      </c>
      <c r="BO1866">
        <v>1</v>
      </c>
      <c r="BP1866">
        <v>0</v>
      </c>
      <c r="BS1866">
        <v>0</v>
      </c>
      <c r="BT1866">
        <v>0</v>
      </c>
      <c r="BU1866">
        <v>0</v>
      </c>
      <c r="CE1866" t="str">
        <f t="shared" si="659"/>
        <v>19:30:27.207</v>
      </c>
      <c r="CF1866">
        <v>207141900</v>
      </c>
      <c r="CS1866">
        <v>0</v>
      </c>
      <c r="CT1866">
        <v>2</v>
      </c>
      <c r="CU1866">
        <v>0</v>
      </c>
      <c r="CV1866">
        <v>2</v>
      </c>
      <c r="CW1866">
        <v>2</v>
      </c>
      <c r="CX1866">
        <v>5</v>
      </c>
      <c r="CY1866">
        <v>7</v>
      </c>
      <c r="CZ1866" t="s">
        <v>131</v>
      </c>
      <c r="DA1866">
        <v>300</v>
      </c>
      <c r="DB1866">
        <v>0</v>
      </c>
      <c r="DC1866" t="s">
        <v>176</v>
      </c>
      <c r="DD1866" t="s">
        <v>177</v>
      </c>
      <c r="DG1866">
        <v>5396786</v>
      </c>
      <c r="DI1866">
        <v>1</v>
      </c>
      <c r="DJ1866">
        <v>0</v>
      </c>
      <c r="DK1866">
        <v>1</v>
      </c>
      <c r="DL1866">
        <v>0</v>
      </c>
      <c r="DM1866">
        <v>0</v>
      </c>
      <c r="DN1866">
        <v>1</v>
      </c>
      <c r="DO1866">
        <v>0</v>
      </c>
      <c r="DP1866">
        <v>0</v>
      </c>
      <c r="DQ1866">
        <v>0</v>
      </c>
      <c r="DR1866">
        <v>0</v>
      </c>
      <c r="DS1866">
        <v>0</v>
      </c>
    </row>
    <row r="1867" spans="1:123" x14ac:dyDescent="0.3">
      <c r="A1867" t="str">
        <f>"10/04/2022 19:30:27.401"</f>
        <v>10/04/2022 19:30:27.401</v>
      </c>
      <c r="C1867" t="str">
        <f t="shared" si="650"/>
        <v>FFDFD3C0</v>
      </c>
      <c r="D1867" t="s">
        <v>134</v>
      </c>
      <c r="E1867">
        <v>15</v>
      </c>
      <c r="J1867" t="s">
        <v>135</v>
      </c>
      <c r="K1867">
        <v>0</v>
      </c>
      <c r="L1867">
        <v>3</v>
      </c>
      <c r="M1867">
        <v>0</v>
      </c>
      <c r="N1867">
        <v>2</v>
      </c>
      <c r="O1867">
        <v>0</v>
      </c>
      <c r="P1867">
        <v>1</v>
      </c>
      <c r="Q1867">
        <v>0</v>
      </c>
      <c r="S1867" t="str">
        <f t="shared" si="658"/>
        <v>19:30:27.000</v>
      </c>
      <c r="T1867" t="str">
        <f t="shared" si="658"/>
        <v>19:30:27.000</v>
      </c>
      <c r="U1867" t="str">
        <f t="shared" si="656"/>
        <v>AC3944</v>
      </c>
      <c r="V1867">
        <v>0</v>
      </c>
      <c r="W1867">
        <v>0</v>
      </c>
      <c r="X1867">
        <v>2</v>
      </c>
      <c r="Y1867">
        <v>0</v>
      </c>
      <c r="AA1867">
        <v>1</v>
      </c>
      <c r="AB1867">
        <v>8</v>
      </c>
      <c r="AC1867">
        <v>3</v>
      </c>
      <c r="AD1867">
        <v>0</v>
      </c>
      <c r="AE1867">
        <v>9</v>
      </c>
      <c r="AF1867" t="s">
        <v>138</v>
      </c>
      <c r="AG1867">
        <v>0</v>
      </c>
      <c r="AH1867">
        <v>3</v>
      </c>
      <c r="AI1867">
        <v>1</v>
      </c>
      <c r="AJ1867">
        <v>0</v>
      </c>
      <c r="AK1867" t="s">
        <v>668</v>
      </c>
      <c r="AL1867">
        <v>32.779468999999999</v>
      </c>
      <c r="AM1867" t="s">
        <v>669</v>
      </c>
      <c r="AN1867">
        <v>-116.854513</v>
      </c>
      <c r="AO1867">
        <v>25</v>
      </c>
      <c r="AP1867">
        <v>2900</v>
      </c>
      <c r="AQ1867" t="s">
        <v>129</v>
      </c>
      <c r="AR1867">
        <v>120</v>
      </c>
      <c r="AS1867">
        <v>-51</v>
      </c>
      <c r="AT1867">
        <v>-320</v>
      </c>
      <c r="BB1867">
        <v>1200</v>
      </c>
      <c r="BC1867">
        <v>1</v>
      </c>
      <c r="BD1867" t="str">
        <f t="shared" si="657"/>
        <v xml:space="preserve">N887QR  </v>
      </c>
      <c r="BE1867">
        <v>1</v>
      </c>
      <c r="BG1867">
        <v>0</v>
      </c>
      <c r="BH1867">
        <v>0</v>
      </c>
      <c r="BI1867">
        <v>0</v>
      </c>
      <c r="BJ1867">
        <v>2550</v>
      </c>
      <c r="BK1867">
        <v>-350</v>
      </c>
      <c r="BL1867" t="s">
        <v>163</v>
      </c>
      <c r="BM1867">
        <v>1</v>
      </c>
      <c r="BN1867">
        <v>1</v>
      </c>
      <c r="BO1867">
        <v>1</v>
      </c>
      <c r="BP1867">
        <v>0</v>
      </c>
      <c r="BS1867">
        <v>0</v>
      </c>
      <c r="BT1867">
        <v>0</v>
      </c>
      <c r="BU1867">
        <v>0</v>
      </c>
      <c r="CE1867" t="str">
        <f t="shared" si="659"/>
        <v>19:30:27.207</v>
      </c>
      <c r="CF1867">
        <v>207141900</v>
      </c>
      <c r="CS1867">
        <v>0</v>
      </c>
      <c r="CT1867">
        <v>2</v>
      </c>
      <c r="CU1867">
        <v>0</v>
      </c>
      <c r="CV1867">
        <v>2</v>
      </c>
      <c r="CW1867">
        <v>2</v>
      </c>
      <c r="CX1867">
        <v>5</v>
      </c>
      <c r="CY1867">
        <v>7</v>
      </c>
      <c r="CZ1867" t="s">
        <v>131</v>
      </c>
      <c r="DA1867">
        <v>300</v>
      </c>
      <c r="DB1867">
        <v>0</v>
      </c>
      <c r="DC1867" t="s">
        <v>176</v>
      </c>
      <c r="DD1867" t="s">
        <v>177</v>
      </c>
      <c r="DG1867">
        <v>5396786</v>
      </c>
      <c r="DI1867">
        <v>1</v>
      </c>
      <c r="DJ1867">
        <v>0</v>
      </c>
      <c r="DK1867">
        <v>1</v>
      </c>
      <c r="DL1867">
        <v>0</v>
      </c>
      <c r="DM1867">
        <v>0</v>
      </c>
      <c r="DN1867">
        <v>1</v>
      </c>
      <c r="DO1867">
        <v>0</v>
      </c>
      <c r="DP1867">
        <v>0</v>
      </c>
      <c r="DQ1867">
        <v>0</v>
      </c>
      <c r="DR1867">
        <v>0</v>
      </c>
      <c r="DS1867">
        <v>0</v>
      </c>
    </row>
    <row r="1868" spans="1:123" x14ac:dyDescent="0.3">
      <c r="A1868" t="str">
        <f>"10/04/2022 19:30:27.401"</f>
        <v>10/04/2022 19:30:27.401</v>
      </c>
      <c r="C1868" t="str">
        <f t="shared" si="650"/>
        <v>FFDFD3C0</v>
      </c>
      <c r="D1868" t="s">
        <v>143</v>
      </c>
      <c r="E1868">
        <v>20</v>
      </c>
      <c r="F1868">
        <v>1020</v>
      </c>
      <c r="G1868" t="s">
        <v>144</v>
      </c>
      <c r="J1868" t="s">
        <v>145</v>
      </c>
      <c r="K1868">
        <v>0</v>
      </c>
      <c r="L1868">
        <v>3</v>
      </c>
      <c r="M1868">
        <v>0</v>
      </c>
      <c r="N1868">
        <v>2</v>
      </c>
      <c r="O1868">
        <v>0</v>
      </c>
      <c r="P1868">
        <v>1</v>
      </c>
      <c r="Q1868">
        <v>0</v>
      </c>
      <c r="S1868" t="str">
        <f t="shared" si="658"/>
        <v>19:30:27.000</v>
      </c>
      <c r="T1868" t="str">
        <f t="shared" si="658"/>
        <v>19:30:27.000</v>
      </c>
      <c r="U1868" t="str">
        <f t="shared" si="656"/>
        <v>AC3944</v>
      </c>
      <c r="V1868">
        <v>0</v>
      </c>
      <c r="W1868">
        <v>0</v>
      </c>
      <c r="X1868">
        <v>2</v>
      </c>
      <c r="Y1868">
        <v>0</v>
      </c>
      <c r="AA1868">
        <v>1</v>
      </c>
      <c r="AB1868">
        <v>8</v>
      </c>
      <c r="AC1868">
        <v>3</v>
      </c>
      <c r="AD1868">
        <v>0</v>
      </c>
      <c r="AE1868">
        <v>9</v>
      </c>
      <c r="AF1868" t="s">
        <v>138</v>
      </c>
      <c r="AG1868">
        <v>0</v>
      </c>
      <c r="AH1868">
        <v>3</v>
      </c>
      <c r="AI1868">
        <v>1</v>
      </c>
      <c r="AJ1868">
        <v>0</v>
      </c>
      <c r="AK1868" t="s">
        <v>668</v>
      </c>
      <c r="AL1868">
        <v>32.779468999999999</v>
      </c>
      <c r="AM1868" t="s">
        <v>669</v>
      </c>
      <c r="AN1868">
        <v>-116.854513</v>
      </c>
      <c r="AO1868">
        <v>25</v>
      </c>
      <c r="AP1868">
        <v>2900</v>
      </c>
      <c r="AQ1868" t="s">
        <v>129</v>
      </c>
      <c r="AR1868">
        <v>120</v>
      </c>
      <c r="AS1868">
        <v>-51</v>
      </c>
      <c r="AT1868">
        <v>-320</v>
      </c>
      <c r="BB1868">
        <v>1200</v>
      </c>
      <c r="BC1868">
        <v>1</v>
      </c>
      <c r="BD1868" t="str">
        <f t="shared" si="657"/>
        <v xml:space="preserve">N887QR  </v>
      </c>
      <c r="BE1868">
        <v>1</v>
      </c>
      <c r="BG1868">
        <v>0</v>
      </c>
      <c r="BH1868">
        <v>0</v>
      </c>
      <c r="BI1868">
        <v>0</v>
      </c>
      <c r="BJ1868">
        <v>2550</v>
      </c>
      <c r="BK1868">
        <v>-350</v>
      </c>
      <c r="BL1868" t="s">
        <v>163</v>
      </c>
      <c r="BM1868">
        <v>1</v>
      </c>
      <c r="BN1868">
        <v>1</v>
      </c>
      <c r="BO1868">
        <v>1</v>
      </c>
      <c r="BP1868">
        <v>0</v>
      </c>
      <c r="BS1868">
        <v>0</v>
      </c>
      <c r="BT1868">
        <v>0</v>
      </c>
      <c r="BU1868">
        <v>0</v>
      </c>
      <c r="CE1868" t="str">
        <f t="shared" si="659"/>
        <v>19:30:27.207</v>
      </c>
      <c r="CF1868">
        <v>207141900</v>
      </c>
      <c r="CS1868">
        <v>0</v>
      </c>
      <c r="CT1868">
        <v>2</v>
      </c>
      <c r="CU1868">
        <v>0</v>
      </c>
      <c r="CV1868">
        <v>2</v>
      </c>
      <c r="CW1868">
        <v>2</v>
      </c>
      <c r="CX1868">
        <v>5</v>
      </c>
      <c r="CY1868">
        <v>7</v>
      </c>
      <c r="CZ1868" t="s">
        <v>131</v>
      </c>
      <c r="DA1868">
        <v>300</v>
      </c>
      <c r="DB1868">
        <v>0</v>
      </c>
      <c r="DC1868" t="s">
        <v>176</v>
      </c>
      <c r="DD1868" t="s">
        <v>177</v>
      </c>
      <c r="DG1868">
        <v>5396786</v>
      </c>
      <c r="DI1868">
        <v>1</v>
      </c>
      <c r="DJ1868">
        <v>0</v>
      </c>
      <c r="DK1868">
        <v>1</v>
      </c>
      <c r="DL1868">
        <v>0</v>
      </c>
      <c r="DM1868">
        <v>0</v>
      </c>
      <c r="DN1868">
        <v>1</v>
      </c>
      <c r="DO1868">
        <v>0</v>
      </c>
      <c r="DP1868">
        <v>0</v>
      </c>
      <c r="DQ1868">
        <v>0</v>
      </c>
      <c r="DR1868">
        <v>0</v>
      </c>
      <c r="DS1868">
        <v>0</v>
      </c>
    </row>
    <row r="1869" spans="1:123" x14ac:dyDescent="0.3">
      <c r="A1869" t="str">
        <f>"10/04/2022 19:30:27.463"</f>
        <v>10/04/2022 19:30:27.463</v>
      </c>
      <c r="C1869" t="str">
        <f t="shared" si="650"/>
        <v>FFDFD3C0</v>
      </c>
      <c r="D1869" t="s">
        <v>123</v>
      </c>
      <c r="E1869">
        <v>7</v>
      </c>
      <c r="F1869">
        <v>2007</v>
      </c>
      <c r="G1869" t="s">
        <v>124</v>
      </c>
      <c r="J1869" t="s">
        <v>125</v>
      </c>
      <c r="K1869">
        <v>0</v>
      </c>
      <c r="L1869">
        <v>3</v>
      </c>
      <c r="M1869">
        <v>0</v>
      </c>
      <c r="N1869">
        <v>2</v>
      </c>
      <c r="O1869">
        <v>0</v>
      </c>
      <c r="P1869">
        <v>1</v>
      </c>
      <c r="Q1869">
        <v>0</v>
      </c>
      <c r="S1869" t="str">
        <f t="shared" si="658"/>
        <v>19:30:27.000</v>
      </c>
      <c r="T1869" t="str">
        <f t="shared" si="658"/>
        <v>19:30:27.000</v>
      </c>
      <c r="U1869" t="str">
        <f t="shared" si="656"/>
        <v>AC3944</v>
      </c>
      <c r="V1869">
        <v>0</v>
      </c>
      <c r="W1869">
        <v>0</v>
      </c>
      <c r="X1869">
        <v>2</v>
      </c>
      <c r="Y1869">
        <v>0</v>
      </c>
      <c r="AA1869">
        <v>1</v>
      </c>
      <c r="AB1869">
        <v>8</v>
      </c>
      <c r="AC1869">
        <v>3</v>
      </c>
      <c r="AD1869">
        <v>0</v>
      </c>
      <c r="AE1869">
        <v>9</v>
      </c>
      <c r="AF1869" t="s">
        <v>138</v>
      </c>
      <c r="AG1869">
        <v>0</v>
      </c>
      <c r="AH1869">
        <v>3</v>
      </c>
      <c r="AI1869">
        <v>1</v>
      </c>
      <c r="AJ1869">
        <v>0</v>
      </c>
      <c r="AK1869" t="s">
        <v>668</v>
      </c>
      <c r="AL1869">
        <v>32.779468999999999</v>
      </c>
      <c r="AM1869" t="s">
        <v>669</v>
      </c>
      <c r="AN1869">
        <v>-116.854513</v>
      </c>
      <c r="AO1869">
        <v>25</v>
      </c>
      <c r="AP1869">
        <v>2900</v>
      </c>
      <c r="AQ1869" t="s">
        <v>129</v>
      </c>
      <c r="AR1869">
        <v>120</v>
      </c>
      <c r="AS1869">
        <v>-51</v>
      </c>
      <c r="AT1869">
        <v>-320</v>
      </c>
      <c r="BB1869">
        <v>1200</v>
      </c>
      <c r="BC1869">
        <v>1</v>
      </c>
      <c r="BD1869" t="str">
        <f t="shared" si="657"/>
        <v xml:space="preserve">N887QR  </v>
      </c>
      <c r="BE1869">
        <v>1</v>
      </c>
      <c r="BG1869">
        <v>0</v>
      </c>
      <c r="BH1869">
        <v>0</v>
      </c>
      <c r="BI1869">
        <v>0</v>
      </c>
      <c r="BJ1869">
        <v>2550</v>
      </c>
      <c r="BK1869">
        <v>-350</v>
      </c>
      <c r="BL1869" t="s">
        <v>163</v>
      </c>
      <c r="BM1869">
        <v>1</v>
      </c>
      <c r="BN1869">
        <v>1</v>
      </c>
      <c r="BO1869">
        <v>1</v>
      </c>
      <c r="BP1869">
        <v>0</v>
      </c>
      <c r="BS1869">
        <v>0</v>
      </c>
      <c r="BT1869">
        <v>0</v>
      </c>
      <c r="BU1869">
        <v>0</v>
      </c>
      <c r="CE1869" t="str">
        <f t="shared" si="659"/>
        <v>19:30:27.207</v>
      </c>
      <c r="CF1869">
        <v>207141900</v>
      </c>
      <c r="CS1869">
        <v>0</v>
      </c>
      <c r="CT1869">
        <v>2</v>
      </c>
      <c r="CU1869">
        <v>0</v>
      </c>
      <c r="CV1869">
        <v>2</v>
      </c>
      <c r="CW1869">
        <v>2</v>
      </c>
      <c r="CX1869">
        <v>5</v>
      </c>
      <c r="CY1869">
        <v>7</v>
      </c>
      <c r="CZ1869" t="s">
        <v>131</v>
      </c>
      <c r="DA1869">
        <v>300</v>
      </c>
      <c r="DB1869">
        <v>0</v>
      </c>
      <c r="DC1869" t="s">
        <v>176</v>
      </c>
      <c r="DD1869" t="s">
        <v>177</v>
      </c>
      <c r="DG1869">
        <v>5396786</v>
      </c>
      <c r="DI1869">
        <v>1</v>
      </c>
      <c r="DJ1869">
        <v>0</v>
      </c>
      <c r="DK1869">
        <v>1</v>
      </c>
      <c r="DL1869">
        <v>0</v>
      </c>
      <c r="DM1869">
        <v>0</v>
      </c>
      <c r="DN1869">
        <v>1</v>
      </c>
      <c r="DO1869">
        <v>0</v>
      </c>
      <c r="DP1869">
        <v>0</v>
      </c>
      <c r="DQ1869">
        <v>0</v>
      </c>
      <c r="DR1869">
        <v>0</v>
      </c>
      <c r="DS1869">
        <v>0</v>
      </c>
    </row>
    <row r="1870" spans="1:123" x14ac:dyDescent="0.3">
      <c r="A1870" t="str">
        <f>"10/04/2022 19:30:27.463"</f>
        <v>10/04/2022 19:30:27.463</v>
      </c>
      <c r="C1870" t="str">
        <f t="shared" si="650"/>
        <v>FFDFD3C0</v>
      </c>
      <c r="D1870" t="s">
        <v>147</v>
      </c>
      <c r="E1870">
        <v>3</v>
      </c>
      <c r="H1870">
        <v>166</v>
      </c>
      <c r="I1870" t="s">
        <v>144</v>
      </c>
      <c r="J1870" t="s">
        <v>148</v>
      </c>
      <c r="K1870">
        <v>0</v>
      </c>
      <c r="L1870">
        <v>3</v>
      </c>
      <c r="M1870">
        <v>0</v>
      </c>
      <c r="N1870">
        <v>2</v>
      </c>
      <c r="O1870">
        <v>0</v>
      </c>
      <c r="P1870">
        <v>1</v>
      </c>
      <c r="Q1870">
        <v>0</v>
      </c>
      <c r="S1870" t="str">
        <f t="shared" si="658"/>
        <v>19:30:27.000</v>
      </c>
      <c r="T1870" t="str">
        <f t="shared" si="658"/>
        <v>19:30:27.000</v>
      </c>
      <c r="U1870" t="str">
        <f t="shared" si="656"/>
        <v>AC3944</v>
      </c>
      <c r="V1870">
        <v>0</v>
      </c>
      <c r="W1870">
        <v>0</v>
      </c>
      <c r="X1870">
        <v>2</v>
      </c>
      <c r="Y1870">
        <v>0</v>
      </c>
      <c r="AA1870">
        <v>1</v>
      </c>
      <c r="AB1870">
        <v>8</v>
      </c>
      <c r="AC1870">
        <v>3</v>
      </c>
      <c r="AD1870">
        <v>0</v>
      </c>
      <c r="AE1870">
        <v>9</v>
      </c>
      <c r="AF1870" t="s">
        <v>138</v>
      </c>
      <c r="AG1870">
        <v>0</v>
      </c>
      <c r="AH1870">
        <v>3</v>
      </c>
      <c r="AI1870">
        <v>1</v>
      </c>
      <c r="AJ1870">
        <v>0</v>
      </c>
      <c r="AK1870" t="s">
        <v>668</v>
      </c>
      <c r="AL1870">
        <v>32.779468999999999</v>
      </c>
      <c r="AM1870" t="s">
        <v>669</v>
      </c>
      <c r="AN1870">
        <v>-116.854513</v>
      </c>
      <c r="AO1870">
        <v>25</v>
      </c>
      <c r="AP1870">
        <v>2900</v>
      </c>
      <c r="AQ1870" t="s">
        <v>129</v>
      </c>
      <c r="AR1870">
        <v>120</v>
      </c>
      <c r="AS1870">
        <v>-51</v>
      </c>
      <c r="AT1870">
        <v>-320</v>
      </c>
      <c r="BB1870">
        <v>1200</v>
      </c>
      <c r="BC1870">
        <v>1</v>
      </c>
      <c r="BD1870" t="str">
        <f t="shared" si="657"/>
        <v xml:space="preserve">N887QR  </v>
      </c>
      <c r="BE1870">
        <v>1</v>
      </c>
      <c r="BG1870">
        <v>0</v>
      </c>
      <c r="BH1870">
        <v>0</v>
      </c>
      <c r="BI1870">
        <v>0</v>
      </c>
      <c r="BJ1870">
        <v>2550</v>
      </c>
      <c r="BK1870">
        <v>-350</v>
      </c>
      <c r="BL1870" t="s">
        <v>163</v>
      </c>
      <c r="BM1870">
        <v>1</v>
      </c>
      <c r="BN1870">
        <v>1</v>
      </c>
      <c r="BO1870">
        <v>1</v>
      </c>
      <c r="BP1870">
        <v>0</v>
      </c>
      <c r="BS1870">
        <v>0</v>
      </c>
      <c r="BT1870">
        <v>0</v>
      </c>
      <c r="BU1870">
        <v>0</v>
      </c>
      <c r="CE1870" t="str">
        <f t="shared" si="659"/>
        <v>19:30:27.207</v>
      </c>
      <c r="CF1870">
        <v>207141900</v>
      </c>
      <c r="CS1870">
        <v>0</v>
      </c>
      <c r="CT1870">
        <v>2</v>
      </c>
      <c r="CU1870">
        <v>0</v>
      </c>
      <c r="CV1870">
        <v>2</v>
      </c>
      <c r="CW1870">
        <v>2</v>
      </c>
      <c r="CX1870">
        <v>5</v>
      </c>
      <c r="CY1870">
        <v>7</v>
      </c>
      <c r="CZ1870" t="s">
        <v>131</v>
      </c>
      <c r="DA1870">
        <v>300</v>
      </c>
      <c r="DB1870">
        <v>0</v>
      </c>
      <c r="DC1870" t="s">
        <v>176</v>
      </c>
      <c r="DD1870" t="s">
        <v>177</v>
      </c>
      <c r="DG1870">
        <v>5396786</v>
      </c>
      <c r="DI1870">
        <v>1</v>
      </c>
      <c r="DJ1870">
        <v>0</v>
      </c>
      <c r="DK1870">
        <v>1</v>
      </c>
      <c r="DL1870">
        <v>0</v>
      </c>
      <c r="DM1870">
        <v>0</v>
      </c>
      <c r="DN1870">
        <v>1</v>
      </c>
      <c r="DO1870">
        <v>0</v>
      </c>
      <c r="DP1870">
        <v>0</v>
      </c>
      <c r="DQ1870">
        <v>0</v>
      </c>
      <c r="DR1870">
        <v>0</v>
      </c>
      <c r="DS1870">
        <v>0</v>
      </c>
    </row>
    <row r="1871" spans="1:123" x14ac:dyDescent="0.3">
      <c r="A1871" t="str">
        <f>"10/04/2022 19:30:28.479"</f>
        <v>10/04/2022 19:30:28.479</v>
      </c>
      <c r="C1871" t="str">
        <f t="shared" si="650"/>
        <v>FFDFD3C0</v>
      </c>
      <c r="D1871" t="s">
        <v>134</v>
      </c>
      <c r="E1871">
        <v>15</v>
      </c>
      <c r="J1871" t="s">
        <v>135</v>
      </c>
      <c r="K1871">
        <v>0</v>
      </c>
      <c r="L1871">
        <v>3</v>
      </c>
      <c r="M1871">
        <v>0</v>
      </c>
      <c r="N1871">
        <v>2</v>
      </c>
      <c r="O1871">
        <v>0</v>
      </c>
      <c r="P1871">
        <v>1</v>
      </c>
      <c r="Q1871">
        <v>0</v>
      </c>
      <c r="S1871" t="str">
        <f t="shared" ref="S1871:T1877" si="660">"19:30:28.000"</f>
        <v>19:30:28.000</v>
      </c>
      <c r="T1871" t="str">
        <f t="shared" si="660"/>
        <v>19:30:28.000</v>
      </c>
      <c r="U1871" t="str">
        <f t="shared" si="656"/>
        <v>AC3944</v>
      </c>
      <c r="V1871">
        <v>0</v>
      </c>
      <c r="W1871">
        <v>0</v>
      </c>
      <c r="X1871">
        <v>2</v>
      </c>
      <c r="Y1871">
        <v>0</v>
      </c>
      <c r="AA1871">
        <v>1</v>
      </c>
      <c r="AB1871">
        <v>8</v>
      </c>
      <c r="AC1871">
        <v>3</v>
      </c>
      <c r="AD1871">
        <v>0</v>
      </c>
      <c r="AE1871">
        <v>9</v>
      </c>
      <c r="AF1871" t="s">
        <v>138</v>
      </c>
      <c r="AG1871">
        <v>0</v>
      </c>
      <c r="AH1871">
        <v>3</v>
      </c>
      <c r="AI1871">
        <v>1</v>
      </c>
      <c r="AJ1871">
        <v>0</v>
      </c>
      <c r="AK1871" t="s">
        <v>670</v>
      </c>
      <c r="AL1871">
        <v>32.779169000000003</v>
      </c>
      <c r="AM1871" t="s">
        <v>671</v>
      </c>
      <c r="AN1871">
        <v>-116.853719</v>
      </c>
      <c r="AO1871">
        <v>25</v>
      </c>
      <c r="AP1871">
        <v>2900</v>
      </c>
      <c r="AQ1871" t="s">
        <v>129</v>
      </c>
      <c r="AR1871">
        <v>120</v>
      </c>
      <c r="AS1871">
        <v>-51</v>
      </c>
      <c r="AT1871">
        <v>-128</v>
      </c>
      <c r="BB1871">
        <v>1200</v>
      </c>
      <c r="BC1871">
        <v>1</v>
      </c>
      <c r="BD1871" t="str">
        <f t="shared" si="657"/>
        <v xml:space="preserve">N887QR  </v>
      </c>
      <c r="BE1871">
        <v>1</v>
      </c>
      <c r="BG1871">
        <v>0</v>
      </c>
      <c r="BH1871">
        <v>0</v>
      </c>
      <c r="BI1871">
        <v>0</v>
      </c>
      <c r="BJ1871">
        <v>2550</v>
      </c>
      <c r="BK1871">
        <v>-350</v>
      </c>
      <c r="BL1871" t="s">
        <v>163</v>
      </c>
      <c r="BM1871">
        <v>1</v>
      </c>
      <c r="BN1871">
        <v>1</v>
      </c>
      <c r="BO1871">
        <v>1</v>
      </c>
      <c r="BP1871">
        <v>0</v>
      </c>
      <c r="BS1871">
        <v>0</v>
      </c>
      <c r="BT1871">
        <v>0</v>
      </c>
      <c r="BU1871">
        <v>0</v>
      </c>
      <c r="CE1871" t="str">
        <f t="shared" ref="CE1871:CE1877" si="661">"19:30:28.283"</f>
        <v>19:30:28.283</v>
      </c>
      <c r="CF1871">
        <v>282645486</v>
      </c>
      <c r="CS1871">
        <v>0</v>
      </c>
      <c r="CT1871">
        <v>2</v>
      </c>
      <c r="CU1871">
        <v>0</v>
      </c>
      <c r="CV1871">
        <v>2</v>
      </c>
      <c r="CW1871">
        <v>0</v>
      </c>
      <c r="CX1871">
        <v>4</v>
      </c>
      <c r="CY1871">
        <v>7</v>
      </c>
      <c r="CZ1871" t="s">
        <v>131</v>
      </c>
      <c r="DA1871">
        <v>300</v>
      </c>
      <c r="DB1871">
        <v>0</v>
      </c>
      <c r="DC1871" t="s">
        <v>176</v>
      </c>
      <c r="DD1871" t="s">
        <v>177</v>
      </c>
      <c r="DG1871">
        <v>5396943</v>
      </c>
      <c r="DI1871">
        <v>1</v>
      </c>
      <c r="DJ1871">
        <v>0</v>
      </c>
      <c r="DK1871">
        <v>0</v>
      </c>
      <c r="DL1871">
        <v>0</v>
      </c>
      <c r="DM1871">
        <v>0</v>
      </c>
      <c r="DN1871">
        <v>1</v>
      </c>
      <c r="DO1871">
        <v>0</v>
      </c>
      <c r="DP1871">
        <v>0</v>
      </c>
      <c r="DQ1871">
        <v>0</v>
      </c>
      <c r="DR1871">
        <v>0</v>
      </c>
      <c r="DS1871">
        <v>0</v>
      </c>
    </row>
    <row r="1872" spans="1:123" x14ac:dyDescent="0.3">
      <c r="A1872" t="str">
        <f>"10/04/2022 19:30:28.479"</f>
        <v>10/04/2022 19:30:28.479</v>
      </c>
      <c r="C1872" t="str">
        <f t="shared" si="650"/>
        <v>FFDFD3C0</v>
      </c>
      <c r="D1872" t="s">
        <v>143</v>
      </c>
      <c r="E1872">
        <v>20</v>
      </c>
      <c r="F1872">
        <v>1020</v>
      </c>
      <c r="G1872" t="s">
        <v>144</v>
      </c>
      <c r="J1872" t="s">
        <v>145</v>
      </c>
      <c r="K1872">
        <v>0</v>
      </c>
      <c r="L1872">
        <v>3</v>
      </c>
      <c r="M1872">
        <v>0</v>
      </c>
      <c r="N1872">
        <v>2</v>
      </c>
      <c r="O1872">
        <v>0</v>
      </c>
      <c r="P1872">
        <v>1</v>
      </c>
      <c r="Q1872">
        <v>0</v>
      </c>
      <c r="S1872" t="str">
        <f t="shared" si="660"/>
        <v>19:30:28.000</v>
      </c>
      <c r="T1872" t="str">
        <f t="shared" si="660"/>
        <v>19:30:28.000</v>
      </c>
      <c r="U1872" t="str">
        <f t="shared" si="656"/>
        <v>AC3944</v>
      </c>
      <c r="V1872">
        <v>0</v>
      </c>
      <c r="W1872">
        <v>0</v>
      </c>
      <c r="X1872">
        <v>2</v>
      </c>
      <c r="Y1872">
        <v>0</v>
      </c>
      <c r="AA1872">
        <v>1</v>
      </c>
      <c r="AB1872">
        <v>8</v>
      </c>
      <c r="AC1872">
        <v>3</v>
      </c>
      <c r="AD1872">
        <v>0</v>
      </c>
      <c r="AE1872">
        <v>9</v>
      </c>
      <c r="AF1872" t="s">
        <v>138</v>
      </c>
      <c r="AG1872">
        <v>0</v>
      </c>
      <c r="AH1872">
        <v>3</v>
      </c>
      <c r="AI1872">
        <v>1</v>
      </c>
      <c r="AJ1872">
        <v>0</v>
      </c>
      <c r="AK1872" t="s">
        <v>670</v>
      </c>
      <c r="AL1872">
        <v>32.779169000000003</v>
      </c>
      <c r="AM1872" t="s">
        <v>671</v>
      </c>
      <c r="AN1872">
        <v>-116.853719</v>
      </c>
      <c r="AO1872">
        <v>25</v>
      </c>
      <c r="AP1872">
        <v>2900</v>
      </c>
      <c r="AQ1872" t="s">
        <v>129</v>
      </c>
      <c r="AR1872">
        <v>120</v>
      </c>
      <c r="AS1872">
        <v>-51</v>
      </c>
      <c r="AT1872">
        <v>-128</v>
      </c>
      <c r="BB1872">
        <v>1200</v>
      </c>
      <c r="BC1872">
        <v>1</v>
      </c>
      <c r="BD1872" t="str">
        <f t="shared" si="657"/>
        <v xml:space="preserve">N887QR  </v>
      </c>
      <c r="BE1872">
        <v>1</v>
      </c>
      <c r="BG1872">
        <v>0</v>
      </c>
      <c r="BH1872">
        <v>0</v>
      </c>
      <c r="BI1872">
        <v>0</v>
      </c>
      <c r="BJ1872">
        <v>2550</v>
      </c>
      <c r="BK1872">
        <v>-350</v>
      </c>
      <c r="BL1872" t="s">
        <v>163</v>
      </c>
      <c r="BM1872">
        <v>1</v>
      </c>
      <c r="BN1872">
        <v>1</v>
      </c>
      <c r="BO1872">
        <v>1</v>
      </c>
      <c r="BP1872">
        <v>0</v>
      </c>
      <c r="BS1872">
        <v>0</v>
      </c>
      <c r="BT1872">
        <v>0</v>
      </c>
      <c r="BU1872">
        <v>0</v>
      </c>
      <c r="CE1872" t="str">
        <f t="shared" si="661"/>
        <v>19:30:28.283</v>
      </c>
      <c r="CF1872">
        <v>282645486</v>
      </c>
      <c r="CS1872">
        <v>0</v>
      </c>
      <c r="CT1872">
        <v>2</v>
      </c>
      <c r="CU1872">
        <v>0</v>
      </c>
      <c r="CV1872">
        <v>2</v>
      </c>
      <c r="CW1872">
        <v>0</v>
      </c>
      <c r="CX1872">
        <v>4</v>
      </c>
      <c r="CY1872">
        <v>7</v>
      </c>
      <c r="CZ1872" t="s">
        <v>131</v>
      </c>
      <c r="DA1872">
        <v>300</v>
      </c>
      <c r="DB1872">
        <v>0</v>
      </c>
      <c r="DC1872" t="s">
        <v>176</v>
      </c>
      <c r="DD1872" t="s">
        <v>177</v>
      </c>
      <c r="DG1872">
        <v>5396943</v>
      </c>
      <c r="DI1872">
        <v>1</v>
      </c>
      <c r="DJ1872">
        <v>0</v>
      </c>
      <c r="DK1872">
        <v>1</v>
      </c>
      <c r="DL1872">
        <v>0</v>
      </c>
      <c r="DM1872">
        <v>0</v>
      </c>
      <c r="DN1872">
        <v>1</v>
      </c>
      <c r="DO1872">
        <v>0</v>
      </c>
      <c r="DP1872">
        <v>0</v>
      </c>
      <c r="DQ1872">
        <v>0</v>
      </c>
      <c r="DR1872">
        <v>0</v>
      </c>
      <c r="DS1872">
        <v>0</v>
      </c>
    </row>
    <row r="1873" spans="1:123" x14ac:dyDescent="0.3">
      <c r="A1873" t="str">
        <f>"10/04/2022 19:30:28.479"</f>
        <v>10/04/2022 19:30:28.479</v>
      </c>
      <c r="C1873" t="str">
        <f t="shared" si="650"/>
        <v>FFDFD3C0</v>
      </c>
      <c r="D1873" t="s">
        <v>123</v>
      </c>
      <c r="E1873">
        <v>7</v>
      </c>
      <c r="F1873">
        <v>2007</v>
      </c>
      <c r="G1873" t="s">
        <v>124</v>
      </c>
      <c r="J1873" t="s">
        <v>125</v>
      </c>
      <c r="K1873">
        <v>0</v>
      </c>
      <c r="L1873">
        <v>3</v>
      </c>
      <c r="M1873">
        <v>0</v>
      </c>
      <c r="N1873">
        <v>2</v>
      </c>
      <c r="O1873">
        <v>0</v>
      </c>
      <c r="P1873">
        <v>1</v>
      </c>
      <c r="Q1873">
        <v>0</v>
      </c>
      <c r="S1873" t="str">
        <f t="shared" si="660"/>
        <v>19:30:28.000</v>
      </c>
      <c r="T1873" t="str">
        <f t="shared" si="660"/>
        <v>19:30:28.000</v>
      </c>
      <c r="U1873" t="str">
        <f t="shared" si="656"/>
        <v>AC3944</v>
      </c>
      <c r="V1873">
        <v>0</v>
      </c>
      <c r="W1873">
        <v>0</v>
      </c>
      <c r="X1873">
        <v>2</v>
      </c>
      <c r="Y1873">
        <v>0</v>
      </c>
      <c r="AA1873">
        <v>1</v>
      </c>
      <c r="AB1873">
        <v>8</v>
      </c>
      <c r="AC1873">
        <v>3</v>
      </c>
      <c r="AD1873">
        <v>0</v>
      </c>
      <c r="AE1873">
        <v>9</v>
      </c>
      <c r="AF1873" t="s">
        <v>138</v>
      </c>
      <c r="AG1873">
        <v>0</v>
      </c>
      <c r="AH1873">
        <v>3</v>
      </c>
      <c r="AI1873">
        <v>1</v>
      </c>
      <c r="AJ1873">
        <v>0</v>
      </c>
      <c r="AK1873" t="s">
        <v>670</v>
      </c>
      <c r="AL1873">
        <v>32.779169000000003</v>
      </c>
      <c r="AM1873" t="s">
        <v>671</v>
      </c>
      <c r="AN1873">
        <v>-116.853719</v>
      </c>
      <c r="AO1873">
        <v>25</v>
      </c>
      <c r="AP1873">
        <v>2900</v>
      </c>
      <c r="AQ1873" t="s">
        <v>129</v>
      </c>
      <c r="AR1873">
        <v>120</v>
      </c>
      <c r="AS1873">
        <v>-51</v>
      </c>
      <c r="AT1873">
        <v>-128</v>
      </c>
      <c r="BB1873">
        <v>1200</v>
      </c>
      <c r="BC1873">
        <v>1</v>
      </c>
      <c r="BD1873" t="str">
        <f t="shared" si="657"/>
        <v xml:space="preserve">N887QR  </v>
      </c>
      <c r="BE1873">
        <v>1</v>
      </c>
      <c r="BG1873">
        <v>0</v>
      </c>
      <c r="BH1873">
        <v>0</v>
      </c>
      <c r="BI1873">
        <v>0</v>
      </c>
      <c r="BJ1873">
        <v>2550</v>
      </c>
      <c r="BK1873">
        <v>-350</v>
      </c>
      <c r="BL1873" t="s">
        <v>163</v>
      </c>
      <c r="BM1873">
        <v>1</v>
      </c>
      <c r="BN1873">
        <v>1</v>
      </c>
      <c r="BO1873">
        <v>1</v>
      </c>
      <c r="BP1873">
        <v>0</v>
      </c>
      <c r="BS1873">
        <v>0</v>
      </c>
      <c r="BT1873">
        <v>0</v>
      </c>
      <c r="BU1873">
        <v>0</v>
      </c>
      <c r="CE1873" t="str">
        <f t="shared" si="661"/>
        <v>19:30:28.283</v>
      </c>
      <c r="CF1873">
        <v>282645486</v>
      </c>
      <c r="CS1873">
        <v>0</v>
      </c>
      <c r="CT1873">
        <v>2</v>
      </c>
      <c r="CU1873">
        <v>0</v>
      </c>
      <c r="CV1873">
        <v>2</v>
      </c>
      <c r="CW1873">
        <v>0</v>
      </c>
      <c r="CX1873">
        <v>4</v>
      </c>
      <c r="CY1873">
        <v>7</v>
      </c>
      <c r="CZ1873" t="s">
        <v>131</v>
      </c>
      <c r="DA1873">
        <v>300</v>
      </c>
      <c r="DB1873">
        <v>0</v>
      </c>
      <c r="DC1873" t="s">
        <v>176</v>
      </c>
      <c r="DD1873" t="s">
        <v>177</v>
      </c>
      <c r="DG1873">
        <v>5396943</v>
      </c>
      <c r="DI1873">
        <v>1</v>
      </c>
      <c r="DJ1873">
        <v>0</v>
      </c>
      <c r="DK1873">
        <v>1</v>
      </c>
      <c r="DL1873">
        <v>0</v>
      </c>
      <c r="DM1873">
        <v>0</v>
      </c>
      <c r="DN1873">
        <v>1</v>
      </c>
      <c r="DO1873">
        <v>0</v>
      </c>
      <c r="DP1873">
        <v>0</v>
      </c>
      <c r="DQ1873">
        <v>0</v>
      </c>
      <c r="DR1873">
        <v>0</v>
      </c>
      <c r="DS1873">
        <v>0</v>
      </c>
    </row>
    <row r="1874" spans="1:123" x14ac:dyDescent="0.3">
      <c r="A1874" t="str">
        <f>"10/04/2022 19:30:28.479"</f>
        <v>10/04/2022 19:30:28.479</v>
      </c>
      <c r="C1874" t="str">
        <f t="shared" si="650"/>
        <v>FFDFD3C0</v>
      </c>
      <c r="D1874" t="s">
        <v>147</v>
      </c>
      <c r="E1874">
        <v>3</v>
      </c>
      <c r="H1874">
        <v>166</v>
      </c>
      <c r="I1874" t="s">
        <v>144</v>
      </c>
      <c r="J1874" t="s">
        <v>148</v>
      </c>
      <c r="K1874">
        <v>0</v>
      </c>
      <c r="L1874">
        <v>3</v>
      </c>
      <c r="M1874">
        <v>0</v>
      </c>
      <c r="N1874">
        <v>2</v>
      </c>
      <c r="O1874">
        <v>0</v>
      </c>
      <c r="P1874">
        <v>1</v>
      </c>
      <c r="Q1874">
        <v>0</v>
      </c>
      <c r="S1874" t="str">
        <f t="shared" si="660"/>
        <v>19:30:28.000</v>
      </c>
      <c r="T1874" t="str">
        <f t="shared" si="660"/>
        <v>19:30:28.000</v>
      </c>
      <c r="U1874" t="str">
        <f t="shared" si="656"/>
        <v>AC3944</v>
      </c>
      <c r="V1874">
        <v>0</v>
      </c>
      <c r="W1874">
        <v>0</v>
      </c>
      <c r="X1874">
        <v>2</v>
      </c>
      <c r="Y1874">
        <v>0</v>
      </c>
      <c r="AA1874">
        <v>1</v>
      </c>
      <c r="AB1874">
        <v>8</v>
      </c>
      <c r="AC1874">
        <v>3</v>
      </c>
      <c r="AD1874">
        <v>0</v>
      </c>
      <c r="AE1874">
        <v>9</v>
      </c>
      <c r="AF1874" t="s">
        <v>138</v>
      </c>
      <c r="AG1874">
        <v>0</v>
      </c>
      <c r="AH1874">
        <v>3</v>
      </c>
      <c r="AI1874">
        <v>1</v>
      </c>
      <c r="AJ1874">
        <v>0</v>
      </c>
      <c r="AK1874" t="s">
        <v>670</v>
      </c>
      <c r="AL1874">
        <v>32.779169000000003</v>
      </c>
      <c r="AM1874" t="s">
        <v>671</v>
      </c>
      <c r="AN1874">
        <v>-116.853719</v>
      </c>
      <c r="AO1874">
        <v>25</v>
      </c>
      <c r="AP1874">
        <v>2900</v>
      </c>
      <c r="AQ1874" t="s">
        <v>129</v>
      </c>
      <c r="AR1874">
        <v>120</v>
      </c>
      <c r="AS1874">
        <v>-51</v>
      </c>
      <c r="AT1874">
        <v>-128</v>
      </c>
      <c r="BB1874">
        <v>1200</v>
      </c>
      <c r="BC1874">
        <v>1</v>
      </c>
      <c r="BD1874" t="str">
        <f t="shared" si="657"/>
        <v xml:space="preserve">N887QR  </v>
      </c>
      <c r="BE1874">
        <v>1</v>
      </c>
      <c r="BG1874">
        <v>0</v>
      </c>
      <c r="BH1874">
        <v>0</v>
      </c>
      <c r="BI1874">
        <v>0</v>
      </c>
      <c r="BJ1874">
        <v>2550</v>
      </c>
      <c r="BK1874">
        <v>-350</v>
      </c>
      <c r="BL1874" t="s">
        <v>163</v>
      </c>
      <c r="BM1874">
        <v>1</v>
      </c>
      <c r="BN1874">
        <v>1</v>
      </c>
      <c r="BO1874">
        <v>1</v>
      </c>
      <c r="BP1874">
        <v>0</v>
      </c>
      <c r="BS1874">
        <v>0</v>
      </c>
      <c r="BT1874">
        <v>0</v>
      </c>
      <c r="BU1874">
        <v>0</v>
      </c>
      <c r="CE1874" t="str">
        <f t="shared" si="661"/>
        <v>19:30:28.283</v>
      </c>
      <c r="CF1874">
        <v>282645486</v>
      </c>
      <c r="CS1874">
        <v>0</v>
      </c>
      <c r="CT1874">
        <v>2</v>
      </c>
      <c r="CU1874">
        <v>0</v>
      </c>
      <c r="CV1874">
        <v>2</v>
      </c>
      <c r="CW1874">
        <v>0</v>
      </c>
      <c r="CX1874">
        <v>4</v>
      </c>
      <c r="CY1874">
        <v>7</v>
      </c>
      <c r="CZ1874" t="s">
        <v>131</v>
      </c>
      <c r="DA1874">
        <v>300</v>
      </c>
      <c r="DB1874">
        <v>0</v>
      </c>
      <c r="DC1874" t="s">
        <v>176</v>
      </c>
      <c r="DD1874" t="s">
        <v>177</v>
      </c>
      <c r="DG1874">
        <v>5396943</v>
      </c>
      <c r="DI1874">
        <v>1</v>
      </c>
      <c r="DJ1874">
        <v>0</v>
      </c>
      <c r="DK1874">
        <v>1</v>
      </c>
      <c r="DL1874">
        <v>0</v>
      </c>
      <c r="DM1874">
        <v>0</v>
      </c>
      <c r="DN1874">
        <v>1</v>
      </c>
      <c r="DO1874">
        <v>0</v>
      </c>
      <c r="DP1874">
        <v>0</v>
      </c>
      <c r="DQ1874">
        <v>0</v>
      </c>
      <c r="DR1874">
        <v>0</v>
      </c>
      <c r="DS1874">
        <v>0</v>
      </c>
    </row>
    <row r="1875" spans="1:123" x14ac:dyDescent="0.3">
      <c r="A1875" t="str">
        <f>"10/04/2022 19:30:28.541"</f>
        <v>10/04/2022 19:30:28.541</v>
      </c>
      <c r="C1875" t="str">
        <f t="shared" si="650"/>
        <v>FFDFD3C0</v>
      </c>
      <c r="D1875" t="s">
        <v>141</v>
      </c>
      <c r="E1875">
        <v>3</v>
      </c>
      <c r="H1875">
        <v>3</v>
      </c>
      <c r="I1875" t="s">
        <v>146</v>
      </c>
      <c r="J1875" t="s">
        <v>138</v>
      </c>
      <c r="K1875">
        <v>0</v>
      </c>
      <c r="L1875">
        <v>3</v>
      </c>
      <c r="M1875">
        <v>0</v>
      </c>
      <c r="N1875">
        <v>2</v>
      </c>
      <c r="O1875">
        <v>0</v>
      </c>
      <c r="P1875">
        <v>1</v>
      </c>
      <c r="Q1875">
        <v>0</v>
      </c>
      <c r="S1875" t="str">
        <f t="shared" si="660"/>
        <v>19:30:28.000</v>
      </c>
      <c r="T1875" t="str">
        <f t="shared" si="660"/>
        <v>19:30:28.000</v>
      </c>
      <c r="U1875" t="str">
        <f t="shared" si="656"/>
        <v>AC3944</v>
      </c>
      <c r="V1875">
        <v>0</v>
      </c>
      <c r="W1875">
        <v>0</v>
      </c>
      <c r="X1875">
        <v>2</v>
      </c>
      <c r="Y1875">
        <v>0</v>
      </c>
      <c r="AA1875">
        <v>1</v>
      </c>
      <c r="AB1875">
        <v>8</v>
      </c>
      <c r="AC1875">
        <v>3</v>
      </c>
      <c r="AD1875">
        <v>0</v>
      </c>
      <c r="AE1875">
        <v>9</v>
      </c>
      <c r="AF1875" t="s">
        <v>138</v>
      </c>
      <c r="AG1875">
        <v>0</v>
      </c>
      <c r="AH1875">
        <v>3</v>
      </c>
      <c r="AI1875">
        <v>1</v>
      </c>
      <c r="AJ1875">
        <v>0</v>
      </c>
      <c r="AK1875" t="s">
        <v>670</v>
      </c>
      <c r="AL1875">
        <v>32.779169000000003</v>
      </c>
      <c r="AM1875" t="s">
        <v>671</v>
      </c>
      <c r="AN1875">
        <v>-116.853719</v>
      </c>
      <c r="AO1875">
        <v>25</v>
      </c>
      <c r="AP1875">
        <v>2900</v>
      </c>
      <c r="AQ1875" t="s">
        <v>129</v>
      </c>
      <c r="AR1875">
        <v>120</v>
      </c>
      <c r="AS1875">
        <v>-51</v>
      </c>
      <c r="AT1875">
        <v>-128</v>
      </c>
      <c r="BB1875">
        <v>1200</v>
      </c>
      <c r="BC1875">
        <v>1</v>
      </c>
      <c r="BD1875" t="str">
        <f t="shared" si="657"/>
        <v xml:space="preserve">N887QR  </v>
      </c>
      <c r="BE1875">
        <v>1</v>
      </c>
      <c r="BG1875">
        <v>0</v>
      </c>
      <c r="BH1875">
        <v>0</v>
      </c>
      <c r="BI1875">
        <v>0</v>
      </c>
      <c r="BJ1875">
        <v>2550</v>
      </c>
      <c r="BK1875">
        <v>-350</v>
      </c>
      <c r="BL1875" t="s">
        <v>163</v>
      </c>
      <c r="BM1875">
        <v>1</v>
      </c>
      <c r="BN1875">
        <v>1</v>
      </c>
      <c r="BO1875">
        <v>1</v>
      </c>
      <c r="BP1875">
        <v>0</v>
      </c>
      <c r="BS1875">
        <v>0</v>
      </c>
      <c r="BT1875">
        <v>0</v>
      </c>
      <c r="BU1875">
        <v>0</v>
      </c>
      <c r="CE1875" t="str">
        <f t="shared" si="661"/>
        <v>19:30:28.283</v>
      </c>
      <c r="CF1875">
        <v>282645486</v>
      </c>
      <c r="CS1875">
        <v>0</v>
      </c>
      <c r="CT1875">
        <v>2</v>
      </c>
      <c r="CU1875">
        <v>0</v>
      </c>
      <c r="CV1875">
        <v>2</v>
      </c>
      <c r="CW1875">
        <v>0</v>
      </c>
      <c r="CX1875">
        <v>4</v>
      </c>
      <c r="CY1875">
        <v>7</v>
      </c>
      <c r="CZ1875" t="s">
        <v>131</v>
      </c>
      <c r="DA1875">
        <v>300</v>
      </c>
      <c r="DB1875">
        <v>0</v>
      </c>
      <c r="DC1875" t="s">
        <v>176</v>
      </c>
      <c r="DD1875" t="s">
        <v>177</v>
      </c>
      <c r="DG1875">
        <v>5396943</v>
      </c>
      <c r="DI1875">
        <v>1</v>
      </c>
      <c r="DJ1875">
        <v>0</v>
      </c>
      <c r="DK1875">
        <v>1</v>
      </c>
      <c r="DL1875">
        <v>0</v>
      </c>
      <c r="DM1875">
        <v>0</v>
      </c>
      <c r="DN1875">
        <v>1</v>
      </c>
      <c r="DO1875">
        <v>0</v>
      </c>
      <c r="DP1875">
        <v>0</v>
      </c>
      <c r="DQ1875">
        <v>0</v>
      </c>
      <c r="DR1875">
        <v>0</v>
      </c>
      <c r="DS1875">
        <v>0</v>
      </c>
    </row>
    <row r="1876" spans="1:123" x14ac:dyDescent="0.3">
      <c r="A1876" t="str">
        <f>"10/04/2022 19:30:28.541"</f>
        <v>10/04/2022 19:30:28.541</v>
      </c>
      <c r="C1876" t="str">
        <f t="shared" si="650"/>
        <v>FFDFD3C0</v>
      </c>
      <c r="D1876" t="s">
        <v>136</v>
      </c>
      <c r="E1876">
        <v>8</v>
      </c>
      <c r="H1876">
        <v>225</v>
      </c>
      <c r="I1876" t="s">
        <v>137</v>
      </c>
      <c r="J1876" t="s">
        <v>138</v>
      </c>
      <c r="K1876">
        <v>0</v>
      </c>
      <c r="L1876">
        <v>3</v>
      </c>
      <c r="M1876">
        <v>0</v>
      </c>
      <c r="N1876">
        <v>2</v>
      </c>
      <c r="O1876">
        <v>0</v>
      </c>
      <c r="P1876">
        <v>1</v>
      </c>
      <c r="Q1876">
        <v>0</v>
      </c>
      <c r="S1876" t="str">
        <f t="shared" si="660"/>
        <v>19:30:28.000</v>
      </c>
      <c r="T1876" t="str">
        <f t="shared" si="660"/>
        <v>19:30:28.000</v>
      </c>
      <c r="U1876" t="str">
        <f t="shared" si="656"/>
        <v>AC3944</v>
      </c>
      <c r="V1876">
        <v>0</v>
      </c>
      <c r="W1876">
        <v>0</v>
      </c>
      <c r="X1876">
        <v>2</v>
      </c>
      <c r="Y1876">
        <v>0</v>
      </c>
      <c r="AA1876">
        <v>1</v>
      </c>
      <c r="AB1876">
        <v>8</v>
      </c>
      <c r="AC1876">
        <v>3</v>
      </c>
      <c r="AD1876">
        <v>0</v>
      </c>
      <c r="AE1876">
        <v>9</v>
      </c>
      <c r="AF1876" t="s">
        <v>138</v>
      </c>
      <c r="AG1876">
        <v>0</v>
      </c>
      <c r="AH1876">
        <v>3</v>
      </c>
      <c r="AI1876">
        <v>1</v>
      </c>
      <c r="AJ1876">
        <v>0</v>
      </c>
      <c r="AK1876" t="s">
        <v>670</v>
      </c>
      <c r="AL1876">
        <v>32.779169000000003</v>
      </c>
      <c r="AM1876" t="s">
        <v>671</v>
      </c>
      <c r="AN1876">
        <v>-116.853719</v>
      </c>
      <c r="AO1876">
        <v>25</v>
      </c>
      <c r="AP1876">
        <v>2900</v>
      </c>
      <c r="AQ1876" t="s">
        <v>129</v>
      </c>
      <c r="AR1876">
        <v>120</v>
      </c>
      <c r="AS1876">
        <v>-51</v>
      </c>
      <c r="AT1876">
        <v>-128</v>
      </c>
      <c r="BB1876">
        <v>1200</v>
      </c>
      <c r="BC1876">
        <v>1</v>
      </c>
      <c r="BD1876" t="str">
        <f t="shared" si="657"/>
        <v xml:space="preserve">N887QR  </v>
      </c>
      <c r="BE1876">
        <v>1</v>
      </c>
      <c r="BG1876">
        <v>0</v>
      </c>
      <c r="BH1876">
        <v>0</v>
      </c>
      <c r="BI1876">
        <v>0</v>
      </c>
      <c r="BJ1876">
        <v>2550</v>
      </c>
      <c r="BK1876">
        <v>-350</v>
      </c>
      <c r="BL1876" t="s">
        <v>163</v>
      </c>
      <c r="BM1876">
        <v>1</v>
      </c>
      <c r="BN1876">
        <v>1</v>
      </c>
      <c r="BO1876">
        <v>1</v>
      </c>
      <c r="BP1876">
        <v>0</v>
      </c>
      <c r="BS1876">
        <v>0</v>
      </c>
      <c r="BT1876">
        <v>0</v>
      </c>
      <c r="BU1876">
        <v>0</v>
      </c>
      <c r="CE1876" t="str">
        <f t="shared" si="661"/>
        <v>19:30:28.283</v>
      </c>
      <c r="CF1876">
        <v>282645486</v>
      </c>
      <c r="CS1876">
        <v>0</v>
      </c>
      <c r="CT1876">
        <v>2</v>
      </c>
      <c r="CU1876">
        <v>0</v>
      </c>
      <c r="CV1876">
        <v>2</v>
      </c>
      <c r="CW1876">
        <v>0</v>
      </c>
      <c r="CX1876">
        <v>4</v>
      </c>
      <c r="CY1876">
        <v>7</v>
      </c>
      <c r="CZ1876" t="s">
        <v>131</v>
      </c>
      <c r="DA1876">
        <v>300</v>
      </c>
      <c r="DB1876">
        <v>0</v>
      </c>
      <c r="DC1876" t="s">
        <v>176</v>
      </c>
      <c r="DD1876" t="s">
        <v>177</v>
      </c>
      <c r="DG1876">
        <v>5396943</v>
      </c>
      <c r="DI1876">
        <v>1</v>
      </c>
      <c r="DJ1876">
        <v>0</v>
      </c>
      <c r="DK1876">
        <v>1</v>
      </c>
      <c r="DL1876">
        <v>0</v>
      </c>
      <c r="DM1876">
        <v>0</v>
      </c>
      <c r="DN1876">
        <v>1</v>
      </c>
      <c r="DO1876">
        <v>0</v>
      </c>
      <c r="DP1876">
        <v>0</v>
      </c>
      <c r="DQ1876">
        <v>0</v>
      </c>
      <c r="DR1876">
        <v>0</v>
      </c>
      <c r="DS1876">
        <v>0</v>
      </c>
    </row>
    <row r="1877" spans="1:123" x14ac:dyDescent="0.3">
      <c r="A1877" t="str">
        <f>"10/04/2022 19:30:28.541"</f>
        <v>10/04/2022 19:30:28.541</v>
      </c>
      <c r="C1877" t="str">
        <f t="shared" si="650"/>
        <v>FFDFD3C0</v>
      </c>
      <c r="D1877" t="s">
        <v>141</v>
      </c>
      <c r="E1877">
        <v>4</v>
      </c>
      <c r="H1877">
        <v>4</v>
      </c>
      <c r="I1877" t="s">
        <v>142</v>
      </c>
      <c r="J1877" t="s">
        <v>138</v>
      </c>
      <c r="K1877">
        <v>0</v>
      </c>
      <c r="L1877">
        <v>3</v>
      </c>
      <c r="M1877">
        <v>0</v>
      </c>
      <c r="N1877">
        <v>2</v>
      </c>
      <c r="O1877">
        <v>0</v>
      </c>
      <c r="P1877">
        <v>1</v>
      </c>
      <c r="Q1877">
        <v>0</v>
      </c>
      <c r="S1877" t="str">
        <f t="shared" si="660"/>
        <v>19:30:28.000</v>
      </c>
      <c r="T1877" t="str">
        <f t="shared" si="660"/>
        <v>19:30:28.000</v>
      </c>
      <c r="U1877" t="str">
        <f t="shared" si="656"/>
        <v>AC3944</v>
      </c>
      <c r="V1877">
        <v>0</v>
      </c>
      <c r="W1877">
        <v>0</v>
      </c>
      <c r="X1877">
        <v>2</v>
      </c>
      <c r="Y1877">
        <v>0</v>
      </c>
      <c r="AA1877">
        <v>1</v>
      </c>
      <c r="AB1877">
        <v>8</v>
      </c>
      <c r="AC1877">
        <v>3</v>
      </c>
      <c r="AD1877">
        <v>0</v>
      </c>
      <c r="AE1877">
        <v>9</v>
      </c>
      <c r="AF1877" t="s">
        <v>138</v>
      </c>
      <c r="AG1877">
        <v>0</v>
      </c>
      <c r="AH1877">
        <v>3</v>
      </c>
      <c r="AI1877">
        <v>1</v>
      </c>
      <c r="AJ1877">
        <v>0</v>
      </c>
      <c r="AK1877" t="s">
        <v>670</v>
      </c>
      <c r="AL1877">
        <v>32.779169000000003</v>
      </c>
      <c r="AM1877" t="s">
        <v>671</v>
      </c>
      <c r="AN1877">
        <v>-116.853719</v>
      </c>
      <c r="AO1877">
        <v>25</v>
      </c>
      <c r="AP1877">
        <v>2900</v>
      </c>
      <c r="AQ1877" t="s">
        <v>129</v>
      </c>
      <c r="AR1877">
        <v>120</v>
      </c>
      <c r="AS1877">
        <v>-51</v>
      </c>
      <c r="AT1877">
        <v>-128</v>
      </c>
      <c r="BB1877">
        <v>1200</v>
      </c>
      <c r="BC1877">
        <v>1</v>
      </c>
      <c r="BD1877" t="str">
        <f t="shared" si="657"/>
        <v xml:space="preserve">N887QR  </v>
      </c>
      <c r="BE1877">
        <v>1</v>
      </c>
      <c r="BG1877">
        <v>0</v>
      </c>
      <c r="BH1877">
        <v>0</v>
      </c>
      <c r="BI1877">
        <v>0</v>
      </c>
      <c r="BJ1877">
        <v>2550</v>
      </c>
      <c r="BK1877">
        <v>-350</v>
      </c>
      <c r="BL1877" t="s">
        <v>163</v>
      </c>
      <c r="BM1877">
        <v>1</v>
      </c>
      <c r="BN1877">
        <v>1</v>
      </c>
      <c r="BO1877">
        <v>1</v>
      </c>
      <c r="BP1877">
        <v>0</v>
      </c>
      <c r="BS1877">
        <v>0</v>
      </c>
      <c r="BT1877">
        <v>0</v>
      </c>
      <c r="BU1877">
        <v>0</v>
      </c>
      <c r="CE1877" t="str">
        <f t="shared" si="661"/>
        <v>19:30:28.283</v>
      </c>
      <c r="CF1877">
        <v>282645486</v>
      </c>
      <c r="CS1877">
        <v>0</v>
      </c>
      <c r="CT1877">
        <v>2</v>
      </c>
      <c r="CU1877">
        <v>0</v>
      </c>
      <c r="CV1877">
        <v>2</v>
      </c>
      <c r="CW1877">
        <v>0</v>
      </c>
      <c r="CX1877">
        <v>4</v>
      </c>
      <c r="CY1877">
        <v>7</v>
      </c>
      <c r="CZ1877" t="s">
        <v>131</v>
      </c>
      <c r="DA1877">
        <v>300</v>
      </c>
      <c r="DB1877">
        <v>0</v>
      </c>
      <c r="DC1877" t="s">
        <v>176</v>
      </c>
      <c r="DD1877" t="s">
        <v>177</v>
      </c>
      <c r="DG1877">
        <v>5396943</v>
      </c>
      <c r="DI1877">
        <v>1</v>
      </c>
      <c r="DJ1877">
        <v>0</v>
      </c>
      <c r="DK1877">
        <v>1</v>
      </c>
      <c r="DL1877">
        <v>0</v>
      </c>
      <c r="DM1877">
        <v>0</v>
      </c>
      <c r="DN1877">
        <v>1</v>
      </c>
      <c r="DO1877">
        <v>0</v>
      </c>
      <c r="DP1877">
        <v>0</v>
      </c>
      <c r="DQ1877">
        <v>0</v>
      </c>
      <c r="DR1877">
        <v>0</v>
      </c>
      <c r="DS1877">
        <v>0</v>
      </c>
    </row>
    <row r="1878" spans="1:123" x14ac:dyDescent="0.3">
      <c r="A1878" t="str">
        <f>"10/04/2022 19:30:29.651"</f>
        <v>10/04/2022 19:30:29.651</v>
      </c>
      <c r="C1878" t="str">
        <f t="shared" si="650"/>
        <v>FFDFD3C0</v>
      </c>
      <c r="D1878" t="s">
        <v>136</v>
      </c>
      <c r="E1878">
        <v>8</v>
      </c>
      <c r="H1878">
        <v>225</v>
      </c>
      <c r="I1878" t="s">
        <v>137</v>
      </c>
      <c r="J1878" t="s">
        <v>138</v>
      </c>
      <c r="K1878">
        <v>0</v>
      </c>
      <c r="L1878">
        <v>3</v>
      </c>
      <c r="M1878">
        <v>0</v>
      </c>
      <c r="N1878">
        <v>2</v>
      </c>
      <c r="O1878">
        <v>0</v>
      </c>
      <c r="P1878">
        <v>1</v>
      </c>
      <c r="Q1878">
        <v>0</v>
      </c>
      <c r="S1878" t="str">
        <f t="shared" ref="S1878:T1884" si="662">"19:30:29.000"</f>
        <v>19:30:29.000</v>
      </c>
      <c r="T1878" t="str">
        <f t="shared" si="662"/>
        <v>19:30:29.000</v>
      </c>
      <c r="U1878" t="str">
        <f t="shared" si="656"/>
        <v>AC3944</v>
      </c>
      <c r="V1878">
        <v>0</v>
      </c>
      <c r="W1878">
        <v>0</v>
      </c>
      <c r="X1878">
        <v>2</v>
      </c>
      <c r="Y1878">
        <v>0</v>
      </c>
      <c r="AA1878">
        <v>1</v>
      </c>
      <c r="AB1878">
        <v>8</v>
      </c>
      <c r="AC1878">
        <v>3</v>
      </c>
      <c r="AD1878">
        <v>0</v>
      </c>
      <c r="AE1878">
        <v>9</v>
      </c>
      <c r="AF1878" t="s">
        <v>138</v>
      </c>
      <c r="AG1878">
        <v>0</v>
      </c>
      <c r="AH1878">
        <v>3</v>
      </c>
      <c r="AI1878">
        <v>1</v>
      </c>
      <c r="AJ1878">
        <v>0</v>
      </c>
      <c r="AK1878" t="s">
        <v>672</v>
      </c>
      <c r="AL1878">
        <v>32.778933000000002</v>
      </c>
      <c r="AM1878" t="s">
        <v>673</v>
      </c>
      <c r="AN1878">
        <v>-116.853054</v>
      </c>
      <c r="AO1878">
        <v>25</v>
      </c>
      <c r="AP1878">
        <v>2900</v>
      </c>
      <c r="AQ1878" t="s">
        <v>129</v>
      </c>
      <c r="AR1878">
        <v>120</v>
      </c>
      <c r="AS1878">
        <v>-51</v>
      </c>
      <c r="AT1878">
        <v>-128</v>
      </c>
      <c r="BB1878">
        <v>1200</v>
      </c>
      <c r="BC1878">
        <v>1</v>
      </c>
      <c r="BD1878" t="str">
        <f t="shared" si="657"/>
        <v xml:space="preserve">N887QR  </v>
      </c>
      <c r="BE1878">
        <v>1</v>
      </c>
      <c r="BG1878">
        <v>0</v>
      </c>
      <c r="BH1878">
        <v>0</v>
      </c>
      <c r="BI1878">
        <v>0</v>
      </c>
      <c r="BJ1878">
        <v>2575</v>
      </c>
      <c r="BK1878">
        <v>-325</v>
      </c>
      <c r="BL1878" t="s">
        <v>163</v>
      </c>
      <c r="BM1878">
        <v>1</v>
      </c>
      <c r="BN1878">
        <v>1</v>
      </c>
      <c r="BO1878">
        <v>1</v>
      </c>
      <c r="BP1878">
        <v>0</v>
      </c>
      <c r="BS1878">
        <v>0</v>
      </c>
      <c r="BT1878">
        <v>0</v>
      </c>
      <c r="BU1878">
        <v>0</v>
      </c>
      <c r="CE1878" t="str">
        <f t="shared" ref="CE1878:CE1884" si="663">"19:30:29.457"</f>
        <v>19:30:29.457</v>
      </c>
      <c r="CF1878">
        <v>456899434</v>
      </c>
      <c r="CS1878">
        <v>0</v>
      </c>
      <c r="CT1878">
        <v>2</v>
      </c>
      <c r="CU1878">
        <v>0</v>
      </c>
      <c r="CV1878">
        <v>2</v>
      </c>
      <c r="CW1878">
        <v>1</v>
      </c>
      <c r="CX1878">
        <v>5</v>
      </c>
      <c r="CY1878">
        <v>7</v>
      </c>
      <c r="CZ1878" t="s">
        <v>131</v>
      </c>
      <c r="DA1878">
        <v>300</v>
      </c>
      <c r="DB1878">
        <v>0</v>
      </c>
      <c r="DC1878" t="s">
        <v>176</v>
      </c>
      <c r="DD1878" t="s">
        <v>177</v>
      </c>
      <c r="DG1878">
        <v>5397123</v>
      </c>
      <c r="DI1878">
        <v>1</v>
      </c>
      <c r="DJ1878">
        <v>0</v>
      </c>
      <c r="DK1878">
        <v>0</v>
      </c>
      <c r="DL1878">
        <v>0</v>
      </c>
      <c r="DM1878">
        <v>0</v>
      </c>
      <c r="DN1878">
        <v>1</v>
      </c>
      <c r="DO1878">
        <v>0</v>
      </c>
      <c r="DP1878">
        <v>0</v>
      </c>
      <c r="DQ1878">
        <v>0</v>
      </c>
      <c r="DR1878">
        <v>0</v>
      </c>
      <c r="DS1878">
        <v>0</v>
      </c>
    </row>
    <row r="1879" spans="1:123" x14ac:dyDescent="0.3">
      <c r="A1879" t="str">
        <f>"10/04/2022 19:30:29.651"</f>
        <v>10/04/2022 19:30:29.651</v>
      </c>
      <c r="C1879" t="str">
        <f t="shared" si="650"/>
        <v>FFDFD3C0</v>
      </c>
      <c r="D1879" t="s">
        <v>141</v>
      </c>
      <c r="E1879">
        <v>3</v>
      </c>
      <c r="H1879">
        <v>3</v>
      </c>
      <c r="I1879" t="s">
        <v>146</v>
      </c>
      <c r="J1879" t="s">
        <v>138</v>
      </c>
      <c r="K1879">
        <v>0</v>
      </c>
      <c r="L1879">
        <v>3</v>
      </c>
      <c r="M1879">
        <v>0</v>
      </c>
      <c r="N1879">
        <v>2</v>
      </c>
      <c r="O1879">
        <v>0</v>
      </c>
      <c r="P1879">
        <v>1</v>
      </c>
      <c r="Q1879">
        <v>0</v>
      </c>
      <c r="S1879" t="str">
        <f t="shared" si="662"/>
        <v>19:30:29.000</v>
      </c>
      <c r="T1879" t="str">
        <f t="shared" si="662"/>
        <v>19:30:29.000</v>
      </c>
      <c r="U1879" t="str">
        <f t="shared" si="656"/>
        <v>AC3944</v>
      </c>
      <c r="V1879">
        <v>0</v>
      </c>
      <c r="W1879">
        <v>0</v>
      </c>
      <c r="X1879">
        <v>2</v>
      </c>
      <c r="Y1879">
        <v>0</v>
      </c>
      <c r="AA1879">
        <v>1</v>
      </c>
      <c r="AB1879">
        <v>8</v>
      </c>
      <c r="AC1879">
        <v>3</v>
      </c>
      <c r="AD1879">
        <v>0</v>
      </c>
      <c r="AE1879">
        <v>9</v>
      </c>
      <c r="AF1879" t="s">
        <v>138</v>
      </c>
      <c r="AG1879">
        <v>0</v>
      </c>
      <c r="AH1879">
        <v>3</v>
      </c>
      <c r="AI1879">
        <v>1</v>
      </c>
      <c r="AJ1879">
        <v>0</v>
      </c>
      <c r="AK1879" t="s">
        <v>672</v>
      </c>
      <c r="AL1879">
        <v>32.778933000000002</v>
      </c>
      <c r="AM1879" t="s">
        <v>673</v>
      </c>
      <c r="AN1879">
        <v>-116.853054</v>
      </c>
      <c r="AO1879">
        <v>25</v>
      </c>
      <c r="AP1879">
        <v>2900</v>
      </c>
      <c r="AQ1879" t="s">
        <v>129</v>
      </c>
      <c r="AR1879">
        <v>120</v>
      </c>
      <c r="AS1879">
        <v>-51</v>
      </c>
      <c r="AT1879">
        <v>-128</v>
      </c>
      <c r="BB1879">
        <v>1200</v>
      </c>
      <c r="BC1879">
        <v>1</v>
      </c>
      <c r="BD1879" t="str">
        <f t="shared" si="657"/>
        <v xml:space="preserve">N887QR  </v>
      </c>
      <c r="BE1879">
        <v>1</v>
      </c>
      <c r="BG1879">
        <v>0</v>
      </c>
      <c r="BH1879">
        <v>0</v>
      </c>
      <c r="BI1879">
        <v>0</v>
      </c>
      <c r="BJ1879">
        <v>2575</v>
      </c>
      <c r="BK1879">
        <v>-325</v>
      </c>
      <c r="BL1879" t="s">
        <v>163</v>
      </c>
      <c r="BM1879">
        <v>1</v>
      </c>
      <c r="BN1879">
        <v>1</v>
      </c>
      <c r="BO1879">
        <v>1</v>
      </c>
      <c r="BP1879">
        <v>0</v>
      </c>
      <c r="BS1879">
        <v>0</v>
      </c>
      <c r="BT1879">
        <v>0</v>
      </c>
      <c r="BU1879">
        <v>0</v>
      </c>
      <c r="CE1879" t="str">
        <f t="shared" si="663"/>
        <v>19:30:29.457</v>
      </c>
      <c r="CF1879">
        <v>456899434</v>
      </c>
      <c r="CS1879">
        <v>0</v>
      </c>
      <c r="CT1879">
        <v>2</v>
      </c>
      <c r="CU1879">
        <v>0</v>
      </c>
      <c r="CV1879">
        <v>2</v>
      </c>
      <c r="CW1879">
        <v>1</v>
      </c>
      <c r="CX1879">
        <v>5</v>
      </c>
      <c r="CY1879">
        <v>7</v>
      </c>
      <c r="CZ1879" t="s">
        <v>131</v>
      </c>
      <c r="DA1879">
        <v>300</v>
      </c>
      <c r="DB1879">
        <v>0</v>
      </c>
      <c r="DC1879" t="s">
        <v>176</v>
      </c>
      <c r="DD1879" t="s">
        <v>177</v>
      </c>
      <c r="DG1879">
        <v>5397123</v>
      </c>
      <c r="DI1879">
        <v>1</v>
      </c>
      <c r="DJ1879">
        <v>0</v>
      </c>
      <c r="DK1879">
        <v>1</v>
      </c>
      <c r="DL1879">
        <v>0</v>
      </c>
      <c r="DM1879">
        <v>0</v>
      </c>
      <c r="DN1879">
        <v>1</v>
      </c>
      <c r="DO1879">
        <v>0</v>
      </c>
      <c r="DP1879">
        <v>0</v>
      </c>
      <c r="DQ1879">
        <v>0</v>
      </c>
      <c r="DR1879">
        <v>0</v>
      </c>
      <c r="DS1879">
        <v>0</v>
      </c>
    </row>
    <row r="1880" spans="1:123" x14ac:dyDescent="0.3">
      <c r="A1880" t="str">
        <f>"10/04/2022 19:30:29.651"</f>
        <v>10/04/2022 19:30:29.651</v>
      </c>
      <c r="C1880" t="str">
        <f t="shared" si="650"/>
        <v>FFDFD3C0</v>
      </c>
      <c r="D1880" t="s">
        <v>141</v>
      </c>
      <c r="E1880">
        <v>4</v>
      </c>
      <c r="H1880">
        <v>4</v>
      </c>
      <c r="I1880" t="s">
        <v>142</v>
      </c>
      <c r="J1880" t="s">
        <v>138</v>
      </c>
      <c r="K1880">
        <v>0</v>
      </c>
      <c r="L1880">
        <v>3</v>
      </c>
      <c r="M1880">
        <v>0</v>
      </c>
      <c r="N1880">
        <v>2</v>
      </c>
      <c r="O1880">
        <v>0</v>
      </c>
      <c r="P1880">
        <v>1</v>
      </c>
      <c r="Q1880">
        <v>0</v>
      </c>
      <c r="S1880" t="str">
        <f t="shared" si="662"/>
        <v>19:30:29.000</v>
      </c>
      <c r="T1880" t="str">
        <f t="shared" si="662"/>
        <v>19:30:29.000</v>
      </c>
      <c r="U1880" t="str">
        <f t="shared" si="656"/>
        <v>AC3944</v>
      </c>
      <c r="V1880">
        <v>0</v>
      </c>
      <c r="W1880">
        <v>0</v>
      </c>
      <c r="X1880">
        <v>2</v>
      </c>
      <c r="Y1880">
        <v>0</v>
      </c>
      <c r="AA1880">
        <v>1</v>
      </c>
      <c r="AB1880">
        <v>8</v>
      </c>
      <c r="AC1880">
        <v>3</v>
      </c>
      <c r="AD1880">
        <v>0</v>
      </c>
      <c r="AE1880">
        <v>9</v>
      </c>
      <c r="AF1880" t="s">
        <v>138</v>
      </c>
      <c r="AG1880">
        <v>0</v>
      </c>
      <c r="AH1880">
        <v>3</v>
      </c>
      <c r="AI1880">
        <v>1</v>
      </c>
      <c r="AJ1880">
        <v>0</v>
      </c>
      <c r="AK1880" t="s">
        <v>672</v>
      </c>
      <c r="AL1880">
        <v>32.778933000000002</v>
      </c>
      <c r="AM1880" t="s">
        <v>673</v>
      </c>
      <c r="AN1880">
        <v>-116.853054</v>
      </c>
      <c r="AO1880">
        <v>25</v>
      </c>
      <c r="AP1880">
        <v>2900</v>
      </c>
      <c r="AQ1880" t="s">
        <v>129</v>
      </c>
      <c r="AR1880">
        <v>120</v>
      </c>
      <c r="AS1880">
        <v>-51</v>
      </c>
      <c r="AT1880">
        <v>-128</v>
      </c>
      <c r="BB1880">
        <v>1200</v>
      </c>
      <c r="BC1880">
        <v>1</v>
      </c>
      <c r="BD1880" t="str">
        <f t="shared" si="657"/>
        <v xml:space="preserve">N887QR  </v>
      </c>
      <c r="BE1880">
        <v>1</v>
      </c>
      <c r="BG1880">
        <v>0</v>
      </c>
      <c r="BH1880">
        <v>0</v>
      </c>
      <c r="BI1880">
        <v>0</v>
      </c>
      <c r="BJ1880">
        <v>2575</v>
      </c>
      <c r="BK1880">
        <v>-325</v>
      </c>
      <c r="BL1880" t="s">
        <v>163</v>
      </c>
      <c r="BM1880">
        <v>1</v>
      </c>
      <c r="BN1880">
        <v>1</v>
      </c>
      <c r="BO1880">
        <v>1</v>
      </c>
      <c r="BP1880">
        <v>0</v>
      </c>
      <c r="BS1880">
        <v>0</v>
      </c>
      <c r="BT1880">
        <v>0</v>
      </c>
      <c r="BU1880">
        <v>0</v>
      </c>
      <c r="CE1880" t="str">
        <f t="shared" si="663"/>
        <v>19:30:29.457</v>
      </c>
      <c r="CF1880">
        <v>456899434</v>
      </c>
      <c r="CS1880">
        <v>0</v>
      </c>
      <c r="CT1880">
        <v>2</v>
      </c>
      <c r="CU1880">
        <v>0</v>
      </c>
      <c r="CV1880">
        <v>2</v>
      </c>
      <c r="CW1880">
        <v>1</v>
      </c>
      <c r="CX1880">
        <v>5</v>
      </c>
      <c r="CY1880">
        <v>7</v>
      </c>
      <c r="CZ1880" t="s">
        <v>131</v>
      </c>
      <c r="DA1880">
        <v>300</v>
      </c>
      <c r="DB1880">
        <v>0</v>
      </c>
      <c r="DC1880" t="s">
        <v>176</v>
      </c>
      <c r="DD1880" t="s">
        <v>177</v>
      </c>
      <c r="DG1880">
        <v>5397123</v>
      </c>
      <c r="DI1880">
        <v>1</v>
      </c>
      <c r="DJ1880">
        <v>0</v>
      </c>
      <c r="DK1880">
        <v>1</v>
      </c>
      <c r="DL1880">
        <v>0</v>
      </c>
      <c r="DM1880">
        <v>0</v>
      </c>
      <c r="DN1880">
        <v>1</v>
      </c>
      <c r="DO1880">
        <v>0</v>
      </c>
      <c r="DP1880">
        <v>0</v>
      </c>
      <c r="DQ1880">
        <v>0</v>
      </c>
      <c r="DR1880">
        <v>0</v>
      </c>
      <c r="DS1880">
        <v>0</v>
      </c>
    </row>
    <row r="1881" spans="1:123" x14ac:dyDescent="0.3">
      <c r="A1881" t="str">
        <f>"10/04/2022 19:30:29.745"</f>
        <v>10/04/2022 19:30:29.745</v>
      </c>
      <c r="C1881" t="str">
        <f t="shared" si="650"/>
        <v>FFDFD3C0</v>
      </c>
      <c r="D1881" t="s">
        <v>143</v>
      </c>
      <c r="E1881">
        <v>20</v>
      </c>
      <c r="F1881">
        <v>1020</v>
      </c>
      <c r="G1881" t="s">
        <v>144</v>
      </c>
      <c r="J1881" t="s">
        <v>145</v>
      </c>
      <c r="K1881">
        <v>0</v>
      </c>
      <c r="L1881">
        <v>3</v>
      </c>
      <c r="M1881">
        <v>0</v>
      </c>
      <c r="N1881">
        <v>2</v>
      </c>
      <c r="O1881">
        <v>0</v>
      </c>
      <c r="P1881">
        <v>1</v>
      </c>
      <c r="Q1881">
        <v>0</v>
      </c>
      <c r="S1881" t="str">
        <f t="shared" si="662"/>
        <v>19:30:29.000</v>
      </c>
      <c r="T1881" t="str">
        <f t="shared" si="662"/>
        <v>19:30:29.000</v>
      </c>
      <c r="U1881" t="str">
        <f t="shared" si="656"/>
        <v>AC3944</v>
      </c>
      <c r="V1881">
        <v>0</v>
      </c>
      <c r="W1881">
        <v>0</v>
      </c>
      <c r="X1881">
        <v>2</v>
      </c>
      <c r="Y1881">
        <v>0</v>
      </c>
      <c r="AA1881">
        <v>1</v>
      </c>
      <c r="AB1881">
        <v>8</v>
      </c>
      <c r="AC1881">
        <v>3</v>
      </c>
      <c r="AD1881">
        <v>0</v>
      </c>
      <c r="AE1881">
        <v>9</v>
      </c>
      <c r="AF1881" t="s">
        <v>138</v>
      </c>
      <c r="AG1881">
        <v>0</v>
      </c>
      <c r="AH1881">
        <v>3</v>
      </c>
      <c r="AI1881">
        <v>1</v>
      </c>
      <c r="AJ1881">
        <v>0</v>
      </c>
      <c r="AK1881" t="s">
        <v>672</v>
      </c>
      <c r="AL1881">
        <v>32.778933000000002</v>
      </c>
      <c r="AM1881" t="s">
        <v>673</v>
      </c>
      <c r="AN1881">
        <v>-116.853054</v>
      </c>
      <c r="AO1881">
        <v>25</v>
      </c>
      <c r="AP1881">
        <v>2900</v>
      </c>
      <c r="AQ1881" t="s">
        <v>129</v>
      </c>
      <c r="AR1881">
        <v>120</v>
      </c>
      <c r="AS1881">
        <v>-51</v>
      </c>
      <c r="AT1881">
        <v>-128</v>
      </c>
      <c r="BB1881">
        <v>1200</v>
      </c>
      <c r="BC1881">
        <v>1</v>
      </c>
      <c r="BD1881" t="str">
        <f t="shared" si="657"/>
        <v xml:space="preserve">N887QR  </v>
      </c>
      <c r="BE1881">
        <v>1</v>
      </c>
      <c r="BG1881">
        <v>0</v>
      </c>
      <c r="BH1881">
        <v>0</v>
      </c>
      <c r="BI1881">
        <v>0</v>
      </c>
      <c r="BJ1881">
        <v>2575</v>
      </c>
      <c r="BK1881">
        <v>-325</v>
      </c>
      <c r="BL1881" t="s">
        <v>163</v>
      </c>
      <c r="BM1881">
        <v>1</v>
      </c>
      <c r="BN1881">
        <v>1</v>
      </c>
      <c r="BO1881">
        <v>1</v>
      </c>
      <c r="BP1881">
        <v>0</v>
      </c>
      <c r="BS1881">
        <v>0</v>
      </c>
      <c r="BT1881">
        <v>0</v>
      </c>
      <c r="BU1881">
        <v>0</v>
      </c>
      <c r="CE1881" t="str">
        <f t="shared" si="663"/>
        <v>19:30:29.457</v>
      </c>
      <c r="CF1881">
        <v>456899434</v>
      </c>
      <c r="CS1881">
        <v>0</v>
      </c>
      <c r="CT1881">
        <v>2</v>
      </c>
      <c r="CU1881">
        <v>0</v>
      </c>
      <c r="CV1881">
        <v>2</v>
      </c>
      <c r="CW1881">
        <v>1</v>
      </c>
      <c r="CX1881">
        <v>5</v>
      </c>
      <c r="CY1881">
        <v>7</v>
      </c>
      <c r="CZ1881" t="s">
        <v>131</v>
      </c>
      <c r="DA1881">
        <v>300</v>
      </c>
      <c r="DB1881">
        <v>0</v>
      </c>
      <c r="DC1881" t="s">
        <v>176</v>
      </c>
      <c r="DD1881" t="s">
        <v>177</v>
      </c>
      <c r="DG1881">
        <v>5397123</v>
      </c>
      <c r="DI1881">
        <v>1</v>
      </c>
      <c r="DJ1881">
        <v>0</v>
      </c>
      <c r="DK1881">
        <v>1</v>
      </c>
      <c r="DL1881">
        <v>0</v>
      </c>
      <c r="DM1881">
        <v>0</v>
      </c>
      <c r="DN1881">
        <v>1</v>
      </c>
      <c r="DO1881">
        <v>0</v>
      </c>
      <c r="DP1881">
        <v>0</v>
      </c>
      <c r="DQ1881">
        <v>0</v>
      </c>
      <c r="DR1881">
        <v>0</v>
      </c>
      <c r="DS1881">
        <v>0</v>
      </c>
    </row>
    <row r="1882" spans="1:123" x14ac:dyDescent="0.3">
      <c r="A1882" t="str">
        <f>"10/04/2022 19:30:29.745"</f>
        <v>10/04/2022 19:30:29.745</v>
      </c>
      <c r="C1882" t="str">
        <f t="shared" si="650"/>
        <v>FFDFD3C0</v>
      </c>
      <c r="D1882" t="s">
        <v>134</v>
      </c>
      <c r="E1882">
        <v>15</v>
      </c>
      <c r="J1882" t="s">
        <v>135</v>
      </c>
      <c r="K1882">
        <v>0</v>
      </c>
      <c r="L1882">
        <v>3</v>
      </c>
      <c r="M1882">
        <v>0</v>
      </c>
      <c r="N1882">
        <v>2</v>
      </c>
      <c r="O1882">
        <v>0</v>
      </c>
      <c r="P1882">
        <v>1</v>
      </c>
      <c r="Q1882">
        <v>0</v>
      </c>
      <c r="S1882" t="str">
        <f t="shared" si="662"/>
        <v>19:30:29.000</v>
      </c>
      <c r="T1882" t="str">
        <f t="shared" si="662"/>
        <v>19:30:29.000</v>
      </c>
      <c r="U1882" t="str">
        <f t="shared" si="656"/>
        <v>AC3944</v>
      </c>
      <c r="V1882">
        <v>0</v>
      </c>
      <c r="W1882">
        <v>0</v>
      </c>
      <c r="X1882">
        <v>2</v>
      </c>
      <c r="Y1882">
        <v>0</v>
      </c>
      <c r="AA1882">
        <v>1</v>
      </c>
      <c r="AB1882">
        <v>8</v>
      </c>
      <c r="AC1882">
        <v>3</v>
      </c>
      <c r="AD1882">
        <v>0</v>
      </c>
      <c r="AE1882">
        <v>9</v>
      </c>
      <c r="AF1882" t="s">
        <v>138</v>
      </c>
      <c r="AG1882">
        <v>0</v>
      </c>
      <c r="AH1882">
        <v>3</v>
      </c>
      <c r="AI1882">
        <v>1</v>
      </c>
      <c r="AJ1882">
        <v>0</v>
      </c>
      <c r="AK1882" t="s">
        <v>672</v>
      </c>
      <c r="AL1882">
        <v>32.778933000000002</v>
      </c>
      <c r="AM1882" t="s">
        <v>673</v>
      </c>
      <c r="AN1882">
        <v>-116.853054</v>
      </c>
      <c r="AO1882">
        <v>25</v>
      </c>
      <c r="AP1882">
        <v>2900</v>
      </c>
      <c r="AQ1882" t="s">
        <v>129</v>
      </c>
      <c r="AR1882">
        <v>120</v>
      </c>
      <c r="AS1882">
        <v>-51</v>
      </c>
      <c r="AT1882">
        <v>-128</v>
      </c>
      <c r="BB1882">
        <v>1200</v>
      </c>
      <c r="BC1882">
        <v>1</v>
      </c>
      <c r="BD1882" t="str">
        <f t="shared" si="657"/>
        <v xml:space="preserve">N887QR  </v>
      </c>
      <c r="BE1882">
        <v>1</v>
      </c>
      <c r="BG1882">
        <v>0</v>
      </c>
      <c r="BH1882">
        <v>0</v>
      </c>
      <c r="BI1882">
        <v>0</v>
      </c>
      <c r="BJ1882">
        <v>2575</v>
      </c>
      <c r="BK1882">
        <v>-325</v>
      </c>
      <c r="BL1882" t="s">
        <v>163</v>
      </c>
      <c r="BM1882">
        <v>1</v>
      </c>
      <c r="BN1882">
        <v>1</v>
      </c>
      <c r="BO1882">
        <v>1</v>
      </c>
      <c r="BP1882">
        <v>0</v>
      </c>
      <c r="BS1882">
        <v>0</v>
      </c>
      <c r="BT1882">
        <v>0</v>
      </c>
      <c r="BU1882">
        <v>0</v>
      </c>
      <c r="CE1882" t="str">
        <f t="shared" si="663"/>
        <v>19:30:29.457</v>
      </c>
      <c r="CF1882">
        <v>456899434</v>
      </c>
      <c r="CS1882">
        <v>0</v>
      </c>
      <c r="CT1882">
        <v>2</v>
      </c>
      <c r="CU1882">
        <v>0</v>
      </c>
      <c r="CV1882">
        <v>2</v>
      </c>
      <c r="CW1882">
        <v>1</v>
      </c>
      <c r="CX1882">
        <v>5</v>
      </c>
      <c r="CY1882">
        <v>7</v>
      </c>
      <c r="CZ1882" t="s">
        <v>131</v>
      </c>
      <c r="DA1882">
        <v>300</v>
      </c>
      <c r="DB1882">
        <v>0</v>
      </c>
      <c r="DC1882" t="s">
        <v>176</v>
      </c>
      <c r="DD1882" t="s">
        <v>177</v>
      </c>
      <c r="DG1882">
        <v>5397123</v>
      </c>
      <c r="DI1882">
        <v>1</v>
      </c>
      <c r="DJ1882">
        <v>0</v>
      </c>
      <c r="DK1882">
        <v>1</v>
      </c>
      <c r="DL1882">
        <v>0</v>
      </c>
      <c r="DM1882">
        <v>0</v>
      </c>
      <c r="DN1882">
        <v>1</v>
      </c>
      <c r="DO1882">
        <v>0</v>
      </c>
      <c r="DP1882">
        <v>0</v>
      </c>
      <c r="DQ1882">
        <v>0</v>
      </c>
      <c r="DR1882">
        <v>0</v>
      </c>
      <c r="DS1882">
        <v>0</v>
      </c>
    </row>
    <row r="1883" spans="1:123" x14ac:dyDescent="0.3">
      <c r="A1883" t="str">
        <f>"10/04/2022 19:30:29.745"</f>
        <v>10/04/2022 19:30:29.745</v>
      </c>
      <c r="C1883" t="str">
        <f t="shared" si="650"/>
        <v>FFDFD3C0</v>
      </c>
      <c r="D1883" t="s">
        <v>123</v>
      </c>
      <c r="E1883">
        <v>7</v>
      </c>
      <c r="F1883">
        <v>2007</v>
      </c>
      <c r="G1883" t="s">
        <v>124</v>
      </c>
      <c r="J1883" t="s">
        <v>125</v>
      </c>
      <c r="K1883">
        <v>0</v>
      </c>
      <c r="L1883">
        <v>3</v>
      </c>
      <c r="M1883">
        <v>0</v>
      </c>
      <c r="N1883">
        <v>2</v>
      </c>
      <c r="O1883">
        <v>0</v>
      </c>
      <c r="P1883">
        <v>1</v>
      </c>
      <c r="Q1883">
        <v>0</v>
      </c>
      <c r="S1883" t="str">
        <f t="shared" si="662"/>
        <v>19:30:29.000</v>
      </c>
      <c r="T1883" t="str">
        <f t="shared" si="662"/>
        <v>19:30:29.000</v>
      </c>
      <c r="U1883" t="str">
        <f t="shared" si="656"/>
        <v>AC3944</v>
      </c>
      <c r="V1883">
        <v>0</v>
      </c>
      <c r="W1883">
        <v>0</v>
      </c>
      <c r="X1883">
        <v>2</v>
      </c>
      <c r="Y1883">
        <v>0</v>
      </c>
      <c r="AA1883">
        <v>1</v>
      </c>
      <c r="AB1883">
        <v>8</v>
      </c>
      <c r="AC1883">
        <v>3</v>
      </c>
      <c r="AD1883">
        <v>0</v>
      </c>
      <c r="AE1883">
        <v>9</v>
      </c>
      <c r="AF1883" t="s">
        <v>138</v>
      </c>
      <c r="AG1883">
        <v>0</v>
      </c>
      <c r="AH1883">
        <v>3</v>
      </c>
      <c r="AI1883">
        <v>1</v>
      </c>
      <c r="AJ1883">
        <v>0</v>
      </c>
      <c r="AK1883" t="s">
        <v>672</v>
      </c>
      <c r="AL1883">
        <v>32.778933000000002</v>
      </c>
      <c r="AM1883" t="s">
        <v>673</v>
      </c>
      <c r="AN1883">
        <v>-116.853054</v>
      </c>
      <c r="AO1883">
        <v>25</v>
      </c>
      <c r="AP1883">
        <v>2900</v>
      </c>
      <c r="AQ1883" t="s">
        <v>129</v>
      </c>
      <c r="AR1883">
        <v>120</v>
      </c>
      <c r="AS1883">
        <v>-51</v>
      </c>
      <c r="AT1883">
        <v>-128</v>
      </c>
      <c r="BB1883">
        <v>1200</v>
      </c>
      <c r="BC1883">
        <v>1</v>
      </c>
      <c r="BD1883" t="str">
        <f t="shared" si="657"/>
        <v xml:space="preserve">N887QR  </v>
      </c>
      <c r="BE1883">
        <v>1</v>
      </c>
      <c r="BG1883">
        <v>0</v>
      </c>
      <c r="BH1883">
        <v>0</v>
      </c>
      <c r="BI1883">
        <v>0</v>
      </c>
      <c r="BJ1883">
        <v>2575</v>
      </c>
      <c r="BK1883">
        <v>-325</v>
      </c>
      <c r="BL1883" t="s">
        <v>163</v>
      </c>
      <c r="BM1883">
        <v>1</v>
      </c>
      <c r="BN1883">
        <v>1</v>
      </c>
      <c r="BO1883">
        <v>1</v>
      </c>
      <c r="BP1883">
        <v>0</v>
      </c>
      <c r="BS1883">
        <v>0</v>
      </c>
      <c r="BT1883">
        <v>0</v>
      </c>
      <c r="BU1883">
        <v>0</v>
      </c>
      <c r="CE1883" t="str">
        <f t="shared" si="663"/>
        <v>19:30:29.457</v>
      </c>
      <c r="CF1883">
        <v>456899434</v>
      </c>
      <c r="CS1883">
        <v>0</v>
      </c>
      <c r="CT1883">
        <v>2</v>
      </c>
      <c r="CU1883">
        <v>0</v>
      </c>
      <c r="CV1883">
        <v>2</v>
      </c>
      <c r="CW1883">
        <v>1</v>
      </c>
      <c r="CX1883">
        <v>5</v>
      </c>
      <c r="CY1883">
        <v>7</v>
      </c>
      <c r="CZ1883" t="s">
        <v>131</v>
      </c>
      <c r="DA1883">
        <v>300</v>
      </c>
      <c r="DB1883">
        <v>0</v>
      </c>
      <c r="DC1883" t="s">
        <v>176</v>
      </c>
      <c r="DD1883" t="s">
        <v>177</v>
      </c>
      <c r="DG1883">
        <v>5397123</v>
      </c>
      <c r="DI1883">
        <v>1</v>
      </c>
      <c r="DJ1883">
        <v>0</v>
      </c>
      <c r="DK1883">
        <v>1</v>
      </c>
      <c r="DL1883">
        <v>0</v>
      </c>
      <c r="DM1883">
        <v>0</v>
      </c>
      <c r="DN1883">
        <v>1</v>
      </c>
      <c r="DO1883">
        <v>0</v>
      </c>
      <c r="DP1883">
        <v>0</v>
      </c>
      <c r="DQ1883">
        <v>0</v>
      </c>
      <c r="DR1883">
        <v>0</v>
      </c>
      <c r="DS1883">
        <v>0</v>
      </c>
    </row>
    <row r="1884" spans="1:123" x14ac:dyDescent="0.3">
      <c r="A1884" t="str">
        <f>"10/04/2022 19:30:29.776"</f>
        <v>10/04/2022 19:30:29.776</v>
      </c>
      <c r="C1884" t="str">
        <f t="shared" si="650"/>
        <v>FFDFD3C0</v>
      </c>
      <c r="D1884" t="s">
        <v>147</v>
      </c>
      <c r="E1884">
        <v>3</v>
      </c>
      <c r="H1884">
        <v>166</v>
      </c>
      <c r="I1884" t="s">
        <v>144</v>
      </c>
      <c r="J1884" t="s">
        <v>148</v>
      </c>
      <c r="K1884">
        <v>0</v>
      </c>
      <c r="L1884">
        <v>3</v>
      </c>
      <c r="M1884">
        <v>0</v>
      </c>
      <c r="N1884">
        <v>2</v>
      </c>
      <c r="O1884">
        <v>0</v>
      </c>
      <c r="P1884">
        <v>1</v>
      </c>
      <c r="Q1884">
        <v>0</v>
      </c>
      <c r="S1884" t="str">
        <f t="shared" si="662"/>
        <v>19:30:29.000</v>
      </c>
      <c r="T1884" t="str">
        <f t="shared" si="662"/>
        <v>19:30:29.000</v>
      </c>
      <c r="U1884" t="str">
        <f t="shared" si="656"/>
        <v>AC3944</v>
      </c>
      <c r="V1884">
        <v>0</v>
      </c>
      <c r="W1884">
        <v>0</v>
      </c>
      <c r="X1884">
        <v>2</v>
      </c>
      <c r="Y1884">
        <v>0</v>
      </c>
      <c r="AA1884">
        <v>1</v>
      </c>
      <c r="AB1884">
        <v>8</v>
      </c>
      <c r="AC1884">
        <v>3</v>
      </c>
      <c r="AD1884">
        <v>0</v>
      </c>
      <c r="AE1884">
        <v>9</v>
      </c>
      <c r="AF1884" t="s">
        <v>138</v>
      </c>
      <c r="AG1884">
        <v>0</v>
      </c>
      <c r="AH1884">
        <v>3</v>
      </c>
      <c r="AI1884">
        <v>1</v>
      </c>
      <c r="AJ1884">
        <v>0</v>
      </c>
      <c r="AK1884" t="s">
        <v>672</v>
      </c>
      <c r="AL1884">
        <v>32.778933000000002</v>
      </c>
      <c r="AM1884" t="s">
        <v>673</v>
      </c>
      <c r="AN1884">
        <v>-116.853054</v>
      </c>
      <c r="AO1884">
        <v>25</v>
      </c>
      <c r="AP1884">
        <v>2900</v>
      </c>
      <c r="AQ1884" t="s">
        <v>129</v>
      </c>
      <c r="AR1884">
        <v>120</v>
      </c>
      <c r="AS1884">
        <v>-51</v>
      </c>
      <c r="AT1884">
        <v>-128</v>
      </c>
      <c r="BB1884">
        <v>1200</v>
      </c>
      <c r="BC1884">
        <v>1</v>
      </c>
      <c r="BD1884" t="str">
        <f t="shared" si="657"/>
        <v xml:space="preserve">N887QR  </v>
      </c>
      <c r="BE1884">
        <v>1</v>
      </c>
      <c r="BG1884">
        <v>0</v>
      </c>
      <c r="BH1884">
        <v>0</v>
      </c>
      <c r="BI1884">
        <v>0</v>
      </c>
      <c r="BJ1884">
        <v>2575</v>
      </c>
      <c r="BK1884">
        <v>-325</v>
      </c>
      <c r="BL1884" t="s">
        <v>163</v>
      </c>
      <c r="BM1884">
        <v>1</v>
      </c>
      <c r="BN1884">
        <v>1</v>
      </c>
      <c r="BO1884">
        <v>1</v>
      </c>
      <c r="BP1884">
        <v>0</v>
      </c>
      <c r="BS1884">
        <v>0</v>
      </c>
      <c r="BT1884">
        <v>0</v>
      </c>
      <c r="BU1884">
        <v>0</v>
      </c>
      <c r="CE1884" t="str">
        <f t="shared" si="663"/>
        <v>19:30:29.457</v>
      </c>
      <c r="CF1884">
        <v>456899434</v>
      </c>
      <c r="CS1884">
        <v>0</v>
      </c>
      <c r="CT1884">
        <v>2</v>
      </c>
      <c r="CU1884">
        <v>0</v>
      </c>
      <c r="CV1884">
        <v>2</v>
      </c>
      <c r="CW1884">
        <v>1</v>
      </c>
      <c r="CX1884">
        <v>5</v>
      </c>
      <c r="CY1884">
        <v>7</v>
      </c>
      <c r="CZ1884" t="s">
        <v>131</v>
      </c>
      <c r="DA1884">
        <v>300</v>
      </c>
      <c r="DB1884">
        <v>0</v>
      </c>
      <c r="DC1884" t="s">
        <v>176</v>
      </c>
      <c r="DD1884" t="s">
        <v>177</v>
      </c>
      <c r="DG1884">
        <v>5397123</v>
      </c>
      <c r="DI1884">
        <v>1</v>
      </c>
      <c r="DJ1884">
        <v>0</v>
      </c>
      <c r="DK1884">
        <v>1</v>
      </c>
      <c r="DL1884">
        <v>0</v>
      </c>
      <c r="DM1884">
        <v>0</v>
      </c>
      <c r="DN1884">
        <v>1</v>
      </c>
      <c r="DO1884">
        <v>0</v>
      </c>
      <c r="DP1884">
        <v>0</v>
      </c>
      <c r="DQ1884">
        <v>0</v>
      </c>
      <c r="DR1884">
        <v>0</v>
      </c>
      <c r="DS1884">
        <v>0</v>
      </c>
    </row>
    <row r="1885" spans="1:123" x14ac:dyDescent="0.3">
      <c r="A1885" t="str">
        <f>"10/04/2022 19:30:30.605"</f>
        <v>10/04/2022 19:30:30.605</v>
      </c>
      <c r="C1885" t="str">
        <f t="shared" si="650"/>
        <v>FFDFD3C0</v>
      </c>
      <c r="D1885" t="s">
        <v>134</v>
      </c>
      <c r="E1885">
        <v>15</v>
      </c>
      <c r="J1885" t="s">
        <v>135</v>
      </c>
      <c r="K1885">
        <v>0</v>
      </c>
      <c r="L1885">
        <v>3</v>
      </c>
      <c r="M1885">
        <v>0</v>
      </c>
      <c r="N1885">
        <v>2</v>
      </c>
      <c r="O1885">
        <v>0</v>
      </c>
      <c r="P1885">
        <v>1</v>
      </c>
      <c r="Q1885">
        <v>0</v>
      </c>
      <c r="S1885" t="str">
        <f t="shared" ref="S1885:T1898" si="664">"19:30:30.000"</f>
        <v>19:30:30.000</v>
      </c>
      <c r="T1885" t="str">
        <f t="shared" si="664"/>
        <v>19:30:30.000</v>
      </c>
      <c r="U1885" t="str">
        <f t="shared" si="656"/>
        <v>AC3944</v>
      </c>
      <c r="V1885">
        <v>0</v>
      </c>
      <c r="W1885">
        <v>0</v>
      </c>
      <c r="X1885">
        <v>2</v>
      </c>
      <c r="Y1885">
        <v>0</v>
      </c>
      <c r="AA1885">
        <v>1</v>
      </c>
      <c r="AB1885">
        <v>8</v>
      </c>
      <c r="AC1885">
        <v>3</v>
      </c>
      <c r="AD1885">
        <v>0</v>
      </c>
      <c r="AE1885">
        <v>9</v>
      </c>
      <c r="AF1885" t="s">
        <v>138</v>
      </c>
      <c r="AG1885">
        <v>0</v>
      </c>
      <c r="AH1885">
        <v>3</v>
      </c>
      <c r="AI1885">
        <v>1</v>
      </c>
      <c r="AJ1885">
        <v>0</v>
      </c>
      <c r="AK1885" t="s">
        <v>674</v>
      </c>
      <c r="AL1885">
        <v>32.778697000000001</v>
      </c>
      <c r="AM1885" t="s">
        <v>675</v>
      </c>
      <c r="AN1885">
        <v>-116.852388</v>
      </c>
      <c r="AO1885">
        <v>25</v>
      </c>
      <c r="AP1885">
        <v>2900</v>
      </c>
      <c r="AQ1885" t="s">
        <v>129</v>
      </c>
      <c r="AR1885">
        <v>120</v>
      </c>
      <c r="AS1885">
        <v>-50</v>
      </c>
      <c r="AT1885">
        <v>0</v>
      </c>
      <c r="BB1885">
        <v>1200</v>
      </c>
      <c r="BC1885">
        <v>1</v>
      </c>
      <c r="BD1885" t="str">
        <f t="shared" si="657"/>
        <v xml:space="preserve">N887QR  </v>
      </c>
      <c r="BE1885">
        <v>1</v>
      </c>
      <c r="BG1885">
        <v>0</v>
      </c>
      <c r="BH1885">
        <v>0</v>
      </c>
      <c r="BI1885">
        <v>0</v>
      </c>
      <c r="BJ1885">
        <v>2575</v>
      </c>
      <c r="BK1885">
        <v>-325</v>
      </c>
      <c r="BL1885" t="s">
        <v>163</v>
      </c>
      <c r="BM1885">
        <v>1</v>
      </c>
      <c r="BN1885">
        <v>1</v>
      </c>
      <c r="BO1885">
        <v>1</v>
      </c>
      <c r="BP1885">
        <v>0</v>
      </c>
      <c r="BS1885">
        <v>0</v>
      </c>
      <c r="BT1885">
        <v>0</v>
      </c>
      <c r="BU1885">
        <v>0</v>
      </c>
      <c r="CE1885" t="str">
        <f t="shared" ref="CE1885:CE1891" si="665">"19:30:30.348"</f>
        <v>19:30:30.348</v>
      </c>
      <c r="CF1885">
        <v>347902355</v>
      </c>
      <c r="CS1885">
        <v>0</v>
      </c>
      <c r="CT1885">
        <v>2</v>
      </c>
      <c r="CU1885">
        <v>0</v>
      </c>
      <c r="CV1885">
        <v>2</v>
      </c>
      <c r="CW1885">
        <v>0</v>
      </c>
      <c r="CX1885">
        <v>5</v>
      </c>
      <c r="CY1885">
        <v>7</v>
      </c>
      <c r="CZ1885" t="s">
        <v>131</v>
      </c>
      <c r="DA1885">
        <v>300</v>
      </c>
      <c r="DB1885">
        <v>0</v>
      </c>
      <c r="DC1885" t="s">
        <v>176</v>
      </c>
      <c r="DD1885" t="s">
        <v>177</v>
      </c>
      <c r="DG1885">
        <v>5397273</v>
      </c>
      <c r="DI1885">
        <v>1</v>
      </c>
      <c r="DJ1885">
        <v>0</v>
      </c>
      <c r="DK1885">
        <v>0</v>
      </c>
      <c r="DL1885">
        <v>0</v>
      </c>
      <c r="DM1885">
        <v>0</v>
      </c>
      <c r="DN1885">
        <v>1</v>
      </c>
      <c r="DO1885">
        <v>0</v>
      </c>
      <c r="DP1885">
        <v>0</v>
      </c>
      <c r="DQ1885">
        <v>0</v>
      </c>
      <c r="DR1885">
        <v>0</v>
      </c>
      <c r="DS1885">
        <v>0</v>
      </c>
    </row>
    <row r="1886" spans="1:123" x14ac:dyDescent="0.3">
      <c r="A1886" t="str">
        <f>"10/04/2022 19:30:30.574"</f>
        <v>10/04/2022 19:30:30.574</v>
      </c>
      <c r="C1886" t="str">
        <f t="shared" si="650"/>
        <v>FFDFD3C0</v>
      </c>
      <c r="D1886" t="s">
        <v>123</v>
      </c>
      <c r="E1886">
        <v>7</v>
      </c>
      <c r="F1886">
        <v>2007</v>
      </c>
      <c r="G1886" t="s">
        <v>124</v>
      </c>
      <c r="J1886" t="s">
        <v>125</v>
      </c>
      <c r="K1886">
        <v>0</v>
      </c>
      <c r="L1886">
        <v>3</v>
      </c>
      <c r="M1886">
        <v>0</v>
      </c>
      <c r="N1886">
        <v>2</v>
      </c>
      <c r="O1886">
        <v>0</v>
      </c>
      <c r="P1886">
        <v>1</v>
      </c>
      <c r="Q1886">
        <v>0</v>
      </c>
      <c r="S1886" t="str">
        <f t="shared" si="664"/>
        <v>19:30:30.000</v>
      </c>
      <c r="T1886" t="str">
        <f t="shared" si="664"/>
        <v>19:30:30.000</v>
      </c>
      <c r="U1886" t="str">
        <f t="shared" si="656"/>
        <v>AC3944</v>
      </c>
      <c r="V1886">
        <v>0</v>
      </c>
      <c r="W1886">
        <v>0</v>
      </c>
      <c r="X1886">
        <v>2</v>
      </c>
      <c r="Y1886">
        <v>0</v>
      </c>
      <c r="AA1886">
        <v>1</v>
      </c>
      <c r="AB1886">
        <v>8</v>
      </c>
      <c r="AC1886">
        <v>3</v>
      </c>
      <c r="AD1886">
        <v>0</v>
      </c>
      <c r="AE1886">
        <v>9</v>
      </c>
      <c r="AF1886" t="s">
        <v>138</v>
      </c>
      <c r="AG1886">
        <v>0</v>
      </c>
      <c r="AH1886">
        <v>3</v>
      </c>
      <c r="AI1886">
        <v>1</v>
      </c>
      <c r="AJ1886">
        <v>0</v>
      </c>
      <c r="AK1886" t="s">
        <v>674</v>
      </c>
      <c r="AL1886">
        <v>32.778697000000001</v>
      </c>
      <c r="AM1886" t="s">
        <v>675</v>
      </c>
      <c r="AN1886">
        <v>-116.852388</v>
      </c>
      <c r="AO1886">
        <v>25</v>
      </c>
      <c r="AP1886">
        <v>2900</v>
      </c>
      <c r="AQ1886" t="s">
        <v>129</v>
      </c>
      <c r="AR1886">
        <v>120</v>
      </c>
      <c r="AS1886">
        <v>-50</v>
      </c>
      <c r="AT1886">
        <v>0</v>
      </c>
      <c r="BB1886">
        <v>1200</v>
      </c>
      <c r="BC1886">
        <v>1</v>
      </c>
      <c r="BD1886" t="str">
        <f t="shared" si="657"/>
        <v xml:space="preserve">N887QR  </v>
      </c>
      <c r="BE1886">
        <v>1</v>
      </c>
      <c r="BG1886">
        <v>0</v>
      </c>
      <c r="BH1886">
        <v>0</v>
      </c>
      <c r="BI1886">
        <v>0</v>
      </c>
      <c r="BJ1886">
        <v>2575</v>
      </c>
      <c r="BK1886">
        <v>-325</v>
      </c>
      <c r="BL1886" t="s">
        <v>163</v>
      </c>
      <c r="BM1886">
        <v>1</v>
      </c>
      <c r="BN1886">
        <v>1</v>
      </c>
      <c r="BO1886">
        <v>1</v>
      </c>
      <c r="BP1886">
        <v>0</v>
      </c>
      <c r="BS1886">
        <v>0</v>
      </c>
      <c r="BT1886">
        <v>0</v>
      </c>
      <c r="BU1886">
        <v>0</v>
      </c>
      <c r="CE1886" t="str">
        <f t="shared" si="665"/>
        <v>19:30:30.348</v>
      </c>
      <c r="CF1886">
        <v>347902355</v>
      </c>
      <c r="CS1886">
        <v>0</v>
      </c>
      <c r="CT1886">
        <v>2</v>
      </c>
      <c r="CU1886">
        <v>0</v>
      </c>
      <c r="CV1886">
        <v>2</v>
      </c>
      <c r="CW1886">
        <v>0</v>
      </c>
      <c r="CX1886">
        <v>5</v>
      </c>
      <c r="CY1886">
        <v>7</v>
      </c>
      <c r="CZ1886" t="s">
        <v>131</v>
      </c>
      <c r="DA1886">
        <v>300</v>
      </c>
      <c r="DB1886">
        <v>0</v>
      </c>
      <c r="DC1886" t="s">
        <v>176</v>
      </c>
      <c r="DD1886" t="s">
        <v>177</v>
      </c>
      <c r="DG1886">
        <v>5397273</v>
      </c>
      <c r="DI1886">
        <v>1</v>
      </c>
      <c r="DJ1886">
        <v>0</v>
      </c>
      <c r="DK1886">
        <v>1</v>
      </c>
      <c r="DL1886">
        <v>0</v>
      </c>
      <c r="DM1886">
        <v>0</v>
      </c>
      <c r="DN1886">
        <v>1</v>
      </c>
      <c r="DO1886">
        <v>0</v>
      </c>
      <c r="DP1886">
        <v>0</v>
      </c>
      <c r="DQ1886">
        <v>0</v>
      </c>
      <c r="DR1886">
        <v>0</v>
      </c>
      <c r="DS1886">
        <v>0</v>
      </c>
    </row>
    <row r="1887" spans="1:123" x14ac:dyDescent="0.3">
      <c r="A1887" t="str">
        <f>"10/04/2022 19:30:30.636"</f>
        <v>10/04/2022 19:30:30.636</v>
      </c>
      <c r="C1887" t="str">
        <f t="shared" si="650"/>
        <v>FFDFD3C0</v>
      </c>
      <c r="D1887" t="s">
        <v>147</v>
      </c>
      <c r="E1887">
        <v>3</v>
      </c>
      <c r="H1887">
        <v>166</v>
      </c>
      <c r="I1887" t="s">
        <v>144</v>
      </c>
      <c r="J1887" t="s">
        <v>148</v>
      </c>
      <c r="K1887">
        <v>0</v>
      </c>
      <c r="L1887">
        <v>3</v>
      </c>
      <c r="M1887">
        <v>0</v>
      </c>
      <c r="N1887">
        <v>2</v>
      </c>
      <c r="O1887">
        <v>0</v>
      </c>
      <c r="P1887">
        <v>1</v>
      </c>
      <c r="Q1887">
        <v>0</v>
      </c>
      <c r="S1887" t="str">
        <f t="shared" si="664"/>
        <v>19:30:30.000</v>
      </c>
      <c r="T1887" t="str">
        <f t="shared" si="664"/>
        <v>19:30:30.000</v>
      </c>
      <c r="U1887" t="str">
        <f t="shared" si="656"/>
        <v>AC3944</v>
      </c>
      <c r="V1887">
        <v>0</v>
      </c>
      <c r="W1887">
        <v>0</v>
      </c>
      <c r="X1887">
        <v>2</v>
      </c>
      <c r="Y1887">
        <v>0</v>
      </c>
      <c r="AA1887">
        <v>1</v>
      </c>
      <c r="AB1887">
        <v>8</v>
      </c>
      <c r="AC1887">
        <v>3</v>
      </c>
      <c r="AD1887">
        <v>0</v>
      </c>
      <c r="AE1887">
        <v>9</v>
      </c>
      <c r="AF1887" t="s">
        <v>138</v>
      </c>
      <c r="AG1887">
        <v>0</v>
      </c>
      <c r="AH1887">
        <v>3</v>
      </c>
      <c r="AI1887">
        <v>1</v>
      </c>
      <c r="AJ1887">
        <v>0</v>
      </c>
      <c r="AK1887" t="s">
        <v>674</v>
      </c>
      <c r="AL1887">
        <v>32.778697000000001</v>
      </c>
      <c r="AM1887" t="s">
        <v>675</v>
      </c>
      <c r="AN1887">
        <v>-116.852388</v>
      </c>
      <c r="AO1887">
        <v>25</v>
      </c>
      <c r="AP1887">
        <v>2900</v>
      </c>
      <c r="AQ1887" t="s">
        <v>129</v>
      </c>
      <c r="AR1887">
        <v>120</v>
      </c>
      <c r="AS1887">
        <v>-50</v>
      </c>
      <c r="AT1887">
        <v>0</v>
      </c>
      <c r="BB1887">
        <v>1200</v>
      </c>
      <c r="BC1887">
        <v>1</v>
      </c>
      <c r="BD1887" t="str">
        <f t="shared" si="657"/>
        <v xml:space="preserve">N887QR  </v>
      </c>
      <c r="BE1887">
        <v>1</v>
      </c>
      <c r="BG1887">
        <v>0</v>
      </c>
      <c r="BH1887">
        <v>0</v>
      </c>
      <c r="BI1887">
        <v>0</v>
      </c>
      <c r="BJ1887">
        <v>2575</v>
      </c>
      <c r="BK1887">
        <v>-325</v>
      </c>
      <c r="BL1887" t="s">
        <v>163</v>
      </c>
      <c r="BM1887">
        <v>1</v>
      </c>
      <c r="BN1887">
        <v>1</v>
      </c>
      <c r="BO1887">
        <v>1</v>
      </c>
      <c r="BP1887">
        <v>0</v>
      </c>
      <c r="BS1887">
        <v>0</v>
      </c>
      <c r="BT1887">
        <v>0</v>
      </c>
      <c r="BU1887">
        <v>0</v>
      </c>
      <c r="CE1887" t="str">
        <f t="shared" si="665"/>
        <v>19:30:30.348</v>
      </c>
      <c r="CF1887">
        <v>347902355</v>
      </c>
      <c r="CS1887">
        <v>0</v>
      </c>
      <c r="CT1887">
        <v>2</v>
      </c>
      <c r="CU1887">
        <v>0</v>
      </c>
      <c r="CV1887">
        <v>2</v>
      </c>
      <c r="CW1887">
        <v>0</v>
      </c>
      <c r="CX1887">
        <v>5</v>
      </c>
      <c r="CY1887">
        <v>7</v>
      </c>
      <c r="CZ1887" t="s">
        <v>131</v>
      </c>
      <c r="DA1887">
        <v>300</v>
      </c>
      <c r="DB1887">
        <v>0</v>
      </c>
      <c r="DC1887" t="s">
        <v>176</v>
      </c>
      <c r="DD1887" t="s">
        <v>177</v>
      </c>
      <c r="DG1887">
        <v>5397273</v>
      </c>
      <c r="DI1887">
        <v>1</v>
      </c>
      <c r="DJ1887">
        <v>0</v>
      </c>
      <c r="DK1887">
        <v>1</v>
      </c>
      <c r="DL1887">
        <v>0</v>
      </c>
      <c r="DM1887">
        <v>0</v>
      </c>
      <c r="DN1887">
        <v>1</v>
      </c>
      <c r="DO1887">
        <v>0</v>
      </c>
      <c r="DP1887">
        <v>0</v>
      </c>
      <c r="DQ1887">
        <v>0</v>
      </c>
      <c r="DR1887">
        <v>0</v>
      </c>
      <c r="DS1887">
        <v>0</v>
      </c>
    </row>
    <row r="1888" spans="1:123" x14ac:dyDescent="0.3">
      <c r="A1888" t="str">
        <f>"10/04/2022 19:30:30.636"</f>
        <v>10/04/2022 19:30:30.636</v>
      </c>
      <c r="C1888" t="str">
        <f t="shared" si="650"/>
        <v>FFDFD3C0</v>
      </c>
      <c r="D1888" t="s">
        <v>136</v>
      </c>
      <c r="E1888">
        <v>8</v>
      </c>
      <c r="H1888">
        <v>225</v>
      </c>
      <c r="I1888" t="s">
        <v>137</v>
      </c>
      <c r="J1888" t="s">
        <v>138</v>
      </c>
      <c r="K1888">
        <v>0</v>
      </c>
      <c r="L1888">
        <v>3</v>
      </c>
      <c r="M1888">
        <v>0</v>
      </c>
      <c r="N1888">
        <v>2</v>
      </c>
      <c r="O1888">
        <v>0</v>
      </c>
      <c r="P1888">
        <v>1</v>
      </c>
      <c r="Q1888">
        <v>0</v>
      </c>
      <c r="S1888" t="str">
        <f t="shared" si="664"/>
        <v>19:30:30.000</v>
      </c>
      <c r="T1888" t="str">
        <f t="shared" si="664"/>
        <v>19:30:30.000</v>
      </c>
      <c r="U1888" t="str">
        <f t="shared" si="656"/>
        <v>AC3944</v>
      </c>
      <c r="V1888">
        <v>0</v>
      </c>
      <c r="W1888">
        <v>0</v>
      </c>
      <c r="X1888">
        <v>2</v>
      </c>
      <c r="Y1888">
        <v>0</v>
      </c>
      <c r="AA1888">
        <v>1</v>
      </c>
      <c r="AB1888">
        <v>8</v>
      </c>
      <c r="AC1888">
        <v>3</v>
      </c>
      <c r="AD1888">
        <v>0</v>
      </c>
      <c r="AE1888">
        <v>9</v>
      </c>
      <c r="AF1888" t="s">
        <v>138</v>
      </c>
      <c r="AG1888">
        <v>0</v>
      </c>
      <c r="AH1888">
        <v>3</v>
      </c>
      <c r="AI1888">
        <v>1</v>
      </c>
      <c r="AJ1888">
        <v>0</v>
      </c>
      <c r="AK1888" t="s">
        <v>674</v>
      </c>
      <c r="AL1888">
        <v>32.778697000000001</v>
      </c>
      <c r="AM1888" t="s">
        <v>675</v>
      </c>
      <c r="AN1888">
        <v>-116.852388</v>
      </c>
      <c r="AO1888">
        <v>25</v>
      </c>
      <c r="AP1888">
        <v>2900</v>
      </c>
      <c r="AQ1888" t="s">
        <v>129</v>
      </c>
      <c r="AR1888">
        <v>120</v>
      </c>
      <c r="AS1888">
        <v>-50</v>
      </c>
      <c r="AT1888">
        <v>0</v>
      </c>
      <c r="BB1888">
        <v>1200</v>
      </c>
      <c r="BC1888">
        <v>1</v>
      </c>
      <c r="BD1888" t="str">
        <f t="shared" si="657"/>
        <v xml:space="preserve">N887QR  </v>
      </c>
      <c r="BE1888">
        <v>1</v>
      </c>
      <c r="BG1888">
        <v>0</v>
      </c>
      <c r="BH1888">
        <v>0</v>
      </c>
      <c r="BI1888">
        <v>0</v>
      </c>
      <c r="BJ1888">
        <v>2575</v>
      </c>
      <c r="BK1888">
        <v>-325</v>
      </c>
      <c r="BL1888" t="s">
        <v>163</v>
      </c>
      <c r="BM1888">
        <v>1</v>
      </c>
      <c r="BN1888">
        <v>1</v>
      </c>
      <c r="BO1888">
        <v>1</v>
      </c>
      <c r="BP1888">
        <v>0</v>
      </c>
      <c r="BS1888">
        <v>0</v>
      </c>
      <c r="BT1888">
        <v>0</v>
      </c>
      <c r="BU1888">
        <v>0</v>
      </c>
      <c r="CE1888" t="str">
        <f t="shared" si="665"/>
        <v>19:30:30.348</v>
      </c>
      <c r="CF1888">
        <v>347902355</v>
      </c>
      <c r="CS1888">
        <v>0</v>
      </c>
      <c r="CT1888">
        <v>2</v>
      </c>
      <c r="CU1888">
        <v>0</v>
      </c>
      <c r="CV1888">
        <v>2</v>
      </c>
      <c r="CW1888">
        <v>0</v>
      </c>
      <c r="CX1888">
        <v>5</v>
      </c>
      <c r="CY1888">
        <v>7</v>
      </c>
      <c r="CZ1888" t="s">
        <v>131</v>
      </c>
      <c r="DA1888">
        <v>300</v>
      </c>
      <c r="DB1888">
        <v>0</v>
      </c>
      <c r="DC1888" t="s">
        <v>176</v>
      </c>
      <c r="DD1888" t="s">
        <v>177</v>
      </c>
      <c r="DG1888">
        <v>5397273</v>
      </c>
      <c r="DI1888">
        <v>1</v>
      </c>
      <c r="DJ1888">
        <v>0</v>
      </c>
      <c r="DK1888">
        <v>1</v>
      </c>
      <c r="DL1888">
        <v>0</v>
      </c>
      <c r="DM1888">
        <v>0</v>
      </c>
      <c r="DN1888">
        <v>1</v>
      </c>
      <c r="DO1888">
        <v>0</v>
      </c>
      <c r="DP1888">
        <v>0</v>
      </c>
      <c r="DQ1888">
        <v>0</v>
      </c>
      <c r="DR1888">
        <v>0</v>
      </c>
      <c r="DS1888">
        <v>0</v>
      </c>
    </row>
    <row r="1889" spans="1:123" x14ac:dyDescent="0.3">
      <c r="A1889" t="str">
        <f>"10/04/2022 19:30:30.636"</f>
        <v>10/04/2022 19:30:30.636</v>
      </c>
      <c r="C1889" t="str">
        <f t="shared" si="650"/>
        <v>FFDFD3C0</v>
      </c>
      <c r="D1889" t="s">
        <v>141</v>
      </c>
      <c r="E1889">
        <v>4</v>
      </c>
      <c r="H1889">
        <v>4</v>
      </c>
      <c r="I1889" t="s">
        <v>142</v>
      </c>
      <c r="J1889" t="s">
        <v>138</v>
      </c>
      <c r="K1889">
        <v>0</v>
      </c>
      <c r="L1889">
        <v>3</v>
      </c>
      <c r="M1889">
        <v>0</v>
      </c>
      <c r="N1889">
        <v>2</v>
      </c>
      <c r="O1889">
        <v>0</v>
      </c>
      <c r="P1889">
        <v>1</v>
      </c>
      <c r="Q1889">
        <v>0</v>
      </c>
      <c r="S1889" t="str">
        <f t="shared" si="664"/>
        <v>19:30:30.000</v>
      </c>
      <c r="T1889" t="str">
        <f t="shared" si="664"/>
        <v>19:30:30.000</v>
      </c>
      <c r="U1889" t="str">
        <f t="shared" si="656"/>
        <v>AC3944</v>
      </c>
      <c r="V1889">
        <v>0</v>
      </c>
      <c r="W1889">
        <v>0</v>
      </c>
      <c r="X1889">
        <v>2</v>
      </c>
      <c r="Y1889">
        <v>0</v>
      </c>
      <c r="AA1889">
        <v>1</v>
      </c>
      <c r="AB1889">
        <v>8</v>
      </c>
      <c r="AC1889">
        <v>3</v>
      </c>
      <c r="AD1889">
        <v>0</v>
      </c>
      <c r="AE1889">
        <v>9</v>
      </c>
      <c r="AF1889" t="s">
        <v>138</v>
      </c>
      <c r="AG1889">
        <v>0</v>
      </c>
      <c r="AH1889">
        <v>3</v>
      </c>
      <c r="AI1889">
        <v>1</v>
      </c>
      <c r="AJ1889">
        <v>0</v>
      </c>
      <c r="AK1889" t="s">
        <v>674</v>
      </c>
      <c r="AL1889">
        <v>32.778697000000001</v>
      </c>
      <c r="AM1889" t="s">
        <v>675</v>
      </c>
      <c r="AN1889">
        <v>-116.852388</v>
      </c>
      <c r="AO1889">
        <v>25</v>
      </c>
      <c r="AP1889">
        <v>2900</v>
      </c>
      <c r="AQ1889" t="s">
        <v>129</v>
      </c>
      <c r="AR1889">
        <v>120</v>
      </c>
      <c r="AS1889">
        <v>-50</v>
      </c>
      <c r="AT1889">
        <v>0</v>
      </c>
      <c r="BB1889">
        <v>1200</v>
      </c>
      <c r="BC1889">
        <v>1</v>
      </c>
      <c r="BD1889" t="str">
        <f t="shared" si="657"/>
        <v xml:space="preserve">N887QR  </v>
      </c>
      <c r="BE1889">
        <v>1</v>
      </c>
      <c r="BG1889">
        <v>0</v>
      </c>
      <c r="BH1889">
        <v>0</v>
      </c>
      <c r="BI1889">
        <v>0</v>
      </c>
      <c r="BJ1889">
        <v>2575</v>
      </c>
      <c r="BK1889">
        <v>-325</v>
      </c>
      <c r="BL1889" t="s">
        <v>163</v>
      </c>
      <c r="BM1889">
        <v>1</v>
      </c>
      <c r="BN1889">
        <v>1</v>
      </c>
      <c r="BO1889">
        <v>1</v>
      </c>
      <c r="BP1889">
        <v>0</v>
      </c>
      <c r="BS1889">
        <v>0</v>
      </c>
      <c r="BT1889">
        <v>0</v>
      </c>
      <c r="BU1889">
        <v>0</v>
      </c>
      <c r="CE1889" t="str">
        <f t="shared" si="665"/>
        <v>19:30:30.348</v>
      </c>
      <c r="CF1889">
        <v>347902355</v>
      </c>
      <c r="CS1889">
        <v>0</v>
      </c>
      <c r="CT1889">
        <v>2</v>
      </c>
      <c r="CU1889">
        <v>0</v>
      </c>
      <c r="CV1889">
        <v>2</v>
      </c>
      <c r="CW1889">
        <v>0</v>
      </c>
      <c r="CX1889">
        <v>5</v>
      </c>
      <c r="CY1889">
        <v>7</v>
      </c>
      <c r="CZ1889" t="s">
        <v>131</v>
      </c>
      <c r="DA1889">
        <v>300</v>
      </c>
      <c r="DB1889">
        <v>0</v>
      </c>
      <c r="DC1889" t="s">
        <v>176</v>
      </c>
      <c r="DD1889" t="s">
        <v>177</v>
      </c>
      <c r="DG1889">
        <v>5397273</v>
      </c>
      <c r="DI1889">
        <v>1</v>
      </c>
      <c r="DJ1889">
        <v>0</v>
      </c>
      <c r="DK1889">
        <v>1</v>
      </c>
      <c r="DL1889">
        <v>0</v>
      </c>
      <c r="DM1889">
        <v>0</v>
      </c>
      <c r="DN1889">
        <v>1</v>
      </c>
      <c r="DO1889">
        <v>0</v>
      </c>
      <c r="DP1889">
        <v>0</v>
      </c>
      <c r="DQ1889">
        <v>0</v>
      </c>
      <c r="DR1889">
        <v>0</v>
      </c>
      <c r="DS1889">
        <v>0</v>
      </c>
    </row>
    <row r="1890" spans="1:123" x14ac:dyDescent="0.3">
      <c r="A1890" t="str">
        <f>"10/04/2022 19:30:30.636"</f>
        <v>10/04/2022 19:30:30.636</v>
      </c>
      <c r="C1890" t="str">
        <f t="shared" si="650"/>
        <v>FFDFD3C0</v>
      </c>
      <c r="D1890" t="s">
        <v>141</v>
      </c>
      <c r="E1890">
        <v>3</v>
      </c>
      <c r="H1890">
        <v>3</v>
      </c>
      <c r="I1890" t="s">
        <v>146</v>
      </c>
      <c r="J1890" t="s">
        <v>138</v>
      </c>
      <c r="K1890">
        <v>0</v>
      </c>
      <c r="L1890">
        <v>3</v>
      </c>
      <c r="M1890">
        <v>0</v>
      </c>
      <c r="N1890">
        <v>2</v>
      </c>
      <c r="O1890">
        <v>0</v>
      </c>
      <c r="P1890">
        <v>1</v>
      </c>
      <c r="Q1890">
        <v>0</v>
      </c>
      <c r="S1890" t="str">
        <f t="shared" si="664"/>
        <v>19:30:30.000</v>
      </c>
      <c r="T1890" t="str">
        <f t="shared" si="664"/>
        <v>19:30:30.000</v>
      </c>
      <c r="U1890" t="str">
        <f t="shared" si="656"/>
        <v>AC3944</v>
      </c>
      <c r="V1890">
        <v>0</v>
      </c>
      <c r="W1890">
        <v>0</v>
      </c>
      <c r="X1890">
        <v>2</v>
      </c>
      <c r="Y1890">
        <v>0</v>
      </c>
      <c r="AA1890">
        <v>1</v>
      </c>
      <c r="AB1890">
        <v>8</v>
      </c>
      <c r="AC1890">
        <v>3</v>
      </c>
      <c r="AD1890">
        <v>0</v>
      </c>
      <c r="AE1890">
        <v>9</v>
      </c>
      <c r="AF1890" t="s">
        <v>138</v>
      </c>
      <c r="AG1890">
        <v>0</v>
      </c>
      <c r="AH1890">
        <v>3</v>
      </c>
      <c r="AI1890">
        <v>1</v>
      </c>
      <c r="AJ1890">
        <v>0</v>
      </c>
      <c r="AK1890" t="s">
        <v>674</v>
      </c>
      <c r="AL1890">
        <v>32.778697000000001</v>
      </c>
      <c r="AM1890" t="s">
        <v>675</v>
      </c>
      <c r="AN1890">
        <v>-116.852388</v>
      </c>
      <c r="AO1890">
        <v>25</v>
      </c>
      <c r="AP1890">
        <v>2900</v>
      </c>
      <c r="AQ1890" t="s">
        <v>129</v>
      </c>
      <c r="AR1890">
        <v>120</v>
      </c>
      <c r="AS1890">
        <v>-50</v>
      </c>
      <c r="AT1890">
        <v>0</v>
      </c>
      <c r="BB1890">
        <v>1200</v>
      </c>
      <c r="BC1890">
        <v>1</v>
      </c>
      <c r="BD1890" t="str">
        <f t="shared" si="657"/>
        <v xml:space="preserve">N887QR  </v>
      </c>
      <c r="BE1890">
        <v>1</v>
      </c>
      <c r="BG1890">
        <v>0</v>
      </c>
      <c r="BH1890">
        <v>0</v>
      </c>
      <c r="BI1890">
        <v>0</v>
      </c>
      <c r="BJ1890">
        <v>2575</v>
      </c>
      <c r="BK1890">
        <v>-325</v>
      </c>
      <c r="BL1890" t="s">
        <v>163</v>
      </c>
      <c r="BM1890">
        <v>1</v>
      </c>
      <c r="BN1890">
        <v>1</v>
      </c>
      <c r="BO1890">
        <v>1</v>
      </c>
      <c r="BP1890">
        <v>0</v>
      </c>
      <c r="BS1890">
        <v>0</v>
      </c>
      <c r="BT1890">
        <v>0</v>
      </c>
      <c r="BU1890">
        <v>0</v>
      </c>
      <c r="CE1890" t="str">
        <f t="shared" si="665"/>
        <v>19:30:30.348</v>
      </c>
      <c r="CF1890">
        <v>347902355</v>
      </c>
      <c r="CS1890">
        <v>0</v>
      </c>
      <c r="CT1890">
        <v>2</v>
      </c>
      <c r="CU1890">
        <v>0</v>
      </c>
      <c r="CV1890">
        <v>2</v>
      </c>
      <c r="CW1890">
        <v>0</v>
      </c>
      <c r="CX1890">
        <v>5</v>
      </c>
      <c r="CY1890">
        <v>7</v>
      </c>
      <c r="CZ1890" t="s">
        <v>131</v>
      </c>
      <c r="DA1890">
        <v>300</v>
      </c>
      <c r="DB1890">
        <v>0</v>
      </c>
      <c r="DC1890" t="s">
        <v>176</v>
      </c>
      <c r="DD1890" t="s">
        <v>177</v>
      </c>
      <c r="DG1890">
        <v>5397273</v>
      </c>
      <c r="DI1890">
        <v>1</v>
      </c>
      <c r="DJ1890">
        <v>0</v>
      </c>
      <c r="DK1890">
        <v>1</v>
      </c>
      <c r="DL1890">
        <v>0</v>
      </c>
      <c r="DM1890">
        <v>0</v>
      </c>
      <c r="DN1890">
        <v>1</v>
      </c>
      <c r="DO1890">
        <v>0</v>
      </c>
      <c r="DP1890">
        <v>0</v>
      </c>
      <c r="DQ1890">
        <v>0</v>
      </c>
      <c r="DR1890">
        <v>0</v>
      </c>
      <c r="DS1890">
        <v>0</v>
      </c>
    </row>
    <row r="1891" spans="1:123" x14ac:dyDescent="0.3">
      <c r="A1891" t="str">
        <f>"10/04/2022 19:30:30.668"</f>
        <v>10/04/2022 19:30:30.668</v>
      </c>
      <c r="C1891" t="str">
        <f t="shared" si="650"/>
        <v>FFDFD3C0</v>
      </c>
      <c r="D1891" t="s">
        <v>143</v>
      </c>
      <c r="E1891">
        <v>20</v>
      </c>
      <c r="F1891">
        <v>1020</v>
      </c>
      <c r="G1891" t="s">
        <v>144</v>
      </c>
      <c r="J1891" t="s">
        <v>145</v>
      </c>
      <c r="K1891">
        <v>0</v>
      </c>
      <c r="L1891">
        <v>3</v>
      </c>
      <c r="M1891">
        <v>0</v>
      </c>
      <c r="N1891">
        <v>2</v>
      </c>
      <c r="O1891">
        <v>0</v>
      </c>
      <c r="P1891">
        <v>1</v>
      </c>
      <c r="Q1891">
        <v>0</v>
      </c>
      <c r="S1891" t="str">
        <f t="shared" si="664"/>
        <v>19:30:30.000</v>
      </c>
      <c r="T1891" t="str">
        <f t="shared" si="664"/>
        <v>19:30:30.000</v>
      </c>
      <c r="U1891" t="str">
        <f t="shared" si="656"/>
        <v>AC3944</v>
      </c>
      <c r="V1891">
        <v>0</v>
      </c>
      <c r="W1891">
        <v>0</v>
      </c>
      <c r="X1891">
        <v>2</v>
      </c>
      <c r="Y1891">
        <v>0</v>
      </c>
      <c r="AA1891">
        <v>1</v>
      </c>
      <c r="AB1891">
        <v>8</v>
      </c>
      <c r="AC1891">
        <v>3</v>
      </c>
      <c r="AD1891">
        <v>0</v>
      </c>
      <c r="AE1891">
        <v>9</v>
      </c>
      <c r="AF1891" t="s">
        <v>138</v>
      </c>
      <c r="AG1891">
        <v>0</v>
      </c>
      <c r="AH1891">
        <v>3</v>
      </c>
      <c r="AI1891">
        <v>1</v>
      </c>
      <c r="AJ1891">
        <v>0</v>
      </c>
      <c r="AK1891" t="s">
        <v>674</v>
      </c>
      <c r="AL1891">
        <v>32.778697000000001</v>
      </c>
      <c r="AM1891" t="s">
        <v>675</v>
      </c>
      <c r="AN1891">
        <v>-116.852388</v>
      </c>
      <c r="AO1891">
        <v>25</v>
      </c>
      <c r="AP1891">
        <v>2900</v>
      </c>
      <c r="AQ1891" t="s">
        <v>129</v>
      </c>
      <c r="AR1891">
        <v>120</v>
      </c>
      <c r="AS1891">
        <v>-50</v>
      </c>
      <c r="AT1891">
        <v>0</v>
      </c>
      <c r="BB1891">
        <v>1200</v>
      </c>
      <c r="BC1891">
        <v>1</v>
      </c>
      <c r="BD1891" t="str">
        <f t="shared" si="657"/>
        <v xml:space="preserve">N887QR  </v>
      </c>
      <c r="BE1891">
        <v>1</v>
      </c>
      <c r="BG1891">
        <v>0</v>
      </c>
      <c r="BH1891">
        <v>0</v>
      </c>
      <c r="BI1891">
        <v>0</v>
      </c>
      <c r="BJ1891">
        <v>2575</v>
      </c>
      <c r="BK1891">
        <v>-325</v>
      </c>
      <c r="BL1891" t="s">
        <v>163</v>
      </c>
      <c r="BM1891">
        <v>1</v>
      </c>
      <c r="BN1891">
        <v>1</v>
      </c>
      <c r="BO1891">
        <v>1</v>
      </c>
      <c r="BP1891">
        <v>0</v>
      </c>
      <c r="BS1891">
        <v>0</v>
      </c>
      <c r="BT1891">
        <v>0</v>
      </c>
      <c r="BU1891">
        <v>0</v>
      </c>
      <c r="CE1891" t="str">
        <f t="shared" si="665"/>
        <v>19:30:30.348</v>
      </c>
      <c r="CF1891">
        <v>347902355</v>
      </c>
      <c r="CS1891">
        <v>0</v>
      </c>
      <c r="CT1891">
        <v>2</v>
      </c>
      <c r="CU1891">
        <v>0</v>
      </c>
      <c r="CV1891">
        <v>2</v>
      </c>
      <c r="CW1891">
        <v>0</v>
      </c>
      <c r="CX1891">
        <v>5</v>
      </c>
      <c r="CY1891">
        <v>7</v>
      </c>
      <c r="CZ1891" t="s">
        <v>131</v>
      </c>
      <c r="DA1891">
        <v>300</v>
      </c>
      <c r="DB1891">
        <v>0</v>
      </c>
      <c r="DC1891" t="s">
        <v>176</v>
      </c>
      <c r="DD1891" t="s">
        <v>177</v>
      </c>
      <c r="DG1891">
        <v>5397273</v>
      </c>
      <c r="DI1891">
        <v>1</v>
      </c>
      <c r="DJ1891">
        <v>0</v>
      </c>
      <c r="DK1891">
        <v>1</v>
      </c>
      <c r="DL1891">
        <v>0</v>
      </c>
      <c r="DM1891">
        <v>0</v>
      </c>
      <c r="DN1891">
        <v>1</v>
      </c>
      <c r="DO1891">
        <v>0</v>
      </c>
      <c r="DP1891">
        <v>0</v>
      </c>
      <c r="DQ1891">
        <v>0</v>
      </c>
      <c r="DR1891">
        <v>0</v>
      </c>
      <c r="DS1891">
        <v>0</v>
      </c>
    </row>
    <row r="1892" spans="1:123" x14ac:dyDescent="0.3">
      <c r="A1892" t="str">
        <f>"10/04/2022 19:30:31.089"</f>
        <v>10/04/2022 19:30:31.089</v>
      </c>
      <c r="C1892" t="str">
        <f t="shared" si="650"/>
        <v>FFDFD3C0</v>
      </c>
      <c r="D1892" t="s">
        <v>143</v>
      </c>
      <c r="E1892">
        <v>20</v>
      </c>
      <c r="F1892">
        <v>1020</v>
      </c>
      <c r="G1892" t="s">
        <v>144</v>
      </c>
      <c r="J1892" t="s">
        <v>145</v>
      </c>
      <c r="K1892">
        <v>0</v>
      </c>
      <c r="L1892">
        <v>3</v>
      </c>
      <c r="M1892">
        <v>0</v>
      </c>
      <c r="N1892">
        <v>2</v>
      </c>
      <c r="O1892">
        <v>0</v>
      </c>
      <c r="P1892">
        <v>1</v>
      </c>
      <c r="Q1892">
        <v>0</v>
      </c>
      <c r="S1892" t="str">
        <f t="shared" si="664"/>
        <v>19:30:30.000</v>
      </c>
      <c r="T1892" t="str">
        <f t="shared" si="664"/>
        <v>19:30:30.000</v>
      </c>
      <c r="U1892" t="str">
        <f t="shared" si="656"/>
        <v>AC3944</v>
      </c>
      <c r="V1892">
        <v>0</v>
      </c>
      <c r="W1892">
        <v>0</v>
      </c>
      <c r="X1892">
        <v>2</v>
      </c>
      <c r="Y1892">
        <v>0</v>
      </c>
      <c r="AA1892">
        <v>1</v>
      </c>
      <c r="AB1892">
        <v>8</v>
      </c>
      <c r="AC1892">
        <v>3</v>
      </c>
      <c r="AD1892">
        <v>0</v>
      </c>
      <c r="AE1892">
        <v>9</v>
      </c>
      <c r="AF1892" t="s">
        <v>138</v>
      </c>
      <c r="AG1892">
        <v>0</v>
      </c>
      <c r="AH1892">
        <v>3</v>
      </c>
      <c r="AI1892">
        <v>1</v>
      </c>
      <c r="AJ1892">
        <v>0</v>
      </c>
      <c r="AK1892" t="s">
        <v>676</v>
      </c>
      <c r="AL1892">
        <v>32.778461</v>
      </c>
      <c r="AM1892" t="s">
        <v>677</v>
      </c>
      <c r="AN1892">
        <v>-116.85172300000001</v>
      </c>
      <c r="AO1892">
        <v>25</v>
      </c>
      <c r="AP1892">
        <v>2900</v>
      </c>
      <c r="AQ1892" t="s">
        <v>129</v>
      </c>
      <c r="AR1892">
        <v>120</v>
      </c>
      <c r="AS1892">
        <v>-49</v>
      </c>
      <c r="AT1892">
        <v>0</v>
      </c>
      <c r="BB1892">
        <v>1200</v>
      </c>
      <c r="BC1892">
        <v>1</v>
      </c>
      <c r="BD1892" t="str">
        <f t="shared" si="657"/>
        <v xml:space="preserve">N887QR  </v>
      </c>
      <c r="BE1892">
        <v>1</v>
      </c>
      <c r="BG1892">
        <v>0</v>
      </c>
      <c r="BH1892">
        <v>0</v>
      </c>
      <c r="BI1892">
        <v>0</v>
      </c>
      <c r="BJ1892">
        <v>2575</v>
      </c>
      <c r="BK1892">
        <v>-325</v>
      </c>
      <c r="BL1892" t="s">
        <v>163</v>
      </c>
      <c r="BM1892">
        <v>1</v>
      </c>
      <c r="BN1892">
        <v>1</v>
      </c>
      <c r="BO1892">
        <v>1</v>
      </c>
      <c r="BP1892">
        <v>0</v>
      </c>
      <c r="BS1892">
        <v>0</v>
      </c>
      <c r="BT1892">
        <v>0</v>
      </c>
      <c r="BU1892">
        <v>0</v>
      </c>
      <c r="CE1892" t="str">
        <f t="shared" ref="CE1892:CE1898" si="666">"19:30:30.917"</f>
        <v>19:30:30.917</v>
      </c>
      <c r="CF1892">
        <v>916654249</v>
      </c>
      <c r="CS1892">
        <v>0</v>
      </c>
      <c r="CT1892">
        <v>2</v>
      </c>
      <c r="CU1892">
        <v>0</v>
      </c>
      <c r="CV1892">
        <v>2</v>
      </c>
      <c r="CW1892">
        <v>0</v>
      </c>
      <c r="CX1892">
        <v>5</v>
      </c>
      <c r="CY1892">
        <v>7</v>
      </c>
      <c r="CZ1892" t="s">
        <v>131</v>
      </c>
      <c r="DA1892">
        <v>300</v>
      </c>
      <c r="DB1892">
        <v>0</v>
      </c>
      <c r="DC1892" t="s">
        <v>176</v>
      </c>
      <c r="DD1892" t="s">
        <v>177</v>
      </c>
      <c r="DG1892">
        <v>5397370</v>
      </c>
      <c r="DI1892">
        <v>1</v>
      </c>
      <c r="DJ1892">
        <v>0</v>
      </c>
      <c r="DK1892">
        <v>0</v>
      </c>
      <c r="DL1892">
        <v>0</v>
      </c>
      <c r="DM1892">
        <v>0</v>
      </c>
      <c r="DN1892">
        <v>1</v>
      </c>
      <c r="DO1892">
        <v>0</v>
      </c>
      <c r="DP1892">
        <v>0</v>
      </c>
      <c r="DQ1892">
        <v>0</v>
      </c>
      <c r="DR1892">
        <v>0</v>
      </c>
      <c r="DS1892">
        <v>0</v>
      </c>
    </row>
    <row r="1893" spans="1:123" x14ac:dyDescent="0.3">
      <c r="A1893" t="str">
        <f>"10/04/2022 19:30:31.089"</f>
        <v>10/04/2022 19:30:31.089</v>
      </c>
      <c r="C1893" t="str">
        <f t="shared" si="650"/>
        <v>FFDFD3C0</v>
      </c>
      <c r="D1893" t="s">
        <v>123</v>
      </c>
      <c r="E1893">
        <v>7</v>
      </c>
      <c r="F1893">
        <v>2007</v>
      </c>
      <c r="G1893" t="s">
        <v>124</v>
      </c>
      <c r="J1893" t="s">
        <v>125</v>
      </c>
      <c r="K1893">
        <v>0</v>
      </c>
      <c r="L1893">
        <v>3</v>
      </c>
      <c r="M1893">
        <v>0</v>
      </c>
      <c r="N1893">
        <v>2</v>
      </c>
      <c r="O1893">
        <v>0</v>
      </c>
      <c r="P1893">
        <v>1</v>
      </c>
      <c r="Q1893">
        <v>0</v>
      </c>
      <c r="S1893" t="str">
        <f t="shared" si="664"/>
        <v>19:30:30.000</v>
      </c>
      <c r="T1893" t="str">
        <f t="shared" si="664"/>
        <v>19:30:30.000</v>
      </c>
      <c r="U1893" t="str">
        <f t="shared" si="656"/>
        <v>AC3944</v>
      </c>
      <c r="V1893">
        <v>0</v>
      </c>
      <c r="W1893">
        <v>0</v>
      </c>
      <c r="X1893">
        <v>2</v>
      </c>
      <c r="Y1893">
        <v>0</v>
      </c>
      <c r="AA1893">
        <v>1</v>
      </c>
      <c r="AB1893">
        <v>8</v>
      </c>
      <c r="AC1893">
        <v>3</v>
      </c>
      <c r="AD1893">
        <v>0</v>
      </c>
      <c r="AE1893">
        <v>9</v>
      </c>
      <c r="AF1893" t="s">
        <v>138</v>
      </c>
      <c r="AG1893">
        <v>0</v>
      </c>
      <c r="AH1893">
        <v>3</v>
      </c>
      <c r="AI1893">
        <v>1</v>
      </c>
      <c r="AJ1893">
        <v>0</v>
      </c>
      <c r="AK1893" t="s">
        <v>676</v>
      </c>
      <c r="AL1893">
        <v>32.778461</v>
      </c>
      <c r="AM1893" t="s">
        <v>677</v>
      </c>
      <c r="AN1893">
        <v>-116.85172300000001</v>
      </c>
      <c r="AO1893">
        <v>25</v>
      </c>
      <c r="AP1893">
        <v>2900</v>
      </c>
      <c r="AQ1893" t="s">
        <v>129</v>
      </c>
      <c r="AR1893">
        <v>120</v>
      </c>
      <c r="AS1893">
        <v>-49</v>
      </c>
      <c r="AT1893">
        <v>0</v>
      </c>
      <c r="BB1893">
        <v>1200</v>
      </c>
      <c r="BC1893">
        <v>1</v>
      </c>
      <c r="BD1893" t="str">
        <f t="shared" si="657"/>
        <v xml:space="preserve">N887QR  </v>
      </c>
      <c r="BE1893">
        <v>1</v>
      </c>
      <c r="BG1893">
        <v>0</v>
      </c>
      <c r="BH1893">
        <v>0</v>
      </c>
      <c r="BI1893">
        <v>0</v>
      </c>
      <c r="BJ1893">
        <v>2575</v>
      </c>
      <c r="BK1893">
        <v>-325</v>
      </c>
      <c r="BL1893" t="s">
        <v>163</v>
      </c>
      <c r="BM1893">
        <v>1</v>
      </c>
      <c r="BN1893">
        <v>1</v>
      </c>
      <c r="BO1893">
        <v>1</v>
      </c>
      <c r="BP1893">
        <v>0</v>
      </c>
      <c r="BS1893">
        <v>0</v>
      </c>
      <c r="BT1893">
        <v>0</v>
      </c>
      <c r="BU1893">
        <v>0</v>
      </c>
      <c r="CE1893" t="str">
        <f t="shared" si="666"/>
        <v>19:30:30.917</v>
      </c>
      <c r="CF1893">
        <v>916654249</v>
      </c>
      <c r="CS1893">
        <v>0</v>
      </c>
      <c r="CT1893">
        <v>2</v>
      </c>
      <c r="CU1893">
        <v>0</v>
      </c>
      <c r="CV1893">
        <v>2</v>
      </c>
      <c r="CW1893">
        <v>0</v>
      </c>
      <c r="CX1893">
        <v>5</v>
      </c>
      <c r="CY1893">
        <v>7</v>
      </c>
      <c r="CZ1893" t="s">
        <v>131</v>
      </c>
      <c r="DA1893">
        <v>300</v>
      </c>
      <c r="DB1893">
        <v>0</v>
      </c>
      <c r="DC1893" t="s">
        <v>176</v>
      </c>
      <c r="DD1893" t="s">
        <v>177</v>
      </c>
      <c r="DG1893">
        <v>5397370</v>
      </c>
      <c r="DI1893">
        <v>1</v>
      </c>
      <c r="DJ1893">
        <v>0</v>
      </c>
      <c r="DK1893">
        <v>1</v>
      </c>
      <c r="DL1893">
        <v>0</v>
      </c>
      <c r="DM1893">
        <v>0</v>
      </c>
      <c r="DN1893">
        <v>1</v>
      </c>
      <c r="DO1893">
        <v>0</v>
      </c>
      <c r="DP1893">
        <v>0</v>
      </c>
      <c r="DQ1893">
        <v>0</v>
      </c>
      <c r="DR1893">
        <v>0</v>
      </c>
      <c r="DS1893">
        <v>0</v>
      </c>
    </row>
    <row r="1894" spans="1:123" x14ac:dyDescent="0.3">
      <c r="A1894" t="str">
        <f>"10/04/2022 19:30:31.105"</f>
        <v>10/04/2022 19:30:31.105</v>
      </c>
      <c r="C1894" t="str">
        <f t="shared" si="650"/>
        <v>FFDFD3C0</v>
      </c>
      <c r="D1894" t="s">
        <v>134</v>
      </c>
      <c r="E1894">
        <v>15</v>
      </c>
      <c r="J1894" t="s">
        <v>135</v>
      </c>
      <c r="K1894">
        <v>0</v>
      </c>
      <c r="L1894">
        <v>3</v>
      </c>
      <c r="M1894">
        <v>0</v>
      </c>
      <c r="N1894">
        <v>2</v>
      </c>
      <c r="O1894">
        <v>0</v>
      </c>
      <c r="P1894">
        <v>1</v>
      </c>
      <c r="Q1894">
        <v>0</v>
      </c>
      <c r="S1894" t="str">
        <f t="shared" si="664"/>
        <v>19:30:30.000</v>
      </c>
      <c r="T1894" t="str">
        <f t="shared" si="664"/>
        <v>19:30:30.000</v>
      </c>
      <c r="U1894" t="str">
        <f t="shared" si="656"/>
        <v>AC3944</v>
      </c>
      <c r="V1894">
        <v>0</v>
      </c>
      <c r="W1894">
        <v>0</v>
      </c>
      <c r="X1894">
        <v>2</v>
      </c>
      <c r="Y1894">
        <v>0</v>
      </c>
      <c r="AA1894">
        <v>1</v>
      </c>
      <c r="AB1894">
        <v>8</v>
      </c>
      <c r="AC1894">
        <v>3</v>
      </c>
      <c r="AD1894">
        <v>0</v>
      </c>
      <c r="AE1894">
        <v>9</v>
      </c>
      <c r="AF1894" t="s">
        <v>138</v>
      </c>
      <c r="AG1894">
        <v>0</v>
      </c>
      <c r="AH1894">
        <v>3</v>
      </c>
      <c r="AI1894">
        <v>1</v>
      </c>
      <c r="AJ1894">
        <v>0</v>
      </c>
      <c r="AK1894" t="s">
        <v>676</v>
      </c>
      <c r="AL1894">
        <v>32.778461</v>
      </c>
      <c r="AM1894" t="s">
        <v>677</v>
      </c>
      <c r="AN1894">
        <v>-116.85172300000001</v>
      </c>
      <c r="AO1894">
        <v>25</v>
      </c>
      <c r="AP1894">
        <v>2900</v>
      </c>
      <c r="AQ1894" t="s">
        <v>129</v>
      </c>
      <c r="AR1894">
        <v>120</v>
      </c>
      <c r="AS1894">
        <v>-49</v>
      </c>
      <c r="AT1894">
        <v>0</v>
      </c>
      <c r="BB1894">
        <v>1200</v>
      </c>
      <c r="BC1894">
        <v>1</v>
      </c>
      <c r="BD1894" t="str">
        <f t="shared" si="657"/>
        <v xml:space="preserve">N887QR  </v>
      </c>
      <c r="BE1894">
        <v>1</v>
      </c>
      <c r="BG1894">
        <v>0</v>
      </c>
      <c r="BH1894">
        <v>0</v>
      </c>
      <c r="BI1894">
        <v>0</v>
      </c>
      <c r="BJ1894">
        <v>2575</v>
      </c>
      <c r="BK1894">
        <v>-325</v>
      </c>
      <c r="BL1894" t="s">
        <v>163</v>
      </c>
      <c r="BM1894">
        <v>1</v>
      </c>
      <c r="BN1894">
        <v>1</v>
      </c>
      <c r="BO1894">
        <v>1</v>
      </c>
      <c r="BP1894">
        <v>0</v>
      </c>
      <c r="BS1894">
        <v>0</v>
      </c>
      <c r="BT1894">
        <v>0</v>
      </c>
      <c r="BU1894">
        <v>0</v>
      </c>
      <c r="CE1894" t="str">
        <f t="shared" si="666"/>
        <v>19:30:30.917</v>
      </c>
      <c r="CF1894">
        <v>916654249</v>
      </c>
      <c r="CS1894">
        <v>0</v>
      </c>
      <c r="CT1894">
        <v>2</v>
      </c>
      <c r="CU1894">
        <v>0</v>
      </c>
      <c r="CV1894">
        <v>2</v>
      </c>
      <c r="CW1894">
        <v>0</v>
      </c>
      <c r="CX1894">
        <v>5</v>
      </c>
      <c r="CY1894">
        <v>7</v>
      </c>
      <c r="CZ1894" t="s">
        <v>131</v>
      </c>
      <c r="DA1894">
        <v>300</v>
      </c>
      <c r="DB1894">
        <v>0</v>
      </c>
      <c r="DC1894" t="s">
        <v>176</v>
      </c>
      <c r="DD1894" t="s">
        <v>177</v>
      </c>
      <c r="DG1894">
        <v>5397370</v>
      </c>
      <c r="DI1894">
        <v>1</v>
      </c>
      <c r="DJ1894">
        <v>0</v>
      </c>
      <c r="DK1894">
        <v>1</v>
      </c>
      <c r="DL1894">
        <v>0</v>
      </c>
      <c r="DM1894">
        <v>0</v>
      </c>
      <c r="DN1894">
        <v>1</v>
      </c>
      <c r="DO1894">
        <v>0</v>
      </c>
      <c r="DP1894">
        <v>0</v>
      </c>
      <c r="DQ1894">
        <v>0</v>
      </c>
      <c r="DR1894">
        <v>0</v>
      </c>
      <c r="DS1894">
        <v>0</v>
      </c>
    </row>
    <row r="1895" spans="1:123" x14ac:dyDescent="0.3">
      <c r="A1895" t="str">
        <f>"10/04/2022 19:30:31.152"</f>
        <v>10/04/2022 19:30:31.152</v>
      </c>
      <c r="C1895" t="str">
        <f t="shared" si="650"/>
        <v>FFDFD3C0</v>
      </c>
      <c r="D1895" t="s">
        <v>147</v>
      </c>
      <c r="E1895">
        <v>3</v>
      </c>
      <c r="H1895">
        <v>166</v>
      </c>
      <c r="I1895" t="s">
        <v>144</v>
      </c>
      <c r="J1895" t="s">
        <v>148</v>
      </c>
      <c r="K1895">
        <v>0</v>
      </c>
      <c r="L1895">
        <v>3</v>
      </c>
      <c r="M1895">
        <v>0</v>
      </c>
      <c r="N1895">
        <v>2</v>
      </c>
      <c r="O1895">
        <v>0</v>
      </c>
      <c r="P1895">
        <v>1</v>
      </c>
      <c r="Q1895">
        <v>0</v>
      </c>
      <c r="S1895" t="str">
        <f t="shared" si="664"/>
        <v>19:30:30.000</v>
      </c>
      <c r="T1895" t="str">
        <f t="shared" si="664"/>
        <v>19:30:30.000</v>
      </c>
      <c r="U1895" t="str">
        <f t="shared" si="656"/>
        <v>AC3944</v>
      </c>
      <c r="V1895">
        <v>0</v>
      </c>
      <c r="W1895">
        <v>0</v>
      </c>
      <c r="X1895">
        <v>2</v>
      </c>
      <c r="Y1895">
        <v>0</v>
      </c>
      <c r="AA1895">
        <v>1</v>
      </c>
      <c r="AB1895">
        <v>8</v>
      </c>
      <c r="AC1895">
        <v>3</v>
      </c>
      <c r="AD1895">
        <v>0</v>
      </c>
      <c r="AE1895">
        <v>9</v>
      </c>
      <c r="AF1895" t="s">
        <v>138</v>
      </c>
      <c r="AG1895">
        <v>0</v>
      </c>
      <c r="AH1895">
        <v>3</v>
      </c>
      <c r="AI1895">
        <v>1</v>
      </c>
      <c r="AJ1895">
        <v>0</v>
      </c>
      <c r="AK1895" t="s">
        <v>676</v>
      </c>
      <c r="AL1895">
        <v>32.778461</v>
      </c>
      <c r="AM1895" t="s">
        <v>677</v>
      </c>
      <c r="AN1895">
        <v>-116.85172300000001</v>
      </c>
      <c r="AO1895">
        <v>25</v>
      </c>
      <c r="AP1895">
        <v>2900</v>
      </c>
      <c r="AQ1895" t="s">
        <v>129</v>
      </c>
      <c r="AR1895">
        <v>120</v>
      </c>
      <c r="AS1895">
        <v>-49</v>
      </c>
      <c r="AT1895">
        <v>0</v>
      </c>
      <c r="BB1895">
        <v>1200</v>
      </c>
      <c r="BC1895">
        <v>1</v>
      </c>
      <c r="BD1895" t="str">
        <f t="shared" si="657"/>
        <v xml:space="preserve">N887QR  </v>
      </c>
      <c r="BE1895">
        <v>1</v>
      </c>
      <c r="BG1895">
        <v>0</v>
      </c>
      <c r="BH1895">
        <v>0</v>
      </c>
      <c r="BI1895">
        <v>0</v>
      </c>
      <c r="BJ1895">
        <v>2575</v>
      </c>
      <c r="BK1895">
        <v>-325</v>
      </c>
      <c r="BL1895" t="s">
        <v>163</v>
      </c>
      <c r="BM1895">
        <v>1</v>
      </c>
      <c r="BN1895">
        <v>1</v>
      </c>
      <c r="BO1895">
        <v>1</v>
      </c>
      <c r="BP1895">
        <v>0</v>
      </c>
      <c r="BS1895">
        <v>0</v>
      </c>
      <c r="BT1895">
        <v>0</v>
      </c>
      <c r="BU1895">
        <v>0</v>
      </c>
      <c r="CE1895" t="str">
        <f t="shared" si="666"/>
        <v>19:30:30.917</v>
      </c>
      <c r="CF1895">
        <v>916654249</v>
      </c>
      <c r="CS1895">
        <v>0</v>
      </c>
      <c r="CT1895">
        <v>2</v>
      </c>
      <c r="CU1895">
        <v>0</v>
      </c>
      <c r="CV1895">
        <v>2</v>
      </c>
      <c r="CW1895">
        <v>0</v>
      </c>
      <c r="CX1895">
        <v>5</v>
      </c>
      <c r="CY1895">
        <v>7</v>
      </c>
      <c r="CZ1895" t="s">
        <v>131</v>
      </c>
      <c r="DA1895">
        <v>300</v>
      </c>
      <c r="DB1895">
        <v>0</v>
      </c>
      <c r="DC1895" t="s">
        <v>176</v>
      </c>
      <c r="DD1895" t="s">
        <v>177</v>
      </c>
      <c r="DG1895">
        <v>5397370</v>
      </c>
      <c r="DI1895">
        <v>1</v>
      </c>
      <c r="DJ1895">
        <v>0</v>
      </c>
      <c r="DK1895">
        <v>1</v>
      </c>
      <c r="DL1895">
        <v>0</v>
      </c>
      <c r="DM1895">
        <v>0</v>
      </c>
      <c r="DN1895">
        <v>1</v>
      </c>
      <c r="DO1895">
        <v>0</v>
      </c>
      <c r="DP1895">
        <v>0</v>
      </c>
      <c r="DQ1895">
        <v>0</v>
      </c>
      <c r="DR1895">
        <v>0</v>
      </c>
      <c r="DS1895">
        <v>0</v>
      </c>
    </row>
    <row r="1896" spans="1:123" x14ac:dyDescent="0.3">
      <c r="A1896" t="str">
        <f>"10/04/2022 19:30:31.152"</f>
        <v>10/04/2022 19:30:31.152</v>
      </c>
      <c r="C1896" t="str">
        <f t="shared" si="650"/>
        <v>FFDFD3C0</v>
      </c>
      <c r="D1896" t="s">
        <v>136</v>
      </c>
      <c r="E1896">
        <v>8</v>
      </c>
      <c r="H1896">
        <v>225</v>
      </c>
      <c r="I1896" t="s">
        <v>137</v>
      </c>
      <c r="J1896" t="s">
        <v>138</v>
      </c>
      <c r="K1896">
        <v>0</v>
      </c>
      <c r="L1896">
        <v>3</v>
      </c>
      <c r="M1896">
        <v>0</v>
      </c>
      <c r="N1896">
        <v>2</v>
      </c>
      <c r="O1896">
        <v>0</v>
      </c>
      <c r="P1896">
        <v>1</v>
      </c>
      <c r="Q1896">
        <v>0</v>
      </c>
      <c r="S1896" t="str">
        <f t="shared" si="664"/>
        <v>19:30:30.000</v>
      </c>
      <c r="T1896" t="str">
        <f t="shared" si="664"/>
        <v>19:30:30.000</v>
      </c>
      <c r="U1896" t="str">
        <f t="shared" si="656"/>
        <v>AC3944</v>
      </c>
      <c r="V1896">
        <v>0</v>
      </c>
      <c r="W1896">
        <v>0</v>
      </c>
      <c r="X1896">
        <v>2</v>
      </c>
      <c r="Y1896">
        <v>0</v>
      </c>
      <c r="AA1896">
        <v>1</v>
      </c>
      <c r="AB1896">
        <v>8</v>
      </c>
      <c r="AC1896">
        <v>3</v>
      </c>
      <c r="AD1896">
        <v>0</v>
      </c>
      <c r="AE1896">
        <v>9</v>
      </c>
      <c r="AF1896" t="s">
        <v>138</v>
      </c>
      <c r="AG1896">
        <v>0</v>
      </c>
      <c r="AH1896">
        <v>3</v>
      </c>
      <c r="AI1896">
        <v>1</v>
      </c>
      <c r="AJ1896">
        <v>0</v>
      </c>
      <c r="AK1896" t="s">
        <v>676</v>
      </c>
      <c r="AL1896">
        <v>32.778461</v>
      </c>
      <c r="AM1896" t="s">
        <v>677</v>
      </c>
      <c r="AN1896">
        <v>-116.85172300000001</v>
      </c>
      <c r="AO1896">
        <v>25</v>
      </c>
      <c r="AP1896">
        <v>2900</v>
      </c>
      <c r="AQ1896" t="s">
        <v>129</v>
      </c>
      <c r="AR1896">
        <v>120</v>
      </c>
      <c r="AS1896">
        <v>-49</v>
      </c>
      <c r="AT1896">
        <v>0</v>
      </c>
      <c r="BB1896">
        <v>1200</v>
      </c>
      <c r="BC1896">
        <v>1</v>
      </c>
      <c r="BD1896" t="str">
        <f t="shared" si="657"/>
        <v xml:space="preserve">N887QR  </v>
      </c>
      <c r="BE1896">
        <v>1</v>
      </c>
      <c r="BG1896">
        <v>0</v>
      </c>
      <c r="BH1896">
        <v>0</v>
      </c>
      <c r="BI1896">
        <v>0</v>
      </c>
      <c r="BJ1896">
        <v>2575</v>
      </c>
      <c r="BK1896">
        <v>-325</v>
      </c>
      <c r="BL1896" t="s">
        <v>163</v>
      </c>
      <c r="BM1896">
        <v>1</v>
      </c>
      <c r="BN1896">
        <v>1</v>
      </c>
      <c r="BO1896">
        <v>1</v>
      </c>
      <c r="BP1896">
        <v>0</v>
      </c>
      <c r="BS1896">
        <v>0</v>
      </c>
      <c r="BT1896">
        <v>0</v>
      </c>
      <c r="BU1896">
        <v>0</v>
      </c>
      <c r="CE1896" t="str">
        <f t="shared" si="666"/>
        <v>19:30:30.917</v>
      </c>
      <c r="CF1896">
        <v>916654249</v>
      </c>
      <c r="CS1896">
        <v>0</v>
      </c>
      <c r="CT1896">
        <v>2</v>
      </c>
      <c r="CU1896">
        <v>0</v>
      </c>
      <c r="CV1896">
        <v>2</v>
      </c>
      <c r="CW1896">
        <v>0</v>
      </c>
      <c r="CX1896">
        <v>5</v>
      </c>
      <c r="CY1896">
        <v>7</v>
      </c>
      <c r="CZ1896" t="s">
        <v>131</v>
      </c>
      <c r="DA1896">
        <v>300</v>
      </c>
      <c r="DB1896">
        <v>0</v>
      </c>
      <c r="DC1896" t="s">
        <v>176</v>
      </c>
      <c r="DD1896" t="s">
        <v>177</v>
      </c>
      <c r="DG1896">
        <v>5397370</v>
      </c>
      <c r="DI1896">
        <v>1</v>
      </c>
      <c r="DJ1896">
        <v>0</v>
      </c>
      <c r="DK1896">
        <v>1</v>
      </c>
      <c r="DL1896">
        <v>0</v>
      </c>
      <c r="DM1896">
        <v>0</v>
      </c>
      <c r="DN1896">
        <v>1</v>
      </c>
      <c r="DO1896">
        <v>0</v>
      </c>
      <c r="DP1896">
        <v>0</v>
      </c>
      <c r="DQ1896">
        <v>0</v>
      </c>
      <c r="DR1896">
        <v>0</v>
      </c>
      <c r="DS1896">
        <v>0</v>
      </c>
    </row>
    <row r="1897" spans="1:123" x14ac:dyDescent="0.3">
      <c r="A1897" t="str">
        <f>"10/04/2022 19:30:31.152"</f>
        <v>10/04/2022 19:30:31.152</v>
      </c>
      <c r="C1897" t="str">
        <f t="shared" si="650"/>
        <v>FFDFD3C0</v>
      </c>
      <c r="D1897" t="s">
        <v>141</v>
      </c>
      <c r="E1897">
        <v>4</v>
      </c>
      <c r="H1897">
        <v>4</v>
      </c>
      <c r="I1897" t="s">
        <v>142</v>
      </c>
      <c r="J1897" t="s">
        <v>138</v>
      </c>
      <c r="K1897">
        <v>0</v>
      </c>
      <c r="L1897">
        <v>3</v>
      </c>
      <c r="M1897">
        <v>0</v>
      </c>
      <c r="N1897">
        <v>2</v>
      </c>
      <c r="O1897">
        <v>0</v>
      </c>
      <c r="P1897">
        <v>1</v>
      </c>
      <c r="Q1897">
        <v>0</v>
      </c>
      <c r="S1897" t="str">
        <f t="shared" si="664"/>
        <v>19:30:30.000</v>
      </c>
      <c r="T1897" t="str">
        <f t="shared" si="664"/>
        <v>19:30:30.000</v>
      </c>
      <c r="U1897" t="str">
        <f t="shared" si="656"/>
        <v>AC3944</v>
      </c>
      <c r="V1897">
        <v>0</v>
      </c>
      <c r="W1897">
        <v>0</v>
      </c>
      <c r="X1897">
        <v>2</v>
      </c>
      <c r="Y1897">
        <v>0</v>
      </c>
      <c r="AA1897">
        <v>1</v>
      </c>
      <c r="AB1897">
        <v>8</v>
      </c>
      <c r="AC1897">
        <v>3</v>
      </c>
      <c r="AD1897">
        <v>0</v>
      </c>
      <c r="AE1897">
        <v>9</v>
      </c>
      <c r="AF1897" t="s">
        <v>138</v>
      </c>
      <c r="AG1897">
        <v>0</v>
      </c>
      <c r="AH1897">
        <v>3</v>
      </c>
      <c r="AI1897">
        <v>1</v>
      </c>
      <c r="AJ1897">
        <v>0</v>
      </c>
      <c r="AK1897" t="s">
        <v>676</v>
      </c>
      <c r="AL1897">
        <v>32.778461</v>
      </c>
      <c r="AM1897" t="s">
        <v>677</v>
      </c>
      <c r="AN1897">
        <v>-116.85172300000001</v>
      </c>
      <c r="AO1897">
        <v>25</v>
      </c>
      <c r="AP1897">
        <v>2900</v>
      </c>
      <c r="AQ1897" t="s">
        <v>129</v>
      </c>
      <c r="AR1897">
        <v>120</v>
      </c>
      <c r="AS1897">
        <v>-49</v>
      </c>
      <c r="AT1897">
        <v>0</v>
      </c>
      <c r="BB1897">
        <v>1200</v>
      </c>
      <c r="BC1897">
        <v>1</v>
      </c>
      <c r="BD1897" t="str">
        <f t="shared" si="657"/>
        <v xml:space="preserve">N887QR  </v>
      </c>
      <c r="BE1897">
        <v>1</v>
      </c>
      <c r="BG1897">
        <v>0</v>
      </c>
      <c r="BH1897">
        <v>0</v>
      </c>
      <c r="BI1897">
        <v>0</v>
      </c>
      <c r="BJ1897">
        <v>2575</v>
      </c>
      <c r="BK1897">
        <v>-325</v>
      </c>
      <c r="BL1897" t="s">
        <v>163</v>
      </c>
      <c r="BM1897">
        <v>1</v>
      </c>
      <c r="BN1897">
        <v>1</v>
      </c>
      <c r="BO1897">
        <v>1</v>
      </c>
      <c r="BP1897">
        <v>0</v>
      </c>
      <c r="BS1897">
        <v>0</v>
      </c>
      <c r="BT1897">
        <v>0</v>
      </c>
      <c r="BU1897">
        <v>0</v>
      </c>
      <c r="CE1897" t="str">
        <f t="shared" si="666"/>
        <v>19:30:30.917</v>
      </c>
      <c r="CF1897">
        <v>916654249</v>
      </c>
      <c r="CS1897">
        <v>0</v>
      </c>
      <c r="CT1897">
        <v>2</v>
      </c>
      <c r="CU1897">
        <v>0</v>
      </c>
      <c r="CV1897">
        <v>2</v>
      </c>
      <c r="CW1897">
        <v>0</v>
      </c>
      <c r="CX1897">
        <v>5</v>
      </c>
      <c r="CY1897">
        <v>7</v>
      </c>
      <c r="CZ1897" t="s">
        <v>131</v>
      </c>
      <c r="DA1897">
        <v>300</v>
      </c>
      <c r="DB1897">
        <v>0</v>
      </c>
      <c r="DC1897" t="s">
        <v>176</v>
      </c>
      <c r="DD1897" t="s">
        <v>177</v>
      </c>
      <c r="DG1897">
        <v>5397370</v>
      </c>
      <c r="DI1897">
        <v>1</v>
      </c>
      <c r="DJ1897">
        <v>0</v>
      </c>
      <c r="DK1897">
        <v>1</v>
      </c>
      <c r="DL1897">
        <v>0</v>
      </c>
      <c r="DM1897">
        <v>0</v>
      </c>
      <c r="DN1897">
        <v>1</v>
      </c>
      <c r="DO1897">
        <v>0</v>
      </c>
      <c r="DP1897">
        <v>0</v>
      </c>
      <c r="DQ1897">
        <v>0</v>
      </c>
      <c r="DR1897">
        <v>0</v>
      </c>
      <c r="DS1897">
        <v>0</v>
      </c>
    </row>
    <row r="1898" spans="1:123" x14ac:dyDescent="0.3">
      <c r="A1898" t="str">
        <f>"10/04/2022 19:30:31.183"</f>
        <v>10/04/2022 19:30:31.183</v>
      </c>
      <c r="C1898" t="str">
        <f t="shared" si="650"/>
        <v>FFDFD3C0</v>
      </c>
      <c r="D1898" t="s">
        <v>141</v>
      </c>
      <c r="E1898">
        <v>3</v>
      </c>
      <c r="H1898">
        <v>3</v>
      </c>
      <c r="I1898" t="s">
        <v>146</v>
      </c>
      <c r="J1898" t="s">
        <v>138</v>
      </c>
      <c r="K1898">
        <v>0</v>
      </c>
      <c r="L1898">
        <v>3</v>
      </c>
      <c r="M1898">
        <v>0</v>
      </c>
      <c r="N1898">
        <v>2</v>
      </c>
      <c r="O1898">
        <v>0</v>
      </c>
      <c r="P1898">
        <v>1</v>
      </c>
      <c r="Q1898">
        <v>0</v>
      </c>
      <c r="S1898" t="str">
        <f t="shared" si="664"/>
        <v>19:30:30.000</v>
      </c>
      <c r="T1898" t="str">
        <f t="shared" si="664"/>
        <v>19:30:30.000</v>
      </c>
      <c r="U1898" t="str">
        <f t="shared" si="656"/>
        <v>AC3944</v>
      </c>
      <c r="V1898">
        <v>0</v>
      </c>
      <c r="W1898">
        <v>0</v>
      </c>
      <c r="X1898">
        <v>2</v>
      </c>
      <c r="Y1898">
        <v>0</v>
      </c>
      <c r="AA1898">
        <v>1</v>
      </c>
      <c r="AB1898">
        <v>8</v>
      </c>
      <c r="AC1898">
        <v>3</v>
      </c>
      <c r="AD1898">
        <v>0</v>
      </c>
      <c r="AE1898">
        <v>9</v>
      </c>
      <c r="AF1898" t="s">
        <v>138</v>
      </c>
      <c r="AG1898">
        <v>0</v>
      </c>
      <c r="AH1898">
        <v>3</v>
      </c>
      <c r="AI1898">
        <v>1</v>
      </c>
      <c r="AJ1898">
        <v>0</v>
      </c>
      <c r="AK1898" t="s">
        <v>676</v>
      </c>
      <c r="AL1898">
        <v>32.778461</v>
      </c>
      <c r="AM1898" t="s">
        <v>677</v>
      </c>
      <c r="AN1898">
        <v>-116.85172300000001</v>
      </c>
      <c r="AO1898">
        <v>25</v>
      </c>
      <c r="AP1898">
        <v>2900</v>
      </c>
      <c r="AQ1898" t="s">
        <v>129</v>
      </c>
      <c r="AR1898">
        <v>120</v>
      </c>
      <c r="AS1898">
        <v>-49</v>
      </c>
      <c r="AT1898">
        <v>0</v>
      </c>
      <c r="BB1898">
        <v>1200</v>
      </c>
      <c r="BC1898">
        <v>1</v>
      </c>
      <c r="BD1898" t="str">
        <f t="shared" si="657"/>
        <v xml:space="preserve">N887QR  </v>
      </c>
      <c r="BE1898">
        <v>1</v>
      </c>
      <c r="BG1898">
        <v>0</v>
      </c>
      <c r="BH1898">
        <v>0</v>
      </c>
      <c r="BI1898">
        <v>0</v>
      </c>
      <c r="BJ1898">
        <v>2575</v>
      </c>
      <c r="BK1898">
        <v>-325</v>
      </c>
      <c r="BL1898" t="s">
        <v>163</v>
      </c>
      <c r="BM1898">
        <v>1</v>
      </c>
      <c r="BN1898">
        <v>1</v>
      </c>
      <c r="BO1898">
        <v>1</v>
      </c>
      <c r="BP1898">
        <v>0</v>
      </c>
      <c r="BS1898">
        <v>0</v>
      </c>
      <c r="BT1898">
        <v>0</v>
      </c>
      <c r="BU1898">
        <v>0</v>
      </c>
      <c r="CE1898" t="str">
        <f t="shared" si="666"/>
        <v>19:30:30.917</v>
      </c>
      <c r="CF1898">
        <v>916654249</v>
      </c>
      <c r="CS1898">
        <v>0</v>
      </c>
      <c r="CT1898">
        <v>2</v>
      </c>
      <c r="CU1898">
        <v>0</v>
      </c>
      <c r="CV1898">
        <v>2</v>
      </c>
      <c r="CW1898">
        <v>0</v>
      </c>
      <c r="CX1898">
        <v>5</v>
      </c>
      <c r="CY1898">
        <v>7</v>
      </c>
      <c r="CZ1898" t="s">
        <v>131</v>
      </c>
      <c r="DA1898">
        <v>300</v>
      </c>
      <c r="DB1898">
        <v>0</v>
      </c>
      <c r="DC1898" t="s">
        <v>176</v>
      </c>
      <c r="DD1898" t="s">
        <v>177</v>
      </c>
      <c r="DG1898">
        <v>5397370</v>
      </c>
      <c r="DI1898">
        <v>1</v>
      </c>
      <c r="DJ1898">
        <v>0</v>
      </c>
      <c r="DK1898">
        <v>1</v>
      </c>
      <c r="DL1898">
        <v>0</v>
      </c>
      <c r="DM1898">
        <v>0</v>
      </c>
      <c r="DN1898">
        <v>1</v>
      </c>
      <c r="DO1898">
        <v>0</v>
      </c>
      <c r="DP1898">
        <v>0</v>
      </c>
      <c r="DQ1898">
        <v>0</v>
      </c>
      <c r="DR1898">
        <v>0</v>
      </c>
      <c r="DS1898">
        <v>0</v>
      </c>
    </row>
    <row r="1899" spans="1:123" x14ac:dyDescent="0.3">
      <c r="A1899" t="str">
        <f>"10/04/2022 19:30:32.681"</f>
        <v>10/04/2022 19:30:32.681</v>
      </c>
      <c r="C1899" t="str">
        <f t="shared" si="650"/>
        <v>FFDFD3C0</v>
      </c>
      <c r="D1899" t="s">
        <v>134</v>
      </c>
      <c r="E1899">
        <v>15</v>
      </c>
      <c r="J1899" t="s">
        <v>135</v>
      </c>
      <c r="K1899">
        <v>0</v>
      </c>
      <c r="L1899">
        <v>3</v>
      </c>
      <c r="M1899">
        <v>0</v>
      </c>
      <c r="N1899">
        <v>2</v>
      </c>
      <c r="O1899">
        <v>0</v>
      </c>
      <c r="P1899">
        <v>1</v>
      </c>
      <c r="Q1899">
        <v>0</v>
      </c>
      <c r="S1899" t="str">
        <f t="shared" ref="S1899:T1905" si="667">"19:30:32.000"</f>
        <v>19:30:32.000</v>
      </c>
      <c r="T1899" t="str">
        <f t="shared" si="667"/>
        <v>19:30:32.000</v>
      </c>
      <c r="U1899" t="str">
        <f t="shared" si="656"/>
        <v>AC3944</v>
      </c>
      <c r="V1899">
        <v>0</v>
      </c>
      <c r="W1899">
        <v>0</v>
      </c>
      <c r="X1899">
        <v>2</v>
      </c>
      <c r="Y1899">
        <v>0</v>
      </c>
      <c r="AA1899">
        <v>1</v>
      </c>
      <c r="AB1899">
        <v>8</v>
      </c>
      <c r="AC1899">
        <v>3</v>
      </c>
      <c r="AD1899">
        <v>0</v>
      </c>
      <c r="AE1899">
        <v>9</v>
      </c>
      <c r="AF1899" t="s">
        <v>138</v>
      </c>
      <c r="AG1899">
        <v>0</v>
      </c>
      <c r="AH1899">
        <v>3</v>
      </c>
      <c r="AI1899">
        <v>1</v>
      </c>
      <c r="AJ1899">
        <v>0</v>
      </c>
      <c r="AK1899" t="s">
        <v>678</v>
      </c>
      <c r="AL1899">
        <v>32.778224999999999</v>
      </c>
      <c r="AM1899" t="s">
        <v>679</v>
      </c>
      <c r="AN1899">
        <v>-116.85105799999999</v>
      </c>
      <c r="AO1899">
        <v>25</v>
      </c>
      <c r="AP1899">
        <v>2900</v>
      </c>
      <c r="AQ1899" t="s">
        <v>129</v>
      </c>
      <c r="AR1899">
        <v>120</v>
      </c>
      <c r="AS1899">
        <v>-47</v>
      </c>
      <c r="AT1899">
        <v>256</v>
      </c>
      <c r="BB1899">
        <v>1200</v>
      </c>
      <c r="BC1899">
        <v>1</v>
      </c>
      <c r="BD1899" t="str">
        <f t="shared" si="657"/>
        <v xml:space="preserve">N887QR  </v>
      </c>
      <c r="BE1899">
        <v>1</v>
      </c>
      <c r="BG1899">
        <v>0</v>
      </c>
      <c r="BH1899">
        <v>0</v>
      </c>
      <c r="BI1899">
        <v>0</v>
      </c>
      <c r="BJ1899">
        <v>2575</v>
      </c>
      <c r="BK1899">
        <v>-325</v>
      </c>
      <c r="BL1899" t="s">
        <v>163</v>
      </c>
      <c r="BM1899">
        <v>1</v>
      </c>
      <c r="BN1899">
        <v>1</v>
      </c>
      <c r="BO1899">
        <v>1</v>
      </c>
      <c r="BP1899">
        <v>0</v>
      </c>
      <c r="BS1899">
        <v>0</v>
      </c>
      <c r="BT1899">
        <v>0</v>
      </c>
      <c r="BU1899">
        <v>0</v>
      </c>
      <c r="CE1899" t="str">
        <f t="shared" ref="CE1899:CE1905" si="668">"19:30:32.423"</f>
        <v>19:30:32.423</v>
      </c>
      <c r="CF1899">
        <v>423159259</v>
      </c>
      <c r="CS1899">
        <v>0</v>
      </c>
      <c r="CT1899">
        <v>2</v>
      </c>
      <c r="CU1899">
        <v>0</v>
      </c>
      <c r="CV1899">
        <v>2</v>
      </c>
      <c r="CW1899">
        <v>0</v>
      </c>
      <c r="CX1899">
        <v>3</v>
      </c>
      <c r="CY1899">
        <v>7</v>
      </c>
      <c r="CZ1899" t="s">
        <v>131</v>
      </c>
      <c r="DA1899">
        <v>300</v>
      </c>
      <c r="DB1899">
        <v>0</v>
      </c>
      <c r="DC1899" t="s">
        <v>176</v>
      </c>
      <c r="DD1899" t="s">
        <v>177</v>
      </c>
      <c r="DG1899">
        <v>5397580</v>
      </c>
      <c r="DI1899">
        <v>1</v>
      </c>
      <c r="DJ1899">
        <v>0</v>
      </c>
      <c r="DK1899">
        <v>0</v>
      </c>
      <c r="DL1899">
        <v>0</v>
      </c>
      <c r="DM1899">
        <v>0</v>
      </c>
      <c r="DN1899">
        <v>1</v>
      </c>
      <c r="DO1899">
        <v>0</v>
      </c>
      <c r="DP1899">
        <v>0</v>
      </c>
      <c r="DQ1899">
        <v>0</v>
      </c>
      <c r="DR1899">
        <v>0</v>
      </c>
      <c r="DS1899">
        <v>0</v>
      </c>
    </row>
    <row r="1900" spans="1:123" x14ac:dyDescent="0.3">
      <c r="A1900" t="str">
        <f>"10/04/2022 19:30:32.681"</f>
        <v>10/04/2022 19:30:32.681</v>
      </c>
      <c r="C1900" t="str">
        <f t="shared" si="650"/>
        <v>FFDFD3C0</v>
      </c>
      <c r="D1900" t="s">
        <v>147</v>
      </c>
      <c r="E1900">
        <v>3</v>
      </c>
      <c r="H1900">
        <v>166</v>
      </c>
      <c r="I1900" t="s">
        <v>144</v>
      </c>
      <c r="J1900" t="s">
        <v>148</v>
      </c>
      <c r="K1900">
        <v>0</v>
      </c>
      <c r="L1900">
        <v>3</v>
      </c>
      <c r="M1900">
        <v>0</v>
      </c>
      <c r="N1900">
        <v>2</v>
      </c>
      <c r="O1900">
        <v>0</v>
      </c>
      <c r="P1900">
        <v>1</v>
      </c>
      <c r="Q1900">
        <v>0</v>
      </c>
      <c r="S1900" t="str">
        <f t="shared" si="667"/>
        <v>19:30:32.000</v>
      </c>
      <c r="T1900" t="str">
        <f t="shared" si="667"/>
        <v>19:30:32.000</v>
      </c>
      <c r="U1900" t="str">
        <f t="shared" si="656"/>
        <v>AC3944</v>
      </c>
      <c r="V1900">
        <v>0</v>
      </c>
      <c r="W1900">
        <v>0</v>
      </c>
      <c r="X1900">
        <v>2</v>
      </c>
      <c r="Y1900">
        <v>0</v>
      </c>
      <c r="AA1900">
        <v>1</v>
      </c>
      <c r="AB1900">
        <v>8</v>
      </c>
      <c r="AC1900">
        <v>3</v>
      </c>
      <c r="AD1900">
        <v>0</v>
      </c>
      <c r="AE1900">
        <v>9</v>
      </c>
      <c r="AF1900" t="s">
        <v>138</v>
      </c>
      <c r="AG1900">
        <v>0</v>
      </c>
      <c r="AH1900">
        <v>3</v>
      </c>
      <c r="AI1900">
        <v>1</v>
      </c>
      <c r="AJ1900">
        <v>0</v>
      </c>
      <c r="AK1900" t="s">
        <v>678</v>
      </c>
      <c r="AL1900">
        <v>32.778224999999999</v>
      </c>
      <c r="AM1900" t="s">
        <v>679</v>
      </c>
      <c r="AN1900">
        <v>-116.85105799999999</v>
      </c>
      <c r="AO1900">
        <v>25</v>
      </c>
      <c r="AP1900">
        <v>2900</v>
      </c>
      <c r="AQ1900" t="s">
        <v>129</v>
      </c>
      <c r="AR1900">
        <v>120</v>
      </c>
      <c r="AS1900">
        <v>-47</v>
      </c>
      <c r="AT1900">
        <v>256</v>
      </c>
      <c r="BB1900">
        <v>1200</v>
      </c>
      <c r="BC1900">
        <v>1</v>
      </c>
      <c r="BD1900" t="str">
        <f t="shared" si="657"/>
        <v xml:space="preserve">N887QR  </v>
      </c>
      <c r="BE1900">
        <v>1</v>
      </c>
      <c r="BG1900">
        <v>0</v>
      </c>
      <c r="BH1900">
        <v>0</v>
      </c>
      <c r="BI1900">
        <v>0</v>
      </c>
      <c r="BJ1900">
        <v>2575</v>
      </c>
      <c r="BK1900">
        <v>-325</v>
      </c>
      <c r="BL1900" t="s">
        <v>163</v>
      </c>
      <c r="BM1900">
        <v>1</v>
      </c>
      <c r="BN1900">
        <v>1</v>
      </c>
      <c r="BO1900">
        <v>1</v>
      </c>
      <c r="BP1900">
        <v>0</v>
      </c>
      <c r="BS1900">
        <v>0</v>
      </c>
      <c r="BT1900">
        <v>0</v>
      </c>
      <c r="BU1900">
        <v>0</v>
      </c>
      <c r="CE1900" t="str">
        <f t="shared" si="668"/>
        <v>19:30:32.423</v>
      </c>
      <c r="CF1900">
        <v>423159259</v>
      </c>
      <c r="CS1900">
        <v>0</v>
      </c>
      <c r="CT1900">
        <v>2</v>
      </c>
      <c r="CU1900">
        <v>0</v>
      </c>
      <c r="CV1900">
        <v>2</v>
      </c>
      <c r="CW1900">
        <v>0</v>
      </c>
      <c r="CX1900">
        <v>3</v>
      </c>
      <c r="CY1900">
        <v>7</v>
      </c>
      <c r="CZ1900" t="s">
        <v>131</v>
      </c>
      <c r="DA1900">
        <v>300</v>
      </c>
      <c r="DB1900">
        <v>0</v>
      </c>
      <c r="DC1900" t="s">
        <v>176</v>
      </c>
      <c r="DD1900" t="s">
        <v>177</v>
      </c>
      <c r="DG1900">
        <v>5397580</v>
      </c>
      <c r="DI1900">
        <v>1</v>
      </c>
      <c r="DJ1900">
        <v>0</v>
      </c>
      <c r="DK1900">
        <v>1</v>
      </c>
      <c r="DL1900">
        <v>0</v>
      </c>
      <c r="DM1900">
        <v>0</v>
      </c>
      <c r="DN1900">
        <v>1</v>
      </c>
      <c r="DO1900">
        <v>0</v>
      </c>
      <c r="DP1900">
        <v>0</v>
      </c>
      <c r="DQ1900">
        <v>0</v>
      </c>
      <c r="DR1900">
        <v>0</v>
      </c>
      <c r="DS1900">
        <v>0</v>
      </c>
    </row>
    <row r="1901" spans="1:123" x14ac:dyDescent="0.3">
      <c r="A1901" t="str">
        <f>"10/04/2022 19:30:32.712"</f>
        <v>10/04/2022 19:30:32.712</v>
      </c>
      <c r="C1901" t="str">
        <f t="shared" si="650"/>
        <v>FFDFD3C0</v>
      </c>
      <c r="D1901" t="s">
        <v>136</v>
      </c>
      <c r="E1901">
        <v>8</v>
      </c>
      <c r="H1901">
        <v>225</v>
      </c>
      <c r="I1901" t="s">
        <v>137</v>
      </c>
      <c r="J1901" t="s">
        <v>138</v>
      </c>
      <c r="K1901">
        <v>0</v>
      </c>
      <c r="L1901">
        <v>3</v>
      </c>
      <c r="M1901">
        <v>0</v>
      </c>
      <c r="N1901">
        <v>2</v>
      </c>
      <c r="O1901">
        <v>0</v>
      </c>
      <c r="P1901">
        <v>1</v>
      </c>
      <c r="Q1901">
        <v>0</v>
      </c>
      <c r="S1901" t="str">
        <f t="shared" si="667"/>
        <v>19:30:32.000</v>
      </c>
      <c r="T1901" t="str">
        <f t="shared" si="667"/>
        <v>19:30:32.000</v>
      </c>
      <c r="U1901" t="str">
        <f t="shared" si="656"/>
        <v>AC3944</v>
      </c>
      <c r="V1901">
        <v>0</v>
      </c>
      <c r="W1901">
        <v>0</v>
      </c>
      <c r="X1901">
        <v>2</v>
      </c>
      <c r="Y1901">
        <v>0</v>
      </c>
      <c r="AA1901">
        <v>1</v>
      </c>
      <c r="AB1901">
        <v>8</v>
      </c>
      <c r="AC1901">
        <v>3</v>
      </c>
      <c r="AD1901">
        <v>0</v>
      </c>
      <c r="AE1901">
        <v>9</v>
      </c>
      <c r="AF1901" t="s">
        <v>138</v>
      </c>
      <c r="AG1901">
        <v>0</v>
      </c>
      <c r="AH1901">
        <v>3</v>
      </c>
      <c r="AI1901">
        <v>1</v>
      </c>
      <c r="AJ1901">
        <v>0</v>
      </c>
      <c r="AK1901" t="s">
        <v>678</v>
      </c>
      <c r="AL1901">
        <v>32.778224999999999</v>
      </c>
      <c r="AM1901" t="s">
        <v>679</v>
      </c>
      <c r="AN1901">
        <v>-116.85105799999999</v>
      </c>
      <c r="AO1901">
        <v>25</v>
      </c>
      <c r="AP1901">
        <v>2900</v>
      </c>
      <c r="AQ1901" t="s">
        <v>129</v>
      </c>
      <c r="AR1901">
        <v>120</v>
      </c>
      <c r="AS1901">
        <v>-47</v>
      </c>
      <c r="AT1901">
        <v>256</v>
      </c>
      <c r="BB1901">
        <v>1200</v>
      </c>
      <c r="BC1901">
        <v>1</v>
      </c>
      <c r="BD1901" t="str">
        <f t="shared" si="657"/>
        <v xml:space="preserve">N887QR  </v>
      </c>
      <c r="BE1901">
        <v>1</v>
      </c>
      <c r="BG1901">
        <v>0</v>
      </c>
      <c r="BH1901">
        <v>0</v>
      </c>
      <c r="BI1901">
        <v>0</v>
      </c>
      <c r="BJ1901">
        <v>2575</v>
      </c>
      <c r="BK1901">
        <v>-325</v>
      </c>
      <c r="BL1901" t="s">
        <v>163</v>
      </c>
      <c r="BM1901">
        <v>1</v>
      </c>
      <c r="BN1901">
        <v>1</v>
      </c>
      <c r="BO1901">
        <v>1</v>
      </c>
      <c r="BP1901">
        <v>0</v>
      </c>
      <c r="BS1901">
        <v>0</v>
      </c>
      <c r="BT1901">
        <v>0</v>
      </c>
      <c r="BU1901">
        <v>0</v>
      </c>
      <c r="CE1901" t="str">
        <f t="shared" si="668"/>
        <v>19:30:32.423</v>
      </c>
      <c r="CF1901">
        <v>423159259</v>
      </c>
      <c r="CS1901">
        <v>0</v>
      </c>
      <c r="CT1901">
        <v>2</v>
      </c>
      <c r="CU1901">
        <v>0</v>
      </c>
      <c r="CV1901">
        <v>2</v>
      </c>
      <c r="CW1901">
        <v>0</v>
      </c>
      <c r="CX1901">
        <v>3</v>
      </c>
      <c r="CY1901">
        <v>7</v>
      </c>
      <c r="CZ1901" t="s">
        <v>131</v>
      </c>
      <c r="DA1901">
        <v>300</v>
      </c>
      <c r="DB1901">
        <v>0</v>
      </c>
      <c r="DC1901" t="s">
        <v>176</v>
      </c>
      <c r="DD1901" t="s">
        <v>177</v>
      </c>
      <c r="DG1901">
        <v>5397580</v>
      </c>
      <c r="DI1901">
        <v>1</v>
      </c>
      <c r="DJ1901">
        <v>0</v>
      </c>
      <c r="DK1901">
        <v>1</v>
      </c>
      <c r="DL1901">
        <v>0</v>
      </c>
      <c r="DM1901">
        <v>0</v>
      </c>
      <c r="DN1901">
        <v>1</v>
      </c>
      <c r="DO1901">
        <v>0</v>
      </c>
      <c r="DP1901">
        <v>0</v>
      </c>
      <c r="DQ1901">
        <v>0</v>
      </c>
      <c r="DR1901">
        <v>0</v>
      </c>
      <c r="DS1901">
        <v>0</v>
      </c>
    </row>
    <row r="1902" spans="1:123" x14ac:dyDescent="0.3">
      <c r="A1902" t="str">
        <f>"10/04/2022 19:30:32.712"</f>
        <v>10/04/2022 19:30:32.712</v>
      </c>
      <c r="C1902" t="str">
        <f t="shared" si="650"/>
        <v>FFDFD3C0</v>
      </c>
      <c r="D1902" t="s">
        <v>141</v>
      </c>
      <c r="E1902">
        <v>4</v>
      </c>
      <c r="H1902">
        <v>4</v>
      </c>
      <c r="I1902" t="s">
        <v>142</v>
      </c>
      <c r="J1902" t="s">
        <v>138</v>
      </c>
      <c r="K1902">
        <v>0</v>
      </c>
      <c r="L1902">
        <v>3</v>
      </c>
      <c r="M1902">
        <v>0</v>
      </c>
      <c r="N1902">
        <v>2</v>
      </c>
      <c r="O1902">
        <v>0</v>
      </c>
      <c r="P1902">
        <v>1</v>
      </c>
      <c r="Q1902">
        <v>0</v>
      </c>
      <c r="S1902" t="str">
        <f t="shared" si="667"/>
        <v>19:30:32.000</v>
      </c>
      <c r="T1902" t="str">
        <f t="shared" si="667"/>
        <v>19:30:32.000</v>
      </c>
      <c r="U1902" t="str">
        <f t="shared" si="656"/>
        <v>AC3944</v>
      </c>
      <c r="V1902">
        <v>0</v>
      </c>
      <c r="W1902">
        <v>0</v>
      </c>
      <c r="X1902">
        <v>2</v>
      </c>
      <c r="Y1902">
        <v>0</v>
      </c>
      <c r="AA1902">
        <v>1</v>
      </c>
      <c r="AB1902">
        <v>8</v>
      </c>
      <c r="AC1902">
        <v>3</v>
      </c>
      <c r="AD1902">
        <v>0</v>
      </c>
      <c r="AE1902">
        <v>9</v>
      </c>
      <c r="AF1902" t="s">
        <v>138</v>
      </c>
      <c r="AG1902">
        <v>0</v>
      </c>
      <c r="AH1902">
        <v>3</v>
      </c>
      <c r="AI1902">
        <v>1</v>
      </c>
      <c r="AJ1902">
        <v>0</v>
      </c>
      <c r="AK1902" t="s">
        <v>678</v>
      </c>
      <c r="AL1902">
        <v>32.778224999999999</v>
      </c>
      <c r="AM1902" t="s">
        <v>679</v>
      </c>
      <c r="AN1902">
        <v>-116.85105799999999</v>
      </c>
      <c r="AO1902">
        <v>25</v>
      </c>
      <c r="AP1902">
        <v>2900</v>
      </c>
      <c r="AQ1902" t="s">
        <v>129</v>
      </c>
      <c r="AR1902">
        <v>120</v>
      </c>
      <c r="AS1902">
        <v>-47</v>
      </c>
      <c r="AT1902">
        <v>256</v>
      </c>
      <c r="BB1902">
        <v>1200</v>
      </c>
      <c r="BC1902">
        <v>1</v>
      </c>
      <c r="BD1902" t="str">
        <f t="shared" si="657"/>
        <v xml:space="preserve">N887QR  </v>
      </c>
      <c r="BE1902">
        <v>1</v>
      </c>
      <c r="BG1902">
        <v>0</v>
      </c>
      <c r="BH1902">
        <v>0</v>
      </c>
      <c r="BI1902">
        <v>0</v>
      </c>
      <c r="BJ1902">
        <v>2575</v>
      </c>
      <c r="BK1902">
        <v>-325</v>
      </c>
      <c r="BL1902" t="s">
        <v>163</v>
      </c>
      <c r="BM1902">
        <v>1</v>
      </c>
      <c r="BN1902">
        <v>1</v>
      </c>
      <c r="BO1902">
        <v>1</v>
      </c>
      <c r="BP1902">
        <v>0</v>
      </c>
      <c r="BS1902">
        <v>0</v>
      </c>
      <c r="BT1902">
        <v>0</v>
      </c>
      <c r="BU1902">
        <v>0</v>
      </c>
      <c r="CE1902" t="str">
        <f t="shared" si="668"/>
        <v>19:30:32.423</v>
      </c>
      <c r="CF1902">
        <v>423159259</v>
      </c>
      <c r="CS1902">
        <v>0</v>
      </c>
      <c r="CT1902">
        <v>2</v>
      </c>
      <c r="CU1902">
        <v>0</v>
      </c>
      <c r="CV1902">
        <v>2</v>
      </c>
      <c r="CW1902">
        <v>0</v>
      </c>
      <c r="CX1902">
        <v>3</v>
      </c>
      <c r="CY1902">
        <v>7</v>
      </c>
      <c r="CZ1902" t="s">
        <v>131</v>
      </c>
      <c r="DA1902">
        <v>300</v>
      </c>
      <c r="DB1902">
        <v>0</v>
      </c>
      <c r="DC1902" t="s">
        <v>176</v>
      </c>
      <c r="DD1902" t="s">
        <v>177</v>
      </c>
      <c r="DG1902">
        <v>5397580</v>
      </c>
      <c r="DI1902">
        <v>1</v>
      </c>
      <c r="DJ1902">
        <v>0</v>
      </c>
      <c r="DK1902">
        <v>1</v>
      </c>
      <c r="DL1902">
        <v>0</v>
      </c>
      <c r="DM1902">
        <v>0</v>
      </c>
      <c r="DN1902">
        <v>1</v>
      </c>
      <c r="DO1902">
        <v>0</v>
      </c>
      <c r="DP1902">
        <v>0</v>
      </c>
      <c r="DQ1902">
        <v>0</v>
      </c>
      <c r="DR1902">
        <v>0</v>
      </c>
      <c r="DS1902">
        <v>0</v>
      </c>
    </row>
    <row r="1903" spans="1:123" x14ac:dyDescent="0.3">
      <c r="A1903" t="str">
        <f>"10/04/2022 19:30:32.712"</f>
        <v>10/04/2022 19:30:32.712</v>
      </c>
      <c r="C1903" t="str">
        <f t="shared" si="650"/>
        <v>FFDFD3C0</v>
      </c>
      <c r="D1903" t="s">
        <v>141</v>
      </c>
      <c r="E1903">
        <v>3</v>
      </c>
      <c r="H1903">
        <v>3</v>
      </c>
      <c r="I1903" t="s">
        <v>146</v>
      </c>
      <c r="J1903" t="s">
        <v>138</v>
      </c>
      <c r="K1903">
        <v>0</v>
      </c>
      <c r="L1903">
        <v>3</v>
      </c>
      <c r="M1903">
        <v>0</v>
      </c>
      <c r="N1903">
        <v>2</v>
      </c>
      <c r="O1903">
        <v>0</v>
      </c>
      <c r="P1903">
        <v>1</v>
      </c>
      <c r="Q1903">
        <v>0</v>
      </c>
      <c r="S1903" t="str">
        <f t="shared" si="667"/>
        <v>19:30:32.000</v>
      </c>
      <c r="T1903" t="str">
        <f t="shared" si="667"/>
        <v>19:30:32.000</v>
      </c>
      <c r="U1903" t="str">
        <f t="shared" si="656"/>
        <v>AC3944</v>
      </c>
      <c r="V1903">
        <v>0</v>
      </c>
      <c r="W1903">
        <v>0</v>
      </c>
      <c r="X1903">
        <v>2</v>
      </c>
      <c r="Y1903">
        <v>0</v>
      </c>
      <c r="AA1903">
        <v>1</v>
      </c>
      <c r="AB1903">
        <v>8</v>
      </c>
      <c r="AC1903">
        <v>3</v>
      </c>
      <c r="AD1903">
        <v>0</v>
      </c>
      <c r="AE1903">
        <v>9</v>
      </c>
      <c r="AF1903" t="s">
        <v>138</v>
      </c>
      <c r="AG1903">
        <v>0</v>
      </c>
      <c r="AH1903">
        <v>3</v>
      </c>
      <c r="AI1903">
        <v>1</v>
      </c>
      <c r="AJ1903">
        <v>0</v>
      </c>
      <c r="AK1903" t="s">
        <v>678</v>
      </c>
      <c r="AL1903">
        <v>32.778224999999999</v>
      </c>
      <c r="AM1903" t="s">
        <v>679</v>
      </c>
      <c r="AN1903">
        <v>-116.85105799999999</v>
      </c>
      <c r="AO1903">
        <v>25</v>
      </c>
      <c r="AP1903">
        <v>2900</v>
      </c>
      <c r="AQ1903" t="s">
        <v>129</v>
      </c>
      <c r="AR1903">
        <v>120</v>
      </c>
      <c r="AS1903">
        <v>-47</v>
      </c>
      <c r="AT1903">
        <v>256</v>
      </c>
      <c r="BB1903">
        <v>1200</v>
      </c>
      <c r="BC1903">
        <v>1</v>
      </c>
      <c r="BD1903" t="str">
        <f t="shared" si="657"/>
        <v xml:space="preserve">N887QR  </v>
      </c>
      <c r="BE1903">
        <v>1</v>
      </c>
      <c r="BG1903">
        <v>0</v>
      </c>
      <c r="BH1903">
        <v>0</v>
      </c>
      <c r="BI1903">
        <v>0</v>
      </c>
      <c r="BJ1903">
        <v>2575</v>
      </c>
      <c r="BK1903">
        <v>-325</v>
      </c>
      <c r="BL1903" t="s">
        <v>163</v>
      </c>
      <c r="BM1903">
        <v>1</v>
      </c>
      <c r="BN1903">
        <v>1</v>
      </c>
      <c r="BO1903">
        <v>1</v>
      </c>
      <c r="BP1903">
        <v>0</v>
      </c>
      <c r="BS1903">
        <v>0</v>
      </c>
      <c r="BT1903">
        <v>0</v>
      </c>
      <c r="BU1903">
        <v>0</v>
      </c>
      <c r="CE1903" t="str">
        <f t="shared" si="668"/>
        <v>19:30:32.423</v>
      </c>
      <c r="CF1903">
        <v>423159259</v>
      </c>
      <c r="CS1903">
        <v>0</v>
      </c>
      <c r="CT1903">
        <v>2</v>
      </c>
      <c r="CU1903">
        <v>0</v>
      </c>
      <c r="CV1903">
        <v>2</v>
      </c>
      <c r="CW1903">
        <v>0</v>
      </c>
      <c r="CX1903">
        <v>3</v>
      </c>
      <c r="CY1903">
        <v>7</v>
      </c>
      <c r="CZ1903" t="s">
        <v>131</v>
      </c>
      <c r="DA1903">
        <v>300</v>
      </c>
      <c r="DB1903">
        <v>0</v>
      </c>
      <c r="DC1903" t="s">
        <v>176</v>
      </c>
      <c r="DD1903" t="s">
        <v>177</v>
      </c>
      <c r="DG1903">
        <v>5397580</v>
      </c>
      <c r="DI1903">
        <v>1</v>
      </c>
      <c r="DJ1903">
        <v>0</v>
      </c>
      <c r="DK1903">
        <v>1</v>
      </c>
      <c r="DL1903">
        <v>0</v>
      </c>
      <c r="DM1903">
        <v>0</v>
      </c>
      <c r="DN1903">
        <v>1</v>
      </c>
      <c r="DO1903">
        <v>0</v>
      </c>
      <c r="DP1903">
        <v>0</v>
      </c>
      <c r="DQ1903">
        <v>0</v>
      </c>
      <c r="DR1903">
        <v>0</v>
      </c>
      <c r="DS1903">
        <v>0</v>
      </c>
    </row>
    <row r="1904" spans="1:123" x14ac:dyDescent="0.3">
      <c r="A1904" t="str">
        <f>"10/04/2022 19:30:32.712"</f>
        <v>10/04/2022 19:30:32.712</v>
      </c>
      <c r="C1904" t="str">
        <f t="shared" si="650"/>
        <v>FFDFD3C0</v>
      </c>
      <c r="D1904" t="s">
        <v>143</v>
      </c>
      <c r="E1904">
        <v>20</v>
      </c>
      <c r="F1904">
        <v>1020</v>
      </c>
      <c r="G1904" t="s">
        <v>144</v>
      </c>
      <c r="J1904" t="s">
        <v>145</v>
      </c>
      <c r="K1904">
        <v>0</v>
      </c>
      <c r="L1904">
        <v>3</v>
      </c>
      <c r="M1904">
        <v>0</v>
      </c>
      <c r="N1904">
        <v>2</v>
      </c>
      <c r="O1904">
        <v>0</v>
      </c>
      <c r="P1904">
        <v>1</v>
      </c>
      <c r="Q1904">
        <v>0</v>
      </c>
      <c r="S1904" t="str">
        <f t="shared" si="667"/>
        <v>19:30:32.000</v>
      </c>
      <c r="T1904" t="str">
        <f t="shared" si="667"/>
        <v>19:30:32.000</v>
      </c>
      <c r="U1904" t="str">
        <f t="shared" si="656"/>
        <v>AC3944</v>
      </c>
      <c r="V1904">
        <v>0</v>
      </c>
      <c r="W1904">
        <v>0</v>
      </c>
      <c r="X1904">
        <v>2</v>
      </c>
      <c r="Y1904">
        <v>0</v>
      </c>
      <c r="AA1904">
        <v>1</v>
      </c>
      <c r="AB1904">
        <v>8</v>
      </c>
      <c r="AC1904">
        <v>3</v>
      </c>
      <c r="AD1904">
        <v>0</v>
      </c>
      <c r="AE1904">
        <v>9</v>
      </c>
      <c r="AF1904" t="s">
        <v>138</v>
      </c>
      <c r="AG1904">
        <v>0</v>
      </c>
      <c r="AH1904">
        <v>3</v>
      </c>
      <c r="AI1904">
        <v>1</v>
      </c>
      <c r="AJ1904">
        <v>0</v>
      </c>
      <c r="AK1904" t="s">
        <v>678</v>
      </c>
      <c r="AL1904">
        <v>32.778224999999999</v>
      </c>
      <c r="AM1904" t="s">
        <v>679</v>
      </c>
      <c r="AN1904">
        <v>-116.85105799999999</v>
      </c>
      <c r="AO1904">
        <v>25</v>
      </c>
      <c r="AP1904">
        <v>2900</v>
      </c>
      <c r="AQ1904" t="s">
        <v>129</v>
      </c>
      <c r="AR1904">
        <v>120</v>
      </c>
      <c r="AS1904">
        <v>-47</v>
      </c>
      <c r="AT1904">
        <v>256</v>
      </c>
      <c r="BB1904">
        <v>1200</v>
      </c>
      <c r="BC1904">
        <v>1</v>
      </c>
      <c r="BD1904" t="str">
        <f t="shared" si="657"/>
        <v xml:space="preserve">N887QR  </v>
      </c>
      <c r="BE1904">
        <v>1</v>
      </c>
      <c r="BG1904">
        <v>0</v>
      </c>
      <c r="BH1904">
        <v>0</v>
      </c>
      <c r="BI1904">
        <v>0</v>
      </c>
      <c r="BJ1904">
        <v>2575</v>
      </c>
      <c r="BK1904">
        <v>-325</v>
      </c>
      <c r="BL1904" t="s">
        <v>163</v>
      </c>
      <c r="BM1904">
        <v>1</v>
      </c>
      <c r="BN1904">
        <v>1</v>
      </c>
      <c r="BO1904">
        <v>1</v>
      </c>
      <c r="BP1904">
        <v>0</v>
      </c>
      <c r="BS1904">
        <v>0</v>
      </c>
      <c r="BT1904">
        <v>0</v>
      </c>
      <c r="BU1904">
        <v>0</v>
      </c>
      <c r="CE1904" t="str">
        <f t="shared" si="668"/>
        <v>19:30:32.423</v>
      </c>
      <c r="CF1904">
        <v>423159259</v>
      </c>
      <c r="CS1904">
        <v>0</v>
      </c>
      <c r="CT1904">
        <v>2</v>
      </c>
      <c r="CU1904">
        <v>0</v>
      </c>
      <c r="CV1904">
        <v>2</v>
      </c>
      <c r="CW1904">
        <v>0</v>
      </c>
      <c r="CX1904">
        <v>3</v>
      </c>
      <c r="CY1904">
        <v>7</v>
      </c>
      <c r="CZ1904" t="s">
        <v>131</v>
      </c>
      <c r="DA1904">
        <v>300</v>
      </c>
      <c r="DB1904">
        <v>0</v>
      </c>
      <c r="DC1904" t="s">
        <v>176</v>
      </c>
      <c r="DD1904" t="s">
        <v>177</v>
      </c>
      <c r="DG1904">
        <v>5397580</v>
      </c>
      <c r="DI1904">
        <v>1</v>
      </c>
      <c r="DJ1904">
        <v>0</v>
      </c>
      <c r="DK1904">
        <v>1</v>
      </c>
      <c r="DL1904">
        <v>0</v>
      </c>
      <c r="DM1904">
        <v>0</v>
      </c>
      <c r="DN1904">
        <v>1</v>
      </c>
      <c r="DO1904">
        <v>0</v>
      </c>
      <c r="DP1904">
        <v>0</v>
      </c>
      <c r="DQ1904">
        <v>0</v>
      </c>
      <c r="DR1904">
        <v>0</v>
      </c>
      <c r="DS1904">
        <v>0</v>
      </c>
    </row>
    <row r="1905" spans="1:123" x14ac:dyDescent="0.3">
      <c r="A1905" t="str">
        <f>"10/04/2022 19:30:32.712"</f>
        <v>10/04/2022 19:30:32.712</v>
      </c>
      <c r="C1905" t="str">
        <f t="shared" si="650"/>
        <v>FFDFD3C0</v>
      </c>
      <c r="D1905" t="s">
        <v>123</v>
      </c>
      <c r="E1905">
        <v>7</v>
      </c>
      <c r="F1905">
        <v>2007</v>
      </c>
      <c r="G1905" t="s">
        <v>124</v>
      </c>
      <c r="J1905" t="s">
        <v>125</v>
      </c>
      <c r="K1905">
        <v>0</v>
      </c>
      <c r="L1905">
        <v>3</v>
      </c>
      <c r="M1905">
        <v>0</v>
      </c>
      <c r="N1905">
        <v>2</v>
      </c>
      <c r="O1905">
        <v>0</v>
      </c>
      <c r="P1905">
        <v>1</v>
      </c>
      <c r="Q1905">
        <v>0</v>
      </c>
      <c r="S1905" t="str">
        <f t="shared" si="667"/>
        <v>19:30:32.000</v>
      </c>
      <c r="T1905" t="str">
        <f t="shared" si="667"/>
        <v>19:30:32.000</v>
      </c>
      <c r="U1905" t="str">
        <f t="shared" si="656"/>
        <v>AC3944</v>
      </c>
      <c r="V1905">
        <v>0</v>
      </c>
      <c r="W1905">
        <v>0</v>
      </c>
      <c r="X1905">
        <v>2</v>
      </c>
      <c r="Y1905">
        <v>0</v>
      </c>
      <c r="AA1905">
        <v>1</v>
      </c>
      <c r="AB1905">
        <v>8</v>
      </c>
      <c r="AC1905">
        <v>3</v>
      </c>
      <c r="AD1905">
        <v>0</v>
      </c>
      <c r="AE1905">
        <v>9</v>
      </c>
      <c r="AF1905" t="s">
        <v>138</v>
      </c>
      <c r="AG1905">
        <v>0</v>
      </c>
      <c r="AH1905">
        <v>3</v>
      </c>
      <c r="AI1905">
        <v>1</v>
      </c>
      <c r="AJ1905">
        <v>0</v>
      </c>
      <c r="AK1905" t="s">
        <v>678</v>
      </c>
      <c r="AL1905">
        <v>32.778224999999999</v>
      </c>
      <c r="AM1905" t="s">
        <v>679</v>
      </c>
      <c r="AN1905">
        <v>-116.85105799999999</v>
      </c>
      <c r="AO1905">
        <v>25</v>
      </c>
      <c r="AP1905">
        <v>2900</v>
      </c>
      <c r="AQ1905" t="s">
        <v>129</v>
      </c>
      <c r="AR1905">
        <v>120</v>
      </c>
      <c r="AS1905">
        <v>-47</v>
      </c>
      <c r="AT1905">
        <v>256</v>
      </c>
      <c r="BB1905">
        <v>1200</v>
      </c>
      <c r="BC1905">
        <v>1</v>
      </c>
      <c r="BD1905" t="str">
        <f t="shared" si="657"/>
        <v xml:space="preserve">N887QR  </v>
      </c>
      <c r="BE1905">
        <v>1</v>
      </c>
      <c r="BG1905">
        <v>0</v>
      </c>
      <c r="BH1905">
        <v>0</v>
      </c>
      <c r="BI1905">
        <v>0</v>
      </c>
      <c r="BJ1905">
        <v>2575</v>
      </c>
      <c r="BK1905">
        <v>-325</v>
      </c>
      <c r="BL1905" t="s">
        <v>163</v>
      </c>
      <c r="BM1905">
        <v>1</v>
      </c>
      <c r="BN1905">
        <v>1</v>
      </c>
      <c r="BO1905">
        <v>1</v>
      </c>
      <c r="BP1905">
        <v>0</v>
      </c>
      <c r="BS1905">
        <v>0</v>
      </c>
      <c r="BT1905">
        <v>0</v>
      </c>
      <c r="BU1905">
        <v>0</v>
      </c>
      <c r="CE1905" t="str">
        <f t="shared" si="668"/>
        <v>19:30:32.423</v>
      </c>
      <c r="CF1905">
        <v>423159259</v>
      </c>
      <c r="CS1905">
        <v>0</v>
      </c>
      <c r="CT1905">
        <v>2</v>
      </c>
      <c r="CU1905">
        <v>0</v>
      </c>
      <c r="CV1905">
        <v>2</v>
      </c>
      <c r="CW1905">
        <v>0</v>
      </c>
      <c r="CX1905">
        <v>3</v>
      </c>
      <c r="CY1905">
        <v>7</v>
      </c>
      <c r="CZ1905" t="s">
        <v>131</v>
      </c>
      <c r="DA1905">
        <v>300</v>
      </c>
      <c r="DB1905">
        <v>0</v>
      </c>
      <c r="DC1905" t="s">
        <v>176</v>
      </c>
      <c r="DD1905" t="s">
        <v>177</v>
      </c>
      <c r="DG1905">
        <v>5397580</v>
      </c>
      <c r="DI1905">
        <v>1</v>
      </c>
      <c r="DJ1905">
        <v>0</v>
      </c>
      <c r="DK1905">
        <v>1</v>
      </c>
      <c r="DL1905">
        <v>0</v>
      </c>
      <c r="DM1905">
        <v>0</v>
      </c>
      <c r="DN1905">
        <v>1</v>
      </c>
      <c r="DO1905">
        <v>0</v>
      </c>
      <c r="DP1905">
        <v>0</v>
      </c>
      <c r="DQ1905">
        <v>0</v>
      </c>
      <c r="DR1905">
        <v>0</v>
      </c>
      <c r="DS1905">
        <v>0</v>
      </c>
    </row>
    <row r="1906" spans="1:123" x14ac:dyDescent="0.3">
      <c r="A1906" t="str">
        <f>"10/04/2022 19:30:33.416"</f>
        <v>10/04/2022 19:30:33.416</v>
      </c>
      <c r="C1906" t="str">
        <f t="shared" si="650"/>
        <v>FFDFD3C0</v>
      </c>
      <c r="D1906" t="s">
        <v>123</v>
      </c>
      <c r="E1906">
        <v>7</v>
      </c>
      <c r="F1906">
        <v>2007</v>
      </c>
      <c r="G1906" t="s">
        <v>124</v>
      </c>
      <c r="J1906" t="s">
        <v>125</v>
      </c>
      <c r="K1906">
        <v>0</v>
      </c>
      <c r="L1906">
        <v>3</v>
      </c>
      <c r="M1906">
        <v>0</v>
      </c>
      <c r="N1906">
        <v>2</v>
      </c>
      <c r="O1906">
        <v>0</v>
      </c>
      <c r="P1906">
        <v>1</v>
      </c>
      <c r="Q1906">
        <v>0</v>
      </c>
      <c r="S1906" t="str">
        <f t="shared" ref="S1906:T1919" si="669">"19:30:33.000"</f>
        <v>19:30:33.000</v>
      </c>
      <c r="T1906" t="str">
        <f t="shared" si="669"/>
        <v>19:30:33.000</v>
      </c>
      <c r="U1906" t="str">
        <f t="shared" si="656"/>
        <v>AC3944</v>
      </c>
      <c r="V1906">
        <v>0</v>
      </c>
      <c r="W1906">
        <v>0</v>
      </c>
      <c r="X1906">
        <v>2</v>
      </c>
      <c r="Y1906">
        <v>0</v>
      </c>
      <c r="AA1906">
        <v>1</v>
      </c>
      <c r="AB1906">
        <v>8</v>
      </c>
      <c r="AC1906">
        <v>3</v>
      </c>
      <c r="AD1906">
        <v>0</v>
      </c>
      <c r="AE1906">
        <v>9</v>
      </c>
      <c r="AF1906" t="s">
        <v>138</v>
      </c>
      <c r="AG1906">
        <v>0</v>
      </c>
      <c r="AH1906">
        <v>3</v>
      </c>
      <c r="AI1906">
        <v>1</v>
      </c>
      <c r="AJ1906">
        <v>0</v>
      </c>
      <c r="AK1906" t="s">
        <v>680</v>
      </c>
      <c r="AL1906">
        <v>32.778010000000002</v>
      </c>
      <c r="AM1906" t="s">
        <v>681</v>
      </c>
      <c r="AN1906">
        <v>-116.850414</v>
      </c>
      <c r="AO1906">
        <v>25</v>
      </c>
      <c r="AP1906">
        <v>2900</v>
      </c>
      <c r="AQ1906" t="s">
        <v>129</v>
      </c>
      <c r="AR1906">
        <v>120</v>
      </c>
      <c r="AS1906">
        <v>-46</v>
      </c>
      <c r="AT1906">
        <v>256</v>
      </c>
      <c r="BB1906">
        <v>1200</v>
      </c>
      <c r="BC1906">
        <v>1</v>
      </c>
      <c r="BD1906" t="str">
        <f t="shared" si="657"/>
        <v xml:space="preserve">N887QR  </v>
      </c>
      <c r="BE1906">
        <v>1</v>
      </c>
      <c r="BG1906">
        <v>0</v>
      </c>
      <c r="BH1906">
        <v>0</v>
      </c>
      <c r="BI1906">
        <v>0</v>
      </c>
      <c r="BJ1906">
        <v>2575</v>
      </c>
      <c r="BK1906">
        <v>-325</v>
      </c>
      <c r="BL1906" t="s">
        <v>163</v>
      </c>
      <c r="BM1906">
        <v>1</v>
      </c>
      <c r="BN1906">
        <v>1</v>
      </c>
      <c r="BO1906">
        <v>1</v>
      </c>
      <c r="BP1906">
        <v>0</v>
      </c>
      <c r="BS1906">
        <v>0</v>
      </c>
      <c r="BT1906">
        <v>0</v>
      </c>
      <c r="BU1906">
        <v>0</v>
      </c>
      <c r="CE1906" t="str">
        <f t="shared" ref="CE1906:CE1912" si="670">"19:30:33.187"</f>
        <v>19:30:33.187</v>
      </c>
      <c r="CF1906">
        <v>186661866</v>
      </c>
      <c r="CS1906">
        <v>0</v>
      </c>
      <c r="CT1906">
        <v>2</v>
      </c>
      <c r="CU1906">
        <v>0</v>
      </c>
      <c r="CV1906">
        <v>2</v>
      </c>
      <c r="CW1906">
        <v>0</v>
      </c>
      <c r="CX1906">
        <v>4</v>
      </c>
      <c r="CY1906">
        <v>7</v>
      </c>
      <c r="CZ1906" t="s">
        <v>131</v>
      </c>
      <c r="DA1906">
        <v>300</v>
      </c>
      <c r="DB1906">
        <v>0</v>
      </c>
      <c r="DC1906" t="s">
        <v>176</v>
      </c>
      <c r="DD1906" t="s">
        <v>177</v>
      </c>
      <c r="DG1906">
        <v>5397704</v>
      </c>
      <c r="DI1906">
        <v>1</v>
      </c>
      <c r="DJ1906">
        <v>0</v>
      </c>
      <c r="DK1906">
        <v>0</v>
      </c>
      <c r="DL1906">
        <v>0</v>
      </c>
      <c r="DM1906">
        <v>0</v>
      </c>
      <c r="DN1906">
        <v>1</v>
      </c>
      <c r="DO1906">
        <v>0</v>
      </c>
      <c r="DP1906">
        <v>0</v>
      </c>
      <c r="DQ1906">
        <v>0</v>
      </c>
      <c r="DR1906">
        <v>0</v>
      </c>
      <c r="DS1906">
        <v>0</v>
      </c>
    </row>
    <row r="1907" spans="1:123" x14ac:dyDescent="0.3">
      <c r="A1907" t="str">
        <f t="shared" ref="A1907:A1912" si="671">"10/04/2022 19:30:33.478"</f>
        <v>10/04/2022 19:30:33.478</v>
      </c>
      <c r="C1907" t="str">
        <f t="shared" si="650"/>
        <v>FFDFD3C0</v>
      </c>
      <c r="D1907" t="s">
        <v>134</v>
      </c>
      <c r="E1907">
        <v>15</v>
      </c>
      <c r="J1907" t="s">
        <v>135</v>
      </c>
      <c r="K1907">
        <v>0</v>
      </c>
      <c r="L1907">
        <v>3</v>
      </c>
      <c r="M1907">
        <v>0</v>
      </c>
      <c r="N1907">
        <v>2</v>
      </c>
      <c r="O1907">
        <v>0</v>
      </c>
      <c r="P1907">
        <v>1</v>
      </c>
      <c r="Q1907">
        <v>0</v>
      </c>
      <c r="S1907" t="str">
        <f t="shared" si="669"/>
        <v>19:30:33.000</v>
      </c>
      <c r="T1907" t="str">
        <f t="shared" si="669"/>
        <v>19:30:33.000</v>
      </c>
      <c r="U1907" t="str">
        <f t="shared" si="656"/>
        <v>AC3944</v>
      </c>
      <c r="V1907">
        <v>0</v>
      </c>
      <c r="W1907">
        <v>0</v>
      </c>
      <c r="X1907">
        <v>2</v>
      </c>
      <c r="Y1907">
        <v>0</v>
      </c>
      <c r="AA1907">
        <v>1</v>
      </c>
      <c r="AB1907">
        <v>8</v>
      </c>
      <c r="AC1907">
        <v>3</v>
      </c>
      <c r="AD1907">
        <v>0</v>
      </c>
      <c r="AE1907">
        <v>9</v>
      </c>
      <c r="AF1907" t="s">
        <v>138</v>
      </c>
      <c r="AG1907">
        <v>0</v>
      </c>
      <c r="AH1907">
        <v>3</v>
      </c>
      <c r="AI1907">
        <v>1</v>
      </c>
      <c r="AJ1907">
        <v>0</v>
      </c>
      <c r="AK1907" t="s">
        <v>680</v>
      </c>
      <c r="AL1907">
        <v>32.778010000000002</v>
      </c>
      <c r="AM1907" t="s">
        <v>681</v>
      </c>
      <c r="AN1907">
        <v>-116.850414</v>
      </c>
      <c r="AO1907">
        <v>25</v>
      </c>
      <c r="AP1907">
        <v>2900</v>
      </c>
      <c r="AQ1907" t="s">
        <v>129</v>
      </c>
      <c r="AR1907">
        <v>120</v>
      </c>
      <c r="AS1907">
        <v>-46</v>
      </c>
      <c r="AT1907">
        <v>256</v>
      </c>
      <c r="BB1907">
        <v>1200</v>
      </c>
      <c r="BC1907">
        <v>1</v>
      </c>
      <c r="BD1907" t="str">
        <f t="shared" si="657"/>
        <v xml:space="preserve">N887QR  </v>
      </c>
      <c r="BE1907">
        <v>1</v>
      </c>
      <c r="BG1907">
        <v>0</v>
      </c>
      <c r="BH1907">
        <v>0</v>
      </c>
      <c r="BI1907">
        <v>0</v>
      </c>
      <c r="BJ1907">
        <v>2575</v>
      </c>
      <c r="BK1907">
        <v>-325</v>
      </c>
      <c r="BL1907" t="s">
        <v>163</v>
      </c>
      <c r="BM1907">
        <v>1</v>
      </c>
      <c r="BN1907">
        <v>1</v>
      </c>
      <c r="BO1907">
        <v>1</v>
      </c>
      <c r="BP1907">
        <v>0</v>
      </c>
      <c r="BS1907">
        <v>0</v>
      </c>
      <c r="BT1907">
        <v>0</v>
      </c>
      <c r="BU1907">
        <v>0</v>
      </c>
      <c r="CE1907" t="str">
        <f t="shared" si="670"/>
        <v>19:30:33.187</v>
      </c>
      <c r="CF1907">
        <v>186661866</v>
      </c>
      <c r="CS1907">
        <v>0</v>
      </c>
      <c r="CT1907">
        <v>2</v>
      </c>
      <c r="CU1907">
        <v>0</v>
      </c>
      <c r="CV1907">
        <v>2</v>
      </c>
      <c r="CW1907">
        <v>0</v>
      </c>
      <c r="CX1907">
        <v>4</v>
      </c>
      <c r="CY1907">
        <v>7</v>
      </c>
      <c r="CZ1907" t="s">
        <v>131</v>
      </c>
      <c r="DA1907">
        <v>300</v>
      </c>
      <c r="DB1907">
        <v>0</v>
      </c>
      <c r="DC1907" t="s">
        <v>176</v>
      </c>
      <c r="DD1907" t="s">
        <v>177</v>
      </c>
      <c r="DG1907">
        <v>5397704</v>
      </c>
      <c r="DI1907">
        <v>1</v>
      </c>
      <c r="DJ1907">
        <v>0</v>
      </c>
      <c r="DK1907">
        <v>1</v>
      </c>
      <c r="DL1907">
        <v>0</v>
      </c>
      <c r="DM1907">
        <v>0</v>
      </c>
      <c r="DN1907">
        <v>1</v>
      </c>
      <c r="DO1907">
        <v>0</v>
      </c>
      <c r="DP1907">
        <v>0</v>
      </c>
      <c r="DQ1907">
        <v>0</v>
      </c>
      <c r="DR1907">
        <v>0</v>
      </c>
      <c r="DS1907">
        <v>0</v>
      </c>
    </row>
    <row r="1908" spans="1:123" x14ac:dyDescent="0.3">
      <c r="A1908" t="str">
        <f t="shared" si="671"/>
        <v>10/04/2022 19:30:33.478</v>
      </c>
      <c r="C1908" t="str">
        <f t="shared" si="650"/>
        <v>FFDFD3C0</v>
      </c>
      <c r="D1908" t="s">
        <v>147</v>
      </c>
      <c r="E1908">
        <v>3</v>
      </c>
      <c r="H1908">
        <v>166</v>
      </c>
      <c r="I1908" t="s">
        <v>144</v>
      </c>
      <c r="J1908" t="s">
        <v>148</v>
      </c>
      <c r="K1908">
        <v>0</v>
      </c>
      <c r="L1908">
        <v>3</v>
      </c>
      <c r="M1908">
        <v>0</v>
      </c>
      <c r="N1908">
        <v>2</v>
      </c>
      <c r="O1908">
        <v>0</v>
      </c>
      <c r="P1908">
        <v>1</v>
      </c>
      <c r="Q1908">
        <v>0</v>
      </c>
      <c r="S1908" t="str">
        <f t="shared" si="669"/>
        <v>19:30:33.000</v>
      </c>
      <c r="T1908" t="str">
        <f t="shared" si="669"/>
        <v>19:30:33.000</v>
      </c>
      <c r="U1908" t="str">
        <f t="shared" si="656"/>
        <v>AC3944</v>
      </c>
      <c r="V1908">
        <v>0</v>
      </c>
      <c r="W1908">
        <v>0</v>
      </c>
      <c r="X1908">
        <v>2</v>
      </c>
      <c r="Y1908">
        <v>0</v>
      </c>
      <c r="AA1908">
        <v>1</v>
      </c>
      <c r="AB1908">
        <v>8</v>
      </c>
      <c r="AC1908">
        <v>3</v>
      </c>
      <c r="AD1908">
        <v>0</v>
      </c>
      <c r="AE1908">
        <v>9</v>
      </c>
      <c r="AF1908" t="s">
        <v>138</v>
      </c>
      <c r="AG1908">
        <v>0</v>
      </c>
      <c r="AH1908">
        <v>3</v>
      </c>
      <c r="AI1908">
        <v>1</v>
      </c>
      <c r="AJ1908">
        <v>0</v>
      </c>
      <c r="AK1908" t="s">
        <v>680</v>
      </c>
      <c r="AL1908">
        <v>32.778010000000002</v>
      </c>
      <c r="AM1908" t="s">
        <v>681</v>
      </c>
      <c r="AN1908">
        <v>-116.850414</v>
      </c>
      <c r="AO1908">
        <v>25</v>
      </c>
      <c r="AP1908">
        <v>2900</v>
      </c>
      <c r="AQ1908" t="s">
        <v>129</v>
      </c>
      <c r="AR1908">
        <v>120</v>
      </c>
      <c r="AS1908">
        <v>-46</v>
      </c>
      <c r="AT1908">
        <v>256</v>
      </c>
      <c r="BB1908">
        <v>1200</v>
      </c>
      <c r="BC1908">
        <v>1</v>
      </c>
      <c r="BD1908" t="str">
        <f t="shared" si="657"/>
        <v xml:space="preserve">N887QR  </v>
      </c>
      <c r="BE1908">
        <v>1</v>
      </c>
      <c r="BG1908">
        <v>0</v>
      </c>
      <c r="BH1908">
        <v>0</v>
      </c>
      <c r="BI1908">
        <v>0</v>
      </c>
      <c r="BJ1908">
        <v>2575</v>
      </c>
      <c r="BK1908">
        <v>-325</v>
      </c>
      <c r="BL1908" t="s">
        <v>163</v>
      </c>
      <c r="BM1908">
        <v>1</v>
      </c>
      <c r="BN1908">
        <v>1</v>
      </c>
      <c r="BO1908">
        <v>1</v>
      </c>
      <c r="BP1908">
        <v>0</v>
      </c>
      <c r="BS1908">
        <v>0</v>
      </c>
      <c r="BT1908">
        <v>0</v>
      </c>
      <c r="BU1908">
        <v>0</v>
      </c>
      <c r="CE1908" t="str">
        <f t="shared" si="670"/>
        <v>19:30:33.187</v>
      </c>
      <c r="CF1908">
        <v>186661866</v>
      </c>
      <c r="CS1908">
        <v>0</v>
      </c>
      <c r="CT1908">
        <v>2</v>
      </c>
      <c r="CU1908">
        <v>0</v>
      </c>
      <c r="CV1908">
        <v>2</v>
      </c>
      <c r="CW1908">
        <v>0</v>
      </c>
      <c r="CX1908">
        <v>4</v>
      </c>
      <c r="CY1908">
        <v>7</v>
      </c>
      <c r="CZ1908" t="s">
        <v>131</v>
      </c>
      <c r="DA1908">
        <v>300</v>
      </c>
      <c r="DB1908">
        <v>0</v>
      </c>
      <c r="DC1908" t="s">
        <v>176</v>
      </c>
      <c r="DD1908" t="s">
        <v>177</v>
      </c>
      <c r="DG1908">
        <v>5397704</v>
      </c>
      <c r="DI1908">
        <v>1</v>
      </c>
      <c r="DJ1908">
        <v>0</v>
      </c>
      <c r="DK1908">
        <v>1</v>
      </c>
      <c r="DL1908">
        <v>0</v>
      </c>
      <c r="DM1908">
        <v>0</v>
      </c>
      <c r="DN1908">
        <v>1</v>
      </c>
      <c r="DO1908">
        <v>0</v>
      </c>
      <c r="DP1908">
        <v>0</v>
      </c>
      <c r="DQ1908">
        <v>0</v>
      </c>
      <c r="DR1908">
        <v>0</v>
      </c>
      <c r="DS1908">
        <v>0</v>
      </c>
    </row>
    <row r="1909" spans="1:123" x14ac:dyDescent="0.3">
      <c r="A1909" t="str">
        <f t="shared" si="671"/>
        <v>10/04/2022 19:30:33.478</v>
      </c>
      <c r="C1909" t="str">
        <f t="shared" ref="C1909:C1972" si="672">"FFDFD3C0"</f>
        <v>FFDFD3C0</v>
      </c>
      <c r="D1909" t="s">
        <v>141</v>
      </c>
      <c r="E1909">
        <v>4</v>
      </c>
      <c r="H1909">
        <v>4</v>
      </c>
      <c r="I1909" t="s">
        <v>142</v>
      </c>
      <c r="J1909" t="s">
        <v>138</v>
      </c>
      <c r="K1909">
        <v>0</v>
      </c>
      <c r="L1909">
        <v>3</v>
      </c>
      <c r="M1909">
        <v>0</v>
      </c>
      <c r="N1909">
        <v>2</v>
      </c>
      <c r="O1909">
        <v>0</v>
      </c>
      <c r="P1909">
        <v>1</v>
      </c>
      <c r="Q1909">
        <v>0</v>
      </c>
      <c r="S1909" t="str">
        <f t="shared" si="669"/>
        <v>19:30:33.000</v>
      </c>
      <c r="T1909" t="str">
        <f t="shared" si="669"/>
        <v>19:30:33.000</v>
      </c>
      <c r="U1909" t="str">
        <f t="shared" si="656"/>
        <v>AC3944</v>
      </c>
      <c r="V1909">
        <v>0</v>
      </c>
      <c r="W1909">
        <v>0</v>
      </c>
      <c r="X1909">
        <v>2</v>
      </c>
      <c r="Y1909">
        <v>0</v>
      </c>
      <c r="AA1909">
        <v>1</v>
      </c>
      <c r="AB1909">
        <v>8</v>
      </c>
      <c r="AC1909">
        <v>3</v>
      </c>
      <c r="AD1909">
        <v>0</v>
      </c>
      <c r="AE1909">
        <v>9</v>
      </c>
      <c r="AF1909" t="s">
        <v>138</v>
      </c>
      <c r="AG1909">
        <v>0</v>
      </c>
      <c r="AH1909">
        <v>3</v>
      </c>
      <c r="AI1909">
        <v>1</v>
      </c>
      <c r="AJ1909">
        <v>0</v>
      </c>
      <c r="AK1909" t="s">
        <v>680</v>
      </c>
      <c r="AL1909">
        <v>32.778010000000002</v>
      </c>
      <c r="AM1909" t="s">
        <v>681</v>
      </c>
      <c r="AN1909">
        <v>-116.850414</v>
      </c>
      <c r="AO1909">
        <v>25</v>
      </c>
      <c r="AP1909">
        <v>2900</v>
      </c>
      <c r="AQ1909" t="s">
        <v>129</v>
      </c>
      <c r="AR1909">
        <v>120</v>
      </c>
      <c r="AS1909">
        <v>-46</v>
      </c>
      <c r="AT1909">
        <v>256</v>
      </c>
      <c r="BB1909">
        <v>1200</v>
      </c>
      <c r="BC1909">
        <v>1</v>
      </c>
      <c r="BD1909" t="str">
        <f t="shared" si="657"/>
        <v xml:space="preserve">N887QR  </v>
      </c>
      <c r="BE1909">
        <v>1</v>
      </c>
      <c r="BG1909">
        <v>0</v>
      </c>
      <c r="BH1909">
        <v>0</v>
      </c>
      <c r="BI1909">
        <v>0</v>
      </c>
      <c r="BJ1909">
        <v>2575</v>
      </c>
      <c r="BK1909">
        <v>-325</v>
      </c>
      <c r="BL1909" t="s">
        <v>163</v>
      </c>
      <c r="BM1909">
        <v>1</v>
      </c>
      <c r="BN1909">
        <v>1</v>
      </c>
      <c r="BO1909">
        <v>1</v>
      </c>
      <c r="BP1909">
        <v>0</v>
      </c>
      <c r="BS1909">
        <v>0</v>
      </c>
      <c r="BT1909">
        <v>0</v>
      </c>
      <c r="BU1909">
        <v>0</v>
      </c>
      <c r="CE1909" t="str">
        <f t="shared" si="670"/>
        <v>19:30:33.187</v>
      </c>
      <c r="CF1909">
        <v>186661866</v>
      </c>
      <c r="CS1909">
        <v>0</v>
      </c>
      <c r="CT1909">
        <v>2</v>
      </c>
      <c r="CU1909">
        <v>0</v>
      </c>
      <c r="CV1909">
        <v>2</v>
      </c>
      <c r="CW1909">
        <v>0</v>
      </c>
      <c r="CX1909">
        <v>4</v>
      </c>
      <c r="CY1909">
        <v>7</v>
      </c>
      <c r="CZ1909" t="s">
        <v>131</v>
      </c>
      <c r="DA1909">
        <v>300</v>
      </c>
      <c r="DB1909">
        <v>0</v>
      </c>
      <c r="DC1909" t="s">
        <v>176</v>
      </c>
      <c r="DD1909" t="s">
        <v>177</v>
      </c>
      <c r="DG1909">
        <v>5397704</v>
      </c>
      <c r="DI1909">
        <v>1</v>
      </c>
      <c r="DJ1909">
        <v>0</v>
      </c>
      <c r="DK1909">
        <v>1</v>
      </c>
      <c r="DL1909">
        <v>0</v>
      </c>
      <c r="DM1909">
        <v>0</v>
      </c>
      <c r="DN1909">
        <v>1</v>
      </c>
      <c r="DO1909">
        <v>0</v>
      </c>
      <c r="DP1909">
        <v>0</v>
      </c>
      <c r="DQ1909">
        <v>0</v>
      </c>
      <c r="DR1909">
        <v>0</v>
      </c>
      <c r="DS1909">
        <v>0</v>
      </c>
    </row>
    <row r="1910" spans="1:123" x14ac:dyDescent="0.3">
      <c r="A1910" t="str">
        <f t="shared" si="671"/>
        <v>10/04/2022 19:30:33.478</v>
      </c>
      <c r="C1910" t="str">
        <f t="shared" si="672"/>
        <v>FFDFD3C0</v>
      </c>
      <c r="D1910" t="s">
        <v>136</v>
      </c>
      <c r="E1910">
        <v>8</v>
      </c>
      <c r="H1910">
        <v>225</v>
      </c>
      <c r="I1910" t="s">
        <v>137</v>
      </c>
      <c r="J1910" t="s">
        <v>138</v>
      </c>
      <c r="K1910">
        <v>0</v>
      </c>
      <c r="L1910">
        <v>3</v>
      </c>
      <c r="M1910">
        <v>0</v>
      </c>
      <c r="N1910">
        <v>2</v>
      </c>
      <c r="O1910">
        <v>0</v>
      </c>
      <c r="P1910">
        <v>1</v>
      </c>
      <c r="Q1910">
        <v>0</v>
      </c>
      <c r="S1910" t="str">
        <f t="shared" si="669"/>
        <v>19:30:33.000</v>
      </c>
      <c r="T1910" t="str">
        <f t="shared" si="669"/>
        <v>19:30:33.000</v>
      </c>
      <c r="U1910" t="str">
        <f t="shared" si="656"/>
        <v>AC3944</v>
      </c>
      <c r="V1910">
        <v>0</v>
      </c>
      <c r="W1910">
        <v>0</v>
      </c>
      <c r="X1910">
        <v>2</v>
      </c>
      <c r="Y1910">
        <v>0</v>
      </c>
      <c r="AA1910">
        <v>1</v>
      </c>
      <c r="AB1910">
        <v>8</v>
      </c>
      <c r="AC1910">
        <v>3</v>
      </c>
      <c r="AD1910">
        <v>0</v>
      </c>
      <c r="AE1910">
        <v>9</v>
      </c>
      <c r="AF1910" t="s">
        <v>138</v>
      </c>
      <c r="AG1910">
        <v>0</v>
      </c>
      <c r="AH1910">
        <v>3</v>
      </c>
      <c r="AI1910">
        <v>1</v>
      </c>
      <c r="AJ1910">
        <v>0</v>
      </c>
      <c r="AK1910" t="s">
        <v>680</v>
      </c>
      <c r="AL1910">
        <v>32.778010000000002</v>
      </c>
      <c r="AM1910" t="s">
        <v>681</v>
      </c>
      <c r="AN1910">
        <v>-116.850414</v>
      </c>
      <c r="AO1910">
        <v>25</v>
      </c>
      <c r="AP1910">
        <v>2900</v>
      </c>
      <c r="AQ1910" t="s">
        <v>129</v>
      </c>
      <c r="AR1910">
        <v>120</v>
      </c>
      <c r="AS1910">
        <v>-46</v>
      </c>
      <c r="AT1910">
        <v>256</v>
      </c>
      <c r="BB1910">
        <v>1200</v>
      </c>
      <c r="BC1910">
        <v>1</v>
      </c>
      <c r="BD1910" t="str">
        <f t="shared" si="657"/>
        <v xml:space="preserve">N887QR  </v>
      </c>
      <c r="BE1910">
        <v>1</v>
      </c>
      <c r="BG1910">
        <v>0</v>
      </c>
      <c r="BH1910">
        <v>0</v>
      </c>
      <c r="BI1910">
        <v>0</v>
      </c>
      <c r="BJ1910">
        <v>2575</v>
      </c>
      <c r="BK1910">
        <v>-325</v>
      </c>
      <c r="BL1910" t="s">
        <v>163</v>
      </c>
      <c r="BM1910">
        <v>1</v>
      </c>
      <c r="BN1910">
        <v>1</v>
      </c>
      <c r="BO1910">
        <v>1</v>
      </c>
      <c r="BP1910">
        <v>0</v>
      </c>
      <c r="BS1910">
        <v>0</v>
      </c>
      <c r="BT1910">
        <v>0</v>
      </c>
      <c r="BU1910">
        <v>0</v>
      </c>
      <c r="CE1910" t="str">
        <f t="shared" si="670"/>
        <v>19:30:33.187</v>
      </c>
      <c r="CF1910">
        <v>186661866</v>
      </c>
      <c r="CS1910">
        <v>0</v>
      </c>
      <c r="CT1910">
        <v>2</v>
      </c>
      <c r="CU1910">
        <v>0</v>
      </c>
      <c r="CV1910">
        <v>2</v>
      </c>
      <c r="CW1910">
        <v>0</v>
      </c>
      <c r="CX1910">
        <v>4</v>
      </c>
      <c r="CY1910">
        <v>7</v>
      </c>
      <c r="CZ1910" t="s">
        <v>131</v>
      </c>
      <c r="DA1910">
        <v>300</v>
      </c>
      <c r="DB1910">
        <v>0</v>
      </c>
      <c r="DC1910" t="s">
        <v>176</v>
      </c>
      <c r="DD1910" t="s">
        <v>177</v>
      </c>
      <c r="DG1910">
        <v>5397704</v>
      </c>
      <c r="DI1910">
        <v>1</v>
      </c>
      <c r="DJ1910">
        <v>0</v>
      </c>
      <c r="DK1910">
        <v>1</v>
      </c>
      <c r="DL1910">
        <v>0</v>
      </c>
      <c r="DM1910">
        <v>0</v>
      </c>
      <c r="DN1910">
        <v>1</v>
      </c>
      <c r="DO1910">
        <v>0</v>
      </c>
      <c r="DP1910">
        <v>0</v>
      </c>
      <c r="DQ1910">
        <v>0</v>
      </c>
      <c r="DR1910">
        <v>0</v>
      </c>
      <c r="DS1910">
        <v>0</v>
      </c>
    </row>
    <row r="1911" spans="1:123" x14ac:dyDescent="0.3">
      <c r="A1911" t="str">
        <f t="shared" si="671"/>
        <v>10/04/2022 19:30:33.478</v>
      </c>
      <c r="C1911" t="str">
        <f t="shared" si="672"/>
        <v>FFDFD3C0</v>
      </c>
      <c r="D1911" t="s">
        <v>143</v>
      </c>
      <c r="E1911">
        <v>20</v>
      </c>
      <c r="F1911">
        <v>1020</v>
      </c>
      <c r="G1911" t="s">
        <v>144</v>
      </c>
      <c r="J1911" t="s">
        <v>145</v>
      </c>
      <c r="K1911">
        <v>0</v>
      </c>
      <c r="L1911">
        <v>3</v>
      </c>
      <c r="M1911">
        <v>0</v>
      </c>
      <c r="N1911">
        <v>2</v>
      </c>
      <c r="O1911">
        <v>0</v>
      </c>
      <c r="P1911">
        <v>1</v>
      </c>
      <c r="Q1911">
        <v>0</v>
      </c>
      <c r="S1911" t="str">
        <f t="shared" si="669"/>
        <v>19:30:33.000</v>
      </c>
      <c r="T1911" t="str">
        <f t="shared" si="669"/>
        <v>19:30:33.000</v>
      </c>
      <c r="U1911" t="str">
        <f t="shared" si="656"/>
        <v>AC3944</v>
      </c>
      <c r="V1911">
        <v>0</v>
      </c>
      <c r="W1911">
        <v>0</v>
      </c>
      <c r="X1911">
        <v>2</v>
      </c>
      <c r="Y1911">
        <v>0</v>
      </c>
      <c r="AA1911">
        <v>1</v>
      </c>
      <c r="AB1911">
        <v>8</v>
      </c>
      <c r="AC1911">
        <v>3</v>
      </c>
      <c r="AD1911">
        <v>0</v>
      </c>
      <c r="AE1911">
        <v>9</v>
      </c>
      <c r="AF1911" t="s">
        <v>138</v>
      </c>
      <c r="AG1911">
        <v>0</v>
      </c>
      <c r="AH1911">
        <v>3</v>
      </c>
      <c r="AI1911">
        <v>1</v>
      </c>
      <c r="AJ1911">
        <v>0</v>
      </c>
      <c r="AK1911" t="s">
        <v>680</v>
      </c>
      <c r="AL1911">
        <v>32.778010000000002</v>
      </c>
      <c r="AM1911" t="s">
        <v>681</v>
      </c>
      <c r="AN1911">
        <v>-116.850414</v>
      </c>
      <c r="AO1911">
        <v>25</v>
      </c>
      <c r="AP1911">
        <v>2900</v>
      </c>
      <c r="AQ1911" t="s">
        <v>129</v>
      </c>
      <c r="AR1911">
        <v>120</v>
      </c>
      <c r="AS1911">
        <v>-46</v>
      </c>
      <c r="AT1911">
        <v>256</v>
      </c>
      <c r="BB1911">
        <v>1200</v>
      </c>
      <c r="BC1911">
        <v>1</v>
      </c>
      <c r="BD1911" t="str">
        <f t="shared" si="657"/>
        <v xml:space="preserve">N887QR  </v>
      </c>
      <c r="BE1911">
        <v>1</v>
      </c>
      <c r="BG1911">
        <v>0</v>
      </c>
      <c r="BH1911">
        <v>0</v>
      </c>
      <c r="BI1911">
        <v>0</v>
      </c>
      <c r="BJ1911">
        <v>2575</v>
      </c>
      <c r="BK1911">
        <v>-325</v>
      </c>
      <c r="BL1911" t="s">
        <v>163</v>
      </c>
      <c r="BM1911">
        <v>1</v>
      </c>
      <c r="BN1911">
        <v>1</v>
      </c>
      <c r="BO1911">
        <v>1</v>
      </c>
      <c r="BP1911">
        <v>0</v>
      </c>
      <c r="BS1911">
        <v>0</v>
      </c>
      <c r="BT1911">
        <v>0</v>
      </c>
      <c r="BU1911">
        <v>0</v>
      </c>
      <c r="CE1911" t="str">
        <f t="shared" si="670"/>
        <v>19:30:33.187</v>
      </c>
      <c r="CF1911">
        <v>186661866</v>
      </c>
      <c r="CS1911">
        <v>0</v>
      </c>
      <c r="CT1911">
        <v>2</v>
      </c>
      <c r="CU1911">
        <v>0</v>
      </c>
      <c r="CV1911">
        <v>2</v>
      </c>
      <c r="CW1911">
        <v>0</v>
      </c>
      <c r="CX1911">
        <v>4</v>
      </c>
      <c r="CY1911">
        <v>7</v>
      </c>
      <c r="CZ1911" t="s">
        <v>131</v>
      </c>
      <c r="DA1911">
        <v>300</v>
      </c>
      <c r="DB1911">
        <v>0</v>
      </c>
      <c r="DC1911" t="s">
        <v>176</v>
      </c>
      <c r="DD1911" t="s">
        <v>177</v>
      </c>
      <c r="DG1911">
        <v>5397704</v>
      </c>
      <c r="DI1911">
        <v>1</v>
      </c>
      <c r="DJ1911">
        <v>0</v>
      </c>
      <c r="DK1911">
        <v>1</v>
      </c>
      <c r="DL1911">
        <v>0</v>
      </c>
      <c r="DM1911">
        <v>0</v>
      </c>
      <c r="DN1911">
        <v>1</v>
      </c>
      <c r="DO1911">
        <v>0</v>
      </c>
      <c r="DP1911">
        <v>0</v>
      </c>
      <c r="DQ1911">
        <v>0</v>
      </c>
      <c r="DR1911">
        <v>0</v>
      </c>
      <c r="DS1911">
        <v>0</v>
      </c>
    </row>
    <row r="1912" spans="1:123" x14ac:dyDescent="0.3">
      <c r="A1912" t="str">
        <f t="shared" si="671"/>
        <v>10/04/2022 19:30:33.478</v>
      </c>
      <c r="C1912" t="str">
        <f t="shared" si="672"/>
        <v>FFDFD3C0</v>
      </c>
      <c r="D1912" t="s">
        <v>141</v>
      </c>
      <c r="E1912">
        <v>3</v>
      </c>
      <c r="H1912">
        <v>3</v>
      </c>
      <c r="I1912" t="s">
        <v>146</v>
      </c>
      <c r="J1912" t="s">
        <v>138</v>
      </c>
      <c r="K1912">
        <v>0</v>
      </c>
      <c r="L1912">
        <v>3</v>
      </c>
      <c r="M1912">
        <v>0</v>
      </c>
      <c r="N1912">
        <v>2</v>
      </c>
      <c r="O1912">
        <v>0</v>
      </c>
      <c r="P1912">
        <v>1</v>
      </c>
      <c r="Q1912">
        <v>0</v>
      </c>
      <c r="S1912" t="str">
        <f t="shared" si="669"/>
        <v>19:30:33.000</v>
      </c>
      <c r="T1912" t="str">
        <f t="shared" si="669"/>
        <v>19:30:33.000</v>
      </c>
      <c r="U1912" t="str">
        <f t="shared" si="656"/>
        <v>AC3944</v>
      </c>
      <c r="V1912">
        <v>0</v>
      </c>
      <c r="W1912">
        <v>0</v>
      </c>
      <c r="X1912">
        <v>2</v>
      </c>
      <c r="Y1912">
        <v>0</v>
      </c>
      <c r="AA1912">
        <v>1</v>
      </c>
      <c r="AB1912">
        <v>8</v>
      </c>
      <c r="AC1912">
        <v>3</v>
      </c>
      <c r="AD1912">
        <v>0</v>
      </c>
      <c r="AE1912">
        <v>9</v>
      </c>
      <c r="AF1912" t="s">
        <v>138</v>
      </c>
      <c r="AG1912">
        <v>0</v>
      </c>
      <c r="AH1912">
        <v>3</v>
      </c>
      <c r="AI1912">
        <v>1</v>
      </c>
      <c r="AJ1912">
        <v>0</v>
      </c>
      <c r="AK1912" t="s">
        <v>680</v>
      </c>
      <c r="AL1912">
        <v>32.778010000000002</v>
      </c>
      <c r="AM1912" t="s">
        <v>681</v>
      </c>
      <c r="AN1912">
        <v>-116.850414</v>
      </c>
      <c r="AO1912">
        <v>25</v>
      </c>
      <c r="AP1912">
        <v>2900</v>
      </c>
      <c r="AQ1912" t="s">
        <v>129</v>
      </c>
      <c r="AR1912">
        <v>120</v>
      </c>
      <c r="AS1912">
        <v>-46</v>
      </c>
      <c r="AT1912">
        <v>256</v>
      </c>
      <c r="BB1912">
        <v>1200</v>
      </c>
      <c r="BC1912">
        <v>1</v>
      </c>
      <c r="BD1912" t="str">
        <f t="shared" si="657"/>
        <v xml:space="preserve">N887QR  </v>
      </c>
      <c r="BE1912">
        <v>1</v>
      </c>
      <c r="BG1912">
        <v>0</v>
      </c>
      <c r="BH1912">
        <v>0</v>
      </c>
      <c r="BI1912">
        <v>0</v>
      </c>
      <c r="BJ1912">
        <v>2575</v>
      </c>
      <c r="BK1912">
        <v>-325</v>
      </c>
      <c r="BL1912" t="s">
        <v>163</v>
      </c>
      <c r="BM1912">
        <v>1</v>
      </c>
      <c r="BN1912">
        <v>1</v>
      </c>
      <c r="BO1912">
        <v>1</v>
      </c>
      <c r="BP1912">
        <v>0</v>
      </c>
      <c r="BS1912">
        <v>0</v>
      </c>
      <c r="BT1912">
        <v>0</v>
      </c>
      <c r="BU1912">
        <v>0</v>
      </c>
      <c r="CE1912" t="str">
        <f t="shared" si="670"/>
        <v>19:30:33.187</v>
      </c>
      <c r="CF1912">
        <v>186661866</v>
      </c>
      <c r="CS1912">
        <v>0</v>
      </c>
      <c r="CT1912">
        <v>2</v>
      </c>
      <c r="CU1912">
        <v>0</v>
      </c>
      <c r="CV1912">
        <v>2</v>
      </c>
      <c r="CW1912">
        <v>0</v>
      </c>
      <c r="CX1912">
        <v>4</v>
      </c>
      <c r="CY1912">
        <v>7</v>
      </c>
      <c r="CZ1912" t="s">
        <v>131</v>
      </c>
      <c r="DA1912">
        <v>300</v>
      </c>
      <c r="DB1912">
        <v>0</v>
      </c>
      <c r="DC1912" t="s">
        <v>176</v>
      </c>
      <c r="DD1912" t="s">
        <v>177</v>
      </c>
      <c r="DG1912">
        <v>5397704</v>
      </c>
      <c r="DI1912">
        <v>1</v>
      </c>
      <c r="DJ1912">
        <v>0</v>
      </c>
      <c r="DK1912">
        <v>1</v>
      </c>
      <c r="DL1912">
        <v>0</v>
      </c>
      <c r="DM1912">
        <v>0</v>
      </c>
      <c r="DN1912">
        <v>1</v>
      </c>
      <c r="DO1912">
        <v>0</v>
      </c>
      <c r="DP1912">
        <v>0</v>
      </c>
      <c r="DQ1912">
        <v>0</v>
      </c>
      <c r="DR1912">
        <v>0</v>
      </c>
      <c r="DS1912">
        <v>0</v>
      </c>
    </row>
    <row r="1913" spans="1:123" x14ac:dyDescent="0.3">
      <c r="A1913" t="str">
        <f t="shared" ref="A1913:A1919" si="673">"10/04/2022 19:30:34.244"</f>
        <v>10/04/2022 19:30:34.244</v>
      </c>
      <c r="C1913" t="str">
        <f t="shared" si="672"/>
        <v>FFDFD3C0</v>
      </c>
      <c r="D1913" t="s">
        <v>123</v>
      </c>
      <c r="E1913">
        <v>7</v>
      </c>
      <c r="F1913">
        <v>2007</v>
      </c>
      <c r="G1913" t="s">
        <v>124</v>
      </c>
      <c r="J1913" t="s">
        <v>125</v>
      </c>
      <c r="K1913">
        <v>0</v>
      </c>
      <c r="L1913">
        <v>3</v>
      </c>
      <c r="M1913">
        <v>0</v>
      </c>
      <c r="N1913">
        <v>2</v>
      </c>
      <c r="O1913">
        <v>0</v>
      </c>
      <c r="P1913">
        <v>1</v>
      </c>
      <c r="Q1913">
        <v>0</v>
      </c>
      <c r="S1913" t="str">
        <f t="shared" si="669"/>
        <v>19:30:33.000</v>
      </c>
      <c r="T1913" t="str">
        <f t="shared" si="669"/>
        <v>19:30:33.000</v>
      </c>
      <c r="U1913" t="str">
        <f t="shared" si="656"/>
        <v>AC3944</v>
      </c>
      <c r="V1913">
        <v>0</v>
      </c>
      <c r="W1913">
        <v>0</v>
      </c>
      <c r="X1913">
        <v>2</v>
      </c>
      <c r="Y1913">
        <v>0</v>
      </c>
      <c r="AA1913">
        <v>1</v>
      </c>
      <c r="AB1913">
        <v>8</v>
      </c>
      <c r="AC1913">
        <v>3</v>
      </c>
      <c r="AD1913">
        <v>0</v>
      </c>
      <c r="AE1913">
        <v>9</v>
      </c>
      <c r="AF1913" t="s">
        <v>138</v>
      </c>
      <c r="AG1913">
        <v>0</v>
      </c>
      <c r="AH1913">
        <v>3</v>
      </c>
      <c r="AI1913">
        <v>1</v>
      </c>
      <c r="AJ1913">
        <v>0</v>
      </c>
      <c r="AK1913" t="s">
        <v>682</v>
      </c>
      <c r="AL1913">
        <v>32.777839</v>
      </c>
      <c r="AM1913" t="s">
        <v>683</v>
      </c>
      <c r="AN1913">
        <v>-116.849856</v>
      </c>
      <c r="AO1913">
        <v>25</v>
      </c>
      <c r="AP1913">
        <v>2900</v>
      </c>
      <c r="AQ1913" t="s">
        <v>129</v>
      </c>
      <c r="AR1913">
        <v>120</v>
      </c>
      <c r="AS1913">
        <v>-45</v>
      </c>
      <c r="AT1913">
        <v>256</v>
      </c>
      <c r="BB1913">
        <v>1200</v>
      </c>
      <c r="BC1913">
        <v>1</v>
      </c>
      <c r="BD1913" t="str">
        <f t="shared" si="657"/>
        <v xml:space="preserve">N887QR  </v>
      </c>
      <c r="BE1913">
        <v>1</v>
      </c>
      <c r="BG1913">
        <v>0</v>
      </c>
      <c r="BH1913">
        <v>0</v>
      </c>
      <c r="BI1913">
        <v>0</v>
      </c>
      <c r="BJ1913">
        <v>2600</v>
      </c>
      <c r="BK1913">
        <v>-300</v>
      </c>
      <c r="BL1913" t="s">
        <v>163</v>
      </c>
      <c r="BM1913">
        <v>1</v>
      </c>
      <c r="BN1913">
        <v>1</v>
      </c>
      <c r="BO1913">
        <v>1</v>
      </c>
      <c r="BP1913">
        <v>0</v>
      </c>
      <c r="BS1913">
        <v>0</v>
      </c>
      <c r="BT1913">
        <v>0</v>
      </c>
      <c r="BU1913">
        <v>0</v>
      </c>
      <c r="CE1913" t="str">
        <f t="shared" ref="CE1913:CE1919" si="674">"19:30:33.907"</f>
        <v>19:30:33.907</v>
      </c>
      <c r="CF1913">
        <v>907164152</v>
      </c>
      <c r="CS1913">
        <v>0</v>
      </c>
      <c r="CT1913">
        <v>2</v>
      </c>
      <c r="CU1913">
        <v>0</v>
      </c>
      <c r="CV1913">
        <v>2</v>
      </c>
      <c r="CW1913">
        <v>0</v>
      </c>
      <c r="CX1913">
        <v>4</v>
      </c>
      <c r="CY1913">
        <v>7</v>
      </c>
      <c r="CZ1913" t="s">
        <v>131</v>
      </c>
      <c r="DA1913">
        <v>300</v>
      </c>
      <c r="DB1913">
        <v>0</v>
      </c>
      <c r="DC1913" t="s">
        <v>176</v>
      </c>
      <c r="DD1913" t="s">
        <v>177</v>
      </c>
      <c r="DG1913">
        <v>5397830</v>
      </c>
      <c r="DI1913">
        <v>1</v>
      </c>
      <c r="DJ1913">
        <v>0</v>
      </c>
      <c r="DK1913">
        <v>0</v>
      </c>
      <c r="DL1913">
        <v>0</v>
      </c>
      <c r="DM1913">
        <v>0</v>
      </c>
      <c r="DN1913">
        <v>1</v>
      </c>
      <c r="DO1913">
        <v>0</v>
      </c>
      <c r="DP1913">
        <v>0</v>
      </c>
      <c r="DQ1913">
        <v>0</v>
      </c>
      <c r="DR1913">
        <v>0</v>
      </c>
      <c r="DS1913">
        <v>0</v>
      </c>
    </row>
    <row r="1914" spans="1:123" x14ac:dyDescent="0.3">
      <c r="A1914" t="str">
        <f t="shared" si="673"/>
        <v>10/04/2022 19:30:34.244</v>
      </c>
      <c r="C1914" t="str">
        <f t="shared" si="672"/>
        <v>FFDFD3C0</v>
      </c>
      <c r="D1914" t="s">
        <v>134</v>
      </c>
      <c r="E1914">
        <v>15</v>
      </c>
      <c r="J1914" t="s">
        <v>135</v>
      </c>
      <c r="K1914">
        <v>0</v>
      </c>
      <c r="L1914">
        <v>3</v>
      </c>
      <c r="M1914">
        <v>0</v>
      </c>
      <c r="N1914">
        <v>2</v>
      </c>
      <c r="O1914">
        <v>0</v>
      </c>
      <c r="P1914">
        <v>1</v>
      </c>
      <c r="Q1914">
        <v>0</v>
      </c>
      <c r="S1914" t="str">
        <f t="shared" si="669"/>
        <v>19:30:33.000</v>
      </c>
      <c r="T1914" t="str">
        <f t="shared" si="669"/>
        <v>19:30:33.000</v>
      </c>
      <c r="U1914" t="str">
        <f t="shared" si="656"/>
        <v>AC3944</v>
      </c>
      <c r="V1914">
        <v>0</v>
      </c>
      <c r="W1914">
        <v>0</v>
      </c>
      <c r="X1914">
        <v>2</v>
      </c>
      <c r="Y1914">
        <v>0</v>
      </c>
      <c r="AA1914">
        <v>1</v>
      </c>
      <c r="AB1914">
        <v>8</v>
      </c>
      <c r="AC1914">
        <v>3</v>
      </c>
      <c r="AD1914">
        <v>0</v>
      </c>
      <c r="AE1914">
        <v>9</v>
      </c>
      <c r="AF1914" t="s">
        <v>138</v>
      </c>
      <c r="AG1914">
        <v>0</v>
      </c>
      <c r="AH1914">
        <v>3</v>
      </c>
      <c r="AI1914">
        <v>1</v>
      </c>
      <c r="AJ1914">
        <v>0</v>
      </c>
      <c r="AK1914" t="s">
        <v>682</v>
      </c>
      <c r="AL1914">
        <v>32.777839</v>
      </c>
      <c r="AM1914" t="s">
        <v>683</v>
      </c>
      <c r="AN1914">
        <v>-116.849856</v>
      </c>
      <c r="AO1914">
        <v>25</v>
      </c>
      <c r="AP1914">
        <v>2900</v>
      </c>
      <c r="AQ1914" t="s">
        <v>129</v>
      </c>
      <c r="AR1914">
        <v>120</v>
      </c>
      <c r="AS1914">
        <v>-45</v>
      </c>
      <c r="AT1914">
        <v>256</v>
      </c>
      <c r="BB1914">
        <v>1200</v>
      </c>
      <c r="BC1914">
        <v>1</v>
      </c>
      <c r="BD1914" t="str">
        <f t="shared" si="657"/>
        <v xml:space="preserve">N887QR  </v>
      </c>
      <c r="BE1914">
        <v>1</v>
      </c>
      <c r="BG1914">
        <v>0</v>
      </c>
      <c r="BH1914">
        <v>0</v>
      </c>
      <c r="BI1914">
        <v>0</v>
      </c>
      <c r="BJ1914">
        <v>2600</v>
      </c>
      <c r="BK1914">
        <v>-300</v>
      </c>
      <c r="BL1914" t="s">
        <v>163</v>
      </c>
      <c r="BM1914">
        <v>1</v>
      </c>
      <c r="BN1914">
        <v>1</v>
      </c>
      <c r="BO1914">
        <v>1</v>
      </c>
      <c r="BP1914">
        <v>0</v>
      </c>
      <c r="BS1914">
        <v>0</v>
      </c>
      <c r="BT1914">
        <v>0</v>
      </c>
      <c r="BU1914">
        <v>0</v>
      </c>
      <c r="CE1914" t="str">
        <f t="shared" si="674"/>
        <v>19:30:33.907</v>
      </c>
      <c r="CF1914">
        <v>907164152</v>
      </c>
      <c r="CS1914">
        <v>0</v>
      </c>
      <c r="CT1914">
        <v>2</v>
      </c>
      <c r="CU1914">
        <v>0</v>
      </c>
      <c r="CV1914">
        <v>2</v>
      </c>
      <c r="CW1914">
        <v>0</v>
      </c>
      <c r="CX1914">
        <v>4</v>
      </c>
      <c r="CY1914">
        <v>7</v>
      </c>
      <c r="CZ1914" t="s">
        <v>131</v>
      </c>
      <c r="DA1914">
        <v>300</v>
      </c>
      <c r="DB1914">
        <v>0</v>
      </c>
      <c r="DC1914" t="s">
        <v>176</v>
      </c>
      <c r="DD1914" t="s">
        <v>177</v>
      </c>
      <c r="DG1914">
        <v>5397830</v>
      </c>
      <c r="DI1914">
        <v>1</v>
      </c>
      <c r="DJ1914">
        <v>0</v>
      </c>
      <c r="DK1914">
        <v>1</v>
      </c>
      <c r="DL1914">
        <v>0</v>
      </c>
      <c r="DM1914">
        <v>0</v>
      </c>
      <c r="DN1914">
        <v>1</v>
      </c>
      <c r="DO1914">
        <v>0</v>
      </c>
      <c r="DP1914">
        <v>0</v>
      </c>
      <c r="DQ1914">
        <v>0</v>
      </c>
      <c r="DR1914">
        <v>0</v>
      </c>
      <c r="DS1914">
        <v>0</v>
      </c>
    </row>
    <row r="1915" spans="1:123" x14ac:dyDescent="0.3">
      <c r="A1915" t="str">
        <f t="shared" si="673"/>
        <v>10/04/2022 19:30:34.244</v>
      </c>
      <c r="C1915" t="str">
        <f t="shared" si="672"/>
        <v>FFDFD3C0</v>
      </c>
      <c r="D1915" t="s">
        <v>141</v>
      </c>
      <c r="E1915">
        <v>4</v>
      </c>
      <c r="H1915">
        <v>4</v>
      </c>
      <c r="I1915" t="s">
        <v>142</v>
      </c>
      <c r="J1915" t="s">
        <v>138</v>
      </c>
      <c r="K1915">
        <v>0</v>
      </c>
      <c r="L1915">
        <v>3</v>
      </c>
      <c r="M1915">
        <v>0</v>
      </c>
      <c r="N1915">
        <v>2</v>
      </c>
      <c r="O1915">
        <v>0</v>
      </c>
      <c r="P1915">
        <v>1</v>
      </c>
      <c r="Q1915">
        <v>0</v>
      </c>
      <c r="S1915" t="str">
        <f t="shared" si="669"/>
        <v>19:30:33.000</v>
      </c>
      <c r="T1915" t="str">
        <f t="shared" si="669"/>
        <v>19:30:33.000</v>
      </c>
      <c r="U1915" t="str">
        <f t="shared" si="656"/>
        <v>AC3944</v>
      </c>
      <c r="V1915">
        <v>0</v>
      </c>
      <c r="W1915">
        <v>0</v>
      </c>
      <c r="X1915">
        <v>2</v>
      </c>
      <c r="Y1915">
        <v>0</v>
      </c>
      <c r="AA1915">
        <v>1</v>
      </c>
      <c r="AB1915">
        <v>8</v>
      </c>
      <c r="AC1915">
        <v>3</v>
      </c>
      <c r="AD1915">
        <v>0</v>
      </c>
      <c r="AE1915">
        <v>9</v>
      </c>
      <c r="AF1915" t="s">
        <v>138</v>
      </c>
      <c r="AG1915">
        <v>0</v>
      </c>
      <c r="AH1915">
        <v>3</v>
      </c>
      <c r="AI1915">
        <v>1</v>
      </c>
      <c r="AJ1915">
        <v>0</v>
      </c>
      <c r="AK1915" t="s">
        <v>682</v>
      </c>
      <c r="AL1915">
        <v>32.777839</v>
      </c>
      <c r="AM1915" t="s">
        <v>683</v>
      </c>
      <c r="AN1915">
        <v>-116.849856</v>
      </c>
      <c r="AO1915">
        <v>25</v>
      </c>
      <c r="AP1915">
        <v>2900</v>
      </c>
      <c r="AQ1915" t="s">
        <v>129</v>
      </c>
      <c r="AR1915">
        <v>120</v>
      </c>
      <c r="AS1915">
        <v>-45</v>
      </c>
      <c r="AT1915">
        <v>256</v>
      </c>
      <c r="BB1915">
        <v>1200</v>
      </c>
      <c r="BC1915">
        <v>1</v>
      </c>
      <c r="BD1915" t="str">
        <f t="shared" si="657"/>
        <v xml:space="preserve">N887QR  </v>
      </c>
      <c r="BE1915">
        <v>1</v>
      </c>
      <c r="BG1915">
        <v>0</v>
      </c>
      <c r="BH1915">
        <v>0</v>
      </c>
      <c r="BI1915">
        <v>0</v>
      </c>
      <c r="BJ1915">
        <v>2600</v>
      </c>
      <c r="BK1915">
        <v>-300</v>
      </c>
      <c r="BL1915" t="s">
        <v>163</v>
      </c>
      <c r="BM1915">
        <v>1</v>
      </c>
      <c r="BN1915">
        <v>1</v>
      </c>
      <c r="BO1915">
        <v>1</v>
      </c>
      <c r="BP1915">
        <v>0</v>
      </c>
      <c r="BS1915">
        <v>0</v>
      </c>
      <c r="BT1915">
        <v>0</v>
      </c>
      <c r="BU1915">
        <v>0</v>
      </c>
      <c r="CE1915" t="str">
        <f t="shared" si="674"/>
        <v>19:30:33.907</v>
      </c>
      <c r="CF1915">
        <v>907164152</v>
      </c>
      <c r="CS1915">
        <v>0</v>
      </c>
      <c r="CT1915">
        <v>2</v>
      </c>
      <c r="CU1915">
        <v>0</v>
      </c>
      <c r="CV1915">
        <v>2</v>
      </c>
      <c r="CW1915">
        <v>0</v>
      </c>
      <c r="CX1915">
        <v>4</v>
      </c>
      <c r="CY1915">
        <v>7</v>
      </c>
      <c r="CZ1915" t="s">
        <v>131</v>
      </c>
      <c r="DA1915">
        <v>300</v>
      </c>
      <c r="DB1915">
        <v>0</v>
      </c>
      <c r="DC1915" t="s">
        <v>176</v>
      </c>
      <c r="DD1915" t="s">
        <v>177</v>
      </c>
      <c r="DG1915">
        <v>5397830</v>
      </c>
      <c r="DI1915">
        <v>1</v>
      </c>
      <c r="DJ1915">
        <v>0</v>
      </c>
      <c r="DK1915">
        <v>1</v>
      </c>
      <c r="DL1915">
        <v>0</v>
      </c>
      <c r="DM1915">
        <v>0</v>
      </c>
      <c r="DN1915">
        <v>1</v>
      </c>
      <c r="DO1915">
        <v>0</v>
      </c>
      <c r="DP1915">
        <v>0</v>
      </c>
      <c r="DQ1915">
        <v>0</v>
      </c>
      <c r="DR1915">
        <v>0</v>
      </c>
      <c r="DS1915">
        <v>0</v>
      </c>
    </row>
    <row r="1916" spans="1:123" x14ac:dyDescent="0.3">
      <c r="A1916" t="str">
        <f t="shared" si="673"/>
        <v>10/04/2022 19:30:34.244</v>
      </c>
      <c r="C1916" t="str">
        <f t="shared" si="672"/>
        <v>FFDFD3C0</v>
      </c>
      <c r="D1916" t="s">
        <v>147</v>
      </c>
      <c r="E1916">
        <v>3</v>
      </c>
      <c r="H1916">
        <v>166</v>
      </c>
      <c r="I1916" t="s">
        <v>144</v>
      </c>
      <c r="J1916" t="s">
        <v>148</v>
      </c>
      <c r="K1916">
        <v>0</v>
      </c>
      <c r="L1916">
        <v>3</v>
      </c>
      <c r="M1916">
        <v>0</v>
      </c>
      <c r="N1916">
        <v>2</v>
      </c>
      <c r="O1916">
        <v>0</v>
      </c>
      <c r="P1916">
        <v>1</v>
      </c>
      <c r="Q1916">
        <v>0</v>
      </c>
      <c r="S1916" t="str">
        <f t="shared" si="669"/>
        <v>19:30:33.000</v>
      </c>
      <c r="T1916" t="str">
        <f t="shared" si="669"/>
        <v>19:30:33.000</v>
      </c>
      <c r="U1916" t="str">
        <f t="shared" si="656"/>
        <v>AC3944</v>
      </c>
      <c r="V1916">
        <v>0</v>
      </c>
      <c r="W1916">
        <v>0</v>
      </c>
      <c r="X1916">
        <v>2</v>
      </c>
      <c r="Y1916">
        <v>0</v>
      </c>
      <c r="AA1916">
        <v>1</v>
      </c>
      <c r="AB1916">
        <v>8</v>
      </c>
      <c r="AC1916">
        <v>3</v>
      </c>
      <c r="AD1916">
        <v>0</v>
      </c>
      <c r="AE1916">
        <v>9</v>
      </c>
      <c r="AF1916" t="s">
        <v>138</v>
      </c>
      <c r="AG1916">
        <v>0</v>
      </c>
      <c r="AH1916">
        <v>3</v>
      </c>
      <c r="AI1916">
        <v>1</v>
      </c>
      <c r="AJ1916">
        <v>0</v>
      </c>
      <c r="AK1916" t="s">
        <v>682</v>
      </c>
      <c r="AL1916">
        <v>32.777839</v>
      </c>
      <c r="AM1916" t="s">
        <v>683</v>
      </c>
      <c r="AN1916">
        <v>-116.849856</v>
      </c>
      <c r="AO1916">
        <v>25</v>
      </c>
      <c r="AP1916">
        <v>2900</v>
      </c>
      <c r="AQ1916" t="s">
        <v>129</v>
      </c>
      <c r="AR1916">
        <v>120</v>
      </c>
      <c r="AS1916">
        <v>-45</v>
      </c>
      <c r="AT1916">
        <v>256</v>
      </c>
      <c r="BB1916">
        <v>1200</v>
      </c>
      <c r="BC1916">
        <v>1</v>
      </c>
      <c r="BD1916" t="str">
        <f t="shared" si="657"/>
        <v xml:space="preserve">N887QR  </v>
      </c>
      <c r="BE1916">
        <v>1</v>
      </c>
      <c r="BG1916">
        <v>0</v>
      </c>
      <c r="BH1916">
        <v>0</v>
      </c>
      <c r="BI1916">
        <v>0</v>
      </c>
      <c r="BJ1916">
        <v>2600</v>
      </c>
      <c r="BK1916">
        <v>-300</v>
      </c>
      <c r="BL1916" t="s">
        <v>163</v>
      </c>
      <c r="BM1916">
        <v>1</v>
      </c>
      <c r="BN1916">
        <v>1</v>
      </c>
      <c r="BO1916">
        <v>1</v>
      </c>
      <c r="BP1916">
        <v>0</v>
      </c>
      <c r="BS1916">
        <v>0</v>
      </c>
      <c r="BT1916">
        <v>0</v>
      </c>
      <c r="BU1916">
        <v>0</v>
      </c>
      <c r="CE1916" t="str">
        <f t="shared" si="674"/>
        <v>19:30:33.907</v>
      </c>
      <c r="CF1916">
        <v>907164152</v>
      </c>
      <c r="CS1916">
        <v>0</v>
      </c>
      <c r="CT1916">
        <v>2</v>
      </c>
      <c r="CU1916">
        <v>0</v>
      </c>
      <c r="CV1916">
        <v>2</v>
      </c>
      <c r="CW1916">
        <v>0</v>
      </c>
      <c r="CX1916">
        <v>4</v>
      </c>
      <c r="CY1916">
        <v>7</v>
      </c>
      <c r="CZ1916" t="s">
        <v>131</v>
      </c>
      <c r="DA1916">
        <v>300</v>
      </c>
      <c r="DB1916">
        <v>0</v>
      </c>
      <c r="DC1916" t="s">
        <v>176</v>
      </c>
      <c r="DD1916" t="s">
        <v>177</v>
      </c>
      <c r="DG1916">
        <v>5397830</v>
      </c>
      <c r="DI1916">
        <v>1</v>
      </c>
      <c r="DJ1916">
        <v>0</v>
      </c>
      <c r="DK1916">
        <v>1</v>
      </c>
      <c r="DL1916">
        <v>0</v>
      </c>
      <c r="DM1916">
        <v>0</v>
      </c>
      <c r="DN1916">
        <v>1</v>
      </c>
      <c r="DO1916">
        <v>0</v>
      </c>
      <c r="DP1916">
        <v>0</v>
      </c>
      <c r="DQ1916">
        <v>0</v>
      </c>
      <c r="DR1916">
        <v>0</v>
      </c>
      <c r="DS1916">
        <v>0</v>
      </c>
    </row>
    <row r="1917" spans="1:123" x14ac:dyDescent="0.3">
      <c r="A1917" t="str">
        <f t="shared" si="673"/>
        <v>10/04/2022 19:30:34.244</v>
      </c>
      <c r="C1917" t="str">
        <f t="shared" si="672"/>
        <v>FFDFD3C0</v>
      </c>
      <c r="D1917" t="s">
        <v>136</v>
      </c>
      <c r="E1917">
        <v>8</v>
      </c>
      <c r="H1917">
        <v>225</v>
      </c>
      <c r="I1917" t="s">
        <v>137</v>
      </c>
      <c r="J1917" t="s">
        <v>138</v>
      </c>
      <c r="K1917">
        <v>0</v>
      </c>
      <c r="L1917">
        <v>3</v>
      </c>
      <c r="M1917">
        <v>0</v>
      </c>
      <c r="N1917">
        <v>2</v>
      </c>
      <c r="O1917">
        <v>0</v>
      </c>
      <c r="P1917">
        <v>1</v>
      </c>
      <c r="Q1917">
        <v>0</v>
      </c>
      <c r="S1917" t="str">
        <f t="shared" si="669"/>
        <v>19:30:33.000</v>
      </c>
      <c r="T1917" t="str">
        <f t="shared" si="669"/>
        <v>19:30:33.000</v>
      </c>
      <c r="U1917" t="str">
        <f t="shared" si="656"/>
        <v>AC3944</v>
      </c>
      <c r="V1917">
        <v>0</v>
      </c>
      <c r="W1917">
        <v>0</v>
      </c>
      <c r="X1917">
        <v>2</v>
      </c>
      <c r="Y1917">
        <v>0</v>
      </c>
      <c r="AA1917">
        <v>1</v>
      </c>
      <c r="AB1917">
        <v>8</v>
      </c>
      <c r="AC1917">
        <v>3</v>
      </c>
      <c r="AD1917">
        <v>0</v>
      </c>
      <c r="AE1917">
        <v>9</v>
      </c>
      <c r="AF1917" t="s">
        <v>138</v>
      </c>
      <c r="AG1917">
        <v>0</v>
      </c>
      <c r="AH1917">
        <v>3</v>
      </c>
      <c r="AI1917">
        <v>1</v>
      </c>
      <c r="AJ1917">
        <v>0</v>
      </c>
      <c r="AK1917" t="s">
        <v>682</v>
      </c>
      <c r="AL1917">
        <v>32.777839</v>
      </c>
      <c r="AM1917" t="s">
        <v>683</v>
      </c>
      <c r="AN1917">
        <v>-116.849856</v>
      </c>
      <c r="AO1917">
        <v>25</v>
      </c>
      <c r="AP1917">
        <v>2900</v>
      </c>
      <c r="AQ1917" t="s">
        <v>129</v>
      </c>
      <c r="AR1917">
        <v>120</v>
      </c>
      <c r="AS1917">
        <v>-45</v>
      </c>
      <c r="AT1917">
        <v>256</v>
      </c>
      <c r="BB1917">
        <v>1200</v>
      </c>
      <c r="BC1917">
        <v>1</v>
      </c>
      <c r="BD1917" t="str">
        <f t="shared" si="657"/>
        <v xml:space="preserve">N887QR  </v>
      </c>
      <c r="BE1917">
        <v>1</v>
      </c>
      <c r="BG1917">
        <v>0</v>
      </c>
      <c r="BH1917">
        <v>0</v>
      </c>
      <c r="BI1917">
        <v>0</v>
      </c>
      <c r="BJ1917">
        <v>2600</v>
      </c>
      <c r="BK1917">
        <v>-300</v>
      </c>
      <c r="BL1917" t="s">
        <v>163</v>
      </c>
      <c r="BM1917">
        <v>1</v>
      </c>
      <c r="BN1917">
        <v>1</v>
      </c>
      <c r="BO1917">
        <v>1</v>
      </c>
      <c r="BP1917">
        <v>0</v>
      </c>
      <c r="BS1917">
        <v>0</v>
      </c>
      <c r="BT1917">
        <v>0</v>
      </c>
      <c r="BU1917">
        <v>0</v>
      </c>
      <c r="CE1917" t="str">
        <f t="shared" si="674"/>
        <v>19:30:33.907</v>
      </c>
      <c r="CF1917">
        <v>907164152</v>
      </c>
      <c r="CS1917">
        <v>0</v>
      </c>
      <c r="CT1917">
        <v>2</v>
      </c>
      <c r="CU1917">
        <v>0</v>
      </c>
      <c r="CV1917">
        <v>2</v>
      </c>
      <c r="CW1917">
        <v>0</v>
      </c>
      <c r="CX1917">
        <v>4</v>
      </c>
      <c r="CY1917">
        <v>7</v>
      </c>
      <c r="CZ1917" t="s">
        <v>131</v>
      </c>
      <c r="DA1917">
        <v>300</v>
      </c>
      <c r="DB1917">
        <v>0</v>
      </c>
      <c r="DC1917" t="s">
        <v>176</v>
      </c>
      <c r="DD1917" t="s">
        <v>177</v>
      </c>
      <c r="DG1917">
        <v>5397830</v>
      </c>
      <c r="DI1917">
        <v>1</v>
      </c>
      <c r="DJ1917">
        <v>0</v>
      </c>
      <c r="DK1917">
        <v>1</v>
      </c>
      <c r="DL1917">
        <v>0</v>
      </c>
      <c r="DM1917">
        <v>0</v>
      </c>
      <c r="DN1917">
        <v>1</v>
      </c>
      <c r="DO1917">
        <v>0</v>
      </c>
      <c r="DP1917">
        <v>0</v>
      </c>
      <c r="DQ1917">
        <v>0</v>
      </c>
      <c r="DR1917">
        <v>0</v>
      </c>
      <c r="DS1917">
        <v>0</v>
      </c>
    </row>
    <row r="1918" spans="1:123" x14ac:dyDescent="0.3">
      <c r="A1918" t="str">
        <f t="shared" si="673"/>
        <v>10/04/2022 19:30:34.244</v>
      </c>
      <c r="C1918" t="str">
        <f t="shared" si="672"/>
        <v>FFDFD3C0</v>
      </c>
      <c r="D1918" t="s">
        <v>143</v>
      </c>
      <c r="E1918">
        <v>20</v>
      </c>
      <c r="F1918">
        <v>1020</v>
      </c>
      <c r="G1918" t="s">
        <v>144</v>
      </c>
      <c r="J1918" t="s">
        <v>145</v>
      </c>
      <c r="K1918">
        <v>0</v>
      </c>
      <c r="L1918">
        <v>3</v>
      </c>
      <c r="M1918">
        <v>0</v>
      </c>
      <c r="N1918">
        <v>2</v>
      </c>
      <c r="O1918">
        <v>0</v>
      </c>
      <c r="P1918">
        <v>1</v>
      </c>
      <c r="Q1918">
        <v>0</v>
      </c>
      <c r="S1918" t="str">
        <f t="shared" si="669"/>
        <v>19:30:33.000</v>
      </c>
      <c r="T1918" t="str">
        <f t="shared" si="669"/>
        <v>19:30:33.000</v>
      </c>
      <c r="U1918" t="str">
        <f t="shared" si="656"/>
        <v>AC3944</v>
      </c>
      <c r="V1918">
        <v>0</v>
      </c>
      <c r="W1918">
        <v>0</v>
      </c>
      <c r="X1918">
        <v>2</v>
      </c>
      <c r="Y1918">
        <v>0</v>
      </c>
      <c r="AA1918">
        <v>1</v>
      </c>
      <c r="AB1918">
        <v>8</v>
      </c>
      <c r="AC1918">
        <v>3</v>
      </c>
      <c r="AD1918">
        <v>0</v>
      </c>
      <c r="AE1918">
        <v>9</v>
      </c>
      <c r="AF1918" t="s">
        <v>138</v>
      </c>
      <c r="AG1918">
        <v>0</v>
      </c>
      <c r="AH1918">
        <v>3</v>
      </c>
      <c r="AI1918">
        <v>1</v>
      </c>
      <c r="AJ1918">
        <v>0</v>
      </c>
      <c r="AK1918" t="s">
        <v>682</v>
      </c>
      <c r="AL1918">
        <v>32.777839</v>
      </c>
      <c r="AM1918" t="s">
        <v>683</v>
      </c>
      <c r="AN1918">
        <v>-116.849856</v>
      </c>
      <c r="AO1918">
        <v>25</v>
      </c>
      <c r="AP1918">
        <v>2900</v>
      </c>
      <c r="AQ1918" t="s">
        <v>129</v>
      </c>
      <c r="AR1918">
        <v>120</v>
      </c>
      <c r="AS1918">
        <v>-45</v>
      </c>
      <c r="AT1918">
        <v>256</v>
      </c>
      <c r="BB1918">
        <v>1200</v>
      </c>
      <c r="BC1918">
        <v>1</v>
      </c>
      <c r="BD1918" t="str">
        <f t="shared" si="657"/>
        <v xml:space="preserve">N887QR  </v>
      </c>
      <c r="BE1918">
        <v>1</v>
      </c>
      <c r="BG1918">
        <v>0</v>
      </c>
      <c r="BH1918">
        <v>0</v>
      </c>
      <c r="BI1918">
        <v>0</v>
      </c>
      <c r="BJ1918">
        <v>2600</v>
      </c>
      <c r="BK1918">
        <v>-300</v>
      </c>
      <c r="BL1918" t="s">
        <v>163</v>
      </c>
      <c r="BM1918">
        <v>1</v>
      </c>
      <c r="BN1918">
        <v>1</v>
      </c>
      <c r="BO1918">
        <v>1</v>
      </c>
      <c r="BP1918">
        <v>0</v>
      </c>
      <c r="BS1918">
        <v>0</v>
      </c>
      <c r="BT1918">
        <v>0</v>
      </c>
      <c r="BU1918">
        <v>0</v>
      </c>
      <c r="CE1918" t="str">
        <f t="shared" si="674"/>
        <v>19:30:33.907</v>
      </c>
      <c r="CF1918">
        <v>907164152</v>
      </c>
      <c r="CS1918">
        <v>0</v>
      </c>
      <c r="CT1918">
        <v>2</v>
      </c>
      <c r="CU1918">
        <v>0</v>
      </c>
      <c r="CV1918">
        <v>2</v>
      </c>
      <c r="CW1918">
        <v>0</v>
      </c>
      <c r="CX1918">
        <v>4</v>
      </c>
      <c r="CY1918">
        <v>7</v>
      </c>
      <c r="CZ1918" t="s">
        <v>131</v>
      </c>
      <c r="DA1918">
        <v>300</v>
      </c>
      <c r="DB1918">
        <v>0</v>
      </c>
      <c r="DC1918" t="s">
        <v>176</v>
      </c>
      <c r="DD1918" t="s">
        <v>177</v>
      </c>
      <c r="DG1918">
        <v>5397830</v>
      </c>
      <c r="DI1918">
        <v>1</v>
      </c>
      <c r="DJ1918">
        <v>0</v>
      </c>
      <c r="DK1918">
        <v>1</v>
      </c>
      <c r="DL1918">
        <v>0</v>
      </c>
      <c r="DM1918">
        <v>0</v>
      </c>
      <c r="DN1918">
        <v>1</v>
      </c>
      <c r="DO1918">
        <v>0</v>
      </c>
      <c r="DP1918">
        <v>0</v>
      </c>
      <c r="DQ1918">
        <v>0</v>
      </c>
      <c r="DR1918">
        <v>0</v>
      </c>
      <c r="DS1918">
        <v>0</v>
      </c>
    </row>
    <row r="1919" spans="1:123" x14ac:dyDescent="0.3">
      <c r="A1919" t="str">
        <f t="shared" si="673"/>
        <v>10/04/2022 19:30:34.244</v>
      </c>
      <c r="C1919" t="str">
        <f t="shared" si="672"/>
        <v>FFDFD3C0</v>
      </c>
      <c r="D1919" t="s">
        <v>141</v>
      </c>
      <c r="E1919">
        <v>3</v>
      </c>
      <c r="H1919">
        <v>3</v>
      </c>
      <c r="I1919" t="s">
        <v>146</v>
      </c>
      <c r="J1919" t="s">
        <v>138</v>
      </c>
      <c r="K1919">
        <v>0</v>
      </c>
      <c r="L1919">
        <v>3</v>
      </c>
      <c r="M1919">
        <v>0</v>
      </c>
      <c r="N1919">
        <v>2</v>
      </c>
      <c r="O1919">
        <v>0</v>
      </c>
      <c r="P1919">
        <v>1</v>
      </c>
      <c r="Q1919">
        <v>0</v>
      </c>
      <c r="S1919" t="str">
        <f t="shared" si="669"/>
        <v>19:30:33.000</v>
      </c>
      <c r="T1919" t="str">
        <f t="shared" si="669"/>
        <v>19:30:33.000</v>
      </c>
      <c r="U1919" t="str">
        <f t="shared" si="656"/>
        <v>AC3944</v>
      </c>
      <c r="V1919">
        <v>0</v>
      </c>
      <c r="W1919">
        <v>0</v>
      </c>
      <c r="X1919">
        <v>2</v>
      </c>
      <c r="Y1919">
        <v>0</v>
      </c>
      <c r="AA1919">
        <v>1</v>
      </c>
      <c r="AB1919">
        <v>8</v>
      </c>
      <c r="AC1919">
        <v>3</v>
      </c>
      <c r="AD1919">
        <v>0</v>
      </c>
      <c r="AE1919">
        <v>9</v>
      </c>
      <c r="AF1919" t="s">
        <v>138</v>
      </c>
      <c r="AG1919">
        <v>0</v>
      </c>
      <c r="AH1919">
        <v>3</v>
      </c>
      <c r="AI1919">
        <v>1</v>
      </c>
      <c r="AJ1919">
        <v>0</v>
      </c>
      <c r="AK1919" t="s">
        <v>682</v>
      </c>
      <c r="AL1919">
        <v>32.777839</v>
      </c>
      <c r="AM1919" t="s">
        <v>683</v>
      </c>
      <c r="AN1919">
        <v>-116.849856</v>
      </c>
      <c r="AO1919">
        <v>25</v>
      </c>
      <c r="AP1919">
        <v>2900</v>
      </c>
      <c r="AQ1919" t="s">
        <v>129</v>
      </c>
      <c r="AR1919">
        <v>120</v>
      </c>
      <c r="AS1919">
        <v>-45</v>
      </c>
      <c r="AT1919">
        <v>256</v>
      </c>
      <c r="BB1919">
        <v>1200</v>
      </c>
      <c r="BC1919">
        <v>1</v>
      </c>
      <c r="BD1919" t="str">
        <f t="shared" si="657"/>
        <v xml:space="preserve">N887QR  </v>
      </c>
      <c r="BE1919">
        <v>1</v>
      </c>
      <c r="BG1919">
        <v>0</v>
      </c>
      <c r="BH1919">
        <v>0</v>
      </c>
      <c r="BI1919">
        <v>0</v>
      </c>
      <c r="BJ1919">
        <v>2600</v>
      </c>
      <c r="BK1919">
        <v>-300</v>
      </c>
      <c r="BL1919" t="s">
        <v>163</v>
      </c>
      <c r="BM1919">
        <v>1</v>
      </c>
      <c r="BN1919">
        <v>1</v>
      </c>
      <c r="BO1919">
        <v>1</v>
      </c>
      <c r="BP1919">
        <v>0</v>
      </c>
      <c r="BS1919">
        <v>0</v>
      </c>
      <c r="BT1919">
        <v>0</v>
      </c>
      <c r="BU1919">
        <v>0</v>
      </c>
      <c r="CE1919" t="str">
        <f t="shared" si="674"/>
        <v>19:30:33.907</v>
      </c>
      <c r="CF1919">
        <v>907164152</v>
      </c>
      <c r="CS1919">
        <v>0</v>
      </c>
      <c r="CT1919">
        <v>2</v>
      </c>
      <c r="CU1919">
        <v>0</v>
      </c>
      <c r="CV1919">
        <v>2</v>
      </c>
      <c r="CW1919">
        <v>0</v>
      </c>
      <c r="CX1919">
        <v>4</v>
      </c>
      <c r="CY1919">
        <v>7</v>
      </c>
      <c r="CZ1919" t="s">
        <v>131</v>
      </c>
      <c r="DA1919">
        <v>300</v>
      </c>
      <c r="DB1919">
        <v>0</v>
      </c>
      <c r="DC1919" t="s">
        <v>176</v>
      </c>
      <c r="DD1919" t="s">
        <v>177</v>
      </c>
      <c r="DG1919">
        <v>5397830</v>
      </c>
      <c r="DI1919">
        <v>1</v>
      </c>
      <c r="DJ1919">
        <v>0</v>
      </c>
      <c r="DK1919">
        <v>1</v>
      </c>
      <c r="DL1919">
        <v>0</v>
      </c>
      <c r="DM1919">
        <v>0</v>
      </c>
      <c r="DN1919">
        <v>1</v>
      </c>
      <c r="DO1919">
        <v>0</v>
      </c>
      <c r="DP1919">
        <v>0</v>
      </c>
      <c r="DQ1919">
        <v>0</v>
      </c>
      <c r="DR1919">
        <v>0</v>
      </c>
      <c r="DS1919">
        <v>0</v>
      </c>
    </row>
    <row r="1920" spans="1:123" x14ac:dyDescent="0.3">
      <c r="A1920" t="str">
        <f t="shared" ref="A1920:A1926" si="675">"10/04/2022 19:30:35.698"</f>
        <v>10/04/2022 19:30:35.698</v>
      </c>
      <c r="C1920" t="str">
        <f t="shared" si="672"/>
        <v>FFDFD3C0</v>
      </c>
      <c r="D1920" t="s">
        <v>141</v>
      </c>
      <c r="E1920">
        <v>4</v>
      </c>
      <c r="H1920">
        <v>4</v>
      </c>
      <c r="I1920" t="s">
        <v>142</v>
      </c>
      <c r="J1920" t="s">
        <v>138</v>
      </c>
      <c r="K1920">
        <v>0</v>
      </c>
      <c r="L1920">
        <v>3</v>
      </c>
      <c r="M1920">
        <v>0</v>
      </c>
      <c r="N1920">
        <v>2</v>
      </c>
      <c r="O1920">
        <v>0</v>
      </c>
      <c r="P1920">
        <v>1</v>
      </c>
      <c r="Q1920">
        <v>0</v>
      </c>
      <c r="S1920" t="str">
        <f t="shared" ref="S1920:T1933" si="676">"19:30:35.000"</f>
        <v>19:30:35.000</v>
      </c>
      <c r="T1920" t="str">
        <f t="shared" si="676"/>
        <v>19:30:35.000</v>
      </c>
      <c r="U1920" t="str">
        <f t="shared" si="656"/>
        <v>AC3944</v>
      </c>
      <c r="V1920">
        <v>0</v>
      </c>
      <c r="W1920">
        <v>0</v>
      </c>
      <c r="X1920">
        <v>2</v>
      </c>
      <c r="Y1920">
        <v>0</v>
      </c>
      <c r="AA1920">
        <v>1</v>
      </c>
      <c r="AB1920">
        <v>8</v>
      </c>
      <c r="AC1920">
        <v>3</v>
      </c>
      <c r="AD1920">
        <v>0</v>
      </c>
      <c r="AE1920">
        <v>9</v>
      </c>
      <c r="AF1920" t="s">
        <v>138</v>
      </c>
      <c r="AG1920">
        <v>0</v>
      </c>
      <c r="AH1920">
        <v>3</v>
      </c>
      <c r="AI1920">
        <v>1</v>
      </c>
      <c r="AJ1920">
        <v>0</v>
      </c>
      <c r="AK1920" t="s">
        <v>684</v>
      </c>
      <c r="AL1920">
        <v>32.777624000000003</v>
      </c>
      <c r="AM1920" t="s">
        <v>685</v>
      </c>
      <c r="AN1920">
        <v>-116.84921300000001</v>
      </c>
      <c r="AO1920">
        <v>25</v>
      </c>
      <c r="AP1920">
        <v>2900</v>
      </c>
      <c r="AQ1920" t="s">
        <v>129</v>
      </c>
      <c r="AR1920">
        <v>121</v>
      </c>
      <c r="AS1920">
        <v>-42</v>
      </c>
      <c r="AT1920">
        <v>384</v>
      </c>
      <c r="BB1920">
        <v>1200</v>
      </c>
      <c r="BC1920">
        <v>1</v>
      </c>
      <c r="BD1920" t="str">
        <f t="shared" si="657"/>
        <v xml:space="preserve">N887QR  </v>
      </c>
      <c r="BE1920">
        <v>1</v>
      </c>
      <c r="BG1920">
        <v>0</v>
      </c>
      <c r="BH1920">
        <v>0</v>
      </c>
      <c r="BI1920">
        <v>0</v>
      </c>
      <c r="BJ1920">
        <v>2600</v>
      </c>
      <c r="BK1920">
        <v>-300</v>
      </c>
      <c r="BL1920" t="s">
        <v>163</v>
      </c>
      <c r="BM1920">
        <v>1</v>
      </c>
      <c r="BN1920">
        <v>1</v>
      </c>
      <c r="BO1920">
        <v>1</v>
      </c>
      <c r="BP1920">
        <v>0</v>
      </c>
      <c r="BS1920">
        <v>0</v>
      </c>
      <c r="BT1920">
        <v>0</v>
      </c>
      <c r="BU1920">
        <v>0</v>
      </c>
      <c r="CE1920" t="str">
        <f t="shared" ref="CE1920:CE1926" si="677">"19:30:35.466"</f>
        <v>19:30:35.466</v>
      </c>
      <c r="CF1920">
        <v>466169404</v>
      </c>
      <c r="CS1920">
        <v>0</v>
      </c>
      <c r="CT1920">
        <v>2</v>
      </c>
      <c r="CU1920">
        <v>0</v>
      </c>
      <c r="CV1920">
        <v>2</v>
      </c>
      <c r="CW1920">
        <v>0</v>
      </c>
      <c r="CX1920">
        <v>3</v>
      </c>
      <c r="CY1920">
        <v>7</v>
      </c>
      <c r="CZ1920" t="s">
        <v>131</v>
      </c>
      <c r="DA1920">
        <v>300</v>
      </c>
      <c r="DB1920">
        <v>0</v>
      </c>
      <c r="DC1920" t="s">
        <v>176</v>
      </c>
      <c r="DD1920" t="s">
        <v>177</v>
      </c>
      <c r="DG1920">
        <v>5398056</v>
      </c>
      <c r="DI1920">
        <v>1</v>
      </c>
      <c r="DJ1920">
        <v>0</v>
      </c>
      <c r="DK1920">
        <v>0</v>
      </c>
      <c r="DL1920">
        <v>0</v>
      </c>
      <c r="DM1920">
        <v>0</v>
      </c>
      <c r="DN1920">
        <v>1</v>
      </c>
      <c r="DO1920">
        <v>0</v>
      </c>
      <c r="DP1920">
        <v>0</v>
      </c>
      <c r="DQ1920">
        <v>0</v>
      </c>
      <c r="DR1920">
        <v>0</v>
      </c>
      <c r="DS1920">
        <v>0</v>
      </c>
    </row>
    <row r="1921" spans="1:123" x14ac:dyDescent="0.3">
      <c r="A1921" t="str">
        <f t="shared" si="675"/>
        <v>10/04/2022 19:30:35.698</v>
      </c>
      <c r="C1921" t="str">
        <f t="shared" si="672"/>
        <v>FFDFD3C0</v>
      </c>
      <c r="D1921" t="s">
        <v>147</v>
      </c>
      <c r="E1921">
        <v>3</v>
      </c>
      <c r="H1921">
        <v>166</v>
      </c>
      <c r="I1921" t="s">
        <v>144</v>
      </c>
      <c r="J1921" t="s">
        <v>148</v>
      </c>
      <c r="K1921">
        <v>0</v>
      </c>
      <c r="L1921">
        <v>3</v>
      </c>
      <c r="M1921">
        <v>0</v>
      </c>
      <c r="N1921">
        <v>2</v>
      </c>
      <c r="O1921">
        <v>0</v>
      </c>
      <c r="P1921">
        <v>1</v>
      </c>
      <c r="Q1921">
        <v>0</v>
      </c>
      <c r="S1921" t="str">
        <f t="shared" si="676"/>
        <v>19:30:35.000</v>
      </c>
      <c r="T1921" t="str">
        <f t="shared" si="676"/>
        <v>19:30:35.000</v>
      </c>
      <c r="U1921" t="str">
        <f t="shared" si="656"/>
        <v>AC3944</v>
      </c>
      <c r="V1921">
        <v>0</v>
      </c>
      <c r="W1921">
        <v>0</v>
      </c>
      <c r="X1921">
        <v>2</v>
      </c>
      <c r="Y1921">
        <v>0</v>
      </c>
      <c r="AA1921">
        <v>1</v>
      </c>
      <c r="AB1921">
        <v>8</v>
      </c>
      <c r="AC1921">
        <v>3</v>
      </c>
      <c r="AD1921">
        <v>0</v>
      </c>
      <c r="AE1921">
        <v>9</v>
      </c>
      <c r="AF1921" t="s">
        <v>138</v>
      </c>
      <c r="AG1921">
        <v>0</v>
      </c>
      <c r="AH1921">
        <v>3</v>
      </c>
      <c r="AI1921">
        <v>1</v>
      </c>
      <c r="AJ1921">
        <v>0</v>
      </c>
      <c r="AK1921" t="s">
        <v>684</v>
      </c>
      <c r="AL1921">
        <v>32.777624000000003</v>
      </c>
      <c r="AM1921" t="s">
        <v>685</v>
      </c>
      <c r="AN1921">
        <v>-116.84921300000001</v>
      </c>
      <c r="AO1921">
        <v>25</v>
      </c>
      <c r="AP1921">
        <v>2900</v>
      </c>
      <c r="AQ1921" t="s">
        <v>129</v>
      </c>
      <c r="AR1921">
        <v>121</v>
      </c>
      <c r="AS1921">
        <v>-42</v>
      </c>
      <c r="AT1921">
        <v>384</v>
      </c>
      <c r="BB1921">
        <v>1200</v>
      </c>
      <c r="BC1921">
        <v>1</v>
      </c>
      <c r="BD1921" t="str">
        <f t="shared" si="657"/>
        <v xml:space="preserve">N887QR  </v>
      </c>
      <c r="BE1921">
        <v>1</v>
      </c>
      <c r="BG1921">
        <v>0</v>
      </c>
      <c r="BH1921">
        <v>0</v>
      </c>
      <c r="BI1921">
        <v>0</v>
      </c>
      <c r="BJ1921">
        <v>2600</v>
      </c>
      <c r="BK1921">
        <v>-300</v>
      </c>
      <c r="BL1921" t="s">
        <v>163</v>
      </c>
      <c r="BM1921">
        <v>1</v>
      </c>
      <c r="BN1921">
        <v>1</v>
      </c>
      <c r="BO1921">
        <v>1</v>
      </c>
      <c r="BP1921">
        <v>0</v>
      </c>
      <c r="BS1921">
        <v>0</v>
      </c>
      <c r="BT1921">
        <v>0</v>
      </c>
      <c r="BU1921">
        <v>0</v>
      </c>
      <c r="CE1921" t="str">
        <f t="shared" si="677"/>
        <v>19:30:35.466</v>
      </c>
      <c r="CF1921">
        <v>466169404</v>
      </c>
      <c r="CS1921">
        <v>0</v>
      </c>
      <c r="CT1921">
        <v>2</v>
      </c>
      <c r="CU1921">
        <v>0</v>
      </c>
      <c r="CV1921">
        <v>2</v>
      </c>
      <c r="CW1921">
        <v>0</v>
      </c>
      <c r="CX1921">
        <v>3</v>
      </c>
      <c r="CY1921">
        <v>7</v>
      </c>
      <c r="CZ1921" t="s">
        <v>131</v>
      </c>
      <c r="DA1921">
        <v>300</v>
      </c>
      <c r="DB1921">
        <v>0</v>
      </c>
      <c r="DC1921" t="s">
        <v>176</v>
      </c>
      <c r="DD1921" t="s">
        <v>177</v>
      </c>
      <c r="DG1921">
        <v>5398056</v>
      </c>
      <c r="DI1921">
        <v>1</v>
      </c>
      <c r="DJ1921">
        <v>0</v>
      </c>
      <c r="DK1921">
        <v>1</v>
      </c>
      <c r="DL1921">
        <v>0</v>
      </c>
      <c r="DM1921">
        <v>0</v>
      </c>
      <c r="DN1921">
        <v>1</v>
      </c>
      <c r="DO1921">
        <v>0</v>
      </c>
      <c r="DP1921">
        <v>0</v>
      </c>
      <c r="DQ1921">
        <v>0</v>
      </c>
      <c r="DR1921">
        <v>0</v>
      </c>
      <c r="DS1921">
        <v>0</v>
      </c>
    </row>
    <row r="1922" spans="1:123" x14ac:dyDescent="0.3">
      <c r="A1922" t="str">
        <f t="shared" si="675"/>
        <v>10/04/2022 19:30:35.698</v>
      </c>
      <c r="C1922" t="str">
        <f t="shared" si="672"/>
        <v>FFDFD3C0</v>
      </c>
      <c r="D1922" t="s">
        <v>136</v>
      </c>
      <c r="E1922">
        <v>8</v>
      </c>
      <c r="H1922">
        <v>225</v>
      </c>
      <c r="I1922" t="s">
        <v>137</v>
      </c>
      <c r="J1922" t="s">
        <v>138</v>
      </c>
      <c r="K1922">
        <v>0</v>
      </c>
      <c r="L1922">
        <v>3</v>
      </c>
      <c r="M1922">
        <v>0</v>
      </c>
      <c r="N1922">
        <v>2</v>
      </c>
      <c r="O1922">
        <v>0</v>
      </c>
      <c r="P1922">
        <v>1</v>
      </c>
      <c r="Q1922">
        <v>0</v>
      </c>
      <c r="S1922" t="str">
        <f t="shared" si="676"/>
        <v>19:30:35.000</v>
      </c>
      <c r="T1922" t="str">
        <f t="shared" si="676"/>
        <v>19:30:35.000</v>
      </c>
      <c r="U1922" t="str">
        <f t="shared" ref="U1922:U1985" si="678">"AC3944"</f>
        <v>AC3944</v>
      </c>
      <c r="V1922">
        <v>0</v>
      </c>
      <c r="W1922">
        <v>0</v>
      </c>
      <c r="X1922">
        <v>2</v>
      </c>
      <c r="Y1922">
        <v>0</v>
      </c>
      <c r="AA1922">
        <v>1</v>
      </c>
      <c r="AB1922">
        <v>8</v>
      </c>
      <c r="AC1922">
        <v>3</v>
      </c>
      <c r="AD1922">
        <v>0</v>
      </c>
      <c r="AE1922">
        <v>9</v>
      </c>
      <c r="AF1922" t="s">
        <v>138</v>
      </c>
      <c r="AG1922">
        <v>0</v>
      </c>
      <c r="AH1922">
        <v>3</v>
      </c>
      <c r="AI1922">
        <v>1</v>
      </c>
      <c r="AJ1922">
        <v>0</v>
      </c>
      <c r="AK1922" t="s">
        <v>684</v>
      </c>
      <c r="AL1922">
        <v>32.777624000000003</v>
      </c>
      <c r="AM1922" t="s">
        <v>685</v>
      </c>
      <c r="AN1922">
        <v>-116.84921300000001</v>
      </c>
      <c r="AO1922">
        <v>25</v>
      </c>
      <c r="AP1922">
        <v>2900</v>
      </c>
      <c r="AQ1922" t="s">
        <v>129</v>
      </c>
      <c r="AR1922">
        <v>121</v>
      </c>
      <c r="AS1922">
        <v>-42</v>
      </c>
      <c r="AT1922">
        <v>384</v>
      </c>
      <c r="BB1922">
        <v>1200</v>
      </c>
      <c r="BC1922">
        <v>1</v>
      </c>
      <c r="BD1922" t="str">
        <f t="shared" ref="BD1922:BD1985" si="679">"N887QR  "</f>
        <v xml:space="preserve">N887QR  </v>
      </c>
      <c r="BE1922">
        <v>1</v>
      </c>
      <c r="BG1922">
        <v>0</v>
      </c>
      <c r="BH1922">
        <v>0</v>
      </c>
      <c r="BI1922">
        <v>0</v>
      </c>
      <c r="BJ1922">
        <v>2600</v>
      </c>
      <c r="BK1922">
        <v>-300</v>
      </c>
      <c r="BL1922" t="s">
        <v>163</v>
      </c>
      <c r="BM1922">
        <v>1</v>
      </c>
      <c r="BN1922">
        <v>1</v>
      </c>
      <c r="BO1922">
        <v>1</v>
      </c>
      <c r="BP1922">
        <v>0</v>
      </c>
      <c r="BS1922">
        <v>0</v>
      </c>
      <c r="BT1922">
        <v>0</v>
      </c>
      <c r="BU1922">
        <v>0</v>
      </c>
      <c r="CE1922" t="str">
        <f t="shared" si="677"/>
        <v>19:30:35.466</v>
      </c>
      <c r="CF1922">
        <v>466169404</v>
      </c>
      <c r="CS1922">
        <v>0</v>
      </c>
      <c r="CT1922">
        <v>2</v>
      </c>
      <c r="CU1922">
        <v>0</v>
      </c>
      <c r="CV1922">
        <v>2</v>
      </c>
      <c r="CW1922">
        <v>0</v>
      </c>
      <c r="CX1922">
        <v>3</v>
      </c>
      <c r="CY1922">
        <v>7</v>
      </c>
      <c r="CZ1922" t="s">
        <v>131</v>
      </c>
      <c r="DA1922">
        <v>300</v>
      </c>
      <c r="DB1922">
        <v>0</v>
      </c>
      <c r="DC1922" t="s">
        <v>176</v>
      </c>
      <c r="DD1922" t="s">
        <v>177</v>
      </c>
      <c r="DG1922">
        <v>5398056</v>
      </c>
      <c r="DI1922">
        <v>1</v>
      </c>
      <c r="DJ1922">
        <v>0</v>
      </c>
      <c r="DK1922">
        <v>1</v>
      </c>
      <c r="DL1922">
        <v>0</v>
      </c>
      <c r="DM1922">
        <v>0</v>
      </c>
      <c r="DN1922">
        <v>1</v>
      </c>
      <c r="DO1922">
        <v>0</v>
      </c>
      <c r="DP1922">
        <v>0</v>
      </c>
      <c r="DQ1922">
        <v>0</v>
      </c>
      <c r="DR1922">
        <v>0</v>
      </c>
      <c r="DS1922">
        <v>0</v>
      </c>
    </row>
    <row r="1923" spans="1:123" x14ac:dyDescent="0.3">
      <c r="A1923" t="str">
        <f t="shared" si="675"/>
        <v>10/04/2022 19:30:35.698</v>
      </c>
      <c r="C1923" t="str">
        <f t="shared" si="672"/>
        <v>FFDFD3C0</v>
      </c>
      <c r="D1923" t="s">
        <v>134</v>
      </c>
      <c r="E1923">
        <v>15</v>
      </c>
      <c r="J1923" t="s">
        <v>135</v>
      </c>
      <c r="K1923">
        <v>0</v>
      </c>
      <c r="L1923">
        <v>3</v>
      </c>
      <c r="M1923">
        <v>0</v>
      </c>
      <c r="N1923">
        <v>2</v>
      </c>
      <c r="O1923">
        <v>0</v>
      </c>
      <c r="P1923">
        <v>1</v>
      </c>
      <c r="Q1923">
        <v>0</v>
      </c>
      <c r="S1923" t="str">
        <f t="shared" si="676"/>
        <v>19:30:35.000</v>
      </c>
      <c r="T1923" t="str">
        <f t="shared" si="676"/>
        <v>19:30:35.000</v>
      </c>
      <c r="U1923" t="str">
        <f t="shared" si="678"/>
        <v>AC3944</v>
      </c>
      <c r="V1923">
        <v>0</v>
      </c>
      <c r="W1923">
        <v>0</v>
      </c>
      <c r="X1923">
        <v>2</v>
      </c>
      <c r="Y1923">
        <v>0</v>
      </c>
      <c r="AA1923">
        <v>1</v>
      </c>
      <c r="AB1923">
        <v>8</v>
      </c>
      <c r="AC1923">
        <v>3</v>
      </c>
      <c r="AD1923">
        <v>0</v>
      </c>
      <c r="AE1923">
        <v>9</v>
      </c>
      <c r="AF1923" t="s">
        <v>138</v>
      </c>
      <c r="AG1923">
        <v>0</v>
      </c>
      <c r="AH1923">
        <v>3</v>
      </c>
      <c r="AI1923">
        <v>1</v>
      </c>
      <c r="AJ1923">
        <v>0</v>
      </c>
      <c r="AK1923" t="s">
        <v>684</v>
      </c>
      <c r="AL1923">
        <v>32.777624000000003</v>
      </c>
      <c r="AM1923" t="s">
        <v>685</v>
      </c>
      <c r="AN1923">
        <v>-116.84921300000001</v>
      </c>
      <c r="AO1923">
        <v>25</v>
      </c>
      <c r="AP1923">
        <v>2900</v>
      </c>
      <c r="AQ1923" t="s">
        <v>129</v>
      </c>
      <c r="AR1923">
        <v>121</v>
      </c>
      <c r="AS1923">
        <v>-42</v>
      </c>
      <c r="AT1923">
        <v>384</v>
      </c>
      <c r="BB1923">
        <v>1200</v>
      </c>
      <c r="BC1923">
        <v>1</v>
      </c>
      <c r="BD1923" t="str">
        <f t="shared" si="679"/>
        <v xml:space="preserve">N887QR  </v>
      </c>
      <c r="BE1923">
        <v>1</v>
      </c>
      <c r="BG1923">
        <v>0</v>
      </c>
      <c r="BH1923">
        <v>0</v>
      </c>
      <c r="BI1923">
        <v>0</v>
      </c>
      <c r="BJ1923">
        <v>2600</v>
      </c>
      <c r="BK1923">
        <v>-300</v>
      </c>
      <c r="BL1923" t="s">
        <v>163</v>
      </c>
      <c r="BM1923">
        <v>1</v>
      </c>
      <c r="BN1923">
        <v>1</v>
      </c>
      <c r="BO1923">
        <v>1</v>
      </c>
      <c r="BP1923">
        <v>0</v>
      </c>
      <c r="BS1923">
        <v>0</v>
      </c>
      <c r="BT1923">
        <v>0</v>
      </c>
      <c r="BU1923">
        <v>0</v>
      </c>
      <c r="CE1923" t="str">
        <f t="shared" si="677"/>
        <v>19:30:35.466</v>
      </c>
      <c r="CF1923">
        <v>466169404</v>
      </c>
      <c r="CS1923">
        <v>0</v>
      </c>
      <c r="CT1923">
        <v>2</v>
      </c>
      <c r="CU1923">
        <v>0</v>
      </c>
      <c r="CV1923">
        <v>2</v>
      </c>
      <c r="CW1923">
        <v>0</v>
      </c>
      <c r="CX1923">
        <v>3</v>
      </c>
      <c r="CY1923">
        <v>7</v>
      </c>
      <c r="CZ1923" t="s">
        <v>131</v>
      </c>
      <c r="DA1923">
        <v>300</v>
      </c>
      <c r="DB1923">
        <v>0</v>
      </c>
      <c r="DC1923" t="s">
        <v>176</v>
      </c>
      <c r="DD1923" t="s">
        <v>177</v>
      </c>
      <c r="DG1923">
        <v>5398056</v>
      </c>
      <c r="DI1923">
        <v>1</v>
      </c>
      <c r="DJ1923">
        <v>0</v>
      </c>
      <c r="DK1923">
        <v>1</v>
      </c>
      <c r="DL1923">
        <v>0</v>
      </c>
      <c r="DM1923">
        <v>0</v>
      </c>
      <c r="DN1923">
        <v>1</v>
      </c>
      <c r="DO1923">
        <v>0</v>
      </c>
      <c r="DP1923">
        <v>0</v>
      </c>
      <c r="DQ1923">
        <v>0</v>
      </c>
      <c r="DR1923">
        <v>0</v>
      </c>
      <c r="DS1923">
        <v>0</v>
      </c>
    </row>
    <row r="1924" spans="1:123" x14ac:dyDescent="0.3">
      <c r="A1924" t="str">
        <f t="shared" si="675"/>
        <v>10/04/2022 19:30:35.698</v>
      </c>
      <c r="C1924" t="str">
        <f t="shared" si="672"/>
        <v>FFDFD3C0</v>
      </c>
      <c r="D1924" t="s">
        <v>143</v>
      </c>
      <c r="E1924">
        <v>20</v>
      </c>
      <c r="F1924">
        <v>1020</v>
      </c>
      <c r="G1924" t="s">
        <v>144</v>
      </c>
      <c r="J1924" t="s">
        <v>145</v>
      </c>
      <c r="K1924">
        <v>0</v>
      </c>
      <c r="L1924">
        <v>3</v>
      </c>
      <c r="M1924">
        <v>0</v>
      </c>
      <c r="N1924">
        <v>2</v>
      </c>
      <c r="O1924">
        <v>0</v>
      </c>
      <c r="P1924">
        <v>1</v>
      </c>
      <c r="Q1924">
        <v>0</v>
      </c>
      <c r="S1924" t="str">
        <f t="shared" si="676"/>
        <v>19:30:35.000</v>
      </c>
      <c r="T1924" t="str">
        <f t="shared" si="676"/>
        <v>19:30:35.000</v>
      </c>
      <c r="U1924" t="str">
        <f t="shared" si="678"/>
        <v>AC3944</v>
      </c>
      <c r="V1924">
        <v>0</v>
      </c>
      <c r="W1924">
        <v>0</v>
      </c>
      <c r="X1924">
        <v>2</v>
      </c>
      <c r="Y1924">
        <v>0</v>
      </c>
      <c r="AA1924">
        <v>1</v>
      </c>
      <c r="AB1924">
        <v>8</v>
      </c>
      <c r="AC1924">
        <v>3</v>
      </c>
      <c r="AD1924">
        <v>0</v>
      </c>
      <c r="AE1924">
        <v>9</v>
      </c>
      <c r="AF1924" t="s">
        <v>138</v>
      </c>
      <c r="AG1924">
        <v>0</v>
      </c>
      <c r="AH1924">
        <v>3</v>
      </c>
      <c r="AI1924">
        <v>1</v>
      </c>
      <c r="AJ1924">
        <v>0</v>
      </c>
      <c r="AK1924" t="s">
        <v>684</v>
      </c>
      <c r="AL1924">
        <v>32.777624000000003</v>
      </c>
      <c r="AM1924" t="s">
        <v>685</v>
      </c>
      <c r="AN1924">
        <v>-116.84921300000001</v>
      </c>
      <c r="AO1924">
        <v>25</v>
      </c>
      <c r="AP1924">
        <v>2900</v>
      </c>
      <c r="AQ1924" t="s">
        <v>129</v>
      </c>
      <c r="AR1924">
        <v>121</v>
      </c>
      <c r="AS1924">
        <v>-42</v>
      </c>
      <c r="AT1924">
        <v>384</v>
      </c>
      <c r="BB1924">
        <v>1200</v>
      </c>
      <c r="BC1924">
        <v>1</v>
      </c>
      <c r="BD1924" t="str">
        <f t="shared" si="679"/>
        <v xml:space="preserve">N887QR  </v>
      </c>
      <c r="BE1924">
        <v>1</v>
      </c>
      <c r="BG1924">
        <v>0</v>
      </c>
      <c r="BH1924">
        <v>0</v>
      </c>
      <c r="BI1924">
        <v>0</v>
      </c>
      <c r="BJ1924">
        <v>2600</v>
      </c>
      <c r="BK1924">
        <v>-300</v>
      </c>
      <c r="BL1924" t="s">
        <v>163</v>
      </c>
      <c r="BM1924">
        <v>1</v>
      </c>
      <c r="BN1924">
        <v>1</v>
      </c>
      <c r="BO1924">
        <v>1</v>
      </c>
      <c r="BP1924">
        <v>0</v>
      </c>
      <c r="BS1924">
        <v>0</v>
      </c>
      <c r="BT1924">
        <v>0</v>
      </c>
      <c r="BU1924">
        <v>0</v>
      </c>
      <c r="CE1924" t="str">
        <f t="shared" si="677"/>
        <v>19:30:35.466</v>
      </c>
      <c r="CF1924">
        <v>466169404</v>
      </c>
      <c r="CS1924">
        <v>0</v>
      </c>
      <c r="CT1924">
        <v>2</v>
      </c>
      <c r="CU1924">
        <v>0</v>
      </c>
      <c r="CV1924">
        <v>2</v>
      </c>
      <c r="CW1924">
        <v>0</v>
      </c>
      <c r="CX1924">
        <v>3</v>
      </c>
      <c r="CY1924">
        <v>7</v>
      </c>
      <c r="CZ1924" t="s">
        <v>131</v>
      </c>
      <c r="DA1924">
        <v>300</v>
      </c>
      <c r="DB1924">
        <v>0</v>
      </c>
      <c r="DC1924" t="s">
        <v>176</v>
      </c>
      <c r="DD1924" t="s">
        <v>177</v>
      </c>
      <c r="DG1924">
        <v>5398056</v>
      </c>
      <c r="DI1924">
        <v>1</v>
      </c>
      <c r="DJ1924">
        <v>0</v>
      </c>
      <c r="DK1924">
        <v>1</v>
      </c>
      <c r="DL1924">
        <v>0</v>
      </c>
      <c r="DM1924">
        <v>0</v>
      </c>
      <c r="DN1924">
        <v>1</v>
      </c>
      <c r="DO1924">
        <v>0</v>
      </c>
      <c r="DP1924">
        <v>0</v>
      </c>
      <c r="DQ1924">
        <v>0</v>
      </c>
      <c r="DR1924">
        <v>0</v>
      </c>
      <c r="DS1924">
        <v>0</v>
      </c>
    </row>
    <row r="1925" spans="1:123" x14ac:dyDescent="0.3">
      <c r="A1925" t="str">
        <f t="shared" si="675"/>
        <v>10/04/2022 19:30:35.698</v>
      </c>
      <c r="C1925" t="str">
        <f t="shared" si="672"/>
        <v>FFDFD3C0</v>
      </c>
      <c r="D1925" t="s">
        <v>141</v>
      </c>
      <c r="E1925">
        <v>3</v>
      </c>
      <c r="H1925">
        <v>3</v>
      </c>
      <c r="I1925" t="s">
        <v>146</v>
      </c>
      <c r="J1925" t="s">
        <v>138</v>
      </c>
      <c r="K1925">
        <v>0</v>
      </c>
      <c r="L1925">
        <v>3</v>
      </c>
      <c r="M1925">
        <v>0</v>
      </c>
      <c r="N1925">
        <v>2</v>
      </c>
      <c r="O1925">
        <v>0</v>
      </c>
      <c r="P1925">
        <v>1</v>
      </c>
      <c r="Q1925">
        <v>0</v>
      </c>
      <c r="S1925" t="str">
        <f t="shared" si="676"/>
        <v>19:30:35.000</v>
      </c>
      <c r="T1925" t="str">
        <f t="shared" si="676"/>
        <v>19:30:35.000</v>
      </c>
      <c r="U1925" t="str">
        <f t="shared" si="678"/>
        <v>AC3944</v>
      </c>
      <c r="V1925">
        <v>0</v>
      </c>
      <c r="W1925">
        <v>0</v>
      </c>
      <c r="X1925">
        <v>2</v>
      </c>
      <c r="Y1925">
        <v>0</v>
      </c>
      <c r="AA1925">
        <v>1</v>
      </c>
      <c r="AB1925">
        <v>8</v>
      </c>
      <c r="AC1925">
        <v>3</v>
      </c>
      <c r="AD1925">
        <v>0</v>
      </c>
      <c r="AE1925">
        <v>9</v>
      </c>
      <c r="AF1925" t="s">
        <v>138</v>
      </c>
      <c r="AG1925">
        <v>0</v>
      </c>
      <c r="AH1925">
        <v>3</v>
      </c>
      <c r="AI1925">
        <v>1</v>
      </c>
      <c r="AJ1925">
        <v>0</v>
      </c>
      <c r="AK1925" t="s">
        <v>684</v>
      </c>
      <c r="AL1925">
        <v>32.777624000000003</v>
      </c>
      <c r="AM1925" t="s">
        <v>685</v>
      </c>
      <c r="AN1925">
        <v>-116.84921300000001</v>
      </c>
      <c r="AO1925">
        <v>25</v>
      </c>
      <c r="AP1925">
        <v>2900</v>
      </c>
      <c r="AQ1925" t="s">
        <v>129</v>
      </c>
      <c r="AR1925">
        <v>121</v>
      </c>
      <c r="AS1925">
        <v>-42</v>
      </c>
      <c r="AT1925">
        <v>384</v>
      </c>
      <c r="BB1925">
        <v>1200</v>
      </c>
      <c r="BC1925">
        <v>1</v>
      </c>
      <c r="BD1925" t="str">
        <f t="shared" si="679"/>
        <v xml:space="preserve">N887QR  </v>
      </c>
      <c r="BE1925">
        <v>1</v>
      </c>
      <c r="BG1925">
        <v>0</v>
      </c>
      <c r="BH1925">
        <v>0</v>
      </c>
      <c r="BI1925">
        <v>0</v>
      </c>
      <c r="BJ1925">
        <v>2600</v>
      </c>
      <c r="BK1925">
        <v>-300</v>
      </c>
      <c r="BL1925" t="s">
        <v>163</v>
      </c>
      <c r="BM1925">
        <v>1</v>
      </c>
      <c r="BN1925">
        <v>1</v>
      </c>
      <c r="BO1925">
        <v>1</v>
      </c>
      <c r="BP1925">
        <v>0</v>
      </c>
      <c r="BS1925">
        <v>0</v>
      </c>
      <c r="BT1925">
        <v>0</v>
      </c>
      <c r="BU1925">
        <v>0</v>
      </c>
      <c r="CE1925" t="str">
        <f t="shared" si="677"/>
        <v>19:30:35.466</v>
      </c>
      <c r="CF1925">
        <v>466169404</v>
      </c>
      <c r="CS1925">
        <v>0</v>
      </c>
      <c r="CT1925">
        <v>2</v>
      </c>
      <c r="CU1925">
        <v>0</v>
      </c>
      <c r="CV1925">
        <v>2</v>
      </c>
      <c r="CW1925">
        <v>0</v>
      </c>
      <c r="CX1925">
        <v>3</v>
      </c>
      <c r="CY1925">
        <v>7</v>
      </c>
      <c r="CZ1925" t="s">
        <v>131</v>
      </c>
      <c r="DA1925">
        <v>300</v>
      </c>
      <c r="DB1925">
        <v>0</v>
      </c>
      <c r="DC1925" t="s">
        <v>176</v>
      </c>
      <c r="DD1925" t="s">
        <v>177</v>
      </c>
      <c r="DG1925">
        <v>5398056</v>
      </c>
      <c r="DI1925">
        <v>1</v>
      </c>
      <c r="DJ1925">
        <v>0</v>
      </c>
      <c r="DK1925">
        <v>1</v>
      </c>
      <c r="DL1925">
        <v>0</v>
      </c>
      <c r="DM1925">
        <v>0</v>
      </c>
      <c r="DN1925">
        <v>1</v>
      </c>
      <c r="DO1925">
        <v>0</v>
      </c>
      <c r="DP1925">
        <v>0</v>
      </c>
      <c r="DQ1925">
        <v>0</v>
      </c>
      <c r="DR1925">
        <v>0</v>
      </c>
      <c r="DS1925">
        <v>0</v>
      </c>
    </row>
    <row r="1926" spans="1:123" x14ac:dyDescent="0.3">
      <c r="A1926" t="str">
        <f t="shared" si="675"/>
        <v>10/04/2022 19:30:35.698</v>
      </c>
      <c r="C1926" t="str">
        <f t="shared" si="672"/>
        <v>FFDFD3C0</v>
      </c>
      <c r="D1926" t="s">
        <v>123</v>
      </c>
      <c r="E1926">
        <v>7</v>
      </c>
      <c r="F1926">
        <v>2007</v>
      </c>
      <c r="G1926" t="s">
        <v>124</v>
      </c>
      <c r="J1926" t="s">
        <v>125</v>
      </c>
      <c r="K1926">
        <v>0</v>
      </c>
      <c r="L1926">
        <v>3</v>
      </c>
      <c r="M1926">
        <v>0</v>
      </c>
      <c r="N1926">
        <v>2</v>
      </c>
      <c r="O1926">
        <v>0</v>
      </c>
      <c r="P1926">
        <v>1</v>
      </c>
      <c r="Q1926">
        <v>0</v>
      </c>
      <c r="S1926" t="str">
        <f t="shared" si="676"/>
        <v>19:30:35.000</v>
      </c>
      <c r="T1926" t="str">
        <f t="shared" si="676"/>
        <v>19:30:35.000</v>
      </c>
      <c r="U1926" t="str">
        <f t="shared" si="678"/>
        <v>AC3944</v>
      </c>
      <c r="V1926">
        <v>0</v>
      </c>
      <c r="W1926">
        <v>0</v>
      </c>
      <c r="X1926">
        <v>2</v>
      </c>
      <c r="Y1926">
        <v>0</v>
      </c>
      <c r="AA1926">
        <v>1</v>
      </c>
      <c r="AB1926">
        <v>8</v>
      </c>
      <c r="AC1926">
        <v>3</v>
      </c>
      <c r="AD1926">
        <v>0</v>
      </c>
      <c r="AE1926">
        <v>9</v>
      </c>
      <c r="AF1926" t="s">
        <v>138</v>
      </c>
      <c r="AG1926">
        <v>0</v>
      </c>
      <c r="AH1926">
        <v>3</v>
      </c>
      <c r="AI1926">
        <v>1</v>
      </c>
      <c r="AJ1926">
        <v>0</v>
      </c>
      <c r="AK1926" t="s">
        <v>684</v>
      </c>
      <c r="AL1926">
        <v>32.777624000000003</v>
      </c>
      <c r="AM1926" t="s">
        <v>685</v>
      </c>
      <c r="AN1926">
        <v>-116.84921300000001</v>
      </c>
      <c r="AO1926">
        <v>25</v>
      </c>
      <c r="AP1926">
        <v>2900</v>
      </c>
      <c r="AQ1926" t="s">
        <v>129</v>
      </c>
      <c r="AR1926">
        <v>121</v>
      </c>
      <c r="AS1926">
        <v>-42</v>
      </c>
      <c r="AT1926">
        <v>384</v>
      </c>
      <c r="BB1926">
        <v>1200</v>
      </c>
      <c r="BC1926">
        <v>1</v>
      </c>
      <c r="BD1926" t="str">
        <f t="shared" si="679"/>
        <v xml:space="preserve">N887QR  </v>
      </c>
      <c r="BE1926">
        <v>1</v>
      </c>
      <c r="BG1926">
        <v>0</v>
      </c>
      <c r="BH1926">
        <v>0</v>
      </c>
      <c r="BI1926">
        <v>0</v>
      </c>
      <c r="BJ1926">
        <v>2600</v>
      </c>
      <c r="BK1926">
        <v>-300</v>
      </c>
      <c r="BL1926" t="s">
        <v>163</v>
      </c>
      <c r="BM1926">
        <v>1</v>
      </c>
      <c r="BN1926">
        <v>1</v>
      </c>
      <c r="BO1926">
        <v>1</v>
      </c>
      <c r="BP1926">
        <v>0</v>
      </c>
      <c r="BS1926">
        <v>0</v>
      </c>
      <c r="BT1926">
        <v>0</v>
      </c>
      <c r="BU1926">
        <v>0</v>
      </c>
      <c r="CE1926" t="str">
        <f t="shared" si="677"/>
        <v>19:30:35.466</v>
      </c>
      <c r="CF1926">
        <v>466169404</v>
      </c>
      <c r="CS1926">
        <v>0</v>
      </c>
      <c r="CT1926">
        <v>2</v>
      </c>
      <c r="CU1926">
        <v>0</v>
      </c>
      <c r="CV1926">
        <v>2</v>
      </c>
      <c r="CW1926">
        <v>0</v>
      </c>
      <c r="CX1926">
        <v>3</v>
      </c>
      <c r="CY1926">
        <v>7</v>
      </c>
      <c r="CZ1926" t="s">
        <v>131</v>
      </c>
      <c r="DA1926">
        <v>300</v>
      </c>
      <c r="DB1926">
        <v>0</v>
      </c>
      <c r="DC1926" t="s">
        <v>176</v>
      </c>
      <c r="DD1926" t="s">
        <v>177</v>
      </c>
      <c r="DG1926">
        <v>5398056</v>
      </c>
      <c r="DI1926">
        <v>1</v>
      </c>
      <c r="DJ1926">
        <v>0</v>
      </c>
      <c r="DK1926">
        <v>1</v>
      </c>
      <c r="DL1926">
        <v>0</v>
      </c>
      <c r="DM1926">
        <v>0</v>
      </c>
      <c r="DN1926">
        <v>1</v>
      </c>
      <c r="DO1926">
        <v>0</v>
      </c>
      <c r="DP1926">
        <v>0</v>
      </c>
      <c r="DQ1926">
        <v>0</v>
      </c>
      <c r="DR1926">
        <v>0</v>
      </c>
      <c r="DS1926">
        <v>0</v>
      </c>
    </row>
    <row r="1927" spans="1:123" x14ac:dyDescent="0.3">
      <c r="A1927" t="str">
        <f t="shared" ref="A1927:A1933" si="680">"10/04/2022 19:30:36.057"</f>
        <v>10/04/2022 19:30:36.057</v>
      </c>
      <c r="C1927" t="str">
        <f t="shared" si="672"/>
        <v>FFDFD3C0</v>
      </c>
      <c r="D1927" t="s">
        <v>141</v>
      </c>
      <c r="E1927">
        <v>4</v>
      </c>
      <c r="H1927">
        <v>4</v>
      </c>
      <c r="I1927" t="s">
        <v>142</v>
      </c>
      <c r="J1927" t="s">
        <v>138</v>
      </c>
      <c r="K1927">
        <v>0</v>
      </c>
      <c r="L1927">
        <v>3</v>
      </c>
      <c r="M1927">
        <v>0</v>
      </c>
      <c r="N1927">
        <v>2</v>
      </c>
      <c r="O1927">
        <v>0</v>
      </c>
      <c r="P1927">
        <v>1</v>
      </c>
      <c r="Q1927">
        <v>0</v>
      </c>
      <c r="S1927" t="str">
        <f t="shared" si="676"/>
        <v>19:30:35.000</v>
      </c>
      <c r="T1927" t="str">
        <f t="shared" si="676"/>
        <v>19:30:35.000</v>
      </c>
      <c r="U1927" t="str">
        <f t="shared" si="678"/>
        <v>AC3944</v>
      </c>
      <c r="V1927">
        <v>0</v>
      </c>
      <c r="W1927">
        <v>0</v>
      </c>
      <c r="X1927">
        <v>2</v>
      </c>
      <c r="Y1927">
        <v>0</v>
      </c>
      <c r="AA1927">
        <v>1</v>
      </c>
      <c r="AB1927">
        <v>8</v>
      </c>
      <c r="AC1927">
        <v>3</v>
      </c>
      <c r="AD1927">
        <v>0</v>
      </c>
      <c r="AE1927">
        <v>9</v>
      </c>
      <c r="AF1927" t="s">
        <v>138</v>
      </c>
      <c r="AG1927">
        <v>0</v>
      </c>
      <c r="AH1927">
        <v>3</v>
      </c>
      <c r="AI1927">
        <v>1</v>
      </c>
      <c r="AJ1927">
        <v>0</v>
      </c>
      <c r="AK1927" t="s">
        <v>686</v>
      </c>
      <c r="AL1927">
        <v>32.777388000000002</v>
      </c>
      <c r="AM1927" t="s">
        <v>687</v>
      </c>
      <c r="AN1927">
        <v>-116.84839700000001</v>
      </c>
      <c r="AO1927">
        <v>25</v>
      </c>
      <c r="AP1927">
        <v>2900</v>
      </c>
      <c r="AQ1927" t="s">
        <v>129</v>
      </c>
      <c r="AR1927">
        <v>121</v>
      </c>
      <c r="AS1927">
        <v>-42</v>
      </c>
      <c r="AT1927">
        <v>384</v>
      </c>
      <c r="BB1927">
        <v>1200</v>
      </c>
      <c r="BC1927">
        <v>1</v>
      </c>
      <c r="BD1927" t="str">
        <f t="shared" si="679"/>
        <v xml:space="preserve">N887QR  </v>
      </c>
      <c r="BE1927">
        <v>1</v>
      </c>
      <c r="BG1927">
        <v>0</v>
      </c>
      <c r="BH1927">
        <v>0</v>
      </c>
      <c r="BI1927">
        <v>0</v>
      </c>
      <c r="BJ1927">
        <v>2600</v>
      </c>
      <c r="BK1927">
        <v>-300</v>
      </c>
      <c r="BL1927" t="s">
        <v>163</v>
      </c>
      <c r="BM1927">
        <v>1</v>
      </c>
      <c r="BN1927">
        <v>1</v>
      </c>
      <c r="BO1927">
        <v>1</v>
      </c>
      <c r="BP1927">
        <v>0</v>
      </c>
      <c r="BS1927">
        <v>0</v>
      </c>
      <c r="BT1927">
        <v>0</v>
      </c>
      <c r="BU1927">
        <v>0</v>
      </c>
      <c r="CE1927" t="str">
        <f t="shared" ref="CE1927:CE1933" si="681">"19:30:35.804"</f>
        <v>19:30:35.804</v>
      </c>
      <c r="CF1927">
        <v>803644378</v>
      </c>
      <c r="CS1927">
        <v>0</v>
      </c>
      <c r="CT1927">
        <v>2</v>
      </c>
      <c r="CU1927">
        <v>0</v>
      </c>
      <c r="CV1927">
        <v>2</v>
      </c>
      <c r="CW1927">
        <v>0</v>
      </c>
      <c r="CX1927">
        <v>2</v>
      </c>
      <c r="CY1927">
        <v>7</v>
      </c>
      <c r="CZ1927" t="s">
        <v>131</v>
      </c>
      <c r="DA1927">
        <v>286</v>
      </c>
      <c r="DB1927">
        <v>0</v>
      </c>
      <c r="DC1927" t="s">
        <v>132</v>
      </c>
      <c r="DD1927" t="s">
        <v>133</v>
      </c>
      <c r="DG1927">
        <v>831686</v>
      </c>
      <c r="DI1927">
        <v>1</v>
      </c>
      <c r="DJ1927">
        <v>0</v>
      </c>
      <c r="DK1927">
        <v>0</v>
      </c>
      <c r="DL1927">
        <v>0</v>
      </c>
      <c r="DM1927">
        <v>0</v>
      </c>
      <c r="DN1927">
        <v>1</v>
      </c>
      <c r="DO1927">
        <v>0</v>
      </c>
      <c r="DP1927">
        <v>0</v>
      </c>
      <c r="DQ1927">
        <v>0</v>
      </c>
      <c r="DR1927">
        <v>0</v>
      </c>
      <c r="DS1927">
        <v>0</v>
      </c>
    </row>
    <row r="1928" spans="1:123" x14ac:dyDescent="0.3">
      <c r="A1928" t="str">
        <f t="shared" si="680"/>
        <v>10/04/2022 19:30:36.057</v>
      </c>
      <c r="C1928" t="str">
        <f t="shared" si="672"/>
        <v>FFDFD3C0</v>
      </c>
      <c r="D1928" t="s">
        <v>136</v>
      </c>
      <c r="E1928">
        <v>8</v>
      </c>
      <c r="H1928">
        <v>225</v>
      </c>
      <c r="I1928" t="s">
        <v>137</v>
      </c>
      <c r="J1928" t="s">
        <v>138</v>
      </c>
      <c r="K1928">
        <v>0</v>
      </c>
      <c r="L1928">
        <v>3</v>
      </c>
      <c r="M1928">
        <v>0</v>
      </c>
      <c r="N1928">
        <v>2</v>
      </c>
      <c r="O1928">
        <v>0</v>
      </c>
      <c r="P1928">
        <v>1</v>
      </c>
      <c r="Q1928">
        <v>0</v>
      </c>
      <c r="S1928" t="str">
        <f t="shared" si="676"/>
        <v>19:30:35.000</v>
      </c>
      <c r="T1928" t="str">
        <f t="shared" si="676"/>
        <v>19:30:35.000</v>
      </c>
      <c r="U1928" t="str">
        <f t="shared" si="678"/>
        <v>AC3944</v>
      </c>
      <c r="V1928">
        <v>0</v>
      </c>
      <c r="W1928">
        <v>0</v>
      </c>
      <c r="X1928">
        <v>2</v>
      </c>
      <c r="Y1928">
        <v>0</v>
      </c>
      <c r="AA1928">
        <v>1</v>
      </c>
      <c r="AB1928">
        <v>8</v>
      </c>
      <c r="AC1928">
        <v>3</v>
      </c>
      <c r="AD1928">
        <v>0</v>
      </c>
      <c r="AE1928">
        <v>9</v>
      </c>
      <c r="AF1928" t="s">
        <v>138</v>
      </c>
      <c r="AG1928">
        <v>0</v>
      </c>
      <c r="AH1928">
        <v>3</v>
      </c>
      <c r="AI1928">
        <v>1</v>
      </c>
      <c r="AJ1928">
        <v>0</v>
      </c>
      <c r="AK1928" t="s">
        <v>686</v>
      </c>
      <c r="AL1928">
        <v>32.777388000000002</v>
      </c>
      <c r="AM1928" t="s">
        <v>687</v>
      </c>
      <c r="AN1928">
        <v>-116.84839700000001</v>
      </c>
      <c r="AO1928">
        <v>25</v>
      </c>
      <c r="AP1928">
        <v>2900</v>
      </c>
      <c r="AQ1928" t="s">
        <v>129</v>
      </c>
      <c r="AR1928">
        <v>121</v>
      </c>
      <c r="AS1928">
        <v>-42</v>
      </c>
      <c r="AT1928">
        <v>384</v>
      </c>
      <c r="BB1928">
        <v>1200</v>
      </c>
      <c r="BC1928">
        <v>1</v>
      </c>
      <c r="BD1928" t="str">
        <f t="shared" si="679"/>
        <v xml:space="preserve">N887QR  </v>
      </c>
      <c r="BE1928">
        <v>1</v>
      </c>
      <c r="BG1928">
        <v>0</v>
      </c>
      <c r="BH1928">
        <v>0</v>
      </c>
      <c r="BI1928">
        <v>0</v>
      </c>
      <c r="BJ1928">
        <v>2600</v>
      </c>
      <c r="BK1928">
        <v>-300</v>
      </c>
      <c r="BL1928" t="s">
        <v>163</v>
      </c>
      <c r="BM1928">
        <v>1</v>
      </c>
      <c r="BN1928">
        <v>1</v>
      </c>
      <c r="BO1928">
        <v>1</v>
      </c>
      <c r="BP1928">
        <v>0</v>
      </c>
      <c r="BS1928">
        <v>0</v>
      </c>
      <c r="BT1928">
        <v>0</v>
      </c>
      <c r="BU1928">
        <v>0</v>
      </c>
      <c r="CE1928" t="str">
        <f t="shared" si="681"/>
        <v>19:30:35.804</v>
      </c>
      <c r="CF1928">
        <v>803644378</v>
      </c>
      <c r="CS1928">
        <v>0</v>
      </c>
      <c r="CT1928">
        <v>2</v>
      </c>
      <c r="CU1928">
        <v>0</v>
      </c>
      <c r="CV1928">
        <v>2</v>
      </c>
      <c r="CW1928">
        <v>0</v>
      </c>
      <c r="CX1928">
        <v>2</v>
      </c>
      <c r="CY1928">
        <v>7</v>
      </c>
      <c r="CZ1928" t="s">
        <v>131</v>
      </c>
      <c r="DA1928">
        <v>286</v>
      </c>
      <c r="DB1928">
        <v>0</v>
      </c>
      <c r="DC1928" t="s">
        <v>132</v>
      </c>
      <c r="DD1928" t="s">
        <v>133</v>
      </c>
      <c r="DG1928">
        <v>831686</v>
      </c>
      <c r="DI1928">
        <v>1</v>
      </c>
      <c r="DJ1928">
        <v>0</v>
      </c>
      <c r="DK1928">
        <v>1</v>
      </c>
      <c r="DL1928">
        <v>0</v>
      </c>
      <c r="DM1928">
        <v>0</v>
      </c>
      <c r="DN1928">
        <v>1</v>
      </c>
      <c r="DO1928">
        <v>0</v>
      </c>
      <c r="DP1928">
        <v>0</v>
      </c>
      <c r="DQ1928">
        <v>0</v>
      </c>
      <c r="DR1928">
        <v>0</v>
      </c>
      <c r="DS1928">
        <v>0</v>
      </c>
    </row>
    <row r="1929" spans="1:123" x14ac:dyDescent="0.3">
      <c r="A1929" t="str">
        <f t="shared" si="680"/>
        <v>10/04/2022 19:30:36.057</v>
      </c>
      <c r="C1929" t="str">
        <f t="shared" si="672"/>
        <v>FFDFD3C0</v>
      </c>
      <c r="D1929" t="s">
        <v>147</v>
      </c>
      <c r="E1929">
        <v>3</v>
      </c>
      <c r="H1929">
        <v>166</v>
      </c>
      <c r="I1929" t="s">
        <v>144</v>
      </c>
      <c r="J1929" t="s">
        <v>148</v>
      </c>
      <c r="K1929">
        <v>0</v>
      </c>
      <c r="L1929">
        <v>3</v>
      </c>
      <c r="M1929">
        <v>0</v>
      </c>
      <c r="N1929">
        <v>2</v>
      </c>
      <c r="O1929">
        <v>0</v>
      </c>
      <c r="P1929">
        <v>1</v>
      </c>
      <c r="Q1929">
        <v>0</v>
      </c>
      <c r="S1929" t="str">
        <f t="shared" si="676"/>
        <v>19:30:35.000</v>
      </c>
      <c r="T1929" t="str">
        <f t="shared" si="676"/>
        <v>19:30:35.000</v>
      </c>
      <c r="U1929" t="str">
        <f t="shared" si="678"/>
        <v>AC3944</v>
      </c>
      <c r="V1929">
        <v>0</v>
      </c>
      <c r="W1929">
        <v>0</v>
      </c>
      <c r="X1929">
        <v>2</v>
      </c>
      <c r="Y1929">
        <v>0</v>
      </c>
      <c r="AA1929">
        <v>1</v>
      </c>
      <c r="AB1929">
        <v>8</v>
      </c>
      <c r="AC1929">
        <v>3</v>
      </c>
      <c r="AD1929">
        <v>0</v>
      </c>
      <c r="AE1929">
        <v>9</v>
      </c>
      <c r="AF1929" t="s">
        <v>138</v>
      </c>
      <c r="AG1929">
        <v>0</v>
      </c>
      <c r="AH1929">
        <v>3</v>
      </c>
      <c r="AI1929">
        <v>1</v>
      </c>
      <c r="AJ1929">
        <v>0</v>
      </c>
      <c r="AK1929" t="s">
        <v>686</v>
      </c>
      <c r="AL1929">
        <v>32.777388000000002</v>
      </c>
      <c r="AM1929" t="s">
        <v>687</v>
      </c>
      <c r="AN1929">
        <v>-116.84839700000001</v>
      </c>
      <c r="AO1929">
        <v>25</v>
      </c>
      <c r="AP1929">
        <v>2900</v>
      </c>
      <c r="AQ1929" t="s">
        <v>129</v>
      </c>
      <c r="AR1929">
        <v>121</v>
      </c>
      <c r="AS1929">
        <v>-42</v>
      </c>
      <c r="AT1929">
        <v>384</v>
      </c>
      <c r="BB1929">
        <v>1200</v>
      </c>
      <c r="BC1929">
        <v>1</v>
      </c>
      <c r="BD1929" t="str">
        <f t="shared" si="679"/>
        <v xml:space="preserve">N887QR  </v>
      </c>
      <c r="BE1929">
        <v>1</v>
      </c>
      <c r="BG1929">
        <v>0</v>
      </c>
      <c r="BH1929">
        <v>0</v>
      </c>
      <c r="BI1929">
        <v>0</v>
      </c>
      <c r="BJ1929">
        <v>2600</v>
      </c>
      <c r="BK1929">
        <v>-300</v>
      </c>
      <c r="BL1929" t="s">
        <v>163</v>
      </c>
      <c r="BM1929">
        <v>1</v>
      </c>
      <c r="BN1929">
        <v>1</v>
      </c>
      <c r="BO1929">
        <v>1</v>
      </c>
      <c r="BP1929">
        <v>0</v>
      </c>
      <c r="BS1929">
        <v>0</v>
      </c>
      <c r="BT1929">
        <v>0</v>
      </c>
      <c r="BU1929">
        <v>0</v>
      </c>
      <c r="CE1929" t="str">
        <f t="shared" si="681"/>
        <v>19:30:35.804</v>
      </c>
      <c r="CF1929">
        <v>803644378</v>
      </c>
      <c r="CS1929">
        <v>0</v>
      </c>
      <c r="CT1929">
        <v>2</v>
      </c>
      <c r="CU1929">
        <v>0</v>
      </c>
      <c r="CV1929">
        <v>2</v>
      </c>
      <c r="CW1929">
        <v>0</v>
      </c>
      <c r="CX1929">
        <v>2</v>
      </c>
      <c r="CY1929">
        <v>7</v>
      </c>
      <c r="CZ1929" t="s">
        <v>131</v>
      </c>
      <c r="DA1929">
        <v>286</v>
      </c>
      <c r="DB1929">
        <v>0</v>
      </c>
      <c r="DC1929" t="s">
        <v>132</v>
      </c>
      <c r="DD1929" t="s">
        <v>133</v>
      </c>
      <c r="DG1929">
        <v>831686</v>
      </c>
      <c r="DI1929">
        <v>1</v>
      </c>
      <c r="DJ1929">
        <v>0</v>
      </c>
      <c r="DK1929">
        <v>1</v>
      </c>
      <c r="DL1929">
        <v>0</v>
      </c>
      <c r="DM1929">
        <v>0</v>
      </c>
      <c r="DN1929">
        <v>1</v>
      </c>
      <c r="DO1929">
        <v>0</v>
      </c>
      <c r="DP1929">
        <v>0</v>
      </c>
      <c r="DQ1929">
        <v>0</v>
      </c>
      <c r="DR1929">
        <v>0</v>
      </c>
      <c r="DS1929">
        <v>0</v>
      </c>
    </row>
    <row r="1930" spans="1:123" x14ac:dyDescent="0.3">
      <c r="A1930" t="str">
        <f t="shared" si="680"/>
        <v>10/04/2022 19:30:36.057</v>
      </c>
      <c r="C1930" t="str">
        <f t="shared" si="672"/>
        <v>FFDFD3C0</v>
      </c>
      <c r="D1930" t="s">
        <v>134</v>
      </c>
      <c r="E1930">
        <v>15</v>
      </c>
      <c r="J1930" t="s">
        <v>135</v>
      </c>
      <c r="K1930">
        <v>0</v>
      </c>
      <c r="L1930">
        <v>3</v>
      </c>
      <c r="M1930">
        <v>0</v>
      </c>
      <c r="N1930">
        <v>2</v>
      </c>
      <c r="O1930">
        <v>0</v>
      </c>
      <c r="P1930">
        <v>1</v>
      </c>
      <c r="Q1930">
        <v>0</v>
      </c>
      <c r="S1930" t="str">
        <f t="shared" si="676"/>
        <v>19:30:35.000</v>
      </c>
      <c r="T1930" t="str">
        <f t="shared" si="676"/>
        <v>19:30:35.000</v>
      </c>
      <c r="U1930" t="str">
        <f t="shared" si="678"/>
        <v>AC3944</v>
      </c>
      <c r="V1930">
        <v>0</v>
      </c>
      <c r="W1930">
        <v>0</v>
      </c>
      <c r="X1930">
        <v>2</v>
      </c>
      <c r="Y1930">
        <v>0</v>
      </c>
      <c r="AA1930">
        <v>1</v>
      </c>
      <c r="AB1930">
        <v>8</v>
      </c>
      <c r="AC1930">
        <v>3</v>
      </c>
      <c r="AD1930">
        <v>0</v>
      </c>
      <c r="AE1930">
        <v>9</v>
      </c>
      <c r="AF1930" t="s">
        <v>138</v>
      </c>
      <c r="AG1930">
        <v>0</v>
      </c>
      <c r="AH1930">
        <v>3</v>
      </c>
      <c r="AI1930">
        <v>1</v>
      </c>
      <c r="AJ1930">
        <v>0</v>
      </c>
      <c r="AK1930" t="s">
        <v>686</v>
      </c>
      <c r="AL1930">
        <v>32.777388000000002</v>
      </c>
      <c r="AM1930" t="s">
        <v>687</v>
      </c>
      <c r="AN1930">
        <v>-116.84839700000001</v>
      </c>
      <c r="AO1930">
        <v>25</v>
      </c>
      <c r="AP1930">
        <v>2900</v>
      </c>
      <c r="AQ1930" t="s">
        <v>129</v>
      </c>
      <c r="AR1930">
        <v>121</v>
      </c>
      <c r="AS1930">
        <v>-42</v>
      </c>
      <c r="AT1930">
        <v>384</v>
      </c>
      <c r="BB1930">
        <v>1200</v>
      </c>
      <c r="BC1930">
        <v>1</v>
      </c>
      <c r="BD1930" t="str">
        <f t="shared" si="679"/>
        <v xml:space="preserve">N887QR  </v>
      </c>
      <c r="BE1930">
        <v>1</v>
      </c>
      <c r="BG1930">
        <v>0</v>
      </c>
      <c r="BH1930">
        <v>0</v>
      </c>
      <c r="BI1930">
        <v>0</v>
      </c>
      <c r="BJ1930">
        <v>2600</v>
      </c>
      <c r="BK1930">
        <v>-300</v>
      </c>
      <c r="BL1930" t="s">
        <v>163</v>
      </c>
      <c r="BM1930">
        <v>1</v>
      </c>
      <c r="BN1930">
        <v>1</v>
      </c>
      <c r="BO1930">
        <v>1</v>
      </c>
      <c r="BP1930">
        <v>0</v>
      </c>
      <c r="BS1930">
        <v>0</v>
      </c>
      <c r="BT1930">
        <v>0</v>
      </c>
      <c r="BU1930">
        <v>0</v>
      </c>
      <c r="CE1930" t="str">
        <f t="shared" si="681"/>
        <v>19:30:35.804</v>
      </c>
      <c r="CF1930">
        <v>803644378</v>
      </c>
      <c r="CS1930">
        <v>0</v>
      </c>
      <c r="CT1930">
        <v>2</v>
      </c>
      <c r="CU1930">
        <v>0</v>
      </c>
      <c r="CV1930">
        <v>2</v>
      </c>
      <c r="CW1930">
        <v>0</v>
      </c>
      <c r="CX1930">
        <v>2</v>
      </c>
      <c r="CY1930">
        <v>7</v>
      </c>
      <c r="CZ1930" t="s">
        <v>131</v>
      </c>
      <c r="DA1930">
        <v>286</v>
      </c>
      <c r="DB1930">
        <v>0</v>
      </c>
      <c r="DC1930" t="s">
        <v>132</v>
      </c>
      <c r="DD1930" t="s">
        <v>133</v>
      </c>
      <c r="DG1930">
        <v>831686</v>
      </c>
      <c r="DI1930">
        <v>1</v>
      </c>
      <c r="DJ1930">
        <v>0</v>
      </c>
      <c r="DK1930">
        <v>1</v>
      </c>
      <c r="DL1930">
        <v>0</v>
      </c>
      <c r="DM1930">
        <v>0</v>
      </c>
      <c r="DN1930">
        <v>1</v>
      </c>
      <c r="DO1930">
        <v>0</v>
      </c>
      <c r="DP1930">
        <v>0</v>
      </c>
      <c r="DQ1930">
        <v>0</v>
      </c>
      <c r="DR1930">
        <v>0</v>
      </c>
      <c r="DS1930">
        <v>0</v>
      </c>
    </row>
    <row r="1931" spans="1:123" x14ac:dyDescent="0.3">
      <c r="A1931" t="str">
        <f t="shared" si="680"/>
        <v>10/04/2022 19:30:36.057</v>
      </c>
      <c r="C1931" t="str">
        <f t="shared" si="672"/>
        <v>FFDFD3C0</v>
      </c>
      <c r="D1931" t="s">
        <v>143</v>
      </c>
      <c r="E1931">
        <v>20</v>
      </c>
      <c r="F1931">
        <v>1020</v>
      </c>
      <c r="G1931" t="s">
        <v>144</v>
      </c>
      <c r="J1931" t="s">
        <v>145</v>
      </c>
      <c r="K1931">
        <v>0</v>
      </c>
      <c r="L1931">
        <v>3</v>
      </c>
      <c r="M1931">
        <v>0</v>
      </c>
      <c r="N1931">
        <v>2</v>
      </c>
      <c r="O1931">
        <v>0</v>
      </c>
      <c r="P1931">
        <v>1</v>
      </c>
      <c r="Q1931">
        <v>0</v>
      </c>
      <c r="S1931" t="str">
        <f t="shared" si="676"/>
        <v>19:30:35.000</v>
      </c>
      <c r="T1931" t="str">
        <f t="shared" si="676"/>
        <v>19:30:35.000</v>
      </c>
      <c r="U1931" t="str">
        <f t="shared" si="678"/>
        <v>AC3944</v>
      </c>
      <c r="V1931">
        <v>0</v>
      </c>
      <c r="W1931">
        <v>0</v>
      </c>
      <c r="X1931">
        <v>2</v>
      </c>
      <c r="Y1931">
        <v>0</v>
      </c>
      <c r="AA1931">
        <v>1</v>
      </c>
      <c r="AB1931">
        <v>8</v>
      </c>
      <c r="AC1931">
        <v>3</v>
      </c>
      <c r="AD1931">
        <v>0</v>
      </c>
      <c r="AE1931">
        <v>9</v>
      </c>
      <c r="AF1931" t="s">
        <v>138</v>
      </c>
      <c r="AG1931">
        <v>0</v>
      </c>
      <c r="AH1931">
        <v>3</v>
      </c>
      <c r="AI1931">
        <v>1</v>
      </c>
      <c r="AJ1931">
        <v>0</v>
      </c>
      <c r="AK1931" t="s">
        <v>686</v>
      </c>
      <c r="AL1931">
        <v>32.777388000000002</v>
      </c>
      <c r="AM1931" t="s">
        <v>687</v>
      </c>
      <c r="AN1931">
        <v>-116.84839700000001</v>
      </c>
      <c r="AO1931">
        <v>25</v>
      </c>
      <c r="AP1931">
        <v>2900</v>
      </c>
      <c r="AQ1931" t="s">
        <v>129</v>
      </c>
      <c r="AR1931">
        <v>121</v>
      </c>
      <c r="AS1931">
        <v>-42</v>
      </c>
      <c r="AT1931">
        <v>384</v>
      </c>
      <c r="BB1931">
        <v>1200</v>
      </c>
      <c r="BC1931">
        <v>1</v>
      </c>
      <c r="BD1931" t="str">
        <f t="shared" si="679"/>
        <v xml:space="preserve">N887QR  </v>
      </c>
      <c r="BE1931">
        <v>1</v>
      </c>
      <c r="BG1931">
        <v>0</v>
      </c>
      <c r="BH1931">
        <v>0</v>
      </c>
      <c r="BI1931">
        <v>0</v>
      </c>
      <c r="BJ1931">
        <v>2600</v>
      </c>
      <c r="BK1931">
        <v>-300</v>
      </c>
      <c r="BL1931" t="s">
        <v>163</v>
      </c>
      <c r="BM1931">
        <v>1</v>
      </c>
      <c r="BN1931">
        <v>1</v>
      </c>
      <c r="BO1931">
        <v>1</v>
      </c>
      <c r="BP1931">
        <v>0</v>
      </c>
      <c r="BS1931">
        <v>0</v>
      </c>
      <c r="BT1931">
        <v>0</v>
      </c>
      <c r="BU1931">
        <v>0</v>
      </c>
      <c r="CE1931" t="str">
        <f t="shared" si="681"/>
        <v>19:30:35.804</v>
      </c>
      <c r="CF1931">
        <v>803644378</v>
      </c>
      <c r="CS1931">
        <v>0</v>
      </c>
      <c r="CT1931">
        <v>2</v>
      </c>
      <c r="CU1931">
        <v>0</v>
      </c>
      <c r="CV1931">
        <v>2</v>
      </c>
      <c r="CW1931">
        <v>0</v>
      </c>
      <c r="CX1931">
        <v>2</v>
      </c>
      <c r="CY1931">
        <v>7</v>
      </c>
      <c r="CZ1931" t="s">
        <v>131</v>
      </c>
      <c r="DA1931">
        <v>286</v>
      </c>
      <c r="DB1931">
        <v>0</v>
      </c>
      <c r="DC1931" t="s">
        <v>132</v>
      </c>
      <c r="DD1931" t="s">
        <v>133</v>
      </c>
      <c r="DG1931">
        <v>831686</v>
      </c>
      <c r="DI1931">
        <v>1</v>
      </c>
      <c r="DJ1931">
        <v>0</v>
      </c>
      <c r="DK1931">
        <v>1</v>
      </c>
      <c r="DL1931">
        <v>0</v>
      </c>
      <c r="DM1931">
        <v>0</v>
      </c>
      <c r="DN1931">
        <v>1</v>
      </c>
      <c r="DO1931">
        <v>0</v>
      </c>
      <c r="DP1931">
        <v>0</v>
      </c>
      <c r="DQ1931">
        <v>0</v>
      </c>
      <c r="DR1931">
        <v>0</v>
      </c>
      <c r="DS1931">
        <v>0</v>
      </c>
    </row>
    <row r="1932" spans="1:123" x14ac:dyDescent="0.3">
      <c r="A1932" t="str">
        <f t="shared" si="680"/>
        <v>10/04/2022 19:30:36.057</v>
      </c>
      <c r="C1932" t="str">
        <f t="shared" si="672"/>
        <v>FFDFD3C0</v>
      </c>
      <c r="D1932" t="s">
        <v>141</v>
      </c>
      <c r="E1932">
        <v>3</v>
      </c>
      <c r="H1932">
        <v>3</v>
      </c>
      <c r="I1932" t="s">
        <v>146</v>
      </c>
      <c r="J1932" t="s">
        <v>138</v>
      </c>
      <c r="K1932">
        <v>0</v>
      </c>
      <c r="L1932">
        <v>3</v>
      </c>
      <c r="M1932">
        <v>0</v>
      </c>
      <c r="N1932">
        <v>2</v>
      </c>
      <c r="O1932">
        <v>0</v>
      </c>
      <c r="P1932">
        <v>1</v>
      </c>
      <c r="Q1932">
        <v>0</v>
      </c>
      <c r="S1932" t="str">
        <f t="shared" si="676"/>
        <v>19:30:35.000</v>
      </c>
      <c r="T1932" t="str">
        <f t="shared" si="676"/>
        <v>19:30:35.000</v>
      </c>
      <c r="U1932" t="str">
        <f t="shared" si="678"/>
        <v>AC3944</v>
      </c>
      <c r="V1932">
        <v>0</v>
      </c>
      <c r="W1932">
        <v>0</v>
      </c>
      <c r="X1932">
        <v>2</v>
      </c>
      <c r="Y1932">
        <v>0</v>
      </c>
      <c r="AA1932">
        <v>1</v>
      </c>
      <c r="AB1932">
        <v>8</v>
      </c>
      <c r="AC1932">
        <v>3</v>
      </c>
      <c r="AD1932">
        <v>0</v>
      </c>
      <c r="AE1932">
        <v>9</v>
      </c>
      <c r="AF1932" t="s">
        <v>138</v>
      </c>
      <c r="AG1932">
        <v>0</v>
      </c>
      <c r="AH1932">
        <v>3</v>
      </c>
      <c r="AI1932">
        <v>1</v>
      </c>
      <c r="AJ1932">
        <v>0</v>
      </c>
      <c r="AK1932" t="s">
        <v>686</v>
      </c>
      <c r="AL1932">
        <v>32.777388000000002</v>
      </c>
      <c r="AM1932" t="s">
        <v>687</v>
      </c>
      <c r="AN1932">
        <v>-116.84839700000001</v>
      </c>
      <c r="AO1932">
        <v>25</v>
      </c>
      <c r="AP1932">
        <v>2900</v>
      </c>
      <c r="AQ1932" t="s">
        <v>129</v>
      </c>
      <c r="AR1932">
        <v>121</v>
      </c>
      <c r="AS1932">
        <v>-42</v>
      </c>
      <c r="AT1932">
        <v>384</v>
      </c>
      <c r="BB1932">
        <v>1200</v>
      </c>
      <c r="BC1932">
        <v>1</v>
      </c>
      <c r="BD1932" t="str">
        <f t="shared" si="679"/>
        <v xml:space="preserve">N887QR  </v>
      </c>
      <c r="BE1932">
        <v>1</v>
      </c>
      <c r="BG1932">
        <v>0</v>
      </c>
      <c r="BH1932">
        <v>0</v>
      </c>
      <c r="BI1932">
        <v>0</v>
      </c>
      <c r="BJ1932">
        <v>2600</v>
      </c>
      <c r="BK1932">
        <v>-300</v>
      </c>
      <c r="BL1932" t="s">
        <v>163</v>
      </c>
      <c r="BM1932">
        <v>1</v>
      </c>
      <c r="BN1932">
        <v>1</v>
      </c>
      <c r="BO1932">
        <v>1</v>
      </c>
      <c r="BP1932">
        <v>0</v>
      </c>
      <c r="BS1932">
        <v>0</v>
      </c>
      <c r="BT1932">
        <v>0</v>
      </c>
      <c r="BU1932">
        <v>0</v>
      </c>
      <c r="CE1932" t="str">
        <f t="shared" si="681"/>
        <v>19:30:35.804</v>
      </c>
      <c r="CF1932">
        <v>803644378</v>
      </c>
      <c r="CS1932">
        <v>0</v>
      </c>
      <c r="CT1932">
        <v>2</v>
      </c>
      <c r="CU1932">
        <v>0</v>
      </c>
      <c r="CV1932">
        <v>2</v>
      </c>
      <c r="CW1932">
        <v>0</v>
      </c>
      <c r="CX1932">
        <v>2</v>
      </c>
      <c r="CY1932">
        <v>7</v>
      </c>
      <c r="CZ1932" t="s">
        <v>131</v>
      </c>
      <c r="DA1932">
        <v>286</v>
      </c>
      <c r="DB1932">
        <v>0</v>
      </c>
      <c r="DC1932" t="s">
        <v>132</v>
      </c>
      <c r="DD1932" t="s">
        <v>133</v>
      </c>
      <c r="DG1932">
        <v>831686</v>
      </c>
      <c r="DI1932">
        <v>1</v>
      </c>
      <c r="DJ1932">
        <v>0</v>
      </c>
      <c r="DK1932">
        <v>1</v>
      </c>
      <c r="DL1932">
        <v>0</v>
      </c>
      <c r="DM1932">
        <v>0</v>
      </c>
      <c r="DN1932">
        <v>1</v>
      </c>
      <c r="DO1932">
        <v>0</v>
      </c>
      <c r="DP1932">
        <v>0</v>
      </c>
      <c r="DQ1932">
        <v>0</v>
      </c>
      <c r="DR1932">
        <v>0</v>
      </c>
      <c r="DS1932">
        <v>0</v>
      </c>
    </row>
    <row r="1933" spans="1:123" x14ac:dyDescent="0.3">
      <c r="A1933" t="str">
        <f t="shared" si="680"/>
        <v>10/04/2022 19:30:36.057</v>
      </c>
      <c r="C1933" t="str">
        <f t="shared" si="672"/>
        <v>FFDFD3C0</v>
      </c>
      <c r="D1933" t="s">
        <v>123</v>
      </c>
      <c r="E1933">
        <v>7</v>
      </c>
      <c r="F1933">
        <v>2007</v>
      </c>
      <c r="G1933" t="s">
        <v>124</v>
      </c>
      <c r="J1933" t="s">
        <v>125</v>
      </c>
      <c r="K1933">
        <v>0</v>
      </c>
      <c r="L1933">
        <v>3</v>
      </c>
      <c r="M1933">
        <v>0</v>
      </c>
      <c r="N1933">
        <v>2</v>
      </c>
      <c r="O1933">
        <v>0</v>
      </c>
      <c r="P1933">
        <v>1</v>
      </c>
      <c r="Q1933">
        <v>0</v>
      </c>
      <c r="S1933" t="str">
        <f t="shared" si="676"/>
        <v>19:30:35.000</v>
      </c>
      <c r="T1933" t="str">
        <f t="shared" si="676"/>
        <v>19:30:35.000</v>
      </c>
      <c r="U1933" t="str">
        <f t="shared" si="678"/>
        <v>AC3944</v>
      </c>
      <c r="V1933">
        <v>0</v>
      </c>
      <c r="W1933">
        <v>0</v>
      </c>
      <c r="X1933">
        <v>2</v>
      </c>
      <c r="Y1933">
        <v>0</v>
      </c>
      <c r="AA1933">
        <v>1</v>
      </c>
      <c r="AB1933">
        <v>8</v>
      </c>
      <c r="AC1933">
        <v>3</v>
      </c>
      <c r="AD1933">
        <v>0</v>
      </c>
      <c r="AE1933">
        <v>9</v>
      </c>
      <c r="AF1933" t="s">
        <v>138</v>
      </c>
      <c r="AG1933">
        <v>0</v>
      </c>
      <c r="AH1933">
        <v>3</v>
      </c>
      <c r="AI1933">
        <v>1</v>
      </c>
      <c r="AJ1933">
        <v>0</v>
      </c>
      <c r="AK1933" t="s">
        <v>686</v>
      </c>
      <c r="AL1933">
        <v>32.777388000000002</v>
      </c>
      <c r="AM1933" t="s">
        <v>687</v>
      </c>
      <c r="AN1933">
        <v>-116.84839700000001</v>
      </c>
      <c r="AO1933">
        <v>25</v>
      </c>
      <c r="AP1933">
        <v>2900</v>
      </c>
      <c r="AQ1933" t="s">
        <v>129</v>
      </c>
      <c r="AR1933">
        <v>121</v>
      </c>
      <c r="AS1933">
        <v>-42</v>
      </c>
      <c r="AT1933">
        <v>384</v>
      </c>
      <c r="BB1933">
        <v>1200</v>
      </c>
      <c r="BC1933">
        <v>1</v>
      </c>
      <c r="BD1933" t="str">
        <f t="shared" si="679"/>
        <v xml:space="preserve">N887QR  </v>
      </c>
      <c r="BE1933">
        <v>1</v>
      </c>
      <c r="BG1933">
        <v>0</v>
      </c>
      <c r="BH1933">
        <v>0</v>
      </c>
      <c r="BI1933">
        <v>0</v>
      </c>
      <c r="BJ1933">
        <v>2600</v>
      </c>
      <c r="BK1933">
        <v>-300</v>
      </c>
      <c r="BL1933" t="s">
        <v>163</v>
      </c>
      <c r="BM1933">
        <v>1</v>
      </c>
      <c r="BN1933">
        <v>1</v>
      </c>
      <c r="BO1933">
        <v>1</v>
      </c>
      <c r="BP1933">
        <v>0</v>
      </c>
      <c r="BS1933">
        <v>0</v>
      </c>
      <c r="BT1933">
        <v>0</v>
      </c>
      <c r="BU1933">
        <v>0</v>
      </c>
      <c r="CE1933" t="str">
        <f t="shared" si="681"/>
        <v>19:30:35.804</v>
      </c>
      <c r="CF1933">
        <v>803644378</v>
      </c>
      <c r="CS1933">
        <v>0</v>
      </c>
      <c r="CT1933">
        <v>2</v>
      </c>
      <c r="CU1933">
        <v>0</v>
      </c>
      <c r="CV1933">
        <v>2</v>
      </c>
      <c r="CW1933">
        <v>0</v>
      </c>
      <c r="CX1933">
        <v>2</v>
      </c>
      <c r="CY1933">
        <v>7</v>
      </c>
      <c r="CZ1933" t="s">
        <v>131</v>
      </c>
      <c r="DA1933">
        <v>286</v>
      </c>
      <c r="DB1933">
        <v>0</v>
      </c>
      <c r="DC1933" t="s">
        <v>132</v>
      </c>
      <c r="DD1933" t="s">
        <v>133</v>
      </c>
      <c r="DG1933">
        <v>831686</v>
      </c>
      <c r="DI1933">
        <v>1</v>
      </c>
      <c r="DJ1933">
        <v>0</v>
      </c>
      <c r="DK1933">
        <v>1</v>
      </c>
      <c r="DL1933">
        <v>0</v>
      </c>
      <c r="DM1933">
        <v>0</v>
      </c>
      <c r="DN1933">
        <v>1</v>
      </c>
      <c r="DO1933">
        <v>0</v>
      </c>
      <c r="DP1933">
        <v>0</v>
      </c>
      <c r="DQ1933">
        <v>0</v>
      </c>
      <c r="DR1933">
        <v>0</v>
      </c>
      <c r="DS1933">
        <v>0</v>
      </c>
    </row>
    <row r="1934" spans="1:123" x14ac:dyDescent="0.3">
      <c r="A1934" t="str">
        <f>"10/04/2022 19:30:37.275"</f>
        <v>10/04/2022 19:30:37.275</v>
      </c>
      <c r="C1934" t="str">
        <f t="shared" si="672"/>
        <v>FFDFD3C0</v>
      </c>
      <c r="D1934" t="s">
        <v>147</v>
      </c>
      <c r="E1934">
        <v>3</v>
      </c>
      <c r="H1934">
        <v>166</v>
      </c>
      <c r="I1934" t="s">
        <v>144</v>
      </c>
      <c r="J1934" t="s">
        <v>148</v>
      </c>
      <c r="K1934">
        <v>0</v>
      </c>
      <c r="L1934">
        <v>3</v>
      </c>
      <c r="M1934">
        <v>0</v>
      </c>
      <c r="N1934">
        <v>2</v>
      </c>
      <c r="O1934">
        <v>0</v>
      </c>
      <c r="P1934">
        <v>1</v>
      </c>
      <c r="Q1934">
        <v>0</v>
      </c>
      <c r="S1934" t="str">
        <f t="shared" ref="S1934:T1939" si="682">"19:30:36.000"</f>
        <v>19:30:36.000</v>
      </c>
      <c r="T1934" t="str">
        <f t="shared" si="682"/>
        <v>19:30:36.000</v>
      </c>
      <c r="U1934" t="str">
        <f t="shared" si="678"/>
        <v>AC3944</v>
      </c>
      <c r="V1934">
        <v>0</v>
      </c>
      <c r="W1934">
        <v>0</v>
      </c>
      <c r="X1934">
        <v>2</v>
      </c>
      <c r="Y1934">
        <v>0</v>
      </c>
      <c r="AA1934">
        <v>1</v>
      </c>
      <c r="AB1934">
        <v>8</v>
      </c>
      <c r="AC1934">
        <v>3</v>
      </c>
      <c r="AD1934">
        <v>0</v>
      </c>
      <c r="AE1934">
        <v>9</v>
      </c>
      <c r="AF1934" t="s">
        <v>138</v>
      </c>
      <c r="AG1934">
        <v>0</v>
      </c>
      <c r="AH1934">
        <v>3</v>
      </c>
      <c r="AI1934">
        <v>1</v>
      </c>
      <c r="AJ1934">
        <v>0</v>
      </c>
      <c r="AK1934" t="s">
        <v>688</v>
      </c>
      <c r="AL1934">
        <v>32.777194999999999</v>
      </c>
      <c r="AM1934" t="s">
        <v>689</v>
      </c>
      <c r="AN1934">
        <v>-116.84773199999999</v>
      </c>
      <c r="AO1934">
        <v>25</v>
      </c>
      <c r="AP1934">
        <v>2900</v>
      </c>
      <c r="AQ1934" t="s">
        <v>129</v>
      </c>
      <c r="AR1934">
        <v>121</v>
      </c>
      <c r="AS1934">
        <v>-40</v>
      </c>
      <c r="AT1934">
        <v>384</v>
      </c>
      <c r="BB1934">
        <v>1200</v>
      </c>
      <c r="BC1934">
        <v>1</v>
      </c>
      <c r="BD1934" t="str">
        <f t="shared" si="679"/>
        <v xml:space="preserve">N887QR  </v>
      </c>
      <c r="BE1934">
        <v>1</v>
      </c>
      <c r="BG1934">
        <v>0</v>
      </c>
      <c r="BH1934">
        <v>0</v>
      </c>
      <c r="BI1934">
        <v>0</v>
      </c>
      <c r="BJ1934">
        <v>2625</v>
      </c>
      <c r="BK1934">
        <v>-275</v>
      </c>
      <c r="BL1934" t="s">
        <v>163</v>
      </c>
      <c r="BM1934">
        <v>1</v>
      </c>
      <c r="BN1934">
        <v>1</v>
      </c>
      <c r="BO1934">
        <v>1</v>
      </c>
      <c r="BP1934">
        <v>0</v>
      </c>
      <c r="BS1934">
        <v>0</v>
      </c>
      <c r="BT1934">
        <v>0</v>
      </c>
      <c r="BU1934">
        <v>0</v>
      </c>
      <c r="CE1934" t="str">
        <f t="shared" ref="CE1934:CE1939" si="683">"19:30:36.958"</f>
        <v>19:30:36.958</v>
      </c>
      <c r="CF1934">
        <v>957674337</v>
      </c>
      <c r="CS1934">
        <v>0</v>
      </c>
      <c r="CT1934">
        <v>2</v>
      </c>
      <c r="CU1934">
        <v>0</v>
      </c>
      <c r="CV1934">
        <v>2</v>
      </c>
      <c r="CW1934">
        <v>0</v>
      </c>
      <c r="CX1934">
        <v>4</v>
      </c>
      <c r="CY1934">
        <v>7</v>
      </c>
      <c r="CZ1934" t="s">
        <v>131</v>
      </c>
      <c r="DA1934">
        <v>300</v>
      </c>
      <c r="DB1934">
        <v>0</v>
      </c>
      <c r="DC1934" t="s">
        <v>176</v>
      </c>
      <c r="DD1934" t="s">
        <v>177</v>
      </c>
      <c r="DG1934">
        <v>5398289</v>
      </c>
      <c r="DI1934">
        <v>1</v>
      </c>
      <c r="DJ1934">
        <v>0</v>
      </c>
      <c r="DK1934">
        <v>0</v>
      </c>
      <c r="DL1934">
        <v>0</v>
      </c>
      <c r="DM1934">
        <v>0</v>
      </c>
      <c r="DN1934">
        <v>1</v>
      </c>
      <c r="DO1934">
        <v>0</v>
      </c>
      <c r="DP1934">
        <v>0</v>
      </c>
      <c r="DQ1934">
        <v>0</v>
      </c>
      <c r="DR1934">
        <v>0</v>
      </c>
      <c r="DS1934">
        <v>0</v>
      </c>
    </row>
    <row r="1935" spans="1:123" x14ac:dyDescent="0.3">
      <c r="A1935" t="str">
        <f>"10/04/2022 19:30:37.275"</f>
        <v>10/04/2022 19:30:37.275</v>
      </c>
      <c r="C1935" t="str">
        <f t="shared" si="672"/>
        <v>FFDFD3C0</v>
      </c>
      <c r="D1935" t="s">
        <v>136</v>
      </c>
      <c r="E1935">
        <v>8</v>
      </c>
      <c r="H1935">
        <v>225</v>
      </c>
      <c r="I1935" t="s">
        <v>137</v>
      </c>
      <c r="J1935" t="s">
        <v>138</v>
      </c>
      <c r="K1935">
        <v>0</v>
      </c>
      <c r="L1935">
        <v>3</v>
      </c>
      <c r="M1935">
        <v>0</v>
      </c>
      <c r="N1935">
        <v>2</v>
      </c>
      <c r="O1935">
        <v>0</v>
      </c>
      <c r="P1935">
        <v>1</v>
      </c>
      <c r="Q1935">
        <v>0</v>
      </c>
      <c r="S1935" t="str">
        <f t="shared" si="682"/>
        <v>19:30:36.000</v>
      </c>
      <c r="T1935" t="str">
        <f t="shared" si="682"/>
        <v>19:30:36.000</v>
      </c>
      <c r="U1935" t="str">
        <f t="shared" si="678"/>
        <v>AC3944</v>
      </c>
      <c r="V1935">
        <v>0</v>
      </c>
      <c r="W1935">
        <v>0</v>
      </c>
      <c r="X1935">
        <v>2</v>
      </c>
      <c r="Y1935">
        <v>0</v>
      </c>
      <c r="AA1935">
        <v>1</v>
      </c>
      <c r="AB1935">
        <v>8</v>
      </c>
      <c r="AC1935">
        <v>3</v>
      </c>
      <c r="AD1935">
        <v>0</v>
      </c>
      <c r="AE1935">
        <v>9</v>
      </c>
      <c r="AF1935" t="s">
        <v>138</v>
      </c>
      <c r="AG1935">
        <v>0</v>
      </c>
      <c r="AH1935">
        <v>3</v>
      </c>
      <c r="AI1935">
        <v>1</v>
      </c>
      <c r="AJ1935">
        <v>0</v>
      </c>
      <c r="AK1935" t="s">
        <v>688</v>
      </c>
      <c r="AL1935">
        <v>32.777194999999999</v>
      </c>
      <c r="AM1935" t="s">
        <v>689</v>
      </c>
      <c r="AN1935">
        <v>-116.84773199999999</v>
      </c>
      <c r="AO1935">
        <v>25</v>
      </c>
      <c r="AP1935">
        <v>2900</v>
      </c>
      <c r="AQ1935" t="s">
        <v>129</v>
      </c>
      <c r="AR1935">
        <v>121</v>
      </c>
      <c r="AS1935">
        <v>-40</v>
      </c>
      <c r="AT1935">
        <v>384</v>
      </c>
      <c r="BB1935">
        <v>1200</v>
      </c>
      <c r="BC1935">
        <v>1</v>
      </c>
      <c r="BD1935" t="str">
        <f t="shared" si="679"/>
        <v xml:space="preserve">N887QR  </v>
      </c>
      <c r="BE1935">
        <v>1</v>
      </c>
      <c r="BG1935">
        <v>0</v>
      </c>
      <c r="BH1935">
        <v>0</v>
      </c>
      <c r="BI1935">
        <v>0</v>
      </c>
      <c r="BJ1935">
        <v>2625</v>
      </c>
      <c r="BK1935">
        <v>-275</v>
      </c>
      <c r="BL1935" t="s">
        <v>163</v>
      </c>
      <c r="BM1935">
        <v>1</v>
      </c>
      <c r="BN1935">
        <v>1</v>
      </c>
      <c r="BO1935">
        <v>1</v>
      </c>
      <c r="BP1935">
        <v>0</v>
      </c>
      <c r="BS1935">
        <v>0</v>
      </c>
      <c r="BT1935">
        <v>0</v>
      </c>
      <c r="BU1935">
        <v>0</v>
      </c>
      <c r="CE1935" t="str">
        <f t="shared" si="683"/>
        <v>19:30:36.958</v>
      </c>
      <c r="CF1935">
        <v>957674337</v>
      </c>
      <c r="CS1935">
        <v>0</v>
      </c>
      <c r="CT1935">
        <v>2</v>
      </c>
      <c r="CU1935">
        <v>0</v>
      </c>
      <c r="CV1935">
        <v>2</v>
      </c>
      <c r="CW1935">
        <v>0</v>
      </c>
      <c r="CX1935">
        <v>4</v>
      </c>
      <c r="CY1935">
        <v>7</v>
      </c>
      <c r="CZ1935" t="s">
        <v>131</v>
      </c>
      <c r="DA1935">
        <v>300</v>
      </c>
      <c r="DB1935">
        <v>0</v>
      </c>
      <c r="DC1935" t="s">
        <v>176</v>
      </c>
      <c r="DD1935" t="s">
        <v>177</v>
      </c>
      <c r="DG1935">
        <v>5398289</v>
      </c>
      <c r="DI1935">
        <v>1</v>
      </c>
      <c r="DJ1935">
        <v>0</v>
      </c>
      <c r="DK1935">
        <v>1</v>
      </c>
      <c r="DL1935">
        <v>0</v>
      </c>
      <c r="DM1935">
        <v>0</v>
      </c>
      <c r="DN1935">
        <v>1</v>
      </c>
      <c r="DO1935">
        <v>0</v>
      </c>
      <c r="DP1935">
        <v>0</v>
      </c>
      <c r="DQ1935">
        <v>0</v>
      </c>
      <c r="DR1935">
        <v>0</v>
      </c>
      <c r="DS1935">
        <v>0</v>
      </c>
    </row>
    <row r="1936" spans="1:123" x14ac:dyDescent="0.3">
      <c r="A1936" t="str">
        <f>"10/04/2022 19:30:37.275"</f>
        <v>10/04/2022 19:30:37.275</v>
      </c>
      <c r="C1936" t="str">
        <f t="shared" si="672"/>
        <v>FFDFD3C0</v>
      </c>
      <c r="D1936" t="s">
        <v>143</v>
      </c>
      <c r="E1936">
        <v>20</v>
      </c>
      <c r="F1936">
        <v>1020</v>
      </c>
      <c r="G1936" t="s">
        <v>144</v>
      </c>
      <c r="J1936" t="s">
        <v>145</v>
      </c>
      <c r="K1936">
        <v>0</v>
      </c>
      <c r="L1936">
        <v>3</v>
      </c>
      <c r="M1936">
        <v>0</v>
      </c>
      <c r="N1936">
        <v>2</v>
      </c>
      <c r="O1936">
        <v>0</v>
      </c>
      <c r="P1936">
        <v>1</v>
      </c>
      <c r="Q1936">
        <v>0</v>
      </c>
      <c r="S1936" t="str">
        <f t="shared" si="682"/>
        <v>19:30:36.000</v>
      </c>
      <c r="T1936" t="str">
        <f t="shared" si="682"/>
        <v>19:30:36.000</v>
      </c>
      <c r="U1936" t="str">
        <f t="shared" si="678"/>
        <v>AC3944</v>
      </c>
      <c r="V1936">
        <v>0</v>
      </c>
      <c r="W1936">
        <v>0</v>
      </c>
      <c r="X1936">
        <v>2</v>
      </c>
      <c r="Y1936">
        <v>0</v>
      </c>
      <c r="AA1936">
        <v>1</v>
      </c>
      <c r="AB1936">
        <v>8</v>
      </c>
      <c r="AC1936">
        <v>3</v>
      </c>
      <c r="AD1936">
        <v>0</v>
      </c>
      <c r="AE1936">
        <v>9</v>
      </c>
      <c r="AF1936" t="s">
        <v>138</v>
      </c>
      <c r="AG1936">
        <v>0</v>
      </c>
      <c r="AH1936">
        <v>3</v>
      </c>
      <c r="AI1936">
        <v>1</v>
      </c>
      <c r="AJ1936">
        <v>0</v>
      </c>
      <c r="AK1936" t="s">
        <v>688</v>
      </c>
      <c r="AL1936">
        <v>32.777194999999999</v>
      </c>
      <c r="AM1936" t="s">
        <v>689</v>
      </c>
      <c r="AN1936">
        <v>-116.84773199999999</v>
      </c>
      <c r="AO1936">
        <v>25</v>
      </c>
      <c r="AP1936">
        <v>2900</v>
      </c>
      <c r="AQ1936" t="s">
        <v>129</v>
      </c>
      <c r="AR1936">
        <v>121</v>
      </c>
      <c r="AS1936">
        <v>-40</v>
      </c>
      <c r="AT1936">
        <v>384</v>
      </c>
      <c r="BB1936">
        <v>1200</v>
      </c>
      <c r="BC1936">
        <v>1</v>
      </c>
      <c r="BD1936" t="str">
        <f t="shared" si="679"/>
        <v xml:space="preserve">N887QR  </v>
      </c>
      <c r="BE1936">
        <v>1</v>
      </c>
      <c r="BG1936">
        <v>0</v>
      </c>
      <c r="BH1936">
        <v>0</v>
      </c>
      <c r="BI1936">
        <v>0</v>
      </c>
      <c r="BJ1936">
        <v>2625</v>
      </c>
      <c r="BK1936">
        <v>-275</v>
      </c>
      <c r="BL1936" t="s">
        <v>163</v>
      </c>
      <c r="BM1936">
        <v>1</v>
      </c>
      <c r="BN1936">
        <v>1</v>
      </c>
      <c r="BO1936">
        <v>1</v>
      </c>
      <c r="BP1936">
        <v>0</v>
      </c>
      <c r="BS1936">
        <v>0</v>
      </c>
      <c r="BT1936">
        <v>0</v>
      </c>
      <c r="BU1936">
        <v>0</v>
      </c>
      <c r="CE1936" t="str">
        <f t="shared" si="683"/>
        <v>19:30:36.958</v>
      </c>
      <c r="CF1936">
        <v>957674337</v>
      </c>
      <c r="CS1936">
        <v>0</v>
      </c>
      <c r="CT1936">
        <v>2</v>
      </c>
      <c r="CU1936">
        <v>0</v>
      </c>
      <c r="CV1936">
        <v>2</v>
      </c>
      <c r="CW1936">
        <v>0</v>
      </c>
      <c r="CX1936">
        <v>4</v>
      </c>
      <c r="CY1936">
        <v>7</v>
      </c>
      <c r="CZ1936" t="s">
        <v>131</v>
      </c>
      <c r="DA1936">
        <v>300</v>
      </c>
      <c r="DB1936">
        <v>0</v>
      </c>
      <c r="DC1936" t="s">
        <v>176</v>
      </c>
      <c r="DD1936" t="s">
        <v>177</v>
      </c>
      <c r="DG1936">
        <v>5398289</v>
      </c>
      <c r="DI1936">
        <v>1</v>
      </c>
      <c r="DJ1936">
        <v>0</v>
      </c>
      <c r="DK1936">
        <v>1</v>
      </c>
      <c r="DL1936">
        <v>0</v>
      </c>
      <c r="DM1936">
        <v>0</v>
      </c>
      <c r="DN1936">
        <v>1</v>
      </c>
      <c r="DO1936">
        <v>0</v>
      </c>
      <c r="DP1936">
        <v>0</v>
      </c>
      <c r="DQ1936">
        <v>0</v>
      </c>
      <c r="DR1936">
        <v>0</v>
      </c>
      <c r="DS1936">
        <v>0</v>
      </c>
    </row>
    <row r="1937" spans="1:123" x14ac:dyDescent="0.3">
      <c r="A1937" t="str">
        <f>"10/04/2022 19:30:37.275"</f>
        <v>10/04/2022 19:30:37.275</v>
      </c>
      <c r="C1937" t="str">
        <f t="shared" si="672"/>
        <v>FFDFD3C0</v>
      </c>
      <c r="D1937" t="s">
        <v>134</v>
      </c>
      <c r="E1937">
        <v>15</v>
      </c>
      <c r="J1937" t="s">
        <v>135</v>
      </c>
      <c r="K1937">
        <v>0</v>
      </c>
      <c r="L1937">
        <v>3</v>
      </c>
      <c r="M1937">
        <v>0</v>
      </c>
      <c r="N1937">
        <v>2</v>
      </c>
      <c r="O1937">
        <v>0</v>
      </c>
      <c r="P1937">
        <v>1</v>
      </c>
      <c r="Q1937">
        <v>0</v>
      </c>
      <c r="S1937" t="str">
        <f t="shared" si="682"/>
        <v>19:30:36.000</v>
      </c>
      <c r="T1937" t="str">
        <f t="shared" si="682"/>
        <v>19:30:36.000</v>
      </c>
      <c r="U1937" t="str">
        <f t="shared" si="678"/>
        <v>AC3944</v>
      </c>
      <c r="V1937">
        <v>0</v>
      </c>
      <c r="W1937">
        <v>0</v>
      </c>
      <c r="X1937">
        <v>2</v>
      </c>
      <c r="Y1937">
        <v>0</v>
      </c>
      <c r="AA1937">
        <v>1</v>
      </c>
      <c r="AB1937">
        <v>8</v>
      </c>
      <c r="AC1937">
        <v>3</v>
      </c>
      <c r="AD1937">
        <v>0</v>
      </c>
      <c r="AE1937">
        <v>9</v>
      </c>
      <c r="AF1937" t="s">
        <v>138</v>
      </c>
      <c r="AG1937">
        <v>0</v>
      </c>
      <c r="AH1937">
        <v>3</v>
      </c>
      <c r="AI1937">
        <v>1</v>
      </c>
      <c r="AJ1937">
        <v>0</v>
      </c>
      <c r="AK1937" t="s">
        <v>688</v>
      </c>
      <c r="AL1937">
        <v>32.777194999999999</v>
      </c>
      <c r="AM1937" t="s">
        <v>689</v>
      </c>
      <c r="AN1937">
        <v>-116.84773199999999</v>
      </c>
      <c r="AO1937">
        <v>25</v>
      </c>
      <c r="AP1937">
        <v>2900</v>
      </c>
      <c r="AQ1937" t="s">
        <v>129</v>
      </c>
      <c r="AR1937">
        <v>121</v>
      </c>
      <c r="AS1937">
        <v>-40</v>
      </c>
      <c r="AT1937">
        <v>384</v>
      </c>
      <c r="BB1937">
        <v>1200</v>
      </c>
      <c r="BC1937">
        <v>1</v>
      </c>
      <c r="BD1937" t="str">
        <f t="shared" si="679"/>
        <v xml:space="preserve">N887QR  </v>
      </c>
      <c r="BE1937">
        <v>1</v>
      </c>
      <c r="BG1937">
        <v>0</v>
      </c>
      <c r="BH1937">
        <v>0</v>
      </c>
      <c r="BI1937">
        <v>0</v>
      </c>
      <c r="BJ1937">
        <v>2625</v>
      </c>
      <c r="BK1937">
        <v>-275</v>
      </c>
      <c r="BL1937" t="s">
        <v>163</v>
      </c>
      <c r="BM1937">
        <v>1</v>
      </c>
      <c r="BN1937">
        <v>1</v>
      </c>
      <c r="BO1937">
        <v>1</v>
      </c>
      <c r="BP1937">
        <v>0</v>
      </c>
      <c r="BS1937">
        <v>0</v>
      </c>
      <c r="BT1937">
        <v>0</v>
      </c>
      <c r="BU1937">
        <v>0</v>
      </c>
      <c r="CE1937" t="str">
        <f t="shared" si="683"/>
        <v>19:30:36.958</v>
      </c>
      <c r="CF1937">
        <v>957674337</v>
      </c>
      <c r="CS1937">
        <v>0</v>
      </c>
      <c r="CT1937">
        <v>2</v>
      </c>
      <c r="CU1937">
        <v>0</v>
      </c>
      <c r="CV1937">
        <v>2</v>
      </c>
      <c r="CW1937">
        <v>0</v>
      </c>
      <c r="CX1937">
        <v>4</v>
      </c>
      <c r="CY1937">
        <v>7</v>
      </c>
      <c r="CZ1937" t="s">
        <v>131</v>
      </c>
      <c r="DA1937">
        <v>300</v>
      </c>
      <c r="DB1937">
        <v>0</v>
      </c>
      <c r="DC1937" t="s">
        <v>176</v>
      </c>
      <c r="DD1937" t="s">
        <v>177</v>
      </c>
      <c r="DG1937">
        <v>5398289</v>
      </c>
      <c r="DI1937">
        <v>1</v>
      </c>
      <c r="DJ1937">
        <v>0</v>
      </c>
      <c r="DK1937">
        <v>1</v>
      </c>
      <c r="DL1937">
        <v>0</v>
      </c>
      <c r="DM1937">
        <v>0</v>
      </c>
      <c r="DN1937">
        <v>1</v>
      </c>
      <c r="DO1937">
        <v>0</v>
      </c>
      <c r="DP1937">
        <v>0</v>
      </c>
      <c r="DQ1937">
        <v>0</v>
      </c>
      <c r="DR1937">
        <v>0</v>
      </c>
      <c r="DS1937">
        <v>0</v>
      </c>
    </row>
    <row r="1938" spans="1:123" x14ac:dyDescent="0.3">
      <c r="A1938" t="str">
        <f>"10/04/2022 19:30:37.275"</f>
        <v>10/04/2022 19:30:37.275</v>
      </c>
      <c r="C1938" t="str">
        <f t="shared" si="672"/>
        <v>FFDFD3C0</v>
      </c>
      <c r="D1938" t="s">
        <v>123</v>
      </c>
      <c r="E1938">
        <v>7</v>
      </c>
      <c r="F1938">
        <v>2007</v>
      </c>
      <c r="G1938" t="s">
        <v>124</v>
      </c>
      <c r="J1938" t="s">
        <v>125</v>
      </c>
      <c r="K1938">
        <v>0</v>
      </c>
      <c r="L1938">
        <v>3</v>
      </c>
      <c r="M1938">
        <v>0</v>
      </c>
      <c r="N1938">
        <v>2</v>
      </c>
      <c r="O1938">
        <v>0</v>
      </c>
      <c r="P1938">
        <v>1</v>
      </c>
      <c r="Q1938">
        <v>0</v>
      </c>
      <c r="S1938" t="str">
        <f t="shared" si="682"/>
        <v>19:30:36.000</v>
      </c>
      <c r="T1938" t="str">
        <f t="shared" si="682"/>
        <v>19:30:36.000</v>
      </c>
      <c r="U1938" t="str">
        <f t="shared" si="678"/>
        <v>AC3944</v>
      </c>
      <c r="V1938">
        <v>0</v>
      </c>
      <c r="W1938">
        <v>0</v>
      </c>
      <c r="X1938">
        <v>2</v>
      </c>
      <c r="Y1938">
        <v>0</v>
      </c>
      <c r="AA1938">
        <v>1</v>
      </c>
      <c r="AB1938">
        <v>8</v>
      </c>
      <c r="AC1938">
        <v>3</v>
      </c>
      <c r="AD1938">
        <v>0</v>
      </c>
      <c r="AE1938">
        <v>9</v>
      </c>
      <c r="AF1938" t="s">
        <v>138</v>
      </c>
      <c r="AG1938">
        <v>0</v>
      </c>
      <c r="AH1938">
        <v>3</v>
      </c>
      <c r="AI1938">
        <v>1</v>
      </c>
      <c r="AJ1938">
        <v>0</v>
      </c>
      <c r="AK1938" t="s">
        <v>688</v>
      </c>
      <c r="AL1938">
        <v>32.777194999999999</v>
      </c>
      <c r="AM1938" t="s">
        <v>689</v>
      </c>
      <c r="AN1938">
        <v>-116.84773199999999</v>
      </c>
      <c r="AO1938">
        <v>25</v>
      </c>
      <c r="AP1938">
        <v>2900</v>
      </c>
      <c r="AQ1938" t="s">
        <v>129</v>
      </c>
      <c r="AR1938">
        <v>121</v>
      </c>
      <c r="AS1938">
        <v>-40</v>
      </c>
      <c r="AT1938">
        <v>384</v>
      </c>
      <c r="BB1938">
        <v>1200</v>
      </c>
      <c r="BC1938">
        <v>1</v>
      </c>
      <c r="BD1938" t="str">
        <f t="shared" si="679"/>
        <v xml:space="preserve">N887QR  </v>
      </c>
      <c r="BE1938">
        <v>1</v>
      </c>
      <c r="BG1938">
        <v>0</v>
      </c>
      <c r="BH1938">
        <v>0</v>
      </c>
      <c r="BI1938">
        <v>0</v>
      </c>
      <c r="BJ1938">
        <v>2625</v>
      </c>
      <c r="BK1938">
        <v>-275</v>
      </c>
      <c r="BL1938" t="s">
        <v>163</v>
      </c>
      <c r="BM1938">
        <v>1</v>
      </c>
      <c r="BN1938">
        <v>1</v>
      </c>
      <c r="BO1938">
        <v>1</v>
      </c>
      <c r="BP1938">
        <v>0</v>
      </c>
      <c r="BS1938">
        <v>0</v>
      </c>
      <c r="BT1938">
        <v>0</v>
      </c>
      <c r="BU1938">
        <v>0</v>
      </c>
      <c r="CE1938" t="str">
        <f t="shared" si="683"/>
        <v>19:30:36.958</v>
      </c>
      <c r="CF1938">
        <v>957674337</v>
      </c>
      <c r="CS1938">
        <v>0</v>
      </c>
      <c r="CT1938">
        <v>2</v>
      </c>
      <c r="CU1938">
        <v>0</v>
      </c>
      <c r="CV1938">
        <v>2</v>
      </c>
      <c r="CW1938">
        <v>0</v>
      </c>
      <c r="CX1938">
        <v>4</v>
      </c>
      <c r="CY1938">
        <v>7</v>
      </c>
      <c r="CZ1938" t="s">
        <v>131</v>
      </c>
      <c r="DA1938">
        <v>300</v>
      </c>
      <c r="DB1938">
        <v>0</v>
      </c>
      <c r="DC1938" t="s">
        <v>176</v>
      </c>
      <c r="DD1938" t="s">
        <v>177</v>
      </c>
      <c r="DG1938">
        <v>5398289</v>
      </c>
      <c r="DI1938">
        <v>1</v>
      </c>
      <c r="DJ1938">
        <v>0</v>
      </c>
      <c r="DK1938">
        <v>1</v>
      </c>
      <c r="DL1938">
        <v>0</v>
      </c>
      <c r="DM1938">
        <v>0</v>
      </c>
      <c r="DN1938">
        <v>1</v>
      </c>
      <c r="DO1938">
        <v>0</v>
      </c>
      <c r="DP1938">
        <v>0</v>
      </c>
      <c r="DQ1938">
        <v>0</v>
      </c>
      <c r="DR1938">
        <v>0</v>
      </c>
      <c r="DS1938">
        <v>0</v>
      </c>
    </row>
    <row r="1939" spans="1:123" x14ac:dyDescent="0.3">
      <c r="A1939" t="str">
        <f>"10/04/2022 19:30:37.338"</f>
        <v>10/04/2022 19:30:37.338</v>
      </c>
      <c r="C1939" t="str">
        <f t="shared" si="672"/>
        <v>FFDFD3C0</v>
      </c>
      <c r="D1939" t="s">
        <v>141</v>
      </c>
      <c r="E1939">
        <v>3</v>
      </c>
      <c r="H1939">
        <v>3</v>
      </c>
      <c r="I1939" t="s">
        <v>146</v>
      </c>
      <c r="J1939" t="s">
        <v>138</v>
      </c>
      <c r="K1939">
        <v>0</v>
      </c>
      <c r="L1939">
        <v>3</v>
      </c>
      <c r="M1939">
        <v>0</v>
      </c>
      <c r="N1939">
        <v>2</v>
      </c>
      <c r="O1939">
        <v>0</v>
      </c>
      <c r="P1939">
        <v>1</v>
      </c>
      <c r="Q1939">
        <v>0</v>
      </c>
      <c r="S1939" t="str">
        <f t="shared" si="682"/>
        <v>19:30:36.000</v>
      </c>
      <c r="T1939" t="str">
        <f t="shared" si="682"/>
        <v>19:30:36.000</v>
      </c>
      <c r="U1939" t="str">
        <f t="shared" si="678"/>
        <v>AC3944</v>
      </c>
      <c r="V1939">
        <v>0</v>
      </c>
      <c r="W1939">
        <v>0</v>
      </c>
      <c r="X1939">
        <v>2</v>
      </c>
      <c r="Y1939">
        <v>0</v>
      </c>
      <c r="AA1939">
        <v>1</v>
      </c>
      <c r="AB1939">
        <v>8</v>
      </c>
      <c r="AC1939">
        <v>3</v>
      </c>
      <c r="AD1939">
        <v>0</v>
      </c>
      <c r="AE1939">
        <v>9</v>
      </c>
      <c r="AF1939" t="s">
        <v>138</v>
      </c>
      <c r="AG1939">
        <v>0</v>
      </c>
      <c r="AH1939">
        <v>3</v>
      </c>
      <c r="AI1939">
        <v>1</v>
      </c>
      <c r="AJ1939">
        <v>0</v>
      </c>
      <c r="AK1939" t="s">
        <v>688</v>
      </c>
      <c r="AL1939">
        <v>32.777194999999999</v>
      </c>
      <c r="AM1939" t="s">
        <v>689</v>
      </c>
      <c r="AN1939">
        <v>-116.84773199999999</v>
      </c>
      <c r="AO1939">
        <v>25</v>
      </c>
      <c r="AP1939">
        <v>2900</v>
      </c>
      <c r="AQ1939" t="s">
        <v>129</v>
      </c>
      <c r="AR1939">
        <v>121</v>
      </c>
      <c r="AS1939">
        <v>-40</v>
      </c>
      <c r="AT1939">
        <v>384</v>
      </c>
      <c r="BB1939">
        <v>1200</v>
      </c>
      <c r="BC1939">
        <v>1</v>
      </c>
      <c r="BD1939" t="str">
        <f t="shared" si="679"/>
        <v xml:space="preserve">N887QR  </v>
      </c>
      <c r="BE1939">
        <v>1</v>
      </c>
      <c r="BG1939">
        <v>0</v>
      </c>
      <c r="BH1939">
        <v>0</v>
      </c>
      <c r="BI1939">
        <v>0</v>
      </c>
      <c r="BJ1939">
        <v>2625</v>
      </c>
      <c r="BK1939">
        <v>-275</v>
      </c>
      <c r="BL1939" t="s">
        <v>163</v>
      </c>
      <c r="BM1939">
        <v>1</v>
      </c>
      <c r="BN1939">
        <v>1</v>
      </c>
      <c r="BO1939">
        <v>1</v>
      </c>
      <c r="BP1939">
        <v>0</v>
      </c>
      <c r="BS1939">
        <v>0</v>
      </c>
      <c r="BT1939">
        <v>0</v>
      </c>
      <c r="BU1939">
        <v>0</v>
      </c>
      <c r="CE1939" t="str">
        <f t="shared" si="683"/>
        <v>19:30:36.958</v>
      </c>
      <c r="CF1939">
        <v>957674337</v>
      </c>
      <c r="CS1939">
        <v>0</v>
      </c>
      <c r="CT1939">
        <v>2</v>
      </c>
      <c r="CU1939">
        <v>0</v>
      </c>
      <c r="CV1939">
        <v>2</v>
      </c>
      <c r="CW1939">
        <v>0</v>
      </c>
      <c r="CX1939">
        <v>4</v>
      </c>
      <c r="CY1939">
        <v>7</v>
      </c>
      <c r="CZ1939" t="s">
        <v>131</v>
      </c>
      <c r="DA1939">
        <v>300</v>
      </c>
      <c r="DB1939">
        <v>0</v>
      </c>
      <c r="DC1939" t="s">
        <v>176</v>
      </c>
      <c r="DD1939" t="s">
        <v>177</v>
      </c>
      <c r="DG1939">
        <v>5398289</v>
      </c>
      <c r="DI1939">
        <v>1</v>
      </c>
      <c r="DJ1939">
        <v>0</v>
      </c>
      <c r="DK1939">
        <v>1</v>
      </c>
      <c r="DL1939">
        <v>0</v>
      </c>
      <c r="DM1939">
        <v>0</v>
      </c>
      <c r="DN1939">
        <v>1</v>
      </c>
      <c r="DO1939">
        <v>0</v>
      </c>
      <c r="DP1939">
        <v>0</v>
      </c>
      <c r="DQ1939">
        <v>0</v>
      </c>
      <c r="DR1939">
        <v>0</v>
      </c>
      <c r="DS1939">
        <v>0</v>
      </c>
    </row>
    <row r="1940" spans="1:123" x14ac:dyDescent="0.3">
      <c r="A1940" t="str">
        <f t="shared" ref="A1940:A1946" si="684">"10/04/2022 19:30:38.760"</f>
        <v>10/04/2022 19:30:38.760</v>
      </c>
      <c r="C1940" t="str">
        <f t="shared" si="672"/>
        <v>FFDFD3C0</v>
      </c>
      <c r="D1940" t="s">
        <v>141</v>
      </c>
      <c r="E1940">
        <v>3</v>
      </c>
      <c r="H1940">
        <v>3</v>
      </c>
      <c r="I1940" t="s">
        <v>146</v>
      </c>
      <c r="J1940" t="s">
        <v>138</v>
      </c>
      <c r="K1940">
        <v>0</v>
      </c>
      <c r="L1940">
        <v>3</v>
      </c>
      <c r="M1940">
        <v>0</v>
      </c>
      <c r="N1940">
        <v>2</v>
      </c>
      <c r="O1940">
        <v>0</v>
      </c>
      <c r="P1940">
        <v>1</v>
      </c>
      <c r="Q1940">
        <v>0</v>
      </c>
      <c r="S1940" t="str">
        <f t="shared" ref="S1940:T1953" si="685">"19:30:38.000"</f>
        <v>19:30:38.000</v>
      </c>
      <c r="T1940" t="str">
        <f t="shared" si="685"/>
        <v>19:30:38.000</v>
      </c>
      <c r="U1940" t="str">
        <f t="shared" si="678"/>
        <v>AC3944</v>
      </c>
      <c r="V1940">
        <v>0</v>
      </c>
      <c r="W1940">
        <v>0</v>
      </c>
      <c r="X1940">
        <v>2</v>
      </c>
      <c r="Y1940">
        <v>0</v>
      </c>
      <c r="AA1940">
        <v>1</v>
      </c>
      <c r="AB1940">
        <v>8</v>
      </c>
      <c r="AC1940">
        <v>3</v>
      </c>
      <c r="AD1940">
        <v>0</v>
      </c>
      <c r="AE1940">
        <v>9</v>
      </c>
      <c r="AF1940" t="s">
        <v>138</v>
      </c>
      <c r="AG1940">
        <v>0</v>
      </c>
      <c r="AH1940">
        <v>3</v>
      </c>
      <c r="AI1940">
        <v>1</v>
      </c>
      <c r="AJ1940">
        <v>0</v>
      </c>
      <c r="AK1940" t="s">
        <v>690</v>
      </c>
      <c r="AL1940">
        <v>32.777023</v>
      </c>
      <c r="AM1940" t="s">
        <v>691</v>
      </c>
      <c r="AN1940">
        <v>-116.847067</v>
      </c>
      <c r="AO1940">
        <v>25</v>
      </c>
      <c r="AP1940">
        <v>2900</v>
      </c>
      <c r="AQ1940" t="s">
        <v>129</v>
      </c>
      <c r="AR1940">
        <v>121</v>
      </c>
      <c r="AS1940">
        <v>-39</v>
      </c>
      <c r="AT1940">
        <v>384</v>
      </c>
      <c r="BB1940">
        <v>1200</v>
      </c>
      <c r="BC1940">
        <v>1</v>
      </c>
      <c r="BD1940" t="str">
        <f t="shared" si="679"/>
        <v xml:space="preserve">N887QR  </v>
      </c>
      <c r="BE1940">
        <v>1</v>
      </c>
      <c r="BG1940">
        <v>0</v>
      </c>
      <c r="BH1940">
        <v>0</v>
      </c>
      <c r="BI1940">
        <v>0</v>
      </c>
      <c r="BJ1940">
        <v>2625</v>
      </c>
      <c r="BK1940">
        <v>-275</v>
      </c>
      <c r="BL1940" t="s">
        <v>163</v>
      </c>
      <c r="BM1940">
        <v>1</v>
      </c>
      <c r="BN1940">
        <v>1</v>
      </c>
      <c r="BO1940">
        <v>1</v>
      </c>
      <c r="BP1940">
        <v>0</v>
      </c>
      <c r="BS1940">
        <v>0</v>
      </c>
      <c r="BT1940">
        <v>0</v>
      </c>
      <c r="BU1940">
        <v>0</v>
      </c>
      <c r="CE1940" t="str">
        <f t="shared" ref="CE1940:CE1946" si="686">"19:30:38.511"</f>
        <v>19:30:38.511</v>
      </c>
      <c r="CF1940">
        <v>510679504</v>
      </c>
      <c r="CS1940">
        <v>0</v>
      </c>
      <c r="CT1940">
        <v>2</v>
      </c>
      <c r="CU1940">
        <v>0</v>
      </c>
      <c r="CV1940">
        <v>2</v>
      </c>
      <c r="CW1940">
        <v>0</v>
      </c>
      <c r="CX1940">
        <v>4</v>
      </c>
      <c r="CY1940">
        <v>7</v>
      </c>
      <c r="CZ1940" t="s">
        <v>131</v>
      </c>
      <c r="DA1940">
        <v>300</v>
      </c>
      <c r="DB1940">
        <v>0</v>
      </c>
      <c r="DC1940" t="s">
        <v>176</v>
      </c>
      <c r="DD1940" t="s">
        <v>177</v>
      </c>
      <c r="DG1940">
        <v>5398543</v>
      </c>
      <c r="DI1940">
        <v>1</v>
      </c>
      <c r="DJ1940">
        <v>0</v>
      </c>
      <c r="DK1940">
        <v>0</v>
      </c>
      <c r="DL1940">
        <v>0</v>
      </c>
      <c r="DM1940">
        <v>0</v>
      </c>
      <c r="DN1940">
        <v>1</v>
      </c>
      <c r="DO1940">
        <v>0</v>
      </c>
      <c r="DP1940">
        <v>0</v>
      </c>
      <c r="DQ1940">
        <v>0</v>
      </c>
      <c r="DR1940">
        <v>0</v>
      </c>
      <c r="DS1940">
        <v>0</v>
      </c>
    </row>
    <row r="1941" spans="1:123" x14ac:dyDescent="0.3">
      <c r="A1941" t="str">
        <f t="shared" si="684"/>
        <v>10/04/2022 19:30:38.760</v>
      </c>
      <c r="C1941" t="str">
        <f t="shared" si="672"/>
        <v>FFDFD3C0</v>
      </c>
      <c r="D1941" t="s">
        <v>141</v>
      </c>
      <c r="E1941">
        <v>4</v>
      </c>
      <c r="H1941">
        <v>4</v>
      </c>
      <c r="I1941" t="s">
        <v>142</v>
      </c>
      <c r="J1941" t="s">
        <v>138</v>
      </c>
      <c r="K1941">
        <v>0</v>
      </c>
      <c r="L1941">
        <v>3</v>
      </c>
      <c r="M1941">
        <v>0</v>
      </c>
      <c r="N1941">
        <v>2</v>
      </c>
      <c r="O1941">
        <v>0</v>
      </c>
      <c r="P1941">
        <v>1</v>
      </c>
      <c r="Q1941">
        <v>0</v>
      </c>
      <c r="S1941" t="str">
        <f t="shared" si="685"/>
        <v>19:30:38.000</v>
      </c>
      <c r="T1941" t="str">
        <f t="shared" si="685"/>
        <v>19:30:38.000</v>
      </c>
      <c r="U1941" t="str">
        <f t="shared" si="678"/>
        <v>AC3944</v>
      </c>
      <c r="V1941">
        <v>0</v>
      </c>
      <c r="W1941">
        <v>0</v>
      </c>
      <c r="X1941">
        <v>2</v>
      </c>
      <c r="Y1941">
        <v>0</v>
      </c>
      <c r="AA1941">
        <v>1</v>
      </c>
      <c r="AB1941">
        <v>8</v>
      </c>
      <c r="AC1941">
        <v>3</v>
      </c>
      <c r="AD1941">
        <v>0</v>
      </c>
      <c r="AE1941">
        <v>9</v>
      </c>
      <c r="AF1941" t="s">
        <v>138</v>
      </c>
      <c r="AG1941">
        <v>0</v>
      </c>
      <c r="AH1941">
        <v>3</v>
      </c>
      <c r="AI1941">
        <v>1</v>
      </c>
      <c r="AJ1941">
        <v>0</v>
      </c>
      <c r="AK1941" t="s">
        <v>690</v>
      </c>
      <c r="AL1941">
        <v>32.777023</v>
      </c>
      <c r="AM1941" t="s">
        <v>691</v>
      </c>
      <c r="AN1941">
        <v>-116.847067</v>
      </c>
      <c r="AO1941">
        <v>25</v>
      </c>
      <c r="AP1941">
        <v>2900</v>
      </c>
      <c r="AQ1941" t="s">
        <v>129</v>
      </c>
      <c r="AR1941">
        <v>121</v>
      </c>
      <c r="AS1941">
        <v>-39</v>
      </c>
      <c r="AT1941">
        <v>384</v>
      </c>
      <c r="BB1941">
        <v>1200</v>
      </c>
      <c r="BC1941">
        <v>1</v>
      </c>
      <c r="BD1941" t="str">
        <f t="shared" si="679"/>
        <v xml:space="preserve">N887QR  </v>
      </c>
      <c r="BE1941">
        <v>1</v>
      </c>
      <c r="BG1941">
        <v>0</v>
      </c>
      <c r="BH1941">
        <v>0</v>
      </c>
      <c r="BI1941">
        <v>0</v>
      </c>
      <c r="BJ1941">
        <v>2625</v>
      </c>
      <c r="BK1941">
        <v>-275</v>
      </c>
      <c r="BL1941" t="s">
        <v>163</v>
      </c>
      <c r="BM1941">
        <v>1</v>
      </c>
      <c r="BN1941">
        <v>1</v>
      </c>
      <c r="BO1941">
        <v>1</v>
      </c>
      <c r="BP1941">
        <v>0</v>
      </c>
      <c r="BS1941">
        <v>0</v>
      </c>
      <c r="BT1941">
        <v>0</v>
      </c>
      <c r="BU1941">
        <v>0</v>
      </c>
      <c r="CE1941" t="str">
        <f t="shared" si="686"/>
        <v>19:30:38.511</v>
      </c>
      <c r="CF1941">
        <v>510679504</v>
      </c>
      <c r="CS1941">
        <v>0</v>
      </c>
      <c r="CT1941">
        <v>2</v>
      </c>
      <c r="CU1941">
        <v>0</v>
      </c>
      <c r="CV1941">
        <v>2</v>
      </c>
      <c r="CW1941">
        <v>0</v>
      </c>
      <c r="CX1941">
        <v>4</v>
      </c>
      <c r="CY1941">
        <v>7</v>
      </c>
      <c r="CZ1941" t="s">
        <v>131</v>
      </c>
      <c r="DA1941">
        <v>300</v>
      </c>
      <c r="DB1941">
        <v>0</v>
      </c>
      <c r="DC1941" t="s">
        <v>176</v>
      </c>
      <c r="DD1941" t="s">
        <v>177</v>
      </c>
      <c r="DG1941">
        <v>5398543</v>
      </c>
      <c r="DI1941">
        <v>1</v>
      </c>
      <c r="DJ1941">
        <v>0</v>
      </c>
      <c r="DK1941">
        <v>1</v>
      </c>
      <c r="DL1941">
        <v>0</v>
      </c>
      <c r="DM1941">
        <v>0</v>
      </c>
      <c r="DN1941">
        <v>1</v>
      </c>
      <c r="DO1941">
        <v>0</v>
      </c>
      <c r="DP1941">
        <v>0</v>
      </c>
      <c r="DQ1941">
        <v>0</v>
      </c>
      <c r="DR1941">
        <v>0</v>
      </c>
      <c r="DS1941">
        <v>0</v>
      </c>
    </row>
    <row r="1942" spans="1:123" x14ac:dyDescent="0.3">
      <c r="A1942" t="str">
        <f t="shared" si="684"/>
        <v>10/04/2022 19:30:38.760</v>
      </c>
      <c r="C1942" t="str">
        <f t="shared" si="672"/>
        <v>FFDFD3C0</v>
      </c>
      <c r="D1942" t="s">
        <v>136</v>
      </c>
      <c r="E1942">
        <v>8</v>
      </c>
      <c r="H1942">
        <v>225</v>
      </c>
      <c r="I1942" t="s">
        <v>137</v>
      </c>
      <c r="J1942" t="s">
        <v>138</v>
      </c>
      <c r="K1942">
        <v>0</v>
      </c>
      <c r="L1942">
        <v>3</v>
      </c>
      <c r="M1942">
        <v>0</v>
      </c>
      <c r="N1942">
        <v>2</v>
      </c>
      <c r="O1942">
        <v>0</v>
      </c>
      <c r="P1942">
        <v>1</v>
      </c>
      <c r="Q1942">
        <v>0</v>
      </c>
      <c r="S1942" t="str">
        <f t="shared" si="685"/>
        <v>19:30:38.000</v>
      </c>
      <c r="T1942" t="str">
        <f t="shared" si="685"/>
        <v>19:30:38.000</v>
      </c>
      <c r="U1942" t="str">
        <f t="shared" si="678"/>
        <v>AC3944</v>
      </c>
      <c r="V1942">
        <v>0</v>
      </c>
      <c r="W1942">
        <v>0</v>
      </c>
      <c r="X1942">
        <v>2</v>
      </c>
      <c r="Y1942">
        <v>0</v>
      </c>
      <c r="AA1942">
        <v>1</v>
      </c>
      <c r="AB1942">
        <v>8</v>
      </c>
      <c r="AC1942">
        <v>3</v>
      </c>
      <c r="AD1942">
        <v>0</v>
      </c>
      <c r="AE1942">
        <v>9</v>
      </c>
      <c r="AF1942" t="s">
        <v>138</v>
      </c>
      <c r="AG1942">
        <v>0</v>
      </c>
      <c r="AH1942">
        <v>3</v>
      </c>
      <c r="AI1942">
        <v>1</v>
      </c>
      <c r="AJ1942">
        <v>0</v>
      </c>
      <c r="AK1942" t="s">
        <v>690</v>
      </c>
      <c r="AL1942">
        <v>32.777023</v>
      </c>
      <c r="AM1942" t="s">
        <v>691</v>
      </c>
      <c r="AN1942">
        <v>-116.847067</v>
      </c>
      <c r="AO1942">
        <v>25</v>
      </c>
      <c r="AP1942">
        <v>2900</v>
      </c>
      <c r="AQ1942" t="s">
        <v>129</v>
      </c>
      <c r="AR1942">
        <v>121</v>
      </c>
      <c r="AS1942">
        <v>-39</v>
      </c>
      <c r="AT1942">
        <v>384</v>
      </c>
      <c r="BB1942">
        <v>1200</v>
      </c>
      <c r="BC1942">
        <v>1</v>
      </c>
      <c r="BD1942" t="str">
        <f t="shared" si="679"/>
        <v xml:space="preserve">N887QR  </v>
      </c>
      <c r="BE1942">
        <v>1</v>
      </c>
      <c r="BG1942">
        <v>0</v>
      </c>
      <c r="BH1942">
        <v>0</v>
      </c>
      <c r="BI1942">
        <v>0</v>
      </c>
      <c r="BJ1942">
        <v>2625</v>
      </c>
      <c r="BK1942">
        <v>-275</v>
      </c>
      <c r="BL1942" t="s">
        <v>163</v>
      </c>
      <c r="BM1942">
        <v>1</v>
      </c>
      <c r="BN1942">
        <v>1</v>
      </c>
      <c r="BO1942">
        <v>1</v>
      </c>
      <c r="BP1942">
        <v>0</v>
      </c>
      <c r="BS1942">
        <v>0</v>
      </c>
      <c r="BT1942">
        <v>0</v>
      </c>
      <c r="BU1942">
        <v>0</v>
      </c>
      <c r="CE1942" t="str">
        <f t="shared" si="686"/>
        <v>19:30:38.511</v>
      </c>
      <c r="CF1942">
        <v>510679504</v>
      </c>
      <c r="CS1942">
        <v>0</v>
      </c>
      <c r="CT1942">
        <v>2</v>
      </c>
      <c r="CU1942">
        <v>0</v>
      </c>
      <c r="CV1942">
        <v>2</v>
      </c>
      <c r="CW1942">
        <v>0</v>
      </c>
      <c r="CX1942">
        <v>4</v>
      </c>
      <c r="CY1942">
        <v>7</v>
      </c>
      <c r="CZ1942" t="s">
        <v>131</v>
      </c>
      <c r="DA1942">
        <v>300</v>
      </c>
      <c r="DB1942">
        <v>0</v>
      </c>
      <c r="DC1942" t="s">
        <v>176</v>
      </c>
      <c r="DD1942" t="s">
        <v>177</v>
      </c>
      <c r="DG1942">
        <v>5398543</v>
      </c>
      <c r="DI1942">
        <v>1</v>
      </c>
      <c r="DJ1942">
        <v>0</v>
      </c>
      <c r="DK1942">
        <v>1</v>
      </c>
      <c r="DL1942">
        <v>0</v>
      </c>
      <c r="DM1942">
        <v>0</v>
      </c>
      <c r="DN1942">
        <v>1</v>
      </c>
      <c r="DO1942">
        <v>0</v>
      </c>
      <c r="DP1942">
        <v>0</v>
      </c>
      <c r="DQ1942">
        <v>0</v>
      </c>
      <c r="DR1942">
        <v>0</v>
      </c>
      <c r="DS1942">
        <v>0</v>
      </c>
    </row>
    <row r="1943" spans="1:123" x14ac:dyDescent="0.3">
      <c r="A1943" t="str">
        <f t="shared" si="684"/>
        <v>10/04/2022 19:30:38.760</v>
      </c>
      <c r="C1943" t="str">
        <f t="shared" si="672"/>
        <v>FFDFD3C0</v>
      </c>
      <c r="D1943" t="s">
        <v>147</v>
      </c>
      <c r="E1943">
        <v>3</v>
      </c>
      <c r="H1943">
        <v>166</v>
      </c>
      <c r="I1943" t="s">
        <v>144</v>
      </c>
      <c r="J1943" t="s">
        <v>148</v>
      </c>
      <c r="K1943">
        <v>0</v>
      </c>
      <c r="L1943">
        <v>3</v>
      </c>
      <c r="M1943">
        <v>0</v>
      </c>
      <c r="N1943">
        <v>2</v>
      </c>
      <c r="O1943">
        <v>0</v>
      </c>
      <c r="P1943">
        <v>1</v>
      </c>
      <c r="Q1943">
        <v>0</v>
      </c>
      <c r="S1943" t="str">
        <f t="shared" si="685"/>
        <v>19:30:38.000</v>
      </c>
      <c r="T1943" t="str">
        <f t="shared" si="685"/>
        <v>19:30:38.000</v>
      </c>
      <c r="U1943" t="str">
        <f t="shared" si="678"/>
        <v>AC3944</v>
      </c>
      <c r="V1943">
        <v>0</v>
      </c>
      <c r="W1943">
        <v>0</v>
      </c>
      <c r="X1943">
        <v>2</v>
      </c>
      <c r="Y1943">
        <v>0</v>
      </c>
      <c r="AA1943">
        <v>1</v>
      </c>
      <c r="AB1943">
        <v>8</v>
      </c>
      <c r="AC1943">
        <v>3</v>
      </c>
      <c r="AD1943">
        <v>0</v>
      </c>
      <c r="AE1943">
        <v>9</v>
      </c>
      <c r="AF1943" t="s">
        <v>138</v>
      </c>
      <c r="AG1943">
        <v>0</v>
      </c>
      <c r="AH1943">
        <v>3</v>
      </c>
      <c r="AI1943">
        <v>1</v>
      </c>
      <c r="AJ1943">
        <v>0</v>
      </c>
      <c r="AK1943" t="s">
        <v>690</v>
      </c>
      <c r="AL1943">
        <v>32.777023</v>
      </c>
      <c r="AM1943" t="s">
        <v>691</v>
      </c>
      <c r="AN1943">
        <v>-116.847067</v>
      </c>
      <c r="AO1943">
        <v>25</v>
      </c>
      <c r="AP1943">
        <v>2900</v>
      </c>
      <c r="AQ1943" t="s">
        <v>129</v>
      </c>
      <c r="AR1943">
        <v>121</v>
      </c>
      <c r="AS1943">
        <v>-39</v>
      </c>
      <c r="AT1943">
        <v>384</v>
      </c>
      <c r="BB1943">
        <v>1200</v>
      </c>
      <c r="BC1943">
        <v>1</v>
      </c>
      <c r="BD1943" t="str">
        <f t="shared" si="679"/>
        <v xml:space="preserve">N887QR  </v>
      </c>
      <c r="BE1943">
        <v>1</v>
      </c>
      <c r="BG1943">
        <v>0</v>
      </c>
      <c r="BH1943">
        <v>0</v>
      </c>
      <c r="BI1943">
        <v>0</v>
      </c>
      <c r="BJ1943">
        <v>2625</v>
      </c>
      <c r="BK1943">
        <v>-275</v>
      </c>
      <c r="BL1943" t="s">
        <v>163</v>
      </c>
      <c r="BM1943">
        <v>1</v>
      </c>
      <c r="BN1943">
        <v>1</v>
      </c>
      <c r="BO1943">
        <v>1</v>
      </c>
      <c r="BP1943">
        <v>0</v>
      </c>
      <c r="BS1943">
        <v>0</v>
      </c>
      <c r="BT1943">
        <v>0</v>
      </c>
      <c r="BU1943">
        <v>0</v>
      </c>
      <c r="CE1943" t="str">
        <f t="shared" si="686"/>
        <v>19:30:38.511</v>
      </c>
      <c r="CF1943">
        <v>510679504</v>
      </c>
      <c r="CS1943">
        <v>0</v>
      </c>
      <c r="CT1943">
        <v>2</v>
      </c>
      <c r="CU1943">
        <v>0</v>
      </c>
      <c r="CV1943">
        <v>2</v>
      </c>
      <c r="CW1943">
        <v>0</v>
      </c>
      <c r="CX1943">
        <v>4</v>
      </c>
      <c r="CY1943">
        <v>7</v>
      </c>
      <c r="CZ1943" t="s">
        <v>131</v>
      </c>
      <c r="DA1943">
        <v>300</v>
      </c>
      <c r="DB1943">
        <v>0</v>
      </c>
      <c r="DC1943" t="s">
        <v>176</v>
      </c>
      <c r="DD1943" t="s">
        <v>177</v>
      </c>
      <c r="DG1943">
        <v>5398543</v>
      </c>
      <c r="DI1943">
        <v>1</v>
      </c>
      <c r="DJ1943">
        <v>0</v>
      </c>
      <c r="DK1943">
        <v>1</v>
      </c>
      <c r="DL1943">
        <v>0</v>
      </c>
      <c r="DM1943">
        <v>0</v>
      </c>
      <c r="DN1943">
        <v>1</v>
      </c>
      <c r="DO1943">
        <v>0</v>
      </c>
      <c r="DP1943">
        <v>0</v>
      </c>
      <c r="DQ1943">
        <v>0</v>
      </c>
      <c r="DR1943">
        <v>0</v>
      </c>
      <c r="DS1943">
        <v>0</v>
      </c>
    </row>
    <row r="1944" spans="1:123" x14ac:dyDescent="0.3">
      <c r="A1944" t="str">
        <f t="shared" si="684"/>
        <v>10/04/2022 19:30:38.760</v>
      </c>
      <c r="C1944" t="str">
        <f t="shared" si="672"/>
        <v>FFDFD3C0</v>
      </c>
      <c r="D1944" t="s">
        <v>143</v>
      </c>
      <c r="E1944">
        <v>20</v>
      </c>
      <c r="F1944">
        <v>1020</v>
      </c>
      <c r="G1944" t="s">
        <v>144</v>
      </c>
      <c r="J1944" t="s">
        <v>145</v>
      </c>
      <c r="K1944">
        <v>0</v>
      </c>
      <c r="L1944">
        <v>3</v>
      </c>
      <c r="M1944">
        <v>0</v>
      </c>
      <c r="N1944">
        <v>2</v>
      </c>
      <c r="O1944">
        <v>0</v>
      </c>
      <c r="P1944">
        <v>1</v>
      </c>
      <c r="Q1944">
        <v>0</v>
      </c>
      <c r="S1944" t="str">
        <f t="shared" si="685"/>
        <v>19:30:38.000</v>
      </c>
      <c r="T1944" t="str">
        <f t="shared" si="685"/>
        <v>19:30:38.000</v>
      </c>
      <c r="U1944" t="str">
        <f t="shared" si="678"/>
        <v>AC3944</v>
      </c>
      <c r="V1944">
        <v>0</v>
      </c>
      <c r="W1944">
        <v>0</v>
      </c>
      <c r="X1944">
        <v>2</v>
      </c>
      <c r="Y1944">
        <v>0</v>
      </c>
      <c r="AA1944">
        <v>1</v>
      </c>
      <c r="AB1944">
        <v>8</v>
      </c>
      <c r="AC1944">
        <v>3</v>
      </c>
      <c r="AD1944">
        <v>0</v>
      </c>
      <c r="AE1944">
        <v>9</v>
      </c>
      <c r="AF1944" t="s">
        <v>138</v>
      </c>
      <c r="AG1944">
        <v>0</v>
      </c>
      <c r="AH1944">
        <v>3</v>
      </c>
      <c r="AI1944">
        <v>1</v>
      </c>
      <c r="AJ1944">
        <v>0</v>
      </c>
      <c r="AK1944" t="s">
        <v>690</v>
      </c>
      <c r="AL1944">
        <v>32.777023</v>
      </c>
      <c r="AM1944" t="s">
        <v>691</v>
      </c>
      <c r="AN1944">
        <v>-116.847067</v>
      </c>
      <c r="AO1944">
        <v>25</v>
      </c>
      <c r="AP1944">
        <v>2900</v>
      </c>
      <c r="AQ1944" t="s">
        <v>129</v>
      </c>
      <c r="AR1944">
        <v>121</v>
      </c>
      <c r="AS1944">
        <v>-39</v>
      </c>
      <c r="AT1944">
        <v>384</v>
      </c>
      <c r="BB1944">
        <v>1200</v>
      </c>
      <c r="BC1944">
        <v>1</v>
      </c>
      <c r="BD1944" t="str">
        <f t="shared" si="679"/>
        <v xml:space="preserve">N887QR  </v>
      </c>
      <c r="BE1944">
        <v>1</v>
      </c>
      <c r="BG1944">
        <v>0</v>
      </c>
      <c r="BH1944">
        <v>0</v>
      </c>
      <c r="BI1944">
        <v>0</v>
      </c>
      <c r="BJ1944">
        <v>2625</v>
      </c>
      <c r="BK1944">
        <v>-275</v>
      </c>
      <c r="BL1944" t="s">
        <v>163</v>
      </c>
      <c r="BM1944">
        <v>1</v>
      </c>
      <c r="BN1944">
        <v>1</v>
      </c>
      <c r="BO1944">
        <v>1</v>
      </c>
      <c r="BP1944">
        <v>0</v>
      </c>
      <c r="BS1944">
        <v>0</v>
      </c>
      <c r="BT1944">
        <v>0</v>
      </c>
      <c r="BU1944">
        <v>0</v>
      </c>
      <c r="CE1944" t="str">
        <f t="shared" si="686"/>
        <v>19:30:38.511</v>
      </c>
      <c r="CF1944">
        <v>510679504</v>
      </c>
      <c r="CS1944">
        <v>0</v>
      </c>
      <c r="CT1944">
        <v>2</v>
      </c>
      <c r="CU1944">
        <v>0</v>
      </c>
      <c r="CV1944">
        <v>2</v>
      </c>
      <c r="CW1944">
        <v>0</v>
      </c>
      <c r="CX1944">
        <v>4</v>
      </c>
      <c r="CY1944">
        <v>7</v>
      </c>
      <c r="CZ1944" t="s">
        <v>131</v>
      </c>
      <c r="DA1944">
        <v>300</v>
      </c>
      <c r="DB1944">
        <v>0</v>
      </c>
      <c r="DC1944" t="s">
        <v>176</v>
      </c>
      <c r="DD1944" t="s">
        <v>177</v>
      </c>
      <c r="DG1944">
        <v>5398543</v>
      </c>
      <c r="DI1944">
        <v>1</v>
      </c>
      <c r="DJ1944">
        <v>0</v>
      </c>
      <c r="DK1944">
        <v>1</v>
      </c>
      <c r="DL1944">
        <v>0</v>
      </c>
      <c r="DM1944">
        <v>0</v>
      </c>
      <c r="DN1944">
        <v>1</v>
      </c>
      <c r="DO1944">
        <v>0</v>
      </c>
      <c r="DP1944">
        <v>0</v>
      </c>
      <c r="DQ1944">
        <v>0</v>
      </c>
      <c r="DR1944">
        <v>0</v>
      </c>
      <c r="DS1944">
        <v>0</v>
      </c>
    </row>
    <row r="1945" spans="1:123" x14ac:dyDescent="0.3">
      <c r="A1945" t="str">
        <f t="shared" si="684"/>
        <v>10/04/2022 19:30:38.760</v>
      </c>
      <c r="C1945" t="str">
        <f t="shared" si="672"/>
        <v>FFDFD3C0</v>
      </c>
      <c r="D1945" t="s">
        <v>123</v>
      </c>
      <c r="E1945">
        <v>7</v>
      </c>
      <c r="F1945">
        <v>2007</v>
      </c>
      <c r="G1945" t="s">
        <v>124</v>
      </c>
      <c r="J1945" t="s">
        <v>125</v>
      </c>
      <c r="K1945">
        <v>0</v>
      </c>
      <c r="L1945">
        <v>3</v>
      </c>
      <c r="M1945">
        <v>0</v>
      </c>
      <c r="N1945">
        <v>2</v>
      </c>
      <c r="O1945">
        <v>0</v>
      </c>
      <c r="P1945">
        <v>1</v>
      </c>
      <c r="Q1945">
        <v>0</v>
      </c>
      <c r="S1945" t="str">
        <f t="shared" si="685"/>
        <v>19:30:38.000</v>
      </c>
      <c r="T1945" t="str">
        <f t="shared" si="685"/>
        <v>19:30:38.000</v>
      </c>
      <c r="U1945" t="str">
        <f t="shared" si="678"/>
        <v>AC3944</v>
      </c>
      <c r="V1945">
        <v>0</v>
      </c>
      <c r="W1945">
        <v>0</v>
      </c>
      <c r="X1945">
        <v>2</v>
      </c>
      <c r="Y1945">
        <v>0</v>
      </c>
      <c r="AA1945">
        <v>1</v>
      </c>
      <c r="AB1945">
        <v>8</v>
      </c>
      <c r="AC1945">
        <v>3</v>
      </c>
      <c r="AD1945">
        <v>0</v>
      </c>
      <c r="AE1945">
        <v>9</v>
      </c>
      <c r="AF1945" t="s">
        <v>138</v>
      </c>
      <c r="AG1945">
        <v>0</v>
      </c>
      <c r="AH1945">
        <v>3</v>
      </c>
      <c r="AI1945">
        <v>1</v>
      </c>
      <c r="AJ1945">
        <v>0</v>
      </c>
      <c r="AK1945" t="s">
        <v>690</v>
      </c>
      <c r="AL1945">
        <v>32.777023</v>
      </c>
      <c r="AM1945" t="s">
        <v>691</v>
      </c>
      <c r="AN1945">
        <v>-116.847067</v>
      </c>
      <c r="AO1945">
        <v>25</v>
      </c>
      <c r="AP1945">
        <v>2900</v>
      </c>
      <c r="AQ1945" t="s">
        <v>129</v>
      </c>
      <c r="AR1945">
        <v>121</v>
      </c>
      <c r="AS1945">
        <v>-39</v>
      </c>
      <c r="AT1945">
        <v>384</v>
      </c>
      <c r="BB1945">
        <v>1200</v>
      </c>
      <c r="BC1945">
        <v>1</v>
      </c>
      <c r="BD1945" t="str">
        <f t="shared" si="679"/>
        <v xml:space="preserve">N887QR  </v>
      </c>
      <c r="BE1945">
        <v>1</v>
      </c>
      <c r="BG1945">
        <v>0</v>
      </c>
      <c r="BH1945">
        <v>0</v>
      </c>
      <c r="BI1945">
        <v>0</v>
      </c>
      <c r="BJ1945">
        <v>2625</v>
      </c>
      <c r="BK1945">
        <v>-275</v>
      </c>
      <c r="BL1945" t="s">
        <v>163</v>
      </c>
      <c r="BM1945">
        <v>1</v>
      </c>
      <c r="BN1945">
        <v>1</v>
      </c>
      <c r="BO1945">
        <v>1</v>
      </c>
      <c r="BP1945">
        <v>0</v>
      </c>
      <c r="BS1945">
        <v>0</v>
      </c>
      <c r="BT1945">
        <v>0</v>
      </c>
      <c r="BU1945">
        <v>0</v>
      </c>
      <c r="CE1945" t="str">
        <f t="shared" si="686"/>
        <v>19:30:38.511</v>
      </c>
      <c r="CF1945">
        <v>510679504</v>
      </c>
      <c r="CS1945">
        <v>0</v>
      </c>
      <c r="CT1945">
        <v>2</v>
      </c>
      <c r="CU1945">
        <v>0</v>
      </c>
      <c r="CV1945">
        <v>2</v>
      </c>
      <c r="CW1945">
        <v>0</v>
      </c>
      <c r="CX1945">
        <v>4</v>
      </c>
      <c r="CY1945">
        <v>7</v>
      </c>
      <c r="CZ1945" t="s">
        <v>131</v>
      </c>
      <c r="DA1945">
        <v>300</v>
      </c>
      <c r="DB1945">
        <v>0</v>
      </c>
      <c r="DC1945" t="s">
        <v>176</v>
      </c>
      <c r="DD1945" t="s">
        <v>177</v>
      </c>
      <c r="DG1945">
        <v>5398543</v>
      </c>
      <c r="DI1945">
        <v>1</v>
      </c>
      <c r="DJ1945">
        <v>0</v>
      </c>
      <c r="DK1945">
        <v>1</v>
      </c>
      <c r="DL1945">
        <v>0</v>
      </c>
      <c r="DM1945">
        <v>0</v>
      </c>
      <c r="DN1945">
        <v>1</v>
      </c>
      <c r="DO1945">
        <v>0</v>
      </c>
      <c r="DP1945">
        <v>0</v>
      </c>
      <c r="DQ1945">
        <v>0</v>
      </c>
      <c r="DR1945">
        <v>0</v>
      </c>
      <c r="DS1945">
        <v>0</v>
      </c>
    </row>
    <row r="1946" spans="1:123" x14ac:dyDescent="0.3">
      <c r="A1946" t="str">
        <f t="shared" si="684"/>
        <v>10/04/2022 19:30:38.760</v>
      </c>
      <c r="C1946" t="str">
        <f t="shared" si="672"/>
        <v>FFDFD3C0</v>
      </c>
      <c r="D1946" t="s">
        <v>134</v>
      </c>
      <c r="E1946">
        <v>15</v>
      </c>
      <c r="J1946" t="s">
        <v>135</v>
      </c>
      <c r="K1946">
        <v>0</v>
      </c>
      <c r="L1946">
        <v>3</v>
      </c>
      <c r="M1946">
        <v>0</v>
      </c>
      <c r="N1946">
        <v>2</v>
      </c>
      <c r="O1946">
        <v>0</v>
      </c>
      <c r="P1946">
        <v>1</v>
      </c>
      <c r="Q1946">
        <v>0</v>
      </c>
      <c r="S1946" t="str">
        <f t="shared" si="685"/>
        <v>19:30:38.000</v>
      </c>
      <c r="T1946" t="str">
        <f t="shared" si="685"/>
        <v>19:30:38.000</v>
      </c>
      <c r="U1946" t="str">
        <f t="shared" si="678"/>
        <v>AC3944</v>
      </c>
      <c r="V1946">
        <v>0</v>
      </c>
      <c r="W1946">
        <v>0</v>
      </c>
      <c r="X1946">
        <v>2</v>
      </c>
      <c r="Y1946">
        <v>0</v>
      </c>
      <c r="AA1946">
        <v>1</v>
      </c>
      <c r="AB1946">
        <v>8</v>
      </c>
      <c r="AC1946">
        <v>3</v>
      </c>
      <c r="AD1946">
        <v>0</v>
      </c>
      <c r="AE1946">
        <v>9</v>
      </c>
      <c r="AF1946" t="s">
        <v>138</v>
      </c>
      <c r="AG1946">
        <v>0</v>
      </c>
      <c r="AH1946">
        <v>3</v>
      </c>
      <c r="AI1946">
        <v>1</v>
      </c>
      <c r="AJ1946">
        <v>0</v>
      </c>
      <c r="AK1946" t="s">
        <v>690</v>
      </c>
      <c r="AL1946">
        <v>32.777023</v>
      </c>
      <c r="AM1946" t="s">
        <v>691</v>
      </c>
      <c r="AN1946">
        <v>-116.847067</v>
      </c>
      <c r="AO1946">
        <v>25</v>
      </c>
      <c r="AP1946">
        <v>2900</v>
      </c>
      <c r="AQ1946" t="s">
        <v>129</v>
      </c>
      <c r="AR1946">
        <v>121</v>
      </c>
      <c r="AS1946">
        <v>-39</v>
      </c>
      <c r="AT1946">
        <v>384</v>
      </c>
      <c r="BB1946">
        <v>1200</v>
      </c>
      <c r="BC1946">
        <v>1</v>
      </c>
      <c r="BD1946" t="str">
        <f t="shared" si="679"/>
        <v xml:space="preserve">N887QR  </v>
      </c>
      <c r="BE1946">
        <v>1</v>
      </c>
      <c r="BG1946">
        <v>0</v>
      </c>
      <c r="BH1946">
        <v>0</v>
      </c>
      <c r="BI1946">
        <v>0</v>
      </c>
      <c r="BJ1946">
        <v>2625</v>
      </c>
      <c r="BK1946">
        <v>-275</v>
      </c>
      <c r="BL1946" t="s">
        <v>163</v>
      </c>
      <c r="BM1946">
        <v>1</v>
      </c>
      <c r="BN1946">
        <v>1</v>
      </c>
      <c r="BO1946">
        <v>1</v>
      </c>
      <c r="BP1946">
        <v>0</v>
      </c>
      <c r="BS1946">
        <v>0</v>
      </c>
      <c r="BT1946">
        <v>0</v>
      </c>
      <c r="BU1946">
        <v>0</v>
      </c>
      <c r="CE1946" t="str">
        <f t="shared" si="686"/>
        <v>19:30:38.511</v>
      </c>
      <c r="CF1946">
        <v>510679504</v>
      </c>
      <c r="CS1946">
        <v>0</v>
      </c>
      <c r="CT1946">
        <v>2</v>
      </c>
      <c r="CU1946">
        <v>0</v>
      </c>
      <c r="CV1946">
        <v>2</v>
      </c>
      <c r="CW1946">
        <v>0</v>
      </c>
      <c r="CX1946">
        <v>4</v>
      </c>
      <c r="CY1946">
        <v>7</v>
      </c>
      <c r="CZ1946" t="s">
        <v>131</v>
      </c>
      <c r="DA1946">
        <v>300</v>
      </c>
      <c r="DB1946">
        <v>0</v>
      </c>
      <c r="DC1946" t="s">
        <v>176</v>
      </c>
      <c r="DD1946" t="s">
        <v>177</v>
      </c>
      <c r="DG1946">
        <v>5398543</v>
      </c>
      <c r="DI1946">
        <v>1</v>
      </c>
      <c r="DJ1946">
        <v>0</v>
      </c>
      <c r="DK1946">
        <v>1</v>
      </c>
      <c r="DL1946">
        <v>0</v>
      </c>
      <c r="DM1946">
        <v>0</v>
      </c>
      <c r="DN1946">
        <v>1</v>
      </c>
      <c r="DO1946">
        <v>0</v>
      </c>
      <c r="DP1946">
        <v>0</v>
      </c>
      <c r="DQ1946">
        <v>0</v>
      </c>
      <c r="DR1946">
        <v>0</v>
      </c>
      <c r="DS1946">
        <v>0</v>
      </c>
    </row>
    <row r="1947" spans="1:123" x14ac:dyDescent="0.3">
      <c r="A1947" t="str">
        <f>"10/04/2022 19:30:39.057"</f>
        <v>10/04/2022 19:30:39.057</v>
      </c>
      <c r="C1947" t="str">
        <f t="shared" si="672"/>
        <v>FFDFD3C0</v>
      </c>
      <c r="D1947" t="s">
        <v>147</v>
      </c>
      <c r="E1947">
        <v>3</v>
      </c>
      <c r="H1947">
        <v>166</v>
      </c>
      <c r="I1947" t="s">
        <v>144</v>
      </c>
      <c r="J1947" t="s">
        <v>148</v>
      </c>
      <c r="K1947">
        <v>0</v>
      </c>
      <c r="L1947">
        <v>3</v>
      </c>
      <c r="M1947">
        <v>0</v>
      </c>
      <c r="N1947">
        <v>2</v>
      </c>
      <c r="O1947">
        <v>0</v>
      </c>
      <c r="P1947">
        <v>1</v>
      </c>
      <c r="Q1947">
        <v>0</v>
      </c>
      <c r="S1947" t="str">
        <f t="shared" si="685"/>
        <v>19:30:38.000</v>
      </c>
      <c r="T1947" t="str">
        <f t="shared" si="685"/>
        <v>19:30:38.000</v>
      </c>
      <c r="U1947" t="str">
        <f t="shared" si="678"/>
        <v>AC3944</v>
      </c>
      <c r="V1947">
        <v>0</v>
      </c>
      <c r="W1947">
        <v>0</v>
      </c>
      <c r="X1947">
        <v>2</v>
      </c>
      <c r="Y1947">
        <v>0</v>
      </c>
      <c r="AA1947">
        <v>1</v>
      </c>
      <c r="AB1947">
        <v>8</v>
      </c>
      <c r="AC1947">
        <v>3</v>
      </c>
      <c r="AD1947">
        <v>0</v>
      </c>
      <c r="AE1947">
        <v>9</v>
      </c>
      <c r="AF1947" t="s">
        <v>138</v>
      </c>
      <c r="AG1947">
        <v>0</v>
      </c>
      <c r="AH1947">
        <v>3</v>
      </c>
      <c r="AI1947">
        <v>1</v>
      </c>
      <c r="AJ1947">
        <v>0</v>
      </c>
      <c r="AK1947" t="s">
        <v>692</v>
      </c>
      <c r="AL1947">
        <v>32.776829999999997</v>
      </c>
      <c r="AM1947" t="s">
        <v>693</v>
      </c>
      <c r="AN1947">
        <v>-116.846402</v>
      </c>
      <c r="AO1947">
        <v>25</v>
      </c>
      <c r="AP1947">
        <v>2900</v>
      </c>
      <c r="AQ1947" t="s">
        <v>129</v>
      </c>
      <c r="AR1947">
        <v>121</v>
      </c>
      <c r="AS1947">
        <v>-38</v>
      </c>
      <c r="AT1947">
        <v>384</v>
      </c>
      <c r="BB1947">
        <v>1200</v>
      </c>
      <c r="BC1947">
        <v>1</v>
      </c>
      <c r="BD1947" t="str">
        <f t="shared" si="679"/>
        <v xml:space="preserve">N887QR  </v>
      </c>
      <c r="BE1947">
        <v>1</v>
      </c>
      <c r="BG1947">
        <v>0</v>
      </c>
      <c r="BH1947">
        <v>0</v>
      </c>
      <c r="BI1947">
        <v>0</v>
      </c>
      <c r="BJ1947">
        <v>2650</v>
      </c>
      <c r="BK1947">
        <v>-250</v>
      </c>
      <c r="BL1947" t="s">
        <v>163</v>
      </c>
      <c r="BM1947">
        <v>1</v>
      </c>
      <c r="BN1947">
        <v>1</v>
      </c>
      <c r="BO1947">
        <v>1</v>
      </c>
      <c r="BP1947">
        <v>0</v>
      </c>
      <c r="BS1947">
        <v>0</v>
      </c>
      <c r="BT1947">
        <v>0</v>
      </c>
      <c r="BU1947">
        <v>0</v>
      </c>
      <c r="CE1947" t="str">
        <f t="shared" ref="CE1947:CE1953" si="687">"19:30:38.860"</f>
        <v>19:30:38.860</v>
      </c>
      <c r="CF1947">
        <v>860403840</v>
      </c>
      <c r="CS1947">
        <v>0</v>
      </c>
      <c r="CT1947">
        <v>2</v>
      </c>
      <c r="CU1947">
        <v>0</v>
      </c>
      <c r="CV1947">
        <v>2</v>
      </c>
      <c r="CW1947">
        <v>0</v>
      </c>
      <c r="CX1947">
        <v>2</v>
      </c>
      <c r="CY1947">
        <v>7</v>
      </c>
      <c r="CZ1947" t="s">
        <v>131</v>
      </c>
      <c r="DA1947">
        <v>286</v>
      </c>
      <c r="DB1947">
        <v>0</v>
      </c>
      <c r="DC1947" t="s">
        <v>132</v>
      </c>
      <c r="DD1947" t="s">
        <v>133</v>
      </c>
      <c r="DG1947">
        <v>832162</v>
      </c>
      <c r="DI1947">
        <v>1</v>
      </c>
      <c r="DJ1947">
        <v>0</v>
      </c>
      <c r="DK1947">
        <v>0</v>
      </c>
      <c r="DL1947">
        <v>0</v>
      </c>
      <c r="DM1947">
        <v>0</v>
      </c>
      <c r="DN1947">
        <v>1</v>
      </c>
      <c r="DO1947">
        <v>0</v>
      </c>
      <c r="DP1947">
        <v>0</v>
      </c>
      <c r="DQ1947">
        <v>0</v>
      </c>
      <c r="DR1947">
        <v>0</v>
      </c>
      <c r="DS1947">
        <v>0</v>
      </c>
    </row>
    <row r="1948" spans="1:123" x14ac:dyDescent="0.3">
      <c r="A1948" t="str">
        <f>"10/04/2022 19:30:39.057"</f>
        <v>10/04/2022 19:30:39.057</v>
      </c>
      <c r="C1948" t="str">
        <f t="shared" si="672"/>
        <v>FFDFD3C0</v>
      </c>
      <c r="D1948" t="s">
        <v>136</v>
      </c>
      <c r="E1948">
        <v>8</v>
      </c>
      <c r="H1948">
        <v>225</v>
      </c>
      <c r="I1948" t="s">
        <v>137</v>
      </c>
      <c r="J1948" t="s">
        <v>138</v>
      </c>
      <c r="K1948">
        <v>0</v>
      </c>
      <c r="L1948">
        <v>3</v>
      </c>
      <c r="M1948">
        <v>0</v>
      </c>
      <c r="N1948">
        <v>2</v>
      </c>
      <c r="O1948">
        <v>0</v>
      </c>
      <c r="P1948">
        <v>1</v>
      </c>
      <c r="Q1948">
        <v>0</v>
      </c>
      <c r="S1948" t="str">
        <f t="shared" si="685"/>
        <v>19:30:38.000</v>
      </c>
      <c r="T1948" t="str">
        <f t="shared" si="685"/>
        <v>19:30:38.000</v>
      </c>
      <c r="U1948" t="str">
        <f t="shared" si="678"/>
        <v>AC3944</v>
      </c>
      <c r="V1948">
        <v>0</v>
      </c>
      <c r="W1948">
        <v>0</v>
      </c>
      <c r="X1948">
        <v>2</v>
      </c>
      <c r="Y1948">
        <v>0</v>
      </c>
      <c r="AA1948">
        <v>1</v>
      </c>
      <c r="AB1948">
        <v>8</v>
      </c>
      <c r="AC1948">
        <v>3</v>
      </c>
      <c r="AD1948">
        <v>0</v>
      </c>
      <c r="AE1948">
        <v>9</v>
      </c>
      <c r="AF1948" t="s">
        <v>138</v>
      </c>
      <c r="AG1948">
        <v>0</v>
      </c>
      <c r="AH1948">
        <v>3</v>
      </c>
      <c r="AI1948">
        <v>1</v>
      </c>
      <c r="AJ1948">
        <v>0</v>
      </c>
      <c r="AK1948" t="s">
        <v>692</v>
      </c>
      <c r="AL1948">
        <v>32.776829999999997</v>
      </c>
      <c r="AM1948" t="s">
        <v>693</v>
      </c>
      <c r="AN1948">
        <v>-116.846402</v>
      </c>
      <c r="AO1948">
        <v>25</v>
      </c>
      <c r="AP1948">
        <v>2900</v>
      </c>
      <c r="AQ1948" t="s">
        <v>129</v>
      </c>
      <c r="AR1948">
        <v>121</v>
      </c>
      <c r="AS1948">
        <v>-38</v>
      </c>
      <c r="AT1948">
        <v>384</v>
      </c>
      <c r="BB1948">
        <v>1200</v>
      </c>
      <c r="BC1948">
        <v>1</v>
      </c>
      <c r="BD1948" t="str">
        <f t="shared" si="679"/>
        <v xml:space="preserve">N887QR  </v>
      </c>
      <c r="BE1948">
        <v>1</v>
      </c>
      <c r="BG1948">
        <v>0</v>
      </c>
      <c r="BH1948">
        <v>0</v>
      </c>
      <c r="BI1948">
        <v>0</v>
      </c>
      <c r="BJ1948">
        <v>2650</v>
      </c>
      <c r="BK1948">
        <v>-250</v>
      </c>
      <c r="BL1948" t="s">
        <v>163</v>
      </c>
      <c r="BM1948">
        <v>1</v>
      </c>
      <c r="BN1948">
        <v>1</v>
      </c>
      <c r="BO1948">
        <v>1</v>
      </c>
      <c r="BP1948">
        <v>0</v>
      </c>
      <c r="BS1948">
        <v>0</v>
      </c>
      <c r="BT1948">
        <v>0</v>
      </c>
      <c r="BU1948">
        <v>0</v>
      </c>
      <c r="CE1948" t="str">
        <f t="shared" si="687"/>
        <v>19:30:38.860</v>
      </c>
      <c r="CF1948">
        <v>860403840</v>
      </c>
      <c r="CS1948">
        <v>0</v>
      </c>
      <c r="CT1948">
        <v>2</v>
      </c>
      <c r="CU1948">
        <v>0</v>
      </c>
      <c r="CV1948">
        <v>2</v>
      </c>
      <c r="CW1948">
        <v>0</v>
      </c>
      <c r="CX1948">
        <v>2</v>
      </c>
      <c r="CY1948">
        <v>7</v>
      </c>
      <c r="CZ1948" t="s">
        <v>131</v>
      </c>
      <c r="DA1948">
        <v>286</v>
      </c>
      <c r="DB1948">
        <v>0</v>
      </c>
      <c r="DC1948" t="s">
        <v>132</v>
      </c>
      <c r="DD1948" t="s">
        <v>133</v>
      </c>
      <c r="DG1948">
        <v>832162</v>
      </c>
      <c r="DI1948">
        <v>1</v>
      </c>
      <c r="DJ1948">
        <v>0</v>
      </c>
      <c r="DK1948">
        <v>1</v>
      </c>
      <c r="DL1948">
        <v>0</v>
      </c>
      <c r="DM1948">
        <v>0</v>
      </c>
      <c r="DN1948">
        <v>1</v>
      </c>
      <c r="DO1948">
        <v>0</v>
      </c>
      <c r="DP1948">
        <v>0</v>
      </c>
      <c r="DQ1948">
        <v>0</v>
      </c>
      <c r="DR1948">
        <v>0</v>
      </c>
      <c r="DS1948">
        <v>0</v>
      </c>
    </row>
    <row r="1949" spans="1:123" x14ac:dyDescent="0.3">
      <c r="A1949" t="str">
        <f>"10/04/2022 19:30:39.057"</f>
        <v>10/04/2022 19:30:39.057</v>
      </c>
      <c r="C1949" t="str">
        <f t="shared" si="672"/>
        <v>FFDFD3C0</v>
      </c>
      <c r="D1949" t="s">
        <v>123</v>
      </c>
      <c r="E1949">
        <v>7</v>
      </c>
      <c r="F1949">
        <v>2007</v>
      </c>
      <c r="G1949" t="s">
        <v>124</v>
      </c>
      <c r="J1949" t="s">
        <v>125</v>
      </c>
      <c r="K1949">
        <v>0</v>
      </c>
      <c r="L1949">
        <v>3</v>
      </c>
      <c r="M1949">
        <v>0</v>
      </c>
      <c r="N1949">
        <v>2</v>
      </c>
      <c r="O1949">
        <v>0</v>
      </c>
      <c r="P1949">
        <v>1</v>
      </c>
      <c r="Q1949">
        <v>0</v>
      </c>
      <c r="S1949" t="str">
        <f t="shared" si="685"/>
        <v>19:30:38.000</v>
      </c>
      <c r="T1949" t="str">
        <f t="shared" si="685"/>
        <v>19:30:38.000</v>
      </c>
      <c r="U1949" t="str">
        <f t="shared" si="678"/>
        <v>AC3944</v>
      </c>
      <c r="V1949">
        <v>0</v>
      </c>
      <c r="W1949">
        <v>0</v>
      </c>
      <c r="X1949">
        <v>2</v>
      </c>
      <c r="Y1949">
        <v>0</v>
      </c>
      <c r="AA1949">
        <v>1</v>
      </c>
      <c r="AB1949">
        <v>8</v>
      </c>
      <c r="AC1949">
        <v>3</v>
      </c>
      <c r="AD1949">
        <v>0</v>
      </c>
      <c r="AE1949">
        <v>9</v>
      </c>
      <c r="AF1949" t="s">
        <v>138</v>
      </c>
      <c r="AG1949">
        <v>0</v>
      </c>
      <c r="AH1949">
        <v>3</v>
      </c>
      <c r="AI1949">
        <v>1</v>
      </c>
      <c r="AJ1949">
        <v>0</v>
      </c>
      <c r="AK1949" t="s">
        <v>692</v>
      </c>
      <c r="AL1949">
        <v>32.776829999999997</v>
      </c>
      <c r="AM1949" t="s">
        <v>693</v>
      </c>
      <c r="AN1949">
        <v>-116.846402</v>
      </c>
      <c r="AO1949">
        <v>25</v>
      </c>
      <c r="AP1949">
        <v>2900</v>
      </c>
      <c r="AQ1949" t="s">
        <v>129</v>
      </c>
      <c r="AR1949">
        <v>121</v>
      </c>
      <c r="AS1949">
        <v>-38</v>
      </c>
      <c r="AT1949">
        <v>384</v>
      </c>
      <c r="BB1949">
        <v>1200</v>
      </c>
      <c r="BC1949">
        <v>1</v>
      </c>
      <c r="BD1949" t="str">
        <f t="shared" si="679"/>
        <v xml:space="preserve">N887QR  </v>
      </c>
      <c r="BE1949">
        <v>1</v>
      </c>
      <c r="BG1949">
        <v>0</v>
      </c>
      <c r="BH1949">
        <v>0</v>
      </c>
      <c r="BI1949">
        <v>0</v>
      </c>
      <c r="BJ1949">
        <v>2650</v>
      </c>
      <c r="BK1949">
        <v>-250</v>
      </c>
      <c r="BL1949" t="s">
        <v>163</v>
      </c>
      <c r="BM1949">
        <v>1</v>
      </c>
      <c r="BN1949">
        <v>1</v>
      </c>
      <c r="BO1949">
        <v>1</v>
      </c>
      <c r="BP1949">
        <v>0</v>
      </c>
      <c r="BS1949">
        <v>0</v>
      </c>
      <c r="BT1949">
        <v>0</v>
      </c>
      <c r="BU1949">
        <v>0</v>
      </c>
      <c r="CE1949" t="str">
        <f t="shared" si="687"/>
        <v>19:30:38.860</v>
      </c>
      <c r="CF1949">
        <v>860403840</v>
      </c>
      <c r="CS1949">
        <v>0</v>
      </c>
      <c r="CT1949">
        <v>2</v>
      </c>
      <c r="CU1949">
        <v>0</v>
      </c>
      <c r="CV1949">
        <v>2</v>
      </c>
      <c r="CW1949">
        <v>0</v>
      </c>
      <c r="CX1949">
        <v>2</v>
      </c>
      <c r="CY1949">
        <v>7</v>
      </c>
      <c r="CZ1949" t="s">
        <v>131</v>
      </c>
      <c r="DA1949">
        <v>286</v>
      </c>
      <c r="DB1949">
        <v>0</v>
      </c>
      <c r="DC1949" t="s">
        <v>132</v>
      </c>
      <c r="DD1949" t="s">
        <v>133</v>
      </c>
      <c r="DG1949">
        <v>832162</v>
      </c>
      <c r="DI1949">
        <v>1</v>
      </c>
      <c r="DJ1949">
        <v>0</v>
      </c>
      <c r="DK1949">
        <v>0</v>
      </c>
      <c r="DL1949">
        <v>0</v>
      </c>
      <c r="DM1949">
        <v>0</v>
      </c>
      <c r="DN1949">
        <v>1</v>
      </c>
      <c r="DO1949">
        <v>0</v>
      </c>
      <c r="DP1949">
        <v>0</v>
      </c>
      <c r="DQ1949">
        <v>0</v>
      </c>
      <c r="DR1949">
        <v>0</v>
      </c>
      <c r="DS1949">
        <v>0</v>
      </c>
    </row>
    <row r="1950" spans="1:123" x14ac:dyDescent="0.3">
      <c r="A1950" t="str">
        <f>"10/04/2022 19:30:39.072"</f>
        <v>10/04/2022 19:30:39.072</v>
      </c>
      <c r="C1950" t="str">
        <f t="shared" si="672"/>
        <v>FFDFD3C0</v>
      </c>
      <c r="D1950" t="s">
        <v>134</v>
      </c>
      <c r="E1950">
        <v>15</v>
      </c>
      <c r="J1950" t="s">
        <v>135</v>
      </c>
      <c r="K1950">
        <v>0</v>
      </c>
      <c r="L1950">
        <v>3</v>
      </c>
      <c r="M1950">
        <v>0</v>
      </c>
      <c r="N1950">
        <v>2</v>
      </c>
      <c r="O1950">
        <v>0</v>
      </c>
      <c r="P1950">
        <v>1</v>
      </c>
      <c r="Q1950">
        <v>0</v>
      </c>
      <c r="S1950" t="str">
        <f t="shared" si="685"/>
        <v>19:30:38.000</v>
      </c>
      <c r="T1950" t="str">
        <f t="shared" si="685"/>
        <v>19:30:38.000</v>
      </c>
      <c r="U1950" t="str">
        <f t="shared" si="678"/>
        <v>AC3944</v>
      </c>
      <c r="V1950">
        <v>0</v>
      </c>
      <c r="W1950">
        <v>0</v>
      </c>
      <c r="X1950">
        <v>2</v>
      </c>
      <c r="Y1950">
        <v>0</v>
      </c>
      <c r="AA1950">
        <v>1</v>
      </c>
      <c r="AB1950">
        <v>8</v>
      </c>
      <c r="AC1950">
        <v>3</v>
      </c>
      <c r="AD1950">
        <v>0</v>
      </c>
      <c r="AE1950">
        <v>9</v>
      </c>
      <c r="AF1950" t="s">
        <v>138</v>
      </c>
      <c r="AG1950">
        <v>0</v>
      </c>
      <c r="AH1950">
        <v>3</v>
      </c>
      <c r="AI1950">
        <v>1</v>
      </c>
      <c r="AJ1950">
        <v>0</v>
      </c>
      <c r="AK1950" t="s">
        <v>692</v>
      </c>
      <c r="AL1950">
        <v>32.776829999999997</v>
      </c>
      <c r="AM1950" t="s">
        <v>693</v>
      </c>
      <c r="AN1950">
        <v>-116.846402</v>
      </c>
      <c r="AO1950">
        <v>25</v>
      </c>
      <c r="AP1950">
        <v>2900</v>
      </c>
      <c r="AQ1950" t="s">
        <v>129</v>
      </c>
      <c r="AR1950">
        <v>121</v>
      </c>
      <c r="AS1950">
        <v>-38</v>
      </c>
      <c r="AT1950">
        <v>384</v>
      </c>
      <c r="BB1950">
        <v>1200</v>
      </c>
      <c r="BC1950">
        <v>1</v>
      </c>
      <c r="BD1950" t="str">
        <f t="shared" si="679"/>
        <v xml:space="preserve">N887QR  </v>
      </c>
      <c r="BE1950">
        <v>1</v>
      </c>
      <c r="BG1950">
        <v>0</v>
      </c>
      <c r="BH1950">
        <v>0</v>
      </c>
      <c r="BI1950">
        <v>0</v>
      </c>
      <c r="BJ1950">
        <v>2650</v>
      </c>
      <c r="BK1950">
        <v>-250</v>
      </c>
      <c r="BL1950" t="s">
        <v>163</v>
      </c>
      <c r="BM1950">
        <v>1</v>
      </c>
      <c r="BN1950">
        <v>1</v>
      </c>
      <c r="BO1950">
        <v>1</v>
      </c>
      <c r="BP1950">
        <v>0</v>
      </c>
      <c r="BS1950">
        <v>0</v>
      </c>
      <c r="BT1950">
        <v>0</v>
      </c>
      <c r="BU1950">
        <v>0</v>
      </c>
      <c r="CE1950" t="str">
        <f t="shared" si="687"/>
        <v>19:30:38.860</v>
      </c>
      <c r="CF1950">
        <v>860403840</v>
      </c>
      <c r="CS1950">
        <v>0</v>
      </c>
      <c r="CT1950">
        <v>2</v>
      </c>
      <c r="CU1950">
        <v>0</v>
      </c>
      <c r="CV1950">
        <v>2</v>
      </c>
      <c r="CW1950">
        <v>0</v>
      </c>
      <c r="CX1950">
        <v>2</v>
      </c>
      <c r="CY1950">
        <v>7</v>
      </c>
      <c r="CZ1950" t="s">
        <v>131</v>
      </c>
      <c r="DA1950">
        <v>286</v>
      </c>
      <c r="DB1950">
        <v>0</v>
      </c>
      <c r="DC1950" t="s">
        <v>132</v>
      </c>
      <c r="DD1950" t="s">
        <v>133</v>
      </c>
      <c r="DG1950">
        <v>832162</v>
      </c>
      <c r="DI1950">
        <v>1</v>
      </c>
      <c r="DJ1950">
        <v>0</v>
      </c>
      <c r="DK1950">
        <v>1</v>
      </c>
      <c r="DL1950">
        <v>0</v>
      </c>
      <c r="DM1950">
        <v>0</v>
      </c>
      <c r="DN1950">
        <v>1</v>
      </c>
      <c r="DO1950">
        <v>0</v>
      </c>
      <c r="DP1950">
        <v>0</v>
      </c>
      <c r="DQ1950">
        <v>0</v>
      </c>
      <c r="DR1950">
        <v>0</v>
      </c>
      <c r="DS1950">
        <v>0</v>
      </c>
    </row>
    <row r="1951" spans="1:123" x14ac:dyDescent="0.3">
      <c r="A1951" t="str">
        <f>"10/04/2022 19:30:39.072"</f>
        <v>10/04/2022 19:30:39.072</v>
      </c>
      <c r="C1951" t="str">
        <f t="shared" si="672"/>
        <v>FFDFD3C0</v>
      </c>
      <c r="D1951" t="s">
        <v>141</v>
      </c>
      <c r="E1951">
        <v>3</v>
      </c>
      <c r="H1951">
        <v>3</v>
      </c>
      <c r="I1951" t="s">
        <v>146</v>
      </c>
      <c r="J1951" t="s">
        <v>138</v>
      </c>
      <c r="K1951">
        <v>0</v>
      </c>
      <c r="L1951">
        <v>3</v>
      </c>
      <c r="M1951">
        <v>0</v>
      </c>
      <c r="N1951">
        <v>2</v>
      </c>
      <c r="O1951">
        <v>0</v>
      </c>
      <c r="P1951">
        <v>1</v>
      </c>
      <c r="Q1951">
        <v>0</v>
      </c>
      <c r="S1951" t="str">
        <f t="shared" si="685"/>
        <v>19:30:38.000</v>
      </c>
      <c r="T1951" t="str">
        <f t="shared" si="685"/>
        <v>19:30:38.000</v>
      </c>
      <c r="U1951" t="str">
        <f t="shared" si="678"/>
        <v>AC3944</v>
      </c>
      <c r="V1951">
        <v>0</v>
      </c>
      <c r="W1951">
        <v>0</v>
      </c>
      <c r="X1951">
        <v>2</v>
      </c>
      <c r="Y1951">
        <v>0</v>
      </c>
      <c r="AA1951">
        <v>1</v>
      </c>
      <c r="AB1951">
        <v>8</v>
      </c>
      <c r="AC1951">
        <v>3</v>
      </c>
      <c r="AD1951">
        <v>0</v>
      </c>
      <c r="AE1951">
        <v>9</v>
      </c>
      <c r="AF1951" t="s">
        <v>138</v>
      </c>
      <c r="AG1951">
        <v>0</v>
      </c>
      <c r="AH1951">
        <v>3</v>
      </c>
      <c r="AI1951">
        <v>1</v>
      </c>
      <c r="AJ1951">
        <v>0</v>
      </c>
      <c r="AK1951" t="s">
        <v>692</v>
      </c>
      <c r="AL1951">
        <v>32.776829999999997</v>
      </c>
      <c r="AM1951" t="s">
        <v>693</v>
      </c>
      <c r="AN1951">
        <v>-116.846402</v>
      </c>
      <c r="AO1951">
        <v>25</v>
      </c>
      <c r="AP1951">
        <v>2900</v>
      </c>
      <c r="AQ1951" t="s">
        <v>129</v>
      </c>
      <c r="AR1951">
        <v>121</v>
      </c>
      <c r="AS1951">
        <v>-38</v>
      </c>
      <c r="AT1951">
        <v>384</v>
      </c>
      <c r="BB1951">
        <v>1200</v>
      </c>
      <c r="BC1951">
        <v>1</v>
      </c>
      <c r="BD1951" t="str">
        <f t="shared" si="679"/>
        <v xml:space="preserve">N887QR  </v>
      </c>
      <c r="BE1951">
        <v>1</v>
      </c>
      <c r="BG1951">
        <v>0</v>
      </c>
      <c r="BH1951">
        <v>0</v>
      </c>
      <c r="BI1951">
        <v>0</v>
      </c>
      <c r="BJ1951">
        <v>2650</v>
      </c>
      <c r="BK1951">
        <v>-250</v>
      </c>
      <c r="BL1951" t="s">
        <v>163</v>
      </c>
      <c r="BM1951">
        <v>1</v>
      </c>
      <c r="BN1951">
        <v>1</v>
      </c>
      <c r="BO1951">
        <v>1</v>
      </c>
      <c r="BP1951">
        <v>0</v>
      </c>
      <c r="BS1951">
        <v>0</v>
      </c>
      <c r="BT1951">
        <v>0</v>
      </c>
      <c r="BU1951">
        <v>0</v>
      </c>
      <c r="CE1951" t="str">
        <f t="shared" si="687"/>
        <v>19:30:38.860</v>
      </c>
      <c r="CF1951">
        <v>860403840</v>
      </c>
      <c r="CS1951">
        <v>0</v>
      </c>
      <c r="CT1951">
        <v>2</v>
      </c>
      <c r="CU1951">
        <v>0</v>
      </c>
      <c r="CV1951">
        <v>2</v>
      </c>
      <c r="CW1951">
        <v>0</v>
      </c>
      <c r="CX1951">
        <v>2</v>
      </c>
      <c r="CY1951">
        <v>7</v>
      </c>
      <c r="CZ1951" t="s">
        <v>131</v>
      </c>
      <c r="DA1951">
        <v>286</v>
      </c>
      <c r="DB1951">
        <v>0</v>
      </c>
      <c r="DC1951" t="s">
        <v>132</v>
      </c>
      <c r="DD1951" t="s">
        <v>133</v>
      </c>
      <c r="DG1951">
        <v>832162</v>
      </c>
      <c r="DI1951">
        <v>1</v>
      </c>
      <c r="DJ1951">
        <v>0</v>
      </c>
      <c r="DK1951">
        <v>1</v>
      </c>
      <c r="DL1951">
        <v>0</v>
      </c>
      <c r="DM1951">
        <v>0</v>
      </c>
      <c r="DN1951">
        <v>1</v>
      </c>
      <c r="DO1951">
        <v>0</v>
      </c>
      <c r="DP1951">
        <v>0</v>
      </c>
      <c r="DQ1951">
        <v>0</v>
      </c>
      <c r="DR1951">
        <v>0</v>
      </c>
      <c r="DS1951">
        <v>0</v>
      </c>
    </row>
    <row r="1952" spans="1:123" x14ac:dyDescent="0.3">
      <c r="A1952" t="str">
        <f>"10/04/2022 19:30:39.088"</f>
        <v>10/04/2022 19:30:39.088</v>
      </c>
      <c r="C1952" t="str">
        <f t="shared" si="672"/>
        <v>FFDFD3C0</v>
      </c>
      <c r="D1952" t="s">
        <v>141</v>
      </c>
      <c r="E1952">
        <v>4</v>
      </c>
      <c r="H1952">
        <v>4</v>
      </c>
      <c r="I1952" t="s">
        <v>142</v>
      </c>
      <c r="J1952" t="s">
        <v>138</v>
      </c>
      <c r="K1952">
        <v>0</v>
      </c>
      <c r="L1952">
        <v>3</v>
      </c>
      <c r="M1952">
        <v>0</v>
      </c>
      <c r="N1952">
        <v>2</v>
      </c>
      <c r="O1952">
        <v>0</v>
      </c>
      <c r="P1952">
        <v>1</v>
      </c>
      <c r="Q1952">
        <v>0</v>
      </c>
      <c r="S1952" t="str">
        <f t="shared" si="685"/>
        <v>19:30:38.000</v>
      </c>
      <c r="T1952" t="str">
        <f t="shared" si="685"/>
        <v>19:30:38.000</v>
      </c>
      <c r="U1952" t="str">
        <f t="shared" si="678"/>
        <v>AC3944</v>
      </c>
      <c r="V1952">
        <v>0</v>
      </c>
      <c r="W1952">
        <v>0</v>
      </c>
      <c r="X1952">
        <v>2</v>
      </c>
      <c r="Y1952">
        <v>0</v>
      </c>
      <c r="AA1952">
        <v>1</v>
      </c>
      <c r="AB1952">
        <v>8</v>
      </c>
      <c r="AC1952">
        <v>3</v>
      </c>
      <c r="AD1952">
        <v>0</v>
      </c>
      <c r="AE1952">
        <v>9</v>
      </c>
      <c r="AF1952" t="s">
        <v>138</v>
      </c>
      <c r="AG1952">
        <v>0</v>
      </c>
      <c r="AH1952">
        <v>3</v>
      </c>
      <c r="AI1952">
        <v>1</v>
      </c>
      <c r="AJ1952">
        <v>0</v>
      </c>
      <c r="AK1952" t="s">
        <v>692</v>
      </c>
      <c r="AL1952">
        <v>32.776829999999997</v>
      </c>
      <c r="AM1952" t="s">
        <v>693</v>
      </c>
      <c r="AN1952">
        <v>-116.846402</v>
      </c>
      <c r="AO1952">
        <v>25</v>
      </c>
      <c r="AP1952">
        <v>2900</v>
      </c>
      <c r="AQ1952" t="s">
        <v>129</v>
      </c>
      <c r="AR1952">
        <v>121</v>
      </c>
      <c r="AS1952">
        <v>-38</v>
      </c>
      <c r="AT1952">
        <v>384</v>
      </c>
      <c r="BB1952">
        <v>1200</v>
      </c>
      <c r="BC1952">
        <v>1</v>
      </c>
      <c r="BD1952" t="str">
        <f t="shared" si="679"/>
        <v xml:space="preserve">N887QR  </v>
      </c>
      <c r="BE1952">
        <v>1</v>
      </c>
      <c r="BG1952">
        <v>0</v>
      </c>
      <c r="BH1952">
        <v>0</v>
      </c>
      <c r="BI1952">
        <v>0</v>
      </c>
      <c r="BJ1952">
        <v>2650</v>
      </c>
      <c r="BK1952">
        <v>-250</v>
      </c>
      <c r="BL1952" t="s">
        <v>163</v>
      </c>
      <c r="BM1952">
        <v>1</v>
      </c>
      <c r="BN1952">
        <v>1</v>
      </c>
      <c r="BO1952">
        <v>1</v>
      </c>
      <c r="BP1952">
        <v>0</v>
      </c>
      <c r="BS1952">
        <v>0</v>
      </c>
      <c r="BT1952">
        <v>0</v>
      </c>
      <c r="BU1952">
        <v>0</v>
      </c>
      <c r="CE1952" t="str">
        <f t="shared" si="687"/>
        <v>19:30:38.860</v>
      </c>
      <c r="CF1952">
        <v>860403840</v>
      </c>
      <c r="CS1952">
        <v>0</v>
      </c>
      <c r="CT1952">
        <v>2</v>
      </c>
      <c r="CU1952">
        <v>0</v>
      </c>
      <c r="CV1952">
        <v>2</v>
      </c>
      <c r="CW1952">
        <v>0</v>
      </c>
      <c r="CX1952">
        <v>2</v>
      </c>
      <c r="CY1952">
        <v>7</v>
      </c>
      <c r="CZ1952" t="s">
        <v>131</v>
      </c>
      <c r="DA1952">
        <v>286</v>
      </c>
      <c r="DB1952">
        <v>0</v>
      </c>
      <c r="DC1952" t="s">
        <v>132</v>
      </c>
      <c r="DD1952" t="s">
        <v>133</v>
      </c>
      <c r="DG1952">
        <v>832162</v>
      </c>
      <c r="DI1952">
        <v>1</v>
      </c>
      <c r="DJ1952">
        <v>0</v>
      </c>
      <c r="DK1952">
        <v>1</v>
      </c>
      <c r="DL1952">
        <v>0</v>
      </c>
      <c r="DM1952">
        <v>0</v>
      </c>
      <c r="DN1952">
        <v>1</v>
      </c>
      <c r="DO1952">
        <v>0</v>
      </c>
      <c r="DP1952">
        <v>0</v>
      </c>
      <c r="DQ1952">
        <v>0</v>
      </c>
      <c r="DR1952">
        <v>0</v>
      </c>
      <c r="DS1952">
        <v>0</v>
      </c>
    </row>
    <row r="1953" spans="1:123" x14ac:dyDescent="0.3">
      <c r="A1953" t="str">
        <f>"10/04/2022 19:30:39.103"</f>
        <v>10/04/2022 19:30:39.103</v>
      </c>
      <c r="C1953" t="str">
        <f t="shared" si="672"/>
        <v>FFDFD3C0</v>
      </c>
      <c r="D1953" t="s">
        <v>143</v>
      </c>
      <c r="E1953">
        <v>20</v>
      </c>
      <c r="F1953">
        <v>1020</v>
      </c>
      <c r="G1953" t="s">
        <v>144</v>
      </c>
      <c r="J1953" t="s">
        <v>145</v>
      </c>
      <c r="K1953">
        <v>0</v>
      </c>
      <c r="L1953">
        <v>3</v>
      </c>
      <c r="M1953">
        <v>0</v>
      </c>
      <c r="N1953">
        <v>2</v>
      </c>
      <c r="O1953">
        <v>0</v>
      </c>
      <c r="P1953">
        <v>1</v>
      </c>
      <c r="Q1953">
        <v>0</v>
      </c>
      <c r="S1953" t="str">
        <f t="shared" si="685"/>
        <v>19:30:38.000</v>
      </c>
      <c r="T1953" t="str">
        <f t="shared" si="685"/>
        <v>19:30:38.000</v>
      </c>
      <c r="U1953" t="str">
        <f t="shared" si="678"/>
        <v>AC3944</v>
      </c>
      <c r="V1953">
        <v>0</v>
      </c>
      <c r="W1953">
        <v>0</v>
      </c>
      <c r="X1953">
        <v>2</v>
      </c>
      <c r="Y1953">
        <v>0</v>
      </c>
      <c r="AA1953">
        <v>1</v>
      </c>
      <c r="AB1953">
        <v>8</v>
      </c>
      <c r="AC1953">
        <v>3</v>
      </c>
      <c r="AD1953">
        <v>0</v>
      </c>
      <c r="AE1953">
        <v>9</v>
      </c>
      <c r="AF1953" t="s">
        <v>138</v>
      </c>
      <c r="AG1953">
        <v>0</v>
      </c>
      <c r="AH1953">
        <v>3</v>
      </c>
      <c r="AI1953">
        <v>1</v>
      </c>
      <c r="AJ1953">
        <v>0</v>
      </c>
      <c r="AK1953" t="s">
        <v>692</v>
      </c>
      <c r="AL1953">
        <v>32.776829999999997</v>
      </c>
      <c r="AM1953" t="s">
        <v>693</v>
      </c>
      <c r="AN1953">
        <v>-116.846402</v>
      </c>
      <c r="AO1953">
        <v>25</v>
      </c>
      <c r="AP1953">
        <v>2900</v>
      </c>
      <c r="AQ1953" t="s">
        <v>129</v>
      </c>
      <c r="AR1953">
        <v>121</v>
      </c>
      <c r="AS1953">
        <v>-38</v>
      </c>
      <c r="AT1953">
        <v>384</v>
      </c>
      <c r="BB1953">
        <v>1200</v>
      </c>
      <c r="BC1953">
        <v>1</v>
      </c>
      <c r="BD1953" t="str">
        <f t="shared" si="679"/>
        <v xml:space="preserve">N887QR  </v>
      </c>
      <c r="BE1953">
        <v>1</v>
      </c>
      <c r="BG1953">
        <v>0</v>
      </c>
      <c r="BH1953">
        <v>0</v>
      </c>
      <c r="BI1953">
        <v>0</v>
      </c>
      <c r="BJ1953">
        <v>2650</v>
      </c>
      <c r="BK1953">
        <v>-250</v>
      </c>
      <c r="BL1953" t="s">
        <v>163</v>
      </c>
      <c r="BM1953">
        <v>1</v>
      </c>
      <c r="BN1953">
        <v>1</v>
      </c>
      <c r="BO1953">
        <v>1</v>
      </c>
      <c r="BP1953">
        <v>0</v>
      </c>
      <c r="BS1953">
        <v>0</v>
      </c>
      <c r="BT1953">
        <v>0</v>
      </c>
      <c r="BU1953">
        <v>0</v>
      </c>
      <c r="CE1953" t="str">
        <f t="shared" si="687"/>
        <v>19:30:38.860</v>
      </c>
      <c r="CF1953">
        <v>860403840</v>
      </c>
      <c r="CS1953">
        <v>0</v>
      </c>
      <c r="CT1953">
        <v>2</v>
      </c>
      <c r="CU1953">
        <v>0</v>
      </c>
      <c r="CV1953">
        <v>2</v>
      </c>
      <c r="CW1953">
        <v>0</v>
      </c>
      <c r="CX1953">
        <v>2</v>
      </c>
      <c r="CY1953">
        <v>7</v>
      </c>
      <c r="CZ1953" t="s">
        <v>131</v>
      </c>
      <c r="DA1953">
        <v>286</v>
      </c>
      <c r="DB1953">
        <v>0</v>
      </c>
      <c r="DC1953" t="s">
        <v>132</v>
      </c>
      <c r="DD1953" t="s">
        <v>133</v>
      </c>
      <c r="DG1953">
        <v>832162</v>
      </c>
      <c r="DI1953">
        <v>1</v>
      </c>
      <c r="DJ1953">
        <v>0</v>
      </c>
      <c r="DK1953">
        <v>1</v>
      </c>
      <c r="DL1953">
        <v>0</v>
      </c>
      <c r="DM1953">
        <v>0</v>
      </c>
      <c r="DN1953">
        <v>1</v>
      </c>
      <c r="DO1953">
        <v>0</v>
      </c>
      <c r="DP1953">
        <v>0</v>
      </c>
      <c r="DQ1953">
        <v>0</v>
      </c>
      <c r="DR1953">
        <v>0</v>
      </c>
      <c r="DS1953">
        <v>0</v>
      </c>
    </row>
    <row r="1954" spans="1:123" x14ac:dyDescent="0.3">
      <c r="A1954" t="str">
        <f t="shared" ref="A1954:A1960" si="688">"10/04/2022 19:30:40.499"</f>
        <v>10/04/2022 19:30:40.499</v>
      </c>
      <c r="C1954" t="str">
        <f t="shared" si="672"/>
        <v>FFDFD3C0</v>
      </c>
      <c r="D1954" t="s">
        <v>143</v>
      </c>
      <c r="E1954">
        <v>20</v>
      </c>
      <c r="F1954">
        <v>1020</v>
      </c>
      <c r="G1954" t="s">
        <v>144</v>
      </c>
      <c r="J1954" t="s">
        <v>145</v>
      </c>
      <c r="K1954">
        <v>0</v>
      </c>
      <c r="L1954">
        <v>3</v>
      </c>
      <c r="M1954">
        <v>0</v>
      </c>
      <c r="N1954">
        <v>2</v>
      </c>
      <c r="O1954">
        <v>0</v>
      </c>
      <c r="P1954">
        <v>1</v>
      </c>
      <c r="Q1954">
        <v>0</v>
      </c>
      <c r="S1954" t="str">
        <f t="shared" ref="S1954:T1967" si="689">"19:30:40.000"</f>
        <v>19:30:40.000</v>
      </c>
      <c r="T1954" t="str">
        <f t="shared" si="689"/>
        <v>19:30:40.000</v>
      </c>
      <c r="U1954" t="str">
        <f t="shared" si="678"/>
        <v>AC3944</v>
      </c>
      <c r="V1954">
        <v>0</v>
      </c>
      <c r="W1954">
        <v>0</v>
      </c>
      <c r="X1954">
        <v>2</v>
      </c>
      <c r="Y1954">
        <v>0</v>
      </c>
      <c r="AA1954">
        <v>1</v>
      </c>
      <c r="AB1954">
        <v>8</v>
      </c>
      <c r="AC1954">
        <v>3</v>
      </c>
      <c r="AD1954">
        <v>0</v>
      </c>
      <c r="AE1954">
        <v>9</v>
      </c>
      <c r="AF1954" t="s">
        <v>138</v>
      </c>
      <c r="AG1954">
        <v>0</v>
      </c>
      <c r="AH1954">
        <v>3</v>
      </c>
      <c r="AI1954">
        <v>1</v>
      </c>
      <c r="AJ1954">
        <v>0</v>
      </c>
      <c r="AK1954" t="s">
        <v>694</v>
      </c>
      <c r="AL1954">
        <v>32.776659000000002</v>
      </c>
      <c r="AM1954" t="s">
        <v>695</v>
      </c>
      <c r="AN1954">
        <v>-116.845737</v>
      </c>
      <c r="AO1954">
        <v>25</v>
      </c>
      <c r="AP1954">
        <v>2900</v>
      </c>
      <c r="AQ1954" t="s">
        <v>129</v>
      </c>
      <c r="AR1954">
        <v>121</v>
      </c>
      <c r="AS1954">
        <v>-37</v>
      </c>
      <c r="AT1954">
        <v>448</v>
      </c>
      <c r="BB1954">
        <v>1200</v>
      </c>
      <c r="BC1954">
        <v>1</v>
      </c>
      <c r="BD1954" t="str">
        <f t="shared" si="679"/>
        <v xml:space="preserve">N887QR  </v>
      </c>
      <c r="BE1954">
        <v>1</v>
      </c>
      <c r="BG1954">
        <v>0</v>
      </c>
      <c r="BH1954">
        <v>0</v>
      </c>
      <c r="BI1954">
        <v>0</v>
      </c>
      <c r="BJ1954">
        <v>2650</v>
      </c>
      <c r="BK1954">
        <v>-250</v>
      </c>
      <c r="BL1954" t="s">
        <v>163</v>
      </c>
      <c r="BM1954">
        <v>1</v>
      </c>
      <c r="BN1954">
        <v>1</v>
      </c>
      <c r="BO1954">
        <v>1</v>
      </c>
      <c r="BP1954">
        <v>0</v>
      </c>
      <c r="BS1954">
        <v>0</v>
      </c>
      <c r="BT1954">
        <v>0</v>
      </c>
      <c r="BU1954">
        <v>0</v>
      </c>
      <c r="CE1954" t="str">
        <f t="shared" ref="CE1954:CE1960" si="690">"19:30:40.229"</f>
        <v>19:30:40.229</v>
      </c>
      <c r="CF1954">
        <v>228935147</v>
      </c>
      <c r="CS1954">
        <v>0</v>
      </c>
      <c r="CT1954">
        <v>2</v>
      </c>
      <c r="CU1954">
        <v>0</v>
      </c>
      <c r="CV1954">
        <v>2</v>
      </c>
      <c r="CW1954">
        <v>0</v>
      </c>
      <c r="CX1954">
        <v>3</v>
      </c>
      <c r="CY1954">
        <v>7</v>
      </c>
      <c r="CZ1954" t="s">
        <v>131</v>
      </c>
      <c r="DA1954">
        <v>300</v>
      </c>
      <c r="DB1954">
        <v>0</v>
      </c>
      <c r="DC1954" t="s">
        <v>176</v>
      </c>
      <c r="DD1954" t="s">
        <v>177</v>
      </c>
      <c r="DG1954">
        <v>5398805</v>
      </c>
      <c r="DI1954">
        <v>1</v>
      </c>
      <c r="DJ1954">
        <v>0</v>
      </c>
      <c r="DK1954">
        <v>0</v>
      </c>
      <c r="DL1954">
        <v>0</v>
      </c>
      <c r="DM1954">
        <v>0</v>
      </c>
      <c r="DN1954">
        <v>1</v>
      </c>
      <c r="DO1954">
        <v>0</v>
      </c>
      <c r="DP1954">
        <v>0</v>
      </c>
      <c r="DQ1954">
        <v>0</v>
      </c>
      <c r="DR1954">
        <v>0</v>
      </c>
      <c r="DS1954">
        <v>0</v>
      </c>
    </row>
    <row r="1955" spans="1:123" x14ac:dyDescent="0.3">
      <c r="A1955" t="str">
        <f t="shared" si="688"/>
        <v>10/04/2022 19:30:40.499</v>
      </c>
      <c r="C1955" t="str">
        <f t="shared" si="672"/>
        <v>FFDFD3C0</v>
      </c>
      <c r="D1955" t="s">
        <v>136</v>
      </c>
      <c r="E1955">
        <v>8</v>
      </c>
      <c r="H1955">
        <v>225</v>
      </c>
      <c r="I1955" t="s">
        <v>137</v>
      </c>
      <c r="J1955" t="s">
        <v>138</v>
      </c>
      <c r="K1955">
        <v>0</v>
      </c>
      <c r="L1955">
        <v>3</v>
      </c>
      <c r="M1955">
        <v>0</v>
      </c>
      <c r="N1955">
        <v>2</v>
      </c>
      <c r="O1955">
        <v>0</v>
      </c>
      <c r="P1955">
        <v>1</v>
      </c>
      <c r="Q1955">
        <v>0</v>
      </c>
      <c r="S1955" t="str">
        <f t="shared" si="689"/>
        <v>19:30:40.000</v>
      </c>
      <c r="T1955" t="str">
        <f t="shared" si="689"/>
        <v>19:30:40.000</v>
      </c>
      <c r="U1955" t="str">
        <f t="shared" si="678"/>
        <v>AC3944</v>
      </c>
      <c r="V1955">
        <v>0</v>
      </c>
      <c r="W1955">
        <v>0</v>
      </c>
      <c r="X1955">
        <v>2</v>
      </c>
      <c r="Y1955">
        <v>0</v>
      </c>
      <c r="AA1955">
        <v>1</v>
      </c>
      <c r="AB1955">
        <v>8</v>
      </c>
      <c r="AC1955">
        <v>3</v>
      </c>
      <c r="AD1955">
        <v>0</v>
      </c>
      <c r="AE1955">
        <v>9</v>
      </c>
      <c r="AF1955" t="s">
        <v>138</v>
      </c>
      <c r="AG1955">
        <v>0</v>
      </c>
      <c r="AH1955">
        <v>3</v>
      </c>
      <c r="AI1955">
        <v>1</v>
      </c>
      <c r="AJ1955">
        <v>0</v>
      </c>
      <c r="AK1955" t="s">
        <v>694</v>
      </c>
      <c r="AL1955">
        <v>32.776659000000002</v>
      </c>
      <c r="AM1955" t="s">
        <v>695</v>
      </c>
      <c r="AN1955">
        <v>-116.845737</v>
      </c>
      <c r="AO1955">
        <v>25</v>
      </c>
      <c r="AP1955">
        <v>2900</v>
      </c>
      <c r="AQ1955" t="s">
        <v>129</v>
      </c>
      <c r="AR1955">
        <v>121</v>
      </c>
      <c r="AS1955">
        <v>-37</v>
      </c>
      <c r="AT1955">
        <v>448</v>
      </c>
      <c r="BB1955">
        <v>1200</v>
      </c>
      <c r="BC1955">
        <v>1</v>
      </c>
      <c r="BD1955" t="str">
        <f t="shared" si="679"/>
        <v xml:space="preserve">N887QR  </v>
      </c>
      <c r="BE1955">
        <v>1</v>
      </c>
      <c r="BG1955">
        <v>0</v>
      </c>
      <c r="BH1955">
        <v>0</v>
      </c>
      <c r="BI1955">
        <v>0</v>
      </c>
      <c r="BJ1955">
        <v>2650</v>
      </c>
      <c r="BK1955">
        <v>-250</v>
      </c>
      <c r="BL1955" t="s">
        <v>163</v>
      </c>
      <c r="BM1955">
        <v>1</v>
      </c>
      <c r="BN1955">
        <v>1</v>
      </c>
      <c r="BO1955">
        <v>1</v>
      </c>
      <c r="BP1955">
        <v>0</v>
      </c>
      <c r="BS1955">
        <v>0</v>
      </c>
      <c r="BT1955">
        <v>0</v>
      </c>
      <c r="BU1955">
        <v>0</v>
      </c>
      <c r="CE1955" t="str">
        <f t="shared" si="690"/>
        <v>19:30:40.229</v>
      </c>
      <c r="CF1955">
        <v>228935147</v>
      </c>
      <c r="CS1955">
        <v>0</v>
      </c>
      <c r="CT1955">
        <v>2</v>
      </c>
      <c r="CU1955">
        <v>0</v>
      </c>
      <c r="CV1955">
        <v>2</v>
      </c>
      <c r="CW1955">
        <v>0</v>
      </c>
      <c r="CX1955">
        <v>3</v>
      </c>
      <c r="CY1955">
        <v>7</v>
      </c>
      <c r="CZ1955" t="s">
        <v>131</v>
      </c>
      <c r="DA1955">
        <v>300</v>
      </c>
      <c r="DB1955">
        <v>0</v>
      </c>
      <c r="DC1955" t="s">
        <v>176</v>
      </c>
      <c r="DD1955" t="s">
        <v>177</v>
      </c>
      <c r="DG1955">
        <v>5398805</v>
      </c>
      <c r="DI1955">
        <v>1</v>
      </c>
      <c r="DJ1955">
        <v>0</v>
      </c>
      <c r="DK1955">
        <v>1</v>
      </c>
      <c r="DL1955">
        <v>0</v>
      </c>
      <c r="DM1955">
        <v>0</v>
      </c>
      <c r="DN1955">
        <v>1</v>
      </c>
      <c r="DO1955">
        <v>0</v>
      </c>
      <c r="DP1955">
        <v>0</v>
      </c>
      <c r="DQ1955">
        <v>0</v>
      </c>
      <c r="DR1955">
        <v>0</v>
      </c>
      <c r="DS1955">
        <v>0</v>
      </c>
    </row>
    <row r="1956" spans="1:123" x14ac:dyDescent="0.3">
      <c r="A1956" t="str">
        <f t="shared" si="688"/>
        <v>10/04/2022 19:30:40.499</v>
      </c>
      <c r="C1956" t="str">
        <f t="shared" si="672"/>
        <v>FFDFD3C0</v>
      </c>
      <c r="D1956" t="s">
        <v>147</v>
      </c>
      <c r="E1956">
        <v>3</v>
      </c>
      <c r="H1956">
        <v>166</v>
      </c>
      <c r="I1956" t="s">
        <v>144</v>
      </c>
      <c r="J1956" t="s">
        <v>148</v>
      </c>
      <c r="K1956">
        <v>0</v>
      </c>
      <c r="L1956">
        <v>3</v>
      </c>
      <c r="M1956">
        <v>0</v>
      </c>
      <c r="N1956">
        <v>2</v>
      </c>
      <c r="O1956">
        <v>0</v>
      </c>
      <c r="P1956">
        <v>1</v>
      </c>
      <c r="Q1956">
        <v>0</v>
      </c>
      <c r="S1956" t="str">
        <f t="shared" si="689"/>
        <v>19:30:40.000</v>
      </c>
      <c r="T1956" t="str">
        <f t="shared" si="689"/>
        <v>19:30:40.000</v>
      </c>
      <c r="U1956" t="str">
        <f t="shared" si="678"/>
        <v>AC3944</v>
      </c>
      <c r="V1956">
        <v>0</v>
      </c>
      <c r="W1956">
        <v>0</v>
      </c>
      <c r="X1956">
        <v>2</v>
      </c>
      <c r="Y1956">
        <v>0</v>
      </c>
      <c r="AA1956">
        <v>1</v>
      </c>
      <c r="AB1956">
        <v>8</v>
      </c>
      <c r="AC1956">
        <v>3</v>
      </c>
      <c r="AD1956">
        <v>0</v>
      </c>
      <c r="AE1956">
        <v>9</v>
      </c>
      <c r="AF1956" t="s">
        <v>138</v>
      </c>
      <c r="AG1956">
        <v>0</v>
      </c>
      <c r="AH1956">
        <v>3</v>
      </c>
      <c r="AI1956">
        <v>1</v>
      </c>
      <c r="AJ1956">
        <v>0</v>
      </c>
      <c r="AK1956" t="s">
        <v>694</v>
      </c>
      <c r="AL1956">
        <v>32.776659000000002</v>
      </c>
      <c r="AM1956" t="s">
        <v>695</v>
      </c>
      <c r="AN1956">
        <v>-116.845737</v>
      </c>
      <c r="AO1956">
        <v>25</v>
      </c>
      <c r="AP1956">
        <v>2900</v>
      </c>
      <c r="AQ1956" t="s">
        <v>129</v>
      </c>
      <c r="AR1956">
        <v>121</v>
      </c>
      <c r="AS1956">
        <v>-37</v>
      </c>
      <c r="AT1956">
        <v>448</v>
      </c>
      <c r="BB1956">
        <v>1200</v>
      </c>
      <c r="BC1956">
        <v>1</v>
      </c>
      <c r="BD1956" t="str">
        <f t="shared" si="679"/>
        <v xml:space="preserve">N887QR  </v>
      </c>
      <c r="BE1956">
        <v>1</v>
      </c>
      <c r="BG1956">
        <v>0</v>
      </c>
      <c r="BH1956">
        <v>0</v>
      </c>
      <c r="BI1956">
        <v>0</v>
      </c>
      <c r="BJ1956">
        <v>2650</v>
      </c>
      <c r="BK1956">
        <v>-250</v>
      </c>
      <c r="BL1956" t="s">
        <v>163</v>
      </c>
      <c r="BM1956">
        <v>1</v>
      </c>
      <c r="BN1956">
        <v>1</v>
      </c>
      <c r="BO1956">
        <v>1</v>
      </c>
      <c r="BP1956">
        <v>0</v>
      </c>
      <c r="BS1956">
        <v>0</v>
      </c>
      <c r="BT1956">
        <v>0</v>
      </c>
      <c r="BU1956">
        <v>0</v>
      </c>
      <c r="CE1956" t="str">
        <f t="shared" si="690"/>
        <v>19:30:40.229</v>
      </c>
      <c r="CF1956">
        <v>228935147</v>
      </c>
      <c r="CS1956">
        <v>0</v>
      </c>
      <c r="CT1956">
        <v>2</v>
      </c>
      <c r="CU1956">
        <v>0</v>
      </c>
      <c r="CV1956">
        <v>2</v>
      </c>
      <c r="CW1956">
        <v>0</v>
      </c>
      <c r="CX1956">
        <v>3</v>
      </c>
      <c r="CY1956">
        <v>7</v>
      </c>
      <c r="CZ1956" t="s">
        <v>131</v>
      </c>
      <c r="DA1956">
        <v>300</v>
      </c>
      <c r="DB1956">
        <v>0</v>
      </c>
      <c r="DC1956" t="s">
        <v>176</v>
      </c>
      <c r="DD1956" t="s">
        <v>177</v>
      </c>
      <c r="DG1956">
        <v>5398805</v>
      </c>
      <c r="DI1956">
        <v>1</v>
      </c>
      <c r="DJ1956">
        <v>0</v>
      </c>
      <c r="DK1956">
        <v>1</v>
      </c>
      <c r="DL1956">
        <v>0</v>
      </c>
      <c r="DM1956">
        <v>0</v>
      </c>
      <c r="DN1956">
        <v>1</v>
      </c>
      <c r="DO1956">
        <v>0</v>
      </c>
      <c r="DP1956">
        <v>0</v>
      </c>
      <c r="DQ1956">
        <v>0</v>
      </c>
      <c r="DR1956">
        <v>0</v>
      </c>
      <c r="DS1956">
        <v>0</v>
      </c>
    </row>
    <row r="1957" spans="1:123" x14ac:dyDescent="0.3">
      <c r="A1957" t="str">
        <f t="shared" si="688"/>
        <v>10/04/2022 19:30:40.499</v>
      </c>
      <c r="C1957" t="str">
        <f t="shared" si="672"/>
        <v>FFDFD3C0</v>
      </c>
      <c r="D1957" t="s">
        <v>123</v>
      </c>
      <c r="E1957">
        <v>7</v>
      </c>
      <c r="F1957">
        <v>2007</v>
      </c>
      <c r="G1957" t="s">
        <v>124</v>
      </c>
      <c r="J1957" t="s">
        <v>125</v>
      </c>
      <c r="K1957">
        <v>0</v>
      </c>
      <c r="L1957">
        <v>3</v>
      </c>
      <c r="M1957">
        <v>0</v>
      </c>
      <c r="N1957">
        <v>2</v>
      </c>
      <c r="O1957">
        <v>0</v>
      </c>
      <c r="P1957">
        <v>1</v>
      </c>
      <c r="Q1957">
        <v>0</v>
      </c>
      <c r="S1957" t="str">
        <f t="shared" si="689"/>
        <v>19:30:40.000</v>
      </c>
      <c r="T1957" t="str">
        <f t="shared" si="689"/>
        <v>19:30:40.000</v>
      </c>
      <c r="U1957" t="str">
        <f t="shared" si="678"/>
        <v>AC3944</v>
      </c>
      <c r="V1957">
        <v>0</v>
      </c>
      <c r="W1957">
        <v>0</v>
      </c>
      <c r="X1957">
        <v>2</v>
      </c>
      <c r="Y1957">
        <v>0</v>
      </c>
      <c r="AA1957">
        <v>1</v>
      </c>
      <c r="AB1957">
        <v>8</v>
      </c>
      <c r="AC1957">
        <v>3</v>
      </c>
      <c r="AD1957">
        <v>0</v>
      </c>
      <c r="AE1957">
        <v>9</v>
      </c>
      <c r="AF1957" t="s">
        <v>138</v>
      </c>
      <c r="AG1957">
        <v>0</v>
      </c>
      <c r="AH1957">
        <v>3</v>
      </c>
      <c r="AI1957">
        <v>1</v>
      </c>
      <c r="AJ1957">
        <v>0</v>
      </c>
      <c r="AK1957" t="s">
        <v>694</v>
      </c>
      <c r="AL1957">
        <v>32.776659000000002</v>
      </c>
      <c r="AM1957" t="s">
        <v>695</v>
      </c>
      <c r="AN1957">
        <v>-116.845737</v>
      </c>
      <c r="AO1957">
        <v>25</v>
      </c>
      <c r="AP1957">
        <v>2900</v>
      </c>
      <c r="AQ1957" t="s">
        <v>129</v>
      </c>
      <c r="AR1957">
        <v>121</v>
      </c>
      <c r="AS1957">
        <v>-37</v>
      </c>
      <c r="AT1957">
        <v>448</v>
      </c>
      <c r="BB1957">
        <v>1200</v>
      </c>
      <c r="BC1957">
        <v>1</v>
      </c>
      <c r="BD1957" t="str">
        <f t="shared" si="679"/>
        <v xml:space="preserve">N887QR  </v>
      </c>
      <c r="BE1957">
        <v>1</v>
      </c>
      <c r="BG1957">
        <v>0</v>
      </c>
      <c r="BH1957">
        <v>0</v>
      </c>
      <c r="BI1957">
        <v>0</v>
      </c>
      <c r="BJ1957">
        <v>2650</v>
      </c>
      <c r="BK1957">
        <v>-250</v>
      </c>
      <c r="BL1957" t="s">
        <v>163</v>
      </c>
      <c r="BM1957">
        <v>1</v>
      </c>
      <c r="BN1957">
        <v>1</v>
      </c>
      <c r="BO1957">
        <v>1</v>
      </c>
      <c r="BP1957">
        <v>0</v>
      </c>
      <c r="BS1957">
        <v>0</v>
      </c>
      <c r="BT1957">
        <v>0</v>
      </c>
      <c r="BU1957">
        <v>0</v>
      </c>
      <c r="CE1957" t="str">
        <f t="shared" si="690"/>
        <v>19:30:40.229</v>
      </c>
      <c r="CF1957">
        <v>228935147</v>
      </c>
      <c r="CS1957">
        <v>0</v>
      </c>
      <c r="CT1957">
        <v>2</v>
      </c>
      <c r="CU1957">
        <v>0</v>
      </c>
      <c r="CV1957">
        <v>2</v>
      </c>
      <c r="CW1957">
        <v>0</v>
      </c>
      <c r="CX1957">
        <v>3</v>
      </c>
      <c r="CY1957">
        <v>7</v>
      </c>
      <c r="CZ1957" t="s">
        <v>131</v>
      </c>
      <c r="DA1957">
        <v>300</v>
      </c>
      <c r="DB1957">
        <v>0</v>
      </c>
      <c r="DC1957" t="s">
        <v>176</v>
      </c>
      <c r="DD1957" t="s">
        <v>177</v>
      </c>
      <c r="DG1957">
        <v>5398805</v>
      </c>
      <c r="DI1957">
        <v>1</v>
      </c>
      <c r="DJ1957">
        <v>0</v>
      </c>
      <c r="DK1957">
        <v>1</v>
      </c>
      <c r="DL1957">
        <v>0</v>
      </c>
      <c r="DM1957">
        <v>0</v>
      </c>
      <c r="DN1957">
        <v>1</v>
      </c>
      <c r="DO1957">
        <v>0</v>
      </c>
      <c r="DP1957">
        <v>0</v>
      </c>
      <c r="DQ1957">
        <v>0</v>
      </c>
      <c r="DR1957">
        <v>0</v>
      </c>
      <c r="DS1957">
        <v>0</v>
      </c>
    </row>
    <row r="1958" spans="1:123" x14ac:dyDescent="0.3">
      <c r="A1958" t="str">
        <f t="shared" si="688"/>
        <v>10/04/2022 19:30:40.499</v>
      </c>
      <c r="C1958" t="str">
        <f t="shared" si="672"/>
        <v>FFDFD3C0</v>
      </c>
      <c r="D1958" t="s">
        <v>141</v>
      </c>
      <c r="E1958">
        <v>3</v>
      </c>
      <c r="H1958">
        <v>3</v>
      </c>
      <c r="I1958" t="s">
        <v>146</v>
      </c>
      <c r="J1958" t="s">
        <v>138</v>
      </c>
      <c r="K1958">
        <v>0</v>
      </c>
      <c r="L1958">
        <v>3</v>
      </c>
      <c r="M1958">
        <v>0</v>
      </c>
      <c r="N1958">
        <v>2</v>
      </c>
      <c r="O1958">
        <v>0</v>
      </c>
      <c r="P1958">
        <v>1</v>
      </c>
      <c r="Q1958">
        <v>0</v>
      </c>
      <c r="S1958" t="str">
        <f t="shared" si="689"/>
        <v>19:30:40.000</v>
      </c>
      <c r="T1958" t="str">
        <f t="shared" si="689"/>
        <v>19:30:40.000</v>
      </c>
      <c r="U1958" t="str">
        <f t="shared" si="678"/>
        <v>AC3944</v>
      </c>
      <c r="V1958">
        <v>0</v>
      </c>
      <c r="W1958">
        <v>0</v>
      </c>
      <c r="X1958">
        <v>2</v>
      </c>
      <c r="Y1958">
        <v>0</v>
      </c>
      <c r="AA1958">
        <v>1</v>
      </c>
      <c r="AB1958">
        <v>8</v>
      </c>
      <c r="AC1958">
        <v>3</v>
      </c>
      <c r="AD1958">
        <v>0</v>
      </c>
      <c r="AE1958">
        <v>9</v>
      </c>
      <c r="AF1958" t="s">
        <v>138</v>
      </c>
      <c r="AG1958">
        <v>0</v>
      </c>
      <c r="AH1958">
        <v>3</v>
      </c>
      <c r="AI1958">
        <v>1</v>
      </c>
      <c r="AJ1958">
        <v>0</v>
      </c>
      <c r="AK1958" t="s">
        <v>694</v>
      </c>
      <c r="AL1958">
        <v>32.776659000000002</v>
      </c>
      <c r="AM1958" t="s">
        <v>695</v>
      </c>
      <c r="AN1958">
        <v>-116.845737</v>
      </c>
      <c r="AO1958">
        <v>25</v>
      </c>
      <c r="AP1958">
        <v>2900</v>
      </c>
      <c r="AQ1958" t="s">
        <v>129</v>
      </c>
      <c r="AR1958">
        <v>121</v>
      </c>
      <c r="AS1958">
        <v>-37</v>
      </c>
      <c r="AT1958">
        <v>448</v>
      </c>
      <c r="BB1958">
        <v>1200</v>
      </c>
      <c r="BC1958">
        <v>1</v>
      </c>
      <c r="BD1958" t="str">
        <f t="shared" si="679"/>
        <v xml:space="preserve">N887QR  </v>
      </c>
      <c r="BE1958">
        <v>1</v>
      </c>
      <c r="BG1958">
        <v>0</v>
      </c>
      <c r="BH1958">
        <v>0</v>
      </c>
      <c r="BI1958">
        <v>0</v>
      </c>
      <c r="BJ1958">
        <v>2650</v>
      </c>
      <c r="BK1958">
        <v>-250</v>
      </c>
      <c r="BL1958" t="s">
        <v>163</v>
      </c>
      <c r="BM1958">
        <v>1</v>
      </c>
      <c r="BN1958">
        <v>1</v>
      </c>
      <c r="BO1958">
        <v>1</v>
      </c>
      <c r="BP1958">
        <v>0</v>
      </c>
      <c r="BS1958">
        <v>0</v>
      </c>
      <c r="BT1958">
        <v>0</v>
      </c>
      <c r="BU1958">
        <v>0</v>
      </c>
      <c r="CE1958" t="str">
        <f t="shared" si="690"/>
        <v>19:30:40.229</v>
      </c>
      <c r="CF1958">
        <v>228935147</v>
      </c>
      <c r="CS1958">
        <v>0</v>
      </c>
      <c r="CT1958">
        <v>2</v>
      </c>
      <c r="CU1958">
        <v>0</v>
      </c>
      <c r="CV1958">
        <v>2</v>
      </c>
      <c r="CW1958">
        <v>0</v>
      </c>
      <c r="CX1958">
        <v>3</v>
      </c>
      <c r="CY1958">
        <v>7</v>
      </c>
      <c r="CZ1958" t="s">
        <v>131</v>
      </c>
      <c r="DA1958">
        <v>300</v>
      </c>
      <c r="DB1958">
        <v>0</v>
      </c>
      <c r="DC1958" t="s">
        <v>176</v>
      </c>
      <c r="DD1958" t="s">
        <v>177</v>
      </c>
      <c r="DG1958">
        <v>5398805</v>
      </c>
      <c r="DI1958">
        <v>1</v>
      </c>
      <c r="DJ1958">
        <v>0</v>
      </c>
      <c r="DK1958">
        <v>1</v>
      </c>
      <c r="DL1958">
        <v>0</v>
      </c>
      <c r="DM1958">
        <v>0</v>
      </c>
      <c r="DN1958">
        <v>1</v>
      </c>
      <c r="DO1958">
        <v>0</v>
      </c>
      <c r="DP1958">
        <v>0</v>
      </c>
      <c r="DQ1958">
        <v>0</v>
      </c>
      <c r="DR1958">
        <v>0</v>
      </c>
      <c r="DS1958">
        <v>0</v>
      </c>
    </row>
    <row r="1959" spans="1:123" x14ac:dyDescent="0.3">
      <c r="A1959" t="str">
        <f t="shared" si="688"/>
        <v>10/04/2022 19:30:40.499</v>
      </c>
      <c r="C1959" t="str">
        <f t="shared" si="672"/>
        <v>FFDFD3C0</v>
      </c>
      <c r="D1959" t="s">
        <v>134</v>
      </c>
      <c r="E1959">
        <v>15</v>
      </c>
      <c r="J1959" t="s">
        <v>135</v>
      </c>
      <c r="K1959">
        <v>0</v>
      </c>
      <c r="L1959">
        <v>3</v>
      </c>
      <c r="M1959">
        <v>0</v>
      </c>
      <c r="N1959">
        <v>2</v>
      </c>
      <c r="O1959">
        <v>0</v>
      </c>
      <c r="P1959">
        <v>1</v>
      </c>
      <c r="Q1959">
        <v>0</v>
      </c>
      <c r="S1959" t="str">
        <f t="shared" si="689"/>
        <v>19:30:40.000</v>
      </c>
      <c r="T1959" t="str">
        <f t="shared" si="689"/>
        <v>19:30:40.000</v>
      </c>
      <c r="U1959" t="str">
        <f t="shared" si="678"/>
        <v>AC3944</v>
      </c>
      <c r="V1959">
        <v>0</v>
      </c>
      <c r="W1959">
        <v>0</v>
      </c>
      <c r="X1959">
        <v>2</v>
      </c>
      <c r="Y1959">
        <v>0</v>
      </c>
      <c r="AA1959">
        <v>1</v>
      </c>
      <c r="AB1959">
        <v>8</v>
      </c>
      <c r="AC1959">
        <v>3</v>
      </c>
      <c r="AD1959">
        <v>0</v>
      </c>
      <c r="AE1959">
        <v>9</v>
      </c>
      <c r="AF1959" t="s">
        <v>138</v>
      </c>
      <c r="AG1959">
        <v>0</v>
      </c>
      <c r="AH1959">
        <v>3</v>
      </c>
      <c r="AI1959">
        <v>1</v>
      </c>
      <c r="AJ1959">
        <v>0</v>
      </c>
      <c r="AK1959" t="s">
        <v>694</v>
      </c>
      <c r="AL1959">
        <v>32.776659000000002</v>
      </c>
      <c r="AM1959" t="s">
        <v>695</v>
      </c>
      <c r="AN1959">
        <v>-116.845737</v>
      </c>
      <c r="AO1959">
        <v>25</v>
      </c>
      <c r="AP1959">
        <v>2900</v>
      </c>
      <c r="AQ1959" t="s">
        <v>129</v>
      </c>
      <c r="AR1959">
        <v>121</v>
      </c>
      <c r="AS1959">
        <v>-37</v>
      </c>
      <c r="AT1959">
        <v>448</v>
      </c>
      <c r="BB1959">
        <v>1200</v>
      </c>
      <c r="BC1959">
        <v>1</v>
      </c>
      <c r="BD1959" t="str">
        <f t="shared" si="679"/>
        <v xml:space="preserve">N887QR  </v>
      </c>
      <c r="BE1959">
        <v>1</v>
      </c>
      <c r="BG1959">
        <v>0</v>
      </c>
      <c r="BH1959">
        <v>0</v>
      </c>
      <c r="BI1959">
        <v>0</v>
      </c>
      <c r="BJ1959">
        <v>2650</v>
      </c>
      <c r="BK1959">
        <v>-250</v>
      </c>
      <c r="BL1959" t="s">
        <v>163</v>
      </c>
      <c r="BM1959">
        <v>1</v>
      </c>
      <c r="BN1959">
        <v>1</v>
      </c>
      <c r="BO1959">
        <v>1</v>
      </c>
      <c r="BP1959">
        <v>0</v>
      </c>
      <c r="BS1959">
        <v>0</v>
      </c>
      <c r="BT1959">
        <v>0</v>
      </c>
      <c r="BU1959">
        <v>0</v>
      </c>
      <c r="CE1959" t="str">
        <f t="shared" si="690"/>
        <v>19:30:40.229</v>
      </c>
      <c r="CF1959">
        <v>228935147</v>
      </c>
      <c r="CS1959">
        <v>0</v>
      </c>
      <c r="CT1959">
        <v>2</v>
      </c>
      <c r="CU1959">
        <v>0</v>
      </c>
      <c r="CV1959">
        <v>2</v>
      </c>
      <c r="CW1959">
        <v>0</v>
      </c>
      <c r="CX1959">
        <v>3</v>
      </c>
      <c r="CY1959">
        <v>7</v>
      </c>
      <c r="CZ1959" t="s">
        <v>131</v>
      </c>
      <c r="DA1959">
        <v>300</v>
      </c>
      <c r="DB1959">
        <v>0</v>
      </c>
      <c r="DC1959" t="s">
        <v>176</v>
      </c>
      <c r="DD1959" t="s">
        <v>177</v>
      </c>
      <c r="DG1959">
        <v>5398805</v>
      </c>
      <c r="DI1959">
        <v>1</v>
      </c>
      <c r="DJ1959">
        <v>0</v>
      </c>
      <c r="DK1959">
        <v>1</v>
      </c>
      <c r="DL1959">
        <v>0</v>
      </c>
      <c r="DM1959">
        <v>0</v>
      </c>
      <c r="DN1959">
        <v>1</v>
      </c>
      <c r="DO1959">
        <v>0</v>
      </c>
      <c r="DP1959">
        <v>0</v>
      </c>
      <c r="DQ1959">
        <v>0</v>
      </c>
      <c r="DR1959">
        <v>0</v>
      </c>
      <c r="DS1959">
        <v>0</v>
      </c>
    </row>
    <row r="1960" spans="1:123" x14ac:dyDescent="0.3">
      <c r="A1960" t="str">
        <f t="shared" si="688"/>
        <v>10/04/2022 19:30:40.499</v>
      </c>
      <c r="C1960" t="str">
        <f t="shared" si="672"/>
        <v>FFDFD3C0</v>
      </c>
      <c r="D1960" t="s">
        <v>141</v>
      </c>
      <c r="E1960">
        <v>4</v>
      </c>
      <c r="H1960">
        <v>4</v>
      </c>
      <c r="I1960" t="s">
        <v>142</v>
      </c>
      <c r="J1960" t="s">
        <v>138</v>
      </c>
      <c r="K1960">
        <v>0</v>
      </c>
      <c r="L1960">
        <v>3</v>
      </c>
      <c r="M1960">
        <v>0</v>
      </c>
      <c r="N1960">
        <v>2</v>
      </c>
      <c r="O1960">
        <v>0</v>
      </c>
      <c r="P1960">
        <v>1</v>
      </c>
      <c r="Q1960">
        <v>0</v>
      </c>
      <c r="S1960" t="str">
        <f t="shared" si="689"/>
        <v>19:30:40.000</v>
      </c>
      <c r="T1960" t="str">
        <f t="shared" si="689"/>
        <v>19:30:40.000</v>
      </c>
      <c r="U1960" t="str">
        <f t="shared" si="678"/>
        <v>AC3944</v>
      </c>
      <c r="V1960">
        <v>0</v>
      </c>
      <c r="W1960">
        <v>0</v>
      </c>
      <c r="X1960">
        <v>2</v>
      </c>
      <c r="Y1960">
        <v>0</v>
      </c>
      <c r="AA1960">
        <v>1</v>
      </c>
      <c r="AB1960">
        <v>8</v>
      </c>
      <c r="AC1960">
        <v>3</v>
      </c>
      <c r="AD1960">
        <v>0</v>
      </c>
      <c r="AE1960">
        <v>9</v>
      </c>
      <c r="AF1960" t="s">
        <v>138</v>
      </c>
      <c r="AG1960">
        <v>0</v>
      </c>
      <c r="AH1960">
        <v>3</v>
      </c>
      <c r="AI1960">
        <v>1</v>
      </c>
      <c r="AJ1960">
        <v>0</v>
      </c>
      <c r="AK1960" t="s">
        <v>694</v>
      </c>
      <c r="AL1960">
        <v>32.776659000000002</v>
      </c>
      <c r="AM1960" t="s">
        <v>695</v>
      </c>
      <c r="AN1960">
        <v>-116.845737</v>
      </c>
      <c r="AO1960">
        <v>25</v>
      </c>
      <c r="AP1960">
        <v>2900</v>
      </c>
      <c r="AQ1960" t="s">
        <v>129</v>
      </c>
      <c r="AR1960">
        <v>121</v>
      </c>
      <c r="AS1960">
        <v>-37</v>
      </c>
      <c r="AT1960">
        <v>448</v>
      </c>
      <c r="BB1960">
        <v>1200</v>
      </c>
      <c r="BC1960">
        <v>1</v>
      </c>
      <c r="BD1960" t="str">
        <f t="shared" si="679"/>
        <v xml:space="preserve">N887QR  </v>
      </c>
      <c r="BE1960">
        <v>1</v>
      </c>
      <c r="BG1960">
        <v>0</v>
      </c>
      <c r="BH1960">
        <v>0</v>
      </c>
      <c r="BI1960">
        <v>0</v>
      </c>
      <c r="BJ1960">
        <v>2650</v>
      </c>
      <c r="BK1960">
        <v>-250</v>
      </c>
      <c r="BL1960" t="s">
        <v>163</v>
      </c>
      <c r="BM1960">
        <v>1</v>
      </c>
      <c r="BN1960">
        <v>1</v>
      </c>
      <c r="BO1960">
        <v>1</v>
      </c>
      <c r="BP1960">
        <v>0</v>
      </c>
      <c r="BS1960">
        <v>0</v>
      </c>
      <c r="BT1960">
        <v>0</v>
      </c>
      <c r="BU1960">
        <v>0</v>
      </c>
      <c r="CE1960" t="str">
        <f t="shared" si="690"/>
        <v>19:30:40.229</v>
      </c>
      <c r="CF1960">
        <v>228935147</v>
      </c>
      <c r="CS1960">
        <v>0</v>
      </c>
      <c r="CT1960">
        <v>2</v>
      </c>
      <c r="CU1960">
        <v>0</v>
      </c>
      <c r="CV1960">
        <v>2</v>
      </c>
      <c r="CW1960">
        <v>0</v>
      </c>
      <c r="CX1960">
        <v>3</v>
      </c>
      <c r="CY1960">
        <v>7</v>
      </c>
      <c r="CZ1960" t="s">
        <v>131</v>
      </c>
      <c r="DA1960">
        <v>300</v>
      </c>
      <c r="DB1960">
        <v>0</v>
      </c>
      <c r="DC1960" t="s">
        <v>176</v>
      </c>
      <c r="DD1960" t="s">
        <v>177</v>
      </c>
      <c r="DG1960">
        <v>5398805</v>
      </c>
      <c r="DI1960">
        <v>1</v>
      </c>
      <c r="DJ1960">
        <v>0</v>
      </c>
      <c r="DK1960">
        <v>1</v>
      </c>
      <c r="DL1960">
        <v>0</v>
      </c>
      <c r="DM1960">
        <v>0</v>
      </c>
      <c r="DN1960">
        <v>1</v>
      </c>
      <c r="DO1960">
        <v>0</v>
      </c>
      <c r="DP1960">
        <v>0</v>
      </c>
      <c r="DQ1960">
        <v>0</v>
      </c>
      <c r="DR1960">
        <v>0</v>
      </c>
      <c r="DS1960">
        <v>0</v>
      </c>
    </row>
    <row r="1961" spans="1:123" x14ac:dyDescent="0.3">
      <c r="A1961" t="str">
        <f t="shared" ref="A1961:A1967" si="691">"10/04/2022 19:30:41.109"</f>
        <v>10/04/2022 19:30:41.109</v>
      </c>
      <c r="C1961" t="str">
        <f t="shared" si="672"/>
        <v>FFDFD3C0</v>
      </c>
      <c r="D1961" t="s">
        <v>141</v>
      </c>
      <c r="E1961">
        <v>4</v>
      </c>
      <c r="H1961">
        <v>4</v>
      </c>
      <c r="I1961" t="s">
        <v>142</v>
      </c>
      <c r="J1961" t="s">
        <v>138</v>
      </c>
      <c r="K1961">
        <v>0</v>
      </c>
      <c r="L1961">
        <v>3</v>
      </c>
      <c r="M1961">
        <v>0</v>
      </c>
      <c r="N1961">
        <v>2</v>
      </c>
      <c r="O1961">
        <v>0</v>
      </c>
      <c r="P1961">
        <v>1</v>
      </c>
      <c r="Q1961">
        <v>0</v>
      </c>
      <c r="S1961" t="str">
        <f t="shared" si="689"/>
        <v>19:30:40.000</v>
      </c>
      <c r="T1961" t="str">
        <f t="shared" si="689"/>
        <v>19:30:40.000</v>
      </c>
      <c r="U1961" t="str">
        <f t="shared" si="678"/>
        <v>AC3944</v>
      </c>
      <c r="V1961">
        <v>0</v>
      </c>
      <c r="W1961">
        <v>0</v>
      </c>
      <c r="X1961">
        <v>2</v>
      </c>
      <c r="Y1961">
        <v>0</v>
      </c>
      <c r="AA1961">
        <v>1</v>
      </c>
      <c r="AB1961">
        <v>8</v>
      </c>
      <c r="AC1961">
        <v>3</v>
      </c>
      <c r="AD1961">
        <v>0</v>
      </c>
      <c r="AE1961">
        <v>9</v>
      </c>
      <c r="AF1961" t="s">
        <v>138</v>
      </c>
      <c r="AG1961">
        <v>0</v>
      </c>
      <c r="AH1961">
        <v>3</v>
      </c>
      <c r="AI1961">
        <v>1</v>
      </c>
      <c r="AJ1961">
        <v>0</v>
      </c>
      <c r="AK1961" t="s">
        <v>696</v>
      </c>
      <c r="AL1961">
        <v>32.776465000000002</v>
      </c>
      <c r="AM1961" t="s">
        <v>697</v>
      </c>
      <c r="AN1961">
        <v>-116.845071</v>
      </c>
      <c r="AO1961">
        <v>25</v>
      </c>
      <c r="AP1961">
        <v>2900</v>
      </c>
      <c r="AQ1961" t="s">
        <v>129</v>
      </c>
      <c r="AR1961">
        <v>121</v>
      </c>
      <c r="AS1961">
        <v>-37</v>
      </c>
      <c r="AT1961">
        <v>448</v>
      </c>
      <c r="BB1961">
        <v>1200</v>
      </c>
      <c r="BC1961">
        <v>1</v>
      </c>
      <c r="BD1961" t="str">
        <f t="shared" si="679"/>
        <v xml:space="preserve">N887QR  </v>
      </c>
      <c r="BE1961">
        <v>1</v>
      </c>
      <c r="BG1961">
        <v>0</v>
      </c>
      <c r="BH1961">
        <v>0</v>
      </c>
      <c r="BI1961">
        <v>0</v>
      </c>
      <c r="BJ1961">
        <v>2650</v>
      </c>
      <c r="BK1961">
        <v>-250</v>
      </c>
      <c r="BL1961" t="s">
        <v>163</v>
      </c>
      <c r="BM1961">
        <v>1</v>
      </c>
      <c r="BN1961">
        <v>1</v>
      </c>
      <c r="BO1961">
        <v>1</v>
      </c>
      <c r="BP1961">
        <v>0</v>
      </c>
      <c r="BS1961">
        <v>0</v>
      </c>
      <c r="BT1961">
        <v>0</v>
      </c>
      <c r="BU1961">
        <v>0</v>
      </c>
      <c r="CE1961" t="str">
        <f t="shared" ref="CE1961:CE1967" si="692">"19:30:40.774"</f>
        <v>19:30:40.774</v>
      </c>
      <c r="CF1961">
        <v>774409749</v>
      </c>
      <c r="CS1961">
        <v>0</v>
      </c>
      <c r="CT1961">
        <v>2</v>
      </c>
      <c r="CU1961">
        <v>0</v>
      </c>
      <c r="CV1961">
        <v>2</v>
      </c>
      <c r="CW1961">
        <v>0</v>
      </c>
      <c r="CX1961">
        <v>2</v>
      </c>
      <c r="CY1961">
        <v>7</v>
      </c>
      <c r="CZ1961" t="s">
        <v>131</v>
      </c>
      <c r="DA1961">
        <v>286</v>
      </c>
      <c r="DB1961">
        <v>0</v>
      </c>
      <c r="DC1961" t="s">
        <v>132</v>
      </c>
      <c r="DD1961" t="s">
        <v>133</v>
      </c>
      <c r="DG1961">
        <v>832456</v>
      </c>
      <c r="DI1961">
        <v>1</v>
      </c>
      <c r="DJ1961">
        <v>0</v>
      </c>
      <c r="DK1961">
        <v>0</v>
      </c>
      <c r="DL1961">
        <v>0</v>
      </c>
      <c r="DM1961">
        <v>0</v>
      </c>
      <c r="DN1961">
        <v>1</v>
      </c>
      <c r="DO1961">
        <v>0</v>
      </c>
      <c r="DP1961">
        <v>0</v>
      </c>
      <c r="DQ1961">
        <v>0</v>
      </c>
      <c r="DR1961">
        <v>0</v>
      </c>
      <c r="DS1961">
        <v>0</v>
      </c>
    </row>
    <row r="1962" spans="1:123" x14ac:dyDescent="0.3">
      <c r="A1962" t="str">
        <f t="shared" si="691"/>
        <v>10/04/2022 19:30:41.109</v>
      </c>
      <c r="C1962" t="str">
        <f t="shared" si="672"/>
        <v>FFDFD3C0</v>
      </c>
      <c r="D1962" t="s">
        <v>147</v>
      </c>
      <c r="E1962">
        <v>3</v>
      </c>
      <c r="H1962">
        <v>166</v>
      </c>
      <c r="I1962" t="s">
        <v>144</v>
      </c>
      <c r="J1962" t="s">
        <v>148</v>
      </c>
      <c r="K1962">
        <v>0</v>
      </c>
      <c r="L1962">
        <v>3</v>
      </c>
      <c r="M1962">
        <v>0</v>
      </c>
      <c r="N1962">
        <v>2</v>
      </c>
      <c r="O1962">
        <v>0</v>
      </c>
      <c r="P1962">
        <v>1</v>
      </c>
      <c r="Q1962">
        <v>0</v>
      </c>
      <c r="S1962" t="str">
        <f t="shared" si="689"/>
        <v>19:30:40.000</v>
      </c>
      <c r="T1962" t="str">
        <f t="shared" si="689"/>
        <v>19:30:40.000</v>
      </c>
      <c r="U1962" t="str">
        <f t="shared" si="678"/>
        <v>AC3944</v>
      </c>
      <c r="V1962">
        <v>0</v>
      </c>
      <c r="W1962">
        <v>0</v>
      </c>
      <c r="X1962">
        <v>2</v>
      </c>
      <c r="Y1962">
        <v>0</v>
      </c>
      <c r="AA1962">
        <v>1</v>
      </c>
      <c r="AB1962">
        <v>8</v>
      </c>
      <c r="AC1962">
        <v>3</v>
      </c>
      <c r="AD1962">
        <v>0</v>
      </c>
      <c r="AE1962">
        <v>9</v>
      </c>
      <c r="AF1962" t="s">
        <v>138</v>
      </c>
      <c r="AG1962">
        <v>0</v>
      </c>
      <c r="AH1962">
        <v>3</v>
      </c>
      <c r="AI1962">
        <v>1</v>
      </c>
      <c r="AJ1962">
        <v>0</v>
      </c>
      <c r="AK1962" t="s">
        <v>696</v>
      </c>
      <c r="AL1962">
        <v>32.776465000000002</v>
      </c>
      <c r="AM1962" t="s">
        <v>697</v>
      </c>
      <c r="AN1962">
        <v>-116.845071</v>
      </c>
      <c r="AO1962">
        <v>25</v>
      </c>
      <c r="AP1962">
        <v>2900</v>
      </c>
      <c r="AQ1962" t="s">
        <v>129</v>
      </c>
      <c r="AR1962">
        <v>121</v>
      </c>
      <c r="AS1962">
        <v>-37</v>
      </c>
      <c r="AT1962">
        <v>448</v>
      </c>
      <c r="BB1962">
        <v>1200</v>
      </c>
      <c r="BC1962">
        <v>1</v>
      </c>
      <c r="BD1962" t="str">
        <f t="shared" si="679"/>
        <v xml:space="preserve">N887QR  </v>
      </c>
      <c r="BE1962">
        <v>1</v>
      </c>
      <c r="BG1962">
        <v>0</v>
      </c>
      <c r="BH1962">
        <v>0</v>
      </c>
      <c r="BI1962">
        <v>0</v>
      </c>
      <c r="BJ1962">
        <v>2650</v>
      </c>
      <c r="BK1962">
        <v>-250</v>
      </c>
      <c r="BL1962" t="s">
        <v>163</v>
      </c>
      <c r="BM1962">
        <v>1</v>
      </c>
      <c r="BN1962">
        <v>1</v>
      </c>
      <c r="BO1962">
        <v>1</v>
      </c>
      <c r="BP1962">
        <v>0</v>
      </c>
      <c r="BS1962">
        <v>0</v>
      </c>
      <c r="BT1962">
        <v>0</v>
      </c>
      <c r="BU1962">
        <v>0</v>
      </c>
      <c r="CE1962" t="str">
        <f t="shared" si="692"/>
        <v>19:30:40.774</v>
      </c>
      <c r="CF1962">
        <v>774409749</v>
      </c>
      <c r="CS1962">
        <v>0</v>
      </c>
      <c r="CT1962">
        <v>2</v>
      </c>
      <c r="CU1962">
        <v>0</v>
      </c>
      <c r="CV1962">
        <v>2</v>
      </c>
      <c r="CW1962">
        <v>0</v>
      </c>
      <c r="CX1962">
        <v>2</v>
      </c>
      <c r="CY1962">
        <v>7</v>
      </c>
      <c r="CZ1962" t="s">
        <v>131</v>
      </c>
      <c r="DA1962">
        <v>286</v>
      </c>
      <c r="DB1962">
        <v>0</v>
      </c>
      <c r="DC1962" t="s">
        <v>132</v>
      </c>
      <c r="DD1962" t="s">
        <v>133</v>
      </c>
      <c r="DG1962">
        <v>832456</v>
      </c>
      <c r="DI1962">
        <v>1</v>
      </c>
      <c r="DJ1962">
        <v>0</v>
      </c>
      <c r="DK1962">
        <v>1</v>
      </c>
      <c r="DL1962">
        <v>0</v>
      </c>
      <c r="DM1962">
        <v>0</v>
      </c>
      <c r="DN1962">
        <v>1</v>
      </c>
      <c r="DO1962">
        <v>0</v>
      </c>
      <c r="DP1962">
        <v>0</v>
      </c>
      <c r="DQ1962">
        <v>0</v>
      </c>
      <c r="DR1962">
        <v>0</v>
      </c>
      <c r="DS1962">
        <v>0</v>
      </c>
    </row>
    <row r="1963" spans="1:123" x14ac:dyDescent="0.3">
      <c r="A1963" t="str">
        <f t="shared" si="691"/>
        <v>10/04/2022 19:30:41.109</v>
      </c>
      <c r="C1963" t="str">
        <f t="shared" si="672"/>
        <v>FFDFD3C0</v>
      </c>
      <c r="D1963" t="s">
        <v>136</v>
      </c>
      <c r="E1963">
        <v>8</v>
      </c>
      <c r="H1963">
        <v>225</v>
      </c>
      <c r="I1963" t="s">
        <v>137</v>
      </c>
      <c r="J1963" t="s">
        <v>138</v>
      </c>
      <c r="K1963">
        <v>0</v>
      </c>
      <c r="L1963">
        <v>3</v>
      </c>
      <c r="M1963">
        <v>0</v>
      </c>
      <c r="N1963">
        <v>2</v>
      </c>
      <c r="O1963">
        <v>0</v>
      </c>
      <c r="P1963">
        <v>1</v>
      </c>
      <c r="Q1963">
        <v>0</v>
      </c>
      <c r="S1963" t="str">
        <f t="shared" si="689"/>
        <v>19:30:40.000</v>
      </c>
      <c r="T1963" t="str">
        <f t="shared" si="689"/>
        <v>19:30:40.000</v>
      </c>
      <c r="U1963" t="str">
        <f t="shared" si="678"/>
        <v>AC3944</v>
      </c>
      <c r="V1963">
        <v>0</v>
      </c>
      <c r="W1963">
        <v>0</v>
      </c>
      <c r="X1963">
        <v>2</v>
      </c>
      <c r="Y1963">
        <v>0</v>
      </c>
      <c r="AA1963">
        <v>1</v>
      </c>
      <c r="AB1963">
        <v>8</v>
      </c>
      <c r="AC1963">
        <v>3</v>
      </c>
      <c r="AD1963">
        <v>0</v>
      </c>
      <c r="AE1963">
        <v>9</v>
      </c>
      <c r="AF1963" t="s">
        <v>138</v>
      </c>
      <c r="AG1963">
        <v>0</v>
      </c>
      <c r="AH1963">
        <v>3</v>
      </c>
      <c r="AI1963">
        <v>1</v>
      </c>
      <c r="AJ1963">
        <v>0</v>
      </c>
      <c r="AK1963" t="s">
        <v>696</v>
      </c>
      <c r="AL1963">
        <v>32.776465000000002</v>
      </c>
      <c r="AM1963" t="s">
        <v>697</v>
      </c>
      <c r="AN1963">
        <v>-116.845071</v>
      </c>
      <c r="AO1963">
        <v>25</v>
      </c>
      <c r="AP1963">
        <v>2900</v>
      </c>
      <c r="AQ1963" t="s">
        <v>129</v>
      </c>
      <c r="AR1963">
        <v>121</v>
      </c>
      <c r="AS1963">
        <v>-37</v>
      </c>
      <c r="AT1963">
        <v>448</v>
      </c>
      <c r="BB1963">
        <v>1200</v>
      </c>
      <c r="BC1963">
        <v>1</v>
      </c>
      <c r="BD1963" t="str">
        <f t="shared" si="679"/>
        <v xml:space="preserve">N887QR  </v>
      </c>
      <c r="BE1963">
        <v>1</v>
      </c>
      <c r="BG1963">
        <v>0</v>
      </c>
      <c r="BH1963">
        <v>0</v>
      </c>
      <c r="BI1963">
        <v>0</v>
      </c>
      <c r="BJ1963">
        <v>2650</v>
      </c>
      <c r="BK1963">
        <v>-250</v>
      </c>
      <c r="BL1963" t="s">
        <v>163</v>
      </c>
      <c r="BM1963">
        <v>1</v>
      </c>
      <c r="BN1963">
        <v>1</v>
      </c>
      <c r="BO1963">
        <v>1</v>
      </c>
      <c r="BP1963">
        <v>0</v>
      </c>
      <c r="BS1963">
        <v>0</v>
      </c>
      <c r="BT1963">
        <v>0</v>
      </c>
      <c r="BU1963">
        <v>0</v>
      </c>
      <c r="CE1963" t="str">
        <f t="shared" si="692"/>
        <v>19:30:40.774</v>
      </c>
      <c r="CF1963">
        <v>774409749</v>
      </c>
      <c r="CS1963">
        <v>0</v>
      </c>
      <c r="CT1963">
        <v>2</v>
      </c>
      <c r="CU1963">
        <v>0</v>
      </c>
      <c r="CV1963">
        <v>2</v>
      </c>
      <c r="CW1963">
        <v>0</v>
      </c>
      <c r="CX1963">
        <v>2</v>
      </c>
      <c r="CY1963">
        <v>7</v>
      </c>
      <c r="CZ1963" t="s">
        <v>131</v>
      </c>
      <c r="DA1963">
        <v>286</v>
      </c>
      <c r="DB1963">
        <v>0</v>
      </c>
      <c r="DC1963" t="s">
        <v>132</v>
      </c>
      <c r="DD1963" t="s">
        <v>133</v>
      </c>
      <c r="DG1963">
        <v>832456</v>
      </c>
      <c r="DI1963">
        <v>1</v>
      </c>
      <c r="DJ1963">
        <v>0</v>
      </c>
      <c r="DK1963">
        <v>1</v>
      </c>
      <c r="DL1963">
        <v>0</v>
      </c>
      <c r="DM1963">
        <v>0</v>
      </c>
      <c r="DN1963">
        <v>1</v>
      </c>
      <c r="DO1963">
        <v>0</v>
      </c>
      <c r="DP1963">
        <v>0</v>
      </c>
      <c r="DQ1963">
        <v>0</v>
      </c>
      <c r="DR1963">
        <v>0</v>
      </c>
      <c r="DS1963">
        <v>0</v>
      </c>
    </row>
    <row r="1964" spans="1:123" x14ac:dyDescent="0.3">
      <c r="A1964" t="str">
        <f t="shared" si="691"/>
        <v>10/04/2022 19:30:41.109</v>
      </c>
      <c r="C1964" t="str">
        <f t="shared" si="672"/>
        <v>FFDFD3C0</v>
      </c>
      <c r="D1964" t="s">
        <v>123</v>
      </c>
      <c r="E1964">
        <v>7</v>
      </c>
      <c r="F1964">
        <v>2007</v>
      </c>
      <c r="G1964" t="s">
        <v>124</v>
      </c>
      <c r="J1964" t="s">
        <v>125</v>
      </c>
      <c r="K1964">
        <v>0</v>
      </c>
      <c r="L1964">
        <v>3</v>
      </c>
      <c r="M1964">
        <v>0</v>
      </c>
      <c r="N1964">
        <v>2</v>
      </c>
      <c r="O1964">
        <v>0</v>
      </c>
      <c r="P1964">
        <v>1</v>
      </c>
      <c r="Q1964">
        <v>0</v>
      </c>
      <c r="S1964" t="str">
        <f t="shared" si="689"/>
        <v>19:30:40.000</v>
      </c>
      <c r="T1964" t="str">
        <f t="shared" si="689"/>
        <v>19:30:40.000</v>
      </c>
      <c r="U1964" t="str">
        <f t="shared" si="678"/>
        <v>AC3944</v>
      </c>
      <c r="V1964">
        <v>0</v>
      </c>
      <c r="W1964">
        <v>0</v>
      </c>
      <c r="X1964">
        <v>2</v>
      </c>
      <c r="Y1964">
        <v>0</v>
      </c>
      <c r="AA1964">
        <v>1</v>
      </c>
      <c r="AB1964">
        <v>8</v>
      </c>
      <c r="AC1964">
        <v>3</v>
      </c>
      <c r="AD1964">
        <v>0</v>
      </c>
      <c r="AE1964">
        <v>9</v>
      </c>
      <c r="AF1964" t="s">
        <v>138</v>
      </c>
      <c r="AG1964">
        <v>0</v>
      </c>
      <c r="AH1964">
        <v>3</v>
      </c>
      <c r="AI1964">
        <v>1</v>
      </c>
      <c r="AJ1964">
        <v>0</v>
      </c>
      <c r="AK1964" t="s">
        <v>696</v>
      </c>
      <c r="AL1964">
        <v>32.776465000000002</v>
      </c>
      <c r="AM1964" t="s">
        <v>697</v>
      </c>
      <c r="AN1964">
        <v>-116.845071</v>
      </c>
      <c r="AO1964">
        <v>25</v>
      </c>
      <c r="AP1964">
        <v>2900</v>
      </c>
      <c r="AQ1964" t="s">
        <v>129</v>
      </c>
      <c r="AR1964">
        <v>121</v>
      </c>
      <c r="AS1964">
        <v>-37</v>
      </c>
      <c r="AT1964">
        <v>448</v>
      </c>
      <c r="BB1964">
        <v>1200</v>
      </c>
      <c r="BC1964">
        <v>1</v>
      </c>
      <c r="BD1964" t="str">
        <f t="shared" si="679"/>
        <v xml:space="preserve">N887QR  </v>
      </c>
      <c r="BE1964">
        <v>1</v>
      </c>
      <c r="BG1964">
        <v>0</v>
      </c>
      <c r="BH1964">
        <v>0</v>
      </c>
      <c r="BI1964">
        <v>0</v>
      </c>
      <c r="BJ1964">
        <v>2650</v>
      </c>
      <c r="BK1964">
        <v>-250</v>
      </c>
      <c r="BL1964" t="s">
        <v>163</v>
      </c>
      <c r="BM1964">
        <v>1</v>
      </c>
      <c r="BN1964">
        <v>1</v>
      </c>
      <c r="BO1964">
        <v>1</v>
      </c>
      <c r="BP1964">
        <v>0</v>
      </c>
      <c r="BS1964">
        <v>0</v>
      </c>
      <c r="BT1964">
        <v>0</v>
      </c>
      <c r="BU1964">
        <v>0</v>
      </c>
      <c r="CE1964" t="str">
        <f t="shared" si="692"/>
        <v>19:30:40.774</v>
      </c>
      <c r="CF1964">
        <v>774409749</v>
      </c>
      <c r="CS1964">
        <v>0</v>
      </c>
      <c r="CT1964">
        <v>2</v>
      </c>
      <c r="CU1964">
        <v>0</v>
      </c>
      <c r="CV1964">
        <v>2</v>
      </c>
      <c r="CW1964">
        <v>0</v>
      </c>
      <c r="CX1964">
        <v>2</v>
      </c>
      <c r="CY1964">
        <v>7</v>
      </c>
      <c r="CZ1964" t="s">
        <v>131</v>
      </c>
      <c r="DA1964">
        <v>286</v>
      </c>
      <c r="DB1964">
        <v>0</v>
      </c>
      <c r="DC1964" t="s">
        <v>132</v>
      </c>
      <c r="DD1964" t="s">
        <v>133</v>
      </c>
      <c r="DG1964">
        <v>832456</v>
      </c>
      <c r="DI1964">
        <v>1</v>
      </c>
      <c r="DJ1964">
        <v>0</v>
      </c>
      <c r="DK1964">
        <v>1</v>
      </c>
      <c r="DL1964">
        <v>0</v>
      </c>
      <c r="DM1964">
        <v>0</v>
      </c>
      <c r="DN1964">
        <v>1</v>
      </c>
      <c r="DO1964">
        <v>0</v>
      </c>
      <c r="DP1964">
        <v>0</v>
      </c>
      <c r="DQ1964">
        <v>0</v>
      </c>
      <c r="DR1964">
        <v>0</v>
      </c>
      <c r="DS1964">
        <v>0</v>
      </c>
    </row>
    <row r="1965" spans="1:123" x14ac:dyDescent="0.3">
      <c r="A1965" t="str">
        <f t="shared" si="691"/>
        <v>10/04/2022 19:30:41.109</v>
      </c>
      <c r="C1965" t="str">
        <f t="shared" si="672"/>
        <v>FFDFD3C0</v>
      </c>
      <c r="D1965" t="s">
        <v>143</v>
      </c>
      <c r="E1965">
        <v>20</v>
      </c>
      <c r="F1965">
        <v>1020</v>
      </c>
      <c r="G1965" t="s">
        <v>144</v>
      </c>
      <c r="J1965" t="s">
        <v>145</v>
      </c>
      <c r="K1965">
        <v>0</v>
      </c>
      <c r="L1965">
        <v>3</v>
      </c>
      <c r="M1965">
        <v>0</v>
      </c>
      <c r="N1965">
        <v>2</v>
      </c>
      <c r="O1965">
        <v>0</v>
      </c>
      <c r="P1965">
        <v>1</v>
      </c>
      <c r="Q1965">
        <v>0</v>
      </c>
      <c r="S1965" t="str">
        <f t="shared" si="689"/>
        <v>19:30:40.000</v>
      </c>
      <c r="T1965" t="str">
        <f t="shared" si="689"/>
        <v>19:30:40.000</v>
      </c>
      <c r="U1965" t="str">
        <f t="shared" si="678"/>
        <v>AC3944</v>
      </c>
      <c r="V1965">
        <v>0</v>
      </c>
      <c r="W1965">
        <v>0</v>
      </c>
      <c r="X1965">
        <v>2</v>
      </c>
      <c r="Y1965">
        <v>0</v>
      </c>
      <c r="AA1965">
        <v>1</v>
      </c>
      <c r="AB1965">
        <v>8</v>
      </c>
      <c r="AC1965">
        <v>3</v>
      </c>
      <c r="AD1965">
        <v>0</v>
      </c>
      <c r="AE1965">
        <v>9</v>
      </c>
      <c r="AF1965" t="s">
        <v>138</v>
      </c>
      <c r="AG1965">
        <v>0</v>
      </c>
      <c r="AH1965">
        <v>3</v>
      </c>
      <c r="AI1965">
        <v>1</v>
      </c>
      <c r="AJ1965">
        <v>0</v>
      </c>
      <c r="AK1965" t="s">
        <v>696</v>
      </c>
      <c r="AL1965">
        <v>32.776465000000002</v>
      </c>
      <c r="AM1965" t="s">
        <v>697</v>
      </c>
      <c r="AN1965">
        <v>-116.845071</v>
      </c>
      <c r="AO1965">
        <v>25</v>
      </c>
      <c r="AP1965">
        <v>2900</v>
      </c>
      <c r="AQ1965" t="s">
        <v>129</v>
      </c>
      <c r="AR1965">
        <v>121</v>
      </c>
      <c r="AS1965">
        <v>-37</v>
      </c>
      <c r="AT1965">
        <v>448</v>
      </c>
      <c r="BB1965">
        <v>1200</v>
      </c>
      <c r="BC1965">
        <v>1</v>
      </c>
      <c r="BD1965" t="str">
        <f t="shared" si="679"/>
        <v xml:space="preserve">N887QR  </v>
      </c>
      <c r="BE1965">
        <v>1</v>
      </c>
      <c r="BG1965">
        <v>0</v>
      </c>
      <c r="BH1965">
        <v>0</v>
      </c>
      <c r="BI1965">
        <v>0</v>
      </c>
      <c r="BJ1965">
        <v>2650</v>
      </c>
      <c r="BK1965">
        <v>-250</v>
      </c>
      <c r="BL1965" t="s">
        <v>163</v>
      </c>
      <c r="BM1965">
        <v>1</v>
      </c>
      <c r="BN1965">
        <v>1</v>
      </c>
      <c r="BO1965">
        <v>1</v>
      </c>
      <c r="BP1965">
        <v>0</v>
      </c>
      <c r="BS1965">
        <v>0</v>
      </c>
      <c r="BT1965">
        <v>0</v>
      </c>
      <c r="BU1965">
        <v>0</v>
      </c>
      <c r="CE1965" t="str">
        <f t="shared" si="692"/>
        <v>19:30:40.774</v>
      </c>
      <c r="CF1965">
        <v>774409749</v>
      </c>
      <c r="CS1965">
        <v>0</v>
      </c>
      <c r="CT1965">
        <v>2</v>
      </c>
      <c r="CU1965">
        <v>0</v>
      </c>
      <c r="CV1965">
        <v>2</v>
      </c>
      <c r="CW1965">
        <v>0</v>
      </c>
      <c r="CX1965">
        <v>2</v>
      </c>
      <c r="CY1965">
        <v>7</v>
      </c>
      <c r="CZ1965" t="s">
        <v>131</v>
      </c>
      <c r="DA1965">
        <v>286</v>
      </c>
      <c r="DB1965">
        <v>0</v>
      </c>
      <c r="DC1965" t="s">
        <v>132</v>
      </c>
      <c r="DD1965" t="s">
        <v>133</v>
      </c>
      <c r="DG1965">
        <v>832456</v>
      </c>
      <c r="DI1965">
        <v>1</v>
      </c>
      <c r="DJ1965">
        <v>0</v>
      </c>
      <c r="DK1965">
        <v>1</v>
      </c>
      <c r="DL1965">
        <v>0</v>
      </c>
      <c r="DM1965">
        <v>0</v>
      </c>
      <c r="DN1965">
        <v>1</v>
      </c>
      <c r="DO1965">
        <v>0</v>
      </c>
      <c r="DP1965">
        <v>0</v>
      </c>
      <c r="DQ1965">
        <v>0</v>
      </c>
      <c r="DR1965">
        <v>0</v>
      </c>
      <c r="DS1965">
        <v>0</v>
      </c>
    </row>
    <row r="1966" spans="1:123" x14ac:dyDescent="0.3">
      <c r="A1966" t="str">
        <f t="shared" si="691"/>
        <v>10/04/2022 19:30:41.109</v>
      </c>
      <c r="C1966" t="str">
        <f t="shared" si="672"/>
        <v>FFDFD3C0</v>
      </c>
      <c r="D1966" t="s">
        <v>141</v>
      </c>
      <c r="E1966">
        <v>3</v>
      </c>
      <c r="H1966">
        <v>3</v>
      </c>
      <c r="I1966" t="s">
        <v>146</v>
      </c>
      <c r="J1966" t="s">
        <v>138</v>
      </c>
      <c r="K1966">
        <v>0</v>
      </c>
      <c r="L1966">
        <v>3</v>
      </c>
      <c r="M1966">
        <v>0</v>
      </c>
      <c r="N1966">
        <v>2</v>
      </c>
      <c r="O1966">
        <v>0</v>
      </c>
      <c r="P1966">
        <v>1</v>
      </c>
      <c r="Q1966">
        <v>0</v>
      </c>
      <c r="S1966" t="str">
        <f t="shared" si="689"/>
        <v>19:30:40.000</v>
      </c>
      <c r="T1966" t="str">
        <f t="shared" si="689"/>
        <v>19:30:40.000</v>
      </c>
      <c r="U1966" t="str">
        <f t="shared" si="678"/>
        <v>AC3944</v>
      </c>
      <c r="V1966">
        <v>0</v>
      </c>
      <c r="W1966">
        <v>0</v>
      </c>
      <c r="X1966">
        <v>2</v>
      </c>
      <c r="Y1966">
        <v>0</v>
      </c>
      <c r="AA1966">
        <v>1</v>
      </c>
      <c r="AB1966">
        <v>8</v>
      </c>
      <c r="AC1966">
        <v>3</v>
      </c>
      <c r="AD1966">
        <v>0</v>
      </c>
      <c r="AE1966">
        <v>9</v>
      </c>
      <c r="AF1966" t="s">
        <v>138</v>
      </c>
      <c r="AG1966">
        <v>0</v>
      </c>
      <c r="AH1966">
        <v>3</v>
      </c>
      <c r="AI1966">
        <v>1</v>
      </c>
      <c r="AJ1966">
        <v>0</v>
      </c>
      <c r="AK1966" t="s">
        <v>696</v>
      </c>
      <c r="AL1966">
        <v>32.776465000000002</v>
      </c>
      <c r="AM1966" t="s">
        <v>697</v>
      </c>
      <c r="AN1966">
        <v>-116.845071</v>
      </c>
      <c r="AO1966">
        <v>25</v>
      </c>
      <c r="AP1966">
        <v>2900</v>
      </c>
      <c r="AQ1966" t="s">
        <v>129</v>
      </c>
      <c r="AR1966">
        <v>121</v>
      </c>
      <c r="AS1966">
        <v>-37</v>
      </c>
      <c r="AT1966">
        <v>448</v>
      </c>
      <c r="BB1966">
        <v>1200</v>
      </c>
      <c r="BC1966">
        <v>1</v>
      </c>
      <c r="BD1966" t="str">
        <f t="shared" si="679"/>
        <v xml:space="preserve">N887QR  </v>
      </c>
      <c r="BE1966">
        <v>1</v>
      </c>
      <c r="BG1966">
        <v>0</v>
      </c>
      <c r="BH1966">
        <v>0</v>
      </c>
      <c r="BI1966">
        <v>0</v>
      </c>
      <c r="BJ1966">
        <v>2650</v>
      </c>
      <c r="BK1966">
        <v>-250</v>
      </c>
      <c r="BL1966" t="s">
        <v>163</v>
      </c>
      <c r="BM1966">
        <v>1</v>
      </c>
      <c r="BN1966">
        <v>1</v>
      </c>
      <c r="BO1966">
        <v>1</v>
      </c>
      <c r="BP1966">
        <v>0</v>
      </c>
      <c r="BS1966">
        <v>0</v>
      </c>
      <c r="BT1966">
        <v>0</v>
      </c>
      <c r="BU1966">
        <v>0</v>
      </c>
      <c r="CE1966" t="str">
        <f t="shared" si="692"/>
        <v>19:30:40.774</v>
      </c>
      <c r="CF1966">
        <v>774409749</v>
      </c>
      <c r="CS1966">
        <v>0</v>
      </c>
      <c r="CT1966">
        <v>2</v>
      </c>
      <c r="CU1966">
        <v>0</v>
      </c>
      <c r="CV1966">
        <v>2</v>
      </c>
      <c r="CW1966">
        <v>0</v>
      </c>
      <c r="CX1966">
        <v>2</v>
      </c>
      <c r="CY1966">
        <v>7</v>
      </c>
      <c r="CZ1966" t="s">
        <v>131</v>
      </c>
      <c r="DA1966">
        <v>286</v>
      </c>
      <c r="DB1966">
        <v>0</v>
      </c>
      <c r="DC1966" t="s">
        <v>132</v>
      </c>
      <c r="DD1966" t="s">
        <v>133</v>
      </c>
      <c r="DG1966">
        <v>832456</v>
      </c>
      <c r="DI1966">
        <v>1</v>
      </c>
      <c r="DJ1966">
        <v>0</v>
      </c>
      <c r="DK1966">
        <v>0</v>
      </c>
      <c r="DL1966">
        <v>0</v>
      </c>
      <c r="DM1966">
        <v>0</v>
      </c>
      <c r="DN1966">
        <v>1</v>
      </c>
      <c r="DO1966">
        <v>0</v>
      </c>
      <c r="DP1966">
        <v>0</v>
      </c>
      <c r="DQ1966">
        <v>0</v>
      </c>
      <c r="DR1966">
        <v>0</v>
      </c>
      <c r="DS1966">
        <v>0</v>
      </c>
    </row>
    <row r="1967" spans="1:123" x14ac:dyDescent="0.3">
      <c r="A1967" t="str">
        <f t="shared" si="691"/>
        <v>10/04/2022 19:30:41.109</v>
      </c>
      <c r="C1967" t="str">
        <f t="shared" si="672"/>
        <v>FFDFD3C0</v>
      </c>
      <c r="D1967" t="s">
        <v>134</v>
      </c>
      <c r="E1967">
        <v>15</v>
      </c>
      <c r="J1967" t="s">
        <v>135</v>
      </c>
      <c r="K1967">
        <v>0</v>
      </c>
      <c r="L1967">
        <v>3</v>
      </c>
      <c r="M1967">
        <v>0</v>
      </c>
      <c r="N1967">
        <v>2</v>
      </c>
      <c r="O1967">
        <v>0</v>
      </c>
      <c r="P1967">
        <v>1</v>
      </c>
      <c r="Q1967">
        <v>0</v>
      </c>
      <c r="S1967" t="str">
        <f t="shared" si="689"/>
        <v>19:30:40.000</v>
      </c>
      <c r="T1967" t="str">
        <f t="shared" si="689"/>
        <v>19:30:40.000</v>
      </c>
      <c r="U1967" t="str">
        <f t="shared" si="678"/>
        <v>AC3944</v>
      </c>
      <c r="V1967">
        <v>0</v>
      </c>
      <c r="W1967">
        <v>0</v>
      </c>
      <c r="X1967">
        <v>2</v>
      </c>
      <c r="Y1967">
        <v>0</v>
      </c>
      <c r="AA1967">
        <v>1</v>
      </c>
      <c r="AB1967">
        <v>8</v>
      </c>
      <c r="AC1967">
        <v>3</v>
      </c>
      <c r="AD1967">
        <v>0</v>
      </c>
      <c r="AE1967">
        <v>9</v>
      </c>
      <c r="AF1967" t="s">
        <v>138</v>
      </c>
      <c r="AG1967">
        <v>0</v>
      </c>
      <c r="AH1967">
        <v>3</v>
      </c>
      <c r="AI1967">
        <v>1</v>
      </c>
      <c r="AJ1967">
        <v>0</v>
      </c>
      <c r="AK1967" t="s">
        <v>696</v>
      </c>
      <c r="AL1967">
        <v>32.776465000000002</v>
      </c>
      <c r="AM1967" t="s">
        <v>697</v>
      </c>
      <c r="AN1967">
        <v>-116.845071</v>
      </c>
      <c r="AO1967">
        <v>25</v>
      </c>
      <c r="AP1967">
        <v>2900</v>
      </c>
      <c r="AQ1967" t="s">
        <v>129</v>
      </c>
      <c r="AR1967">
        <v>121</v>
      </c>
      <c r="AS1967">
        <v>-37</v>
      </c>
      <c r="AT1967">
        <v>448</v>
      </c>
      <c r="BB1967">
        <v>1200</v>
      </c>
      <c r="BC1967">
        <v>1</v>
      </c>
      <c r="BD1967" t="str">
        <f t="shared" si="679"/>
        <v xml:space="preserve">N887QR  </v>
      </c>
      <c r="BE1967">
        <v>1</v>
      </c>
      <c r="BG1967">
        <v>0</v>
      </c>
      <c r="BH1967">
        <v>0</v>
      </c>
      <c r="BI1967">
        <v>0</v>
      </c>
      <c r="BJ1967">
        <v>2650</v>
      </c>
      <c r="BK1967">
        <v>-250</v>
      </c>
      <c r="BL1967" t="s">
        <v>163</v>
      </c>
      <c r="BM1967">
        <v>1</v>
      </c>
      <c r="BN1967">
        <v>1</v>
      </c>
      <c r="BO1967">
        <v>1</v>
      </c>
      <c r="BP1967">
        <v>0</v>
      </c>
      <c r="BS1967">
        <v>0</v>
      </c>
      <c r="BT1967">
        <v>0</v>
      </c>
      <c r="BU1967">
        <v>0</v>
      </c>
      <c r="CE1967" t="str">
        <f t="shared" si="692"/>
        <v>19:30:40.774</v>
      </c>
      <c r="CF1967">
        <v>774409749</v>
      </c>
      <c r="CS1967">
        <v>0</v>
      </c>
      <c r="CT1967">
        <v>2</v>
      </c>
      <c r="CU1967">
        <v>0</v>
      </c>
      <c r="CV1967">
        <v>2</v>
      </c>
      <c r="CW1967">
        <v>0</v>
      </c>
      <c r="CX1967">
        <v>2</v>
      </c>
      <c r="CY1967">
        <v>7</v>
      </c>
      <c r="CZ1967" t="s">
        <v>131</v>
      </c>
      <c r="DA1967">
        <v>286</v>
      </c>
      <c r="DB1967">
        <v>0</v>
      </c>
      <c r="DC1967" t="s">
        <v>132</v>
      </c>
      <c r="DD1967" t="s">
        <v>133</v>
      </c>
      <c r="DG1967">
        <v>832456</v>
      </c>
      <c r="DI1967">
        <v>1</v>
      </c>
      <c r="DJ1967">
        <v>0</v>
      </c>
      <c r="DK1967">
        <v>1</v>
      </c>
      <c r="DL1967">
        <v>0</v>
      </c>
      <c r="DM1967">
        <v>0</v>
      </c>
      <c r="DN1967">
        <v>1</v>
      </c>
      <c r="DO1967">
        <v>0</v>
      </c>
      <c r="DP1967">
        <v>0</v>
      </c>
      <c r="DQ1967">
        <v>0</v>
      </c>
      <c r="DR1967">
        <v>0</v>
      </c>
      <c r="DS1967">
        <v>0</v>
      </c>
    </row>
    <row r="1968" spans="1:123" x14ac:dyDescent="0.3">
      <c r="A1968" t="str">
        <f>"10/04/2022 19:30:42.368"</f>
        <v>10/04/2022 19:30:42.368</v>
      </c>
      <c r="C1968" t="str">
        <f t="shared" si="672"/>
        <v>FFDFD3C0</v>
      </c>
      <c r="D1968" t="s">
        <v>141</v>
      </c>
      <c r="E1968">
        <v>3</v>
      </c>
      <c r="H1968">
        <v>3</v>
      </c>
      <c r="I1968" t="s">
        <v>146</v>
      </c>
      <c r="J1968" t="s">
        <v>138</v>
      </c>
      <c r="K1968">
        <v>0</v>
      </c>
      <c r="L1968">
        <v>3</v>
      </c>
      <c r="M1968">
        <v>0</v>
      </c>
      <c r="N1968">
        <v>2</v>
      </c>
      <c r="O1968">
        <v>0</v>
      </c>
      <c r="P1968">
        <v>1</v>
      </c>
      <c r="Q1968">
        <v>0</v>
      </c>
      <c r="S1968" t="str">
        <f t="shared" ref="S1968:T1974" si="693">"19:30:42.000"</f>
        <v>19:30:42.000</v>
      </c>
      <c r="T1968" t="str">
        <f t="shared" si="693"/>
        <v>19:30:42.000</v>
      </c>
      <c r="U1968" t="str">
        <f t="shared" si="678"/>
        <v>AC3944</v>
      </c>
      <c r="V1968">
        <v>0</v>
      </c>
      <c r="W1968">
        <v>0</v>
      </c>
      <c r="X1968">
        <v>2</v>
      </c>
      <c r="Y1968">
        <v>0</v>
      </c>
      <c r="AA1968">
        <v>1</v>
      </c>
      <c r="AB1968">
        <v>8</v>
      </c>
      <c r="AC1968">
        <v>3</v>
      </c>
      <c r="AD1968">
        <v>0</v>
      </c>
      <c r="AE1968">
        <v>9</v>
      </c>
      <c r="AF1968" t="s">
        <v>138</v>
      </c>
      <c r="AG1968">
        <v>0</v>
      </c>
      <c r="AH1968">
        <v>3</v>
      </c>
      <c r="AI1968">
        <v>1</v>
      </c>
      <c r="AJ1968">
        <v>0</v>
      </c>
      <c r="AK1968" t="s">
        <v>698</v>
      </c>
      <c r="AL1968">
        <v>32.776336999999998</v>
      </c>
      <c r="AM1968" t="s">
        <v>699</v>
      </c>
      <c r="AN1968">
        <v>-116.84453499999999</v>
      </c>
      <c r="AO1968">
        <v>25</v>
      </c>
      <c r="AP1968">
        <v>2900</v>
      </c>
      <c r="AQ1968" t="s">
        <v>129</v>
      </c>
      <c r="AR1968">
        <v>121</v>
      </c>
      <c r="AS1968">
        <v>-37</v>
      </c>
      <c r="AT1968">
        <v>448</v>
      </c>
      <c r="BB1968">
        <v>1200</v>
      </c>
      <c r="BC1968">
        <v>1</v>
      </c>
      <c r="BD1968" t="str">
        <f t="shared" si="679"/>
        <v xml:space="preserve">N887QR  </v>
      </c>
      <c r="BE1968">
        <v>1</v>
      </c>
      <c r="BG1968">
        <v>0</v>
      </c>
      <c r="BH1968">
        <v>0</v>
      </c>
      <c r="BI1968">
        <v>0</v>
      </c>
      <c r="BJ1968">
        <v>2650</v>
      </c>
      <c r="BK1968">
        <v>-250</v>
      </c>
      <c r="BL1968" t="s">
        <v>163</v>
      </c>
      <c r="BM1968">
        <v>1</v>
      </c>
      <c r="BN1968">
        <v>1</v>
      </c>
      <c r="BO1968">
        <v>1</v>
      </c>
      <c r="BP1968">
        <v>0</v>
      </c>
      <c r="BS1968">
        <v>0</v>
      </c>
      <c r="BT1968">
        <v>0</v>
      </c>
      <c r="BU1968">
        <v>0</v>
      </c>
      <c r="CE1968" t="str">
        <f t="shared" ref="CE1968:CE1974" si="694">"19:30:42.157"</f>
        <v>19:30:42.157</v>
      </c>
      <c r="CF1968">
        <v>156941582</v>
      </c>
      <c r="CS1968">
        <v>0</v>
      </c>
      <c r="CT1968">
        <v>2</v>
      </c>
      <c r="CU1968">
        <v>0</v>
      </c>
      <c r="CV1968">
        <v>2</v>
      </c>
      <c r="CW1968">
        <v>0</v>
      </c>
      <c r="CX1968">
        <v>4</v>
      </c>
      <c r="CY1968">
        <v>7</v>
      </c>
      <c r="CZ1968" t="s">
        <v>131</v>
      </c>
      <c r="DA1968">
        <v>300</v>
      </c>
      <c r="DB1968">
        <v>0</v>
      </c>
      <c r="DC1968" t="s">
        <v>176</v>
      </c>
      <c r="DD1968" t="s">
        <v>177</v>
      </c>
      <c r="DG1968">
        <v>5399111</v>
      </c>
      <c r="DI1968">
        <v>1</v>
      </c>
      <c r="DJ1968">
        <v>0</v>
      </c>
      <c r="DK1968">
        <v>0</v>
      </c>
      <c r="DL1968">
        <v>0</v>
      </c>
      <c r="DM1968">
        <v>0</v>
      </c>
      <c r="DN1968">
        <v>1</v>
      </c>
      <c r="DO1968">
        <v>0</v>
      </c>
      <c r="DP1968">
        <v>0</v>
      </c>
      <c r="DQ1968">
        <v>0</v>
      </c>
      <c r="DR1968">
        <v>0</v>
      </c>
      <c r="DS1968">
        <v>0</v>
      </c>
    </row>
    <row r="1969" spans="1:123" x14ac:dyDescent="0.3">
      <c r="A1969" t="str">
        <f>"10/04/2022 19:30:42.368"</f>
        <v>10/04/2022 19:30:42.368</v>
      </c>
      <c r="C1969" t="str">
        <f t="shared" si="672"/>
        <v>FFDFD3C0</v>
      </c>
      <c r="D1969" t="s">
        <v>134</v>
      </c>
      <c r="E1969">
        <v>15</v>
      </c>
      <c r="J1969" t="s">
        <v>135</v>
      </c>
      <c r="K1969">
        <v>0</v>
      </c>
      <c r="L1969">
        <v>3</v>
      </c>
      <c r="M1969">
        <v>0</v>
      </c>
      <c r="N1969">
        <v>2</v>
      </c>
      <c r="O1969">
        <v>0</v>
      </c>
      <c r="P1969">
        <v>1</v>
      </c>
      <c r="Q1969">
        <v>0</v>
      </c>
      <c r="S1969" t="str">
        <f t="shared" si="693"/>
        <v>19:30:42.000</v>
      </c>
      <c r="T1969" t="str">
        <f t="shared" si="693"/>
        <v>19:30:42.000</v>
      </c>
      <c r="U1969" t="str">
        <f t="shared" si="678"/>
        <v>AC3944</v>
      </c>
      <c r="V1969">
        <v>0</v>
      </c>
      <c r="W1969">
        <v>0</v>
      </c>
      <c r="X1969">
        <v>2</v>
      </c>
      <c r="Y1969">
        <v>0</v>
      </c>
      <c r="AA1969">
        <v>1</v>
      </c>
      <c r="AB1969">
        <v>8</v>
      </c>
      <c r="AC1969">
        <v>3</v>
      </c>
      <c r="AD1969">
        <v>0</v>
      </c>
      <c r="AE1969">
        <v>9</v>
      </c>
      <c r="AF1969" t="s">
        <v>138</v>
      </c>
      <c r="AG1969">
        <v>0</v>
      </c>
      <c r="AH1969">
        <v>3</v>
      </c>
      <c r="AI1969">
        <v>1</v>
      </c>
      <c r="AJ1969">
        <v>0</v>
      </c>
      <c r="AK1969" t="s">
        <v>698</v>
      </c>
      <c r="AL1969">
        <v>32.776336999999998</v>
      </c>
      <c r="AM1969" t="s">
        <v>699</v>
      </c>
      <c r="AN1969">
        <v>-116.84453499999999</v>
      </c>
      <c r="AO1969">
        <v>25</v>
      </c>
      <c r="AP1969">
        <v>2900</v>
      </c>
      <c r="AQ1969" t="s">
        <v>129</v>
      </c>
      <c r="AR1969">
        <v>121</v>
      </c>
      <c r="AS1969">
        <v>-37</v>
      </c>
      <c r="AT1969">
        <v>448</v>
      </c>
      <c r="BB1969">
        <v>1200</v>
      </c>
      <c r="BC1969">
        <v>1</v>
      </c>
      <c r="BD1969" t="str">
        <f t="shared" si="679"/>
        <v xml:space="preserve">N887QR  </v>
      </c>
      <c r="BE1969">
        <v>1</v>
      </c>
      <c r="BG1969">
        <v>0</v>
      </c>
      <c r="BH1969">
        <v>0</v>
      </c>
      <c r="BI1969">
        <v>0</v>
      </c>
      <c r="BJ1969">
        <v>2650</v>
      </c>
      <c r="BK1969">
        <v>-250</v>
      </c>
      <c r="BL1969" t="s">
        <v>163</v>
      </c>
      <c r="BM1969">
        <v>1</v>
      </c>
      <c r="BN1969">
        <v>1</v>
      </c>
      <c r="BO1969">
        <v>1</v>
      </c>
      <c r="BP1969">
        <v>0</v>
      </c>
      <c r="BS1969">
        <v>0</v>
      </c>
      <c r="BT1969">
        <v>0</v>
      </c>
      <c r="BU1969">
        <v>0</v>
      </c>
      <c r="CE1969" t="str">
        <f t="shared" si="694"/>
        <v>19:30:42.157</v>
      </c>
      <c r="CF1969">
        <v>156941582</v>
      </c>
      <c r="CS1969">
        <v>0</v>
      </c>
      <c r="CT1969">
        <v>2</v>
      </c>
      <c r="CU1969">
        <v>0</v>
      </c>
      <c r="CV1969">
        <v>2</v>
      </c>
      <c r="CW1969">
        <v>0</v>
      </c>
      <c r="CX1969">
        <v>4</v>
      </c>
      <c r="CY1969">
        <v>7</v>
      </c>
      <c r="CZ1969" t="s">
        <v>131</v>
      </c>
      <c r="DA1969">
        <v>300</v>
      </c>
      <c r="DB1969">
        <v>0</v>
      </c>
      <c r="DC1969" t="s">
        <v>176</v>
      </c>
      <c r="DD1969" t="s">
        <v>177</v>
      </c>
      <c r="DG1969">
        <v>5399111</v>
      </c>
      <c r="DI1969">
        <v>1</v>
      </c>
      <c r="DJ1969">
        <v>0</v>
      </c>
      <c r="DK1969">
        <v>1</v>
      </c>
      <c r="DL1969">
        <v>0</v>
      </c>
      <c r="DM1969">
        <v>0</v>
      </c>
      <c r="DN1969">
        <v>1</v>
      </c>
      <c r="DO1969">
        <v>0</v>
      </c>
      <c r="DP1969">
        <v>0</v>
      </c>
      <c r="DQ1969">
        <v>0</v>
      </c>
      <c r="DR1969">
        <v>0</v>
      </c>
      <c r="DS1969">
        <v>0</v>
      </c>
    </row>
    <row r="1970" spans="1:123" x14ac:dyDescent="0.3">
      <c r="A1970" t="str">
        <f>"10/04/2022 19:30:42.368"</f>
        <v>10/04/2022 19:30:42.368</v>
      </c>
      <c r="C1970" t="str">
        <f t="shared" si="672"/>
        <v>FFDFD3C0</v>
      </c>
      <c r="D1970" t="s">
        <v>141</v>
      </c>
      <c r="E1970">
        <v>4</v>
      </c>
      <c r="H1970">
        <v>4</v>
      </c>
      <c r="I1970" t="s">
        <v>142</v>
      </c>
      <c r="J1970" t="s">
        <v>138</v>
      </c>
      <c r="K1970">
        <v>0</v>
      </c>
      <c r="L1970">
        <v>3</v>
      </c>
      <c r="M1970">
        <v>0</v>
      </c>
      <c r="N1970">
        <v>2</v>
      </c>
      <c r="O1970">
        <v>0</v>
      </c>
      <c r="P1970">
        <v>1</v>
      </c>
      <c r="Q1970">
        <v>0</v>
      </c>
      <c r="S1970" t="str">
        <f t="shared" si="693"/>
        <v>19:30:42.000</v>
      </c>
      <c r="T1970" t="str">
        <f t="shared" si="693"/>
        <v>19:30:42.000</v>
      </c>
      <c r="U1970" t="str">
        <f t="shared" si="678"/>
        <v>AC3944</v>
      </c>
      <c r="V1970">
        <v>0</v>
      </c>
      <c r="W1970">
        <v>0</v>
      </c>
      <c r="X1970">
        <v>2</v>
      </c>
      <c r="Y1970">
        <v>0</v>
      </c>
      <c r="AA1970">
        <v>1</v>
      </c>
      <c r="AB1970">
        <v>8</v>
      </c>
      <c r="AC1970">
        <v>3</v>
      </c>
      <c r="AD1970">
        <v>0</v>
      </c>
      <c r="AE1970">
        <v>9</v>
      </c>
      <c r="AF1970" t="s">
        <v>138</v>
      </c>
      <c r="AG1970">
        <v>0</v>
      </c>
      <c r="AH1970">
        <v>3</v>
      </c>
      <c r="AI1970">
        <v>1</v>
      </c>
      <c r="AJ1970">
        <v>0</v>
      </c>
      <c r="AK1970" t="s">
        <v>698</v>
      </c>
      <c r="AL1970">
        <v>32.776336999999998</v>
      </c>
      <c r="AM1970" t="s">
        <v>699</v>
      </c>
      <c r="AN1970">
        <v>-116.84453499999999</v>
      </c>
      <c r="AO1970">
        <v>25</v>
      </c>
      <c r="AP1970">
        <v>2900</v>
      </c>
      <c r="AQ1970" t="s">
        <v>129</v>
      </c>
      <c r="AR1970">
        <v>121</v>
      </c>
      <c r="AS1970">
        <v>-37</v>
      </c>
      <c r="AT1970">
        <v>448</v>
      </c>
      <c r="BB1970">
        <v>1200</v>
      </c>
      <c r="BC1970">
        <v>1</v>
      </c>
      <c r="BD1970" t="str">
        <f t="shared" si="679"/>
        <v xml:space="preserve">N887QR  </v>
      </c>
      <c r="BE1970">
        <v>1</v>
      </c>
      <c r="BG1970">
        <v>0</v>
      </c>
      <c r="BH1970">
        <v>0</v>
      </c>
      <c r="BI1970">
        <v>0</v>
      </c>
      <c r="BJ1970">
        <v>2650</v>
      </c>
      <c r="BK1970">
        <v>-250</v>
      </c>
      <c r="BL1970" t="s">
        <v>163</v>
      </c>
      <c r="BM1970">
        <v>1</v>
      </c>
      <c r="BN1970">
        <v>1</v>
      </c>
      <c r="BO1970">
        <v>1</v>
      </c>
      <c r="BP1970">
        <v>0</v>
      </c>
      <c r="BS1970">
        <v>0</v>
      </c>
      <c r="BT1970">
        <v>0</v>
      </c>
      <c r="BU1970">
        <v>0</v>
      </c>
      <c r="CE1970" t="str">
        <f t="shared" si="694"/>
        <v>19:30:42.157</v>
      </c>
      <c r="CF1970">
        <v>156941582</v>
      </c>
      <c r="CS1970">
        <v>0</v>
      </c>
      <c r="CT1970">
        <v>2</v>
      </c>
      <c r="CU1970">
        <v>0</v>
      </c>
      <c r="CV1970">
        <v>2</v>
      </c>
      <c r="CW1970">
        <v>0</v>
      </c>
      <c r="CX1970">
        <v>4</v>
      </c>
      <c r="CY1970">
        <v>7</v>
      </c>
      <c r="CZ1970" t="s">
        <v>131</v>
      </c>
      <c r="DA1970">
        <v>300</v>
      </c>
      <c r="DB1970">
        <v>0</v>
      </c>
      <c r="DC1970" t="s">
        <v>176</v>
      </c>
      <c r="DD1970" t="s">
        <v>177</v>
      </c>
      <c r="DG1970">
        <v>5399111</v>
      </c>
      <c r="DI1970">
        <v>1</v>
      </c>
      <c r="DJ1970">
        <v>0</v>
      </c>
      <c r="DK1970">
        <v>1</v>
      </c>
      <c r="DL1970">
        <v>0</v>
      </c>
      <c r="DM1970">
        <v>0</v>
      </c>
      <c r="DN1970">
        <v>1</v>
      </c>
      <c r="DO1970">
        <v>0</v>
      </c>
      <c r="DP1970">
        <v>0</v>
      </c>
      <c r="DQ1970">
        <v>0</v>
      </c>
      <c r="DR1970">
        <v>0</v>
      </c>
      <c r="DS1970">
        <v>0</v>
      </c>
    </row>
    <row r="1971" spans="1:123" x14ac:dyDescent="0.3">
      <c r="A1971" t="str">
        <f>"10/04/2022 19:30:42.415"</f>
        <v>10/04/2022 19:30:42.415</v>
      </c>
      <c r="C1971" t="str">
        <f t="shared" si="672"/>
        <v>FFDFD3C0</v>
      </c>
      <c r="D1971" t="s">
        <v>143</v>
      </c>
      <c r="E1971">
        <v>20</v>
      </c>
      <c r="F1971">
        <v>1020</v>
      </c>
      <c r="G1971" t="s">
        <v>144</v>
      </c>
      <c r="J1971" t="s">
        <v>145</v>
      </c>
      <c r="K1971">
        <v>0</v>
      </c>
      <c r="L1971">
        <v>3</v>
      </c>
      <c r="M1971">
        <v>0</v>
      </c>
      <c r="N1971">
        <v>2</v>
      </c>
      <c r="O1971">
        <v>0</v>
      </c>
      <c r="P1971">
        <v>1</v>
      </c>
      <c r="Q1971">
        <v>0</v>
      </c>
      <c r="S1971" t="str">
        <f t="shared" si="693"/>
        <v>19:30:42.000</v>
      </c>
      <c r="T1971" t="str">
        <f t="shared" si="693"/>
        <v>19:30:42.000</v>
      </c>
      <c r="U1971" t="str">
        <f t="shared" si="678"/>
        <v>AC3944</v>
      </c>
      <c r="V1971">
        <v>0</v>
      </c>
      <c r="W1971">
        <v>0</v>
      </c>
      <c r="X1971">
        <v>2</v>
      </c>
      <c r="Y1971">
        <v>0</v>
      </c>
      <c r="AA1971">
        <v>1</v>
      </c>
      <c r="AB1971">
        <v>8</v>
      </c>
      <c r="AC1971">
        <v>3</v>
      </c>
      <c r="AD1971">
        <v>0</v>
      </c>
      <c r="AE1971">
        <v>9</v>
      </c>
      <c r="AF1971" t="s">
        <v>138</v>
      </c>
      <c r="AG1971">
        <v>0</v>
      </c>
      <c r="AH1971">
        <v>3</v>
      </c>
      <c r="AI1971">
        <v>1</v>
      </c>
      <c r="AJ1971">
        <v>0</v>
      </c>
      <c r="AK1971" t="s">
        <v>698</v>
      </c>
      <c r="AL1971">
        <v>32.776336999999998</v>
      </c>
      <c r="AM1971" t="s">
        <v>699</v>
      </c>
      <c r="AN1971">
        <v>-116.84453499999999</v>
      </c>
      <c r="AO1971">
        <v>25</v>
      </c>
      <c r="AP1971">
        <v>2900</v>
      </c>
      <c r="AQ1971" t="s">
        <v>129</v>
      </c>
      <c r="AR1971">
        <v>121</v>
      </c>
      <c r="AS1971">
        <v>-37</v>
      </c>
      <c r="AT1971">
        <v>448</v>
      </c>
      <c r="BB1971">
        <v>1200</v>
      </c>
      <c r="BC1971">
        <v>1</v>
      </c>
      <c r="BD1971" t="str">
        <f t="shared" si="679"/>
        <v xml:space="preserve">N887QR  </v>
      </c>
      <c r="BE1971">
        <v>1</v>
      </c>
      <c r="BG1971">
        <v>0</v>
      </c>
      <c r="BH1971">
        <v>0</v>
      </c>
      <c r="BI1971">
        <v>0</v>
      </c>
      <c r="BJ1971">
        <v>2650</v>
      </c>
      <c r="BK1971">
        <v>-250</v>
      </c>
      <c r="BL1971" t="s">
        <v>163</v>
      </c>
      <c r="BM1971">
        <v>1</v>
      </c>
      <c r="BN1971">
        <v>1</v>
      </c>
      <c r="BO1971">
        <v>1</v>
      </c>
      <c r="BP1971">
        <v>0</v>
      </c>
      <c r="BS1971">
        <v>0</v>
      </c>
      <c r="BT1971">
        <v>0</v>
      </c>
      <c r="BU1971">
        <v>0</v>
      </c>
      <c r="CE1971" t="str">
        <f t="shared" si="694"/>
        <v>19:30:42.157</v>
      </c>
      <c r="CF1971">
        <v>156941582</v>
      </c>
      <c r="CS1971">
        <v>0</v>
      </c>
      <c r="CT1971">
        <v>2</v>
      </c>
      <c r="CU1971">
        <v>0</v>
      </c>
      <c r="CV1971">
        <v>2</v>
      </c>
      <c r="CW1971">
        <v>0</v>
      </c>
      <c r="CX1971">
        <v>4</v>
      </c>
      <c r="CY1971">
        <v>7</v>
      </c>
      <c r="CZ1971" t="s">
        <v>131</v>
      </c>
      <c r="DA1971">
        <v>300</v>
      </c>
      <c r="DB1971">
        <v>0</v>
      </c>
      <c r="DC1971" t="s">
        <v>176</v>
      </c>
      <c r="DD1971" t="s">
        <v>177</v>
      </c>
      <c r="DG1971">
        <v>5399111</v>
      </c>
      <c r="DI1971">
        <v>1</v>
      </c>
      <c r="DJ1971">
        <v>0</v>
      </c>
      <c r="DK1971">
        <v>1</v>
      </c>
      <c r="DL1971">
        <v>0</v>
      </c>
      <c r="DM1971">
        <v>0</v>
      </c>
      <c r="DN1971">
        <v>1</v>
      </c>
      <c r="DO1971">
        <v>0</v>
      </c>
      <c r="DP1971">
        <v>0</v>
      </c>
      <c r="DQ1971">
        <v>0</v>
      </c>
      <c r="DR1971">
        <v>0</v>
      </c>
      <c r="DS1971">
        <v>0</v>
      </c>
    </row>
    <row r="1972" spans="1:123" x14ac:dyDescent="0.3">
      <c r="A1972" t="str">
        <f>"10/04/2022 19:30:42.446"</f>
        <v>10/04/2022 19:30:42.446</v>
      </c>
      <c r="C1972" t="str">
        <f t="shared" si="672"/>
        <v>FFDFD3C0</v>
      </c>
      <c r="D1972" t="s">
        <v>123</v>
      </c>
      <c r="E1972">
        <v>7</v>
      </c>
      <c r="F1972">
        <v>2007</v>
      </c>
      <c r="G1972" t="s">
        <v>124</v>
      </c>
      <c r="J1972" t="s">
        <v>125</v>
      </c>
      <c r="K1972">
        <v>0</v>
      </c>
      <c r="L1972">
        <v>3</v>
      </c>
      <c r="M1972">
        <v>0</v>
      </c>
      <c r="N1972">
        <v>2</v>
      </c>
      <c r="O1972">
        <v>0</v>
      </c>
      <c r="P1972">
        <v>1</v>
      </c>
      <c r="Q1972">
        <v>0</v>
      </c>
      <c r="S1972" t="str">
        <f t="shared" si="693"/>
        <v>19:30:42.000</v>
      </c>
      <c r="T1972" t="str">
        <f t="shared" si="693"/>
        <v>19:30:42.000</v>
      </c>
      <c r="U1972" t="str">
        <f t="shared" si="678"/>
        <v>AC3944</v>
      </c>
      <c r="V1972">
        <v>0</v>
      </c>
      <c r="W1972">
        <v>0</v>
      </c>
      <c r="X1972">
        <v>2</v>
      </c>
      <c r="Y1972">
        <v>0</v>
      </c>
      <c r="AA1972">
        <v>1</v>
      </c>
      <c r="AB1972">
        <v>8</v>
      </c>
      <c r="AC1972">
        <v>3</v>
      </c>
      <c r="AD1972">
        <v>0</v>
      </c>
      <c r="AE1972">
        <v>9</v>
      </c>
      <c r="AF1972" t="s">
        <v>138</v>
      </c>
      <c r="AG1972">
        <v>0</v>
      </c>
      <c r="AH1972">
        <v>3</v>
      </c>
      <c r="AI1972">
        <v>1</v>
      </c>
      <c r="AJ1972">
        <v>0</v>
      </c>
      <c r="AK1972" t="s">
        <v>698</v>
      </c>
      <c r="AL1972">
        <v>32.776336999999998</v>
      </c>
      <c r="AM1972" t="s">
        <v>699</v>
      </c>
      <c r="AN1972">
        <v>-116.84453499999999</v>
      </c>
      <c r="AO1972">
        <v>25</v>
      </c>
      <c r="AP1972">
        <v>2900</v>
      </c>
      <c r="AQ1972" t="s">
        <v>129</v>
      </c>
      <c r="AR1972">
        <v>121</v>
      </c>
      <c r="AS1972">
        <v>-37</v>
      </c>
      <c r="AT1972">
        <v>448</v>
      </c>
      <c r="BB1972">
        <v>1200</v>
      </c>
      <c r="BC1972">
        <v>1</v>
      </c>
      <c r="BD1972" t="str">
        <f t="shared" si="679"/>
        <v xml:space="preserve">N887QR  </v>
      </c>
      <c r="BE1972">
        <v>1</v>
      </c>
      <c r="BG1972">
        <v>0</v>
      </c>
      <c r="BH1972">
        <v>0</v>
      </c>
      <c r="BI1972">
        <v>0</v>
      </c>
      <c r="BJ1972">
        <v>2650</v>
      </c>
      <c r="BK1972">
        <v>-250</v>
      </c>
      <c r="BL1972" t="s">
        <v>163</v>
      </c>
      <c r="BM1972">
        <v>1</v>
      </c>
      <c r="BN1972">
        <v>1</v>
      </c>
      <c r="BO1972">
        <v>1</v>
      </c>
      <c r="BP1972">
        <v>0</v>
      </c>
      <c r="BS1972">
        <v>0</v>
      </c>
      <c r="BT1972">
        <v>0</v>
      </c>
      <c r="BU1972">
        <v>0</v>
      </c>
      <c r="CE1972" t="str">
        <f t="shared" si="694"/>
        <v>19:30:42.157</v>
      </c>
      <c r="CF1972">
        <v>156941582</v>
      </c>
      <c r="CS1972">
        <v>0</v>
      </c>
      <c r="CT1972">
        <v>2</v>
      </c>
      <c r="CU1972">
        <v>0</v>
      </c>
      <c r="CV1972">
        <v>2</v>
      </c>
      <c r="CW1972">
        <v>0</v>
      </c>
      <c r="CX1972">
        <v>4</v>
      </c>
      <c r="CY1972">
        <v>7</v>
      </c>
      <c r="CZ1972" t="s">
        <v>131</v>
      </c>
      <c r="DA1972">
        <v>300</v>
      </c>
      <c r="DB1972">
        <v>0</v>
      </c>
      <c r="DC1972" t="s">
        <v>176</v>
      </c>
      <c r="DD1972" t="s">
        <v>177</v>
      </c>
      <c r="DG1972">
        <v>5399111</v>
      </c>
      <c r="DI1972">
        <v>1</v>
      </c>
      <c r="DJ1972">
        <v>0</v>
      </c>
      <c r="DK1972">
        <v>1</v>
      </c>
      <c r="DL1972">
        <v>0</v>
      </c>
      <c r="DM1972">
        <v>0</v>
      </c>
      <c r="DN1972">
        <v>1</v>
      </c>
      <c r="DO1972">
        <v>0</v>
      </c>
      <c r="DP1972">
        <v>0</v>
      </c>
      <c r="DQ1972">
        <v>0</v>
      </c>
      <c r="DR1972">
        <v>0</v>
      </c>
      <c r="DS1972">
        <v>0</v>
      </c>
    </row>
    <row r="1973" spans="1:123" x14ac:dyDescent="0.3">
      <c r="A1973" t="str">
        <f>"10/04/2022 19:30:42.446"</f>
        <v>10/04/2022 19:30:42.446</v>
      </c>
      <c r="C1973" t="str">
        <f t="shared" ref="C1973:C1988" si="695">"FFDFD3C0"</f>
        <v>FFDFD3C0</v>
      </c>
      <c r="D1973" t="s">
        <v>136</v>
      </c>
      <c r="E1973">
        <v>8</v>
      </c>
      <c r="H1973">
        <v>225</v>
      </c>
      <c r="I1973" t="s">
        <v>137</v>
      </c>
      <c r="J1973" t="s">
        <v>138</v>
      </c>
      <c r="K1973">
        <v>0</v>
      </c>
      <c r="L1973">
        <v>3</v>
      </c>
      <c r="M1973">
        <v>0</v>
      </c>
      <c r="N1973">
        <v>2</v>
      </c>
      <c r="O1973">
        <v>0</v>
      </c>
      <c r="P1973">
        <v>1</v>
      </c>
      <c r="Q1973">
        <v>0</v>
      </c>
      <c r="S1973" t="str">
        <f t="shared" si="693"/>
        <v>19:30:42.000</v>
      </c>
      <c r="T1973" t="str">
        <f t="shared" si="693"/>
        <v>19:30:42.000</v>
      </c>
      <c r="U1973" t="str">
        <f t="shared" si="678"/>
        <v>AC3944</v>
      </c>
      <c r="V1973">
        <v>0</v>
      </c>
      <c r="W1973">
        <v>0</v>
      </c>
      <c r="X1973">
        <v>2</v>
      </c>
      <c r="Y1973">
        <v>0</v>
      </c>
      <c r="AA1973">
        <v>1</v>
      </c>
      <c r="AB1973">
        <v>8</v>
      </c>
      <c r="AC1973">
        <v>3</v>
      </c>
      <c r="AD1973">
        <v>0</v>
      </c>
      <c r="AE1973">
        <v>9</v>
      </c>
      <c r="AF1973" t="s">
        <v>138</v>
      </c>
      <c r="AG1973">
        <v>0</v>
      </c>
      <c r="AH1973">
        <v>3</v>
      </c>
      <c r="AI1973">
        <v>1</v>
      </c>
      <c r="AJ1973">
        <v>0</v>
      </c>
      <c r="AK1973" t="s">
        <v>698</v>
      </c>
      <c r="AL1973">
        <v>32.776336999999998</v>
      </c>
      <c r="AM1973" t="s">
        <v>699</v>
      </c>
      <c r="AN1973">
        <v>-116.84453499999999</v>
      </c>
      <c r="AO1973">
        <v>25</v>
      </c>
      <c r="AP1973">
        <v>2900</v>
      </c>
      <c r="AQ1973" t="s">
        <v>129</v>
      </c>
      <c r="AR1973">
        <v>121</v>
      </c>
      <c r="AS1973">
        <v>-37</v>
      </c>
      <c r="AT1973">
        <v>448</v>
      </c>
      <c r="BB1973">
        <v>1200</v>
      </c>
      <c r="BC1973">
        <v>1</v>
      </c>
      <c r="BD1973" t="str">
        <f t="shared" si="679"/>
        <v xml:space="preserve">N887QR  </v>
      </c>
      <c r="BE1973">
        <v>1</v>
      </c>
      <c r="BG1973">
        <v>0</v>
      </c>
      <c r="BH1973">
        <v>0</v>
      </c>
      <c r="BI1973">
        <v>0</v>
      </c>
      <c r="BJ1973">
        <v>2650</v>
      </c>
      <c r="BK1973">
        <v>-250</v>
      </c>
      <c r="BL1973" t="s">
        <v>163</v>
      </c>
      <c r="BM1973">
        <v>1</v>
      </c>
      <c r="BN1973">
        <v>1</v>
      </c>
      <c r="BO1973">
        <v>1</v>
      </c>
      <c r="BP1973">
        <v>0</v>
      </c>
      <c r="BS1973">
        <v>0</v>
      </c>
      <c r="BT1973">
        <v>0</v>
      </c>
      <c r="BU1973">
        <v>0</v>
      </c>
      <c r="CE1973" t="str">
        <f t="shared" si="694"/>
        <v>19:30:42.157</v>
      </c>
      <c r="CF1973">
        <v>156941582</v>
      </c>
      <c r="CS1973">
        <v>0</v>
      </c>
      <c r="CT1973">
        <v>2</v>
      </c>
      <c r="CU1973">
        <v>0</v>
      </c>
      <c r="CV1973">
        <v>2</v>
      </c>
      <c r="CW1973">
        <v>0</v>
      </c>
      <c r="CX1973">
        <v>4</v>
      </c>
      <c r="CY1973">
        <v>7</v>
      </c>
      <c r="CZ1973" t="s">
        <v>131</v>
      </c>
      <c r="DA1973">
        <v>300</v>
      </c>
      <c r="DB1973">
        <v>0</v>
      </c>
      <c r="DC1973" t="s">
        <v>176</v>
      </c>
      <c r="DD1973" t="s">
        <v>177</v>
      </c>
      <c r="DG1973">
        <v>5399111</v>
      </c>
      <c r="DI1973">
        <v>1</v>
      </c>
      <c r="DJ1973">
        <v>0</v>
      </c>
      <c r="DK1973">
        <v>1</v>
      </c>
      <c r="DL1973">
        <v>0</v>
      </c>
      <c r="DM1973">
        <v>0</v>
      </c>
      <c r="DN1973">
        <v>1</v>
      </c>
      <c r="DO1973">
        <v>0</v>
      </c>
      <c r="DP1973">
        <v>0</v>
      </c>
      <c r="DQ1973">
        <v>0</v>
      </c>
      <c r="DR1973">
        <v>0</v>
      </c>
      <c r="DS1973">
        <v>0</v>
      </c>
    </row>
    <row r="1974" spans="1:123" x14ac:dyDescent="0.3">
      <c r="A1974" t="str">
        <f>"10/04/2022 19:30:42.446"</f>
        <v>10/04/2022 19:30:42.446</v>
      </c>
      <c r="C1974" t="str">
        <f t="shared" si="695"/>
        <v>FFDFD3C0</v>
      </c>
      <c r="D1974" t="s">
        <v>147</v>
      </c>
      <c r="E1974">
        <v>3</v>
      </c>
      <c r="H1974">
        <v>166</v>
      </c>
      <c r="I1974" t="s">
        <v>144</v>
      </c>
      <c r="J1974" t="s">
        <v>148</v>
      </c>
      <c r="K1974">
        <v>0</v>
      </c>
      <c r="L1974">
        <v>3</v>
      </c>
      <c r="M1974">
        <v>0</v>
      </c>
      <c r="N1974">
        <v>2</v>
      </c>
      <c r="O1974">
        <v>0</v>
      </c>
      <c r="P1974">
        <v>1</v>
      </c>
      <c r="Q1974">
        <v>0</v>
      </c>
      <c r="S1974" t="str">
        <f t="shared" si="693"/>
        <v>19:30:42.000</v>
      </c>
      <c r="T1974" t="str">
        <f t="shared" si="693"/>
        <v>19:30:42.000</v>
      </c>
      <c r="U1974" t="str">
        <f t="shared" si="678"/>
        <v>AC3944</v>
      </c>
      <c r="V1974">
        <v>0</v>
      </c>
      <c r="W1974">
        <v>0</v>
      </c>
      <c r="X1974">
        <v>2</v>
      </c>
      <c r="Y1974">
        <v>0</v>
      </c>
      <c r="AA1974">
        <v>1</v>
      </c>
      <c r="AB1974">
        <v>8</v>
      </c>
      <c r="AC1974">
        <v>3</v>
      </c>
      <c r="AD1974">
        <v>0</v>
      </c>
      <c r="AE1974">
        <v>9</v>
      </c>
      <c r="AF1974" t="s">
        <v>138</v>
      </c>
      <c r="AG1974">
        <v>0</v>
      </c>
      <c r="AH1974">
        <v>3</v>
      </c>
      <c r="AI1974">
        <v>1</v>
      </c>
      <c r="AJ1974">
        <v>0</v>
      </c>
      <c r="AK1974" t="s">
        <v>698</v>
      </c>
      <c r="AL1974">
        <v>32.776336999999998</v>
      </c>
      <c r="AM1974" t="s">
        <v>699</v>
      </c>
      <c r="AN1974">
        <v>-116.84453499999999</v>
      </c>
      <c r="AO1974">
        <v>25</v>
      </c>
      <c r="AP1974">
        <v>2900</v>
      </c>
      <c r="AQ1974" t="s">
        <v>129</v>
      </c>
      <c r="AR1974">
        <v>121</v>
      </c>
      <c r="AS1974">
        <v>-37</v>
      </c>
      <c r="AT1974">
        <v>448</v>
      </c>
      <c r="BB1974">
        <v>1200</v>
      </c>
      <c r="BC1974">
        <v>1</v>
      </c>
      <c r="BD1974" t="str">
        <f t="shared" si="679"/>
        <v xml:space="preserve">N887QR  </v>
      </c>
      <c r="BE1974">
        <v>1</v>
      </c>
      <c r="BG1974">
        <v>0</v>
      </c>
      <c r="BH1974">
        <v>0</v>
      </c>
      <c r="BI1974">
        <v>0</v>
      </c>
      <c r="BJ1974">
        <v>2650</v>
      </c>
      <c r="BK1974">
        <v>-250</v>
      </c>
      <c r="BL1974" t="s">
        <v>163</v>
      </c>
      <c r="BM1974">
        <v>1</v>
      </c>
      <c r="BN1974">
        <v>1</v>
      </c>
      <c r="BO1974">
        <v>1</v>
      </c>
      <c r="BP1974">
        <v>0</v>
      </c>
      <c r="BS1974">
        <v>0</v>
      </c>
      <c r="BT1974">
        <v>0</v>
      </c>
      <c r="BU1974">
        <v>0</v>
      </c>
      <c r="CE1974" t="str">
        <f t="shared" si="694"/>
        <v>19:30:42.157</v>
      </c>
      <c r="CF1974">
        <v>156941582</v>
      </c>
      <c r="CS1974">
        <v>0</v>
      </c>
      <c r="CT1974">
        <v>2</v>
      </c>
      <c r="CU1974">
        <v>0</v>
      </c>
      <c r="CV1974">
        <v>2</v>
      </c>
      <c r="CW1974">
        <v>0</v>
      </c>
      <c r="CX1974">
        <v>4</v>
      </c>
      <c r="CY1974">
        <v>7</v>
      </c>
      <c r="CZ1974" t="s">
        <v>131</v>
      </c>
      <c r="DA1974">
        <v>300</v>
      </c>
      <c r="DB1974">
        <v>0</v>
      </c>
      <c r="DC1974" t="s">
        <v>176</v>
      </c>
      <c r="DD1974" t="s">
        <v>177</v>
      </c>
      <c r="DG1974">
        <v>5399111</v>
      </c>
      <c r="DI1974">
        <v>1</v>
      </c>
      <c r="DJ1974">
        <v>0</v>
      </c>
      <c r="DK1974">
        <v>1</v>
      </c>
      <c r="DL1974">
        <v>0</v>
      </c>
      <c r="DM1974">
        <v>0</v>
      </c>
      <c r="DN1974">
        <v>1</v>
      </c>
      <c r="DO1974">
        <v>0</v>
      </c>
      <c r="DP1974">
        <v>0</v>
      </c>
      <c r="DQ1974">
        <v>0</v>
      </c>
      <c r="DR1974">
        <v>0</v>
      </c>
      <c r="DS1974">
        <v>0</v>
      </c>
    </row>
    <row r="1975" spans="1:123" x14ac:dyDescent="0.3">
      <c r="A1975" t="str">
        <f t="shared" ref="A1975:A1981" si="696">"10/04/2022 19:30:43.853"</f>
        <v>10/04/2022 19:30:43.853</v>
      </c>
      <c r="C1975" t="str">
        <f t="shared" si="695"/>
        <v>FFDFD3C0</v>
      </c>
      <c r="D1975" t="s">
        <v>141</v>
      </c>
      <c r="E1975">
        <v>3</v>
      </c>
      <c r="H1975">
        <v>3</v>
      </c>
      <c r="I1975" t="s">
        <v>146</v>
      </c>
      <c r="J1975" t="s">
        <v>138</v>
      </c>
      <c r="K1975">
        <v>0</v>
      </c>
      <c r="L1975">
        <v>3</v>
      </c>
      <c r="M1975">
        <v>0</v>
      </c>
      <c r="N1975">
        <v>2</v>
      </c>
      <c r="O1975">
        <v>0</v>
      </c>
      <c r="P1975">
        <v>1</v>
      </c>
      <c r="Q1975">
        <v>0</v>
      </c>
      <c r="S1975" t="str">
        <f t="shared" ref="S1975:T1981" si="697">"19:30:43.000"</f>
        <v>19:30:43.000</v>
      </c>
      <c r="T1975" t="str">
        <f t="shared" si="697"/>
        <v>19:30:43.000</v>
      </c>
      <c r="U1975" t="str">
        <f t="shared" si="678"/>
        <v>AC3944</v>
      </c>
      <c r="V1975">
        <v>0</v>
      </c>
      <c r="W1975">
        <v>0</v>
      </c>
      <c r="X1975">
        <v>2</v>
      </c>
      <c r="Y1975">
        <v>0</v>
      </c>
      <c r="AA1975">
        <v>1</v>
      </c>
      <c r="AB1975">
        <v>8</v>
      </c>
      <c r="AC1975">
        <v>3</v>
      </c>
      <c r="AD1975">
        <v>0</v>
      </c>
      <c r="AE1975">
        <v>9</v>
      </c>
      <c r="AF1975" t="s">
        <v>138</v>
      </c>
      <c r="AG1975">
        <v>0</v>
      </c>
      <c r="AH1975">
        <v>3</v>
      </c>
      <c r="AI1975">
        <v>1</v>
      </c>
      <c r="AJ1975">
        <v>0</v>
      </c>
      <c r="AK1975" t="s">
        <v>700</v>
      </c>
      <c r="AL1975">
        <v>32.776164999999999</v>
      </c>
      <c r="AM1975" t="s">
        <v>701</v>
      </c>
      <c r="AN1975">
        <v>-116.84387</v>
      </c>
      <c r="AO1975">
        <v>25</v>
      </c>
      <c r="AP1975">
        <v>2900</v>
      </c>
      <c r="AQ1975" t="s">
        <v>129</v>
      </c>
      <c r="AR1975">
        <v>122</v>
      </c>
      <c r="AS1975">
        <v>-36</v>
      </c>
      <c r="AT1975">
        <v>384</v>
      </c>
      <c r="BB1975">
        <v>1200</v>
      </c>
      <c r="BC1975">
        <v>1</v>
      </c>
      <c r="BD1975" t="str">
        <f t="shared" si="679"/>
        <v xml:space="preserve">N887QR  </v>
      </c>
      <c r="BE1975">
        <v>1</v>
      </c>
      <c r="BG1975">
        <v>0</v>
      </c>
      <c r="BH1975">
        <v>0</v>
      </c>
      <c r="BI1975">
        <v>0</v>
      </c>
      <c r="BJ1975">
        <v>2650</v>
      </c>
      <c r="BK1975">
        <v>-250</v>
      </c>
      <c r="BL1975" t="s">
        <v>163</v>
      </c>
      <c r="BM1975">
        <v>1</v>
      </c>
      <c r="BN1975">
        <v>1</v>
      </c>
      <c r="BO1975">
        <v>1</v>
      </c>
      <c r="BP1975">
        <v>0</v>
      </c>
      <c r="BS1975">
        <v>0</v>
      </c>
      <c r="BT1975">
        <v>0</v>
      </c>
      <c r="BU1975">
        <v>0</v>
      </c>
      <c r="CE1975" t="str">
        <f t="shared" ref="CE1975:CE1981" si="698">"19:30:43.499"</f>
        <v>19:30:43.499</v>
      </c>
      <c r="CF1975">
        <v>498946002</v>
      </c>
      <c r="CS1975">
        <v>0</v>
      </c>
      <c r="CT1975">
        <v>2</v>
      </c>
      <c r="CU1975">
        <v>0</v>
      </c>
      <c r="CV1975">
        <v>2</v>
      </c>
      <c r="CW1975">
        <v>0</v>
      </c>
      <c r="CX1975">
        <v>4</v>
      </c>
      <c r="CY1975">
        <v>7</v>
      </c>
      <c r="CZ1975" t="s">
        <v>131</v>
      </c>
      <c r="DA1975">
        <v>300</v>
      </c>
      <c r="DB1975">
        <v>0</v>
      </c>
      <c r="DC1975" t="s">
        <v>176</v>
      </c>
      <c r="DD1975" t="s">
        <v>177</v>
      </c>
      <c r="DG1975">
        <v>5399334</v>
      </c>
      <c r="DI1975">
        <v>1</v>
      </c>
      <c r="DJ1975">
        <v>0</v>
      </c>
      <c r="DK1975">
        <v>0</v>
      </c>
      <c r="DL1975">
        <v>0</v>
      </c>
      <c r="DM1975">
        <v>0</v>
      </c>
      <c r="DN1975">
        <v>1</v>
      </c>
      <c r="DO1975">
        <v>0</v>
      </c>
      <c r="DP1975">
        <v>0</v>
      </c>
      <c r="DQ1975">
        <v>0</v>
      </c>
      <c r="DR1975">
        <v>0</v>
      </c>
      <c r="DS1975">
        <v>0</v>
      </c>
    </row>
    <row r="1976" spans="1:123" x14ac:dyDescent="0.3">
      <c r="A1976" t="str">
        <f t="shared" si="696"/>
        <v>10/04/2022 19:30:43.853</v>
      </c>
      <c r="C1976" t="str">
        <f t="shared" si="695"/>
        <v>FFDFD3C0</v>
      </c>
      <c r="D1976" t="s">
        <v>141</v>
      </c>
      <c r="E1976">
        <v>4</v>
      </c>
      <c r="H1976">
        <v>4</v>
      </c>
      <c r="I1976" t="s">
        <v>142</v>
      </c>
      <c r="J1976" t="s">
        <v>138</v>
      </c>
      <c r="K1976">
        <v>0</v>
      </c>
      <c r="L1976">
        <v>3</v>
      </c>
      <c r="M1976">
        <v>0</v>
      </c>
      <c r="N1976">
        <v>2</v>
      </c>
      <c r="O1976">
        <v>0</v>
      </c>
      <c r="P1976">
        <v>1</v>
      </c>
      <c r="Q1976">
        <v>0</v>
      </c>
      <c r="S1976" t="str">
        <f t="shared" si="697"/>
        <v>19:30:43.000</v>
      </c>
      <c r="T1976" t="str">
        <f t="shared" si="697"/>
        <v>19:30:43.000</v>
      </c>
      <c r="U1976" t="str">
        <f t="shared" si="678"/>
        <v>AC3944</v>
      </c>
      <c r="V1976">
        <v>0</v>
      </c>
      <c r="W1976">
        <v>0</v>
      </c>
      <c r="X1976">
        <v>2</v>
      </c>
      <c r="Y1976">
        <v>0</v>
      </c>
      <c r="AA1976">
        <v>1</v>
      </c>
      <c r="AB1976">
        <v>8</v>
      </c>
      <c r="AC1976">
        <v>3</v>
      </c>
      <c r="AD1976">
        <v>0</v>
      </c>
      <c r="AE1976">
        <v>9</v>
      </c>
      <c r="AF1976" t="s">
        <v>138</v>
      </c>
      <c r="AG1976">
        <v>0</v>
      </c>
      <c r="AH1976">
        <v>3</v>
      </c>
      <c r="AI1976">
        <v>1</v>
      </c>
      <c r="AJ1976">
        <v>0</v>
      </c>
      <c r="AK1976" t="s">
        <v>700</v>
      </c>
      <c r="AL1976">
        <v>32.776164999999999</v>
      </c>
      <c r="AM1976" t="s">
        <v>701</v>
      </c>
      <c r="AN1976">
        <v>-116.84387</v>
      </c>
      <c r="AO1976">
        <v>25</v>
      </c>
      <c r="AP1976">
        <v>2900</v>
      </c>
      <c r="AQ1976" t="s">
        <v>129</v>
      </c>
      <c r="AR1976">
        <v>122</v>
      </c>
      <c r="AS1976">
        <v>-36</v>
      </c>
      <c r="AT1976">
        <v>384</v>
      </c>
      <c r="BB1976">
        <v>1200</v>
      </c>
      <c r="BC1976">
        <v>1</v>
      </c>
      <c r="BD1976" t="str">
        <f t="shared" si="679"/>
        <v xml:space="preserve">N887QR  </v>
      </c>
      <c r="BE1976">
        <v>1</v>
      </c>
      <c r="BG1976">
        <v>0</v>
      </c>
      <c r="BH1976">
        <v>0</v>
      </c>
      <c r="BI1976">
        <v>0</v>
      </c>
      <c r="BJ1976">
        <v>2650</v>
      </c>
      <c r="BK1976">
        <v>-250</v>
      </c>
      <c r="BL1976" t="s">
        <v>163</v>
      </c>
      <c r="BM1976">
        <v>1</v>
      </c>
      <c r="BN1976">
        <v>1</v>
      </c>
      <c r="BO1976">
        <v>1</v>
      </c>
      <c r="BP1976">
        <v>0</v>
      </c>
      <c r="BS1976">
        <v>0</v>
      </c>
      <c r="BT1976">
        <v>0</v>
      </c>
      <c r="BU1976">
        <v>0</v>
      </c>
      <c r="CE1976" t="str">
        <f t="shared" si="698"/>
        <v>19:30:43.499</v>
      </c>
      <c r="CF1976">
        <v>498946002</v>
      </c>
      <c r="CS1976">
        <v>0</v>
      </c>
      <c r="CT1976">
        <v>2</v>
      </c>
      <c r="CU1976">
        <v>0</v>
      </c>
      <c r="CV1976">
        <v>2</v>
      </c>
      <c r="CW1976">
        <v>0</v>
      </c>
      <c r="CX1976">
        <v>4</v>
      </c>
      <c r="CY1976">
        <v>7</v>
      </c>
      <c r="CZ1976" t="s">
        <v>131</v>
      </c>
      <c r="DA1976">
        <v>300</v>
      </c>
      <c r="DB1976">
        <v>0</v>
      </c>
      <c r="DC1976" t="s">
        <v>176</v>
      </c>
      <c r="DD1976" t="s">
        <v>177</v>
      </c>
      <c r="DG1976">
        <v>5399334</v>
      </c>
      <c r="DI1976">
        <v>1</v>
      </c>
      <c r="DJ1976">
        <v>0</v>
      </c>
      <c r="DK1976">
        <v>0</v>
      </c>
      <c r="DL1976">
        <v>0</v>
      </c>
      <c r="DM1976">
        <v>0</v>
      </c>
      <c r="DN1976">
        <v>1</v>
      </c>
      <c r="DO1976">
        <v>0</v>
      </c>
      <c r="DP1976">
        <v>0</v>
      </c>
      <c r="DQ1976">
        <v>0</v>
      </c>
      <c r="DR1976">
        <v>0</v>
      </c>
      <c r="DS1976">
        <v>0</v>
      </c>
    </row>
    <row r="1977" spans="1:123" x14ac:dyDescent="0.3">
      <c r="A1977" t="str">
        <f t="shared" si="696"/>
        <v>10/04/2022 19:30:43.853</v>
      </c>
      <c r="C1977" t="str">
        <f t="shared" si="695"/>
        <v>FFDFD3C0</v>
      </c>
      <c r="D1977" t="s">
        <v>143</v>
      </c>
      <c r="E1977">
        <v>20</v>
      </c>
      <c r="F1977">
        <v>1020</v>
      </c>
      <c r="G1977" t="s">
        <v>144</v>
      </c>
      <c r="J1977" t="s">
        <v>145</v>
      </c>
      <c r="K1977">
        <v>0</v>
      </c>
      <c r="L1977">
        <v>3</v>
      </c>
      <c r="M1977">
        <v>0</v>
      </c>
      <c r="N1977">
        <v>2</v>
      </c>
      <c r="O1977">
        <v>0</v>
      </c>
      <c r="P1977">
        <v>1</v>
      </c>
      <c r="Q1977">
        <v>0</v>
      </c>
      <c r="S1977" t="str">
        <f t="shared" si="697"/>
        <v>19:30:43.000</v>
      </c>
      <c r="T1977" t="str">
        <f t="shared" si="697"/>
        <v>19:30:43.000</v>
      </c>
      <c r="U1977" t="str">
        <f t="shared" si="678"/>
        <v>AC3944</v>
      </c>
      <c r="V1977">
        <v>0</v>
      </c>
      <c r="W1977">
        <v>0</v>
      </c>
      <c r="X1977">
        <v>2</v>
      </c>
      <c r="Y1977">
        <v>0</v>
      </c>
      <c r="AA1977">
        <v>1</v>
      </c>
      <c r="AB1977">
        <v>8</v>
      </c>
      <c r="AC1977">
        <v>3</v>
      </c>
      <c r="AD1977">
        <v>0</v>
      </c>
      <c r="AE1977">
        <v>9</v>
      </c>
      <c r="AF1977" t="s">
        <v>138</v>
      </c>
      <c r="AG1977">
        <v>0</v>
      </c>
      <c r="AH1977">
        <v>3</v>
      </c>
      <c r="AI1977">
        <v>1</v>
      </c>
      <c r="AJ1977">
        <v>0</v>
      </c>
      <c r="AK1977" t="s">
        <v>700</v>
      </c>
      <c r="AL1977">
        <v>32.776164999999999</v>
      </c>
      <c r="AM1977" t="s">
        <v>701</v>
      </c>
      <c r="AN1977">
        <v>-116.84387</v>
      </c>
      <c r="AO1977">
        <v>25</v>
      </c>
      <c r="AP1977">
        <v>2900</v>
      </c>
      <c r="AQ1977" t="s">
        <v>129</v>
      </c>
      <c r="AR1977">
        <v>122</v>
      </c>
      <c r="AS1977">
        <v>-36</v>
      </c>
      <c r="AT1977">
        <v>384</v>
      </c>
      <c r="BB1977">
        <v>1200</v>
      </c>
      <c r="BC1977">
        <v>1</v>
      </c>
      <c r="BD1977" t="str">
        <f t="shared" si="679"/>
        <v xml:space="preserve">N887QR  </v>
      </c>
      <c r="BE1977">
        <v>1</v>
      </c>
      <c r="BG1977">
        <v>0</v>
      </c>
      <c r="BH1977">
        <v>0</v>
      </c>
      <c r="BI1977">
        <v>0</v>
      </c>
      <c r="BJ1977">
        <v>2650</v>
      </c>
      <c r="BK1977">
        <v>-250</v>
      </c>
      <c r="BL1977" t="s">
        <v>163</v>
      </c>
      <c r="BM1977">
        <v>1</v>
      </c>
      <c r="BN1977">
        <v>1</v>
      </c>
      <c r="BO1977">
        <v>1</v>
      </c>
      <c r="BP1977">
        <v>0</v>
      </c>
      <c r="BS1977">
        <v>0</v>
      </c>
      <c r="BT1977">
        <v>0</v>
      </c>
      <c r="BU1977">
        <v>0</v>
      </c>
      <c r="CE1977" t="str">
        <f t="shared" si="698"/>
        <v>19:30:43.499</v>
      </c>
      <c r="CF1977">
        <v>498946002</v>
      </c>
      <c r="CS1977">
        <v>0</v>
      </c>
      <c r="CT1977">
        <v>2</v>
      </c>
      <c r="CU1977">
        <v>0</v>
      </c>
      <c r="CV1977">
        <v>2</v>
      </c>
      <c r="CW1977">
        <v>0</v>
      </c>
      <c r="CX1977">
        <v>4</v>
      </c>
      <c r="CY1977">
        <v>7</v>
      </c>
      <c r="CZ1977" t="s">
        <v>131</v>
      </c>
      <c r="DA1977">
        <v>300</v>
      </c>
      <c r="DB1977">
        <v>0</v>
      </c>
      <c r="DC1977" t="s">
        <v>176</v>
      </c>
      <c r="DD1977" t="s">
        <v>177</v>
      </c>
      <c r="DG1977">
        <v>5399334</v>
      </c>
      <c r="DI1977">
        <v>1</v>
      </c>
      <c r="DJ1977">
        <v>0</v>
      </c>
      <c r="DK1977">
        <v>1</v>
      </c>
      <c r="DL1977">
        <v>0</v>
      </c>
      <c r="DM1977">
        <v>0</v>
      </c>
      <c r="DN1977">
        <v>1</v>
      </c>
      <c r="DO1977">
        <v>0</v>
      </c>
      <c r="DP1977">
        <v>0</v>
      </c>
      <c r="DQ1977">
        <v>0</v>
      </c>
      <c r="DR1977">
        <v>0</v>
      </c>
      <c r="DS1977">
        <v>0</v>
      </c>
    </row>
    <row r="1978" spans="1:123" x14ac:dyDescent="0.3">
      <c r="A1978" t="str">
        <f t="shared" si="696"/>
        <v>10/04/2022 19:30:43.853</v>
      </c>
      <c r="C1978" t="str">
        <f t="shared" si="695"/>
        <v>FFDFD3C0</v>
      </c>
      <c r="D1978" t="s">
        <v>123</v>
      </c>
      <c r="E1978">
        <v>7</v>
      </c>
      <c r="F1978">
        <v>2007</v>
      </c>
      <c r="G1978" t="s">
        <v>124</v>
      </c>
      <c r="J1978" t="s">
        <v>125</v>
      </c>
      <c r="K1978">
        <v>0</v>
      </c>
      <c r="L1978">
        <v>3</v>
      </c>
      <c r="M1978">
        <v>0</v>
      </c>
      <c r="N1978">
        <v>2</v>
      </c>
      <c r="O1978">
        <v>0</v>
      </c>
      <c r="P1978">
        <v>1</v>
      </c>
      <c r="Q1978">
        <v>0</v>
      </c>
      <c r="S1978" t="str">
        <f t="shared" si="697"/>
        <v>19:30:43.000</v>
      </c>
      <c r="T1978" t="str">
        <f t="shared" si="697"/>
        <v>19:30:43.000</v>
      </c>
      <c r="U1978" t="str">
        <f t="shared" si="678"/>
        <v>AC3944</v>
      </c>
      <c r="V1978">
        <v>0</v>
      </c>
      <c r="W1978">
        <v>0</v>
      </c>
      <c r="X1978">
        <v>2</v>
      </c>
      <c r="Y1978">
        <v>0</v>
      </c>
      <c r="AA1978">
        <v>1</v>
      </c>
      <c r="AB1978">
        <v>8</v>
      </c>
      <c r="AC1978">
        <v>3</v>
      </c>
      <c r="AD1978">
        <v>0</v>
      </c>
      <c r="AE1978">
        <v>9</v>
      </c>
      <c r="AF1978" t="s">
        <v>138</v>
      </c>
      <c r="AG1978">
        <v>0</v>
      </c>
      <c r="AH1978">
        <v>3</v>
      </c>
      <c r="AI1978">
        <v>1</v>
      </c>
      <c r="AJ1978">
        <v>0</v>
      </c>
      <c r="AK1978" t="s">
        <v>700</v>
      </c>
      <c r="AL1978">
        <v>32.776164999999999</v>
      </c>
      <c r="AM1978" t="s">
        <v>701</v>
      </c>
      <c r="AN1978">
        <v>-116.84387</v>
      </c>
      <c r="AO1978">
        <v>25</v>
      </c>
      <c r="AP1978">
        <v>2900</v>
      </c>
      <c r="AQ1978" t="s">
        <v>129</v>
      </c>
      <c r="AR1978">
        <v>122</v>
      </c>
      <c r="AS1978">
        <v>-36</v>
      </c>
      <c r="AT1978">
        <v>384</v>
      </c>
      <c r="BB1978">
        <v>1200</v>
      </c>
      <c r="BC1978">
        <v>1</v>
      </c>
      <c r="BD1978" t="str">
        <f t="shared" si="679"/>
        <v xml:space="preserve">N887QR  </v>
      </c>
      <c r="BE1978">
        <v>1</v>
      </c>
      <c r="BG1978">
        <v>0</v>
      </c>
      <c r="BH1978">
        <v>0</v>
      </c>
      <c r="BI1978">
        <v>0</v>
      </c>
      <c r="BJ1978">
        <v>2650</v>
      </c>
      <c r="BK1978">
        <v>-250</v>
      </c>
      <c r="BL1978" t="s">
        <v>163</v>
      </c>
      <c r="BM1978">
        <v>1</v>
      </c>
      <c r="BN1978">
        <v>1</v>
      </c>
      <c r="BO1978">
        <v>1</v>
      </c>
      <c r="BP1978">
        <v>0</v>
      </c>
      <c r="BS1978">
        <v>0</v>
      </c>
      <c r="BT1978">
        <v>0</v>
      </c>
      <c r="BU1978">
        <v>0</v>
      </c>
      <c r="CE1978" t="str">
        <f t="shared" si="698"/>
        <v>19:30:43.499</v>
      </c>
      <c r="CF1978">
        <v>498946002</v>
      </c>
      <c r="CS1978">
        <v>0</v>
      </c>
      <c r="CT1978">
        <v>2</v>
      </c>
      <c r="CU1978">
        <v>0</v>
      </c>
      <c r="CV1978">
        <v>2</v>
      </c>
      <c r="CW1978">
        <v>0</v>
      </c>
      <c r="CX1978">
        <v>4</v>
      </c>
      <c r="CY1978">
        <v>7</v>
      </c>
      <c r="CZ1978" t="s">
        <v>131</v>
      </c>
      <c r="DA1978">
        <v>300</v>
      </c>
      <c r="DB1978">
        <v>0</v>
      </c>
      <c r="DC1978" t="s">
        <v>176</v>
      </c>
      <c r="DD1978" t="s">
        <v>177</v>
      </c>
      <c r="DG1978">
        <v>5399334</v>
      </c>
      <c r="DI1978">
        <v>1</v>
      </c>
      <c r="DJ1978">
        <v>0</v>
      </c>
      <c r="DK1978">
        <v>1</v>
      </c>
      <c r="DL1978">
        <v>0</v>
      </c>
      <c r="DM1978">
        <v>0</v>
      </c>
      <c r="DN1978">
        <v>1</v>
      </c>
      <c r="DO1978">
        <v>0</v>
      </c>
      <c r="DP1978">
        <v>0</v>
      </c>
      <c r="DQ1978">
        <v>0</v>
      </c>
      <c r="DR1978">
        <v>0</v>
      </c>
      <c r="DS1978">
        <v>0</v>
      </c>
    </row>
    <row r="1979" spans="1:123" x14ac:dyDescent="0.3">
      <c r="A1979" t="str">
        <f t="shared" si="696"/>
        <v>10/04/2022 19:30:43.853</v>
      </c>
      <c r="C1979" t="str">
        <f t="shared" si="695"/>
        <v>FFDFD3C0</v>
      </c>
      <c r="D1979" t="s">
        <v>136</v>
      </c>
      <c r="E1979">
        <v>8</v>
      </c>
      <c r="H1979">
        <v>225</v>
      </c>
      <c r="I1979" t="s">
        <v>137</v>
      </c>
      <c r="J1979" t="s">
        <v>138</v>
      </c>
      <c r="K1979">
        <v>0</v>
      </c>
      <c r="L1979">
        <v>3</v>
      </c>
      <c r="M1979">
        <v>0</v>
      </c>
      <c r="N1979">
        <v>2</v>
      </c>
      <c r="O1979">
        <v>0</v>
      </c>
      <c r="P1979">
        <v>1</v>
      </c>
      <c r="Q1979">
        <v>0</v>
      </c>
      <c r="S1979" t="str">
        <f t="shared" si="697"/>
        <v>19:30:43.000</v>
      </c>
      <c r="T1979" t="str">
        <f t="shared" si="697"/>
        <v>19:30:43.000</v>
      </c>
      <c r="U1979" t="str">
        <f t="shared" si="678"/>
        <v>AC3944</v>
      </c>
      <c r="V1979">
        <v>0</v>
      </c>
      <c r="W1979">
        <v>0</v>
      </c>
      <c r="X1979">
        <v>2</v>
      </c>
      <c r="Y1979">
        <v>0</v>
      </c>
      <c r="AA1979">
        <v>1</v>
      </c>
      <c r="AB1979">
        <v>8</v>
      </c>
      <c r="AC1979">
        <v>3</v>
      </c>
      <c r="AD1979">
        <v>0</v>
      </c>
      <c r="AE1979">
        <v>9</v>
      </c>
      <c r="AF1979" t="s">
        <v>138</v>
      </c>
      <c r="AG1979">
        <v>0</v>
      </c>
      <c r="AH1979">
        <v>3</v>
      </c>
      <c r="AI1979">
        <v>1</v>
      </c>
      <c r="AJ1979">
        <v>0</v>
      </c>
      <c r="AK1979" t="s">
        <v>700</v>
      </c>
      <c r="AL1979">
        <v>32.776164999999999</v>
      </c>
      <c r="AM1979" t="s">
        <v>701</v>
      </c>
      <c r="AN1979">
        <v>-116.84387</v>
      </c>
      <c r="AO1979">
        <v>25</v>
      </c>
      <c r="AP1979">
        <v>2900</v>
      </c>
      <c r="AQ1979" t="s">
        <v>129</v>
      </c>
      <c r="AR1979">
        <v>122</v>
      </c>
      <c r="AS1979">
        <v>-36</v>
      </c>
      <c r="AT1979">
        <v>384</v>
      </c>
      <c r="BB1979">
        <v>1200</v>
      </c>
      <c r="BC1979">
        <v>1</v>
      </c>
      <c r="BD1979" t="str">
        <f t="shared" si="679"/>
        <v xml:space="preserve">N887QR  </v>
      </c>
      <c r="BE1979">
        <v>1</v>
      </c>
      <c r="BG1979">
        <v>0</v>
      </c>
      <c r="BH1979">
        <v>0</v>
      </c>
      <c r="BI1979">
        <v>0</v>
      </c>
      <c r="BJ1979">
        <v>2650</v>
      </c>
      <c r="BK1979">
        <v>-250</v>
      </c>
      <c r="BL1979" t="s">
        <v>163</v>
      </c>
      <c r="BM1979">
        <v>1</v>
      </c>
      <c r="BN1979">
        <v>1</v>
      </c>
      <c r="BO1979">
        <v>1</v>
      </c>
      <c r="BP1979">
        <v>0</v>
      </c>
      <c r="BS1979">
        <v>0</v>
      </c>
      <c r="BT1979">
        <v>0</v>
      </c>
      <c r="BU1979">
        <v>0</v>
      </c>
      <c r="CE1979" t="str">
        <f t="shared" si="698"/>
        <v>19:30:43.499</v>
      </c>
      <c r="CF1979">
        <v>498946002</v>
      </c>
      <c r="CS1979">
        <v>0</v>
      </c>
      <c r="CT1979">
        <v>2</v>
      </c>
      <c r="CU1979">
        <v>0</v>
      </c>
      <c r="CV1979">
        <v>2</v>
      </c>
      <c r="CW1979">
        <v>0</v>
      </c>
      <c r="CX1979">
        <v>4</v>
      </c>
      <c r="CY1979">
        <v>7</v>
      </c>
      <c r="CZ1979" t="s">
        <v>131</v>
      </c>
      <c r="DA1979">
        <v>300</v>
      </c>
      <c r="DB1979">
        <v>0</v>
      </c>
      <c r="DC1979" t="s">
        <v>176</v>
      </c>
      <c r="DD1979" t="s">
        <v>177</v>
      </c>
      <c r="DG1979">
        <v>5399334</v>
      </c>
      <c r="DI1979">
        <v>1</v>
      </c>
      <c r="DJ1979">
        <v>0</v>
      </c>
      <c r="DK1979">
        <v>1</v>
      </c>
      <c r="DL1979">
        <v>0</v>
      </c>
      <c r="DM1979">
        <v>0</v>
      </c>
      <c r="DN1979">
        <v>1</v>
      </c>
      <c r="DO1979">
        <v>0</v>
      </c>
      <c r="DP1979">
        <v>0</v>
      </c>
      <c r="DQ1979">
        <v>0</v>
      </c>
      <c r="DR1979">
        <v>0</v>
      </c>
      <c r="DS1979">
        <v>0</v>
      </c>
    </row>
    <row r="1980" spans="1:123" x14ac:dyDescent="0.3">
      <c r="A1980" t="str">
        <f t="shared" si="696"/>
        <v>10/04/2022 19:30:43.853</v>
      </c>
      <c r="C1980" t="str">
        <f t="shared" si="695"/>
        <v>FFDFD3C0</v>
      </c>
      <c r="D1980" t="s">
        <v>147</v>
      </c>
      <c r="E1980">
        <v>3</v>
      </c>
      <c r="H1980">
        <v>166</v>
      </c>
      <c r="I1980" t="s">
        <v>144</v>
      </c>
      <c r="J1980" t="s">
        <v>148</v>
      </c>
      <c r="K1980">
        <v>0</v>
      </c>
      <c r="L1980">
        <v>3</v>
      </c>
      <c r="M1980">
        <v>0</v>
      </c>
      <c r="N1980">
        <v>2</v>
      </c>
      <c r="O1980">
        <v>0</v>
      </c>
      <c r="P1980">
        <v>1</v>
      </c>
      <c r="Q1980">
        <v>0</v>
      </c>
      <c r="S1980" t="str">
        <f t="shared" si="697"/>
        <v>19:30:43.000</v>
      </c>
      <c r="T1980" t="str">
        <f t="shared" si="697"/>
        <v>19:30:43.000</v>
      </c>
      <c r="U1980" t="str">
        <f t="shared" si="678"/>
        <v>AC3944</v>
      </c>
      <c r="V1980">
        <v>0</v>
      </c>
      <c r="W1980">
        <v>0</v>
      </c>
      <c r="X1980">
        <v>2</v>
      </c>
      <c r="Y1980">
        <v>0</v>
      </c>
      <c r="AA1980">
        <v>1</v>
      </c>
      <c r="AB1980">
        <v>8</v>
      </c>
      <c r="AC1980">
        <v>3</v>
      </c>
      <c r="AD1980">
        <v>0</v>
      </c>
      <c r="AE1980">
        <v>9</v>
      </c>
      <c r="AF1980" t="s">
        <v>138</v>
      </c>
      <c r="AG1980">
        <v>0</v>
      </c>
      <c r="AH1980">
        <v>3</v>
      </c>
      <c r="AI1980">
        <v>1</v>
      </c>
      <c r="AJ1980">
        <v>0</v>
      </c>
      <c r="AK1980" t="s">
        <v>700</v>
      </c>
      <c r="AL1980">
        <v>32.776164999999999</v>
      </c>
      <c r="AM1980" t="s">
        <v>701</v>
      </c>
      <c r="AN1980">
        <v>-116.84387</v>
      </c>
      <c r="AO1980">
        <v>25</v>
      </c>
      <c r="AP1980">
        <v>2900</v>
      </c>
      <c r="AQ1980" t="s">
        <v>129</v>
      </c>
      <c r="AR1980">
        <v>122</v>
      </c>
      <c r="AS1980">
        <v>-36</v>
      </c>
      <c r="AT1980">
        <v>384</v>
      </c>
      <c r="BB1980">
        <v>1200</v>
      </c>
      <c r="BC1980">
        <v>1</v>
      </c>
      <c r="BD1980" t="str">
        <f t="shared" si="679"/>
        <v xml:space="preserve">N887QR  </v>
      </c>
      <c r="BE1980">
        <v>1</v>
      </c>
      <c r="BG1980">
        <v>0</v>
      </c>
      <c r="BH1980">
        <v>0</v>
      </c>
      <c r="BI1980">
        <v>0</v>
      </c>
      <c r="BJ1980">
        <v>2650</v>
      </c>
      <c r="BK1980">
        <v>-250</v>
      </c>
      <c r="BL1980" t="s">
        <v>163</v>
      </c>
      <c r="BM1980">
        <v>1</v>
      </c>
      <c r="BN1980">
        <v>1</v>
      </c>
      <c r="BO1980">
        <v>1</v>
      </c>
      <c r="BP1980">
        <v>0</v>
      </c>
      <c r="BS1980">
        <v>0</v>
      </c>
      <c r="BT1980">
        <v>0</v>
      </c>
      <c r="BU1980">
        <v>0</v>
      </c>
      <c r="CE1980" t="str">
        <f t="shared" si="698"/>
        <v>19:30:43.499</v>
      </c>
      <c r="CF1980">
        <v>498946002</v>
      </c>
      <c r="CS1980">
        <v>0</v>
      </c>
      <c r="CT1980">
        <v>2</v>
      </c>
      <c r="CU1980">
        <v>0</v>
      </c>
      <c r="CV1980">
        <v>2</v>
      </c>
      <c r="CW1980">
        <v>0</v>
      </c>
      <c r="CX1980">
        <v>4</v>
      </c>
      <c r="CY1980">
        <v>7</v>
      </c>
      <c r="CZ1980" t="s">
        <v>131</v>
      </c>
      <c r="DA1980">
        <v>300</v>
      </c>
      <c r="DB1980">
        <v>0</v>
      </c>
      <c r="DC1980" t="s">
        <v>176</v>
      </c>
      <c r="DD1980" t="s">
        <v>177</v>
      </c>
      <c r="DG1980">
        <v>5399334</v>
      </c>
      <c r="DI1980">
        <v>1</v>
      </c>
      <c r="DJ1980">
        <v>0</v>
      </c>
      <c r="DK1980">
        <v>1</v>
      </c>
      <c r="DL1980">
        <v>0</v>
      </c>
      <c r="DM1980">
        <v>0</v>
      </c>
      <c r="DN1980">
        <v>1</v>
      </c>
      <c r="DO1980">
        <v>0</v>
      </c>
      <c r="DP1980">
        <v>0</v>
      </c>
      <c r="DQ1980">
        <v>0</v>
      </c>
      <c r="DR1980">
        <v>0</v>
      </c>
      <c r="DS1980">
        <v>0</v>
      </c>
    </row>
    <row r="1981" spans="1:123" x14ac:dyDescent="0.3">
      <c r="A1981" t="str">
        <f t="shared" si="696"/>
        <v>10/04/2022 19:30:43.853</v>
      </c>
      <c r="C1981" t="str">
        <f t="shared" si="695"/>
        <v>FFDFD3C0</v>
      </c>
      <c r="D1981" t="s">
        <v>134</v>
      </c>
      <c r="E1981">
        <v>15</v>
      </c>
      <c r="J1981" t="s">
        <v>135</v>
      </c>
      <c r="K1981">
        <v>0</v>
      </c>
      <c r="L1981">
        <v>3</v>
      </c>
      <c r="M1981">
        <v>0</v>
      </c>
      <c r="N1981">
        <v>2</v>
      </c>
      <c r="O1981">
        <v>0</v>
      </c>
      <c r="P1981">
        <v>1</v>
      </c>
      <c r="Q1981">
        <v>0</v>
      </c>
      <c r="S1981" t="str">
        <f t="shared" si="697"/>
        <v>19:30:43.000</v>
      </c>
      <c r="T1981" t="str">
        <f t="shared" si="697"/>
        <v>19:30:43.000</v>
      </c>
      <c r="U1981" t="str">
        <f t="shared" si="678"/>
        <v>AC3944</v>
      </c>
      <c r="V1981">
        <v>0</v>
      </c>
      <c r="W1981">
        <v>0</v>
      </c>
      <c r="X1981">
        <v>2</v>
      </c>
      <c r="Y1981">
        <v>0</v>
      </c>
      <c r="AA1981">
        <v>1</v>
      </c>
      <c r="AB1981">
        <v>8</v>
      </c>
      <c r="AC1981">
        <v>3</v>
      </c>
      <c r="AD1981">
        <v>0</v>
      </c>
      <c r="AE1981">
        <v>9</v>
      </c>
      <c r="AF1981" t="s">
        <v>138</v>
      </c>
      <c r="AG1981">
        <v>0</v>
      </c>
      <c r="AH1981">
        <v>3</v>
      </c>
      <c r="AI1981">
        <v>1</v>
      </c>
      <c r="AJ1981">
        <v>0</v>
      </c>
      <c r="AK1981" t="s">
        <v>700</v>
      </c>
      <c r="AL1981">
        <v>32.776164999999999</v>
      </c>
      <c r="AM1981" t="s">
        <v>701</v>
      </c>
      <c r="AN1981">
        <v>-116.84387</v>
      </c>
      <c r="AO1981">
        <v>25</v>
      </c>
      <c r="AP1981">
        <v>2900</v>
      </c>
      <c r="AQ1981" t="s">
        <v>129</v>
      </c>
      <c r="AR1981">
        <v>122</v>
      </c>
      <c r="AS1981">
        <v>-36</v>
      </c>
      <c r="AT1981">
        <v>384</v>
      </c>
      <c r="BB1981">
        <v>1200</v>
      </c>
      <c r="BC1981">
        <v>1</v>
      </c>
      <c r="BD1981" t="str">
        <f t="shared" si="679"/>
        <v xml:space="preserve">N887QR  </v>
      </c>
      <c r="BE1981">
        <v>1</v>
      </c>
      <c r="BG1981">
        <v>0</v>
      </c>
      <c r="BH1981">
        <v>0</v>
      </c>
      <c r="BI1981">
        <v>0</v>
      </c>
      <c r="BJ1981">
        <v>2650</v>
      </c>
      <c r="BK1981">
        <v>-250</v>
      </c>
      <c r="BL1981" t="s">
        <v>163</v>
      </c>
      <c r="BM1981">
        <v>1</v>
      </c>
      <c r="BN1981">
        <v>1</v>
      </c>
      <c r="BO1981">
        <v>1</v>
      </c>
      <c r="BP1981">
        <v>0</v>
      </c>
      <c r="BS1981">
        <v>0</v>
      </c>
      <c r="BT1981">
        <v>0</v>
      </c>
      <c r="BU1981">
        <v>0</v>
      </c>
      <c r="CE1981" t="str">
        <f t="shared" si="698"/>
        <v>19:30:43.499</v>
      </c>
      <c r="CF1981">
        <v>498946002</v>
      </c>
      <c r="CS1981">
        <v>0</v>
      </c>
      <c r="CT1981">
        <v>2</v>
      </c>
      <c r="CU1981">
        <v>0</v>
      </c>
      <c r="CV1981">
        <v>2</v>
      </c>
      <c r="CW1981">
        <v>0</v>
      </c>
      <c r="CX1981">
        <v>4</v>
      </c>
      <c r="CY1981">
        <v>7</v>
      </c>
      <c r="CZ1981" t="s">
        <v>131</v>
      </c>
      <c r="DA1981">
        <v>300</v>
      </c>
      <c r="DB1981">
        <v>0</v>
      </c>
      <c r="DC1981" t="s">
        <v>176</v>
      </c>
      <c r="DD1981" t="s">
        <v>177</v>
      </c>
      <c r="DG1981">
        <v>5399334</v>
      </c>
      <c r="DI1981">
        <v>1</v>
      </c>
      <c r="DJ1981">
        <v>0</v>
      </c>
      <c r="DK1981">
        <v>1</v>
      </c>
      <c r="DL1981">
        <v>0</v>
      </c>
      <c r="DM1981">
        <v>0</v>
      </c>
      <c r="DN1981">
        <v>1</v>
      </c>
      <c r="DO1981">
        <v>0</v>
      </c>
      <c r="DP1981">
        <v>0</v>
      </c>
      <c r="DQ1981">
        <v>0</v>
      </c>
      <c r="DR1981">
        <v>0</v>
      </c>
      <c r="DS1981">
        <v>0</v>
      </c>
    </row>
    <row r="1982" spans="1:123" x14ac:dyDescent="0.3">
      <c r="A1982" t="str">
        <f>"10/04/2022 19:30:44.775"</f>
        <v>10/04/2022 19:30:44.775</v>
      </c>
      <c r="C1982" t="str">
        <f t="shared" si="695"/>
        <v>FFDFD3C0</v>
      </c>
      <c r="D1982" t="s">
        <v>141</v>
      </c>
      <c r="E1982">
        <v>3</v>
      </c>
      <c r="H1982">
        <v>3</v>
      </c>
      <c r="I1982" t="s">
        <v>146</v>
      </c>
      <c r="J1982" t="s">
        <v>138</v>
      </c>
      <c r="K1982">
        <v>0</v>
      </c>
      <c r="L1982">
        <v>3</v>
      </c>
      <c r="M1982">
        <v>0</v>
      </c>
      <c r="N1982">
        <v>2</v>
      </c>
      <c r="O1982">
        <v>0</v>
      </c>
      <c r="P1982">
        <v>1</v>
      </c>
      <c r="Q1982">
        <v>0</v>
      </c>
      <c r="S1982" t="str">
        <f t="shared" ref="S1982:T1988" si="699">"19:30:44.000"</f>
        <v>19:30:44.000</v>
      </c>
      <c r="T1982" t="str">
        <f t="shared" si="699"/>
        <v>19:30:44.000</v>
      </c>
      <c r="U1982" t="str">
        <f t="shared" si="678"/>
        <v>AC3944</v>
      </c>
      <c r="V1982">
        <v>0</v>
      </c>
      <c r="W1982">
        <v>0</v>
      </c>
      <c r="X1982">
        <v>2</v>
      </c>
      <c r="Y1982">
        <v>0</v>
      </c>
      <c r="AA1982">
        <v>1</v>
      </c>
      <c r="AB1982">
        <v>8</v>
      </c>
      <c r="AC1982">
        <v>3</v>
      </c>
      <c r="AD1982">
        <v>0</v>
      </c>
      <c r="AE1982">
        <v>9</v>
      </c>
      <c r="AF1982" t="s">
        <v>138</v>
      </c>
      <c r="AG1982">
        <v>0</v>
      </c>
      <c r="AH1982">
        <v>3</v>
      </c>
      <c r="AI1982">
        <v>1</v>
      </c>
      <c r="AJ1982">
        <v>0</v>
      </c>
      <c r="AK1982" t="s">
        <v>702</v>
      </c>
      <c r="AL1982">
        <v>32.775993</v>
      </c>
      <c r="AM1982" t="s">
        <v>703</v>
      </c>
      <c r="AN1982">
        <v>-116.843204</v>
      </c>
      <c r="AO1982">
        <v>25</v>
      </c>
      <c r="AP1982">
        <v>2900</v>
      </c>
      <c r="AQ1982" t="s">
        <v>129</v>
      </c>
      <c r="AR1982">
        <v>122</v>
      </c>
      <c r="AS1982">
        <v>-35</v>
      </c>
      <c r="AT1982">
        <v>320</v>
      </c>
      <c r="BB1982">
        <v>1200</v>
      </c>
      <c r="BC1982">
        <v>1</v>
      </c>
      <c r="BD1982" t="str">
        <f t="shared" si="679"/>
        <v xml:space="preserve">N887QR  </v>
      </c>
      <c r="BE1982">
        <v>1</v>
      </c>
      <c r="BG1982">
        <v>0</v>
      </c>
      <c r="BH1982">
        <v>0</v>
      </c>
      <c r="BI1982">
        <v>0</v>
      </c>
      <c r="BJ1982">
        <v>2650</v>
      </c>
      <c r="BK1982">
        <v>-250</v>
      </c>
      <c r="BL1982" t="s">
        <v>163</v>
      </c>
      <c r="BM1982">
        <v>1</v>
      </c>
      <c r="BN1982">
        <v>1</v>
      </c>
      <c r="BO1982">
        <v>1</v>
      </c>
      <c r="BP1982">
        <v>0</v>
      </c>
      <c r="BS1982">
        <v>0</v>
      </c>
      <c r="BT1982">
        <v>0</v>
      </c>
      <c r="BU1982">
        <v>0</v>
      </c>
      <c r="CE1982" t="str">
        <f t="shared" ref="CE1982:CE1988" si="700">"19:30:44.497"</f>
        <v>19:30:44.497</v>
      </c>
      <c r="CF1982">
        <v>496949355</v>
      </c>
      <c r="CS1982">
        <v>0</v>
      </c>
      <c r="CT1982">
        <v>2</v>
      </c>
      <c r="CU1982">
        <v>0</v>
      </c>
      <c r="CV1982">
        <v>2</v>
      </c>
      <c r="CW1982">
        <v>0</v>
      </c>
      <c r="CX1982">
        <v>5</v>
      </c>
      <c r="CY1982">
        <v>7</v>
      </c>
      <c r="CZ1982" t="s">
        <v>131</v>
      </c>
      <c r="DA1982">
        <v>300</v>
      </c>
      <c r="DB1982">
        <v>0</v>
      </c>
      <c r="DC1982" t="s">
        <v>176</v>
      </c>
      <c r="DD1982" t="s">
        <v>177</v>
      </c>
      <c r="DG1982">
        <v>5399504</v>
      </c>
      <c r="DI1982">
        <v>1</v>
      </c>
      <c r="DJ1982">
        <v>0</v>
      </c>
      <c r="DK1982">
        <v>0</v>
      </c>
      <c r="DL1982">
        <v>0</v>
      </c>
      <c r="DM1982">
        <v>0</v>
      </c>
      <c r="DN1982">
        <v>1</v>
      </c>
      <c r="DO1982">
        <v>0</v>
      </c>
      <c r="DP1982">
        <v>0</v>
      </c>
      <c r="DQ1982">
        <v>0</v>
      </c>
      <c r="DR1982">
        <v>0</v>
      </c>
      <c r="DS1982">
        <v>0</v>
      </c>
    </row>
    <row r="1983" spans="1:123" x14ac:dyDescent="0.3">
      <c r="A1983" t="str">
        <f>"10/04/2022 19:30:44.775"</f>
        <v>10/04/2022 19:30:44.775</v>
      </c>
      <c r="C1983" t="str">
        <f t="shared" si="695"/>
        <v>FFDFD3C0</v>
      </c>
      <c r="D1983" t="s">
        <v>141</v>
      </c>
      <c r="E1983">
        <v>4</v>
      </c>
      <c r="H1983">
        <v>4</v>
      </c>
      <c r="I1983" t="s">
        <v>142</v>
      </c>
      <c r="J1983" t="s">
        <v>138</v>
      </c>
      <c r="K1983">
        <v>0</v>
      </c>
      <c r="L1983">
        <v>3</v>
      </c>
      <c r="M1983">
        <v>0</v>
      </c>
      <c r="N1983">
        <v>2</v>
      </c>
      <c r="O1983">
        <v>0</v>
      </c>
      <c r="P1983">
        <v>1</v>
      </c>
      <c r="Q1983">
        <v>0</v>
      </c>
      <c r="S1983" t="str">
        <f t="shared" si="699"/>
        <v>19:30:44.000</v>
      </c>
      <c r="T1983" t="str">
        <f t="shared" si="699"/>
        <v>19:30:44.000</v>
      </c>
      <c r="U1983" t="str">
        <f t="shared" si="678"/>
        <v>AC3944</v>
      </c>
      <c r="V1983">
        <v>0</v>
      </c>
      <c r="W1983">
        <v>0</v>
      </c>
      <c r="X1983">
        <v>2</v>
      </c>
      <c r="Y1983">
        <v>0</v>
      </c>
      <c r="AA1983">
        <v>1</v>
      </c>
      <c r="AB1983">
        <v>8</v>
      </c>
      <c r="AC1983">
        <v>3</v>
      </c>
      <c r="AD1983">
        <v>0</v>
      </c>
      <c r="AE1983">
        <v>9</v>
      </c>
      <c r="AF1983" t="s">
        <v>138</v>
      </c>
      <c r="AG1983">
        <v>0</v>
      </c>
      <c r="AH1983">
        <v>3</v>
      </c>
      <c r="AI1983">
        <v>1</v>
      </c>
      <c r="AJ1983">
        <v>0</v>
      </c>
      <c r="AK1983" t="s">
        <v>702</v>
      </c>
      <c r="AL1983">
        <v>32.775993</v>
      </c>
      <c r="AM1983" t="s">
        <v>703</v>
      </c>
      <c r="AN1983">
        <v>-116.843204</v>
      </c>
      <c r="AO1983">
        <v>25</v>
      </c>
      <c r="AP1983">
        <v>2900</v>
      </c>
      <c r="AQ1983" t="s">
        <v>129</v>
      </c>
      <c r="AR1983">
        <v>122</v>
      </c>
      <c r="AS1983">
        <v>-35</v>
      </c>
      <c r="AT1983">
        <v>320</v>
      </c>
      <c r="BB1983">
        <v>1200</v>
      </c>
      <c r="BC1983">
        <v>1</v>
      </c>
      <c r="BD1983" t="str">
        <f t="shared" si="679"/>
        <v xml:space="preserve">N887QR  </v>
      </c>
      <c r="BE1983">
        <v>1</v>
      </c>
      <c r="BG1983">
        <v>0</v>
      </c>
      <c r="BH1983">
        <v>0</v>
      </c>
      <c r="BI1983">
        <v>0</v>
      </c>
      <c r="BJ1983">
        <v>2650</v>
      </c>
      <c r="BK1983">
        <v>-250</v>
      </c>
      <c r="BL1983" t="s">
        <v>163</v>
      </c>
      <c r="BM1983">
        <v>1</v>
      </c>
      <c r="BN1983">
        <v>1</v>
      </c>
      <c r="BO1983">
        <v>1</v>
      </c>
      <c r="BP1983">
        <v>0</v>
      </c>
      <c r="BS1983">
        <v>0</v>
      </c>
      <c r="BT1983">
        <v>0</v>
      </c>
      <c r="BU1983">
        <v>0</v>
      </c>
      <c r="CE1983" t="str">
        <f t="shared" si="700"/>
        <v>19:30:44.497</v>
      </c>
      <c r="CF1983">
        <v>496949355</v>
      </c>
      <c r="CS1983">
        <v>0</v>
      </c>
      <c r="CT1983">
        <v>2</v>
      </c>
      <c r="CU1983">
        <v>0</v>
      </c>
      <c r="CV1983">
        <v>2</v>
      </c>
      <c r="CW1983">
        <v>0</v>
      </c>
      <c r="CX1983">
        <v>5</v>
      </c>
      <c r="CY1983">
        <v>7</v>
      </c>
      <c r="CZ1983" t="s">
        <v>131</v>
      </c>
      <c r="DA1983">
        <v>300</v>
      </c>
      <c r="DB1983">
        <v>0</v>
      </c>
      <c r="DC1983" t="s">
        <v>176</v>
      </c>
      <c r="DD1983" t="s">
        <v>177</v>
      </c>
      <c r="DG1983">
        <v>5399504</v>
      </c>
      <c r="DI1983">
        <v>1</v>
      </c>
      <c r="DJ1983">
        <v>0</v>
      </c>
      <c r="DK1983">
        <v>1</v>
      </c>
      <c r="DL1983">
        <v>0</v>
      </c>
      <c r="DM1983">
        <v>0</v>
      </c>
      <c r="DN1983">
        <v>1</v>
      </c>
      <c r="DO1983">
        <v>0</v>
      </c>
      <c r="DP1983">
        <v>0</v>
      </c>
      <c r="DQ1983">
        <v>0</v>
      </c>
      <c r="DR1983">
        <v>0</v>
      </c>
      <c r="DS1983">
        <v>0</v>
      </c>
    </row>
    <row r="1984" spans="1:123" x14ac:dyDescent="0.3">
      <c r="A1984" t="str">
        <f>"10/04/2022 19:30:44.822"</f>
        <v>10/04/2022 19:30:44.822</v>
      </c>
      <c r="C1984" t="str">
        <f t="shared" si="695"/>
        <v>FFDFD3C0</v>
      </c>
      <c r="D1984" t="s">
        <v>143</v>
      </c>
      <c r="E1984">
        <v>20</v>
      </c>
      <c r="F1984">
        <v>1020</v>
      </c>
      <c r="G1984" t="s">
        <v>144</v>
      </c>
      <c r="J1984" t="s">
        <v>145</v>
      </c>
      <c r="K1984">
        <v>0</v>
      </c>
      <c r="L1984">
        <v>3</v>
      </c>
      <c r="M1984">
        <v>0</v>
      </c>
      <c r="N1984">
        <v>2</v>
      </c>
      <c r="O1984">
        <v>0</v>
      </c>
      <c r="P1984">
        <v>1</v>
      </c>
      <c r="Q1984">
        <v>0</v>
      </c>
      <c r="S1984" t="str">
        <f t="shared" si="699"/>
        <v>19:30:44.000</v>
      </c>
      <c r="T1984" t="str">
        <f t="shared" si="699"/>
        <v>19:30:44.000</v>
      </c>
      <c r="U1984" t="str">
        <f t="shared" si="678"/>
        <v>AC3944</v>
      </c>
      <c r="V1984">
        <v>0</v>
      </c>
      <c r="W1984">
        <v>0</v>
      </c>
      <c r="X1984">
        <v>2</v>
      </c>
      <c r="Y1984">
        <v>0</v>
      </c>
      <c r="AA1984">
        <v>1</v>
      </c>
      <c r="AB1984">
        <v>8</v>
      </c>
      <c r="AC1984">
        <v>3</v>
      </c>
      <c r="AD1984">
        <v>0</v>
      </c>
      <c r="AE1984">
        <v>9</v>
      </c>
      <c r="AF1984" t="s">
        <v>138</v>
      </c>
      <c r="AG1984">
        <v>0</v>
      </c>
      <c r="AH1984">
        <v>3</v>
      </c>
      <c r="AI1984">
        <v>1</v>
      </c>
      <c r="AJ1984">
        <v>0</v>
      </c>
      <c r="AK1984" t="s">
        <v>702</v>
      </c>
      <c r="AL1984">
        <v>32.775993</v>
      </c>
      <c r="AM1984" t="s">
        <v>703</v>
      </c>
      <c r="AN1984">
        <v>-116.843204</v>
      </c>
      <c r="AO1984">
        <v>25</v>
      </c>
      <c r="AP1984">
        <v>2900</v>
      </c>
      <c r="AQ1984" t="s">
        <v>129</v>
      </c>
      <c r="AR1984">
        <v>122</v>
      </c>
      <c r="AS1984">
        <v>-35</v>
      </c>
      <c r="AT1984">
        <v>320</v>
      </c>
      <c r="BB1984">
        <v>1200</v>
      </c>
      <c r="BC1984">
        <v>1</v>
      </c>
      <c r="BD1984" t="str">
        <f t="shared" si="679"/>
        <v xml:space="preserve">N887QR  </v>
      </c>
      <c r="BE1984">
        <v>1</v>
      </c>
      <c r="BG1984">
        <v>0</v>
      </c>
      <c r="BH1984">
        <v>0</v>
      </c>
      <c r="BI1984">
        <v>0</v>
      </c>
      <c r="BJ1984">
        <v>2650</v>
      </c>
      <c r="BK1984">
        <v>-250</v>
      </c>
      <c r="BL1984" t="s">
        <v>163</v>
      </c>
      <c r="BM1984">
        <v>1</v>
      </c>
      <c r="BN1984">
        <v>1</v>
      </c>
      <c r="BO1984">
        <v>1</v>
      </c>
      <c r="BP1984">
        <v>0</v>
      </c>
      <c r="BS1984">
        <v>0</v>
      </c>
      <c r="BT1984">
        <v>0</v>
      </c>
      <c r="BU1984">
        <v>0</v>
      </c>
      <c r="CE1984" t="str">
        <f t="shared" si="700"/>
        <v>19:30:44.497</v>
      </c>
      <c r="CF1984">
        <v>496949355</v>
      </c>
      <c r="CS1984">
        <v>0</v>
      </c>
      <c r="CT1984">
        <v>2</v>
      </c>
      <c r="CU1984">
        <v>0</v>
      </c>
      <c r="CV1984">
        <v>2</v>
      </c>
      <c r="CW1984">
        <v>0</v>
      </c>
      <c r="CX1984">
        <v>5</v>
      </c>
      <c r="CY1984">
        <v>7</v>
      </c>
      <c r="CZ1984" t="s">
        <v>131</v>
      </c>
      <c r="DA1984">
        <v>300</v>
      </c>
      <c r="DB1984">
        <v>0</v>
      </c>
      <c r="DC1984" t="s">
        <v>176</v>
      </c>
      <c r="DD1984" t="s">
        <v>177</v>
      </c>
      <c r="DG1984">
        <v>5399504</v>
      </c>
      <c r="DI1984">
        <v>1</v>
      </c>
      <c r="DJ1984">
        <v>0</v>
      </c>
      <c r="DK1984">
        <v>1</v>
      </c>
      <c r="DL1984">
        <v>0</v>
      </c>
      <c r="DM1984">
        <v>0</v>
      </c>
      <c r="DN1984">
        <v>1</v>
      </c>
      <c r="DO1984">
        <v>0</v>
      </c>
      <c r="DP1984">
        <v>0</v>
      </c>
      <c r="DQ1984">
        <v>0</v>
      </c>
      <c r="DR1984">
        <v>0</v>
      </c>
      <c r="DS1984">
        <v>0</v>
      </c>
    </row>
    <row r="1985" spans="1:123" x14ac:dyDescent="0.3">
      <c r="A1985" t="str">
        <f>"10/04/2022 19:30:44.822"</f>
        <v>10/04/2022 19:30:44.822</v>
      </c>
      <c r="C1985" t="str">
        <f t="shared" si="695"/>
        <v>FFDFD3C0</v>
      </c>
      <c r="D1985" t="s">
        <v>134</v>
      </c>
      <c r="E1985">
        <v>15</v>
      </c>
      <c r="J1985" t="s">
        <v>135</v>
      </c>
      <c r="K1985">
        <v>0</v>
      </c>
      <c r="L1985">
        <v>3</v>
      </c>
      <c r="M1985">
        <v>0</v>
      </c>
      <c r="N1985">
        <v>2</v>
      </c>
      <c r="O1985">
        <v>0</v>
      </c>
      <c r="P1985">
        <v>1</v>
      </c>
      <c r="Q1985">
        <v>0</v>
      </c>
      <c r="S1985" t="str">
        <f t="shared" si="699"/>
        <v>19:30:44.000</v>
      </c>
      <c r="T1985" t="str">
        <f t="shared" si="699"/>
        <v>19:30:44.000</v>
      </c>
      <c r="U1985" t="str">
        <f t="shared" si="678"/>
        <v>AC3944</v>
      </c>
      <c r="V1985">
        <v>0</v>
      </c>
      <c r="W1985">
        <v>0</v>
      </c>
      <c r="X1985">
        <v>2</v>
      </c>
      <c r="Y1985">
        <v>0</v>
      </c>
      <c r="AA1985">
        <v>1</v>
      </c>
      <c r="AB1985">
        <v>8</v>
      </c>
      <c r="AC1985">
        <v>3</v>
      </c>
      <c r="AD1985">
        <v>0</v>
      </c>
      <c r="AE1985">
        <v>9</v>
      </c>
      <c r="AF1985" t="s">
        <v>138</v>
      </c>
      <c r="AG1985">
        <v>0</v>
      </c>
      <c r="AH1985">
        <v>3</v>
      </c>
      <c r="AI1985">
        <v>1</v>
      </c>
      <c r="AJ1985">
        <v>0</v>
      </c>
      <c r="AK1985" t="s">
        <v>702</v>
      </c>
      <c r="AL1985">
        <v>32.775993</v>
      </c>
      <c r="AM1985" t="s">
        <v>703</v>
      </c>
      <c r="AN1985">
        <v>-116.843204</v>
      </c>
      <c r="AO1985">
        <v>25</v>
      </c>
      <c r="AP1985">
        <v>2900</v>
      </c>
      <c r="AQ1985" t="s">
        <v>129</v>
      </c>
      <c r="AR1985">
        <v>122</v>
      </c>
      <c r="AS1985">
        <v>-35</v>
      </c>
      <c r="AT1985">
        <v>320</v>
      </c>
      <c r="BB1985">
        <v>1200</v>
      </c>
      <c r="BC1985">
        <v>1</v>
      </c>
      <c r="BD1985" t="str">
        <f t="shared" si="679"/>
        <v xml:space="preserve">N887QR  </v>
      </c>
      <c r="BE1985">
        <v>1</v>
      </c>
      <c r="BG1985">
        <v>0</v>
      </c>
      <c r="BH1985">
        <v>0</v>
      </c>
      <c r="BI1985">
        <v>0</v>
      </c>
      <c r="BJ1985">
        <v>2650</v>
      </c>
      <c r="BK1985">
        <v>-250</v>
      </c>
      <c r="BL1985" t="s">
        <v>163</v>
      </c>
      <c r="BM1985">
        <v>1</v>
      </c>
      <c r="BN1985">
        <v>1</v>
      </c>
      <c r="BO1985">
        <v>1</v>
      </c>
      <c r="BP1985">
        <v>0</v>
      </c>
      <c r="BS1985">
        <v>0</v>
      </c>
      <c r="BT1985">
        <v>0</v>
      </c>
      <c r="BU1985">
        <v>0</v>
      </c>
      <c r="CE1985" t="str">
        <f t="shared" si="700"/>
        <v>19:30:44.497</v>
      </c>
      <c r="CF1985">
        <v>496949355</v>
      </c>
      <c r="CS1985">
        <v>0</v>
      </c>
      <c r="CT1985">
        <v>2</v>
      </c>
      <c r="CU1985">
        <v>0</v>
      </c>
      <c r="CV1985">
        <v>2</v>
      </c>
      <c r="CW1985">
        <v>0</v>
      </c>
      <c r="CX1985">
        <v>5</v>
      </c>
      <c r="CY1985">
        <v>7</v>
      </c>
      <c r="CZ1985" t="s">
        <v>131</v>
      </c>
      <c r="DA1985">
        <v>300</v>
      </c>
      <c r="DB1985">
        <v>0</v>
      </c>
      <c r="DC1985" t="s">
        <v>176</v>
      </c>
      <c r="DD1985" t="s">
        <v>177</v>
      </c>
      <c r="DG1985">
        <v>5399504</v>
      </c>
      <c r="DI1985">
        <v>1</v>
      </c>
      <c r="DJ1985">
        <v>0</v>
      </c>
      <c r="DK1985">
        <v>1</v>
      </c>
      <c r="DL1985">
        <v>0</v>
      </c>
      <c r="DM1985">
        <v>0</v>
      </c>
      <c r="DN1985">
        <v>1</v>
      </c>
      <c r="DO1985">
        <v>0</v>
      </c>
      <c r="DP1985">
        <v>0</v>
      </c>
      <c r="DQ1985">
        <v>0</v>
      </c>
      <c r="DR1985">
        <v>0</v>
      </c>
      <c r="DS1985">
        <v>0</v>
      </c>
    </row>
    <row r="1986" spans="1:123" x14ac:dyDescent="0.3">
      <c r="A1986" t="str">
        <f>"10/04/2022 19:30:44.822"</f>
        <v>10/04/2022 19:30:44.822</v>
      </c>
      <c r="C1986" t="str">
        <f t="shared" si="695"/>
        <v>FFDFD3C0</v>
      </c>
      <c r="D1986" t="s">
        <v>123</v>
      </c>
      <c r="E1986">
        <v>7</v>
      </c>
      <c r="F1986">
        <v>2007</v>
      </c>
      <c r="G1986" t="s">
        <v>124</v>
      </c>
      <c r="J1986" t="s">
        <v>125</v>
      </c>
      <c r="K1986">
        <v>0</v>
      </c>
      <c r="L1986">
        <v>3</v>
      </c>
      <c r="M1986">
        <v>0</v>
      </c>
      <c r="N1986">
        <v>2</v>
      </c>
      <c r="O1986">
        <v>0</v>
      </c>
      <c r="P1986">
        <v>1</v>
      </c>
      <c r="Q1986">
        <v>0</v>
      </c>
      <c r="S1986" t="str">
        <f t="shared" si="699"/>
        <v>19:30:44.000</v>
      </c>
      <c r="T1986" t="str">
        <f t="shared" si="699"/>
        <v>19:30:44.000</v>
      </c>
      <c r="U1986" t="str">
        <f t="shared" ref="U1986:U2049" si="701">"AC3944"</f>
        <v>AC3944</v>
      </c>
      <c r="V1986">
        <v>0</v>
      </c>
      <c r="W1986">
        <v>0</v>
      </c>
      <c r="X1986">
        <v>2</v>
      </c>
      <c r="Y1986">
        <v>0</v>
      </c>
      <c r="AA1986">
        <v>1</v>
      </c>
      <c r="AB1986">
        <v>8</v>
      </c>
      <c r="AC1986">
        <v>3</v>
      </c>
      <c r="AD1986">
        <v>0</v>
      </c>
      <c r="AE1986">
        <v>9</v>
      </c>
      <c r="AF1986" t="s">
        <v>138</v>
      </c>
      <c r="AG1986">
        <v>0</v>
      </c>
      <c r="AH1986">
        <v>3</v>
      </c>
      <c r="AI1986">
        <v>1</v>
      </c>
      <c r="AJ1986">
        <v>0</v>
      </c>
      <c r="AK1986" t="s">
        <v>702</v>
      </c>
      <c r="AL1986">
        <v>32.775993</v>
      </c>
      <c r="AM1986" t="s">
        <v>703</v>
      </c>
      <c r="AN1986">
        <v>-116.843204</v>
      </c>
      <c r="AO1986">
        <v>25</v>
      </c>
      <c r="AP1986">
        <v>2900</v>
      </c>
      <c r="AQ1986" t="s">
        <v>129</v>
      </c>
      <c r="AR1986">
        <v>122</v>
      </c>
      <c r="AS1986">
        <v>-35</v>
      </c>
      <c r="AT1986">
        <v>320</v>
      </c>
      <c r="BB1986">
        <v>1200</v>
      </c>
      <c r="BC1986">
        <v>1</v>
      </c>
      <c r="BD1986" t="str">
        <f t="shared" ref="BD1986:BD2049" si="702">"N887QR  "</f>
        <v xml:space="preserve">N887QR  </v>
      </c>
      <c r="BE1986">
        <v>1</v>
      </c>
      <c r="BG1986">
        <v>0</v>
      </c>
      <c r="BH1986">
        <v>0</v>
      </c>
      <c r="BI1986">
        <v>0</v>
      </c>
      <c r="BJ1986">
        <v>2650</v>
      </c>
      <c r="BK1986">
        <v>-250</v>
      </c>
      <c r="BL1986" t="s">
        <v>163</v>
      </c>
      <c r="BM1986">
        <v>1</v>
      </c>
      <c r="BN1986">
        <v>1</v>
      </c>
      <c r="BO1986">
        <v>1</v>
      </c>
      <c r="BP1986">
        <v>0</v>
      </c>
      <c r="BS1986">
        <v>0</v>
      </c>
      <c r="BT1986">
        <v>0</v>
      </c>
      <c r="BU1986">
        <v>0</v>
      </c>
      <c r="CE1986" t="str">
        <f t="shared" si="700"/>
        <v>19:30:44.497</v>
      </c>
      <c r="CF1986">
        <v>496949355</v>
      </c>
      <c r="CS1986">
        <v>0</v>
      </c>
      <c r="CT1986">
        <v>2</v>
      </c>
      <c r="CU1986">
        <v>0</v>
      </c>
      <c r="CV1986">
        <v>2</v>
      </c>
      <c r="CW1986">
        <v>0</v>
      </c>
      <c r="CX1986">
        <v>5</v>
      </c>
      <c r="CY1986">
        <v>7</v>
      </c>
      <c r="CZ1986" t="s">
        <v>131</v>
      </c>
      <c r="DA1986">
        <v>300</v>
      </c>
      <c r="DB1986">
        <v>0</v>
      </c>
      <c r="DC1986" t="s">
        <v>176</v>
      </c>
      <c r="DD1986" t="s">
        <v>177</v>
      </c>
      <c r="DG1986">
        <v>5399504</v>
      </c>
      <c r="DI1986">
        <v>1</v>
      </c>
      <c r="DJ1986">
        <v>0</v>
      </c>
      <c r="DK1986">
        <v>1</v>
      </c>
      <c r="DL1986">
        <v>0</v>
      </c>
      <c r="DM1986">
        <v>0</v>
      </c>
      <c r="DN1986">
        <v>1</v>
      </c>
      <c r="DO1986">
        <v>0</v>
      </c>
      <c r="DP1986">
        <v>0</v>
      </c>
      <c r="DQ1986">
        <v>0</v>
      </c>
      <c r="DR1986">
        <v>0</v>
      </c>
      <c r="DS1986">
        <v>0</v>
      </c>
    </row>
    <row r="1987" spans="1:123" x14ac:dyDescent="0.3">
      <c r="A1987" t="str">
        <f>"10/04/2022 19:30:44.822"</f>
        <v>10/04/2022 19:30:44.822</v>
      </c>
      <c r="C1987" t="str">
        <f t="shared" si="695"/>
        <v>FFDFD3C0</v>
      </c>
      <c r="D1987" t="s">
        <v>136</v>
      </c>
      <c r="E1987">
        <v>8</v>
      </c>
      <c r="H1987">
        <v>225</v>
      </c>
      <c r="I1987" t="s">
        <v>137</v>
      </c>
      <c r="J1987" t="s">
        <v>138</v>
      </c>
      <c r="K1987">
        <v>0</v>
      </c>
      <c r="L1987">
        <v>3</v>
      </c>
      <c r="M1987">
        <v>0</v>
      </c>
      <c r="N1987">
        <v>2</v>
      </c>
      <c r="O1987">
        <v>0</v>
      </c>
      <c r="P1987">
        <v>1</v>
      </c>
      <c r="Q1987">
        <v>0</v>
      </c>
      <c r="S1987" t="str">
        <f t="shared" si="699"/>
        <v>19:30:44.000</v>
      </c>
      <c r="T1987" t="str">
        <f t="shared" si="699"/>
        <v>19:30:44.000</v>
      </c>
      <c r="U1987" t="str">
        <f t="shared" si="701"/>
        <v>AC3944</v>
      </c>
      <c r="V1987">
        <v>0</v>
      </c>
      <c r="W1987">
        <v>0</v>
      </c>
      <c r="X1987">
        <v>2</v>
      </c>
      <c r="Y1987">
        <v>0</v>
      </c>
      <c r="AA1987">
        <v>1</v>
      </c>
      <c r="AB1987">
        <v>8</v>
      </c>
      <c r="AC1987">
        <v>3</v>
      </c>
      <c r="AD1987">
        <v>0</v>
      </c>
      <c r="AE1987">
        <v>9</v>
      </c>
      <c r="AF1987" t="s">
        <v>138</v>
      </c>
      <c r="AG1987">
        <v>0</v>
      </c>
      <c r="AH1987">
        <v>3</v>
      </c>
      <c r="AI1987">
        <v>1</v>
      </c>
      <c r="AJ1987">
        <v>0</v>
      </c>
      <c r="AK1987" t="s">
        <v>702</v>
      </c>
      <c r="AL1987">
        <v>32.775993</v>
      </c>
      <c r="AM1987" t="s">
        <v>703</v>
      </c>
      <c r="AN1987">
        <v>-116.843204</v>
      </c>
      <c r="AO1987">
        <v>25</v>
      </c>
      <c r="AP1987">
        <v>2900</v>
      </c>
      <c r="AQ1987" t="s">
        <v>129</v>
      </c>
      <c r="AR1987">
        <v>122</v>
      </c>
      <c r="AS1987">
        <v>-35</v>
      </c>
      <c r="AT1987">
        <v>320</v>
      </c>
      <c r="BB1987">
        <v>1200</v>
      </c>
      <c r="BC1987">
        <v>1</v>
      </c>
      <c r="BD1987" t="str">
        <f t="shared" si="702"/>
        <v xml:space="preserve">N887QR  </v>
      </c>
      <c r="BE1987">
        <v>1</v>
      </c>
      <c r="BG1987">
        <v>0</v>
      </c>
      <c r="BH1987">
        <v>0</v>
      </c>
      <c r="BI1987">
        <v>0</v>
      </c>
      <c r="BJ1987">
        <v>2650</v>
      </c>
      <c r="BK1987">
        <v>-250</v>
      </c>
      <c r="BL1987" t="s">
        <v>163</v>
      </c>
      <c r="BM1987">
        <v>1</v>
      </c>
      <c r="BN1987">
        <v>1</v>
      </c>
      <c r="BO1987">
        <v>1</v>
      </c>
      <c r="BP1987">
        <v>0</v>
      </c>
      <c r="BS1987">
        <v>0</v>
      </c>
      <c r="BT1987">
        <v>0</v>
      </c>
      <c r="BU1987">
        <v>0</v>
      </c>
      <c r="CE1987" t="str">
        <f t="shared" si="700"/>
        <v>19:30:44.497</v>
      </c>
      <c r="CF1987">
        <v>496949355</v>
      </c>
      <c r="CS1987">
        <v>0</v>
      </c>
      <c r="CT1987">
        <v>2</v>
      </c>
      <c r="CU1987">
        <v>0</v>
      </c>
      <c r="CV1987">
        <v>2</v>
      </c>
      <c r="CW1987">
        <v>0</v>
      </c>
      <c r="CX1987">
        <v>5</v>
      </c>
      <c r="CY1987">
        <v>7</v>
      </c>
      <c r="CZ1987" t="s">
        <v>131</v>
      </c>
      <c r="DA1987">
        <v>300</v>
      </c>
      <c r="DB1987">
        <v>0</v>
      </c>
      <c r="DC1987" t="s">
        <v>176</v>
      </c>
      <c r="DD1987" t="s">
        <v>177</v>
      </c>
      <c r="DG1987">
        <v>5399504</v>
      </c>
      <c r="DI1987">
        <v>1</v>
      </c>
      <c r="DJ1987">
        <v>0</v>
      </c>
      <c r="DK1987">
        <v>1</v>
      </c>
      <c r="DL1987">
        <v>0</v>
      </c>
      <c r="DM1987">
        <v>0</v>
      </c>
      <c r="DN1987">
        <v>1</v>
      </c>
      <c r="DO1987">
        <v>0</v>
      </c>
      <c r="DP1987">
        <v>0</v>
      </c>
      <c r="DQ1987">
        <v>0</v>
      </c>
      <c r="DR1987">
        <v>0</v>
      </c>
      <c r="DS1987">
        <v>0</v>
      </c>
    </row>
    <row r="1988" spans="1:123" x14ac:dyDescent="0.3">
      <c r="A1988" t="str">
        <f>"10/04/2022 19:30:44.822"</f>
        <v>10/04/2022 19:30:44.822</v>
      </c>
      <c r="C1988" t="str">
        <f t="shared" si="695"/>
        <v>FFDFD3C0</v>
      </c>
      <c r="D1988" t="s">
        <v>147</v>
      </c>
      <c r="E1988">
        <v>3</v>
      </c>
      <c r="H1988">
        <v>166</v>
      </c>
      <c r="I1988" t="s">
        <v>144</v>
      </c>
      <c r="J1988" t="s">
        <v>148</v>
      </c>
      <c r="K1988">
        <v>0</v>
      </c>
      <c r="L1988">
        <v>3</v>
      </c>
      <c r="M1988">
        <v>0</v>
      </c>
      <c r="N1988">
        <v>2</v>
      </c>
      <c r="O1988">
        <v>0</v>
      </c>
      <c r="P1988">
        <v>1</v>
      </c>
      <c r="Q1988">
        <v>0</v>
      </c>
      <c r="S1988" t="str">
        <f t="shared" si="699"/>
        <v>19:30:44.000</v>
      </c>
      <c r="T1988" t="str">
        <f t="shared" si="699"/>
        <v>19:30:44.000</v>
      </c>
      <c r="U1988" t="str">
        <f t="shared" si="701"/>
        <v>AC3944</v>
      </c>
      <c r="V1988">
        <v>0</v>
      </c>
      <c r="W1988">
        <v>0</v>
      </c>
      <c r="X1988">
        <v>2</v>
      </c>
      <c r="Y1988">
        <v>0</v>
      </c>
      <c r="AA1988">
        <v>1</v>
      </c>
      <c r="AB1988">
        <v>8</v>
      </c>
      <c r="AC1988">
        <v>3</v>
      </c>
      <c r="AD1988">
        <v>0</v>
      </c>
      <c r="AE1988">
        <v>9</v>
      </c>
      <c r="AF1988" t="s">
        <v>138</v>
      </c>
      <c r="AG1988">
        <v>0</v>
      </c>
      <c r="AH1988">
        <v>3</v>
      </c>
      <c r="AI1988">
        <v>1</v>
      </c>
      <c r="AJ1988">
        <v>0</v>
      </c>
      <c r="AK1988" t="s">
        <v>702</v>
      </c>
      <c r="AL1988">
        <v>32.775993</v>
      </c>
      <c r="AM1988" t="s">
        <v>703</v>
      </c>
      <c r="AN1988">
        <v>-116.843204</v>
      </c>
      <c r="AO1988">
        <v>25</v>
      </c>
      <c r="AP1988">
        <v>2900</v>
      </c>
      <c r="AQ1988" t="s">
        <v>129</v>
      </c>
      <c r="AR1988">
        <v>122</v>
      </c>
      <c r="AS1988">
        <v>-35</v>
      </c>
      <c r="AT1988">
        <v>320</v>
      </c>
      <c r="BB1988">
        <v>1200</v>
      </c>
      <c r="BC1988">
        <v>1</v>
      </c>
      <c r="BD1988" t="str">
        <f t="shared" si="702"/>
        <v xml:space="preserve">N887QR  </v>
      </c>
      <c r="BE1988">
        <v>1</v>
      </c>
      <c r="BG1988">
        <v>0</v>
      </c>
      <c r="BH1988">
        <v>0</v>
      </c>
      <c r="BI1988">
        <v>0</v>
      </c>
      <c r="BJ1988">
        <v>2650</v>
      </c>
      <c r="BK1988">
        <v>-250</v>
      </c>
      <c r="BL1988" t="s">
        <v>163</v>
      </c>
      <c r="BM1988">
        <v>1</v>
      </c>
      <c r="BN1988">
        <v>1</v>
      </c>
      <c r="BO1988">
        <v>1</v>
      </c>
      <c r="BP1988">
        <v>0</v>
      </c>
      <c r="BS1988">
        <v>0</v>
      </c>
      <c r="BT1988">
        <v>0</v>
      </c>
      <c r="BU1988">
        <v>0</v>
      </c>
      <c r="CE1988" t="str">
        <f t="shared" si="700"/>
        <v>19:30:44.497</v>
      </c>
      <c r="CF1988">
        <v>496949355</v>
      </c>
      <c r="CS1988">
        <v>0</v>
      </c>
      <c r="CT1988">
        <v>2</v>
      </c>
      <c r="CU1988">
        <v>0</v>
      </c>
      <c r="CV1988">
        <v>2</v>
      </c>
      <c r="CW1988">
        <v>0</v>
      </c>
      <c r="CX1988">
        <v>5</v>
      </c>
      <c r="CY1988">
        <v>7</v>
      </c>
      <c r="CZ1988" t="s">
        <v>131</v>
      </c>
      <c r="DA1988">
        <v>300</v>
      </c>
      <c r="DB1988">
        <v>0</v>
      </c>
      <c r="DC1988" t="s">
        <v>176</v>
      </c>
      <c r="DD1988" t="s">
        <v>177</v>
      </c>
      <c r="DG1988">
        <v>5399504</v>
      </c>
      <c r="DI1988">
        <v>1</v>
      </c>
      <c r="DJ1988">
        <v>0</v>
      </c>
      <c r="DK1988">
        <v>1</v>
      </c>
      <c r="DL1988">
        <v>0</v>
      </c>
      <c r="DM1988">
        <v>0</v>
      </c>
      <c r="DN1988">
        <v>1</v>
      </c>
      <c r="DO1988">
        <v>0</v>
      </c>
      <c r="DP1988">
        <v>0</v>
      </c>
      <c r="DQ1988">
        <v>0</v>
      </c>
      <c r="DR1988">
        <v>0</v>
      </c>
      <c r="DS1988">
        <v>0</v>
      </c>
    </row>
    <row r="1989" spans="1:123" x14ac:dyDescent="0.3">
      <c r="A1989" t="str">
        <f>"10/04/2022 19:30:45.213"</f>
        <v>10/04/2022 19:30:45.213</v>
      </c>
      <c r="C1989" t="str">
        <f t="shared" ref="C1989:C2009" si="703">"FFDDD3C0"</f>
        <v>FFDDD3C0</v>
      </c>
      <c r="D1989" t="s">
        <v>136</v>
      </c>
      <c r="E1989">
        <v>8</v>
      </c>
      <c r="H1989">
        <v>225</v>
      </c>
      <c r="I1989" t="s">
        <v>137</v>
      </c>
      <c r="J1989" t="s">
        <v>138</v>
      </c>
      <c r="K1989">
        <v>0</v>
      </c>
      <c r="L1989">
        <v>3</v>
      </c>
      <c r="M1989">
        <v>0</v>
      </c>
      <c r="N1989">
        <v>2</v>
      </c>
      <c r="O1989">
        <v>0</v>
      </c>
      <c r="P1989">
        <v>1</v>
      </c>
      <c r="Q1989">
        <v>0</v>
      </c>
      <c r="S1989" t="str">
        <f t="shared" ref="S1989:T2002" si="704">"19:30:45.000"</f>
        <v>19:30:45.000</v>
      </c>
      <c r="T1989" t="str">
        <f t="shared" si="704"/>
        <v>19:30:45.000</v>
      </c>
      <c r="U1989" t="str">
        <f t="shared" si="701"/>
        <v>AC3944</v>
      </c>
      <c r="V1989">
        <v>0</v>
      </c>
      <c r="W1989">
        <v>0</v>
      </c>
      <c r="X1989">
        <v>2</v>
      </c>
      <c r="Y1989">
        <v>0</v>
      </c>
      <c r="AA1989">
        <v>1</v>
      </c>
      <c r="AB1989">
        <v>8</v>
      </c>
      <c r="AC1989">
        <v>3</v>
      </c>
      <c r="AD1989">
        <v>0</v>
      </c>
      <c r="AE1989">
        <v>9</v>
      </c>
      <c r="AF1989" t="s">
        <v>138</v>
      </c>
      <c r="AG1989">
        <v>0</v>
      </c>
      <c r="AH1989">
        <v>3</v>
      </c>
      <c r="AI1989">
        <v>1</v>
      </c>
      <c r="AJ1989">
        <v>0</v>
      </c>
      <c r="AK1989" t="s">
        <v>704</v>
      </c>
      <c r="AL1989">
        <v>32.775799999999997</v>
      </c>
      <c r="AM1989" t="s">
        <v>705</v>
      </c>
      <c r="AN1989">
        <v>-116.842389</v>
      </c>
      <c r="AO1989">
        <v>25</v>
      </c>
      <c r="AP1989">
        <v>2900</v>
      </c>
      <c r="AQ1989" t="s">
        <v>129</v>
      </c>
      <c r="AR1989">
        <v>122</v>
      </c>
      <c r="AS1989">
        <v>-35</v>
      </c>
      <c r="AT1989">
        <v>320</v>
      </c>
      <c r="BB1989">
        <v>1200</v>
      </c>
      <c r="BC1989">
        <v>1</v>
      </c>
      <c r="BD1989" t="str">
        <f t="shared" si="702"/>
        <v xml:space="preserve">N887QR  </v>
      </c>
      <c r="BE1989">
        <v>1</v>
      </c>
      <c r="BJ1989">
        <v>2675</v>
      </c>
      <c r="BK1989">
        <v>-225</v>
      </c>
      <c r="BL1989" t="s">
        <v>163</v>
      </c>
      <c r="BM1989">
        <v>1</v>
      </c>
      <c r="BN1989">
        <v>1</v>
      </c>
      <c r="BO1989">
        <v>1</v>
      </c>
      <c r="BP1989">
        <v>0</v>
      </c>
      <c r="BS1989">
        <v>0</v>
      </c>
      <c r="BT1989">
        <v>0</v>
      </c>
      <c r="BU1989">
        <v>0</v>
      </c>
      <c r="CE1989" t="str">
        <f t="shared" ref="CE1989:CE1995" si="705">"19:30:45.035"</f>
        <v>19:30:45.035</v>
      </c>
      <c r="CF1989">
        <v>34701131</v>
      </c>
      <c r="CS1989">
        <v>0</v>
      </c>
      <c r="CT1989">
        <v>2</v>
      </c>
      <c r="CU1989">
        <v>0</v>
      </c>
      <c r="CV1989">
        <v>2</v>
      </c>
      <c r="CW1989">
        <v>0</v>
      </c>
      <c r="CX1989">
        <v>5</v>
      </c>
      <c r="CY1989">
        <v>7</v>
      </c>
      <c r="CZ1989" t="s">
        <v>131</v>
      </c>
      <c r="DA1989">
        <v>300</v>
      </c>
      <c r="DB1989">
        <v>0</v>
      </c>
      <c r="DC1989" t="s">
        <v>176</v>
      </c>
      <c r="DD1989" t="s">
        <v>177</v>
      </c>
      <c r="DG1989">
        <v>5399599</v>
      </c>
      <c r="DI1989">
        <v>1</v>
      </c>
      <c r="DJ1989">
        <v>0</v>
      </c>
      <c r="DK1989">
        <v>0</v>
      </c>
      <c r="DL1989">
        <v>0</v>
      </c>
      <c r="DM1989">
        <v>0</v>
      </c>
      <c r="DN1989">
        <v>1</v>
      </c>
      <c r="DO1989">
        <v>0</v>
      </c>
      <c r="DP1989">
        <v>0</v>
      </c>
      <c r="DQ1989">
        <v>0</v>
      </c>
      <c r="DR1989">
        <v>0</v>
      </c>
      <c r="DS1989">
        <v>0</v>
      </c>
    </row>
    <row r="1990" spans="1:123" x14ac:dyDescent="0.3">
      <c r="A1990" t="str">
        <f>"10/04/2022 19:30:45.276"</f>
        <v>10/04/2022 19:30:45.276</v>
      </c>
      <c r="C1990" t="str">
        <f t="shared" si="703"/>
        <v>FFDDD3C0</v>
      </c>
      <c r="D1990" t="s">
        <v>147</v>
      </c>
      <c r="E1990">
        <v>3</v>
      </c>
      <c r="H1990">
        <v>166</v>
      </c>
      <c r="I1990" t="s">
        <v>144</v>
      </c>
      <c r="J1990" t="s">
        <v>148</v>
      </c>
      <c r="K1990">
        <v>0</v>
      </c>
      <c r="L1990">
        <v>3</v>
      </c>
      <c r="M1990">
        <v>0</v>
      </c>
      <c r="N1990">
        <v>2</v>
      </c>
      <c r="O1990">
        <v>0</v>
      </c>
      <c r="P1990">
        <v>1</v>
      </c>
      <c r="Q1990">
        <v>0</v>
      </c>
      <c r="S1990" t="str">
        <f t="shared" si="704"/>
        <v>19:30:45.000</v>
      </c>
      <c r="T1990" t="str">
        <f t="shared" si="704"/>
        <v>19:30:45.000</v>
      </c>
      <c r="U1990" t="str">
        <f t="shared" si="701"/>
        <v>AC3944</v>
      </c>
      <c r="V1990">
        <v>0</v>
      </c>
      <c r="W1990">
        <v>0</v>
      </c>
      <c r="X1990">
        <v>2</v>
      </c>
      <c r="Y1990">
        <v>0</v>
      </c>
      <c r="AA1990">
        <v>1</v>
      </c>
      <c r="AB1990">
        <v>8</v>
      </c>
      <c r="AC1990">
        <v>3</v>
      </c>
      <c r="AD1990">
        <v>0</v>
      </c>
      <c r="AE1990">
        <v>9</v>
      </c>
      <c r="AF1990" t="s">
        <v>138</v>
      </c>
      <c r="AG1990">
        <v>0</v>
      </c>
      <c r="AH1990">
        <v>3</v>
      </c>
      <c r="AI1990">
        <v>1</v>
      </c>
      <c r="AJ1990">
        <v>0</v>
      </c>
      <c r="AK1990" t="s">
        <v>704</v>
      </c>
      <c r="AL1990">
        <v>32.775799999999997</v>
      </c>
      <c r="AM1990" t="s">
        <v>705</v>
      </c>
      <c r="AN1990">
        <v>-116.842389</v>
      </c>
      <c r="AO1990">
        <v>25</v>
      </c>
      <c r="AP1990">
        <v>2900</v>
      </c>
      <c r="AQ1990" t="s">
        <v>129</v>
      </c>
      <c r="AR1990">
        <v>122</v>
      </c>
      <c r="AS1990">
        <v>-35</v>
      </c>
      <c r="AT1990">
        <v>320</v>
      </c>
      <c r="BB1990">
        <v>1200</v>
      </c>
      <c r="BC1990">
        <v>1</v>
      </c>
      <c r="BD1990" t="str">
        <f t="shared" si="702"/>
        <v xml:space="preserve">N887QR  </v>
      </c>
      <c r="BE1990">
        <v>1</v>
      </c>
      <c r="BJ1990">
        <v>2675</v>
      </c>
      <c r="BK1990">
        <v>-225</v>
      </c>
      <c r="BL1990" t="s">
        <v>163</v>
      </c>
      <c r="BM1990">
        <v>1</v>
      </c>
      <c r="BN1990">
        <v>1</v>
      </c>
      <c r="BO1990">
        <v>1</v>
      </c>
      <c r="BP1990">
        <v>0</v>
      </c>
      <c r="BS1990">
        <v>0</v>
      </c>
      <c r="BT1990">
        <v>0</v>
      </c>
      <c r="BU1990">
        <v>0</v>
      </c>
      <c r="CE1990" t="str">
        <f t="shared" si="705"/>
        <v>19:30:45.035</v>
      </c>
      <c r="CF1990">
        <v>34701131</v>
      </c>
      <c r="CS1990">
        <v>0</v>
      </c>
      <c r="CT1990">
        <v>2</v>
      </c>
      <c r="CU1990">
        <v>0</v>
      </c>
      <c r="CV1990">
        <v>2</v>
      </c>
      <c r="CW1990">
        <v>0</v>
      </c>
      <c r="CX1990">
        <v>5</v>
      </c>
      <c r="CY1990">
        <v>7</v>
      </c>
      <c r="CZ1990" t="s">
        <v>131</v>
      </c>
      <c r="DA1990">
        <v>300</v>
      </c>
      <c r="DB1990">
        <v>0</v>
      </c>
      <c r="DC1990" t="s">
        <v>176</v>
      </c>
      <c r="DD1990" t="s">
        <v>177</v>
      </c>
      <c r="DG1990">
        <v>5399599</v>
      </c>
      <c r="DI1990">
        <v>1</v>
      </c>
      <c r="DJ1990">
        <v>0</v>
      </c>
      <c r="DK1990">
        <v>1</v>
      </c>
      <c r="DL1990">
        <v>0</v>
      </c>
      <c r="DM1990">
        <v>0</v>
      </c>
      <c r="DN1990">
        <v>1</v>
      </c>
      <c r="DO1990">
        <v>0</v>
      </c>
      <c r="DP1990">
        <v>0</v>
      </c>
      <c r="DQ1990">
        <v>0</v>
      </c>
      <c r="DR1990">
        <v>0</v>
      </c>
      <c r="DS1990">
        <v>0</v>
      </c>
    </row>
    <row r="1991" spans="1:123" x14ac:dyDescent="0.3">
      <c r="A1991" t="str">
        <f>"10/04/2022 19:30:45.307"</f>
        <v>10/04/2022 19:30:45.307</v>
      </c>
      <c r="C1991" t="str">
        <f t="shared" si="703"/>
        <v>FFDDD3C0</v>
      </c>
      <c r="D1991" t="s">
        <v>141</v>
      </c>
      <c r="E1991">
        <v>3</v>
      </c>
      <c r="H1991">
        <v>3</v>
      </c>
      <c r="I1991" t="s">
        <v>146</v>
      </c>
      <c r="J1991" t="s">
        <v>138</v>
      </c>
      <c r="K1991">
        <v>0</v>
      </c>
      <c r="L1991">
        <v>3</v>
      </c>
      <c r="M1991">
        <v>0</v>
      </c>
      <c r="N1991">
        <v>2</v>
      </c>
      <c r="O1991">
        <v>0</v>
      </c>
      <c r="P1991">
        <v>1</v>
      </c>
      <c r="Q1991">
        <v>0</v>
      </c>
      <c r="S1991" t="str">
        <f t="shared" si="704"/>
        <v>19:30:45.000</v>
      </c>
      <c r="T1991" t="str">
        <f t="shared" si="704"/>
        <v>19:30:45.000</v>
      </c>
      <c r="U1991" t="str">
        <f t="shared" si="701"/>
        <v>AC3944</v>
      </c>
      <c r="V1991">
        <v>0</v>
      </c>
      <c r="W1991">
        <v>0</v>
      </c>
      <c r="X1991">
        <v>2</v>
      </c>
      <c r="Y1991">
        <v>0</v>
      </c>
      <c r="AA1991">
        <v>1</v>
      </c>
      <c r="AB1991">
        <v>8</v>
      </c>
      <c r="AC1991">
        <v>3</v>
      </c>
      <c r="AD1991">
        <v>0</v>
      </c>
      <c r="AE1991">
        <v>9</v>
      </c>
      <c r="AF1991" t="s">
        <v>138</v>
      </c>
      <c r="AG1991">
        <v>0</v>
      </c>
      <c r="AH1991">
        <v>3</v>
      </c>
      <c r="AI1991">
        <v>1</v>
      </c>
      <c r="AJ1991">
        <v>0</v>
      </c>
      <c r="AK1991" t="s">
        <v>704</v>
      </c>
      <c r="AL1991">
        <v>32.775799999999997</v>
      </c>
      <c r="AM1991" t="s">
        <v>705</v>
      </c>
      <c r="AN1991">
        <v>-116.842389</v>
      </c>
      <c r="AO1991">
        <v>25</v>
      </c>
      <c r="AP1991">
        <v>2900</v>
      </c>
      <c r="AQ1991" t="s">
        <v>129</v>
      </c>
      <c r="AR1991">
        <v>122</v>
      </c>
      <c r="AS1991">
        <v>-35</v>
      </c>
      <c r="AT1991">
        <v>320</v>
      </c>
      <c r="BB1991">
        <v>1200</v>
      </c>
      <c r="BC1991">
        <v>1</v>
      </c>
      <c r="BD1991" t="str">
        <f t="shared" si="702"/>
        <v xml:space="preserve">N887QR  </v>
      </c>
      <c r="BE1991">
        <v>1</v>
      </c>
      <c r="BJ1991">
        <v>2675</v>
      </c>
      <c r="BK1991">
        <v>-225</v>
      </c>
      <c r="BL1991" t="s">
        <v>163</v>
      </c>
      <c r="BM1991">
        <v>1</v>
      </c>
      <c r="BN1991">
        <v>1</v>
      </c>
      <c r="BO1991">
        <v>1</v>
      </c>
      <c r="BP1991">
        <v>0</v>
      </c>
      <c r="BS1991">
        <v>0</v>
      </c>
      <c r="BT1991">
        <v>0</v>
      </c>
      <c r="BU1991">
        <v>0</v>
      </c>
      <c r="CE1991" t="str">
        <f t="shared" si="705"/>
        <v>19:30:45.035</v>
      </c>
      <c r="CF1991">
        <v>34701131</v>
      </c>
      <c r="CS1991">
        <v>0</v>
      </c>
      <c r="CT1991">
        <v>2</v>
      </c>
      <c r="CU1991">
        <v>0</v>
      </c>
      <c r="CV1991">
        <v>2</v>
      </c>
      <c r="CW1991">
        <v>0</v>
      </c>
      <c r="CX1991">
        <v>5</v>
      </c>
      <c r="CY1991">
        <v>7</v>
      </c>
      <c r="CZ1991" t="s">
        <v>131</v>
      </c>
      <c r="DA1991">
        <v>300</v>
      </c>
      <c r="DB1991">
        <v>0</v>
      </c>
      <c r="DC1991" t="s">
        <v>176</v>
      </c>
      <c r="DD1991" t="s">
        <v>177</v>
      </c>
      <c r="DG1991">
        <v>5399599</v>
      </c>
      <c r="DI1991">
        <v>1</v>
      </c>
      <c r="DJ1991">
        <v>0</v>
      </c>
      <c r="DK1991">
        <v>0</v>
      </c>
      <c r="DL1991">
        <v>0</v>
      </c>
      <c r="DM1991">
        <v>0</v>
      </c>
      <c r="DN1991">
        <v>1</v>
      </c>
      <c r="DO1991">
        <v>0</v>
      </c>
      <c r="DP1991">
        <v>0</v>
      </c>
      <c r="DQ1991">
        <v>0</v>
      </c>
      <c r="DR1991">
        <v>0</v>
      </c>
      <c r="DS1991">
        <v>0</v>
      </c>
    </row>
    <row r="1992" spans="1:123" x14ac:dyDescent="0.3">
      <c r="A1992" t="str">
        <f>"10/04/2022 19:30:45.307"</f>
        <v>10/04/2022 19:30:45.307</v>
      </c>
      <c r="C1992" t="str">
        <f t="shared" si="703"/>
        <v>FFDDD3C0</v>
      </c>
      <c r="D1992" t="s">
        <v>141</v>
      </c>
      <c r="E1992">
        <v>4</v>
      </c>
      <c r="H1992">
        <v>4</v>
      </c>
      <c r="I1992" t="s">
        <v>142</v>
      </c>
      <c r="J1992" t="s">
        <v>138</v>
      </c>
      <c r="K1992">
        <v>0</v>
      </c>
      <c r="L1992">
        <v>3</v>
      </c>
      <c r="M1992">
        <v>0</v>
      </c>
      <c r="N1992">
        <v>2</v>
      </c>
      <c r="O1992">
        <v>0</v>
      </c>
      <c r="P1992">
        <v>1</v>
      </c>
      <c r="Q1992">
        <v>0</v>
      </c>
      <c r="S1992" t="str">
        <f t="shared" si="704"/>
        <v>19:30:45.000</v>
      </c>
      <c r="T1992" t="str">
        <f t="shared" si="704"/>
        <v>19:30:45.000</v>
      </c>
      <c r="U1992" t="str">
        <f t="shared" si="701"/>
        <v>AC3944</v>
      </c>
      <c r="V1992">
        <v>0</v>
      </c>
      <c r="W1992">
        <v>0</v>
      </c>
      <c r="X1992">
        <v>2</v>
      </c>
      <c r="Y1992">
        <v>0</v>
      </c>
      <c r="AA1992">
        <v>1</v>
      </c>
      <c r="AB1992">
        <v>8</v>
      </c>
      <c r="AC1992">
        <v>3</v>
      </c>
      <c r="AD1992">
        <v>0</v>
      </c>
      <c r="AE1992">
        <v>9</v>
      </c>
      <c r="AF1992" t="s">
        <v>138</v>
      </c>
      <c r="AG1992">
        <v>0</v>
      </c>
      <c r="AH1992">
        <v>3</v>
      </c>
      <c r="AI1992">
        <v>1</v>
      </c>
      <c r="AJ1992">
        <v>0</v>
      </c>
      <c r="AK1992" t="s">
        <v>704</v>
      </c>
      <c r="AL1992">
        <v>32.775799999999997</v>
      </c>
      <c r="AM1992" t="s">
        <v>705</v>
      </c>
      <c r="AN1992">
        <v>-116.842389</v>
      </c>
      <c r="AO1992">
        <v>25</v>
      </c>
      <c r="AP1992">
        <v>2900</v>
      </c>
      <c r="AQ1992" t="s">
        <v>129</v>
      </c>
      <c r="AR1992">
        <v>122</v>
      </c>
      <c r="AS1992">
        <v>-35</v>
      </c>
      <c r="AT1992">
        <v>320</v>
      </c>
      <c r="BB1992">
        <v>1200</v>
      </c>
      <c r="BC1992">
        <v>1</v>
      </c>
      <c r="BD1992" t="str">
        <f t="shared" si="702"/>
        <v xml:space="preserve">N887QR  </v>
      </c>
      <c r="BE1992">
        <v>1</v>
      </c>
      <c r="BJ1992">
        <v>2675</v>
      </c>
      <c r="BK1992">
        <v>-225</v>
      </c>
      <c r="BL1992" t="s">
        <v>163</v>
      </c>
      <c r="BM1992">
        <v>1</v>
      </c>
      <c r="BN1992">
        <v>1</v>
      </c>
      <c r="BO1992">
        <v>1</v>
      </c>
      <c r="BP1992">
        <v>0</v>
      </c>
      <c r="BS1992">
        <v>0</v>
      </c>
      <c r="BT1992">
        <v>0</v>
      </c>
      <c r="BU1992">
        <v>0</v>
      </c>
      <c r="CE1992" t="str">
        <f t="shared" si="705"/>
        <v>19:30:45.035</v>
      </c>
      <c r="CF1992">
        <v>34701131</v>
      </c>
      <c r="CS1992">
        <v>0</v>
      </c>
      <c r="CT1992">
        <v>2</v>
      </c>
      <c r="CU1992">
        <v>0</v>
      </c>
      <c r="CV1992">
        <v>2</v>
      </c>
      <c r="CW1992">
        <v>0</v>
      </c>
      <c r="CX1992">
        <v>5</v>
      </c>
      <c r="CY1992">
        <v>7</v>
      </c>
      <c r="CZ1992" t="s">
        <v>131</v>
      </c>
      <c r="DA1992">
        <v>300</v>
      </c>
      <c r="DB1992">
        <v>0</v>
      </c>
      <c r="DC1992" t="s">
        <v>176</v>
      </c>
      <c r="DD1992" t="s">
        <v>177</v>
      </c>
      <c r="DG1992">
        <v>5399599</v>
      </c>
      <c r="DI1992">
        <v>1</v>
      </c>
      <c r="DJ1992">
        <v>0</v>
      </c>
      <c r="DK1992">
        <v>1</v>
      </c>
      <c r="DL1992">
        <v>0</v>
      </c>
      <c r="DM1992">
        <v>0</v>
      </c>
      <c r="DN1992">
        <v>1</v>
      </c>
      <c r="DO1992">
        <v>0</v>
      </c>
      <c r="DP1992">
        <v>0</v>
      </c>
      <c r="DQ1992">
        <v>0</v>
      </c>
      <c r="DR1992">
        <v>0</v>
      </c>
      <c r="DS1992">
        <v>0</v>
      </c>
    </row>
    <row r="1993" spans="1:123" x14ac:dyDescent="0.3">
      <c r="A1993" t="str">
        <f>"10/04/2022 19:30:45.338"</f>
        <v>10/04/2022 19:30:45.338</v>
      </c>
      <c r="C1993" t="str">
        <f t="shared" si="703"/>
        <v>FFDDD3C0</v>
      </c>
      <c r="D1993" t="s">
        <v>143</v>
      </c>
      <c r="E1993">
        <v>20</v>
      </c>
      <c r="F1993">
        <v>1020</v>
      </c>
      <c r="G1993" t="s">
        <v>144</v>
      </c>
      <c r="J1993" t="s">
        <v>145</v>
      </c>
      <c r="K1993">
        <v>0</v>
      </c>
      <c r="L1993">
        <v>3</v>
      </c>
      <c r="M1993">
        <v>0</v>
      </c>
      <c r="N1993">
        <v>2</v>
      </c>
      <c r="O1993">
        <v>0</v>
      </c>
      <c r="P1993">
        <v>1</v>
      </c>
      <c r="Q1993">
        <v>0</v>
      </c>
      <c r="S1993" t="str">
        <f t="shared" si="704"/>
        <v>19:30:45.000</v>
      </c>
      <c r="T1993" t="str">
        <f t="shared" si="704"/>
        <v>19:30:45.000</v>
      </c>
      <c r="U1993" t="str">
        <f t="shared" si="701"/>
        <v>AC3944</v>
      </c>
      <c r="V1993">
        <v>0</v>
      </c>
      <c r="W1993">
        <v>0</v>
      </c>
      <c r="X1993">
        <v>2</v>
      </c>
      <c r="Y1993">
        <v>0</v>
      </c>
      <c r="AA1993">
        <v>1</v>
      </c>
      <c r="AB1993">
        <v>8</v>
      </c>
      <c r="AC1993">
        <v>3</v>
      </c>
      <c r="AD1993">
        <v>0</v>
      </c>
      <c r="AE1993">
        <v>9</v>
      </c>
      <c r="AF1993" t="s">
        <v>138</v>
      </c>
      <c r="AG1993">
        <v>0</v>
      </c>
      <c r="AH1993">
        <v>3</v>
      </c>
      <c r="AI1993">
        <v>1</v>
      </c>
      <c r="AJ1993">
        <v>0</v>
      </c>
      <c r="AK1993" t="s">
        <v>704</v>
      </c>
      <c r="AL1993">
        <v>32.775799999999997</v>
      </c>
      <c r="AM1993" t="s">
        <v>705</v>
      </c>
      <c r="AN1993">
        <v>-116.842389</v>
      </c>
      <c r="AO1993">
        <v>25</v>
      </c>
      <c r="AP1993">
        <v>2900</v>
      </c>
      <c r="AQ1993" t="s">
        <v>129</v>
      </c>
      <c r="AR1993">
        <v>122</v>
      </c>
      <c r="AS1993">
        <v>-35</v>
      </c>
      <c r="AT1993">
        <v>320</v>
      </c>
      <c r="BB1993">
        <v>1200</v>
      </c>
      <c r="BC1993">
        <v>1</v>
      </c>
      <c r="BD1993" t="str">
        <f t="shared" si="702"/>
        <v xml:space="preserve">N887QR  </v>
      </c>
      <c r="BE1993">
        <v>1</v>
      </c>
      <c r="BJ1993">
        <v>2675</v>
      </c>
      <c r="BK1993">
        <v>-225</v>
      </c>
      <c r="BL1993" t="s">
        <v>163</v>
      </c>
      <c r="BM1993">
        <v>1</v>
      </c>
      <c r="BN1993">
        <v>1</v>
      </c>
      <c r="BO1993">
        <v>1</v>
      </c>
      <c r="BP1993">
        <v>0</v>
      </c>
      <c r="BS1993">
        <v>0</v>
      </c>
      <c r="BT1993">
        <v>0</v>
      </c>
      <c r="BU1993">
        <v>0</v>
      </c>
      <c r="CE1993" t="str">
        <f t="shared" si="705"/>
        <v>19:30:45.035</v>
      </c>
      <c r="CF1993">
        <v>34701131</v>
      </c>
      <c r="CS1993">
        <v>0</v>
      </c>
      <c r="CT1993">
        <v>2</v>
      </c>
      <c r="CU1993">
        <v>0</v>
      </c>
      <c r="CV1993">
        <v>2</v>
      </c>
      <c r="CW1993">
        <v>0</v>
      </c>
      <c r="CX1993">
        <v>5</v>
      </c>
      <c r="CY1993">
        <v>7</v>
      </c>
      <c r="CZ1993" t="s">
        <v>131</v>
      </c>
      <c r="DA1993">
        <v>300</v>
      </c>
      <c r="DB1993">
        <v>0</v>
      </c>
      <c r="DC1993" t="s">
        <v>176</v>
      </c>
      <c r="DD1993" t="s">
        <v>177</v>
      </c>
      <c r="DG1993">
        <v>5399599</v>
      </c>
      <c r="DI1993">
        <v>1</v>
      </c>
      <c r="DJ1993">
        <v>0</v>
      </c>
      <c r="DK1993">
        <v>0</v>
      </c>
      <c r="DL1993">
        <v>0</v>
      </c>
      <c r="DM1993">
        <v>0</v>
      </c>
      <c r="DN1993">
        <v>1</v>
      </c>
      <c r="DO1993">
        <v>0</v>
      </c>
      <c r="DP1993">
        <v>0</v>
      </c>
      <c r="DQ1993">
        <v>0</v>
      </c>
      <c r="DR1993">
        <v>0</v>
      </c>
      <c r="DS1993">
        <v>0</v>
      </c>
    </row>
    <row r="1994" spans="1:123" x14ac:dyDescent="0.3">
      <c r="A1994" t="str">
        <f>"10/04/2022 19:30:45.354"</f>
        <v>10/04/2022 19:30:45.354</v>
      </c>
      <c r="C1994" t="str">
        <f t="shared" si="703"/>
        <v>FFDDD3C0</v>
      </c>
      <c r="D1994" t="s">
        <v>134</v>
      </c>
      <c r="E1994">
        <v>15</v>
      </c>
      <c r="J1994" t="s">
        <v>135</v>
      </c>
      <c r="K1994">
        <v>0</v>
      </c>
      <c r="L1994">
        <v>3</v>
      </c>
      <c r="M1994">
        <v>0</v>
      </c>
      <c r="N1994">
        <v>2</v>
      </c>
      <c r="O1994">
        <v>0</v>
      </c>
      <c r="P1994">
        <v>1</v>
      </c>
      <c r="Q1994">
        <v>0</v>
      </c>
      <c r="S1994" t="str">
        <f t="shared" si="704"/>
        <v>19:30:45.000</v>
      </c>
      <c r="T1994" t="str">
        <f t="shared" si="704"/>
        <v>19:30:45.000</v>
      </c>
      <c r="U1994" t="str">
        <f t="shared" si="701"/>
        <v>AC3944</v>
      </c>
      <c r="V1994">
        <v>0</v>
      </c>
      <c r="W1994">
        <v>0</v>
      </c>
      <c r="X1994">
        <v>2</v>
      </c>
      <c r="Y1994">
        <v>0</v>
      </c>
      <c r="AA1994">
        <v>1</v>
      </c>
      <c r="AB1994">
        <v>8</v>
      </c>
      <c r="AC1994">
        <v>3</v>
      </c>
      <c r="AD1994">
        <v>0</v>
      </c>
      <c r="AE1994">
        <v>9</v>
      </c>
      <c r="AF1994" t="s">
        <v>138</v>
      </c>
      <c r="AG1994">
        <v>0</v>
      </c>
      <c r="AH1994">
        <v>3</v>
      </c>
      <c r="AI1994">
        <v>1</v>
      </c>
      <c r="AJ1994">
        <v>0</v>
      </c>
      <c r="AK1994" t="s">
        <v>704</v>
      </c>
      <c r="AL1994">
        <v>32.775799999999997</v>
      </c>
      <c r="AM1994" t="s">
        <v>705</v>
      </c>
      <c r="AN1994">
        <v>-116.842389</v>
      </c>
      <c r="AO1994">
        <v>25</v>
      </c>
      <c r="AP1994">
        <v>2900</v>
      </c>
      <c r="AQ1994" t="s">
        <v>129</v>
      </c>
      <c r="AR1994">
        <v>122</v>
      </c>
      <c r="AS1994">
        <v>-35</v>
      </c>
      <c r="AT1994">
        <v>320</v>
      </c>
      <c r="BB1994">
        <v>1200</v>
      </c>
      <c r="BC1994">
        <v>1</v>
      </c>
      <c r="BD1994" t="str">
        <f t="shared" si="702"/>
        <v xml:space="preserve">N887QR  </v>
      </c>
      <c r="BE1994">
        <v>1</v>
      </c>
      <c r="BJ1994">
        <v>2675</v>
      </c>
      <c r="BK1994">
        <v>-225</v>
      </c>
      <c r="BL1994" t="s">
        <v>163</v>
      </c>
      <c r="BM1994">
        <v>1</v>
      </c>
      <c r="BN1994">
        <v>1</v>
      </c>
      <c r="BO1994">
        <v>1</v>
      </c>
      <c r="BP1994">
        <v>0</v>
      </c>
      <c r="BS1994">
        <v>0</v>
      </c>
      <c r="BT1994">
        <v>0</v>
      </c>
      <c r="BU1994">
        <v>0</v>
      </c>
      <c r="CE1994" t="str">
        <f t="shared" si="705"/>
        <v>19:30:45.035</v>
      </c>
      <c r="CF1994">
        <v>34701131</v>
      </c>
      <c r="CS1994">
        <v>0</v>
      </c>
      <c r="CT1994">
        <v>2</v>
      </c>
      <c r="CU1994">
        <v>0</v>
      </c>
      <c r="CV1994">
        <v>2</v>
      </c>
      <c r="CW1994">
        <v>0</v>
      </c>
      <c r="CX1994">
        <v>5</v>
      </c>
      <c r="CY1994">
        <v>7</v>
      </c>
      <c r="CZ1994" t="s">
        <v>131</v>
      </c>
      <c r="DA1994">
        <v>300</v>
      </c>
      <c r="DB1994">
        <v>0</v>
      </c>
      <c r="DC1994" t="s">
        <v>176</v>
      </c>
      <c r="DD1994" t="s">
        <v>177</v>
      </c>
      <c r="DG1994">
        <v>5399599</v>
      </c>
      <c r="DI1994">
        <v>1</v>
      </c>
      <c r="DJ1994">
        <v>0</v>
      </c>
      <c r="DK1994">
        <v>1</v>
      </c>
      <c r="DL1994">
        <v>0</v>
      </c>
      <c r="DM1994">
        <v>0</v>
      </c>
      <c r="DN1994">
        <v>1</v>
      </c>
      <c r="DO1994">
        <v>0</v>
      </c>
      <c r="DP1994">
        <v>0</v>
      </c>
      <c r="DQ1994">
        <v>0</v>
      </c>
      <c r="DR1994">
        <v>0</v>
      </c>
      <c r="DS1994">
        <v>0</v>
      </c>
    </row>
    <row r="1995" spans="1:123" x14ac:dyDescent="0.3">
      <c r="A1995" t="str">
        <f>"10/04/2022 19:30:45.354"</f>
        <v>10/04/2022 19:30:45.354</v>
      </c>
      <c r="C1995" t="str">
        <f t="shared" si="703"/>
        <v>FFDDD3C0</v>
      </c>
      <c r="D1995" t="s">
        <v>123</v>
      </c>
      <c r="E1995">
        <v>7</v>
      </c>
      <c r="F1995">
        <v>2007</v>
      </c>
      <c r="G1995" t="s">
        <v>124</v>
      </c>
      <c r="J1995" t="s">
        <v>125</v>
      </c>
      <c r="K1995">
        <v>0</v>
      </c>
      <c r="L1995">
        <v>3</v>
      </c>
      <c r="M1995">
        <v>0</v>
      </c>
      <c r="N1995">
        <v>2</v>
      </c>
      <c r="O1995">
        <v>0</v>
      </c>
      <c r="P1995">
        <v>1</v>
      </c>
      <c r="Q1995">
        <v>0</v>
      </c>
      <c r="S1995" t="str">
        <f t="shared" si="704"/>
        <v>19:30:45.000</v>
      </c>
      <c r="T1995" t="str">
        <f t="shared" si="704"/>
        <v>19:30:45.000</v>
      </c>
      <c r="U1995" t="str">
        <f t="shared" si="701"/>
        <v>AC3944</v>
      </c>
      <c r="V1995">
        <v>0</v>
      </c>
      <c r="W1995">
        <v>0</v>
      </c>
      <c r="X1995">
        <v>2</v>
      </c>
      <c r="Y1995">
        <v>0</v>
      </c>
      <c r="AA1995">
        <v>1</v>
      </c>
      <c r="AB1995">
        <v>8</v>
      </c>
      <c r="AC1995">
        <v>3</v>
      </c>
      <c r="AD1995">
        <v>0</v>
      </c>
      <c r="AE1995">
        <v>9</v>
      </c>
      <c r="AF1995" t="s">
        <v>138</v>
      </c>
      <c r="AG1995">
        <v>0</v>
      </c>
      <c r="AH1995">
        <v>3</v>
      </c>
      <c r="AI1995">
        <v>1</v>
      </c>
      <c r="AJ1995">
        <v>0</v>
      </c>
      <c r="AK1995" t="s">
        <v>704</v>
      </c>
      <c r="AL1995">
        <v>32.775799999999997</v>
      </c>
      <c r="AM1995" t="s">
        <v>705</v>
      </c>
      <c r="AN1995">
        <v>-116.842389</v>
      </c>
      <c r="AO1995">
        <v>25</v>
      </c>
      <c r="AP1995">
        <v>2900</v>
      </c>
      <c r="AQ1995" t="s">
        <v>129</v>
      </c>
      <c r="AR1995">
        <v>122</v>
      </c>
      <c r="AS1995">
        <v>-35</v>
      </c>
      <c r="AT1995">
        <v>320</v>
      </c>
      <c r="BB1995">
        <v>1200</v>
      </c>
      <c r="BC1995">
        <v>1</v>
      </c>
      <c r="BD1995" t="str">
        <f t="shared" si="702"/>
        <v xml:space="preserve">N887QR  </v>
      </c>
      <c r="BE1995">
        <v>1</v>
      </c>
      <c r="BJ1995">
        <v>2675</v>
      </c>
      <c r="BK1995">
        <v>-225</v>
      </c>
      <c r="BL1995" t="s">
        <v>163</v>
      </c>
      <c r="BM1995">
        <v>1</v>
      </c>
      <c r="BN1995">
        <v>1</v>
      </c>
      <c r="BO1995">
        <v>1</v>
      </c>
      <c r="BP1995">
        <v>0</v>
      </c>
      <c r="BS1995">
        <v>0</v>
      </c>
      <c r="BT1995">
        <v>0</v>
      </c>
      <c r="BU1995">
        <v>0</v>
      </c>
      <c r="CE1995" t="str">
        <f t="shared" si="705"/>
        <v>19:30:45.035</v>
      </c>
      <c r="CF1995">
        <v>34701131</v>
      </c>
      <c r="CS1995">
        <v>0</v>
      </c>
      <c r="CT1995">
        <v>2</v>
      </c>
      <c r="CU1995">
        <v>0</v>
      </c>
      <c r="CV1995">
        <v>2</v>
      </c>
      <c r="CW1995">
        <v>0</v>
      </c>
      <c r="CX1995">
        <v>5</v>
      </c>
      <c r="CY1995">
        <v>7</v>
      </c>
      <c r="CZ1995" t="s">
        <v>131</v>
      </c>
      <c r="DA1995">
        <v>300</v>
      </c>
      <c r="DB1995">
        <v>0</v>
      </c>
      <c r="DC1995" t="s">
        <v>176</v>
      </c>
      <c r="DD1995" t="s">
        <v>177</v>
      </c>
      <c r="DG1995">
        <v>5399599</v>
      </c>
      <c r="DI1995">
        <v>1</v>
      </c>
      <c r="DJ1995">
        <v>0</v>
      </c>
      <c r="DK1995">
        <v>1</v>
      </c>
      <c r="DL1995">
        <v>0</v>
      </c>
      <c r="DM1995">
        <v>0</v>
      </c>
      <c r="DN1995">
        <v>1</v>
      </c>
      <c r="DO1995">
        <v>0</v>
      </c>
      <c r="DP1995">
        <v>0</v>
      </c>
      <c r="DQ1995">
        <v>0</v>
      </c>
      <c r="DR1995">
        <v>0</v>
      </c>
      <c r="DS1995">
        <v>0</v>
      </c>
    </row>
    <row r="1996" spans="1:123" x14ac:dyDescent="0.3">
      <c r="A1996" t="str">
        <f t="shared" ref="A1996:A2002" si="706">"10/04/2022 19:30:46.104"</f>
        <v>10/04/2022 19:30:46.104</v>
      </c>
      <c r="C1996" t="str">
        <f t="shared" si="703"/>
        <v>FFDDD3C0</v>
      </c>
      <c r="D1996" t="s">
        <v>136</v>
      </c>
      <c r="E1996">
        <v>8</v>
      </c>
      <c r="H1996">
        <v>225</v>
      </c>
      <c r="I1996" t="s">
        <v>137</v>
      </c>
      <c r="J1996" t="s">
        <v>138</v>
      </c>
      <c r="K1996">
        <v>0</v>
      </c>
      <c r="L1996">
        <v>3</v>
      </c>
      <c r="M1996">
        <v>0</v>
      </c>
      <c r="N1996">
        <v>2</v>
      </c>
      <c r="O1996">
        <v>0</v>
      </c>
      <c r="P1996">
        <v>1</v>
      </c>
      <c r="Q1996">
        <v>0</v>
      </c>
      <c r="S1996" t="str">
        <f t="shared" si="704"/>
        <v>19:30:45.000</v>
      </c>
      <c r="T1996" t="str">
        <f t="shared" si="704"/>
        <v>19:30:45.000</v>
      </c>
      <c r="U1996" t="str">
        <f t="shared" si="701"/>
        <v>AC3944</v>
      </c>
      <c r="V1996">
        <v>0</v>
      </c>
      <c r="W1996">
        <v>0</v>
      </c>
      <c r="X1996">
        <v>2</v>
      </c>
      <c r="Y1996">
        <v>0</v>
      </c>
      <c r="AA1996">
        <v>1</v>
      </c>
      <c r="AB1996">
        <v>8</v>
      </c>
      <c r="AC1996">
        <v>3</v>
      </c>
      <c r="AD1996">
        <v>0</v>
      </c>
      <c r="AE1996">
        <v>9</v>
      </c>
      <c r="AF1996" t="s">
        <v>138</v>
      </c>
      <c r="AG1996">
        <v>0</v>
      </c>
      <c r="AH1996">
        <v>3</v>
      </c>
      <c r="AI1996">
        <v>1</v>
      </c>
      <c r="AJ1996">
        <v>0</v>
      </c>
      <c r="AK1996" t="s">
        <v>706</v>
      </c>
      <c r="AL1996">
        <v>32.775629000000002</v>
      </c>
      <c r="AM1996" t="s">
        <v>707</v>
      </c>
      <c r="AN1996">
        <v>-116.841702</v>
      </c>
      <c r="AO1996">
        <v>25</v>
      </c>
      <c r="AP1996">
        <v>2900</v>
      </c>
      <c r="AQ1996" t="s">
        <v>129</v>
      </c>
      <c r="AR1996">
        <v>123</v>
      </c>
      <c r="AS1996">
        <v>-34</v>
      </c>
      <c r="AT1996">
        <v>320</v>
      </c>
      <c r="BB1996">
        <v>1200</v>
      </c>
      <c r="BC1996">
        <v>1</v>
      </c>
      <c r="BD1996" t="str">
        <f t="shared" si="702"/>
        <v xml:space="preserve">N887QR  </v>
      </c>
      <c r="BE1996">
        <v>1</v>
      </c>
      <c r="BJ1996">
        <v>2675</v>
      </c>
      <c r="BK1996">
        <v>-225</v>
      </c>
      <c r="BL1996" t="s">
        <v>163</v>
      </c>
      <c r="BM1996">
        <v>1</v>
      </c>
      <c r="BN1996">
        <v>1</v>
      </c>
      <c r="BO1996">
        <v>1</v>
      </c>
      <c r="BP1996">
        <v>0</v>
      </c>
      <c r="BS1996">
        <v>0</v>
      </c>
      <c r="BT1996">
        <v>0</v>
      </c>
      <c r="BU1996">
        <v>0</v>
      </c>
      <c r="CE1996" t="str">
        <f t="shared" ref="CE1996:CE2002" si="707">"19:30:45.850"</f>
        <v>19:30:45.850</v>
      </c>
      <c r="CF1996">
        <v>850203853</v>
      </c>
      <c r="CS1996">
        <v>0</v>
      </c>
      <c r="CT1996">
        <v>2</v>
      </c>
      <c r="CU1996">
        <v>0</v>
      </c>
      <c r="CV1996">
        <v>2</v>
      </c>
      <c r="CW1996">
        <v>0</v>
      </c>
      <c r="CX1996">
        <v>5</v>
      </c>
      <c r="CY1996">
        <v>7</v>
      </c>
      <c r="CZ1996" t="s">
        <v>131</v>
      </c>
      <c r="DA1996">
        <v>300</v>
      </c>
      <c r="DB1996">
        <v>0</v>
      </c>
      <c r="DC1996" t="s">
        <v>176</v>
      </c>
      <c r="DD1996" t="s">
        <v>177</v>
      </c>
      <c r="DG1996">
        <v>5399734</v>
      </c>
      <c r="DI1996">
        <v>1</v>
      </c>
      <c r="DJ1996">
        <v>0</v>
      </c>
      <c r="DK1996">
        <v>0</v>
      </c>
      <c r="DL1996">
        <v>0</v>
      </c>
      <c r="DM1996">
        <v>0</v>
      </c>
      <c r="DN1996">
        <v>1</v>
      </c>
      <c r="DO1996">
        <v>0</v>
      </c>
      <c r="DP1996">
        <v>0</v>
      </c>
      <c r="DQ1996">
        <v>0</v>
      </c>
      <c r="DR1996">
        <v>0</v>
      </c>
      <c r="DS1996">
        <v>0</v>
      </c>
    </row>
    <row r="1997" spans="1:123" x14ac:dyDescent="0.3">
      <c r="A1997" t="str">
        <f t="shared" si="706"/>
        <v>10/04/2022 19:30:46.104</v>
      </c>
      <c r="C1997" t="str">
        <f t="shared" si="703"/>
        <v>FFDDD3C0</v>
      </c>
      <c r="D1997" t="s">
        <v>147</v>
      </c>
      <c r="E1997">
        <v>3</v>
      </c>
      <c r="H1997">
        <v>166</v>
      </c>
      <c r="I1997" t="s">
        <v>144</v>
      </c>
      <c r="J1997" t="s">
        <v>148</v>
      </c>
      <c r="K1997">
        <v>0</v>
      </c>
      <c r="L1997">
        <v>3</v>
      </c>
      <c r="M1997">
        <v>0</v>
      </c>
      <c r="N1997">
        <v>2</v>
      </c>
      <c r="O1997">
        <v>0</v>
      </c>
      <c r="P1997">
        <v>1</v>
      </c>
      <c r="Q1997">
        <v>0</v>
      </c>
      <c r="S1997" t="str">
        <f t="shared" si="704"/>
        <v>19:30:45.000</v>
      </c>
      <c r="T1997" t="str">
        <f t="shared" si="704"/>
        <v>19:30:45.000</v>
      </c>
      <c r="U1997" t="str">
        <f t="shared" si="701"/>
        <v>AC3944</v>
      </c>
      <c r="V1997">
        <v>0</v>
      </c>
      <c r="W1997">
        <v>0</v>
      </c>
      <c r="X1997">
        <v>2</v>
      </c>
      <c r="Y1997">
        <v>0</v>
      </c>
      <c r="AA1997">
        <v>1</v>
      </c>
      <c r="AB1997">
        <v>8</v>
      </c>
      <c r="AC1997">
        <v>3</v>
      </c>
      <c r="AD1997">
        <v>0</v>
      </c>
      <c r="AE1997">
        <v>9</v>
      </c>
      <c r="AF1997" t="s">
        <v>138</v>
      </c>
      <c r="AG1997">
        <v>0</v>
      </c>
      <c r="AH1997">
        <v>3</v>
      </c>
      <c r="AI1997">
        <v>1</v>
      </c>
      <c r="AJ1997">
        <v>0</v>
      </c>
      <c r="AK1997" t="s">
        <v>706</v>
      </c>
      <c r="AL1997">
        <v>32.775629000000002</v>
      </c>
      <c r="AM1997" t="s">
        <v>707</v>
      </c>
      <c r="AN1997">
        <v>-116.841702</v>
      </c>
      <c r="AO1997">
        <v>25</v>
      </c>
      <c r="AP1997">
        <v>2900</v>
      </c>
      <c r="AQ1997" t="s">
        <v>129</v>
      </c>
      <c r="AR1997">
        <v>123</v>
      </c>
      <c r="AS1997">
        <v>-34</v>
      </c>
      <c r="AT1997">
        <v>320</v>
      </c>
      <c r="BB1997">
        <v>1200</v>
      </c>
      <c r="BC1997">
        <v>1</v>
      </c>
      <c r="BD1997" t="str">
        <f t="shared" si="702"/>
        <v xml:space="preserve">N887QR  </v>
      </c>
      <c r="BE1997">
        <v>1</v>
      </c>
      <c r="BJ1997">
        <v>2675</v>
      </c>
      <c r="BK1997">
        <v>-225</v>
      </c>
      <c r="BL1997" t="s">
        <v>163</v>
      </c>
      <c r="BM1997">
        <v>1</v>
      </c>
      <c r="BN1997">
        <v>1</v>
      </c>
      <c r="BO1997">
        <v>1</v>
      </c>
      <c r="BP1997">
        <v>0</v>
      </c>
      <c r="BS1997">
        <v>0</v>
      </c>
      <c r="BT1997">
        <v>0</v>
      </c>
      <c r="BU1997">
        <v>0</v>
      </c>
      <c r="CE1997" t="str">
        <f t="shared" si="707"/>
        <v>19:30:45.850</v>
      </c>
      <c r="CF1997">
        <v>850203853</v>
      </c>
      <c r="CS1997">
        <v>0</v>
      </c>
      <c r="CT1997">
        <v>2</v>
      </c>
      <c r="CU1997">
        <v>0</v>
      </c>
      <c r="CV1997">
        <v>2</v>
      </c>
      <c r="CW1997">
        <v>0</v>
      </c>
      <c r="CX1997">
        <v>5</v>
      </c>
      <c r="CY1997">
        <v>7</v>
      </c>
      <c r="CZ1997" t="s">
        <v>131</v>
      </c>
      <c r="DA1997">
        <v>300</v>
      </c>
      <c r="DB1997">
        <v>0</v>
      </c>
      <c r="DC1997" t="s">
        <v>176</v>
      </c>
      <c r="DD1997" t="s">
        <v>177</v>
      </c>
      <c r="DG1997">
        <v>5399734</v>
      </c>
      <c r="DI1997">
        <v>1</v>
      </c>
      <c r="DJ1997">
        <v>0</v>
      </c>
      <c r="DK1997">
        <v>1</v>
      </c>
      <c r="DL1997">
        <v>0</v>
      </c>
      <c r="DM1997">
        <v>0</v>
      </c>
      <c r="DN1997">
        <v>1</v>
      </c>
      <c r="DO1997">
        <v>0</v>
      </c>
      <c r="DP1997">
        <v>0</v>
      </c>
      <c r="DQ1997">
        <v>0</v>
      </c>
      <c r="DR1997">
        <v>0</v>
      </c>
      <c r="DS1997">
        <v>0</v>
      </c>
    </row>
    <row r="1998" spans="1:123" x14ac:dyDescent="0.3">
      <c r="A1998" t="str">
        <f t="shared" si="706"/>
        <v>10/04/2022 19:30:46.104</v>
      </c>
      <c r="C1998" t="str">
        <f t="shared" si="703"/>
        <v>FFDDD3C0</v>
      </c>
      <c r="D1998" t="s">
        <v>141</v>
      </c>
      <c r="E1998">
        <v>3</v>
      </c>
      <c r="H1998">
        <v>3</v>
      </c>
      <c r="I1998" t="s">
        <v>146</v>
      </c>
      <c r="J1998" t="s">
        <v>138</v>
      </c>
      <c r="K1998">
        <v>0</v>
      </c>
      <c r="L1998">
        <v>3</v>
      </c>
      <c r="M1998">
        <v>0</v>
      </c>
      <c r="N1998">
        <v>2</v>
      </c>
      <c r="O1998">
        <v>0</v>
      </c>
      <c r="P1998">
        <v>1</v>
      </c>
      <c r="Q1998">
        <v>0</v>
      </c>
      <c r="S1998" t="str">
        <f t="shared" si="704"/>
        <v>19:30:45.000</v>
      </c>
      <c r="T1998" t="str">
        <f t="shared" si="704"/>
        <v>19:30:45.000</v>
      </c>
      <c r="U1998" t="str">
        <f t="shared" si="701"/>
        <v>AC3944</v>
      </c>
      <c r="V1998">
        <v>0</v>
      </c>
      <c r="W1998">
        <v>0</v>
      </c>
      <c r="X1998">
        <v>2</v>
      </c>
      <c r="Y1998">
        <v>0</v>
      </c>
      <c r="AA1998">
        <v>1</v>
      </c>
      <c r="AB1998">
        <v>8</v>
      </c>
      <c r="AC1998">
        <v>3</v>
      </c>
      <c r="AD1998">
        <v>0</v>
      </c>
      <c r="AE1998">
        <v>9</v>
      </c>
      <c r="AF1998" t="s">
        <v>138</v>
      </c>
      <c r="AG1998">
        <v>0</v>
      </c>
      <c r="AH1998">
        <v>3</v>
      </c>
      <c r="AI1998">
        <v>1</v>
      </c>
      <c r="AJ1998">
        <v>0</v>
      </c>
      <c r="AK1998" t="s">
        <v>706</v>
      </c>
      <c r="AL1998">
        <v>32.775629000000002</v>
      </c>
      <c r="AM1998" t="s">
        <v>707</v>
      </c>
      <c r="AN1998">
        <v>-116.841702</v>
      </c>
      <c r="AO1998">
        <v>25</v>
      </c>
      <c r="AP1998">
        <v>2900</v>
      </c>
      <c r="AQ1998" t="s">
        <v>129</v>
      </c>
      <c r="AR1998">
        <v>123</v>
      </c>
      <c r="AS1998">
        <v>-34</v>
      </c>
      <c r="AT1998">
        <v>320</v>
      </c>
      <c r="BB1998">
        <v>1200</v>
      </c>
      <c r="BC1998">
        <v>1</v>
      </c>
      <c r="BD1998" t="str">
        <f t="shared" si="702"/>
        <v xml:space="preserve">N887QR  </v>
      </c>
      <c r="BE1998">
        <v>1</v>
      </c>
      <c r="BJ1998">
        <v>2675</v>
      </c>
      <c r="BK1998">
        <v>-225</v>
      </c>
      <c r="BL1998" t="s">
        <v>163</v>
      </c>
      <c r="BM1998">
        <v>1</v>
      </c>
      <c r="BN1998">
        <v>1</v>
      </c>
      <c r="BO1998">
        <v>1</v>
      </c>
      <c r="BP1998">
        <v>0</v>
      </c>
      <c r="BS1998">
        <v>0</v>
      </c>
      <c r="BT1998">
        <v>0</v>
      </c>
      <c r="BU1998">
        <v>0</v>
      </c>
      <c r="CE1998" t="str">
        <f t="shared" si="707"/>
        <v>19:30:45.850</v>
      </c>
      <c r="CF1998">
        <v>850203853</v>
      </c>
      <c r="CS1998">
        <v>0</v>
      </c>
      <c r="CT1998">
        <v>2</v>
      </c>
      <c r="CU1998">
        <v>0</v>
      </c>
      <c r="CV1998">
        <v>2</v>
      </c>
      <c r="CW1998">
        <v>0</v>
      </c>
      <c r="CX1998">
        <v>5</v>
      </c>
      <c r="CY1998">
        <v>7</v>
      </c>
      <c r="CZ1998" t="s">
        <v>131</v>
      </c>
      <c r="DA1998">
        <v>300</v>
      </c>
      <c r="DB1998">
        <v>0</v>
      </c>
      <c r="DC1998" t="s">
        <v>176</v>
      </c>
      <c r="DD1998" t="s">
        <v>177</v>
      </c>
      <c r="DG1998">
        <v>5399734</v>
      </c>
      <c r="DI1998">
        <v>1</v>
      </c>
      <c r="DJ1998">
        <v>0</v>
      </c>
      <c r="DK1998">
        <v>1</v>
      </c>
      <c r="DL1998">
        <v>0</v>
      </c>
      <c r="DM1998">
        <v>0</v>
      </c>
      <c r="DN1998">
        <v>1</v>
      </c>
      <c r="DO1998">
        <v>0</v>
      </c>
      <c r="DP1998">
        <v>0</v>
      </c>
      <c r="DQ1998">
        <v>0</v>
      </c>
      <c r="DR1998">
        <v>0</v>
      </c>
      <c r="DS1998">
        <v>0</v>
      </c>
    </row>
    <row r="1999" spans="1:123" x14ac:dyDescent="0.3">
      <c r="A1999" t="str">
        <f t="shared" si="706"/>
        <v>10/04/2022 19:30:46.104</v>
      </c>
      <c r="C1999" t="str">
        <f t="shared" si="703"/>
        <v>FFDDD3C0</v>
      </c>
      <c r="D1999" t="s">
        <v>141</v>
      </c>
      <c r="E1999">
        <v>4</v>
      </c>
      <c r="H1999">
        <v>4</v>
      </c>
      <c r="I1999" t="s">
        <v>142</v>
      </c>
      <c r="J1999" t="s">
        <v>138</v>
      </c>
      <c r="K1999">
        <v>0</v>
      </c>
      <c r="L1999">
        <v>3</v>
      </c>
      <c r="M1999">
        <v>0</v>
      </c>
      <c r="N1999">
        <v>2</v>
      </c>
      <c r="O1999">
        <v>0</v>
      </c>
      <c r="P1999">
        <v>1</v>
      </c>
      <c r="Q1999">
        <v>0</v>
      </c>
      <c r="S1999" t="str">
        <f t="shared" si="704"/>
        <v>19:30:45.000</v>
      </c>
      <c r="T1999" t="str">
        <f t="shared" si="704"/>
        <v>19:30:45.000</v>
      </c>
      <c r="U1999" t="str">
        <f t="shared" si="701"/>
        <v>AC3944</v>
      </c>
      <c r="V1999">
        <v>0</v>
      </c>
      <c r="W1999">
        <v>0</v>
      </c>
      <c r="X1999">
        <v>2</v>
      </c>
      <c r="Y1999">
        <v>0</v>
      </c>
      <c r="AA1999">
        <v>1</v>
      </c>
      <c r="AB1999">
        <v>8</v>
      </c>
      <c r="AC1999">
        <v>3</v>
      </c>
      <c r="AD1999">
        <v>0</v>
      </c>
      <c r="AE1999">
        <v>9</v>
      </c>
      <c r="AF1999" t="s">
        <v>138</v>
      </c>
      <c r="AG1999">
        <v>0</v>
      </c>
      <c r="AH1999">
        <v>3</v>
      </c>
      <c r="AI1999">
        <v>1</v>
      </c>
      <c r="AJ1999">
        <v>0</v>
      </c>
      <c r="AK1999" t="s">
        <v>706</v>
      </c>
      <c r="AL1999">
        <v>32.775629000000002</v>
      </c>
      <c r="AM1999" t="s">
        <v>707</v>
      </c>
      <c r="AN1999">
        <v>-116.841702</v>
      </c>
      <c r="AO1999">
        <v>25</v>
      </c>
      <c r="AP1999">
        <v>2900</v>
      </c>
      <c r="AQ1999" t="s">
        <v>129</v>
      </c>
      <c r="AR1999">
        <v>123</v>
      </c>
      <c r="AS1999">
        <v>-34</v>
      </c>
      <c r="AT1999">
        <v>320</v>
      </c>
      <c r="BB1999">
        <v>1200</v>
      </c>
      <c r="BC1999">
        <v>1</v>
      </c>
      <c r="BD1999" t="str">
        <f t="shared" si="702"/>
        <v xml:space="preserve">N887QR  </v>
      </c>
      <c r="BE1999">
        <v>1</v>
      </c>
      <c r="BJ1999">
        <v>2675</v>
      </c>
      <c r="BK1999">
        <v>-225</v>
      </c>
      <c r="BL1999" t="s">
        <v>163</v>
      </c>
      <c r="BM1999">
        <v>1</v>
      </c>
      <c r="BN1999">
        <v>1</v>
      </c>
      <c r="BO1999">
        <v>1</v>
      </c>
      <c r="BP1999">
        <v>0</v>
      </c>
      <c r="BS1999">
        <v>0</v>
      </c>
      <c r="BT1999">
        <v>0</v>
      </c>
      <c r="BU1999">
        <v>0</v>
      </c>
      <c r="CE1999" t="str">
        <f t="shared" si="707"/>
        <v>19:30:45.850</v>
      </c>
      <c r="CF1999">
        <v>850203853</v>
      </c>
      <c r="CS1999">
        <v>0</v>
      </c>
      <c r="CT1999">
        <v>2</v>
      </c>
      <c r="CU1999">
        <v>0</v>
      </c>
      <c r="CV1999">
        <v>2</v>
      </c>
      <c r="CW1999">
        <v>0</v>
      </c>
      <c r="CX1999">
        <v>5</v>
      </c>
      <c r="CY1999">
        <v>7</v>
      </c>
      <c r="CZ1999" t="s">
        <v>131</v>
      </c>
      <c r="DA1999">
        <v>300</v>
      </c>
      <c r="DB1999">
        <v>0</v>
      </c>
      <c r="DC1999" t="s">
        <v>176</v>
      </c>
      <c r="DD1999" t="s">
        <v>177</v>
      </c>
      <c r="DG1999">
        <v>5399734</v>
      </c>
      <c r="DI1999">
        <v>1</v>
      </c>
      <c r="DJ1999">
        <v>0</v>
      </c>
      <c r="DK1999">
        <v>1</v>
      </c>
      <c r="DL1999">
        <v>0</v>
      </c>
      <c r="DM1999">
        <v>0</v>
      </c>
      <c r="DN1999">
        <v>1</v>
      </c>
      <c r="DO1999">
        <v>0</v>
      </c>
      <c r="DP1999">
        <v>0</v>
      </c>
      <c r="DQ1999">
        <v>0</v>
      </c>
      <c r="DR1999">
        <v>0</v>
      </c>
      <c r="DS1999">
        <v>0</v>
      </c>
    </row>
    <row r="2000" spans="1:123" x14ac:dyDescent="0.3">
      <c r="A2000" t="str">
        <f t="shared" si="706"/>
        <v>10/04/2022 19:30:46.104</v>
      </c>
      <c r="C2000" t="str">
        <f t="shared" si="703"/>
        <v>FFDDD3C0</v>
      </c>
      <c r="D2000" t="s">
        <v>143</v>
      </c>
      <c r="E2000">
        <v>20</v>
      </c>
      <c r="F2000">
        <v>1020</v>
      </c>
      <c r="G2000" t="s">
        <v>144</v>
      </c>
      <c r="J2000" t="s">
        <v>145</v>
      </c>
      <c r="K2000">
        <v>0</v>
      </c>
      <c r="L2000">
        <v>3</v>
      </c>
      <c r="M2000">
        <v>0</v>
      </c>
      <c r="N2000">
        <v>2</v>
      </c>
      <c r="O2000">
        <v>0</v>
      </c>
      <c r="P2000">
        <v>1</v>
      </c>
      <c r="Q2000">
        <v>0</v>
      </c>
      <c r="S2000" t="str">
        <f t="shared" si="704"/>
        <v>19:30:45.000</v>
      </c>
      <c r="T2000" t="str">
        <f t="shared" si="704"/>
        <v>19:30:45.000</v>
      </c>
      <c r="U2000" t="str">
        <f t="shared" si="701"/>
        <v>AC3944</v>
      </c>
      <c r="V2000">
        <v>0</v>
      </c>
      <c r="W2000">
        <v>0</v>
      </c>
      <c r="X2000">
        <v>2</v>
      </c>
      <c r="Y2000">
        <v>0</v>
      </c>
      <c r="AA2000">
        <v>1</v>
      </c>
      <c r="AB2000">
        <v>8</v>
      </c>
      <c r="AC2000">
        <v>3</v>
      </c>
      <c r="AD2000">
        <v>0</v>
      </c>
      <c r="AE2000">
        <v>9</v>
      </c>
      <c r="AF2000" t="s">
        <v>138</v>
      </c>
      <c r="AG2000">
        <v>0</v>
      </c>
      <c r="AH2000">
        <v>3</v>
      </c>
      <c r="AI2000">
        <v>1</v>
      </c>
      <c r="AJ2000">
        <v>0</v>
      </c>
      <c r="AK2000" t="s">
        <v>706</v>
      </c>
      <c r="AL2000">
        <v>32.775629000000002</v>
      </c>
      <c r="AM2000" t="s">
        <v>707</v>
      </c>
      <c r="AN2000">
        <v>-116.841702</v>
      </c>
      <c r="AO2000">
        <v>25</v>
      </c>
      <c r="AP2000">
        <v>2900</v>
      </c>
      <c r="AQ2000" t="s">
        <v>129</v>
      </c>
      <c r="AR2000">
        <v>123</v>
      </c>
      <c r="AS2000">
        <v>-34</v>
      </c>
      <c r="AT2000">
        <v>320</v>
      </c>
      <c r="BB2000">
        <v>1200</v>
      </c>
      <c r="BC2000">
        <v>1</v>
      </c>
      <c r="BD2000" t="str">
        <f t="shared" si="702"/>
        <v xml:space="preserve">N887QR  </v>
      </c>
      <c r="BE2000">
        <v>1</v>
      </c>
      <c r="BJ2000">
        <v>2675</v>
      </c>
      <c r="BK2000">
        <v>-225</v>
      </c>
      <c r="BL2000" t="s">
        <v>163</v>
      </c>
      <c r="BM2000">
        <v>1</v>
      </c>
      <c r="BN2000">
        <v>1</v>
      </c>
      <c r="BO2000">
        <v>1</v>
      </c>
      <c r="BP2000">
        <v>0</v>
      </c>
      <c r="BS2000">
        <v>0</v>
      </c>
      <c r="BT2000">
        <v>0</v>
      </c>
      <c r="BU2000">
        <v>0</v>
      </c>
      <c r="CE2000" t="str">
        <f t="shared" si="707"/>
        <v>19:30:45.850</v>
      </c>
      <c r="CF2000">
        <v>850203853</v>
      </c>
      <c r="CS2000">
        <v>0</v>
      </c>
      <c r="CT2000">
        <v>2</v>
      </c>
      <c r="CU2000">
        <v>0</v>
      </c>
      <c r="CV2000">
        <v>2</v>
      </c>
      <c r="CW2000">
        <v>0</v>
      </c>
      <c r="CX2000">
        <v>5</v>
      </c>
      <c r="CY2000">
        <v>7</v>
      </c>
      <c r="CZ2000" t="s">
        <v>131</v>
      </c>
      <c r="DA2000">
        <v>300</v>
      </c>
      <c r="DB2000">
        <v>0</v>
      </c>
      <c r="DC2000" t="s">
        <v>176</v>
      </c>
      <c r="DD2000" t="s">
        <v>177</v>
      </c>
      <c r="DG2000">
        <v>5399734</v>
      </c>
      <c r="DI2000">
        <v>1</v>
      </c>
      <c r="DJ2000">
        <v>0</v>
      </c>
      <c r="DK2000">
        <v>1</v>
      </c>
      <c r="DL2000">
        <v>0</v>
      </c>
      <c r="DM2000">
        <v>0</v>
      </c>
      <c r="DN2000">
        <v>1</v>
      </c>
      <c r="DO2000">
        <v>0</v>
      </c>
      <c r="DP2000">
        <v>0</v>
      </c>
      <c r="DQ2000">
        <v>0</v>
      </c>
      <c r="DR2000">
        <v>0</v>
      </c>
      <c r="DS2000">
        <v>0</v>
      </c>
    </row>
    <row r="2001" spans="1:123" x14ac:dyDescent="0.3">
      <c r="A2001" t="str">
        <f t="shared" si="706"/>
        <v>10/04/2022 19:30:46.104</v>
      </c>
      <c r="C2001" t="str">
        <f t="shared" si="703"/>
        <v>FFDDD3C0</v>
      </c>
      <c r="D2001" t="s">
        <v>123</v>
      </c>
      <c r="E2001">
        <v>7</v>
      </c>
      <c r="F2001">
        <v>2007</v>
      </c>
      <c r="G2001" t="s">
        <v>124</v>
      </c>
      <c r="J2001" t="s">
        <v>125</v>
      </c>
      <c r="K2001">
        <v>0</v>
      </c>
      <c r="L2001">
        <v>3</v>
      </c>
      <c r="M2001">
        <v>0</v>
      </c>
      <c r="N2001">
        <v>2</v>
      </c>
      <c r="O2001">
        <v>0</v>
      </c>
      <c r="P2001">
        <v>1</v>
      </c>
      <c r="Q2001">
        <v>0</v>
      </c>
      <c r="S2001" t="str">
        <f t="shared" si="704"/>
        <v>19:30:45.000</v>
      </c>
      <c r="T2001" t="str">
        <f t="shared" si="704"/>
        <v>19:30:45.000</v>
      </c>
      <c r="U2001" t="str">
        <f t="shared" si="701"/>
        <v>AC3944</v>
      </c>
      <c r="V2001">
        <v>0</v>
      </c>
      <c r="W2001">
        <v>0</v>
      </c>
      <c r="X2001">
        <v>2</v>
      </c>
      <c r="Y2001">
        <v>0</v>
      </c>
      <c r="AA2001">
        <v>1</v>
      </c>
      <c r="AB2001">
        <v>8</v>
      </c>
      <c r="AC2001">
        <v>3</v>
      </c>
      <c r="AD2001">
        <v>0</v>
      </c>
      <c r="AE2001">
        <v>9</v>
      </c>
      <c r="AF2001" t="s">
        <v>138</v>
      </c>
      <c r="AG2001">
        <v>0</v>
      </c>
      <c r="AH2001">
        <v>3</v>
      </c>
      <c r="AI2001">
        <v>1</v>
      </c>
      <c r="AJ2001">
        <v>0</v>
      </c>
      <c r="AK2001" t="s">
        <v>706</v>
      </c>
      <c r="AL2001">
        <v>32.775629000000002</v>
      </c>
      <c r="AM2001" t="s">
        <v>707</v>
      </c>
      <c r="AN2001">
        <v>-116.841702</v>
      </c>
      <c r="AO2001">
        <v>25</v>
      </c>
      <c r="AP2001">
        <v>2900</v>
      </c>
      <c r="AQ2001" t="s">
        <v>129</v>
      </c>
      <c r="AR2001">
        <v>123</v>
      </c>
      <c r="AS2001">
        <v>-34</v>
      </c>
      <c r="AT2001">
        <v>320</v>
      </c>
      <c r="BB2001">
        <v>1200</v>
      </c>
      <c r="BC2001">
        <v>1</v>
      </c>
      <c r="BD2001" t="str">
        <f t="shared" si="702"/>
        <v xml:space="preserve">N887QR  </v>
      </c>
      <c r="BE2001">
        <v>1</v>
      </c>
      <c r="BJ2001">
        <v>2675</v>
      </c>
      <c r="BK2001">
        <v>-225</v>
      </c>
      <c r="BL2001" t="s">
        <v>163</v>
      </c>
      <c r="BM2001">
        <v>1</v>
      </c>
      <c r="BN2001">
        <v>1</v>
      </c>
      <c r="BO2001">
        <v>1</v>
      </c>
      <c r="BP2001">
        <v>0</v>
      </c>
      <c r="BS2001">
        <v>0</v>
      </c>
      <c r="BT2001">
        <v>0</v>
      </c>
      <c r="BU2001">
        <v>0</v>
      </c>
      <c r="CE2001" t="str">
        <f t="shared" si="707"/>
        <v>19:30:45.850</v>
      </c>
      <c r="CF2001">
        <v>850203853</v>
      </c>
      <c r="CS2001">
        <v>0</v>
      </c>
      <c r="CT2001">
        <v>2</v>
      </c>
      <c r="CU2001">
        <v>0</v>
      </c>
      <c r="CV2001">
        <v>2</v>
      </c>
      <c r="CW2001">
        <v>0</v>
      </c>
      <c r="CX2001">
        <v>5</v>
      </c>
      <c r="CY2001">
        <v>7</v>
      </c>
      <c r="CZ2001" t="s">
        <v>131</v>
      </c>
      <c r="DA2001">
        <v>300</v>
      </c>
      <c r="DB2001">
        <v>0</v>
      </c>
      <c r="DC2001" t="s">
        <v>176</v>
      </c>
      <c r="DD2001" t="s">
        <v>177</v>
      </c>
      <c r="DG2001">
        <v>5399734</v>
      </c>
      <c r="DI2001">
        <v>1</v>
      </c>
      <c r="DJ2001">
        <v>0</v>
      </c>
      <c r="DK2001">
        <v>0</v>
      </c>
      <c r="DL2001">
        <v>0</v>
      </c>
      <c r="DM2001">
        <v>0</v>
      </c>
      <c r="DN2001">
        <v>1</v>
      </c>
      <c r="DO2001">
        <v>0</v>
      </c>
      <c r="DP2001">
        <v>0</v>
      </c>
      <c r="DQ2001">
        <v>0</v>
      </c>
      <c r="DR2001">
        <v>0</v>
      </c>
      <c r="DS2001">
        <v>0</v>
      </c>
    </row>
    <row r="2002" spans="1:123" x14ac:dyDescent="0.3">
      <c r="A2002" t="str">
        <f t="shared" si="706"/>
        <v>10/04/2022 19:30:46.104</v>
      </c>
      <c r="C2002" t="str">
        <f t="shared" si="703"/>
        <v>FFDDD3C0</v>
      </c>
      <c r="D2002" t="s">
        <v>134</v>
      </c>
      <c r="E2002">
        <v>15</v>
      </c>
      <c r="J2002" t="s">
        <v>135</v>
      </c>
      <c r="K2002">
        <v>0</v>
      </c>
      <c r="L2002">
        <v>3</v>
      </c>
      <c r="M2002">
        <v>0</v>
      </c>
      <c r="N2002">
        <v>2</v>
      </c>
      <c r="O2002">
        <v>0</v>
      </c>
      <c r="P2002">
        <v>1</v>
      </c>
      <c r="Q2002">
        <v>0</v>
      </c>
      <c r="S2002" t="str">
        <f t="shared" si="704"/>
        <v>19:30:45.000</v>
      </c>
      <c r="T2002" t="str">
        <f t="shared" si="704"/>
        <v>19:30:45.000</v>
      </c>
      <c r="U2002" t="str">
        <f t="shared" si="701"/>
        <v>AC3944</v>
      </c>
      <c r="V2002">
        <v>0</v>
      </c>
      <c r="W2002">
        <v>0</v>
      </c>
      <c r="X2002">
        <v>2</v>
      </c>
      <c r="Y2002">
        <v>0</v>
      </c>
      <c r="AA2002">
        <v>1</v>
      </c>
      <c r="AB2002">
        <v>8</v>
      </c>
      <c r="AC2002">
        <v>3</v>
      </c>
      <c r="AD2002">
        <v>0</v>
      </c>
      <c r="AE2002">
        <v>9</v>
      </c>
      <c r="AF2002" t="s">
        <v>138</v>
      </c>
      <c r="AG2002">
        <v>0</v>
      </c>
      <c r="AH2002">
        <v>3</v>
      </c>
      <c r="AI2002">
        <v>1</v>
      </c>
      <c r="AJ2002">
        <v>0</v>
      </c>
      <c r="AK2002" t="s">
        <v>706</v>
      </c>
      <c r="AL2002">
        <v>32.775629000000002</v>
      </c>
      <c r="AM2002" t="s">
        <v>707</v>
      </c>
      <c r="AN2002">
        <v>-116.841702</v>
      </c>
      <c r="AO2002">
        <v>25</v>
      </c>
      <c r="AP2002">
        <v>2900</v>
      </c>
      <c r="AQ2002" t="s">
        <v>129</v>
      </c>
      <c r="AR2002">
        <v>123</v>
      </c>
      <c r="AS2002">
        <v>-34</v>
      </c>
      <c r="AT2002">
        <v>320</v>
      </c>
      <c r="BB2002">
        <v>1200</v>
      </c>
      <c r="BC2002">
        <v>1</v>
      </c>
      <c r="BD2002" t="str">
        <f t="shared" si="702"/>
        <v xml:space="preserve">N887QR  </v>
      </c>
      <c r="BE2002">
        <v>1</v>
      </c>
      <c r="BJ2002">
        <v>2675</v>
      </c>
      <c r="BK2002">
        <v>-225</v>
      </c>
      <c r="BL2002" t="s">
        <v>163</v>
      </c>
      <c r="BM2002">
        <v>1</v>
      </c>
      <c r="BN2002">
        <v>1</v>
      </c>
      <c r="BO2002">
        <v>1</v>
      </c>
      <c r="BP2002">
        <v>0</v>
      </c>
      <c r="BS2002">
        <v>0</v>
      </c>
      <c r="BT2002">
        <v>0</v>
      </c>
      <c r="BU2002">
        <v>0</v>
      </c>
      <c r="CE2002" t="str">
        <f t="shared" si="707"/>
        <v>19:30:45.850</v>
      </c>
      <c r="CF2002">
        <v>850203853</v>
      </c>
      <c r="CS2002">
        <v>0</v>
      </c>
      <c r="CT2002">
        <v>2</v>
      </c>
      <c r="CU2002">
        <v>0</v>
      </c>
      <c r="CV2002">
        <v>2</v>
      </c>
      <c r="CW2002">
        <v>0</v>
      </c>
      <c r="CX2002">
        <v>5</v>
      </c>
      <c r="CY2002">
        <v>7</v>
      </c>
      <c r="CZ2002" t="s">
        <v>131</v>
      </c>
      <c r="DA2002">
        <v>300</v>
      </c>
      <c r="DB2002">
        <v>0</v>
      </c>
      <c r="DC2002" t="s">
        <v>176</v>
      </c>
      <c r="DD2002" t="s">
        <v>177</v>
      </c>
      <c r="DG2002">
        <v>5399734</v>
      </c>
      <c r="DI2002">
        <v>1</v>
      </c>
      <c r="DJ2002">
        <v>0</v>
      </c>
      <c r="DK2002">
        <v>1</v>
      </c>
      <c r="DL2002">
        <v>0</v>
      </c>
      <c r="DM2002">
        <v>0</v>
      </c>
      <c r="DN2002">
        <v>1</v>
      </c>
      <c r="DO2002">
        <v>0</v>
      </c>
      <c r="DP2002">
        <v>0</v>
      </c>
      <c r="DQ2002">
        <v>0</v>
      </c>
      <c r="DR2002">
        <v>0</v>
      </c>
      <c r="DS2002">
        <v>0</v>
      </c>
    </row>
    <row r="2003" spans="1:123" x14ac:dyDescent="0.3">
      <c r="A2003" t="str">
        <f>"10/04/2022 19:30:47.681"</f>
        <v>10/04/2022 19:30:47.681</v>
      </c>
      <c r="C2003" t="str">
        <f t="shared" si="703"/>
        <v>FFDDD3C0</v>
      </c>
      <c r="D2003" t="s">
        <v>141</v>
      </c>
      <c r="E2003">
        <v>4</v>
      </c>
      <c r="H2003">
        <v>4</v>
      </c>
      <c r="I2003" t="s">
        <v>142</v>
      </c>
      <c r="J2003" t="s">
        <v>138</v>
      </c>
      <c r="K2003">
        <v>0</v>
      </c>
      <c r="L2003">
        <v>3</v>
      </c>
      <c r="M2003">
        <v>0</v>
      </c>
      <c r="N2003">
        <v>2</v>
      </c>
      <c r="O2003">
        <v>0</v>
      </c>
      <c r="P2003">
        <v>1</v>
      </c>
      <c r="Q2003">
        <v>0</v>
      </c>
      <c r="S2003" t="str">
        <f t="shared" ref="S2003:T2016" si="708">"19:30:47.000"</f>
        <v>19:30:47.000</v>
      </c>
      <c r="T2003" t="str">
        <f t="shared" si="708"/>
        <v>19:30:47.000</v>
      </c>
      <c r="U2003" t="str">
        <f t="shared" si="701"/>
        <v>AC3944</v>
      </c>
      <c r="V2003">
        <v>0</v>
      </c>
      <c r="W2003">
        <v>0</v>
      </c>
      <c r="X2003">
        <v>2</v>
      </c>
      <c r="Y2003">
        <v>0</v>
      </c>
      <c r="AA2003">
        <v>1</v>
      </c>
      <c r="AB2003">
        <v>8</v>
      </c>
      <c r="AC2003">
        <v>3</v>
      </c>
      <c r="AD2003">
        <v>0</v>
      </c>
      <c r="AE2003">
        <v>9</v>
      </c>
      <c r="AF2003" t="s">
        <v>138</v>
      </c>
      <c r="AG2003">
        <v>0</v>
      </c>
      <c r="AH2003">
        <v>3</v>
      </c>
      <c r="AI2003">
        <v>1</v>
      </c>
      <c r="AJ2003">
        <v>0</v>
      </c>
      <c r="AK2003" t="s">
        <v>708</v>
      </c>
      <c r="AL2003">
        <v>32.775478</v>
      </c>
      <c r="AM2003" t="s">
        <v>709</v>
      </c>
      <c r="AN2003">
        <v>-116.841037</v>
      </c>
      <c r="AO2003">
        <v>25</v>
      </c>
      <c r="AP2003">
        <v>2900</v>
      </c>
      <c r="AQ2003" t="s">
        <v>129</v>
      </c>
      <c r="AR2003">
        <v>124</v>
      </c>
      <c r="AS2003">
        <v>-32</v>
      </c>
      <c r="AT2003">
        <v>256</v>
      </c>
      <c r="BB2003">
        <v>1200</v>
      </c>
      <c r="BC2003">
        <v>1</v>
      </c>
      <c r="BD2003" t="str">
        <f t="shared" si="702"/>
        <v xml:space="preserve">N887QR  </v>
      </c>
      <c r="BE2003">
        <v>1</v>
      </c>
      <c r="BJ2003">
        <v>2675</v>
      </c>
      <c r="BK2003">
        <v>-225</v>
      </c>
      <c r="BL2003" t="s">
        <v>163</v>
      </c>
      <c r="BM2003">
        <v>1</v>
      </c>
      <c r="BN2003">
        <v>1</v>
      </c>
      <c r="BO2003">
        <v>1</v>
      </c>
      <c r="BP2003">
        <v>0</v>
      </c>
      <c r="BS2003">
        <v>0</v>
      </c>
      <c r="BT2003">
        <v>0</v>
      </c>
      <c r="BU2003">
        <v>0</v>
      </c>
      <c r="CE2003" t="str">
        <f t="shared" ref="CE2003:CE2009" si="709">"19:30:47.384"</f>
        <v>19:30:47.384</v>
      </c>
      <c r="CF2003">
        <v>384208908</v>
      </c>
      <c r="CS2003">
        <v>0</v>
      </c>
      <c r="CT2003">
        <v>2</v>
      </c>
      <c r="CU2003">
        <v>0</v>
      </c>
      <c r="CV2003">
        <v>2</v>
      </c>
      <c r="CW2003">
        <v>0</v>
      </c>
      <c r="CX2003">
        <v>5</v>
      </c>
      <c r="CY2003">
        <v>7</v>
      </c>
      <c r="CZ2003" t="s">
        <v>131</v>
      </c>
      <c r="DA2003">
        <v>300</v>
      </c>
      <c r="DB2003">
        <v>0</v>
      </c>
      <c r="DC2003" t="s">
        <v>176</v>
      </c>
      <c r="DD2003" t="s">
        <v>177</v>
      </c>
      <c r="DG2003">
        <v>5399980</v>
      </c>
      <c r="DI2003">
        <v>1</v>
      </c>
      <c r="DJ2003">
        <v>0</v>
      </c>
      <c r="DK2003">
        <v>0</v>
      </c>
      <c r="DL2003">
        <v>0</v>
      </c>
      <c r="DM2003">
        <v>0</v>
      </c>
      <c r="DN2003">
        <v>1</v>
      </c>
      <c r="DO2003">
        <v>0</v>
      </c>
      <c r="DP2003">
        <v>0</v>
      </c>
      <c r="DQ2003">
        <v>0</v>
      </c>
      <c r="DR2003">
        <v>0</v>
      </c>
      <c r="DS2003">
        <v>0</v>
      </c>
    </row>
    <row r="2004" spans="1:123" x14ac:dyDescent="0.3">
      <c r="A2004" t="str">
        <f>"10/04/2022 19:30:47.681"</f>
        <v>10/04/2022 19:30:47.681</v>
      </c>
      <c r="C2004" t="str">
        <f t="shared" si="703"/>
        <v>FFDDD3C0</v>
      </c>
      <c r="D2004" t="s">
        <v>141</v>
      </c>
      <c r="E2004">
        <v>3</v>
      </c>
      <c r="H2004">
        <v>3</v>
      </c>
      <c r="I2004" t="s">
        <v>146</v>
      </c>
      <c r="J2004" t="s">
        <v>138</v>
      </c>
      <c r="K2004">
        <v>0</v>
      </c>
      <c r="L2004">
        <v>3</v>
      </c>
      <c r="M2004">
        <v>0</v>
      </c>
      <c r="N2004">
        <v>2</v>
      </c>
      <c r="O2004">
        <v>0</v>
      </c>
      <c r="P2004">
        <v>1</v>
      </c>
      <c r="Q2004">
        <v>0</v>
      </c>
      <c r="S2004" t="str">
        <f t="shared" si="708"/>
        <v>19:30:47.000</v>
      </c>
      <c r="T2004" t="str">
        <f t="shared" si="708"/>
        <v>19:30:47.000</v>
      </c>
      <c r="U2004" t="str">
        <f t="shared" si="701"/>
        <v>AC3944</v>
      </c>
      <c r="V2004">
        <v>0</v>
      </c>
      <c r="W2004">
        <v>0</v>
      </c>
      <c r="X2004">
        <v>2</v>
      </c>
      <c r="Y2004">
        <v>0</v>
      </c>
      <c r="AA2004">
        <v>1</v>
      </c>
      <c r="AB2004">
        <v>8</v>
      </c>
      <c r="AC2004">
        <v>3</v>
      </c>
      <c r="AD2004">
        <v>0</v>
      </c>
      <c r="AE2004">
        <v>9</v>
      </c>
      <c r="AF2004" t="s">
        <v>138</v>
      </c>
      <c r="AG2004">
        <v>0</v>
      </c>
      <c r="AH2004">
        <v>3</v>
      </c>
      <c r="AI2004">
        <v>1</v>
      </c>
      <c r="AJ2004">
        <v>0</v>
      </c>
      <c r="AK2004" t="s">
        <v>708</v>
      </c>
      <c r="AL2004">
        <v>32.775478</v>
      </c>
      <c r="AM2004" t="s">
        <v>709</v>
      </c>
      <c r="AN2004">
        <v>-116.841037</v>
      </c>
      <c r="AO2004">
        <v>25</v>
      </c>
      <c r="AP2004">
        <v>2900</v>
      </c>
      <c r="AQ2004" t="s">
        <v>129</v>
      </c>
      <c r="AR2004">
        <v>124</v>
      </c>
      <c r="AS2004">
        <v>-32</v>
      </c>
      <c r="AT2004">
        <v>256</v>
      </c>
      <c r="BB2004">
        <v>1200</v>
      </c>
      <c r="BC2004">
        <v>1</v>
      </c>
      <c r="BD2004" t="str">
        <f t="shared" si="702"/>
        <v xml:space="preserve">N887QR  </v>
      </c>
      <c r="BE2004">
        <v>1</v>
      </c>
      <c r="BJ2004">
        <v>2675</v>
      </c>
      <c r="BK2004">
        <v>-225</v>
      </c>
      <c r="BL2004" t="s">
        <v>163</v>
      </c>
      <c r="BM2004">
        <v>1</v>
      </c>
      <c r="BN2004">
        <v>1</v>
      </c>
      <c r="BO2004">
        <v>1</v>
      </c>
      <c r="BP2004">
        <v>0</v>
      </c>
      <c r="BS2004">
        <v>0</v>
      </c>
      <c r="BT2004">
        <v>0</v>
      </c>
      <c r="BU2004">
        <v>0</v>
      </c>
      <c r="CE2004" t="str">
        <f t="shared" si="709"/>
        <v>19:30:47.384</v>
      </c>
      <c r="CF2004">
        <v>384208908</v>
      </c>
      <c r="CS2004">
        <v>0</v>
      </c>
      <c r="CT2004">
        <v>2</v>
      </c>
      <c r="CU2004">
        <v>0</v>
      </c>
      <c r="CV2004">
        <v>2</v>
      </c>
      <c r="CW2004">
        <v>0</v>
      </c>
      <c r="CX2004">
        <v>5</v>
      </c>
      <c r="CY2004">
        <v>7</v>
      </c>
      <c r="CZ2004" t="s">
        <v>131</v>
      </c>
      <c r="DA2004">
        <v>300</v>
      </c>
      <c r="DB2004">
        <v>0</v>
      </c>
      <c r="DC2004" t="s">
        <v>176</v>
      </c>
      <c r="DD2004" t="s">
        <v>177</v>
      </c>
      <c r="DG2004">
        <v>5399980</v>
      </c>
      <c r="DI2004">
        <v>1</v>
      </c>
      <c r="DJ2004">
        <v>0</v>
      </c>
      <c r="DK2004">
        <v>1</v>
      </c>
      <c r="DL2004">
        <v>0</v>
      </c>
      <c r="DM2004">
        <v>0</v>
      </c>
      <c r="DN2004">
        <v>1</v>
      </c>
      <c r="DO2004">
        <v>0</v>
      </c>
      <c r="DP2004">
        <v>0</v>
      </c>
      <c r="DQ2004">
        <v>0</v>
      </c>
      <c r="DR2004">
        <v>0</v>
      </c>
      <c r="DS2004">
        <v>0</v>
      </c>
    </row>
    <row r="2005" spans="1:123" x14ac:dyDescent="0.3">
      <c r="A2005" t="str">
        <f>"10/04/2022 19:30:47.681"</f>
        <v>10/04/2022 19:30:47.681</v>
      </c>
      <c r="C2005" t="str">
        <f t="shared" si="703"/>
        <v>FFDDD3C0</v>
      </c>
      <c r="D2005" t="s">
        <v>143</v>
      </c>
      <c r="E2005">
        <v>20</v>
      </c>
      <c r="F2005">
        <v>1020</v>
      </c>
      <c r="G2005" t="s">
        <v>144</v>
      </c>
      <c r="J2005" t="s">
        <v>145</v>
      </c>
      <c r="K2005">
        <v>0</v>
      </c>
      <c r="L2005">
        <v>3</v>
      </c>
      <c r="M2005">
        <v>0</v>
      </c>
      <c r="N2005">
        <v>2</v>
      </c>
      <c r="O2005">
        <v>0</v>
      </c>
      <c r="P2005">
        <v>1</v>
      </c>
      <c r="Q2005">
        <v>0</v>
      </c>
      <c r="S2005" t="str">
        <f t="shared" si="708"/>
        <v>19:30:47.000</v>
      </c>
      <c r="T2005" t="str">
        <f t="shared" si="708"/>
        <v>19:30:47.000</v>
      </c>
      <c r="U2005" t="str">
        <f t="shared" si="701"/>
        <v>AC3944</v>
      </c>
      <c r="V2005">
        <v>0</v>
      </c>
      <c r="W2005">
        <v>0</v>
      </c>
      <c r="X2005">
        <v>2</v>
      </c>
      <c r="Y2005">
        <v>0</v>
      </c>
      <c r="AA2005">
        <v>1</v>
      </c>
      <c r="AB2005">
        <v>8</v>
      </c>
      <c r="AC2005">
        <v>3</v>
      </c>
      <c r="AD2005">
        <v>0</v>
      </c>
      <c r="AE2005">
        <v>9</v>
      </c>
      <c r="AF2005" t="s">
        <v>138</v>
      </c>
      <c r="AG2005">
        <v>0</v>
      </c>
      <c r="AH2005">
        <v>3</v>
      </c>
      <c r="AI2005">
        <v>1</v>
      </c>
      <c r="AJ2005">
        <v>0</v>
      </c>
      <c r="AK2005" t="s">
        <v>708</v>
      </c>
      <c r="AL2005">
        <v>32.775478</v>
      </c>
      <c r="AM2005" t="s">
        <v>709</v>
      </c>
      <c r="AN2005">
        <v>-116.841037</v>
      </c>
      <c r="AO2005">
        <v>25</v>
      </c>
      <c r="AP2005">
        <v>2900</v>
      </c>
      <c r="AQ2005" t="s">
        <v>129</v>
      </c>
      <c r="AR2005">
        <v>124</v>
      </c>
      <c r="AS2005">
        <v>-32</v>
      </c>
      <c r="AT2005">
        <v>256</v>
      </c>
      <c r="BB2005">
        <v>1200</v>
      </c>
      <c r="BC2005">
        <v>1</v>
      </c>
      <c r="BD2005" t="str">
        <f t="shared" si="702"/>
        <v xml:space="preserve">N887QR  </v>
      </c>
      <c r="BE2005">
        <v>1</v>
      </c>
      <c r="BJ2005">
        <v>2675</v>
      </c>
      <c r="BK2005">
        <v>-225</v>
      </c>
      <c r="BL2005" t="s">
        <v>163</v>
      </c>
      <c r="BM2005">
        <v>1</v>
      </c>
      <c r="BN2005">
        <v>1</v>
      </c>
      <c r="BO2005">
        <v>1</v>
      </c>
      <c r="BP2005">
        <v>0</v>
      </c>
      <c r="BS2005">
        <v>0</v>
      </c>
      <c r="BT2005">
        <v>0</v>
      </c>
      <c r="BU2005">
        <v>0</v>
      </c>
      <c r="CE2005" t="str">
        <f t="shared" si="709"/>
        <v>19:30:47.384</v>
      </c>
      <c r="CF2005">
        <v>384208908</v>
      </c>
      <c r="CS2005">
        <v>0</v>
      </c>
      <c r="CT2005">
        <v>2</v>
      </c>
      <c r="CU2005">
        <v>0</v>
      </c>
      <c r="CV2005">
        <v>2</v>
      </c>
      <c r="CW2005">
        <v>0</v>
      </c>
      <c r="CX2005">
        <v>5</v>
      </c>
      <c r="CY2005">
        <v>7</v>
      </c>
      <c r="CZ2005" t="s">
        <v>131</v>
      </c>
      <c r="DA2005">
        <v>300</v>
      </c>
      <c r="DB2005">
        <v>0</v>
      </c>
      <c r="DC2005" t="s">
        <v>176</v>
      </c>
      <c r="DD2005" t="s">
        <v>177</v>
      </c>
      <c r="DG2005">
        <v>5399980</v>
      </c>
      <c r="DI2005">
        <v>1</v>
      </c>
      <c r="DJ2005">
        <v>0</v>
      </c>
      <c r="DK2005">
        <v>1</v>
      </c>
      <c r="DL2005">
        <v>0</v>
      </c>
      <c r="DM2005">
        <v>0</v>
      </c>
      <c r="DN2005">
        <v>1</v>
      </c>
      <c r="DO2005">
        <v>0</v>
      </c>
      <c r="DP2005">
        <v>0</v>
      </c>
      <c r="DQ2005">
        <v>0</v>
      </c>
      <c r="DR2005">
        <v>0</v>
      </c>
      <c r="DS2005">
        <v>0</v>
      </c>
    </row>
    <row r="2006" spans="1:123" x14ac:dyDescent="0.3">
      <c r="A2006" t="str">
        <f>"10/04/2022 19:30:47.697"</f>
        <v>10/04/2022 19:30:47.697</v>
      </c>
      <c r="C2006" t="str">
        <f t="shared" si="703"/>
        <v>FFDDD3C0</v>
      </c>
      <c r="D2006" t="s">
        <v>123</v>
      </c>
      <c r="E2006">
        <v>7</v>
      </c>
      <c r="F2006">
        <v>2007</v>
      </c>
      <c r="G2006" t="s">
        <v>124</v>
      </c>
      <c r="J2006" t="s">
        <v>125</v>
      </c>
      <c r="K2006">
        <v>0</v>
      </c>
      <c r="L2006">
        <v>3</v>
      </c>
      <c r="M2006">
        <v>0</v>
      </c>
      <c r="N2006">
        <v>2</v>
      </c>
      <c r="O2006">
        <v>0</v>
      </c>
      <c r="P2006">
        <v>1</v>
      </c>
      <c r="Q2006">
        <v>0</v>
      </c>
      <c r="S2006" t="str">
        <f t="shared" si="708"/>
        <v>19:30:47.000</v>
      </c>
      <c r="T2006" t="str">
        <f t="shared" si="708"/>
        <v>19:30:47.000</v>
      </c>
      <c r="U2006" t="str">
        <f t="shared" si="701"/>
        <v>AC3944</v>
      </c>
      <c r="V2006">
        <v>0</v>
      </c>
      <c r="W2006">
        <v>0</v>
      </c>
      <c r="X2006">
        <v>2</v>
      </c>
      <c r="Y2006">
        <v>0</v>
      </c>
      <c r="AA2006">
        <v>1</v>
      </c>
      <c r="AB2006">
        <v>8</v>
      </c>
      <c r="AC2006">
        <v>3</v>
      </c>
      <c r="AD2006">
        <v>0</v>
      </c>
      <c r="AE2006">
        <v>9</v>
      </c>
      <c r="AF2006" t="s">
        <v>138</v>
      </c>
      <c r="AG2006">
        <v>0</v>
      </c>
      <c r="AH2006">
        <v>3</v>
      </c>
      <c r="AI2006">
        <v>1</v>
      </c>
      <c r="AJ2006">
        <v>0</v>
      </c>
      <c r="AK2006" t="s">
        <v>708</v>
      </c>
      <c r="AL2006">
        <v>32.775478</v>
      </c>
      <c r="AM2006" t="s">
        <v>709</v>
      </c>
      <c r="AN2006">
        <v>-116.841037</v>
      </c>
      <c r="AO2006">
        <v>25</v>
      </c>
      <c r="AP2006">
        <v>2900</v>
      </c>
      <c r="AQ2006" t="s">
        <v>129</v>
      </c>
      <c r="AR2006">
        <v>124</v>
      </c>
      <c r="AS2006">
        <v>-32</v>
      </c>
      <c r="AT2006">
        <v>256</v>
      </c>
      <c r="BB2006">
        <v>1200</v>
      </c>
      <c r="BC2006">
        <v>1</v>
      </c>
      <c r="BD2006" t="str">
        <f t="shared" si="702"/>
        <v xml:space="preserve">N887QR  </v>
      </c>
      <c r="BE2006">
        <v>1</v>
      </c>
      <c r="BJ2006">
        <v>2675</v>
      </c>
      <c r="BK2006">
        <v>-225</v>
      </c>
      <c r="BL2006" t="s">
        <v>163</v>
      </c>
      <c r="BM2006">
        <v>1</v>
      </c>
      <c r="BN2006">
        <v>1</v>
      </c>
      <c r="BO2006">
        <v>1</v>
      </c>
      <c r="BP2006">
        <v>0</v>
      </c>
      <c r="BS2006">
        <v>0</v>
      </c>
      <c r="BT2006">
        <v>0</v>
      </c>
      <c r="BU2006">
        <v>0</v>
      </c>
      <c r="CE2006" t="str">
        <f t="shared" si="709"/>
        <v>19:30:47.384</v>
      </c>
      <c r="CF2006">
        <v>384208908</v>
      </c>
      <c r="CS2006">
        <v>0</v>
      </c>
      <c r="CT2006">
        <v>2</v>
      </c>
      <c r="CU2006">
        <v>0</v>
      </c>
      <c r="CV2006">
        <v>2</v>
      </c>
      <c r="CW2006">
        <v>0</v>
      </c>
      <c r="CX2006">
        <v>5</v>
      </c>
      <c r="CY2006">
        <v>7</v>
      </c>
      <c r="CZ2006" t="s">
        <v>131</v>
      </c>
      <c r="DA2006">
        <v>300</v>
      </c>
      <c r="DB2006">
        <v>0</v>
      </c>
      <c r="DC2006" t="s">
        <v>176</v>
      </c>
      <c r="DD2006" t="s">
        <v>177</v>
      </c>
      <c r="DG2006">
        <v>5399980</v>
      </c>
      <c r="DI2006">
        <v>1</v>
      </c>
      <c r="DJ2006">
        <v>0</v>
      </c>
      <c r="DK2006">
        <v>1</v>
      </c>
      <c r="DL2006">
        <v>0</v>
      </c>
      <c r="DM2006">
        <v>0</v>
      </c>
      <c r="DN2006">
        <v>1</v>
      </c>
      <c r="DO2006">
        <v>0</v>
      </c>
      <c r="DP2006">
        <v>0</v>
      </c>
      <c r="DQ2006">
        <v>0</v>
      </c>
      <c r="DR2006">
        <v>0</v>
      </c>
      <c r="DS2006">
        <v>0</v>
      </c>
    </row>
    <row r="2007" spans="1:123" x14ac:dyDescent="0.3">
      <c r="A2007" t="str">
        <f>"10/04/2022 19:30:47.697"</f>
        <v>10/04/2022 19:30:47.697</v>
      </c>
      <c r="C2007" t="str">
        <f t="shared" si="703"/>
        <v>FFDDD3C0</v>
      </c>
      <c r="D2007" t="s">
        <v>134</v>
      </c>
      <c r="E2007">
        <v>15</v>
      </c>
      <c r="J2007" t="s">
        <v>135</v>
      </c>
      <c r="K2007">
        <v>0</v>
      </c>
      <c r="L2007">
        <v>3</v>
      </c>
      <c r="M2007">
        <v>0</v>
      </c>
      <c r="N2007">
        <v>2</v>
      </c>
      <c r="O2007">
        <v>0</v>
      </c>
      <c r="P2007">
        <v>1</v>
      </c>
      <c r="Q2007">
        <v>0</v>
      </c>
      <c r="S2007" t="str">
        <f t="shared" si="708"/>
        <v>19:30:47.000</v>
      </c>
      <c r="T2007" t="str">
        <f t="shared" si="708"/>
        <v>19:30:47.000</v>
      </c>
      <c r="U2007" t="str">
        <f t="shared" si="701"/>
        <v>AC3944</v>
      </c>
      <c r="V2007">
        <v>0</v>
      </c>
      <c r="W2007">
        <v>0</v>
      </c>
      <c r="X2007">
        <v>2</v>
      </c>
      <c r="Y2007">
        <v>0</v>
      </c>
      <c r="AA2007">
        <v>1</v>
      </c>
      <c r="AB2007">
        <v>8</v>
      </c>
      <c r="AC2007">
        <v>3</v>
      </c>
      <c r="AD2007">
        <v>0</v>
      </c>
      <c r="AE2007">
        <v>9</v>
      </c>
      <c r="AF2007" t="s">
        <v>138</v>
      </c>
      <c r="AG2007">
        <v>0</v>
      </c>
      <c r="AH2007">
        <v>3</v>
      </c>
      <c r="AI2007">
        <v>1</v>
      </c>
      <c r="AJ2007">
        <v>0</v>
      </c>
      <c r="AK2007" t="s">
        <v>708</v>
      </c>
      <c r="AL2007">
        <v>32.775478</v>
      </c>
      <c r="AM2007" t="s">
        <v>709</v>
      </c>
      <c r="AN2007">
        <v>-116.841037</v>
      </c>
      <c r="AO2007">
        <v>25</v>
      </c>
      <c r="AP2007">
        <v>2900</v>
      </c>
      <c r="AQ2007" t="s">
        <v>129</v>
      </c>
      <c r="AR2007">
        <v>124</v>
      </c>
      <c r="AS2007">
        <v>-32</v>
      </c>
      <c r="AT2007">
        <v>256</v>
      </c>
      <c r="BB2007">
        <v>1200</v>
      </c>
      <c r="BC2007">
        <v>1</v>
      </c>
      <c r="BD2007" t="str">
        <f t="shared" si="702"/>
        <v xml:space="preserve">N887QR  </v>
      </c>
      <c r="BE2007">
        <v>1</v>
      </c>
      <c r="BJ2007">
        <v>2675</v>
      </c>
      <c r="BK2007">
        <v>-225</v>
      </c>
      <c r="BL2007" t="s">
        <v>163</v>
      </c>
      <c r="BM2007">
        <v>1</v>
      </c>
      <c r="BN2007">
        <v>1</v>
      </c>
      <c r="BO2007">
        <v>1</v>
      </c>
      <c r="BP2007">
        <v>0</v>
      </c>
      <c r="BS2007">
        <v>0</v>
      </c>
      <c r="BT2007">
        <v>0</v>
      </c>
      <c r="BU2007">
        <v>0</v>
      </c>
      <c r="CE2007" t="str">
        <f t="shared" si="709"/>
        <v>19:30:47.384</v>
      </c>
      <c r="CF2007">
        <v>384208908</v>
      </c>
      <c r="CS2007">
        <v>0</v>
      </c>
      <c r="CT2007">
        <v>2</v>
      </c>
      <c r="CU2007">
        <v>0</v>
      </c>
      <c r="CV2007">
        <v>2</v>
      </c>
      <c r="CW2007">
        <v>0</v>
      </c>
      <c r="CX2007">
        <v>5</v>
      </c>
      <c r="CY2007">
        <v>7</v>
      </c>
      <c r="CZ2007" t="s">
        <v>131</v>
      </c>
      <c r="DA2007">
        <v>300</v>
      </c>
      <c r="DB2007">
        <v>0</v>
      </c>
      <c r="DC2007" t="s">
        <v>176</v>
      </c>
      <c r="DD2007" t="s">
        <v>177</v>
      </c>
      <c r="DG2007">
        <v>5399980</v>
      </c>
      <c r="DI2007">
        <v>1</v>
      </c>
      <c r="DJ2007">
        <v>0</v>
      </c>
      <c r="DK2007">
        <v>1</v>
      </c>
      <c r="DL2007">
        <v>0</v>
      </c>
      <c r="DM2007">
        <v>0</v>
      </c>
      <c r="DN2007">
        <v>1</v>
      </c>
      <c r="DO2007">
        <v>0</v>
      </c>
      <c r="DP2007">
        <v>0</v>
      </c>
      <c r="DQ2007">
        <v>0</v>
      </c>
      <c r="DR2007">
        <v>0</v>
      </c>
      <c r="DS2007">
        <v>0</v>
      </c>
    </row>
    <row r="2008" spans="1:123" x14ac:dyDescent="0.3">
      <c r="A2008" t="str">
        <f>"10/04/2022 19:30:47.697"</f>
        <v>10/04/2022 19:30:47.697</v>
      </c>
      <c r="C2008" t="str">
        <f t="shared" si="703"/>
        <v>FFDDD3C0</v>
      </c>
      <c r="D2008" t="s">
        <v>136</v>
      </c>
      <c r="E2008">
        <v>8</v>
      </c>
      <c r="H2008">
        <v>225</v>
      </c>
      <c r="I2008" t="s">
        <v>137</v>
      </c>
      <c r="J2008" t="s">
        <v>138</v>
      </c>
      <c r="K2008">
        <v>0</v>
      </c>
      <c r="L2008">
        <v>3</v>
      </c>
      <c r="M2008">
        <v>0</v>
      </c>
      <c r="N2008">
        <v>2</v>
      </c>
      <c r="O2008">
        <v>0</v>
      </c>
      <c r="P2008">
        <v>1</v>
      </c>
      <c r="Q2008">
        <v>0</v>
      </c>
      <c r="S2008" t="str">
        <f t="shared" si="708"/>
        <v>19:30:47.000</v>
      </c>
      <c r="T2008" t="str">
        <f t="shared" si="708"/>
        <v>19:30:47.000</v>
      </c>
      <c r="U2008" t="str">
        <f t="shared" si="701"/>
        <v>AC3944</v>
      </c>
      <c r="V2008">
        <v>0</v>
      </c>
      <c r="W2008">
        <v>0</v>
      </c>
      <c r="X2008">
        <v>2</v>
      </c>
      <c r="Y2008">
        <v>0</v>
      </c>
      <c r="AA2008">
        <v>1</v>
      </c>
      <c r="AB2008">
        <v>8</v>
      </c>
      <c r="AC2008">
        <v>3</v>
      </c>
      <c r="AD2008">
        <v>0</v>
      </c>
      <c r="AE2008">
        <v>9</v>
      </c>
      <c r="AF2008" t="s">
        <v>138</v>
      </c>
      <c r="AG2008">
        <v>0</v>
      </c>
      <c r="AH2008">
        <v>3</v>
      </c>
      <c r="AI2008">
        <v>1</v>
      </c>
      <c r="AJ2008">
        <v>0</v>
      </c>
      <c r="AK2008" t="s">
        <v>708</v>
      </c>
      <c r="AL2008">
        <v>32.775478</v>
      </c>
      <c r="AM2008" t="s">
        <v>709</v>
      </c>
      <c r="AN2008">
        <v>-116.841037</v>
      </c>
      <c r="AO2008">
        <v>25</v>
      </c>
      <c r="AP2008">
        <v>2900</v>
      </c>
      <c r="AQ2008" t="s">
        <v>129</v>
      </c>
      <c r="AR2008">
        <v>124</v>
      </c>
      <c r="AS2008">
        <v>-32</v>
      </c>
      <c r="AT2008">
        <v>256</v>
      </c>
      <c r="BB2008">
        <v>1200</v>
      </c>
      <c r="BC2008">
        <v>1</v>
      </c>
      <c r="BD2008" t="str">
        <f t="shared" si="702"/>
        <v xml:space="preserve">N887QR  </v>
      </c>
      <c r="BE2008">
        <v>1</v>
      </c>
      <c r="BJ2008">
        <v>2675</v>
      </c>
      <c r="BK2008">
        <v>-225</v>
      </c>
      <c r="BL2008" t="s">
        <v>163</v>
      </c>
      <c r="BM2008">
        <v>1</v>
      </c>
      <c r="BN2008">
        <v>1</v>
      </c>
      <c r="BO2008">
        <v>1</v>
      </c>
      <c r="BP2008">
        <v>0</v>
      </c>
      <c r="BS2008">
        <v>0</v>
      </c>
      <c r="BT2008">
        <v>0</v>
      </c>
      <c r="BU2008">
        <v>0</v>
      </c>
      <c r="CE2008" t="str">
        <f t="shared" si="709"/>
        <v>19:30:47.384</v>
      </c>
      <c r="CF2008">
        <v>384208908</v>
      </c>
      <c r="CS2008">
        <v>0</v>
      </c>
      <c r="CT2008">
        <v>2</v>
      </c>
      <c r="CU2008">
        <v>0</v>
      </c>
      <c r="CV2008">
        <v>2</v>
      </c>
      <c r="CW2008">
        <v>0</v>
      </c>
      <c r="CX2008">
        <v>5</v>
      </c>
      <c r="CY2008">
        <v>7</v>
      </c>
      <c r="CZ2008" t="s">
        <v>131</v>
      </c>
      <c r="DA2008">
        <v>300</v>
      </c>
      <c r="DB2008">
        <v>0</v>
      </c>
      <c r="DC2008" t="s">
        <v>176</v>
      </c>
      <c r="DD2008" t="s">
        <v>177</v>
      </c>
      <c r="DG2008">
        <v>5399980</v>
      </c>
      <c r="DI2008">
        <v>1</v>
      </c>
      <c r="DJ2008">
        <v>0</v>
      </c>
      <c r="DK2008">
        <v>1</v>
      </c>
      <c r="DL2008">
        <v>0</v>
      </c>
      <c r="DM2008">
        <v>0</v>
      </c>
      <c r="DN2008">
        <v>1</v>
      </c>
      <c r="DO2008">
        <v>0</v>
      </c>
      <c r="DP2008">
        <v>0</v>
      </c>
      <c r="DQ2008">
        <v>0</v>
      </c>
      <c r="DR2008">
        <v>0</v>
      </c>
      <c r="DS2008">
        <v>0</v>
      </c>
    </row>
    <row r="2009" spans="1:123" x14ac:dyDescent="0.3">
      <c r="A2009" t="str">
        <f>"10/04/2022 19:30:47.697"</f>
        <v>10/04/2022 19:30:47.697</v>
      </c>
      <c r="C2009" t="str">
        <f t="shared" si="703"/>
        <v>FFDDD3C0</v>
      </c>
      <c r="D2009" t="s">
        <v>147</v>
      </c>
      <c r="E2009">
        <v>3</v>
      </c>
      <c r="H2009">
        <v>166</v>
      </c>
      <c r="I2009" t="s">
        <v>144</v>
      </c>
      <c r="J2009" t="s">
        <v>148</v>
      </c>
      <c r="K2009">
        <v>0</v>
      </c>
      <c r="L2009">
        <v>3</v>
      </c>
      <c r="M2009">
        <v>0</v>
      </c>
      <c r="N2009">
        <v>2</v>
      </c>
      <c r="O2009">
        <v>0</v>
      </c>
      <c r="P2009">
        <v>1</v>
      </c>
      <c r="Q2009">
        <v>0</v>
      </c>
      <c r="S2009" t="str">
        <f t="shared" si="708"/>
        <v>19:30:47.000</v>
      </c>
      <c r="T2009" t="str">
        <f t="shared" si="708"/>
        <v>19:30:47.000</v>
      </c>
      <c r="U2009" t="str">
        <f t="shared" si="701"/>
        <v>AC3944</v>
      </c>
      <c r="V2009">
        <v>0</v>
      </c>
      <c r="W2009">
        <v>0</v>
      </c>
      <c r="X2009">
        <v>2</v>
      </c>
      <c r="Y2009">
        <v>0</v>
      </c>
      <c r="AA2009">
        <v>1</v>
      </c>
      <c r="AB2009">
        <v>8</v>
      </c>
      <c r="AC2009">
        <v>3</v>
      </c>
      <c r="AD2009">
        <v>0</v>
      </c>
      <c r="AE2009">
        <v>9</v>
      </c>
      <c r="AF2009" t="s">
        <v>138</v>
      </c>
      <c r="AG2009">
        <v>0</v>
      </c>
      <c r="AH2009">
        <v>3</v>
      </c>
      <c r="AI2009">
        <v>1</v>
      </c>
      <c r="AJ2009">
        <v>0</v>
      </c>
      <c r="AK2009" t="s">
        <v>708</v>
      </c>
      <c r="AL2009">
        <v>32.775478</v>
      </c>
      <c r="AM2009" t="s">
        <v>709</v>
      </c>
      <c r="AN2009">
        <v>-116.841037</v>
      </c>
      <c r="AO2009">
        <v>25</v>
      </c>
      <c r="AP2009">
        <v>2900</v>
      </c>
      <c r="AQ2009" t="s">
        <v>129</v>
      </c>
      <c r="AR2009">
        <v>124</v>
      </c>
      <c r="AS2009">
        <v>-32</v>
      </c>
      <c r="AT2009">
        <v>256</v>
      </c>
      <c r="BB2009">
        <v>1200</v>
      </c>
      <c r="BC2009">
        <v>1</v>
      </c>
      <c r="BD2009" t="str">
        <f t="shared" si="702"/>
        <v xml:space="preserve">N887QR  </v>
      </c>
      <c r="BE2009">
        <v>1</v>
      </c>
      <c r="BJ2009">
        <v>2675</v>
      </c>
      <c r="BK2009">
        <v>-225</v>
      </c>
      <c r="BL2009" t="s">
        <v>163</v>
      </c>
      <c r="BM2009">
        <v>1</v>
      </c>
      <c r="BN2009">
        <v>1</v>
      </c>
      <c r="BO2009">
        <v>1</v>
      </c>
      <c r="BP2009">
        <v>0</v>
      </c>
      <c r="BS2009">
        <v>0</v>
      </c>
      <c r="BT2009">
        <v>0</v>
      </c>
      <c r="BU2009">
        <v>0</v>
      </c>
      <c r="CE2009" t="str">
        <f t="shared" si="709"/>
        <v>19:30:47.384</v>
      </c>
      <c r="CF2009">
        <v>384208908</v>
      </c>
      <c r="CS2009">
        <v>0</v>
      </c>
      <c r="CT2009">
        <v>2</v>
      </c>
      <c r="CU2009">
        <v>0</v>
      </c>
      <c r="CV2009">
        <v>2</v>
      </c>
      <c r="CW2009">
        <v>0</v>
      </c>
      <c r="CX2009">
        <v>5</v>
      </c>
      <c r="CY2009">
        <v>7</v>
      </c>
      <c r="CZ2009" t="s">
        <v>131</v>
      </c>
      <c r="DA2009">
        <v>300</v>
      </c>
      <c r="DB2009">
        <v>0</v>
      </c>
      <c r="DC2009" t="s">
        <v>176</v>
      </c>
      <c r="DD2009" t="s">
        <v>177</v>
      </c>
      <c r="DG2009">
        <v>5399980</v>
      </c>
      <c r="DI2009">
        <v>1</v>
      </c>
      <c r="DJ2009">
        <v>0</v>
      </c>
      <c r="DK2009">
        <v>1</v>
      </c>
      <c r="DL2009">
        <v>0</v>
      </c>
      <c r="DM2009">
        <v>0</v>
      </c>
      <c r="DN2009">
        <v>1</v>
      </c>
      <c r="DO2009">
        <v>0</v>
      </c>
      <c r="DP2009">
        <v>0</v>
      </c>
      <c r="DQ2009">
        <v>0</v>
      </c>
      <c r="DR2009">
        <v>0</v>
      </c>
      <c r="DS2009">
        <v>0</v>
      </c>
    </row>
    <row r="2010" spans="1:123" x14ac:dyDescent="0.3">
      <c r="A2010" t="str">
        <f t="shared" ref="A2010:A2016" si="710">"10/04/2022 19:30:48.119"</f>
        <v>10/04/2022 19:30:48.119</v>
      </c>
      <c r="C2010" t="str">
        <f t="shared" ref="C2010:C2041" si="711">"FFDFD3C0"</f>
        <v>FFDFD3C0</v>
      </c>
      <c r="D2010" t="s">
        <v>123</v>
      </c>
      <c r="E2010">
        <v>7</v>
      </c>
      <c r="F2010">
        <v>2007</v>
      </c>
      <c r="G2010" t="s">
        <v>124</v>
      </c>
      <c r="J2010" t="s">
        <v>125</v>
      </c>
      <c r="K2010">
        <v>0</v>
      </c>
      <c r="L2010">
        <v>3</v>
      </c>
      <c r="M2010">
        <v>0</v>
      </c>
      <c r="N2010">
        <v>2</v>
      </c>
      <c r="O2010">
        <v>0</v>
      </c>
      <c r="P2010">
        <v>1</v>
      </c>
      <c r="Q2010">
        <v>0</v>
      </c>
      <c r="S2010" t="str">
        <f t="shared" si="708"/>
        <v>19:30:47.000</v>
      </c>
      <c r="T2010" t="str">
        <f t="shared" si="708"/>
        <v>19:30:47.000</v>
      </c>
      <c r="U2010" t="str">
        <f t="shared" si="701"/>
        <v>AC3944</v>
      </c>
      <c r="V2010">
        <v>0</v>
      </c>
      <c r="W2010">
        <v>0</v>
      </c>
      <c r="X2010">
        <v>2</v>
      </c>
      <c r="Y2010">
        <v>0</v>
      </c>
      <c r="AA2010">
        <v>1</v>
      </c>
      <c r="AB2010">
        <v>8</v>
      </c>
      <c r="AC2010">
        <v>3</v>
      </c>
      <c r="AD2010">
        <v>0</v>
      </c>
      <c r="AE2010">
        <v>9</v>
      </c>
      <c r="AF2010" t="s">
        <v>138</v>
      </c>
      <c r="AG2010">
        <v>0</v>
      </c>
      <c r="AH2010">
        <v>3</v>
      </c>
      <c r="AI2010">
        <v>1</v>
      </c>
      <c r="AJ2010">
        <v>0</v>
      </c>
      <c r="AK2010" t="s">
        <v>710</v>
      </c>
      <c r="AL2010">
        <v>32.775328000000002</v>
      </c>
      <c r="AM2010" t="s">
        <v>711</v>
      </c>
      <c r="AN2010">
        <v>-116.840351</v>
      </c>
      <c r="AO2010">
        <v>25</v>
      </c>
      <c r="AP2010">
        <v>2900</v>
      </c>
      <c r="AQ2010" t="s">
        <v>129</v>
      </c>
      <c r="AR2010">
        <v>124</v>
      </c>
      <c r="AS2010">
        <v>-32</v>
      </c>
      <c r="AT2010">
        <v>256</v>
      </c>
      <c r="BB2010">
        <v>1200</v>
      </c>
      <c r="BC2010">
        <v>1</v>
      </c>
      <c r="BD2010" t="str">
        <f t="shared" si="702"/>
        <v xml:space="preserve">N887QR  </v>
      </c>
      <c r="BE2010">
        <v>1</v>
      </c>
      <c r="BG2010">
        <v>0</v>
      </c>
      <c r="BH2010">
        <v>0</v>
      </c>
      <c r="BI2010">
        <v>0</v>
      </c>
      <c r="BJ2010">
        <v>2675</v>
      </c>
      <c r="BK2010">
        <v>-225</v>
      </c>
      <c r="BL2010" t="s">
        <v>163</v>
      </c>
      <c r="BM2010">
        <v>1</v>
      </c>
      <c r="BN2010">
        <v>1</v>
      </c>
      <c r="BO2010">
        <v>1</v>
      </c>
      <c r="BP2010">
        <v>0</v>
      </c>
      <c r="BS2010">
        <v>0</v>
      </c>
      <c r="BT2010">
        <v>0</v>
      </c>
      <c r="BU2010">
        <v>0</v>
      </c>
      <c r="CE2010" t="str">
        <f t="shared" ref="CE2010:CE2016" si="712">"19:30:47.815"</f>
        <v>19:30:47.815</v>
      </c>
      <c r="CF2010">
        <v>815431588</v>
      </c>
      <c r="CS2010">
        <v>0</v>
      </c>
      <c r="CT2010">
        <v>2</v>
      </c>
      <c r="CU2010">
        <v>0</v>
      </c>
      <c r="CV2010">
        <v>2</v>
      </c>
      <c r="CW2010">
        <v>0</v>
      </c>
      <c r="CX2010">
        <v>2</v>
      </c>
      <c r="CY2010">
        <v>7</v>
      </c>
      <c r="CZ2010" t="s">
        <v>131</v>
      </c>
      <c r="DA2010">
        <v>286</v>
      </c>
      <c r="DB2010">
        <v>0</v>
      </c>
      <c r="DC2010" t="s">
        <v>132</v>
      </c>
      <c r="DD2010" t="s">
        <v>133</v>
      </c>
      <c r="DG2010">
        <v>833524</v>
      </c>
      <c r="DI2010">
        <v>1</v>
      </c>
      <c r="DJ2010">
        <v>0</v>
      </c>
      <c r="DK2010">
        <v>0</v>
      </c>
      <c r="DL2010">
        <v>0</v>
      </c>
      <c r="DM2010">
        <v>0</v>
      </c>
      <c r="DN2010">
        <v>1</v>
      </c>
      <c r="DO2010">
        <v>0</v>
      </c>
      <c r="DP2010">
        <v>0</v>
      </c>
      <c r="DQ2010">
        <v>0</v>
      </c>
      <c r="DR2010">
        <v>0</v>
      </c>
      <c r="DS2010">
        <v>0</v>
      </c>
    </row>
    <row r="2011" spans="1:123" x14ac:dyDescent="0.3">
      <c r="A2011" t="str">
        <f t="shared" si="710"/>
        <v>10/04/2022 19:30:48.119</v>
      </c>
      <c r="C2011" t="str">
        <f t="shared" si="711"/>
        <v>FFDFD3C0</v>
      </c>
      <c r="D2011" t="s">
        <v>134</v>
      </c>
      <c r="E2011">
        <v>15</v>
      </c>
      <c r="J2011" t="s">
        <v>135</v>
      </c>
      <c r="K2011">
        <v>0</v>
      </c>
      <c r="L2011">
        <v>3</v>
      </c>
      <c r="M2011">
        <v>0</v>
      </c>
      <c r="N2011">
        <v>2</v>
      </c>
      <c r="O2011">
        <v>0</v>
      </c>
      <c r="P2011">
        <v>1</v>
      </c>
      <c r="Q2011">
        <v>0</v>
      </c>
      <c r="S2011" t="str">
        <f t="shared" si="708"/>
        <v>19:30:47.000</v>
      </c>
      <c r="T2011" t="str">
        <f t="shared" si="708"/>
        <v>19:30:47.000</v>
      </c>
      <c r="U2011" t="str">
        <f t="shared" si="701"/>
        <v>AC3944</v>
      </c>
      <c r="V2011">
        <v>0</v>
      </c>
      <c r="W2011">
        <v>0</v>
      </c>
      <c r="X2011">
        <v>2</v>
      </c>
      <c r="Y2011">
        <v>0</v>
      </c>
      <c r="AA2011">
        <v>1</v>
      </c>
      <c r="AB2011">
        <v>8</v>
      </c>
      <c r="AC2011">
        <v>3</v>
      </c>
      <c r="AD2011">
        <v>0</v>
      </c>
      <c r="AE2011">
        <v>9</v>
      </c>
      <c r="AF2011" t="s">
        <v>138</v>
      </c>
      <c r="AG2011">
        <v>0</v>
      </c>
      <c r="AH2011">
        <v>3</v>
      </c>
      <c r="AI2011">
        <v>1</v>
      </c>
      <c r="AJ2011">
        <v>0</v>
      </c>
      <c r="AK2011" t="s">
        <v>710</v>
      </c>
      <c r="AL2011">
        <v>32.775328000000002</v>
      </c>
      <c r="AM2011" t="s">
        <v>711</v>
      </c>
      <c r="AN2011">
        <v>-116.840351</v>
      </c>
      <c r="AO2011">
        <v>25</v>
      </c>
      <c r="AP2011">
        <v>2900</v>
      </c>
      <c r="AQ2011" t="s">
        <v>129</v>
      </c>
      <c r="AR2011">
        <v>124</v>
      </c>
      <c r="AS2011">
        <v>-32</v>
      </c>
      <c r="AT2011">
        <v>256</v>
      </c>
      <c r="BB2011">
        <v>1200</v>
      </c>
      <c r="BC2011">
        <v>1</v>
      </c>
      <c r="BD2011" t="str">
        <f t="shared" si="702"/>
        <v xml:space="preserve">N887QR  </v>
      </c>
      <c r="BE2011">
        <v>1</v>
      </c>
      <c r="BG2011">
        <v>0</v>
      </c>
      <c r="BH2011">
        <v>0</v>
      </c>
      <c r="BI2011">
        <v>0</v>
      </c>
      <c r="BJ2011">
        <v>2675</v>
      </c>
      <c r="BK2011">
        <v>-225</v>
      </c>
      <c r="BL2011" t="s">
        <v>163</v>
      </c>
      <c r="BM2011">
        <v>1</v>
      </c>
      <c r="BN2011">
        <v>1</v>
      </c>
      <c r="BO2011">
        <v>1</v>
      </c>
      <c r="BP2011">
        <v>0</v>
      </c>
      <c r="BS2011">
        <v>0</v>
      </c>
      <c r="BT2011">
        <v>0</v>
      </c>
      <c r="BU2011">
        <v>0</v>
      </c>
      <c r="CE2011" t="str">
        <f t="shared" si="712"/>
        <v>19:30:47.815</v>
      </c>
      <c r="CF2011">
        <v>815431588</v>
      </c>
      <c r="CS2011">
        <v>0</v>
      </c>
      <c r="CT2011">
        <v>2</v>
      </c>
      <c r="CU2011">
        <v>0</v>
      </c>
      <c r="CV2011">
        <v>2</v>
      </c>
      <c r="CW2011">
        <v>0</v>
      </c>
      <c r="CX2011">
        <v>2</v>
      </c>
      <c r="CY2011">
        <v>7</v>
      </c>
      <c r="CZ2011" t="s">
        <v>131</v>
      </c>
      <c r="DA2011">
        <v>286</v>
      </c>
      <c r="DB2011">
        <v>0</v>
      </c>
      <c r="DC2011" t="s">
        <v>132</v>
      </c>
      <c r="DD2011" t="s">
        <v>133</v>
      </c>
      <c r="DG2011">
        <v>833524</v>
      </c>
      <c r="DI2011">
        <v>1</v>
      </c>
      <c r="DJ2011">
        <v>0</v>
      </c>
      <c r="DK2011">
        <v>1</v>
      </c>
      <c r="DL2011">
        <v>0</v>
      </c>
      <c r="DM2011">
        <v>0</v>
      </c>
      <c r="DN2011">
        <v>1</v>
      </c>
      <c r="DO2011">
        <v>0</v>
      </c>
      <c r="DP2011">
        <v>0</v>
      </c>
      <c r="DQ2011">
        <v>0</v>
      </c>
      <c r="DR2011">
        <v>0</v>
      </c>
      <c r="DS2011">
        <v>0</v>
      </c>
    </row>
    <row r="2012" spans="1:123" x14ac:dyDescent="0.3">
      <c r="A2012" t="str">
        <f t="shared" si="710"/>
        <v>10/04/2022 19:30:48.119</v>
      </c>
      <c r="C2012" t="str">
        <f t="shared" si="711"/>
        <v>FFDFD3C0</v>
      </c>
      <c r="D2012" t="s">
        <v>136</v>
      </c>
      <c r="E2012">
        <v>8</v>
      </c>
      <c r="H2012">
        <v>225</v>
      </c>
      <c r="I2012" t="s">
        <v>137</v>
      </c>
      <c r="J2012" t="s">
        <v>138</v>
      </c>
      <c r="K2012">
        <v>0</v>
      </c>
      <c r="L2012">
        <v>3</v>
      </c>
      <c r="M2012">
        <v>0</v>
      </c>
      <c r="N2012">
        <v>2</v>
      </c>
      <c r="O2012">
        <v>0</v>
      </c>
      <c r="P2012">
        <v>1</v>
      </c>
      <c r="Q2012">
        <v>0</v>
      </c>
      <c r="S2012" t="str">
        <f t="shared" si="708"/>
        <v>19:30:47.000</v>
      </c>
      <c r="T2012" t="str">
        <f t="shared" si="708"/>
        <v>19:30:47.000</v>
      </c>
      <c r="U2012" t="str">
        <f t="shared" si="701"/>
        <v>AC3944</v>
      </c>
      <c r="V2012">
        <v>0</v>
      </c>
      <c r="W2012">
        <v>0</v>
      </c>
      <c r="X2012">
        <v>2</v>
      </c>
      <c r="Y2012">
        <v>0</v>
      </c>
      <c r="AA2012">
        <v>1</v>
      </c>
      <c r="AB2012">
        <v>8</v>
      </c>
      <c r="AC2012">
        <v>3</v>
      </c>
      <c r="AD2012">
        <v>0</v>
      </c>
      <c r="AE2012">
        <v>9</v>
      </c>
      <c r="AF2012" t="s">
        <v>138</v>
      </c>
      <c r="AG2012">
        <v>0</v>
      </c>
      <c r="AH2012">
        <v>3</v>
      </c>
      <c r="AI2012">
        <v>1</v>
      </c>
      <c r="AJ2012">
        <v>0</v>
      </c>
      <c r="AK2012" t="s">
        <v>710</v>
      </c>
      <c r="AL2012">
        <v>32.775328000000002</v>
      </c>
      <c r="AM2012" t="s">
        <v>711</v>
      </c>
      <c r="AN2012">
        <v>-116.840351</v>
      </c>
      <c r="AO2012">
        <v>25</v>
      </c>
      <c r="AP2012">
        <v>2900</v>
      </c>
      <c r="AQ2012" t="s">
        <v>129</v>
      </c>
      <c r="AR2012">
        <v>124</v>
      </c>
      <c r="AS2012">
        <v>-32</v>
      </c>
      <c r="AT2012">
        <v>256</v>
      </c>
      <c r="BB2012">
        <v>1200</v>
      </c>
      <c r="BC2012">
        <v>1</v>
      </c>
      <c r="BD2012" t="str">
        <f t="shared" si="702"/>
        <v xml:space="preserve">N887QR  </v>
      </c>
      <c r="BE2012">
        <v>1</v>
      </c>
      <c r="BG2012">
        <v>0</v>
      </c>
      <c r="BH2012">
        <v>0</v>
      </c>
      <c r="BI2012">
        <v>0</v>
      </c>
      <c r="BJ2012">
        <v>2675</v>
      </c>
      <c r="BK2012">
        <v>-225</v>
      </c>
      <c r="BL2012" t="s">
        <v>163</v>
      </c>
      <c r="BM2012">
        <v>1</v>
      </c>
      <c r="BN2012">
        <v>1</v>
      </c>
      <c r="BO2012">
        <v>1</v>
      </c>
      <c r="BP2012">
        <v>0</v>
      </c>
      <c r="BS2012">
        <v>0</v>
      </c>
      <c r="BT2012">
        <v>0</v>
      </c>
      <c r="BU2012">
        <v>0</v>
      </c>
      <c r="CE2012" t="str">
        <f t="shared" si="712"/>
        <v>19:30:47.815</v>
      </c>
      <c r="CF2012">
        <v>815431588</v>
      </c>
      <c r="CS2012">
        <v>0</v>
      </c>
      <c r="CT2012">
        <v>2</v>
      </c>
      <c r="CU2012">
        <v>0</v>
      </c>
      <c r="CV2012">
        <v>2</v>
      </c>
      <c r="CW2012">
        <v>0</v>
      </c>
      <c r="CX2012">
        <v>2</v>
      </c>
      <c r="CY2012">
        <v>7</v>
      </c>
      <c r="CZ2012" t="s">
        <v>131</v>
      </c>
      <c r="DA2012">
        <v>286</v>
      </c>
      <c r="DB2012">
        <v>0</v>
      </c>
      <c r="DC2012" t="s">
        <v>132</v>
      </c>
      <c r="DD2012" t="s">
        <v>133</v>
      </c>
      <c r="DG2012">
        <v>833524</v>
      </c>
      <c r="DI2012">
        <v>1</v>
      </c>
      <c r="DJ2012">
        <v>0</v>
      </c>
      <c r="DK2012">
        <v>1</v>
      </c>
      <c r="DL2012">
        <v>0</v>
      </c>
      <c r="DM2012">
        <v>0</v>
      </c>
      <c r="DN2012">
        <v>1</v>
      </c>
      <c r="DO2012">
        <v>0</v>
      </c>
      <c r="DP2012">
        <v>0</v>
      </c>
      <c r="DQ2012">
        <v>0</v>
      </c>
      <c r="DR2012">
        <v>0</v>
      </c>
      <c r="DS2012">
        <v>0</v>
      </c>
    </row>
    <row r="2013" spans="1:123" x14ac:dyDescent="0.3">
      <c r="A2013" t="str">
        <f t="shared" si="710"/>
        <v>10/04/2022 19:30:48.119</v>
      </c>
      <c r="C2013" t="str">
        <f t="shared" si="711"/>
        <v>FFDFD3C0</v>
      </c>
      <c r="D2013" t="s">
        <v>147</v>
      </c>
      <c r="E2013">
        <v>3</v>
      </c>
      <c r="H2013">
        <v>166</v>
      </c>
      <c r="I2013" t="s">
        <v>144</v>
      </c>
      <c r="J2013" t="s">
        <v>148</v>
      </c>
      <c r="K2013">
        <v>0</v>
      </c>
      <c r="L2013">
        <v>3</v>
      </c>
      <c r="M2013">
        <v>0</v>
      </c>
      <c r="N2013">
        <v>2</v>
      </c>
      <c r="O2013">
        <v>0</v>
      </c>
      <c r="P2013">
        <v>1</v>
      </c>
      <c r="Q2013">
        <v>0</v>
      </c>
      <c r="S2013" t="str">
        <f t="shared" si="708"/>
        <v>19:30:47.000</v>
      </c>
      <c r="T2013" t="str">
        <f t="shared" si="708"/>
        <v>19:30:47.000</v>
      </c>
      <c r="U2013" t="str">
        <f t="shared" si="701"/>
        <v>AC3944</v>
      </c>
      <c r="V2013">
        <v>0</v>
      </c>
      <c r="W2013">
        <v>0</v>
      </c>
      <c r="X2013">
        <v>2</v>
      </c>
      <c r="Y2013">
        <v>0</v>
      </c>
      <c r="AA2013">
        <v>1</v>
      </c>
      <c r="AB2013">
        <v>8</v>
      </c>
      <c r="AC2013">
        <v>3</v>
      </c>
      <c r="AD2013">
        <v>0</v>
      </c>
      <c r="AE2013">
        <v>9</v>
      </c>
      <c r="AF2013" t="s">
        <v>138</v>
      </c>
      <c r="AG2013">
        <v>0</v>
      </c>
      <c r="AH2013">
        <v>3</v>
      </c>
      <c r="AI2013">
        <v>1</v>
      </c>
      <c r="AJ2013">
        <v>0</v>
      </c>
      <c r="AK2013" t="s">
        <v>710</v>
      </c>
      <c r="AL2013">
        <v>32.775328000000002</v>
      </c>
      <c r="AM2013" t="s">
        <v>711</v>
      </c>
      <c r="AN2013">
        <v>-116.840351</v>
      </c>
      <c r="AO2013">
        <v>25</v>
      </c>
      <c r="AP2013">
        <v>2900</v>
      </c>
      <c r="AQ2013" t="s">
        <v>129</v>
      </c>
      <c r="AR2013">
        <v>124</v>
      </c>
      <c r="AS2013">
        <v>-32</v>
      </c>
      <c r="AT2013">
        <v>256</v>
      </c>
      <c r="BB2013">
        <v>1200</v>
      </c>
      <c r="BC2013">
        <v>1</v>
      </c>
      <c r="BD2013" t="str">
        <f t="shared" si="702"/>
        <v xml:space="preserve">N887QR  </v>
      </c>
      <c r="BE2013">
        <v>1</v>
      </c>
      <c r="BG2013">
        <v>0</v>
      </c>
      <c r="BH2013">
        <v>0</v>
      </c>
      <c r="BI2013">
        <v>0</v>
      </c>
      <c r="BJ2013">
        <v>2675</v>
      </c>
      <c r="BK2013">
        <v>-225</v>
      </c>
      <c r="BL2013" t="s">
        <v>163</v>
      </c>
      <c r="BM2013">
        <v>1</v>
      </c>
      <c r="BN2013">
        <v>1</v>
      </c>
      <c r="BO2013">
        <v>1</v>
      </c>
      <c r="BP2013">
        <v>0</v>
      </c>
      <c r="BS2013">
        <v>0</v>
      </c>
      <c r="BT2013">
        <v>0</v>
      </c>
      <c r="BU2013">
        <v>0</v>
      </c>
      <c r="CE2013" t="str">
        <f t="shared" si="712"/>
        <v>19:30:47.815</v>
      </c>
      <c r="CF2013">
        <v>815431588</v>
      </c>
      <c r="CS2013">
        <v>0</v>
      </c>
      <c r="CT2013">
        <v>2</v>
      </c>
      <c r="CU2013">
        <v>0</v>
      </c>
      <c r="CV2013">
        <v>2</v>
      </c>
      <c r="CW2013">
        <v>0</v>
      </c>
      <c r="CX2013">
        <v>2</v>
      </c>
      <c r="CY2013">
        <v>7</v>
      </c>
      <c r="CZ2013" t="s">
        <v>131</v>
      </c>
      <c r="DA2013">
        <v>286</v>
      </c>
      <c r="DB2013">
        <v>0</v>
      </c>
      <c r="DC2013" t="s">
        <v>132</v>
      </c>
      <c r="DD2013" t="s">
        <v>133</v>
      </c>
      <c r="DG2013">
        <v>833524</v>
      </c>
      <c r="DI2013">
        <v>1</v>
      </c>
      <c r="DJ2013">
        <v>0</v>
      </c>
      <c r="DK2013">
        <v>1</v>
      </c>
      <c r="DL2013">
        <v>0</v>
      </c>
      <c r="DM2013">
        <v>0</v>
      </c>
      <c r="DN2013">
        <v>1</v>
      </c>
      <c r="DO2013">
        <v>0</v>
      </c>
      <c r="DP2013">
        <v>0</v>
      </c>
      <c r="DQ2013">
        <v>0</v>
      </c>
      <c r="DR2013">
        <v>0</v>
      </c>
      <c r="DS2013">
        <v>0</v>
      </c>
    </row>
    <row r="2014" spans="1:123" x14ac:dyDescent="0.3">
      <c r="A2014" t="str">
        <f t="shared" si="710"/>
        <v>10/04/2022 19:30:48.119</v>
      </c>
      <c r="C2014" t="str">
        <f t="shared" si="711"/>
        <v>FFDFD3C0</v>
      </c>
      <c r="D2014" t="s">
        <v>141</v>
      </c>
      <c r="E2014">
        <v>4</v>
      </c>
      <c r="H2014">
        <v>4</v>
      </c>
      <c r="I2014" t="s">
        <v>142</v>
      </c>
      <c r="J2014" t="s">
        <v>138</v>
      </c>
      <c r="K2014">
        <v>0</v>
      </c>
      <c r="L2014">
        <v>3</v>
      </c>
      <c r="M2014">
        <v>0</v>
      </c>
      <c r="N2014">
        <v>2</v>
      </c>
      <c r="O2014">
        <v>0</v>
      </c>
      <c r="P2014">
        <v>1</v>
      </c>
      <c r="Q2014">
        <v>0</v>
      </c>
      <c r="S2014" t="str">
        <f t="shared" si="708"/>
        <v>19:30:47.000</v>
      </c>
      <c r="T2014" t="str">
        <f t="shared" si="708"/>
        <v>19:30:47.000</v>
      </c>
      <c r="U2014" t="str">
        <f t="shared" si="701"/>
        <v>AC3944</v>
      </c>
      <c r="V2014">
        <v>0</v>
      </c>
      <c r="W2014">
        <v>0</v>
      </c>
      <c r="X2014">
        <v>2</v>
      </c>
      <c r="Y2014">
        <v>0</v>
      </c>
      <c r="AA2014">
        <v>1</v>
      </c>
      <c r="AB2014">
        <v>8</v>
      </c>
      <c r="AC2014">
        <v>3</v>
      </c>
      <c r="AD2014">
        <v>0</v>
      </c>
      <c r="AE2014">
        <v>9</v>
      </c>
      <c r="AF2014" t="s">
        <v>138</v>
      </c>
      <c r="AG2014">
        <v>0</v>
      </c>
      <c r="AH2014">
        <v>3</v>
      </c>
      <c r="AI2014">
        <v>1</v>
      </c>
      <c r="AJ2014">
        <v>0</v>
      </c>
      <c r="AK2014" t="s">
        <v>710</v>
      </c>
      <c r="AL2014">
        <v>32.775328000000002</v>
      </c>
      <c r="AM2014" t="s">
        <v>711</v>
      </c>
      <c r="AN2014">
        <v>-116.840351</v>
      </c>
      <c r="AO2014">
        <v>25</v>
      </c>
      <c r="AP2014">
        <v>2900</v>
      </c>
      <c r="AQ2014" t="s">
        <v>129</v>
      </c>
      <c r="AR2014">
        <v>124</v>
      </c>
      <c r="AS2014">
        <v>-32</v>
      </c>
      <c r="AT2014">
        <v>256</v>
      </c>
      <c r="BB2014">
        <v>1200</v>
      </c>
      <c r="BC2014">
        <v>1</v>
      </c>
      <c r="BD2014" t="str">
        <f t="shared" si="702"/>
        <v xml:space="preserve">N887QR  </v>
      </c>
      <c r="BE2014">
        <v>1</v>
      </c>
      <c r="BG2014">
        <v>0</v>
      </c>
      <c r="BH2014">
        <v>0</v>
      </c>
      <c r="BI2014">
        <v>0</v>
      </c>
      <c r="BJ2014">
        <v>2675</v>
      </c>
      <c r="BK2014">
        <v>-225</v>
      </c>
      <c r="BL2014" t="s">
        <v>163</v>
      </c>
      <c r="BM2014">
        <v>1</v>
      </c>
      <c r="BN2014">
        <v>1</v>
      </c>
      <c r="BO2014">
        <v>1</v>
      </c>
      <c r="BP2014">
        <v>0</v>
      </c>
      <c r="BS2014">
        <v>0</v>
      </c>
      <c r="BT2014">
        <v>0</v>
      </c>
      <c r="BU2014">
        <v>0</v>
      </c>
      <c r="CE2014" t="str">
        <f t="shared" si="712"/>
        <v>19:30:47.815</v>
      </c>
      <c r="CF2014">
        <v>815431588</v>
      </c>
      <c r="CS2014">
        <v>0</v>
      </c>
      <c r="CT2014">
        <v>2</v>
      </c>
      <c r="CU2014">
        <v>0</v>
      </c>
      <c r="CV2014">
        <v>2</v>
      </c>
      <c r="CW2014">
        <v>0</v>
      </c>
      <c r="CX2014">
        <v>2</v>
      </c>
      <c r="CY2014">
        <v>7</v>
      </c>
      <c r="CZ2014" t="s">
        <v>131</v>
      </c>
      <c r="DA2014">
        <v>286</v>
      </c>
      <c r="DB2014">
        <v>0</v>
      </c>
      <c r="DC2014" t="s">
        <v>132</v>
      </c>
      <c r="DD2014" t="s">
        <v>133</v>
      </c>
      <c r="DG2014">
        <v>833524</v>
      </c>
      <c r="DI2014">
        <v>1</v>
      </c>
      <c r="DJ2014">
        <v>0</v>
      </c>
      <c r="DK2014">
        <v>1</v>
      </c>
      <c r="DL2014">
        <v>0</v>
      </c>
      <c r="DM2014">
        <v>0</v>
      </c>
      <c r="DN2014">
        <v>1</v>
      </c>
      <c r="DO2014">
        <v>0</v>
      </c>
      <c r="DP2014">
        <v>0</v>
      </c>
      <c r="DQ2014">
        <v>0</v>
      </c>
      <c r="DR2014">
        <v>0</v>
      </c>
      <c r="DS2014">
        <v>0</v>
      </c>
    </row>
    <row r="2015" spans="1:123" x14ac:dyDescent="0.3">
      <c r="A2015" t="str">
        <f t="shared" si="710"/>
        <v>10/04/2022 19:30:48.119</v>
      </c>
      <c r="C2015" t="str">
        <f t="shared" si="711"/>
        <v>FFDFD3C0</v>
      </c>
      <c r="D2015" t="s">
        <v>141</v>
      </c>
      <c r="E2015">
        <v>3</v>
      </c>
      <c r="H2015">
        <v>3</v>
      </c>
      <c r="I2015" t="s">
        <v>146</v>
      </c>
      <c r="J2015" t="s">
        <v>138</v>
      </c>
      <c r="K2015">
        <v>0</v>
      </c>
      <c r="L2015">
        <v>3</v>
      </c>
      <c r="M2015">
        <v>0</v>
      </c>
      <c r="N2015">
        <v>2</v>
      </c>
      <c r="O2015">
        <v>0</v>
      </c>
      <c r="P2015">
        <v>1</v>
      </c>
      <c r="Q2015">
        <v>0</v>
      </c>
      <c r="S2015" t="str">
        <f t="shared" si="708"/>
        <v>19:30:47.000</v>
      </c>
      <c r="T2015" t="str">
        <f t="shared" si="708"/>
        <v>19:30:47.000</v>
      </c>
      <c r="U2015" t="str">
        <f t="shared" si="701"/>
        <v>AC3944</v>
      </c>
      <c r="V2015">
        <v>0</v>
      </c>
      <c r="W2015">
        <v>0</v>
      </c>
      <c r="X2015">
        <v>2</v>
      </c>
      <c r="Y2015">
        <v>0</v>
      </c>
      <c r="AA2015">
        <v>1</v>
      </c>
      <c r="AB2015">
        <v>8</v>
      </c>
      <c r="AC2015">
        <v>3</v>
      </c>
      <c r="AD2015">
        <v>0</v>
      </c>
      <c r="AE2015">
        <v>9</v>
      </c>
      <c r="AF2015" t="s">
        <v>138</v>
      </c>
      <c r="AG2015">
        <v>0</v>
      </c>
      <c r="AH2015">
        <v>3</v>
      </c>
      <c r="AI2015">
        <v>1</v>
      </c>
      <c r="AJ2015">
        <v>0</v>
      </c>
      <c r="AK2015" t="s">
        <v>710</v>
      </c>
      <c r="AL2015">
        <v>32.775328000000002</v>
      </c>
      <c r="AM2015" t="s">
        <v>711</v>
      </c>
      <c r="AN2015">
        <v>-116.840351</v>
      </c>
      <c r="AO2015">
        <v>25</v>
      </c>
      <c r="AP2015">
        <v>2900</v>
      </c>
      <c r="AQ2015" t="s">
        <v>129</v>
      </c>
      <c r="AR2015">
        <v>124</v>
      </c>
      <c r="AS2015">
        <v>-32</v>
      </c>
      <c r="AT2015">
        <v>256</v>
      </c>
      <c r="BB2015">
        <v>1200</v>
      </c>
      <c r="BC2015">
        <v>1</v>
      </c>
      <c r="BD2015" t="str">
        <f t="shared" si="702"/>
        <v xml:space="preserve">N887QR  </v>
      </c>
      <c r="BE2015">
        <v>1</v>
      </c>
      <c r="BG2015">
        <v>0</v>
      </c>
      <c r="BH2015">
        <v>0</v>
      </c>
      <c r="BI2015">
        <v>0</v>
      </c>
      <c r="BJ2015">
        <v>2675</v>
      </c>
      <c r="BK2015">
        <v>-225</v>
      </c>
      <c r="BL2015" t="s">
        <v>163</v>
      </c>
      <c r="BM2015">
        <v>1</v>
      </c>
      <c r="BN2015">
        <v>1</v>
      </c>
      <c r="BO2015">
        <v>1</v>
      </c>
      <c r="BP2015">
        <v>0</v>
      </c>
      <c r="BS2015">
        <v>0</v>
      </c>
      <c r="BT2015">
        <v>0</v>
      </c>
      <c r="BU2015">
        <v>0</v>
      </c>
      <c r="CE2015" t="str">
        <f t="shared" si="712"/>
        <v>19:30:47.815</v>
      </c>
      <c r="CF2015">
        <v>815431588</v>
      </c>
      <c r="CS2015">
        <v>0</v>
      </c>
      <c r="CT2015">
        <v>2</v>
      </c>
      <c r="CU2015">
        <v>0</v>
      </c>
      <c r="CV2015">
        <v>2</v>
      </c>
      <c r="CW2015">
        <v>0</v>
      </c>
      <c r="CX2015">
        <v>2</v>
      </c>
      <c r="CY2015">
        <v>7</v>
      </c>
      <c r="CZ2015" t="s">
        <v>131</v>
      </c>
      <c r="DA2015">
        <v>286</v>
      </c>
      <c r="DB2015">
        <v>0</v>
      </c>
      <c r="DC2015" t="s">
        <v>132</v>
      </c>
      <c r="DD2015" t="s">
        <v>133</v>
      </c>
      <c r="DG2015">
        <v>833524</v>
      </c>
      <c r="DI2015">
        <v>1</v>
      </c>
      <c r="DJ2015">
        <v>0</v>
      </c>
      <c r="DK2015">
        <v>1</v>
      </c>
      <c r="DL2015">
        <v>0</v>
      </c>
      <c r="DM2015">
        <v>0</v>
      </c>
      <c r="DN2015">
        <v>1</v>
      </c>
      <c r="DO2015">
        <v>0</v>
      </c>
      <c r="DP2015">
        <v>0</v>
      </c>
      <c r="DQ2015">
        <v>0</v>
      </c>
      <c r="DR2015">
        <v>0</v>
      </c>
      <c r="DS2015">
        <v>0</v>
      </c>
    </row>
    <row r="2016" spans="1:123" x14ac:dyDescent="0.3">
      <c r="A2016" t="str">
        <f t="shared" si="710"/>
        <v>10/04/2022 19:30:48.119</v>
      </c>
      <c r="C2016" t="str">
        <f t="shared" si="711"/>
        <v>FFDFD3C0</v>
      </c>
      <c r="D2016" t="s">
        <v>143</v>
      </c>
      <c r="E2016">
        <v>20</v>
      </c>
      <c r="F2016">
        <v>1020</v>
      </c>
      <c r="G2016" t="s">
        <v>144</v>
      </c>
      <c r="J2016" t="s">
        <v>145</v>
      </c>
      <c r="K2016">
        <v>0</v>
      </c>
      <c r="L2016">
        <v>3</v>
      </c>
      <c r="M2016">
        <v>0</v>
      </c>
      <c r="N2016">
        <v>2</v>
      </c>
      <c r="O2016">
        <v>0</v>
      </c>
      <c r="P2016">
        <v>1</v>
      </c>
      <c r="Q2016">
        <v>0</v>
      </c>
      <c r="S2016" t="str">
        <f t="shared" si="708"/>
        <v>19:30:47.000</v>
      </c>
      <c r="T2016" t="str">
        <f t="shared" si="708"/>
        <v>19:30:47.000</v>
      </c>
      <c r="U2016" t="str">
        <f t="shared" si="701"/>
        <v>AC3944</v>
      </c>
      <c r="V2016">
        <v>0</v>
      </c>
      <c r="W2016">
        <v>0</v>
      </c>
      <c r="X2016">
        <v>2</v>
      </c>
      <c r="Y2016">
        <v>0</v>
      </c>
      <c r="AA2016">
        <v>1</v>
      </c>
      <c r="AB2016">
        <v>8</v>
      </c>
      <c r="AC2016">
        <v>3</v>
      </c>
      <c r="AD2016">
        <v>0</v>
      </c>
      <c r="AE2016">
        <v>9</v>
      </c>
      <c r="AF2016" t="s">
        <v>138</v>
      </c>
      <c r="AG2016">
        <v>0</v>
      </c>
      <c r="AH2016">
        <v>3</v>
      </c>
      <c r="AI2016">
        <v>1</v>
      </c>
      <c r="AJ2016">
        <v>0</v>
      </c>
      <c r="AK2016" t="s">
        <v>710</v>
      </c>
      <c r="AL2016">
        <v>32.775328000000002</v>
      </c>
      <c r="AM2016" t="s">
        <v>711</v>
      </c>
      <c r="AN2016">
        <v>-116.840351</v>
      </c>
      <c r="AO2016">
        <v>25</v>
      </c>
      <c r="AP2016">
        <v>2900</v>
      </c>
      <c r="AQ2016" t="s">
        <v>129</v>
      </c>
      <c r="AR2016">
        <v>124</v>
      </c>
      <c r="AS2016">
        <v>-32</v>
      </c>
      <c r="AT2016">
        <v>256</v>
      </c>
      <c r="BB2016">
        <v>1200</v>
      </c>
      <c r="BC2016">
        <v>1</v>
      </c>
      <c r="BD2016" t="str">
        <f t="shared" si="702"/>
        <v xml:space="preserve">N887QR  </v>
      </c>
      <c r="BE2016">
        <v>1</v>
      </c>
      <c r="BG2016">
        <v>0</v>
      </c>
      <c r="BH2016">
        <v>0</v>
      </c>
      <c r="BI2016">
        <v>0</v>
      </c>
      <c r="BJ2016">
        <v>2675</v>
      </c>
      <c r="BK2016">
        <v>-225</v>
      </c>
      <c r="BL2016" t="s">
        <v>163</v>
      </c>
      <c r="BM2016">
        <v>1</v>
      </c>
      <c r="BN2016">
        <v>1</v>
      </c>
      <c r="BO2016">
        <v>1</v>
      </c>
      <c r="BP2016">
        <v>0</v>
      </c>
      <c r="BS2016">
        <v>0</v>
      </c>
      <c r="BT2016">
        <v>0</v>
      </c>
      <c r="BU2016">
        <v>0</v>
      </c>
      <c r="CE2016" t="str">
        <f t="shared" si="712"/>
        <v>19:30:47.815</v>
      </c>
      <c r="CF2016">
        <v>815431588</v>
      </c>
      <c r="CS2016">
        <v>0</v>
      </c>
      <c r="CT2016">
        <v>2</v>
      </c>
      <c r="CU2016">
        <v>0</v>
      </c>
      <c r="CV2016">
        <v>2</v>
      </c>
      <c r="CW2016">
        <v>0</v>
      </c>
      <c r="CX2016">
        <v>2</v>
      </c>
      <c r="CY2016">
        <v>7</v>
      </c>
      <c r="CZ2016" t="s">
        <v>131</v>
      </c>
      <c r="DA2016">
        <v>286</v>
      </c>
      <c r="DB2016">
        <v>0</v>
      </c>
      <c r="DC2016" t="s">
        <v>132</v>
      </c>
      <c r="DD2016" t="s">
        <v>133</v>
      </c>
      <c r="DG2016">
        <v>833524</v>
      </c>
      <c r="DI2016">
        <v>1</v>
      </c>
      <c r="DJ2016">
        <v>0</v>
      </c>
      <c r="DK2016">
        <v>1</v>
      </c>
      <c r="DL2016">
        <v>0</v>
      </c>
      <c r="DM2016">
        <v>0</v>
      </c>
      <c r="DN2016">
        <v>1</v>
      </c>
      <c r="DO2016">
        <v>0</v>
      </c>
      <c r="DP2016">
        <v>0</v>
      </c>
      <c r="DQ2016">
        <v>0</v>
      </c>
      <c r="DR2016">
        <v>0</v>
      </c>
      <c r="DS2016">
        <v>0</v>
      </c>
    </row>
    <row r="2017" spans="1:123" x14ac:dyDescent="0.3">
      <c r="A2017" t="str">
        <f>"10/04/2022 19:30:48.962"</f>
        <v>10/04/2022 19:30:48.962</v>
      </c>
      <c r="C2017" t="str">
        <f t="shared" si="711"/>
        <v>FFDFD3C0</v>
      </c>
      <c r="D2017" t="s">
        <v>147</v>
      </c>
      <c r="E2017">
        <v>3</v>
      </c>
      <c r="H2017">
        <v>166</v>
      </c>
      <c r="I2017" t="s">
        <v>144</v>
      </c>
      <c r="J2017" t="s">
        <v>148</v>
      </c>
      <c r="K2017">
        <v>0</v>
      </c>
      <c r="L2017">
        <v>3</v>
      </c>
      <c r="M2017">
        <v>0</v>
      </c>
      <c r="N2017">
        <v>2</v>
      </c>
      <c r="O2017">
        <v>0</v>
      </c>
      <c r="P2017">
        <v>1</v>
      </c>
      <c r="Q2017">
        <v>0</v>
      </c>
      <c r="S2017" t="str">
        <f t="shared" ref="S2017:T2023" si="713">"19:30:48.000"</f>
        <v>19:30:48.000</v>
      </c>
      <c r="T2017" t="str">
        <f t="shared" si="713"/>
        <v>19:30:48.000</v>
      </c>
      <c r="U2017" t="str">
        <f t="shared" si="701"/>
        <v>AC3944</v>
      </c>
      <c r="V2017">
        <v>0</v>
      </c>
      <c r="W2017">
        <v>0</v>
      </c>
      <c r="X2017">
        <v>2</v>
      </c>
      <c r="Y2017">
        <v>0</v>
      </c>
      <c r="AA2017">
        <v>1</v>
      </c>
      <c r="AB2017">
        <v>8</v>
      </c>
      <c r="AC2017">
        <v>3</v>
      </c>
      <c r="AD2017">
        <v>0</v>
      </c>
      <c r="AE2017">
        <v>9</v>
      </c>
      <c r="AF2017" t="s">
        <v>138</v>
      </c>
      <c r="AG2017">
        <v>0</v>
      </c>
      <c r="AH2017">
        <v>3</v>
      </c>
      <c r="AI2017">
        <v>1</v>
      </c>
      <c r="AJ2017">
        <v>0</v>
      </c>
      <c r="AK2017" t="s">
        <v>712</v>
      </c>
      <c r="AL2017">
        <v>32.775177999999997</v>
      </c>
      <c r="AM2017" t="s">
        <v>713</v>
      </c>
      <c r="AN2017">
        <v>-116.839664</v>
      </c>
      <c r="AO2017">
        <v>25</v>
      </c>
      <c r="AP2017">
        <v>2900</v>
      </c>
      <c r="AQ2017" t="s">
        <v>129</v>
      </c>
      <c r="AR2017">
        <v>125</v>
      </c>
      <c r="AS2017">
        <v>-30</v>
      </c>
      <c r="AT2017">
        <v>192</v>
      </c>
      <c r="BB2017">
        <v>1200</v>
      </c>
      <c r="BC2017">
        <v>1</v>
      </c>
      <c r="BD2017" t="str">
        <f t="shared" si="702"/>
        <v xml:space="preserve">N887QR  </v>
      </c>
      <c r="BE2017">
        <v>1</v>
      </c>
      <c r="BG2017">
        <v>0</v>
      </c>
      <c r="BH2017">
        <v>0</v>
      </c>
      <c r="BI2017">
        <v>0</v>
      </c>
      <c r="BJ2017">
        <v>2675</v>
      </c>
      <c r="BK2017">
        <v>-225</v>
      </c>
      <c r="BL2017" t="s">
        <v>163</v>
      </c>
      <c r="BM2017">
        <v>1</v>
      </c>
      <c r="BN2017">
        <v>1</v>
      </c>
      <c r="BO2017">
        <v>1</v>
      </c>
      <c r="BP2017">
        <v>0</v>
      </c>
      <c r="BS2017">
        <v>0</v>
      </c>
      <c r="BT2017">
        <v>0</v>
      </c>
      <c r="BU2017">
        <v>0</v>
      </c>
      <c r="CE2017" t="str">
        <f t="shared" ref="CE2017:CE2023" si="714">"19:30:48.746"</f>
        <v>19:30:48.746</v>
      </c>
      <c r="CF2017">
        <v>745963440</v>
      </c>
      <c r="CS2017">
        <v>0</v>
      </c>
      <c r="CT2017">
        <v>2</v>
      </c>
      <c r="CU2017">
        <v>0</v>
      </c>
      <c r="CV2017">
        <v>2</v>
      </c>
      <c r="CW2017">
        <v>0</v>
      </c>
      <c r="CX2017">
        <v>5</v>
      </c>
      <c r="CY2017">
        <v>7</v>
      </c>
      <c r="CZ2017" t="s">
        <v>131</v>
      </c>
      <c r="DA2017">
        <v>300</v>
      </c>
      <c r="DB2017">
        <v>0</v>
      </c>
      <c r="DC2017" t="s">
        <v>176</v>
      </c>
      <c r="DD2017" t="s">
        <v>177</v>
      </c>
      <c r="DG2017">
        <v>5400199</v>
      </c>
      <c r="DI2017">
        <v>1</v>
      </c>
      <c r="DJ2017">
        <v>0</v>
      </c>
      <c r="DK2017">
        <v>0</v>
      </c>
      <c r="DL2017">
        <v>0</v>
      </c>
      <c r="DM2017">
        <v>0</v>
      </c>
      <c r="DN2017">
        <v>1</v>
      </c>
      <c r="DO2017">
        <v>0</v>
      </c>
      <c r="DP2017">
        <v>0</v>
      </c>
      <c r="DQ2017">
        <v>0</v>
      </c>
      <c r="DR2017">
        <v>0</v>
      </c>
      <c r="DS2017">
        <v>0</v>
      </c>
    </row>
    <row r="2018" spans="1:123" x14ac:dyDescent="0.3">
      <c r="A2018" t="str">
        <f>"10/04/2022 19:30:48.962"</f>
        <v>10/04/2022 19:30:48.962</v>
      </c>
      <c r="C2018" t="str">
        <f t="shared" si="711"/>
        <v>FFDFD3C0</v>
      </c>
      <c r="D2018" t="s">
        <v>141</v>
      </c>
      <c r="E2018">
        <v>4</v>
      </c>
      <c r="H2018">
        <v>4</v>
      </c>
      <c r="I2018" t="s">
        <v>142</v>
      </c>
      <c r="J2018" t="s">
        <v>138</v>
      </c>
      <c r="K2018">
        <v>0</v>
      </c>
      <c r="L2018">
        <v>3</v>
      </c>
      <c r="M2018">
        <v>0</v>
      </c>
      <c r="N2018">
        <v>2</v>
      </c>
      <c r="O2018">
        <v>0</v>
      </c>
      <c r="P2018">
        <v>1</v>
      </c>
      <c r="Q2018">
        <v>0</v>
      </c>
      <c r="S2018" t="str">
        <f t="shared" si="713"/>
        <v>19:30:48.000</v>
      </c>
      <c r="T2018" t="str">
        <f t="shared" si="713"/>
        <v>19:30:48.000</v>
      </c>
      <c r="U2018" t="str">
        <f t="shared" si="701"/>
        <v>AC3944</v>
      </c>
      <c r="V2018">
        <v>0</v>
      </c>
      <c r="W2018">
        <v>0</v>
      </c>
      <c r="X2018">
        <v>2</v>
      </c>
      <c r="Y2018">
        <v>0</v>
      </c>
      <c r="AA2018">
        <v>1</v>
      </c>
      <c r="AB2018">
        <v>8</v>
      </c>
      <c r="AC2018">
        <v>3</v>
      </c>
      <c r="AD2018">
        <v>0</v>
      </c>
      <c r="AE2018">
        <v>9</v>
      </c>
      <c r="AF2018" t="s">
        <v>138</v>
      </c>
      <c r="AG2018">
        <v>0</v>
      </c>
      <c r="AH2018">
        <v>3</v>
      </c>
      <c r="AI2018">
        <v>1</v>
      </c>
      <c r="AJ2018">
        <v>0</v>
      </c>
      <c r="AK2018" t="s">
        <v>712</v>
      </c>
      <c r="AL2018">
        <v>32.775177999999997</v>
      </c>
      <c r="AM2018" t="s">
        <v>713</v>
      </c>
      <c r="AN2018">
        <v>-116.839664</v>
      </c>
      <c r="AO2018">
        <v>25</v>
      </c>
      <c r="AP2018">
        <v>2900</v>
      </c>
      <c r="AQ2018" t="s">
        <v>129</v>
      </c>
      <c r="AR2018">
        <v>125</v>
      </c>
      <c r="AS2018">
        <v>-30</v>
      </c>
      <c r="AT2018">
        <v>192</v>
      </c>
      <c r="BB2018">
        <v>1200</v>
      </c>
      <c r="BC2018">
        <v>1</v>
      </c>
      <c r="BD2018" t="str">
        <f t="shared" si="702"/>
        <v xml:space="preserve">N887QR  </v>
      </c>
      <c r="BE2018">
        <v>1</v>
      </c>
      <c r="BG2018">
        <v>0</v>
      </c>
      <c r="BH2018">
        <v>0</v>
      </c>
      <c r="BI2018">
        <v>0</v>
      </c>
      <c r="BJ2018">
        <v>2675</v>
      </c>
      <c r="BK2018">
        <v>-225</v>
      </c>
      <c r="BL2018" t="s">
        <v>163</v>
      </c>
      <c r="BM2018">
        <v>1</v>
      </c>
      <c r="BN2018">
        <v>1</v>
      </c>
      <c r="BO2018">
        <v>1</v>
      </c>
      <c r="BP2018">
        <v>0</v>
      </c>
      <c r="BS2018">
        <v>0</v>
      </c>
      <c r="BT2018">
        <v>0</v>
      </c>
      <c r="BU2018">
        <v>0</v>
      </c>
      <c r="CE2018" t="str">
        <f t="shared" si="714"/>
        <v>19:30:48.746</v>
      </c>
      <c r="CF2018">
        <v>745963440</v>
      </c>
      <c r="CS2018">
        <v>0</v>
      </c>
      <c r="CT2018">
        <v>2</v>
      </c>
      <c r="CU2018">
        <v>0</v>
      </c>
      <c r="CV2018">
        <v>2</v>
      </c>
      <c r="CW2018">
        <v>0</v>
      </c>
      <c r="CX2018">
        <v>5</v>
      </c>
      <c r="CY2018">
        <v>7</v>
      </c>
      <c r="CZ2018" t="s">
        <v>131</v>
      </c>
      <c r="DA2018">
        <v>300</v>
      </c>
      <c r="DB2018">
        <v>0</v>
      </c>
      <c r="DC2018" t="s">
        <v>176</v>
      </c>
      <c r="DD2018" t="s">
        <v>177</v>
      </c>
      <c r="DG2018">
        <v>5400199</v>
      </c>
      <c r="DI2018">
        <v>1</v>
      </c>
      <c r="DJ2018">
        <v>0</v>
      </c>
      <c r="DK2018">
        <v>1</v>
      </c>
      <c r="DL2018">
        <v>0</v>
      </c>
      <c r="DM2018">
        <v>0</v>
      </c>
      <c r="DN2018">
        <v>1</v>
      </c>
      <c r="DO2018">
        <v>0</v>
      </c>
      <c r="DP2018">
        <v>0</v>
      </c>
      <c r="DQ2018">
        <v>0</v>
      </c>
      <c r="DR2018">
        <v>0</v>
      </c>
      <c r="DS2018">
        <v>0</v>
      </c>
    </row>
    <row r="2019" spans="1:123" x14ac:dyDescent="0.3">
      <c r="A2019" t="str">
        <f>"10/04/2022 19:30:48.978"</f>
        <v>10/04/2022 19:30:48.978</v>
      </c>
      <c r="C2019" t="str">
        <f t="shared" si="711"/>
        <v>FFDFD3C0</v>
      </c>
      <c r="D2019" t="s">
        <v>141</v>
      </c>
      <c r="E2019">
        <v>3</v>
      </c>
      <c r="H2019">
        <v>3</v>
      </c>
      <c r="I2019" t="s">
        <v>146</v>
      </c>
      <c r="J2019" t="s">
        <v>138</v>
      </c>
      <c r="K2019">
        <v>0</v>
      </c>
      <c r="L2019">
        <v>3</v>
      </c>
      <c r="M2019">
        <v>0</v>
      </c>
      <c r="N2019">
        <v>2</v>
      </c>
      <c r="O2019">
        <v>0</v>
      </c>
      <c r="P2019">
        <v>1</v>
      </c>
      <c r="Q2019">
        <v>0</v>
      </c>
      <c r="S2019" t="str">
        <f t="shared" si="713"/>
        <v>19:30:48.000</v>
      </c>
      <c r="T2019" t="str">
        <f t="shared" si="713"/>
        <v>19:30:48.000</v>
      </c>
      <c r="U2019" t="str">
        <f t="shared" si="701"/>
        <v>AC3944</v>
      </c>
      <c r="V2019">
        <v>0</v>
      </c>
      <c r="W2019">
        <v>0</v>
      </c>
      <c r="X2019">
        <v>2</v>
      </c>
      <c r="Y2019">
        <v>0</v>
      </c>
      <c r="AA2019">
        <v>1</v>
      </c>
      <c r="AB2019">
        <v>8</v>
      </c>
      <c r="AC2019">
        <v>3</v>
      </c>
      <c r="AD2019">
        <v>0</v>
      </c>
      <c r="AE2019">
        <v>9</v>
      </c>
      <c r="AF2019" t="s">
        <v>138</v>
      </c>
      <c r="AG2019">
        <v>0</v>
      </c>
      <c r="AH2019">
        <v>3</v>
      </c>
      <c r="AI2019">
        <v>1</v>
      </c>
      <c r="AJ2019">
        <v>0</v>
      </c>
      <c r="AK2019" t="s">
        <v>712</v>
      </c>
      <c r="AL2019">
        <v>32.775177999999997</v>
      </c>
      <c r="AM2019" t="s">
        <v>713</v>
      </c>
      <c r="AN2019">
        <v>-116.839664</v>
      </c>
      <c r="AO2019">
        <v>25</v>
      </c>
      <c r="AP2019">
        <v>2900</v>
      </c>
      <c r="AQ2019" t="s">
        <v>129</v>
      </c>
      <c r="AR2019">
        <v>125</v>
      </c>
      <c r="AS2019">
        <v>-30</v>
      </c>
      <c r="AT2019">
        <v>192</v>
      </c>
      <c r="BB2019">
        <v>1200</v>
      </c>
      <c r="BC2019">
        <v>1</v>
      </c>
      <c r="BD2019" t="str">
        <f t="shared" si="702"/>
        <v xml:space="preserve">N887QR  </v>
      </c>
      <c r="BE2019">
        <v>1</v>
      </c>
      <c r="BG2019">
        <v>0</v>
      </c>
      <c r="BH2019">
        <v>0</v>
      </c>
      <c r="BI2019">
        <v>0</v>
      </c>
      <c r="BJ2019">
        <v>2675</v>
      </c>
      <c r="BK2019">
        <v>-225</v>
      </c>
      <c r="BL2019" t="s">
        <v>163</v>
      </c>
      <c r="BM2019">
        <v>1</v>
      </c>
      <c r="BN2019">
        <v>1</v>
      </c>
      <c r="BO2019">
        <v>1</v>
      </c>
      <c r="BP2019">
        <v>0</v>
      </c>
      <c r="BS2019">
        <v>0</v>
      </c>
      <c r="BT2019">
        <v>0</v>
      </c>
      <c r="BU2019">
        <v>0</v>
      </c>
      <c r="CE2019" t="str">
        <f t="shared" si="714"/>
        <v>19:30:48.746</v>
      </c>
      <c r="CF2019">
        <v>745963440</v>
      </c>
      <c r="CS2019">
        <v>0</v>
      </c>
      <c r="CT2019">
        <v>2</v>
      </c>
      <c r="CU2019">
        <v>0</v>
      </c>
      <c r="CV2019">
        <v>2</v>
      </c>
      <c r="CW2019">
        <v>0</v>
      </c>
      <c r="CX2019">
        <v>5</v>
      </c>
      <c r="CY2019">
        <v>7</v>
      </c>
      <c r="CZ2019" t="s">
        <v>131</v>
      </c>
      <c r="DA2019">
        <v>300</v>
      </c>
      <c r="DB2019">
        <v>0</v>
      </c>
      <c r="DC2019" t="s">
        <v>176</v>
      </c>
      <c r="DD2019" t="s">
        <v>177</v>
      </c>
      <c r="DG2019">
        <v>5400199</v>
      </c>
      <c r="DI2019">
        <v>1</v>
      </c>
      <c r="DJ2019">
        <v>0</v>
      </c>
      <c r="DK2019">
        <v>1</v>
      </c>
      <c r="DL2019">
        <v>0</v>
      </c>
      <c r="DM2019">
        <v>0</v>
      </c>
      <c r="DN2019">
        <v>1</v>
      </c>
      <c r="DO2019">
        <v>0</v>
      </c>
      <c r="DP2019">
        <v>0</v>
      </c>
      <c r="DQ2019">
        <v>0</v>
      </c>
      <c r="DR2019">
        <v>0</v>
      </c>
      <c r="DS2019">
        <v>0</v>
      </c>
    </row>
    <row r="2020" spans="1:123" x14ac:dyDescent="0.3">
      <c r="A2020" t="str">
        <f>"10/04/2022 19:30:48.978"</f>
        <v>10/04/2022 19:30:48.978</v>
      </c>
      <c r="C2020" t="str">
        <f t="shared" si="711"/>
        <v>FFDFD3C0</v>
      </c>
      <c r="D2020" t="s">
        <v>143</v>
      </c>
      <c r="E2020">
        <v>20</v>
      </c>
      <c r="F2020">
        <v>1020</v>
      </c>
      <c r="G2020" t="s">
        <v>144</v>
      </c>
      <c r="J2020" t="s">
        <v>145</v>
      </c>
      <c r="K2020">
        <v>0</v>
      </c>
      <c r="L2020">
        <v>3</v>
      </c>
      <c r="M2020">
        <v>0</v>
      </c>
      <c r="N2020">
        <v>2</v>
      </c>
      <c r="O2020">
        <v>0</v>
      </c>
      <c r="P2020">
        <v>1</v>
      </c>
      <c r="Q2020">
        <v>0</v>
      </c>
      <c r="S2020" t="str">
        <f t="shared" si="713"/>
        <v>19:30:48.000</v>
      </c>
      <c r="T2020" t="str">
        <f t="shared" si="713"/>
        <v>19:30:48.000</v>
      </c>
      <c r="U2020" t="str">
        <f t="shared" si="701"/>
        <v>AC3944</v>
      </c>
      <c r="V2020">
        <v>0</v>
      </c>
      <c r="W2020">
        <v>0</v>
      </c>
      <c r="X2020">
        <v>2</v>
      </c>
      <c r="Y2020">
        <v>0</v>
      </c>
      <c r="AA2020">
        <v>1</v>
      </c>
      <c r="AB2020">
        <v>8</v>
      </c>
      <c r="AC2020">
        <v>3</v>
      </c>
      <c r="AD2020">
        <v>0</v>
      </c>
      <c r="AE2020">
        <v>9</v>
      </c>
      <c r="AF2020" t="s">
        <v>138</v>
      </c>
      <c r="AG2020">
        <v>0</v>
      </c>
      <c r="AH2020">
        <v>3</v>
      </c>
      <c r="AI2020">
        <v>1</v>
      </c>
      <c r="AJ2020">
        <v>0</v>
      </c>
      <c r="AK2020" t="s">
        <v>712</v>
      </c>
      <c r="AL2020">
        <v>32.775177999999997</v>
      </c>
      <c r="AM2020" t="s">
        <v>713</v>
      </c>
      <c r="AN2020">
        <v>-116.839664</v>
      </c>
      <c r="AO2020">
        <v>25</v>
      </c>
      <c r="AP2020">
        <v>2900</v>
      </c>
      <c r="AQ2020" t="s">
        <v>129</v>
      </c>
      <c r="AR2020">
        <v>125</v>
      </c>
      <c r="AS2020">
        <v>-30</v>
      </c>
      <c r="AT2020">
        <v>192</v>
      </c>
      <c r="BB2020">
        <v>1200</v>
      </c>
      <c r="BC2020">
        <v>1</v>
      </c>
      <c r="BD2020" t="str">
        <f t="shared" si="702"/>
        <v xml:space="preserve">N887QR  </v>
      </c>
      <c r="BE2020">
        <v>1</v>
      </c>
      <c r="BG2020">
        <v>0</v>
      </c>
      <c r="BH2020">
        <v>0</v>
      </c>
      <c r="BI2020">
        <v>0</v>
      </c>
      <c r="BJ2020">
        <v>2675</v>
      </c>
      <c r="BK2020">
        <v>-225</v>
      </c>
      <c r="BL2020" t="s">
        <v>163</v>
      </c>
      <c r="BM2020">
        <v>1</v>
      </c>
      <c r="BN2020">
        <v>1</v>
      </c>
      <c r="BO2020">
        <v>1</v>
      </c>
      <c r="BP2020">
        <v>0</v>
      </c>
      <c r="BS2020">
        <v>0</v>
      </c>
      <c r="BT2020">
        <v>0</v>
      </c>
      <c r="BU2020">
        <v>0</v>
      </c>
      <c r="CE2020" t="str">
        <f t="shared" si="714"/>
        <v>19:30:48.746</v>
      </c>
      <c r="CF2020">
        <v>745963440</v>
      </c>
      <c r="CS2020">
        <v>0</v>
      </c>
      <c r="CT2020">
        <v>2</v>
      </c>
      <c r="CU2020">
        <v>0</v>
      </c>
      <c r="CV2020">
        <v>2</v>
      </c>
      <c r="CW2020">
        <v>0</v>
      </c>
      <c r="CX2020">
        <v>5</v>
      </c>
      <c r="CY2020">
        <v>7</v>
      </c>
      <c r="CZ2020" t="s">
        <v>131</v>
      </c>
      <c r="DA2020">
        <v>300</v>
      </c>
      <c r="DB2020">
        <v>0</v>
      </c>
      <c r="DC2020" t="s">
        <v>176</v>
      </c>
      <c r="DD2020" t="s">
        <v>177</v>
      </c>
      <c r="DG2020">
        <v>5400199</v>
      </c>
      <c r="DI2020">
        <v>1</v>
      </c>
      <c r="DJ2020">
        <v>0</v>
      </c>
      <c r="DK2020">
        <v>1</v>
      </c>
      <c r="DL2020">
        <v>0</v>
      </c>
      <c r="DM2020">
        <v>0</v>
      </c>
      <c r="DN2020">
        <v>1</v>
      </c>
      <c r="DO2020">
        <v>0</v>
      </c>
      <c r="DP2020">
        <v>0</v>
      </c>
      <c r="DQ2020">
        <v>0</v>
      </c>
      <c r="DR2020">
        <v>0</v>
      </c>
      <c r="DS2020">
        <v>0</v>
      </c>
    </row>
    <row r="2021" spans="1:123" x14ac:dyDescent="0.3">
      <c r="A2021" t="str">
        <f>"10/04/2022 19:30:48.978"</f>
        <v>10/04/2022 19:30:48.978</v>
      </c>
      <c r="C2021" t="str">
        <f t="shared" si="711"/>
        <v>FFDFD3C0</v>
      </c>
      <c r="D2021" t="s">
        <v>123</v>
      </c>
      <c r="E2021">
        <v>7</v>
      </c>
      <c r="F2021">
        <v>2007</v>
      </c>
      <c r="G2021" t="s">
        <v>124</v>
      </c>
      <c r="J2021" t="s">
        <v>125</v>
      </c>
      <c r="K2021">
        <v>0</v>
      </c>
      <c r="L2021">
        <v>3</v>
      </c>
      <c r="M2021">
        <v>0</v>
      </c>
      <c r="N2021">
        <v>2</v>
      </c>
      <c r="O2021">
        <v>0</v>
      </c>
      <c r="P2021">
        <v>1</v>
      </c>
      <c r="Q2021">
        <v>0</v>
      </c>
      <c r="S2021" t="str">
        <f t="shared" si="713"/>
        <v>19:30:48.000</v>
      </c>
      <c r="T2021" t="str">
        <f t="shared" si="713"/>
        <v>19:30:48.000</v>
      </c>
      <c r="U2021" t="str">
        <f t="shared" si="701"/>
        <v>AC3944</v>
      </c>
      <c r="V2021">
        <v>0</v>
      </c>
      <c r="W2021">
        <v>0</v>
      </c>
      <c r="X2021">
        <v>2</v>
      </c>
      <c r="Y2021">
        <v>0</v>
      </c>
      <c r="AA2021">
        <v>1</v>
      </c>
      <c r="AB2021">
        <v>8</v>
      </c>
      <c r="AC2021">
        <v>3</v>
      </c>
      <c r="AD2021">
        <v>0</v>
      </c>
      <c r="AE2021">
        <v>9</v>
      </c>
      <c r="AF2021" t="s">
        <v>138</v>
      </c>
      <c r="AG2021">
        <v>0</v>
      </c>
      <c r="AH2021">
        <v>3</v>
      </c>
      <c r="AI2021">
        <v>1</v>
      </c>
      <c r="AJ2021">
        <v>0</v>
      </c>
      <c r="AK2021" t="s">
        <v>712</v>
      </c>
      <c r="AL2021">
        <v>32.775177999999997</v>
      </c>
      <c r="AM2021" t="s">
        <v>713</v>
      </c>
      <c r="AN2021">
        <v>-116.839664</v>
      </c>
      <c r="AO2021">
        <v>25</v>
      </c>
      <c r="AP2021">
        <v>2900</v>
      </c>
      <c r="AQ2021" t="s">
        <v>129</v>
      </c>
      <c r="AR2021">
        <v>125</v>
      </c>
      <c r="AS2021">
        <v>-30</v>
      </c>
      <c r="AT2021">
        <v>192</v>
      </c>
      <c r="BB2021">
        <v>1200</v>
      </c>
      <c r="BC2021">
        <v>1</v>
      </c>
      <c r="BD2021" t="str">
        <f t="shared" si="702"/>
        <v xml:space="preserve">N887QR  </v>
      </c>
      <c r="BE2021">
        <v>1</v>
      </c>
      <c r="BG2021">
        <v>0</v>
      </c>
      <c r="BH2021">
        <v>0</v>
      </c>
      <c r="BI2021">
        <v>0</v>
      </c>
      <c r="BJ2021">
        <v>2675</v>
      </c>
      <c r="BK2021">
        <v>-225</v>
      </c>
      <c r="BL2021" t="s">
        <v>163</v>
      </c>
      <c r="BM2021">
        <v>1</v>
      </c>
      <c r="BN2021">
        <v>1</v>
      </c>
      <c r="BO2021">
        <v>1</v>
      </c>
      <c r="BP2021">
        <v>0</v>
      </c>
      <c r="BS2021">
        <v>0</v>
      </c>
      <c r="BT2021">
        <v>0</v>
      </c>
      <c r="BU2021">
        <v>0</v>
      </c>
      <c r="CE2021" t="str">
        <f t="shared" si="714"/>
        <v>19:30:48.746</v>
      </c>
      <c r="CF2021">
        <v>745963440</v>
      </c>
      <c r="CS2021">
        <v>0</v>
      </c>
      <c r="CT2021">
        <v>2</v>
      </c>
      <c r="CU2021">
        <v>0</v>
      </c>
      <c r="CV2021">
        <v>2</v>
      </c>
      <c r="CW2021">
        <v>0</v>
      </c>
      <c r="CX2021">
        <v>5</v>
      </c>
      <c r="CY2021">
        <v>7</v>
      </c>
      <c r="CZ2021" t="s">
        <v>131</v>
      </c>
      <c r="DA2021">
        <v>300</v>
      </c>
      <c r="DB2021">
        <v>0</v>
      </c>
      <c r="DC2021" t="s">
        <v>176</v>
      </c>
      <c r="DD2021" t="s">
        <v>177</v>
      </c>
      <c r="DG2021">
        <v>5400199</v>
      </c>
      <c r="DI2021">
        <v>1</v>
      </c>
      <c r="DJ2021">
        <v>0</v>
      </c>
      <c r="DK2021">
        <v>1</v>
      </c>
      <c r="DL2021">
        <v>0</v>
      </c>
      <c r="DM2021">
        <v>0</v>
      </c>
      <c r="DN2021">
        <v>1</v>
      </c>
      <c r="DO2021">
        <v>0</v>
      </c>
      <c r="DP2021">
        <v>0</v>
      </c>
      <c r="DQ2021">
        <v>0</v>
      </c>
      <c r="DR2021">
        <v>0</v>
      </c>
      <c r="DS2021">
        <v>0</v>
      </c>
    </row>
    <row r="2022" spans="1:123" x14ac:dyDescent="0.3">
      <c r="A2022" t="str">
        <f>"10/04/2022 19:30:49.009"</f>
        <v>10/04/2022 19:30:49.009</v>
      </c>
      <c r="C2022" t="str">
        <f t="shared" si="711"/>
        <v>FFDFD3C0</v>
      </c>
      <c r="D2022" t="s">
        <v>136</v>
      </c>
      <c r="E2022">
        <v>8</v>
      </c>
      <c r="H2022">
        <v>225</v>
      </c>
      <c r="I2022" t="s">
        <v>137</v>
      </c>
      <c r="J2022" t="s">
        <v>138</v>
      </c>
      <c r="K2022">
        <v>0</v>
      </c>
      <c r="L2022">
        <v>3</v>
      </c>
      <c r="M2022">
        <v>0</v>
      </c>
      <c r="N2022">
        <v>2</v>
      </c>
      <c r="O2022">
        <v>0</v>
      </c>
      <c r="P2022">
        <v>1</v>
      </c>
      <c r="Q2022">
        <v>0</v>
      </c>
      <c r="S2022" t="str">
        <f t="shared" si="713"/>
        <v>19:30:48.000</v>
      </c>
      <c r="T2022" t="str">
        <f t="shared" si="713"/>
        <v>19:30:48.000</v>
      </c>
      <c r="U2022" t="str">
        <f t="shared" si="701"/>
        <v>AC3944</v>
      </c>
      <c r="V2022">
        <v>0</v>
      </c>
      <c r="W2022">
        <v>0</v>
      </c>
      <c r="X2022">
        <v>2</v>
      </c>
      <c r="Y2022">
        <v>0</v>
      </c>
      <c r="AA2022">
        <v>1</v>
      </c>
      <c r="AB2022">
        <v>8</v>
      </c>
      <c r="AC2022">
        <v>3</v>
      </c>
      <c r="AD2022">
        <v>0</v>
      </c>
      <c r="AE2022">
        <v>9</v>
      </c>
      <c r="AF2022" t="s">
        <v>138</v>
      </c>
      <c r="AG2022">
        <v>0</v>
      </c>
      <c r="AH2022">
        <v>3</v>
      </c>
      <c r="AI2022">
        <v>1</v>
      </c>
      <c r="AJ2022">
        <v>0</v>
      </c>
      <c r="AK2022" t="s">
        <v>712</v>
      </c>
      <c r="AL2022">
        <v>32.775177999999997</v>
      </c>
      <c r="AM2022" t="s">
        <v>713</v>
      </c>
      <c r="AN2022">
        <v>-116.839664</v>
      </c>
      <c r="AO2022">
        <v>25</v>
      </c>
      <c r="AP2022">
        <v>2900</v>
      </c>
      <c r="AQ2022" t="s">
        <v>129</v>
      </c>
      <c r="AR2022">
        <v>125</v>
      </c>
      <c r="AS2022">
        <v>-30</v>
      </c>
      <c r="AT2022">
        <v>192</v>
      </c>
      <c r="BB2022">
        <v>1200</v>
      </c>
      <c r="BC2022">
        <v>1</v>
      </c>
      <c r="BD2022" t="str">
        <f t="shared" si="702"/>
        <v xml:space="preserve">N887QR  </v>
      </c>
      <c r="BE2022">
        <v>1</v>
      </c>
      <c r="BG2022">
        <v>0</v>
      </c>
      <c r="BH2022">
        <v>0</v>
      </c>
      <c r="BI2022">
        <v>0</v>
      </c>
      <c r="BJ2022">
        <v>2675</v>
      </c>
      <c r="BK2022">
        <v>-225</v>
      </c>
      <c r="BL2022" t="s">
        <v>163</v>
      </c>
      <c r="BM2022">
        <v>1</v>
      </c>
      <c r="BN2022">
        <v>1</v>
      </c>
      <c r="BO2022">
        <v>1</v>
      </c>
      <c r="BP2022">
        <v>0</v>
      </c>
      <c r="BS2022">
        <v>0</v>
      </c>
      <c r="BT2022">
        <v>0</v>
      </c>
      <c r="BU2022">
        <v>0</v>
      </c>
      <c r="CE2022" t="str">
        <f t="shared" si="714"/>
        <v>19:30:48.746</v>
      </c>
      <c r="CF2022">
        <v>745963440</v>
      </c>
      <c r="CS2022">
        <v>0</v>
      </c>
      <c r="CT2022">
        <v>2</v>
      </c>
      <c r="CU2022">
        <v>0</v>
      </c>
      <c r="CV2022">
        <v>2</v>
      </c>
      <c r="CW2022">
        <v>0</v>
      </c>
      <c r="CX2022">
        <v>5</v>
      </c>
      <c r="CY2022">
        <v>7</v>
      </c>
      <c r="CZ2022" t="s">
        <v>131</v>
      </c>
      <c r="DA2022">
        <v>300</v>
      </c>
      <c r="DB2022">
        <v>0</v>
      </c>
      <c r="DC2022" t="s">
        <v>176</v>
      </c>
      <c r="DD2022" t="s">
        <v>177</v>
      </c>
      <c r="DG2022">
        <v>5400199</v>
      </c>
      <c r="DI2022">
        <v>1</v>
      </c>
      <c r="DJ2022">
        <v>0</v>
      </c>
      <c r="DK2022">
        <v>1</v>
      </c>
      <c r="DL2022">
        <v>0</v>
      </c>
      <c r="DM2022">
        <v>0</v>
      </c>
      <c r="DN2022">
        <v>1</v>
      </c>
      <c r="DO2022">
        <v>0</v>
      </c>
      <c r="DP2022">
        <v>0</v>
      </c>
      <c r="DQ2022">
        <v>0</v>
      </c>
      <c r="DR2022">
        <v>0</v>
      </c>
      <c r="DS2022">
        <v>0</v>
      </c>
    </row>
    <row r="2023" spans="1:123" x14ac:dyDescent="0.3">
      <c r="A2023" t="str">
        <f>"10/04/2022 19:30:49.009"</f>
        <v>10/04/2022 19:30:49.009</v>
      </c>
      <c r="C2023" t="str">
        <f t="shared" si="711"/>
        <v>FFDFD3C0</v>
      </c>
      <c r="D2023" t="s">
        <v>134</v>
      </c>
      <c r="E2023">
        <v>15</v>
      </c>
      <c r="J2023" t="s">
        <v>135</v>
      </c>
      <c r="K2023">
        <v>0</v>
      </c>
      <c r="L2023">
        <v>3</v>
      </c>
      <c r="M2023">
        <v>0</v>
      </c>
      <c r="N2023">
        <v>2</v>
      </c>
      <c r="O2023">
        <v>0</v>
      </c>
      <c r="P2023">
        <v>1</v>
      </c>
      <c r="Q2023">
        <v>0</v>
      </c>
      <c r="S2023" t="str">
        <f t="shared" si="713"/>
        <v>19:30:48.000</v>
      </c>
      <c r="T2023" t="str">
        <f t="shared" si="713"/>
        <v>19:30:48.000</v>
      </c>
      <c r="U2023" t="str">
        <f t="shared" si="701"/>
        <v>AC3944</v>
      </c>
      <c r="V2023">
        <v>0</v>
      </c>
      <c r="W2023">
        <v>0</v>
      </c>
      <c r="X2023">
        <v>2</v>
      </c>
      <c r="Y2023">
        <v>0</v>
      </c>
      <c r="AA2023">
        <v>1</v>
      </c>
      <c r="AB2023">
        <v>8</v>
      </c>
      <c r="AC2023">
        <v>3</v>
      </c>
      <c r="AD2023">
        <v>0</v>
      </c>
      <c r="AE2023">
        <v>9</v>
      </c>
      <c r="AF2023" t="s">
        <v>138</v>
      </c>
      <c r="AG2023">
        <v>0</v>
      </c>
      <c r="AH2023">
        <v>3</v>
      </c>
      <c r="AI2023">
        <v>1</v>
      </c>
      <c r="AJ2023">
        <v>0</v>
      </c>
      <c r="AK2023" t="s">
        <v>712</v>
      </c>
      <c r="AL2023">
        <v>32.775177999999997</v>
      </c>
      <c r="AM2023" t="s">
        <v>713</v>
      </c>
      <c r="AN2023">
        <v>-116.839664</v>
      </c>
      <c r="AO2023">
        <v>25</v>
      </c>
      <c r="AP2023">
        <v>2900</v>
      </c>
      <c r="AQ2023" t="s">
        <v>129</v>
      </c>
      <c r="AR2023">
        <v>125</v>
      </c>
      <c r="AS2023">
        <v>-30</v>
      </c>
      <c r="AT2023">
        <v>192</v>
      </c>
      <c r="BB2023">
        <v>1200</v>
      </c>
      <c r="BC2023">
        <v>1</v>
      </c>
      <c r="BD2023" t="str">
        <f t="shared" si="702"/>
        <v xml:space="preserve">N887QR  </v>
      </c>
      <c r="BE2023">
        <v>1</v>
      </c>
      <c r="BG2023">
        <v>0</v>
      </c>
      <c r="BH2023">
        <v>0</v>
      </c>
      <c r="BI2023">
        <v>0</v>
      </c>
      <c r="BJ2023">
        <v>2675</v>
      </c>
      <c r="BK2023">
        <v>-225</v>
      </c>
      <c r="BL2023" t="s">
        <v>163</v>
      </c>
      <c r="BM2023">
        <v>1</v>
      </c>
      <c r="BN2023">
        <v>1</v>
      </c>
      <c r="BO2023">
        <v>1</v>
      </c>
      <c r="BP2023">
        <v>0</v>
      </c>
      <c r="BS2023">
        <v>0</v>
      </c>
      <c r="BT2023">
        <v>0</v>
      </c>
      <c r="BU2023">
        <v>0</v>
      </c>
      <c r="CE2023" t="str">
        <f t="shared" si="714"/>
        <v>19:30:48.746</v>
      </c>
      <c r="CF2023">
        <v>745963440</v>
      </c>
      <c r="CS2023">
        <v>0</v>
      </c>
      <c r="CT2023">
        <v>2</v>
      </c>
      <c r="CU2023">
        <v>0</v>
      </c>
      <c r="CV2023">
        <v>2</v>
      </c>
      <c r="CW2023">
        <v>0</v>
      </c>
      <c r="CX2023">
        <v>5</v>
      </c>
      <c r="CY2023">
        <v>7</v>
      </c>
      <c r="CZ2023" t="s">
        <v>131</v>
      </c>
      <c r="DA2023">
        <v>300</v>
      </c>
      <c r="DB2023">
        <v>0</v>
      </c>
      <c r="DC2023" t="s">
        <v>176</v>
      </c>
      <c r="DD2023" t="s">
        <v>177</v>
      </c>
      <c r="DG2023">
        <v>5400199</v>
      </c>
      <c r="DI2023">
        <v>1</v>
      </c>
      <c r="DJ2023">
        <v>0</v>
      </c>
      <c r="DK2023">
        <v>1</v>
      </c>
      <c r="DL2023">
        <v>0</v>
      </c>
      <c r="DM2023">
        <v>0</v>
      </c>
      <c r="DN2023">
        <v>1</v>
      </c>
      <c r="DO2023">
        <v>0</v>
      </c>
      <c r="DP2023">
        <v>0</v>
      </c>
      <c r="DQ2023">
        <v>0</v>
      </c>
      <c r="DR2023">
        <v>0</v>
      </c>
      <c r="DS2023">
        <v>0</v>
      </c>
    </row>
    <row r="2024" spans="1:123" x14ac:dyDescent="0.3">
      <c r="A2024" t="str">
        <f>"10/04/2022 19:30:50.057"</f>
        <v>10/04/2022 19:30:50.057</v>
      </c>
      <c r="C2024" t="str">
        <f t="shared" si="711"/>
        <v>FFDFD3C0</v>
      </c>
      <c r="D2024" t="s">
        <v>136</v>
      </c>
      <c r="E2024">
        <v>8</v>
      </c>
      <c r="H2024">
        <v>225</v>
      </c>
      <c r="I2024" t="s">
        <v>137</v>
      </c>
      <c r="J2024" t="s">
        <v>138</v>
      </c>
      <c r="K2024">
        <v>0</v>
      </c>
      <c r="L2024">
        <v>3</v>
      </c>
      <c r="M2024">
        <v>0</v>
      </c>
      <c r="N2024">
        <v>2</v>
      </c>
      <c r="O2024">
        <v>0</v>
      </c>
      <c r="P2024">
        <v>1</v>
      </c>
      <c r="Q2024">
        <v>0</v>
      </c>
      <c r="S2024" t="str">
        <f t="shared" ref="S2024:T2030" si="715">"19:30:49.000"</f>
        <v>19:30:49.000</v>
      </c>
      <c r="T2024" t="str">
        <f t="shared" si="715"/>
        <v>19:30:49.000</v>
      </c>
      <c r="U2024" t="str">
        <f t="shared" si="701"/>
        <v>AC3944</v>
      </c>
      <c r="V2024">
        <v>0</v>
      </c>
      <c r="W2024">
        <v>0</v>
      </c>
      <c r="X2024">
        <v>2</v>
      </c>
      <c r="Y2024">
        <v>0</v>
      </c>
      <c r="AA2024">
        <v>1</v>
      </c>
      <c r="AB2024">
        <v>8</v>
      </c>
      <c r="AC2024">
        <v>3</v>
      </c>
      <c r="AD2024">
        <v>0</v>
      </c>
      <c r="AE2024">
        <v>9</v>
      </c>
      <c r="AF2024" t="s">
        <v>138</v>
      </c>
      <c r="AG2024">
        <v>0</v>
      </c>
      <c r="AH2024">
        <v>3</v>
      </c>
      <c r="AI2024">
        <v>1</v>
      </c>
      <c r="AJ2024">
        <v>0</v>
      </c>
      <c r="AK2024" t="s">
        <v>714</v>
      </c>
      <c r="AL2024">
        <v>32.775027999999999</v>
      </c>
      <c r="AM2024" t="s">
        <v>715</v>
      </c>
      <c r="AN2024">
        <v>-116.838977</v>
      </c>
      <c r="AO2024">
        <v>25</v>
      </c>
      <c r="AP2024">
        <v>2900</v>
      </c>
      <c r="AQ2024" t="s">
        <v>129</v>
      </c>
      <c r="AR2024">
        <v>127</v>
      </c>
      <c r="AS2024">
        <v>-29</v>
      </c>
      <c r="AT2024">
        <v>192</v>
      </c>
      <c r="BB2024">
        <v>1200</v>
      </c>
      <c r="BC2024">
        <v>1</v>
      </c>
      <c r="BD2024" t="str">
        <f t="shared" si="702"/>
        <v xml:space="preserve">N887QR  </v>
      </c>
      <c r="BE2024">
        <v>1</v>
      </c>
      <c r="BG2024">
        <v>0</v>
      </c>
      <c r="BH2024">
        <v>0</v>
      </c>
      <c r="BI2024">
        <v>0</v>
      </c>
      <c r="BJ2024">
        <v>2675</v>
      </c>
      <c r="BK2024">
        <v>-225</v>
      </c>
      <c r="BL2024" t="s">
        <v>163</v>
      </c>
      <c r="BM2024">
        <v>1</v>
      </c>
      <c r="BN2024">
        <v>1</v>
      </c>
      <c r="BO2024">
        <v>1</v>
      </c>
      <c r="BP2024">
        <v>0</v>
      </c>
      <c r="BS2024">
        <v>0</v>
      </c>
      <c r="BT2024">
        <v>0</v>
      </c>
      <c r="BU2024">
        <v>0</v>
      </c>
      <c r="CE2024" t="str">
        <f t="shared" ref="CE2024:CE2030" si="716">"19:30:49.793"</f>
        <v>19:30:49.793</v>
      </c>
      <c r="CF2024">
        <v>793216879</v>
      </c>
      <c r="CS2024">
        <v>0</v>
      </c>
      <c r="CT2024">
        <v>2</v>
      </c>
      <c r="CU2024">
        <v>0</v>
      </c>
      <c r="CV2024">
        <v>2</v>
      </c>
      <c r="CW2024">
        <v>0</v>
      </c>
      <c r="CX2024">
        <v>5</v>
      </c>
      <c r="CY2024">
        <v>7</v>
      </c>
      <c r="CZ2024" t="s">
        <v>131</v>
      </c>
      <c r="DA2024">
        <v>300</v>
      </c>
      <c r="DB2024">
        <v>0</v>
      </c>
      <c r="DC2024" t="s">
        <v>176</v>
      </c>
      <c r="DD2024" t="s">
        <v>177</v>
      </c>
      <c r="DG2024">
        <v>5400349</v>
      </c>
      <c r="DI2024">
        <v>1</v>
      </c>
      <c r="DJ2024">
        <v>0</v>
      </c>
      <c r="DK2024">
        <v>0</v>
      </c>
      <c r="DL2024">
        <v>0</v>
      </c>
      <c r="DM2024">
        <v>0</v>
      </c>
      <c r="DN2024">
        <v>1</v>
      </c>
      <c r="DO2024">
        <v>0</v>
      </c>
      <c r="DP2024">
        <v>0</v>
      </c>
      <c r="DQ2024">
        <v>0</v>
      </c>
      <c r="DR2024">
        <v>0</v>
      </c>
      <c r="DS2024">
        <v>0</v>
      </c>
    </row>
    <row r="2025" spans="1:123" x14ac:dyDescent="0.3">
      <c r="A2025" t="str">
        <f>"10/04/2022 19:30:50.057"</f>
        <v>10/04/2022 19:30:50.057</v>
      </c>
      <c r="C2025" t="str">
        <f t="shared" si="711"/>
        <v>FFDFD3C0</v>
      </c>
      <c r="D2025" t="s">
        <v>134</v>
      </c>
      <c r="E2025">
        <v>15</v>
      </c>
      <c r="J2025" t="s">
        <v>135</v>
      </c>
      <c r="K2025">
        <v>0</v>
      </c>
      <c r="L2025">
        <v>3</v>
      </c>
      <c r="M2025">
        <v>0</v>
      </c>
      <c r="N2025">
        <v>2</v>
      </c>
      <c r="O2025">
        <v>0</v>
      </c>
      <c r="P2025">
        <v>1</v>
      </c>
      <c r="Q2025">
        <v>0</v>
      </c>
      <c r="S2025" t="str">
        <f t="shared" si="715"/>
        <v>19:30:49.000</v>
      </c>
      <c r="T2025" t="str">
        <f t="shared" si="715"/>
        <v>19:30:49.000</v>
      </c>
      <c r="U2025" t="str">
        <f t="shared" si="701"/>
        <v>AC3944</v>
      </c>
      <c r="V2025">
        <v>0</v>
      </c>
      <c r="W2025">
        <v>0</v>
      </c>
      <c r="X2025">
        <v>2</v>
      </c>
      <c r="Y2025">
        <v>0</v>
      </c>
      <c r="AA2025">
        <v>1</v>
      </c>
      <c r="AB2025">
        <v>8</v>
      </c>
      <c r="AC2025">
        <v>3</v>
      </c>
      <c r="AD2025">
        <v>0</v>
      </c>
      <c r="AE2025">
        <v>9</v>
      </c>
      <c r="AF2025" t="s">
        <v>138</v>
      </c>
      <c r="AG2025">
        <v>0</v>
      </c>
      <c r="AH2025">
        <v>3</v>
      </c>
      <c r="AI2025">
        <v>1</v>
      </c>
      <c r="AJ2025">
        <v>0</v>
      </c>
      <c r="AK2025" t="s">
        <v>714</v>
      </c>
      <c r="AL2025">
        <v>32.775027999999999</v>
      </c>
      <c r="AM2025" t="s">
        <v>715</v>
      </c>
      <c r="AN2025">
        <v>-116.838977</v>
      </c>
      <c r="AO2025">
        <v>25</v>
      </c>
      <c r="AP2025">
        <v>2900</v>
      </c>
      <c r="AQ2025" t="s">
        <v>129</v>
      </c>
      <c r="AR2025">
        <v>127</v>
      </c>
      <c r="AS2025">
        <v>-29</v>
      </c>
      <c r="AT2025">
        <v>192</v>
      </c>
      <c r="BB2025">
        <v>1200</v>
      </c>
      <c r="BC2025">
        <v>1</v>
      </c>
      <c r="BD2025" t="str">
        <f t="shared" si="702"/>
        <v xml:space="preserve">N887QR  </v>
      </c>
      <c r="BE2025">
        <v>1</v>
      </c>
      <c r="BG2025">
        <v>0</v>
      </c>
      <c r="BH2025">
        <v>0</v>
      </c>
      <c r="BI2025">
        <v>0</v>
      </c>
      <c r="BJ2025">
        <v>2675</v>
      </c>
      <c r="BK2025">
        <v>-225</v>
      </c>
      <c r="BL2025" t="s">
        <v>163</v>
      </c>
      <c r="BM2025">
        <v>1</v>
      </c>
      <c r="BN2025">
        <v>1</v>
      </c>
      <c r="BO2025">
        <v>1</v>
      </c>
      <c r="BP2025">
        <v>0</v>
      </c>
      <c r="BS2025">
        <v>0</v>
      </c>
      <c r="BT2025">
        <v>0</v>
      </c>
      <c r="BU2025">
        <v>0</v>
      </c>
      <c r="CE2025" t="str">
        <f t="shared" si="716"/>
        <v>19:30:49.793</v>
      </c>
      <c r="CF2025">
        <v>793216879</v>
      </c>
      <c r="CS2025">
        <v>0</v>
      </c>
      <c r="CT2025">
        <v>2</v>
      </c>
      <c r="CU2025">
        <v>0</v>
      </c>
      <c r="CV2025">
        <v>2</v>
      </c>
      <c r="CW2025">
        <v>0</v>
      </c>
      <c r="CX2025">
        <v>5</v>
      </c>
      <c r="CY2025">
        <v>7</v>
      </c>
      <c r="CZ2025" t="s">
        <v>131</v>
      </c>
      <c r="DA2025">
        <v>300</v>
      </c>
      <c r="DB2025">
        <v>0</v>
      </c>
      <c r="DC2025" t="s">
        <v>176</v>
      </c>
      <c r="DD2025" t="s">
        <v>177</v>
      </c>
      <c r="DG2025">
        <v>5400349</v>
      </c>
      <c r="DI2025">
        <v>1</v>
      </c>
      <c r="DJ2025">
        <v>0</v>
      </c>
      <c r="DK2025">
        <v>1</v>
      </c>
      <c r="DL2025">
        <v>0</v>
      </c>
      <c r="DM2025">
        <v>0</v>
      </c>
      <c r="DN2025">
        <v>1</v>
      </c>
      <c r="DO2025">
        <v>0</v>
      </c>
      <c r="DP2025">
        <v>0</v>
      </c>
      <c r="DQ2025">
        <v>0</v>
      </c>
      <c r="DR2025">
        <v>0</v>
      </c>
      <c r="DS2025">
        <v>0</v>
      </c>
    </row>
    <row r="2026" spans="1:123" x14ac:dyDescent="0.3">
      <c r="A2026" t="str">
        <f>"10/04/2022 19:30:50.057"</f>
        <v>10/04/2022 19:30:50.057</v>
      </c>
      <c r="C2026" t="str">
        <f t="shared" si="711"/>
        <v>FFDFD3C0</v>
      </c>
      <c r="D2026" t="s">
        <v>141</v>
      </c>
      <c r="E2026">
        <v>4</v>
      </c>
      <c r="H2026">
        <v>4</v>
      </c>
      <c r="I2026" t="s">
        <v>142</v>
      </c>
      <c r="J2026" t="s">
        <v>138</v>
      </c>
      <c r="K2026">
        <v>0</v>
      </c>
      <c r="L2026">
        <v>3</v>
      </c>
      <c r="M2026">
        <v>0</v>
      </c>
      <c r="N2026">
        <v>2</v>
      </c>
      <c r="O2026">
        <v>0</v>
      </c>
      <c r="P2026">
        <v>1</v>
      </c>
      <c r="Q2026">
        <v>0</v>
      </c>
      <c r="S2026" t="str">
        <f t="shared" si="715"/>
        <v>19:30:49.000</v>
      </c>
      <c r="T2026" t="str">
        <f t="shared" si="715"/>
        <v>19:30:49.000</v>
      </c>
      <c r="U2026" t="str">
        <f t="shared" si="701"/>
        <v>AC3944</v>
      </c>
      <c r="V2026">
        <v>0</v>
      </c>
      <c r="W2026">
        <v>0</v>
      </c>
      <c r="X2026">
        <v>2</v>
      </c>
      <c r="Y2026">
        <v>0</v>
      </c>
      <c r="AA2026">
        <v>1</v>
      </c>
      <c r="AB2026">
        <v>8</v>
      </c>
      <c r="AC2026">
        <v>3</v>
      </c>
      <c r="AD2026">
        <v>0</v>
      </c>
      <c r="AE2026">
        <v>9</v>
      </c>
      <c r="AF2026" t="s">
        <v>138</v>
      </c>
      <c r="AG2026">
        <v>0</v>
      </c>
      <c r="AH2026">
        <v>3</v>
      </c>
      <c r="AI2026">
        <v>1</v>
      </c>
      <c r="AJ2026">
        <v>0</v>
      </c>
      <c r="AK2026" t="s">
        <v>714</v>
      </c>
      <c r="AL2026">
        <v>32.775027999999999</v>
      </c>
      <c r="AM2026" t="s">
        <v>715</v>
      </c>
      <c r="AN2026">
        <v>-116.838977</v>
      </c>
      <c r="AO2026">
        <v>25</v>
      </c>
      <c r="AP2026">
        <v>2900</v>
      </c>
      <c r="AQ2026" t="s">
        <v>129</v>
      </c>
      <c r="AR2026">
        <v>127</v>
      </c>
      <c r="AS2026">
        <v>-29</v>
      </c>
      <c r="AT2026">
        <v>192</v>
      </c>
      <c r="BB2026">
        <v>1200</v>
      </c>
      <c r="BC2026">
        <v>1</v>
      </c>
      <c r="BD2026" t="str">
        <f t="shared" si="702"/>
        <v xml:space="preserve">N887QR  </v>
      </c>
      <c r="BE2026">
        <v>1</v>
      </c>
      <c r="BG2026">
        <v>0</v>
      </c>
      <c r="BH2026">
        <v>0</v>
      </c>
      <c r="BI2026">
        <v>0</v>
      </c>
      <c r="BJ2026">
        <v>2675</v>
      </c>
      <c r="BK2026">
        <v>-225</v>
      </c>
      <c r="BL2026" t="s">
        <v>163</v>
      </c>
      <c r="BM2026">
        <v>1</v>
      </c>
      <c r="BN2026">
        <v>1</v>
      </c>
      <c r="BO2026">
        <v>1</v>
      </c>
      <c r="BP2026">
        <v>0</v>
      </c>
      <c r="BS2026">
        <v>0</v>
      </c>
      <c r="BT2026">
        <v>0</v>
      </c>
      <c r="BU2026">
        <v>0</v>
      </c>
      <c r="CE2026" t="str">
        <f t="shared" si="716"/>
        <v>19:30:49.793</v>
      </c>
      <c r="CF2026">
        <v>793216879</v>
      </c>
      <c r="CS2026">
        <v>0</v>
      </c>
      <c r="CT2026">
        <v>2</v>
      </c>
      <c r="CU2026">
        <v>0</v>
      </c>
      <c r="CV2026">
        <v>2</v>
      </c>
      <c r="CW2026">
        <v>0</v>
      </c>
      <c r="CX2026">
        <v>5</v>
      </c>
      <c r="CY2026">
        <v>7</v>
      </c>
      <c r="CZ2026" t="s">
        <v>131</v>
      </c>
      <c r="DA2026">
        <v>300</v>
      </c>
      <c r="DB2026">
        <v>0</v>
      </c>
      <c r="DC2026" t="s">
        <v>176</v>
      </c>
      <c r="DD2026" t="s">
        <v>177</v>
      </c>
      <c r="DG2026">
        <v>5400349</v>
      </c>
      <c r="DI2026">
        <v>1</v>
      </c>
      <c r="DJ2026">
        <v>0</v>
      </c>
      <c r="DK2026">
        <v>1</v>
      </c>
      <c r="DL2026">
        <v>0</v>
      </c>
      <c r="DM2026">
        <v>0</v>
      </c>
      <c r="DN2026">
        <v>1</v>
      </c>
      <c r="DO2026">
        <v>0</v>
      </c>
      <c r="DP2026">
        <v>0</v>
      </c>
      <c r="DQ2026">
        <v>0</v>
      </c>
      <c r="DR2026">
        <v>0</v>
      </c>
      <c r="DS2026">
        <v>0</v>
      </c>
    </row>
    <row r="2027" spans="1:123" x14ac:dyDescent="0.3">
      <c r="A2027" t="str">
        <f>"10/04/2022 19:30:50.120"</f>
        <v>10/04/2022 19:30:50.120</v>
      </c>
      <c r="C2027" t="str">
        <f t="shared" si="711"/>
        <v>FFDFD3C0</v>
      </c>
      <c r="D2027" t="s">
        <v>143</v>
      </c>
      <c r="E2027">
        <v>20</v>
      </c>
      <c r="F2027">
        <v>1020</v>
      </c>
      <c r="G2027" t="s">
        <v>144</v>
      </c>
      <c r="J2027" t="s">
        <v>145</v>
      </c>
      <c r="K2027">
        <v>0</v>
      </c>
      <c r="L2027">
        <v>3</v>
      </c>
      <c r="M2027">
        <v>0</v>
      </c>
      <c r="N2027">
        <v>2</v>
      </c>
      <c r="O2027">
        <v>0</v>
      </c>
      <c r="P2027">
        <v>1</v>
      </c>
      <c r="Q2027">
        <v>0</v>
      </c>
      <c r="S2027" t="str">
        <f t="shared" si="715"/>
        <v>19:30:49.000</v>
      </c>
      <c r="T2027" t="str">
        <f t="shared" si="715"/>
        <v>19:30:49.000</v>
      </c>
      <c r="U2027" t="str">
        <f t="shared" si="701"/>
        <v>AC3944</v>
      </c>
      <c r="V2027">
        <v>0</v>
      </c>
      <c r="W2027">
        <v>0</v>
      </c>
      <c r="X2027">
        <v>2</v>
      </c>
      <c r="Y2027">
        <v>0</v>
      </c>
      <c r="AA2027">
        <v>1</v>
      </c>
      <c r="AB2027">
        <v>8</v>
      </c>
      <c r="AC2027">
        <v>3</v>
      </c>
      <c r="AD2027">
        <v>0</v>
      </c>
      <c r="AE2027">
        <v>9</v>
      </c>
      <c r="AF2027" t="s">
        <v>138</v>
      </c>
      <c r="AG2027">
        <v>0</v>
      </c>
      <c r="AH2027">
        <v>3</v>
      </c>
      <c r="AI2027">
        <v>1</v>
      </c>
      <c r="AJ2027">
        <v>0</v>
      </c>
      <c r="AK2027" t="s">
        <v>714</v>
      </c>
      <c r="AL2027">
        <v>32.775027999999999</v>
      </c>
      <c r="AM2027" t="s">
        <v>715</v>
      </c>
      <c r="AN2027">
        <v>-116.838977</v>
      </c>
      <c r="AO2027">
        <v>25</v>
      </c>
      <c r="AP2027">
        <v>2900</v>
      </c>
      <c r="AQ2027" t="s">
        <v>129</v>
      </c>
      <c r="AR2027">
        <v>127</v>
      </c>
      <c r="AS2027">
        <v>-29</v>
      </c>
      <c r="AT2027">
        <v>192</v>
      </c>
      <c r="BB2027">
        <v>1200</v>
      </c>
      <c r="BC2027">
        <v>1</v>
      </c>
      <c r="BD2027" t="str">
        <f t="shared" si="702"/>
        <v xml:space="preserve">N887QR  </v>
      </c>
      <c r="BE2027">
        <v>1</v>
      </c>
      <c r="BG2027">
        <v>0</v>
      </c>
      <c r="BH2027">
        <v>0</v>
      </c>
      <c r="BI2027">
        <v>0</v>
      </c>
      <c r="BJ2027">
        <v>2675</v>
      </c>
      <c r="BK2027">
        <v>-225</v>
      </c>
      <c r="BL2027" t="s">
        <v>163</v>
      </c>
      <c r="BM2027">
        <v>1</v>
      </c>
      <c r="BN2027">
        <v>1</v>
      </c>
      <c r="BO2027">
        <v>1</v>
      </c>
      <c r="BP2027">
        <v>0</v>
      </c>
      <c r="BS2027">
        <v>0</v>
      </c>
      <c r="BT2027">
        <v>0</v>
      </c>
      <c r="BU2027">
        <v>0</v>
      </c>
      <c r="CE2027" t="str">
        <f t="shared" si="716"/>
        <v>19:30:49.793</v>
      </c>
      <c r="CF2027">
        <v>793216879</v>
      </c>
      <c r="CS2027">
        <v>0</v>
      </c>
      <c r="CT2027">
        <v>2</v>
      </c>
      <c r="CU2027">
        <v>0</v>
      </c>
      <c r="CV2027">
        <v>2</v>
      </c>
      <c r="CW2027">
        <v>0</v>
      </c>
      <c r="CX2027">
        <v>5</v>
      </c>
      <c r="CY2027">
        <v>7</v>
      </c>
      <c r="CZ2027" t="s">
        <v>131</v>
      </c>
      <c r="DA2027">
        <v>300</v>
      </c>
      <c r="DB2027">
        <v>0</v>
      </c>
      <c r="DC2027" t="s">
        <v>176</v>
      </c>
      <c r="DD2027" t="s">
        <v>177</v>
      </c>
      <c r="DG2027">
        <v>5400349</v>
      </c>
      <c r="DI2027">
        <v>1</v>
      </c>
      <c r="DJ2027">
        <v>0</v>
      </c>
      <c r="DK2027">
        <v>1</v>
      </c>
      <c r="DL2027">
        <v>0</v>
      </c>
      <c r="DM2027">
        <v>0</v>
      </c>
      <c r="DN2027">
        <v>1</v>
      </c>
      <c r="DO2027">
        <v>0</v>
      </c>
      <c r="DP2027">
        <v>0</v>
      </c>
      <c r="DQ2027">
        <v>0</v>
      </c>
      <c r="DR2027">
        <v>0</v>
      </c>
      <c r="DS2027">
        <v>0</v>
      </c>
    </row>
    <row r="2028" spans="1:123" x14ac:dyDescent="0.3">
      <c r="A2028" t="str">
        <f>"10/04/2022 19:30:50.057"</f>
        <v>10/04/2022 19:30:50.057</v>
      </c>
      <c r="C2028" t="str">
        <f t="shared" si="711"/>
        <v>FFDFD3C0</v>
      </c>
      <c r="D2028" t="s">
        <v>147</v>
      </c>
      <c r="E2028">
        <v>3</v>
      </c>
      <c r="H2028">
        <v>166</v>
      </c>
      <c r="I2028" t="s">
        <v>144</v>
      </c>
      <c r="J2028" t="s">
        <v>148</v>
      </c>
      <c r="K2028">
        <v>0</v>
      </c>
      <c r="L2028">
        <v>3</v>
      </c>
      <c r="M2028">
        <v>0</v>
      </c>
      <c r="N2028">
        <v>2</v>
      </c>
      <c r="O2028">
        <v>0</v>
      </c>
      <c r="P2028">
        <v>1</v>
      </c>
      <c r="Q2028">
        <v>0</v>
      </c>
      <c r="S2028" t="str">
        <f t="shared" si="715"/>
        <v>19:30:49.000</v>
      </c>
      <c r="T2028" t="str">
        <f t="shared" si="715"/>
        <v>19:30:49.000</v>
      </c>
      <c r="U2028" t="str">
        <f t="shared" si="701"/>
        <v>AC3944</v>
      </c>
      <c r="V2028">
        <v>0</v>
      </c>
      <c r="W2028">
        <v>0</v>
      </c>
      <c r="X2028">
        <v>2</v>
      </c>
      <c r="Y2028">
        <v>0</v>
      </c>
      <c r="AA2028">
        <v>1</v>
      </c>
      <c r="AB2028">
        <v>8</v>
      </c>
      <c r="AC2028">
        <v>3</v>
      </c>
      <c r="AD2028">
        <v>0</v>
      </c>
      <c r="AE2028">
        <v>9</v>
      </c>
      <c r="AF2028" t="s">
        <v>138</v>
      </c>
      <c r="AG2028">
        <v>0</v>
      </c>
      <c r="AH2028">
        <v>3</v>
      </c>
      <c r="AI2028">
        <v>1</v>
      </c>
      <c r="AJ2028">
        <v>0</v>
      </c>
      <c r="AK2028" t="s">
        <v>714</v>
      </c>
      <c r="AL2028">
        <v>32.775027999999999</v>
      </c>
      <c r="AM2028" t="s">
        <v>715</v>
      </c>
      <c r="AN2028">
        <v>-116.838977</v>
      </c>
      <c r="AO2028">
        <v>25</v>
      </c>
      <c r="AP2028">
        <v>2900</v>
      </c>
      <c r="AQ2028" t="s">
        <v>129</v>
      </c>
      <c r="AR2028">
        <v>127</v>
      </c>
      <c r="AS2028">
        <v>-29</v>
      </c>
      <c r="AT2028">
        <v>192</v>
      </c>
      <c r="BB2028">
        <v>1200</v>
      </c>
      <c r="BC2028">
        <v>1</v>
      </c>
      <c r="BD2028" t="str">
        <f t="shared" si="702"/>
        <v xml:space="preserve">N887QR  </v>
      </c>
      <c r="BE2028">
        <v>1</v>
      </c>
      <c r="BG2028">
        <v>0</v>
      </c>
      <c r="BH2028">
        <v>0</v>
      </c>
      <c r="BI2028">
        <v>0</v>
      </c>
      <c r="BJ2028">
        <v>2675</v>
      </c>
      <c r="BK2028">
        <v>-225</v>
      </c>
      <c r="BL2028" t="s">
        <v>163</v>
      </c>
      <c r="BM2028">
        <v>1</v>
      </c>
      <c r="BN2028">
        <v>1</v>
      </c>
      <c r="BO2028">
        <v>1</v>
      </c>
      <c r="BP2028">
        <v>0</v>
      </c>
      <c r="BS2028">
        <v>0</v>
      </c>
      <c r="BT2028">
        <v>0</v>
      </c>
      <c r="BU2028">
        <v>0</v>
      </c>
      <c r="CE2028" t="str">
        <f t="shared" si="716"/>
        <v>19:30:49.793</v>
      </c>
      <c r="CF2028">
        <v>793216879</v>
      </c>
      <c r="CS2028">
        <v>0</v>
      </c>
      <c r="CT2028">
        <v>2</v>
      </c>
      <c r="CU2028">
        <v>0</v>
      </c>
      <c r="CV2028">
        <v>2</v>
      </c>
      <c r="CW2028">
        <v>0</v>
      </c>
      <c r="CX2028">
        <v>5</v>
      </c>
      <c r="CY2028">
        <v>7</v>
      </c>
      <c r="CZ2028" t="s">
        <v>131</v>
      </c>
      <c r="DA2028">
        <v>300</v>
      </c>
      <c r="DB2028">
        <v>0</v>
      </c>
      <c r="DC2028" t="s">
        <v>176</v>
      </c>
      <c r="DD2028" t="s">
        <v>177</v>
      </c>
      <c r="DG2028">
        <v>5400349</v>
      </c>
      <c r="DI2028">
        <v>1</v>
      </c>
      <c r="DJ2028">
        <v>0</v>
      </c>
      <c r="DK2028">
        <v>1</v>
      </c>
      <c r="DL2028">
        <v>0</v>
      </c>
      <c r="DM2028">
        <v>0</v>
      </c>
      <c r="DN2028">
        <v>1</v>
      </c>
      <c r="DO2028">
        <v>0</v>
      </c>
      <c r="DP2028">
        <v>0</v>
      </c>
      <c r="DQ2028">
        <v>0</v>
      </c>
      <c r="DR2028">
        <v>0</v>
      </c>
      <c r="DS2028">
        <v>0</v>
      </c>
    </row>
    <row r="2029" spans="1:123" x14ac:dyDescent="0.3">
      <c r="A2029" t="str">
        <f>"10/04/2022 19:30:50.120"</f>
        <v>10/04/2022 19:30:50.120</v>
      </c>
      <c r="C2029" t="str">
        <f t="shared" si="711"/>
        <v>FFDFD3C0</v>
      </c>
      <c r="D2029" t="s">
        <v>141</v>
      </c>
      <c r="E2029">
        <v>3</v>
      </c>
      <c r="H2029">
        <v>3</v>
      </c>
      <c r="I2029" t="s">
        <v>146</v>
      </c>
      <c r="J2029" t="s">
        <v>138</v>
      </c>
      <c r="K2029">
        <v>0</v>
      </c>
      <c r="L2029">
        <v>3</v>
      </c>
      <c r="M2029">
        <v>0</v>
      </c>
      <c r="N2029">
        <v>2</v>
      </c>
      <c r="O2029">
        <v>0</v>
      </c>
      <c r="P2029">
        <v>1</v>
      </c>
      <c r="Q2029">
        <v>0</v>
      </c>
      <c r="S2029" t="str">
        <f t="shared" si="715"/>
        <v>19:30:49.000</v>
      </c>
      <c r="T2029" t="str">
        <f t="shared" si="715"/>
        <v>19:30:49.000</v>
      </c>
      <c r="U2029" t="str">
        <f t="shared" si="701"/>
        <v>AC3944</v>
      </c>
      <c r="V2029">
        <v>0</v>
      </c>
      <c r="W2029">
        <v>0</v>
      </c>
      <c r="X2029">
        <v>2</v>
      </c>
      <c r="Y2029">
        <v>0</v>
      </c>
      <c r="AA2029">
        <v>1</v>
      </c>
      <c r="AB2029">
        <v>8</v>
      </c>
      <c r="AC2029">
        <v>3</v>
      </c>
      <c r="AD2029">
        <v>0</v>
      </c>
      <c r="AE2029">
        <v>9</v>
      </c>
      <c r="AF2029" t="s">
        <v>138</v>
      </c>
      <c r="AG2029">
        <v>0</v>
      </c>
      <c r="AH2029">
        <v>3</v>
      </c>
      <c r="AI2029">
        <v>1</v>
      </c>
      <c r="AJ2029">
        <v>0</v>
      </c>
      <c r="AK2029" t="s">
        <v>714</v>
      </c>
      <c r="AL2029">
        <v>32.775027999999999</v>
      </c>
      <c r="AM2029" t="s">
        <v>715</v>
      </c>
      <c r="AN2029">
        <v>-116.838977</v>
      </c>
      <c r="AO2029">
        <v>25</v>
      </c>
      <c r="AP2029">
        <v>2900</v>
      </c>
      <c r="AQ2029" t="s">
        <v>129</v>
      </c>
      <c r="AR2029">
        <v>127</v>
      </c>
      <c r="AS2029">
        <v>-29</v>
      </c>
      <c r="AT2029">
        <v>192</v>
      </c>
      <c r="BB2029">
        <v>1200</v>
      </c>
      <c r="BC2029">
        <v>1</v>
      </c>
      <c r="BD2029" t="str">
        <f t="shared" si="702"/>
        <v xml:space="preserve">N887QR  </v>
      </c>
      <c r="BE2029">
        <v>1</v>
      </c>
      <c r="BG2029">
        <v>0</v>
      </c>
      <c r="BH2029">
        <v>0</v>
      </c>
      <c r="BI2029">
        <v>0</v>
      </c>
      <c r="BJ2029">
        <v>2675</v>
      </c>
      <c r="BK2029">
        <v>-225</v>
      </c>
      <c r="BL2029" t="s">
        <v>163</v>
      </c>
      <c r="BM2029">
        <v>1</v>
      </c>
      <c r="BN2029">
        <v>1</v>
      </c>
      <c r="BO2029">
        <v>1</v>
      </c>
      <c r="BP2029">
        <v>0</v>
      </c>
      <c r="BS2029">
        <v>0</v>
      </c>
      <c r="BT2029">
        <v>0</v>
      </c>
      <c r="BU2029">
        <v>0</v>
      </c>
      <c r="CE2029" t="str">
        <f t="shared" si="716"/>
        <v>19:30:49.793</v>
      </c>
      <c r="CF2029">
        <v>793216879</v>
      </c>
      <c r="CS2029">
        <v>0</v>
      </c>
      <c r="CT2029">
        <v>2</v>
      </c>
      <c r="CU2029">
        <v>0</v>
      </c>
      <c r="CV2029">
        <v>2</v>
      </c>
      <c r="CW2029">
        <v>0</v>
      </c>
      <c r="CX2029">
        <v>5</v>
      </c>
      <c r="CY2029">
        <v>7</v>
      </c>
      <c r="CZ2029" t="s">
        <v>131</v>
      </c>
      <c r="DA2029">
        <v>300</v>
      </c>
      <c r="DB2029">
        <v>0</v>
      </c>
      <c r="DC2029" t="s">
        <v>176</v>
      </c>
      <c r="DD2029" t="s">
        <v>177</v>
      </c>
      <c r="DG2029">
        <v>5400349</v>
      </c>
      <c r="DI2029">
        <v>1</v>
      </c>
      <c r="DJ2029">
        <v>0</v>
      </c>
      <c r="DK2029">
        <v>1</v>
      </c>
      <c r="DL2029">
        <v>0</v>
      </c>
      <c r="DM2029">
        <v>0</v>
      </c>
      <c r="DN2029">
        <v>1</v>
      </c>
      <c r="DO2029">
        <v>0</v>
      </c>
      <c r="DP2029">
        <v>0</v>
      </c>
      <c r="DQ2029">
        <v>0</v>
      </c>
      <c r="DR2029">
        <v>0</v>
      </c>
      <c r="DS2029">
        <v>0</v>
      </c>
    </row>
    <row r="2030" spans="1:123" x14ac:dyDescent="0.3">
      <c r="A2030" t="str">
        <f>"10/04/2022 19:30:50.120"</f>
        <v>10/04/2022 19:30:50.120</v>
      </c>
      <c r="C2030" t="str">
        <f t="shared" si="711"/>
        <v>FFDFD3C0</v>
      </c>
      <c r="D2030" t="s">
        <v>123</v>
      </c>
      <c r="E2030">
        <v>7</v>
      </c>
      <c r="F2030">
        <v>2007</v>
      </c>
      <c r="G2030" t="s">
        <v>124</v>
      </c>
      <c r="J2030" t="s">
        <v>125</v>
      </c>
      <c r="K2030">
        <v>0</v>
      </c>
      <c r="L2030">
        <v>3</v>
      </c>
      <c r="M2030">
        <v>0</v>
      </c>
      <c r="N2030">
        <v>2</v>
      </c>
      <c r="O2030">
        <v>0</v>
      </c>
      <c r="P2030">
        <v>1</v>
      </c>
      <c r="Q2030">
        <v>0</v>
      </c>
      <c r="S2030" t="str">
        <f t="shared" si="715"/>
        <v>19:30:49.000</v>
      </c>
      <c r="T2030" t="str">
        <f t="shared" si="715"/>
        <v>19:30:49.000</v>
      </c>
      <c r="U2030" t="str">
        <f t="shared" si="701"/>
        <v>AC3944</v>
      </c>
      <c r="V2030">
        <v>0</v>
      </c>
      <c r="W2030">
        <v>0</v>
      </c>
      <c r="X2030">
        <v>2</v>
      </c>
      <c r="Y2030">
        <v>0</v>
      </c>
      <c r="AA2030">
        <v>1</v>
      </c>
      <c r="AB2030">
        <v>8</v>
      </c>
      <c r="AC2030">
        <v>3</v>
      </c>
      <c r="AD2030">
        <v>0</v>
      </c>
      <c r="AE2030">
        <v>9</v>
      </c>
      <c r="AF2030" t="s">
        <v>138</v>
      </c>
      <c r="AG2030">
        <v>0</v>
      </c>
      <c r="AH2030">
        <v>3</v>
      </c>
      <c r="AI2030">
        <v>1</v>
      </c>
      <c r="AJ2030">
        <v>0</v>
      </c>
      <c r="AK2030" t="s">
        <v>714</v>
      </c>
      <c r="AL2030">
        <v>32.775027999999999</v>
      </c>
      <c r="AM2030" t="s">
        <v>715</v>
      </c>
      <c r="AN2030">
        <v>-116.838977</v>
      </c>
      <c r="AO2030">
        <v>25</v>
      </c>
      <c r="AP2030">
        <v>2900</v>
      </c>
      <c r="AQ2030" t="s">
        <v>129</v>
      </c>
      <c r="AR2030">
        <v>127</v>
      </c>
      <c r="AS2030">
        <v>-29</v>
      </c>
      <c r="AT2030">
        <v>192</v>
      </c>
      <c r="BB2030">
        <v>1200</v>
      </c>
      <c r="BC2030">
        <v>1</v>
      </c>
      <c r="BD2030" t="str">
        <f t="shared" si="702"/>
        <v xml:space="preserve">N887QR  </v>
      </c>
      <c r="BE2030">
        <v>1</v>
      </c>
      <c r="BG2030">
        <v>0</v>
      </c>
      <c r="BH2030">
        <v>0</v>
      </c>
      <c r="BI2030">
        <v>0</v>
      </c>
      <c r="BJ2030">
        <v>2675</v>
      </c>
      <c r="BK2030">
        <v>-225</v>
      </c>
      <c r="BL2030" t="s">
        <v>163</v>
      </c>
      <c r="BM2030">
        <v>1</v>
      </c>
      <c r="BN2030">
        <v>1</v>
      </c>
      <c r="BO2030">
        <v>1</v>
      </c>
      <c r="BP2030">
        <v>0</v>
      </c>
      <c r="BS2030">
        <v>0</v>
      </c>
      <c r="BT2030">
        <v>0</v>
      </c>
      <c r="BU2030">
        <v>0</v>
      </c>
      <c r="CE2030" t="str">
        <f t="shared" si="716"/>
        <v>19:30:49.793</v>
      </c>
      <c r="CF2030">
        <v>793216879</v>
      </c>
      <c r="CS2030">
        <v>0</v>
      </c>
      <c r="CT2030">
        <v>2</v>
      </c>
      <c r="CU2030">
        <v>0</v>
      </c>
      <c r="CV2030">
        <v>2</v>
      </c>
      <c r="CW2030">
        <v>0</v>
      </c>
      <c r="CX2030">
        <v>5</v>
      </c>
      <c r="CY2030">
        <v>7</v>
      </c>
      <c r="CZ2030" t="s">
        <v>131</v>
      </c>
      <c r="DA2030">
        <v>300</v>
      </c>
      <c r="DB2030">
        <v>0</v>
      </c>
      <c r="DC2030" t="s">
        <v>176</v>
      </c>
      <c r="DD2030" t="s">
        <v>177</v>
      </c>
      <c r="DG2030">
        <v>5400349</v>
      </c>
      <c r="DI2030">
        <v>1</v>
      </c>
      <c r="DJ2030">
        <v>0</v>
      </c>
      <c r="DK2030">
        <v>1</v>
      </c>
      <c r="DL2030">
        <v>0</v>
      </c>
      <c r="DM2030">
        <v>0</v>
      </c>
      <c r="DN2030">
        <v>1</v>
      </c>
      <c r="DO2030">
        <v>0</v>
      </c>
      <c r="DP2030">
        <v>0</v>
      </c>
      <c r="DQ2030">
        <v>0</v>
      </c>
      <c r="DR2030">
        <v>0</v>
      </c>
      <c r="DS2030">
        <v>0</v>
      </c>
    </row>
    <row r="2031" spans="1:123" x14ac:dyDescent="0.3">
      <c r="A2031" t="str">
        <f>"10/04/2022 19:30:51.634"</f>
        <v>10/04/2022 19:30:51.634</v>
      </c>
      <c r="C2031" t="str">
        <f t="shared" si="711"/>
        <v>FFDFD3C0</v>
      </c>
      <c r="D2031" t="s">
        <v>143</v>
      </c>
      <c r="E2031">
        <v>20</v>
      </c>
      <c r="F2031">
        <v>1020</v>
      </c>
      <c r="G2031" t="s">
        <v>144</v>
      </c>
      <c r="J2031" t="s">
        <v>145</v>
      </c>
      <c r="K2031">
        <v>0</v>
      </c>
      <c r="L2031">
        <v>3</v>
      </c>
      <c r="M2031">
        <v>0</v>
      </c>
      <c r="N2031">
        <v>2</v>
      </c>
      <c r="O2031">
        <v>0</v>
      </c>
      <c r="P2031">
        <v>1</v>
      </c>
      <c r="Q2031">
        <v>0</v>
      </c>
      <c r="S2031" t="str">
        <f t="shared" ref="S2031:T2037" si="717">"19:30:51.000"</f>
        <v>19:30:51.000</v>
      </c>
      <c r="T2031" t="str">
        <f t="shared" si="717"/>
        <v>19:30:51.000</v>
      </c>
      <c r="U2031" t="str">
        <f t="shared" si="701"/>
        <v>AC3944</v>
      </c>
      <c r="V2031">
        <v>0</v>
      </c>
      <c r="W2031">
        <v>0</v>
      </c>
      <c r="X2031">
        <v>2</v>
      </c>
      <c r="Y2031">
        <v>0</v>
      </c>
      <c r="AA2031">
        <v>1</v>
      </c>
      <c r="AB2031">
        <v>8</v>
      </c>
      <c r="AC2031">
        <v>3</v>
      </c>
      <c r="AD2031">
        <v>0</v>
      </c>
      <c r="AE2031">
        <v>9</v>
      </c>
      <c r="AF2031" t="s">
        <v>138</v>
      </c>
      <c r="AG2031">
        <v>0</v>
      </c>
      <c r="AH2031">
        <v>3</v>
      </c>
      <c r="AI2031">
        <v>1</v>
      </c>
      <c r="AJ2031">
        <v>0</v>
      </c>
      <c r="AK2031" t="s">
        <v>716</v>
      </c>
      <c r="AL2031">
        <v>32.774920000000002</v>
      </c>
      <c r="AM2031" t="s">
        <v>717</v>
      </c>
      <c r="AN2031">
        <v>-116.838419</v>
      </c>
      <c r="AO2031">
        <v>25</v>
      </c>
      <c r="AP2031">
        <v>2900</v>
      </c>
      <c r="AQ2031" t="s">
        <v>129</v>
      </c>
      <c r="AR2031">
        <v>128</v>
      </c>
      <c r="AS2031">
        <v>-27</v>
      </c>
      <c r="AT2031">
        <v>64</v>
      </c>
      <c r="BB2031">
        <v>1200</v>
      </c>
      <c r="BC2031">
        <v>1</v>
      </c>
      <c r="BD2031" t="str">
        <f t="shared" si="702"/>
        <v xml:space="preserve">N887QR  </v>
      </c>
      <c r="BE2031">
        <v>1</v>
      </c>
      <c r="BG2031">
        <v>0</v>
      </c>
      <c r="BH2031">
        <v>0</v>
      </c>
      <c r="BI2031">
        <v>0</v>
      </c>
      <c r="BJ2031">
        <v>2675</v>
      </c>
      <c r="BK2031">
        <v>-225</v>
      </c>
      <c r="BL2031" t="s">
        <v>163</v>
      </c>
      <c r="BM2031">
        <v>1</v>
      </c>
      <c r="BN2031">
        <v>1</v>
      </c>
      <c r="BO2031">
        <v>1</v>
      </c>
      <c r="BP2031">
        <v>0</v>
      </c>
      <c r="BS2031">
        <v>0</v>
      </c>
      <c r="BT2031">
        <v>0</v>
      </c>
      <c r="BU2031">
        <v>0</v>
      </c>
      <c r="CE2031" t="str">
        <f t="shared" ref="CE2031:CE2037" si="718">"19:30:51.321"</f>
        <v>19:30:51.321</v>
      </c>
      <c r="CF2031">
        <v>320721885</v>
      </c>
      <c r="CS2031">
        <v>0</v>
      </c>
      <c r="CT2031">
        <v>2</v>
      </c>
      <c r="CU2031">
        <v>0</v>
      </c>
      <c r="CV2031">
        <v>2</v>
      </c>
      <c r="CW2031">
        <v>0</v>
      </c>
      <c r="CX2031">
        <v>5</v>
      </c>
      <c r="CY2031">
        <v>7</v>
      </c>
      <c r="CZ2031" t="s">
        <v>131</v>
      </c>
      <c r="DA2031">
        <v>300</v>
      </c>
      <c r="DB2031">
        <v>0</v>
      </c>
      <c r="DC2031" t="s">
        <v>176</v>
      </c>
      <c r="DD2031" t="s">
        <v>177</v>
      </c>
      <c r="DG2031">
        <v>5400602</v>
      </c>
      <c r="DI2031">
        <v>1</v>
      </c>
      <c r="DJ2031">
        <v>0</v>
      </c>
      <c r="DK2031">
        <v>0</v>
      </c>
      <c r="DL2031">
        <v>0</v>
      </c>
      <c r="DM2031">
        <v>0</v>
      </c>
      <c r="DN2031">
        <v>1</v>
      </c>
      <c r="DO2031">
        <v>0</v>
      </c>
      <c r="DP2031">
        <v>0</v>
      </c>
      <c r="DQ2031">
        <v>0</v>
      </c>
      <c r="DR2031">
        <v>0</v>
      </c>
      <c r="DS2031">
        <v>0</v>
      </c>
    </row>
    <row r="2032" spans="1:123" x14ac:dyDescent="0.3">
      <c r="A2032" t="str">
        <f>"10/04/2022 19:30:51.634"</f>
        <v>10/04/2022 19:30:51.634</v>
      </c>
      <c r="C2032" t="str">
        <f t="shared" si="711"/>
        <v>FFDFD3C0</v>
      </c>
      <c r="D2032" t="s">
        <v>141</v>
      </c>
      <c r="E2032">
        <v>3</v>
      </c>
      <c r="H2032">
        <v>3</v>
      </c>
      <c r="I2032" t="s">
        <v>146</v>
      </c>
      <c r="J2032" t="s">
        <v>138</v>
      </c>
      <c r="K2032">
        <v>0</v>
      </c>
      <c r="L2032">
        <v>3</v>
      </c>
      <c r="M2032">
        <v>0</v>
      </c>
      <c r="N2032">
        <v>2</v>
      </c>
      <c r="O2032">
        <v>0</v>
      </c>
      <c r="P2032">
        <v>1</v>
      </c>
      <c r="Q2032">
        <v>0</v>
      </c>
      <c r="S2032" t="str">
        <f t="shared" si="717"/>
        <v>19:30:51.000</v>
      </c>
      <c r="T2032" t="str">
        <f t="shared" si="717"/>
        <v>19:30:51.000</v>
      </c>
      <c r="U2032" t="str">
        <f t="shared" si="701"/>
        <v>AC3944</v>
      </c>
      <c r="V2032">
        <v>0</v>
      </c>
      <c r="W2032">
        <v>0</v>
      </c>
      <c r="X2032">
        <v>2</v>
      </c>
      <c r="Y2032">
        <v>0</v>
      </c>
      <c r="AA2032">
        <v>1</v>
      </c>
      <c r="AB2032">
        <v>8</v>
      </c>
      <c r="AC2032">
        <v>3</v>
      </c>
      <c r="AD2032">
        <v>0</v>
      </c>
      <c r="AE2032">
        <v>9</v>
      </c>
      <c r="AF2032" t="s">
        <v>138</v>
      </c>
      <c r="AG2032">
        <v>0</v>
      </c>
      <c r="AH2032">
        <v>3</v>
      </c>
      <c r="AI2032">
        <v>1</v>
      </c>
      <c r="AJ2032">
        <v>0</v>
      </c>
      <c r="AK2032" t="s">
        <v>716</v>
      </c>
      <c r="AL2032">
        <v>32.774920000000002</v>
      </c>
      <c r="AM2032" t="s">
        <v>717</v>
      </c>
      <c r="AN2032">
        <v>-116.838419</v>
      </c>
      <c r="AO2032">
        <v>25</v>
      </c>
      <c r="AP2032">
        <v>2900</v>
      </c>
      <c r="AQ2032" t="s">
        <v>129</v>
      </c>
      <c r="AR2032">
        <v>128</v>
      </c>
      <c r="AS2032">
        <v>-27</v>
      </c>
      <c r="AT2032">
        <v>64</v>
      </c>
      <c r="BB2032">
        <v>1200</v>
      </c>
      <c r="BC2032">
        <v>1</v>
      </c>
      <c r="BD2032" t="str">
        <f t="shared" si="702"/>
        <v xml:space="preserve">N887QR  </v>
      </c>
      <c r="BE2032">
        <v>1</v>
      </c>
      <c r="BG2032">
        <v>0</v>
      </c>
      <c r="BH2032">
        <v>0</v>
      </c>
      <c r="BI2032">
        <v>0</v>
      </c>
      <c r="BJ2032">
        <v>2675</v>
      </c>
      <c r="BK2032">
        <v>-225</v>
      </c>
      <c r="BL2032" t="s">
        <v>163</v>
      </c>
      <c r="BM2032">
        <v>1</v>
      </c>
      <c r="BN2032">
        <v>1</v>
      </c>
      <c r="BO2032">
        <v>1</v>
      </c>
      <c r="BP2032">
        <v>0</v>
      </c>
      <c r="BS2032">
        <v>0</v>
      </c>
      <c r="BT2032">
        <v>0</v>
      </c>
      <c r="BU2032">
        <v>0</v>
      </c>
      <c r="CE2032" t="str">
        <f t="shared" si="718"/>
        <v>19:30:51.321</v>
      </c>
      <c r="CF2032">
        <v>320721885</v>
      </c>
      <c r="CS2032">
        <v>0</v>
      </c>
      <c r="CT2032">
        <v>2</v>
      </c>
      <c r="CU2032">
        <v>0</v>
      </c>
      <c r="CV2032">
        <v>2</v>
      </c>
      <c r="CW2032">
        <v>0</v>
      </c>
      <c r="CX2032">
        <v>5</v>
      </c>
      <c r="CY2032">
        <v>7</v>
      </c>
      <c r="CZ2032" t="s">
        <v>131</v>
      </c>
      <c r="DA2032">
        <v>300</v>
      </c>
      <c r="DB2032">
        <v>0</v>
      </c>
      <c r="DC2032" t="s">
        <v>176</v>
      </c>
      <c r="DD2032" t="s">
        <v>177</v>
      </c>
      <c r="DG2032">
        <v>5400602</v>
      </c>
      <c r="DI2032">
        <v>1</v>
      </c>
      <c r="DJ2032">
        <v>0</v>
      </c>
      <c r="DK2032">
        <v>1</v>
      </c>
      <c r="DL2032">
        <v>0</v>
      </c>
      <c r="DM2032">
        <v>0</v>
      </c>
      <c r="DN2032">
        <v>1</v>
      </c>
      <c r="DO2032">
        <v>0</v>
      </c>
      <c r="DP2032">
        <v>0</v>
      </c>
      <c r="DQ2032">
        <v>0</v>
      </c>
      <c r="DR2032">
        <v>0</v>
      </c>
      <c r="DS2032">
        <v>0</v>
      </c>
    </row>
    <row r="2033" spans="1:123" x14ac:dyDescent="0.3">
      <c r="A2033" t="str">
        <f>"10/04/2022 19:30:51.634"</f>
        <v>10/04/2022 19:30:51.634</v>
      </c>
      <c r="C2033" t="str">
        <f t="shared" si="711"/>
        <v>FFDFD3C0</v>
      </c>
      <c r="D2033" t="s">
        <v>123</v>
      </c>
      <c r="E2033">
        <v>7</v>
      </c>
      <c r="F2033">
        <v>2007</v>
      </c>
      <c r="G2033" t="s">
        <v>124</v>
      </c>
      <c r="J2033" t="s">
        <v>125</v>
      </c>
      <c r="K2033">
        <v>0</v>
      </c>
      <c r="L2033">
        <v>3</v>
      </c>
      <c r="M2033">
        <v>0</v>
      </c>
      <c r="N2033">
        <v>2</v>
      </c>
      <c r="O2033">
        <v>0</v>
      </c>
      <c r="P2033">
        <v>1</v>
      </c>
      <c r="Q2033">
        <v>0</v>
      </c>
      <c r="S2033" t="str">
        <f t="shared" si="717"/>
        <v>19:30:51.000</v>
      </c>
      <c r="T2033" t="str">
        <f t="shared" si="717"/>
        <v>19:30:51.000</v>
      </c>
      <c r="U2033" t="str">
        <f t="shared" si="701"/>
        <v>AC3944</v>
      </c>
      <c r="V2033">
        <v>0</v>
      </c>
      <c r="W2033">
        <v>0</v>
      </c>
      <c r="X2033">
        <v>2</v>
      </c>
      <c r="Y2033">
        <v>0</v>
      </c>
      <c r="AA2033">
        <v>1</v>
      </c>
      <c r="AB2033">
        <v>8</v>
      </c>
      <c r="AC2033">
        <v>3</v>
      </c>
      <c r="AD2033">
        <v>0</v>
      </c>
      <c r="AE2033">
        <v>9</v>
      </c>
      <c r="AF2033" t="s">
        <v>138</v>
      </c>
      <c r="AG2033">
        <v>0</v>
      </c>
      <c r="AH2033">
        <v>3</v>
      </c>
      <c r="AI2033">
        <v>1</v>
      </c>
      <c r="AJ2033">
        <v>0</v>
      </c>
      <c r="AK2033" t="s">
        <v>716</v>
      </c>
      <c r="AL2033">
        <v>32.774920000000002</v>
      </c>
      <c r="AM2033" t="s">
        <v>717</v>
      </c>
      <c r="AN2033">
        <v>-116.838419</v>
      </c>
      <c r="AO2033">
        <v>25</v>
      </c>
      <c r="AP2033">
        <v>2900</v>
      </c>
      <c r="AQ2033" t="s">
        <v>129</v>
      </c>
      <c r="AR2033">
        <v>128</v>
      </c>
      <c r="AS2033">
        <v>-27</v>
      </c>
      <c r="AT2033">
        <v>64</v>
      </c>
      <c r="BB2033">
        <v>1200</v>
      </c>
      <c r="BC2033">
        <v>1</v>
      </c>
      <c r="BD2033" t="str">
        <f t="shared" si="702"/>
        <v xml:space="preserve">N887QR  </v>
      </c>
      <c r="BE2033">
        <v>1</v>
      </c>
      <c r="BG2033">
        <v>0</v>
      </c>
      <c r="BH2033">
        <v>0</v>
      </c>
      <c r="BI2033">
        <v>0</v>
      </c>
      <c r="BJ2033">
        <v>2675</v>
      </c>
      <c r="BK2033">
        <v>-225</v>
      </c>
      <c r="BL2033" t="s">
        <v>163</v>
      </c>
      <c r="BM2033">
        <v>1</v>
      </c>
      <c r="BN2033">
        <v>1</v>
      </c>
      <c r="BO2033">
        <v>1</v>
      </c>
      <c r="BP2033">
        <v>0</v>
      </c>
      <c r="BS2033">
        <v>0</v>
      </c>
      <c r="BT2033">
        <v>0</v>
      </c>
      <c r="BU2033">
        <v>0</v>
      </c>
      <c r="CE2033" t="str">
        <f t="shared" si="718"/>
        <v>19:30:51.321</v>
      </c>
      <c r="CF2033">
        <v>320721885</v>
      </c>
      <c r="CS2033">
        <v>0</v>
      </c>
      <c r="CT2033">
        <v>2</v>
      </c>
      <c r="CU2033">
        <v>0</v>
      </c>
      <c r="CV2033">
        <v>2</v>
      </c>
      <c r="CW2033">
        <v>0</v>
      </c>
      <c r="CX2033">
        <v>5</v>
      </c>
      <c r="CY2033">
        <v>7</v>
      </c>
      <c r="CZ2033" t="s">
        <v>131</v>
      </c>
      <c r="DA2033">
        <v>300</v>
      </c>
      <c r="DB2033">
        <v>0</v>
      </c>
      <c r="DC2033" t="s">
        <v>176</v>
      </c>
      <c r="DD2033" t="s">
        <v>177</v>
      </c>
      <c r="DG2033">
        <v>5400602</v>
      </c>
      <c r="DI2033">
        <v>1</v>
      </c>
      <c r="DJ2033">
        <v>0</v>
      </c>
      <c r="DK2033">
        <v>1</v>
      </c>
      <c r="DL2033">
        <v>0</v>
      </c>
      <c r="DM2033">
        <v>0</v>
      </c>
      <c r="DN2033">
        <v>1</v>
      </c>
      <c r="DO2033">
        <v>0</v>
      </c>
      <c r="DP2033">
        <v>0</v>
      </c>
      <c r="DQ2033">
        <v>0</v>
      </c>
      <c r="DR2033">
        <v>0</v>
      </c>
      <c r="DS2033">
        <v>0</v>
      </c>
    </row>
    <row r="2034" spans="1:123" x14ac:dyDescent="0.3">
      <c r="A2034" t="str">
        <f>"10/04/2022 19:30:51.666"</f>
        <v>10/04/2022 19:30:51.666</v>
      </c>
      <c r="C2034" t="str">
        <f t="shared" si="711"/>
        <v>FFDFD3C0</v>
      </c>
      <c r="D2034" t="s">
        <v>136</v>
      </c>
      <c r="E2034">
        <v>8</v>
      </c>
      <c r="H2034">
        <v>225</v>
      </c>
      <c r="I2034" t="s">
        <v>137</v>
      </c>
      <c r="J2034" t="s">
        <v>138</v>
      </c>
      <c r="K2034">
        <v>0</v>
      </c>
      <c r="L2034">
        <v>3</v>
      </c>
      <c r="M2034">
        <v>0</v>
      </c>
      <c r="N2034">
        <v>2</v>
      </c>
      <c r="O2034">
        <v>0</v>
      </c>
      <c r="P2034">
        <v>1</v>
      </c>
      <c r="Q2034">
        <v>0</v>
      </c>
      <c r="S2034" t="str">
        <f t="shared" si="717"/>
        <v>19:30:51.000</v>
      </c>
      <c r="T2034" t="str">
        <f t="shared" si="717"/>
        <v>19:30:51.000</v>
      </c>
      <c r="U2034" t="str">
        <f t="shared" si="701"/>
        <v>AC3944</v>
      </c>
      <c r="V2034">
        <v>0</v>
      </c>
      <c r="W2034">
        <v>0</v>
      </c>
      <c r="X2034">
        <v>2</v>
      </c>
      <c r="Y2034">
        <v>0</v>
      </c>
      <c r="AA2034">
        <v>1</v>
      </c>
      <c r="AB2034">
        <v>8</v>
      </c>
      <c r="AC2034">
        <v>3</v>
      </c>
      <c r="AD2034">
        <v>0</v>
      </c>
      <c r="AE2034">
        <v>9</v>
      </c>
      <c r="AF2034" t="s">
        <v>138</v>
      </c>
      <c r="AG2034">
        <v>0</v>
      </c>
      <c r="AH2034">
        <v>3</v>
      </c>
      <c r="AI2034">
        <v>1</v>
      </c>
      <c r="AJ2034">
        <v>0</v>
      </c>
      <c r="AK2034" t="s">
        <v>716</v>
      </c>
      <c r="AL2034">
        <v>32.774920000000002</v>
      </c>
      <c r="AM2034" t="s">
        <v>717</v>
      </c>
      <c r="AN2034">
        <v>-116.838419</v>
      </c>
      <c r="AO2034">
        <v>25</v>
      </c>
      <c r="AP2034">
        <v>2900</v>
      </c>
      <c r="AQ2034" t="s">
        <v>129</v>
      </c>
      <c r="AR2034">
        <v>128</v>
      </c>
      <c r="AS2034">
        <v>-27</v>
      </c>
      <c r="AT2034">
        <v>64</v>
      </c>
      <c r="BB2034">
        <v>1200</v>
      </c>
      <c r="BC2034">
        <v>1</v>
      </c>
      <c r="BD2034" t="str">
        <f t="shared" si="702"/>
        <v xml:space="preserve">N887QR  </v>
      </c>
      <c r="BE2034">
        <v>1</v>
      </c>
      <c r="BG2034">
        <v>0</v>
      </c>
      <c r="BH2034">
        <v>0</v>
      </c>
      <c r="BI2034">
        <v>0</v>
      </c>
      <c r="BJ2034">
        <v>2675</v>
      </c>
      <c r="BK2034">
        <v>-225</v>
      </c>
      <c r="BL2034" t="s">
        <v>163</v>
      </c>
      <c r="BM2034">
        <v>1</v>
      </c>
      <c r="BN2034">
        <v>1</v>
      </c>
      <c r="BO2034">
        <v>1</v>
      </c>
      <c r="BP2034">
        <v>0</v>
      </c>
      <c r="BS2034">
        <v>0</v>
      </c>
      <c r="BT2034">
        <v>0</v>
      </c>
      <c r="BU2034">
        <v>0</v>
      </c>
      <c r="CE2034" t="str">
        <f t="shared" si="718"/>
        <v>19:30:51.321</v>
      </c>
      <c r="CF2034">
        <v>320721885</v>
      </c>
      <c r="CS2034">
        <v>0</v>
      </c>
      <c r="CT2034">
        <v>2</v>
      </c>
      <c r="CU2034">
        <v>0</v>
      </c>
      <c r="CV2034">
        <v>2</v>
      </c>
      <c r="CW2034">
        <v>0</v>
      </c>
      <c r="CX2034">
        <v>5</v>
      </c>
      <c r="CY2034">
        <v>7</v>
      </c>
      <c r="CZ2034" t="s">
        <v>131</v>
      </c>
      <c r="DA2034">
        <v>300</v>
      </c>
      <c r="DB2034">
        <v>0</v>
      </c>
      <c r="DC2034" t="s">
        <v>176</v>
      </c>
      <c r="DD2034" t="s">
        <v>177</v>
      </c>
      <c r="DG2034">
        <v>5400602</v>
      </c>
      <c r="DI2034">
        <v>1</v>
      </c>
      <c r="DJ2034">
        <v>0</v>
      </c>
      <c r="DK2034">
        <v>1</v>
      </c>
      <c r="DL2034">
        <v>0</v>
      </c>
      <c r="DM2034">
        <v>0</v>
      </c>
      <c r="DN2034">
        <v>1</v>
      </c>
      <c r="DO2034">
        <v>0</v>
      </c>
      <c r="DP2034">
        <v>0</v>
      </c>
      <c r="DQ2034">
        <v>0</v>
      </c>
      <c r="DR2034">
        <v>0</v>
      </c>
      <c r="DS2034">
        <v>0</v>
      </c>
    </row>
    <row r="2035" spans="1:123" x14ac:dyDescent="0.3">
      <c r="A2035" t="str">
        <f>"10/04/2022 19:30:51.666"</f>
        <v>10/04/2022 19:30:51.666</v>
      </c>
      <c r="C2035" t="str">
        <f t="shared" si="711"/>
        <v>FFDFD3C0</v>
      </c>
      <c r="D2035" t="s">
        <v>147</v>
      </c>
      <c r="E2035">
        <v>3</v>
      </c>
      <c r="H2035">
        <v>166</v>
      </c>
      <c r="I2035" t="s">
        <v>144</v>
      </c>
      <c r="J2035" t="s">
        <v>148</v>
      </c>
      <c r="K2035">
        <v>0</v>
      </c>
      <c r="L2035">
        <v>3</v>
      </c>
      <c r="M2035">
        <v>0</v>
      </c>
      <c r="N2035">
        <v>2</v>
      </c>
      <c r="O2035">
        <v>0</v>
      </c>
      <c r="P2035">
        <v>1</v>
      </c>
      <c r="Q2035">
        <v>0</v>
      </c>
      <c r="S2035" t="str">
        <f t="shared" si="717"/>
        <v>19:30:51.000</v>
      </c>
      <c r="T2035" t="str">
        <f t="shared" si="717"/>
        <v>19:30:51.000</v>
      </c>
      <c r="U2035" t="str">
        <f t="shared" si="701"/>
        <v>AC3944</v>
      </c>
      <c r="V2035">
        <v>0</v>
      </c>
      <c r="W2035">
        <v>0</v>
      </c>
      <c r="X2035">
        <v>2</v>
      </c>
      <c r="Y2035">
        <v>0</v>
      </c>
      <c r="AA2035">
        <v>1</v>
      </c>
      <c r="AB2035">
        <v>8</v>
      </c>
      <c r="AC2035">
        <v>3</v>
      </c>
      <c r="AD2035">
        <v>0</v>
      </c>
      <c r="AE2035">
        <v>9</v>
      </c>
      <c r="AF2035" t="s">
        <v>138</v>
      </c>
      <c r="AG2035">
        <v>0</v>
      </c>
      <c r="AH2035">
        <v>3</v>
      </c>
      <c r="AI2035">
        <v>1</v>
      </c>
      <c r="AJ2035">
        <v>0</v>
      </c>
      <c r="AK2035" t="s">
        <v>716</v>
      </c>
      <c r="AL2035">
        <v>32.774920000000002</v>
      </c>
      <c r="AM2035" t="s">
        <v>717</v>
      </c>
      <c r="AN2035">
        <v>-116.838419</v>
      </c>
      <c r="AO2035">
        <v>25</v>
      </c>
      <c r="AP2035">
        <v>2900</v>
      </c>
      <c r="AQ2035" t="s">
        <v>129</v>
      </c>
      <c r="AR2035">
        <v>128</v>
      </c>
      <c r="AS2035">
        <v>-27</v>
      </c>
      <c r="AT2035">
        <v>64</v>
      </c>
      <c r="BB2035">
        <v>1200</v>
      </c>
      <c r="BC2035">
        <v>1</v>
      </c>
      <c r="BD2035" t="str">
        <f t="shared" si="702"/>
        <v xml:space="preserve">N887QR  </v>
      </c>
      <c r="BE2035">
        <v>1</v>
      </c>
      <c r="BG2035">
        <v>0</v>
      </c>
      <c r="BH2035">
        <v>0</v>
      </c>
      <c r="BI2035">
        <v>0</v>
      </c>
      <c r="BJ2035">
        <v>2675</v>
      </c>
      <c r="BK2035">
        <v>-225</v>
      </c>
      <c r="BL2035" t="s">
        <v>163</v>
      </c>
      <c r="BM2035">
        <v>1</v>
      </c>
      <c r="BN2035">
        <v>1</v>
      </c>
      <c r="BO2035">
        <v>1</v>
      </c>
      <c r="BP2035">
        <v>0</v>
      </c>
      <c r="BS2035">
        <v>0</v>
      </c>
      <c r="BT2035">
        <v>0</v>
      </c>
      <c r="BU2035">
        <v>0</v>
      </c>
      <c r="CE2035" t="str">
        <f t="shared" si="718"/>
        <v>19:30:51.321</v>
      </c>
      <c r="CF2035">
        <v>320721885</v>
      </c>
      <c r="CS2035">
        <v>0</v>
      </c>
      <c r="CT2035">
        <v>2</v>
      </c>
      <c r="CU2035">
        <v>0</v>
      </c>
      <c r="CV2035">
        <v>2</v>
      </c>
      <c r="CW2035">
        <v>0</v>
      </c>
      <c r="CX2035">
        <v>5</v>
      </c>
      <c r="CY2035">
        <v>7</v>
      </c>
      <c r="CZ2035" t="s">
        <v>131</v>
      </c>
      <c r="DA2035">
        <v>300</v>
      </c>
      <c r="DB2035">
        <v>0</v>
      </c>
      <c r="DC2035" t="s">
        <v>176</v>
      </c>
      <c r="DD2035" t="s">
        <v>177</v>
      </c>
      <c r="DG2035">
        <v>5400602</v>
      </c>
      <c r="DI2035">
        <v>1</v>
      </c>
      <c r="DJ2035">
        <v>0</v>
      </c>
      <c r="DK2035">
        <v>1</v>
      </c>
      <c r="DL2035">
        <v>0</v>
      </c>
      <c r="DM2035">
        <v>0</v>
      </c>
      <c r="DN2035">
        <v>1</v>
      </c>
      <c r="DO2035">
        <v>0</v>
      </c>
      <c r="DP2035">
        <v>0</v>
      </c>
      <c r="DQ2035">
        <v>0</v>
      </c>
      <c r="DR2035">
        <v>0</v>
      </c>
      <c r="DS2035">
        <v>0</v>
      </c>
    </row>
    <row r="2036" spans="1:123" x14ac:dyDescent="0.3">
      <c r="A2036" t="str">
        <f>"10/04/2022 19:30:51.666"</f>
        <v>10/04/2022 19:30:51.666</v>
      </c>
      <c r="C2036" t="str">
        <f t="shared" si="711"/>
        <v>FFDFD3C0</v>
      </c>
      <c r="D2036" t="s">
        <v>141</v>
      </c>
      <c r="E2036">
        <v>4</v>
      </c>
      <c r="H2036">
        <v>4</v>
      </c>
      <c r="I2036" t="s">
        <v>142</v>
      </c>
      <c r="J2036" t="s">
        <v>138</v>
      </c>
      <c r="K2036">
        <v>0</v>
      </c>
      <c r="L2036">
        <v>3</v>
      </c>
      <c r="M2036">
        <v>0</v>
      </c>
      <c r="N2036">
        <v>2</v>
      </c>
      <c r="O2036">
        <v>0</v>
      </c>
      <c r="P2036">
        <v>1</v>
      </c>
      <c r="Q2036">
        <v>0</v>
      </c>
      <c r="S2036" t="str">
        <f t="shared" si="717"/>
        <v>19:30:51.000</v>
      </c>
      <c r="T2036" t="str">
        <f t="shared" si="717"/>
        <v>19:30:51.000</v>
      </c>
      <c r="U2036" t="str">
        <f t="shared" si="701"/>
        <v>AC3944</v>
      </c>
      <c r="V2036">
        <v>0</v>
      </c>
      <c r="W2036">
        <v>0</v>
      </c>
      <c r="X2036">
        <v>2</v>
      </c>
      <c r="Y2036">
        <v>0</v>
      </c>
      <c r="AA2036">
        <v>1</v>
      </c>
      <c r="AB2036">
        <v>8</v>
      </c>
      <c r="AC2036">
        <v>3</v>
      </c>
      <c r="AD2036">
        <v>0</v>
      </c>
      <c r="AE2036">
        <v>9</v>
      </c>
      <c r="AF2036" t="s">
        <v>138</v>
      </c>
      <c r="AG2036">
        <v>0</v>
      </c>
      <c r="AH2036">
        <v>3</v>
      </c>
      <c r="AI2036">
        <v>1</v>
      </c>
      <c r="AJ2036">
        <v>0</v>
      </c>
      <c r="AK2036" t="s">
        <v>716</v>
      </c>
      <c r="AL2036">
        <v>32.774920000000002</v>
      </c>
      <c r="AM2036" t="s">
        <v>717</v>
      </c>
      <c r="AN2036">
        <v>-116.838419</v>
      </c>
      <c r="AO2036">
        <v>25</v>
      </c>
      <c r="AP2036">
        <v>2900</v>
      </c>
      <c r="AQ2036" t="s">
        <v>129</v>
      </c>
      <c r="AR2036">
        <v>128</v>
      </c>
      <c r="AS2036">
        <v>-27</v>
      </c>
      <c r="AT2036">
        <v>64</v>
      </c>
      <c r="BB2036">
        <v>1200</v>
      </c>
      <c r="BC2036">
        <v>1</v>
      </c>
      <c r="BD2036" t="str">
        <f t="shared" si="702"/>
        <v xml:space="preserve">N887QR  </v>
      </c>
      <c r="BE2036">
        <v>1</v>
      </c>
      <c r="BG2036">
        <v>0</v>
      </c>
      <c r="BH2036">
        <v>0</v>
      </c>
      <c r="BI2036">
        <v>0</v>
      </c>
      <c r="BJ2036">
        <v>2675</v>
      </c>
      <c r="BK2036">
        <v>-225</v>
      </c>
      <c r="BL2036" t="s">
        <v>163</v>
      </c>
      <c r="BM2036">
        <v>1</v>
      </c>
      <c r="BN2036">
        <v>1</v>
      </c>
      <c r="BO2036">
        <v>1</v>
      </c>
      <c r="BP2036">
        <v>0</v>
      </c>
      <c r="BS2036">
        <v>0</v>
      </c>
      <c r="BT2036">
        <v>0</v>
      </c>
      <c r="BU2036">
        <v>0</v>
      </c>
      <c r="CE2036" t="str">
        <f t="shared" si="718"/>
        <v>19:30:51.321</v>
      </c>
      <c r="CF2036">
        <v>320721885</v>
      </c>
      <c r="CS2036">
        <v>0</v>
      </c>
      <c r="CT2036">
        <v>2</v>
      </c>
      <c r="CU2036">
        <v>0</v>
      </c>
      <c r="CV2036">
        <v>2</v>
      </c>
      <c r="CW2036">
        <v>0</v>
      </c>
      <c r="CX2036">
        <v>5</v>
      </c>
      <c r="CY2036">
        <v>7</v>
      </c>
      <c r="CZ2036" t="s">
        <v>131</v>
      </c>
      <c r="DA2036">
        <v>300</v>
      </c>
      <c r="DB2036">
        <v>0</v>
      </c>
      <c r="DC2036" t="s">
        <v>176</v>
      </c>
      <c r="DD2036" t="s">
        <v>177</v>
      </c>
      <c r="DG2036">
        <v>5400602</v>
      </c>
      <c r="DI2036">
        <v>1</v>
      </c>
      <c r="DJ2036">
        <v>0</v>
      </c>
      <c r="DK2036">
        <v>1</v>
      </c>
      <c r="DL2036">
        <v>0</v>
      </c>
      <c r="DM2036">
        <v>0</v>
      </c>
      <c r="DN2036">
        <v>1</v>
      </c>
      <c r="DO2036">
        <v>0</v>
      </c>
      <c r="DP2036">
        <v>0</v>
      </c>
      <c r="DQ2036">
        <v>0</v>
      </c>
      <c r="DR2036">
        <v>0</v>
      </c>
      <c r="DS2036">
        <v>0</v>
      </c>
    </row>
    <row r="2037" spans="1:123" x14ac:dyDescent="0.3">
      <c r="A2037" t="str">
        <f>"10/04/2022 19:30:51.666"</f>
        <v>10/04/2022 19:30:51.666</v>
      </c>
      <c r="C2037" t="str">
        <f t="shared" si="711"/>
        <v>FFDFD3C0</v>
      </c>
      <c r="D2037" t="s">
        <v>134</v>
      </c>
      <c r="E2037">
        <v>15</v>
      </c>
      <c r="J2037" t="s">
        <v>135</v>
      </c>
      <c r="K2037">
        <v>0</v>
      </c>
      <c r="L2037">
        <v>3</v>
      </c>
      <c r="M2037">
        <v>0</v>
      </c>
      <c r="N2037">
        <v>2</v>
      </c>
      <c r="O2037">
        <v>0</v>
      </c>
      <c r="P2037">
        <v>1</v>
      </c>
      <c r="Q2037">
        <v>0</v>
      </c>
      <c r="S2037" t="str">
        <f t="shared" si="717"/>
        <v>19:30:51.000</v>
      </c>
      <c r="T2037" t="str">
        <f t="shared" si="717"/>
        <v>19:30:51.000</v>
      </c>
      <c r="U2037" t="str">
        <f t="shared" si="701"/>
        <v>AC3944</v>
      </c>
      <c r="V2037">
        <v>0</v>
      </c>
      <c r="W2037">
        <v>0</v>
      </c>
      <c r="X2037">
        <v>2</v>
      </c>
      <c r="Y2037">
        <v>0</v>
      </c>
      <c r="AA2037">
        <v>1</v>
      </c>
      <c r="AB2037">
        <v>8</v>
      </c>
      <c r="AC2037">
        <v>3</v>
      </c>
      <c r="AD2037">
        <v>0</v>
      </c>
      <c r="AE2037">
        <v>9</v>
      </c>
      <c r="AF2037" t="s">
        <v>138</v>
      </c>
      <c r="AG2037">
        <v>0</v>
      </c>
      <c r="AH2037">
        <v>3</v>
      </c>
      <c r="AI2037">
        <v>1</v>
      </c>
      <c r="AJ2037">
        <v>0</v>
      </c>
      <c r="AK2037" t="s">
        <v>716</v>
      </c>
      <c r="AL2037">
        <v>32.774920000000002</v>
      </c>
      <c r="AM2037" t="s">
        <v>717</v>
      </c>
      <c r="AN2037">
        <v>-116.838419</v>
      </c>
      <c r="AO2037">
        <v>25</v>
      </c>
      <c r="AP2037">
        <v>2900</v>
      </c>
      <c r="AQ2037" t="s">
        <v>129</v>
      </c>
      <c r="AR2037">
        <v>128</v>
      </c>
      <c r="AS2037">
        <v>-27</v>
      </c>
      <c r="AT2037">
        <v>64</v>
      </c>
      <c r="BB2037">
        <v>1200</v>
      </c>
      <c r="BC2037">
        <v>1</v>
      </c>
      <c r="BD2037" t="str">
        <f t="shared" si="702"/>
        <v xml:space="preserve">N887QR  </v>
      </c>
      <c r="BE2037">
        <v>1</v>
      </c>
      <c r="BG2037">
        <v>0</v>
      </c>
      <c r="BH2037">
        <v>0</v>
      </c>
      <c r="BI2037">
        <v>0</v>
      </c>
      <c r="BJ2037">
        <v>2675</v>
      </c>
      <c r="BK2037">
        <v>-225</v>
      </c>
      <c r="BL2037" t="s">
        <v>163</v>
      </c>
      <c r="BM2037">
        <v>1</v>
      </c>
      <c r="BN2037">
        <v>1</v>
      </c>
      <c r="BO2037">
        <v>1</v>
      </c>
      <c r="BP2037">
        <v>0</v>
      </c>
      <c r="BS2037">
        <v>0</v>
      </c>
      <c r="BT2037">
        <v>0</v>
      </c>
      <c r="BU2037">
        <v>0</v>
      </c>
      <c r="CE2037" t="str">
        <f t="shared" si="718"/>
        <v>19:30:51.321</v>
      </c>
      <c r="CF2037">
        <v>320721885</v>
      </c>
      <c r="CS2037">
        <v>0</v>
      </c>
      <c r="CT2037">
        <v>2</v>
      </c>
      <c r="CU2037">
        <v>0</v>
      </c>
      <c r="CV2037">
        <v>2</v>
      </c>
      <c r="CW2037">
        <v>0</v>
      </c>
      <c r="CX2037">
        <v>5</v>
      </c>
      <c r="CY2037">
        <v>7</v>
      </c>
      <c r="CZ2037" t="s">
        <v>131</v>
      </c>
      <c r="DA2037">
        <v>300</v>
      </c>
      <c r="DB2037">
        <v>0</v>
      </c>
      <c r="DC2037" t="s">
        <v>176</v>
      </c>
      <c r="DD2037" t="s">
        <v>177</v>
      </c>
      <c r="DG2037">
        <v>5400602</v>
      </c>
      <c r="DI2037">
        <v>1</v>
      </c>
      <c r="DJ2037">
        <v>0</v>
      </c>
      <c r="DK2037">
        <v>1</v>
      </c>
      <c r="DL2037">
        <v>0</v>
      </c>
      <c r="DM2037">
        <v>0</v>
      </c>
      <c r="DN2037">
        <v>1</v>
      </c>
      <c r="DO2037">
        <v>0</v>
      </c>
      <c r="DP2037">
        <v>0</v>
      </c>
      <c r="DQ2037">
        <v>0</v>
      </c>
      <c r="DR2037">
        <v>0</v>
      </c>
      <c r="DS2037">
        <v>0</v>
      </c>
    </row>
    <row r="2038" spans="1:123" x14ac:dyDescent="0.3">
      <c r="A2038" t="str">
        <f>"10/04/2022 19:30:52.463"</f>
        <v>10/04/2022 19:30:52.463</v>
      </c>
      <c r="C2038" t="str">
        <f t="shared" si="711"/>
        <v>FFDFD3C0</v>
      </c>
      <c r="D2038" t="s">
        <v>123</v>
      </c>
      <c r="E2038">
        <v>7</v>
      </c>
      <c r="F2038">
        <v>2007</v>
      </c>
      <c r="G2038" t="s">
        <v>124</v>
      </c>
      <c r="J2038" t="s">
        <v>125</v>
      </c>
      <c r="K2038">
        <v>0</v>
      </c>
      <c r="L2038">
        <v>3</v>
      </c>
      <c r="M2038">
        <v>0</v>
      </c>
      <c r="N2038">
        <v>2</v>
      </c>
      <c r="O2038">
        <v>0</v>
      </c>
      <c r="P2038">
        <v>1</v>
      </c>
      <c r="Q2038">
        <v>0</v>
      </c>
      <c r="S2038" t="str">
        <f t="shared" ref="S2038:T2044" si="719">"19:30:52.000"</f>
        <v>19:30:52.000</v>
      </c>
      <c r="T2038" t="str">
        <f t="shared" si="719"/>
        <v>19:30:52.000</v>
      </c>
      <c r="U2038" t="str">
        <f t="shared" si="701"/>
        <v>AC3944</v>
      </c>
      <c r="V2038">
        <v>0</v>
      </c>
      <c r="W2038">
        <v>0</v>
      </c>
      <c r="X2038">
        <v>2</v>
      </c>
      <c r="Y2038">
        <v>0</v>
      </c>
      <c r="AA2038">
        <v>1</v>
      </c>
      <c r="AB2038">
        <v>8</v>
      </c>
      <c r="AC2038">
        <v>3</v>
      </c>
      <c r="AD2038">
        <v>0</v>
      </c>
      <c r="AE2038">
        <v>9</v>
      </c>
      <c r="AF2038" t="s">
        <v>138</v>
      </c>
      <c r="AG2038">
        <v>0</v>
      </c>
      <c r="AH2038">
        <v>3</v>
      </c>
      <c r="AI2038">
        <v>1</v>
      </c>
      <c r="AJ2038">
        <v>0</v>
      </c>
      <c r="AK2038" t="s">
        <v>718</v>
      </c>
      <c r="AL2038">
        <v>32.774791999999998</v>
      </c>
      <c r="AM2038" t="s">
        <v>719</v>
      </c>
      <c r="AN2038">
        <v>-116.837711</v>
      </c>
      <c r="AO2038">
        <v>25</v>
      </c>
      <c r="AP2038">
        <v>2900</v>
      </c>
      <c r="AQ2038" t="s">
        <v>129</v>
      </c>
      <c r="AR2038">
        <v>129</v>
      </c>
      <c r="AS2038">
        <v>-27</v>
      </c>
      <c r="AT2038">
        <v>0</v>
      </c>
      <c r="BB2038">
        <v>1200</v>
      </c>
      <c r="BC2038">
        <v>1</v>
      </c>
      <c r="BD2038" t="str">
        <f t="shared" si="702"/>
        <v xml:space="preserve">N887QR  </v>
      </c>
      <c r="BE2038">
        <v>1</v>
      </c>
      <c r="BG2038">
        <v>0</v>
      </c>
      <c r="BH2038">
        <v>0</v>
      </c>
      <c r="BI2038">
        <v>0</v>
      </c>
      <c r="BJ2038">
        <v>2675</v>
      </c>
      <c r="BK2038">
        <v>-225</v>
      </c>
      <c r="BL2038" t="s">
        <v>163</v>
      </c>
      <c r="BM2038">
        <v>1</v>
      </c>
      <c r="BN2038">
        <v>1</v>
      </c>
      <c r="BO2038">
        <v>1</v>
      </c>
      <c r="BP2038">
        <v>0</v>
      </c>
      <c r="BS2038">
        <v>0</v>
      </c>
      <c r="BT2038">
        <v>0</v>
      </c>
      <c r="BU2038">
        <v>0</v>
      </c>
      <c r="CE2038" t="str">
        <f t="shared" ref="CE2038:CE2044" si="720">"19:30:52.183"</f>
        <v>19:30:52.183</v>
      </c>
      <c r="CF2038">
        <v>182724766</v>
      </c>
      <c r="CS2038">
        <v>0</v>
      </c>
      <c r="CT2038">
        <v>2</v>
      </c>
      <c r="CU2038">
        <v>0</v>
      </c>
      <c r="CV2038">
        <v>2</v>
      </c>
      <c r="CW2038">
        <v>0</v>
      </c>
      <c r="CX2038">
        <v>5</v>
      </c>
      <c r="CY2038">
        <v>7</v>
      </c>
      <c r="CZ2038" t="s">
        <v>131</v>
      </c>
      <c r="DA2038">
        <v>300</v>
      </c>
      <c r="DB2038">
        <v>0</v>
      </c>
      <c r="DC2038" t="s">
        <v>176</v>
      </c>
      <c r="DD2038" t="s">
        <v>177</v>
      </c>
      <c r="DG2038">
        <v>5400735</v>
      </c>
      <c r="DI2038">
        <v>1</v>
      </c>
      <c r="DJ2038">
        <v>0</v>
      </c>
      <c r="DK2038">
        <v>0</v>
      </c>
      <c r="DL2038">
        <v>0</v>
      </c>
      <c r="DM2038">
        <v>0</v>
      </c>
      <c r="DN2038">
        <v>1</v>
      </c>
      <c r="DO2038">
        <v>0</v>
      </c>
      <c r="DP2038">
        <v>0</v>
      </c>
      <c r="DQ2038">
        <v>0</v>
      </c>
      <c r="DR2038">
        <v>0</v>
      </c>
      <c r="DS2038">
        <v>0</v>
      </c>
    </row>
    <row r="2039" spans="1:123" x14ac:dyDescent="0.3">
      <c r="A2039" t="str">
        <f t="shared" ref="A2039:A2044" si="721">"10/04/2022 19:30:52.541"</f>
        <v>10/04/2022 19:30:52.541</v>
      </c>
      <c r="C2039" t="str">
        <f t="shared" si="711"/>
        <v>FFDFD3C0</v>
      </c>
      <c r="D2039" t="s">
        <v>136</v>
      </c>
      <c r="E2039">
        <v>8</v>
      </c>
      <c r="H2039">
        <v>225</v>
      </c>
      <c r="I2039" t="s">
        <v>137</v>
      </c>
      <c r="J2039" t="s">
        <v>138</v>
      </c>
      <c r="K2039">
        <v>0</v>
      </c>
      <c r="L2039">
        <v>3</v>
      </c>
      <c r="M2039">
        <v>0</v>
      </c>
      <c r="N2039">
        <v>2</v>
      </c>
      <c r="O2039">
        <v>0</v>
      </c>
      <c r="P2039">
        <v>1</v>
      </c>
      <c r="Q2039">
        <v>0</v>
      </c>
      <c r="S2039" t="str">
        <f t="shared" si="719"/>
        <v>19:30:52.000</v>
      </c>
      <c r="T2039" t="str">
        <f t="shared" si="719"/>
        <v>19:30:52.000</v>
      </c>
      <c r="U2039" t="str">
        <f t="shared" si="701"/>
        <v>AC3944</v>
      </c>
      <c r="V2039">
        <v>0</v>
      </c>
      <c r="W2039">
        <v>0</v>
      </c>
      <c r="X2039">
        <v>2</v>
      </c>
      <c r="Y2039">
        <v>0</v>
      </c>
      <c r="AA2039">
        <v>1</v>
      </c>
      <c r="AB2039">
        <v>8</v>
      </c>
      <c r="AC2039">
        <v>3</v>
      </c>
      <c r="AD2039">
        <v>0</v>
      </c>
      <c r="AE2039">
        <v>9</v>
      </c>
      <c r="AF2039" t="s">
        <v>138</v>
      </c>
      <c r="AG2039">
        <v>0</v>
      </c>
      <c r="AH2039">
        <v>3</v>
      </c>
      <c r="AI2039">
        <v>1</v>
      </c>
      <c r="AJ2039">
        <v>0</v>
      </c>
      <c r="AK2039" t="s">
        <v>718</v>
      </c>
      <c r="AL2039">
        <v>32.774791999999998</v>
      </c>
      <c r="AM2039" t="s">
        <v>719</v>
      </c>
      <c r="AN2039">
        <v>-116.837711</v>
      </c>
      <c r="AO2039">
        <v>25</v>
      </c>
      <c r="AP2039">
        <v>2900</v>
      </c>
      <c r="AQ2039" t="s">
        <v>129</v>
      </c>
      <c r="AR2039">
        <v>129</v>
      </c>
      <c r="AS2039">
        <v>-27</v>
      </c>
      <c r="AT2039">
        <v>0</v>
      </c>
      <c r="BB2039">
        <v>1200</v>
      </c>
      <c r="BC2039">
        <v>1</v>
      </c>
      <c r="BD2039" t="str">
        <f t="shared" si="702"/>
        <v xml:space="preserve">N887QR  </v>
      </c>
      <c r="BE2039">
        <v>1</v>
      </c>
      <c r="BG2039">
        <v>0</v>
      </c>
      <c r="BH2039">
        <v>0</v>
      </c>
      <c r="BI2039">
        <v>0</v>
      </c>
      <c r="BJ2039">
        <v>2675</v>
      </c>
      <c r="BK2039">
        <v>-225</v>
      </c>
      <c r="BL2039" t="s">
        <v>163</v>
      </c>
      <c r="BM2039">
        <v>1</v>
      </c>
      <c r="BN2039">
        <v>1</v>
      </c>
      <c r="BO2039">
        <v>1</v>
      </c>
      <c r="BP2039">
        <v>0</v>
      </c>
      <c r="BS2039">
        <v>0</v>
      </c>
      <c r="BT2039">
        <v>0</v>
      </c>
      <c r="BU2039">
        <v>0</v>
      </c>
      <c r="CE2039" t="str">
        <f t="shared" si="720"/>
        <v>19:30:52.183</v>
      </c>
      <c r="CF2039">
        <v>182724766</v>
      </c>
      <c r="CS2039">
        <v>0</v>
      </c>
      <c r="CT2039">
        <v>2</v>
      </c>
      <c r="CU2039">
        <v>0</v>
      </c>
      <c r="CV2039">
        <v>2</v>
      </c>
      <c r="CW2039">
        <v>0</v>
      </c>
      <c r="CX2039">
        <v>5</v>
      </c>
      <c r="CY2039">
        <v>7</v>
      </c>
      <c r="CZ2039" t="s">
        <v>131</v>
      </c>
      <c r="DA2039">
        <v>300</v>
      </c>
      <c r="DB2039">
        <v>0</v>
      </c>
      <c r="DC2039" t="s">
        <v>176</v>
      </c>
      <c r="DD2039" t="s">
        <v>177</v>
      </c>
      <c r="DG2039">
        <v>5400735</v>
      </c>
      <c r="DI2039">
        <v>1</v>
      </c>
      <c r="DJ2039">
        <v>0</v>
      </c>
      <c r="DK2039">
        <v>1</v>
      </c>
      <c r="DL2039">
        <v>0</v>
      </c>
      <c r="DM2039">
        <v>0</v>
      </c>
      <c r="DN2039">
        <v>1</v>
      </c>
      <c r="DO2039">
        <v>0</v>
      </c>
      <c r="DP2039">
        <v>0</v>
      </c>
      <c r="DQ2039">
        <v>0</v>
      </c>
      <c r="DR2039">
        <v>0</v>
      </c>
      <c r="DS2039">
        <v>0</v>
      </c>
    </row>
    <row r="2040" spans="1:123" x14ac:dyDescent="0.3">
      <c r="A2040" t="str">
        <f t="shared" si="721"/>
        <v>10/04/2022 19:30:52.541</v>
      </c>
      <c r="C2040" t="str">
        <f t="shared" si="711"/>
        <v>FFDFD3C0</v>
      </c>
      <c r="D2040" t="s">
        <v>147</v>
      </c>
      <c r="E2040">
        <v>3</v>
      </c>
      <c r="H2040">
        <v>166</v>
      </c>
      <c r="I2040" t="s">
        <v>144</v>
      </c>
      <c r="J2040" t="s">
        <v>148</v>
      </c>
      <c r="K2040">
        <v>0</v>
      </c>
      <c r="L2040">
        <v>3</v>
      </c>
      <c r="M2040">
        <v>0</v>
      </c>
      <c r="N2040">
        <v>2</v>
      </c>
      <c r="O2040">
        <v>0</v>
      </c>
      <c r="P2040">
        <v>1</v>
      </c>
      <c r="Q2040">
        <v>0</v>
      </c>
      <c r="S2040" t="str">
        <f t="shared" si="719"/>
        <v>19:30:52.000</v>
      </c>
      <c r="T2040" t="str">
        <f t="shared" si="719"/>
        <v>19:30:52.000</v>
      </c>
      <c r="U2040" t="str">
        <f t="shared" si="701"/>
        <v>AC3944</v>
      </c>
      <c r="V2040">
        <v>0</v>
      </c>
      <c r="W2040">
        <v>0</v>
      </c>
      <c r="X2040">
        <v>2</v>
      </c>
      <c r="Y2040">
        <v>0</v>
      </c>
      <c r="AA2040">
        <v>1</v>
      </c>
      <c r="AB2040">
        <v>8</v>
      </c>
      <c r="AC2040">
        <v>3</v>
      </c>
      <c r="AD2040">
        <v>0</v>
      </c>
      <c r="AE2040">
        <v>9</v>
      </c>
      <c r="AF2040" t="s">
        <v>138</v>
      </c>
      <c r="AG2040">
        <v>0</v>
      </c>
      <c r="AH2040">
        <v>3</v>
      </c>
      <c r="AI2040">
        <v>1</v>
      </c>
      <c r="AJ2040">
        <v>0</v>
      </c>
      <c r="AK2040" t="s">
        <v>718</v>
      </c>
      <c r="AL2040">
        <v>32.774791999999998</v>
      </c>
      <c r="AM2040" t="s">
        <v>719</v>
      </c>
      <c r="AN2040">
        <v>-116.837711</v>
      </c>
      <c r="AO2040">
        <v>25</v>
      </c>
      <c r="AP2040">
        <v>2900</v>
      </c>
      <c r="AQ2040" t="s">
        <v>129</v>
      </c>
      <c r="AR2040">
        <v>129</v>
      </c>
      <c r="AS2040">
        <v>-27</v>
      </c>
      <c r="AT2040">
        <v>0</v>
      </c>
      <c r="BB2040">
        <v>1200</v>
      </c>
      <c r="BC2040">
        <v>1</v>
      </c>
      <c r="BD2040" t="str">
        <f t="shared" si="702"/>
        <v xml:space="preserve">N887QR  </v>
      </c>
      <c r="BE2040">
        <v>1</v>
      </c>
      <c r="BG2040">
        <v>0</v>
      </c>
      <c r="BH2040">
        <v>0</v>
      </c>
      <c r="BI2040">
        <v>0</v>
      </c>
      <c r="BJ2040">
        <v>2675</v>
      </c>
      <c r="BK2040">
        <v>-225</v>
      </c>
      <c r="BL2040" t="s">
        <v>163</v>
      </c>
      <c r="BM2040">
        <v>1</v>
      </c>
      <c r="BN2040">
        <v>1</v>
      </c>
      <c r="BO2040">
        <v>1</v>
      </c>
      <c r="BP2040">
        <v>0</v>
      </c>
      <c r="BS2040">
        <v>0</v>
      </c>
      <c r="BT2040">
        <v>0</v>
      </c>
      <c r="BU2040">
        <v>0</v>
      </c>
      <c r="CE2040" t="str">
        <f t="shared" si="720"/>
        <v>19:30:52.183</v>
      </c>
      <c r="CF2040">
        <v>182724766</v>
      </c>
      <c r="CS2040">
        <v>0</v>
      </c>
      <c r="CT2040">
        <v>2</v>
      </c>
      <c r="CU2040">
        <v>0</v>
      </c>
      <c r="CV2040">
        <v>2</v>
      </c>
      <c r="CW2040">
        <v>0</v>
      </c>
      <c r="CX2040">
        <v>5</v>
      </c>
      <c r="CY2040">
        <v>7</v>
      </c>
      <c r="CZ2040" t="s">
        <v>131</v>
      </c>
      <c r="DA2040">
        <v>300</v>
      </c>
      <c r="DB2040">
        <v>0</v>
      </c>
      <c r="DC2040" t="s">
        <v>176</v>
      </c>
      <c r="DD2040" t="s">
        <v>177</v>
      </c>
      <c r="DG2040">
        <v>5400735</v>
      </c>
      <c r="DI2040">
        <v>1</v>
      </c>
      <c r="DJ2040">
        <v>0</v>
      </c>
      <c r="DK2040">
        <v>1</v>
      </c>
      <c r="DL2040">
        <v>0</v>
      </c>
      <c r="DM2040">
        <v>0</v>
      </c>
      <c r="DN2040">
        <v>1</v>
      </c>
      <c r="DO2040">
        <v>0</v>
      </c>
      <c r="DP2040">
        <v>0</v>
      </c>
      <c r="DQ2040">
        <v>0</v>
      </c>
      <c r="DR2040">
        <v>0</v>
      </c>
      <c r="DS2040">
        <v>0</v>
      </c>
    </row>
    <row r="2041" spans="1:123" x14ac:dyDescent="0.3">
      <c r="A2041" t="str">
        <f t="shared" si="721"/>
        <v>10/04/2022 19:30:52.541</v>
      </c>
      <c r="C2041" t="str">
        <f t="shared" si="711"/>
        <v>FFDFD3C0</v>
      </c>
      <c r="D2041" t="s">
        <v>134</v>
      </c>
      <c r="E2041">
        <v>15</v>
      </c>
      <c r="J2041" t="s">
        <v>135</v>
      </c>
      <c r="K2041">
        <v>0</v>
      </c>
      <c r="L2041">
        <v>3</v>
      </c>
      <c r="M2041">
        <v>0</v>
      </c>
      <c r="N2041">
        <v>2</v>
      </c>
      <c r="O2041">
        <v>0</v>
      </c>
      <c r="P2041">
        <v>1</v>
      </c>
      <c r="Q2041">
        <v>0</v>
      </c>
      <c r="S2041" t="str">
        <f t="shared" si="719"/>
        <v>19:30:52.000</v>
      </c>
      <c r="T2041" t="str">
        <f t="shared" si="719"/>
        <v>19:30:52.000</v>
      </c>
      <c r="U2041" t="str">
        <f t="shared" si="701"/>
        <v>AC3944</v>
      </c>
      <c r="V2041">
        <v>0</v>
      </c>
      <c r="W2041">
        <v>0</v>
      </c>
      <c r="X2041">
        <v>2</v>
      </c>
      <c r="Y2041">
        <v>0</v>
      </c>
      <c r="AA2041">
        <v>1</v>
      </c>
      <c r="AB2041">
        <v>8</v>
      </c>
      <c r="AC2041">
        <v>3</v>
      </c>
      <c r="AD2041">
        <v>0</v>
      </c>
      <c r="AE2041">
        <v>9</v>
      </c>
      <c r="AF2041" t="s">
        <v>138</v>
      </c>
      <c r="AG2041">
        <v>0</v>
      </c>
      <c r="AH2041">
        <v>3</v>
      </c>
      <c r="AI2041">
        <v>1</v>
      </c>
      <c r="AJ2041">
        <v>0</v>
      </c>
      <c r="AK2041" t="s">
        <v>718</v>
      </c>
      <c r="AL2041">
        <v>32.774791999999998</v>
      </c>
      <c r="AM2041" t="s">
        <v>719</v>
      </c>
      <c r="AN2041">
        <v>-116.837711</v>
      </c>
      <c r="AO2041">
        <v>25</v>
      </c>
      <c r="AP2041">
        <v>2900</v>
      </c>
      <c r="AQ2041" t="s">
        <v>129</v>
      </c>
      <c r="AR2041">
        <v>129</v>
      </c>
      <c r="AS2041">
        <v>-27</v>
      </c>
      <c r="AT2041">
        <v>0</v>
      </c>
      <c r="BB2041">
        <v>1200</v>
      </c>
      <c r="BC2041">
        <v>1</v>
      </c>
      <c r="BD2041" t="str">
        <f t="shared" si="702"/>
        <v xml:space="preserve">N887QR  </v>
      </c>
      <c r="BE2041">
        <v>1</v>
      </c>
      <c r="BG2041">
        <v>0</v>
      </c>
      <c r="BH2041">
        <v>0</v>
      </c>
      <c r="BI2041">
        <v>0</v>
      </c>
      <c r="BJ2041">
        <v>2675</v>
      </c>
      <c r="BK2041">
        <v>-225</v>
      </c>
      <c r="BL2041" t="s">
        <v>163</v>
      </c>
      <c r="BM2041">
        <v>1</v>
      </c>
      <c r="BN2041">
        <v>1</v>
      </c>
      <c r="BO2041">
        <v>1</v>
      </c>
      <c r="BP2041">
        <v>0</v>
      </c>
      <c r="BS2041">
        <v>0</v>
      </c>
      <c r="BT2041">
        <v>0</v>
      </c>
      <c r="BU2041">
        <v>0</v>
      </c>
      <c r="CE2041" t="str">
        <f t="shared" si="720"/>
        <v>19:30:52.183</v>
      </c>
      <c r="CF2041">
        <v>182724766</v>
      </c>
      <c r="CS2041">
        <v>0</v>
      </c>
      <c r="CT2041">
        <v>2</v>
      </c>
      <c r="CU2041">
        <v>0</v>
      </c>
      <c r="CV2041">
        <v>2</v>
      </c>
      <c r="CW2041">
        <v>0</v>
      </c>
      <c r="CX2041">
        <v>5</v>
      </c>
      <c r="CY2041">
        <v>7</v>
      </c>
      <c r="CZ2041" t="s">
        <v>131</v>
      </c>
      <c r="DA2041">
        <v>300</v>
      </c>
      <c r="DB2041">
        <v>0</v>
      </c>
      <c r="DC2041" t="s">
        <v>176</v>
      </c>
      <c r="DD2041" t="s">
        <v>177</v>
      </c>
      <c r="DG2041">
        <v>5400735</v>
      </c>
      <c r="DI2041">
        <v>1</v>
      </c>
      <c r="DJ2041">
        <v>0</v>
      </c>
      <c r="DK2041">
        <v>1</v>
      </c>
      <c r="DL2041">
        <v>0</v>
      </c>
      <c r="DM2041">
        <v>0</v>
      </c>
      <c r="DN2041">
        <v>1</v>
      </c>
      <c r="DO2041">
        <v>0</v>
      </c>
      <c r="DP2041">
        <v>0</v>
      </c>
      <c r="DQ2041">
        <v>0</v>
      </c>
      <c r="DR2041">
        <v>0</v>
      </c>
      <c r="DS2041">
        <v>0</v>
      </c>
    </row>
    <row r="2042" spans="1:123" x14ac:dyDescent="0.3">
      <c r="A2042" t="str">
        <f t="shared" si="721"/>
        <v>10/04/2022 19:30:52.541</v>
      </c>
      <c r="C2042" t="str">
        <f t="shared" ref="C2042:C2073" si="722">"FFDFD3C0"</f>
        <v>FFDFD3C0</v>
      </c>
      <c r="D2042" t="s">
        <v>141</v>
      </c>
      <c r="E2042">
        <v>4</v>
      </c>
      <c r="H2042">
        <v>4</v>
      </c>
      <c r="I2042" t="s">
        <v>142</v>
      </c>
      <c r="J2042" t="s">
        <v>138</v>
      </c>
      <c r="K2042">
        <v>0</v>
      </c>
      <c r="L2042">
        <v>3</v>
      </c>
      <c r="M2042">
        <v>0</v>
      </c>
      <c r="N2042">
        <v>2</v>
      </c>
      <c r="O2042">
        <v>0</v>
      </c>
      <c r="P2042">
        <v>1</v>
      </c>
      <c r="Q2042">
        <v>0</v>
      </c>
      <c r="S2042" t="str">
        <f t="shared" si="719"/>
        <v>19:30:52.000</v>
      </c>
      <c r="T2042" t="str">
        <f t="shared" si="719"/>
        <v>19:30:52.000</v>
      </c>
      <c r="U2042" t="str">
        <f t="shared" si="701"/>
        <v>AC3944</v>
      </c>
      <c r="V2042">
        <v>0</v>
      </c>
      <c r="W2042">
        <v>0</v>
      </c>
      <c r="X2042">
        <v>2</v>
      </c>
      <c r="Y2042">
        <v>0</v>
      </c>
      <c r="AA2042">
        <v>1</v>
      </c>
      <c r="AB2042">
        <v>8</v>
      </c>
      <c r="AC2042">
        <v>3</v>
      </c>
      <c r="AD2042">
        <v>0</v>
      </c>
      <c r="AE2042">
        <v>9</v>
      </c>
      <c r="AF2042" t="s">
        <v>138</v>
      </c>
      <c r="AG2042">
        <v>0</v>
      </c>
      <c r="AH2042">
        <v>3</v>
      </c>
      <c r="AI2042">
        <v>1</v>
      </c>
      <c r="AJ2042">
        <v>0</v>
      </c>
      <c r="AK2042" t="s">
        <v>718</v>
      </c>
      <c r="AL2042">
        <v>32.774791999999998</v>
      </c>
      <c r="AM2042" t="s">
        <v>719</v>
      </c>
      <c r="AN2042">
        <v>-116.837711</v>
      </c>
      <c r="AO2042">
        <v>25</v>
      </c>
      <c r="AP2042">
        <v>2900</v>
      </c>
      <c r="AQ2042" t="s">
        <v>129</v>
      </c>
      <c r="AR2042">
        <v>129</v>
      </c>
      <c r="AS2042">
        <v>-27</v>
      </c>
      <c r="AT2042">
        <v>0</v>
      </c>
      <c r="BB2042">
        <v>1200</v>
      </c>
      <c r="BC2042">
        <v>1</v>
      </c>
      <c r="BD2042" t="str">
        <f t="shared" si="702"/>
        <v xml:space="preserve">N887QR  </v>
      </c>
      <c r="BE2042">
        <v>1</v>
      </c>
      <c r="BG2042">
        <v>0</v>
      </c>
      <c r="BH2042">
        <v>0</v>
      </c>
      <c r="BI2042">
        <v>0</v>
      </c>
      <c r="BJ2042">
        <v>2675</v>
      </c>
      <c r="BK2042">
        <v>-225</v>
      </c>
      <c r="BL2042" t="s">
        <v>163</v>
      </c>
      <c r="BM2042">
        <v>1</v>
      </c>
      <c r="BN2042">
        <v>1</v>
      </c>
      <c r="BO2042">
        <v>1</v>
      </c>
      <c r="BP2042">
        <v>0</v>
      </c>
      <c r="BS2042">
        <v>0</v>
      </c>
      <c r="BT2042">
        <v>0</v>
      </c>
      <c r="BU2042">
        <v>0</v>
      </c>
      <c r="CE2042" t="str">
        <f t="shared" si="720"/>
        <v>19:30:52.183</v>
      </c>
      <c r="CF2042">
        <v>182724766</v>
      </c>
      <c r="CS2042">
        <v>0</v>
      </c>
      <c r="CT2042">
        <v>2</v>
      </c>
      <c r="CU2042">
        <v>0</v>
      </c>
      <c r="CV2042">
        <v>2</v>
      </c>
      <c r="CW2042">
        <v>0</v>
      </c>
      <c r="CX2042">
        <v>5</v>
      </c>
      <c r="CY2042">
        <v>7</v>
      </c>
      <c r="CZ2042" t="s">
        <v>131</v>
      </c>
      <c r="DA2042">
        <v>300</v>
      </c>
      <c r="DB2042">
        <v>0</v>
      </c>
      <c r="DC2042" t="s">
        <v>176</v>
      </c>
      <c r="DD2042" t="s">
        <v>177</v>
      </c>
      <c r="DG2042">
        <v>5400735</v>
      </c>
      <c r="DI2042">
        <v>1</v>
      </c>
      <c r="DJ2042">
        <v>0</v>
      </c>
      <c r="DK2042">
        <v>1</v>
      </c>
      <c r="DL2042">
        <v>0</v>
      </c>
      <c r="DM2042">
        <v>0</v>
      </c>
      <c r="DN2042">
        <v>1</v>
      </c>
      <c r="DO2042">
        <v>0</v>
      </c>
      <c r="DP2042">
        <v>0</v>
      </c>
      <c r="DQ2042">
        <v>0</v>
      </c>
      <c r="DR2042">
        <v>0</v>
      </c>
      <c r="DS2042">
        <v>0</v>
      </c>
    </row>
    <row r="2043" spans="1:123" x14ac:dyDescent="0.3">
      <c r="A2043" t="str">
        <f t="shared" si="721"/>
        <v>10/04/2022 19:30:52.541</v>
      </c>
      <c r="C2043" t="str">
        <f t="shared" si="722"/>
        <v>FFDFD3C0</v>
      </c>
      <c r="D2043" t="s">
        <v>143</v>
      </c>
      <c r="E2043">
        <v>20</v>
      </c>
      <c r="F2043">
        <v>1020</v>
      </c>
      <c r="G2043" t="s">
        <v>144</v>
      </c>
      <c r="J2043" t="s">
        <v>145</v>
      </c>
      <c r="K2043">
        <v>0</v>
      </c>
      <c r="L2043">
        <v>3</v>
      </c>
      <c r="M2043">
        <v>0</v>
      </c>
      <c r="N2043">
        <v>2</v>
      </c>
      <c r="O2043">
        <v>0</v>
      </c>
      <c r="P2043">
        <v>1</v>
      </c>
      <c r="Q2043">
        <v>0</v>
      </c>
      <c r="S2043" t="str">
        <f t="shared" si="719"/>
        <v>19:30:52.000</v>
      </c>
      <c r="T2043" t="str">
        <f t="shared" si="719"/>
        <v>19:30:52.000</v>
      </c>
      <c r="U2043" t="str">
        <f t="shared" si="701"/>
        <v>AC3944</v>
      </c>
      <c r="V2043">
        <v>0</v>
      </c>
      <c r="W2043">
        <v>0</v>
      </c>
      <c r="X2043">
        <v>2</v>
      </c>
      <c r="Y2043">
        <v>0</v>
      </c>
      <c r="AA2043">
        <v>1</v>
      </c>
      <c r="AB2043">
        <v>8</v>
      </c>
      <c r="AC2043">
        <v>3</v>
      </c>
      <c r="AD2043">
        <v>0</v>
      </c>
      <c r="AE2043">
        <v>9</v>
      </c>
      <c r="AF2043" t="s">
        <v>138</v>
      </c>
      <c r="AG2043">
        <v>0</v>
      </c>
      <c r="AH2043">
        <v>3</v>
      </c>
      <c r="AI2043">
        <v>1</v>
      </c>
      <c r="AJ2043">
        <v>0</v>
      </c>
      <c r="AK2043" t="s">
        <v>718</v>
      </c>
      <c r="AL2043">
        <v>32.774791999999998</v>
      </c>
      <c r="AM2043" t="s">
        <v>719</v>
      </c>
      <c r="AN2043">
        <v>-116.837711</v>
      </c>
      <c r="AO2043">
        <v>25</v>
      </c>
      <c r="AP2043">
        <v>2900</v>
      </c>
      <c r="AQ2043" t="s">
        <v>129</v>
      </c>
      <c r="AR2043">
        <v>129</v>
      </c>
      <c r="AS2043">
        <v>-27</v>
      </c>
      <c r="AT2043">
        <v>0</v>
      </c>
      <c r="BB2043">
        <v>1200</v>
      </c>
      <c r="BC2043">
        <v>1</v>
      </c>
      <c r="BD2043" t="str">
        <f t="shared" si="702"/>
        <v xml:space="preserve">N887QR  </v>
      </c>
      <c r="BE2043">
        <v>1</v>
      </c>
      <c r="BG2043">
        <v>0</v>
      </c>
      <c r="BH2043">
        <v>0</v>
      </c>
      <c r="BI2043">
        <v>0</v>
      </c>
      <c r="BJ2043">
        <v>2675</v>
      </c>
      <c r="BK2043">
        <v>-225</v>
      </c>
      <c r="BL2043" t="s">
        <v>163</v>
      </c>
      <c r="BM2043">
        <v>1</v>
      </c>
      <c r="BN2043">
        <v>1</v>
      </c>
      <c r="BO2043">
        <v>1</v>
      </c>
      <c r="BP2043">
        <v>0</v>
      </c>
      <c r="BS2043">
        <v>0</v>
      </c>
      <c r="BT2043">
        <v>0</v>
      </c>
      <c r="BU2043">
        <v>0</v>
      </c>
      <c r="CE2043" t="str">
        <f t="shared" si="720"/>
        <v>19:30:52.183</v>
      </c>
      <c r="CF2043">
        <v>182724766</v>
      </c>
      <c r="CS2043">
        <v>0</v>
      </c>
      <c r="CT2043">
        <v>2</v>
      </c>
      <c r="CU2043">
        <v>0</v>
      </c>
      <c r="CV2043">
        <v>2</v>
      </c>
      <c r="CW2043">
        <v>0</v>
      </c>
      <c r="CX2043">
        <v>5</v>
      </c>
      <c r="CY2043">
        <v>7</v>
      </c>
      <c r="CZ2043" t="s">
        <v>131</v>
      </c>
      <c r="DA2043">
        <v>300</v>
      </c>
      <c r="DB2043">
        <v>0</v>
      </c>
      <c r="DC2043" t="s">
        <v>176</v>
      </c>
      <c r="DD2043" t="s">
        <v>177</v>
      </c>
      <c r="DG2043">
        <v>5400735</v>
      </c>
      <c r="DI2043">
        <v>1</v>
      </c>
      <c r="DJ2043">
        <v>0</v>
      </c>
      <c r="DK2043">
        <v>1</v>
      </c>
      <c r="DL2043">
        <v>0</v>
      </c>
      <c r="DM2043">
        <v>0</v>
      </c>
      <c r="DN2043">
        <v>1</v>
      </c>
      <c r="DO2043">
        <v>0</v>
      </c>
      <c r="DP2043">
        <v>0</v>
      </c>
      <c r="DQ2043">
        <v>0</v>
      </c>
      <c r="DR2043">
        <v>0</v>
      </c>
      <c r="DS2043">
        <v>0</v>
      </c>
    </row>
    <row r="2044" spans="1:123" x14ac:dyDescent="0.3">
      <c r="A2044" t="str">
        <f t="shared" si="721"/>
        <v>10/04/2022 19:30:52.541</v>
      </c>
      <c r="C2044" t="str">
        <f t="shared" si="722"/>
        <v>FFDFD3C0</v>
      </c>
      <c r="D2044" t="s">
        <v>141</v>
      </c>
      <c r="E2044">
        <v>3</v>
      </c>
      <c r="H2044">
        <v>3</v>
      </c>
      <c r="I2044" t="s">
        <v>146</v>
      </c>
      <c r="J2044" t="s">
        <v>138</v>
      </c>
      <c r="K2044">
        <v>0</v>
      </c>
      <c r="L2044">
        <v>3</v>
      </c>
      <c r="M2044">
        <v>0</v>
      </c>
      <c r="N2044">
        <v>2</v>
      </c>
      <c r="O2044">
        <v>0</v>
      </c>
      <c r="P2044">
        <v>1</v>
      </c>
      <c r="Q2044">
        <v>0</v>
      </c>
      <c r="S2044" t="str">
        <f t="shared" si="719"/>
        <v>19:30:52.000</v>
      </c>
      <c r="T2044" t="str">
        <f t="shared" si="719"/>
        <v>19:30:52.000</v>
      </c>
      <c r="U2044" t="str">
        <f t="shared" si="701"/>
        <v>AC3944</v>
      </c>
      <c r="V2044">
        <v>0</v>
      </c>
      <c r="W2044">
        <v>0</v>
      </c>
      <c r="X2044">
        <v>2</v>
      </c>
      <c r="Y2044">
        <v>0</v>
      </c>
      <c r="AA2044">
        <v>1</v>
      </c>
      <c r="AB2044">
        <v>8</v>
      </c>
      <c r="AC2044">
        <v>3</v>
      </c>
      <c r="AD2044">
        <v>0</v>
      </c>
      <c r="AE2044">
        <v>9</v>
      </c>
      <c r="AF2044" t="s">
        <v>138</v>
      </c>
      <c r="AG2044">
        <v>0</v>
      </c>
      <c r="AH2044">
        <v>3</v>
      </c>
      <c r="AI2044">
        <v>1</v>
      </c>
      <c r="AJ2044">
        <v>0</v>
      </c>
      <c r="AK2044" t="s">
        <v>718</v>
      </c>
      <c r="AL2044">
        <v>32.774791999999998</v>
      </c>
      <c r="AM2044" t="s">
        <v>719</v>
      </c>
      <c r="AN2044">
        <v>-116.837711</v>
      </c>
      <c r="AO2044">
        <v>25</v>
      </c>
      <c r="AP2044">
        <v>2900</v>
      </c>
      <c r="AQ2044" t="s">
        <v>129</v>
      </c>
      <c r="AR2044">
        <v>129</v>
      </c>
      <c r="AS2044">
        <v>-27</v>
      </c>
      <c r="AT2044">
        <v>0</v>
      </c>
      <c r="BB2044">
        <v>1200</v>
      </c>
      <c r="BC2044">
        <v>1</v>
      </c>
      <c r="BD2044" t="str">
        <f t="shared" si="702"/>
        <v xml:space="preserve">N887QR  </v>
      </c>
      <c r="BE2044">
        <v>1</v>
      </c>
      <c r="BG2044">
        <v>0</v>
      </c>
      <c r="BH2044">
        <v>0</v>
      </c>
      <c r="BI2044">
        <v>0</v>
      </c>
      <c r="BJ2044">
        <v>2675</v>
      </c>
      <c r="BK2044">
        <v>-225</v>
      </c>
      <c r="BL2044" t="s">
        <v>163</v>
      </c>
      <c r="BM2044">
        <v>1</v>
      </c>
      <c r="BN2044">
        <v>1</v>
      </c>
      <c r="BO2044">
        <v>1</v>
      </c>
      <c r="BP2044">
        <v>0</v>
      </c>
      <c r="BS2044">
        <v>0</v>
      </c>
      <c r="BT2044">
        <v>0</v>
      </c>
      <c r="BU2044">
        <v>0</v>
      </c>
      <c r="CE2044" t="str">
        <f t="shared" si="720"/>
        <v>19:30:52.183</v>
      </c>
      <c r="CF2044">
        <v>182724766</v>
      </c>
      <c r="CS2044">
        <v>0</v>
      </c>
      <c r="CT2044">
        <v>2</v>
      </c>
      <c r="CU2044">
        <v>0</v>
      </c>
      <c r="CV2044">
        <v>2</v>
      </c>
      <c r="CW2044">
        <v>0</v>
      </c>
      <c r="CX2044">
        <v>5</v>
      </c>
      <c r="CY2044">
        <v>7</v>
      </c>
      <c r="CZ2044" t="s">
        <v>131</v>
      </c>
      <c r="DA2044">
        <v>300</v>
      </c>
      <c r="DB2044">
        <v>0</v>
      </c>
      <c r="DC2044" t="s">
        <v>176</v>
      </c>
      <c r="DD2044" t="s">
        <v>177</v>
      </c>
      <c r="DG2044">
        <v>5400735</v>
      </c>
      <c r="DI2044">
        <v>1</v>
      </c>
      <c r="DJ2044">
        <v>0</v>
      </c>
      <c r="DK2044">
        <v>1</v>
      </c>
      <c r="DL2044">
        <v>0</v>
      </c>
      <c r="DM2044">
        <v>0</v>
      </c>
      <c r="DN2044">
        <v>1</v>
      </c>
      <c r="DO2044">
        <v>0</v>
      </c>
      <c r="DP2044">
        <v>0</v>
      </c>
      <c r="DQ2044">
        <v>0</v>
      </c>
      <c r="DR2044">
        <v>0</v>
      </c>
      <c r="DS2044">
        <v>0</v>
      </c>
    </row>
    <row r="2045" spans="1:123" x14ac:dyDescent="0.3">
      <c r="A2045" t="str">
        <f>"10/04/2022 19:30:53.728"</f>
        <v>10/04/2022 19:30:53.728</v>
      </c>
      <c r="C2045" t="str">
        <f t="shared" si="722"/>
        <v>FFDFD3C0</v>
      </c>
      <c r="D2045" t="s">
        <v>134</v>
      </c>
      <c r="E2045">
        <v>15</v>
      </c>
      <c r="J2045" t="s">
        <v>135</v>
      </c>
      <c r="K2045">
        <v>0</v>
      </c>
      <c r="L2045">
        <v>3</v>
      </c>
      <c r="M2045">
        <v>0</v>
      </c>
      <c r="N2045">
        <v>2</v>
      </c>
      <c r="O2045">
        <v>0</v>
      </c>
      <c r="P2045">
        <v>1</v>
      </c>
      <c r="Q2045">
        <v>0</v>
      </c>
      <c r="S2045" t="str">
        <f t="shared" ref="S2045:T2051" si="723">"19:30:53.000"</f>
        <v>19:30:53.000</v>
      </c>
      <c r="T2045" t="str">
        <f t="shared" si="723"/>
        <v>19:30:53.000</v>
      </c>
      <c r="U2045" t="str">
        <f t="shared" si="701"/>
        <v>AC3944</v>
      </c>
      <c r="V2045">
        <v>0</v>
      </c>
      <c r="W2045">
        <v>0</v>
      </c>
      <c r="X2045">
        <v>2</v>
      </c>
      <c r="Y2045">
        <v>0</v>
      </c>
      <c r="AA2045">
        <v>1</v>
      </c>
      <c r="AB2045">
        <v>8</v>
      </c>
      <c r="AC2045">
        <v>3</v>
      </c>
      <c r="AD2045">
        <v>0</v>
      </c>
      <c r="AE2045">
        <v>9</v>
      </c>
      <c r="AF2045" t="s">
        <v>138</v>
      </c>
      <c r="AG2045">
        <v>0</v>
      </c>
      <c r="AH2045">
        <v>3</v>
      </c>
      <c r="AI2045">
        <v>1</v>
      </c>
      <c r="AJ2045">
        <v>0</v>
      </c>
      <c r="AK2045" t="s">
        <v>720</v>
      </c>
      <c r="AL2045">
        <v>32.774642</v>
      </c>
      <c r="AM2045" t="s">
        <v>721</v>
      </c>
      <c r="AN2045">
        <v>-116.836853</v>
      </c>
      <c r="AO2045">
        <v>25</v>
      </c>
      <c r="AP2045">
        <v>3000</v>
      </c>
      <c r="AQ2045" t="s">
        <v>129</v>
      </c>
      <c r="AR2045">
        <v>129</v>
      </c>
      <c r="AS2045">
        <v>-27</v>
      </c>
      <c r="AT2045">
        <v>0</v>
      </c>
      <c r="BB2045">
        <v>1200</v>
      </c>
      <c r="BC2045">
        <v>1</v>
      </c>
      <c r="BD2045" t="str">
        <f t="shared" si="702"/>
        <v xml:space="preserve">N887QR  </v>
      </c>
      <c r="BE2045">
        <v>1</v>
      </c>
      <c r="BG2045">
        <v>0</v>
      </c>
      <c r="BH2045">
        <v>0</v>
      </c>
      <c r="BI2045">
        <v>0</v>
      </c>
      <c r="BJ2045">
        <v>2675</v>
      </c>
      <c r="BK2045">
        <v>-325</v>
      </c>
      <c r="BL2045" t="s">
        <v>163</v>
      </c>
      <c r="BM2045">
        <v>1</v>
      </c>
      <c r="BN2045">
        <v>1</v>
      </c>
      <c r="BO2045">
        <v>1</v>
      </c>
      <c r="BP2045">
        <v>0</v>
      </c>
      <c r="BS2045">
        <v>0.12</v>
      </c>
      <c r="BT2045">
        <v>0</v>
      </c>
      <c r="BU2045">
        <v>0</v>
      </c>
      <c r="CE2045" t="str">
        <f t="shared" ref="CE2045:CE2051" si="724">"19:30:53.307"</f>
        <v>19:30:53.307</v>
      </c>
      <c r="CF2045">
        <v>306978516</v>
      </c>
      <c r="CS2045">
        <v>0</v>
      </c>
      <c r="CT2045">
        <v>2</v>
      </c>
      <c r="CU2045">
        <v>0</v>
      </c>
      <c r="CV2045">
        <v>2</v>
      </c>
      <c r="CW2045">
        <v>0</v>
      </c>
      <c r="CX2045">
        <v>5</v>
      </c>
      <c r="CY2045">
        <v>7</v>
      </c>
      <c r="CZ2045" t="s">
        <v>131</v>
      </c>
      <c r="DA2045">
        <v>300</v>
      </c>
      <c r="DB2045">
        <v>0</v>
      </c>
      <c r="DC2045" t="s">
        <v>176</v>
      </c>
      <c r="DD2045" t="s">
        <v>177</v>
      </c>
      <c r="DG2045">
        <v>5400890</v>
      </c>
      <c r="DI2045">
        <v>1</v>
      </c>
      <c r="DJ2045">
        <v>0</v>
      </c>
      <c r="DK2045">
        <v>0</v>
      </c>
      <c r="DL2045">
        <v>0</v>
      </c>
      <c r="DM2045">
        <v>0</v>
      </c>
      <c r="DN2045">
        <v>1</v>
      </c>
      <c r="DO2045">
        <v>0</v>
      </c>
      <c r="DP2045">
        <v>0</v>
      </c>
      <c r="DQ2045">
        <v>0</v>
      </c>
      <c r="DR2045">
        <v>0</v>
      </c>
      <c r="DS2045">
        <v>0</v>
      </c>
    </row>
    <row r="2046" spans="1:123" x14ac:dyDescent="0.3">
      <c r="A2046" t="str">
        <f>"10/04/2022 19:30:53.728"</f>
        <v>10/04/2022 19:30:53.728</v>
      </c>
      <c r="C2046" t="str">
        <f t="shared" si="722"/>
        <v>FFDFD3C0</v>
      </c>
      <c r="D2046" t="s">
        <v>143</v>
      </c>
      <c r="E2046">
        <v>20</v>
      </c>
      <c r="F2046">
        <v>1020</v>
      </c>
      <c r="G2046" t="s">
        <v>144</v>
      </c>
      <c r="J2046" t="s">
        <v>145</v>
      </c>
      <c r="K2046">
        <v>0</v>
      </c>
      <c r="L2046">
        <v>3</v>
      </c>
      <c r="M2046">
        <v>0</v>
      </c>
      <c r="N2046">
        <v>2</v>
      </c>
      <c r="O2046">
        <v>0</v>
      </c>
      <c r="P2046">
        <v>1</v>
      </c>
      <c r="Q2046">
        <v>0</v>
      </c>
      <c r="S2046" t="str">
        <f t="shared" si="723"/>
        <v>19:30:53.000</v>
      </c>
      <c r="T2046" t="str">
        <f t="shared" si="723"/>
        <v>19:30:53.000</v>
      </c>
      <c r="U2046" t="str">
        <f t="shared" si="701"/>
        <v>AC3944</v>
      </c>
      <c r="V2046">
        <v>0</v>
      </c>
      <c r="W2046">
        <v>0</v>
      </c>
      <c r="X2046">
        <v>2</v>
      </c>
      <c r="Y2046">
        <v>0</v>
      </c>
      <c r="AA2046">
        <v>1</v>
      </c>
      <c r="AB2046">
        <v>8</v>
      </c>
      <c r="AC2046">
        <v>3</v>
      </c>
      <c r="AD2046">
        <v>0</v>
      </c>
      <c r="AE2046">
        <v>9</v>
      </c>
      <c r="AF2046" t="s">
        <v>138</v>
      </c>
      <c r="AG2046">
        <v>0</v>
      </c>
      <c r="AH2046">
        <v>3</v>
      </c>
      <c r="AI2046">
        <v>1</v>
      </c>
      <c r="AJ2046">
        <v>0</v>
      </c>
      <c r="AK2046" t="s">
        <v>720</v>
      </c>
      <c r="AL2046">
        <v>32.774642</v>
      </c>
      <c r="AM2046" t="s">
        <v>721</v>
      </c>
      <c r="AN2046">
        <v>-116.836853</v>
      </c>
      <c r="AO2046">
        <v>25</v>
      </c>
      <c r="AP2046">
        <v>3000</v>
      </c>
      <c r="AQ2046" t="s">
        <v>129</v>
      </c>
      <c r="AR2046">
        <v>129</v>
      </c>
      <c r="AS2046">
        <v>-27</v>
      </c>
      <c r="AT2046">
        <v>0</v>
      </c>
      <c r="BB2046">
        <v>1200</v>
      </c>
      <c r="BC2046">
        <v>1</v>
      </c>
      <c r="BD2046" t="str">
        <f t="shared" si="702"/>
        <v xml:space="preserve">N887QR  </v>
      </c>
      <c r="BE2046">
        <v>1</v>
      </c>
      <c r="BG2046">
        <v>0</v>
      </c>
      <c r="BH2046">
        <v>0</v>
      </c>
      <c r="BI2046">
        <v>0</v>
      </c>
      <c r="BJ2046">
        <v>2675</v>
      </c>
      <c r="BK2046">
        <v>-325</v>
      </c>
      <c r="BL2046" t="s">
        <v>163</v>
      </c>
      <c r="BM2046">
        <v>1</v>
      </c>
      <c r="BN2046">
        <v>1</v>
      </c>
      <c r="BO2046">
        <v>1</v>
      </c>
      <c r="BP2046">
        <v>0</v>
      </c>
      <c r="BS2046">
        <v>0.12</v>
      </c>
      <c r="BT2046">
        <v>0</v>
      </c>
      <c r="BU2046">
        <v>0</v>
      </c>
      <c r="CE2046" t="str">
        <f t="shared" si="724"/>
        <v>19:30:53.307</v>
      </c>
      <c r="CF2046">
        <v>306978516</v>
      </c>
      <c r="CS2046">
        <v>0</v>
      </c>
      <c r="CT2046">
        <v>2</v>
      </c>
      <c r="CU2046">
        <v>0</v>
      </c>
      <c r="CV2046">
        <v>2</v>
      </c>
      <c r="CW2046">
        <v>0</v>
      </c>
      <c r="CX2046">
        <v>5</v>
      </c>
      <c r="CY2046">
        <v>7</v>
      </c>
      <c r="CZ2046" t="s">
        <v>131</v>
      </c>
      <c r="DA2046">
        <v>300</v>
      </c>
      <c r="DB2046">
        <v>0</v>
      </c>
      <c r="DC2046" t="s">
        <v>176</v>
      </c>
      <c r="DD2046" t="s">
        <v>177</v>
      </c>
      <c r="DG2046">
        <v>5400890</v>
      </c>
      <c r="DI2046">
        <v>1</v>
      </c>
      <c r="DJ2046">
        <v>0</v>
      </c>
      <c r="DK2046">
        <v>0</v>
      </c>
      <c r="DL2046">
        <v>0</v>
      </c>
      <c r="DM2046">
        <v>0</v>
      </c>
      <c r="DN2046">
        <v>1</v>
      </c>
      <c r="DO2046">
        <v>0</v>
      </c>
      <c r="DP2046">
        <v>0</v>
      </c>
      <c r="DQ2046">
        <v>0</v>
      </c>
      <c r="DR2046">
        <v>0</v>
      </c>
      <c r="DS2046">
        <v>0</v>
      </c>
    </row>
    <row r="2047" spans="1:123" x14ac:dyDescent="0.3">
      <c r="A2047" t="str">
        <f>"10/04/2022 19:30:53.791"</f>
        <v>10/04/2022 19:30:53.791</v>
      </c>
      <c r="C2047" t="str">
        <f t="shared" si="722"/>
        <v>FFDFD3C0</v>
      </c>
      <c r="D2047" t="s">
        <v>123</v>
      </c>
      <c r="E2047">
        <v>7</v>
      </c>
      <c r="F2047">
        <v>2007</v>
      </c>
      <c r="G2047" t="s">
        <v>124</v>
      </c>
      <c r="J2047" t="s">
        <v>125</v>
      </c>
      <c r="K2047">
        <v>0</v>
      </c>
      <c r="L2047">
        <v>3</v>
      </c>
      <c r="M2047">
        <v>0</v>
      </c>
      <c r="N2047">
        <v>2</v>
      </c>
      <c r="O2047">
        <v>0</v>
      </c>
      <c r="P2047">
        <v>1</v>
      </c>
      <c r="Q2047">
        <v>0</v>
      </c>
      <c r="S2047" t="str">
        <f t="shared" si="723"/>
        <v>19:30:53.000</v>
      </c>
      <c r="T2047" t="str">
        <f t="shared" si="723"/>
        <v>19:30:53.000</v>
      </c>
      <c r="U2047" t="str">
        <f t="shared" si="701"/>
        <v>AC3944</v>
      </c>
      <c r="V2047">
        <v>0</v>
      </c>
      <c r="W2047">
        <v>0</v>
      </c>
      <c r="X2047">
        <v>2</v>
      </c>
      <c r="Y2047">
        <v>0</v>
      </c>
      <c r="AA2047">
        <v>1</v>
      </c>
      <c r="AB2047">
        <v>8</v>
      </c>
      <c r="AC2047">
        <v>3</v>
      </c>
      <c r="AD2047">
        <v>0</v>
      </c>
      <c r="AE2047">
        <v>9</v>
      </c>
      <c r="AF2047" t="s">
        <v>138</v>
      </c>
      <c r="AG2047">
        <v>0</v>
      </c>
      <c r="AH2047">
        <v>3</v>
      </c>
      <c r="AI2047">
        <v>1</v>
      </c>
      <c r="AJ2047">
        <v>0</v>
      </c>
      <c r="AK2047" t="s">
        <v>720</v>
      </c>
      <c r="AL2047">
        <v>32.774642</v>
      </c>
      <c r="AM2047" t="s">
        <v>721</v>
      </c>
      <c r="AN2047">
        <v>-116.836853</v>
      </c>
      <c r="AO2047">
        <v>25</v>
      </c>
      <c r="AP2047">
        <v>3000</v>
      </c>
      <c r="AQ2047" t="s">
        <v>129</v>
      </c>
      <c r="AR2047">
        <v>129</v>
      </c>
      <c r="AS2047">
        <v>-27</v>
      </c>
      <c r="AT2047">
        <v>0</v>
      </c>
      <c r="BB2047">
        <v>1200</v>
      </c>
      <c r="BC2047">
        <v>1</v>
      </c>
      <c r="BD2047" t="str">
        <f t="shared" si="702"/>
        <v xml:space="preserve">N887QR  </v>
      </c>
      <c r="BE2047">
        <v>1</v>
      </c>
      <c r="BG2047">
        <v>0</v>
      </c>
      <c r="BH2047">
        <v>0</v>
      </c>
      <c r="BI2047">
        <v>0</v>
      </c>
      <c r="BJ2047">
        <v>2675</v>
      </c>
      <c r="BK2047">
        <v>-325</v>
      </c>
      <c r="BL2047" t="s">
        <v>163</v>
      </c>
      <c r="BM2047">
        <v>1</v>
      </c>
      <c r="BN2047">
        <v>1</v>
      </c>
      <c r="BO2047">
        <v>1</v>
      </c>
      <c r="BP2047">
        <v>0</v>
      </c>
      <c r="BS2047">
        <v>0.12</v>
      </c>
      <c r="BT2047">
        <v>0</v>
      </c>
      <c r="BU2047">
        <v>0</v>
      </c>
      <c r="CE2047" t="str">
        <f t="shared" si="724"/>
        <v>19:30:53.307</v>
      </c>
      <c r="CF2047">
        <v>306978516</v>
      </c>
      <c r="CS2047">
        <v>0</v>
      </c>
      <c r="CT2047">
        <v>2</v>
      </c>
      <c r="CU2047">
        <v>0</v>
      </c>
      <c r="CV2047">
        <v>2</v>
      </c>
      <c r="CW2047">
        <v>0</v>
      </c>
      <c r="CX2047">
        <v>5</v>
      </c>
      <c r="CY2047">
        <v>7</v>
      </c>
      <c r="CZ2047" t="s">
        <v>131</v>
      </c>
      <c r="DA2047">
        <v>300</v>
      </c>
      <c r="DB2047">
        <v>0</v>
      </c>
      <c r="DC2047" t="s">
        <v>176</v>
      </c>
      <c r="DD2047" t="s">
        <v>177</v>
      </c>
      <c r="DG2047">
        <v>5400890</v>
      </c>
      <c r="DI2047">
        <v>1</v>
      </c>
      <c r="DJ2047">
        <v>0</v>
      </c>
      <c r="DK2047">
        <v>1</v>
      </c>
      <c r="DL2047">
        <v>0</v>
      </c>
      <c r="DM2047">
        <v>0</v>
      </c>
      <c r="DN2047">
        <v>1</v>
      </c>
      <c r="DO2047">
        <v>0</v>
      </c>
      <c r="DP2047">
        <v>0</v>
      </c>
      <c r="DQ2047">
        <v>0</v>
      </c>
      <c r="DR2047">
        <v>0</v>
      </c>
      <c r="DS2047">
        <v>0</v>
      </c>
    </row>
    <row r="2048" spans="1:123" x14ac:dyDescent="0.3">
      <c r="A2048" t="str">
        <f>"10/04/2022 19:30:53.791"</f>
        <v>10/04/2022 19:30:53.791</v>
      </c>
      <c r="C2048" t="str">
        <f t="shared" si="722"/>
        <v>FFDFD3C0</v>
      </c>
      <c r="D2048" t="s">
        <v>141</v>
      </c>
      <c r="E2048">
        <v>3</v>
      </c>
      <c r="H2048">
        <v>3</v>
      </c>
      <c r="I2048" t="s">
        <v>146</v>
      </c>
      <c r="J2048" t="s">
        <v>138</v>
      </c>
      <c r="K2048">
        <v>0</v>
      </c>
      <c r="L2048">
        <v>3</v>
      </c>
      <c r="M2048">
        <v>0</v>
      </c>
      <c r="N2048">
        <v>2</v>
      </c>
      <c r="O2048">
        <v>0</v>
      </c>
      <c r="P2048">
        <v>1</v>
      </c>
      <c r="Q2048">
        <v>0</v>
      </c>
      <c r="S2048" t="str">
        <f t="shared" si="723"/>
        <v>19:30:53.000</v>
      </c>
      <c r="T2048" t="str">
        <f t="shared" si="723"/>
        <v>19:30:53.000</v>
      </c>
      <c r="U2048" t="str">
        <f t="shared" si="701"/>
        <v>AC3944</v>
      </c>
      <c r="V2048">
        <v>0</v>
      </c>
      <c r="W2048">
        <v>0</v>
      </c>
      <c r="X2048">
        <v>2</v>
      </c>
      <c r="Y2048">
        <v>0</v>
      </c>
      <c r="AA2048">
        <v>1</v>
      </c>
      <c r="AB2048">
        <v>8</v>
      </c>
      <c r="AC2048">
        <v>3</v>
      </c>
      <c r="AD2048">
        <v>0</v>
      </c>
      <c r="AE2048">
        <v>9</v>
      </c>
      <c r="AF2048" t="s">
        <v>138</v>
      </c>
      <c r="AG2048">
        <v>0</v>
      </c>
      <c r="AH2048">
        <v>3</v>
      </c>
      <c r="AI2048">
        <v>1</v>
      </c>
      <c r="AJ2048">
        <v>0</v>
      </c>
      <c r="AK2048" t="s">
        <v>720</v>
      </c>
      <c r="AL2048">
        <v>32.774642</v>
      </c>
      <c r="AM2048" t="s">
        <v>721</v>
      </c>
      <c r="AN2048">
        <v>-116.836853</v>
      </c>
      <c r="AO2048">
        <v>25</v>
      </c>
      <c r="AP2048">
        <v>3000</v>
      </c>
      <c r="AQ2048" t="s">
        <v>129</v>
      </c>
      <c r="AR2048">
        <v>129</v>
      </c>
      <c r="AS2048">
        <v>-27</v>
      </c>
      <c r="AT2048">
        <v>0</v>
      </c>
      <c r="BB2048">
        <v>1200</v>
      </c>
      <c r="BC2048">
        <v>1</v>
      </c>
      <c r="BD2048" t="str">
        <f t="shared" si="702"/>
        <v xml:space="preserve">N887QR  </v>
      </c>
      <c r="BE2048">
        <v>1</v>
      </c>
      <c r="BG2048">
        <v>0</v>
      </c>
      <c r="BH2048">
        <v>0</v>
      </c>
      <c r="BI2048">
        <v>0</v>
      </c>
      <c r="BJ2048">
        <v>2675</v>
      </c>
      <c r="BK2048">
        <v>-325</v>
      </c>
      <c r="BL2048" t="s">
        <v>163</v>
      </c>
      <c r="BM2048">
        <v>1</v>
      </c>
      <c r="BN2048">
        <v>1</v>
      </c>
      <c r="BO2048">
        <v>1</v>
      </c>
      <c r="BP2048">
        <v>0</v>
      </c>
      <c r="BS2048">
        <v>0.12</v>
      </c>
      <c r="BT2048">
        <v>0</v>
      </c>
      <c r="BU2048">
        <v>0</v>
      </c>
      <c r="CE2048" t="str">
        <f t="shared" si="724"/>
        <v>19:30:53.307</v>
      </c>
      <c r="CF2048">
        <v>306978516</v>
      </c>
      <c r="CS2048">
        <v>0</v>
      </c>
      <c r="CT2048">
        <v>2</v>
      </c>
      <c r="CU2048">
        <v>0</v>
      </c>
      <c r="CV2048">
        <v>2</v>
      </c>
      <c r="CW2048">
        <v>0</v>
      </c>
      <c r="CX2048">
        <v>5</v>
      </c>
      <c r="CY2048">
        <v>7</v>
      </c>
      <c r="CZ2048" t="s">
        <v>131</v>
      </c>
      <c r="DA2048">
        <v>300</v>
      </c>
      <c r="DB2048">
        <v>0</v>
      </c>
      <c r="DC2048" t="s">
        <v>176</v>
      </c>
      <c r="DD2048" t="s">
        <v>177</v>
      </c>
      <c r="DG2048">
        <v>5400890</v>
      </c>
      <c r="DI2048">
        <v>1</v>
      </c>
      <c r="DJ2048">
        <v>0</v>
      </c>
      <c r="DK2048">
        <v>1</v>
      </c>
      <c r="DL2048">
        <v>0</v>
      </c>
      <c r="DM2048">
        <v>0</v>
      </c>
      <c r="DN2048">
        <v>1</v>
      </c>
      <c r="DO2048">
        <v>0</v>
      </c>
      <c r="DP2048">
        <v>0</v>
      </c>
      <c r="DQ2048">
        <v>0</v>
      </c>
      <c r="DR2048">
        <v>0</v>
      </c>
      <c r="DS2048">
        <v>0</v>
      </c>
    </row>
    <row r="2049" spans="1:123" x14ac:dyDescent="0.3">
      <c r="A2049" t="str">
        <f>"10/04/2022 19:30:53.791"</f>
        <v>10/04/2022 19:30:53.791</v>
      </c>
      <c r="C2049" t="str">
        <f t="shared" si="722"/>
        <v>FFDFD3C0</v>
      </c>
      <c r="D2049" t="s">
        <v>136</v>
      </c>
      <c r="E2049">
        <v>8</v>
      </c>
      <c r="H2049">
        <v>225</v>
      </c>
      <c r="I2049" t="s">
        <v>137</v>
      </c>
      <c r="J2049" t="s">
        <v>138</v>
      </c>
      <c r="K2049">
        <v>0</v>
      </c>
      <c r="L2049">
        <v>3</v>
      </c>
      <c r="M2049">
        <v>0</v>
      </c>
      <c r="N2049">
        <v>2</v>
      </c>
      <c r="O2049">
        <v>0</v>
      </c>
      <c r="P2049">
        <v>1</v>
      </c>
      <c r="Q2049">
        <v>0</v>
      </c>
      <c r="S2049" t="str">
        <f t="shared" si="723"/>
        <v>19:30:53.000</v>
      </c>
      <c r="T2049" t="str">
        <f t="shared" si="723"/>
        <v>19:30:53.000</v>
      </c>
      <c r="U2049" t="str">
        <f t="shared" si="701"/>
        <v>AC3944</v>
      </c>
      <c r="V2049">
        <v>0</v>
      </c>
      <c r="W2049">
        <v>0</v>
      </c>
      <c r="X2049">
        <v>2</v>
      </c>
      <c r="Y2049">
        <v>0</v>
      </c>
      <c r="AA2049">
        <v>1</v>
      </c>
      <c r="AB2049">
        <v>8</v>
      </c>
      <c r="AC2049">
        <v>3</v>
      </c>
      <c r="AD2049">
        <v>0</v>
      </c>
      <c r="AE2049">
        <v>9</v>
      </c>
      <c r="AF2049" t="s">
        <v>138</v>
      </c>
      <c r="AG2049">
        <v>0</v>
      </c>
      <c r="AH2049">
        <v>3</v>
      </c>
      <c r="AI2049">
        <v>1</v>
      </c>
      <c r="AJ2049">
        <v>0</v>
      </c>
      <c r="AK2049" t="s">
        <v>720</v>
      </c>
      <c r="AL2049">
        <v>32.774642</v>
      </c>
      <c r="AM2049" t="s">
        <v>721</v>
      </c>
      <c r="AN2049">
        <v>-116.836853</v>
      </c>
      <c r="AO2049">
        <v>25</v>
      </c>
      <c r="AP2049">
        <v>3000</v>
      </c>
      <c r="AQ2049" t="s">
        <v>129</v>
      </c>
      <c r="AR2049">
        <v>129</v>
      </c>
      <c r="AS2049">
        <v>-27</v>
      </c>
      <c r="AT2049">
        <v>0</v>
      </c>
      <c r="BB2049">
        <v>1200</v>
      </c>
      <c r="BC2049">
        <v>1</v>
      </c>
      <c r="BD2049" t="str">
        <f t="shared" si="702"/>
        <v xml:space="preserve">N887QR  </v>
      </c>
      <c r="BE2049">
        <v>1</v>
      </c>
      <c r="BG2049">
        <v>0</v>
      </c>
      <c r="BH2049">
        <v>0</v>
      </c>
      <c r="BI2049">
        <v>0</v>
      </c>
      <c r="BJ2049">
        <v>2675</v>
      </c>
      <c r="BK2049">
        <v>-325</v>
      </c>
      <c r="BL2049" t="s">
        <v>163</v>
      </c>
      <c r="BM2049">
        <v>1</v>
      </c>
      <c r="BN2049">
        <v>1</v>
      </c>
      <c r="BO2049">
        <v>1</v>
      </c>
      <c r="BP2049">
        <v>0</v>
      </c>
      <c r="BS2049">
        <v>0.12</v>
      </c>
      <c r="BT2049">
        <v>0</v>
      </c>
      <c r="BU2049">
        <v>0</v>
      </c>
      <c r="CE2049" t="str">
        <f t="shared" si="724"/>
        <v>19:30:53.307</v>
      </c>
      <c r="CF2049">
        <v>306978516</v>
      </c>
      <c r="CS2049">
        <v>0</v>
      </c>
      <c r="CT2049">
        <v>2</v>
      </c>
      <c r="CU2049">
        <v>0</v>
      </c>
      <c r="CV2049">
        <v>2</v>
      </c>
      <c r="CW2049">
        <v>0</v>
      </c>
      <c r="CX2049">
        <v>5</v>
      </c>
      <c r="CY2049">
        <v>7</v>
      </c>
      <c r="CZ2049" t="s">
        <v>131</v>
      </c>
      <c r="DA2049">
        <v>300</v>
      </c>
      <c r="DB2049">
        <v>0</v>
      </c>
      <c r="DC2049" t="s">
        <v>176</v>
      </c>
      <c r="DD2049" t="s">
        <v>177</v>
      </c>
      <c r="DG2049">
        <v>5400890</v>
      </c>
      <c r="DI2049">
        <v>1</v>
      </c>
      <c r="DJ2049">
        <v>0</v>
      </c>
      <c r="DK2049">
        <v>1</v>
      </c>
      <c r="DL2049">
        <v>0</v>
      </c>
      <c r="DM2049">
        <v>0</v>
      </c>
      <c r="DN2049">
        <v>1</v>
      </c>
      <c r="DO2049">
        <v>0</v>
      </c>
      <c r="DP2049">
        <v>0</v>
      </c>
      <c r="DQ2049">
        <v>0</v>
      </c>
      <c r="DR2049">
        <v>0</v>
      </c>
      <c r="DS2049">
        <v>0</v>
      </c>
    </row>
    <row r="2050" spans="1:123" x14ac:dyDescent="0.3">
      <c r="A2050" t="str">
        <f>"10/04/2022 19:30:53.807"</f>
        <v>10/04/2022 19:30:53.807</v>
      </c>
      <c r="C2050" t="str">
        <f t="shared" si="722"/>
        <v>FFDFD3C0</v>
      </c>
      <c r="D2050" t="s">
        <v>147</v>
      </c>
      <c r="E2050">
        <v>3</v>
      </c>
      <c r="H2050">
        <v>166</v>
      </c>
      <c r="I2050" t="s">
        <v>144</v>
      </c>
      <c r="J2050" t="s">
        <v>148</v>
      </c>
      <c r="K2050">
        <v>0</v>
      </c>
      <c r="L2050">
        <v>3</v>
      </c>
      <c r="M2050">
        <v>0</v>
      </c>
      <c r="N2050">
        <v>2</v>
      </c>
      <c r="O2050">
        <v>0</v>
      </c>
      <c r="P2050">
        <v>1</v>
      </c>
      <c r="Q2050">
        <v>0</v>
      </c>
      <c r="S2050" t="str">
        <f t="shared" si="723"/>
        <v>19:30:53.000</v>
      </c>
      <c r="T2050" t="str">
        <f t="shared" si="723"/>
        <v>19:30:53.000</v>
      </c>
      <c r="U2050" t="str">
        <f t="shared" ref="U2050:U2113" si="725">"AC3944"</f>
        <v>AC3944</v>
      </c>
      <c r="V2050">
        <v>0</v>
      </c>
      <c r="W2050">
        <v>0</v>
      </c>
      <c r="X2050">
        <v>2</v>
      </c>
      <c r="Y2050">
        <v>0</v>
      </c>
      <c r="AA2050">
        <v>1</v>
      </c>
      <c r="AB2050">
        <v>8</v>
      </c>
      <c r="AC2050">
        <v>3</v>
      </c>
      <c r="AD2050">
        <v>0</v>
      </c>
      <c r="AE2050">
        <v>9</v>
      </c>
      <c r="AF2050" t="s">
        <v>138</v>
      </c>
      <c r="AG2050">
        <v>0</v>
      </c>
      <c r="AH2050">
        <v>3</v>
      </c>
      <c r="AI2050">
        <v>1</v>
      </c>
      <c r="AJ2050">
        <v>0</v>
      </c>
      <c r="AK2050" t="s">
        <v>720</v>
      </c>
      <c r="AL2050">
        <v>32.774642</v>
      </c>
      <c r="AM2050" t="s">
        <v>721</v>
      </c>
      <c r="AN2050">
        <v>-116.836853</v>
      </c>
      <c r="AO2050">
        <v>25</v>
      </c>
      <c r="AP2050">
        <v>3000</v>
      </c>
      <c r="AQ2050" t="s">
        <v>129</v>
      </c>
      <c r="AR2050">
        <v>129</v>
      </c>
      <c r="AS2050">
        <v>-27</v>
      </c>
      <c r="AT2050">
        <v>0</v>
      </c>
      <c r="BB2050">
        <v>1200</v>
      </c>
      <c r="BC2050">
        <v>1</v>
      </c>
      <c r="BD2050" t="str">
        <f t="shared" ref="BD2050:BD2113" si="726">"N887QR  "</f>
        <v xml:space="preserve">N887QR  </v>
      </c>
      <c r="BE2050">
        <v>1</v>
      </c>
      <c r="BG2050">
        <v>0</v>
      </c>
      <c r="BH2050">
        <v>0</v>
      </c>
      <c r="BI2050">
        <v>0</v>
      </c>
      <c r="BJ2050">
        <v>2675</v>
      </c>
      <c r="BK2050">
        <v>-325</v>
      </c>
      <c r="BL2050" t="s">
        <v>163</v>
      </c>
      <c r="BM2050">
        <v>1</v>
      </c>
      <c r="BN2050">
        <v>1</v>
      </c>
      <c r="BO2050">
        <v>1</v>
      </c>
      <c r="BP2050">
        <v>0</v>
      </c>
      <c r="BS2050">
        <v>0.12</v>
      </c>
      <c r="BT2050">
        <v>0</v>
      </c>
      <c r="BU2050">
        <v>0</v>
      </c>
      <c r="CE2050" t="str">
        <f t="shared" si="724"/>
        <v>19:30:53.307</v>
      </c>
      <c r="CF2050">
        <v>306978516</v>
      </c>
      <c r="CS2050">
        <v>0</v>
      </c>
      <c r="CT2050">
        <v>2</v>
      </c>
      <c r="CU2050">
        <v>0</v>
      </c>
      <c r="CV2050">
        <v>2</v>
      </c>
      <c r="CW2050">
        <v>0</v>
      </c>
      <c r="CX2050">
        <v>5</v>
      </c>
      <c r="CY2050">
        <v>7</v>
      </c>
      <c r="CZ2050" t="s">
        <v>131</v>
      </c>
      <c r="DA2050">
        <v>300</v>
      </c>
      <c r="DB2050">
        <v>0</v>
      </c>
      <c r="DC2050" t="s">
        <v>176</v>
      </c>
      <c r="DD2050" t="s">
        <v>177</v>
      </c>
      <c r="DG2050">
        <v>5400890</v>
      </c>
      <c r="DI2050">
        <v>1</v>
      </c>
      <c r="DJ2050">
        <v>0</v>
      </c>
      <c r="DK2050">
        <v>1</v>
      </c>
      <c r="DL2050">
        <v>0</v>
      </c>
      <c r="DM2050">
        <v>0</v>
      </c>
      <c r="DN2050">
        <v>1</v>
      </c>
      <c r="DO2050">
        <v>0</v>
      </c>
      <c r="DP2050">
        <v>0</v>
      </c>
      <c r="DQ2050">
        <v>0</v>
      </c>
      <c r="DR2050">
        <v>0</v>
      </c>
      <c r="DS2050">
        <v>0</v>
      </c>
    </row>
    <row r="2051" spans="1:123" x14ac:dyDescent="0.3">
      <c r="A2051" t="str">
        <f>"10/04/2022 19:30:53.807"</f>
        <v>10/04/2022 19:30:53.807</v>
      </c>
      <c r="C2051" t="str">
        <f t="shared" si="722"/>
        <v>FFDFD3C0</v>
      </c>
      <c r="D2051" t="s">
        <v>141</v>
      </c>
      <c r="E2051">
        <v>4</v>
      </c>
      <c r="H2051">
        <v>4</v>
      </c>
      <c r="I2051" t="s">
        <v>142</v>
      </c>
      <c r="J2051" t="s">
        <v>138</v>
      </c>
      <c r="K2051">
        <v>0</v>
      </c>
      <c r="L2051">
        <v>3</v>
      </c>
      <c r="M2051">
        <v>0</v>
      </c>
      <c r="N2051">
        <v>2</v>
      </c>
      <c r="O2051">
        <v>0</v>
      </c>
      <c r="P2051">
        <v>1</v>
      </c>
      <c r="Q2051">
        <v>0</v>
      </c>
      <c r="S2051" t="str">
        <f t="shared" si="723"/>
        <v>19:30:53.000</v>
      </c>
      <c r="T2051" t="str">
        <f t="shared" si="723"/>
        <v>19:30:53.000</v>
      </c>
      <c r="U2051" t="str">
        <f t="shared" si="725"/>
        <v>AC3944</v>
      </c>
      <c r="V2051">
        <v>0</v>
      </c>
      <c r="W2051">
        <v>0</v>
      </c>
      <c r="X2051">
        <v>2</v>
      </c>
      <c r="Y2051">
        <v>0</v>
      </c>
      <c r="AA2051">
        <v>1</v>
      </c>
      <c r="AB2051">
        <v>8</v>
      </c>
      <c r="AC2051">
        <v>3</v>
      </c>
      <c r="AD2051">
        <v>0</v>
      </c>
      <c r="AE2051">
        <v>9</v>
      </c>
      <c r="AF2051" t="s">
        <v>138</v>
      </c>
      <c r="AG2051">
        <v>0</v>
      </c>
      <c r="AH2051">
        <v>3</v>
      </c>
      <c r="AI2051">
        <v>1</v>
      </c>
      <c r="AJ2051">
        <v>0</v>
      </c>
      <c r="AK2051" t="s">
        <v>720</v>
      </c>
      <c r="AL2051">
        <v>32.774642</v>
      </c>
      <c r="AM2051" t="s">
        <v>721</v>
      </c>
      <c r="AN2051">
        <v>-116.836853</v>
      </c>
      <c r="AO2051">
        <v>25</v>
      </c>
      <c r="AP2051">
        <v>3000</v>
      </c>
      <c r="AQ2051" t="s">
        <v>129</v>
      </c>
      <c r="AR2051">
        <v>129</v>
      </c>
      <c r="AS2051">
        <v>-27</v>
      </c>
      <c r="AT2051">
        <v>0</v>
      </c>
      <c r="BB2051">
        <v>1200</v>
      </c>
      <c r="BC2051">
        <v>1</v>
      </c>
      <c r="BD2051" t="str">
        <f t="shared" si="726"/>
        <v xml:space="preserve">N887QR  </v>
      </c>
      <c r="BE2051">
        <v>1</v>
      </c>
      <c r="BG2051">
        <v>0</v>
      </c>
      <c r="BH2051">
        <v>0</v>
      </c>
      <c r="BI2051">
        <v>0</v>
      </c>
      <c r="BJ2051">
        <v>2675</v>
      </c>
      <c r="BK2051">
        <v>-325</v>
      </c>
      <c r="BL2051" t="s">
        <v>163</v>
      </c>
      <c r="BM2051">
        <v>1</v>
      </c>
      <c r="BN2051">
        <v>1</v>
      </c>
      <c r="BO2051">
        <v>1</v>
      </c>
      <c r="BP2051">
        <v>0</v>
      </c>
      <c r="BS2051">
        <v>0.12</v>
      </c>
      <c r="BT2051">
        <v>0</v>
      </c>
      <c r="BU2051">
        <v>0</v>
      </c>
      <c r="CE2051" t="str">
        <f t="shared" si="724"/>
        <v>19:30:53.307</v>
      </c>
      <c r="CF2051">
        <v>306978516</v>
      </c>
      <c r="CS2051">
        <v>0</v>
      </c>
      <c r="CT2051">
        <v>2</v>
      </c>
      <c r="CU2051">
        <v>0</v>
      </c>
      <c r="CV2051">
        <v>2</v>
      </c>
      <c r="CW2051">
        <v>0</v>
      </c>
      <c r="CX2051">
        <v>5</v>
      </c>
      <c r="CY2051">
        <v>7</v>
      </c>
      <c r="CZ2051" t="s">
        <v>131</v>
      </c>
      <c r="DA2051">
        <v>300</v>
      </c>
      <c r="DB2051">
        <v>0</v>
      </c>
      <c r="DC2051" t="s">
        <v>176</v>
      </c>
      <c r="DD2051" t="s">
        <v>177</v>
      </c>
      <c r="DG2051">
        <v>5400890</v>
      </c>
      <c r="DI2051">
        <v>1</v>
      </c>
      <c r="DJ2051">
        <v>0</v>
      </c>
      <c r="DK2051">
        <v>1</v>
      </c>
      <c r="DL2051">
        <v>0</v>
      </c>
      <c r="DM2051">
        <v>0</v>
      </c>
      <c r="DN2051">
        <v>1</v>
      </c>
      <c r="DO2051">
        <v>0</v>
      </c>
      <c r="DP2051">
        <v>0</v>
      </c>
      <c r="DQ2051">
        <v>0</v>
      </c>
      <c r="DR2051">
        <v>0</v>
      </c>
      <c r="DS2051">
        <v>0</v>
      </c>
    </row>
    <row r="2052" spans="1:123" x14ac:dyDescent="0.3">
      <c r="A2052" t="str">
        <f t="shared" ref="A2052:A2058" si="727">"10/04/2022 19:30:54.666"</f>
        <v>10/04/2022 19:30:54.666</v>
      </c>
      <c r="C2052" t="str">
        <f t="shared" si="722"/>
        <v>FFDFD3C0</v>
      </c>
      <c r="D2052" t="s">
        <v>136</v>
      </c>
      <c r="E2052">
        <v>8</v>
      </c>
      <c r="H2052">
        <v>225</v>
      </c>
      <c r="I2052" t="s">
        <v>137</v>
      </c>
      <c r="J2052" t="s">
        <v>138</v>
      </c>
      <c r="K2052">
        <v>0</v>
      </c>
      <c r="L2052">
        <v>3</v>
      </c>
      <c r="M2052">
        <v>0</v>
      </c>
      <c r="N2052">
        <v>2</v>
      </c>
      <c r="O2052">
        <v>0</v>
      </c>
      <c r="P2052">
        <v>1</v>
      </c>
      <c r="Q2052">
        <v>0</v>
      </c>
      <c r="S2052" t="str">
        <f t="shared" ref="S2052:T2058" si="728">"19:30:54.000"</f>
        <v>19:30:54.000</v>
      </c>
      <c r="T2052" t="str">
        <f t="shared" si="728"/>
        <v>19:30:54.000</v>
      </c>
      <c r="U2052" t="str">
        <f t="shared" si="725"/>
        <v>AC3944</v>
      </c>
      <c r="V2052">
        <v>0</v>
      </c>
      <c r="W2052">
        <v>0</v>
      </c>
      <c r="X2052">
        <v>2</v>
      </c>
      <c r="Y2052">
        <v>0</v>
      </c>
      <c r="AA2052">
        <v>1</v>
      </c>
      <c r="AB2052">
        <v>8</v>
      </c>
      <c r="AC2052">
        <v>3</v>
      </c>
      <c r="AD2052">
        <v>0</v>
      </c>
      <c r="AE2052">
        <v>9</v>
      </c>
      <c r="AF2052" t="s">
        <v>138</v>
      </c>
      <c r="AG2052">
        <v>0</v>
      </c>
      <c r="AH2052">
        <v>3</v>
      </c>
      <c r="AI2052">
        <v>1</v>
      </c>
      <c r="AJ2052">
        <v>0</v>
      </c>
      <c r="AK2052" t="s">
        <v>722</v>
      </c>
      <c r="AL2052">
        <v>32.774512999999999</v>
      </c>
      <c r="AM2052" t="s">
        <v>723</v>
      </c>
      <c r="AN2052">
        <v>-116.836145</v>
      </c>
      <c r="AO2052">
        <v>25</v>
      </c>
      <c r="AP2052">
        <v>3000</v>
      </c>
      <c r="AQ2052" t="s">
        <v>129</v>
      </c>
      <c r="AR2052">
        <v>129</v>
      </c>
      <c r="AS2052">
        <v>-26</v>
      </c>
      <c r="AT2052">
        <v>-64</v>
      </c>
      <c r="BB2052">
        <v>1200</v>
      </c>
      <c r="BC2052">
        <v>1</v>
      </c>
      <c r="BD2052" t="str">
        <f t="shared" si="726"/>
        <v xml:space="preserve">N887QR  </v>
      </c>
      <c r="BE2052">
        <v>1</v>
      </c>
      <c r="BG2052">
        <v>0</v>
      </c>
      <c r="BH2052">
        <v>0</v>
      </c>
      <c r="BI2052">
        <v>0</v>
      </c>
      <c r="BJ2052">
        <v>2675</v>
      </c>
      <c r="BK2052">
        <v>-325</v>
      </c>
      <c r="BL2052" t="s">
        <v>163</v>
      </c>
      <c r="BM2052">
        <v>1</v>
      </c>
      <c r="BN2052">
        <v>1</v>
      </c>
      <c r="BO2052">
        <v>1</v>
      </c>
      <c r="BP2052">
        <v>0</v>
      </c>
      <c r="BS2052">
        <v>0.12</v>
      </c>
      <c r="BT2052">
        <v>0</v>
      </c>
      <c r="BU2052">
        <v>0</v>
      </c>
      <c r="CE2052" t="str">
        <f t="shared" ref="CE2052:CE2058" si="729">"19:30:54.387"</f>
        <v>19:30:54.387</v>
      </c>
      <c r="CF2052">
        <v>387232026</v>
      </c>
      <c r="CS2052">
        <v>0</v>
      </c>
      <c r="CT2052">
        <v>2</v>
      </c>
      <c r="CU2052">
        <v>0</v>
      </c>
      <c r="CV2052">
        <v>2</v>
      </c>
      <c r="CW2052">
        <v>0</v>
      </c>
      <c r="CX2052">
        <v>5</v>
      </c>
      <c r="CY2052">
        <v>7</v>
      </c>
      <c r="CZ2052" t="s">
        <v>131</v>
      </c>
      <c r="DA2052">
        <v>300</v>
      </c>
      <c r="DB2052">
        <v>0</v>
      </c>
      <c r="DC2052" t="s">
        <v>176</v>
      </c>
      <c r="DD2052" t="s">
        <v>177</v>
      </c>
      <c r="DG2052">
        <v>5401049</v>
      </c>
      <c r="DI2052">
        <v>1</v>
      </c>
      <c r="DJ2052">
        <v>0</v>
      </c>
      <c r="DK2052">
        <v>0</v>
      </c>
      <c r="DL2052">
        <v>0</v>
      </c>
      <c r="DM2052">
        <v>0</v>
      </c>
      <c r="DN2052">
        <v>1</v>
      </c>
      <c r="DO2052">
        <v>0</v>
      </c>
      <c r="DP2052">
        <v>0</v>
      </c>
      <c r="DQ2052">
        <v>0</v>
      </c>
      <c r="DR2052">
        <v>0</v>
      </c>
      <c r="DS2052">
        <v>0</v>
      </c>
    </row>
    <row r="2053" spans="1:123" x14ac:dyDescent="0.3">
      <c r="A2053" t="str">
        <f t="shared" si="727"/>
        <v>10/04/2022 19:30:54.666</v>
      </c>
      <c r="C2053" t="str">
        <f t="shared" si="722"/>
        <v>FFDFD3C0</v>
      </c>
      <c r="D2053" t="s">
        <v>147</v>
      </c>
      <c r="E2053">
        <v>3</v>
      </c>
      <c r="H2053">
        <v>166</v>
      </c>
      <c r="I2053" t="s">
        <v>144</v>
      </c>
      <c r="J2053" t="s">
        <v>148</v>
      </c>
      <c r="K2053">
        <v>0</v>
      </c>
      <c r="L2053">
        <v>3</v>
      </c>
      <c r="M2053">
        <v>0</v>
      </c>
      <c r="N2053">
        <v>2</v>
      </c>
      <c r="O2053">
        <v>0</v>
      </c>
      <c r="P2053">
        <v>1</v>
      </c>
      <c r="Q2053">
        <v>0</v>
      </c>
      <c r="S2053" t="str">
        <f t="shared" si="728"/>
        <v>19:30:54.000</v>
      </c>
      <c r="T2053" t="str">
        <f t="shared" si="728"/>
        <v>19:30:54.000</v>
      </c>
      <c r="U2053" t="str">
        <f t="shared" si="725"/>
        <v>AC3944</v>
      </c>
      <c r="V2053">
        <v>0</v>
      </c>
      <c r="W2053">
        <v>0</v>
      </c>
      <c r="X2053">
        <v>2</v>
      </c>
      <c r="Y2053">
        <v>0</v>
      </c>
      <c r="AA2053">
        <v>1</v>
      </c>
      <c r="AB2053">
        <v>8</v>
      </c>
      <c r="AC2053">
        <v>3</v>
      </c>
      <c r="AD2053">
        <v>0</v>
      </c>
      <c r="AE2053">
        <v>9</v>
      </c>
      <c r="AF2053" t="s">
        <v>138</v>
      </c>
      <c r="AG2053">
        <v>0</v>
      </c>
      <c r="AH2053">
        <v>3</v>
      </c>
      <c r="AI2053">
        <v>1</v>
      </c>
      <c r="AJ2053">
        <v>0</v>
      </c>
      <c r="AK2053" t="s">
        <v>722</v>
      </c>
      <c r="AL2053">
        <v>32.774512999999999</v>
      </c>
      <c r="AM2053" t="s">
        <v>723</v>
      </c>
      <c r="AN2053">
        <v>-116.836145</v>
      </c>
      <c r="AO2053">
        <v>25</v>
      </c>
      <c r="AP2053">
        <v>3000</v>
      </c>
      <c r="AQ2053" t="s">
        <v>129</v>
      </c>
      <c r="AR2053">
        <v>129</v>
      </c>
      <c r="AS2053">
        <v>-26</v>
      </c>
      <c r="AT2053">
        <v>-64</v>
      </c>
      <c r="BB2053">
        <v>1200</v>
      </c>
      <c r="BC2053">
        <v>1</v>
      </c>
      <c r="BD2053" t="str">
        <f t="shared" si="726"/>
        <v xml:space="preserve">N887QR  </v>
      </c>
      <c r="BE2053">
        <v>1</v>
      </c>
      <c r="BG2053">
        <v>0</v>
      </c>
      <c r="BH2053">
        <v>0</v>
      </c>
      <c r="BI2053">
        <v>0</v>
      </c>
      <c r="BJ2053">
        <v>2675</v>
      </c>
      <c r="BK2053">
        <v>-325</v>
      </c>
      <c r="BL2053" t="s">
        <v>163</v>
      </c>
      <c r="BM2053">
        <v>1</v>
      </c>
      <c r="BN2053">
        <v>1</v>
      </c>
      <c r="BO2053">
        <v>1</v>
      </c>
      <c r="BP2053">
        <v>0</v>
      </c>
      <c r="BS2053">
        <v>0.12</v>
      </c>
      <c r="BT2053">
        <v>0</v>
      </c>
      <c r="BU2053">
        <v>0</v>
      </c>
      <c r="CE2053" t="str">
        <f t="shared" si="729"/>
        <v>19:30:54.387</v>
      </c>
      <c r="CF2053">
        <v>387232026</v>
      </c>
      <c r="CS2053">
        <v>0</v>
      </c>
      <c r="CT2053">
        <v>2</v>
      </c>
      <c r="CU2053">
        <v>0</v>
      </c>
      <c r="CV2053">
        <v>2</v>
      </c>
      <c r="CW2053">
        <v>0</v>
      </c>
      <c r="CX2053">
        <v>5</v>
      </c>
      <c r="CY2053">
        <v>7</v>
      </c>
      <c r="CZ2053" t="s">
        <v>131</v>
      </c>
      <c r="DA2053">
        <v>300</v>
      </c>
      <c r="DB2053">
        <v>0</v>
      </c>
      <c r="DC2053" t="s">
        <v>176</v>
      </c>
      <c r="DD2053" t="s">
        <v>177</v>
      </c>
      <c r="DG2053">
        <v>5401049</v>
      </c>
      <c r="DI2053">
        <v>1</v>
      </c>
      <c r="DJ2053">
        <v>0</v>
      </c>
      <c r="DK2053">
        <v>1</v>
      </c>
      <c r="DL2053">
        <v>0</v>
      </c>
      <c r="DM2053">
        <v>0</v>
      </c>
      <c r="DN2053">
        <v>1</v>
      </c>
      <c r="DO2053">
        <v>0</v>
      </c>
      <c r="DP2053">
        <v>0</v>
      </c>
      <c r="DQ2053">
        <v>0</v>
      </c>
      <c r="DR2053">
        <v>0</v>
      </c>
      <c r="DS2053">
        <v>0</v>
      </c>
    </row>
    <row r="2054" spans="1:123" x14ac:dyDescent="0.3">
      <c r="A2054" t="str">
        <f t="shared" si="727"/>
        <v>10/04/2022 19:30:54.666</v>
      </c>
      <c r="C2054" t="str">
        <f t="shared" si="722"/>
        <v>FFDFD3C0</v>
      </c>
      <c r="D2054" t="s">
        <v>141</v>
      </c>
      <c r="E2054">
        <v>4</v>
      </c>
      <c r="H2054">
        <v>4</v>
      </c>
      <c r="I2054" t="s">
        <v>142</v>
      </c>
      <c r="J2054" t="s">
        <v>138</v>
      </c>
      <c r="K2054">
        <v>0</v>
      </c>
      <c r="L2054">
        <v>3</v>
      </c>
      <c r="M2054">
        <v>0</v>
      </c>
      <c r="N2054">
        <v>2</v>
      </c>
      <c r="O2054">
        <v>0</v>
      </c>
      <c r="P2054">
        <v>1</v>
      </c>
      <c r="Q2054">
        <v>0</v>
      </c>
      <c r="S2054" t="str">
        <f t="shared" si="728"/>
        <v>19:30:54.000</v>
      </c>
      <c r="T2054" t="str">
        <f t="shared" si="728"/>
        <v>19:30:54.000</v>
      </c>
      <c r="U2054" t="str">
        <f t="shared" si="725"/>
        <v>AC3944</v>
      </c>
      <c r="V2054">
        <v>0</v>
      </c>
      <c r="W2054">
        <v>0</v>
      </c>
      <c r="X2054">
        <v>2</v>
      </c>
      <c r="Y2054">
        <v>0</v>
      </c>
      <c r="AA2054">
        <v>1</v>
      </c>
      <c r="AB2054">
        <v>8</v>
      </c>
      <c r="AC2054">
        <v>3</v>
      </c>
      <c r="AD2054">
        <v>0</v>
      </c>
      <c r="AE2054">
        <v>9</v>
      </c>
      <c r="AF2054" t="s">
        <v>138</v>
      </c>
      <c r="AG2054">
        <v>0</v>
      </c>
      <c r="AH2054">
        <v>3</v>
      </c>
      <c r="AI2054">
        <v>1</v>
      </c>
      <c r="AJ2054">
        <v>0</v>
      </c>
      <c r="AK2054" t="s">
        <v>722</v>
      </c>
      <c r="AL2054">
        <v>32.774512999999999</v>
      </c>
      <c r="AM2054" t="s">
        <v>723</v>
      </c>
      <c r="AN2054">
        <v>-116.836145</v>
      </c>
      <c r="AO2054">
        <v>25</v>
      </c>
      <c r="AP2054">
        <v>3000</v>
      </c>
      <c r="AQ2054" t="s">
        <v>129</v>
      </c>
      <c r="AR2054">
        <v>129</v>
      </c>
      <c r="AS2054">
        <v>-26</v>
      </c>
      <c r="AT2054">
        <v>-64</v>
      </c>
      <c r="BB2054">
        <v>1200</v>
      </c>
      <c r="BC2054">
        <v>1</v>
      </c>
      <c r="BD2054" t="str">
        <f t="shared" si="726"/>
        <v xml:space="preserve">N887QR  </v>
      </c>
      <c r="BE2054">
        <v>1</v>
      </c>
      <c r="BG2054">
        <v>0</v>
      </c>
      <c r="BH2054">
        <v>0</v>
      </c>
      <c r="BI2054">
        <v>0</v>
      </c>
      <c r="BJ2054">
        <v>2675</v>
      </c>
      <c r="BK2054">
        <v>-325</v>
      </c>
      <c r="BL2054" t="s">
        <v>163</v>
      </c>
      <c r="BM2054">
        <v>1</v>
      </c>
      <c r="BN2054">
        <v>1</v>
      </c>
      <c r="BO2054">
        <v>1</v>
      </c>
      <c r="BP2054">
        <v>0</v>
      </c>
      <c r="BS2054">
        <v>0.12</v>
      </c>
      <c r="BT2054">
        <v>0</v>
      </c>
      <c r="BU2054">
        <v>0</v>
      </c>
      <c r="CE2054" t="str">
        <f t="shared" si="729"/>
        <v>19:30:54.387</v>
      </c>
      <c r="CF2054">
        <v>387232026</v>
      </c>
      <c r="CS2054">
        <v>0</v>
      </c>
      <c r="CT2054">
        <v>2</v>
      </c>
      <c r="CU2054">
        <v>0</v>
      </c>
      <c r="CV2054">
        <v>2</v>
      </c>
      <c r="CW2054">
        <v>0</v>
      </c>
      <c r="CX2054">
        <v>5</v>
      </c>
      <c r="CY2054">
        <v>7</v>
      </c>
      <c r="CZ2054" t="s">
        <v>131</v>
      </c>
      <c r="DA2054">
        <v>300</v>
      </c>
      <c r="DB2054">
        <v>0</v>
      </c>
      <c r="DC2054" t="s">
        <v>176</v>
      </c>
      <c r="DD2054" t="s">
        <v>177</v>
      </c>
      <c r="DG2054">
        <v>5401049</v>
      </c>
      <c r="DI2054">
        <v>1</v>
      </c>
      <c r="DJ2054">
        <v>0</v>
      </c>
      <c r="DK2054">
        <v>1</v>
      </c>
      <c r="DL2054">
        <v>0</v>
      </c>
      <c r="DM2054">
        <v>0</v>
      </c>
      <c r="DN2054">
        <v>1</v>
      </c>
      <c r="DO2054">
        <v>0</v>
      </c>
      <c r="DP2054">
        <v>0</v>
      </c>
      <c r="DQ2054">
        <v>0</v>
      </c>
      <c r="DR2054">
        <v>0</v>
      </c>
      <c r="DS2054">
        <v>0</v>
      </c>
    </row>
    <row r="2055" spans="1:123" x14ac:dyDescent="0.3">
      <c r="A2055" t="str">
        <f t="shared" si="727"/>
        <v>10/04/2022 19:30:54.666</v>
      </c>
      <c r="C2055" t="str">
        <f t="shared" si="722"/>
        <v>FFDFD3C0</v>
      </c>
      <c r="D2055" t="s">
        <v>143</v>
      </c>
      <c r="E2055">
        <v>20</v>
      </c>
      <c r="F2055">
        <v>1020</v>
      </c>
      <c r="G2055" t="s">
        <v>144</v>
      </c>
      <c r="J2055" t="s">
        <v>145</v>
      </c>
      <c r="K2055">
        <v>0</v>
      </c>
      <c r="L2055">
        <v>3</v>
      </c>
      <c r="M2055">
        <v>0</v>
      </c>
      <c r="N2055">
        <v>2</v>
      </c>
      <c r="O2055">
        <v>0</v>
      </c>
      <c r="P2055">
        <v>1</v>
      </c>
      <c r="Q2055">
        <v>0</v>
      </c>
      <c r="S2055" t="str">
        <f t="shared" si="728"/>
        <v>19:30:54.000</v>
      </c>
      <c r="T2055" t="str">
        <f t="shared" si="728"/>
        <v>19:30:54.000</v>
      </c>
      <c r="U2055" t="str">
        <f t="shared" si="725"/>
        <v>AC3944</v>
      </c>
      <c r="V2055">
        <v>0</v>
      </c>
      <c r="W2055">
        <v>0</v>
      </c>
      <c r="X2055">
        <v>2</v>
      </c>
      <c r="Y2055">
        <v>0</v>
      </c>
      <c r="AA2055">
        <v>1</v>
      </c>
      <c r="AB2055">
        <v>8</v>
      </c>
      <c r="AC2055">
        <v>3</v>
      </c>
      <c r="AD2055">
        <v>0</v>
      </c>
      <c r="AE2055">
        <v>9</v>
      </c>
      <c r="AF2055" t="s">
        <v>138</v>
      </c>
      <c r="AG2055">
        <v>0</v>
      </c>
      <c r="AH2055">
        <v>3</v>
      </c>
      <c r="AI2055">
        <v>1</v>
      </c>
      <c r="AJ2055">
        <v>0</v>
      </c>
      <c r="AK2055" t="s">
        <v>722</v>
      </c>
      <c r="AL2055">
        <v>32.774512999999999</v>
      </c>
      <c r="AM2055" t="s">
        <v>723</v>
      </c>
      <c r="AN2055">
        <v>-116.836145</v>
      </c>
      <c r="AO2055">
        <v>25</v>
      </c>
      <c r="AP2055">
        <v>3000</v>
      </c>
      <c r="AQ2055" t="s">
        <v>129</v>
      </c>
      <c r="AR2055">
        <v>129</v>
      </c>
      <c r="AS2055">
        <v>-26</v>
      </c>
      <c r="AT2055">
        <v>-64</v>
      </c>
      <c r="BB2055">
        <v>1200</v>
      </c>
      <c r="BC2055">
        <v>1</v>
      </c>
      <c r="BD2055" t="str">
        <f t="shared" si="726"/>
        <v xml:space="preserve">N887QR  </v>
      </c>
      <c r="BE2055">
        <v>1</v>
      </c>
      <c r="BG2055">
        <v>0</v>
      </c>
      <c r="BH2055">
        <v>0</v>
      </c>
      <c r="BI2055">
        <v>0</v>
      </c>
      <c r="BJ2055">
        <v>2675</v>
      </c>
      <c r="BK2055">
        <v>-325</v>
      </c>
      <c r="BL2055" t="s">
        <v>163</v>
      </c>
      <c r="BM2055">
        <v>1</v>
      </c>
      <c r="BN2055">
        <v>1</v>
      </c>
      <c r="BO2055">
        <v>1</v>
      </c>
      <c r="BP2055">
        <v>0</v>
      </c>
      <c r="BS2055">
        <v>0.12</v>
      </c>
      <c r="BT2055">
        <v>0</v>
      </c>
      <c r="BU2055">
        <v>0</v>
      </c>
      <c r="CE2055" t="str">
        <f t="shared" si="729"/>
        <v>19:30:54.387</v>
      </c>
      <c r="CF2055">
        <v>387232026</v>
      </c>
      <c r="CS2055">
        <v>0</v>
      </c>
      <c r="CT2055">
        <v>2</v>
      </c>
      <c r="CU2055">
        <v>0</v>
      </c>
      <c r="CV2055">
        <v>2</v>
      </c>
      <c r="CW2055">
        <v>0</v>
      </c>
      <c r="CX2055">
        <v>5</v>
      </c>
      <c r="CY2055">
        <v>7</v>
      </c>
      <c r="CZ2055" t="s">
        <v>131</v>
      </c>
      <c r="DA2055">
        <v>300</v>
      </c>
      <c r="DB2055">
        <v>0</v>
      </c>
      <c r="DC2055" t="s">
        <v>176</v>
      </c>
      <c r="DD2055" t="s">
        <v>177</v>
      </c>
      <c r="DG2055">
        <v>5401049</v>
      </c>
      <c r="DI2055">
        <v>1</v>
      </c>
      <c r="DJ2055">
        <v>0</v>
      </c>
      <c r="DK2055">
        <v>1</v>
      </c>
      <c r="DL2055">
        <v>0</v>
      </c>
      <c r="DM2055">
        <v>0</v>
      </c>
      <c r="DN2055">
        <v>1</v>
      </c>
      <c r="DO2055">
        <v>0</v>
      </c>
      <c r="DP2055">
        <v>0</v>
      </c>
      <c r="DQ2055">
        <v>0</v>
      </c>
      <c r="DR2055">
        <v>0</v>
      </c>
      <c r="DS2055">
        <v>0</v>
      </c>
    </row>
    <row r="2056" spans="1:123" x14ac:dyDescent="0.3">
      <c r="A2056" t="str">
        <f t="shared" si="727"/>
        <v>10/04/2022 19:30:54.666</v>
      </c>
      <c r="C2056" t="str">
        <f t="shared" si="722"/>
        <v>FFDFD3C0</v>
      </c>
      <c r="D2056" t="s">
        <v>134</v>
      </c>
      <c r="E2056">
        <v>15</v>
      </c>
      <c r="J2056" t="s">
        <v>135</v>
      </c>
      <c r="K2056">
        <v>0</v>
      </c>
      <c r="L2056">
        <v>3</v>
      </c>
      <c r="M2056">
        <v>0</v>
      </c>
      <c r="N2056">
        <v>2</v>
      </c>
      <c r="O2056">
        <v>0</v>
      </c>
      <c r="P2056">
        <v>1</v>
      </c>
      <c r="Q2056">
        <v>0</v>
      </c>
      <c r="S2056" t="str">
        <f t="shared" si="728"/>
        <v>19:30:54.000</v>
      </c>
      <c r="T2056" t="str">
        <f t="shared" si="728"/>
        <v>19:30:54.000</v>
      </c>
      <c r="U2056" t="str">
        <f t="shared" si="725"/>
        <v>AC3944</v>
      </c>
      <c r="V2056">
        <v>0</v>
      </c>
      <c r="W2056">
        <v>0</v>
      </c>
      <c r="X2056">
        <v>2</v>
      </c>
      <c r="Y2056">
        <v>0</v>
      </c>
      <c r="AA2056">
        <v>1</v>
      </c>
      <c r="AB2056">
        <v>8</v>
      </c>
      <c r="AC2056">
        <v>3</v>
      </c>
      <c r="AD2056">
        <v>0</v>
      </c>
      <c r="AE2056">
        <v>9</v>
      </c>
      <c r="AF2056" t="s">
        <v>138</v>
      </c>
      <c r="AG2056">
        <v>0</v>
      </c>
      <c r="AH2056">
        <v>3</v>
      </c>
      <c r="AI2056">
        <v>1</v>
      </c>
      <c r="AJ2056">
        <v>0</v>
      </c>
      <c r="AK2056" t="s">
        <v>722</v>
      </c>
      <c r="AL2056">
        <v>32.774512999999999</v>
      </c>
      <c r="AM2056" t="s">
        <v>723</v>
      </c>
      <c r="AN2056">
        <v>-116.836145</v>
      </c>
      <c r="AO2056">
        <v>25</v>
      </c>
      <c r="AP2056">
        <v>3000</v>
      </c>
      <c r="AQ2056" t="s">
        <v>129</v>
      </c>
      <c r="AR2056">
        <v>129</v>
      </c>
      <c r="AS2056">
        <v>-26</v>
      </c>
      <c r="AT2056">
        <v>-64</v>
      </c>
      <c r="BB2056">
        <v>1200</v>
      </c>
      <c r="BC2056">
        <v>1</v>
      </c>
      <c r="BD2056" t="str">
        <f t="shared" si="726"/>
        <v xml:space="preserve">N887QR  </v>
      </c>
      <c r="BE2056">
        <v>1</v>
      </c>
      <c r="BG2056">
        <v>0</v>
      </c>
      <c r="BH2056">
        <v>0</v>
      </c>
      <c r="BI2056">
        <v>0</v>
      </c>
      <c r="BJ2056">
        <v>2675</v>
      </c>
      <c r="BK2056">
        <v>-325</v>
      </c>
      <c r="BL2056" t="s">
        <v>163</v>
      </c>
      <c r="BM2056">
        <v>1</v>
      </c>
      <c r="BN2056">
        <v>1</v>
      </c>
      <c r="BO2056">
        <v>1</v>
      </c>
      <c r="BP2056">
        <v>0</v>
      </c>
      <c r="BS2056">
        <v>0.12</v>
      </c>
      <c r="BT2056">
        <v>0</v>
      </c>
      <c r="BU2056">
        <v>0</v>
      </c>
      <c r="CE2056" t="str">
        <f t="shared" si="729"/>
        <v>19:30:54.387</v>
      </c>
      <c r="CF2056">
        <v>387232026</v>
      </c>
      <c r="CS2056">
        <v>0</v>
      </c>
      <c r="CT2056">
        <v>2</v>
      </c>
      <c r="CU2056">
        <v>0</v>
      </c>
      <c r="CV2056">
        <v>2</v>
      </c>
      <c r="CW2056">
        <v>0</v>
      </c>
      <c r="CX2056">
        <v>5</v>
      </c>
      <c r="CY2056">
        <v>7</v>
      </c>
      <c r="CZ2056" t="s">
        <v>131</v>
      </c>
      <c r="DA2056">
        <v>300</v>
      </c>
      <c r="DB2056">
        <v>0</v>
      </c>
      <c r="DC2056" t="s">
        <v>176</v>
      </c>
      <c r="DD2056" t="s">
        <v>177</v>
      </c>
      <c r="DG2056">
        <v>5401049</v>
      </c>
      <c r="DI2056">
        <v>1</v>
      </c>
      <c r="DJ2056">
        <v>0</v>
      </c>
      <c r="DK2056">
        <v>1</v>
      </c>
      <c r="DL2056">
        <v>0</v>
      </c>
      <c r="DM2056">
        <v>0</v>
      </c>
      <c r="DN2056">
        <v>1</v>
      </c>
      <c r="DO2056">
        <v>0</v>
      </c>
      <c r="DP2056">
        <v>0</v>
      </c>
      <c r="DQ2056">
        <v>0</v>
      </c>
      <c r="DR2056">
        <v>0</v>
      </c>
      <c r="DS2056">
        <v>0</v>
      </c>
    </row>
    <row r="2057" spans="1:123" x14ac:dyDescent="0.3">
      <c r="A2057" t="str">
        <f t="shared" si="727"/>
        <v>10/04/2022 19:30:54.666</v>
      </c>
      <c r="C2057" t="str">
        <f t="shared" si="722"/>
        <v>FFDFD3C0</v>
      </c>
      <c r="D2057" t="s">
        <v>141</v>
      </c>
      <c r="E2057">
        <v>3</v>
      </c>
      <c r="H2057">
        <v>3</v>
      </c>
      <c r="I2057" t="s">
        <v>146</v>
      </c>
      <c r="J2057" t="s">
        <v>138</v>
      </c>
      <c r="K2057">
        <v>0</v>
      </c>
      <c r="L2057">
        <v>3</v>
      </c>
      <c r="M2057">
        <v>0</v>
      </c>
      <c r="N2057">
        <v>2</v>
      </c>
      <c r="O2057">
        <v>0</v>
      </c>
      <c r="P2057">
        <v>1</v>
      </c>
      <c r="Q2057">
        <v>0</v>
      </c>
      <c r="S2057" t="str">
        <f t="shared" si="728"/>
        <v>19:30:54.000</v>
      </c>
      <c r="T2057" t="str">
        <f t="shared" si="728"/>
        <v>19:30:54.000</v>
      </c>
      <c r="U2057" t="str">
        <f t="shared" si="725"/>
        <v>AC3944</v>
      </c>
      <c r="V2057">
        <v>0</v>
      </c>
      <c r="W2057">
        <v>0</v>
      </c>
      <c r="X2057">
        <v>2</v>
      </c>
      <c r="Y2057">
        <v>0</v>
      </c>
      <c r="AA2057">
        <v>1</v>
      </c>
      <c r="AB2057">
        <v>8</v>
      </c>
      <c r="AC2057">
        <v>3</v>
      </c>
      <c r="AD2057">
        <v>0</v>
      </c>
      <c r="AE2057">
        <v>9</v>
      </c>
      <c r="AF2057" t="s">
        <v>138</v>
      </c>
      <c r="AG2057">
        <v>0</v>
      </c>
      <c r="AH2057">
        <v>3</v>
      </c>
      <c r="AI2057">
        <v>1</v>
      </c>
      <c r="AJ2057">
        <v>0</v>
      </c>
      <c r="AK2057" t="s">
        <v>722</v>
      </c>
      <c r="AL2057">
        <v>32.774512999999999</v>
      </c>
      <c r="AM2057" t="s">
        <v>723</v>
      </c>
      <c r="AN2057">
        <v>-116.836145</v>
      </c>
      <c r="AO2057">
        <v>25</v>
      </c>
      <c r="AP2057">
        <v>3000</v>
      </c>
      <c r="AQ2057" t="s">
        <v>129</v>
      </c>
      <c r="AR2057">
        <v>129</v>
      </c>
      <c r="AS2057">
        <v>-26</v>
      </c>
      <c r="AT2057">
        <v>-64</v>
      </c>
      <c r="BB2057">
        <v>1200</v>
      </c>
      <c r="BC2057">
        <v>1</v>
      </c>
      <c r="BD2057" t="str">
        <f t="shared" si="726"/>
        <v xml:space="preserve">N887QR  </v>
      </c>
      <c r="BE2057">
        <v>1</v>
      </c>
      <c r="BG2057">
        <v>0</v>
      </c>
      <c r="BH2057">
        <v>0</v>
      </c>
      <c r="BI2057">
        <v>0</v>
      </c>
      <c r="BJ2057">
        <v>2675</v>
      </c>
      <c r="BK2057">
        <v>-325</v>
      </c>
      <c r="BL2057" t="s">
        <v>163</v>
      </c>
      <c r="BM2057">
        <v>1</v>
      </c>
      <c r="BN2057">
        <v>1</v>
      </c>
      <c r="BO2057">
        <v>1</v>
      </c>
      <c r="BP2057">
        <v>0</v>
      </c>
      <c r="BS2057">
        <v>0.12</v>
      </c>
      <c r="BT2057">
        <v>0</v>
      </c>
      <c r="BU2057">
        <v>0</v>
      </c>
      <c r="CE2057" t="str">
        <f t="shared" si="729"/>
        <v>19:30:54.387</v>
      </c>
      <c r="CF2057">
        <v>387232026</v>
      </c>
      <c r="CS2057">
        <v>0</v>
      </c>
      <c r="CT2057">
        <v>2</v>
      </c>
      <c r="CU2057">
        <v>0</v>
      </c>
      <c r="CV2057">
        <v>2</v>
      </c>
      <c r="CW2057">
        <v>0</v>
      </c>
      <c r="CX2057">
        <v>5</v>
      </c>
      <c r="CY2057">
        <v>7</v>
      </c>
      <c r="CZ2057" t="s">
        <v>131</v>
      </c>
      <c r="DA2057">
        <v>300</v>
      </c>
      <c r="DB2057">
        <v>0</v>
      </c>
      <c r="DC2057" t="s">
        <v>176</v>
      </c>
      <c r="DD2057" t="s">
        <v>177</v>
      </c>
      <c r="DG2057">
        <v>5401049</v>
      </c>
      <c r="DI2057">
        <v>1</v>
      </c>
      <c r="DJ2057">
        <v>0</v>
      </c>
      <c r="DK2057">
        <v>1</v>
      </c>
      <c r="DL2057">
        <v>0</v>
      </c>
      <c r="DM2057">
        <v>0</v>
      </c>
      <c r="DN2057">
        <v>1</v>
      </c>
      <c r="DO2057">
        <v>0</v>
      </c>
      <c r="DP2057">
        <v>0</v>
      </c>
      <c r="DQ2057">
        <v>0</v>
      </c>
      <c r="DR2057">
        <v>0</v>
      </c>
      <c r="DS2057">
        <v>0</v>
      </c>
    </row>
    <row r="2058" spans="1:123" x14ac:dyDescent="0.3">
      <c r="A2058" t="str">
        <f t="shared" si="727"/>
        <v>10/04/2022 19:30:54.666</v>
      </c>
      <c r="C2058" t="str">
        <f t="shared" si="722"/>
        <v>FFDFD3C0</v>
      </c>
      <c r="D2058" t="s">
        <v>123</v>
      </c>
      <c r="E2058">
        <v>7</v>
      </c>
      <c r="F2058">
        <v>2007</v>
      </c>
      <c r="G2058" t="s">
        <v>124</v>
      </c>
      <c r="J2058" t="s">
        <v>125</v>
      </c>
      <c r="K2058">
        <v>0</v>
      </c>
      <c r="L2058">
        <v>3</v>
      </c>
      <c r="M2058">
        <v>0</v>
      </c>
      <c r="N2058">
        <v>2</v>
      </c>
      <c r="O2058">
        <v>0</v>
      </c>
      <c r="P2058">
        <v>1</v>
      </c>
      <c r="Q2058">
        <v>0</v>
      </c>
      <c r="S2058" t="str">
        <f t="shared" si="728"/>
        <v>19:30:54.000</v>
      </c>
      <c r="T2058" t="str">
        <f t="shared" si="728"/>
        <v>19:30:54.000</v>
      </c>
      <c r="U2058" t="str">
        <f t="shared" si="725"/>
        <v>AC3944</v>
      </c>
      <c r="V2058">
        <v>0</v>
      </c>
      <c r="W2058">
        <v>0</v>
      </c>
      <c r="X2058">
        <v>2</v>
      </c>
      <c r="Y2058">
        <v>0</v>
      </c>
      <c r="AA2058">
        <v>1</v>
      </c>
      <c r="AB2058">
        <v>8</v>
      </c>
      <c r="AC2058">
        <v>3</v>
      </c>
      <c r="AD2058">
        <v>0</v>
      </c>
      <c r="AE2058">
        <v>9</v>
      </c>
      <c r="AF2058" t="s">
        <v>138</v>
      </c>
      <c r="AG2058">
        <v>0</v>
      </c>
      <c r="AH2058">
        <v>3</v>
      </c>
      <c r="AI2058">
        <v>1</v>
      </c>
      <c r="AJ2058">
        <v>0</v>
      </c>
      <c r="AK2058" t="s">
        <v>722</v>
      </c>
      <c r="AL2058">
        <v>32.774512999999999</v>
      </c>
      <c r="AM2058" t="s">
        <v>723</v>
      </c>
      <c r="AN2058">
        <v>-116.836145</v>
      </c>
      <c r="AO2058">
        <v>25</v>
      </c>
      <c r="AP2058">
        <v>3000</v>
      </c>
      <c r="AQ2058" t="s">
        <v>129</v>
      </c>
      <c r="AR2058">
        <v>129</v>
      </c>
      <c r="AS2058">
        <v>-26</v>
      </c>
      <c r="AT2058">
        <v>-64</v>
      </c>
      <c r="BB2058">
        <v>1200</v>
      </c>
      <c r="BC2058">
        <v>1</v>
      </c>
      <c r="BD2058" t="str">
        <f t="shared" si="726"/>
        <v xml:space="preserve">N887QR  </v>
      </c>
      <c r="BE2058">
        <v>1</v>
      </c>
      <c r="BG2058">
        <v>0</v>
      </c>
      <c r="BH2058">
        <v>0</v>
      </c>
      <c r="BI2058">
        <v>0</v>
      </c>
      <c r="BJ2058">
        <v>2675</v>
      </c>
      <c r="BK2058">
        <v>-325</v>
      </c>
      <c r="BL2058" t="s">
        <v>163</v>
      </c>
      <c r="BM2058">
        <v>1</v>
      </c>
      <c r="BN2058">
        <v>1</v>
      </c>
      <c r="BO2058">
        <v>1</v>
      </c>
      <c r="BP2058">
        <v>0</v>
      </c>
      <c r="BS2058">
        <v>0.12</v>
      </c>
      <c r="BT2058">
        <v>0</v>
      </c>
      <c r="BU2058">
        <v>0</v>
      </c>
      <c r="CE2058" t="str">
        <f t="shared" si="729"/>
        <v>19:30:54.387</v>
      </c>
      <c r="CF2058">
        <v>387232026</v>
      </c>
      <c r="CS2058">
        <v>0</v>
      </c>
      <c r="CT2058">
        <v>2</v>
      </c>
      <c r="CU2058">
        <v>0</v>
      </c>
      <c r="CV2058">
        <v>2</v>
      </c>
      <c r="CW2058">
        <v>0</v>
      </c>
      <c r="CX2058">
        <v>5</v>
      </c>
      <c r="CY2058">
        <v>7</v>
      </c>
      <c r="CZ2058" t="s">
        <v>131</v>
      </c>
      <c r="DA2058">
        <v>300</v>
      </c>
      <c r="DB2058">
        <v>0</v>
      </c>
      <c r="DC2058" t="s">
        <v>176</v>
      </c>
      <c r="DD2058" t="s">
        <v>177</v>
      </c>
      <c r="DG2058">
        <v>5401049</v>
      </c>
      <c r="DI2058">
        <v>1</v>
      </c>
      <c r="DJ2058">
        <v>0</v>
      </c>
      <c r="DK2058">
        <v>1</v>
      </c>
      <c r="DL2058">
        <v>0</v>
      </c>
      <c r="DM2058">
        <v>0</v>
      </c>
      <c r="DN2058">
        <v>1</v>
      </c>
      <c r="DO2058">
        <v>0</v>
      </c>
      <c r="DP2058">
        <v>0</v>
      </c>
      <c r="DQ2058">
        <v>0</v>
      </c>
      <c r="DR2058">
        <v>0</v>
      </c>
      <c r="DS2058">
        <v>0</v>
      </c>
    </row>
    <row r="2059" spans="1:123" x14ac:dyDescent="0.3">
      <c r="A2059" t="str">
        <f t="shared" ref="A2059:A2065" si="730">"10/04/2022 19:30:55.401"</f>
        <v>10/04/2022 19:30:55.401</v>
      </c>
      <c r="C2059" t="str">
        <f t="shared" si="722"/>
        <v>FFDFD3C0</v>
      </c>
      <c r="D2059" t="s">
        <v>136</v>
      </c>
      <c r="E2059">
        <v>8</v>
      </c>
      <c r="H2059">
        <v>225</v>
      </c>
      <c r="I2059" t="s">
        <v>137</v>
      </c>
      <c r="J2059" t="s">
        <v>138</v>
      </c>
      <c r="K2059">
        <v>0</v>
      </c>
      <c r="L2059">
        <v>3</v>
      </c>
      <c r="M2059">
        <v>0</v>
      </c>
      <c r="N2059">
        <v>2</v>
      </c>
      <c r="O2059">
        <v>0</v>
      </c>
      <c r="P2059">
        <v>1</v>
      </c>
      <c r="Q2059">
        <v>0</v>
      </c>
      <c r="S2059" t="str">
        <f t="shared" ref="S2059:T2065" si="731">"19:30:55.000"</f>
        <v>19:30:55.000</v>
      </c>
      <c r="T2059" t="str">
        <f t="shared" si="731"/>
        <v>19:30:55.000</v>
      </c>
      <c r="U2059" t="str">
        <f t="shared" si="725"/>
        <v>AC3944</v>
      </c>
      <c r="V2059">
        <v>0</v>
      </c>
      <c r="W2059">
        <v>0</v>
      </c>
      <c r="X2059">
        <v>2</v>
      </c>
      <c r="Y2059">
        <v>0</v>
      </c>
      <c r="AA2059">
        <v>1</v>
      </c>
      <c r="AB2059">
        <v>8</v>
      </c>
      <c r="AC2059">
        <v>3</v>
      </c>
      <c r="AD2059">
        <v>0</v>
      </c>
      <c r="AE2059">
        <v>9</v>
      </c>
      <c r="AF2059" t="s">
        <v>138</v>
      </c>
      <c r="AG2059">
        <v>0</v>
      </c>
      <c r="AH2059">
        <v>3</v>
      </c>
      <c r="AI2059">
        <v>1</v>
      </c>
      <c r="AJ2059">
        <v>0</v>
      </c>
      <c r="AK2059" t="s">
        <v>724</v>
      </c>
      <c r="AL2059">
        <v>32.774383999999998</v>
      </c>
      <c r="AM2059" t="s">
        <v>725</v>
      </c>
      <c r="AN2059">
        <v>-116.835437</v>
      </c>
      <c r="AO2059">
        <v>25</v>
      </c>
      <c r="AP2059">
        <v>3000</v>
      </c>
      <c r="AQ2059" t="s">
        <v>129</v>
      </c>
      <c r="AR2059">
        <v>129</v>
      </c>
      <c r="AS2059">
        <v>-26</v>
      </c>
      <c r="AT2059">
        <v>-64</v>
      </c>
      <c r="BB2059">
        <v>1200</v>
      </c>
      <c r="BC2059">
        <v>1</v>
      </c>
      <c r="BD2059" t="str">
        <f t="shared" si="726"/>
        <v xml:space="preserve">N887QR  </v>
      </c>
      <c r="BE2059">
        <v>1</v>
      </c>
      <c r="BG2059">
        <v>0</v>
      </c>
      <c r="BH2059">
        <v>0</v>
      </c>
      <c r="BI2059">
        <v>0</v>
      </c>
      <c r="BJ2059">
        <v>2675</v>
      </c>
      <c r="BK2059">
        <v>-325</v>
      </c>
      <c r="BL2059" t="s">
        <v>163</v>
      </c>
      <c r="BM2059">
        <v>1</v>
      </c>
      <c r="BN2059">
        <v>1</v>
      </c>
      <c r="BO2059">
        <v>1</v>
      </c>
      <c r="BP2059">
        <v>0</v>
      </c>
      <c r="BS2059">
        <v>0.12</v>
      </c>
      <c r="BT2059">
        <v>0</v>
      </c>
      <c r="BU2059">
        <v>0</v>
      </c>
      <c r="CE2059" t="str">
        <f t="shared" ref="CE2059:CE2065" si="732">"19:30:55.108"</f>
        <v>19:30:55.108</v>
      </c>
      <c r="CF2059">
        <v>108484475</v>
      </c>
      <c r="CS2059">
        <v>0</v>
      </c>
      <c r="CT2059">
        <v>2</v>
      </c>
      <c r="CU2059">
        <v>0</v>
      </c>
      <c r="CV2059">
        <v>2</v>
      </c>
      <c r="CW2059">
        <v>0</v>
      </c>
      <c r="CX2059">
        <v>5</v>
      </c>
      <c r="CY2059">
        <v>7</v>
      </c>
      <c r="CZ2059" t="s">
        <v>131</v>
      </c>
      <c r="DA2059">
        <v>300</v>
      </c>
      <c r="DB2059">
        <v>0</v>
      </c>
      <c r="DC2059" t="s">
        <v>176</v>
      </c>
      <c r="DD2059" t="s">
        <v>177</v>
      </c>
      <c r="DG2059">
        <v>5401160</v>
      </c>
      <c r="DI2059">
        <v>1</v>
      </c>
      <c r="DJ2059">
        <v>0</v>
      </c>
      <c r="DK2059">
        <v>0</v>
      </c>
      <c r="DL2059">
        <v>0</v>
      </c>
      <c r="DM2059">
        <v>0</v>
      </c>
      <c r="DN2059">
        <v>1</v>
      </c>
      <c r="DO2059">
        <v>0</v>
      </c>
      <c r="DP2059">
        <v>0</v>
      </c>
      <c r="DQ2059">
        <v>0</v>
      </c>
      <c r="DR2059">
        <v>0</v>
      </c>
      <c r="DS2059">
        <v>0</v>
      </c>
    </row>
    <row r="2060" spans="1:123" x14ac:dyDescent="0.3">
      <c r="A2060" t="str">
        <f t="shared" si="730"/>
        <v>10/04/2022 19:30:55.401</v>
      </c>
      <c r="C2060" t="str">
        <f t="shared" si="722"/>
        <v>FFDFD3C0</v>
      </c>
      <c r="D2060" t="s">
        <v>147</v>
      </c>
      <c r="E2060">
        <v>3</v>
      </c>
      <c r="H2060">
        <v>166</v>
      </c>
      <c r="I2060" t="s">
        <v>144</v>
      </c>
      <c r="J2060" t="s">
        <v>148</v>
      </c>
      <c r="K2060">
        <v>0</v>
      </c>
      <c r="L2060">
        <v>3</v>
      </c>
      <c r="M2060">
        <v>0</v>
      </c>
      <c r="N2060">
        <v>2</v>
      </c>
      <c r="O2060">
        <v>0</v>
      </c>
      <c r="P2060">
        <v>1</v>
      </c>
      <c r="Q2060">
        <v>0</v>
      </c>
      <c r="S2060" t="str">
        <f t="shared" si="731"/>
        <v>19:30:55.000</v>
      </c>
      <c r="T2060" t="str">
        <f t="shared" si="731"/>
        <v>19:30:55.000</v>
      </c>
      <c r="U2060" t="str">
        <f t="shared" si="725"/>
        <v>AC3944</v>
      </c>
      <c r="V2060">
        <v>0</v>
      </c>
      <c r="W2060">
        <v>0</v>
      </c>
      <c r="X2060">
        <v>2</v>
      </c>
      <c r="Y2060">
        <v>0</v>
      </c>
      <c r="AA2060">
        <v>1</v>
      </c>
      <c r="AB2060">
        <v>8</v>
      </c>
      <c r="AC2060">
        <v>3</v>
      </c>
      <c r="AD2060">
        <v>0</v>
      </c>
      <c r="AE2060">
        <v>9</v>
      </c>
      <c r="AF2060" t="s">
        <v>138</v>
      </c>
      <c r="AG2060">
        <v>0</v>
      </c>
      <c r="AH2060">
        <v>3</v>
      </c>
      <c r="AI2060">
        <v>1</v>
      </c>
      <c r="AJ2060">
        <v>0</v>
      </c>
      <c r="AK2060" t="s">
        <v>724</v>
      </c>
      <c r="AL2060">
        <v>32.774383999999998</v>
      </c>
      <c r="AM2060" t="s">
        <v>725</v>
      </c>
      <c r="AN2060">
        <v>-116.835437</v>
      </c>
      <c r="AO2060">
        <v>25</v>
      </c>
      <c r="AP2060">
        <v>3000</v>
      </c>
      <c r="AQ2060" t="s">
        <v>129</v>
      </c>
      <c r="AR2060">
        <v>129</v>
      </c>
      <c r="AS2060">
        <v>-26</v>
      </c>
      <c r="AT2060">
        <v>-64</v>
      </c>
      <c r="BB2060">
        <v>1200</v>
      </c>
      <c r="BC2060">
        <v>1</v>
      </c>
      <c r="BD2060" t="str">
        <f t="shared" si="726"/>
        <v xml:space="preserve">N887QR  </v>
      </c>
      <c r="BE2060">
        <v>1</v>
      </c>
      <c r="BG2060">
        <v>0</v>
      </c>
      <c r="BH2060">
        <v>0</v>
      </c>
      <c r="BI2060">
        <v>0</v>
      </c>
      <c r="BJ2060">
        <v>2675</v>
      </c>
      <c r="BK2060">
        <v>-325</v>
      </c>
      <c r="BL2060" t="s">
        <v>163</v>
      </c>
      <c r="BM2060">
        <v>1</v>
      </c>
      <c r="BN2060">
        <v>1</v>
      </c>
      <c r="BO2060">
        <v>1</v>
      </c>
      <c r="BP2060">
        <v>0</v>
      </c>
      <c r="BS2060">
        <v>0.12</v>
      </c>
      <c r="BT2060">
        <v>0</v>
      </c>
      <c r="BU2060">
        <v>0</v>
      </c>
      <c r="CE2060" t="str">
        <f t="shared" si="732"/>
        <v>19:30:55.108</v>
      </c>
      <c r="CF2060">
        <v>108484475</v>
      </c>
      <c r="CS2060">
        <v>0</v>
      </c>
      <c r="CT2060">
        <v>2</v>
      </c>
      <c r="CU2060">
        <v>0</v>
      </c>
      <c r="CV2060">
        <v>2</v>
      </c>
      <c r="CW2060">
        <v>0</v>
      </c>
      <c r="CX2060">
        <v>5</v>
      </c>
      <c r="CY2060">
        <v>7</v>
      </c>
      <c r="CZ2060" t="s">
        <v>131</v>
      </c>
      <c r="DA2060">
        <v>300</v>
      </c>
      <c r="DB2060">
        <v>0</v>
      </c>
      <c r="DC2060" t="s">
        <v>176</v>
      </c>
      <c r="DD2060" t="s">
        <v>177</v>
      </c>
      <c r="DG2060">
        <v>5401160</v>
      </c>
      <c r="DI2060">
        <v>1</v>
      </c>
      <c r="DJ2060">
        <v>0</v>
      </c>
      <c r="DK2060">
        <v>1</v>
      </c>
      <c r="DL2060">
        <v>0</v>
      </c>
      <c r="DM2060">
        <v>0</v>
      </c>
      <c r="DN2060">
        <v>1</v>
      </c>
      <c r="DO2060">
        <v>0</v>
      </c>
      <c r="DP2060">
        <v>0</v>
      </c>
      <c r="DQ2060">
        <v>0</v>
      </c>
      <c r="DR2060">
        <v>0</v>
      </c>
      <c r="DS2060">
        <v>0</v>
      </c>
    </row>
    <row r="2061" spans="1:123" x14ac:dyDescent="0.3">
      <c r="A2061" t="str">
        <f t="shared" si="730"/>
        <v>10/04/2022 19:30:55.401</v>
      </c>
      <c r="C2061" t="str">
        <f t="shared" si="722"/>
        <v>FFDFD3C0</v>
      </c>
      <c r="D2061" t="s">
        <v>141</v>
      </c>
      <c r="E2061">
        <v>4</v>
      </c>
      <c r="H2061">
        <v>4</v>
      </c>
      <c r="I2061" t="s">
        <v>142</v>
      </c>
      <c r="J2061" t="s">
        <v>138</v>
      </c>
      <c r="K2061">
        <v>0</v>
      </c>
      <c r="L2061">
        <v>3</v>
      </c>
      <c r="M2061">
        <v>0</v>
      </c>
      <c r="N2061">
        <v>2</v>
      </c>
      <c r="O2061">
        <v>0</v>
      </c>
      <c r="P2061">
        <v>1</v>
      </c>
      <c r="Q2061">
        <v>0</v>
      </c>
      <c r="S2061" t="str">
        <f t="shared" si="731"/>
        <v>19:30:55.000</v>
      </c>
      <c r="T2061" t="str">
        <f t="shared" si="731"/>
        <v>19:30:55.000</v>
      </c>
      <c r="U2061" t="str">
        <f t="shared" si="725"/>
        <v>AC3944</v>
      </c>
      <c r="V2061">
        <v>0</v>
      </c>
      <c r="W2061">
        <v>0</v>
      </c>
      <c r="X2061">
        <v>2</v>
      </c>
      <c r="Y2061">
        <v>0</v>
      </c>
      <c r="AA2061">
        <v>1</v>
      </c>
      <c r="AB2061">
        <v>8</v>
      </c>
      <c r="AC2061">
        <v>3</v>
      </c>
      <c r="AD2061">
        <v>0</v>
      </c>
      <c r="AE2061">
        <v>9</v>
      </c>
      <c r="AF2061" t="s">
        <v>138</v>
      </c>
      <c r="AG2061">
        <v>0</v>
      </c>
      <c r="AH2061">
        <v>3</v>
      </c>
      <c r="AI2061">
        <v>1</v>
      </c>
      <c r="AJ2061">
        <v>0</v>
      </c>
      <c r="AK2061" t="s">
        <v>724</v>
      </c>
      <c r="AL2061">
        <v>32.774383999999998</v>
      </c>
      <c r="AM2061" t="s">
        <v>725</v>
      </c>
      <c r="AN2061">
        <v>-116.835437</v>
      </c>
      <c r="AO2061">
        <v>25</v>
      </c>
      <c r="AP2061">
        <v>3000</v>
      </c>
      <c r="AQ2061" t="s">
        <v>129</v>
      </c>
      <c r="AR2061">
        <v>129</v>
      </c>
      <c r="AS2061">
        <v>-26</v>
      </c>
      <c r="AT2061">
        <v>-64</v>
      </c>
      <c r="BB2061">
        <v>1200</v>
      </c>
      <c r="BC2061">
        <v>1</v>
      </c>
      <c r="BD2061" t="str">
        <f t="shared" si="726"/>
        <v xml:space="preserve">N887QR  </v>
      </c>
      <c r="BE2061">
        <v>1</v>
      </c>
      <c r="BG2061">
        <v>0</v>
      </c>
      <c r="BH2061">
        <v>0</v>
      </c>
      <c r="BI2061">
        <v>0</v>
      </c>
      <c r="BJ2061">
        <v>2675</v>
      </c>
      <c r="BK2061">
        <v>-325</v>
      </c>
      <c r="BL2061" t="s">
        <v>163</v>
      </c>
      <c r="BM2061">
        <v>1</v>
      </c>
      <c r="BN2061">
        <v>1</v>
      </c>
      <c r="BO2061">
        <v>1</v>
      </c>
      <c r="BP2061">
        <v>0</v>
      </c>
      <c r="BS2061">
        <v>0.12</v>
      </c>
      <c r="BT2061">
        <v>0</v>
      </c>
      <c r="BU2061">
        <v>0</v>
      </c>
      <c r="CE2061" t="str">
        <f t="shared" si="732"/>
        <v>19:30:55.108</v>
      </c>
      <c r="CF2061">
        <v>108484475</v>
      </c>
      <c r="CS2061">
        <v>0</v>
      </c>
      <c r="CT2061">
        <v>2</v>
      </c>
      <c r="CU2061">
        <v>0</v>
      </c>
      <c r="CV2061">
        <v>2</v>
      </c>
      <c r="CW2061">
        <v>0</v>
      </c>
      <c r="CX2061">
        <v>5</v>
      </c>
      <c r="CY2061">
        <v>7</v>
      </c>
      <c r="CZ2061" t="s">
        <v>131</v>
      </c>
      <c r="DA2061">
        <v>300</v>
      </c>
      <c r="DB2061">
        <v>0</v>
      </c>
      <c r="DC2061" t="s">
        <v>176</v>
      </c>
      <c r="DD2061" t="s">
        <v>177</v>
      </c>
      <c r="DG2061">
        <v>5401160</v>
      </c>
      <c r="DI2061">
        <v>1</v>
      </c>
      <c r="DJ2061">
        <v>0</v>
      </c>
      <c r="DK2061">
        <v>0</v>
      </c>
      <c r="DL2061">
        <v>0</v>
      </c>
      <c r="DM2061">
        <v>0</v>
      </c>
      <c r="DN2061">
        <v>1</v>
      </c>
      <c r="DO2061">
        <v>0</v>
      </c>
      <c r="DP2061">
        <v>0</v>
      </c>
      <c r="DQ2061">
        <v>0</v>
      </c>
      <c r="DR2061">
        <v>0</v>
      </c>
      <c r="DS2061">
        <v>0</v>
      </c>
    </row>
    <row r="2062" spans="1:123" x14ac:dyDescent="0.3">
      <c r="A2062" t="str">
        <f t="shared" si="730"/>
        <v>10/04/2022 19:30:55.401</v>
      </c>
      <c r="C2062" t="str">
        <f t="shared" si="722"/>
        <v>FFDFD3C0</v>
      </c>
      <c r="D2062" t="s">
        <v>143</v>
      </c>
      <c r="E2062">
        <v>20</v>
      </c>
      <c r="F2062">
        <v>1020</v>
      </c>
      <c r="G2062" t="s">
        <v>144</v>
      </c>
      <c r="J2062" t="s">
        <v>145</v>
      </c>
      <c r="K2062">
        <v>0</v>
      </c>
      <c r="L2062">
        <v>3</v>
      </c>
      <c r="M2062">
        <v>0</v>
      </c>
      <c r="N2062">
        <v>2</v>
      </c>
      <c r="O2062">
        <v>0</v>
      </c>
      <c r="P2062">
        <v>1</v>
      </c>
      <c r="Q2062">
        <v>0</v>
      </c>
      <c r="S2062" t="str">
        <f t="shared" si="731"/>
        <v>19:30:55.000</v>
      </c>
      <c r="T2062" t="str">
        <f t="shared" si="731"/>
        <v>19:30:55.000</v>
      </c>
      <c r="U2062" t="str">
        <f t="shared" si="725"/>
        <v>AC3944</v>
      </c>
      <c r="V2062">
        <v>0</v>
      </c>
      <c r="W2062">
        <v>0</v>
      </c>
      <c r="X2062">
        <v>2</v>
      </c>
      <c r="Y2062">
        <v>0</v>
      </c>
      <c r="AA2062">
        <v>1</v>
      </c>
      <c r="AB2062">
        <v>8</v>
      </c>
      <c r="AC2062">
        <v>3</v>
      </c>
      <c r="AD2062">
        <v>0</v>
      </c>
      <c r="AE2062">
        <v>9</v>
      </c>
      <c r="AF2062" t="s">
        <v>138</v>
      </c>
      <c r="AG2062">
        <v>0</v>
      </c>
      <c r="AH2062">
        <v>3</v>
      </c>
      <c r="AI2062">
        <v>1</v>
      </c>
      <c r="AJ2062">
        <v>0</v>
      </c>
      <c r="AK2062" t="s">
        <v>724</v>
      </c>
      <c r="AL2062">
        <v>32.774383999999998</v>
      </c>
      <c r="AM2062" t="s">
        <v>725</v>
      </c>
      <c r="AN2062">
        <v>-116.835437</v>
      </c>
      <c r="AO2062">
        <v>25</v>
      </c>
      <c r="AP2062">
        <v>3000</v>
      </c>
      <c r="AQ2062" t="s">
        <v>129</v>
      </c>
      <c r="AR2062">
        <v>129</v>
      </c>
      <c r="AS2062">
        <v>-26</v>
      </c>
      <c r="AT2062">
        <v>-64</v>
      </c>
      <c r="BB2062">
        <v>1200</v>
      </c>
      <c r="BC2062">
        <v>1</v>
      </c>
      <c r="BD2062" t="str">
        <f t="shared" si="726"/>
        <v xml:space="preserve">N887QR  </v>
      </c>
      <c r="BE2062">
        <v>1</v>
      </c>
      <c r="BG2062">
        <v>0</v>
      </c>
      <c r="BH2062">
        <v>0</v>
      </c>
      <c r="BI2062">
        <v>0</v>
      </c>
      <c r="BJ2062">
        <v>2675</v>
      </c>
      <c r="BK2062">
        <v>-325</v>
      </c>
      <c r="BL2062" t="s">
        <v>163</v>
      </c>
      <c r="BM2062">
        <v>1</v>
      </c>
      <c r="BN2062">
        <v>1</v>
      </c>
      <c r="BO2062">
        <v>1</v>
      </c>
      <c r="BP2062">
        <v>0</v>
      </c>
      <c r="BS2062">
        <v>0.12</v>
      </c>
      <c r="BT2062">
        <v>0</v>
      </c>
      <c r="BU2062">
        <v>0</v>
      </c>
      <c r="CE2062" t="str">
        <f t="shared" si="732"/>
        <v>19:30:55.108</v>
      </c>
      <c r="CF2062">
        <v>108484475</v>
      </c>
      <c r="CS2062">
        <v>0</v>
      </c>
      <c r="CT2062">
        <v>2</v>
      </c>
      <c r="CU2062">
        <v>0</v>
      </c>
      <c r="CV2062">
        <v>2</v>
      </c>
      <c r="CW2062">
        <v>0</v>
      </c>
      <c r="CX2062">
        <v>5</v>
      </c>
      <c r="CY2062">
        <v>7</v>
      </c>
      <c r="CZ2062" t="s">
        <v>131</v>
      </c>
      <c r="DA2062">
        <v>300</v>
      </c>
      <c r="DB2062">
        <v>0</v>
      </c>
      <c r="DC2062" t="s">
        <v>176</v>
      </c>
      <c r="DD2062" t="s">
        <v>177</v>
      </c>
      <c r="DG2062">
        <v>5401160</v>
      </c>
      <c r="DI2062">
        <v>1</v>
      </c>
      <c r="DJ2062">
        <v>0</v>
      </c>
      <c r="DK2062">
        <v>1</v>
      </c>
      <c r="DL2062">
        <v>0</v>
      </c>
      <c r="DM2062">
        <v>0</v>
      </c>
      <c r="DN2062">
        <v>1</v>
      </c>
      <c r="DO2062">
        <v>0</v>
      </c>
      <c r="DP2062">
        <v>0</v>
      </c>
      <c r="DQ2062">
        <v>0</v>
      </c>
      <c r="DR2062">
        <v>0</v>
      </c>
      <c r="DS2062">
        <v>0</v>
      </c>
    </row>
    <row r="2063" spans="1:123" x14ac:dyDescent="0.3">
      <c r="A2063" t="str">
        <f t="shared" si="730"/>
        <v>10/04/2022 19:30:55.401</v>
      </c>
      <c r="C2063" t="str">
        <f t="shared" si="722"/>
        <v>FFDFD3C0</v>
      </c>
      <c r="D2063" t="s">
        <v>134</v>
      </c>
      <c r="E2063">
        <v>15</v>
      </c>
      <c r="J2063" t="s">
        <v>135</v>
      </c>
      <c r="K2063">
        <v>0</v>
      </c>
      <c r="L2063">
        <v>3</v>
      </c>
      <c r="M2063">
        <v>0</v>
      </c>
      <c r="N2063">
        <v>2</v>
      </c>
      <c r="O2063">
        <v>0</v>
      </c>
      <c r="P2063">
        <v>1</v>
      </c>
      <c r="Q2063">
        <v>0</v>
      </c>
      <c r="S2063" t="str">
        <f t="shared" si="731"/>
        <v>19:30:55.000</v>
      </c>
      <c r="T2063" t="str">
        <f t="shared" si="731"/>
        <v>19:30:55.000</v>
      </c>
      <c r="U2063" t="str">
        <f t="shared" si="725"/>
        <v>AC3944</v>
      </c>
      <c r="V2063">
        <v>0</v>
      </c>
      <c r="W2063">
        <v>0</v>
      </c>
      <c r="X2063">
        <v>2</v>
      </c>
      <c r="Y2063">
        <v>0</v>
      </c>
      <c r="AA2063">
        <v>1</v>
      </c>
      <c r="AB2063">
        <v>8</v>
      </c>
      <c r="AC2063">
        <v>3</v>
      </c>
      <c r="AD2063">
        <v>0</v>
      </c>
      <c r="AE2063">
        <v>9</v>
      </c>
      <c r="AF2063" t="s">
        <v>138</v>
      </c>
      <c r="AG2063">
        <v>0</v>
      </c>
      <c r="AH2063">
        <v>3</v>
      </c>
      <c r="AI2063">
        <v>1</v>
      </c>
      <c r="AJ2063">
        <v>0</v>
      </c>
      <c r="AK2063" t="s">
        <v>724</v>
      </c>
      <c r="AL2063">
        <v>32.774383999999998</v>
      </c>
      <c r="AM2063" t="s">
        <v>725</v>
      </c>
      <c r="AN2063">
        <v>-116.835437</v>
      </c>
      <c r="AO2063">
        <v>25</v>
      </c>
      <c r="AP2063">
        <v>3000</v>
      </c>
      <c r="AQ2063" t="s">
        <v>129</v>
      </c>
      <c r="AR2063">
        <v>129</v>
      </c>
      <c r="AS2063">
        <v>-26</v>
      </c>
      <c r="AT2063">
        <v>-64</v>
      </c>
      <c r="BB2063">
        <v>1200</v>
      </c>
      <c r="BC2063">
        <v>1</v>
      </c>
      <c r="BD2063" t="str">
        <f t="shared" si="726"/>
        <v xml:space="preserve">N887QR  </v>
      </c>
      <c r="BE2063">
        <v>1</v>
      </c>
      <c r="BG2063">
        <v>0</v>
      </c>
      <c r="BH2063">
        <v>0</v>
      </c>
      <c r="BI2063">
        <v>0</v>
      </c>
      <c r="BJ2063">
        <v>2675</v>
      </c>
      <c r="BK2063">
        <v>-325</v>
      </c>
      <c r="BL2063" t="s">
        <v>163</v>
      </c>
      <c r="BM2063">
        <v>1</v>
      </c>
      <c r="BN2063">
        <v>1</v>
      </c>
      <c r="BO2063">
        <v>1</v>
      </c>
      <c r="BP2063">
        <v>0</v>
      </c>
      <c r="BS2063">
        <v>0.12</v>
      </c>
      <c r="BT2063">
        <v>0</v>
      </c>
      <c r="BU2063">
        <v>0</v>
      </c>
      <c r="CE2063" t="str">
        <f t="shared" si="732"/>
        <v>19:30:55.108</v>
      </c>
      <c r="CF2063">
        <v>108484475</v>
      </c>
      <c r="CS2063">
        <v>0</v>
      </c>
      <c r="CT2063">
        <v>2</v>
      </c>
      <c r="CU2063">
        <v>0</v>
      </c>
      <c r="CV2063">
        <v>2</v>
      </c>
      <c r="CW2063">
        <v>0</v>
      </c>
      <c r="CX2063">
        <v>5</v>
      </c>
      <c r="CY2063">
        <v>7</v>
      </c>
      <c r="CZ2063" t="s">
        <v>131</v>
      </c>
      <c r="DA2063">
        <v>300</v>
      </c>
      <c r="DB2063">
        <v>0</v>
      </c>
      <c r="DC2063" t="s">
        <v>176</v>
      </c>
      <c r="DD2063" t="s">
        <v>177</v>
      </c>
      <c r="DG2063">
        <v>5401160</v>
      </c>
      <c r="DI2063">
        <v>1</v>
      </c>
      <c r="DJ2063">
        <v>0</v>
      </c>
      <c r="DK2063">
        <v>1</v>
      </c>
      <c r="DL2063">
        <v>0</v>
      </c>
      <c r="DM2063">
        <v>0</v>
      </c>
      <c r="DN2063">
        <v>1</v>
      </c>
      <c r="DO2063">
        <v>0</v>
      </c>
      <c r="DP2063">
        <v>0</v>
      </c>
      <c r="DQ2063">
        <v>0</v>
      </c>
      <c r="DR2063">
        <v>0</v>
      </c>
      <c r="DS2063">
        <v>0</v>
      </c>
    </row>
    <row r="2064" spans="1:123" x14ac:dyDescent="0.3">
      <c r="A2064" t="str">
        <f t="shared" si="730"/>
        <v>10/04/2022 19:30:55.401</v>
      </c>
      <c r="C2064" t="str">
        <f t="shared" si="722"/>
        <v>FFDFD3C0</v>
      </c>
      <c r="D2064" t="s">
        <v>123</v>
      </c>
      <c r="E2064">
        <v>7</v>
      </c>
      <c r="F2064">
        <v>2007</v>
      </c>
      <c r="G2064" t="s">
        <v>124</v>
      </c>
      <c r="J2064" t="s">
        <v>125</v>
      </c>
      <c r="K2064">
        <v>0</v>
      </c>
      <c r="L2064">
        <v>3</v>
      </c>
      <c r="M2064">
        <v>0</v>
      </c>
      <c r="N2064">
        <v>2</v>
      </c>
      <c r="O2064">
        <v>0</v>
      </c>
      <c r="P2064">
        <v>1</v>
      </c>
      <c r="Q2064">
        <v>0</v>
      </c>
      <c r="S2064" t="str">
        <f t="shared" si="731"/>
        <v>19:30:55.000</v>
      </c>
      <c r="T2064" t="str">
        <f t="shared" si="731"/>
        <v>19:30:55.000</v>
      </c>
      <c r="U2064" t="str">
        <f t="shared" si="725"/>
        <v>AC3944</v>
      </c>
      <c r="V2064">
        <v>0</v>
      </c>
      <c r="W2064">
        <v>0</v>
      </c>
      <c r="X2064">
        <v>2</v>
      </c>
      <c r="Y2064">
        <v>0</v>
      </c>
      <c r="AA2064">
        <v>1</v>
      </c>
      <c r="AB2064">
        <v>8</v>
      </c>
      <c r="AC2064">
        <v>3</v>
      </c>
      <c r="AD2064">
        <v>0</v>
      </c>
      <c r="AE2064">
        <v>9</v>
      </c>
      <c r="AF2064" t="s">
        <v>138</v>
      </c>
      <c r="AG2064">
        <v>0</v>
      </c>
      <c r="AH2064">
        <v>3</v>
      </c>
      <c r="AI2064">
        <v>1</v>
      </c>
      <c r="AJ2064">
        <v>0</v>
      </c>
      <c r="AK2064" t="s">
        <v>724</v>
      </c>
      <c r="AL2064">
        <v>32.774383999999998</v>
      </c>
      <c r="AM2064" t="s">
        <v>725</v>
      </c>
      <c r="AN2064">
        <v>-116.835437</v>
      </c>
      <c r="AO2064">
        <v>25</v>
      </c>
      <c r="AP2064">
        <v>3000</v>
      </c>
      <c r="AQ2064" t="s">
        <v>129</v>
      </c>
      <c r="AR2064">
        <v>129</v>
      </c>
      <c r="AS2064">
        <v>-26</v>
      </c>
      <c r="AT2064">
        <v>-64</v>
      </c>
      <c r="BB2064">
        <v>1200</v>
      </c>
      <c r="BC2064">
        <v>1</v>
      </c>
      <c r="BD2064" t="str">
        <f t="shared" si="726"/>
        <v xml:space="preserve">N887QR  </v>
      </c>
      <c r="BE2064">
        <v>1</v>
      </c>
      <c r="BG2064">
        <v>0</v>
      </c>
      <c r="BH2064">
        <v>0</v>
      </c>
      <c r="BI2064">
        <v>0</v>
      </c>
      <c r="BJ2064">
        <v>2675</v>
      </c>
      <c r="BK2064">
        <v>-325</v>
      </c>
      <c r="BL2064" t="s">
        <v>163</v>
      </c>
      <c r="BM2064">
        <v>1</v>
      </c>
      <c r="BN2064">
        <v>1</v>
      </c>
      <c r="BO2064">
        <v>1</v>
      </c>
      <c r="BP2064">
        <v>0</v>
      </c>
      <c r="BS2064">
        <v>0.12</v>
      </c>
      <c r="BT2064">
        <v>0</v>
      </c>
      <c r="BU2064">
        <v>0</v>
      </c>
      <c r="CE2064" t="str">
        <f t="shared" si="732"/>
        <v>19:30:55.108</v>
      </c>
      <c r="CF2064">
        <v>108484475</v>
      </c>
      <c r="CS2064">
        <v>0</v>
      </c>
      <c r="CT2064">
        <v>2</v>
      </c>
      <c r="CU2064">
        <v>0</v>
      </c>
      <c r="CV2064">
        <v>2</v>
      </c>
      <c r="CW2064">
        <v>0</v>
      </c>
      <c r="CX2064">
        <v>5</v>
      </c>
      <c r="CY2064">
        <v>7</v>
      </c>
      <c r="CZ2064" t="s">
        <v>131</v>
      </c>
      <c r="DA2064">
        <v>300</v>
      </c>
      <c r="DB2064">
        <v>0</v>
      </c>
      <c r="DC2064" t="s">
        <v>176</v>
      </c>
      <c r="DD2064" t="s">
        <v>177</v>
      </c>
      <c r="DG2064">
        <v>5401160</v>
      </c>
      <c r="DI2064">
        <v>1</v>
      </c>
      <c r="DJ2064">
        <v>0</v>
      </c>
      <c r="DK2064">
        <v>1</v>
      </c>
      <c r="DL2064">
        <v>0</v>
      </c>
      <c r="DM2064">
        <v>0</v>
      </c>
      <c r="DN2064">
        <v>1</v>
      </c>
      <c r="DO2064">
        <v>0</v>
      </c>
      <c r="DP2064">
        <v>0</v>
      </c>
      <c r="DQ2064">
        <v>0</v>
      </c>
      <c r="DR2064">
        <v>0</v>
      </c>
      <c r="DS2064">
        <v>0</v>
      </c>
    </row>
    <row r="2065" spans="1:123" x14ac:dyDescent="0.3">
      <c r="A2065" t="str">
        <f t="shared" si="730"/>
        <v>10/04/2022 19:30:55.401</v>
      </c>
      <c r="C2065" t="str">
        <f t="shared" si="722"/>
        <v>FFDFD3C0</v>
      </c>
      <c r="D2065" t="s">
        <v>141</v>
      </c>
      <c r="E2065">
        <v>3</v>
      </c>
      <c r="H2065">
        <v>3</v>
      </c>
      <c r="I2065" t="s">
        <v>146</v>
      </c>
      <c r="J2065" t="s">
        <v>138</v>
      </c>
      <c r="K2065">
        <v>0</v>
      </c>
      <c r="L2065">
        <v>3</v>
      </c>
      <c r="M2065">
        <v>0</v>
      </c>
      <c r="N2065">
        <v>2</v>
      </c>
      <c r="O2065">
        <v>0</v>
      </c>
      <c r="P2065">
        <v>1</v>
      </c>
      <c r="Q2065">
        <v>0</v>
      </c>
      <c r="S2065" t="str">
        <f t="shared" si="731"/>
        <v>19:30:55.000</v>
      </c>
      <c r="T2065" t="str">
        <f t="shared" si="731"/>
        <v>19:30:55.000</v>
      </c>
      <c r="U2065" t="str">
        <f t="shared" si="725"/>
        <v>AC3944</v>
      </c>
      <c r="V2065">
        <v>0</v>
      </c>
      <c r="W2065">
        <v>0</v>
      </c>
      <c r="X2065">
        <v>2</v>
      </c>
      <c r="Y2065">
        <v>0</v>
      </c>
      <c r="AA2065">
        <v>1</v>
      </c>
      <c r="AB2065">
        <v>8</v>
      </c>
      <c r="AC2065">
        <v>3</v>
      </c>
      <c r="AD2065">
        <v>0</v>
      </c>
      <c r="AE2065">
        <v>9</v>
      </c>
      <c r="AF2065" t="s">
        <v>138</v>
      </c>
      <c r="AG2065">
        <v>0</v>
      </c>
      <c r="AH2065">
        <v>3</v>
      </c>
      <c r="AI2065">
        <v>1</v>
      </c>
      <c r="AJ2065">
        <v>0</v>
      </c>
      <c r="AK2065" t="s">
        <v>724</v>
      </c>
      <c r="AL2065">
        <v>32.774383999999998</v>
      </c>
      <c r="AM2065" t="s">
        <v>725</v>
      </c>
      <c r="AN2065">
        <v>-116.835437</v>
      </c>
      <c r="AO2065">
        <v>25</v>
      </c>
      <c r="AP2065">
        <v>3000</v>
      </c>
      <c r="AQ2065" t="s">
        <v>129</v>
      </c>
      <c r="AR2065">
        <v>129</v>
      </c>
      <c r="AS2065">
        <v>-26</v>
      </c>
      <c r="AT2065">
        <v>-64</v>
      </c>
      <c r="BB2065">
        <v>1200</v>
      </c>
      <c r="BC2065">
        <v>1</v>
      </c>
      <c r="BD2065" t="str">
        <f t="shared" si="726"/>
        <v xml:space="preserve">N887QR  </v>
      </c>
      <c r="BE2065">
        <v>1</v>
      </c>
      <c r="BG2065">
        <v>0</v>
      </c>
      <c r="BH2065">
        <v>0</v>
      </c>
      <c r="BI2065">
        <v>0</v>
      </c>
      <c r="BJ2065">
        <v>2675</v>
      </c>
      <c r="BK2065">
        <v>-325</v>
      </c>
      <c r="BL2065" t="s">
        <v>163</v>
      </c>
      <c r="BM2065">
        <v>1</v>
      </c>
      <c r="BN2065">
        <v>1</v>
      </c>
      <c r="BO2065">
        <v>1</v>
      </c>
      <c r="BP2065">
        <v>0</v>
      </c>
      <c r="BS2065">
        <v>0.12</v>
      </c>
      <c r="BT2065">
        <v>0</v>
      </c>
      <c r="BU2065">
        <v>0</v>
      </c>
      <c r="CE2065" t="str">
        <f t="shared" si="732"/>
        <v>19:30:55.108</v>
      </c>
      <c r="CF2065">
        <v>108484475</v>
      </c>
      <c r="CS2065">
        <v>0</v>
      </c>
      <c r="CT2065">
        <v>2</v>
      </c>
      <c r="CU2065">
        <v>0</v>
      </c>
      <c r="CV2065">
        <v>2</v>
      </c>
      <c r="CW2065">
        <v>0</v>
      </c>
      <c r="CX2065">
        <v>5</v>
      </c>
      <c r="CY2065">
        <v>7</v>
      </c>
      <c r="CZ2065" t="s">
        <v>131</v>
      </c>
      <c r="DA2065">
        <v>300</v>
      </c>
      <c r="DB2065">
        <v>0</v>
      </c>
      <c r="DC2065" t="s">
        <v>176</v>
      </c>
      <c r="DD2065" t="s">
        <v>177</v>
      </c>
      <c r="DG2065">
        <v>5401160</v>
      </c>
      <c r="DI2065">
        <v>1</v>
      </c>
      <c r="DJ2065">
        <v>0</v>
      </c>
      <c r="DK2065">
        <v>1</v>
      </c>
      <c r="DL2065">
        <v>0</v>
      </c>
      <c r="DM2065">
        <v>0</v>
      </c>
      <c r="DN2065">
        <v>1</v>
      </c>
      <c r="DO2065">
        <v>0</v>
      </c>
      <c r="DP2065">
        <v>0</v>
      </c>
      <c r="DQ2065">
        <v>0</v>
      </c>
      <c r="DR2065">
        <v>0</v>
      </c>
      <c r="DS2065">
        <v>0</v>
      </c>
    </row>
    <row r="2066" spans="1:123" x14ac:dyDescent="0.3">
      <c r="A2066" t="str">
        <f t="shared" ref="A2066:A2072" si="733">"10/04/2022 19:30:57.668"</f>
        <v>10/04/2022 19:30:57.668</v>
      </c>
      <c r="C2066" t="str">
        <f t="shared" si="722"/>
        <v>FFDFD3C0</v>
      </c>
      <c r="D2066" t="s">
        <v>136</v>
      </c>
      <c r="E2066">
        <v>8</v>
      </c>
      <c r="H2066">
        <v>225</v>
      </c>
      <c r="I2066" t="s">
        <v>137</v>
      </c>
      <c r="J2066" t="s">
        <v>138</v>
      </c>
      <c r="K2066">
        <v>0</v>
      </c>
      <c r="L2066">
        <v>3</v>
      </c>
      <c r="M2066">
        <v>0</v>
      </c>
      <c r="N2066">
        <v>2</v>
      </c>
      <c r="O2066">
        <v>0</v>
      </c>
      <c r="P2066">
        <v>1</v>
      </c>
      <c r="Q2066">
        <v>0</v>
      </c>
      <c r="S2066" t="str">
        <f t="shared" ref="S2066:T2072" si="734">"19:30:57.000"</f>
        <v>19:30:57.000</v>
      </c>
      <c r="T2066" t="str">
        <f t="shared" si="734"/>
        <v>19:30:57.000</v>
      </c>
      <c r="U2066" t="str">
        <f t="shared" si="725"/>
        <v>AC3944</v>
      </c>
      <c r="V2066">
        <v>0</v>
      </c>
      <c r="W2066">
        <v>0</v>
      </c>
      <c r="X2066">
        <v>2</v>
      </c>
      <c r="Y2066">
        <v>0</v>
      </c>
      <c r="AA2066">
        <v>1</v>
      </c>
      <c r="AB2066">
        <v>8</v>
      </c>
      <c r="AC2066">
        <v>3</v>
      </c>
      <c r="AD2066">
        <v>0</v>
      </c>
      <c r="AE2066">
        <v>9</v>
      </c>
      <c r="AF2066" t="s">
        <v>138</v>
      </c>
      <c r="AG2066">
        <v>0</v>
      </c>
      <c r="AH2066">
        <v>3</v>
      </c>
      <c r="AI2066">
        <v>1</v>
      </c>
      <c r="AJ2066">
        <v>0</v>
      </c>
      <c r="AK2066" t="s">
        <v>726</v>
      </c>
      <c r="AL2066">
        <v>32.774147999999997</v>
      </c>
      <c r="AM2066" t="s">
        <v>727</v>
      </c>
      <c r="AN2066">
        <v>-116.83402100000001</v>
      </c>
      <c r="AO2066">
        <v>25</v>
      </c>
      <c r="AP2066">
        <v>3000</v>
      </c>
      <c r="AQ2066" t="s">
        <v>129</v>
      </c>
      <c r="AR2066">
        <v>128</v>
      </c>
      <c r="AS2066">
        <v>-26</v>
      </c>
      <c r="AT2066">
        <v>0</v>
      </c>
      <c r="BB2066">
        <v>1200</v>
      </c>
      <c r="BC2066">
        <v>1</v>
      </c>
      <c r="BD2066" t="str">
        <f t="shared" si="726"/>
        <v xml:space="preserve">N887QR  </v>
      </c>
      <c r="BE2066">
        <v>1</v>
      </c>
      <c r="BG2066">
        <v>0</v>
      </c>
      <c r="BH2066">
        <v>0</v>
      </c>
      <c r="BI2066">
        <v>0</v>
      </c>
      <c r="BJ2066">
        <v>2675</v>
      </c>
      <c r="BK2066">
        <v>-325</v>
      </c>
      <c r="BL2066" t="s">
        <v>163</v>
      </c>
      <c r="BM2066">
        <v>1</v>
      </c>
      <c r="BN2066">
        <v>1</v>
      </c>
      <c r="BO2066">
        <v>1</v>
      </c>
      <c r="BP2066">
        <v>0</v>
      </c>
      <c r="BS2066">
        <v>0.12</v>
      </c>
      <c r="BT2066">
        <v>0</v>
      </c>
      <c r="BU2066">
        <v>0</v>
      </c>
      <c r="CE2066" t="str">
        <f t="shared" ref="CE2066:CE2072" si="735">"19:30:57.324"</f>
        <v>19:30:57.324</v>
      </c>
      <c r="CF2066">
        <v>323741773</v>
      </c>
      <c r="CS2066">
        <v>0</v>
      </c>
      <c r="CT2066">
        <v>2</v>
      </c>
      <c r="CU2066">
        <v>0</v>
      </c>
      <c r="CV2066">
        <v>2</v>
      </c>
      <c r="CW2066">
        <v>0</v>
      </c>
      <c r="CX2066">
        <v>4</v>
      </c>
      <c r="CY2066">
        <v>7</v>
      </c>
      <c r="CZ2066" t="s">
        <v>131</v>
      </c>
      <c r="DA2066">
        <v>300</v>
      </c>
      <c r="DB2066">
        <v>0</v>
      </c>
      <c r="DC2066" t="s">
        <v>176</v>
      </c>
      <c r="DD2066" t="s">
        <v>177</v>
      </c>
      <c r="DG2066">
        <v>5401492</v>
      </c>
      <c r="DI2066">
        <v>1</v>
      </c>
      <c r="DJ2066">
        <v>0</v>
      </c>
      <c r="DK2066">
        <v>0</v>
      </c>
      <c r="DL2066">
        <v>0</v>
      </c>
      <c r="DM2066">
        <v>0</v>
      </c>
      <c r="DN2066">
        <v>1</v>
      </c>
      <c r="DO2066">
        <v>0</v>
      </c>
      <c r="DP2066">
        <v>0</v>
      </c>
      <c r="DQ2066">
        <v>0</v>
      </c>
      <c r="DR2066">
        <v>0</v>
      </c>
      <c r="DS2066">
        <v>0</v>
      </c>
    </row>
    <row r="2067" spans="1:123" x14ac:dyDescent="0.3">
      <c r="A2067" t="str">
        <f t="shared" si="733"/>
        <v>10/04/2022 19:30:57.668</v>
      </c>
      <c r="C2067" t="str">
        <f t="shared" si="722"/>
        <v>FFDFD3C0</v>
      </c>
      <c r="D2067" t="s">
        <v>141</v>
      </c>
      <c r="E2067">
        <v>4</v>
      </c>
      <c r="H2067">
        <v>4</v>
      </c>
      <c r="I2067" t="s">
        <v>142</v>
      </c>
      <c r="J2067" t="s">
        <v>138</v>
      </c>
      <c r="K2067">
        <v>0</v>
      </c>
      <c r="L2067">
        <v>3</v>
      </c>
      <c r="M2067">
        <v>0</v>
      </c>
      <c r="N2067">
        <v>2</v>
      </c>
      <c r="O2067">
        <v>0</v>
      </c>
      <c r="P2067">
        <v>1</v>
      </c>
      <c r="Q2067">
        <v>0</v>
      </c>
      <c r="S2067" t="str">
        <f t="shared" si="734"/>
        <v>19:30:57.000</v>
      </c>
      <c r="T2067" t="str">
        <f t="shared" si="734"/>
        <v>19:30:57.000</v>
      </c>
      <c r="U2067" t="str">
        <f t="shared" si="725"/>
        <v>AC3944</v>
      </c>
      <c r="V2067">
        <v>0</v>
      </c>
      <c r="W2067">
        <v>0</v>
      </c>
      <c r="X2067">
        <v>2</v>
      </c>
      <c r="Y2067">
        <v>0</v>
      </c>
      <c r="AA2067">
        <v>1</v>
      </c>
      <c r="AB2067">
        <v>8</v>
      </c>
      <c r="AC2067">
        <v>3</v>
      </c>
      <c r="AD2067">
        <v>0</v>
      </c>
      <c r="AE2067">
        <v>9</v>
      </c>
      <c r="AF2067" t="s">
        <v>138</v>
      </c>
      <c r="AG2067">
        <v>0</v>
      </c>
      <c r="AH2067">
        <v>3</v>
      </c>
      <c r="AI2067">
        <v>1</v>
      </c>
      <c r="AJ2067">
        <v>0</v>
      </c>
      <c r="AK2067" t="s">
        <v>726</v>
      </c>
      <c r="AL2067">
        <v>32.774147999999997</v>
      </c>
      <c r="AM2067" t="s">
        <v>727</v>
      </c>
      <c r="AN2067">
        <v>-116.83402100000001</v>
      </c>
      <c r="AO2067">
        <v>25</v>
      </c>
      <c r="AP2067">
        <v>3000</v>
      </c>
      <c r="AQ2067" t="s">
        <v>129</v>
      </c>
      <c r="AR2067">
        <v>128</v>
      </c>
      <c r="AS2067">
        <v>-26</v>
      </c>
      <c r="AT2067">
        <v>0</v>
      </c>
      <c r="BB2067">
        <v>1200</v>
      </c>
      <c r="BC2067">
        <v>1</v>
      </c>
      <c r="BD2067" t="str">
        <f t="shared" si="726"/>
        <v xml:space="preserve">N887QR  </v>
      </c>
      <c r="BE2067">
        <v>1</v>
      </c>
      <c r="BG2067">
        <v>0</v>
      </c>
      <c r="BH2067">
        <v>0</v>
      </c>
      <c r="BI2067">
        <v>0</v>
      </c>
      <c r="BJ2067">
        <v>2675</v>
      </c>
      <c r="BK2067">
        <v>-325</v>
      </c>
      <c r="BL2067" t="s">
        <v>163</v>
      </c>
      <c r="BM2067">
        <v>1</v>
      </c>
      <c r="BN2067">
        <v>1</v>
      </c>
      <c r="BO2067">
        <v>1</v>
      </c>
      <c r="BP2067">
        <v>0</v>
      </c>
      <c r="BS2067">
        <v>0.12</v>
      </c>
      <c r="BT2067">
        <v>0</v>
      </c>
      <c r="BU2067">
        <v>0</v>
      </c>
      <c r="CE2067" t="str">
        <f t="shared" si="735"/>
        <v>19:30:57.324</v>
      </c>
      <c r="CF2067">
        <v>323741773</v>
      </c>
      <c r="CS2067">
        <v>0</v>
      </c>
      <c r="CT2067">
        <v>2</v>
      </c>
      <c r="CU2067">
        <v>0</v>
      </c>
      <c r="CV2067">
        <v>2</v>
      </c>
      <c r="CW2067">
        <v>0</v>
      </c>
      <c r="CX2067">
        <v>4</v>
      </c>
      <c r="CY2067">
        <v>7</v>
      </c>
      <c r="CZ2067" t="s">
        <v>131</v>
      </c>
      <c r="DA2067">
        <v>300</v>
      </c>
      <c r="DB2067">
        <v>0</v>
      </c>
      <c r="DC2067" t="s">
        <v>176</v>
      </c>
      <c r="DD2067" t="s">
        <v>177</v>
      </c>
      <c r="DG2067">
        <v>5401492</v>
      </c>
      <c r="DI2067">
        <v>1</v>
      </c>
      <c r="DJ2067">
        <v>0</v>
      </c>
      <c r="DK2067">
        <v>1</v>
      </c>
      <c r="DL2067">
        <v>0</v>
      </c>
      <c r="DM2067">
        <v>0</v>
      </c>
      <c r="DN2067">
        <v>1</v>
      </c>
      <c r="DO2067">
        <v>0</v>
      </c>
      <c r="DP2067">
        <v>0</v>
      </c>
      <c r="DQ2067">
        <v>0</v>
      </c>
      <c r="DR2067">
        <v>0</v>
      </c>
      <c r="DS2067">
        <v>0</v>
      </c>
    </row>
    <row r="2068" spans="1:123" x14ac:dyDescent="0.3">
      <c r="A2068" t="str">
        <f t="shared" si="733"/>
        <v>10/04/2022 19:30:57.668</v>
      </c>
      <c r="C2068" t="str">
        <f t="shared" si="722"/>
        <v>FFDFD3C0</v>
      </c>
      <c r="D2068" t="s">
        <v>147</v>
      </c>
      <c r="E2068">
        <v>3</v>
      </c>
      <c r="H2068">
        <v>166</v>
      </c>
      <c r="I2068" t="s">
        <v>144</v>
      </c>
      <c r="J2068" t="s">
        <v>148</v>
      </c>
      <c r="K2068">
        <v>0</v>
      </c>
      <c r="L2068">
        <v>3</v>
      </c>
      <c r="M2068">
        <v>0</v>
      </c>
      <c r="N2068">
        <v>2</v>
      </c>
      <c r="O2068">
        <v>0</v>
      </c>
      <c r="P2068">
        <v>1</v>
      </c>
      <c r="Q2068">
        <v>0</v>
      </c>
      <c r="S2068" t="str">
        <f t="shared" si="734"/>
        <v>19:30:57.000</v>
      </c>
      <c r="T2068" t="str">
        <f t="shared" si="734"/>
        <v>19:30:57.000</v>
      </c>
      <c r="U2068" t="str">
        <f t="shared" si="725"/>
        <v>AC3944</v>
      </c>
      <c r="V2068">
        <v>0</v>
      </c>
      <c r="W2068">
        <v>0</v>
      </c>
      <c r="X2068">
        <v>2</v>
      </c>
      <c r="Y2068">
        <v>0</v>
      </c>
      <c r="AA2068">
        <v>1</v>
      </c>
      <c r="AB2068">
        <v>8</v>
      </c>
      <c r="AC2068">
        <v>3</v>
      </c>
      <c r="AD2068">
        <v>0</v>
      </c>
      <c r="AE2068">
        <v>9</v>
      </c>
      <c r="AF2068" t="s">
        <v>138</v>
      </c>
      <c r="AG2068">
        <v>0</v>
      </c>
      <c r="AH2068">
        <v>3</v>
      </c>
      <c r="AI2068">
        <v>1</v>
      </c>
      <c r="AJ2068">
        <v>0</v>
      </c>
      <c r="AK2068" t="s">
        <v>726</v>
      </c>
      <c r="AL2068">
        <v>32.774147999999997</v>
      </c>
      <c r="AM2068" t="s">
        <v>727</v>
      </c>
      <c r="AN2068">
        <v>-116.83402100000001</v>
      </c>
      <c r="AO2068">
        <v>25</v>
      </c>
      <c r="AP2068">
        <v>3000</v>
      </c>
      <c r="AQ2068" t="s">
        <v>129</v>
      </c>
      <c r="AR2068">
        <v>128</v>
      </c>
      <c r="AS2068">
        <v>-26</v>
      </c>
      <c r="AT2068">
        <v>0</v>
      </c>
      <c r="BB2068">
        <v>1200</v>
      </c>
      <c r="BC2068">
        <v>1</v>
      </c>
      <c r="BD2068" t="str">
        <f t="shared" si="726"/>
        <v xml:space="preserve">N887QR  </v>
      </c>
      <c r="BE2068">
        <v>1</v>
      </c>
      <c r="BG2068">
        <v>0</v>
      </c>
      <c r="BH2068">
        <v>0</v>
      </c>
      <c r="BI2068">
        <v>0</v>
      </c>
      <c r="BJ2068">
        <v>2675</v>
      </c>
      <c r="BK2068">
        <v>-325</v>
      </c>
      <c r="BL2068" t="s">
        <v>163</v>
      </c>
      <c r="BM2068">
        <v>1</v>
      </c>
      <c r="BN2068">
        <v>1</v>
      </c>
      <c r="BO2068">
        <v>1</v>
      </c>
      <c r="BP2068">
        <v>0</v>
      </c>
      <c r="BS2068">
        <v>0.12</v>
      </c>
      <c r="BT2068">
        <v>0</v>
      </c>
      <c r="BU2068">
        <v>0</v>
      </c>
      <c r="CE2068" t="str">
        <f t="shared" si="735"/>
        <v>19:30:57.324</v>
      </c>
      <c r="CF2068">
        <v>323741773</v>
      </c>
      <c r="CS2068">
        <v>0</v>
      </c>
      <c r="CT2068">
        <v>2</v>
      </c>
      <c r="CU2068">
        <v>0</v>
      </c>
      <c r="CV2068">
        <v>2</v>
      </c>
      <c r="CW2068">
        <v>0</v>
      </c>
      <c r="CX2068">
        <v>4</v>
      </c>
      <c r="CY2068">
        <v>7</v>
      </c>
      <c r="CZ2068" t="s">
        <v>131</v>
      </c>
      <c r="DA2068">
        <v>300</v>
      </c>
      <c r="DB2068">
        <v>0</v>
      </c>
      <c r="DC2068" t="s">
        <v>176</v>
      </c>
      <c r="DD2068" t="s">
        <v>177</v>
      </c>
      <c r="DG2068">
        <v>5401492</v>
      </c>
      <c r="DI2068">
        <v>1</v>
      </c>
      <c r="DJ2068">
        <v>0</v>
      </c>
      <c r="DK2068">
        <v>1</v>
      </c>
      <c r="DL2068">
        <v>0</v>
      </c>
      <c r="DM2068">
        <v>0</v>
      </c>
      <c r="DN2068">
        <v>1</v>
      </c>
      <c r="DO2068">
        <v>0</v>
      </c>
      <c r="DP2068">
        <v>0</v>
      </c>
      <c r="DQ2068">
        <v>0</v>
      </c>
      <c r="DR2068">
        <v>0</v>
      </c>
      <c r="DS2068">
        <v>0</v>
      </c>
    </row>
    <row r="2069" spans="1:123" x14ac:dyDescent="0.3">
      <c r="A2069" t="str">
        <f t="shared" si="733"/>
        <v>10/04/2022 19:30:57.668</v>
      </c>
      <c r="C2069" t="str">
        <f t="shared" si="722"/>
        <v>FFDFD3C0</v>
      </c>
      <c r="D2069" t="s">
        <v>143</v>
      </c>
      <c r="E2069">
        <v>20</v>
      </c>
      <c r="F2069">
        <v>1020</v>
      </c>
      <c r="G2069" t="s">
        <v>144</v>
      </c>
      <c r="J2069" t="s">
        <v>145</v>
      </c>
      <c r="K2069">
        <v>0</v>
      </c>
      <c r="L2069">
        <v>3</v>
      </c>
      <c r="M2069">
        <v>0</v>
      </c>
      <c r="N2069">
        <v>2</v>
      </c>
      <c r="O2069">
        <v>0</v>
      </c>
      <c r="P2069">
        <v>1</v>
      </c>
      <c r="Q2069">
        <v>0</v>
      </c>
      <c r="S2069" t="str">
        <f t="shared" si="734"/>
        <v>19:30:57.000</v>
      </c>
      <c r="T2069" t="str">
        <f t="shared" si="734"/>
        <v>19:30:57.000</v>
      </c>
      <c r="U2069" t="str">
        <f t="shared" si="725"/>
        <v>AC3944</v>
      </c>
      <c r="V2069">
        <v>0</v>
      </c>
      <c r="W2069">
        <v>0</v>
      </c>
      <c r="X2069">
        <v>2</v>
      </c>
      <c r="Y2069">
        <v>0</v>
      </c>
      <c r="AA2069">
        <v>1</v>
      </c>
      <c r="AB2069">
        <v>8</v>
      </c>
      <c r="AC2069">
        <v>3</v>
      </c>
      <c r="AD2069">
        <v>0</v>
      </c>
      <c r="AE2069">
        <v>9</v>
      </c>
      <c r="AF2069" t="s">
        <v>138</v>
      </c>
      <c r="AG2069">
        <v>0</v>
      </c>
      <c r="AH2069">
        <v>3</v>
      </c>
      <c r="AI2069">
        <v>1</v>
      </c>
      <c r="AJ2069">
        <v>0</v>
      </c>
      <c r="AK2069" t="s">
        <v>726</v>
      </c>
      <c r="AL2069">
        <v>32.774147999999997</v>
      </c>
      <c r="AM2069" t="s">
        <v>727</v>
      </c>
      <c r="AN2069">
        <v>-116.83402100000001</v>
      </c>
      <c r="AO2069">
        <v>25</v>
      </c>
      <c r="AP2069">
        <v>3000</v>
      </c>
      <c r="AQ2069" t="s">
        <v>129</v>
      </c>
      <c r="AR2069">
        <v>128</v>
      </c>
      <c r="AS2069">
        <v>-26</v>
      </c>
      <c r="AT2069">
        <v>0</v>
      </c>
      <c r="BB2069">
        <v>1200</v>
      </c>
      <c r="BC2069">
        <v>1</v>
      </c>
      <c r="BD2069" t="str">
        <f t="shared" si="726"/>
        <v xml:space="preserve">N887QR  </v>
      </c>
      <c r="BE2069">
        <v>1</v>
      </c>
      <c r="BG2069">
        <v>0</v>
      </c>
      <c r="BH2069">
        <v>0</v>
      </c>
      <c r="BI2069">
        <v>0</v>
      </c>
      <c r="BJ2069">
        <v>2675</v>
      </c>
      <c r="BK2069">
        <v>-325</v>
      </c>
      <c r="BL2069" t="s">
        <v>163</v>
      </c>
      <c r="BM2069">
        <v>1</v>
      </c>
      <c r="BN2069">
        <v>1</v>
      </c>
      <c r="BO2069">
        <v>1</v>
      </c>
      <c r="BP2069">
        <v>0</v>
      </c>
      <c r="BS2069">
        <v>0.12</v>
      </c>
      <c r="BT2069">
        <v>0</v>
      </c>
      <c r="BU2069">
        <v>0</v>
      </c>
      <c r="CE2069" t="str">
        <f t="shared" si="735"/>
        <v>19:30:57.324</v>
      </c>
      <c r="CF2069">
        <v>323741773</v>
      </c>
      <c r="CS2069">
        <v>0</v>
      </c>
      <c r="CT2069">
        <v>2</v>
      </c>
      <c r="CU2069">
        <v>0</v>
      </c>
      <c r="CV2069">
        <v>2</v>
      </c>
      <c r="CW2069">
        <v>0</v>
      </c>
      <c r="CX2069">
        <v>4</v>
      </c>
      <c r="CY2069">
        <v>7</v>
      </c>
      <c r="CZ2069" t="s">
        <v>131</v>
      </c>
      <c r="DA2069">
        <v>300</v>
      </c>
      <c r="DB2069">
        <v>0</v>
      </c>
      <c r="DC2069" t="s">
        <v>176</v>
      </c>
      <c r="DD2069" t="s">
        <v>177</v>
      </c>
      <c r="DG2069">
        <v>5401492</v>
      </c>
      <c r="DI2069">
        <v>1</v>
      </c>
      <c r="DJ2069">
        <v>0</v>
      </c>
      <c r="DK2069">
        <v>1</v>
      </c>
      <c r="DL2069">
        <v>0</v>
      </c>
      <c r="DM2069">
        <v>0</v>
      </c>
      <c r="DN2069">
        <v>1</v>
      </c>
      <c r="DO2069">
        <v>0</v>
      </c>
      <c r="DP2069">
        <v>0</v>
      </c>
      <c r="DQ2069">
        <v>0</v>
      </c>
      <c r="DR2069">
        <v>0</v>
      </c>
      <c r="DS2069">
        <v>0</v>
      </c>
    </row>
    <row r="2070" spans="1:123" x14ac:dyDescent="0.3">
      <c r="A2070" t="str">
        <f t="shared" si="733"/>
        <v>10/04/2022 19:30:57.668</v>
      </c>
      <c r="C2070" t="str">
        <f t="shared" si="722"/>
        <v>FFDFD3C0</v>
      </c>
      <c r="D2070" t="s">
        <v>123</v>
      </c>
      <c r="E2070">
        <v>7</v>
      </c>
      <c r="F2070">
        <v>2007</v>
      </c>
      <c r="G2070" t="s">
        <v>124</v>
      </c>
      <c r="J2070" t="s">
        <v>125</v>
      </c>
      <c r="K2070">
        <v>0</v>
      </c>
      <c r="L2070">
        <v>3</v>
      </c>
      <c r="M2070">
        <v>0</v>
      </c>
      <c r="N2070">
        <v>2</v>
      </c>
      <c r="O2070">
        <v>0</v>
      </c>
      <c r="P2070">
        <v>1</v>
      </c>
      <c r="Q2070">
        <v>0</v>
      </c>
      <c r="S2070" t="str">
        <f t="shared" si="734"/>
        <v>19:30:57.000</v>
      </c>
      <c r="T2070" t="str">
        <f t="shared" si="734"/>
        <v>19:30:57.000</v>
      </c>
      <c r="U2070" t="str">
        <f t="shared" si="725"/>
        <v>AC3944</v>
      </c>
      <c r="V2070">
        <v>0</v>
      </c>
      <c r="W2070">
        <v>0</v>
      </c>
      <c r="X2070">
        <v>2</v>
      </c>
      <c r="Y2070">
        <v>0</v>
      </c>
      <c r="AA2070">
        <v>1</v>
      </c>
      <c r="AB2070">
        <v>8</v>
      </c>
      <c r="AC2070">
        <v>3</v>
      </c>
      <c r="AD2070">
        <v>0</v>
      </c>
      <c r="AE2070">
        <v>9</v>
      </c>
      <c r="AF2070" t="s">
        <v>138</v>
      </c>
      <c r="AG2070">
        <v>0</v>
      </c>
      <c r="AH2070">
        <v>3</v>
      </c>
      <c r="AI2070">
        <v>1</v>
      </c>
      <c r="AJ2070">
        <v>0</v>
      </c>
      <c r="AK2070" t="s">
        <v>726</v>
      </c>
      <c r="AL2070">
        <v>32.774147999999997</v>
      </c>
      <c r="AM2070" t="s">
        <v>727</v>
      </c>
      <c r="AN2070">
        <v>-116.83402100000001</v>
      </c>
      <c r="AO2070">
        <v>25</v>
      </c>
      <c r="AP2070">
        <v>3000</v>
      </c>
      <c r="AQ2070" t="s">
        <v>129</v>
      </c>
      <c r="AR2070">
        <v>128</v>
      </c>
      <c r="AS2070">
        <v>-26</v>
      </c>
      <c r="AT2070">
        <v>0</v>
      </c>
      <c r="BB2070">
        <v>1200</v>
      </c>
      <c r="BC2070">
        <v>1</v>
      </c>
      <c r="BD2070" t="str">
        <f t="shared" si="726"/>
        <v xml:space="preserve">N887QR  </v>
      </c>
      <c r="BE2070">
        <v>1</v>
      </c>
      <c r="BG2070">
        <v>0</v>
      </c>
      <c r="BH2070">
        <v>0</v>
      </c>
      <c r="BI2070">
        <v>0</v>
      </c>
      <c r="BJ2070">
        <v>2675</v>
      </c>
      <c r="BK2070">
        <v>-325</v>
      </c>
      <c r="BL2070" t="s">
        <v>163</v>
      </c>
      <c r="BM2070">
        <v>1</v>
      </c>
      <c r="BN2070">
        <v>1</v>
      </c>
      <c r="BO2070">
        <v>1</v>
      </c>
      <c r="BP2070">
        <v>0</v>
      </c>
      <c r="BS2070">
        <v>0.12</v>
      </c>
      <c r="BT2070">
        <v>0</v>
      </c>
      <c r="BU2070">
        <v>0</v>
      </c>
      <c r="CE2070" t="str">
        <f t="shared" si="735"/>
        <v>19:30:57.324</v>
      </c>
      <c r="CF2070">
        <v>323741773</v>
      </c>
      <c r="CS2070">
        <v>0</v>
      </c>
      <c r="CT2070">
        <v>2</v>
      </c>
      <c r="CU2070">
        <v>0</v>
      </c>
      <c r="CV2070">
        <v>2</v>
      </c>
      <c r="CW2070">
        <v>0</v>
      </c>
      <c r="CX2070">
        <v>4</v>
      </c>
      <c r="CY2070">
        <v>7</v>
      </c>
      <c r="CZ2070" t="s">
        <v>131</v>
      </c>
      <c r="DA2070">
        <v>300</v>
      </c>
      <c r="DB2070">
        <v>0</v>
      </c>
      <c r="DC2070" t="s">
        <v>176</v>
      </c>
      <c r="DD2070" t="s">
        <v>177</v>
      </c>
      <c r="DG2070">
        <v>5401492</v>
      </c>
      <c r="DI2070">
        <v>1</v>
      </c>
      <c r="DJ2070">
        <v>0</v>
      </c>
      <c r="DK2070">
        <v>1</v>
      </c>
      <c r="DL2070">
        <v>0</v>
      </c>
      <c r="DM2070">
        <v>0</v>
      </c>
      <c r="DN2070">
        <v>1</v>
      </c>
      <c r="DO2070">
        <v>0</v>
      </c>
      <c r="DP2070">
        <v>0</v>
      </c>
      <c r="DQ2070">
        <v>0</v>
      </c>
      <c r="DR2070">
        <v>0</v>
      </c>
      <c r="DS2070">
        <v>0</v>
      </c>
    </row>
    <row r="2071" spans="1:123" x14ac:dyDescent="0.3">
      <c r="A2071" t="str">
        <f t="shared" si="733"/>
        <v>10/04/2022 19:30:57.668</v>
      </c>
      <c r="C2071" t="str">
        <f t="shared" si="722"/>
        <v>FFDFD3C0</v>
      </c>
      <c r="D2071" t="s">
        <v>141</v>
      </c>
      <c r="E2071">
        <v>3</v>
      </c>
      <c r="H2071">
        <v>3</v>
      </c>
      <c r="I2071" t="s">
        <v>146</v>
      </c>
      <c r="J2071" t="s">
        <v>138</v>
      </c>
      <c r="K2071">
        <v>0</v>
      </c>
      <c r="L2071">
        <v>3</v>
      </c>
      <c r="M2071">
        <v>0</v>
      </c>
      <c r="N2071">
        <v>2</v>
      </c>
      <c r="O2071">
        <v>0</v>
      </c>
      <c r="P2071">
        <v>1</v>
      </c>
      <c r="Q2071">
        <v>0</v>
      </c>
      <c r="S2071" t="str">
        <f t="shared" si="734"/>
        <v>19:30:57.000</v>
      </c>
      <c r="T2071" t="str">
        <f t="shared" si="734"/>
        <v>19:30:57.000</v>
      </c>
      <c r="U2071" t="str">
        <f t="shared" si="725"/>
        <v>AC3944</v>
      </c>
      <c r="V2071">
        <v>0</v>
      </c>
      <c r="W2071">
        <v>0</v>
      </c>
      <c r="X2071">
        <v>2</v>
      </c>
      <c r="Y2071">
        <v>0</v>
      </c>
      <c r="AA2071">
        <v>1</v>
      </c>
      <c r="AB2071">
        <v>8</v>
      </c>
      <c r="AC2071">
        <v>3</v>
      </c>
      <c r="AD2071">
        <v>0</v>
      </c>
      <c r="AE2071">
        <v>9</v>
      </c>
      <c r="AF2071" t="s">
        <v>138</v>
      </c>
      <c r="AG2071">
        <v>0</v>
      </c>
      <c r="AH2071">
        <v>3</v>
      </c>
      <c r="AI2071">
        <v>1</v>
      </c>
      <c r="AJ2071">
        <v>0</v>
      </c>
      <c r="AK2071" t="s">
        <v>726</v>
      </c>
      <c r="AL2071">
        <v>32.774147999999997</v>
      </c>
      <c r="AM2071" t="s">
        <v>727</v>
      </c>
      <c r="AN2071">
        <v>-116.83402100000001</v>
      </c>
      <c r="AO2071">
        <v>25</v>
      </c>
      <c r="AP2071">
        <v>3000</v>
      </c>
      <c r="AQ2071" t="s">
        <v>129</v>
      </c>
      <c r="AR2071">
        <v>128</v>
      </c>
      <c r="AS2071">
        <v>-26</v>
      </c>
      <c r="AT2071">
        <v>0</v>
      </c>
      <c r="BB2071">
        <v>1200</v>
      </c>
      <c r="BC2071">
        <v>1</v>
      </c>
      <c r="BD2071" t="str">
        <f t="shared" si="726"/>
        <v xml:space="preserve">N887QR  </v>
      </c>
      <c r="BE2071">
        <v>1</v>
      </c>
      <c r="BG2071">
        <v>0</v>
      </c>
      <c r="BH2071">
        <v>0</v>
      </c>
      <c r="BI2071">
        <v>0</v>
      </c>
      <c r="BJ2071">
        <v>2675</v>
      </c>
      <c r="BK2071">
        <v>-325</v>
      </c>
      <c r="BL2071" t="s">
        <v>163</v>
      </c>
      <c r="BM2071">
        <v>1</v>
      </c>
      <c r="BN2071">
        <v>1</v>
      </c>
      <c r="BO2071">
        <v>1</v>
      </c>
      <c r="BP2071">
        <v>0</v>
      </c>
      <c r="BS2071">
        <v>0.12</v>
      </c>
      <c r="BT2071">
        <v>0</v>
      </c>
      <c r="BU2071">
        <v>0</v>
      </c>
      <c r="CE2071" t="str">
        <f t="shared" si="735"/>
        <v>19:30:57.324</v>
      </c>
      <c r="CF2071">
        <v>323741773</v>
      </c>
      <c r="CS2071">
        <v>0</v>
      </c>
      <c r="CT2071">
        <v>2</v>
      </c>
      <c r="CU2071">
        <v>0</v>
      </c>
      <c r="CV2071">
        <v>2</v>
      </c>
      <c r="CW2071">
        <v>0</v>
      </c>
      <c r="CX2071">
        <v>4</v>
      </c>
      <c r="CY2071">
        <v>7</v>
      </c>
      <c r="CZ2071" t="s">
        <v>131</v>
      </c>
      <c r="DA2071">
        <v>300</v>
      </c>
      <c r="DB2071">
        <v>0</v>
      </c>
      <c r="DC2071" t="s">
        <v>176</v>
      </c>
      <c r="DD2071" t="s">
        <v>177</v>
      </c>
      <c r="DG2071">
        <v>5401492</v>
      </c>
      <c r="DI2071">
        <v>1</v>
      </c>
      <c r="DJ2071">
        <v>0</v>
      </c>
      <c r="DK2071">
        <v>1</v>
      </c>
      <c r="DL2071">
        <v>0</v>
      </c>
      <c r="DM2071">
        <v>0</v>
      </c>
      <c r="DN2071">
        <v>1</v>
      </c>
      <c r="DO2071">
        <v>0</v>
      </c>
      <c r="DP2071">
        <v>0</v>
      </c>
      <c r="DQ2071">
        <v>0</v>
      </c>
      <c r="DR2071">
        <v>0</v>
      </c>
      <c r="DS2071">
        <v>0</v>
      </c>
    </row>
    <row r="2072" spans="1:123" x14ac:dyDescent="0.3">
      <c r="A2072" t="str">
        <f t="shared" si="733"/>
        <v>10/04/2022 19:30:57.668</v>
      </c>
      <c r="C2072" t="str">
        <f t="shared" si="722"/>
        <v>FFDFD3C0</v>
      </c>
      <c r="D2072" t="s">
        <v>134</v>
      </c>
      <c r="E2072">
        <v>15</v>
      </c>
      <c r="J2072" t="s">
        <v>135</v>
      </c>
      <c r="K2072">
        <v>0</v>
      </c>
      <c r="L2072">
        <v>3</v>
      </c>
      <c r="M2072">
        <v>0</v>
      </c>
      <c r="N2072">
        <v>2</v>
      </c>
      <c r="O2072">
        <v>0</v>
      </c>
      <c r="P2072">
        <v>1</v>
      </c>
      <c r="Q2072">
        <v>0</v>
      </c>
      <c r="S2072" t="str">
        <f t="shared" si="734"/>
        <v>19:30:57.000</v>
      </c>
      <c r="T2072" t="str">
        <f t="shared" si="734"/>
        <v>19:30:57.000</v>
      </c>
      <c r="U2072" t="str">
        <f t="shared" si="725"/>
        <v>AC3944</v>
      </c>
      <c r="V2072">
        <v>0</v>
      </c>
      <c r="W2072">
        <v>0</v>
      </c>
      <c r="X2072">
        <v>2</v>
      </c>
      <c r="Y2072">
        <v>0</v>
      </c>
      <c r="AA2072">
        <v>1</v>
      </c>
      <c r="AB2072">
        <v>8</v>
      </c>
      <c r="AC2072">
        <v>3</v>
      </c>
      <c r="AD2072">
        <v>0</v>
      </c>
      <c r="AE2072">
        <v>9</v>
      </c>
      <c r="AF2072" t="s">
        <v>138</v>
      </c>
      <c r="AG2072">
        <v>0</v>
      </c>
      <c r="AH2072">
        <v>3</v>
      </c>
      <c r="AI2072">
        <v>1</v>
      </c>
      <c r="AJ2072">
        <v>0</v>
      </c>
      <c r="AK2072" t="s">
        <v>726</v>
      </c>
      <c r="AL2072">
        <v>32.774147999999997</v>
      </c>
      <c r="AM2072" t="s">
        <v>727</v>
      </c>
      <c r="AN2072">
        <v>-116.83402100000001</v>
      </c>
      <c r="AO2072">
        <v>25</v>
      </c>
      <c r="AP2072">
        <v>3000</v>
      </c>
      <c r="AQ2072" t="s">
        <v>129</v>
      </c>
      <c r="AR2072">
        <v>128</v>
      </c>
      <c r="AS2072">
        <v>-26</v>
      </c>
      <c r="AT2072">
        <v>0</v>
      </c>
      <c r="BB2072">
        <v>1200</v>
      </c>
      <c r="BC2072">
        <v>1</v>
      </c>
      <c r="BD2072" t="str">
        <f t="shared" si="726"/>
        <v xml:space="preserve">N887QR  </v>
      </c>
      <c r="BE2072">
        <v>1</v>
      </c>
      <c r="BG2072">
        <v>0</v>
      </c>
      <c r="BH2072">
        <v>0</v>
      </c>
      <c r="BI2072">
        <v>0</v>
      </c>
      <c r="BJ2072">
        <v>2675</v>
      </c>
      <c r="BK2072">
        <v>-325</v>
      </c>
      <c r="BL2072" t="s">
        <v>163</v>
      </c>
      <c r="BM2072">
        <v>1</v>
      </c>
      <c r="BN2072">
        <v>1</v>
      </c>
      <c r="BO2072">
        <v>1</v>
      </c>
      <c r="BP2072">
        <v>0</v>
      </c>
      <c r="BS2072">
        <v>0.12</v>
      </c>
      <c r="BT2072">
        <v>0</v>
      </c>
      <c r="BU2072">
        <v>0</v>
      </c>
      <c r="CE2072" t="str">
        <f t="shared" si="735"/>
        <v>19:30:57.324</v>
      </c>
      <c r="CF2072">
        <v>323741773</v>
      </c>
      <c r="CS2072">
        <v>0</v>
      </c>
      <c r="CT2072">
        <v>2</v>
      </c>
      <c r="CU2072">
        <v>0</v>
      </c>
      <c r="CV2072">
        <v>2</v>
      </c>
      <c r="CW2072">
        <v>0</v>
      </c>
      <c r="CX2072">
        <v>4</v>
      </c>
      <c r="CY2072">
        <v>7</v>
      </c>
      <c r="CZ2072" t="s">
        <v>131</v>
      </c>
      <c r="DA2072">
        <v>300</v>
      </c>
      <c r="DB2072">
        <v>0</v>
      </c>
      <c r="DC2072" t="s">
        <v>176</v>
      </c>
      <c r="DD2072" t="s">
        <v>177</v>
      </c>
      <c r="DG2072">
        <v>5401492</v>
      </c>
      <c r="DI2072">
        <v>1</v>
      </c>
      <c r="DJ2072">
        <v>0</v>
      </c>
      <c r="DK2072">
        <v>1</v>
      </c>
      <c r="DL2072">
        <v>0</v>
      </c>
      <c r="DM2072">
        <v>0</v>
      </c>
      <c r="DN2072">
        <v>1</v>
      </c>
      <c r="DO2072">
        <v>0</v>
      </c>
      <c r="DP2072">
        <v>0</v>
      </c>
      <c r="DQ2072">
        <v>0</v>
      </c>
      <c r="DR2072">
        <v>0</v>
      </c>
      <c r="DS2072">
        <v>0</v>
      </c>
    </row>
    <row r="2073" spans="1:123" x14ac:dyDescent="0.3">
      <c r="A2073" t="str">
        <f>"10/04/2022 19:30:58.606"</f>
        <v>10/04/2022 19:30:58.606</v>
      </c>
      <c r="C2073" t="str">
        <f t="shared" si="722"/>
        <v>FFDFD3C0</v>
      </c>
      <c r="D2073" t="s">
        <v>136</v>
      </c>
      <c r="E2073">
        <v>8</v>
      </c>
      <c r="H2073">
        <v>225</v>
      </c>
      <c r="I2073" t="s">
        <v>137</v>
      </c>
      <c r="J2073" t="s">
        <v>138</v>
      </c>
      <c r="K2073">
        <v>0</v>
      </c>
      <c r="L2073">
        <v>3</v>
      </c>
      <c r="M2073">
        <v>0</v>
      </c>
      <c r="N2073">
        <v>2</v>
      </c>
      <c r="O2073">
        <v>0</v>
      </c>
      <c r="P2073">
        <v>1</v>
      </c>
      <c r="Q2073">
        <v>0</v>
      </c>
      <c r="S2073" t="str">
        <f t="shared" ref="S2073:T2086" si="736">"19:30:58.000"</f>
        <v>19:30:58.000</v>
      </c>
      <c r="T2073" t="str">
        <f t="shared" si="736"/>
        <v>19:30:58.000</v>
      </c>
      <c r="U2073" t="str">
        <f t="shared" si="725"/>
        <v>AC3944</v>
      </c>
      <c r="V2073">
        <v>0</v>
      </c>
      <c r="W2073">
        <v>0</v>
      </c>
      <c r="X2073">
        <v>2</v>
      </c>
      <c r="Y2073">
        <v>0</v>
      </c>
      <c r="AA2073">
        <v>1</v>
      </c>
      <c r="AB2073">
        <v>8</v>
      </c>
      <c r="AC2073">
        <v>3</v>
      </c>
      <c r="AD2073">
        <v>0</v>
      </c>
      <c r="AE2073">
        <v>9</v>
      </c>
      <c r="AF2073" t="s">
        <v>138</v>
      </c>
      <c r="AG2073">
        <v>0</v>
      </c>
      <c r="AH2073">
        <v>3</v>
      </c>
      <c r="AI2073">
        <v>1</v>
      </c>
      <c r="AJ2073">
        <v>0</v>
      </c>
      <c r="AK2073" t="s">
        <v>728</v>
      </c>
      <c r="AL2073">
        <v>32.774019000000003</v>
      </c>
      <c r="AM2073" t="s">
        <v>729</v>
      </c>
      <c r="AN2073">
        <v>-116.833313</v>
      </c>
      <c r="AO2073">
        <v>25</v>
      </c>
      <c r="AP2073">
        <v>3000</v>
      </c>
      <c r="AQ2073" t="s">
        <v>129</v>
      </c>
      <c r="AR2073">
        <v>128</v>
      </c>
      <c r="AS2073">
        <v>-27</v>
      </c>
      <c r="AT2073">
        <v>192</v>
      </c>
      <c r="BB2073">
        <v>1200</v>
      </c>
      <c r="BC2073">
        <v>1</v>
      </c>
      <c r="BD2073" t="str">
        <f t="shared" si="726"/>
        <v xml:space="preserve">N887QR  </v>
      </c>
      <c r="BE2073">
        <v>1</v>
      </c>
      <c r="BG2073">
        <v>0</v>
      </c>
      <c r="BH2073">
        <v>0</v>
      </c>
      <c r="BI2073">
        <v>0</v>
      </c>
      <c r="BJ2073">
        <v>2700</v>
      </c>
      <c r="BK2073">
        <v>-300</v>
      </c>
      <c r="BL2073" t="s">
        <v>163</v>
      </c>
      <c r="BM2073">
        <v>1</v>
      </c>
      <c r="BN2073">
        <v>1</v>
      </c>
      <c r="BO2073">
        <v>1</v>
      </c>
      <c r="BP2073">
        <v>0</v>
      </c>
      <c r="BS2073">
        <v>0.08</v>
      </c>
      <c r="BT2073">
        <v>0</v>
      </c>
      <c r="BU2073">
        <v>0</v>
      </c>
      <c r="CE2073" t="str">
        <f t="shared" ref="CE2073:CE2079" si="737">"19:30:58.237"</f>
        <v>19:30:58.237</v>
      </c>
      <c r="CF2073">
        <v>236994772</v>
      </c>
      <c r="CS2073">
        <v>0</v>
      </c>
      <c r="CT2073">
        <v>2</v>
      </c>
      <c r="CU2073">
        <v>0</v>
      </c>
      <c r="CV2073">
        <v>2</v>
      </c>
      <c r="CW2073">
        <v>0</v>
      </c>
      <c r="CX2073">
        <v>4</v>
      </c>
      <c r="CY2073">
        <v>7</v>
      </c>
      <c r="CZ2073" t="s">
        <v>131</v>
      </c>
      <c r="DA2073">
        <v>300</v>
      </c>
      <c r="DB2073">
        <v>0</v>
      </c>
      <c r="DC2073" t="s">
        <v>176</v>
      </c>
      <c r="DD2073" t="s">
        <v>177</v>
      </c>
      <c r="DG2073">
        <v>5401643</v>
      </c>
      <c r="DI2073">
        <v>1</v>
      </c>
      <c r="DJ2073">
        <v>0</v>
      </c>
      <c r="DK2073">
        <v>0</v>
      </c>
      <c r="DL2073">
        <v>0</v>
      </c>
      <c r="DM2073">
        <v>0</v>
      </c>
      <c r="DN2073">
        <v>1</v>
      </c>
      <c r="DO2073">
        <v>0</v>
      </c>
      <c r="DP2073">
        <v>0</v>
      </c>
      <c r="DQ2073">
        <v>0</v>
      </c>
      <c r="DR2073">
        <v>0</v>
      </c>
      <c r="DS2073">
        <v>0</v>
      </c>
    </row>
    <row r="2074" spans="1:123" x14ac:dyDescent="0.3">
      <c r="A2074" t="str">
        <f>"10/04/2022 19:30:58.606"</f>
        <v>10/04/2022 19:30:58.606</v>
      </c>
      <c r="C2074" t="str">
        <f t="shared" ref="C2074:C2105" si="738">"FFDFD3C0"</f>
        <v>FFDFD3C0</v>
      </c>
      <c r="D2074" t="s">
        <v>141</v>
      </c>
      <c r="E2074">
        <v>4</v>
      </c>
      <c r="H2074">
        <v>4</v>
      </c>
      <c r="I2074" t="s">
        <v>142</v>
      </c>
      <c r="J2074" t="s">
        <v>138</v>
      </c>
      <c r="K2074">
        <v>0</v>
      </c>
      <c r="L2074">
        <v>3</v>
      </c>
      <c r="M2074">
        <v>0</v>
      </c>
      <c r="N2074">
        <v>2</v>
      </c>
      <c r="O2074">
        <v>0</v>
      </c>
      <c r="P2074">
        <v>1</v>
      </c>
      <c r="Q2074">
        <v>0</v>
      </c>
      <c r="S2074" t="str">
        <f t="shared" si="736"/>
        <v>19:30:58.000</v>
      </c>
      <c r="T2074" t="str">
        <f t="shared" si="736"/>
        <v>19:30:58.000</v>
      </c>
      <c r="U2074" t="str">
        <f t="shared" si="725"/>
        <v>AC3944</v>
      </c>
      <c r="V2074">
        <v>0</v>
      </c>
      <c r="W2074">
        <v>0</v>
      </c>
      <c r="X2074">
        <v>2</v>
      </c>
      <c r="Y2074">
        <v>0</v>
      </c>
      <c r="AA2074">
        <v>1</v>
      </c>
      <c r="AB2074">
        <v>8</v>
      </c>
      <c r="AC2074">
        <v>3</v>
      </c>
      <c r="AD2074">
        <v>0</v>
      </c>
      <c r="AE2074">
        <v>9</v>
      </c>
      <c r="AF2074" t="s">
        <v>138</v>
      </c>
      <c r="AG2074">
        <v>0</v>
      </c>
      <c r="AH2074">
        <v>3</v>
      </c>
      <c r="AI2074">
        <v>1</v>
      </c>
      <c r="AJ2074">
        <v>0</v>
      </c>
      <c r="AK2074" t="s">
        <v>728</v>
      </c>
      <c r="AL2074">
        <v>32.774019000000003</v>
      </c>
      <c r="AM2074" t="s">
        <v>729</v>
      </c>
      <c r="AN2074">
        <v>-116.833313</v>
      </c>
      <c r="AO2074">
        <v>25</v>
      </c>
      <c r="AP2074">
        <v>3000</v>
      </c>
      <c r="AQ2074" t="s">
        <v>129</v>
      </c>
      <c r="AR2074">
        <v>128</v>
      </c>
      <c r="AS2074">
        <v>-27</v>
      </c>
      <c r="AT2074">
        <v>192</v>
      </c>
      <c r="BB2074">
        <v>1200</v>
      </c>
      <c r="BC2074">
        <v>1</v>
      </c>
      <c r="BD2074" t="str">
        <f t="shared" si="726"/>
        <v xml:space="preserve">N887QR  </v>
      </c>
      <c r="BE2074">
        <v>1</v>
      </c>
      <c r="BG2074">
        <v>0</v>
      </c>
      <c r="BH2074">
        <v>0</v>
      </c>
      <c r="BI2074">
        <v>0</v>
      </c>
      <c r="BJ2074">
        <v>2700</v>
      </c>
      <c r="BK2074">
        <v>-300</v>
      </c>
      <c r="BL2074" t="s">
        <v>163</v>
      </c>
      <c r="BM2074">
        <v>1</v>
      </c>
      <c r="BN2074">
        <v>1</v>
      </c>
      <c r="BO2074">
        <v>1</v>
      </c>
      <c r="BP2074">
        <v>0</v>
      </c>
      <c r="BS2074">
        <v>0.08</v>
      </c>
      <c r="BT2074">
        <v>0</v>
      </c>
      <c r="BU2074">
        <v>0</v>
      </c>
      <c r="CE2074" t="str">
        <f t="shared" si="737"/>
        <v>19:30:58.237</v>
      </c>
      <c r="CF2074">
        <v>236994772</v>
      </c>
      <c r="CS2074">
        <v>0</v>
      </c>
      <c r="CT2074">
        <v>2</v>
      </c>
      <c r="CU2074">
        <v>0</v>
      </c>
      <c r="CV2074">
        <v>2</v>
      </c>
      <c r="CW2074">
        <v>0</v>
      </c>
      <c r="CX2074">
        <v>4</v>
      </c>
      <c r="CY2074">
        <v>7</v>
      </c>
      <c r="CZ2074" t="s">
        <v>131</v>
      </c>
      <c r="DA2074">
        <v>300</v>
      </c>
      <c r="DB2074">
        <v>0</v>
      </c>
      <c r="DC2074" t="s">
        <v>176</v>
      </c>
      <c r="DD2074" t="s">
        <v>177</v>
      </c>
      <c r="DG2074">
        <v>5401643</v>
      </c>
      <c r="DI2074">
        <v>1</v>
      </c>
      <c r="DJ2074">
        <v>0</v>
      </c>
      <c r="DK2074">
        <v>1</v>
      </c>
      <c r="DL2074">
        <v>0</v>
      </c>
      <c r="DM2074">
        <v>0</v>
      </c>
      <c r="DN2074">
        <v>1</v>
      </c>
      <c r="DO2074">
        <v>0</v>
      </c>
      <c r="DP2074">
        <v>0</v>
      </c>
      <c r="DQ2074">
        <v>0</v>
      </c>
      <c r="DR2074">
        <v>0</v>
      </c>
      <c r="DS2074">
        <v>0</v>
      </c>
    </row>
    <row r="2075" spans="1:123" x14ac:dyDescent="0.3">
      <c r="A2075" t="str">
        <f>"10/04/2022 19:30:58.606"</f>
        <v>10/04/2022 19:30:58.606</v>
      </c>
      <c r="C2075" t="str">
        <f t="shared" si="738"/>
        <v>FFDFD3C0</v>
      </c>
      <c r="D2075" t="s">
        <v>147</v>
      </c>
      <c r="E2075">
        <v>3</v>
      </c>
      <c r="H2075">
        <v>166</v>
      </c>
      <c r="I2075" t="s">
        <v>144</v>
      </c>
      <c r="J2075" t="s">
        <v>148</v>
      </c>
      <c r="K2075">
        <v>0</v>
      </c>
      <c r="L2075">
        <v>3</v>
      </c>
      <c r="M2075">
        <v>0</v>
      </c>
      <c r="N2075">
        <v>2</v>
      </c>
      <c r="O2075">
        <v>0</v>
      </c>
      <c r="P2075">
        <v>1</v>
      </c>
      <c r="Q2075">
        <v>0</v>
      </c>
      <c r="S2075" t="str">
        <f t="shared" si="736"/>
        <v>19:30:58.000</v>
      </c>
      <c r="T2075" t="str">
        <f t="shared" si="736"/>
        <v>19:30:58.000</v>
      </c>
      <c r="U2075" t="str">
        <f t="shared" si="725"/>
        <v>AC3944</v>
      </c>
      <c r="V2075">
        <v>0</v>
      </c>
      <c r="W2075">
        <v>0</v>
      </c>
      <c r="X2075">
        <v>2</v>
      </c>
      <c r="Y2075">
        <v>0</v>
      </c>
      <c r="AA2075">
        <v>1</v>
      </c>
      <c r="AB2075">
        <v>8</v>
      </c>
      <c r="AC2075">
        <v>3</v>
      </c>
      <c r="AD2075">
        <v>0</v>
      </c>
      <c r="AE2075">
        <v>9</v>
      </c>
      <c r="AF2075" t="s">
        <v>138</v>
      </c>
      <c r="AG2075">
        <v>0</v>
      </c>
      <c r="AH2075">
        <v>3</v>
      </c>
      <c r="AI2075">
        <v>1</v>
      </c>
      <c r="AJ2075">
        <v>0</v>
      </c>
      <c r="AK2075" t="s">
        <v>728</v>
      </c>
      <c r="AL2075">
        <v>32.774019000000003</v>
      </c>
      <c r="AM2075" t="s">
        <v>729</v>
      </c>
      <c r="AN2075">
        <v>-116.833313</v>
      </c>
      <c r="AO2075">
        <v>25</v>
      </c>
      <c r="AP2075">
        <v>3000</v>
      </c>
      <c r="AQ2075" t="s">
        <v>129</v>
      </c>
      <c r="AR2075">
        <v>128</v>
      </c>
      <c r="AS2075">
        <v>-27</v>
      </c>
      <c r="AT2075">
        <v>192</v>
      </c>
      <c r="BB2075">
        <v>1200</v>
      </c>
      <c r="BC2075">
        <v>1</v>
      </c>
      <c r="BD2075" t="str">
        <f t="shared" si="726"/>
        <v xml:space="preserve">N887QR  </v>
      </c>
      <c r="BE2075">
        <v>1</v>
      </c>
      <c r="BG2075">
        <v>0</v>
      </c>
      <c r="BH2075">
        <v>0</v>
      </c>
      <c r="BI2075">
        <v>0</v>
      </c>
      <c r="BJ2075">
        <v>2700</v>
      </c>
      <c r="BK2075">
        <v>-300</v>
      </c>
      <c r="BL2075" t="s">
        <v>163</v>
      </c>
      <c r="BM2075">
        <v>1</v>
      </c>
      <c r="BN2075">
        <v>1</v>
      </c>
      <c r="BO2075">
        <v>1</v>
      </c>
      <c r="BP2075">
        <v>0</v>
      </c>
      <c r="BS2075">
        <v>0.08</v>
      </c>
      <c r="BT2075">
        <v>0</v>
      </c>
      <c r="BU2075">
        <v>0</v>
      </c>
      <c r="CE2075" t="str">
        <f t="shared" si="737"/>
        <v>19:30:58.237</v>
      </c>
      <c r="CF2075">
        <v>236994772</v>
      </c>
      <c r="CS2075">
        <v>0</v>
      </c>
      <c r="CT2075">
        <v>2</v>
      </c>
      <c r="CU2075">
        <v>0</v>
      </c>
      <c r="CV2075">
        <v>2</v>
      </c>
      <c r="CW2075">
        <v>0</v>
      </c>
      <c r="CX2075">
        <v>4</v>
      </c>
      <c r="CY2075">
        <v>7</v>
      </c>
      <c r="CZ2075" t="s">
        <v>131</v>
      </c>
      <c r="DA2075">
        <v>300</v>
      </c>
      <c r="DB2075">
        <v>0</v>
      </c>
      <c r="DC2075" t="s">
        <v>176</v>
      </c>
      <c r="DD2075" t="s">
        <v>177</v>
      </c>
      <c r="DG2075">
        <v>5401643</v>
      </c>
      <c r="DI2075">
        <v>1</v>
      </c>
      <c r="DJ2075">
        <v>0</v>
      </c>
      <c r="DK2075">
        <v>1</v>
      </c>
      <c r="DL2075">
        <v>0</v>
      </c>
      <c r="DM2075">
        <v>0</v>
      </c>
      <c r="DN2075">
        <v>1</v>
      </c>
      <c r="DO2075">
        <v>0</v>
      </c>
      <c r="DP2075">
        <v>0</v>
      </c>
      <c r="DQ2075">
        <v>0</v>
      </c>
      <c r="DR2075">
        <v>0</v>
      </c>
      <c r="DS2075">
        <v>0</v>
      </c>
    </row>
    <row r="2076" spans="1:123" x14ac:dyDescent="0.3">
      <c r="A2076" t="str">
        <f>"10/04/2022 19:30:58.606"</f>
        <v>10/04/2022 19:30:58.606</v>
      </c>
      <c r="C2076" t="str">
        <f t="shared" si="738"/>
        <v>FFDFD3C0</v>
      </c>
      <c r="D2076" t="s">
        <v>143</v>
      </c>
      <c r="E2076">
        <v>20</v>
      </c>
      <c r="F2076">
        <v>1020</v>
      </c>
      <c r="G2076" t="s">
        <v>144</v>
      </c>
      <c r="J2076" t="s">
        <v>145</v>
      </c>
      <c r="K2076">
        <v>0</v>
      </c>
      <c r="L2076">
        <v>3</v>
      </c>
      <c r="M2076">
        <v>0</v>
      </c>
      <c r="N2076">
        <v>2</v>
      </c>
      <c r="O2076">
        <v>0</v>
      </c>
      <c r="P2076">
        <v>1</v>
      </c>
      <c r="Q2076">
        <v>0</v>
      </c>
      <c r="S2076" t="str">
        <f t="shared" si="736"/>
        <v>19:30:58.000</v>
      </c>
      <c r="T2076" t="str">
        <f t="shared" si="736"/>
        <v>19:30:58.000</v>
      </c>
      <c r="U2076" t="str">
        <f t="shared" si="725"/>
        <v>AC3944</v>
      </c>
      <c r="V2076">
        <v>0</v>
      </c>
      <c r="W2076">
        <v>0</v>
      </c>
      <c r="X2076">
        <v>2</v>
      </c>
      <c r="Y2076">
        <v>0</v>
      </c>
      <c r="AA2076">
        <v>1</v>
      </c>
      <c r="AB2076">
        <v>8</v>
      </c>
      <c r="AC2076">
        <v>3</v>
      </c>
      <c r="AD2076">
        <v>0</v>
      </c>
      <c r="AE2076">
        <v>9</v>
      </c>
      <c r="AF2076" t="s">
        <v>138</v>
      </c>
      <c r="AG2076">
        <v>0</v>
      </c>
      <c r="AH2076">
        <v>3</v>
      </c>
      <c r="AI2076">
        <v>1</v>
      </c>
      <c r="AJ2076">
        <v>0</v>
      </c>
      <c r="AK2076" t="s">
        <v>728</v>
      </c>
      <c r="AL2076">
        <v>32.774019000000003</v>
      </c>
      <c r="AM2076" t="s">
        <v>729</v>
      </c>
      <c r="AN2076">
        <v>-116.833313</v>
      </c>
      <c r="AO2076">
        <v>25</v>
      </c>
      <c r="AP2076">
        <v>3000</v>
      </c>
      <c r="AQ2076" t="s">
        <v>129</v>
      </c>
      <c r="AR2076">
        <v>128</v>
      </c>
      <c r="AS2076">
        <v>-27</v>
      </c>
      <c r="AT2076">
        <v>192</v>
      </c>
      <c r="BB2076">
        <v>1200</v>
      </c>
      <c r="BC2076">
        <v>1</v>
      </c>
      <c r="BD2076" t="str">
        <f t="shared" si="726"/>
        <v xml:space="preserve">N887QR  </v>
      </c>
      <c r="BE2076">
        <v>1</v>
      </c>
      <c r="BG2076">
        <v>0</v>
      </c>
      <c r="BH2076">
        <v>0</v>
      </c>
      <c r="BI2076">
        <v>0</v>
      </c>
      <c r="BJ2076">
        <v>2700</v>
      </c>
      <c r="BK2076">
        <v>-300</v>
      </c>
      <c r="BL2076" t="s">
        <v>163</v>
      </c>
      <c r="BM2076">
        <v>1</v>
      </c>
      <c r="BN2076">
        <v>1</v>
      </c>
      <c r="BO2076">
        <v>1</v>
      </c>
      <c r="BP2076">
        <v>0</v>
      </c>
      <c r="BS2076">
        <v>0.08</v>
      </c>
      <c r="BT2076">
        <v>0</v>
      </c>
      <c r="BU2076">
        <v>0</v>
      </c>
      <c r="CE2076" t="str">
        <f t="shared" si="737"/>
        <v>19:30:58.237</v>
      </c>
      <c r="CF2076">
        <v>236994772</v>
      </c>
      <c r="CS2076">
        <v>0</v>
      </c>
      <c r="CT2076">
        <v>2</v>
      </c>
      <c r="CU2076">
        <v>0</v>
      </c>
      <c r="CV2076">
        <v>2</v>
      </c>
      <c r="CW2076">
        <v>0</v>
      </c>
      <c r="CX2076">
        <v>4</v>
      </c>
      <c r="CY2076">
        <v>7</v>
      </c>
      <c r="CZ2076" t="s">
        <v>131</v>
      </c>
      <c r="DA2076">
        <v>300</v>
      </c>
      <c r="DB2076">
        <v>0</v>
      </c>
      <c r="DC2076" t="s">
        <v>176</v>
      </c>
      <c r="DD2076" t="s">
        <v>177</v>
      </c>
      <c r="DG2076">
        <v>5401643</v>
      </c>
      <c r="DI2076">
        <v>1</v>
      </c>
      <c r="DJ2076">
        <v>0</v>
      </c>
      <c r="DK2076">
        <v>1</v>
      </c>
      <c r="DL2076">
        <v>0</v>
      </c>
      <c r="DM2076">
        <v>0</v>
      </c>
      <c r="DN2076">
        <v>1</v>
      </c>
      <c r="DO2076">
        <v>0</v>
      </c>
      <c r="DP2076">
        <v>0</v>
      </c>
      <c r="DQ2076">
        <v>0</v>
      </c>
      <c r="DR2076">
        <v>0</v>
      </c>
      <c r="DS2076">
        <v>0</v>
      </c>
    </row>
    <row r="2077" spans="1:123" x14ac:dyDescent="0.3">
      <c r="A2077" t="str">
        <f>"10/04/2022 19:30:58.669"</f>
        <v>10/04/2022 19:30:58.669</v>
      </c>
      <c r="C2077" t="str">
        <f t="shared" si="738"/>
        <v>FFDFD3C0</v>
      </c>
      <c r="D2077" t="s">
        <v>123</v>
      </c>
      <c r="E2077">
        <v>7</v>
      </c>
      <c r="F2077">
        <v>2007</v>
      </c>
      <c r="G2077" t="s">
        <v>124</v>
      </c>
      <c r="J2077" t="s">
        <v>125</v>
      </c>
      <c r="K2077">
        <v>0</v>
      </c>
      <c r="L2077">
        <v>3</v>
      </c>
      <c r="M2077">
        <v>0</v>
      </c>
      <c r="N2077">
        <v>2</v>
      </c>
      <c r="O2077">
        <v>0</v>
      </c>
      <c r="P2077">
        <v>1</v>
      </c>
      <c r="Q2077">
        <v>0</v>
      </c>
      <c r="S2077" t="str">
        <f t="shared" si="736"/>
        <v>19:30:58.000</v>
      </c>
      <c r="T2077" t="str">
        <f t="shared" si="736"/>
        <v>19:30:58.000</v>
      </c>
      <c r="U2077" t="str">
        <f t="shared" si="725"/>
        <v>AC3944</v>
      </c>
      <c r="V2077">
        <v>0</v>
      </c>
      <c r="W2077">
        <v>0</v>
      </c>
      <c r="X2077">
        <v>2</v>
      </c>
      <c r="Y2077">
        <v>0</v>
      </c>
      <c r="AA2077">
        <v>1</v>
      </c>
      <c r="AB2077">
        <v>8</v>
      </c>
      <c r="AC2077">
        <v>3</v>
      </c>
      <c r="AD2077">
        <v>0</v>
      </c>
      <c r="AE2077">
        <v>9</v>
      </c>
      <c r="AF2077" t="s">
        <v>138</v>
      </c>
      <c r="AG2077">
        <v>0</v>
      </c>
      <c r="AH2077">
        <v>3</v>
      </c>
      <c r="AI2077">
        <v>1</v>
      </c>
      <c r="AJ2077">
        <v>0</v>
      </c>
      <c r="AK2077" t="s">
        <v>728</v>
      </c>
      <c r="AL2077">
        <v>32.774019000000003</v>
      </c>
      <c r="AM2077" t="s">
        <v>729</v>
      </c>
      <c r="AN2077">
        <v>-116.833313</v>
      </c>
      <c r="AO2077">
        <v>25</v>
      </c>
      <c r="AP2077">
        <v>3000</v>
      </c>
      <c r="AQ2077" t="s">
        <v>129</v>
      </c>
      <c r="AR2077">
        <v>128</v>
      </c>
      <c r="AS2077">
        <v>-27</v>
      </c>
      <c r="AT2077">
        <v>192</v>
      </c>
      <c r="BB2077">
        <v>1200</v>
      </c>
      <c r="BC2077">
        <v>1</v>
      </c>
      <c r="BD2077" t="str">
        <f t="shared" si="726"/>
        <v xml:space="preserve">N887QR  </v>
      </c>
      <c r="BE2077">
        <v>1</v>
      </c>
      <c r="BG2077">
        <v>0</v>
      </c>
      <c r="BH2077">
        <v>0</v>
      </c>
      <c r="BI2077">
        <v>0</v>
      </c>
      <c r="BJ2077">
        <v>2700</v>
      </c>
      <c r="BK2077">
        <v>-300</v>
      </c>
      <c r="BL2077" t="s">
        <v>163</v>
      </c>
      <c r="BM2077">
        <v>1</v>
      </c>
      <c r="BN2077">
        <v>1</v>
      </c>
      <c r="BO2077">
        <v>1</v>
      </c>
      <c r="BP2077">
        <v>0</v>
      </c>
      <c r="BS2077">
        <v>0.08</v>
      </c>
      <c r="BT2077">
        <v>0</v>
      </c>
      <c r="BU2077">
        <v>0</v>
      </c>
      <c r="CE2077" t="str">
        <f t="shared" si="737"/>
        <v>19:30:58.237</v>
      </c>
      <c r="CF2077">
        <v>236994772</v>
      </c>
      <c r="CS2077">
        <v>0</v>
      </c>
      <c r="CT2077">
        <v>2</v>
      </c>
      <c r="CU2077">
        <v>0</v>
      </c>
      <c r="CV2077">
        <v>2</v>
      </c>
      <c r="CW2077">
        <v>0</v>
      </c>
      <c r="CX2077">
        <v>4</v>
      </c>
      <c r="CY2077">
        <v>7</v>
      </c>
      <c r="CZ2077" t="s">
        <v>131</v>
      </c>
      <c r="DA2077">
        <v>300</v>
      </c>
      <c r="DB2077">
        <v>0</v>
      </c>
      <c r="DC2077" t="s">
        <v>176</v>
      </c>
      <c r="DD2077" t="s">
        <v>177</v>
      </c>
      <c r="DG2077">
        <v>5401643</v>
      </c>
      <c r="DI2077">
        <v>1</v>
      </c>
      <c r="DJ2077">
        <v>0</v>
      </c>
      <c r="DK2077">
        <v>1</v>
      </c>
      <c r="DL2077">
        <v>0</v>
      </c>
      <c r="DM2077">
        <v>0</v>
      </c>
      <c r="DN2077">
        <v>1</v>
      </c>
      <c r="DO2077">
        <v>0</v>
      </c>
      <c r="DP2077">
        <v>0</v>
      </c>
      <c r="DQ2077">
        <v>0</v>
      </c>
      <c r="DR2077">
        <v>0</v>
      </c>
      <c r="DS2077">
        <v>0</v>
      </c>
    </row>
    <row r="2078" spans="1:123" x14ac:dyDescent="0.3">
      <c r="A2078" t="str">
        <f>"10/04/2022 19:30:58.669"</f>
        <v>10/04/2022 19:30:58.669</v>
      </c>
      <c r="C2078" t="str">
        <f t="shared" si="738"/>
        <v>FFDFD3C0</v>
      </c>
      <c r="D2078" t="s">
        <v>141</v>
      </c>
      <c r="E2078">
        <v>3</v>
      </c>
      <c r="H2078">
        <v>3</v>
      </c>
      <c r="I2078" t="s">
        <v>146</v>
      </c>
      <c r="J2078" t="s">
        <v>138</v>
      </c>
      <c r="K2078">
        <v>0</v>
      </c>
      <c r="L2078">
        <v>3</v>
      </c>
      <c r="M2078">
        <v>0</v>
      </c>
      <c r="N2078">
        <v>2</v>
      </c>
      <c r="O2078">
        <v>0</v>
      </c>
      <c r="P2078">
        <v>1</v>
      </c>
      <c r="Q2078">
        <v>0</v>
      </c>
      <c r="S2078" t="str">
        <f t="shared" si="736"/>
        <v>19:30:58.000</v>
      </c>
      <c r="T2078" t="str">
        <f t="shared" si="736"/>
        <v>19:30:58.000</v>
      </c>
      <c r="U2078" t="str">
        <f t="shared" si="725"/>
        <v>AC3944</v>
      </c>
      <c r="V2078">
        <v>0</v>
      </c>
      <c r="W2078">
        <v>0</v>
      </c>
      <c r="X2078">
        <v>2</v>
      </c>
      <c r="Y2078">
        <v>0</v>
      </c>
      <c r="AA2078">
        <v>1</v>
      </c>
      <c r="AB2078">
        <v>8</v>
      </c>
      <c r="AC2078">
        <v>3</v>
      </c>
      <c r="AD2078">
        <v>0</v>
      </c>
      <c r="AE2078">
        <v>9</v>
      </c>
      <c r="AF2078" t="s">
        <v>138</v>
      </c>
      <c r="AG2078">
        <v>0</v>
      </c>
      <c r="AH2078">
        <v>3</v>
      </c>
      <c r="AI2078">
        <v>1</v>
      </c>
      <c r="AJ2078">
        <v>0</v>
      </c>
      <c r="AK2078" t="s">
        <v>728</v>
      </c>
      <c r="AL2078">
        <v>32.774019000000003</v>
      </c>
      <c r="AM2078" t="s">
        <v>729</v>
      </c>
      <c r="AN2078">
        <v>-116.833313</v>
      </c>
      <c r="AO2078">
        <v>25</v>
      </c>
      <c r="AP2078">
        <v>3000</v>
      </c>
      <c r="AQ2078" t="s">
        <v>129</v>
      </c>
      <c r="AR2078">
        <v>128</v>
      </c>
      <c r="AS2078">
        <v>-27</v>
      </c>
      <c r="AT2078">
        <v>192</v>
      </c>
      <c r="BB2078">
        <v>1200</v>
      </c>
      <c r="BC2078">
        <v>1</v>
      </c>
      <c r="BD2078" t="str">
        <f t="shared" si="726"/>
        <v xml:space="preserve">N887QR  </v>
      </c>
      <c r="BE2078">
        <v>1</v>
      </c>
      <c r="BG2078">
        <v>0</v>
      </c>
      <c r="BH2078">
        <v>0</v>
      </c>
      <c r="BI2078">
        <v>0</v>
      </c>
      <c r="BJ2078">
        <v>2700</v>
      </c>
      <c r="BK2078">
        <v>-300</v>
      </c>
      <c r="BL2078" t="s">
        <v>163</v>
      </c>
      <c r="BM2078">
        <v>1</v>
      </c>
      <c r="BN2078">
        <v>1</v>
      </c>
      <c r="BO2078">
        <v>1</v>
      </c>
      <c r="BP2078">
        <v>0</v>
      </c>
      <c r="BS2078">
        <v>0.08</v>
      </c>
      <c r="BT2078">
        <v>0</v>
      </c>
      <c r="BU2078">
        <v>0</v>
      </c>
      <c r="CE2078" t="str">
        <f t="shared" si="737"/>
        <v>19:30:58.237</v>
      </c>
      <c r="CF2078">
        <v>236994772</v>
      </c>
      <c r="CS2078">
        <v>0</v>
      </c>
      <c r="CT2078">
        <v>2</v>
      </c>
      <c r="CU2078">
        <v>0</v>
      </c>
      <c r="CV2078">
        <v>2</v>
      </c>
      <c r="CW2078">
        <v>0</v>
      </c>
      <c r="CX2078">
        <v>4</v>
      </c>
      <c r="CY2078">
        <v>7</v>
      </c>
      <c r="CZ2078" t="s">
        <v>131</v>
      </c>
      <c r="DA2078">
        <v>300</v>
      </c>
      <c r="DB2078">
        <v>0</v>
      </c>
      <c r="DC2078" t="s">
        <v>176</v>
      </c>
      <c r="DD2078" t="s">
        <v>177</v>
      </c>
      <c r="DG2078">
        <v>5401643</v>
      </c>
      <c r="DI2078">
        <v>1</v>
      </c>
      <c r="DJ2078">
        <v>0</v>
      </c>
      <c r="DK2078">
        <v>1</v>
      </c>
      <c r="DL2078">
        <v>0</v>
      </c>
      <c r="DM2078">
        <v>0</v>
      </c>
      <c r="DN2078">
        <v>1</v>
      </c>
      <c r="DO2078">
        <v>0</v>
      </c>
      <c r="DP2078">
        <v>0</v>
      </c>
      <c r="DQ2078">
        <v>0</v>
      </c>
      <c r="DR2078">
        <v>0</v>
      </c>
      <c r="DS2078">
        <v>0</v>
      </c>
    </row>
    <row r="2079" spans="1:123" x14ac:dyDescent="0.3">
      <c r="A2079" t="str">
        <f>"10/04/2022 19:30:58.669"</f>
        <v>10/04/2022 19:30:58.669</v>
      </c>
      <c r="C2079" t="str">
        <f t="shared" si="738"/>
        <v>FFDFD3C0</v>
      </c>
      <c r="D2079" t="s">
        <v>134</v>
      </c>
      <c r="E2079">
        <v>15</v>
      </c>
      <c r="J2079" t="s">
        <v>135</v>
      </c>
      <c r="K2079">
        <v>0</v>
      </c>
      <c r="L2079">
        <v>3</v>
      </c>
      <c r="M2079">
        <v>0</v>
      </c>
      <c r="N2079">
        <v>2</v>
      </c>
      <c r="O2079">
        <v>0</v>
      </c>
      <c r="P2079">
        <v>1</v>
      </c>
      <c r="Q2079">
        <v>0</v>
      </c>
      <c r="S2079" t="str">
        <f t="shared" si="736"/>
        <v>19:30:58.000</v>
      </c>
      <c r="T2079" t="str">
        <f t="shared" si="736"/>
        <v>19:30:58.000</v>
      </c>
      <c r="U2079" t="str">
        <f t="shared" si="725"/>
        <v>AC3944</v>
      </c>
      <c r="V2079">
        <v>0</v>
      </c>
      <c r="W2079">
        <v>0</v>
      </c>
      <c r="X2079">
        <v>2</v>
      </c>
      <c r="Y2079">
        <v>0</v>
      </c>
      <c r="AA2079">
        <v>1</v>
      </c>
      <c r="AB2079">
        <v>8</v>
      </c>
      <c r="AC2079">
        <v>3</v>
      </c>
      <c r="AD2079">
        <v>0</v>
      </c>
      <c r="AE2079">
        <v>9</v>
      </c>
      <c r="AF2079" t="s">
        <v>138</v>
      </c>
      <c r="AG2079">
        <v>0</v>
      </c>
      <c r="AH2079">
        <v>3</v>
      </c>
      <c r="AI2079">
        <v>1</v>
      </c>
      <c r="AJ2079">
        <v>0</v>
      </c>
      <c r="AK2079" t="s">
        <v>728</v>
      </c>
      <c r="AL2079">
        <v>32.774019000000003</v>
      </c>
      <c r="AM2079" t="s">
        <v>729</v>
      </c>
      <c r="AN2079">
        <v>-116.833313</v>
      </c>
      <c r="AO2079">
        <v>25</v>
      </c>
      <c r="AP2079">
        <v>3000</v>
      </c>
      <c r="AQ2079" t="s">
        <v>129</v>
      </c>
      <c r="AR2079">
        <v>128</v>
      </c>
      <c r="AS2079">
        <v>-27</v>
      </c>
      <c r="AT2079">
        <v>192</v>
      </c>
      <c r="BB2079">
        <v>1200</v>
      </c>
      <c r="BC2079">
        <v>1</v>
      </c>
      <c r="BD2079" t="str">
        <f t="shared" si="726"/>
        <v xml:space="preserve">N887QR  </v>
      </c>
      <c r="BE2079">
        <v>1</v>
      </c>
      <c r="BG2079">
        <v>0</v>
      </c>
      <c r="BH2079">
        <v>0</v>
      </c>
      <c r="BI2079">
        <v>0</v>
      </c>
      <c r="BJ2079">
        <v>2700</v>
      </c>
      <c r="BK2079">
        <v>-300</v>
      </c>
      <c r="BL2079" t="s">
        <v>163</v>
      </c>
      <c r="BM2079">
        <v>1</v>
      </c>
      <c r="BN2079">
        <v>1</v>
      </c>
      <c r="BO2079">
        <v>1</v>
      </c>
      <c r="BP2079">
        <v>0</v>
      </c>
      <c r="BS2079">
        <v>0.08</v>
      </c>
      <c r="BT2079">
        <v>0</v>
      </c>
      <c r="BU2079">
        <v>0</v>
      </c>
      <c r="CE2079" t="str">
        <f t="shared" si="737"/>
        <v>19:30:58.237</v>
      </c>
      <c r="CF2079">
        <v>236994772</v>
      </c>
      <c r="CS2079">
        <v>0</v>
      </c>
      <c r="CT2079">
        <v>2</v>
      </c>
      <c r="CU2079">
        <v>0</v>
      </c>
      <c r="CV2079">
        <v>2</v>
      </c>
      <c r="CW2079">
        <v>0</v>
      </c>
      <c r="CX2079">
        <v>4</v>
      </c>
      <c r="CY2079">
        <v>7</v>
      </c>
      <c r="CZ2079" t="s">
        <v>131</v>
      </c>
      <c r="DA2079">
        <v>300</v>
      </c>
      <c r="DB2079">
        <v>0</v>
      </c>
      <c r="DC2079" t="s">
        <v>176</v>
      </c>
      <c r="DD2079" t="s">
        <v>177</v>
      </c>
      <c r="DG2079">
        <v>5401643</v>
      </c>
      <c r="DI2079">
        <v>1</v>
      </c>
      <c r="DJ2079">
        <v>0</v>
      </c>
      <c r="DK2079">
        <v>1</v>
      </c>
      <c r="DL2079">
        <v>0</v>
      </c>
      <c r="DM2079">
        <v>0</v>
      </c>
      <c r="DN2079">
        <v>1</v>
      </c>
      <c r="DO2079">
        <v>0</v>
      </c>
      <c r="DP2079">
        <v>0</v>
      </c>
      <c r="DQ2079">
        <v>0</v>
      </c>
      <c r="DR2079">
        <v>0</v>
      </c>
      <c r="DS2079">
        <v>0</v>
      </c>
    </row>
    <row r="2080" spans="1:123" x14ac:dyDescent="0.3">
      <c r="A2080" t="str">
        <f>"10/04/2022 19:30:58.981"</f>
        <v>10/04/2022 19:30:58.981</v>
      </c>
      <c r="C2080" t="str">
        <f t="shared" si="738"/>
        <v>FFDFD3C0</v>
      </c>
      <c r="D2080" t="s">
        <v>141</v>
      </c>
      <c r="E2080">
        <v>4</v>
      </c>
      <c r="H2080">
        <v>4</v>
      </c>
      <c r="I2080" t="s">
        <v>142</v>
      </c>
      <c r="J2080" t="s">
        <v>138</v>
      </c>
      <c r="K2080">
        <v>0</v>
      </c>
      <c r="L2080">
        <v>3</v>
      </c>
      <c r="M2080">
        <v>0</v>
      </c>
      <c r="N2080">
        <v>2</v>
      </c>
      <c r="O2080">
        <v>0</v>
      </c>
      <c r="P2080">
        <v>1</v>
      </c>
      <c r="Q2080">
        <v>0</v>
      </c>
      <c r="S2080" t="str">
        <f t="shared" si="736"/>
        <v>19:30:58.000</v>
      </c>
      <c r="T2080" t="str">
        <f t="shared" si="736"/>
        <v>19:30:58.000</v>
      </c>
      <c r="U2080" t="str">
        <f t="shared" si="725"/>
        <v>AC3944</v>
      </c>
      <c r="V2080">
        <v>0</v>
      </c>
      <c r="W2080">
        <v>0</v>
      </c>
      <c r="X2080">
        <v>2</v>
      </c>
      <c r="Y2080">
        <v>0</v>
      </c>
      <c r="AA2080">
        <v>1</v>
      </c>
      <c r="AB2080">
        <v>8</v>
      </c>
      <c r="AC2080">
        <v>3</v>
      </c>
      <c r="AD2080">
        <v>0</v>
      </c>
      <c r="AE2080">
        <v>9</v>
      </c>
      <c r="AF2080" t="s">
        <v>138</v>
      </c>
      <c r="AG2080">
        <v>0</v>
      </c>
      <c r="AH2080">
        <v>3</v>
      </c>
      <c r="AI2080">
        <v>1</v>
      </c>
      <c r="AJ2080">
        <v>0</v>
      </c>
      <c r="AK2080" t="s">
        <v>730</v>
      </c>
      <c r="AL2080">
        <v>32.773890000000002</v>
      </c>
      <c r="AM2080" t="s">
        <v>731</v>
      </c>
      <c r="AN2080">
        <v>-116.832604</v>
      </c>
      <c r="AO2080">
        <v>25</v>
      </c>
      <c r="AP2080">
        <v>3000</v>
      </c>
      <c r="AQ2080" t="s">
        <v>129</v>
      </c>
      <c r="AR2080">
        <v>128</v>
      </c>
      <c r="AS2080">
        <v>-27</v>
      </c>
      <c r="AT2080">
        <v>192</v>
      </c>
      <c r="BB2080">
        <v>1200</v>
      </c>
      <c r="BC2080">
        <v>1</v>
      </c>
      <c r="BD2080" t="str">
        <f t="shared" si="726"/>
        <v xml:space="preserve">N887QR  </v>
      </c>
      <c r="BE2080">
        <v>1</v>
      </c>
      <c r="BG2080">
        <v>0</v>
      </c>
      <c r="BH2080">
        <v>0</v>
      </c>
      <c r="BI2080">
        <v>0</v>
      </c>
      <c r="BJ2080">
        <v>2700</v>
      </c>
      <c r="BK2080">
        <v>-300</v>
      </c>
      <c r="BL2080" t="s">
        <v>163</v>
      </c>
      <c r="BM2080">
        <v>1</v>
      </c>
      <c r="BN2080">
        <v>1</v>
      </c>
      <c r="BO2080">
        <v>1</v>
      </c>
      <c r="BP2080">
        <v>0</v>
      </c>
      <c r="BS2080">
        <v>0.08</v>
      </c>
      <c r="BT2080">
        <v>0</v>
      </c>
      <c r="BU2080">
        <v>0</v>
      </c>
      <c r="CE2080" t="str">
        <f t="shared" ref="CE2080:CE2086" si="739">"19:30:58.752"</f>
        <v>19:30:58.752</v>
      </c>
      <c r="CF2080">
        <v>752465891</v>
      </c>
      <c r="CS2080">
        <v>0</v>
      </c>
      <c r="CT2080">
        <v>2</v>
      </c>
      <c r="CU2080">
        <v>0</v>
      </c>
      <c r="CV2080">
        <v>2</v>
      </c>
      <c r="CW2080">
        <v>0</v>
      </c>
      <c r="CX2080">
        <v>0</v>
      </c>
      <c r="CY2080">
        <v>7</v>
      </c>
      <c r="CZ2080" t="s">
        <v>131</v>
      </c>
      <c r="DA2080">
        <v>286</v>
      </c>
      <c r="DB2080">
        <v>0</v>
      </c>
      <c r="DC2080" t="s">
        <v>132</v>
      </c>
      <c r="DD2080" t="s">
        <v>133</v>
      </c>
      <c r="DG2080">
        <v>835165</v>
      </c>
      <c r="DI2080">
        <v>1</v>
      </c>
      <c r="DJ2080">
        <v>0</v>
      </c>
      <c r="DK2080">
        <v>0</v>
      </c>
      <c r="DL2080">
        <v>0</v>
      </c>
      <c r="DM2080">
        <v>0</v>
      </c>
      <c r="DN2080">
        <v>1</v>
      </c>
      <c r="DO2080">
        <v>0</v>
      </c>
      <c r="DP2080">
        <v>0</v>
      </c>
      <c r="DQ2080">
        <v>0</v>
      </c>
      <c r="DR2080">
        <v>0</v>
      </c>
      <c r="DS2080">
        <v>0</v>
      </c>
    </row>
    <row r="2081" spans="1:123" x14ac:dyDescent="0.3">
      <c r="A2081" t="str">
        <f>"10/04/2022 19:30:58.981"</f>
        <v>10/04/2022 19:30:58.981</v>
      </c>
      <c r="C2081" t="str">
        <f t="shared" si="738"/>
        <v>FFDFD3C0</v>
      </c>
      <c r="D2081" t="s">
        <v>136</v>
      </c>
      <c r="E2081">
        <v>8</v>
      </c>
      <c r="H2081">
        <v>225</v>
      </c>
      <c r="I2081" t="s">
        <v>137</v>
      </c>
      <c r="J2081" t="s">
        <v>138</v>
      </c>
      <c r="K2081">
        <v>0</v>
      </c>
      <c r="L2081">
        <v>3</v>
      </c>
      <c r="M2081">
        <v>0</v>
      </c>
      <c r="N2081">
        <v>2</v>
      </c>
      <c r="O2081">
        <v>0</v>
      </c>
      <c r="P2081">
        <v>1</v>
      </c>
      <c r="Q2081">
        <v>0</v>
      </c>
      <c r="S2081" t="str">
        <f t="shared" si="736"/>
        <v>19:30:58.000</v>
      </c>
      <c r="T2081" t="str">
        <f t="shared" si="736"/>
        <v>19:30:58.000</v>
      </c>
      <c r="U2081" t="str">
        <f t="shared" si="725"/>
        <v>AC3944</v>
      </c>
      <c r="V2081">
        <v>0</v>
      </c>
      <c r="W2081">
        <v>0</v>
      </c>
      <c r="X2081">
        <v>2</v>
      </c>
      <c r="Y2081">
        <v>0</v>
      </c>
      <c r="AA2081">
        <v>1</v>
      </c>
      <c r="AB2081">
        <v>8</v>
      </c>
      <c r="AC2081">
        <v>3</v>
      </c>
      <c r="AD2081">
        <v>0</v>
      </c>
      <c r="AE2081">
        <v>9</v>
      </c>
      <c r="AF2081" t="s">
        <v>138</v>
      </c>
      <c r="AG2081">
        <v>0</v>
      </c>
      <c r="AH2081">
        <v>3</v>
      </c>
      <c r="AI2081">
        <v>1</v>
      </c>
      <c r="AJ2081">
        <v>0</v>
      </c>
      <c r="AK2081" t="s">
        <v>730</v>
      </c>
      <c r="AL2081">
        <v>32.773890000000002</v>
      </c>
      <c r="AM2081" t="s">
        <v>731</v>
      </c>
      <c r="AN2081">
        <v>-116.832604</v>
      </c>
      <c r="AO2081">
        <v>25</v>
      </c>
      <c r="AP2081">
        <v>3000</v>
      </c>
      <c r="AQ2081" t="s">
        <v>129</v>
      </c>
      <c r="AR2081">
        <v>128</v>
      </c>
      <c r="AS2081">
        <v>-27</v>
      </c>
      <c r="AT2081">
        <v>192</v>
      </c>
      <c r="BB2081">
        <v>1200</v>
      </c>
      <c r="BC2081">
        <v>1</v>
      </c>
      <c r="BD2081" t="str">
        <f t="shared" si="726"/>
        <v xml:space="preserve">N887QR  </v>
      </c>
      <c r="BE2081">
        <v>1</v>
      </c>
      <c r="BG2081">
        <v>0</v>
      </c>
      <c r="BH2081">
        <v>0</v>
      </c>
      <c r="BI2081">
        <v>0</v>
      </c>
      <c r="BJ2081">
        <v>2700</v>
      </c>
      <c r="BK2081">
        <v>-300</v>
      </c>
      <c r="BL2081" t="s">
        <v>163</v>
      </c>
      <c r="BM2081">
        <v>1</v>
      </c>
      <c r="BN2081">
        <v>1</v>
      </c>
      <c r="BO2081">
        <v>1</v>
      </c>
      <c r="BP2081">
        <v>0</v>
      </c>
      <c r="BS2081">
        <v>0.08</v>
      </c>
      <c r="BT2081">
        <v>0</v>
      </c>
      <c r="BU2081">
        <v>0</v>
      </c>
      <c r="CE2081" t="str">
        <f t="shared" si="739"/>
        <v>19:30:58.752</v>
      </c>
      <c r="CF2081">
        <v>752465891</v>
      </c>
      <c r="CS2081">
        <v>0</v>
      </c>
      <c r="CT2081">
        <v>2</v>
      </c>
      <c r="CU2081">
        <v>0</v>
      </c>
      <c r="CV2081">
        <v>2</v>
      </c>
      <c r="CW2081">
        <v>0</v>
      </c>
      <c r="CX2081">
        <v>0</v>
      </c>
      <c r="CY2081">
        <v>7</v>
      </c>
      <c r="CZ2081" t="s">
        <v>131</v>
      </c>
      <c r="DA2081">
        <v>286</v>
      </c>
      <c r="DB2081">
        <v>0</v>
      </c>
      <c r="DC2081" t="s">
        <v>132</v>
      </c>
      <c r="DD2081" t="s">
        <v>133</v>
      </c>
      <c r="DG2081">
        <v>835165</v>
      </c>
      <c r="DI2081">
        <v>1</v>
      </c>
      <c r="DJ2081">
        <v>0</v>
      </c>
      <c r="DK2081">
        <v>1</v>
      </c>
      <c r="DL2081">
        <v>0</v>
      </c>
      <c r="DM2081">
        <v>0</v>
      </c>
      <c r="DN2081">
        <v>1</v>
      </c>
      <c r="DO2081">
        <v>0</v>
      </c>
      <c r="DP2081">
        <v>0</v>
      </c>
      <c r="DQ2081">
        <v>0</v>
      </c>
      <c r="DR2081">
        <v>0</v>
      </c>
      <c r="DS2081">
        <v>0</v>
      </c>
    </row>
    <row r="2082" spans="1:123" x14ac:dyDescent="0.3">
      <c r="A2082" t="str">
        <f>"10/04/2022 19:30:58.981"</f>
        <v>10/04/2022 19:30:58.981</v>
      </c>
      <c r="C2082" t="str">
        <f t="shared" si="738"/>
        <v>FFDFD3C0</v>
      </c>
      <c r="D2082" t="s">
        <v>143</v>
      </c>
      <c r="E2082">
        <v>20</v>
      </c>
      <c r="F2082">
        <v>1020</v>
      </c>
      <c r="G2082" t="s">
        <v>144</v>
      </c>
      <c r="J2082" t="s">
        <v>145</v>
      </c>
      <c r="K2082">
        <v>0</v>
      </c>
      <c r="L2082">
        <v>3</v>
      </c>
      <c r="M2082">
        <v>0</v>
      </c>
      <c r="N2082">
        <v>2</v>
      </c>
      <c r="O2082">
        <v>0</v>
      </c>
      <c r="P2082">
        <v>1</v>
      </c>
      <c r="Q2082">
        <v>0</v>
      </c>
      <c r="S2082" t="str">
        <f t="shared" si="736"/>
        <v>19:30:58.000</v>
      </c>
      <c r="T2082" t="str">
        <f t="shared" si="736"/>
        <v>19:30:58.000</v>
      </c>
      <c r="U2082" t="str">
        <f t="shared" si="725"/>
        <v>AC3944</v>
      </c>
      <c r="V2082">
        <v>0</v>
      </c>
      <c r="W2082">
        <v>0</v>
      </c>
      <c r="X2082">
        <v>2</v>
      </c>
      <c r="Y2082">
        <v>0</v>
      </c>
      <c r="AA2082">
        <v>1</v>
      </c>
      <c r="AB2082">
        <v>8</v>
      </c>
      <c r="AC2082">
        <v>3</v>
      </c>
      <c r="AD2082">
        <v>0</v>
      </c>
      <c r="AE2082">
        <v>9</v>
      </c>
      <c r="AF2082" t="s">
        <v>138</v>
      </c>
      <c r="AG2082">
        <v>0</v>
      </c>
      <c r="AH2082">
        <v>3</v>
      </c>
      <c r="AI2082">
        <v>1</v>
      </c>
      <c r="AJ2082">
        <v>0</v>
      </c>
      <c r="AK2082" t="s">
        <v>730</v>
      </c>
      <c r="AL2082">
        <v>32.773890000000002</v>
      </c>
      <c r="AM2082" t="s">
        <v>731</v>
      </c>
      <c r="AN2082">
        <v>-116.832604</v>
      </c>
      <c r="AO2082">
        <v>25</v>
      </c>
      <c r="AP2082">
        <v>3000</v>
      </c>
      <c r="AQ2082" t="s">
        <v>129</v>
      </c>
      <c r="AR2082">
        <v>128</v>
      </c>
      <c r="AS2082">
        <v>-27</v>
      </c>
      <c r="AT2082">
        <v>192</v>
      </c>
      <c r="BB2082">
        <v>1200</v>
      </c>
      <c r="BC2082">
        <v>1</v>
      </c>
      <c r="BD2082" t="str">
        <f t="shared" si="726"/>
        <v xml:space="preserve">N887QR  </v>
      </c>
      <c r="BE2082">
        <v>1</v>
      </c>
      <c r="BG2082">
        <v>0</v>
      </c>
      <c r="BH2082">
        <v>0</v>
      </c>
      <c r="BI2082">
        <v>0</v>
      </c>
      <c r="BJ2082">
        <v>2700</v>
      </c>
      <c r="BK2082">
        <v>-300</v>
      </c>
      <c r="BL2082" t="s">
        <v>163</v>
      </c>
      <c r="BM2082">
        <v>1</v>
      </c>
      <c r="BN2082">
        <v>1</v>
      </c>
      <c r="BO2082">
        <v>1</v>
      </c>
      <c r="BP2082">
        <v>0</v>
      </c>
      <c r="BS2082">
        <v>0.08</v>
      </c>
      <c r="BT2082">
        <v>0</v>
      </c>
      <c r="BU2082">
        <v>0</v>
      </c>
      <c r="CE2082" t="str">
        <f t="shared" si="739"/>
        <v>19:30:58.752</v>
      </c>
      <c r="CF2082">
        <v>752465891</v>
      </c>
      <c r="CS2082">
        <v>0</v>
      </c>
      <c r="CT2082">
        <v>2</v>
      </c>
      <c r="CU2082">
        <v>0</v>
      </c>
      <c r="CV2082">
        <v>2</v>
      </c>
      <c r="CW2082">
        <v>0</v>
      </c>
      <c r="CX2082">
        <v>0</v>
      </c>
      <c r="CY2082">
        <v>7</v>
      </c>
      <c r="CZ2082" t="s">
        <v>131</v>
      </c>
      <c r="DA2082">
        <v>286</v>
      </c>
      <c r="DB2082">
        <v>0</v>
      </c>
      <c r="DC2082" t="s">
        <v>132</v>
      </c>
      <c r="DD2082" t="s">
        <v>133</v>
      </c>
      <c r="DG2082">
        <v>835165</v>
      </c>
      <c r="DI2082">
        <v>1</v>
      </c>
      <c r="DJ2082">
        <v>0</v>
      </c>
      <c r="DK2082">
        <v>1</v>
      </c>
      <c r="DL2082">
        <v>0</v>
      </c>
      <c r="DM2082">
        <v>0</v>
      </c>
      <c r="DN2082">
        <v>1</v>
      </c>
      <c r="DO2082">
        <v>0</v>
      </c>
      <c r="DP2082">
        <v>0</v>
      </c>
      <c r="DQ2082">
        <v>0</v>
      </c>
      <c r="DR2082">
        <v>0</v>
      </c>
      <c r="DS2082">
        <v>0</v>
      </c>
    </row>
    <row r="2083" spans="1:123" x14ac:dyDescent="0.3">
      <c r="A2083" t="str">
        <f>"10/04/2022 19:30:58.981"</f>
        <v>10/04/2022 19:30:58.981</v>
      </c>
      <c r="C2083" t="str">
        <f t="shared" si="738"/>
        <v>FFDFD3C0</v>
      </c>
      <c r="D2083" t="s">
        <v>147</v>
      </c>
      <c r="E2083">
        <v>3</v>
      </c>
      <c r="H2083">
        <v>166</v>
      </c>
      <c r="I2083" t="s">
        <v>144</v>
      </c>
      <c r="J2083" t="s">
        <v>148</v>
      </c>
      <c r="K2083">
        <v>0</v>
      </c>
      <c r="L2083">
        <v>3</v>
      </c>
      <c r="M2083">
        <v>0</v>
      </c>
      <c r="N2083">
        <v>2</v>
      </c>
      <c r="O2083">
        <v>0</v>
      </c>
      <c r="P2083">
        <v>1</v>
      </c>
      <c r="Q2083">
        <v>0</v>
      </c>
      <c r="S2083" t="str">
        <f t="shared" si="736"/>
        <v>19:30:58.000</v>
      </c>
      <c r="T2083" t="str">
        <f t="shared" si="736"/>
        <v>19:30:58.000</v>
      </c>
      <c r="U2083" t="str">
        <f t="shared" si="725"/>
        <v>AC3944</v>
      </c>
      <c r="V2083">
        <v>0</v>
      </c>
      <c r="W2083">
        <v>0</v>
      </c>
      <c r="X2083">
        <v>2</v>
      </c>
      <c r="Y2083">
        <v>0</v>
      </c>
      <c r="AA2083">
        <v>1</v>
      </c>
      <c r="AB2083">
        <v>8</v>
      </c>
      <c r="AC2083">
        <v>3</v>
      </c>
      <c r="AD2083">
        <v>0</v>
      </c>
      <c r="AE2083">
        <v>9</v>
      </c>
      <c r="AF2083" t="s">
        <v>138</v>
      </c>
      <c r="AG2083">
        <v>0</v>
      </c>
      <c r="AH2083">
        <v>3</v>
      </c>
      <c r="AI2083">
        <v>1</v>
      </c>
      <c r="AJ2083">
        <v>0</v>
      </c>
      <c r="AK2083" t="s">
        <v>730</v>
      </c>
      <c r="AL2083">
        <v>32.773890000000002</v>
      </c>
      <c r="AM2083" t="s">
        <v>731</v>
      </c>
      <c r="AN2083">
        <v>-116.832604</v>
      </c>
      <c r="AO2083">
        <v>25</v>
      </c>
      <c r="AP2083">
        <v>3000</v>
      </c>
      <c r="AQ2083" t="s">
        <v>129</v>
      </c>
      <c r="AR2083">
        <v>128</v>
      </c>
      <c r="AS2083">
        <v>-27</v>
      </c>
      <c r="AT2083">
        <v>192</v>
      </c>
      <c r="BB2083">
        <v>1200</v>
      </c>
      <c r="BC2083">
        <v>1</v>
      </c>
      <c r="BD2083" t="str">
        <f t="shared" si="726"/>
        <v xml:space="preserve">N887QR  </v>
      </c>
      <c r="BE2083">
        <v>1</v>
      </c>
      <c r="BG2083">
        <v>0</v>
      </c>
      <c r="BH2083">
        <v>0</v>
      </c>
      <c r="BI2083">
        <v>0</v>
      </c>
      <c r="BJ2083">
        <v>2700</v>
      </c>
      <c r="BK2083">
        <v>-300</v>
      </c>
      <c r="BL2083" t="s">
        <v>163</v>
      </c>
      <c r="BM2083">
        <v>1</v>
      </c>
      <c r="BN2083">
        <v>1</v>
      </c>
      <c r="BO2083">
        <v>1</v>
      </c>
      <c r="BP2083">
        <v>0</v>
      </c>
      <c r="BS2083">
        <v>0.08</v>
      </c>
      <c r="BT2083">
        <v>0</v>
      </c>
      <c r="BU2083">
        <v>0</v>
      </c>
      <c r="CE2083" t="str">
        <f t="shared" si="739"/>
        <v>19:30:58.752</v>
      </c>
      <c r="CF2083">
        <v>752465891</v>
      </c>
      <c r="CS2083">
        <v>0</v>
      </c>
      <c r="CT2083">
        <v>2</v>
      </c>
      <c r="CU2083">
        <v>0</v>
      </c>
      <c r="CV2083">
        <v>2</v>
      </c>
      <c r="CW2083">
        <v>0</v>
      </c>
      <c r="CX2083">
        <v>0</v>
      </c>
      <c r="CY2083">
        <v>7</v>
      </c>
      <c r="CZ2083" t="s">
        <v>131</v>
      </c>
      <c r="DA2083">
        <v>286</v>
      </c>
      <c r="DB2083">
        <v>0</v>
      </c>
      <c r="DC2083" t="s">
        <v>132</v>
      </c>
      <c r="DD2083" t="s">
        <v>133</v>
      </c>
      <c r="DG2083">
        <v>835165</v>
      </c>
      <c r="DI2083">
        <v>1</v>
      </c>
      <c r="DJ2083">
        <v>0</v>
      </c>
      <c r="DK2083">
        <v>1</v>
      </c>
      <c r="DL2083">
        <v>0</v>
      </c>
      <c r="DM2083">
        <v>0</v>
      </c>
      <c r="DN2083">
        <v>1</v>
      </c>
      <c r="DO2083">
        <v>0</v>
      </c>
      <c r="DP2083">
        <v>0</v>
      </c>
      <c r="DQ2083">
        <v>0</v>
      </c>
      <c r="DR2083">
        <v>0</v>
      </c>
      <c r="DS2083">
        <v>0</v>
      </c>
    </row>
    <row r="2084" spans="1:123" x14ac:dyDescent="0.3">
      <c r="A2084" t="str">
        <f>"10/04/2022 19:30:58.981"</f>
        <v>10/04/2022 19:30:58.981</v>
      </c>
      <c r="C2084" t="str">
        <f t="shared" si="738"/>
        <v>FFDFD3C0</v>
      </c>
      <c r="D2084" t="s">
        <v>123</v>
      </c>
      <c r="E2084">
        <v>7</v>
      </c>
      <c r="F2084">
        <v>2007</v>
      </c>
      <c r="G2084" t="s">
        <v>124</v>
      </c>
      <c r="J2084" t="s">
        <v>125</v>
      </c>
      <c r="K2084">
        <v>0</v>
      </c>
      <c r="L2084">
        <v>3</v>
      </c>
      <c r="M2084">
        <v>0</v>
      </c>
      <c r="N2084">
        <v>2</v>
      </c>
      <c r="O2084">
        <v>0</v>
      </c>
      <c r="P2084">
        <v>1</v>
      </c>
      <c r="Q2084">
        <v>0</v>
      </c>
      <c r="S2084" t="str">
        <f t="shared" si="736"/>
        <v>19:30:58.000</v>
      </c>
      <c r="T2084" t="str">
        <f t="shared" si="736"/>
        <v>19:30:58.000</v>
      </c>
      <c r="U2084" t="str">
        <f t="shared" si="725"/>
        <v>AC3944</v>
      </c>
      <c r="V2084">
        <v>0</v>
      </c>
      <c r="W2084">
        <v>0</v>
      </c>
      <c r="X2084">
        <v>2</v>
      </c>
      <c r="Y2084">
        <v>0</v>
      </c>
      <c r="AA2084">
        <v>1</v>
      </c>
      <c r="AB2084">
        <v>8</v>
      </c>
      <c r="AC2084">
        <v>3</v>
      </c>
      <c r="AD2084">
        <v>0</v>
      </c>
      <c r="AE2084">
        <v>9</v>
      </c>
      <c r="AF2084" t="s">
        <v>138</v>
      </c>
      <c r="AG2084">
        <v>0</v>
      </c>
      <c r="AH2084">
        <v>3</v>
      </c>
      <c r="AI2084">
        <v>1</v>
      </c>
      <c r="AJ2084">
        <v>0</v>
      </c>
      <c r="AK2084" t="s">
        <v>730</v>
      </c>
      <c r="AL2084">
        <v>32.773890000000002</v>
      </c>
      <c r="AM2084" t="s">
        <v>731</v>
      </c>
      <c r="AN2084">
        <v>-116.832604</v>
      </c>
      <c r="AO2084">
        <v>25</v>
      </c>
      <c r="AP2084">
        <v>3000</v>
      </c>
      <c r="AQ2084" t="s">
        <v>129</v>
      </c>
      <c r="AR2084">
        <v>128</v>
      </c>
      <c r="AS2084">
        <v>-27</v>
      </c>
      <c r="AT2084">
        <v>192</v>
      </c>
      <c r="BB2084">
        <v>1200</v>
      </c>
      <c r="BC2084">
        <v>1</v>
      </c>
      <c r="BD2084" t="str">
        <f t="shared" si="726"/>
        <v xml:space="preserve">N887QR  </v>
      </c>
      <c r="BE2084">
        <v>1</v>
      </c>
      <c r="BG2084">
        <v>0</v>
      </c>
      <c r="BH2084">
        <v>0</v>
      </c>
      <c r="BI2084">
        <v>0</v>
      </c>
      <c r="BJ2084">
        <v>2700</v>
      </c>
      <c r="BK2084">
        <v>-300</v>
      </c>
      <c r="BL2084" t="s">
        <v>163</v>
      </c>
      <c r="BM2084">
        <v>1</v>
      </c>
      <c r="BN2084">
        <v>1</v>
      </c>
      <c r="BO2084">
        <v>1</v>
      </c>
      <c r="BP2084">
        <v>0</v>
      </c>
      <c r="BS2084">
        <v>0.08</v>
      </c>
      <c r="BT2084">
        <v>0</v>
      </c>
      <c r="BU2084">
        <v>0</v>
      </c>
      <c r="CE2084" t="str">
        <f t="shared" si="739"/>
        <v>19:30:58.752</v>
      </c>
      <c r="CF2084">
        <v>752465891</v>
      </c>
      <c r="CS2084">
        <v>0</v>
      </c>
      <c r="CT2084">
        <v>2</v>
      </c>
      <c r="CU2084">
        <v>0</v>
      </c>
      <c r="CV2084">
        <v>2</v>
      </c>
      <c r="CW2084">
        <v>0</v>
      </c>
      <c r="CX2084">
        <v>0</v>
      </c>
      <c r="CY2084">
        <v>7</v>
      </c>
      <c r="CZ2084" t="s">
        <v>131</v>
      </c>
      <c r="DA2084">
        <v>286</v>
      </c>
      <c r="DB2084">
        <v>0</v>
      </c>
      <c r="DC2084" t="s">
        <v>132</v>
      </c>
      <c r="DD2084" t="s">
        <v>133</v>
      </c>
      <c r="DG2084">
        <v>835165</v>
      </c>
      <c r="DI2084">
        <v>1</v>
      </c>
      <c r="DJ2084">
        <v>0</v>
      </c>
      <c r="DK2084">
        <v>1</v>
      </c>
      <c r="DL2084">
        <v>0</v>
      </c>
      <c r="DM2084">
        <v>0</v>
      </c>
      <c r="DN2084">
        <v>1</v>
      </c>
      <c r="DO2084">
        <v>0</v>
      </c>
      <c r="DP2084">
        <v>0</v>
      </c>
      <c r="DQ2084">
        <v>0</v>
      </c>
      <c r="DR2084">
        <v>0</v>
      </c>
      <c r="DS2084">
        <v>0</v>
      </c>
    </row>
    <row r="2085" spans="1:123" x14ac:dyDescent="0.3">
      <c r="A2085" t="str">
        <f>"10/04/2022 19:30:59.059"</f>
        <v>10/04/2022 19:30:59.059</v>
      </c>
      <c r="C2085" t="str">
        <f t="shared" si="738"/>
        <v>FFDFD3C0</v>
      </c>
      <c r="D2085" t="s">
        <v>141</v>
      </c>
      <c r="E2085">
        <v>3</v>
      </c>
      <c r="H2085">
        <v>3</v>
      </c>
      <c r="I2085" t="s">
        <v>146</v>
      </c>
      <c r="J2085" t="s">
        <v>138</v>
      </c>
      <c r="K2085">
        <v>0</v>
      </c>
      <c r="L2085">
        <v>3</v>
      </c>
      <c r="M2085">
        <v>0</v>
      </c>
      <c r="N2085">
        <v>2</v>
      </c>
      <c r="O2085">
        <v>0</v>
      </c>
      <c r="P2085">
        <v>1</v>
      </c>
      <c r="Q2085">
        <v>0</v>
      </c>
      <c r="S2085" t="str">
        <f t="shared" si="736"/>
        <v>19:30:58.000</v>
      </c>
      <c r="T2085" t="str">
        <f t="shared" si="736"/>
        <v>19:30:58.000</v>
      </c>
      <c r="U2085" t="str">
        <f t="shared" si="725"/>
        <v>AC3944</v>
      </c>
      <c r="V2085">
        <v>0</v>
      </c>
      <c r="W2085">
        <v>0</v>
      </c>
      <c r="X2085">
        <v>2</v>
      </c>
      <c r="Y2085">
        <v>0</v>
      </c>
      <c r="AA2085">
        <v>1</v>
      </c>
      <c r="AB2085">
        <v>8</v>
      </c>
      <c r="AC2085">
        <v>3</v>
      </c>
      <c r="AD2085">
        <v>0</v>
      </c>
      <c r="AE2085">
        <v>9</v>
      </c>
      <c r="AF2085" t="s">
        <v>138</v>
      </c>
      <c r="AG2085">
        <v>0</v>
      </c>
      <c r="AH2085">
        <v>3</v>
      </c>
      <c r="AI2085">
        <v>1</v>
      </c>
      <c r="AJ2085">
        <v>0</v>
      </c>
      <c r="AK2085" t="s">
        <v>730</v>
      </c>
      <c r="AL2085">
        <v>32.773890000000002</v>
      </c>
      <c r="AM2085" t="s">
        <v>731</v>
      </c>
      <c r="AN2085">
        <v>-116.832604</v>
      </c>
      <c r="AO2085">
        <v>25</v>
      </c>
      <c r="AP2085">
        <v>3000</v>
      </c>
      <c r="AQ2085" t="s">
        <v>129</v>
      </c>
      <c r="AR2085">
        <v>128</v>
      </c>
      <c r="AS2085">
        <v>-27</v>
      </c>
      <c r="AT2085">
        <v>192</v>
      </c>
      <c r="BB2085">
        <v>1200</v>
      </c>
      <c r="BC2085">
        <v>1</v>
      </c>
      <c r="BD2085" t="str">
        <f t="shared" si="726"/>
        <v xml:space="preserve">N887QR  </v>
      </c>
      <c r="BE2085">
        <v>1</v>
      </c>
      <c r="BG2085">
        <v>0</v>
      </c>
      <c r="BH2085">
        <v>0</v>
      </c>
      <c r="BI2085">
        <v>0</v>
      </c>
      <c r="BJ2085">
        <v>2700</v>
      </c>
      <c r="BK2085">
        <v>-300</v>
      </c>
      <c r="BL2085" t="s">
        <v>163</v>
      </c>
      <c r="BM2085">
        <v>1</v>
      </c>
      <c r="BN2085">
        <v>1</v>
      </c>
      <c r="BO2085">
        <v>1</v>
      </c>
      <c r="BP2085">
        <v>0</v>
      </c>
      <c r="BS2085">
        <v>0.08</v>
      </c>
      <c r="BT2085">
        <v>0</v>
      </c>
      <c r="BU2085">
        <v>0</v>
      </c>
      <c r="CE2085" t="str">
        <f t="shared" si="739"/>
        <v>19:30:58.752</v>
      </c>
      <c r="CF2085">
        <v>752465891</v>
      </c>
      <c r="CS2085">
        <v>0</v>
      </c>
      <c r="CT2085">
        <v>2</v>
      </c>
      <c r="CU2085">
        <v>0</v>
      </c>
      <c r="CV2085">
        <v>2</v>
      </c>
      <c r="CW2085">
        <v>0</v>
      </c>
      <c r="CX2085">
        <v>0</v>
      </c>
      <c r="CY2085">
        <v>7</v>
      </c>
      <c r="CZ2085" t="s">
        <v>131</v>
      </c>
      <c r="DA2085">
        <v>286</v>
      </c>
      <c r="DB2085">
        <v>0</v>
      </c>
      <c r="DC2085" t="s">
        <v>132</v>
      </c>
      <c r="DD2085" t="s">
        <v>133</v>
      </c>
      <c r="DG2085">
        <v>835165</v>
      </c>
      <c r="DI2085">
        <v>1</v>
      </c>
      <c r="DJ2085">
        <v>0</v>
      </c>
      <c r="DK2085">
        <v>1</v>
      </c>
      <c r="DL2085">
        <v>0</v>
      </c>
      <c r="DM2085">
        <v>0</v>
      </c>
      <c r="DN2085">
        <v>1</v>
      </c>
      <c r="DO2085">
        <v>0</v>
      </c>
      <c r="DP2085">
        <v>0</v>
      </c>
      <c r="DQ2085">
        <v>0</v>
      </c>
      <c r="DR2085">
        <v>0</v>
      </c>
      <c r="DS2085">
        <v>0</v>
      </c>
    </row>
    <row r="2086" spans="1:123" x14ac:dyDescent="0.3">
      <c r="A2086" t="str">
        <f>"10/04/2022 19:30:59.059"</f>
        <v>10/04/2022 19:30:59.059</v>
      </c>
      <c r="C2086" t="str">
        <f t="shared" si="738"/>
        <v>FFDFD3C0</v>
      </c>
      <c r="D2086" t="s">
        <v>134</v>
      </c>
      <c r="E2086">
        <v>15</v>
      </c>
      <c r="J2086" t="s">
        <v>135</v>
      </c>
      <c r="K2086">
        <v>0</v>
      </c>
      <c r="L2086">
        <v>3</v>
      </c>
      <c r="M2086">
        <v>0</v>
      </c>
      <c r="N2086">
        <v>2</v>
      </c>
      <c r="O2086">
        <v>0</v>
      </c>
      <c r="P2086">
        <v>1</v>
      </c>
      <c r="Q2086">
        <v>0</v>
      </c>
      <c r="S2086" t="str">
        <f t="shared" si="736"/>
        <v>19:30:58.000</v>
      </c>
      <c r="T2086" t="str">
        <f t="shared" si="736"/>
        <v>19:30:58.000</v>
      </c>
      <c r="U2086" t="str">
        <f t="shared" si="725"/>
        <v>AC3944</v>
      </c>
      <c r="V2086">
        <v>0</v>
      </c>
      <c r="W2086">
        <v>0</v>
      </c>
      <c r="X2086">
        <v>2</v>
      </c>
      <c r="Y2086">
        <v>0</v>
      </c>
      <c r="AA2086">
        <v>1</v>
      </c>
      <c r="AB2086">
        <v>8</v>
      </c>
      <c r="AC2086">
        <v>3</v>
      </c>
      <c r="AD2086">
        <v>0</v>
      </c>
      <c r="AE2086">
        <v>9</v>
      </c>
      <c r="AF2086" t="s">
        <v>138</v>
      </c>
      <c r="AG2086">
        <v>0</v>
      </c>
      <c r="AH2086">
        <v>3</v>
      </c>
      <c r="AI2086">
        <v>1</v>
      </c>
      <c r="AJ2086">
        <v>0</v>
      </c>
      <c r="AK2086" t="s">
        <v>730</v>
      </c>
      <c r="AL2086">
        <v>32.773890000000002</v>
      </c>
      <c r="AM2086" t="s">
        <v>731</v>
      </c>
      <c r="AN2086">
        <v>-116.832604</v>
      </c>
      <c r="AO2086">
        <v>25</v>
      </c>
      <c r="AP2086">
        <v>3000</v>
      </c>
      <c r="AQ2086" t="s">
        <v>129</v>
      </c>
      <c r="AR2086">
        <v>128</v>
      </c>
      <c r="AS2086">
        <v>-27</v>
      </c>
      <c r="AT2086">
        <v>192</v>
      </c>
      <c r="BB2086">
        <v>1200</v>
      </c>
      <c r="BC2086">
        <v>1</v>
      </c>
      <c r="BD2086" t="str">
        <f t="shared" si="726"/>
        <v xml:space="preserve">N887QR  </v>
      </c>
      <c r="BE2086">
        <v>1</v>
      </c>
      <c r="BG2086">
        <v>0</v>
      </c>
      <c r="BH2086">
        <v>0</v>
      </c>
      <c r="BI2086">
        <v>0</v>
      </c>
      <c r="BJ2086">
        <v>2700</v>
      </c>
      <c r="BK2086">
        <v>-300</v>
      </c>
      <c r="BL2086" t="s">
        <v>163</v>
      </c>
      <c r="BM2086">
        <v>1</v>
      </c>
      <c r="BN2086">
        <v>1</v>
      </c>
      <c r="BO2086">
        <v>1</v>
      </c>
      <c r="BP2086">
        <v>0</v>
      </c>
      <c r="BS2086">
        <v>0.08</v>
      </c>
      <c r="BT2086">
        <v>0</v>
      </c>
      <c r="BU2086">
        <v>0</v>
      </c>
      <c r="CE2086" t="str">
        <f t="shared" si="739"/>
        <v>19:30:58.752</v>
      </c>
      <c r="CF2086">
        <v>752465891</v>
      </c>
      <c r="CS2086">
        <v>0</v>
      </c>
      <c r="CT2086">
        <v>2</v>
      </c>
      <c r="CU2086">
        <v>0</v>
      </c>
      <c r="CV2086">
        <v>2</v>
      </c>
      <c r="CW2086">
        <v>0</v>
      </c>
      <c r="CX2086">
        <v>0</v>
      </c>
      <c r="CY2086">
        <v>7</v>
      </c>
      <c r="CZ2086" t="s">
        <v>131</v>
      </c>
      <c r="DA2086">
        <v>286</v>
      </c>
      <c r="DB2086">
        <v>0</v>
      </c>
      <c r="DC2086" t="s">
        <v>132</v>
      </c>
      <c r="DD2086" t="s">
        <v>133</v>
      </c>
      <c r="DG2086">
        <v>835165</v>
      </c>
      <c r="DI2086">
        <v>1</v>
      </c>
      <c r="DJ2086">
        <v>0</v>
      </c>
      <c r="DK2086">
        <v>1</v>
      </c>
      <c r="DL2086">
        <v>0</v>
      </c>
      <c r="DM2086">
        <v>0</v>
      </c>
      <c r="DN2086">
        <v>1</v>
      </c>
      <c r="DO2086">
        <v>0</v>
      </c>
      <c r="DP2086">
        <v>0</v>
      </c>
      <c r="DQ2086">
        <v>0</v>
      </c>
      <c r="DR2086">
        <v>0</v>
      </c>
      <c r="DS2086">
        <v>0</v>
      </c>
    </row>
    <row r="2087" spans="1:123" x14ac:dyDescent="0.3">
      <c r="A2087" t="str">
        <f>"10/04/2022 19:31:00.482"</f>
        <v>10/04/2022 19:31:00.482</v>
      </c>
      <c r="C2087" t="str">
        <f t="shared" si="738"/>
        <v>FFDFD3C0</v>
      </c>
      <c r="D2087" t="s">
        <v>141</v>
      </c>
      <c r="E2087">
        <v>3</v>
      </c>
      <c r="H2087">
        <v>3</v>
      </c>
      <c r="I2087" t="s">
        <v>146</v>
      </c>
      <c r="J2087" t="s">
        <v>138</v>
      </c>
      <c r="K2087">
        <v>0</v>
      </c>
      <c r="L2087">
        <v>3</v>
      </c>
      <c r="M2087">
        <v>0</v>
      </c>
      <c r="N2087">
        <v>2</v>
      </c>
      <c r="O2087">
        <v>0</v>
      </c>
      <c r="P2087">
        <v>1</v>
      </c>
      <c r="Q2087">
        <v>0</v>
      </c>
      <c r="S2087" t="str">
        <f t="shared" ref="S2087:T2093" si="740">"19:31:00.000"</f>
        <v>19:31:00.000</v>
      </c>
      <c r="T2087" t="str">
        <f t="shared" si="740"/>
        <v>19:31:00.000</v>
      </c>
      <c r="U2087" t="str">
        <f t="shared" si="725"/>
        <v>AC3944</v>
      </c>
      <c r="V2087">
        <v>0</v>
      </c>
      <c r="W2087">
        <v>0</v>
      </c>
      <c r="X2087">
        <v>2</v>
      </c>
      <c r="Y2087">
        <v>0</v>
      </c>
      <c r="AA2087">
        <v>1</v>
      </c>
      <c r="AB2087">
        <v>8</v>
      </c>
      <c r="AC2087">
        <v>3</v>
      </c>
      <c r="AD2087">
        <v>0</v>
      </c>
      <c r="AE2087">
        <v>9</v>
      </c>
      <c r="AF2087" t="s">
        <v>138</v>
      </c>
      <c r="AG2087">
        <v>0</v>
      </c>
      <c r="AH2087">
        <v>3</v>
      </c>
      <c r="AI2087">
        <v>1</v>
      </c>
      <c r="AJ2087">
        <v>0</v>
      </c>
      <c r="AK2087" t="s">
        <v>732</v>
      </c>
      <c r="AL2087">
        <v>32.773783000000002</v>
      </c>
      <c r="AM2087" t="s">
        <v>733</v>
      </c>
      <c r="AN2087">
        <v>-116.832047</v>
      </c>
      <c r="AO2087">
        <v>25</v>
      </c>
      <c r="AP2087">
        <v>3000</v>
      </c>
      <c r="AQ2087" t="s">
        <v>129</v>
      </c>
      <c r="AR2087">
        <v>128</v>
      </c>
      <c r="AS2087">
        <v>-27</v>
      </c>
      <c r="AT2087">
        <v>256</v>
      </c>
      <c r="BB2087">
        <v>1200</v>
      </c>
      <c r="BC2087">
        <v>1</v>
      </c>
      <c r="BD2087" t="str">
        <f t="shared" si="726"/>
        <v xml:space="preserve">N887QR  </v>
      </c>
      <c r="BE2087">
        <v>1</v>
      </c>
      <c r="BG2087">
        <v>0</v>
      </c>
      <c r="BH2087">
        <v>0</v>
      </c>
      <c r="BI2087">
        <v>0</v>
      </c>
      <c r="BJ2087">
        <v>2700</v>
      </c>
      <c r="BK2087">
        <v>-300</v>
      </c>
      <c r="BL2087" t="s">
        <v>163</v>
      </c>
      <c r="BM2087">
        <v>1</v>
      </c>
      <c r="BN2087">
        <v>1</v>
      </c>
      <c r="BO2087">
        <v>1</v>
      </c>
      <c r="BP2087">
        <v>0</v>
      </c>
      <c r="BS2087">
        <v>0.08</v>
      </c>
      <c r="BT2087">
        <v>0</v>
      </c>
      <c r="BU2087">
        <v>0</v>
      </c>
      <c r="CE2087" t="str">
        <f t="shared" ref="CE2087:CE2093" si="741">"19:31:00.281"</f>
        <v>19:31:00.281</v>
      </c>
      <c r="CF2087">
        <v>280501520</v>
      </c>
      <c r="CS2087">
        <v>0</v>
      </c>
      <c r="CT2087">
        <v>2</v>
      </c>
      <c r="CU2087">
        <v>0</v>
      </c>
      <c r="CV2087">
        <v>2</v>
      </c>
      <c r="CW2087">
        <v>0</v>
      </c>
      <c r="CX2087">
        <v>5</v>
      </c>
      <c r="CY2087">
        <v>7</v>
      </c>
      <c r="CZ2087" t="s">
        <v>131</v>
      </c>
      <c r="DA2087">
        <v>300</v>
      </c>
      <c r="DB2087">
        <v>0</v>
      </c>
      <c r="DC2087" t="s">
        <v>176</v>
      </c>
      <c r="DD2087" t="s">
        <v>177</v>
      </c>
      <c r="DG2087">
        <v>5401969</v>
      </c>
      <c r="DI2087">
        <v>1</v>
      </c>
      <c r="DJ2087">
        <v>0</v>
      </c>
      <c r="DK2087">
        <v>0</v>
      </c>
      <c r="DL2087">
        <v>0</v>
      </c>
      <c r="DM2087">
        <v>0</v>
      </c>
      <c r="DN2087">
        <v>1</v>
      </c>
      <c r="DO2087">
        <v>0</v>
      </c>
      <c r="DP2087">
        <v>0</v>
      </c>
      <c r="DQ2087">
        <v>0</v>
      </c>
      <c r="DR2087">
        <v>0</v>
      </c>
      <c r="DS2087">
        <v>0</v>
      </c>
    </row>
    <row r="2088" spans="1:123" x14ac:dyDescent="0.3">
      <c r="A2088" t="str">
        <f t="shared" ref="A2088:A2093" si="742">"10/04/2022 19:31:00.529"</f>
        <v>10/04/2022 19:31:00.529</v>
      </c>
      <c r="C2088" t="str">
        <f t="shared" si="738"/>
        <v>FFDFD3C0</v>
      </c>
      <c r="D2088" t="s">
        <v>134</v>
      </c>
      <c r="E2088">
        <v>15</v>
      </c>
      <c r="J2088" t="s">
        <v>135</v>
      </c>
      <c r="K2088">
        <v>0</v>
      </c>
      <c r="L2088">
        <v>3</v>
      </c>
      <c r="M2088">
        <v>0</v>
      </c>
      <c r="N2088">
        <v>2</v>
      </c>
      <c r="O2088">
        <v>0</v>
      </c>
      <c r="P2088">
        <v>1</v>
      </c>
      <c r="Q2088">
        <v>0</v>
      </c>
      <c r="S2088" t="str">
        <f t="shared" si="740"/>
        <v>19:31:00.000</v>
      </c>
      <c r="T2088" t="str">
        <f t="shared" si="740"/>
        <v>19:31:00.000</v>
      </c>
      <c r="U2088" t="str">
        <f t="shared" si="725"/>
        <v>AC3944</v>
      </c>
      <c r="V2088">
        <v>0</v>
      </c>
      <c r="W2088">
        <v>0</v>
      </c>
      <c r="X2088">
        <v>2</v>
      </c>
      <c r="Y2088">
        <v>0</v>
      </c>
      <c r="AA2088">
        <v>1</v>
      </c>
      <c r="AB2088">
        <v>8</v>
      </c>
      <c r="AC2088">
        <v>3</v>
      </c>
      <c r="AD2088">
        <v>0</v>
      </c>
      <c r="AE2088">
        <v>9</v>
      </c>
      <c r="AF2088" t="s">
        <v>138</v>
      </c>
      <c r="AG2088">
        <v>0</v>
      </c>
      <c r="AH2088">
        <v>3</v>
      </c>
      <c r="AI2088">
        <v>1</v>
      </c>
      <c r="AJ2088">
        <v>0</v>
      </c>
      <c r="AK2088" t="s">
        <v>732</v>
      </c>
      <c r="AL2088">
        <v>32.773783000000002</v>
      </c>
      <c r="AM2088" t="s">
        <v>733</v>
      </c>
      <c r="AN2088">
        <v>-116.832047</v>
      </c>
      <c r="AO2088">
        <v>25</v>
      </c>
      <c r="AP2088">
        <v>3000</v>
      </c>
      <c r="AQ2088" t="s">
        <v>129</v>
      </c>
      <c r="AR2088">
        <v>128</v>
      </c>
      <c r="AS2088">
        <v>-27</v>
      </c>
      <c r="AT2088">
        <v>256</v>
      </c>
      <c r="BB2088">
        <v>1200</v>
      </c>
      <c r="BC2088">
        <v>1</v>
      </c>
      <c r="BD2088" t="str">
        <f t="shared" si="726"/>
        <v xml:space="preserve">N887QR  </v>
      </c>
      <c r="BE2088">
        <v>1</v>
      </c>
      <c r="BG2088">
        <v>0</v>
      </c>
      <c r="BH2088">
        <v>0</v>
      </c>
      <c r="BI2088">
        <v>0</v>
      </c>
      <c r="BJ2088">
        <v>2700</v>
      </c>
      <c r="BK2088">
        <v>-300</v>
      </c>
      <c r="BL2088" t="s">
        <v>163</v>
      </c>
      <c r="BM2088">
        <v>1</v>
      </c>
      <c r="BN2088">
        <v>1</v>
      </c>
      <c r="BO2088">
        <v>1</v>
      </c>
      <c r="BP2088">
        <v>0</v>
      </c>
      <c r="BS2088">
        <v>0.08</v>
      </c>
      <c r="BT2088">
        <v>0</v>
      </c>
      <c r="BU2088">
        <v>0</v>
      </c>
      <c r="CE2088" t="str">
        <f t="shared" si="741"/>
        <v>19:31:00.281</v>
      </c>
      <c r="CF2088">
        <v>280501520</v>
      </c>
      <c r="CS2088">
        <v>0</v>
      </c>
      <c r="CT2088">
        <v>2</v>
      </c>
      <c r="CU2088">
        <v>0</v>
      </c>
      <c r="CV2088">
        <v>2</v>
      </c>
      <c r="CW2088">
        <v>0</v>
      </c>
      <c r="CX2088">
        <v>5</v>
      </c>
      <c r="CY2088">
        <v>7</v>
      </c>
      <c r="CZ2088" t="s">
        <v>131</v>
      </c>
      <c r="DA2088">
        <v>300</v>
      </c>
      <c r="DB2088">
        <v>0</v>
      </c>
      <c r="DC2088" t="s">
        <v>176</v>
      </c>
      <c r="DD2088" t="s">
        <v>177</v>
      </c>
      <c r="DG2088">
        <v>5401969</v>
      </c>
      <c r="DI2088">
        <v>1</v>
      </c>
      <c r="DJ2088">
        <v>0</v>
      </c>
      <c r="DK2088">
        <v>1</v>
      </c>
      <c r="DL2088">
        <v>0</v>
      </c>
      <c r="DM2088">
        <v>0</v>
      </c>
      <c r="DN2088">
        <v>1</v>
      </c>
      <c r="DO2088">
        <v>0</v>
      </c>
      <c r="DP2088">
        <v>0</v>
      </c>
      <c r="DQ2088">
        <v>0</v>
      </c>
      <c r="DR2088">
        <v>0</v>
      </c>
      <c r="DS2088">
        <v>0</v>
      </c>
    </row>
    <row r="2089" spans="1:123" x14ac:dyDescent="0.3">
      <c r="A2089" t="str">
        <f t="shared" si="742"/>
        <v>10/04/2022 19:31:00.529</v>
      </c>
      <c r="C2089" t="str">
        <f t="shared" si="738"/>
        <v>FFDFD3C0</v>
      </c>
      <c r="D2089" t="s">
        <v>141</v>
      </c>
      <c r="E2089">
        <v>4</v>
      </c>
      <c r="H2089">
        <v>4</v>
      </c>
      <c r="I2089" t="s">
        <v>142</v>
      </c>
      <c r="J2089" t="s">
        <v>138</v>
      </c>
      <c r="K2089">
        <v>0</v>
      </c>
      <c r="L2089">
        <v>3</v>
      </c>
      <c r="M2089">
        <v>0</v>
      </c>
      <c r="N2089">
        <v>2</v>
      </c>
      <c r="O2089">
        <v>0</v>
      </c>
      <c r="P2089">
        <v>1</v>
      </c>
      <c r="Q2089">
        <v>0</v>
      </c>
      <c r="S2089" t="str">
        <f t="shared" si="740"/>
        <v>19:31:00.000</v>
      </c>
      <c r="T2089" t="str">
        <f t="shared" si="740"/>
        <v>19:31:00.000</v>
      </c>
      <c r="U2089" t="str">
        <f t="shared" si="725"/>
        <v>AC3944</v>
      </c>
      <c r="V2089">
        <v>0</v>
      </c>
      <c r="W2089">
        <v>0</v>
      </c>
      <c r="X2089">
        <v>2</v>
      </c>
      <c r="Y2089">
        <v>0</v>
      </c>
      <c r="AA2089">
        <v>1</v>
      </c>
      <c r="AB2089">
        <v>8</v>
      </c>
      <c r="AC2089">
        <v>3</v>
      </c>
      <c r="AD2089">
        <v>0</v>
      </c>
      <c r="AE2089">
        <v>9</v>
      </c>
      <c r="AF2089" t="s">
        <v>138</v>
      </c>
      <c r="AG2089">
        <v>0</v>
      </c>
      <c r="AH2089">
        <v>3</v>
      </c>
      <c r="AI2089">
        <v>1</v>
      </c>
      <c r="AJ2089">
        <v>0</v>
      </c>
      <c r="AK2089" t="s">
        <v>732</v>
      </c>
      <c r="AL2089">
        <v>32.773783000000002</v>
      </c>
      <c r="AM2089" t="s">
        <v>733</v>
      </c>
      <c r="AN2089">
        <v>-116.832047</v>
      </c>
      <c r="AO2089">
        <v>25</v>
      </c>
      <c r="AP2089">
        <v>3000</v>
      </c>
      <c r="AQ2089" t="s">
        <v>129</v>
      </c>
      <c r="AR2089">
        <v>128</v>
      </c>
      <c r="AS2089">
        <v>-27</v>
      </c>
      <c r="AT2089">
        <v>256</v>
      </c>
      <c r="BB2089">
        <v>1200</v>
      </c>
      <c r="BC2089">
        <v>1</v>
      </c>
      <c r="BD2089" t="str">
        <f t="shared" si="726"/>
        <v xml:space="preserve">N887QR  </v>
      </c>
      <c r="BE2089">
        <v>1</v>
      </c>
      <c r="BG2089">
        <v>0</v>
      </c>
      <c r="BH2089">
        <v>0</v>
      </c>
      <c r="BI2089">
        <v>0</v>
      </c>
      <c r="BJ2089">
        <v>2700</v>
      </c>
      <c r="BK2089">
        <v>-300</v>
      </c>
      <c r="BL2089" t="s">
        <v>163</v>
      </c>
      <c r="BM2089">
        <v>1</v>
      </c>
      <c r="BN2089">
        <v>1</v>
      </c>
      <c r="BO2089">
        <v>1</v>
      </c>
      <c r="BP2089">
        <v>0</v>
      </c>
      <c r="BS2089">
        <v>0.08</v>
      </c>
      <c r="BT2089">
        <v>0</v>
      </c>
      <c r="BU2089">
        <v>0</v>
      </c>
      <c r="CE2089" t="str">
        <f t="shared" si="741"/>
        <v>19:31:00.281</v>
      </c>
      <c r="CF2089">
        <v>280501520</v>
      </c>
      <c r="CS2089">
        <v>0</v>
      </c>
      <c r="CT2089">
        <v>2</v>
      </c>
      <c r="CU2089">
        <v>0</v>
      </c>
      <c r="CV2089">
        <v>2</v>
      </c>
      <c r="CW2089">
        <v>0</v>
      </c>
      <c r="CX2089">
        <v>5</v>
      </c>
      <c r="CY2089">
        <v>7</v>
      </c>
      <c r="CZ2089" t="s">
        <v>131</v>
      </c>
      <c r="DA2089">
        <v>300</v>
      </c>
      <c r="DB2089">
        <v>0</v>
      </c>
      <c r="DC2089" t="s">
        <v>176</v>
      </c>
      <c r="DD2089" t="s">
        <v>177</v>
      </c>
      <c r="DG2089">
        <v>5401969</v>
      </c>
      <c r="DI2089">
        <v>1</v>
      </c>
      <c r="DJ2089">
        <v>0</v>
      </c>
      <c r="DK2089">
        <v>1</v>
      </c>
      <c r="DL2089">
        <v>0</v>
      </c>
      <c r="DM2089">
        <v>0</v>
      </c>
      <c r="DN2089">
        <v>1</v>
      </c>
      <c r="DO2089">
        <v>0</v>
      </c>
      <c r="DP2089">
        <v>0</v>
      </c>
      <c r="DQ2089">
        <v>0</v>
      </c>
      <c r="DR2089">
        <v>0</v>
      </c>
      <c r="DS2089">
        <v>0</v>
      </c>
    </row>
    <row r="2090" spans="1:123" x14ac:dyDescent="0.3">
      <c r="A2090" t="str">
        <f t="shared" si="742"/>
        <v>10/04/2022 19:31:00.529</v>
      </c>
      <c r="C2090" t="str">
        <f t="shared" si="738"/>
        <v>FFDFD3C0</v>
      </c>
      <c r="D2090" t="s">
        <v>136</v>
      </c>
      <c r="E2090">
        <v>8</v>
      </c>
      <c r="H2090">
        <v>225</v>
      </c>
      <c r="I2090" t="s">
        <v>137</v>
      </c>
      <c r="J2090" t="s">
        <v>138</v>
      </c>
      <c r="K2090">
        <v>0</v>
      </c>
      <c r="L2090">
        <v>3</v>
      </c>
      <c r="M2090">
        <v>0</v>
      </c>
      <c r="N2090">
        <v>2</v>
      </c>
      <c r="O2090">
        <v>0</v>
      </c>
      <c r="P2090">
        <v>1</v>
      </c>
      <c r="Q2090">
        <v>0</v>
      </c>
      <c r="S2090" t="str">
        <f t="shared" si="740"/>
        <v>19:31:00.000</v>
      </c>
      <c r="T2090" t="str">
        <f t="shared" si="740"/>
        <v>19:31:00.000</v>
      </c>
      <c r="U2090" t="str">
        <f t="shared" si="725"/>
        <v>AC3944</v>
      </c>
      <c r="V2090">
        <v>0</v>
      </c>
      <c r="W2090">
        <v>0</v>
      </c>
      <c r="X2090">
        <v>2</v>
      </c>
      <c r="Y2090">
        <v>0</v>
      </c>
      <c r="AA2090">
        <v>1</v>
      </c>
      <c r="AB2090">
        <v>8</v>
      </c>
      <c r="AC2090">
        <v>3</v>
      </c>
      <c r="AD2090">
        <v>0</v>
      </c>
      <c r="AE2090">
        <v>9</v>
      </c>
      <c r="AF2090" t="s">
        <v>138</v>
      </c>
      <c r="AG2090">
        <v>0</v>
      </c>
      <c r="AH2090">
        <v>3</v>
      </c>
      <c r="AI2090">
        <v>1</v>
      </c>
      <c r="AJ2090">
        <v>0</v>
      </c>
      <c r="AK2090" t="s">
        <v>732</v>
      </c>
      <c r="AL2090">
        <v>32.773783000000002</v>
      </c>
      <c r="AM2090" t="s">
        <v>733</v>
      </c>
      <c r="AN2090">
        <v>-116.832047</v>
      </c>
      <c r="AO2090">
        <v>25</v>
      </c>
      <c r="AP2090">
        <v>3000</v>
      </c>
      <c r="AQ2090" t="s">
        <v>129</v>
      </c>
      <c r="AR2090">
        <v>128</v>
      </c>
      <c r="AS2090">
        <v>-27</v>
      </c>
      <c r="AT2090">
        <v>256</v>
      </c>
      <c r="BB2090">
        <v>1200</v>
      </c>
      <c r="BC2090">
        <v>1</v>
      </c>
      <c r="BD2090" t="str">
        <f t="shared" si="726"/>
        <v xml:space="preserve">N887QR  </v>
      </c>
      <c r="BE2090">
        <v>1</v>
      </c>
      <c r="BG2090">
        <v>0</v>
      </c>
      <c r="BH2090">
        <v>0</v>
      </c>
      <c r="BI2090">
        <v>0</v>
      </c>
      <c r="BJ2090">
        <v>2700</v>
      </c>
      <c r="BK2090">
        <v>-300</v>
      </c>
      <c r="BL2090" t="s">
        <v>163</v>
      </c>
      <c r="BM2090">
        <v>1</v>
      </c>
      <c r="BN2090">
        <v>1</v>
      </c>
      <c r="BO2090">
        <v>1</v>
      </c>
      <c r="BP2090">
        <v>0</v>
      </c>
      <c r="BS2090">
        <v>0.08</v>
      </c>
      <c r="BT2090">
        <v>0</v>
      </c>
      <c r="BU2090">
        <v>0</v>
      </c>
      <c r="CE2090" t="str">
        <f t="shared" si="741"/>
        <v>19:31:00.281</v>
      </c>
      <c r="CF2090">
        <v>280501520</v>
      </c>
      <c r="CS2090">
        <v>0</v>
      </c>
      <c r="CT2090">
        <v>2</v>
      </c>
      <c r="CU2090">
        <v>0</v>
      </c>
      <c r="CV2090">
        <v>2</v>
      </c>
      <c r="CW2090">
        <v>0</v>
      </c>
      <c r="CX2090">
        <v>5</v>
      </c>
      <c r="CY2090">
        <v>7</v>
      </c>
      <c r="CZ2090" t="s">
        <v>131</v>
      </c>
      <c r="DA2090">
        <v>300</v>
      </c>
      <c r="DB2090">
        <v>0</v>
      </c>
      <c r="DC2090" t="s">
        <v>176</v>
      </c>
      <c r="DD2090" t="s">
        <v>177</v>
      </c>
      <c r="DG2090">
        <v>5401969</v>
      </c>
      <c r="DI2090">
        <v>1</v>
      </c>
      <c r="DJ2090">
        <v>0</v>
      </c>
      <c r="DK2090">
        <v>1</v>
      </c>
      <c r="DL2090">
        <v>0</v>
      </c>
      <c r="DM2090">
        <v>0</v>
      </c>
      <c r="DN2090">
        <v>1</v>
      </c>
      <c r="DO2090">
        <v>0</v>
      </c>
      <c r="DP2090">
        <v>0</v>
      </c>
      <c r="DQ2090">
        <v>0</v>
      </c>
      <c r="DR2090">
        <v>0</v>
      </c>
      <c r="DS2090">
        <v>0</v>
      </c>
    </row>
    <row r="2091" spans="1:123" x14ac:dyDescent="0.3">
      <c r="A2091" t="str">
        <f t="shared" si="742"/>
        <v>10/04/2022 19:31:00.529</v>
      </c>
      <c r="C2091" t="str">
        <f t="shared" si="738"/>
        <v>FFDFD3C0</v>
      </c>
      <c r="D2091" t="s">
        <v>143</v>
      </c>
      <c r="E2091">
        <v>20</v>
      </c>
      <c r="F2091">
        <v>1020</v>
      </c>
      <c r="G2091" t="s">
        <v>144</v>
      </c>
      <c r="J2091" t="s">
        <v>145</v>
      </c>
      <c r="K2091">
        <v>0</v>
      </c>
      <c r="L2091">
        <v>3</v>
      </c>
      <c r="M2091">
        <v>0</v>
      </c>
      <c r="N2091">
        <v>2</v>
      </c>
      <c r="O2091">
        <v>0</v>
      </c>
      <c r="P2091">
        <v>1</v>
      </c>
      <c r="Q2091">
        <v>0</v>
      </c>
      <c r="S2091" t="str">
        <f t="shared" si="740"/>
        <v>19:31:00.000</v>
      </c>
      <c r="T2091" t="str">
        <f t="shared" si="740"/>
        <v>19:31:00.000</v>
      </c>
      <c r="U2091" t="str">
        <f t="shared" si="725"/>
        <v>AC3944</v>
      </c>
      <c r="V2091">
        <v>0</v>
      </c>
      <c r="W2091">
        <v>0</v>
      </c>
      <c r="X2091">
        <v>2</v>
      </c>
      <c r="Y2091">
        <v>0</v>
      </c>
      <c r="AA2091">
        <v>1</v>
      </c>
      <c r="AB2091">
        <v>8</v>
      </c>
      <c r="AC2091">
        <v>3</v>
      </c>
      <c r="AD2091">
        <v>0</v>
      </c>
      <c r="AE2091">
        <v>9</v>
      </c>
      <c r="AF2091" t="s">
        <v>138</v>
      </c>
      <c r="AG2091">
        <v>0</v>
      </c>
      <c r="AH2091">
        <v>3</v>
      </c>
      <c r="AI2091">
        <v>1</v>
      </c>
      <c r="AJ2091">
        <v>0</v>
      </c>
      <c r="AK2091" t="s">
        <v>732</v>
      </c>
      <c r="AL2091">
        <v>32.773783000000002</v>
      </c>
      <c r="AM2091" t="s">
        <v>733</v>
      </c>
      <c r="AN2091">
        <v>-116.832047</v>
      </c>
      <c r="AO2091">
        <v>25</v>
      </c>
      <c r="AP2091">
        <v>3000</v>
      </c>
      <c r="AQ2091" t="s">
        <v>129</v>
      </c>
      <c r="AR2091">
        <v>128</v>
      </c>
      <c r="AS2091">
        <v>-27</v>
      </c>
      <c r="AT2091">
        <v>256</v>
      </c>
      <c r="BB2091">
        <v>1200</v>
      </c>
      <c r="BC2091">
        <v>1</v>
      </c>
      <c r="BD2091" t="str">
        <f t="shared" si="726"/>
        <v xml:space="preserve">N887QR  </v>
      </c>
      <c r="BE2091">
        <v>1</v>
      </c>
      <c r="BG2091">
        <v>0</v>
      </c>
      <c r="BH2091">
        <v>0</v>
      </c>
      <c r="BI2091">
        <v>0</v>
      </c>
      <c r="BJ2091">
        <v>2700</v>
      </c>
      <c r="BK2091">
        <v>-300</v>
      </c>
      <c r="BL2091" t="s">
        <v>163</v>
      </c>
      <c r="BM2091">
        <v>1</v>
      </c>
      <c r="BN2091">
        <v>1</v>
      </c>
      <c r="BO2091">
        <v>1</v>
      </c>
      <c r="BP2091">
        <v>0</v>
      </c>
      <c r="BS2091">
        <v>0.08</v>
      </c>
      <c r="BT2091">
        <v>0</v>
      </c>
      <c r="BU2091">
        <v>0</v>
      </c>
      <c r="CE2091" t="str">
        <f t="shared" si="741"/>
        <v>19:31:00.281</v>
      </c>
      <c r="CF2091">
        <v>280501520</v>
      </c>
      <c r="CS2091">
        <v>0</v>
      </c>
      <c r="CT2091">
        <v>2</v>
      </c>
      <c r="CU2091">
        <v>0</v>
      </c>
      <c r="CV2091">
        <v>2</v>
      </c>
      <c r="CW2091">
        <v>0</v>
      </c>
      <c r="CX2091">
        <v>5</v>
      </c>
      <c r="CY2091">
        <v>7</v>
      </c>
      <c r="CZ2091" t="s">
        <v>131</v>
      </c>
      <c r="DA2091">
        <v>300</v>
      </c>
      <c r="DB2091">
        <v>0</v>
      </c>
      <c r="DC2091" t="s">
        <v>176</v>
      </c>
      <c r="DD2091" t="s">
        <v>177</v>
      </c>
      <c r="DG2091">
        <v>5401969</v>
      </c>
      <c r="DI2091">
        <v>1</v>
      </c>
      <c r="DJ2091">
        <v>0</v>
      </c>
      <c r="DK2091">
        <v>1</v>
      </c>
      <c r="DL2091">
        <v>0</v>
      </c>
      <c r="DM2091">
        <v>0</v>
      </c>
      <c r="DN2091">
        <v>1</v>
      </c>
      <c r="DO2091">
        <v>0</v>
      </c>
      <c r="DP2091">
        <v>0</v>
      </c>
      <c r="DQ2091">
        <v>0</v>
      </c>
      <c r="DR2091">
        <v>0</v>
      </c>
      <c r="DS2091">
        <v>0</v>
      </c>
    </row>
    <row r="2092" spans="1:123" x14ac:dyDescent="0.3">
      <c r="A2092" t="str">
        <f t="shared" si="742"/>
        <v>10/04/2022 19:31:00.529</v>
      </c>
      <c r="C2092" t="str">
        <f t="shared" si="738"/>
        <v>FFDFD3C0</v>
      </c>
      <c r="D2092" t="s">
        <v>123</v>
      </c>
      <c r="E2092">
        <v>7</v>
      </c>
      <c r="F2092">
        <v>2007</v>
      </c>
      <c r="G2092" t="s">
        <v>124</v>
      </c>
      <c r="J2092" t="s">
        <v>125</v>
      </c>
      <c r="K2092">
        <v>0</v>
      </c>
      <c r="L2092">
        <v>3</v>
      </c>
      <c r="M2092">
        <v>0</v>
      </c>
      <c r="N2092">
        <v>2</v>
      </c>
      <c r="O2092">
        <v>0</v>
      </c>
      <c r="P2092">
        <v>1</v>
      </c>
      <c r="Q2092">
        <v>0</v>
      </c>
      <c r="S2092" t="str">
        <f t="shared" si="740"/>
        <v>19:31:00.000</v>
      </c>
      <c r="T2092" t="str">
        <f t="shared" si="740"/>
        <v>19:31:00.000</v>
      </c>
      <c r="U2092" t="str">
        <f t="shared" si="725"/>
        <v>AC3944</v>
      </c>
      <c r="V2092">
        <v>0</v>
      </c>
      <c r="W2092">
        <v>0</v>
      </c>
      <c r="X2092">
        <v>2</v>
      </c>
      <c r="Y2092">
        <v>0</v>
      </c>
      <c r="AA2092">
        <v>1</v>
      </c>
      <c r="AB2092">
        <v>8</v>
      </c>
      <c r="AC2092">
        <v>3</v>
      </c>
      <c r="AD2092">
        <v>0</v>
      </c>
      <c r="AE2092">
        <v>9</v>
      </c>
      <c r="AF2092" t="s">
        <v>138</v>
      </c>
      <c r="AG2092">
        <v>0</v>
      </c>
      <c r="AH2092">
        <v>3</v>
      </c>
      <c r="AI2092">
        <v>1</v>
      </c>
      <c r="AJ2092">
        <v>0</v>
      </c>
      <c r="AK2092" t="s">
        <v>732</v>
      </c>
      <c r="AL2092">
        <v>32.773783000000002</v>
      </c>
      <c r="AM2092" t="s">
        <v>733</v>
      </c>
      <c r="AN2092">
        <v>-116.832047</v>
      </c>
      <c r="AO2092">
        <v>25</v>
      </c>
      <c r="AP2092">
        <v>3000</v>
      </c>
      <c r="AQ2092" t="s">
        <v>129</v>
      </c>
      <c r="AR2092">
        <v>128</v>
      </c>
      <c r="AS2092">
        <v>-27</v>
      </c>
      <c r="AT2092">
        <v>256</v>
      </c>
      <c r="BB2092">
        <v>1200</v>
      </c>
      <c r="BC2092">
        <v>1</v>
      </c>
      <c r="BD2092" t="str">
        <f t="shared" si="726"/>
        <v xml:space="preserve">N887QR  </v>
      </c>
      <c r="BE2092">
        <v>1</v>
      </c>
      <c r="BG2092">
        <v>0</v>
      </c>
      <c r="BH2092">
        <v>0</v>
      </c>
      <c r="BI2092">
        <v>0</v>
      </c>
      <c r="BJ2092">
        <v>2700</v>
      </c>
      <c r="BK2092">
        <v>-300</v>
      </c>
      <c r="BL2092" t="s">
        <v>163</v>
      </c>
      <c r="BM2092">
        <v>1</v>
      </c>
      <c r="BN2092">
        <v>1</v>
      </c>
      <c r="BO2092">
        <v>1</v>
      </c>
      <c r="BP2092">
        <v>0</v>
      </c>
      <c r="BS2092">
        <v>0.08</v>
      </c>
      <c r="BT2092">
        <v>0</v>
      </c>
      <c r="BU2092">
        <v>0</v>
      </c>
      <c r="CE2092" t="str">
        <f t="shared" si="741"/>
        <v>19:31:00.281</v>
      </c>
      <c r="CF2092">
        <v>280501520</v>
      </c>
      <c r="CS2092">
        <v>0</v>
      </c>
      <c r="CT2092">
        <v>2</v>
      </c>
      <c r="CU2092">
        <v>0</v>
      </c>
      <c r="CV2092">
        <v>2</v>
      </c>
      <c r="CW2092">
        <v>0</v>
      </c>
      <c r="CX2092">
        <v>5</v>
      </c>
      <c r="CY2092">
        <v>7</v>
      </c>
      <c r="CZ2092" t="s">
        <v>131</v>
      </c>
      <c r="DA2092">
        <v>300</v>
      </c>
      <c r="DB2092">
        <v>0</v>
      </c>
      <c r="DC2092" t="s">
        <v>176</v>
      </c>
      <c r="DD2092" t="s">
        <v>177</v>
      </c>
      <c r="DG2092">
        <v>5401969</v>
      </c>
      <c r="DI2092">
        <v>1</v>
      </c>
      <c r="DJ2092">
        <v>0</v>
      </c>
      <c r="DK2092">
        <v>1</v>
      </c>
      <c r="DL2092">
        <v>0</v>
      </c>
      <c r="DM2092">
        <v>0</v>
      </c>
      <c r="DN2092">
        <v>1</v>
      </c>
      <c r="DO2092">
        <v>0</v>
      </c>
      <c r="DP2092">
        <v>0</v>
      </c>
      <c r="DQ2092">
        <v>0</v>
      </c>
      <c r="DR2092">
        <v>0</v>
      </c>
      <c r="DS2092">
        <v>0</v>
      </c>
    </row>
    <row r="2093" spans="1:123" x14ac:dyDescent="0.3">
      <c r="A2093" t="str">
        <f t="shared" si="742"/>
        <v>10/04/2022 19:31:00.529</v>
      </c>
      <c r="C2093" t="str">
        <f t="shared" si="738"/>
        <v>FFDFD3C0</v>
      </c>
      <c r="D2093" t="s">
        <v>147</v>
      </c>
      <c r="E2093">
        <v>3</v>
      </c>
      <c r="H2093">
        <v>166</v>
      </c>
      <c r="I2093" t="s">
        <v>144</v>
      </c>
      <c r="J2093" t="s">
        <v>148</v>
      </c>
      <c r="K2093">
        <v>0</v>
      </c>
      <c r="L2093">
        <v>3</v>
      </c>
      <c r="M2093">
        <v>0</v>
      </c>
      <c r="N2093">
        <v>2</v>
      </c>
      <c r="O2093">
        <v>0</v>
      </c>
      <c r="P2093">
        <v>1</v>
      </c>
      <c r="Q2093">
        <v>0</v>
      </c>
      <c r="S2093" t="str">
        <f t="shared" si="740"/>
        <v>19:31:00.000</v>
      </c>
      <c r="T2093" t="str">
        <f t="shared" si="740"/>
        <v>19:31:00.000</v>
      </c>
      <c r="U2093" t="str">
        <f t="shared" si="725"/>
        <v>AC3944</v>
      </c>
      <c r="V2093">
        <v>0</v>
      </c>
      <c r="W2093">
        <v>0</v>
      </c>
      <c r="X2093">
        <v>2</v>
      </c>
      <c r="Y2093">
        <v>0</v>
      </c>
      <c r="AA2093">
        <v>1</v>
      </c>
      <c r="AB2093">
        <v>8</v>
      </c>
      <c r="AC2093">
        <v>3</v>
      </c>
      <c r="AD2093">
        <v>0</v>
      </c>
      <c r="AE2093">
        <v>9</v>
      </c>
      <c r="AF2093" t="s">
        <v>138</v>
      </c>
      <c r="AG2093">
        <v>0</v>
      </c>
      <c r="AH2093">
        <v>3</v>
      </c>
      <c r="AI2093">
        <v>1</v>
      </c>
      <c r="AJ2093">
        <v>0</v>
      </c>
      <c r="AK2093" t="s">
        <v>732</v>
      </c>
      <c r="AL2093">
        <v>32.773783000000002</v>
      </c>
      <c r="AM2093" t="s">
        <v>733</v>
      </c>
      <c r="AN2093">
        <v>-116.832047</v>
      </c>
      <c r="AO2093">
        <v>25</v>
      </c>
      <c r="AP2093">
        <v>3000</v>
      </c>
      <c r="AQ2093" t="s">
        <v>129</v>
      </c>
      <c r="AR2093">
        <v>128</v>
      </c>
      <c r="AS2093">
        <v>-27</v>
      </c>
      <c r="AT2093">
        <v>256</v>
      </c>
      <c r="BB2093">
        <v>1200</v>
      </c>
      <c r="BC2093">
        <v>1</v>
      </c>
      <c r="BD2093" t="str">
        <f t="shared" si="726"/>
        <v xml:space="preserve">N887QR  </v>
      </c>
      <c r="BE2093">
        <v>1</v>
      </c>
      <c r="BG2093">
        <v>0</v>
      </c>
      <c r="BH2093">
        <v>0</v>
      </c>
      <c r="BI2093">
        <v>0</v>
      </c>
      <c r="BJ2093">
        <v>2700</v>
      </c>
      <c r="BK2093">
        <v>-300</v>
      </c>
      <c r="BL2093" t="s">
        <v>163</v>
      </c>
      <c r="BM2093">
        <v>1</v>
      </c>
      <c r="BN2093">
        <v>1</v>
      </c>
      <c r="BO2093">
        <v>1</v>
      </c>
      <c r="BP2093">
        <v>0</v>
      </c>
      <c r="BS2093">
        <v>0.08</v>
      </c>
      <c r="BT2093">
        <v>0</v>
      </c>
      <c r="BU2093">
        <v>0</v>
      </c>
      <c r="CE2093" t="str">
        <f t="shared" si="741"/>
        <v>19:31:00.281</v>
      </c>
      <c r="CF2093">
        <v>280501520</v>
      </c>
      <c r="CS2093">
        <v>0</v>
      </c>
      <c r="CT2093">
        <v>2</v>
      </c>
      <c r="CU2093">
        <v>0</v>
      </c>
      <c r="CV2093">
        <v>2</v>
      </c>
      <c r="CW2093">
        <v>0</v>
      </c>
      <c r="CX2093">
        <v>5</v>
      </c>
      <c r="CY2093">
        <v>7</v>
      </c>
      <c r="CZ2093" t="s">
        <v>131</v>
      </c>
      <c r="DA2093">
        <v>300</v>
      </c>
      <c r="DB2093">
        <v>0</v>
      </c>
      <c r="DC2093" t="s">
        <v>176</v>
      </c>
      <c r="DD2093" t="s">
        <v>177</v>
      </c>
      <c r="DG2093">
        <v>5401969</v>
      </c>
      <c r="DI2093">
        <v>1</v>
      </c>
      <c r="DJ2093">
        <v>0</v>
      </c>
      <c r="DK2093">
        <v>1</v>
      </c>
      <c r="DL2093">
        <v>0</v>
      </c>
      <c r="DM2093">
        <v>0</v>
      </c>
      <c r="DN2093">
        <v>1</v>
      </c>
      <c r="DO2093">
        <v>0</v>
      </c>
      <c r="DP2093">
        <v>0</v>
      </c>
      <c r="DQ2093">
        <v>0</v>
      </c>
      <c r="DR2093">
        <v>0</v>
      </c>
      <c r="DS2093">
        <v>0</v>
      </c>
    </row>
    <row r="2094" spans="1:123" x14ac:dyDescent="0.3">
      <c r="A2094" t="str">
        <f>"10/04/2022 19:31:01.465"</f>
        <v>10/04/2022 19:31:01.465</v>
      </c>
      <c r="C2094" t="str">
        <f t="shared" si="738"/>
        <v>FFDFD3C0</v>
      </c>
      <c r="D2094" t="s">
        <v>141</v>
      </c>
      <c r="E2094">
        <v>3</v>
      </c>
      <c r="H2094">
        <v>3</v>
      </c>
      <c r="I2094" t="s">
        <v>146</v>
      </c>
      <c r="J2094" t="s">
        <v>138</v>
      </c>
      <c r="K2094">
        <v>0</v>
      </c>
      <c r="L2094">
        <v>3</v>
      </c>
      <c r="M2094">
        <v>0</v>
      </c>
      <c r="N2094">
        <v>2</v>
      </c>
      <c r="O2094">
        <v>0</v>
      </c>
      <c r="P2094">
        <v>1</v>
      </c>
      <c r="Q2094">
        <v>0</v>
      </c>
      <c r="S2094" t="str">
        <f t="shared" ref="S2094:T2102" si="743">"19:31:01.000"</f>
        <v>19:31:01.000</v>
      </c>
      <c r="T2094" t="str">
        <f t="shared" si="743"/>
        <v>19:31:01.000</v>
      </c>
      <c r="U2094" t="str">
        <f t="shared" si="725"/>
        <v>AC3944</v>
      </c>
      <c r="V2094">
        <v>0</v>
      </c>
      <c r="W2094">
        <v>0</v>
      </c>
      <c r="X2094">
        <v>2</v>
      </c>
      <c r="Y2094">
        <v>0</v>
      </c>
      <c r="AA2094">
        <v>1</v>
      </c>
      <c r="AB2094">
        <v>8</v>
      </c>
      <c r="AC2094">
        <v>3</v>
      </c>
      <c r="AD2094">
        <v>0</v>
      </c>
      <c r="AE2094">
        <v>9</v>
      </c>
      <c r="AF2094" t="s">
        <v>138</v>
      </c>
      <c r="AG2094">
        <v>0</v>
      </c>
      <c r="AH2094">
        <v>3</v>
      </c>
      <c r="AI2094">
        <v>1</v>
      </c>
      <c r="AJ2094">
        <v>0</v>
      </c>
      <c r="AK2094" t="s">
        <v>734</v>
      </c>
      <c r="AL2094">
        <v>32.773654000000001</v>
      </c>
      <c r="AM2094" t="s">
        <v>735</v>
      </c>
      <c r="AN2094">
        <v>-116.831338</v>
      </c>
      <c r="AO2094">
        <v>25</v>
      </c>
      <c r="AP2094">
        <v>3000</v>
      </c>
      <c r="AQ2094" t="s">
        <v>129</v>
      </c>
      <c r="AR2094">
        <v>127</v>
      </c>
      <c r="AS2094">
        <v>-27</v>
      </c>
      <c r="AT2094">
        <v>256</v>
      </c>
      <c r="BB2094">
        <v>1200</v>
      </c>
      <c r="BC2094">
        <v>1</v>
      </c>
      <c r="BD2094" t="str">
        <f t="shared" si="726"/>
        <v xml:space="preserve">N887QR  </v>
      </c>
      <c r="BE2094">
        <v>1</v>
      </c>
      <c r="BG2094">
        <v>0</v>
      </c>
      <c r="BH2094">
        <v>0</v>
      </c>
      <c r="BI2094">
        <v>0</v>
      </c>
      <c r="BJ2094">
        <v>2700</v>
      </c>
      <c r="BK2094">
        <v>-300</v>
      </c>
      <c r="BL2094" t="s">
        <v>163</v>
      </c>
      <c r="BM2094">
        <v>1</v>
      </c>
      <c r="BN2094">
        <v>1</v>
      </c>
      <c r="BO2094">
        <v>1</v>
      </c>
      <c r="BP2094">
        <v>0</v>
      </c>
      <c r="BS2094">
        <v>0.08</v>
      </c>
      <c r="BT2094">
        <v>0</v>
      </c>
      <c r="BU2094">
        <v>0</v>
      </c>
      <c r="CE2094" t="str">
        <f t="shared" ref="CE2094:CE2100" si="744">"19:31:01.193"</f>
        <v>19:31:01.193</v>
      </c>
      <c r="CF2094">
        <v>193254599</v>
      </c>
      <c r="CS2094">
        <v>0</v>
      </c>
      <c r="CT2094">
        <v>2</v>
      </c>
      <c r="CU2094">
        <v>0</v>
      </c>
      <c r="CV2094">
        <v>2</v>
      </c>
      <c r="CW2094">
        <v>0</v>
      </c>
      <c r="CX2094">
        <v>5</v>
      </c>
      <c r="CY2094">
        <v>7</v>
      </c>
      <c r="CZ2094" t="s">
        <v>131</v>
      </c>
      <c r="DA2094">
        <v>300</v>
      </c>
      <c r="DB2094">
        <v>0</v>
      </c>
      <c r="DC2094" t="s">
        <v>176</v>
      </c>
      <c r="DD2094" t="s">
        <v>177</v>
      </c>
      <c r="DG2094">
        <v>5402129</v>
      </c>
      <c r="DI2094">
        <v>1</v>
      </c>
      <c r="DJ2094">
        <v>0</v>
      </c>
      <c r="DK2094">
        <v>0</v>
      </c>
      <c r="DL2094">
        <v>0</v>
      </c>
      <c r="DM2094">
        <v>0</v>
      </c>
      <c r="DN2094">
        <v>1</v>
      </c>
      <c r="DO2094">
        <v>0</v>
      </c>
      <c r="DP2094">
        <v>0</v>
      </c>
      <c r="DQ2094">
        <v>0</v>
      </c>
      <c r="DR2094">
        <v>0</v>
      </c>
      <c r="DS2094">
        <v>0</v>
      </c>
    </row>
    <row r="2095" spans="1:123" x14ac:dyDescent="0.3">
      <c r="A2095" t="str">
        <f t="shared" ref="A2095:A2100" si="745">"10/04/2022 19:31:01.500"</f>
        <v>10/04/2022 19:31:01.500</v>
      </c>
      <c r="C2095" t="str">
        <f t="shared" si="738"/>
        <v>FFDFD3C0</v>
      </c>
      <c r="D2095" t="s">
        <v>141</v>
      </c>
      <c r="E2095">
        <v>4</v>
      </c>
      <c r="H2095">
        <v>4</v>
      </c>
      <c r="I2095" t="s">
        <v>142</v>
      </c>
      <c r="J2095" t="s">
        <v>138</v>
      </c>
      <c r="K2095">
        <v>0</v>
      </c>
      <c r="L2095">
        <v>3</v>
      </c>
      <c r="M2095">
        <v>0</v>
      </c>
      <c r="N2095">
        <v>2</v>
      </c>
      <c r="O2095">
        <v>0</v>
      </c>
      <c r="P2095">
        <v>1</v>
      </c>
      <c r="Q2095">
        <v>0</v>
      </c>
      <c r="S2095" t="str">
        <f t="shared" si="743"/>
        <v>19:31:01.000</v>
      </c>
      <c r="T2095" t="str">
        <f t="shared" si="743"/>
        <v>19:31:01.000</v>
      </c>
      <c r="U2095" t="str">
        <f t="shared" si="725"/>
        <v>AC3944</v>
      </c>
      <c r="V2095">
        <v>0</v>
      </c>
      <c r="W2095">
        <v>0</v>
      </c>
      <c r="X2095">
        <v>2</v>
      </c>
      <c r="Y2095">
        <v>0</v>
      </c>
      <c r="AA2095">
        <v>1</v>
      </c>
      <c r="AB2095">
        <v>8</v>
      </c>
      <c r="AC2095">
        <v>3</v>
      </c>
      <c r="AD2095">
        <v>0</v>
      </c>
      <c r="AE2095">
        <v>9</v>
      </c>
      <c r="AF2095" t="s">
        <v>138</v>
      </c>
      <c r="AG2095">
        <v>0</v>
      </c>
      <c r="AH2095">
        <v>3</v>
      </c>
      <c r="AI2095">
        <v>1</v>
      </c>
      <c r="AJ2095">
        <v>0</v>
      </c>
      <c r="AK2095" t="s">
        <v>734</v>
      </c>
      <c r="AL2095">
        <v>32.773654000000001</v>
      </c>
      <c r="AM2095" t="s">
        <v>735</v>
      </c>
      <c r="AN2095">
        <v>-116.831338</v>
      </c>
      <c r="AO2095">
        <v>25</v>
      </c>
      <c r="AP2095">
        <v>3000</v>
      </c>
      <c r="AQ2095" t="s">
        <v>129</v>
      </c>
      <c r="AR2095">
        <v>127</v>
      </c>
      <c r="AS2095">
        <v>-27</v>
      </c>
      <c r="AT2095">
        <v>256</v>
      </c>
      <c r="BB2095">
        <v>1200</v>
      </c>
      <c r="BC2095">
        <v>1</v>
      </c>
      <c r="BD2095" t="str">
        <f t="shared" si="726"/>
        <v xml:space="preserve">N887QR  </v>
      </c>
      <c r="BE2095">
        <v>1</v>
      </c>
      <c r="BG2095">
        <v>0</v>
      </c>
      <c r="BH2095">
        <v>0</v>
      </c>
      <c r="BI2095">
        <v>0</v>
      </c>
      <c r="BJ2095">
        <v>2700</v>
      </c>
      <c r="BK2095">
        <v>-300</v>
      </c>
      <c r="BL2095" t="s">
        <v>163</v>
      </c>
      <c r="BM2095">
        <v>1</v>
      </c>
      <c r="BN2095">
        <v>1</v>
      </c>
      <c r="BO2095">
        <v>1</v>
      </c>
      <c r="BP2095">
        <v>0</v>
      </c>
      <c r="BS2095">
        <v>0.08</v>
      </c>
      <c r="BT2095">
        <v>0</v>
      </c>
      <c r="BU2095">
        <v>0</v>
      </c>
      <c r="CE2095" t="str">
        <f t="shared" si="744"/>
        <v>19:31:01.193</v>
      </c>
      <c r="CF2095">
        <v>193254599</v>
      </c>
      <c r="CS2095">
        <v>0</v>
      </c>
      <c r="CT2095">
        <v>2</v>
      </c>
      <c r="CU2095">
        <v>0</v>
      </c>
      <c r="CV2095">
        <v>2</v>
      </c>
      <c r="CW2095">
        <v>0</v>
      </c>
      <c r="CX2095">
        <v>5</v>
      </c>
      <c r="CY2095">
        <v>7</v>
      </c>
      <c r="CZ2095" t="s">
        <v>131</v>
      </c>
      <c r="DA2095">
        <v>300</v>
      </c>
      <c r="DB2095">
        <v>0</v>
      </c>
      <c r="DC2095" t="s">
        <v>176</v>
      </c>
      <c r="DD2095" t="s">
        <v>177</v>
      </c>
      <c r="DG2095">
        <v>5402129</v>
      </c>
      <c r="DI2095">
        <v>1</v>
      </c>
      <c r="DJ2095">
        <v>0</v>
      </c>
      <c r="DK2095">
        <v>1</v>
      </c>
      <c r="DL2095">
        <v>0</v>
      </c>
      <c r="DM2095">
        <v>0</v>
      </c>
      <c r="DN2095">
        <v>1</v>
      </c>
      <c r="DO2095">
        <v>0</v>
      </c>
      <c r="DP2095">
        <v>0</v>
      </c>
      <c r="DQ2095">
        <v>0</v>
      </c>
      <c r="DR2095">
        <v>0</v>
      </c>
      <c r="DS2095">
        <v>0</v>
      </c>
    </row>
    <row r="2096" spans="1:123" x14ac:dyDescent="0.3">
      <c r="A2096" t="str">
        <f t="shared" si="745"/>
        <v>10/04/2022 19:31:01.500</v>
      </c>
      <c r="C2096" t="str">
        <f t="shared" si="738"/>
        <v>FFDFD3C0</v>
      </c>
      <c r="D2096" t="s">
        <v>134</v>
      </c>
      <c r="E2096">
        <v>15</v>
      </c>
      <c r="J2096" t="s">
        <v>135</v>
      </c>
      <c r="K2096">
        <v>0</v>
      </c>
      <c r="L2096">
        <v>3</v>
      </c>
      <c r="M2096">
        <v>0</v>
      </c>
      <c r="N2096">
        <v>2</v>
      </c>
      <c r="O2096">
        <v>0</v>
      </c>
      <c r="P2096">
        <v>1</v>
      </c>
      <c r="Q2096">
        <v>0</v>
      </c>
      <c r="S2096" t="str">
        <f t="shared" si="743"/>
        <v>19:31:01.000</v>
      </c>
      <c r="T2096" t="str">
        <f t="shared" si="743"/>
        <v>19:31:01.000</v>
      </c>
      <c r="U2096" t="str">
        <f t="shared" si="725"/>
        <v>AC3944</v>
      </c>
      <c r="V2096">
        <v>0</v>
      </c>
      <c r="W2096">
        <v>0</v>
      </c>
      <c r="X2096">
        <v>2</v>
      </c>
      <c r="Y2096">
        <v>0</v>
      </c>
      <c r="AA2096">
        <v>1</v>
      </c>
      <c r="AB2096">
        <v>8</v>
      </c>
      <c r="AC2096">
        <v>3</v>
      </c>
      <c r="AD2096">
        <v>0</v>
      </c>
      <c r="AE2096">
        <v>9</v>
      </c>
      <c r="AF2096" t="s">
        <v>138</v>
      </c>
      <c r="AG2096">
        <v>0</v>
      </c>
      <c r="AH2096">
        <v>3</v>
      </c>
      <c r="AI2096">
        <v>1</v>
      </c>
      <c r="AJ2096">
        <v>0</v>
      </c>
      <c r="AK2096" t="s">
        <v>734</v>
      </c>
      <c r="AL2096">
        <v>32.773654000000001</v>
      </c>
      <c r="AM2096" t="s">
        <v>735</v>
      </c>
      <c r="AN2096">
        <v>-116.831338</v>
      </c>
      <c r="AO2096">
        <v>25</v>
      </c>
      <c r="AP2096">
        <v>3000</v>
      </c>
      <c r="AQ2096" t="s">
        <v>129</v>
      </c>
      <c r="AR2096">
        <v>127</v>
      </c>
      <c r="AS2096">
        <v>-27</v>
      </c>
      <c r="AT2096">
        <v>256</v>
      </c>
      <c r="BB2096">
        <v>1200</v>
      </c>
      <c r="BC2096">
        <v>1</v>
      </c>
      <c r="BD2096" t="str">
        <f t="shared" si="726"/>
        <v xml:space="preserve">N887QR  </v>
      </c>
      <c r="BE2096">
        <v>1</v>
      </c>
      <c r="BG2096">
        <v>0</v>
      </c>
      <c r="BH2096">
        <v>0</v>
      </c>
      <c r="BI2096">
        <v>0</v>
      </c>
      <c r="BJ2096">
        <v>2700</v>
      </c>
      <c r="BK2096">
        <v>-300</v>
      </c>
      <c r="BL2096" t="s">
        <v>163</v>
      </c>
      <c r="BM2096">
        <v>1</v>
      </c>
      <c r="BN2096">
        <v>1</v>
      </c>
      <c r="BO2096">
        <v>1</v>
      </c>
      <c r="BP2096">
        <v>0</v>
      </c>
      <c r="BS2096">
        <v>0.08</v>
      </c>
      <c r="BT2096">
        <v>0</v>
      </c>
      <c r="BU2096">
        <v>0</v>
      </c>
      <c r="CE2096" t="str">
        <f t="shared" si="744"/>
        <v>19:31:01.193</v>
      </c>
      <c r="CF2096">
        <v>193254599</v>
      </c>
      <c r="CS2096">
        <v>0</v>
      </c>
      <c r="CT2096">
        <v>2</v>
      </c>
      <c r="CU2096">
        <v>0</v>
      </c>
      <c r="CV2096">
        <v>2</v>
      </c>
      <c r="CW2096">
        <v>0</v>
      </c>
      <c r="CX2096">
        <v>5</v>
      </c>
      <c r="CY2096">
        <v>7</v>
      </c>
      <c r="CZ2096" t="s">
        <v>131</v>
      </c>
      <c r="DA2096">
        <v>300</v>
      </c>
      <c r="DB2096">
        <v>0</v>
      </c>
      <c r="DC2096" t="s">
        <v>176</v>
      </c>
      <c r="DD2096" t="s">
        <v>177</v>
      </c>
      <c r="DG2096">
        <v>5402129</v>
      </c>
      <c r="DI2096">
        <v>1</v>
      </c>
      <c r="DJ2096">
        <v>0</v>
      </c>
      <c r="DK2096">
        <v>1</v>
      </c>
      <c r="DL2096">
        <v>0</v>
      </c>
      <c r="DM2096">
        <v>0</v>
      </c>
      <c r="DN2096">
        <v>1</v>
      </c>
      <c r="DO2096">
        <v>0</v>
      </c>
      <c r="DP2096">
        <v>0</v>
      </c>
      <c r="DQ2096">
        <v>0</v>
      </c>
      <c r="DR2096">
        <v>0</v>
      </c>
      <c r="DS2096">
        <v>0</v>
      </c>
    </row>
    <row r="2097" spans="1:123" x14ac:dyDescent="0.3">
      <c r="A2097" t="str">
        <f t="shared" si="745"/>
        <v>10/04/2022 19:31:01.500</v>
      </c>
      <c r="C2097" t="str">
        <f t="shared" si="738"/>
        <v>FFDFD3C0</v>
      </c>
      <c r="D2097" t="s">
        <v>143</v>
      </c>
      <c r="E2097">
        <v>20</v>
      </c>
      <c r="F2097">
        <v>1020</v>
      </c>
      <c r="G2097" t="s">
        <v>144</v>
      </c>
      <c r="J2097" t="s">
        <v>145</v>
      </c>
      <c r="K2097">
        <v>0</v>
      </c>
      <c r="L2097">
        <v>3</v>
      </c>
      <c r="M2097">
        <v>0</v>
      </c>
      <c r="N2097">
        <v>2</v>
      </c>
      <c r="O2097">
        <v>0</v>
      </c>
      <c r="P2097">
        <v>1</v>
      </c>
      <c r="Q2097">
        <v>0</v>
      </c>
      <c r="S2097" t="str">
        <f t="shared" si="743"/>
        <v>19:31:01.000</v>
      </c>
      <c r="T2097" t="str">
        <f t="shared" si="743"/>
        <v>19:31:01.000</v>
      </c>
      <c r="U2097" t="str">
        <f t="shared" si="725"/>
        <v>AC3944</v>
      </c>
      <c r="V2097">
        <v>0</v>
      </c>
      <c r="W2097">
        <v>0</v>
      </c>
      <c r="X2097">
        <v>2</v>
      </c>
      <c r="Y2097">
        <v>0</v>
      </c>
      <c r="AA2097">
        <v>1</v>
      </c>
      <c r="AB2097">
        <v>8</v>
      </c>
      <c r="AC2097">
        <v>3</v>
      </c>
      <c r="AD2097">
        <v>0</v>
      </c>
      <c r="AE2097">
        <v>9</v>
      </c>
      <c r="AF2097" t="s">
        <v>138</v>
      </c>
      <c r="AG2097">
        <v>0</v>
      </c>
      <c r="AH2097">
        <v>3</v>
      </c>
      <c r="AI2097">
        <v>1</v>
      </c>
      <c r="AJ2097">
        <v>0</v>
      </c>
      <c r="AK2097" t="s">
        <v>734</v>
      </c>
      <c r="AL2097">
        <v>32.773654000000001</v>
      </c>
      <c r="AM2097" t="s">
        <v>735</v>
      </c>
      <c r="AN2097">
        <v>-116.831338</v>
      </c>
      <c r="AO2097">
        <v>25</v>
      </c>
      <c r="AP2097">
        <v>3000</v>
      </c>
      <c r="AQ2097" t="s">
        <v>129</v>
      </c>
      <c r="AR2097">
        <v>127</v>
      </c>
      <c r="AS2097">
        <v>-27</v>
      </c>
      <c r="AT2097">
        <v>256</v>
      </c>
      <c r="BB2097">
        <v>1200</v>
      </c>
      <c r="BC2097">
        <v>1</v>
      </c>
      <c r="BD2097" t="str">
        <f t="shared" si="726"/>
        <v xml:space="preserve">N887QR  </v>
      </c>
      <c r="BE2097">
        <v>1</v>
      </c>
      <c r="BG2097">
        <v>0</v>
      </c>
      <c r="BH2097">
        <v>0</v>
      </c>
      <c r="BI2097">
        <v>0</v>
      </c>
      <c r="BJ2097">
        <v>2700</v>
      </c>
      <c r="BK2097">
        <v>-300</v>
      </c>
      <c r="BL2097" t="s">
        <v>163</v>
      </c>
      <c r="BM2097">
        <v>1</v>
      </c>
      <c r="BN2097">
        <v>1</v>
      </c>
      <c r="BO2097">
        <v>1</v>
      </c>
      <c r="BP2097">
        <v>0</v>
      </c>
      <c r="BS2097">
        <v>0.08</v>
      </c>
      <c r="BT2097">
        <v>0</v>
      </c>
      <c r="BU2097">
        <v>0</v>
      </c>
      <c r="CE2097" t="str">
        <f t="shared" si="744"/>
        <v>19:31:01.193</v>
      </c>
      <c r="CF2097">
        <v>193254599</v>
      </c>
      <c r="CS2097">
        <v>0</v>
      </c>
      <c r="CT2097">
        <v>2</v>
      </c>
      <c r="CU2097">
        <v>0</v>
      </c>
      <c r="CV2097">
        <v>2</v>
      </c>
      <c r="CW2097">
        <v>0</v>
      </c>
      <c r="CX2097">
        <v>5</v>
      </c>
      <c r="CY2097">
        <v>7</v>
      </c>
      <c r="CZ2097" t="s">
        <v>131</v>
      </c>
      <c r="DA2097">
        <v>300</v>
      </c>
      <c r="DB2097">
        <v>0</v>
      </c>
      <c r="DC2097" t="s">
        <v>176</v>
      </c>
      <c r="DD2097" t="s">
        <v>177</v>
      </c>
      <c r="DG2097">
        <v>5402129</v>
      </c>
      <c r="DI2097">
        <v>1</v>
      </c>
      <c r="DJ2097">
        <v>0</v>
      </c>
      <c r="DK2097">
        <v>1</v>
      </c>
      <c r="DL2097">
        <v>0</v>
      </c>
      <c r="DM2097">
        <v>0</v>
      </c>
      <c r="DN2097">
        <v>1</v>
      </c>
      <c r="DO2097">
        <v>0</v>
      </c>
      <c r="DP2097">
        <v>0</v>
      </c>
      <c r="DQ2097">
        <v>0</v>
      </c>
      <c r="DR2097">
        <v>0</v>
      </c>
      <c r="DS2097">
        <v>0</v>
      </c>
    </row>
    <row r="2098" spans="1:123" x14ac:dyDescent="0.3">
      <c r="A2098" t="str">
        <f t="shared" si="745"/>
        <v>10/04/2022 19:31:01.500</v>
      </c>
      <c r="C2098" t="str">
        <f t="shared" si="738"/>
        <v>FFDFD3C0</v>
      </c>
      <c r="D2098" t="s">
        <v>136</v>
      </c>
      <c r="E2098">
        <v>8</v>
      </c>
      <c r="H2098">
        <v>225</v>
      </c>
      <c r="I2098" t="s">
        <v>137</v>
      </c>
      <c r="J2098" t="s">
        <v>138</v>
      </c>
      <c r="K2098">
        <v>0</v>
      </c>
      <c r="L2098">
        <v>3</v>
      </c>
      <c r="M2098">
        <v>0</v>
      </c>
      <c r="N2098">
        <v>2</v>
      </c>
      <c r="O2098">
        <v>0</v>
      </c>
      <c r="P2098">
        <v>1</v>
      </c>
      <c r="Q2098">
        <v>0</v>
      </c>
      <c r="S2098" t="str">
        <f t="shared" si="743"/>
        <v>19:31:01.000</v>
      </c>
      <c r="T2098" t="str">
        <f t="shared" si="743"/>
        <v>19:31:01.000</v>
      </c>
      <c r="U2098" t="str">
        <f t="shared" si="725"/>
        <v>AC3944</v>
      </c>
      <c r="V2098">
        <v>0</v>
      </c>
      <c r="W2098">
        <v>0</v>
      </c>
      <c r="X2098">
        <v>2</v>
      </c>
      <c r="Y2098">
        <v>0</v>
      </c>
      <c r="AA2098">
        <v>1</v>
      </c>
      <c r="AB2098">
        <v>8</v>
      </c>
      <c r="AC2098">
        <v>3</v>
      </c>
      <c r="AD2098">
        <v>0</v>
      </c>
      <c r="AE2098">
        <v>9</v>
      </c>
      <c r="AF2098" t="s">
        <v>138</v>
      </c>
      <c r="AG2098">
        <v>0</v>
      </c>
      <c r="AH2098">
        <v>3</v>
      </c>
      <c r="AI2098">
        <v>1</v>
      </c>
      <c r="AJ2098">
        <v>0</v>
      </c>
      <c r="AK2098" t="s">
        <v>734</v>
      </c>
      <c r="AL2098">
        <v>32.773654000000001</v>
      </c>
      <c r="AM2098" t="s">
        <v>735</v>
      </c>
      <c r="AN2098">
        <v>-116.831338</v>
      </c>
      <c r="AO2098">
        <v>25</v>
      </c>
      <c r="AP2098">
        <v>3000</v>
      </c>
      <c r="AQ2098" t="s">
        <v>129</v>
      </c>
      <c r="AR2098">
        <v>127</v>
      </c>
      <c r="AS2098">
        <v>-27</v>
      </c>
      <c r="AT2098">
        <v>256</v>
      </c>
      <c r="BB2098">
        <v>1200</v>
      </c>
      <c r="BC2098">
        <v>1</v>
      </c>
      <c r="BD2098" t="str">
        <f t="shared" si="726"/>
        <v xml:space="preserve">N887QR  </v>
      </c>
      <c r="BE2098">
        <v>1</v>
      </c>
      <c r="BG2098">
        <v>0</v>
      </c>
      <c r="BH2098">
        <v>0</v>
      </c>
      <c r="BI2098">
        <v>0</v>
      </c>
      <c r="BJ2098">
        <v>2700</v>
      </c>
      <c r="BK2098">
        <v>-300</v>
      </c>
      <c r="BL2098" t="s">
        <v>163</v>
      </c>
      <c r="BM2098">
        <v>1</v>
      </c>
      <c r="BN2098">
        <v>1</v>
      </c>
      <c r="BO2098">
        <v>1</v>
      </c>
      <c r="BP2098">
        <v>0</v>
      </c>
      <c r="BS2098">
        <v>0.08</v>
      </c>
      <c r="BT2098">
        <v>0</v>
      </c>
      <c r="BU2098">
        <v>0</v>
      </c>
      <c r="CE2098" t="str">
        <f t="shared" si="744"/>
        <v>19:31:01.193</v>
      </c>
      <c r="CF2098">
        <v>193254599</v>
      </c>
      <c r="CS2098">
        <v>0</v>
      </c>
      <c r="CT2098">
        <v>2</v>
      </c>
      <c r="CU2098">
        <v>0</v>
      </c>
      <c r="CV2098">
        <v>2</v>
      </c>
      <c r="CW2098">
        <v>0</v>
      </c>
      <c r="CX2098">
        <v>5</v>
      </c>
      <c r="CY2098">
        <v>7</v>
      </c>
      <c r="CZ2098" t="s">
        <v>131</v>
      </c>
      <c r="DA2098">
        <v>300</v>
      </c>
      <c r="DB2098">
        <v>0</v>
      </c>
      <c r="DC2098" t="s">
        <v>176</v>
      </c>
      <c r="DD2098" t="s">
        <v>177</v>
      </c>
      <c r="DG2098">
        <v>5402129</v>
      </c>
      <c r="DI2098">
        <v>1</v>
      </c>
      <c r="DJ2098">
        <v>0</v>
      </c>
      <c r="DK2098">
        <v>1</v>
      </c>
      <c r="DL2098">
        <v>0</v>
      </c>
      <c r="DM2098">
        <v>0</v>
      </c>
      <c r="DN2098">
        <v>1</v>
      </c>
      <c r="DO2098">
        <v>0</v>
      </c>
      <c r="DP2098">
        <v>0</v>
      </c>
      <c r="DQ2098">
        <v>0</v>
      </c>
      <c r="DR2098">
        <v>0</v>
      </c>
      <c r="DS2098">
        <v>0</v>
      </c>
    </row>
    <row r="2099" spans="1:123" x14ac:dyDescent="0.3">
      <c r="A2099" t="str">
        <f t="shared" si="745"/>
        <v>10/04/2022 19:31:01.500</v>
      </c>
      <c r="C2099" t="str">
        <f t="shared" si="738"/>
        <v>FFDFD3C0</v>
      </c>
      <c r="D2099" t="s">
        <v>123</v>
      </c>
      <c r="E2099">
        <v>7</v>
      </c>
      <c r="F2099">
        <v>2007</v>
      </c>
      <c r="G2099" t="s">
        <v>124</v>
      </c>
      <c r="J2099" t="s">
        <v>125</v>
      </c>
      <c r="K2099">
        <v>0</v>
      </c>
      <c r="L2099">
        <v>3</v>
      </c>
      <c r="M2099">
        <v>0</v>
      </c>
      <c r="N2099">
        <v>2</v>
      </c>
      <c r="O2099">
        <v>0</v>
      </c>
      <c r="P2099">
        <v>1</v>
      </c>
      <c r="Q2099">
        <v>0</v>
      </c>
      <c r="S2099" t="str">
        <f t="shared" si="743"/>
        <v>19:31:01.000</v>
      </c>
      <c r="T2099" t="str">
        <f t="shared" si="743"/>
        <v>19:31:01.000</v>
      </c>
      <c r="U2099" t="str">
        <f t="shared" si="725"/>
        <v>AC3944</v>
      </c>
      <c r="V2099">
        <v>0</v>
      </c>
      <c r="W2099">
        <v>0</v>
      </c>
      <c r="X2099">
        <v>2</v>
      </c>
      <c r="Y2099">
        <v>0</v>
      </c>
      <c r="AA2099">
        <v>1</v>
      </c>
      <c r="AB2099">
        <v>8</v>
      </c>
      <c r="AC2099">
        <v>3</v>
      </c>
      <c r="AD2099">
        <v>0</v>
      </c>
      <c r="AE2099">
        <v>9</v>
      </c>
      <c r="AF2099" t="s">
        <v>138</v>
      </c>
      <c r="AG2099">
        <v>0</v>
      </c>
      <c r="AH2099">
        <v>3</v>
      </c>
      <c r="AI2099">
        <v>1</v>
      </c>
      <c r="AJ2099">
        <v>0</v>
      </c>
      <c r="AK2099" t="s">
        <v>734</v>
      </c>
      <c r="AL2099">
        <v>32.773654000000001</v>
      </c>
      <c r="AM2099" t="s">
        <v>735</v>
      </c>
      <c r="AN2099">
        <v>-116.831338</v>
      </c>
      <c r="AO2099">
        <v>25</v>
      </c>
      <c r="AP2099">
        <v>3000</v>
      </c>
      <c r="AQ2099" t="s">
        <v>129</v>
      </c>
      <c r="AR2099">
        <v>127</v>
      </c>
      <c r="AS2099">
        <v>-27</v>
      </c>
      <c r="AT2099">
        <v>256</v>
      </c>
      <c r="BB2099">
        <v>1200</v>
      </c>
      <c r="BC2099">
        <v>1</v>
      </c>
      <c r="BD2099" t="str">
        <f t="shared" si="726"/>
        <v xml:space="preserve">N887QR  </v>
      </c>
      <c r="BE2099">
        <v>1</v>
      </c>
      <c r="BG2099">
        <v>0</v>
      </c>
      <c r="BH2099">
        <v>0</v>
      </c>
      <c r="BI2099">
        <v>0</v>
      </c>
      <c r="BJ2099">
        <v>2700</v>
      </c>
      <c r="BK2099">
        <v>-300</v>
      </c>
      <c r="BL2099" t="s">
        <v>163</v>
      </c>
      <c r="BM2099">
        <v>1</v>
      </c>
      <c r="BN2099">
        <v>1</v>
      </c>
      <c r="BO2099">
        <v>1</v>
      </c>
      <c r="BP2099">
        <v>0</v>
      </c>
      <c r="BS2099">
        <v>0.08</v>
      </c>
      <c r="BT2099">
        <v>0</v>
      </c>
      <c r="BU2099">
        <v>0</v>
      </c>
      <c r="CE2099" t="str">
        <f t="shared" si="744"/>
        <v>19:31:01.193</v>
      </c>
      <c r="CF2099">
        <v>193254599</v>
      </c>
      <c r="CS2099">
        <v>0</v>
      </c>
      <c r="CT2099">
        <v>2</v>
      </c>
      <c r="CU2099">
        <v>0</v>
      </c>
      <c r="CV2099">
        <v>2</v>
      </c>
      <c r="CW2099">
        <v>0</v>
      </c>
      <c r="CX2099">
        <v>5</v>
      </c>
      <c r="CY2099">
        <v>7</v>
      </c>
      <c r="CZ2099" t="s">
        <v>131</v>
      </c>
      <c r="DA2099">
        <v>300</v>
      </c>
      <c r="DB2099">
        <v>0</v>
      </c>
      <c r="DC2099" t="s">
        <v>176</v>
      </c>
      <c r="DD2099" t="s">
        <v>177</v>
      </c>
      <c r="DG2099">
        <v>5402129</v>
      </c>
      <c r="DI2099">
        <v>1</v>
      </c>
      <c r="DJ2099">
        <v>0</v>
      </c>
      <c r="DK2099">
        <v>1</v>
      </c>
      <c r="DL2099">
        <v>0</v>
      </c>
      <c r="DM2099">
        <v>0</v>
      </c>
      <c r="DN2099">
        <v>1</v>
      </c>
      <c r="DO2099">
        <v>0</v>
      </c>
      <c r="DP2099">
        <v>0</v>
      </c>
      <c r="DQ2099">
        <v>0</v>
      </c>
      <c r="DR2099">
        <v>0</v>
      </c>
      <c r="DS2099">
        <v>0</v>
      </c>
    </row>
    <row r="2100" spans="1:123" x14ac:dyDescent="0.3">
      <c r="A2100" t="str">
        <f t="shared" si="745"/>
        <v>10/04/2022 19:31:01.500</v>
      </c>
      <c r="C2100" t="str">
        <f t="shared" si="738"/>
        <v>FFDFD3C0</v>
      </c>
      <c r="D2100" t="s">
        <v>147</v>
      </c>
      <c r="E2100">
        <v>3</v>
      </c>
      <c r="H2100">
        <v>166</v>
      </c>
      <c r="I2100" t="s">
        <v>144</v>
      </c>
      <c r="J2100" t="s">
        <v>148</v>
      </c>
      <c r="K2100">
        <v>0</v>
      </c>
      <c r="L2100">
        <v>3</v>
      </c>
      <c r="M2100">
        <v>0</v>
      </c>
      <c r="N2100">
        <v>2</v>
      </c>
      <c r="O2100">
        <v>0</v>
      </c>
      <c r="P2100">
        <v>1</v>
      </c>
      <c r="Q2100">
        <v>0</v>
      </c>
      <c r="S2100" t="str">
        <f t="shared" si="743"/>
        <v>19:31:01.000</v>
      </c>
      <c r="T2100" t="str">
        <f t="shared" si="743"/>
        <v>19:31:01.000</v>
      </c>
      <c r="U2100" t="str">
        <f t="shared" si="725"/>
        <v>AC3944</v>
      </c>
      <c r="V2100">
        <v>0</v>
      </c>
      <c r="W2100">
        <v>0</v>
      </c>
      <c r="X2100">
        <v>2</v>
      </c>
      <c r="Y2100">
        <v>0</v>
      </c>
      <c r="AA2100">
        <v>1</v>
      </c>
      <c r="AB2100">
        <v>8</v>
      </c>
      <c r="AC2100">
        <v>3</v>
      </c>
      <c r="AD2100">
        <v>0</v>
      </c>
      <c r="AE2100">
        <v>9</v>
      </c>
      <c r="AF2100" t="s">
        <v>138</v>
      </c>
      <c r="AG2100">
        <v>0</v>
      </c>
      <c r="AH2100">
        <v>3</v>
      </c>
      <c r="AI2100">
        <v>1</v>
      </c>
      <c r="AJ2100">
        <v>0</v>
      </c>
      <c r="AK2100" t="s">
        <v>734</v>
      </c>
      <c r="AL2100">
        <v>32.773654000000001</v>
      </c>
      <c r="AM2100" t="s">
        <v>735</v>
      </c>
      <c r="AN2100">
        <v>-116.831338</v>
      </c>
      <c r="AO2100">
        <v>25</v>
      </c>
      <c r="AP2100">
        <v>3000</v>
      </c>
      <c r="AQ2100" t="s">
        <v>129</v>
      </c>
      <c r="AR2100">
        <v>127</v>
      </c>
      <c r="AS2100">
        <v>-27</v>
      </c>
      <c r="AT2100">
        <v>256</v>
      </c>
      <c r="BB2100">
        <v>1200</v>
      </c>
      <c r="BC2100">
        <v>1</v>
      </c>
      <c r="BD2100" t="str">
        <f t="shared" si="726"/>
        <v xml:space="preserve">N887QR  </v>
      </c>
      <c r="BE2100">
        <v>1</v>
      </c>
      <c r="BG2100">
        <v>0</v>
      </c>
      <c r="BH2100">
        <v>0</v>
      </c>
      <c r="BI2100">
        <v>0</v>
      </c>
      <c r="BJ2100">
        <v>2700</v>
      </c>
      <c r="BK2100">
        <v>-300</v>
      </c>
      <c r="BL2100" t="s">
        <v>163</v>
      </c>
      <c r="BM2100">
        <v>1</v>
      </c>
      <c r="BN2100">
        <v>1</v>
      </c>
      <c r="BO2100">
        <v>1</v>
      </c>
      <c r="BP2100">
        <v>0</v>
      </c>
      <c r="BS2100">
        <v>0.08</v>
      </c>
      <c r="BT2100">
        <v>0</v>
      </c>
      <c r="BU2100">
        <v>0</v>
      </c>
      <c r="CE2100" t="str">
        <f t="shared" si="744"/>
        <v>19:31:01.193</v>
      </c>
      <c r="CF2100">
        <v>193254599</v>
      </c>
      <c r="CS2100">
        <v>0</v>
      </c>
      <c r="CT2100">
        <v>2</v>
      </c>
      <c r="CU2100">
        <v>0</v>
      </c>
      <c r="CV2100">
        <v>2</v>
      </c>
      <c r="CW2100">
        <v>0</v>
      </c>
      <c r="CX2100">
        <v>5</v>
      </c>
      <c r="CY2100">
        <v>7</v>
      </c>
      <c r="CZ2100" t="s">
        <v>131</v>
      </c>
      <c r="DA2100">
        <v>300</v>
      </c>
      <c r="DB2100">
        <v>0</v>
      </c>
      <c r="DC2100" t="s">
        <v>176</v>
      </c>
      <c r="DD2100" t="s">
        <v>177</v>
      </c>
      <c r="DG2100">
        <v>5402129</v>
      </c>
      <c r="DI2100">
        <v>1</v>
      </c>
      <c r="DJ2100">
        <v>0</v>
      </c>
      <c r="DK2100">
        <v>1</v>
      </c>
      <c r="DL2100">
        <v>0</v>
      </c>
      <c r="DM2100">
        <v>0</v>
      </c>
      <c r="DN2100">
        <v>1</v>
      </c>
      <c r="DO2100">
        <v>0</v>
      </c>
      <c r="DP2100">
        <v>0</v>
      </c>
      <c r="DQ2100">
        <v>0</v>
      </c>
      <c r="DR2100">
        <v>0</v>
      </c>
      <c r="DS2100">
        <v>0</v>
      </c>
    </row>
    <row r="2101" spans="1:123" x14ac:dyDescent="0.3">
      <c r="A2101" t="str">
        <f>"10/04/2022 19:31:02.062"</f>
        <v>10/04/2022 19:31:02.062</v>
      </c>
      <c r="C2101" t="str">
        <f t="shared" si="738"/>
        <v>FFDFD3C0</v>
      </c>
      <c r="D2101" t="s">
        <v>123</v>
      </c>
      <c r="E2101">
        <v>7</v>
      </c>
      <c r="F2101">
        <v>2007</v>
      </c>
      <c r="G2101" t="s">
        <v>124</v>
      </c>
      <c r="J2101" t="s">
        <v>125</v>
      </c>
      <c r="K2101">
        <v>0</v>
      </c>
      <c r="L2101">
        <v>3</v>
      </c>
      <c r="M2101">
        <v>0</v>
      </c>
      <c r="N2101">
        <v>2</v>
      </c>
      <c r="O2101">
        <v>0</v>
      </c>
      <c r="P2101">
        <v>1</v>
      </c>
      <c r="Q2101">
        <v>0</v>
      </c>
      <c r="S2101" t="str">
        <f t="shared" si="743"/>
        <v>19:31:01.000</v>
      </c>
      <c r="T2101" t="str">
        <f t="shared" si="743"/>
        <v>19:31:01.000</v>
      </c>
      <c r="U2101" t="str">
        <f t="shared" si="725"/>
        <v>AC3944</v>
      </c>
      <c r="V2101">
        <v>0</v>
      </c>
      <c r="W2101">
        <v>0</v>
      </c>
      <c r="X2101">
        <v>2</v>
      </c>
      <c r="Y2101">
        <v>0</v>
      </c>
      <c r="AA2101">
        <v>1</v>
      </c>
      <c r="AB2101">
        <v>8</v>
      </c>
      <c r="AC2101">
        <v>3</v>
      </c>
      <c r="AD2101">
        <v>0</v>
      </c>
      <c r="AE2101">
        <v>9</v>
      </c>
      <c r="AF2101" t="s">
        <v>138</v>
      </c>
      <c r="AG2101">
        <v>0</v>
      </c>
      <c r="AH2101">
        <v>3</v>
      </c>
      <c r="AI2101">
        <v>1</v>
      </c>
      <c r="AJ2101">
        <v>0</v>
      </c>
      <c r="AK2101" t="s">
        <v>736</v>
      </c>
      <c r="AL2101">
        <v>32.773504000000003</v>
      </c>
      <c r="AM2101" t="s">
        <v>737</v>
      </c>
      <c r="AN2101">
        <v>-116.83047999999999</v>
      </c>
      <c r="AO2101">
        <v>25</v>
      </c>
      <c r="AP2101">
        <v>3000</v>
      </c>
      <c r="AQ2101" t="s">
        <v>129</v>
      </c>
      <c r="AR2101">
        <v>127</v>
      </c>
      <c r="AS2101">
        <v>-27</v>
      </c>
      <c r="AT2101">
        <v>256</v>
      </c>
      <c r="BB2101">
        <v>1200</v>
      </c>
      <c r="BC2101">
        <v>1</v>
      </c>
      <c r="BD2101" t="str">
        <f t="shared" si="726"/>
        <v xml:space="preserve">N887QR  </v>
      </c>
      <c r="BE2101">
        <v>1</v>
      </c>
      <c r="BG2101">
        <v>0</v>
      </c>
      <c r="BH2101">
        <v>0</v>
      </c>
      <c r="BI2101">
        <v>0</v>
      </c>
      <c r="BJ2101">
        <v>2700</v>
      </c>
      <c r="BK2101">
        <v>-300</v>
      </c>
      <c r="BL2101" t="s">
        <v>163</v>
      </c>
      <c r="BM2101">
        <v>1</v>
      </c>
      <c r="BN2101">
        <v>1</v>
      </c>
      <c r="BO2101">
        <v>1</v>
      </c>
      <c r="BP2101">
        <v>0</v>
      </c>
      <c r="BS2101">
        <v>0.08</v>
      </c>
      <c r="BT2101">
        <v>0</v>
      </c>
      <c r="BU2101">
        <v>0</v>
      </c>
      <c r="CE2101" t="str">
        <f>"19:31:01.740"</f>
        <v>19:31:01.740</v>
      </c>
      <c r="CF2101">
        <v>739842305</v>
      </c>
      <c r="CS2101">
        <v>0</v>
      </c>
      <c r="CT2101">
        <v>2</v>
      </c>
      <c r="CU2101">
        <v>0</v>
      </c>
      <c r="CV2101">
        <v>2</v>
      </c>
      <c r="CW2101">
        <v>0</v>
      </c>
      <c r="CX2101">
        <v>1</v>
      </c>
      <c r="CY2101">
        <v>7</v>
      </c>
      <c r="CZ2101" t="s">
        <v>131</v>
      </c>
      <c r="DA2101">
        <v>297</v>
      </c>
      <c r="DB2101">
        <v>0</v>
      </c>
      <c r="DC2101" t="s">
        <v>258</v>
      </c>
      <c r="DD2101" t="s">
        <v>259</v>
      </c>
      <c r="DG2101">
        <v>16739774</v>
      </c>
      <c r="DI2101">
        <v>1</v>
      </c>
      <c r="DJ2101">
        <v>0</v>
      </c>
      <c r="DK2101">
        <v>0</v>
      </c>
      <c r="DL2101">
        <v>0</v>
      </c>
      <c r="DM2101">
        <v>0</v>
      </c>
      <c r="DN2101">
        <v>1</v>
      </c>
      <c r="DO2101">
        <v>0</v>
      </c>
      <c r="DP2101">
        <v>0</v>
      </c>
      <c r="DQ2101">
        <v>0</v>
      </c>
      <c r="DR2101">
        <v>0</v>
      </c>
      <c r="DS2101">
        <v>0</v>
      </c>
    </row>
    <row r="2102" spans="1:123" x14ac:dyDescent="0.3">
      <c r="A2102" t="str">
        <f>"10/04/2022 19:31:02.062"</f>
        <v>10/04/2022 19:31:02.062</v>
      </c>
      <c r="C2102" t="str">
        <f t="shared" si="738"/>
        <v>FFDFD3C0</v>
      </c>
      <c r="D2102" t="s">
        <v>147</v>
      </c>
      <c r="E2102">
        <v>3</v>
      </c>
      <c r="H2102">
        <v>166</v>
      </c>
      <c r="I2102" t="s">
        <v>144</v>
      </c>
      <c r="J2102" t="s">
        <v>148</v>
      </c>
      <c r="K2102">
        <v>0</v>
      </c>
      <c r="L2102">
        <v>3</v>
      </c>
      <c r="M2102">
        <v>0</v>
      </c>
      <c r="N2102">
        <v>2</v>
      </c>
      <c r="O2102">
        <v>0</v>
      </c>
      <c r="P2102">
        <v>1</v>
      </c>
      <c r="Q2102">
        <v>0</v>
      </c>
      <c r="S2102" t="str">
        <f t="shared" si="743"/>
        <v>19:31:01.000</v>
      </c>
      <c r="T2102" t="str">
        <f t="shared" si="743"/>
        <v>19:31:01.000</v>
      </c>
      <c r="U2102" t="str">
        <f t="shared" si="725"/>
        <v>AC3944</v>
      </c>
      <c r="V2102">
        <v>0</v>
      </c>
      <c r="W2102">
        <v>0</v>
      </c>
      <c r="X2102">
        <v>2</v>
      </c>
      <c r="Y2102">
        <v>0</v>
      </c>
      <c r="AA2102">
        <v>1</v>
      </c>
      <c r="AB2102">
        <v>8</v>
      </c>
      <c r="AC2102">
        <v>3</v>
      </c>
      <c r="AD2102">
        <v>0</v>
      </c>
      <c r="AE2102">
        <v>9</v>
      </c>
      <c r="AF2102" t="s">
        <v>138</v>
      </c>
      <c r="AG2102">
        <v>0</v>
      </c>
      <c r="AH2102">
        <v>3</v>
      </c>
      <c r="AI2102">
        <v>1</v>
      </c>
      <c r="AJ2102">
        <v>0</v>
      </c>
      <c r="AK2102" t="s">
        <v>736</v>
      </c>
      <c r="AL2102">
        <v>32.773504000000003</v>
      </c>
      <c r="AM2102" t="s">
        <v>737</v>
      </c>
      <c r="AN2102">
        <v>-116.83047999999999</v>
      </c>
      <c r="AO2102">
        <v>25</v>
      </c>
      <c r="AP2102">
        <v>3000</v>
      </c>
      <c r="AQ2102" t="s">
        <v>129</v>
      </c>
      <c r="AR2102">
        <v>127</v>
      </c>
      <c r="AS2102">
        <v>-27</v>
      </c>
      <c r="AT2102">
        <v>256</v>
      </c>
      <c r="BB2102">
        <v>1200</v>
      </c>
      <c r="BC2102">
        <v>1</v>
      </c>
      <c r="BD2102" t="str">
        <f t="shared" si="726"/>
        <v xml:space="preserve">N887QR  </v>
      </c>
      <c r="BE2102">
        <v>1</v>
      </c>
      <c r="BG2102">
        <v>0</v>
      </c>
      <c r="BH2102">
        <v>0</v>
      </c>
      <c r="BI2102">
        <v>0</v>
      </c>
      <c r="BJ2102">
        <v>2700</v>
      </c>
      <c r="BK2102">
        <v>-300</v>
      </c>
      <c r="BL2102" t="s">
        <v>163</v>
      </c>
      <c r="BM2102">
        <v>1</v>
      </c>
      <c r="BN2102">
        <v>1</v>
      </c>
      <c r="BO2102">
        <v>1</v>
      </c>
      <c r="BP2102">
        <v>0</v>
      </c>
      <c r="BS2102">
        <v>0.08</v>
      </c>
      <c r="BT2102">
        <v>0</v>
      </c>
      <c r="BU2102">
        <v>0</v>
      </c>
      <c r="CE2102" t="str">
        <f>"19:31:01.740"</f>
        <v>19:31:01.740</v>
      </c>
      <c r="CF2102">
        <v>739842305</v>
      </c>
      <c r="CS2102">
        <v>0</v>
      </c>
      <c r="CT2102">
        <v>2</v>
      </c>
      <c r="CU2102">
        <v>0</v>
      </c>
      <c r="CV2102">
        <v>2</v>
      </c>
      <c r="CW2102">
        <v>0</v>
      </c>
      <c r="CX2102">
        <v>1</v>
      </c>
      <c r="CY2102">
        <v>7</v>
      </c>
      <c r="CZ2102" t="s">
        <v>131</v>
      </c>
      <c r="DA2102">
        <v>297</v>
      </c>
      <c r="DB2102">
        <v>0</v>
      </c>
      <c r="DC2102" t="s">
        <v>258</v>
      </c>
      <c r="DD2102" t="s">
        <v>259</v>
      </c>
      <c r="DG2102">
        <v>16739774</v>
      </c>
      <c r="DI2102">
        <v>1</v>
      </c>
      <c r="DJ2102">
        <v>0</v>
      </c>
      <c r="DK2102">
        <v>1</v>
      </c>
      <c r="DL2102">
        <v>0</v>
      </c>
      <c r="DM2102">
        <v>0</v>
      </c>
      <c r="DN2102">
        <v>1</v>
      </c>
      <c r="DO2102">
        <v>0</v>
      </c>
      <c r="DP2102">
        <v>0</v>
      </c>
      <c r="DQ2102">
        <v>0</v>
      </c>
      <c r="DR2102">
        <v>0</v>
      </c>
      <c r="DS2102">
        <v>0</v>
      </c>
    </row>
    <row r="2103" spans="1:123" x14ac:dyDescent="0.3">
      <c r="A2103" t="str">
        <f>"10/04/2022 19:31:04.234"</f>
        <v>10/04/2022 19:31:04.234</v>
      </c>
      <c r="C2103" t="str">
        <f t="shared" si="738"/>
        <v>FFDFD3C0</v>
      </c>
      <c r="D2103" t="s">
        <v>147</v>
      </c>
      <c r="E2103">
        <v>3</v>
      </c>
      <c r="H2103">
        <v>166</v>
      </c>
      <c r="I2103" t="s">
        <v>144</v>
      </c>
      <c r="J2103" t="s">
        <v>148</v>
      </c>
      <c r="K2103">
        <v>0</v>
      </c>
      <c r="L2103">
        <v>3</v>
      </c>
      <c r="M2103">
        <v>0</v>
      </c>
      <c r="N2103">
        <v>2</v>
      </c>
      <c r="O2103">
        <v>0</v>
      </c>
      <c r="P2103">
        <v>1</v>
      </c>
      <c r="Q2103">
        <v>0</v>
      </c>
      <c r="S2103" t="str">
        <f t="shared" ref="S2103:T2109" si="746">"19:31:03.000"</f>
        <v>19:31:03.000</v>
      </c>
      <c r="T2103" t="str">
        <f t="shared" si="746"/>
        <v>19:31:03.000</v>
      </c>
      <c r="U2103" t="str">
        <f t="shared" si="725"/>
        <v>AC3944</v>
      </c>
      <c r="V2103">
        <v>0</v>
      </c>
      <c r="W2103">
        <v>0</v>
      </c>
      <c r="X2103">
        <v>2</v>
      </c>
      <c r="Y2103">
        <v>0</v>
      </c>
      <c r="AA2103">
        <v>1</v>
      </c>
      <c r="AB2103">
        <v>8</v>
      </c>
      <c r="AC2103">
        <v>3</v>
      </c>
      <c r="AD2103">
        <v>0</v>
      </c>
      <c r="AE2103">
        <v>9</v>
      </c>
      <c r="AF2103" t="s">
        <v>138</v>
      </c>
      <c r="AG2103">
        <v>0</v>
      </c>
      <c r="AH2103">
        <v>3</v>
      </c>
      <c r="AI2103">
        <v>1</v>
      </c>
      <c r="AJ2103">
        <v>0</v>
      </c>
      <c r="AK2103" t="s">
        <v>738</v>
      </c>
      <c r="AL2103">
        <v>32.773246999999998</v>
      </c>
      <c r="AM2103" t="s">
        <v>739</v>
      </c>
      <c r="AN2103">
        <v>-116.82908500000001</v>
      </c>
      <c r="AO2103">
        <v>25</v>
      </c>
      <c r="AP2103">
        <v>3000</v>
      </c>
      <c r="AQ2103" t="s">
        <v>129</v>
      </c>
      <c r="AR2103">
        <v>127</v>
      </c>
      <c r="AS2103">
        <v>-28</v>
      </c>
      <c r="AT2103">
        <v>256</v>
      </c>
      <c r="BB2103">
        <v>1200</v>
      </c>
      <c r="BC2103">
        <v>1</v>
      </c>
      <c r="BD2103" t="str">
        <f t="shared" si="726"/>
        <v xml:space="preserve">N887QR  </v>
      </c>
      <c r="BE2103">
        <v>1</v>
      </c>
      <c r="BG2103">
        <v>0</v>
      </c>
      <c r="BH2103">
        <v>0</v>
      </c>
      <c r="BI2103">
        <v>0</v>
      </c>
      <c r="BJ2103">
        <v>2725</v>
      </c>
      <c r="BK2103">
        <v>-275</v>
      </c>
      <c r="BL2103" t="s">
        <v>163</v>
      </c>
      <c r="BM2103">
        <v>1</v>
      </c>
      <c r="BN2103">
        <v>1</v>
      </c>
      <c r="BO2103">
        <v>1</v>
      </c>
      <c r="BP2103">
        <v>0</v>
      </c>
      <c r="BS2103">
        <v>0.08</v>
      </c>
      <c r="BT2103">
        <v>0</v>
      </c>
      <c r="BU2103">
        <v>0</v>
      </c>
      <c r="CE2103" t="str">
        <f t="shared" ref="CE2103:CE2109" si="747">"19:31:03.812"</f>
        <v>19:31:03.812</v>
      </c>
      <c r="CF2103">
        <v>811513282</v>
      </c>
      <c r="CS2103">
        <v>0</v>
      </c>
      <c r="CT2103">
        <v>2</v>
      </c>
      <c r="CU2103">
        <v>0</v>
      </c>
      <c r="CV2103">
        <v>2</v>
      </c>
      <c r="CW2103">
        <v>0</v>
      </c>
      <c r="CX2103">
        <v>5</v>
      </c>
      <c r="CY2103">
        <v>7</v>
      </c>
      <c r="CZ2103" t="s">
        <v>131</v>
      </c>
      <c r="DA2103">
        <v>300</v>
      </c>
      <c r="DB2103">
        <v>0</v>
      </c>
      <c r="DC2103" t="s">
        <v>176</v>
      </c>
      <c r="DD2103" t="s">
        <v>177</v>
      </c>
      <c r="DG2103">
        <v>5402533</v>
      </c>
      <c r="DI2103">
        <v>1</v>
      </c>
      <c r="DJ2103">
        <v>0</v>
      </c>
      <c r="DK2103">
        <v>0</v>
      </c>
      <c r="DL2103">
        <v>0</v>
      </c>
      <c r="DM2103">
        <v>0</v>
      </c>
      <c r="DN2103">
        <v>1</v>
      </c>
      <c r="DO2103">
        <v>0</v>
      </c>
      <c r="DP2103">
        <v>0</v>
      </c>
      <c r="DQ2103">
        <v>0</v>
      </c>
      <c r="DR2103">
        <v>0</v>
      </c>
      <c r="DS2103">
        <v>0</v>
      </c>
    </row>
    <row r="2104" spans="1:123" x14ac:dyDescent="0.3">
      <c r="A2104" t="str">
        <f t="shared" ref="A2104:A2109" si="748">"10/04/2022 19:31:04.250"</f>
        <v>10/04/2022 19:31:04.250</v>
      </c>
      <c r="C2104" t="str">
        <f t="shared" si="738"/>
        <v>FFDFD3C0</v>
      </c>
      <c r="D2104" t="s">
        <v>141</v>
      </c>
      <c r="E2104">
        <v>4</v>
      </c>
      <c r="H2104">
        <v>4</v>
      </c>
      <c r="I2104" t="s">
        <v>142</v>
      </c>
      <c r="J2104" t="s">
        <v>138</v>
      </c>
      <c r="K2104">
        <v>0</v>
      </c>
      <c r="L2104">
        <v>3</v>
      </c>
      <c r="M2104">
        <v>0</v>
      </c>
      <c r="N2104">
        <v>2</v>
      </c>
      <c r="O2104">
        <v>0</v>
      </c>
      <c r="P2104">
        <v>1</v>
      </c>
      <c r="Q2104">
        <v>0</v>
      </c>
      <c r="S2104" t="str">
        <f t="shared" si="746"/>
        <v>19:31:03.000</v>
      </c>
      <c r="T2104" t="str">
        <f t="shared" si="746"/>
        <v>19:31:03.000</v>
      </c>
      <c r="U2104" t="str">
        <f t="shared" si="725"/>
        <v>AC3944</v>
      </c>
      <c r="V2104">
        <v>0</v>
      </c>
      <c r="W2104">
        <v>0</v>
      </c>
      <c r="X2104">
        <v>2</v>
      </c>
      <c r="Y2104">
        <v>0</v>
      </c>
      <c r="AA2104">
        <v>1</v>
      </c>
      <c r="AB2104">
        <v>8</v>
      </c>
      <c r="AC2104">
        <v>3</v>
      </c>
      <c r="AD2104">
        <v>0</v>
      </c>
      <c r="AE2104">
        <v>9</v>
      </c>
      <c r="AF2104" t="s">
        <v>138</v>
      </c>
      <c r="AG2104">
        <v>0</v>
      </c>
      <c r="AH2104">
        <v>3</v>
      </c>
      <c r="AI2104">
        <v>1</v>
      </c>
      <c r="AJ2104">
        <v>0</v>
      </c>
      <c r="AK2104" t="s">
        <v>738</v>
      </c>
      <c r="AL2104">
        <v>32.773246999999998</v>
      </c>
      <c r="AM2104" t="s">
        <v>739</v>
      </c>
      <c r="AN2104">
        <v>-116.82908500000001</v>
      </c>
      <c r="AO2104">
        <v>25</v>
      </c>
      <c r="AP2104">
        <v>3000</v>
      </c>
      <c r="AQ2104" t="s">
        <v>129</v>
      </c>
      <c r="AR2104">
        <v>127</v>
      </c>
      <c r="AS2104">
        <v>-28</v>
      </c>
      <c r="AT2104">
        <v>256</v>
      </c>
      <c r="BB2104">
        <v>1200</v>
      </c>
      <c r="BC2104">
        <v>1</v>
      </c>
      <c r="BD2104" t="str">
        <f t="shared" si="726"/>
        <v xml:space="preserve">N887QR  </v>
      </c>
      <c r="BE2104">
        <v>1</v>
      </c>
      <c r="BG2104">
        <v>0</v>
      </c>
      <c r="BH2104">
        <v>0</v>
      </c>
      <c r="BI2104">
        <v>0</v>
      </c>
      <c r="BJ2104">
        <v>2725</v>
      </c>
      <c r="BK2104">
        <v>-275</v>
      </c>
      <c r="BL2104" t="s">
        <v>163</v>
      </c>
      <c r="BM2104">
        <v>1</v>
      </c>
      <c r="BN2104">
        <v>1</v>
      </c>
      <c r="BO2104">
        <v>1</v>
      </c>
      <c r="BP2104">
        <v>0</v>
      </c>
      <c r="BS2104">
        <v>0.08</v>
      </c>
      <c r="BT2104">
        <v>0</v>
      </c>
      <c r="BU2104">
        <v>0</v>
      </c>
      <c r="CE2104" t="str">
        <f t="shared" si="747"/>
        <v>19:31:03.812</v>
      </c>
      <c r="CF2104">
        <v>811513282</v>
      </c>
      <c r="CS2104">
        <v>0</v>
      </c>
      <c r="CT2104">
        <v>2</v>
      </c>
      <c r="CU2104">
        <v>0</v>
      </c>
      <c r="CV2104">
        <v>2</v>
      </c>
      <c r="CW2104">
        <v>0</v>
      </c>
      <c r="CX2104">
        <v>5</v>
      </c>
      <c r="CY2104">
        <v>7</v>
      </c>
      <c r="CZ2104" t="s">
        <v>131</v>
      </c>
      <c r="DA2104">
        <v>300</v>
      </c>
      <c r="DB2104">
        <v>0</v>
      </c>
      <c r="DC2104" t="s">
        <v>176</v>
      </c>
      <c r="DD2104" t="s">
        <v>177</v>
      </c>
      <c r="DG2104">
        <v>5402533</v>
      </c>
      <c r="DI2104">
        <v>1</v>
      </c>
      <c r="DJ2104">
        <v>0</v>
      </c>
      <c r="DK2104">
        <v>1</v>
      </c>
      <c r="DL2104">
        <v>0</v>
      </c>
      <c r="DM2104">
        <v>0</v>
      </c>
      <c r="DN2104">
        <v>1</v>
      </c>
      <c r="DO2104">
        <v>0</v>
      </c>
      <c r="DP2104">
        <v>0</v>
      </c>
      <c r="DQ2104">
        <v>0</v>
      </c>
      <c r="DR2104">
        <v>0</v>
      </c>
      <c r="DS2104">
        <v>0</v>
      </c>
    </row>
    <row r="2105" spans="1:123" x14ac:dyDescent="0.3">
      <c r="A2105" t="str">
        <f t="shared" si="748"/>
        <v>10/04/2022 19:31:04.250</v>
      </c>
      <c r="C2105" t="str">
        <f t="shared" si="738"/>
        <v>FFDFD3C0</v>
      </c>
      <c r="D2105" t="s">
        <v>143</v>
      </c>
      <c r="E2105">
        <v>20</v>
      </c>
      <c r="F2105">
        <v>1020</v>
      </c>
      <c r="G2105" t="s">
        <v>144</v>
      </c>
      <c r="J2105" t="s">
        <v>145</v>
      </c>
      <c r="K2105">
        <v>0</v>
      </c>
      <c r="L2105">
        <v>3</v>
      </c>
      <c r="M2105">
        <v>0</v>
      </c>
      <c r="N2105">
        <v>2</v>
      </c>
      <c r="O2105">
        <v>0</v>
      </c>
      <c r="P2105">
        <v>1</v>
      </c>
      <c r="Q2105">
        <v>0</v>
      </c>
      <c r="S2105" t="str">
        <f t="shared" si="746"/>
        <v>19:31:03.000</v>
      </c>
      <c r="T2105" t="str">
        <f t="shared" si="746"/>
        <v>19:31:03.000</v>
      </c>
      <c r="U2105" t="str">
        <f t="shared" si="725"/>
        <v>AC3944</v>
      </c>
      <c r="V2105">
        <v>0</v>
      </c>
      <c r="W2105">
        <v>0</v>
      </c>
      <c r="X2105">
        <v>2</v>
      </c>
      <c r="Y2105">
        <v>0</v>
      </c>
      <c r="AA2105">
        <v>1</v>
      </c>
      <c r="AB2105">
        <v>8</v>
      </c>
      <c r="AC2105">
        <v>3</v>
      </c>
      <c r="AD2105">
        <v>0</v>
      </c>
      <c r="AE2105">
        <v>9</v>
      </c>
      <c r="AF2105" t="s">
        <v>138</v>
      </c>
      <c r="AG2105">
        <v>0</v>
      </c>
      <c r="AH2105">
        <v>3</v>
      </c>
      <c r="AI2105">
        <v>1</v>
      </c>
      <c r="AJ2105">
        <v>0</v>
      </c>
      <c r="AK2105" t="s">
        <v>738</v>
      </c>
      <c r="AL2105">
        <v>32.773246999999998</v>
      </c>
      <c r="AM2105" t="s">
        <v>739</v>
      </c>
      <c r="AN2105">
        <v>-116.82908500000001</v>
      </c>
      <c r="AO2105">
        <v>25</v>
      </c>
      <c r="AP2105">
        <v>3000</v>
      </c>
      <c r="AQ2105" t="s">
        <v>129</v>
      </c>
      <c r="AR2105">
        <v>127</v>
      </c>
      <c r="AS2105">
        <v>-28</v>
      </c>
      <c r="AT2105">
        <v>256</v>
      </c>
      <c r="BB2105">
        <v>1200</v>
      </c>
      <c r="BC2105">
        <v>1</v>
      </c>
      <c r="BD2105" t="str">
        <f t="shared" si="726"/>
        <v xml:space="preserve">N887QR  </v>
      </c>
      <c r="BE2105">
        <v>1</v>
      </c>
      <c r="BG2105">
        <v>0</v>
      </c>
      <c r="BH2105">
        <v>0</v>
      </c>
      <c r="BI2105">
        <v>0</v>
      </c>
      <c r="BJ2105">
        <v>2725</v>
      </c>
      <c r="BK2105">
        <v>-275</v>
      </c>
      <c r="BL2105" t="s">
        <v>163</v>
      </c>
      <c r="BM2105">
        <v>1</v>
      </c>
      <c r="BN2105">
        <v>1</v>
      </c>
      <c r="BO2105">
        <v>1</v>
      </c>
      <c r="BP2105">
        <v>0</v>
      </c>
      <c r="BS2105">
        <v>0.08</v>
      </c>
      <c r="BT2105">
        <v>0</v>
      </c>
      <c r="BU2105">
        <v>0</v>
      </c>
      <c r="CE2105" t="str">
        <f t="shared" si="747"/>
        <v>19:31:03.812</v>
      </c>
      <c r="CF2105">
        <v>811513282</v>
      </c>
      <c r="CS2105">
        <v>0</v>
      </c>
      <c r="CT2105">
        <v>2</v>
      </c>
      <c r="CU2105">
        <v>0</v>
      </c>
      <c r="CV2105">
        <v>2</v>
      </c>
      <c r="CW2105">
        <v>0</v>
      </c>
      <c r="CX2105">
        <v>5</v>
      </c>
      <c r="CY2105">
        <v>7</v>
      </c>
      <c r="CZ2105" t="s">
        <v>131</v>
      </c>
      <c r="DA2105">
        <v>300</v>
      </c>
      <c r="DB2105">
        <v>0</v>
      </c>
      <c r="DC2105" t="s">
        <v>176</v>
      </c>
      <c r="DD2105" t="s">
        <v>177</v>
      </c>
      <c r="DG2105">
        <v>5402533</v>
      </c>
      <c r="DI2105">
        <v>1</v>
      </c>
      <c r="DJ2105">
        <v>0</v>
      </c>
      <c r="DK2105">
        <v>1</v>
      </c>
      <c r="DL2105">
        <v>0</v>
      </c>
      <c r="DM2105">
        <v>0</v>
      </c>
      <c r="DN2105">
        <v>1</v>
      </c>
      <c r="DO2105">
        <v>0</v>
      </c>
      <c r="DP2105">
        <v>0</v>
      </c>
      <c r="DQ2105">
        <v>0</v>
      </c>
      <c r="DR2105">
        <v>0</v>
      </c>
      <c r="DS2105">
        <v>0</v>
      </c>
    </row>
    <row r="2106" spans="1:123" x14ac:dyDescent="0.3">
      <c r="A2106" t="str">
        <f t="shared" si="748"/>
        <v>10/04/2022 19:31:04.250</v>
      </c>
      <c r="C2106" t="str">
        <f t="shared" ref="C2106:C2137" si="749">"FFDFD3C0"</f>
        <v>FFDFD3C0</v>
      </c>
      <c r="D2106" t="s">
        <v>141</v>
      </c>
      <c r="E2106">
        <v>3</v>
      </c>
      <c r="H2106">
        <v>3</v>
      </c>
      <c r="I2106" t="s">
        <v>146</v>
      </c>
      <c r="J2106" t="s">
        <v>138</v>
      </c>
      <c r="K2106">
        <v>0</v>
      </c>
      <c r="L2106">
        <v>3</v>
      </c>
      <c r="M2106">
        <v>0</v>
      </c>
      <c r="N2106">
        <v>2</v>
      </c>
      <c r="O2106">
        <v>0</v>
      </c>
      <c r="P2106">
        <v>1</v>
      </c>
      <c r="Q2106">
        <v>0</v>
      </c>
      <c r="S2106" t="str">
        <f t="shared" si="746"/>
        <v>19:31:03.000</v>
      </c>
      <c r="T2106" t="str">
        <f t="shared" si="746"/>
        <v>19:31:03.000</v>
      </c>
      <c r="U2106" t="str">
        <f t="shared" si="725"/>
        <v>AC3944</v>
      </c>
      <c r="V2106">
        <v>0</v>
      </c>
      <c r="W2106">
        <v>0</v>
      </c>
      <c r="X2106">
        <v>2</v>
      </c>
      <c r="Y2106">
        <v>0</v>
      </c>
      <c r="AA2106">
        <v>1</v>
      </c>
      <c r="AB2106">
        <v>8</v>
      </c>
      <c r="AC2106">
        <v>3</v>
      </c>
      <c r="AD2106">
        <v>0</v>
      </c>
      <c r="AE2106">
        <v>9</v>
      </c>
      <c r="AF2106" t="s">
        <v>138</v>
      </c>
      <c r="AG2106">
        <v>0</v>
      </c>
      <c r="AH2106">
        <v>3</v>
      </c>
      <c r="AI2106">
        <v>1</v>
      </c>
      <c r="AJ2106">
        <v>0</v>
      </c>
      <c r="AK2106" t="s">
        <v>738</v>
      </c>
      <c r="AL2106">
        <v>32.773246999999998</v>
      </c>
      <c r="AM2106" t="s">
        <v>739</v>
      </c>
      <c r="AN2106">
        <v>-116.82908500000001</v>
      </c>
      <c r="AO2106">
        <v>25</v>
      </c>
      <c r="AP2106">
        <v>3000</v>
      </c>
      <c r="AQ2106" t="s">
        <v>129</v>
      </c>
      <c r="AR2106">
        <v>127</v>
      </c>
      <c r="AS2106">
        <v>-28</v>
      </c>
      <c r="AT2106">
        <v>256</v>
      </c>
      <c r="BB2106">
        <v>1200</v>
      </c>
      <c r="BC2106">
        <v>1</v>
      </c>
      <c r="BD2106" t="str">
        <f t="shared" si="726"/>
        <v xml:space="preserve">N887QR  </v>
      </c>
      <c r="BE2106">
        <v>1</v>
      </c>
      <c r="BG2106">
        <v>0</v>
      </c>
      <c r="BH2106">
        <v>0</v>
      </c>
      <c r="BI2106">
        <v>0</v>
      </c>
      <c r="BJ2106">
        <v>2725</v>
      </c>
      <c r="BK2106">
        <v>-275</v>
      </c>
      <c r="BL2106" t="s">
        <v>163</v>
      </c>
      <c r="BM2106">
        <v>1</v>
      </c>
      <c r="BN2106">
        <v>1</v>
      </c>
      <c r="BO2106">
        <v>1</v>
      </c>
      <c r="BP2106">
        <v>0</v>
      </c>
      <c r="BS2106">
        <v>0.08</v>
      </c>
      <c r="BT2106">
        <v>0</v>
      </c>
      <c r="BU2106">
        <v>0</v>
      </c>
      <c r="CE2106" t="str">
        <f t="shared" si="747"/>
        <v>19:31:03.812</v>
      </c>
      <c r="CF2106">
        <v>811513282</v>
      </c>
      <c r="CS2106">
        <v>0</v>
      </c>
      <c r="CT2106">
        <v>2</v>
      </c>
      <c r="CU2106">
        <v>0</v>
      </c>
      <c r="CV2106">
        <v>2</v>
      </c>
      <c r="CW2106">
        <v>0</v>
      </c>
      <c r="CX2106">
        <v>5</v>
      </c>
      <c r="CY2106">
        <v>7</v>
      </c>
      <c r="CZ2106" t="s">
        <v>131</v>
      </c>
      <c r="DA2106">
        <v>300</v>
      </c>
      <c r="DB2106">
        <v>0</v>
      </c>
      <c r="DC2106" t="s">
        <v>176</v>
      </c>
      <c r="DD2106" t="s">
        <v>177</v>
      </c>
      <c r="DG2106">
        <v>5402533</v>
      </c>
      <c r="DI2106">
        <v>1</v>
      </c>
      <c r="DJ2106">
        <v>0</v>
      </c>
      <c r="DK2106">
        <v>1</v>
      </c>
      <c r="DL2106">
        <v>0</v>
      </c>
      <c r="DM2106">
        <v>0</v>
      </c>
      <c r="DN2106">
        <v>1</v>
      </c>
      <c r="DO2106">
        <v>0</v>
      </c>
      <c r="DP2106">
        <v>0</v>
      </c>
      <c r="DQ2106">
        <v>0</v>
      </c>
      <c r="DR2106">
        <v>0</v>
      </c>
      <c r="DS2106">
        <v>0</v>
      </c>
    </row>
    <row r="2107" spans="1:123" x14ac:dyDescent="0.3">
      <c r="A2107" t="str">
        <f t="shared" si="748"/>
        <v>10/04/2022 19:31:04.250</v>
      </c>
      <c r="C2107" t="str">
        <f t="shared" si="749"/>
        <v>FFDFD3C0</v>
      </c>
      <c r="D2107" t="s">
        <v>123</v>
      </c>
      <c r="E2107">
        <v>7</v>
      </c>
      <c r="F2107">
        <v>2007</v>
      </c>
      <c r="G2107" t="s">
        <v>124</v>
      </c>
      <c r="J2107" t="s">
        <v>125</v>
      </c>
      <c r="K2107">
        <v>0</v>
      </c>
      <c r="L2107">
        <v>3</v>
      </c>
      <c r="M2107">
        <v>0</v>
      </c>
      <c r="N2107">
        <v>2</v>
      </c>
      <c r="O2107">
        <v>0</v>
      </c>
      <c r="P2107">
        <v>1</v>
      </c>
      <c r="Q2107">
        <v>0</v>
      </c>
      <c r="S2107" t="str">
        <f t="shared" si="746"/>
        <v>19:31:03.000</v>
      </c>
      <c r="T2107" t="str">
        <f t="shared" si="746"/>
        <v>19:31:03.000</v>
      </c>
      <c r="U2107" t="str">
        <f t="shared" si="725"/>
        <v>AC3944</v>
      </c>
      <c r="V2107">
        <v>0</v>
      </c>
      <c r="W2107">
        <v>0</v>
      </c>
      <c r="X2107">
        <v>2</v>
      </c>
      <c r="Y2107">
        <v>0</v>
      </c>
      <c r="AA2107">
        <v>1</v>
      </c>
      <c r="AB2107">
        <v>8</v>
      </c>
      <c r="AC2107">
        <v>3</v>
      </c>
      <c r="AD2107">
        <v>0</v>
      </c>
      <c r="AE2107">
        <v>9</v>
      </c>
      <c r="AF2107" t="s">
        <v>138</v>
      </c>
      <c r="AG2107">
        <v>0</v>
      </c>
      <c r="AH2107">
        <v>3</v>
      </c>
      <c r="AI2107">
        <v>1</v>
      </c>
      <c r="AJ2107">
        <v>0</v>
      </c>
      <c r="AK2107" t="s">
        <v>738</v>
      </c>
      <c r="AL2107">
        <v>32.773246999999998</v>
      </c>
      <c r="AM2107" t="s">
        <v>739</v>
      </c>
      <c r="AN2107">
        <v>-116.82908500000001</v>
      </c>
      <c r="AO2107">
        <v>25</v>
      </c>
      <c r="AP2107">
        <v>3000</v>
      </c>
      <c r="AQ2107" t="s">
        <v>129</v>
      </c>
      <c r="AR2107">
        <v>127</v>
      </c>
      <c r="AS2107">
        <v>-28</v>
      </c>
      <c r="AT2107">
        <v>256</v>
      </c>
      <c r="BB2107">
        <v>1200</v>
      </c>
      <c r="BC2107">
        <v>1</v>
      </c>
      <c r="BD2107" t="str">
        <f t="shared" si="726"/>
        <v xml:space="preserve">N887QR  </v>
      </c>
      <c r="BE2107">
        <v>1</v>
      </c>
      <c r="BG2107">
        <v>0</v>
      </c>
      <c r="BH2107">
        <v>0</v>
      </c>
      <c r="BI2107">
        <v>0</v>
      </c>
      <c r="BJ2107">
        <v>2725</v>
      </c>
      <c r="BK2107">
        <v>-275</v>
      </c>
      <c r="BL2107" t="s">
        <v>163</v>
      </c>
      <c r="BM2107">
        <v>1</v>
      </c>
      <c r="BN2107">
        <v>1</v>
      </c>
      <c r="BO2107">
        <v>1</v>
      </c>
      <c r="BP2107">
        <v>0</v>
      </c>
      <c r="BS2107">
        <v>0.08</v>
      </c>
      <c r="BT2107">
        <v>0</v>
      </c>
      <c r="BU2107">
        <v>0</v>
      </c>
      <c r="CE2107" t="str">
        <f t="shared" si="747"/>
        <v>19:31:03.812</v>
      </c>
      <c r="CF2107">
        <v>811513282</v>
      </c>
      <c r="CS2107">
        <v>0</v>
      </c>
      <c r="CT2107">
        <v>2</v>
      </c>
      <c r="CU2107">
        <v>0</v>
      </c>
      <c r="CV2107">
        <v>2</v>
      </c>
      <c r="CW2107">
        <v>0</v>
      </c>
      <c r="CX2107">
        <v>5</v>
      </c>
      <c r="CY2107">
        <v>7</v>
      </c>
      <c r="CZ2107" t="s">
        <v>131</v>
      </c>
      <c r="DA2107">
        <v>300</v>
      </c>
      <c r="DB2107">
        <v>0</v>
      </c>
      <c r="DC2107" t="s">
        <v>176</v>
      </c>
      <c r="DD2107" t="s">
        <v>177</v>
      </c>
      <c r="DG2107">
        <v>5402533</v>
      </c>
      <c r="DI2107">
        <v>1</v>
      </c>
      <c r="DJ2107">
        <v>0</v>
      </c>
      <c r="DK2107">
        <v>1</v>
      </c>
      <c r="DL2107">
        <v>0</v>
      </c>
      <c r="DM2107">
        <v>0</v>
      </c>
      <c r="DN2107">
        <v>1</v>
      </c>
      <c r="DO2107">
        <v>0</v>
      </c>
      <c r="DP2107">
        <v>0</v>
      </c>
      <c r="DQ2107">
        <v>0</v>
      </c>
      <c r="DR2107">
        <v>0</v>
      </c>
      <c r="DS2107">
        <v>0</v>
      </c>
    </row>
    <row r="2108" spans="1:123" x14ac:dyDescent="0.3">
      <c r="A2108" t="str">
        <f t="shared" si="748"/>
        <v>10/04/2022 19:31:04.250</v>
      </c>
      <c r="C2108" t="str">
        <f t="shared" si="749"/>
        <v>FFDFD3C0</v>
      </c>
      <c r="D2108" t="s">
        <v>136</v>
      </c>
      <c r="E2108">
        <v>8</v>
      </c>
      <c r="H2108">
        <v>225</v>
      </c>
      <c r="I2108" t="s">
        <v>137</v>
      </c>
      <c r="J2108" t="s">
        <v>138</v>
      </c>
      <c r="K2108">
        <v>0</v>
      </c>
      <c r="L2108">
        <v>3</v>
      </c>
      <c r="M2108">
        <v>0</v>
      </c>
      <c r="N2108">
        <v>2</v>
      </c>
      <c r="O2108">
        <v>0</v>
      </c>
      <c r="P2108">
        <v>1</v>
      </c>
      <c r="Q2108">
        <v>0</v>
      </c>
      <c r="S2108" t="str">
        <f t="shared" si="746"/>
        <v>19:31:03.000</v>
      </c>
      <c r="T2108" t="str">
        <f t="shared" si="746"/>
        <v>19:31:03.000</v>
      </c>
      <c r="U2108" t="str">
        <f t="shared" si="725"/>
        <v>AC3944</v>
      </c>
      <c r="V2108">
        <v>0</v>
      </c>
      <c r="W2108">
        <v>0</v>
      </c>
      <c r="X2108">
        <v>2</v>
      </c>
      <c r="Y2108">
        <v>0</v>
      </c>
      <c r="AA2108">
        <v>1</v>
      </c>
      <c r="AB2108">
        <v>8</v>
      </c>
      <c r="AC2108">
        <v>3</v>
      </c>
      <c r="AD2108">
        <v>0</v>
      </c>
      <c r="AE2108">
        <v>9</v>
      </c>
      <c r="AF2108" t="s">
        <v>138</v>
      </c>
      <c r="AG2108">
        <v>0</v>
      </c>
      <c r="AH2108">
        <v>3</v>
      </c>
      <c r="AI2108">
        <v>1</v>
      </c>
      <c r="AJ2108">
        <v>0</v>
      </c>
      <c r="AK2108" t="s">
        <v>738</v>
      </c>
      <c r="AL2108">
        <v>32.773246999999998</v>
      </c>
      <c r="AM2108" t="s">
        <v>739</v>
      </c>
      <c r="AN2108">
        <v>-116.82908500000001</v>
      </c>
      <c r="AO2108">
        <v>25</v>
      </c>
      <c r="AP2108">
        <v>3000</v>
      </c>
      <c r="AQ2108" t="s">
        <v>129</v>
      </c>
      <c r="AR2108">
        <v>127</v>
      </c>
      <c r="AS2108">
        <v>-28</v>
      </c>
      <c r="AT2108">
        <v>256</v>
      </c>
      <c r="BB2108">
        <v>1200</v>
      </c>
      <c r="BC2108">
        <v>1</v>
      </c>
      <c r="BD2108" t="str">
        <f t="shared" si="726"/>
        <v xml:space="preserve">N887QR  </v>
      </c>
      <c r="BE2108">
        <v>1</v>
      </c>
      <c r="BG2108">
        <v>0</v>
      </c>
      <c r="BH2108">
        <v>0</v>
      </c>
      <c r="BI2108">
        <v>0</v>
      </c>
      <c r="BJ2108">
        <v>2725</v>
      </c>
      <c r="BK2108">
        <v>-275</v>
      </c>
      <c r="BL2108" t="s">
        <v>163</v>
      </c>
      <c r="BM2108">
        <v>1</v>
      </c>
      <c r="BN2108">
        <v>1</v>
      </c>
      <c r="BO2108">
        <v>1</v>
      </c>
      <c r="BP2108">
        <v>0</v>
      </c>
      <c r="BS2108">
        <v>0.08</v>
      </c>
      <c r="BT2108">
        <v>0</v>
      </c>
      <c r="BU2108">
        <v>0</v>
      </c>
      <c r="CE2108" t="str">
        <f t="shared" si="747"/>
        <v>19:31:03.812</v>
      </c>
      <c r="CF2108">
        <v>811513282</v>
      </c>
      <c r="CS2108">
        <v>0</v>
      </c>
      <c r="CT2108">
        <v>2</v>
      </c>
      <c r="CU2108">
        <v>0</v>
      </c>
      <c r="CV2108">
        <v>2</v>
      </c>
      <c r="CW2108">
        <v>0</v>
      </c>
      <c r="CX2108">
        <v>5</v>
      </c>
      <c r="CY2108">
        <v>7</v>
      </c>
      <c r="CZ2108" t="s">
        <v>131</v>
      </c>
      <c r="DA2108">
        <v>300</v>
      </c>
      <c r="DB2108">
        <v>0</v>
      </c>
      <c r="DC2108" t="s">
        <v>176</v>
      </c>
      <c r="DD2108" t="s">
        <v>177</v>
      </c>
      <c r="DG2108">
        <v>5402533</v>
      </c>
      <c r="DI2108">
        <v>1</v>
      </c>
      <c r="DJ2108">
        <v>0</v>
      </c>
      <c r="DK2108">
        <v>1</v>
      </c>
      <c r="DL2108">
        <v>0</v>
      </c>
      <c r="DM2108">
        <v>0</v>
      </c>
      <c r="DN2108">
        <v>1</v>
      </c>
      <c r="DO2108">
        <v>0</v>
      </c>
      <c r="DP2108">
        <v>0</v>
      </c>
      <c r="DQ2108">
        <v>0</v>
      </c>
      <c r="DR2108">
        <v>0</v>
      </c>
      <c r="DS2108">
        <v>0</v>
      </c>
    </row>
    <row r="2109" spans="1:123" x14ac:dyDescent="0.3">
      <c r="A2109" t="str">
        <f t="shared" si="748"/>
        <v>10/04/2022 19:31:04.250</v>
      </c>
      <c r="C2109" t="str">
        <f t="shared" si="749"/>
        <v>FFDFD3C0</v>
      </c>
      <c r="D2109" t="s">
        <v>134</v>
      </c>
      <c r="E2109">
        <v>15</v>
      </c>
      <c r="J2109" t="s">
        <v>135</v>
      </c>
      <c r="K2109">
        <v>0</v>
      </c>
      <c r="L2109">
        <v>3</v>
      </c>
      <c r="M2109">
        <v>0</v>
      </c>
      <c r="N2109">
        <v>2</v>
      </c>
      <c r="O2109">
        <v>0</v>
      </c>
      <c r="P2109">
        <v>1</v>
      </c>
      <c r="Q2109">
        <v>0</v>
      </c>
      <c r="S2109" t="str">
        <f t="shared" si="746"/>
        <v>19:31:03.000</v>
      </c>
      <c r="T2109" t="str">
        <f t="shared" si="746"/>
        <v>19:31:03.000</v>
      </c>
      <c r="U2109" t="str">
        <f t="shared" si="725"/>
        <v>AC3944</v>
      </c>
      <c r="V2109">
        <v>0</v>
      </c>
      <c r="W2109">
        <v>0</v>
      </c>
      <c r="X2109">
        <v>2</v>
      </c>
      <c r="Y2109">
        <v>0</v>
      </c>
      <c r="AA2109">
        <v>1</v>
      </c>
      <c r="AB2109">
        <v>8</v>
      </c>
      <c r="AC2109">
        <v>3</v>
      </c>
      <c r="AD2109">
        <v>0</v>
      </c>
      <c r="AE2109">
        <v>9</v>
      </c>
      <c r="AF2109" t="s">
        <v>138</v>
      </c>
      <c r="AG2109">
        <v>0</v>
      </c>
      <c r="AH2109">
        <v>3</v>
      </c>
      <c r="AI2109">
        <v>1</v>
      </c>
      <c r="AJ2109">
        <v>0</v>
      </c>
      <c r="AK2109" t="s">
        <v>738</v>
      </c>
      <c r="AL2109">
        <v>32.773246999999998</v>
      </c>
      <c r="AM2109" t="s">
        <v>739</v>
      </c>
      <c r="AN2109">
        <v>-116.82908500000001</v>
      </c>
      <c r="AO2109">
        <v>25</v>
      </c>
      <c r="AP2109">
        <v>3000</v>
      </c>
      <c r="AQ2109" t="s">
        <v>129</v>
      </c>
      <c r="AR2109">
        <v>127</v>
      </c>
      <c r="AS2109">
        <v>-28</v>
      </c>
      <c r="AT2109">
        <v>256</v>
      </c>
      <c r="BB2109">
        <v>1200</v>
      </c>
      <c r="BC2109">
        <v>1</v>
      </c>
      <c r="BD2109" t="str">
        <f t="shared" si="726"/>
        <v xml:space="preserve">N887QR  </v>
      </c>
      <c r="BE2109">
        <v>1</v>
      </c>
      <c r="BG2109">
        <v>0</v>
      </c>
      <c r="BH2109">
        <v>0</v>
      </c>
      <c r="BI2109">
        <v>0</v>
      </c>
      <c r="BJ2109">
        <v>2725</v>
      </c>
      <c r="BK2109">
        <v>-275</v>
      </c>
      <c r="BL2109" t="s">
        <v>163</v>
      </c>
      <c r="BM2109">
        <v>1</v>
      </c>
      <c r="BN2109">
        <v>1</v>
      </c>
      <c r="BO2109">
        <v>1</v>
      </c>
      <c r="BP2109">
        <v>0</v>
      </c>
      <c r="BS2109">
        <v>0.08</v>
      </c>
      <c r="BT2109">
        <v>0</v>
      </c>
      <c r="BU2109">
        <v>0</v>
      </c>
      <c r="CE2109" t="str">
        <f t="shared" si="747"/>
        <v>19:31:03.812</v>
      </c>
      <c r="CF2109">
        <v>811513282</v>
      </c>
      <c r="CS2109">
        <v>0</v>
      </c>
      <c r="CT2109">
        <v>2</v>
      </c>
      <c r="CU2109">
        <v>0</v>
      </c>
      <c r="CV2109">
        <v>2</v>
      </c>
      <c r="CW2109">
        <v>0</v>
      </c>
      <c r="CX2109">
        <v>5</v>
      </c>
      <c r="CY2109">
        <v>7</v>
      </c>
      <c r="CZ2109" t="s">
        <v>131</v>
      </c>
      <c r="DA2109">
        <v>300</v>
      </c>
      <c r="DB2109">
        <v>0</v>
      </c>
      <c r="DC2109" t="s">
        <v>176</v>
      </c>
      <c r="DD2109" t="s">
        <v>177</v>
      </c>
      <c r="DG2109">
        <v>5402533</v>
      </c>
      <c r="DI2109">
        <v>1</v>
      </c>
      <c r="DJ2109">
        <v>0</v>
      </c>
      <c r="DK2109">
        <v>1</v>
      </c>
      <c r="DL2109">
        <v>0</v>
      </c>
      <c r="DM2109">
        <v>0</v>
      </c>
      <c r="DN2109">
        <v>1</v>
      </c>
      <c r="DO2109">
        <v>0</v>
      </c>
      <c r="DP2109">
        <v>0</v>
      </c>
      <c r="DQ2109">
        <v>0</v>
      </c>
      <c r="DR2109">
        <v>0</v>
      </c>
      <c r="DS2109">
        <v>0</v>
      </c>
    </row>
    <row r="2110" spans="1:123" x14ac:dyDescent="0.3">
      <c r="A2110" t="str">
        <f t="shared" ref="A2110:A2116" si="750">"10/04/2022 19:31:05.875"</f>
        <v>10/04/2022 19:31:05.875</v>
      </c>
      <c r="C2110" t="str">
        <f t="shared" si="749"/>
        <v>FFDFD3C0</v>
      </c>
      <c r="D2110" t="s">
        <v>136</v>
      </c>
      <c r="E2110">
        <v>8</v>
      </c>
      <c r="H2110">
        <v>225</v>
      </c>
      <c r="I2110" t="s">
        <v>137</v>
      </c>
      <c r="J2110" t="s">
        <v>138</v>
      </c>
      <c r="K2110">
        <v>0</v>
      </c>
      <c r="L2110">
        <v>3</v>
      </c>
      <c r="M2110">
        <v>0</v>
      </c>
      <c r="N2110">
        <v>2</v>
      </c>
      <c r="O2110">
        <v>0</v>
      </c>
      <c r="P2110">
        <v>1</v>
      </c>
      <c r="Q2110">
        <v>0</v>
      </c>
      <c r="S2110" t="str">
        <f t="shared" ref="S2110:T2123" si="751">"19:31:05.000"</f>
        <v>19:31:05.000</v>
      </c>
      <c r="T2110" t="str">
        <f t="shared" si="751"/>
        <v>19:31:05.000</v>
      </c>
      <c r="U2110" t="str">
        <f t="shared" si="725"/>
        <v>AC3944</v>
      </c>
      <c r="V2110">
        <v>0</v>
      </c>
      <c r="W2110">
        <v>0</v>
      </c>
      <c r="X2110">
        <v>2</v>
      </c>
      <c r="Y2110">
        <v>0</v>
      </c>
      <c r="AA2110">
        <v>1</v>
      </c>
      <c r="AB2110">
        <v>8</v>
      </c>
      <c r="AC2110">
        <v>3</v>
      </c>
      <c r="AD2110">
        <v>0</v>
      </c>
      <c r="AE2110">
        <v>9</v>
      </c>
      <c r="AF2110" t="s">
        <v>138</v>
      </c>
      <c r="AG2110">
        <v>0</v>
      </c>
      <c r="AH2110">
        <v>3</v>
      </c>
      <c r="AI2110">
        <v>1</v>
      </c>
      <c r="AJ2110">
        <v>0</v>
      </c>
      <c r="AK2110" t="s">
        <v>740</v>
      </c>
      <c r="AL2110">
        <v>32.773117999999997</v>
      </c>
      <c r="AM2110" t="s">
        <v>741</v>
      </c>
      <c r="AN2110">
        <v>-116.828399</v>
      </c>
      <c r="AO2110">
        <v>25</v>
      </c>
      <c r="AP2110">
        <v>3000</v>
      </c>
      <c r="AQ2110" t="s">
        <v>129</v>
      </c>
      <c r="AR2110">
        <v>127</v>
      </c>
      <c r="AS2110">
        <v>-29</v>
      </c>
      <c r="AT2110">
        <v>320</v>
      </c>
      <c r="BB2110">
        <v>1200</v>
      </c>
      <c r="BC2110">
        <v>1</v>
      </c>
      <c r="BD2110" t="str">
        <f t="shared" si="726"/>
        <v xml:space="preserve">N887QR  </v>
      </c>
      <c r="BE2110">
        <v>1</v>
      </c>
      <c r="BG2110">
        <v>0</v>
      </c>
      <c r="BH2110">
        <v>0</v>
      </c>
      <c r="BI2110">
        <v>0</v>
      </c>
      <c r="BJ2110">
        <v>2725</v>
      </c>
      <c r="BK2110">
        <v>-275</v>
      </c>
      <c r="BL2110" t="s">
        <v>163</v>
      </c>
      <c r="BM2110">
        <v>1</v>
      </c>
      <c r="BN2110">
        <v>1</v>
      </c>
      <c r="BO2110">
        <v>1</v>
      </c>
      <c r="BP2110">
        <v>0</v>
      </c>
      <c r="BS2110">
        <v>0.08</v>
      </c>
      <c r="BT2110">
        <v>0</v>
      </c>
      <c r="BU2110">
        <v>0</v>
      </c>
      <c r="CE2110" t="str">
        <f t="shared" ref="CE2110:CE2116" si="752">"19:31:05.518"</f>
        <v>19:31:05.518</v>
      </c>
      <c r="CF2110">
        <v>518018968</v>
      </c>
      <c r="CS2110">
        <v>0</v>
      </c>
      <c r="CT2110">
        <v>2</v>
      </c>
      <c r="CU2110">
        <v>0</v>
      </c>
      <c r="CV2110">
        <v>2</v>
      </c>
      <c r="CW2110">
        <v>0</v>
      </c>
      <c r="CX2110">
        <v>5</v>
      </c>
      <c r="CY2110">
        <v>7</v>
      </c>
      <c r="CZ2110" t="s">
        <v>131</v>
      </c>
      <c r="DA2110">
        <v>300</v>
      </c>
      <c r="DB2110">
        <v>0</v>
      </c>
      <c r="DC2110" t="s">
        <v>176</v>
      </c>
      <c r="DD2110" t="s">
        <v>177</v>
      </c>
      <c r="DG2110">
        <v>5402801</v>
      </c>
      <c r="DI2110">
        <v>1</v>
      </c>
      <c r="DJ2110">
        <v>0</v>
      </c>
      <c r="DK2110">
        <v>0</v>
      </c>
      <c r="DL2110">
        <v>0</v>
      </c>
      <c r="DM2110">
        <v>0</v>
      </c>
      <c r="DN2110">
        <v>1</v>
      </c>
      <c r="DO2110">
        <v>0</v>
      </c>
      <c r="DP2110">
        <v>0</v>
      </c>
      <c r="DQ2110">
        <v>0</v>
      </c>
      <c r="DR2110">
        <v>0</v>
      </c>
      <c r="DS2110">
        <v>0</v>
      </c>
    </row>
    <row r="2111" spans="1:123" x14ac:dyDescent="0.3">
      <c r="A2111" t="str">
        <f t="shared" si="750"/>
        <v>10/04/2022 19:31:05.875</v>
      </c>
      <c r="C2111" t="str">
        <f t="shared" si="749"/>
        <v>FFDFD3C0</v>
      </c>
      <c r="D2111" t="s">
        <v>147</v>
      </c>
      <c r="E2111">
        <v>3</v>
      </c>
      <c r="H2111">
        <v>166</v>
      </c>
      <c r="I2111" t="s">
        <v>144</v>
      </c>
      <c r="J2111" t="s">
        <v>148</v>
      </c>
      <c r="K2111">
        <v>0</v>
      </c>
      <c r="L2111">
        <v>3</v>
      </c>
      <c r="M2111">
        <v>0</v>
      </c>
      <c r="N2111">
        <v>2</v>
      </c>
      <c r="O2111">
        <v>0</v>
      </c>
      <c r="P2111">
        <v>1</v>
      </c>
      <c r="Q2111">
        <v>0</v>
      </c>
      <c r="S2111" t="str">
        <f t="shared" si="751"/>
        <v>19:31:05.000</v>
      </c>
      <c r="T2111" t="str">
        <f t="shared" si="751"/>
        <v>19:31:05.000</v>
      </c>
      <c r="U2111" t="str">
        <f t="shared" si="725"/>
        <v>AC3944</v>
      </c>
      <c r="V2111">
        <v>0</v>
      </c>
      <c r="W2111">
        <v>0</v>
      </c>
      <c r="X2111">
        <v>2</v>
      </c>
      <c r="Y2111">
        <v>0</v>
      </c>
      <c r="AA2111">
        <v>1</v>
      </c>
      <c r="AB2111">
        <v>8</v>
      </c>
      <c r="AC2111">
        <v>3</v>
      </c>
      <c r="AD2111">
        <v>0</v>
      </c>
      <c r="AE2111">
        <v>9</v>
      </c>
      <c r="AF2111" t="s">
        <v>138</v>
      </c>
      <c r="AG2111">
        <v>0</v>
      </c>
      <c r="AH2111">
        <v>3</v>
      </c>
      <c r="AI2111">
        <v>1</v>
      </c>
      <c r="AJ2111">
        <v>0</v>
      </c>
      <c r="AK2111" t="s">
        <v>740</v>
      </c>
      <c r="AL2111">
        <v>32.773117999999997</v>
      </c>
      <c r="AM2111" t="s">
        <v>741</v>
      </c>
      <c r="AN2111">
        <v>-116.828399</v>
      </c>
      <c r="AO2111">
        <v>25</v>
      </c>
      <c r="AP2111">
        <v>3000</v>
      </c>
      <c r="AQ2111" t="s">
        <v>129</v>
      </c>
      <c r="AR2111">
        <v>127</v>
      </c>
      <c r="AS2111">
        <v>-29</v>
      </c>
      <c r="AT2111">
        <v>320</v>
      </c>
      <c r="BB2111">
        <v>1200</v>
      </c>
      <c r="BC2111">
        <v>1</v>
      </c>
      <c r="BD2111" t="str">
        <f t="shared" si="726"/>
        <v xml:space="preserve">N887QR  </v>
      </c>
      <c r="BE2111">
        <v>1</v>
      </c>
      <c r="BG2111">
        <v>0</v>
      </c>
      <c r="BH2111">
        <v>0</v>
      </c>
      <c r="BI2111">
        <v>0</v>
      </c>
      <c r="BJ2111">
        <v>2725</v>
      </c>
      <c r="BK2111">
        <v>-275</v>
      </c>
      <c r="BL2111" t="s">
        <v>163</v>
      </c>
      <c r="BM2111">
        <v>1</v>
      </c>
      <c r="BN2111">
        <v>1</v>
      </c>
      <c r="BO2111">
        <v>1</v>
      </c>
      <c r="BP2111">
        <v>0</v>
      </c>
      <c r="BS2111">
        <v>0.08</v>
      </c>
      <c r="BT2111">
        <v>0</v>
      </c>
      <c r="BU2111">
        <v>0</v>
      </c>
      <c r="CE2111" t="str">
        <f t="shared" si="752"/>
        <v>19:31:05.518</v>
      </c>
      <c r="CF2111">
        <v>518018968</v>
      </c>
      <c r="CS2111">
        <v>0</v>
      </c>
      <c r="CT2111">
        <v>2</v>
      </c>
      <c r="CU2111">
        <v>0</v>
      </c>
      <c r="CV2111">
        <v>2</v>
      </c>
      <c r="CW2111">
        <v>0</v>
      </c>
      <c r="CX2111">
        <v>5</v>
      </c>
      <c r="CY2111">
        <v>7</v>
      </c>
      <c r="CZ2111" t="s">
        <v>131</v>
      </c>
      <c r="DA2111">
        <v>300</v>
      </c>
      <c r="DB2111">
        <v>0</v>
      </c>
      <c r="DC2111" t="s">
        <v>176</v>
      </c>
      <c r="DD2111" t="s">
        <v>177</v>
      </c>
      <c r="DG2111">
        <v>5402801</v>
      </c>
      <c r="DI2111">
        <v>1</v>
      </c>
      <c r="DJ2111">
        <v>0</v>
      </c>
      <c r="DK2111">
        <v>0</v>
      </c>
      <c r="DL2111">
        <v>0</v>
      </c>
      <c r="DM2111">
        <v>0</v>
      </c>
      <c r="DN2111">
        <v>1</v>
      </c>
      <c r="DO2111">
        <v>0</v>
      </c>
      <c r="DP2111">
        <v>0</v>
      </c>
      <c r="DQ2111">
        <v>0</v>
      </c>
      <c r="DR2111">
        <v>0</v>
      </c>
      <c r="DS2111">
        <v>0</v>
      </c>
    </row>
    <row r="2112" spans="1:123" x14ac:dyDescent="0.3">
      <c r="A2112" t="str">
        <f t="shared" si="750"/>
        <v>10/04/2022 19:31:05.875</v>
      </c>
      <c r="C2112" t="str">
        <f t="shared" si="749"/>
        <v>FFDFD3C0</v>
      </c>
      <c r="D2112" t="s">
        <v>134</v>
      </c>
      <c r="E2112">
        <v>15</v>
      </c>
      <c r="J2112" t="s">
        <v>135</v>
      </c>
      <c r="K2112">
        <v>0</v>
      </c>
      <c r="L2112">
        <v>3</v>
      </c>
      <c r="M2112">
        <v>0</v>
      </c>
      <c r="N2112">
        <v>2</v>
      </c>
      <c r="O2112">
        <v>0</v>
      </c>
      <c r="P2112">
        <v>1</v>
      </c>
      <c r="Q2112">
        <v>0</v>
      </c>
      <c r="S2112" t="str">
        <f t="shared" si="751"/>
        <v>19:31:05.000</v>
      </c>
      <c r="T2112" t="str">
        <f t="shared" si="751"/>
        <v>19:31:05.000</v>
      </c>
      <c r="U2112" t="str">
        <f t="shared" si="725"/>
        <v>AC3944</v>
      </c>
      <c r="V2112">
        <v>0</v>
      </c>
      <c r="W2112">
        <v>0</v>
      </c>
      <c r="X2112">
        <v>2</v>
      </c>
      <c r="Y2112">
        <v>0</v>
      </c>
      <c r="AA2112">
        <v>1</v>
      </c>
      <c r="AB2112">
        <v>8</v>
      </c>
      <c r="AC2112">
        <v>3</v>
      </c>
      <c r="AD2112">
        <v>0</v>
      </c>
      <c r="AE2112">
        <v>9</v>
      </c>
      <c r="AF2112" t="s">
        <v>138</v>
      </c>
      <c r="AG2112">
        <v>0</v>
      </c>
      <c r="AH2112">
        <v>3</v>
      </c>
      <c r="AI2112">
        <v>1</v>
      </c>
      <c r="AJ2112">
        <v>0</v>
      </c>
      <c r="AK2112" t="s">
        <v>740</v>
      </c>
      <c r="AL2112">
        <v>32.773117999999997</v>
      </c>
      <c r="AM2112" t="s">
        <v>741</v>
      </c>
      <c r="AN2112">
        <v>-116.828399</v>
      </c>
      <c r="AO2112">
        <v>25</v>
      </c>
      <c r="AP2112">
        <v>3000</v>
      </c>
      <c r="AQ2112" t="s">
        <v>129</v>
      </c>
      <c r="AR2112">
        <v>127</v>
      </c>
      <c r="AS2112">
        <v>-29</v>
      </c>
      <c r="AT2112">
        <v>320</v>
      </c>
      <c r="BB2112">
        <v>1200</v>
      </c>
      <c r="BC2112">
        <v>1</v>
      </c>
      <c r="BD2112" t="str">
        <f t="shared" si="726"/>
        <v xml:space="preserve">N887QR  </v>
      </c>
      <c r="BE2112">
        <v>1</v>
      </c>
      <c r="BG2112">
        <v>0</v>
      </c>
      <c r="BH2112">
        <v>0</v>
      </c>
      <c r="BI2112">
        <v>0</v>
      </c>
      <c r="BJ2112">
        <v>2725</v>
      </c>
      <c r="BK2112">
        <v>-275</v>
      </c>
      <c r="BL2112" t="s">
        <v>163</v>
      </c>
      <c r="BM2112">
        <v>1</v>
      </c>
      <c r="BN2112">
        <v>1</v>
      </c>
      <c r="BO2112">
        <v>1</v>
      </c>
      <c r="BP2112">
        <v>0</v>
      </c>
      <c r="BS2112">
        <v>0.08</v>
      </c>
      <c r="BT2112">
        <v>0</v>
      </c>
      <c r="BU2112">
        <v>0</v>
      </c>
      <c r="CE2112" t="str">
        <f t="shared" si="752"/>
        <v>19:31:05.518</v>
      </c>
      <c r="CF2112">
        <v>518018968</v>
      </c>
      <c r="CS2112">
        <v>0</v>
      </c>
      <c r="CT2112">
        <v>2</v>
      </c>
      <c r="CU2112">
        <v>0</v>
      </c>
      <c r="CV2112">
        <v>2</v>
      </c>
      <c r="CW2112">
        <v>0</v>
      </c>
      <c r="CX2112">
        <v>5</v>
      </c>
      <c r="CY2112">
        <v>7</v>
      </c>
      <c r="CZ2112" t="s">
        <v>131</v>
      </c>
      <c r="DA2112">
        <v>300</v>
      </c>
      <c r="DB2112">
        <v>0</v>
      </c>
      <c r="DC2112" t="s">
        <v>176</v>
      </c>
      <c r="DD2112" t="s">
        <v>177</v>
      </c>
      <c r="DG2112">
        <v>5402801</v>
      </c>
      <c r="DI2112">
        <v>1</v>
      </c>
      <c r="DJ2112">
        <v>0</v>
      </c>
      <c r="DK2112">
        <v>1</v>
      </c>
      <c r="DL2112">
        <v>0</v>
      </c>
      <c r="DM2112">
        <v>0</v>
      </c>
      <c r="DN2112">
        <v>1</v>
      </c>
      <c r="DO2112">
        <v>0</v>
      </c>
      <c r="DP2112">
        <v>0</v>
      </c>
      <c r="DQ2112">
        <v>0</v>
      </c>
      <c r="DR2112">
        <v>0</v>
      </c>
      <c r="DS2112">
        <v>0</v>
      </c>
    </row>
    <row r="2113" spans="1:123" x14ac:dyDescent="0.3">
      <c r="A2113" t="str">
        <f t="shared" si="750"/>
        <v>10/04/2022 19:31:05.875</v>
      </c>
      <c r="C2113" t="str">
        <f t="shared" si="749"/>
        <v>FFDFD3C0</v>
      </c>
      <c r="D2113" t="s">
        <v>143</v>
      </c>
      <c r="E2113">
        <v>20</v>
      </c>
      <c r="F2113">
        <v>1020</v>
      </c>
      <c r="G2113" t="s">
        <v>144</v>
      </c>
      <c r="J2113" t="s">
        <v>145</v>
      </c>
      <c r="K2113">
        <v>0</v>
      </c>
      <c r="L2113">
        <v>3</v>
      </c>
      <c r="M2113">
        <v>0</v>
      </c>
      <c r="N2113">
        <v>2</v>
      </c>
      <c r="O2113">
        <v>0</v>
      </c>
      <c r="P2113">
        <v>1</v>
      </c>
      <c r="Q2113">
        <v>0</v>
      </c>
      <c r="S2113" t="str">
        <f t="shared" si="751"/>
        <v>19:31:05.000</v>
      </c>
      <c r="T2113" t="str">
        <f t="shared" si="751"/>
        <v>19:31:05.000</v>
      </c>
      <c r="U2113" t="str">
        <f t="shared" si="725"/>
        <v>AC3944</v>
      </c>
      <c r="V2113">
        <v>0</v>
      </c>
      <c r="W2113">
        <v>0</v>
      </c>
      <c r="X2113">
        <v>2</v>
      </c>
      <c r="Y2113">
        <v>0</v>
      </c>
      <c r="AA2113">
        <v>1</v>
      </c>
      <c r="AB2113">
        <v>8</v>
      </c>
      <c r="AC2113">
        <v>3</v>
      </c>
      <c r="AD2113">
        <v>0</v>
      </c>
      <c r="AE2113">
        <v>9</v>
      </c>
      <c r="AF2113" t="s">
        <v>138</v>
      </c>
      <c r="AG2113">
        <v>0</v>
      </c>
      <c r="AH2113">
        <v>3</v>
      </c>
      <c r="AI2113">
        <v>1</v>
      </c>
      <c r="AJ2113">
        <v>0</v>
      </c>
      <c r="AK2113" t="s">
        <v>740</v>
      </c>
      <c r="AL2113">
        <v>32.773117999999997</v>
      </c>
      <c r="AM2113" t="s">
        <v>741</v>
      </c>
      <c r="AN2113">
        <v>-116.828399</v>
      </c>
      <c r="AO2113">
        <v>25</v>
      </c>
      <c r="AP2113">
        <v>3000</v>
      </c>
      <c r="AQ2113" t="s">
        <v>129</v>
      </c>
      <c r="AR2113">
        <v>127</v>
      </c>
      <c r="AS2113">
        <v>-29</v>
      </c>
      <c r="AT2113">
        <v>320</v>
      </c>
      <c r="BB2113">
        <v>1200</v>
      </c>
      <c r="BC2113">
        <v>1</v>
      </c>
      <c r="BD2113" t="str">
        <f t="shared" si="726"/>
        <v xml:space="preserve">N887QR  </v>
      </c>
      <c r="BE2113">
        <v>1</v>
      </c>
      <c r="BG2113">
        <v>0</v>
      </c>
      <c r="BH2113">
        <v>0</v>
      </c>
      <c r="BI2113">
        <v>0</v>
      </c>
      <c r="BJ2113">
        <v>2725</v>
      </c>
      <c r="BK2113">
        <v>-275</v>
      </c>
      <c r="BL2113" t="s">
        <v>163</v>
      </c>
      <c r="BM2113">
        <v>1</v>
      </c>
      <c r="BN2113">
        <v>1</v>
      </c>
      <c r="BO2113">
        <v>1</v>
      </c>
      <c r="BP2113">
        <v>0</v>
      </c>
      <c r="BS2113">
        <v>0.08</v>
      </c>
      <c r="BT2113">
        <v>0</v>
      </c>
      <c r="BU2113">
        <v>0</v>
      </c>
      <c r="CE2113" t="str">
        <f t="shared" si="752"/>
        <v>19:31:05.518</v>
      </c>
      <c r="CF2113">
        <v>518018968</v>
      </c>
      <c r="CS2113">
        <v>0</v>
      </c>
      <c r="CT2113">
        <v>2</v>
      </c>
      <c r="CU2113">
        <v>0</v>
      </c>
      <c r="CV2113">
        <v>2</v>
      </c>
      <c r="CW2113">
        <v>0</v>
      </c>
      <c r="CX2113">
        <v>5</v>
      </c>
      <c r="CY2113">
        <v>7</v>
      </c>
      <c r="CZ2113" t="s">
        <v>131</v>
      </c>
      <c r="DA2113">
        <v>300</v>
      </c>
      <c r="DB2113">
        <v>0</v>
      </c>
      <c r="DC2113" t="s">
        <v>176</v>
      </c>
      <c r="DD2113" t="s">
        <v>177</v>
      </c>
      <c r="DG2113">
        <v>5402801</v>
      </c>
      <c r="DI2113">
        <v>1</v>
      </c>
      <c r="DJ2113">
        <v>0</v>
      </c>
      <c r="DK2113">
        <v>1</v>
      </c>
      <c r="DL2113">
        <v>0</v>
      </c>
      <c r="DM2113">
        <v>0</v>
      </c>
      <c r="DN2113">
        <v>1</v>
      </c>
      <c r="DO2113">
        <v>0</v>
      </c>
      <c r="DP2113">
        <v>0</v>
      </c>
      <c r="DQ2113">
        <v>0</v>
      </c>
      <c r="DR2113">
        <v>0</v>
      </c>
      <c r="DS2113">
        <v>0</v>
      </c>
    </row>
    <row r="2114" spans="1:123" x14ac:dyDescent="0.3">
      <c r="A2114" t="str">
        <f t="shared" si="750"/>
        <v>10/04/2022 19:31:05.875</v>
      </c>
      <c r="C2114" t="str">
        <f t="shared" si="749"/>
        <v>FFDFD3C0</v>
      </c>
      <c r="D2114" t="s">
        <v>141</v>
      </c>
      <c r="E2114">
        <v>4</v>
      </c>
      <c r="H2114">
        <v>4</v>
      </c>
      <c r="I2114" t="s">
        <v>142</v>
      </c>
      <c r="J2114" t="s">
        <v>138</v>
      </c>
      <c r="K2114">
        <v>0</v>
      </c>
      <c r="L2114">
        <v>3</v>
      </c>
      <c r="M2114">
        <v>0</v>
      </c>
      <c r="N2114">
        <v>2</v>
      </c>
      <c r="O2114">
        <v>0</v>
      </c>
      <c r="P2114">
        <v>1</v>
      </c>
      <c r="Q2114">
        <v>0</v>
      </c>
      <c r="S2114" t="str">
        <f t="shared" si="751"/>
        <v>19:31:05.000</v>
      </c>
      <c r="T2114" t="str">
        <f t="shared" si="751"/>
        <v>19:31:05.000</v>
      </c>
      <c r="U2114" t="str">
        <f t="shared" ref="U2114:U2177" si="753">"AC3944"</f>
        <v>AC3944</v>
      </c>
      <c r="V2114">
        <v>0</v>
      </c>
      <c r="W2114">
        <v>0</v>
      </c>
      <c r="X2114">
        <v>2</v>
      </c>
      <c r="Y2114">
        <v>0</v>
      </c>
      <c r="AA2114">
        <v>1</v>
      </c>
      <c r="AB2114">
        <v>8</v>
      </c>
      <c r="AC2114">
        <v>3</v>
      </c>
      <c r="AD2114">
        <v>0</v>
      </c>
      <c r="AE2114">
        <v>9</v>
      </c>
      <c r="AF2114" t="s">
        <v>138</v>
      </c>
      <c r="AG2114">
        <v>0</v>
      </c>
      <c r="AH2114">
        <v>3</v>
      </c>
      <c r="AI2114">
        <v>1</v>
      </c>
      <c r="AJ2114">
        <v>0</v>
      </c>
      <c r="AK2114" t="s">
        <v>740</v>
      </c>
      <c r="AL2114">
        <v>32.773117999999997</v>
      </c>
      <c r="AM2114" t="s">
        <v>741</v>
      </c>
      <c r="AN2114">
        <v>-116.828399</v>
      </c>
      <c r="AO2114">
        <v>25</v>
      </c>
      <c r="AP2114">
        <v>3000</v>
      </c>
      <c r="AQ2114" t="s">
        <v>129</v>
      </c>
      <c r="AR2114">
        <v>127</v>
      </c>
      <c r="AS2114">
        <v>-29</v>
      </c>
      <c r="AT2114">
        <v>320</v>
      </c>
      <c r="BB2114">
        <v>1200</v>
      </c>
      <c r="BC2114">
        <v>1</v>
      </c>
      <c r="BD2114" t="str">
        <f t="shared" ref="BD2114:BD2177" si="754">"N887QR  "</f>
        <v xml:space="preserve">N887QR  </v>
      </c>
      <c r="BE2114">
        <v>1</v>
      </c>
      <c r="BG2114">
        <v>0</v>
      </c>
      <c r="BH2114">
        <v>0</v>
      </c>
      <c r="BI2114">
        <v>0</v>
      </c>
      <c r="BJ2114">
        <v>2725</v>
      </c>
      <c r="BK2114">
        <v>-275</v>
      </c>
      <c r="BL2114" t="s">
        <v>163</v>
      </c>
      <c r="BM2114">
        <v>1</v>
      </c>
      <c r="BN2114">
        <v>1</v>
      </c>
      <c r="BO2114">
        <v>1</v>
      </c>
      <c r="BP2114">
        <v>0</v>
      </c>
      <c r="BS2114">
        <v>0.08</v>
      </c>
      <c r="BT2114">
        <v>0</v>
      </c>
      <c r="BU2114">
        <v>0</v>
      </c>
      <c r="CE2114" t="str">
        <f t="shared" si="752"/>
        <v>19:31:05.518</v>
      </c>
      <c r="CF2114">
        <v>518018968</v>
      </c>
      <c r="CS2114">
        <v>0</v>
      </c>
      <c r="CT2114">
        <v>2</v>
      </c>
      <c r="CU2114">
        <v>0</v>
      </c>
      <c r="CV2114">
        <v>2</v>
      </c>
      <c r="CW2114">
        <v>0</v>
      </c>
      <c r="CX2114">
        <v>5</v>
      </c>
      <c r="CY2114">
        <v>7</v>
      </c>
      <c r="CZ2114" t="s">
        <v>131</v>
      </c>
      <c r="DA2114">
        <v>300</v>
      </c>
      <c r="DB2114">
        <v>0</v>
      </c>
      <c r="DC2114" t="s">
        <v>176</v>
      </c>
      <c r="DD2114" t="s">
        <v>177</v>
      </c>
      <c r="DG2114">
        <v>5402801</v>
      </c>
      <c r="DI2114">
        <v>1</v>
      </c>
      <c r="DJ2114">
        <v>0</v>
      </c>
      <c r="DK2114">
        <v>1</v>
      </c>
      <c r="DL2114">
        <v>0</v>
      </c>
      <c r="DM2114">
        <v>0</v>
      </c>
      <c r="DN2114">
        <v>1</v>
      </c>
      <c r="DO2114">
        <v>0</v>
      </c>
      <c r="DP2114">
        <v>0</v>
      </c>
      <c r="DQ2114">
        <v>0</v>
      </c>
      <c r="DR2114">
        <v>0</v>
      </c>
      <c r="DS2114">
        <v>0</v>
      </c>
    </row>
    <row r="2115" spans="1:123" x14ac:dyDescent="0.3">
      <c r="A2115" t="str">
        <f t="shared" si="750"/>
        <v>10/04/2022 19:31:05.875</v>
      </c>
      <c r="C2115" t="str">
        <f t="shared" si="749"/>
        <v>FFDFD3C0</v>
      </c>
      <c r="D2115" t="s">
        <v>141</v>
      </c>
      <c r="E2115">
        <v>3</v>
      </c>
      <c r="H2115">
        <v>3</v>
      </c>
      <c r="I2115" t="s">
        <v>146</v>
      </c>
      <c r="J2115" t="s">
        <v>138</v>
      </c>
      <c r="K2115">
        <v>0</v>
      </c>
      <c r="L2115">
        <v>3</v>
      </c>
      <c r="M2115">
        <v>0</v>
      </c>
      <c r="N2115">
        <v>2</v>
      </c>
      <c r="O2115">
        <v>0</v>
      </c>
      <c r="P2115">
        <v>1</v>
      </c>
      <c r="Q2115">
        <v>0</v>
      </c>
      <c r="S2115" t="str">
        <f t="shared" si="751"/>
        <v>19:31:05.000</v>
      </c>
      <c r="T2115" t="str">
        <f t="shared" si="751"/>
        <v>19:31:05.000</v>
      </c>
      <c r="U2115" t="str">
        <f t="shared" si="753"/>
        <v>AC3944</v>
      </c>
      <c r="V2115">
        <v>0</v>
      </c>
      <c r="W2115">
        <v>0</v>
      </c>
      <c r="X2115">
        <v>2</v>
      </c>
      <c r="Y2115">
        <v>0</v>
      </c>
      <c r="AA2115">
        <v>1</v>
      </c>
      <c r="AB2115">
        <v>8</v>
      </c>
      <c r="AC2115">
        <v>3</v>
      </c>
      <c r="AD2115">
        <v>0</v>
      </c>
      <c r="AE2115">
        <v>9</v>
      </c>
      <c r="AF2115" t="s">
        <v>138</v>
      </c>
      <c r="AG2115">
        <v>0</v>
      </c>
      <c r="AH2115">
        <v>3</v>
      </c>
      <c r="AI2115">
        <v>1</v>
      </c>
      <c r="AJ2115">
        <v>0</v>
      </c>
      <c r="AK2115" t="s">
        <v>740</v>
      </c>
      <c r="AL2115">
        <v>32.773117999999997</v>
      </c>
      <c r="AM2115" t="s">
        <v>741</v>
      </c>
      <c r="AN2115">
        <v>-116.828399</v>
      </c>
      <c r="AO2115">
        <v>25</v>
      </c>
      <c r="AP2115">
        <v>3000</v>
      </c>
      <c r="AQ2115" t="s">
        <v>129</v>
      </c>
      <c r="AR2115">
        <v>127</v>
      </c>
      <c r="AS2115">
        <v>-29</v>
      </c>
      <c r="AT2115">
        <v>320</v>
      </c>
      <c r="BB2115">
        <v>1200</v>
      </c>
      <c r="BC2115">
        <v>1</v>
      </c>
      <c r="BD2115" t="str">
        <f t="shared" si="754"/>
        <v xml:space="preserve">N887QR  </v>
      </c>
      <c r="BE2115">
        <v>1</v>
      </c>
      <c r="BG2115">
        <v>0</v>
      </c>
      <c r="BH2115">
        <v>0</v>
      </c>
      <c r="BI2115">
        <v>0</v>
      </c>
      <c r="BJ2115">
        <v>2725</v>
      </c>
      <c r="BK2115">
        <v>-275</v>
      </c>
      <c r="BL2115" t="s">
        <v>163</v>
      </c>
      <c r="BM2115">
        <v>1</v>
      </c>
      <c r="BN2115">
        <v>1</v>
      </c>
      <c r="BO2115">
        <v>1</v>
      </c>
      <c r="BP2115">
        <v>0</v>
      </c>
      <c r="BS2115">
        <v>0.08</v>
      </c>
      <c r="BT2115">
        <v>0</v>
      </c>
      <c r="BU2115">
        <v>0</v>
      </c>
      <c r="CE2115" t="str">
        <f t="shared" si="752"/>
        <v>19:31:05.518</v>
      </c>
      <c r="CF2115">
        <v>518018968</v>
      </c>
      <c r="CS2115">
        <v>0</v>
      </c>
      <c r="CT2115">
        <v>2</v>
      </c>
      <c r="CU2115">
        <v>0</v>
      </c>
      <c r="CV2115">
        <v>2</v>
      </c>
      <c r="CW2115">
        <v>0</v>
      </c>
      <c r="CX2115">
        <v>5</v>
      </c>
      <c r="CY2115">
        <v>7</v>
      </c>
      <c r="CZ2115" t="s">
        <v>131</v>
      </c>
      <c r="DA2115">
        <v>300</v>
      </c>
      <c r="DB2115">
        <v>0</v>
      </c>
      <c r="DC2115" t="s">
        <v>176</v>
      </c>
      <c r="DD2115" t="s">
        <v>177</v>
      </c>
      <c r="DG2115">
        <v>5402801</v>
      </c>
      <c r="DI2115">
        <v>1</v>
      </c>
      <c r="DJ2115">
        <v>0</v>
      </c>
      <c r="DK2115">
        <v>1</v>
      </c>
      <c r="DL2115">
        <v>0</v>
      </c>
      <c r="DM2115">
        <v>0</v>
      </c>
      <c r="DN2115">
        <v>1</v>
      </c>
      <c r="DO2115">
        <v>0</v>
      </c>
      <c r="DP2115">
        <v>0</v>
      </c>
      <c r="DQ2115">
        <v>0</v>
      </c>
      <c r="DR2115">
        <v>0</v>
      </c>
      <c r="DS2115">
        <v>0</v>
      </c>
    </row>
    <row r="2116" spans="1:123" x14ac:dyDescent="0.3">
      <c r="A2116" t="str">
        <f t="shared" si="750"/>
        <v>10/04/2022 19:31:05.875</v>
      </c>
      <c r="C2116" t="str">
        <f t="shared" si="749"/>
        <v>FFDFD3C0</v>
      </c>
      <c r="D2116" t="s">
        <v>123</v>
      </c>
      <c r="E2116">
        <v>7</v>
      </c>
      <c r="F2116">
        <v>2007</v>
      </c>
      <c r="G2116" t="s">
        <v>124</v>
      </c>
      <c r="J2116" t="s">
        <v>125</v>
      </c>
      <c r="K2116">
        <v>0</v>
      </c>
      <c r="L2116">
        <v>3</v>
      </c>
      <c r="M2116">
        <v>0</v>
      </c>
      <c r="N2116">
        <v>2</v>
      </c>
      <c r="O2116">
        <v>0</v>
      </c>
      <c r="P2116">
        <v>1</v>
      </c>
      <c r="Q2116">
        <v>0</v>
      </c>
      <c r="S2116" t="str">
        <f t="shared" si="751"/>
        <v>19:31:05.000</v>
      </c>
      <c r="T2116" t="str">
        <f t="shared" si="751"/>
        <v>19:31:05.000</v>
      </c>
      <c r="U2116" t="str">
        <f t="shared" si="753"/>
        <v>AC3944</v>
      </c>
      <c r="V2116">
        <v>0</v>
      </c>
      <c r="W2116">
        <v>0</v>
      </c>
      <c r="X2116">
        <v>2</v>
      </c>
      <c r="Y2116">
        <v>0</v>
      </c>
      <c r="AA2116">
        <v>1</v>
      </c>
      <c r="AB2116">
        <v>8</v>
      </c>
      <c r="AC2116">
        <v>3</v>
      </c>
      <c r="AD2116">
        <v>0</v>
      </c>
      <c r="AE2116">
        <v>9</v>
      </c>
      <c r="AF2116" t="s">
        <v>138</v>
      </c>
      <c r="AG2116">
        <v>0</v>
      </c>
      <c r="AH2116">
        <v>3</v>
      </c>
      <c r="AI2116">
        <v>1</v>
      </c>
      <c r="AJ2116">
        <v>0</v>
      </c>
      <c r="AK2116" t="s">
        <v>740</v>
      </c>
      <c r="AL2116">
        <v>32.773117999999997</v>
      </c>
      <c r="AM2116" t="s">
        <v>741</v>
      </c>
      <c r="AN2116">
        <v>-116.828399</v>
      </c>
      <c r="AO2116">
        <v>25</v>
      </c>
      <c r="AP2116">
        <v>3000</v>
      </c>
      <c r="AQ2116" t="s">
        <v>129</v>
      </c>
      <c r="AR2116">
        <v>127</v>
      </c>
      <c r="AS2116">
        <v>-29</v>
      </c>
      <c r="AT2116">
        <v>320</v>
      </c>
      <c r="BB2116">
        <v>1200</v>
      </c>
      <c r="BC2116">
        <v>1</v>
      </c>
      <c r="BD2116" t="str">
        <f t="shared" si="754"/>
        <v xml:space="preserve">N887QR  </v>
      </c>
      <c r="BE2116">
        <v>1</v>
      </c>
      <c r="BG2116">
        <v>0</v>
      </c>
      <c r="BH2116">
        <v>0</v>
      </c>
      <c r="BI2116">
        <v>0</v>
      </c>
      <c r="BJ2116">
        <v>2725</v>
      </c>
      <c r="BK2116">
        <v>-275</v>
      </c>
      <c r="BL2116" t="s">
        <v>163</v>
      </c>
      <c r="BM2116">
        <v>1</v>
      </c>
      <c r="BN2116">
        <v>1</v>
      </c>
      <c r="BO2116">
        <v>1</v>
      </c>
      <c r="BP2116">
        <v>0</v>
      </c>
      <c r="BS2116">
        <v>0.08</v>
      </c>
      <c r="BT2116">
        <v>0</v>
      </c>
      <c r="BU2116">
        <v>0</v>
      </c>
      <c r="CE2116" t="str">
        <f t="shared" si="752"/>
        <v>19:31:05.518</v>
      </c>
      <c r="CF2116">
        <v>518018968</v>
      </c>
      <c r="CS2116">
        <v>0</v>
      </c>
      <c r="CT2116">
        <v>2</v>
      </c>
      <c r="CU2116">
        <v>0</v>
      </c>
      <c r="CV2116">
        <v>2</v>
      </c>
      <c r="CW2116">
        <v>0</v>
      </c>
      <c r="CX2116">
        <v>5</v>
      </c>
      <c r="CY2116">
        <v>7</v>
      </c>
      <c r="CZ2116" t="s">
        <v>131</v>
      </c>
      <c r="DA2116">
        <v>300</v>
      </c>
      <c r="DB2116">
        <v>0</v>
      </c>
      <c r="DC2116" t="s">
        <v>176</v>
      </c>
      <c r="DD2116" t="s">
        <v>177</v>
      </c>
      <c r="DG2116">
        <v>5402801</v>
      </c>
      <c r="DI2116">
        <v>1</v>
      </c>
      <c r="DJ2116">
        <v>0</v>
      </c>
      <c r="DK2116">
        <v>1</v>
      </c>
      <c r="DL2116">
        <v>0</v>
      </c>
      <c r="DM2116">
        <v>0</v>
      </c>
      <c r="DN2116">
        <v>1</v>
      </c>
      <c r="DO2116">
        <v>0</v>
      </c>
      <c r="DP2116">
        <v>0</v>
      </c>
      <c r="DQ2116">
        <v>0</v>
      </c>
      <c r="DR2116">
        <v>0</v>
      </c>
      <c r="DS2116">
        <v>0</v>
      </c>
    </row>
    <row r="2117" spans="1:123" x14ac:dyDescent="0.3">
      <c r="A2117" t="str">
        <f>"10/04/2022 19:31:06.219"</f>
        <v>10/04/2022 19:31:06.219</v>
      </c>
      <c r="C2117" t="str">
        <f t="shared" si="749"/>
        <v>FFDFD3C0</v>
      </c>
      <c r="D2117" t="s">
        <v>143</v>
      </c>
      <c r="E2117">
        <v>20</v>
      </c>
      <c r="F2117">
        <v>1020</v>
      </c>
      <c r="G2117" t="s">
        <v>144</v>
      </c>
      <c r="J2117" t="s">
        <v>145</v>
      </c>
      <c r="K2117">
        <v>0</v>
      </c>
      <c r="L2117">
        <v>3</v>
      </c>
      <c r="M2117">
        <v>0</v>
      </c>
      <c r="N2117">
        <v>2</v>
      </c>
      <c r="O2117">
        <v>0</v>
      </c>
      <c r="P2117">
        <v>1</v>
      </c>
      <c r="Q2117">
        <v>0</v>
      </c>
      <c r="S2117" t="str">
        <f t="shared" si="751"/>
        <v>19:31:05.000</v>
      </c>
      <c r="T2117" t="str">
        <f t="shared" si="751"/>
        <v>19:31:05.000</v>
      </c>
      <c r="U2117" t="str">
        <f t="shared" si="753"/>
        <v>AC3944</v>
      </c>
      <c r="V2117">
        <v>0</v>
      </c>
      <c r="W2117">
        <v>0</v>
      </c>
      <c r="X2117">
        <v>2</v>
      </c>
      <c r="Y2117">
        <v>0</v>
      </c>
      <c r="AA2117">
        <v>1</v>
      </c>
      <c r="AB2117">
        <v>8</v>
      </c>
      <c r="AC2117">
        <v>3</v>
      </c>
      <c r="AD2117">
        <v>0</v>
      </c>
      <c r="AE2117">
        <v>9</v>
      </c>
      <c r="AF2117" t="s">
        <v>138</v>
      </c>
      <c r="AG2117">
        <v>0</v>
      </c>
      <c r="AH2117">
        <v>3</v>
      </c>
      <c r="AI2117">
        <v>1</v>
      </c>
      <c r="AJ2117">
        <v>0</v>
      </c>
      <c r="AK2117" t="s">
        <v>742</v>
      </c>
      <c r="AL2117">
        <v>32.772967999999999</v>
      </c>
      <c r="AM2117" t="s">
        <v>743</v>
      </c>
      <c r="AN2117">
        <v>-116.827691</v>
      </c>
      <c r="AO2117">
        <v>25</v>
      </c>
      <c r="AP2117">
        <v>3000</v>
      </c>
      <c r="AQ2117" t="s">
        <v>129</v>
      </c>
      <c r="AR2117">
        <v>127</v>
      </c>
      <c r="AS2117">
        <v>-30</v>
      </c>
      <c r="AT2117">
        <v>320</v>
      </c>
      <c r="BB2117">
        <v>1200</v>
      </c>
      <c r="BC2117">
        <v>1</v>
      </c>
      <c r="BD2117" t="str">
        <f t="shared" si="754"/>
        <v xml:space="preserve">N887QR  </v>
      </c>
      <c r="BE2117">
        <v>1</v>
      </c>
      <c r="BG2117">
        <v>0</v>
      </c>
      <c r="BH2117">
        <v>0</v>
      </c>
      <c r="BI2117">
        <v>0</v>
      </c>
      <c r="BJ2117">
        <v>2725</v>
      </c>
      <c r="BK2117">
        <v>-275</v>
      </c>
      <c r="BL2117" t="s">
        <v>163</v>
      </c>
      <c r="BM2117">
        <v>1</v>
      </c>
      <c r="BN2117">
        <v>1</v>
      </c>
      <c r="BO2117">
        <v>1</v>
      </c>
      <c r="BP2117">
        <v>0</v>
      </c>
      <c r="BS2117">
        <v>0.08</v>
      </c>
      <c r="BT2117">
        <v>0</v>
      </c>
      <c r="BU2117">
        <v>0</v>
      </c>
      <c r="CE2117" t="str">
        <f t="shared" ref="CE2117:CE2123" si="755">"19:31:05.897"</f>
        <v>19:31:05.897</v>
      </c>
      <c r="CF2117">
        <v>896770150</v>
      </c>
      <c r="CS2117">
        <v>0</v>
      </c>
      <c r="CT2117">
        <v>2</v>
      </c>
      <c r="CU2117">
        <v>0</v>
      </c>
      <c r="CV2117">
        <v>2</v>
      </c>
      <c r="CW2117">
        <v>0</v>
      </c>
      <c r="CX2117">
        <v>5</v>
      </c>
      <c r="CY2117">
        <v>7</v>
      </c>
      <c r="CZ2117" t="s">
        <v>131</v>
      </c>
      <c r="DA2117">
        <v>300</v>
      </c>
      <c r="DB2117">
        <v>0</v>
      </c>
      <c r="DC2117" t="s">
        <v>176</v>
      </c>
      <c r="DD2117" t="s">
        <v>177</v>
      </c>
      <c r="DG2117">
        <v>5402860</v>
      </c>
      <c r="DI2117">
        <v>1</v>
      </c>
      <c r="DJ2117">
        <v>0</v>
      </c>
      <c r="DK2117">
        <v>0</v>
      </c>
      <c r="DL2117">
        <v>0</v>
      </c>
      <c r="DM2117">
        <v>0</v>
      </c>
      <c r="DN2117">
        <v>1</v>
      </c>
      <c r="DO2117">
        <v>0</v>
      </c>
      <c r="DP2117">
        <v>0</v>
      </c>
      <c r="DQ2117">
        <v>0</v>
      </c>
      <c r="DR2117">
        <v>0</v>
      </c>
      <c r="DS2117">
        <v>0</v>
      </c>
    </row>
    <row r="2118" spans="1:123" x14ac:dyDescent="0.3">
      <c r="A2118" t="str">
        <f>"10/04/2022 19:31:06.219"</f>
        <v>10/04/2022 19:31:06.219</v>
      </c>
      <c r="C2118" t="str">
        <f t="shared" si="749"/>
        <v>FFDFD3C0</v>
      </c>
      <c r="D2118" t="s">
        <v>141</v>
      </c>
      <c r="E2118">
        <v>4</v>
      </c>
      <c r="H2118">
        <v>4</v>
      </c>
      <c r="I2118" t="s">
        <v>142</v>
      </c>
      <c r="J2118" t="s">
        <v>138</v>
      </c>
      <c r="K2118">
        <v>0</v>
      </c>
      <c r="L2118">
        <v>3</v>
      </c>
      <c r="M2118">
        <v>0</v>
      </c>
      <c r="N2118">
        <v>2</v>
      </c>
      <c r="O2118">
        <v>0</v>
      </c>
      <c r="P2118">
        <v>1</v>
      </c>
      <c r="Q2118">
        <v>0</v>
      </c>
      <c r="S2118" t="str">
        <f t="shared" si="751"/>
        <v>19:31:05.000</v>
      </c>
      <c r="T2118" t="str">
        <f t="shared" si="751"/>
        <v>19:31:05.000</v>
      </c>
      <c r="U2118" t="str">
        <f t="shared" si="753"/>
        <v>AC3944</v>
      </c>
      <c r="V2118">
        <v>0</v>
      </c>
      <c r="W2118">
        <v>0</v>
      </c>
      <c r="X2118">
        <v>2</v>
      </c>
      <c r="Y2118">
        <v>0</v>
      </c>
      <c r="AA2118">
        <v>1</v>
      </c>
      <c r="AB2118">
        <v>8</v>
      </c>
      <c r="AC2118">
        <v>3</v>
      </c>
      <c r="AD2118">
        <v>0</v>
      </c>
      <c r="AE2118">
        <v>9</v>
      </c>
      <c r="AF2118" t="s">
        <v>138</v>
      </c>
      <c r="AG2118">
        <v>0</v>
      </c>
      <c r="AH2118">
        <v>3</v>
      </c>
      <c r="AI2118">
        <v>1</v>
      </c>
      <c r="AJ2118">
        <v>0</v>
      </c>
      <c r="AK2118" t="s">
        <v>742</v>
      </c>
      <c r="AL2118">
        <v>32.772967999999999</v>
      </c>
      <c r="AM2118" t="s">
        <v>743</v>
      </c>
      <c r="AN2118">
        <v>-116.827691</v>
      </c>
      <c r="AO2118">
        <v>25</v>
      </c>
      <c r="AP2118">
        <v>3000</v>
      </c>
      <c r="AQ2118" t="s">
        <v>129</v>
      </c>
      <c r="AR2118">
        <v>127</v>
      </c>
      <c r="AS2118">
        <v>-30</v>
      </c>
      <c r="AT2118">
        <v>320</v>
      </c>
      <c r="BB2118">
        <v>1200</v>
      </c>
      <c r="BC2118">
        <v>1</v>
      </c>
      <c r="BD2118" t="str">
        <f t="shared" si="754"/>
        <v xml:space="preserve">N887QR  </v>
      </c>
      <c r="BE2118">
        <v>1</v>
      </c>
      <c r="BG2118">
        <v>0</v>
      </c>
      <c r="BH2118">
        <v>0</v>
      </c>
      <c r="BI2118">
        <v>0</v>
      </c>
      <c r="BJ2118">
        <v>2725</v>
      </c>
      <c r="BK2118">
        <v>-275</v>
      </c>
      <c r="BL2118" t="s">
        <v>163</v>
      </c>
      <c r="BM2118">
        <v>1</v>
      </c>
      <c r="BN2118">
        <v>1</v>
      </c>
      <c r="BO2118">
        <v>1</v>
      </c>
      <c r="BP2118">
        <v>0</v>
      </c>
      <c r="BS2118">
        <v>0.08</v>
      </c>
      <c r="BT2118">
        <v>0</v>
      </c>
      <c r="BU2118">
        <v>0</v>
      </c>
      <c r="CE2118" t="str">
        <f t="shared" si="755"/>
        <v>19:31:05.897</v>
      </c>
      <c r="CF2118">
        <v>896770150</v>
      </c>
      <c r="CS2118">
        <v>0</v>
      </c>
      <c r="CT2118">
        <v>2</v>
      </c>
      <c r="CU2118">
        <v>0</v>
      </c>
      <c r="CV2118">
        <v>2</v>
      </c>
      <c r="CW2118">
        <v>0</v>
      </c>
      <c r="CX2118">
        <v>5</v>
      </c>
      <c r="CY2118">
        <v>7</v>
      </c>
      <c r="CZ2118" t="s">
        <v>131</v>
      </c>
      <c r="DA2118">
        <v>300</v>
      </c>
      <c r="DB2118">
        <v>0</v>
      </c>
      <c r="DC2118" t="s">
        <v>176</v>
      </c>
      <c r="DD2118" t="s">
        <v>177</v>
      </c>
      <c r="DG2118">
        <v>5402860</v>
      </c>
      <c r="DI2118">
        <v>1</v>
      </c>
      <c r="DJ2118">
        <v>0</v>
      </c>
      <c r="DK2118">
        <v>1</v>
      </c>
      <c r="DL2118">
        <v>0</v>
      </c>
      <c r="DM2118">
        <v>0</v>
      </c>
      <c r="DN2118">
        <v>1</v>
      </c>
      <c r="DO2118">
        <v>0</v>
      </c>
      <c r="DP2118">
        <v>0</v>
      </c>
      <c r="DQ2118">
        <v>0</v>
      </c>
      <c r="DR2118">
        <v>0</v>
      </c>
      <c r="DS2118">
        <v>0</v>
      </c>
    </row>
    <row r="2119" spans="1:123" x14ac:dyDescent="0.3">
      <c r="A2119" t="str">
        <f>"10/04/2022 19:31:06.219"</f>
        <v>10/04/2022 19:31:06.219</v>
      </c>
      <c r="C2119" t="str">
        <f t="shared" si="749"/>
        <v>FFDFD3C0</v>
      </c>
      <c r="D2119" t="s">
        <v>123</v>
      </c>
      <c r="E2119">
        <v>7</v>
      </c>
      <c r="F2119">
        <v>2007</v>
      </c>
      <c r="G2119" t="s">
        <v>124</v>
      </c>
      <c r="J2119" t="s">
        <v>125</v>
      </c>
      <c r="K2119">
        <v>0</v>
      </c>
      <c r="L2119">
        <v>3</v>
      </c>
      <c r="M2119">
        <v>0</v>
      </c>
      <c r="N2119">
        <v>2</v>
      </c>
      <c r="O2119">
        <v>0</v>
      </c>
      <c r="P2119">
        <v>1</v>
      </c>
      <c r="Q2119">
        <v>0</v>
      </c>
      <c r="S2119" t="str">
        <f t="shared" si="751"/>
        <v>19:31:05.000</v>
      </c>
      <c r="T2119" t="str">
        <f t="shared" si="751"/>
        <v>19:31:05.000</v>
      </c>
      <c r="U2119" t="str">
        <f t="shared" si="753"/>
        <v>AC3944</v>
      </c>
      <c r="V2119">
        <v>0</v>
      </c>
      <c r="W2119">
        <v>0</v>
      </c>
      <c r="X2119">
        <v>2</v>
      </c>
      <c r="Y2119">
        <v>0</v>
      </c>
      <c r="AA2119">
        <v>1</v>
      </c>
      <c r="AB2119">
        <v>8</v>
      </c>
      <c r="AC2119">
        <v>3</v>
      </c>
      <c r="AD2119">
        <v>0</v>
      </c>
      <c r="AE2119">
        <v>9</v>
      </c>
      <c r="AF2119" t="s">
        <v>138</v>
      </c>
      <c r="AG2119">
        <v>0</v>
      </c>
      <c r="AH2119">
        <v>3</v>
      </c>
      <c r="AI2119">
        <v>1</v>
      </c>
      <c r="AJ2119">
        <v>0</v>
      </c>
      <c r="AK2119" t="s">
        <v>742</v>
      </c>
      <c r="AL2119">
        <v>32.772967999999999</v>
      </c>
      <c r="AM2119" t="s">
        <v>743</v>
      </c>
      <c r="AN2119">
        <v>-116.827691</v>
      </c>
      <c r="AO2119">
        <v>25</v>
      </c>
      <c r="AP2119">
        <v>3000</v>
      </c>
      <c r="AQ2119" t="s">
        <v>129</v>
      </c>
      <c r="AR2119">
        <v>127</v>
      </c>
      <c r="AS2119">
        <v>-30</v>
      </c>
      <c r="AT2119">
        <v>320</v>
      </c>
      <c r="BB2119">
        <v>1200</v>
      </c>
      <c r="BC2119">
        <v>1</v>
      </c>
      <c r="BD2119" t="str">
        <f t="shared" si="754"/>
        <v xml:space="preserve">N887QR  </v>
      </c>
      <c r="BE2119">
        <v>1</v>
      </c>
      <c r="BG2119">
        <v>0</v>
      </c>
      <c r="BH2119">
        <v>0</v>
      </c>
      <c r="BI2119">
        <v>0</v>
      </c>
      <c r="BJ2119">
        <v>2725</v>
      </c>
      <c r="BK2119">
        <v>-275</v>
      </c>
      <c r="BL2119" t="s">
        <v>163</v>
      </c>
      <c r="BM2119">
        <v>1</v>
      </c>
      <c r="BN2119">
        <v>1</v>
      </c>
      <c r="BO2119">
        <v>1</v>
      </c>
      <c r="BP2119">
        <v>0</v>
      </c>
      <c r="BS2119">
        <v>0.08</v>
      </c>
      <c r="BT2119">
        <v>0</v>
      </c>
      <c r="BU2119">
        <v>0</v>
      </c>
      <c r="CE2119" t="str">
        <f t="shared" si="755"/>
        <v>19:31:05.897</v>
      </c>
      <c r="CF2119">
        <v>896770150</v>
      </c>
      <c r="CS2119">
        <v>0</v>
      </c>
      <c r="CT2119">
        <v>2</v>
      </c>
      <c r="CU2119">
        <v>0</v>
      </c>
      <c r="CV2119">
        <v>2</v>
      </c>
      <c r="CW2119">
        <v>0</v>
      </c>
      <c r="CX2119">
        <v>5</v>
      </c>
      <c r="CY2119">
        <v>7</v>
      </c>
      <c r="CZ2119" t="s">
        <v>131</v>
      </c>
      <c r="DA2119">
        <v>300</v>
      </c>
      <c r="DB2119">
        <v>0</v>
      </c>
      <c r="DC2119" t="s">
        <v>176</v>
      </c>
      <c r="DD2119" t="s">
        <v>177</v>
      </c>
      <c r="DG2119">
        <v>5402860</v>
      </c>
      <c r="DI2119">
        <v>1</v>
      </c>
      <c r="DJ2119">
        <v>0</v>
      </c>
      <c r="DK2119">
        <v>1</v>
      </c>
      <c r="DL2119">
        <v>0</v>
      </c>
      <c r="DM2119">
        <v>0</v>
      </c>
      <c r="DN2119">
        <v>1</v>
      </c>
      <c r="DO2119">
        <v>0</v>
      </c>
      <c r="DP2119">
        <v>0</v>
      </c>
      <c r="DQ2119">
        <v>0</v>
      </c>
      <c r="DR2119">
        <v>0</v>
      </c>
      <c r="DS2119">
        <v>0</v>
      </c>
    </row>
    <row r="2120" spans="1:123" x14ac:dyDescent="0.3">
      <c r="A2120" t="str">
        <f>"10/04/2022 19:31:06.219"</f>
        <v>10/04/2022 19:31:06.219</v>
      </c>
      <c r="C2120" t="str">
        <f t="shared" si="749"/>
        <v>FFDFD3C0</v>
      </c>
      <c r="D2120" t="s">
        <v>141</v>
      </c>
      <c r="E2120">
        <v>3</v>
      </c>
      <c r="H2120">
        <v>3</v>
      </c>
      <c r="I2120" t="s">
        <v>146</v>
      </c>
      <c r="J2120" t="s">
        <v>138</v>
      </c>
      <c r="K2120">
        <v>0</v>
      </c>
      <c r="L2120">
        <v>3</v>
      </c>
      <c r="M2120">
        <v>0</v>
      </c>
      <c r="N2120">
        <v>2</v>
      </c>
      <c r="O2120">
        <v>0</v>
      </c>
      <c r="P2120">
        <v>1</v>
      </c>
      <c r="Q2120">
        <v>0</v>
      </c>
      <c r="S2120" t="str">
        <f t="shared" si="751"/>
        <v>19:31:05.000</v>
      </c>
      <c r="T2120" t="str">
        <f t="shared" si="751"/>
        <v>19:31:05.000</v>
      </c>
      <c r="U2120" t="str">
        <f t="shared" si="753"/>
        <v>AC3944</v>
      </c>
      <c r="V2120">
        <v>0</v>
      </c>
      <c r="W2120">
        <v>0</v>
      </c>
      <c r="X2120">
        <v>2</v>
      </c>
      <c r="Y2120">
        <v>0</v>
      </c>
      <c r="AA2120">
        <v>1</v>
      </c>
      <c r="AB2120">
        <v>8</v>
      </c>
      <c r="AC2120">
        <v>3</v>
      </c>
      <c r="AD2120">
        <v>0</v>
      </c>
      <c r="AE2120">
        <v>9</v>
      </c>
      <c r="AF2120" t="s">
        <v>138</v>
      </c>
      <c r="AG2120">
        <v>0</v>
      </c>
      <c r="AH2120">
        <v>3</v>
      </c>
      <c r="AI2120">
        <v>1</v>
      </c>
      <c r="AJ2120">
        <v>0</v>
      </c>
      <c r="AK2120" t="s">
        <v>742</v>
      </c>
      <c r="AL2120">
        <v>32.772967999999999</v>
      </c>
      <c r="AM2120" t="s">
        <v>743</v>
      </c>
      <c r="AN2120">
        <v>-116.827691</v>
      </c>
      <c r="AO2120">
        <v>25</v>
      </c>
      <c r="AP2120">
        <v>3000</v>
      </c>
      <c r="AQ2120" t="s">
        <v>129</v>
      </c>
      <c r="AR2120">
        <v>127</v>
      </c>
      <c r="AS2120">
        <v>-30</v>
      </c>
      <c r="AT2120">
        <v>320</v>
      </c>
      <c r="BB2120">
        <v>1200</v>
      </c>
      <c r="BC2120">
        <v>1</v>
      </c>
      <c r="BD2120" t="str">
        <f t="shared" si="754"/>
        <v xml:space="preserve">N887QR  </v>
      </c>
      <c r="BE2120">
        <v>1</v>
      </c>
      <c r="BG2120">
        <v>0</v>
      </c>
      <c r="BH2120">
        <v>0</v>
      </c>
      <c r="BI2120">
        <v>0</v>
      </c>
      <c r="BJ2120">
        <v>2725</v>
      </c>
      <c r="BK2120">
        <v>-275</v>
      </c>
      <c r="BL2120" t="s">
        <v>163</v>
      </c>
      <c r="BM2120">
        <v>1</v>
      </c>
      <c r="BN2120">
        <v>1</v>
      </c>
      <c r="BO2120">
        <v>1</v>
      </c>
      <c r="BP2120">
        <v>0</v>
      </c>
      <c r="BS2120">
        <v>0.08</v>
      </c>
      <c r="BT2120">
        <v>0</v>
      </c>
      <c r="BU2120">
        <v>0</v>
      </c>
      <c r="CE2120" t="str">
        <f t="shared" si="755"/>
        <v>19:31:05.897</v>
      </c>
      <c r="CF2120">
        <v>896770150</v>
      </c>
      <c r="CS2120">
        <v>0</v>
      </c>
      <c r="CT2120">
        <v>2</v>
      </c>
      <c r="CU2120">
        <v>0</v>
      </c>
      <c r="CV2120">
        <v>2</v>
      </c>
      <c r="CW2120">
        <v>0</v>
      </c>
      <c r="CX2120">
        <v>5</v>
      </c>
      <c r="CY2120">
        <v>7</v>
      </c>
      <c r="CZ2120" t="s">
        <v>131</v>
      </c>
      <c r="DA2120">
        <v>300</v>
      </c>
      <c r="DB2120">
        <v>0</v>
      </c>
      <c r="DC2120" t="s">
        <v>176</v>
      </c>
      <c r="DD2120" t="s">
        <v>177</v>
      </c>
      <c r="DG2120">
        <v>5402860</v>
      </c>
      <c r="DI2120">
        <v>1</v>
      </c>
      <c r="DJ2120">
        <v>0</v>
      </c>
      <c r="DK2120">
        <v>1</v>
      </c>
      <c r="DL2120">
        <v>0</v>
      </c>
      <c r="DM2120">
        <v>0</v>
      </c>
      <c r="DN2120">
        <v>1</v>
      </c>
      <c r="DO2120">
        <v>0</v>
      </c>
      <c r="DP2120">
        <v>0</v>
      </c>
      <c r="DQ2120">
        <v>0</v>
      </c>
      <c r="DR2120">
        <v>0</v>
      </c>
      <c r="DS2120">
        <v>0</v>
      </c>
    </row>
    <row r="2121" spans="1:123" x14ac:dyDescent="0.3">
      <c r="A2121" t="str">
        <f>"10/04/2022 19:31:06.259"</f>
        <v>10/04/2022 19:31:06.259</v>
      </c>
      <c r="C2121" t="str">
        <f t="shared" si="749"/>
        <v>FFDFD3C0</v>
      </c>
      <c r="D2121" t="s">
        <v>136</v>
      </c>
      <c r="E2121">
        <v>8</v>
      </c>
      <c r="H2121">
        <v>225</v>
      </c>
      <c r="I2121" t="s">
        <v>137</v>
      </c>
      <c r="J2121" t="s">
        <v>138</v>
      </c>
      <c r="K2121">
        <v>0</v>
      </c>
      <c r="L2121">
        <v>3</v>
      </c>
      <c r="M2121">
        <v>0</v>
      </c>
      <c r="N2121">
        <v>2</v>
      </c>
      <c r="O2121">
        <v>0</v>
      </c>
      <c r="P2121">
        <v>1</v>
      </c>
      <c r="Q2121">
        <v>0</v>
      </c>
      <c r="S2121" t="str">
        <f t="shared" si="751"/>
        <v>19:31:05.000</v>
      </c>
      <c r="T2121" t="str">
        <f t="shared" si="751"/>
        <v>19:31:05.000</v>
      </c>
      <c r="U2121" t="str">
        <f t="shared" si="753"/>
        <v>AC3944</v>
      </c>
      <c r="V2121">
        <v>0</v>
      </c>
      <c r="W2121">
        <v>0</v>
      </c>
      <c r="X2121">
        <v>2</v>
      </c>
      <c r="Y2121">
        <v>0</v>
      </c>
      <c r="AA2121">
        <v>1</v>
      </c>
      <c r="AB2121">
        <v>8</v>
      </c>
      <c r="AC2121">
        <v>3</v>
      </c>
      <c r="AD2121">
        <v>0</v>
      </c>
      <c r="AE2121">
        <v>9</v>
      </c>
      <c r="AF2121" t="s">
        <v>138</v>
      </c>
      <c r="AG2121">
        <v>0</v>
      </c>
      <c r="AH2121">
        <v>3</v>
      </c>
      <c r="AI2121">
        <v>1</v>
      </c>
      <c r="AJ2121">
        <v>0</v>
      </c>
      <c r="AK2121" t="s">
        <v>742</v>
      </c>
      <c r="AL2121">
        <v>32.772967999999999</v>
      </c>
      <c r="AM2121" t="s">
        <v>743</v>
      </c>
      <c r="AN2121">
        <v>-116.827691</v>
      </c>
      <c r="AO2121">
        <v>25</v>
      </c>
      <c r="AP2121">
        <v>3000</v>
      </c>
      <c r="AQ2121" t="s">
        <v>129</v>
      </c>
      <c r="AR2121">
        <v>127</v>
      </c>
      <c r="AS2121">
        <v>-30</v>
      </c>
      <c r="AT2121">
        <v>320</v>
      </c>
      <c r="BB2121">
        <v>1200</v>
      </c>
      <c r="BC2121">
        <v>1</v>
      </c>
      <c r="BD2121" t="str">
        <f t="shared" si="754"/>
        <v xml:space="preserve">N887QR  </v>
      </c>
      <c r="BE2121">
        <v>1</v>
      </c>
      <c r="BG2121">
        <v>0</v>
      </c>
      <c r="BH2121">
        <v>0</v>
      </c>
      <c r="BI2121">
        <v>0</v>
      </c>
      <c r="BJ2121">
        <v>2725</v>
      </c>
      <c r="BK2121">
        <v>-275</v>
      </c>
      <c r="BL2121" t="s">
        <v>163</v>
      </c>
      <c r="BM2121">
        <v>1</v>
      </c>
      <c r="BN2121">
        <v>1</v>
      </c>
      <c r="BO2121">
        <v>1</v>
      </c>
      <c r="BP2121">
        <v>0</v>
      </c>
      <c r="BS2121">
        <v>0.08</v>
      </c>
      <c r="BT2121">
        <v>0</v>
      </c>
      <c r="BU2121">
        <v>0</v>
      </c>
      <c r="CE2121" t="str">
        <f t="shared" si="755"/>
        <v>19:31:05.897</v>
      </c>
      <c r="CF2121">
        <v>896770150</v>
      </c>
      <c r="CS2121">
        <v>0</v>
      </c>
      <c r="CT2121">
        <v>2</v>
      </c>
      <c r="CU2121">
        <v>0</v>
      </c>
      <c r="CV2121">
        <v>2</v>
      </c>
      <c r="CW2121">
        <v>0</v>
      </c>
      <c r="CX2121">
        <v>5</v>
      </c>
      <c r="CY2121">
        <v>7</v>
      </c>
      <c r="CZ2121" t="s">
        <v>131</v>
      </c>
      <c r="DA2121">
        <v>300</v>
      </c>
      <c r="DB2121">
        <v>0</v>
      </c>
      <c r="DC2121" t="s">
        <v>176</v>
      </c>
      <c r="DD2121" t="s">
        <v>177</v>
      </c>
      <c r="DG2121">
        <v>5402860</v>
      </c>
      <c r="DI2121">
        <v>1</v>
      </c>
      <c r="DJ2121">
        <v>0</v>
      </c>
      <c r="DK2121">
        <v>0</v>
      </c>
      <c r="DL2121">
        <v>0</v>
      </c>
      <c r="DM2121">
        <v>0</v>
      </c>
      <c r="DN2121">
        <v>1</v>
      </c>
      <c r="DO2121">
        <v>0</v>
      </c>
      <c r="DP2121">
        <v>0</v>
      </c>
      <c r="DQ2121">
        <v>0</v>
      </c>
      <c r="DR2121">
        <v>0</v>
      </c>
      <c r="DS2121">
        <v>0</v>
      </c>
    </row>
    <row r="2122" spans="1:123" x14ac:dyDescent="0.3">
      <c r="A2122" t="str">
        <f>"10/04/2022 19:31:06.290"</f>
        <v>10/04/2022 19:31:06.290</v>
      </c>
      <c r="C2122" t="str">
        <f t="shared" si="749"/>
        <v>FFDFD3C0</v>
      </c>
      <c r="D2122" t="s">
        <v>147</v>
      </c>
      <c r="E2122">
        <v>3</v>
      </c>
      <c r="H2122">
        <v>166</v>
      </c>
      <c r="I2122" t="s">
        <v>144</v>
      </c>
      <c r="J2122" t="s">
        <v>148</v>
      </c>
      <c r="K2122">
        <v>0</v>
      </c>
      <c r="L2122">
        <v>3</v>
      </c>
      <c r="M2122">
        <v>0</v>
      </c>
      <c r="N2122">
        <v>2</v>
      </c>
      <c r="O2122">
        <v>0</v>
      </c>
      <c r="P2122">
        <v>1</v>
      </c>
      <c r="Q2122">
        <v>0</v>
      </c>
      <c r="S2122" t="str">
        <f t="shared" si="751"/>
        <v>19:31:05.000</v>
      </c>
      <c r="T2122" t="str">
        <f t="shared" si="751"/>
        <v>19:31:05.000</v>
      </c>
      <c r="U2122" t="str">
        <f t="shared" si="753"/>
        <v>AC3944</v>
      </c>
      <c r="V2122">
        <v>0</v>
      </c>
      <c r="W2122">
        <v>0</v>
      </c>
      <c r="X2122">
        <v>2</v>
      </c>
      <c r="Y2122">
        <v>0</v>
      </c>
      <c r="AA2122">
        <v>1</v>
      </c>
      <c r="AB2122">
        <v>8</v>
      </c>
      <c r="AC2122">
        <v>3</v>
      </c>
      <c r="AD2122">
        <v>0</v>
      </c>
      <c r="AE2122">
        <v>9</v>
      </c>
      <c r="AF2122" t="s">
        <v>138</v>
      </c>
      <c r="AG2122">
        <v>0</v>
      </c>
      <c r="AH2122">
        <v>3</v>
      </c>
      <c r="AI2122">
        <v>1</v>
      </c>
      <c r="AJ2122">
        <v>0</v>
      </c>
      <c r="AK2122" t="s">
        <v>742</v>
      </c>
      <c r="AL2122">
        <v>32.772967999999999</v>
      </c>
      <c r="AM2122" t="s">
        <v>743</v>
      </c>
      <c r="AN2122">
        <v>-116.827691</v>
      </c>
      <c r="AO2122">
        <v>25</v>
      </c>
      <c r="AP2122">
        <v>3000</v>
      </c>
      <c r="AQ2122" t="s">
        <v>129</v>
      </c>
      <c r="AR2122">
        <v>127</v>
      </c>
      <c r="AS2122">
        <v>-30</v>
      </c>
      <c r="AT2122">
        <v>320</v>
      </c>
      <c r="BB2122">
        <v>1200</v>
      </c>
      <c r="BC2122">
        <v>1</v>
      </c>
      <c r="BD2122" t="str">
        <f t="shared" si="754"/>
        <v xml:space="preserve">N887QR  </v>
      </c>
      <c r="BE2122">
        <v>1</v>
      </c>
      <c r="BG2122">
        <v>0</v>
      </c>
      <c r="BH2122">
        <v>0</v>
      </c>
      <c r="BI2122">
        <v>0</v>
      </c>
      <c r="BJ2122">
        <v>2725</v>
      </c>
      <c r="BK2122">
        <v>-275</v>
      </c>
      <c r="BL2122" t="s">
        <v>163</v>
      </c>
      <c r="BM2122">
        <v>1</v>
      </c>
      <c r="BN2122">
        <v>1</v>
      </c>
      <c r="BO2122">
        <v>1</v>
      </c>
      <c r="BP2122">
        <v>0</v>
      </c>
      <c r="BS2122">
        <v>0.08</v>
      </c>
      <c r="BT2122">
        <v>0</v>
      </c>
      <c r="BU2122">
        <v>0</v>
      </c>
      <c r="CE2122" t="str">
        <f t="shared" si="755"/>
        <v>19:31:05.897</v>
      </c>
      <c r="CF2122">
        <v>896770150</v>
      </c>
      <c r="CS2122">
        <v>0</v>
      </c>
      <c r="CT2122">
        <v>2</v>
      </c>
      <c r="CU2122">
        <v>0</v>
      </c>
      <c r="CV2122">
        <v>2</v>
      </c>
      <c r="CW2122">
        <v>0</v>
      </c>
      <c r="CX2122">
        <v>5</v>
      </c>
      <c r="CY2122">
        <v>7</v>
      </c>
      <c r="CZ2122" t="s">
        <v>131</v>
      </c>
      <c r="DA2122">
        <v>300</v>
      </c>
      <c r="DB2122">
        <v>0</v>
      </c>
      <c r="DC2122" t="s">
        <v>176</v>
      </c>
      <c r="DD2122" t="s">
        <v>177</v>
      </c>
      <c r="DG2122">
        <v>5402860</v>
      </c>
      <c r="DI2122">
        <v>1</v>
      </c>
      <c r="DJ2122">
        <v>0</v>
      </c>
      <c r="DK2122">
        <v>1</v>
      </c>
      <c r="DL2122">
        <v>0</v>
      </c>
      <c r="DM2122">
        <v>0</v>
      </c>
      <c r="DN2122">
        <v>1</v>
      </c>
      <c r="DO2122">
        <v>0</v>
      </c>
      <c r="DP2122">
        <v>0</v>
      </c>
      <c r="DQ2122">
        <v>0</v>
      </c>
      <c r="DR2122">
        <v>0</v>
      </c>
      <c r="DS2122">
        <v>0</v>
      </c>
    </row>
    <row r="2123" spans="1:123" x14ac:dyDescent="0.3">
      <c r="A2123" t="str">
        <f>"10/04/2022 19:31:06.290"</f>
        <v>10/04/2022 19:31:06.290</v>
      </c>
      <c r="C2123" t="str">
        <f t="shared" si="749"/>
        <v>FFDFD3C0</v>
      </c>
      <c r="D2123" t="s">
        <v>134</v>
      </c>
      <c r="E2123">
        <v>15</v>
      </c>
      <c r="J2123" t="s">
        <v>135</v>
      </c>
      <c r="K2123">
        <v>0</v>
      </c>
      <c r="L2123">
        <v>3</v>
      </c>
      <c r="M2123">
        <v>0</v>
      </c>
      <c r="N2123">
        <v>2</v>
      </c>
      <c r="O2123">
        <v>0</v>
      </c>
      <c r="P2123">
        <v>1</v>
      </c>
      <c r="Q2123">
        <v>0</v>
      </c>
      <c r="S2123" t="str">
        <f t="shared" si="751"/>
        <v>19:31:05.000</v>
      </c>
      <c r="T2123" t="str">
        <f t="shared" si="751"/>
        <v>19:31:05.000</v>
      </c>
      <c r="U2123" t="str">
        <f t="shared" si="753"/>
        <v>AC3944</v>
      </c>
      <c r="V2123">
        <v>0</v>
      </c>
      <c r="W2123">
        <v>0</v>
      </c>
      <c r="X2123">
        <v>2</v>
      </c>
      <c r="Y2123">
        <v>0</v>
      </c>
      <c r="AA2123">
        <v>1</v>
      </c>
      <c r="AB2123">
        <v>8</v>
      </c>
      <c r="AC2123">
        <v>3</v>
      </c>
      <c r="AD2123">
        <v>0</v>
      </c>
      <c r="AE2123">
        <v>9</v>
      </c>
      <c r="AF2123" t="s">
        <v>138</v>
      </c>
      <c r="AG2123">
        <v>0</v>
      </c>
      <c r="AH2123">
        <v>3</v>
      </c>
      <c r="AI2123">
        <v>1</v>
      </c>
      <c r="AJ2123">
        <v>0</v>
      </c>
      <c r="AK2123" t="s">
        <v>742</v>
      </c>
      <c r="AL2123">
        <v>32.772967999999999</v>
      </c>
      <c r="AM2123" t="s">
        <v>743</v>
      </c>
      <c r="AN2123">
        <v>-116.827691</v>
      </c>
      <c r="AO2123">
        <v>25</v>
      </c>
      <c r="AP2123">
        <v>3000</v>
      </c>
      <c r="AQ2123" t="s">
        <v>129</v>
      </c>
      <c r="AR2123">
        <v>127</v>
      </c>
      <c r="AS2123">
        <v>-30</v>
      </c>
      <c r="AT2123">
        <v>320</v>
      </c>
      <c r="BB2123">
        <v>1200</v>
      </c>
      <c r="BC2123">
        <v>1</v>
      </c>
      <c r="BD2123" t="str">
        <f t="shared" si="754"/>
        <v xml:space="preserve">N887QR  </v>
      </c>
      <c r="BE2123">
        <v>1</v>
      </c>
      <c r="BG2123">
        <v>0</v>
      </c>
      <c r="BH2123">
        <v>0</v>
      </c>
      <c r="BI2123">
        <v>0</v>
      </c>
      <c r="BJ2123">
        <v>2725</v>
      </c>
      <c r="BK2123">
        <v>-275</v>
      </c>
      <c r="BL2123" t="s">
        <v>163</v>
      </c>
      <c r="BM2123">
        <v>1</v>
      </c>
      <c r="BN2123">
        <v>1</v>
      </c>
      <c r="BO2123">
        <v>1</v>
      </c>
      <c r="BP2123">
        <v>0</v>
      </c>
      <c r="BS2123">
        <v>0.08</v>
      </c>
      <c r="BT2123">
        <v>0</v>
      </c>
      <c r="BU2123">
        <v>0</v>
      </c>
      <c r="CE2123" t="str">
        <f t="shared" si="755"/>
        <v>19:31:05.897</v>
      </c>
      <c r="CF2123">
        <v>896770150</v>
      </c>
      <c r="CS2123">
        <v>0</v>
      </c>
      <c r="CT2123">
        <v>2</v>
      </c>
      <c r="CU2123">
        <v>0</v>
      </c>
      <c r="CV2123">
        <v>2</v>
      </c>
      <c r="CW2123">
        <v>0</v>
      </c>
      <c r="CX2123">
        <v>5</v>
      </c>
      <c r="CY2123">
        <v>7</v>
      </c>
      <c r="CZ2123" t="s">
        <v>131</v>
      </c>
      <c r="DA2123">
        <v>300</v>
      </c>
      <c r="DB2123">
        <v>0</v>
      </c>
      <c r="DC2123" t="s">
        <v>176</v>
      </c>
      <c r="DD2123" t="s">
        <v>177</v>
      </c>
      <c r="DG2123">
        <v>5402860</v>
      </c>
      <c r="DI2123">
        <v>1</v>
      </c>
      <c r="DJ2123">
        <v>0</v>
      </c>
      <c r="DK2123">
        <v>1</v>
      </c>
      <c r="DL2123">
        <v>0</v>
      </c>
      <c r="DM2123">
        <v>0</v>
      </c>
      <c r="DN2123">
        <v>1</v>
      </c>
      <c r="DO2123">
        <v>0</v>
      </c>
      <c r="DP2123">
        <v>0</v>
      </c>
      <c r="DQ2123">
        <v>0</v>
      </c>
      <c r="DR2123">
        <v>0</v>
      </c>
      <c r="DS2123">
        <v>0</v>
      </c>
    </row>
    <row r="2124" spans="1:123" x14ac:dyDescent="0.3">
      <c r="A2124" t="str">
        <f t="shared" ref="A2124:A2130" si="756">"10/04/2022 19:31:07.337"</f>
        <v>10/04/2022 19:31:07.337</v>
      </c>
      <c r="C2124" t="str">
        <f t="shared" si="749"/>
        <v>FFDFD3C0</v>
      </c>
      <c r="D2124" t="s">
        <v>141</v>
      </c>
      <c r="E2124">
        <v>3</v>
      </c>
      <c r="H2124">
        <v>3</v>
      </c>
      <c r="I2124" t="s">
        <v>146</v>
      </c>
      <c r="J2124" t="s">
        <v>138</v>
      </c>
      <c r="K2124">
        <v>0</v>
      </c>
      <c r="L2124">
        <v>3</v>
      </c>
      <c r="M2124">
        <v>0</v>
      </c>
      <c r="N2124">
        <v>2</v>
      </c>
      <c r="O2124">
        <v>0</v>
      </c>
      <c r="P2124">
        <v>1</v>
      </c>
      <c r="Q2124">
        <v>0</v>
      </c>
      <c r="S2124" t="str">
        <f t="shared" ref="S2124:T2130" si="757">"19:31:07.000"</f>
        <v>19:31:07.000</v>
      </c>
      <c r="T2124" t="str">
        <f t="shared" si="757"/>
        <v>19:31:07.000</v>
      </c>
      <c r="U2124" t="str">
        <f t="shared" si="753"/>
        <v>AC3944</v>
      </c>
      <c r="V2124">
        <v>0</v>
      </c>
      <c r="W2124">
        <v>0</v>
      </c>
      <c r="X2124">
        <v>2</v>
      </c>
      <c r="Y2124">
        <v>0</v>
      </c>
      <c r="AA2124">
        <v>1</v>
      </c>
      <c r="AB2124">
        <v>8</v>
      </c>
      <c r="AC2124">
        <v>3</v>
      </c>
      <c r="AD2124">
        <v>0</v>
      </c>
      <c r="AE2124">
        <v>9</v>
      </c>
      <c r="AF2124" t="s">
        <v>138</v>
      </c>
      <c r="AG2124">
        <v>0</v>
      </c>
      <c r="AH2124">
        <v>3</v>
      </c>
      <c r="AI2124">
        <v>1</v>
      </c>
      <c r="AJ2124">
        <v>0</v>
      </c>
      <c r="AK2124" t="s">
        <v>744</v>
      </c>
      <c r="AL2124">
        <v>32.772838999999998</v>
      </c>
      <c r="AM2124" t="s">
        <v>745</v>
      </c>
      <c r="AN2124">
        <v>-116.826982</v>
      </c>
      <c r="AO2124">
        <v>25</v>
      </c>
      <c r="AP2124">
        <v>3000</v>
      </c>
      <c r="AQ2124" t="s">
        <v>129</v>
      </c>
      <c r="AR2124">
        <v>126</v>
      </c>
      <c r="AS2124">
        <v>-31</v>
      </c>
      <c r="AT2124">
        <v>256</v>
      </c>
      <c r="BB2124">
        <v>1200</v>
      </c>
      <c r="BC2124">
        <v>1</v>
      </c>
      <c r="BD2124" t="str">
        <f t="shared" si="754"/>
        <v xml:space="preserve">N887QR  </v>
      </c>
      <c r="BE2124">
        <v>1</v>
      </c>
      <c r="BG2124">
        <v>0</v>
      </c>
      <c r="BH2124">
        <v>0</v>
      </c>
      <c r="BI2124">
        <v>0</v>
      </c>
      <c r="BJ2124">
        <v>2725</v>
      </c>
      <c r="BK2124">
        <v>-275</v>
      </c>
      <c r="BL2124" t="s">
        <v>163</v>
      </c>
      <c r="BM2124">
        <v>1</v>
      </c>
      <c r="BN2124">
        <v>1</v>
      </c>
      <c r="BO2124">
        <v>1</v>
      </c>
      <c r="BP2124">
        <v>0</v>
      </c>
      <c r="BS2124">
        <v>0.08</v>
      </c>
      <c r="BT2124">
        <v>0</v>
      </c>
      <c r="BU2124">
        <v>0</v>
      </c>
      <c r="CE2124" t="str">
        <f t="shared" ref="CE2124:CE2130" si="758">"19:31:07.000"</f>
        <v>19:31:07.000</v>
      </c>
      <c r="CF2124">
        <v>23857</v>
      </c>
      <c r="CS2124">
        <v>0</v>
      </c>
      <c r="CT2124">
        <v>2</v>
      </c>
      <c r="CU2124">
        <v>0</v>
      </c>
      <c r="CV2124">
        <v>2</v>
      </c>
      <c r="CW2124">
        <v>0</v>
      </c>
      <c r="CX2124">
        <v>5</v>
      </c>
      <c r="CY2124">
        <v>7</v>
      </c>
      <c r="CZ2124" t="s">
        <v>131</v>
      </c>
      <c r="DA2124">
        <v>300</v>
      </c>
      <c r="DB2124">
        <v>0</v>
      </c>
      <c r="DC2124" t="s">
        <v>176</v>
      </c>
      <c r="DD2124" t="s">
        <v>177</v>
      </c>
      <c r="DG2124">
        <v>5403040</v>
      </c>
      <c r="DI2124">
        <v>1</v>
      </c>
      <c r="DJ2124">
        <v>0</v>
      </c>
      <c r="DK2124">
        <v>0</v>
      </c>
      <c r="DL2124">
        <v>0</v>
      </c>
      <c r="DM2124">
        <v>0</v>
      </c>
      <c r="DN2124">
        <v>1</v>
      </c>
      <c r="DO2124">
        <v>0</v>
      </c>
      <c r="DP2124">
        <v>0</v>
      </c>
      <c r="DQ2124">
        <v>0</v>
      </c>
      <c r="DR2124">
        <v>0</v>
      </c>
      <c r="DS2124">
        <v>0</v>
      </c>
    </row>
    <row r="2125" spans="1:123" x14ac:dyDescent="0.3">
      <c r="A2125" t="str">
        <f t="shared" si="756"/>
        <v>10/04/2022 19:31:07.337</v>
      </c>
      <c r="C2125" t="str">
        <f t="shared" si="749"/>
        <v>FFDFD3C0</v>
      </c>
      <c r="D2125" t="s">
        <v>136</v>
      </c>
      <c r="E2125">
        <v>8</v>
      </c>
      <c r="H2125">
        <v>225</v>
      </c>
      <c r="I2125" t="s">
        <v>137</v>
      </c>
      <c r="J2125" t="s">
        <v>138</v>
      </c>
      <c r="K2125">
        <v>0</v>
      </c>
      <c r="L2125">
        <v>3</v>
      </c>
      <c r="M2125">
        <v>0</v>
      </c>
      <c r="N2125">
        <v>2</v>
      </c>
      <c r="O2125">
        <v>0</v>
      </c>
      <c r="P2125">
        <v>1</v>
      </c>
      <c r="Q2125">
        <v>0</v>
      </c>
      <c r="S2125" t="str">
        <f t="shared" si="757"/>
        <v>19:31:07.000</v>
      </c>
      <c r="T2125" t="str">
        <f t="shared" si="757"/>
        <v>19:31:07.000</v>
      </c>
      <c r="U2125" t="str">
        <f t="shared" si="753"/>
        <v>AC3944</v>
      </c>
      <c r="V2125">
        <v>0</v>
      </c>
      <c r="W2125">
        <v>0</v>
      </c>
      <c r="X2125">
        <v>2</v>
      </c>
      <c r="Y2125">
        <v>0</v>
      </c>
      <c r="AA2125">
        <v>1</v>
      </c>
      <c r="AB2125">
        <v>8</v>
      </c>
      <c r="AC2125">
        <v>3</v>
      </c>
      <c r="AD2125">
        <v>0</v>
      </c>
      <c r="AE2125">
        <v>9</v>
      </c>
      <c r="AF2125" t="s">
        <v>138</v>
      </c>
      <c r="AG2125">
        <v>0</v>
      </c>
      <c r="AH2125">
        <v>3</v>
      </c>
      <c r="AI2125">
        <v>1</v>
      </c>
      <c r="AJ2125">
        <v>0</v>
      </c>
      <c r="AK2125" t="s">
        <v>744</v>
      </c>
      <c r="AL2125">
        <v>32.772838999999998</v>
      </c>
      <c r="AM2125" t="s">
        <v>745</v>
      </c>
      <c r="AN2125">
        <v>-116.826982</v>
      </c>
      <c r="AO2125">
        <v>25</v>
      </c>
      <c r="AP2125">
        <v>3000</v>
      </c>
      <c r="AQ2125" t="s">
        <v>129</v>
      </c>
      <c r="AR2125">
        <v>126</v>
      </c>
      <c r="AS2125">
        <v>-31</v>
      </c>
      <c r="AT2125">
        <v>256</v>
      </c>
      <c r="BB2125">
        <v>1200</v>
      </c>
      <c r="BC2125">
        <v>1</v>
      </c>
      <c r="BD2125" t="str">
        <f t="shared" si="754"/>
        <v xml:space="preserve">N887QR  </v>
      </c>
      <c r="BE2125">
        <v>1</v>
      </c>
      <c r="BG2125">
        <v>0</v>
      </c>
      <c r="BH2125">
        <v>0</v>
      </c>
      <c r="BI2125">
        <v>0</v>
      </c>
      <c r="BJ2125">
        <v>2725</v>
      </c>
      <c r="BK2125">
        <v>-275</v>
      </c>
      <c r="BL2125" t="s">
        <v>163</v>
      </c>
      <c r="BM2125">
        <v>1</v>
      </c>
      <c r="BN2125">
        <v>1</v>
      </c>
      <c r="BO2125">
        <v>1</v>
      </c>
      <c r="BP2125">
        <v>0</v>
      </c>
      <c r="BS2125">
        <v>0.08</v>
      </c>
      <c r="BT2125">
        <v>0</v>
      </c>
      <c r="BU2125">
        <v>0</v>
      </c>
      <c r="CE2125" t="str">
        <f t="shared" si="758"/>
        <v>19:31:07.000</v>
      </c>
      <c r="CF2125">
        <v>23857</v>
      </c>
      <c r="CS2125">
        <v>0</v>
      </c>
      <c r="CT2125">
        <v>2</v>
      </c>
      <c r="CU2125">
        <v>0</v>
      </c>
      <c r="CV2125">
        <v>2</v>
      </c>
      <c r="CW2125">
        <v>0</v>
      </c>
      <c r="CX2125">
        <v>5</v>
      </c>
      <c r="CY2125">
        <v>7</v>
      </c>
      <c r="CZ2125" t="s">
        <v>131</v>
      </c>
      <c r="DA2125">
        <v>300</v>
      </c>
      <c r="DB2125">
        <v>0</v>
      </c>
      <c r="DC2125" t="s">
        <v>176</v>
      </c>
      <c r="DD2125" t="s">
        <v>177</v>
      </c>
      <c r="DG2125">
        <v>5403040</v>
      </c>
      <c r="DI2125">
        <v>1</v>
      </c>
      <c r="DJ2125">
        <v>0</v>
      </c>
      <c r="DK2125">
        <v>1</v>
      </c>
      <c r="DL2125">
        <v>0</v>
      </c>
      <c r="DM2125">
        <v>0</v>
      </c>
      <c r="DN2125">
        <v>1</v>
      </c>
      <c r="DO2125">
        <v>0</v>
      </c>
      <c r="DP2125">
        <v>0</v>
      </c>
      <c r="DQ2125">
        <v>0</v>
      </c>
      <c r="DR2125">
        <v>0</v>
      </c>
      <c r="DS2125">
        <v>0</v>
      </c>
    </row>
    <row r="2126" spans="1:123" x14ac:dyDescent="0.3">
      <c r="A2126" t="str">
        <f t="shared" si="756"/>
        <v>10/04/2022 19:31:07.337</v>
      </c>
      <c r="C2126" t="str">
        <f t="shared" si="749"/>
        <v>FFDFD3C0</v>
      </c>
      <c r="D2126" t="s">
        <v>147</v>
      </c>
      <c r="E2126">
        <v>3</v>
      </c>
      <c r="H2126">
        <v>166</v>
      </c>
      <c r="I2126" t="s">
        <v>144</v>
      </c>
      <c r="J2126" t="s">
        <v>148</v>
      </c>
      <c r="K2126">
        <v>0</v>
      </c>
      <c r="L2126">
        <v>3</v>
      </c>
      <c r="M2126">
        <v>0</v>
      </c>
      <c r="N2126">
        <v>2</v>
      </c>
      <c r="O2126">
        <v>0</v>
      </c>
      <c r="P2126">
        <v>1</v>
      </c>
      <c r="Q2126">
        <v>0</v>
      </c>
      <c r="S2126" t="str">
        <f t="shared" si="757"/>
        <v>19:31:07.000</v>
      </c>
      <c r="T2126" t="str">
        <f t="shared" si="757"/>
        <v>19:31:07.000</v>
      </c>
      <c r="U2126" t="str">
        <f t="shared" si="753"/>
        <v>AC3944</v>
      </c>
      <c r="V2126">
        <v>0</v>
      </c>
      <c r="W2126">
        <v>0</v>
      </c>
      <c r="X2126">
        <v>2</v>
      </c>
      <c r="Y2126">
        <v>0</v>
      </c>
      <c r="AA2126">
        <v>1</v>
      </c>
      <c r="AB2126">
        <v>8</v>
      </c>
      <c r="AC2126">
        <v>3</v>
      </c>
      <c r="AD2126">
        <v>0</v>
      </c>
      <c r="AE2126">
        <v>9</v>
      </c>
      <c r="AF2126" t="s">
        <v>138</v>
      </c>
      <c r="AG2126">
        <v>0</v>
      </c>
      <c r="AH2126">
        <v>3</v>
      </c>
      <c r="AI2126">
        <v>1</v>
      </c>
      <c r="AJ2126">
        <v>0</v>
      </c>
      <c r="AK2126" t="s">
        <v>744</v>
      </c>
      <c r="AL2126">
        <v>32.772838999999998</v>
      </c>
      <c r="AM2126" t="s">
        <v>745</v>
      </c>
      <c r="AN2126">
        <v>-116.826982</v>
      </c>
      <c r="AO2126">
        <v>25</v>
      </c>
      <c r="AP2126">
        <v>3000</v>
      </c>
      <c r="AQ2126" t="s">
        <v>129</v>
      </c>
      <c r="AR2126">
        <v>126</v>
      </c>
      <c r="AS2126">
        <v>-31</v>
      </c>
      <c r="AT2126">
        <v>256</v>
      </c>
      <c r="BB2126">
        <v>1200</v>
      </c>
      <c r="BC2126">
        <v>1</v>
      </c>
      <c r="BD2126" t="str">
        <f t="shared" si="754"/>
        <v xml:space="preserve">N887QR  </v>
      </c>
      <c r="BE2126">
        <v>1</v>
      </c>
      <c r="BG2126">
        <v>0</v>
      </c>
      <c r="BH2126">
        <v>0</v>
      </c>
      <c r="BI2126">
        <v>0</v>
      </c>
      <c r="BJ2126">
        <v>2725</v>
      </c>
      <c r="BK2126">
        <v>-275</v>
      </c>
      <c r="BL2126" t="s">
        <v>163</v>
      </c>
      <c r="BM2126">
        <v>1</v>
      </c>
      <c r="BN2126">
        <v>1</v>
      </c>
      <c r="BO2126">
        <v>1</v>
      </c>
      <c r="BP2126">
        <v>0</v>
      </c>
      <c r="BS2126">
        <v>0.08</v>
      </c>
      <c r="BT2126">
        <v>0</v>
      </c>
      <c r="BU2126">
        <v>0</v>
      </c>
      <c r="CE2126" t="str">
        <f t="shared" si="758"/>
        <v>19:31:07.000</v>
      </c>
      <c r="CF2126">
        <v>23857</v>
      </c>
      <c r="CS2126">
        <v>0</v>
      </c>
      <c r="CT2126">
        <v>2</v>
      </c>
      <c r="CU2126">
        <v>0</v>
      </c>
      <c r="CV2126">
        <v>2</v>
      </c>
      <c r="CW2126">
        <v>0</v>
      </c>
      <c r="CX2126">
        <v>5</v>
      </c>
      <c r="CY2126">
        <v>7</v>
      </c>
      <c r="CZ2126" t="s">
        <v>131</v>
      </c>
      <c r="DA2126">
        <v>300</v>
      </c>
      <c r="DB2126">
        <v>0</v>
      </c>
      <c r="DC2126" t="s">
        <v>176</v>
      </c>
      <c r="DD2126" t="s">
        <v>177</v>
      </c>
      <c r="DG2126">
        <v>5403040</v>
      </c>
      <c r="DI2126">
        <v>1</v>
      </c>
      <c r="DJ2126">
        <v>0</v>
      </c>
      <c r="DK2126">
        <v>0</v>
      </c>
      <c r="DL2126">
        <v>0</v>
      </c>
      <c r="DM2126">
        <v>0</v>
      </c>
      <c r="DN2126">
        <v>1</v>
      </c>
      <c r="DO2126">
        <v>0</v>
      </c>
      <c r="DP2126">
        <v>0</v>
      </c>
      <c r="DQ2126">
        <v>0</v>
      </c>
      <c r="DR2126">
        <v>0</v>
      </c>
      <c r="DS2126">
        <v>0</v>
      </c>
    </row>
    <row r="2127" spans="1:123" x14ac:dyDescent="0.3">
      <c r="A2127" t="str">
        <f t="shared" si="756"/>
        <v>10/04/2022 19:31:07.337</v>
      </c>
      <c r="C2127" t="str">
        <f t="shared" si="749"/>
        <v>FFDFD3C0</v>
      </c>
      <c r="D2127" t="s">
        <v>134</v>
      </c>
      <c r="E2127">
        <v>15</v>
      </c>
      <c r="J2127" t="s">
        <v>135</v>
      </c>
      <c r="K2127">
        <v>0</v>
      </c>
      <c r="L2127">
        <v>3</v>
      </c>
      <c r="M2127">
        <v>0</v>
      </c>
      <c r="N2127">
        <v>2</v>
      </c>
      <c r="O2127">
        <v>0</v>
      </c>
      <c r="P2127">
        <v>1</v>
      </c>
      <c r="Q2127">
        <v>0</v>
      </c>
      <c r="S2127" t="str">
        <f t="shared" si="757"/>
        <v>19:31:07.000</v>
      </c>
      <c r="T2127" t="str">
        <f t="shared" si="757"/>
        <v>19:31:07.000</v>
      </c>
      <c r="U2127" t="str">
        <f t="shared" si="753"/>
        <v>AC3944</v>
      </c>
      <c r="V2127">
        <v>0</v>
      </c>
      <c r="W2127">
        <v>0</v>
      </c>
      <c r="X2127">
        <v>2</v>
      </c>
      <c r="Y2127">
        <v>0</v>
      </c>
      <c r="AA2127">
        <v>1</v>
      </c>
      <c r="AB2127">
        <v>8</v>
      </c>
      <c r="AC2127">
        <v>3</v>
      </c>
      <c r="AD2127">
        <v>0</v>
      </c>
      <c r="AE2127">
        <v>9</v>
      </c>
      <c r="AF2127" t="s">
        <v>138</v>
      </c>
      <c r="AG2127">
        <v>0</v>
      </c>
      <c r="AH2127">
        <v>3</v>
      </c>
      <c r="AI2127">
        <v>1</v>
      </c>
      <c r="AJ2127">
        <v>0</v>
      </c>
      <c r="AK2127" t="s">
        <v>744</v>
      </c>
      <c r="AL2127">
        <v>32.772838999999998</v>
      </c>
      <c r="AM2127" t="s">
        <v>745</v>
      </c>
      <c r="AN2127">
        <v>-116.826982</v>
      </c>
      <c r="AO2127">
        <v>25</v>
      </c>
      <c r="AP2127">
        <v>3000</v>
      </c>
      <c r="AQ2127" t="s">
        <v>129</v>
      </c>
      <c r="AR2127">
        <v>126</v>
      </c>
      <c r="AS2127">
        <v>-31</v>
      </c>
      <c r="AT2127">
        <v>256</v>
      </c>
      <c r="BB2127">
        <v>1200</v>
      </c>
      <c r="BC2127">
        <v>1</v>
      </c>
      <c r="BD2127" t="str">
        <f t="shared" si="754"/>
        <v xml:space="preserve">N887QR  </v>
      </c>
      <c r="BE2127">
        <v>1</v>
      </c>
      <c r="BG2127">
        <v>0</v>
      </c>
      <c r="BH2127">
        <v>0</v>
      </c>
      <c r="BI2127">
        <v>0</v>
      </c>
      <c r="BJ2127">
        <v>2725</v>
      </c>
      <c r="BK2127">
        <v>-275</v>
      </c>
      <c r="BL2127" t="s">
        <v>163</v>
      </c>
      <c r="BM2127">
        <v>1</v>
      </c>
      <c r="BN2127">
        <v>1</v>
      </c>
      <c r="BO2127">
        <v>1</v>
      </c>
      <c r="BP2127">
        <v>0</v>
      </c>
      <c r="BS2127">
        <v>0.08</v>
      </c>
      <c r="BT2127">
        <v>0</v>
      </c>
      <c r="BU2127">
        <v>0</v>
      </c>
      <c r="CE2127" t="str">
        <f t="shared" si="758"/>
        <v>19:31:07.000</v>
      </c>
      <c r="CF2127">
        <v>23857</v>
      </c>
      <c r="CS2127">
        <v>0</v>
      </c>
      <c r="CT2127">
        <v>2</v>
      </c>
      <c r="CU2127">
        <v>0</v>
      </c>
      <c r="CV2127">
        <v>2</v>
      </c>
      <c r="CW2127">
        <v>0</v>
      </c>
      <c r="CX2127">
        <v>5</v>
      </c>
      <c r="CY2127">
        <v>7</v>
      </c>
      <c r="CZ2127" t="s">
        <v>131</v>
      </c>
      <c r="DA2127">
        <v>300</v>
      </c>
      <c r="DB2127">
        <v>0</v>
      </c>
      <c r="DC2127" t="s">
        <v>176</v>
      </c>
      <c r="DD2127" t="s">
        <v>177</v>
      </c>
      <c r="DG2127">
        <v>5403040</v>
      </c>
      <c r="DI2127">
        <v>1</v>
      </c>
      <c r="DJ2127">
        <v>0</v>
      </c>
      <c r="DK2127">
        <v>1</v>
      </c>
      <c r="DL2127">
        <v>0</v>
      </c>
      <c r="DM2127">
        <v>0</v>
      </c>
      <c r="DN2127">
        <v>1</v>
      </c>
      <c r="DO2127">
        <v>0</v>
      </c>
      <c r="DP2127">
        <v>0</v>
      </c>
      <c r="DQ2127">
        <v>0</v>
      </c>
      <c r="DR2127">
        <v>0</v>
      </c>
      <c r="DS2127">
        <v>0</v>
      </c>
    </row>
    <row r="2128" spans="1:123" x14ac:dyDescent="0.3">
      <c r="A2128" t="str">
        <f t="shared" si="756"/>
        <v>10/04/2022 19:31:07.337</v>
      </c>
      <c r="C2128" t="str">
        <f t="shared" si="749"/>
        <v>FFDFD3C0</v>
      </c>
      <c r="D2128" t="s">
        <v>143</v>
      </c>
      <c r="E2128">
        <v>20</v>
      </c>
      <c r="F2128">
        <v>1020</v>
      </c>
      <c r="G2128" t="s">
        <v>144</v>
      </c>
      <c r="J2128" t="s">
        <v>145</v>
      </c>
      <c r="K2128">
        <v>0</v>
      </c>
      <c r="L2128">
        <v>3</v>
      </c>
      <c r="M2128">
        <v>0</v>
      </c>
      <c r="N2128">
        <v>2</v>
      </c>
      <c r="O2128">
        <v>0</v>
      </c>
      <c r="P2128">
        <v>1</v>
      </c>
      <c r="Q2128">
        <v>0</v>
      </c>
      <c r="S2128" t="str">
        <f t="shared" si="757"/>
        <v>19:31:07.000</v>
      </c>
      <c r="T2128" t="str">
        <f t="shared" si="757"/>
        <v>19:31:07.000</v>
      </c>
      <c r="U2128" t="str">
        <f t="shared" si="753"/>
        <v>AC3944</v>
      </c>
      <c r="V2128">
        <v>0</v>
      </c>
      <c r="W2128">
        <v>0</v>
      </c>
      <c r="X2128">
        <v>2</v>
      </c>
      <c r="Y2128">
        <v>0</v>
      </c>
      <c r="AA2128">
        <v>1</v>
      </c>
      <c r="AB2128">
        <v>8</v>
      </c>
      <c r="AC2128">
        <v>3</v>
      </c>
      <c r="AD2128">
        <v>0</v>
      </c>
      <c r="AE2128">
        <v>9</v>
      </c>
      <c r="AF2128" t="s">
        <v>138</v>
      </c>
      <c r="AG2128">
        <v>0</v>
      </c>
      <c r="AH2128">
        <v>3</v>
      </c>
      <c r="AI2128">
        <v>1</v>
      </c>
      <c r="AJ2128">
        <v>0</v>
      </c>
      <c r="AK2128" t="s">
        <v>744</v>
      </c>
      <c r="AL2128">
        <v>32.772838999999998</v>
      </c>
      <c r="AM2128" t="s">
        <v>745</v>
      </c>
      <c r="AN2128">
        <v>-116.826982</v>
      </c>
      <c r="AO2128">
        <v>25</v>
      </c>
      <c r="AP2128">
        <v>3000</v>
      </c>
      <c r="AQ2128" t="s">
        <v>129</v>
      </c>
      <c r="AR2128">
        <v>126</v>
      </c>
      <c r="AS2128">
        <v>-31</v>
      </c>
      <c r="AT2128">
        <v>256</v>
      </c>
      <c r="BB2128">
        <v>1200</v>
      </c>
      <c r="BC2128">
        <v>1</v>
      </c>
      <c r="BD2128" t="str">
        <f t="shared" si="754"/>
        <v xml:space="preserve">N887QR  </v>
      </c>
      <c r="BE2128">
        <v>1</v>
      </c>
      <c r="BG2128">
        <v>0</v>
      </c>
      <c r="BH2128">
        <v>0</v>
      </c>
      <c r="BI2128">
        <v>0</v>
      </c>
      <c r="BJ2128">
        <v>2725</v>
      </c>
      <c r="BK2128">
        <v>-275</v>
      </c>
      <c r="BL2128" t="s">
        <v>163</v>
      </c>
      <c r="BM2128">
        <v>1</v>
      </c>
      <c r="BN2128">
        <v>1</v>
      </c>
      <c r="BO2128">
        <v>1</v>
      </c>
      <c r="BP2128">
        <v>0</v>
      </c>
      <c r="BS2128">
        <v>0.08</v>
      </c>
      <c r="BT2128">
        <v>0</v>
      </c>
      <c r="BU2128">
        <v>0</v>
      </c>
      <c r="CE2128" t="str">
        <f t="shared" si="758"/>
        <v>19:31:07.000</v>
      </c>
      <c r="CF2128">
        <v>23857</v>
      </c>
      <c r="CS2128">
        <v>0</v>
      </c>
      <c r="CT2128">
        <v>2</v>
      </c>
      <c r="CU2128">
        <v>0</v>
      </c>
      <c r="CV2128">
        <v>2</v>
      </c>
      <c r="CW2128">
        <v>0</v>
      </c>
      <c r="CX2128">
        <v>5</v>
      </c>
      <c r="CY2128">
        <v>7</v>
      </c>
      <c r="CZ2128" t="s">
        <v>131</v>
      </c>
      <c r="DA2128">
        <v>300</v>
      </c>
      <c r="DB2128">
        <v>0</v>
      </c>
      <c r="DC2128" t="s">
        <v>176</v>
      </c>
      <c r="DD2128" t="s">
        <v>177</v>
      </c>
      <c r="DG2128">
        <v>5403040</v>
      </c>
      <c r="DI2128">
        <v>1</v>
      </c>
      <c r="DJ2128">
        <v>0</v>
      </c>
      <c r="DK2128">
        <v>1</v>
      </c>
      <c r="DL2128">
        <v>0</v>
      </c>
      <c r="DM2128">
        <v>0</v>
      </c>
      <c r="DN2128">
        <v>1</v>
      </c>
      <c r="DO2128">
        <v>0</v>
      </c>
      <c r="DP2128">
        <v>0</v>
      </c>
      <c r="DQ2128">
        <v>0</v>
      </c>
      <c r="DR2128">
        <v>0</v>
      </c>
      <c r="DS2128">
        <v>0</v>
      </c>
    </row>
    <row r="2129" spans="1:123" x14ac:dyDescent="0.3">
      <c r="A2129" t="str">
        <f t="shared" si="756"/>
        <v>10/04/2022 19:31:07.337</v>
      </c>
      <c r="C2129" t="str">
        <f t="shared" si="749"/>
        <v>FFDFD3C0</v>
      </c>
      <c r="D2129" t="s">
        <v>141</v>
      </c>
      <c r="E2129">
        <v>4</v>
      </c>
      <c r="H2129">
        <v>4</v>
      </c>
      <c r="I2129" t="s">
        <v>142</v>
      </c>
      <c r="J2129" t="s">
        <v>138</v>
      </c>
      <c r="K2129">
        <v>0</v>
      </c>
      <c r="L2129">
        <v>3</v>
      </c>
      <c r="M2129">
        <v>0</v>
      </c>
      <c r="N2129">
        <v>2</v>
      </c>
      <c r="O2129">
        <v>0</v>
      </c>
      <c r="P2129">
        <v>1</v>
      </c>
      <c r="Q2129">
        <v>0</v>
      </c>
      <c r="S2129" t="str">
        <f t="shared" si="757"/>
        <v>19:31:07.000</v>
      </c>
      <c r="T2129" t="str">
        <f t="shared" si="757"/>
        <v>19:31:07.000</v>
      </c>
      <c r="U2129" t="str">
        <f t="shared" si="753"/>
        <v>AC3944</v>
      </c>
      <c r="V2129">
        <v>0</v>
      </c>
      <c r="W2129">
        <v>0</v>
      </c>
      <c r="X2129">
        <v>2</v>
      </c>
      <c r="Y2129">
        <v>0</v>
      </c>
      <c r="AA2129">
        <v>1</v>
      </c>
      <c r="AB2129">
        <v>8</v>
      </c>
      <c r="AC2129">
        <v>3</v>
      </c>
      <c r="AD2129">
        <v>0</v>
      </c>
      <c r="AE2129">
        <v>9</v>
      </c>
      <c r="AF2129" t="s">
        <v>138</v>
      </c>
      <c r="AG2129">
        <v>0</v>
      </c>
      <c r="AH2129">
        <v>3</v>
      </c>
      <c r="AI2129">
        <v>1</v>
      </c>
      <c r="AJ2129">
        <v>0</v>
      </c>
      <c r="AK2129" t="s">
        <v>744</v>
      </c>
      <c r="AL2129">
        <v>32.772838999999998</v>
      </c>
      <c r="AM2129" t="s">
        <v>745</v>
      </c>
      <c r="AN2129">
        <v>-116.826982</v>
      </c>
      <c r="AO2129">
        <v>25</v>
      </c>
      <c r="AP2129">
        <v>3000</v>
      </c>
      <c r="AQ2129" t="s">
        <v>129</v>
      </c>
      <c r="AR2129">
        <v>126</v>
      </c>
      <c r="AS2129">
        <v>-31</v>
      </c>
      <c r="AT2129">
        <v>256</v>
      </c>
      <c r="BB2129">
        <v>1200</v>
      </c>
      <c r="BC2129">
        <v>1</v>
      </c>
      <c r="BD2129" t="str">
        <f t="shared" si="754"/>
        <v xml:space="preserve">N887QR  </v>
      </c>
      <c r="BE2129">
        <v>1</v>
      </c>
      <c r="BG2129">
        <v>0</v>
      </c>
      <c r="BH2129">
        <v>0</v>
      </c>
      <c r="BI2129">
        <v>0</v>
      </c>
      <c r="BJ2129">
        <v>2725</v>
      </c>
      <c r="BK2129">
        <v>-275</v>
      </c>
      <c r="BL2129" t="s">
        <v>163</v>
      </c>
      <c r="BM2129">
        <v>1</v>
      </c>
      <c r="BN2129">
        <v>1</v>
      </c>
      <c r="BO2129">
        <v>1</v>
      </c>
      <c r="BP2129">
        <v>0</v>
      </c>
      <c r="BS2129">
        <v>0.08</v>
      </c>
      <c r="BT2129">
        <v>0</v>
      </c>
      <c r="BU2129">
        <v>0</v>
      </c>
      <c r="CE2129" t="str">
        <f t="shared" si="758"/>
        <v>19:31:07.000</v>
      </c>
      <c r="CF2129">
        <v>23857</v>
      </c>
      <c r="CS2129">
        <v>0</v>
      </c>
      <c r="CT2129">
        <v>2</v>
      </c>
      <c r="CU2129">
        <v>0</v>
      </c>
      <c r="CV2129">
        <v>2</v>
      </c>
      <c r="CW2129">
        <v>0</v>
      </c>
      <c r="CX2129">
        <v>5</v>
      </c>
      <c r="CY2129">
        <v>7</v>
      </c>
      <c r="CZ2129" t="s">
        <v>131</v>
      </c>
      <c r="DA2129">
        <v>300</v>
      </c>
      <c r="DB2129">
        <v>0</v>
      </c>
      <c r="DC2129" t="s">
        <v>176</v>
      </c>
      <c r="DD2129" t="s">
        <v>177</v>
      </c>
      <c r="DG2129">
        <v>5403040</v>
      </c>
      <c r="DI2129">
        <v>1</v>
      </c>
      <c r="DJ2129">
        <v>0</v>
      </c>
      <c r="DK2129">
        <v>1</v>
      </c>
      <c r="DL2129">
        <v>0</v>
      </c>
      <c r="DM2129">
        <v>0</v>
      </c>
      <c r="DN2129">
        <v>1</v>
      </c>
      <c r="DO2129">
        <v>0</v>
      </c>
      <c r="DP2129">
        <v>0</v>
      </c>
      <c r="DQ2129">
        <v>0</v>
      </c>
      <c r="DR2129">
        <v>0</v>
      </c>
      <c r="DS2129">
        <v>0</v>
      </c>
    </row>
    <row r="2130" spans="1:123" x14ac:dyDescent="0.3">
      <c r="A2130" t="str">
        <f t="shared" si="756"/>
        <v>10/04/2022 19:31:07.337</v>
      </c>
      <c r="C2130" t="str">
        <f t="shared" si="749"/>
        <v>FFDFD3C0</v>
      </c>
      <c r="D2130" t="s">
        <v>123</v>
      </c>
      <c r="E2130">
        <v>7</v>
      </c>
      <c r="F2130">
        <v>2007</v>
      </c>
      <c r="G2130" t="s">
        <v>124</v>
      </c>
      <c r="J2130" t="s">
        <v>125</v>
      </c>
      <c r="K2130">
        <v>0</v>
      </c>
      <c r="L2130">
        <v>3</v>
      </c>
      <c r="M2130">
        <v>0</v>
      </c>
      <c r="N2130">
        <v>2</v>
      </c>
      <c r="O2130">
        <v>0</v>
      </c>
      <c r="P2130">
        <v>1</v>
      </c>
      <c r="Q2130">
        <v>0</v>
      </c>
      <c r="S2130" t="str">
        <f t="shared" si="757"/>
        <v>19:31:07.000</v>
      </c>
      <c r="T2130" t="str">
        <f t="shared" si="757"/>
        <v>19:31:07.000</v>
      </c>
      <c r="U2130" t="str">
        <f t="shared" si="753"/>
        <v>AC3944</v>
      </c>
      <c r="V2130">
        <v>0</v>
      </c>
      <c r="W2130">
        <v>0</v>
      </c>
      <c r="X2130">
        <v>2</v>
      </c>
      <c r="Y2130">
        <v>0</v>
      </c>
      <c r="AA2130">
        <v>1</v>
      </c>
      <c r="AB2130">
        <v>8</v>
      </c>
      <c r="AC2130">
        <v>3</v>
      </c>
      <c r="AD2130">
        <v>0</v>
      </c>
      <c r="AE2130">
        <v>9</v>
      </c>
      <c r="AF2130" t="s">
        <v>138</v>
      </c>
      <c r="AG2130">
        <v>0</v>
      </c>
      <c r="AH2130">
        <v>3</v>
      </c>
      <c r="AI2130">
        <v>1</v>
      </c>
      <c r="AJ2130">
        <v>0</v>
      </c>
      <c r="AK2130" t="s">
        <v>744</v>
      </c>
      <c r="AL2130">
        <v>32.772838999999998</v>
      </c>
      <c r="AM2130" t="s">
        <v>745</v>
      </c>
      <c r="AN2130">
        <v>-116.826982</v>
      </c>
      <c r="AO2130">
        <v>25</v>
      </c>
      <c r="AP2130">
        <v>3000</v>
      </c>
      <c r="AQ2130" t="s">
        <v>129</v>
      </c>
      <c r="AR2130">
        <v>126</v>
      </c>
      <c r="AS2130">
        <v>-31</v>
      </c>
      <c r="AT2130">
        <v>256</v>
      </c>
      <c r="BB2130">
        <v>1200</v>
      </c>
      <c r="BC2130">
        <v>1</v>
      </c>
      <c r="BD2130" t="str">
        <f t="shared" si="754"/>
        <v xml:space="preserve">N887QR  </v>
      </c>
      <c r="BE2130">
        <v>1</v>
      </c>
      <c r="BG2130">
        <v>0</v>
      </c>
      <c r="BH2130">
        <v>0</v>
      </c>
      <c r="BI2130">
        <v>0</v>
      </c>
      <c r="BJ2130">
        <v>2725</v>
      </c>
      <c r="BK2130">
        <v>-275</v>
      </c>
      <c r="BL2130" t="s">
        <v>163</v>
      </c>
      <c r="BM2130">
        <v>1</v>
      </c>
      <c r="BN2130">
        <v>1</v>
      </c>
      <c r="BO2130">
        <v>1</v>
      </c>
      <c r="BP2130">
        <v>0</v>
      </c>
      <c r="BS2130">
        <v>0.08</v>
      </c>
      <c r="BT2130">
        <v>0</v>
      </c>
      <c r="BU2130">
        <v>0</v>
      </c>
      <c r="CE2130" t="str">
        <f t="shared" si="758"/>
        <v>19:31:07.000</v>
      </c>
      <c r="CF2130">
        <v>23857</v>
      </c>
      <c r="CS2130">
        <v>0</v>
      </c>
      <c r="CT2130">
        <v>2</v>
      </c>
      <c r="CU2130">
        <v>0</v>
      </c>
      <c r="CV2130">
        <v>2</v>
      </c>
      <c r="CW2130">
        <v>0</v>
      </c>
      <c r="CX2130">
        <v>5</v>
      </c>
      <c r="CY2130">
        <v>7</v>
      </c>
      <c r="CZ2130" t="s">
        <v>131</v>
      </c>
      <c r="DA2130">
        <v>300</v>
      </c>
      <c r="DB2130">
        <v>0</v>
      </c>
      <c r="DC2130" t="s">
        <v>176</v>
      </c>
      <c r="DD2130" t="s">
        <v>177</v>
      </c>
      <c r="DG2130">
        <v>5403040</v>
      </c>
      <c r="DI2130">
        <v>1</v>
      </c>
      <c r="DJ2130">
        <v>0</v>
      </c>
      <c r="DK2130">
        <v>1</v>
      </c>
      <c r="DL2130">
        <v>0</v>
      </c>
      <c r="DM2130">
        <v>0</v>
      </c>
      <c r="DN2130">
        <v>1</v>
      </c>
      <c r="DO2130">
        <v>0</v>
      </c>
      <c r="DP2130">
        <v>0</v>
      </c>
      <c r="DQ2130">
        <v>0</v>
      </c>
      <c r="DR2130">
        <v>0</v>
      </c>
      <c r="DS2130">
        <v>0</v>
      </c>
    </row>
    <row r="2131" spans="1:123" x14ac:dyDescent="0.3">
      <c r="A2131" t="str">
        <f t="shared" ref="A2131:A2137" si="759">"10/04/2022 19:31:08.541"</f>
        <v>10/04/2022 19:31:08.541</v>
      </c>
      <c r="C2131" t="str">
        <f t="shared" si="749"/>
        <v>FFDFD3C0</v>
      </c>
      <c r="D2131" t="s">
        <v>141</v>
      </c>
      <c r="E2131">
        <v>3</v>
      </c>
      <c r="H2131">
        <v>3</v>
      </c>
      <c r="I2131" t="s">
        <v>146</v>
      </c>
      <c r="J2131" t="s">
        <v>138</v>
      </c>
      <c r="K2131">
        <v>0</v>
      </c>
      <c r="L2131">
        <v>3</v>
      </c>
      <c r="M2131">
        <v>0</v>
      </c>
      <c r="N2131">
        <v>2</v>
      </c>
      <c r="O2131">
        <v>0</v>
      </c>
      <c r="P2131">
        <v>1</v>
      </c>
      <c r="Q2131">
        <v>0</v>
      </c>
      <c r="S2131" t="str">
        <f t="shared" ref="S2131:T2137" si="760">"19:31:08.000"</f>
        <v>19:31:08.000</v>
      </c>
      <c r="T2131" t="str">
        <f t="shared" si="760"/>
        <v>19:31:08.000</v>
      </c>
      <c r="U2131" t="str">
        <f t="shared" si="753"/>
        <v>AC3944</v>
      </c>
      <c r="V2131">
        <v>0</v>
      </c>
      <c r="W2131">
        <v>0</v>
      </c>
      <c r="X2131">
        <v>2</v>
      </c>
      <c r="Y2131">
        <v>0</v>
      </c>
      <c r="AA2131">
        <v>1</v>
      </c>
      <c r="AB2131">
        <v>8</v>
      </c>
      <c r="AC2131">
        <v>3</v>
      </c>
      <c r="AD2131">
        <v>0</v>
      </c>
      <c r="AE2131">
        <v>9</v>
      </c>
      <c r="AF2131" t="s">
        <v>138</v>
      </c>
      <c r="AG2131">
        <v>0</v>
      </c>
      <c r="AH2131">
        <v>3</v>
      </c>
      <c r="AI2131">
        <v>1</v>
      </c>
      <c r="AJ2131">
        <v>0</v>
      </c>
      <c r="AK2131" t="s">
        <v>746</v>
      </c>
      <c r="AL2131">
        <v>32.772731999999998</v>
      </c>
      <c r="AM2131" t="s">
        <v>747</v>
      </c>
      <c r="AN2131">
        <v>-116.826425</v>
      </c>
      <c r="AO2131">
        <v>25</v>
      </c>
      <c r="AP2131">
        <v>3000</v>
      </c>
      <c r="AQ2131" t="s">
        <v>129</v>
      </c>
      <c r="AR2131">
        <v>126</v>
      </c>
      <c r="AS2131">
        <v>-33</v>
      </c>
      <c r="AT2131">
        <v>256</v>
      </c>
      <c r="BB2131">
        <v>1200</v>
      </c>
      <c r="BC2131">
        <v>1</v>
      </c>
      <c r="BD2131" t="str">
        <f t="shared" si="754"/>
        <v xml:space="preserve">N887QR  </v>
      </c>
      <c r="BE2131">
        <v>1</v>
      </c>
      <c r="BG2131">
        <v>0</v>
      </c>
      <c r="BH2131">
        <v>0</v>
      </c>
      <c r="BI2131">
        <v>0</v>
      </c>
      <c r="BJ2131">
        <v>2725</v>
      </c>
      <c r="BK2131">
        <v>-275</v>
      </c>
      <c r="BL2131" t="s">
        <v>163</v>
      </c>
      <c r="BM2131">
        <v>1</v>
      </c>
      <c r="BN2131">
        <v>1</v>
      </c>
      <c r="BO2131">
        <v>1</v>
      </c>
      <c r="BP2131">
        <v>0</v>
      </c>
      <c r="BS2131">
        <v>0.08</v>
      </c>
      <c r="BT2131">
        <v>0</v>
      </c>
      <c r="BU2131">
        <v>0</v>
      </c>
      <c r="CE2131" t="str">
        <f t="shared" ref="CE2131:CE2137" si="761">"19:31:08.194"</f>
        <v>19:31:08.194</v>
      </c>
      <c r="CF2131">
        <v>193527802</v>
      </c>
      <c r="CS2131">
        <v>0</v>
      </c>
      <c r="CT2131">
        <v>2</v>
      </c>
      <c r="CU2131">
        <v>0</v>
      </c>
      <c r="CV2131">
        <v>2</v>
      </c>
      <c r="CW2131">
        <v>0</v>
      </c>
      <c r="CX2131">
        <v>5</v>
      </c>
      <c r="CY2131">
        <v>7</v>
      </c>
      <c r="CZ2131" t="s">
        <v>131</v>
      </c>
      <c r="DA2131">
        <v>300</v>
      </c>
      <c r="DB2131">
        <v>0</v>
      </c>
      <c r="DC2131" t="s">
        <v>176</v>
      </c>
      <c r="DD2131" t="s">
        <v>177</v>
      </c>
      <c r="DG2131">
        <v>5403227</v>
      </c>
      <c r="DI2131">
        <v>1</v>
      </c>
      <c r="DJ2131">
        <v>0</v>
      </c>
      <c r="DK2131">
        <v>0</v>
      </c>
      <c r="DL2131">
        <v>0</v>
      </c>
      <c r="DM2131">
        <v>0</v>
      </c>
      <c r="DN2131">
        <v>1</v>
      </c>
      <c r="DO2131">
        <v>0</v>
      </c>
      <c r="DP2131">
        <v>0</v>
      </c>
      <c r="DQ2131">
        <v>0</v>
      </c>
      <c r="DR2131">
        <v>0</v>
      </c>
      <c r="DS2131">
        <v>0</v>
      </c>
    </row>
    <row r="2132" spans="1:123" x14ac:dyDescent="0.3">
      <c r="A2132" t="str">
        <f t="shared" si="759"/>
        <v>10/04/2022 19:31:08.541</v>
      </c>
      <c r="C2132" t="str">
        <f t="shared" si="749"/>
        <v>FFDFD3C0</v>
      </c>
      <c r="D2132" t="s">
        <v>136</v>
      </c>
      <c r="E2132">
        <v>8</v>
      </c>
      <c r="H2132">
        <v>225</v>
      </c>
      <c r="I2132" t="s">
        <v>137</v>
      </c>
      <c r="J2132" t="s">
        <v>138</v>
      </c>
      <c r="K2132">
        <v>0</v>
      </c>
      <c r="L2132">
        <v>3</v>
      </c>
      <c r="M2132">
        <v>0</v>
      </c>
      <c r="N2132">
        <v>2</v>
      </c>
      <c r="O2132">
        <v>0</v>
      </c>
      <c r="P2132">
        <v>1</v>
      </c>
      <c r="Q2132">
        <v>0</v>
      </c>
      <c r="S2132" t="str">
        <f t="shared" si="760"/>
        <v>19:31:08.000</v>
      </c>
      <c r="T2132" t="str">
        <f t="shared" si="760"/>
        <v>19:31:08.000</v>
      </c>
      <c r="U2132" t="str">
        <f t="shared" si="753"/>
        <v>AC3944</v>
      </c>
      <c r="V2132">
        <v>0</v>
      </c>
      <c r="W2132">
        <v>0</v>
      </c>
      <c r="X2132">
        <v>2</v>
      </c>
      <c r="Y2132">
        <v>0</v>
      </c>
      <c r="AA2132">
        <v>1</v>
      </c>
      <c r="AB2132">
        <v>8</v>
      </c>
      <c r="AC2132">
        <v>3</v>
      </c>
      <c r="AD2132">
        <v>0</v>
      </c>
      <c r="AE2132">
        <v>9</v>
      </c>
      <c r="AF2132" t="s">
        <v>138</v>
      </c>
      <c r="AG2132">
        <v>0</v>
      </c>
      <c r="AH2132">
        <v>3</v>
      </c>
      <c r="AI2132">
        <v>1</v>
      </c>
      <c r="AJ2132">
        <v>0</v>
      </c>
      <c r="AK2132" t="s">
        <v>746</v>
      </c>
      <c r="AL2132">
        <v>32.772731999999998</v>
      </c>
      <c r="AM2132" t="s">
        <v>747</v>
      </c>
      <c r="AN2132">
        <v>-116.826425</v>
      </c>
      <c r="AO2132">
        <v>25</v>
      </c>
      <c r="AP2132">
        <v>3000</v>
      </c>
      <c r="AQ2132" t="s">
        <v>129</v>
      </c>
      <c r="AR2132">
        <v>126</v>
      </c>
      <c r="AS2132">
        <v>-33</v>
      </c>
      <c r="AT2132">
        <v>256</v>
      </c>
      <c r="BB2132">
        <v>1200</v>
      </c>
      <c r="BC2132">
        <v>1</v>
      </c>
      <c r="BD2132" t="str">
        <f t="shared" si="754"/>
        <v xml:space="preserve">N887QR  </v>
      </c>
      <c r="BE2132">
        <v>1</v>
      </c>
      <c r="BG2132">
        <v>0</v>
      </c>
      <c r="BH2132">
        <v>0</v>
      </c>
      <c r="BI2132">
        <v>0</v>
      </c>
      <c r="BJ2132">
        <v>2725</v>
      </c>
      <c r="BK2132">
        <v>-275</v>
      </c>
      <c r="BL2132" t="s">
        <v>163</v>
      </c>
      <c r="BM2132">
        <v>1</v>
      </c>
      <c r="BN2132">
        <v>1</v>
      </c>
      <c r="BO2132">
        <v>1</v>
      </c>
      <c r="BP2132">
        <v>0</v>
      </c>
      <c r="BS2132">
        <v>0.08</v>
      </c>
      <c r="BT2132">
        <v>0</v>
      </c>
      <c r="BU2132">
        <v>0</v>
      </c>
      <c r="CE2132" t="str">
        <f t="shared" si="761"/>
        <v>19:31:08.194</v>
      </c>
      <c r="CF2132">
        <v>193527802</v>
      </c>
      <c r="CS2132">
        <v>0</v>
      </c>
      <c r="CT2132">
        <v>2</v>
      </c>
      <c r="CU2132">
        <v>0</v>
      </c>
      <c r="CV2132">
        <v>2</v>
      </c>
      <c r="CW2132">
        <v>0</v>
      </c>
      <c r="CX2132">
        <v>5</v>
      </c>
      <c r="CY2132">
        <v>7</v>
      </c>
      <c r="CZ2132" t="s">
        <v>131</v>
      </c>
      <c r="DA2132">
        <v>300</v>
      </c>
      <c r="DB2132">
        <v>0</v>
      </c>
      <c r="DC2132" t="s">
        <v>176</v>
      </c>
      <c r="DD2132" t="s">
        <v>177</v>
      </c>
      <c r="DG2132">
        <v>5403227</v>
      </c>
      <c r="DI2132">
        <v>1</v>
      </c>
      <c r="DJ2132">
        <v>0</v>
      </c>
      <c r="DK2132">
        <v>1</v>
      </c>
      <c r="DL2132">
        <v>0</v>
      </c>
      <c r="DM2132">
        <v>0</v>
      </c>
      <c r="DN2132">
        <v>1</v>
      </c>
      <c r="DO2132">
        <v>0</v>
      </c>
      <c r="DP2132">
        <v>0</v>
      </c>
      <c r="DQ2132">
        <v>0</v>
      </c>
      <c r="DR2132">
        <v>0</v>
      </c>
      <c r="DS2132">
        <v>0</v>
      </c>
    </row>
    <row r="2133" spans="1:123" x14ac:dyDescent="0.3">
      <c r="A2133" t="str">
        <f t="shared" si="759"/>
        <v>10/04/2022 19:31:08.541</v>
      </c>
      <c r="C2133" t="str">
        <f t="shared" si="749"/>
        <v>FFDFD3C0</v>
      </c>
      <c r="D2133" t="s">
        <v>147</v>
      </c>
      <c r="E2133">
        <v>3</v>
      </c>
      <c r="H2133">
        <v>166</v>
      </c>
      <c r="I2133" t="s">
        <v>144</v>
      </c>
      <c r="J2133" t="s">
        <v>148</v>
      </c>
      <c r="K2133">
        <v>0</v>
      </c>
      <c r="L2133">
        <v>3</v>
      </c>
      <c r="M2133">
        <v>0</v>
      </c>
      <c r="N2133">
        <v>2</v>
      </c>
      <c r="O2133">
        <v>0</v>
      </c>
      <c r="P2133">
        <v>1</v>
      </c>
      <c r="Q2133">
        <v>0</v>
      </c>
      <c r="S2133" t="str">
        <f t="shared" si="760"/>
        <v>19:31:08.000</v>
      </c>
      <c r="T2133" t="str">
        <f t="shared" si="760"/>
        <v>19:31:08.000</v>
      </c>
      <c r="U2133" t="str">
        <f t="shared" si="753"/>
        <v>AC3944</v>
      </c>
      <c r="V2133">
        <v>0</v>
      </c>
      <c r="W2133">
        <v>0</v>
      </c>
      <c r="X2133">
        <v>2</v>
      </c>
      <c r="Y2133">
        <v>0</v>
      </c>
      <c r="AA2133">
        <v>1</v>
      </c>
      <c r="AB2133">
        <v>8</v>
      </c>
      <c r="AC2133">
        <v>3</v>
      </c>
      <c r="AD2133">
        <v>0</v>
      </c>
      <c r="AE2133">
        <v>9</v>
      </c>
      <c r="AF2133" t="s">
        <v>138</v>
      </c>
      <c r="AG2133">
        <v>0</v>
      </c>
      <c r="AH2133">
        <v>3</v>
      </c>
      <c r="AI2133">
        <v>1</v>
      </c>
      <c r="AJ2133">
        <v>0</v>
      </c>
      <c r="AK2133" t="s">
        <v>746</v>
      </c>
      <c r="AL2133">
        <v>32.772731999999998</v>
      </c>
      <c r="AM2133" t="s">
        <v>747</v>
      </c>
      <c r="AN2133">
        <v>-116.826425</v>
      </c>
      <c r="AO2133">
        <v>25</v>
      </c>
      <c r="AP2133">
        <v>3000</v>
      </c>
      <c r="AQ2133" t="s">
        <v>129</v>
      </c>
      <c r="AR2133">
        <v>126</v>
      </c>
      <c r="AS2133">
        <v>-33</v>
      </c>
      <c r="AT2133">
        <v>256</v>
      </c>
      <c r="BB2133">
        <v>1200</v>
      </c>
      <c r="BC2133">
        <v>1</v>
      </c>
      <c r="BD2133" t="str">
        <f t="shared" si="754"/>
        <v xml:space="preserve">N887QR  </v>
      </c>
      <c r="BE2133">
        <v>1</v>
      </c>
      <c r="BG2133">
        <v>0</v>
      </c>
      <c r="BH2133">
        <v>0</v>
      </c>
      <c r="BI2133">
        <v>0</v>
      </c>
      <c r="BJ2133">
        <v>2725</v>
      </c>
      <c r="BK2133">
        <v>-275</v>
      </c>
      <c r="BL2133" t="s">
        <v>163</v>
      </c>
      <c r="BM2133">
        <v>1</v>
      </c>
      <c r="BN2133">
        <v>1</v>
      </c>
      <c r="BO2133">
        <v>1</v>
      </c>
      <c r="BP2133">
        <v>0</v>
      </c>
      <c r="BS2133">
        <v>0.08</v>
      </c>
      <c r="BT2133">
        <v>0</v>
      </c>
      <c r="BU2133">
        <v>0</v>
      </c>
      <c r="CE2133" t="str">
        <f t="shared" si="761"/>
        <v>19:31:08.194</v>
      </c>
      <c r="CF2133">
        <v>193527802</v>
      </c>
      <c r="CS2133">
        <v>0</v>
      </c>
      <c r="CT2133">
        <v>2</v>
      </c>
      <c r="CU2133">
        <v>0</v>
      </c>
      <c r="CV2133">
        <v>2</v>
      </c>
      <c r="CW2133">
        <v>0</v>
      </c>
      <c r="CX2133">
        <v>5</v>
      </c>
      <c r="CY2133">
        <v>7</v>
      </c>
      <c r="CZ2133" t="s">
        <v>131</v>
      </c>
      <c r="DA2133">
        <v>300</v>
      </c>
      <c r="DB2133">
        <v>0</v>
      </c>
      <c r="DC2133" t="s">
        <v>176</v>
      </c>
      <c r="DD2133" t="s">
        <v>177</v>
      </c>
      <c r="DG2133">
        <v>5403227</v>
      </c>
      <c r="DI2133">
        <v>1</v>
      </c>
      <c r="DJ2133">
        <v>0</v>
      </c>
      <c r="DK2133">
        <v>1</v>
      </c>
      <c r="DL2133">
        <v>0</v>
      </c>
      <c r="DM2133">
        <v>0</v>
      </c>
      <c r="DN2133">
        <v>1</v>
      </c>
      <c r="DO2133">
        <v>0</v>
      </c>
      <c r="DP2133">
        <v>0</v>
      </c>
      <c r="DQ2133">
        <v>0</v>
      </c>
      <c r="DR2133">
        <v>0</v>
      </c>
      <c r="DS2133">
        <v>0</v>
      </c>
    </row>
    <row r="2134" spans="1:123" x14ac:dyDescent="0.3">
      <c r="A2134" t="str">
        <f t="shared" si="759"/>
        <v>10/04/2022 19:31:08.541</v>
      </c>
      <c r="C2134" t="str">
        <f t="shared" si="749"/>
        <v>FFDFD3C0</v>
      </c>
      <c r="D2134" t="s">
        <v>143</v>
      </c>
      <c r="E2134">
        <v>20</v>
      </c>
      <c r="F2134">
        <v>1020</v>
      </c>
      <c r="G2134" t="s">
        <v>144</v>
      </c>
      <c r="J2134" t="s">
        <v>145</v>
      </c>
      <c r="K2134">
        <v>0</v>
      </c>
      <c r="L2134">
        <v>3</v>
      </c>
      <c r="M2134">
        <v>0</v>
      </c>
      <c r="N2134">
        <v>2</v>
      </c>
      <c r="O2134">
        <v>0</v>
      </c>
      <c r="P2134">
        <v>1</v>
      </c>
      <c r="Q2134">
        <v>0</v>
      </c>
      <c r="S2134" t="str">
        <f t="shared" si="760"/>
        <v>19:31:08.000</v>
      </c>
      <c r="T2134" t="str">
        <f t="shared" si="760"/>
        <v>19:31:08.000</v>
      </c>
      <c r="U2134" t="str">
        <f t="shared" si="753"/>
        <v>AC3944</v>
      </c>
      <c r="V2134">
        <v>0</v>
      </c>
      <c r="W2134">
        <v>0</v>
      </c>
      <c r="X2134">
        <v>2</v>
      </c>
      <c r="Y2134">
        <v>0</v>
      </c>
      <c r="AA2134">
        <v>1</v>
      </c>
      <c r="AB2134">
        <v>8</v>
      </c>
      <c r="AC2134">
        <v>3</v>
      </c>
      <c r="AD2134">
        <v>0</v>
      </c>
      <c r="AE2134">
        <v>9</v>
      </c>
      <c r="AF2134" t="s">
        <v>138</v>
      </c>
      <c r="AG2134">
        <v>0</v>
      </c>
      <c r="AH2134">
        <v>3</v>
      </c>
      <c r="AI2134">
        <v>1</v>
      </c>
      <c r="AJ2134">
        <v>0</v>
      </c>
      <c r="AK2134" t="s">
        <v>746</v>
      </c>
      <c r="AL2134">
        <v>32.772731999999998</v>
      </c>
      <c r="AM2134" t="s">
        <v>747</v>
      </c>
      <c r="AN2134">
        <v>-116.826425</v>
      </c>
      <c r="AO2134">
        <v>25</v>
      </c>
      <c r="AP2134">
        <v>3000</v>
      </c>
      <c r="AQ2134" t="s">
        <v>129</v>
      </c>
      <c r="AR2134">
        <v>126</v>
      </c>
      <c r="AS2134">
        <v>-33</v>
      </c>
      <c r="AT2134">
        <v>256</v>
      </c>
      <c r="BB2134">
        <v>1200</v>
      </c>
      <c r="BC2134">
        <v>1</v>
      </c>
      <c r="BD2134" t="str">
        <f t="shared" si="754"/>
        <v xml:space="preserve">N887QR  </v>
      </c>
      <c r="BE2134">
        <v>1</v>
      </c>
      <c r="BG2134">
        <v>0</v>
      </c>
      <c r="BH2134">
        <v>0</v>
      </c>
      <c r="BI2134">
        <v>0</v>
      </c>
      <c r="BJ2134">
        <v>2725</v>
      </c>
      <c r="BK2134">
        <v>-275</v>
      </c>
      <c r="BL2134" t="s">
        <v>163</v>
      </c>
      <c r="BM2134">
        <v>1</v>
      </c>
      <c r="BN2134">
        <v>1</v>
      </c>
      <c r="BO2134">
        <v>1</v>
      </c>
      <c r="BP2134">
        <v>0</v>
      </c>
      <c r="BS2134">
        <v>0.08</v>
      </c>
      <c r="BT2134">
        <v>0</v>
      </c>
      <c r="BU2134">
        <v>0</v>
      </c>
      <c r="CE2134" t="str">
        <f t="shared" si="761"/>
        <v>19:31:08.194</v>
      </c>
      <c r="CF2134">
        <v>193527802</v>
      </c>
      <c r="CS2134">
        <v>0</v>
      </c>
      <c r="CT2134">
        <v>2</v>
      </c>
      <c r="CU2134">
        <v>0</v>
      </c>
      <c r="CV2134">
        <v>2</v>
      </c>
      <c r="CW2134">
        <v>0</v>
      </c>
      <c r="CX2134">
        <v>5</v>
      </c>
      <c r="CY2134">
        <v>7</v>
      </c>
      <c r="CZ2134" t="s">
        <v>131</v>
      </c>
      <c r="DA2134">
        <v>300</v>
      </c>
      <c r="DB2134">
        <v>0</v>
      </c>
      <c r="DC2134" t="s">
        <v>176</v>
      </c>
      <c r="DD2134" t="s">
        <v>177</v>
      </c>
      <c r="DG2134">
        <v>5403227</v>
      </c>
      <c r="DI2134">
        <v>1</v>
      </c>
      <c r="DJ2134">
        <v>0</v>
      </c>
      <c r="DK2134">
        <v>1</v>
      </c>
      <c r="DL2134">
        <v>0</v>
      </c>
      <c r="DM2134">
        <v>0</v>
      </c>
      <c r="DN2134">
        <v>1</v>
      </c>
      <c r="DO2134">
        <v>0</v>
      </c>
      <c r="DP2134">
        <v>0</v>
      </c>
      <c r="DQ2134">
        <v>0</v>
      </c>
      <c r="DR2134">
        <v>0</v>
      </c>
      <c r="DS2134">
        <v>0</v>
      </c>
    </row>
    <row r="2135" spans="1:123" x14ac:dyDescent="0.3">
      <c r="A2135" t="str">
        <f t="shared" si="759"/>
        <v>10/04/2022 19:31:08.541</v>
      </c>
      <c r="C2135" t="str">
        <f t="shared" si="749"/>
        <v>FFDFD3C0</v>
      </c>
      <c r="D2135" t="s">
        <v>134</v>
      </c>
      <c r="E2135">
        <v>15</v>
      </c>
      <c r="J2135" t="s">
        <v>135</v>
      </c>
      <c r="K2135">
        <v>0</v>
      </c>
      <c r="L2135">
        <v>3</v>
      </c>
      <c r="M2135">
        <v>0</v>
      </c>
      <c r="N2135">
        <v>2</v>
      </c>
      <c r="O2135">
        <v>0</v>
      </c>
      <c r="P2135">
        <v>1</v>
      </c>
      <c r="Q2135">
        <v>0</v>
      </c>
      <c r="S2135" t="str">
        <f t="shared" si="760"/>
        <v>19:31:08.000</v>
      </c>
      <c r="T2135" t="str">
        <f t="shared" si="760"/>
        <v>19:31:08.000</v>
      </c>
      <c r="U2135" t="str">
        <f t="shared" si="753"/>
        <v>AC3944</v>
      </c>
      <c r="V2135">
        <v>0</v>
      </c>
      <c r="W2135">
        <v>0</v>
      </c>
      <c r="X2135">
        <v>2</v>
      </c>
      <c r="Y2135">
        <v>0</v>
      </c>
      <c r="AA2135">
        <v>1</v>
      </c>
      <c r="AB2135">
        <v>8</v>
      </c>
      <c r="AC2135">
        <v>3</v>
      </c>
      <c r="AD2135">
        <v>0</v>
      </c>
      <c r="AE2135">
        <v>9</v>
      </c>
      <c r="AF2135" t="s">
        <v>138</v>
      </c>
      <c r="AG2135">
        <v>0</v>
      </c>
      <c r="AH2135">
        <v>3</v>
      </c>
      <c r="AI2135">
        <v>1</v>
      </c>
      <c r="AJ2135">
        <v>0</v>
      </c>
      <c r="AK2135" t="s">
        <v>746</v>
      </c>
      <c r="AL2135">
        <v>32.772731999999998</v>
      </c>
      <c r="AM2135" t="s">
        <v>747</v>
      </c>
      <c r="AN2135">
        <v>-116.826425</v>
      </c>
      <c r="AO2135">
        <v>25</v>
      </c>
      <c r="AP2135">
        <v>3000</v>
      </c>
      <c r="AQ2135" t="s">
        <v>129</v>
      </c>
      <c r="AR2135">
        <v>126</v>
      </c>
      <c r="AS2135">
        <v>-33</v>
      </c>
      <c r="AT2135">
        <v>256</v>
      </c>
      <c r="BB2135">
        <v>1200</v>
      </c>
      <c r="BC2135">
        <v>1</v>
      </c>
      <c r="BD2135" t="str">
        <f t="shared" si="754"/>
        <v xml:space="preserve">N887QR  </v>
      </c>
      <c r="BE2135">
        <v>1</v>
      </c>
      <c r="BG2135">
        <v>0</v>
      </c>
      <c r="BH2135">
        <v>0</v>
      </c>
      <c r="BI2135">
        <v>0</v>
      </c>
      <c r="BJ2135">
        <v>2725</v>
      </c>
      <c r="BK2135">
        <v>-275</v>
      </c>
      <c r="BL2135" t="s">
        <v>163</v>
      </c>
      <c r="BM2135">
        <v>1</v>
      </c>
      <c r="BN2135">
        <v>1</v>
      </c>
      <c r="BO2135">
        <v>1</v>
      </c>
      <c r="BP2135">
        <v>0</v>
      </c>
      <c r="BS2135">
        <v>0.08</v>
      </c>
      <c r="BT2135">
        <v>0</v>
      </c>
      <c r="BU2135">
        <v>0</v>
      </c>
      <c r="CE2135" t="str">
        <f t="shared" si="761"/>
        <v>19:31:08.194</v>
      </c>
      <c r="CF2135">
        <v>193527802</v>
      </c>
      <c r="CS2135">
        <v>0</v>
      </c>
      <c r="CT2135">
        <v>2</v>
      </c>
      <c r="CU2135">
        <v>0</v>
      </c>
      <c r="CV2135">
        <v>2</v>
      </c>
      <c r="CW2135">
        <v>0</v>
      </c>
      <c r="CX2135">
        <v>5</v>
      </c>
      <c r="CY2135">
        <v>7</v>
      </c>
      <c r="CZ2135" t="s">
        <v>131</v>
      </c>
      <c r="DA2135">
        <v>300</v>
      </c>
      <c r="DB2135">
        <v>0</v>
      </c>
      <c r="DC2135" t="s">
        <v>176</v>
      </c>
      <c r="DD2135" t="s">
        <v>177</v>
      </c>
      <c r="DG2135">
        <v>5403227</v>
      </c>
      <c r="DI2135">
        <v>1</v>
      </c>
      <c r="DJ2135">
        <v>0</v>
      </c>
      <c r="DK2135">
        <v>1</v>
      </c>
      <c r="DL2135">
        <v>0</v>
      </c>
      <c r="DM2135">
        <v>0</v>
      </c>
      <c r="DN2135">
        <v>1</v>
      </c>
      <c r="DO2135">
        <v>0</v>
      </c>
      <c r="DP2135">
        <v>0</v>
      </c>
      <c r="DQ2135">
        <v>0</v>
      </c>
      <c r="DR2135">
        <v>0</v>
      </c>
      <c r="DS2135">
        <v>0</v>
      </c>
    </row>
    <row r="2136" spans="1:123" x14ac:dyDescent="0.3">
      <c r="A2136" t="str">
        <f t="shared" si="759"/>
        <v>10/04/2022 19:31:08.541</v>
      </c>
      <c r="C2136" t="str">
        <f t="shared" si="749"/>
        <v>FFDFD3C0</v>
      </c>
      <c r="D2136" t="s">
        <v>141</v>
      </c>
      <c r="E2136">
        <v>4</v>
      </c>
      <c r="H2136">
        <v>4</v>
      </c>
      <c r="I2136" t="s">
        <v>142</v>
      </c>
      <c r="J2136" t="s">
        <v>138</v>
      </c>
      <c r="K2136">
        <v>0</v>
      </c>
      <c r="L2136">
        <v>3</v>
      </c>
      <c r="M2136">
        <v>0</v>
      </c>
      <c r="N2136">
        <v>2</v>
      </c>
      <c r="O2136">
        <v>0</v>
      </c>
      <c r="P2136">
        <v>1</v>
      </c>
      <c r="Q2136">
        <v>0</v>
      </c>
      <c r="S2136" t="str">
        <f t="shared" si="760"/>
        <v>19:31:08.000</v>
      </c>
      <c r="T2136" t="str">
        <f t="shared" si="760"/>
        <v>19:31:08.000</v>
      </c>
      <c r="U2136" t="str">
        <f t="shared" si="753"/>
        <v>AC3944</v>
      </c>
      <c r="V2136">
        <v>0</v>
      </c>
      <c r="W2136">
        <v>0</v>
      </c>
      <c r="X2136">
        <v>2</v>
      </c>
      <c r="Y2136">
        <v>0</v>
      </c>
      <c r="AA2136">
        <v>1</v>
      </c>
      <c r="AB2136">
        <v>8</v>
      </c>
      <c r="AC2136">
        <v>3</v>
      </c>
      <c r="AD2136">
        <v>0</v>
      </c>
      <c r="AE2136">
        <v>9</v>
      </c>
      <c r="AF2136" t="s">
        <v>138</v>
      </c>
      <c r="AG2136">
        <v>0</v>
      </c>
      <c r="AH2136">
        <v>3</v>
      </c>
      <c r="AI2136">
        <v>1</v>
      </c>
      <c r="AJ2136">
        <v>0</v>
      </c>
      <c r="AK2136" t="s">
        <v>746</v>
      </c>
      <c r="AL2136">
        <v>32.772731999999998</v>
      </c>
      <c r="AM2136" t="s">
        <v>747</v>
      </c>
      <c r="AN2136">
        <v>-116.826425</v>
      </c>
      <c r="AO2136">
        <v>25</v>
      </c>
      <c r="AP2136">
        <v>3000</v>
      </c>
      <c r="AQ2136" t="s">
        <v>129</v>
      </c>
      <c r="AR2136">
        <v>126</v>
      </c>
      <c r="AS2136">
        <v>-33</v>
      </c>
      <c r="AT2136">
        <v>256</v>
      </c>
      <c r="BB2136">
        <v>1200</v>
      </c>
      <c r="BC2136">
        <v>1</v>
      </c>
      <c r="BD2136" t="str">
        <f t="shared" si="754"/>
        <v xml:space="preserve">N887QR  </v>
      </c>
      <c r="BE2136">
        <v>1</v>
      </c>
      <c r="BG2136">
        <v>0</v>
      </c>
      <c r="BH2136">
        <v>0</v>
      </c>
      <c r="BI2136">
        <v>0</v>
      </c>
      <c r="BJ2136">
        <v>2725</v>
      </c>
      <c r="BK2136">
        <v>-275</v>
      </c>
      <c r="BL2136" t="s">
        <v>163</v>
      </c>
      <c r="BM2136">
        <v>1</v>
      </c>
      <c r="BN2136">
        <v>1</v>
      </c>
      <c r="BO2136">
        <v>1</v>
      </c>
      <c r="BP2136">
        <v>0</v>
      </c>
      <c r="BS2136">
        <v>0.08</v>
      </c>
      <c r="BT2136">
        <v>0</v>
      </c>
      <c r="BU2136">
        <v>0</v>
      </c>
      <c r="CE2136" t="str">
        <f t="shared" si="761"/>
        <v>19:31:08.194</v>
      </c>
      <c r="CF2136">
        <v>193527802</v>
      </c>
      <c r="CS2136">
        <v>0</v>
      </c>
      <c r="CT2136">
        <v>2</v>
      </c>
      <c r="CU2136">
        <v>0</v>
      </c>
      <c r="CV2136">
        <v>2</v>
      </c>
      <c r="CW2136">
        <v>0</v>
      </c>
      <c r="CX2136">
        <v>5</v>
      </c>
      <c r="CY2136">
        <v>7</v>
      </c>
      <c r="CZ2136" t="s">
        <v>131</v>
      </c>
      <c r="DA2136">
        <v>300</v>
      </c>
      <c r="DB2136">
        <v>0</v>
      </c>
      <c r="DC2136" t="s">
        <v>176</v>
      </c>
      <c r="DD2136" t="s">
        <v>177</v>
      </c>
      <c r="DG2136">
        <v>5403227</v>
      </c>
      <c r="DI2136">
        <v>1</v>
      </c>
      <c r="DJ2136">
        <v>0</v>
      </c>
      <c r="DK2136">
        <v>1</v>
      </c>
      <c r="DL2136">
        <v>0</v>
      </c>
      <c r="DM2136">
        <v>0</v>
      </c>
      <c r="DN2136">
        <v>1</v>
      </c>
      <c r="DO2136">
        <v>0</v>
      </c>
      <c r="DP2136">
        <v>0</v>
      </c>
      <c r="DQ2136">
        <v>0</v>
      </c>
      <c r="DR2136">
        <v>0</v>
      </c>
      <c r="DS2136">
        <v>0</v>
      </c>
    </row>
    <row r="2137" spans="1:123" x14ac:dyDescent="0.3">
      <c r="A2137" t="str">
        <f t="shared" si="759"/>
        <v>10/04/2022 19:31:08.541</v>
      </c>
      <c r="C2137" t="str">
        <f t="shared" si="749"/>
        <v>FFDFD3C0</v>
      </c>
      <c r="D2137" t="s">
        <v>123</v>
      </c>
      <c r="E2137">
        <v>7</v>
      </c>
      <c r="F2137">
        <v>2007</v>
      </c>
      <c r="G2137" t="s">
        <v>124</v>
      </c>
      <c r="J2137" t="s">
        <v>125</v>
      </c>
      <c r="K2137">
        <v>0</v>
      </c>
      <c r="L2137">
        <v>3</v>
      </c>
      <c r="M2137">
        <v>0</v>
      </c>
      <c r="N2137">
        <v>2</v>
      </c>
      <c r="O2137">
        <v>0</v>
      </c>
      <c r="P2137">
        <v>1</v>
      </c>
      <c r="Q2137">
        <v>0</v>
      </c>
      <c r="S2137" t="str">
        <f t="shared" si="760"/>
        <v>19:31:08.000</v>
      </c>
      <c r="T2137" t="str">
        <f t="shared" si="760"/>
        <v>19:31:08.000</v>
      </c>
      <c r="U2137" t="str">
        <f t="shared" si="753"/>
        <v>AC3944</v>
      </c>
      <c r="V2137">
        <v>0</v>
      </c>
      <c r="W2137">
        <v>0</v>
      </c>
      <c r="X2137">
        <v>2</v>
      </c>
      <c r="Y2137">
        <v>0</v>
      </c>
      <c r="AA2137">
        <v>1</v>
      </c>
      <c r="AB2137">
        <v>8</v>
      </c>
      <c r="AC2137">
        <v>3</v>
      </c>
      <c r="AD2137">
        <v>0</v>
      </c>
      <c r="AE2137">
        <v>9</v>
      </c>
      <c r="AF2137" t="s">
        <v>138</v>
      </c>
      <c r="AG2137">
        <v>0</v>
      </c>
      <c r="AH2137">
        <v>3</v>
      </c>
      <c r="AI2137">
        <v>1</v>
      </c>
      <c r="AJ2137">
        <v>0</v>
      </c>
      <c r="AK2137" t="s">
        <v>746</v>
      </c>
      <c r="AL2137">
        <v>32.772731999999998</v>
      </c>
      <c r="AM2137" t="s">
        <v>747</v>
      </c>
      <c r="AN2137">
        <v>-116.826425</v>
      </c>
      <c r="AO2137">
        <v>25</v>
      </c>
      <c r="AP2137">
        <v>3000</v>
      </c>
      <c r="AQ2137" t="s">
        <v>129</v>
      </c>
      <c r="AR2137">
        <v>126</v>
      </c>
      <c r="AS2137">
        <v>-33</v>
      </c>
      <c r="AT2137">
        <v>256</v>
      </c>
      <c r="BB2137">
        <v>1200</v>
      </c>
      <c r="BC2137">
        <v>1</v>
      </c>
      <c r="BD2137" t="str">
        <f t="shared" si="754"/>
        <v xml:space="preserve">N887QR  </v>
      </c>
      <c r="BE2137">
        <v>1</v>
      </c>
      <c r="BG2137">
        <v>0</v>
      </c>
      <c r="BH2137">
        <v>0</v>
      </c>
      <c r="BI2137">
        <v>0</v>
      </c>
      <c r="BJ2137">
        <v>2725</v>
      </c>
      <c r="BK2137">
        <v>-275</v>
      </c>
      <c r="BL2137" t="s">
        <v>163</v>
      </c>
      <c r="BM2137">
        <v>1</v>
      </c>
      <c r="BN2137">
        <v>1</v>
      </c>
      <c r="BO2137">
        <v>1</v>
      </c>
      <c r="BP2137">
        <v>0</v>
      </c>
      <c r="BS2137">
        <v>0.08</v>
      </c>
      <c r="BT2137">
        <v>0</v>
      </c>
      <c r="BU2137">
        <v>0</v>
      </c>
      <c r="CE2137" t="str">
        <f t="shared" si="761"/>
        <v>19:31:08.194</v>
      </c>
      <c r="CF2137">
        <v>193527802</v>
      </c>
      <c r="CS2137">
        <v>0</v>
      </c>
      <c r="CT2137">
        <v>2</v>
      </c>
      <c r="CU2137">
        <v>0</v>
      </c>
      <c r="CV2137">
        <v>2</v>
      </c>
      <c r="CW2137">
        <v>0</v>
      </c>
      <c r="CX2137">
        <v>5</v>
      </c>
      <c r="CY2137">
        <v>7</v>
      </c>
      <c r="CZ2137" t="s">
        <v>131</v>
      </c>
      <c r="DA2137">
        <v>300</v>
      </c>
      <c r="DB2137">
        <v>0</v>
      </c>
      <c r="DC2137" t="s">
        <v>176</v>
      </c>
      <c r="DD2137" t="s">
        <v>177</v>
      </c>
      <c r="DG2137">
        <v>5403227</v>
      </c>
      <c r="DI2137">
        <v>1</v>
      </c>
      <c r="DJ2137">
        <v>0</v>
      </c>
      <c r="DK2137">
        <v>1</v>
      </c>
      <c r="DL2137">
        <v>0</v>
      </c>
      <c r="DM2137">
        <v>0</v>
      </c>
      <c r="DN2137">
        <v>1</v>
      </c>
      <c r="DO2137">
        <v>0</v>
      </c>
      <c r="DP2137">
        <v>0</v>
      </c>
      <c r="DQ2137">
        <v>0</v>
      </c>
      <c r="DR2137">
        <v>0</v>
      </c>
      <c r="DS2137">
        <v>0</v>
      </c>
    </row>
    <row r="2138" spans="1:123" x14ac:dyDescent="0.3">
      <c r="A2138" t="str">
        <f>"10/04/2022 19:31:09.306"</f>
        <v>10/04/2022 19:31:09.306</v>
      </c>
      <c r="C2138" t="str">
        <f t="shared" ref="C2138:C2150" si="762">"FFDFD3C0"</f>
        <v>FFDFD3C0</v>
      </c>
      <c r="D2138" t="s">
        <v>147</v>
      </c>
      <c r="E2138">
        <v>3</v>
      </c>
      <c r="H2138">
        <v>166</v>
      </c>
      <c r="I2138" t="s">
        <v>144</v>
      </c>
      <c r="J2138" t="s">
        <v>148</v>
      </c>
      <c r="K2138">
        <v>0</v>
      </c>
      <c r="L2138">
        <v>3</v>
      </c>
      <c r="M2138">
        <v>0</v>
      </c>
      <c r="N2138">
        <v>2</v>
      </c>
      <c r="O2138">
        <v>0</v>
      </c>
      <c r="P2138">
        <v>1</v>
      </c>
      <c r="Q2138">
        <v>0</v>
      </c>
      <c r="S2138" t="str">
        <f t="shared" ref="S2138:T2144" si="763">"19:31:09.000"</f>
        <v>19:31:09.000</v>
      </c>
      <c r="T2138" t="str">
        <f t="shared" si="763"/>
        <v>19:31:09.000</v>
      </c>
      <c r="U2138" t="str">
        <f t="shared" si="753"/>
        <v>AC3944</v>
      </c>
      <c r="V2138">
        <v>0</v>
      </c>
      <c r="W2138">
        <v>0</v>
      </c>
      <c r="X2138">
        <v>2</v>
      </c>
      <c r="Y2138">
        <v>0</v>
      </c>
      <c r="AA2138">
        <v>1</v>
      </c>
      <c r="AB2138">
        <v>8</v>
      </c>
      <c r="AC2138">
        <v>3</v>
      </c>
      <c r="AD2138">
        <v>0</v>
      </c>
      <c r="AE2138">
        <v>9</v>
      </c>
      <c r="AF2138" t="s">
        <v>138</v>
      </c>
      <c r="AG2138">
        <v>0</v>
      </c>
      <c r="AH2138">
        <v>3</v>
      </c>
      <c r="AI2138">
        <v>1</v>
      </c>
      <c r="AJ2138">
        <v>0</v>
      </c>
      <c r="AK2138" t="s">
        <v>748</v>
      </c>
      <c r="AL2138">
        <v>32.772582</v>
      </c>
      <c r="AM2138" t="s">
        <v>749</v>
      </c>
      <c r="AN2138">
        <v>-116.825738</v>
      </c>
      <c r="AO2138">
        <v>25</v>
      </c>
      <c r="AP2138">
        <v>3000</v>
      </c>
      <c r="AQ2138" t="s">
        <v>129</v>
      </c>
      <c r="AR2138">
        <v>125</v>
      </c>
      <c r="AS2138">
        <v>-34</v>
      </c>
      <c r="AT2138">
        <v>256</v>
      </c>
      <c r="BB2138">
        <v>1200</v>
      </c>
      <c r="BC2138">
        <v>1</v>
      </c>
      <c r="BD2138" t="str">
        <f t="shared" si="754"/>
        <v xml:space="preserve">N887QR  </v>
      </c>
      <c r="BE2138">
        <v>1</v>
      </c>
      <c r="BG2138">
        <v>0</v>
      </c>
      <c r="BH2138">
        <v>0</v>
      </c>
      <c r="BI2138">
        <v>0</v>
      </c>
      <c r="BJ2138">
        <v>2750</v>
      </c>
      <c r="BK2138">
        <v>-250</v>
      </c>
      <c r="BL2138" t="s">
        <v>163</v>
      </c>
      <c r="BM2138">
        <v>1</v>
      </c>
      <c r="BN2138">
        <v>1</v>
      </c>
      <c r="BO2138">
        <v>1</v>
      </c>
      <c r="BP2138">
        <v>0</v>
      </c>
      <c r="BS2138">
        <v>0.12</v>
      </c>
      <c r="BT2138">
        <v>0</v>
      </c>
      <c r="BU2138">
        <v>0</v>
      </c>
      <c r="CE2138" t="str">
        <f t="shared" ref="CE2138:CE2144" si="764">"19:31:09.094"</f>
        <v>19:31:09.094</v>
      </c>
      <c r="CF2138">
        <v>93780846</v>
      </c>
      <c r="CS2138">
        <v>0</v>
      </c>
      <c r="CT2138">
        <v>2</v>
      </c>
      <c r="CU2138">
        <v>0</v>
      </c>
      <c r="CV2138">
        <v>2</v>
      </c>
      <c r="CW2138">
        <v>0</v>
      </c>
      <c r="CX2138">
        <v>5</v>
      </c>
      <c r="CY2138">
        <v>7</v>
      </c>
      <c r="CZ2138" t="s">
        <v>131</v>
      </c>
      <c r="DA2138">
        <v>300</v>
      </c>
      <c r="DB2138">
        <v>0</v>
      </c>
      <c r="DC2138" t="s">
        <v>176</v>
      </c>
      <c r="DD2138" t="s">
        <v>177</v>
      </c>
      <c r="DG2138">
        <v>5403365</v>
      </c>
      <c r="DI2138">
        <v>1</v>
      </c>
      <c r="DJ2138">
        <v>0</v>
      </c>
      <c r="DK2138">
        <v>0</v>
      </c>
      <c r="DL2138">
        <v>0</v>
      </c>
      <c r="DM2138">
        <v>0</v>
      </c>
      <c r="DN2138">
        <v>1</v>
      </c>
      <c r="DO2138">
        <v>0</v>
      </c>
      <c r="DP2138">
        <v>0</v>
      </c>
      <c r="DQ2138">
        <v>0</v>
      </c>
      <c r="DR2138">
        <v>0</v>
      </c>
      <c r="DS2138">
        <v>0</v>
      </c>
    </row>
    <row r="2139" spans="1:123" x14ac:dyDescent="0.3">
      <c r="A2139" t="str">
        <f>"10/04/2022 19:31:09.306"</f>
        <v>10/04/2022 19:31:09.306</v>
      </c>
      <c r="C2139" t="str">
        <f t="shared" si="762"/>
        <v>FFDFD3C0</v>
      </c>
      <c r="D2139" t="s">
        <v>143</v>
      </c>
      <c r="E2139">
        <v>20</v>
      </c>
      <c r="F2139">
        <v>1020</v>
      </c>
      <c r="G2139" t="s">
        <v>144</v>
      </c>
      <c r="J2139" t="s">
        <v>145</v>
      </c>
      <c r="K2139">
        <v>0</v>
      </c>
      <c r="L2139">
        <v>3</v>
      </c>
      <c r="M2139">
        <v>0</v>
      </c>
      <c r="N2139">
        <v>2</v>
      </c>
      <c r="O2139">
        <v>0</v>
      </c>
      <c r="P2139">
        <v>1</v>
      </c>
      <c r="Q2139">
        <v>0</v>
      </c>
      <c r="S2139" t="str">
        <f t="shared" si="763"/>
        <v>19:31:09.000</v>
      </c>
      <c r="T2139" t="str">
        <f t="shared" si="763"/>
        <v>19:31:09.000</v>
      </c>
      <c r="U2139" t="str">
        <f t="shared" si="753"/>
        <v>AC3944</v>
      </c>
      <c r="V2139">
        <v>0</v>
      </c>
      <c r="W2139">
        <v>0</v>
      </c>
      <c r="X2139">
        <v>2</v>
      </c>
      <c r="Y2139">
        <v>0</v>
      </c>
      <c r="AA2139">
        <v>1</v>
      </c>
      <c r="AB2139">
        <v>8</v>
      </c>
      <c r="AC2139">
        <v>3</v>
      </c>
      <c r="AD2139">
        <v>0</v>
      </c>
      <c r="AE2139">
        <v>9</v>
      </c>
      <c r="AF2139" t="s">
        <v>138</v>
      </c>
      <c r="AG2139">
        <v>0</v>
      </c>
      <c r="AH2139">
        <v>3</v>
      </c>
      <c r="AI2139">
        <v>1</v>
      </c>
      <c r="AJ2139">
        <v>0</v>
      </c>
      <c r="AK2139" t="s">
        <v>748</v>
      </c>
      <c r="AL2139">
        <v>32.772582</v>
      </c>
      <c r="AM2139" t="s">
        <v>749</v>
      </c>
      <c r="AN2139">
        <v>-116.825738</v>
      </c>
      <c r="AO2139">
        <v>25</v>
      </c>
      <c r="AP2139">
        <v>3000</v>
      </c>
      <c r="AQ2139" t="s">
        <v>129</v>
      </c>
      <c r="AR2139">
        <v>125</v>
      </c>
      <c r="AS2139">
        <v>-34</v>
      </c>
      <c r="AT2139">
        <v>256</v>
      </c>
      <c r="BB2139">
        <v>1200</v>
      </c>
      <c r="BC2139">
        <v>1</v>
      </c>
      <c r="BD2139" t="str">
        <f t="shared" si="754"/>
        <v xml:space="preserve">N887QR  </v>
      </c>
      <c r="BE2139">
        <v>1</v>
      </c>
      <c r="BG2139">
        <v>0</v>
      </c>
      <c r="BH2139">
        <v>0</v>
      </c>
      <c r="BI2139">
        <v>0</v>
      </c>
      <c r="BJ2139">
        <v>2750</v>
      </c>
      <c r="BK2139">
        <v>-250</v>
      </c>
      <c r="BL2139" t="s">
        <v>163</v>
      </c>
      <c r="BM2139">
        <v>1</v>
      </c>
      <c r="BN2139">
        <v>1</v>
      </c>
      <c r="BO2139">
        <v>1</v>
      </c>
      <c r="BP2139">
        <v>0</v>
      </c>
      <c r="BS2139">
        <v>0.12</v>
      </c>
      <c r="BT2139">
        <v>0</v>
      </c>
      <c r="BU2139">
        <v>0</v>
      </c>
      <c r="CE2139" t="str">
        <f t="shared" si="764"/>
        <v>19:31:09.094</v>
      </c>
      <c r="CF2139">
        <v>93780846</v>
      </c>
      <c r="CS2139">
        <v>0</v>
      </c>
      <c r="CT2139">
        <v>2</v>
      </c>
      <c r="CU2139">
        <v>0</v>
      </c>
      <c r="CV2139">
        <v>2</v>
      </c>
      <c r="CW2139">
        <v>0</v>
      </c>
      <c r="CX2139">
        <v>5</v>
      </c>
      <c r="CY2139">
        <v>7</v>
      </c>
      <c r="CZ2139" t="s">
        <v>131</v>
      </c>
      <c r="DA2139">
        <v>300</v>
      </c>
      <c r="DB2139">
        <v>0</v>
      </c>
      <c r="DC2139" t="s">
        <v>176</v>
      </c>
      <c r="DD2139" t="s">
        <v>177</v>
      </c>
      <c r="DG2139">
        <v>5403365</v>
      </c>
      <c r="DI2139">
        <v>1</v>
      </c>
      <c r="DJ2139">
        <v>0</v>
      </c>
      <c r="DK2139">
        <v>1</v>
      </c>
      <c r="DL2139">
        <v>0</v>
      </c>
      <c r="DM2139">
        <v>0</v>
      </c>
      <c r="DN2139">
        <v>1</v>
      </c>
      <c r="DO2139">
        <v>0</v>
      </c>
      <c r="DP2139">
        <v>0</v>
      </c>
      <c r="DQ2139">
        <v>0</v>
      </c>
      <c r="DR2139">
        <v>0</v>
      </c>
      <c r="DS2139">
        <v>0</v>
      </c>
    </row>
    <row r="2140" spans="1:123" x14ac:dyDescent="0.3">
      <c r="A2140" t="str">
        <f>"10/04/2022 19:31:09.306"</f>
        <v>10/04/2022 19:31:09.306</v>
      </c>
      <c r="C2140" t="str">
        <f t="shared" si="762"/>
        <v>FFDFD3C0</v>
      </c>
      <c r="D2140" t="s">
        <v>134</v>
      </c>
      <c r="E2140">
        <v>15</v>
      </c>
      <c r="J2140" t="s">
        <v>135</v>
      </c>
      <c r="K2140">
        <v>0</v>
      </c>
      <c r="L2140">
        <v>3</v>
      </c>
      <c r="M2140">
        <v>0</v>
      </c>
      <c r="N2140">
        <v>2</v>
      </c>
      <c r="O2140">
        <v>0</v>
      </c>
      <c r="P2140">
        <v>1</v>
      </c>
      <c r="Q2140">
        <v>0</v>
      </c>
      <c r="S2140" t="str">
        <f t="shared" si="763"/>
        <v>19:31:09.000</v>
      </c>
      <c r="T2140" t="str">
        <f t="shared" si="763"/>
        <v>19:31:09.000</v>
      </c>
      <c r="U2140" t="str">
        <f t="shared" si="753"/>
        <v>AC3944</v>
      </c>
      <c r="V2140">
        <v>0</v>
      </c>
      <c r="W2140">
        <v>0</v>
      </c>
      <c r="X2140">
        <v>2</v>
      </c>
      <c r="Y2140">
        <v>0</v>
      </c>
      <c r="AA2140">
        <v>1</v>
      </c>
      <c r="AB2140">
        <v>8</v>
      </c>
      <c r="AC2140">
        <v>3</v>
      </c>
      <c r="AD2140">
        <v>0</v>
      </c>
      <c r="AE2140">
        <v>9</v>
      </c>
      <c r="AF2140" t="s">
        <v>138</v>
      </c>
      <c r="AG2140">
        <v>0</v>
      </c>
      <c r="AH2140">
        <v>3</v>
      </c>
      <c r="AI2140">
        <v>1</v>
      </c>
      <c r="AJ2140">
        <v>0</v>
      </c>
      <c r="AK2140" t="s">
        <v>748</v>
      </c>
      <c r="AL2140">
        <v>32.772582</v>
      </c>
      <c r="AM2140" t="s">
        <v>749</v>
      </c>
      <c r="AN2140">
        <v>-116.825738</v>
      </c>
      <c r="AO2140">
        <v>25</v>
      </c>
      <c r="AP2140">
        <v>3000</v>
      </c>
      <c r="AQ2140" t="s">
        <v>129</v>
      </c>
      <c r="AR2140">
        <v>125</v>
      </c>
      <c r="AS2140">
        <v>-34</v>
      </c>
      <c r="AT2140">
        <v>256</v>
      </c>
      <c r="BB2140">
        <v>1200</v>
      </c>
      <c r="BC2140">
        <v>1</v>
      </c>
      <c r="BD2140" t="str">
        <f t="shared" si="754"/>
        <v xml:space="preserve">N887QR  </v>
      </c>
      <c r="BE2140">
        <v>1</v>
      </c>
      <c r="BG2140">
        <v>0</v>
      </c>
      <c r="BH2140">
        <v>0</v>
      </c>
      <c r="BI2140">
        <v>0</v>
      </c>
      <c r="BJ2140">
        <v>2750</v>
      </c>
      <c r="BK2140">
        <v>-250</v>
      </c>
      <c r="BL2140" t="s">
        <v>163</v>
      </c>
      <c r="BM2140">
        <v>1</v>
      </c>
      <c r="BN2140">
        <v>1</v>
      </c>
      <c r="BO2140">
        <v>1</v>
      </c>
      <c r="BP2140">
        <v>0</v>
      </c>
      <c r="BS2140">
        <v>0.12</v>
      </c>
      <c r="BT2140">
        <v>0</v>
      </c>
      <c r="BU2140">
        <v>0</v>
      </c>
      <c r="CE2140" t="str">
        <f t="shared" si="764"/>
        <v>19:31:09.094</v>
      </c>
      <c r="CF2140">
        <v>93780846</v>
      </c>
      <c r="CS2140">
        <v>0</v>
      </c>
      <c r="CT2140">
        <v>2</v>
      </c>
      <c r="CU2140">
        <v>0</v>
      </c>
      <c r="CV2140">
        <v>2</v>
      </c>
      <c r="CW2140">
        <v>0</v>
      </c>
      <c r="CX2140">
        <v>5</v>
      </c>
      <c r="CY2140">
        <v>7</v>
      </c>
      <c r="CZ2140" t="s">
        <v>131</v>
      </c>
      <c r="DA2140">
        <v>300</v>
      </c>
      <c r="DB2140">
        <v>0</v>
      </c>
      <c r="DC2140" t="s">
        <v>176</v>
      </c>
      <c r="DD2140" t="s">
        <v>177</v>
      </c>
      <c r="DG2140">
        <v>5403365</v>
      </c>
      <c r="DI2140">
        <v>1</v>
      </c>
      <c r="DJ2140">
        <v>0</v>
      </c>
      <c r="DK2140">
        <v>1</v>
      </c>
      <c r="DL2140">
        <v>0</v>
      </c>
      <c r="DM2140">
        <v>0</v>
      </c>
      <c r="DN2140">
        <v>1</v>
      </c>
      <c r="DO2140">
        <v>0</v>
      </c>
      <c r="DP2140">
        <v>0</v>
      </c>
      <c r="DQ2140">
        <v>0</v>
      </c>
      <c r="DR2140">
        <v>0</v>
      </c>
      <c r="DS2140">
        <v>0</v>
      </c>
    </row>
    <row r="2141" spans="1:123" x14ac:dyDescent="0.3">
      <c r="A2141" t="str">
        <f>"10/04/2022 19:31:09.306"</f>
        <v>10/04/2022 19:31:09.306</v>
      </c>
      <c r="C2141" t="str">
        <f t="shared" si="762"/>
        <v>FFDFD3C0</v>
      </c>
      <c r="D2141" t="s">
        <v>141</v>
      </c>
      <c r="E2141">
        <v>4</v>
      </c>
      <c r="H2141">
        <v>4</v>
      </c>
      <c r="I2141" t="s">
        <v>142</v>
      </c>
      <c r="J2141" t="s">
        <v>138</v>
      </c>
      <c r="K2141">
        <v>0</v>
      </c>
      <c r="L2141">
        <v>3</v>
      </c>
      <c r="M2141">
        <v>0</v>
      </c>
      <c r="N2141">
        <v>2</v>
      </c>
      <c r="O2141">
        <v>0</v>
      </c>
      <c r="P2141">
        <v>1</v>
      </c>
      <c r="Q2141">
        <v>0</v>
      </c>
      <c r="S2141" t="str">
        <f t="shared" si="763"/>
        <v>19:31:09.000</v>
      </c>
      <c r="T2141" t="str">
        <f t="shared" si="763"/>
        <v>19:31:09.000</v>
      </c>
      <c r="U2141" t="str">
        <f t="shared" si="753"/>
        <v>AC3944</v>
      </c>
      <c r="V2141">
        <v>0</v>
      </c>
      <c r="W2141">
        <v>0</v>
      </c>
      <c r="X2141">
        <v>2</v>
      </c>
      <c r="Y2141">
        <v>0</v>
      </c>
      <c r="AA2141">
        <v>1</v>
      </c>
      <c r="AB2141">
        <v>8</v>
      </c>
      <c r="AC2141">
        <v>3</v>
      </c>
      <c r="AD2141">
        <v>0</v>
      </c>
      <c r="AE2141">
        <v>9</v>
      </c>
      <c r="AF2141" t="s">
        <v>138</v>
      </c>
      <c r="AG2141">
        <v>0</v>
      </c>
      <c r="AH2141">
        <v>3</v>
      </c>
      <c r="AI2141">
        <v>1</v>
      </c>
      <c r="AJ2141">
        <v>0</v>
      </c>
      <c r="AK2141" t="s">
        <v>748</v>
      </c>
      <c r="AL2141">
        <v>32.772582</v>
      </c>
      <c r="AM2141" t="s">
        <v>749</v>
      </c>
      <c r="AN2141">
        <v>-116.825738</v>
      </c>
      <c r="AO2141">
        <v>25</v>
      </c>
      <c r="AP2141">
        <v>3000</v>
      </c>
      <c r="AQ2141" t="s">
        <v>129</v>
      </c>
      <c r="AR2141">
        <v>125</v>
      </c>
      <c r="AS2141">
        <v>-34</v>
      </c>
      <c r="AT2141">
        <v>256</v>
      </c>
      <c r="BB2141">
        <v>1200</v>
      </c>
      <c r="BC2141">
        <v>1</v>
      </c>
      <c r="BD2141" t="str">
        <f t="shared" si="754"/>
        <v xml:space="preserve">N887QR  </v>
      </c>
      <c r="BE2141">
        <v>1</v>
      </c>
      <c r="BG2141">
        <v>0</v>
      </c>
      <c r="BH2141">
        <v>0</v>
      </c>
      <c r="BI2141">
        <v>0</v>
      </c>
      <c r="BJ2141">
        <v>2750</v>
      </c>
      <c r="BK2141">
        <v>-250</v>
      </c>
      <c r="BL2141" t="s">
        <v>163</v>
      </c>
      <c r="BM2141">
        <v>1</v>
      </c>
      <c r="BN2141">
        <v>1</v>
      </c>
      <c r="BO2141">
        <v>1</v>
      </c>
      <c r="BP2141">
        <v>0</v>
      </c>
      <c r="BS2141">
        <v>0.12</v>
      </c>
      <c r="BT2141">
        <v>0</v>
      </c>
      <c r="BU2141">
        <v>0</v>
      </c>
      <c r="CE2141" t="str">
        <f t="shared" si="764"/>
        <v>19:31:09.094</v>
      </c>
      <c r="CF2141">
        <v>93780846</v>
      </c>
      <c r="CS2141">
        <v>0</v>
      </c>
      <c r="CT2141">
        <v>2</v>
      </c>
      <c r="CU2141">
        <v>0</v>
      </c>
      <c r="CV2141">
        <v>2</v>
      </c>
      <c r="CW2141">
        <v>0</v>
      </c>
      <c r="CX2141">
        <v>5</v>
      </c>
      <c r="CY2141">
        <v>7</v>
      </c>
      <c r="CZ2141" t="s">
        <v>131</v>
      </c>
      <c r="DA2141">
        <v>300</v>
      </c>
      <c r="DB2141">
        <v>0</v>
      </c>
      <c r="DC2141" t="s">
        <v>176</v>
      </c>
      <c r="DD2141" t="s">
        <v>177</v>
      </c>
      <c r="DG2141">
        <v>5403365</v>
      </c>
      <c r="DI2141">
        <v>1</v>
      </c>
      <c r="DJ2141">
        <v>0</v>
      </c>
      <c r="DK2141">
        <v>1</v>
      </c>
      <c r="DL2141">
        <v>0</v>
      </c>
      <c r="DM2141">
        <v>0</v>
      </c>
      <c r="DN2141">
        <v>1</v>
      </c>
      <c r="DO2141">
        <v>0</v>
      </c>
      <c r="DP2141">
        <v>0</v>
      </c>
      <c r="DQ2141">
        <v>0</v>
      </c>
      <c r="DR2141">
        <v>0</v>
      </c>
      <c r="DS2141">
        <v>0</v>
      </c>
    </row>
    <row r="2142" spans="1:123" x14ac:dyDescent="0.3">
      <c r="A2142" t="str">
        <f>"10/04/2022 19:31:09.322"</f>
        <v>10/04/2022 19:31:09.322</v>
      </c>
      <c r="C2142" t="str">
        <f t="shared" si="762"/>
        <v>FFDFD3C0</v>
      </c>
      <c r="D2142" t="s">
        <v>123</v>
      </c>
      <c r="E2142">
        <v>7</v>
      </c>
      <c r="F2142">
        <v>2007</v>
      </c>
      <c r="G2142" t="s">
        <v>124</v>
      </c>
      <c r="J2142" t="s">
        <v>125</v>
      </c>
      <c r="K2142">
        <v>0</v>
      </c>
      <c r="L2142">
        <v>3</v>
      </c>
      <c r="M2142">
        <v>0</v>
      </c>
      <c r="N2142">
        <v>2</v>
      </c>
      <c r="O2142">
        <v>0</v>
      </c>
      <c r="P2142">
        <v>1</v>
      </c>
      <c r="Q2142">
        <v>0</v>
      </c>
      <c r="S2142" t="str">
        <f t="shared" si="763"/>
        <v>19:31:09.000</v>
      </c>
      <c r="T2142" t="str">
        <f t="shared" si="763"/>
        <v>19:31:09.000</v>
      </c>
      <c r="U2142" t="str">
        <f t="shared" si="753"/>
        <v>AC3944</v>
      </c>
      <c r="V2142">
        <v>0</v>
      </c>
      <c r="W2142">
        <v>0</v>
      </c>
      <c r="X2142">
        <v>2</v>
      </c>
      <c r="Y2142">
        <v>0</v>
      </c>
      <c r="AA2142">
        <v>1</v>
      </c>
      <c r="AB2142">
        <v>8</v>
      </c>
      <c r="AC2142">
        <v>3</v>
      </c>
      <c r="AD2142">
        <v>0</v>
      </c>
      <c r="AE2142">
        <v>9</v>
      </c>
      <c r="AF2142" t="s">
        <v>138</v>
      </c>
      <c r="AG2142">
        <v>0</v>
      </c>
      <c r="AH2142">
        <v>3</v>
      </c>
      <c r="AI2142">
        <v>1</v>
      </c>
      <c r="AJ2142">
        <v>0</v>
      </c>
      <c r="AK2142" t="s">
        <v>748</v>
      </c>
      <c r="AL2142">
        <v>32.772582</v>
      </c>
      <c r="AM2142" t="s">
        <v>749</v>
      </c>
      <c r="AN2142">
        <v>-116.825738</v>
      </c>
      <c r="AO2142">
        <v>25</v>
      </c>
      <c r="AP2142">
        <v>3000</v>
      </c>
      <c r="AQ2142" t="s">
        <v>129</v>
      </c>
      <c r="AR2142">
        <v>125</v>
      </c>
      <c r="AS2142">
        <v>-34</v>
      </c>
      <c r="AT2142">
        <v>256</v>
      </c>
      <c r="BB2142">
        <v>1200</v>
      </c>
      <c r="BC2142">
        <v>1</v>
      </c>
      <c r="BD2142" t="str">
        <f t="shared" si="754"/>
        <v xml:space="preserve">N887QR  </v>
      </c>
      <c r="BE2142">
        <v>1</v>
      </c>
      <c r="BG2142">
        <v>0</v>
      </c>
      <c r="BH2142">
        <v>0</v>
      </c>
      <c r="BI2142">
        <v>0</v>
      </c>
      <c r="BJ2142">
        <v>2750</v>
      </c>
      <c r="BK2142">
        <v>-250</v>
      </c>
      <c r="BL2142" t="s">
        <v>163</v>
      </c>
      <c r="BM2142">
        <v>1</v>
      </c>
      <c r="BN2142">
        <v>1</v>
      </c>
      <c r="BO2142">
        <v>1</v>
      </c>
      <c r="BP2142">
        <v>0</v>
      </c>
      <c r="BS2142">
        <v>0.12</v>
      </c>
      <c r="BT2142">
        <v>0</v>
      </c>
      <c r="BU2142">
        <v>0</v>
      </c>
      <c r="CE2142" t="str">
        <f t="shared" si="764"/>
        <v>19:31:09.094</v>
      </c>
      <c r="CF2142">
        <v>93780846</v>
      </c>
      <c r="CS2142">
        <v>0</v>
      </c>
      <c r="CT2142">
        <v>2</v>
      </c>
      <c r="CU2142">
        <v>0</v>
      </c>
      <c r="CV2142">
        <v>2</v>
      </c>
      <c r="CW2142">
        <v>0</v>
      </c>
      <c r="CX2142">
        <v>5</v>
      </c>
      <c r="CY2142">
        <v>7</v>
      </c>
      <c r="CZ2142" t="s">
        <v>131</v>
      </c>
      <c r="DA2142">
        <v>300</v>
      </c>
      <c r="DB2142">
        <v>0</v>
      </c>
      <c r="DC2142" t="s">
        <v>176</v>
      </c>
      <c r="DD2142" t="s">
        <v>177</v>
      </c>
      <c r="DG2142">
        <v>5403365</v>
      </c>
      <c r="DI2142">
        <v>1</v>
      </c>
      <c r="DJ2142">
        <v>0</v>
      </c>
      <c r="DK2142">
        <v>1</v>
      </c>
      <c r="DL2142">
        <v>0</v>
      </c>
      <c r="DM2142">
        <v>0</v>
      </c>
      <c r="DN2142">
        <v>1</v>
      </c>
      <c r="DO2142">
        <v>0</v>
      </c>
      <c r="DP2142">
        <v>0</v>
      </c>
      <c r="DQ2142">
        <v>0</v>
      </c>
      <c r="DR2142">
        <v>0</v>
      </c>
      <c r="DS2142">
        <v>0</v>
      </c>
    </row>
    <row r="2143" spans="1:123" x14ac:dyDescent="0.3">
      <c r="A2143" t="str">
        <f>"10/04/2022 19:31:09.431"</f>
        <v>10/04/2022 19:31:09.431</v>
      </c>
      <c r="C2143" t="str">
        <f t="shared" si="762"/>
        <v>FFDFD3C0</v>
      </c>
      <c r="D2143" t="s">
        <v>141</v>
      </c>
      <c r="E2143">
        <v>3</v>
      </c>
      <c r="H2143">
        <v>3</v>
      </c>
      <c r="I2143" t="s">
        <v>146</v>
      </c>
      <c r="J2143" t="s">
        <v>138</v>
      </c>
      <c r="K2143">
        <v>0</v>
      </c>
      <c r="L2143">
        <v>3</v>
      </c>
      <c r="M2143">
        <v>0</v>
      </c>
      <c r="N2143">
        <v>2</v>
      </c>
      <c r="O2143">
        <v>0</v>
      </c>
      <c r="P2143">
        <v>1</v>
      </c>
      <c r="Q2143">
        <v>0</v>
      </c>
      <c r="S2143" t="str">
        <f t="shared" si="763"/>
        <v>19:31:09.000</v>
      </c>
      <c r="T2143" t="str">
        <f t="shared" si="763"/>
        <v>19:31:09.000</v>
      </c>
      <c r="U2143" t="str">
        <f t="shared" si="753"/>
        <v>AC3944</v>
      </c>
      <c r="V2143">
        <v>0</v>
      </c>
      <c r="W2143">
        <v>0</v>
      </c>
      <c r="X2143">
        <v>2</v>
      </c>
      <c r="Y2143">
        <v>0</v>
      </c>
      <c r="AA2143">
        <v>1</v>
      </c>
      <c r="AB2143">
        <v>8</v>
      </c>
      <c r="AC2143">
        <v>3</v>
      </c>
      <c r="AD2143">
        <v>0</v>
      </c>
      <c r="AE2143">
        <v>9</v>
      </c>
      <c r="AF2143" t="s">
        <v>138</v>
      </c>
      <c r="AG2143">
        <v>0</v>
      </c>
      <c r="AH2143">
        <v>3</v>
      </c>
      <c r="AI2143">
        <v>1</v>
      </c>
      <c r="AJ2143">
        <v>0</v>
      </c>
      <c r="AK2143" t="s">
        <v>748</v>
      </c>
      <c r="AL2143">
        <v>32.772582</v>
      </c>
      <c r="AM2143" t="s">
        <v>749</v>
      </c>
      <c r="AN2143">
        <v>-116.825738</v>
      </c>
      <c r="AO2143">
        <v>25</v>
      </c>
      <c r="AP2143">
        <v>3000</v>
      </c>
      <c r="AQ2143" t="s">
        <v>129</v>
      </c>
      <c r="AR2143">
        <v>125</v>
      </c>
      <c r="AS2143">
        <v>-34</v>
      </c>
      <c r="AT2143">
        <v>256</v>
      </c>
      <c r="BB2143">
        <v>1200</v>
      </c>
      <c r="BC2143">
        <v>1</v>
      </c>
      <c r="BD2143" t="str">
        <f t="shared" si="754"/>
        <v xml:space="preserve">N887QR  </v>
      </c>
      <c r="BE2143">
        <v>1</v>
      </c>
      <c r="BG2143">
        <v>0</v>
      </c>
      <c r="BH2143">
        <v>0</v>
      </c>
      <c r="BI2143">
        <v>0</v>
      </c>
      <c r="BJ2143">
        <v>2750</v>
      </c>
      <c r="BK2143">
        <v>-250</v>
      </c>
      <c r="BL2143" t="s">
        <v>163</v>
      </c>
      <c r="BM2143">
        <v>1</v>
      </c>
      <c r="BN2143">
        <v>1</v>
      </c>
      <c r="BO2143">
        <v>1</v>
      </c>
      <c r="BP2143">
        <v>0</v>
      </c>
      <c r="BS2143">
        <v>0.12</v>
      </c>
      <c r="BT2143">
        <v>0</v>
      </c>
      <c r="BU2143">
        <v>0</v>
      </c>
      <c r="CE2143" t="str">
        <f t="shared" si="764"/>
        <v>19:31:09.094</v>
      </c>
      <c r="CF2143">
        <v>93780846</v>
      </c>
      <c r="CS2143">
        <v>0</v>
      </c>
      <c r="CT2143">
        <v>2</v>
      </c>
      <c r="CU2143">
        <v>0</v>
      </c>
      <c r="CV2143">
        <v>2</v>
      </c>
      <c r="CW2143">
        <v>0</v>
      </c>
      <c r="CX2143">
        <v>5</v>
      </c>
      <c r="CY2143">
        <v>7</v>
      </c>
      <c r="CZ2143" t="s">
        <v>131</v>
      </c>
      <c r="DA2143">
        <v>300</v>
      </c>
      <c r="DB2143">
        <v>0</v>
      </c>
      <c r="DC2143" t="s">
        <v>176</v>
      </c>
      <c r="DD2143" t="s">
        <v>177</v>
      </c>
      <c r="DG2143">
        <v>5403365</v>
      </c>
      <c r="DI2143">
        <v>1</v>
      </c>
      <c r="DJ2143">
        <v>0</v>
      </c>
      <c r="DK2143">
        <v>1</v>
      </c>
      <c r="DL2143">
        <v>0</v>
      </c>
      <c r="DM2143">
        <v>0</v>
      </c>
      <c r="DN2143">
        <v>1</v>
      </c>
      <c r="DO2143">
        <v>0</v>
      </c>
      <c r="DP2143">
        <v>0</v>
      </c>
      <c r="DQ2143">
        <v>0</v>
      </c>
      <c r="DR2143">
        <v>0</v>
      </c>
      <c r="DS2143">
        <v>0</v>
      </c>
    </row>
    <row r="2144" spans="1:123" x14ac:dyDescent="0.3">
      <c r="A2144" t="str">
        <f>"10/04/2022 19:31:09.463"</f>
        <v>10/04/2022 19:31:09.463</v>
      </c>
      <c r="C2144" t="str">
        <f t="shared" si="762"/>
        <v>FFDFD3C0</v>
      </c>
      <c r="D2144" t="s">
        <v>136</v>
      </c>
      <c r="E2144">
        <v>8</v>
      </c>
      <c r="H2144">
        <v>225</v>
      </c>
      <c r="I2144" t="s">
        <v>137</v>
      </c>
      <c r="J2144" t="s">
        <v>138</v>
      </c>
      <c r="K2144">
        <v>0</v>
      </c>
      <c r="L2144">
        <v>3</v>
      </c>
      <c r="M2144">
        <v>0</v>
      </c>
      <c r="N2144">
        <v>2</v>
      </c>
      <c r="O2144">
        <v>0</v>
      </c>
      <c r="P2144">
        <v>1</v>
      </c>
      <c r="Q2144">
        <v>0</v>
      </c>
      <c r="S2144" t="str">
        <f t="shared" si="763"/>
        <v>19:31:09.000</v>
      </c>
      <c r="T2144" t="str">
        <f t="shared" si="763"/>
        <v>19:31:09.000</v>
      </c>
      <c r="U2144" t="str">
        <f t="shared" si="753"/>
        <v>AC3944</v>
      </c>
      <c r="V2144">
        <v>0</v>
      </c>
      <c r="W2144">
        <v>0</v>
      </c>
      <c r="X2144">
        <v>2</v>
      </c>
      <c r="Y2144">
        <v>0</v>
      </c>
      <c r="AA2144">
        <v>1</v>
      </c>
      <c r="AB2144">
        <v>8</v>
      </c>
      <c r="AC2144">
        <v>3</v>
      </c>
      <c r="AD2144">
        <v>0</v>
      </c>
      <c r="AE2144">
        <v>9</v>
      </c>
      <c r="AF2144" t="s">
        <v>138</v>
      </c>
      <c r="AG2144">
        <v>0</v>
      </c>
      <c r="AH2144">
        <v>3</v>
      </c>
      <c r="AI2144">
        <v>1</v>
      </c>
      <c r="AJ2144">
        <v>0</v>
      </c>
      <c r="AK2144" t="s">
        <v>748</v>
      </c>
      <c r="AL2144">
        <v>32.772582</v>
      </c>
      <c r="AM2144" t="s">
        <v>749</v>
      </c>
      <c r="AN2144">
        <v>-116.825738</v>
      </c>
      <c r="AO2144">
        <v>25</v>
      </c>
      <c r="AP2144">
        <v>3000</v>
      </c>
      <c r="AQ2144" t="s">
        <v>129</v>
      </c>
      <c r="AR2144">
        <v>125</v>
      </c>
      <c r="AS2144">
        <v>-34</v>
      </c>
      <c r="AT2144">
        <v>256</v>
      </c>
      <c r="BB2144">
        <v>1200</v>
      </c>
      <c r="BC2144">
        <v>1</v>
      </c>
      <c r="BD2144" t="str">
        <f t="shared" si="754"/>
        <v xml:space="preserve">N887QR  </v>
      </c>
      <c r="BE2144">
        <v>1</v>
      </c>
      <c r="BG2144">
        <v>0</v>
      </c>
      <c r="BH2144">
        <v>0</v>
      </c>
      <c r="BI2144">
        <v>0</v>
      </c>
      <c r="BJ2144">
        <v>2750</v>
      </c>
      <c r="BK2144">
        <v>-250</v>
      </c>
      <c r="BL2144" t="s">
        <v>163</v>
      </c>
      <c r="BM2144">
        <v>1</v>
      </c>
      <c r="BN2144">
        <v>1</v>
      </c>
      <c r="BO2144">
        <v>1</v>
      </c>
      <c r="BP2144">
        <v>0</v>
      </c>
      <c r="BS2144">
        <v>0.12</v>
      </c>
      <c r="BT2144">
        <v>0</v>
      </c>
      <c r="BU2144">
        <v>0</v>
      </c>
      <c r="CE2144" t="str">
        <f t="shared" si="764"/>
        <v>19:31:09.094</v>
      </c>
      <c r="CF2144">
        <v>93780846</v>
      </c>
      <c r="CS2144">
        <v>0</v>
      </c>
      <c r="CT2144">
        <v>2</v>
      </c>
      <c r="CU2144">
        <v>0</v>
      </c>
      <c r="CV2144">
        <v>2</v>
      </c>
      <c r="CW2144">
        <v>0</v>
      </c>
      <c r="CX2144">
        <v>5</v>
      </c>
      <c r="CY2144">
        <v>7</v>
      </c>
      <c r="CZ2144" t="s">
        <v>131</v>
      </c>
      <c r="DA2144">
        <v>300</v>
      </c>
      <c r="DB2144">
        <v>0</v>
      </c>
      <c r="DC2144" t="s">
        <v>176</v>
      </c>
      <c r="DD2144" t="s">
        <v>177</v>
      </c>
      <c r="DG2144">
        <v>5403365</v>
      </c>
      <c r="DI2144">
        <v>1</v>
      </c>
      <c r="DJ2144">
        <v>0</v>
      </c>
      <c r="DK2144">
        <v>1</v>
      </c>
      <c r="DL2144">
        <v>0</v>
      </c>
      <c r="DM2144">
        <v>0</v>
      </c>
      <c r="DN2144">
        <v>1</v>
      </c>
      <c r="DO2144">
        <v>0</v>
      </c>
      <c r="DP2144">
        <v>0</v>
      </c>
      <c r="DQ2144">
        <v>0</v>
      </c>
      <c r="DR2144">
        <v>0</v>
      </c>
      <c r="DS2144">
        <v>0</v>
      </c>
    </row>
    <row r="2145" spans="1:123" x14ac:dyDescent="0.3">
      <c r="A2145" t="str">
        <f t="shared" ref="A2145:A2150" si="765">"10/04/2022 19:31:10.479"</f>
        <v>10/04/2022 19:31:10.479</v>
      </c>
      <c r="C2145" t="str">
        <f t="shared" si="762"/>
        <v>FFDFD3C0</v>
      </c>
      <c r="D2145" t="s">
        <v>136</v>
      </c>
      <c r="E2145">
        <v>8</v>
      </c>
      <c r="H2145">
        <v>225</v>
      </c>
      <c r="I2145" t="s">
        <v>137</v>
      </c>
      <c r="J2145" t="s">
        <v>138</v>
      </c>
      <c r="K2145">
        <v>0</v>
      </c>
      <c r="L2145">
        <v>3</v>
      </c>
      <c r="M2145">
        <v>0</v>
      </c>
      <c r="N2145">
        <v>2</v>
      </c>
      <c r="O2145">
        <v>0</v>
      </c>
      <c r="P2145">
        <v>1</v>
      </c>
      <c r="Q2145">
        <v>0</v>
      </c>
      <c r="S2145" t="str">
        <f t="shared" ref="S2145:T2150" si="766">"19:31:10.000"</f>
        <v>19:31:10.000</v>
      </c>
      <c r="T2145" t="str">
        <f t="shared" si="766"/>
        <v>19:31:10.000</v>
      </c>
      <c r="U2145" t="str">
        <f t="shared" si="753"/>
        <v>AC3944</v>
      </c>
      <c r="V2145">
        <v>0</v>
      </c>
      <c r="W2145">
        <v>0</v>
      </c>
      <c r="X2145">
        <v>2</v>
      </c>
      <c r="Y2145">
        <v>0</v>
      </c>
      <c r="AA2145">
        <v>1</v>
      </c>
      <c r="AB2145">
        <v>8</v>
      </c>
      <c r="AC2145">
        <v>3</v>
      </c>
      <c r="AD2145">
        <v>0</v>
      </c>
      <c r="AE2145">
        <v>9</v>
      </c>
      <c r="AF2145" t="s">
        <v>138</v>
      </c>
      <c r="AG2145">
        <v>0</v>
      </c>
      <c r="AH2145">
        <v>3</v>
      </c>
      <c r="AI2145">
        <v>1</v>
      </c>
      <c r="AJ2145">
        <v>0</v>
      </c>
      <c r="AK2145" t="s">
        <v>750</v>
      </c>
      <c r="AL2145">
        <v>32.772387999999999</v>
      </c>
      <c r="AM2145" t="s">
        <v>751</v>
      </c>
      <c r="AN2145">
        <v>-116.824901</v>
      </c>
      <c r="AO2145">
        <v>25</v>
      </c>
      <c r="AP2145">
        <v>3000</v>
      </c>
      <c r="AQ2145" t="s">
        <v>129</v>
      </c>
      <c r="AR2145">
        <v>125</v>
      </c>
      <c r="AS2145">
        <v>-34</v>
      </c>
      <c r="AT2145">
        <v>256</v>
      </c>
      <c r="BB2145">
        <v>1200</v>
      </c>
      <c r="BC2145">
        <v>1</v>
      </c>
      <c r="BD2145" t="str">
        <f t="shared" si="754"/>
        <v xml:space="preserve">N887QR  </v>
      </c>
      <c r="BE2145">
        <v>1</v>
      </c>
      <c r="BG2145">
        <v>0</v>
      </c>
      <c r="BH2145">
        <v>0</v>
      </c>
      <c r="BI2145">
        <v>0</v>
      </c>
      <c r="BJ2145">
        <v>2750</v>
      </c>
      <c r="BK2145">
        <v>-250</v>
      </c>
      <c r="BL2145" t="s">
        <v>163</v>
      </c>
      <c r="BM2145">
        <v>1</v>
      </c>
      <c r="BN2145">
        <v>1</v>
      </c>
      <c r="BO2145">
        <v>1</v>
      </c>
      <c r="BP2145">
        <v>0</v>
      </c>
      <c r="BS2145">
        <v>0.12</v>
      </c>
      <c r="BT2145">
        <v>0</v>
      </c>
      <c r="BU2145">
        <v>0</v>
      </c>
      <c r="CE2145" t="str">
        <f t="shared" ref="CE2145:CE2150" si="767">"19:31:10.105"</f>
        <v>19:31:10.105</v>
      </c>
      <c r="CF2145">
        <v>105034155</v>
      </c>
      <c r="CS2145">
        <v>0</v>
      </c>
      <c r="CT2145">
        <v>2</v>
      </c>
      <c r="CU2145">
        <v>0</v>
      </c>
      <c r="CV2145">
        <v>2</v>
      </c>
      <c r="CW2145">
        <v>0</v>
      </c>
      <c r="CX2145">
        <v>5</v>
      </c>
      <c r="CY2145">
        <v>7</v>
      </c>
      <c r="CZ2145" t="s">
        <v>131</v>
      </c>
      <c r="DA2145">
        <v>300</v>
      </c>
      <c r="DB2145">
        <v>0</v>
      </c>
      <c r="DC2145" t="s">
        <v>176</v>
      </c>
      <c r="DD2145" t="s">
        <v>177</v>
      </c>
      <c r="DG2145">
        <v>5403521</v>
      </c>
      <c r="DI2145">
        <v>1</v>
      </c>
      <c r="DJ2145">
        <v>0</v>
      </c>
      <c r="DK2145">
        <v>0</v>
      </c>
      <c r="DL2145">
        <v>0</v>
      </c>
      <c r="DM2145">
        <v>0</v>
      </c>
      <c r="DN2145">
        <v>1</v>
      </c>
      <c r="DO2145">
        <v>0</v>
      </c>
      <c r="DP2145">
        <v>0</v>
      </c>
      <c r="DQ2145">
        <v>0</v>
      </c>
      <c r="DR2145">
        <v>0</v>
      </c>
      <c r="DS2145">
        <v>0</v>
      </c>
    </row>
    <row r="2146" spans="1:123" x14ac:dyDescent="0.3">
      <c r="A2146" t="str">
        <f t="shared" si="765"/>
        <v>10/04/2022 19:31:10.479</v>
      </c>
      <c r="C2146" t="str">
        <f t="shared" si="762"/>
        <v>FFDFD3C0</v>
      </c>
      <c r="D2146" t="s">
        <v>147</v>
      </c>
      <c r="E2146">
        <v>3</v>
      </c>
      <c r="H2146">
        <v>166</v>
      </c>
      <c r="I2146" t="s">
        <v>144</v>
      </c>
      <c r="J2146" t="s">
        <v>148</v>
      </c>
      <c r="K2146">
        <v>0</v>
      </c>
      <c r="L2146">
        <v>3</v>
      </c>
      <c r="M2146">
        <v>0</v>
      </c>
      <c r="N2146">
        <v>2</v>
      </c>
      <c r="O2146">
        <v>0</v>
      </c>
      <c r="P2146">
        <v>1</v>
      </c>
      <c r="Q2146">
        <v>0</v>
      </c>
      <c r="S2146" t="str">
        <f t="shared" si="766"/>
        <v>19:31:10.000</v>
      </c>
      <c r="T2146" t="str">
        <f t="shared" si="766"/>
        <v>19:31:10.000</v>
      </c>
      <c r="U2146" t="str">
        <f t="shared" si="753"/>
        <v>AC3944</v>
      </c>
      <c r="V2146">
        <v>0</v>
      </c>
      <c r="W2146">
        <v>0</v>
      </c>
      <c r="X2146">
        <v>2</v>
      </c>
      <c r="Y2146">
        <v>0</v>
      </c>
      <c r="AA2146">
        <v>1</v>
      </c>
      <c r="AB2146">
        <v>8</v>
      </c>
      <c r="AC2146">
        <v>3</v>
      </c>
      <c r="AD2146">
        <v>0</v>
      </c>
      <c r="AE2146">
        <v>9</v>
      </c>
      <c r="AF2146" t="s">
        <v>138</v>
      </c>
      <c r="AG2146">
        <v>0</v>
      </c>
      <c r="AH2146">
        <v>3</v>
      </c>
      <c r="AI2146">
        <v>1</v>
      </c>
      <c r="AJ2146">
        <v>0</v>
      </c>
      <c r="AK2146" t="s">
        <v>750</v>
      </c>
      <c r="AL2146">
        <v>32.772387999999999</v>
      </c>
      <c r="AM2146" t="s">
        <v>751</v>
      </c>
      <c r="AN2146">
        <v>-116.824901</v>
      </c>
      <c r="AO2146">
        <v>25</v>
      </c>
      <c r="AP2146">
        <v>3000</v>
      </c>
      <c r="AQ2146" t="s">
        <v>129</v>
      </c>
      <c r="AR2146">
        <v>125</v>
      </c>
      <c r="AS2146">
        <v>-34</v>
      </c>
      <c r="AT2146">
        <v>256</v>
      </c>
      <c r="BB2146">
        <v>1200</v>
      </c>
      <c r="BC2146">
        <v>1</v>
      </c>
      <c r="BD2146" t="str">
        <f t="shared" si="754"/>
        <v xml:space="preserve">N887QR  </v>
      </c>
      <c r="BE2146">
        <v>1</v>
      </c>
      <c r="BG2146">
        <v>0</v>
      </c>
      <c r="BH2146">
        <v>0</v>
      </c>
      <c r="BI2146">
        <v>0</v>
      </c>
      <c r="BJ2146">
        <v>2750</v>
      </c>
      <c r="BK2146">
        <v>-250</v>
      </c>
      <c r="BL2146" t="s">
        <v>163</v>
      </c>
      <c r="BM2146">
        <v>1</v>
      </c>
      <c r="BN2146">
        <v>1</v>
      </c>
      <c r="BO2146">
        <v>1</v>
      </c>
      <c r="BP2146">
        <v>0</v>
      </c>
      <c r="BS2146">
        <v>0.12</v>
      </c>
      <c r="BT2146">
        <v>0</v>
      </c>
      <c r="BU2146">
        <v>0</v>
      </c>
      <c r="CE2146" t="str">
        <f t="shared" si="767"/>
        <v>19:31:10.105</v>
      </c>
      <c r="CF2146">
        <v>105034155</v>
      </c>
      <c r="CS2146">
        <v>0</v>
      </c>
      <c r="CT2146">
        <v>2</v>
      </c>
      <c r="CU2146">
        <v>0</v>
      </c>
      <c r="CV2146">
        <v>2</v>
      </c>
      <c r="CW2146">
        <v>0</v>
      </c>
      <c r="CX2146">
        <v>5</v>
      </c>
      <c r="CY2146">
        <v>7</v>
      </c>
      <c r="CZ2146" t="s">
        <v>131</v>
      </c>
      <c r="DA2146">
        <v>300</v>
      </c>
      <c r="DB2146">
        <v>0</v>
      </c>
      <c r="DC2146" t="s">
        <v>176</v>
      </c>
      <c r="DD2146" t="s">
        <v>177</v>
      </c>
      <c r="DG2146">
        <v>5403521</v>
      </c>
      <c r="DI2146">
        <v>1</v>
      </c>
      <c r="DJ2146">
        <v>0</v>
      </c>
      <c r="DK2146">
        <v>1</v>
      </c>
      <c r="DL2146">
        <v>0</v>
      </c>
      <c r="DM2146">
        <v>0</v>
      </c>
      <c r="DN2146">
        <v>1</v>
      </c>
      <c r="DO2146">
        <v>0</v>
      </c>
      <c r="DP2146">
        <v>0</v>
      </c>
      <c r="DQ2146">
        <v>0</v>
      </c>
      <c r="DR2146">
        <v>0</v>
      </c>
      <c r="DS2146">
        <v>0</v>
      </c>
    </row>
    <row r="2147" spans="1:123" x14ac:dyDescent="0.3">
      <c r="A2147" t="str">
        <f t="shared" si="765"/>
        <v>10/04/2022 19:31:10.479</v>
      </c>
      <c r="C2147" t="str">
        <f t="shared" si="762"/>
        <v>FFDFD3C0</v>
      </c>
      <c r="D2147" t="s">
        <v>143</v>
      </c>
      <c r="E2147">
        <v>20</v>
      </c>
      <c r="F2147">
        <v>1020</v>
      </c>
      <c r="G2147" t="s">
        <v>144</v>
      </c>
      <c r="J2147" t="s">
        <v>145</v>
      </c>
      <c r="K2147">
        <v>0</v>
      </c>
      <c r="L2147">
        <v>3</v>
      </c>
      <c r="M2147">
        <v>0</v>
      </c>
      <c r="N2147">
        <v>2</v>
      </c>
      <c r="O2147">
        <v>0</v>
      </c>
      <c r="P2147">
        <v>1</v>
      </c>
      <c r="Q2147">
        <v>0</v>
      </c>
      <c r="S2147" t="str">
        <f t="shared" si="766"/>
        <v>19:31:10.000</v>
      </c>
      <c r="T2147" t="str">
        <f t="shared" si="766"/>
        <v>19:31:10.000</v>
      </c>
      <c r="U2147" t="str">
        <f t="shared" si="753"/>
        <v>AC3944</v>
      </c>
      <c r="V2147">
        <v>0</v>
      </c>
      <c r="W2147">
        <v>0</v>
      </c>
      <c r="X2147">
        <v>2</v>
      </c>
      <c r="Y2147">
        <v>0</v>
      </c>
      <c r="AA2147">
        <v>1</v>
      </c>
      <c r="AB2147">
        <v>8</v>
      </c>
      <c r="AC2147">
        <v>3</v>
      </c>
      <c r="AD2147">
        <v>0</v>
      </c>
      <c r="AE2147">
        <v>9</v>
      </c>
      <c r="AF2147" t="s">
        <v>138</v>
      </c>
      <c r="AG2147">
        <v>0</v>
      </c>
      <c r="AH2147">
        <v>3</v>
      </c>
      <c r="AI2147">
        <v>1</v>
      </c>
      <c r="AJ2147">
        <v>0</v>
      </c>
      <c r="AK2147" t="s">
        <v>750</v>
      </c>
      <c r="AL2147">
        <v>32.772387999999999</v>
      </c>
      <c r="AM2147" t="s">
        <v>751</v>
      </c>
      <c r="AN2147">
        <v>-116.824901</v>
      </c>
      <c r="AO2147">
        <v>25</v>
      </c>
      <c r="AP2147">
        <v>3000</v>
      </c>
      <c r="AQ2147" t="s">
        <v>129</v>
      </c>
      <c r="AR2147">
        <v>125</v>
      </c>
      <c r="AS2147">
        <v>-34</v>
      </c>
      <c r="AT2147">
        <v>256</v>
      </c>
      <c r="BB2147">
        <v>1200</v>
      </c>
      <c r="BC2147">
        <v>1</v>
      </c>
      <c r="BD2147" t="str">
        <f t="shared" si="754"/>
        <v xml:space="preserve">N887QR  </v>
      </c>
      <c r="BE2147">
        <v>1</v>
      </c>
      <c r="BG2147">
        <v>0</v>
      </c>
      <c r="BH2147">
        <v>0</v>
      </c>
      <c r="BI2147">
        <v>0</v>
      </c>
      <c r="BJ2147">
        <v>2750</v>
      </c>
      <c r="BK2147">
        <v>-250</v>
      </c>
      <c r="BL2147" t="s">
        <v>163</v>
      </c>
      <c r="BM2147">
        <v>1</v>
      </c>
      <c r="BN2147">
        <v>1</v>
      </c>
      <c r="BO2147">
        <v>1</v>
      </c>
      <c r="BP2147">
        <v>0</v>
      </c>
      <c r="BS2147">
        <v>0.12</v>
      </c>
      <c r="BT2147">
        <v>0</v>
      </c>
      <c r="BU2147">
        <v>0</v>
      </c>
      <c r="CE2147" t="str">
        <f t="shared" si="767"/>
        <v>19:31:10.105</v>
      </c>
      <c r="CF2147">
        <v>105034155</v>
      </c>
      <c r="CS2147">
        <v>0</v>
      </c>
      <c r="CT2147">
        <v>2</v>
      </c>
      <c r="CU2147">
        <v>0</v>
      </c>
      <c r="CV2147">
        <v>2</v>
      </c>
      <c r="CW2147">
        <v>0</v>
      </c>
      <c r="CX2147">
        <v>5</v>
      </c>
      <c r="CY2147">
        <v>7</v>
      </c>
      <c r="CZ2147" t="s">
        <v>131</v>
      </c>
      <c r="DA2147">
        <v>300</v>
      </c>
      <c r="DB2147">
        <v>0</v>
      </c>
      <c r="DC2147" t="s">
        <v>176</v>
      </c>
      <c r="DD2147" t="s">
        <v>177</v>
      </c>
      <c r="DG2147">
        <v>5403521</v>
      </c>
      <c r="DI2147">
        <v>1</v>
      </c>
      <c r="DJ2147">
        <v>0</v>
      </c>
      <c r="DK2147">
        <v>1</v>
      </c>
      <c r="DL2147">
        <v>0</v>
      </c>
      <c r="DM2147">
        <v>0</v>
      </c>
      <c r="DN2147">
        <v>1</v>
      </c>
      <c r="DO2147">
        <v>0</v>
      </c>
      <c r="DP2147">
        <v>0</v>
      </c>
      <c r="DQ2147">
        <v>0</v>
      </c>
      <c r="DR2147">
        <v>0</v>
      </c>
      <c r="DS2147">
        <v>0</v>
      </c>
    </row>
    <row r="2148" spans="1:123" x14ac:dyDescent="0.3">
      <c r="A2148" t="str">
        <f t="shared" si="765"/>
        <v>10/04/2022 19:31:10.479</v>
      </c>
      <c r="C2148" t="str">
        <f t="shared" si="762"/>
        <v>FFDFD3C0</v>
      </c>
      <c r="D2148" t="s">
        <v>141</v>
      </c>
      <c r="E2148">
        <v>4</v>
      </c>
      <c r="H2148">
        <v>4</v>
      </c>
      <c r="I2148" t="s">
        <v>142</v>
      </c>
      <c r="J2148" t="s">
        <v>138</v>
      </c>
      <c r="K2148">
        <v>0</v>
      </c>
      <c r="L2148">
        <v>3</v>
      </c>
      <c r="M2148">
        <v>0</v>
      </c>
      <c r="N2148">
        <v>2</v>
      </c>
      <c r="O2148">
        <v>0</v>
      </c>
      <c r="P2148">
        <v>1</v>
      </c>
      <c r="Q2148">
        <v>0</v>
      </c>
      <c r="S2148" t="str">
        <f t="shared" si="766"/>
        <v>19:31:10.000</v>
      </c>
      <c r="T2148" t="str">
        <f t="shared" si="766"/>
        <v>19:31:10.000</v>
      </c>
      <c r="U2148" t="str">
        <f t="shared" si="753"/>
        <v>AC3944</v>
      </c>
      <c r="V2148">
        <v>0</v>
      </c>
      <c r="W2148">
        <v>0</v>
      </c>
      <c r="X2148">
        <v>2</v>
      </c>
      <c r="Y2148">
        <v>0</v>
      </c>
      <c r="AA2148">
        <v>1</v>
      </c>
      <c r="AB2148">
        <v>8</v>
      </c>
      <c r="AC2148">
        <v>3</v>
      </c>
      <c r="AD2148">
        <v>0</v>
      </c>
      <c r="AE2148">
        <v>9</v>
      </c>
      <c r="AF2148" t="s">
        <v>138</v>
      </c>
      <c r="AG2148">
        <v>0</v>
      </c>
      <c r="AH2148">
        <v>3</v>
      </c>
      <c r="AI2148">
        <v>1</v>
      </c>
      <c r="AJ2148">
        <v>0</v>
      </c>
      <c r="AK2148" t="s">
        <v>750</v>
      </c>
      <c r="AL2148">
        <v>32.772387999999999</v>
      </c>
      <c r="AM2148" t="s">
        <v>751</v>
      </c>
      <c r="AN2148">
        <v>-116.824901</v>
      </c>
      <c r="AO2148">
        <v>25</v>
      </c>
      <c r="AP2148">
        <v>3000</v>
      </c>
      <c r="AQ2148" t="s">
        <v>129</v>
      </c>
      <c r="AR2148">
        <v>125</v>
      </c>
      <c r="AS2148">
        <v>-34</v>
      </c>
      <c r="AT2148">
        <v>256</v>
      </c>
      <c r="BB2148">
        <v>1200</v>
      </c>
      <c r="BC2148">
        <v>1</v>
      </c>
      <c r="BD2148" t="str">
        <f t="shared" si="754"/>
        <v xml:space="preserve">N887QR  </v>
      </c>
      <c r="BE2148">
        <v>1</v>
      </c>
      <c r="BG2148">
        <v>0</v>
      </c>
      <c r="BH2148">
        <v>0</v>
      </c>
      <c r="BI2148">
        <v>0</v>
      </c>
      <c r="BJ2148">
        <v>2750</v>
      </c>
      <c r="BK2148">
        <v>-250</v>
      </c>
      <c r="BL2148" t="s">
        <v>163</v>
      </c>
      <c r="BM2148">
        <v>1</v>
      </c>
      <c r="BN2148">
        <v>1</v>
      </c>
      <c r="BO2148">
        <v>1</v>
      </c>
      <c r="BP2148">
        <v>0</v>
      </c>
      <c r="BS2148">
        <v>0.12</v>
      </c>
      <c r="BT2148">
        <v>0</v>
      </c>
      <c r="BU2148">
        <v>0</v>
      </c>
      <c r="CE2148" t="str">
        <f t="shared" si="767"/>
        <v>19:31:10.105</v>
      </c>
      <c r="CF2148">
        <v>105034155</v>
      </c>
      <c r="CS2148">
        <v>0</v>
      </c>
      <c r="CT2148">
        <v>2</v>
      </c>
      <c r="CU2148">
        <v>0</v>
      </c>
      <c r="CV2148">
        <v>2</v>
      </c>
      <c r="CW2148">
        <v>0</v>
      </c>
      <c r="CX2148">
        <v>5</v>
      </c>
      <c r="CY2148">
        <v>7</v>
      </c>
      <c r="CZ2148" t="s">
        <v>131</v>
      </c>
      <c r="DA2148">
        <v>300</v>
      </c>
      <c r="DB2148">
        <v>0</v>
      </c>
      <c r="DC2148" t="s">
        <v>176</v>
      </c>
      <c r="DD2148" t="s">
        <v>177</v>
      </c>
      <c r="DG2148">
        <v>5403521</v>
      </c>
      <c r="DI2148">
        <v>1</v>
      </c>
      <c r="DJ2148">
        <v>0</v>
      </c>
      <c r="DK2148">
        <v>1</v>
      </c>
      <c r="DL2148">
        <v>0</v>
      </c>
      <c r="DM2148">
        <v>0</v>
      </c>
      <c r="DN2148">
        <v>1</v>
      </c>
      <c r="DO2148">
        <v>0</v>
      </c>
      <c r="DP2148">
        <v>0</v>
      </c>
      <c r="DQ2148">
        <v>0</v>
      </c>
      <c r="DR2148">
        <v>0</v>
      </c>
      <c r="DS2148">
        <v>0</v>
      </c>
    </row>
    <row r="2149" spans="1:123" x14ac:dyDescent="0.3">
      <c r="A2149" t="str">
        <f t="shared" si="765"/>
        <v>10/04/2022 19:31:10.479</v>
      </c>
      <c r="C2149" t="str">
        <f t="shared" si="762"/>
        <v>FFDFD3C0</v>
      </c>
      <c r="D2149" t="s">
        <v>134</v>
      </c>
      <c r="E2149">
        <v>15</v>
      </c>
      <c r="J2149" t="s">
        <v>135</v>
      </c>
      <c r="K2149">
        <v>0</v>
      </c>
      <c r="L2149">
        <v>3</v>
      </c>
      <c r="M2149">
        <v>0</v>
      </c>
      <c r="N2149">
        <v>2</v>
      </c>
      <c r="O2149">
        <v>0</v>
      </c>
      <c r="P2149">
        <v>1</v>
      </c>
      <c r="Q2149">
        <v>0</v>
      </c>
      <c r="S2149" t="str">
        <f t="shared" si="766"/>
        <v>19:31:10.000</v>
      </c>
      <c r="T2149" t="str">
        <f t="shared" si="766"/>
        <v>19:31:10.000</v>
      </c>
      <c r="U2149" t="str">
        <f t="shared" si="753"/>
        <v>AC3944</v>
      </c>
      <c r="V2149">
        <v>0</v>
      </c>
      <c r="W2149">
        <v>0</v>
      </c>
      <c r="X2149">
        <v>2</v>
      </c>
      <c r="Y2149">
        <v>0</v>
      </c>
      <c r="AA2149">
        <v>1</v>
      </c>
      <c r="AB2149">
        <v>8</v>
      </c>
      <c r="AC2149">
        <v>3</v>
      </c>
      <c r="AD2149">
        <v>0</v>
      </c>
      <c r="AE2149">
        <v>9</v>
      </c>
      <c r="AF2149" t="s">
        <v>138</v>
      </c>
      <c r="AG2149">
        <v>0</v>
      </c>
      <c r="AH2149">
        <v>3</v>
      </c>
      <c r="AI2149">
        <v>1</v>
      </c>
      <c r="AJ2149">
        <v>0</v>
      </c>
      <c r="AK2149" t="s">
        <v>750</v>
      </c>
      <c r="AL2149">
        <v>32.772387999999999</v>
      </c>
      <c r="AM2149" t="s">
        <v>751</v>
      </c>
      <c r="AN2149">
        <v>-116.824901</v>
      </c>
      <c r="AO2149">
        <v>25</v>
      </c>
      <c r="AP2149">
        <v>3000</v>
      </c>
      <c r="AQ2149" t="s">
        <v>129</v>
      </c>
      <c r="AR2149">
        <v>125</v>
      </c>
      <c r="AS2149">
        <v>-34</v>
      </c>
      <c r="AT2149">
        <v>256</v>
      </c>
      <c r="BB2149">
        <v>1200</v>
      </c>
      <c r="BC2149">
        <v>1</v>
      </c>
      <c r="BD2149" t="str">
        <f t="shared" si="754"/>
        <v xml:space="preserve">N887QR  </v>
      </c>
      <c r="BE2149">
        <v>1</v>
      </c>
      <c r="BG2149">
        <v>0</v>
      </c>
      <c r="BH2149">
        <v>0</v>
      </c>
      <c r="BI2149">
        <v>0</v>
      </c>
      <c r="BJ2149">
        <v>2750</v>
      </c>
      <c r="BK2149">
        <v>-250</v>
      </c>
      <c r="BL2149" t="s">
        <v>163</v>
      </c>
      <c r="BM2149">
        <v>1</v>
      </c>
      <c r="BN2149">
        <v>1</v>
      </c>
      <c r="BO2149">
        <v>1</v>
      </c>
      <c r="BP2149">
        <v>0</v>
      </c>
      <c r="BS2149">
        <v>0.12</v>
      </c>
      <c r="BT2149">
        <v>0</v>
      </c>
      <c r="BU2149">
        <v>0</v>
      </c>
      <c r="CE2149" t="str">
        <f t="shared" si="767"/>
        <v>19:31:10.105</v>
      </c>
      <c r="CF2149">
        <v>105034155</v>
      </c>
      <c r="CS2149">
        <v>0</v>
      </c>
      <c r="CT2149">
        <v>2</v>
      </c>
      <c r="CU2149">
        <v>0</v>
      </c>
      <c r="CV2149">
        <v>2</v>
      </c>
      <c r="CW2149">
        <v>0</v>
      </c>
      <c r="CX2149">
        <v>5</v>
      </c>
      <c r="CY2149">
        <v>7</v>
      </c>
      <c r="CZ2149" t="s">
        <v>131</v>
      </c>
      <c r="DA2149">
        <v>300</v>
      </c>
      <c r="DB2149">
        <v>0</v>
      </c>
      <c r="DC2149" t="s">
        <v>176</v>
      </c>
      <c r="DD2149" t="s">
        <v>177</v>
      </c>
      <c r="DG2149">
        <v>5403521</v>
      </c>
      <c r="DI2149">
        <v>1</v>
      </c>
      <c r="DJ2149">
        <v>0</v>
      </c>
      <c r="DK2149">
        <v>1</v>
      </c>
      <c r="DL2149">
        <v>0</v>
      </c>
      <c r="DM2149">
        <v>0</v>
      </c>
      <c r="DN2149">
        <v>1</v>
      </c>
      <c r="DO2149">
        <v>0</v>
      </c>
      <c r="DP2149">
        <v>0</v>
      </c>
      <c r="DQ2149">
        <v>0</v>
      </c>
      <c r="DR2149">
        <v>0</v>
      </c>
      <c r="DS2149">
        <v>0</v>
      </c>
    </row>
    <row r="2150" spans="1:123" x14ac:dyDescent="0.3">
      <c r="A2150" t="str">
        <f t="shared" si="765"/>
        <v>10/04/2022 19:31:10.479</v>
      </c>
      <c r="C2150" t="str">
        <f t="shared" si="762"/>
        <v>FFDFD3C0</v>
      </c>
      <c r="D2150" t="s">
        <v>123</v>
      </c>
      <c r="E2150">
        <v>7</v>
      </c>
      <c r="F2150">
        <v>2007</v>
      </c>
      <c r="G2150" t="s">
        <v>124</v>
      </c>
      <c r="J2150" t="s">
        <v>125</v>
      </c>
      <c r="K2150">
        <v>0</v>
      </c>
      <c r="L2150">
        <v>3</v>
      </c>
      <c r="M2150">
        <v>0</v>
      </c>
      <c r="N2150">
        <v>2</v>
      </c>
      <c r="O2150">
        <v>0</v>
      </c>
      <c r="P2150">
        <v>1</v>
      </c>
      <c r="Q2150">
        <v>0</v>
      </c>
      <c r="S2150" t="str">
        <f t="shared" si="766"/>
        <v>19:31:10.000</v>
      </c>
      <c r="T2150" t="str">
        <f t="shared" si="766"/>
        <v>19:31:10.000</v>
      </c>
      <c r="U2150" t="str">
        <f t="shared" si="753"/>
        <v>AC3944</v>
      </c>
      <c r="V2150">
        <v>0</v>
      </c>
      <c r="W2150">
        <v>0</v>
      </c>
      <c r="X2150">
        <v>2</v>
      </c>
      <c r="Y2150">
        <v>0</v>
      </c>
      <c r="AA2150">
        <v>1</v>
      </c>
      <c r="AB2150">
        <v>8</v>
      </c>
      <c r="AC2150">
        <v>3</v>
      </c>
      <c r="AD2150">
        <v>0</v>
      </c>
      <c r="AE2150">
        <v>9</v>
      </c>
      <c r="AF2150" t="s">
        <v>138</v>
      </c>
      <c r="AG2150">
        <v>0</v>
      </c>
      <c r="AH2150">
        <v>3</v>
      </c>
      <c r="AI2150">
        <v>1</v>
      </c>
      <c r="AJ2150">
        <v>0</v>
      </c>
      <c r="AK2150" t="s">
        <v>750</v>
      </c>
      <c r="AL2150">
        <v>32.772387999999999</v>
      </c>
      <c r="AM2150" t="s">
        <v>751</v>
      </c>
      <c r="AN2150">
        <v>-116.824901</v>
      </c>
      <c r="AO2150">
        <v>25</v>
      </c>
      <c r="AP2150">
        <v>3000</v>
      </c>
      <c r="AQ2150" t="s">
        <v>129</v>
      </c>
      <c r="AR2150">
        <v>125</v>
      </c>
      <c r="AS2150">
        <v>-34</v>
      </c>
      <c r="AT2150">
        <v>256</v>
      </c>
      <c r="BB2150">
        <v>1200</v>
      </c>
      <c r="BC2150">
        <v>1</v>
      </c>
      <c r="BD2150" t="str">
        <f t="shared" si="754"/>
        <v xml:space="preserve">N887QR  </v>
      </c>
      <c r="BE2150">
        <v>1</v>
      </c>
      <c r="BG2150">
        <v>0</v>
      </c>
      <c r="BH2150">
        <v>0</v>
      </c>
      <c r="BI2150">
        <v>0</v>
      </c>
      <c r="BJ2150">
        <v>2750</v>
      </c>
      <c r="BK2150">
        <v>-250</v>
      </c>
      <c r="BL2150" t="s">
        <v>163</v>
      </c>
      <c r="BM2150">
        <v>1</v>
      </c>
      <c r="BN2150">
        <v>1</v>
      </c>
      <c r="BO2150">
        <v>1</v>
      </c>
      <c r="BP2150">
        <v>0</v>
      </c>
      <c r="BS2150">
        <v>0.12</v>
      </c>
      <c r="BT2150">
        <v>0</v>
      </c>
      <c r="BU2150">
        <v>0</v>
      </c>
      <c r="CE2150" t="str">
        <f t="shared" si="767"/>
        <v>19:31:10.105</v>
      </c>
      <c r="CF2150">
        <v>105034155</v>
      </c>
      <c r="CS2150">
        <v>0</v>
      </c>
      <c r="CT2150">
        <v>2</v>
      </c>
      <c r="CU2150">
        <v>0</v>
      </c>
      <c r="CV2150">
        <v>2</v>
      </c>
      <c r="CW2150">
        <v>0</v>
      </c>
      <c r="CX2150">
        <v>5</v>
      </c>
      <c r="CY2150">
        <v>7</v>
      </c>
      <c r="CZ2150" t="s">
        <v>131</v>
      </c>
      <c r="DA2150">
        <v>300</v>
      </c>
      <c r="DB2150">
        <v>0</v>
      </c>
      <c r="DC2150" t="s">
        <v>176</v>
      </c>
      <c r="DD2150" t="s">
        <v>177</v>
      </c>
      <c r="DG2150">
        <v>5403521</v>
      </c>
      <c r="DI2150">
        <v>1</v>
      </c>
      <c r="DJ2150">
        <v>0</v>
      </c>
      <c r="DK2150">
        <v>1</v>
      </c>
      <c r="DL2150">
        <v>0</v>
      </c>
      <c r="DM2150">
        <v>0</v>
      </c>
      <c r="DN2150">
        <v>1</v>
      </c>
      <c r="DO2150">
        <v>0</v>
      </c>
      <c r="DP2150">
        <v>0</v>
      </c>
      <c r="DQ2150">
        <v>0</v>
      </c>
      <c r="DR2150">
        <v>0</v>
      </c>
      <c r="DS2150">
        <v>0</v>
      </c>
    </row>
    <row r="2151" spans="1:123" x14ac:dyDescent="0.3">
      <c r="A2151" t="str">
        <f t="shared" ref="A2151:A2157" si="768">"10/04/2022 19:31:15.590"</f>
        <v>10/04/2022 19:31:15.590</v>
      </c>
      <c r="C2151" t="str">
        <f t="shared" ref="C2151:C2214" si="769">"FFDDD3C0"</f>
        <v>FFDDD3C0</v>
      </c>
      <c r="D2151" t="s">
        <v>134</v>
      </c>
      <c r="E2151">
        <v>15</v>
      </c>
      <c r="J2151" t="s">
        <v>135</v>
      </c>
      <c r="K2151">
        <v>0</v>
      </c>
      <c r="L2151">
        <v>3</v>
      </c>
      <c r="M2151">
        <v>0</v>
      </c>
      <c r="N2151">
        <v>2</v>
      </c>
      <c r="O2151">
        <v>0</v>
      </c>
      <c r="P2151">
        <v>1</v>
      </c>
      <c r="Q2151">
        <v>0</v>
      </c>
      <c r="S2151" t="str">
        <f t="shared" ref="S2151:T2157" si="770">"19:31:15.000"</f>
        <v>19:31:15.000</v>
      </c>
      <c r="T2151" t="str">
        <f t="shared" si="770"/>
        <v>19:31:15.000</v>
      </c>
      <c r="U2151" t="str">
        <f t="shared" si="753"/>
        <v>AC3944</v>
      </c>
      <c r="V2151">
        <v>0</v>
      </c>
      <c r="W2151">
        <v>0</v>
      </c>
      <c r="X2151">
        <v>2</v>
      </c>
      <c r="Y2151">
        <v>0</v>
      </c>
      <c r="AA2151">
        <v>1</v>
      </c>
      <c r="AB2151">
        <v>8</v>
      </c>
      <c r="AC2151">
        <v>3</v>
      </c>
      <c r="AD2151">
        <v>0</v>
      </c>
      <c r="AE2151">
        <v>9</v>
      </c>
      <c r="AF2151" t="s">
        <v>138</v>
      </c>
      <c r="AG2151">
        <v>0</v>
      </c>
      <c r="AH2151">
        <v>3</v>
      </c>
      <c r="AI2151">
        <v>1</v>
      </c>
      <c r="AJ2151">
        <v>0</v>
      </c>
      <c r="AK2151" t="s">
        <v>752</v>
      </c>
      <c r="AL2151">
        <v>32.771529999999998</v>
      </c>
      <c r="AM2151" t="s">
        <v>753</v>
      </c>
      <c r="AN2151">
        <v>-116.821468</v>
      </c>
      <c r="AO2151">
        <v>25</v>
      </c>
      <c r="AP2151">
        <v>3000</v>
      </c>
      <c r="AQ2151" t="s">
        <v>129</v>
      </c>
      <c r="AR2151">
        <v>124</v>
      </c>
      <c r="AS2151">
        <v>-40</v>
      </c>
      <c r="AT2151">
        <v>192</v>
      </c>
      <c r="BB2151">
        <v>1200</v>
      </c>
      <c r="BC2151">
        <v>1</v>
      </c>
      <c r="BD2151" t="str">
        <f t="shared" si="754"/>
        <v xml:space="preserve">N887QR  </v>
      </c>
      <c r="BE2151">
        <v>1</v>
      </c>
      <c r="BJ2151">
        <v>2750</v>
      </c>
      <c r="BK2151">
        <v>-250</v>
      </c>
      <c r="BL2151" t="s">
        <v>163</v>
      </c>
      <c r="BM2151">
        <v>1</v>
      </c>
      <c r="BN2151">
        <v>1</v>
      </c>
      <c r="BO2151">
        <v>1</v>
      </c>
      <c r="BP2151">
        <v>0</v>
      </c>
      <c r="BS2151">
        <v>0.12</v>
      </c>
      <c r="BT2151">
        <v>0</v>
      </c>
      <c r="BU2151">
        <v>0</v>
      </c>
      <c r="CE2151" t="str">
        <f t="shared" ref="CE2151:CE2157" si="771">"19:31:15.252"</f>
        <v>19:31:15.252</v>
      </c>
      <c r="CF2151">
        <v>251801326</v>
      </c>
      <c r="CS2151">
        <v>0</v>
      </c>
      <c r="CT2151">
        <v>2</v>
      </c>
      <c r="CU2151">
        <v>0</v>
      </c>
      <c r="CV2151">
        <v>2</v>
      </c>
      <c r="CW2151">
        <v>0</v>
      </c>
      <c r="CX2151">
        <v>5</v>
      </c>
      <c r="CY2151">
        <v>7</v>
      </c>
      <c r="CZ2151" t="s">
        <v>131</v>
      </c>
      <c r="DA2151">
        <v>300</v>
      </c>
      <c r="DB2151">
        <v>0</v>
      </c>
      <c r="DC2151" t="s">
        <v>176</v>
      </c>
      <c r="DD2151" t="s">
        <v>177</v>
      </c>
      <c r="DG2151">
        <v>5404322</v>
      </c>
      <c r="DI2151">
        <v>1</v>
      </c>
      <c r="DJ2151">
        <v>0</v>
      </c>
      <c r="DK2151">
        <v>0</v>
      </c>
      <c r="DL2151">
        <v>0</v>
      </c>
      <c r="DM2151">
        <v>0</v>
      </c>
      <c r="DN2151">
        <v>1</v>
      </c>
      <c r="DO2151">
        <v>0</v>
      </c>
      <c r="DP2151">
        <v>0</v>
      </c>
      <c r="DQ2151">
        <v>0</v>
      </c>
      <c r="DR2151">
        <v>0</v>
      </c>
      <c r="DS2151">
        <v>0</v>
      </c>
    </row>
    <row r="2152" spans="1:123" x14ac:dyDescent="0.3">
      <c r="A2152" t="str">
        <f t="shared" si="768"/>
        <v>10/04/2022 19:31:15.590</v>
      </c>
      <c r="C2152" t="str">
        <f t="shared" si="769"/>
        <v>FFDDD3C0</v>
      </c>
      <c r="D2152" t="s">
        <v>141</v>
      </c>
      <c r="E2152">
        <v>3</v>
      </c>
      <c r="H2152">
        <v>3</v>
      </c>
      <c r="I2152" t="s">
        <v>146</v>
      </c>
      <c r="J2152" t="s">
        <v>138</v>
      </c>
      <c r="K2152">
        <v>0</v>
      </c>
      <c r="L2152">
        <v>3</v>
      </c>
      <c r="M2152">
        <v>0</v>
      </c>
      <c r="N2152">
        <v>2</v>
      </c>
      <c r="O2152">
        <v>0</v>
      </c>
      <c r="P2152">
        <v>1</v>
      </c>
      <c r="Q2152">
        <v>0</v>
      </c>
      <c r="S2152" t="str">
        <f t="shared" si="770"/>
        <v>19:31:15.000</v>
      </c>
      <c r="T2152" t="str">
        <f t="shared" si="770"/>
        <v>19:31:15.000</v>
      </c>
      <c r="U2152" t="str">
        <f t="shared" si="753"/>
        <v>AC3944</v>
      </c>
      <c r="V2152">
        <v>0</v>
      </c>
      <c r="W2152">
        <v>0</v>
      </c>
      <c r="X2152">
        <v>2</v>
      </c>
      <c r="Y2152">
        <v>0</v>
      </c>
      <c r="AA2152">
        <v>1</v>
      </c>
      <c r="AB2152">
        <v>8</v>
      </c>
      <c r="AC2152">
        <v>3</v>
      </c>
      <c r="AD2152">
        <v>0</v>
      </c>
      <c r="AE2152">
        <v>9</v>
      </c>
      <c r="AF2152" t="s">
        <v>138</v>
      </c>
      <c r="AG2152">
        <v>0</v>
      </c>
      <c r="AH2152">
        <v>3</v>
      </c>
      <c r="AI2152">
        <v>1</v>
      </c>
      <c r="AJ2152">
        <v>0</v>
      </c>
      <c r="AK2152" t="s">
        <v>752</v>
      </c>
      <c r="AL2152">
        <v>32.771529999999998</v>
      </c>
      <c r="AM2152" t="s">
        <v>753</v>
      </c>
      <c r="AN2152">
        <v>-116.821468</v>
      </c>
      <c r="AO2152">
        <v>25</v>
      </c>
      <c r="AP2152">
        <v>3000</v>
      </c>
      <c r="AQ2152" t="s">
        <v>129</v>
      </c>
      <c r="AR2152">
        <v>124</v>
      </c>
      <c r="AS2152">
        <v>-40</v>
      </c>
      <c r="AT2152">
        <v>192</v>
      </c>
      <c r="BB2152">
        <v>1200</v>
      </c>
      <c r="BC2152">
        <v>1</v>
      </c>
      <c r="BD2152" t="str">
        <f t="shared" si="754"/>
        <v xml:space="preserve">N887QR  </v>
      </c>
      <c r="BE2152">
        <v>1</v>
      </c>
      <c r="BJ2152">
        <v>2750</v>
      </c>
      <c r="BK2152">
        <v>-250</v>
      </c>
      <c r="BL2152" t="s">
        <v>163</v>
      </c>
      <c r="BM2152">
        <v>1</v>
      </c>
      <c r="BN2152">
        <v>1</v>
      </c>
      <c r="BO2152">
        <v>1</v>
      </c>
      <c r="BP2152">
        <v>0</v>
      </c>
      <c r="BS2152">
        <v>0.12</v>
      </c>
      <c r="BT2152">
        <v>0</v>
      </c>
      <c r="BU2152">
        <v>0</v>
      </c>
      <c r="CE2152" t="str">
        <f t="shared" si="771"/>
        <v>19:31:15.252</v>
      </c>
      <c r="CF2152">
        <v>251801326</v>
      </c>
      <c r="CS2152">
        <v>0</v>
      </c>
      <c r="CT2152">
        <v>2</v>
      </c>
      <c r="CU2152">
        <v>0</v>
      </c>
      <c r="CV2152">
        <v>2</v>
      </c>
      <c r="CW2152">
        <v>0</v>
      </c>
      <c r="CX2152">
        <v>5</v>
      </c>
      <c r="CY2152">
        <v>7</v>
      </c>
      <c r="CZ2152" t="s">
        <v>131</v>
      </c>
      <c r="DA2152">
        <v>300</v>
      </c>
      <c r="DB2152">
        <v>0</v>
      </c>
      <c r="DC2152" t="s">
        <v>176</v>
      </c>
      <c r="DD2152" t="s">
        <v>177</v>
      </c>
      <c r="DG2152">
        <v>5404322</v>
      </c>
      <c r="DI2152">
        <v>1</v>
      </c>
      <c r="DJ2152">
        <v>0</v>
      </c>
      <c r="DK2152">
        <v>1</v>
      </c>
      <c r="DL2152">
        <v>0</v>
      </c>
      <c r="DM2152">
        <v>0</v>
      </c>
      <c r="DN2152">
        <v>1</v>
      </c>
      <c r="DO2152">
        <v>0</v>
      </c>
      <c r="DP2152">
        <v>0</v>
      </c>
      <c r="DQ2152">
        <v>0</v>
      </c>
      <c r="DR2152">
        <v>0</v>
      </c>
      <c r="DS2152">
        <v>0</v>
      </c>
    </row>
    <row r="2153" spans="1:123" x14ac:dyDescent="0.3">
      <c r="A2153" t="str">
        <f t="shared" si="768"/>
        <v>10/04/2022 19:31:15.590</v>
      </c>
      <c r="C2153" t="str">
        <f t="shared" si="769"/>
        <v>FFDDD3C0</v>
      </c>
      <c r="D2153" t="s">
        <v>143</v>
      </c>
      <c r="E2153">
        <v>20</v>
      </c>
      <c r="F2153">
        <v>1020</v>
      </c>
      <c r="G2153" t="s">
        <v>144</v>
      </c>
      <c r="J2153" t="s">
        <v>145</v>
      </c>
      <c r="K2153">
        <v>0</v>
      </c>
      <c r="L2153">
        <v>3</v>
      </c>
      <c r="M2153">
        <v>0</v>
      </c>
      <c r="N2153">
        <v>2</v>
      </c>
      <c r="O2153">
        <v>0</v>
      </c>
      <c r="P2153">
        <v>1</v>
      </c>
      <c r="Q2153">
        <v>0</v>
      </c>
      <c r="S2153" t="str">
        <f t="shared" si="770"/>
        <v>19:31:15.000</v>
      </c>
      <c r="T2153" t="str">
        <f t="shared" si="770"/>
        <v>19:31:15.000</v>
      </c>
      <c r="U2153" t="str">
        <f t="shared" si="753"/>
        <v>AC3944</v>
      </c>
      <c r="V2153">
        <v>0</v>
      </c>
      <c r="W2153">
        <v>0</v>
      </c>
      <c r="X2153">
        <v>2</v>
      </c>
      <c r="Y2153">
        <v>0</v>
      </c>
      <c r="AA2153">
        <v>1</v>
      </c>
      <c r="AB2153">
        <v>8</v>
      </c>
      <c r="AC2153">
        <v>3</v>
      </c>
      <c r="AD2153">
        <v>0</v>
      </c>
      <c r="AE2153">
        <v>9</v>
      </c>
      <c r="AF2153" t="s">
        <v>138</v>
      </c>
      <c r="AG2153">
        <v>0</v>
      </c>
      <c r="AH2153">
        <v>3</v>
      </c>
      <c r="AI2153">
        <v>1</v>
      </c>
      <c r="AJ2153">
        <v>0</v>
      </c>
      <c r="AK2153" t="s">
        <v>752</v>
      </c>
      <c r="AL2153">
        <v>32.771529999999998</v>
      </c>
      <c r="AM2153" t="s">
        <v>753</v>
      </c>
      <c r="AN2153">
        <v>-116.821468</v>
      </c>
      <c r="AO2153">
        <v>25</v>
      </c>
      <c r="AP2153">
        <v>3000</v>
      </c>
      <c r="AQ2153" t="s">
        <v>129</v>
      </c>
      <c r="AR2153">
        <v>124</v>
      </c>
      <c r="AS2153">
        <v>-40</v>
      </c>
      <c r="AT2153">
        <v>192</v>
      </c>
      <c r="BB2153">
        <v>1200</v>
      </c>
      <c r="BC2153">
        <v>1</v>
      </c>
      <c r="BD2153" t="str">
        <f t="shared" si="754"/>
        <v xml:space="preserve">N887QR  </v>
      </c>
      <c r="BE2153">
        <v>1</v>
      </c>
      <c r="BJ2153">
        <v>2750</v>
      </c>
      <c r="BK2153">
        <v>-250</v>
      </c>
      <c r="BL2153" t="s">
        <v>163</v>
      </c>
      <c r="BM2153">
        <v>1</v>
      </c>
      <c r="BN2153">
        <v>1</v>
      </c>
      <c r="BO2153">
        <v>1</v>
      </c>
      <c r="BP2153">
        <v>0</v>
      </c>
      <c r="BS2153">
        <v>0.12</v>
      </c>
      <c r="BT2153">
        <v>0</v>
      </c>
      <c r="BU2153">
        <v>0</v>
      </c>
      <c r="CE2153" t="str">
        <f t="shared" si="771"/>
        <v>19:31:15.252</v>
      </c>
      <c r="CF2153">
        <v>251801326</v>
      </c>
      <c r="CS2153">
        <v>0</v>
      </c>
      <c r="CT2153">
        <v>2</v>
      </c>
      <c r="CU2153">
        <v>0</v>
      </c>
      <c r="CV2153">
        <v>2</v>
      </c>
      <c r="CW2153">
        <v>0</v>
      </c>
      <c r="CX2153">
        <v>5</v>
      </c>
      <c r="CY2153">
        <v>7</v>
      </c>
      <c r="CZ2153" t="s">
        <v>131</v>
      </c>
      <c r="DA2153">
        <v>300</v>
      </c>
      <c r="DB2153">
        <v>0</v>
      </c>
      <c r="DC2153" t="s">
        <v>176</v>
      </c>
      <c r="DD2153" t="s">
        <v>177</v>
      </c>
      <c r="DG2153">
        <v>5404322</v>
      </c>
      <c r="DI2153">
        <v>1</v>
      </c>
      <c r="DJ2153">
        <v>0</v>
      </c>
      <c r="DK2153">
        <v>1</v>
      </c>
      <c r="DL2153">
        <v>0</v>
      </c>
      <c r="DM2153">
        <v>0</v>
      </c>
      <c r="DN2153">
        <v>1</v>
      </c>
      <c r="DO2153">
        <v>0</v>
      </c>
      <c r="DP2153">
        <v>0</v>
      </c>
      <c r="DQ2153">
        <v>0</v>
      </c>
      <c r="DR2153">
        <v>0</v>
      </c>
      <c r="DS2153">
        <v>0</v>
      </c>
    </row>
    <row r="2154" spans="1:123" x14ac:dyDescent="0.3">
      <c r="A2154" t="str">
        <f t="shared" si="768"/>
        <v>10/04/2022 19:31:15.590</v>
      </c>
      <c r="C2154" t="str">
        <f t="shared" si="769"/>
        <v>FFDDD3C0</v>
      </c>
      <c r="D2154" t="s">
        <v>136</v>
      </c>
      <c r="E2154">
        <v>8</v>
      </c>
      <c r="H2154">
        <v>225</v>
      </c>
      <c r="I2154" t="s">
        <v>137</v>
      </c>
      <c r="J2154" t="s">
        <v>138</v>
      </c>
      <c r="K2154">
        <v>0</v>
      </c>
      <c r="L2154">
        <v>3</v>
      </c>
      <c r="M2154">
        <v>0</v>
      </c>
      <c r="N2154">
        <v>2</v>
      </c>
      <c r="O2154">
        <v>0</v>
      </c>
      <c r="P2154">
        <v>1</v>
      </c>
      <c r="Q2154">
        <v>0</v>
      </c>
      <c r="S2154" t="str">
        <f t="shared" si="770"/>
        <v>19:31:15.000</v>
      </c>
      <c r="T2154" t="str">
        <f t="shared" si="770"/>
        <v>19:31:15.000</v>
      </c>
      <c r="U2154" t="str">
        <f t="shared" si="753"/>
        <v>AC3944</v>
      </c>
      <c r="V2154">
        <v>0</v>
      </c>
      <c r="W2154">
        <v>0</v>
      </c>
      <c r="X2154">
        <v>2</v>
      </c>
      <c r="Y2154">
        <v>0</v>
      </c>
      <c r="AA2154">
        <v>1</v>
      </c>
      <c r="AB2154">
        <v>8</v>
      </c>
      <c r="AC2154">
        <v>3</v>
      </c>
      <c r="AD2154">
        <v>0</v>
      </c>
      <c r="AE2154">
        <v>9</v>
      </c>
      <c r="AF2154" t="s">
        <v>138</v>
      </c>
      <c r="AG2154">
        <v>0</v>
      </c>
      <c r="AH2154">
        <v>3</v>
      </c>
      <c r="AI2154">
        <v>1</v>
      </c>
      <c r="AJ2154">
        <v>0</v>
      </c>
      <c r="AK2154" t="s">
        <v>752</v>
      </c>
      <c r="AL2154">
        <v>32.771529999999998</v>
      </c>
      <c r="AM2154" t="s">
        <v>753</v>
      </c>
      <c r="AN2154">
        <v>-116.821468</v>
      </c>
      <c r="AO2154">
        <v>25</v>
      </c>
      <c r="AP2154">
        <v>3000</v>
      </c>
      <c r="AQ2154" t="s">
        <v>129</v>
      </c>
      <c r="AR2154">
        <v>124</v>
      </c>
      <c r="AS2154">
        <v>-40</v>
      </c>
      <c r="AT2154">
        <v>192</v>
      </c>
      <c r="BB2154">
        <v>1200</v>
      </c>
      <c r="BC2154">
        <v>1</v>
      </c>
      <c r="BD2154" t="str">
        <f t="shared" si="754"/>
        <v xml:space="preserve">N887QR  </v>
      </c>
      <c r="BE2154">
        <v>1</v>
      </c>
      <c r="BJ2154">
        <v>2750</v>
      </c>
      <c r="BK2154">
        <v>-250</v>
      </c>
      <c r="BL2154" t="s">
        <v>163</v>
      </c>
      <c r="BM2154">
        <v>1</v>
      </c>
      <c r="BN2154">
        <v>1</v>
      </c>
      <c r="BO2154">
        <v>1</v>
      </c>
      <c r="BP2154">
        <v>0</v>
      </c>
      <c r="BS2154">
        <v>0.12</v>
      </c>
      <c r="BT2154">
        <v>0</v>
      </c>
      <c r="BU2154">
        <v>0</v>
      </c>
      <c r="CE2154" t="str">
        <f t="shared" si="771"/>
        <v>19:31:15.252</v>
      </c>
      <c r="CF2154">
        <v>251801326</v>
      </c>
      <c r="CS2154">
        <v>0</v>
      </c>
      <c r="CT2154">
        <v>2</v>
      </c>
      <c r="CU2154">
        <v>0</v>
      </c>
      <c r="CV2154">
        <v>2</v>
      </c>
      <c r="CW2154">
        <v>0</v>
      </c>
      <c r="CX2154">
        <v>5</v>
      </c>
      <c r="CY2154">
        <v>7</v>
      </c>
      <c r="CZ2154" t="s">
        <v>131</v>
      </c>
      <c r="DA2154">
        <v>300</v>
      </c>
      <c r="DB2154">
        <v>0</v>
      </c>
      <c r="DC2154" t="s">
        <v>176</v>
      </c>
      <c r="DD2154" t="s">
        <v>177</v>
      </c>
      <c r="DG2154">
        <v>5404322</v>
      </c>
      <c r="DI2154">
        <v>1</v>
      </c>
      <c r="DJ2154">
        <v>0</v>
      </c>
      <c r="DK2154">
        <v>1</v>
      </c>
      <c r="DL2154">
        <v>0</v>
      </c>
      <c r="DM2154">
        <v>0</v>
      </c>
      <c r="DN2154">
        <v>1</v>
      </c>
      <c r="DO2154">
        <v>0</v>
      </c>
      <c r="DP2154">
        <v>0</v>
      </c>
      <c r="DQ2154">
        <v>0</v>
      </c>
      <c r="DR2154">
        <v>0</v>
      </c>
      <c r="DS2154">
        <v>0</v>
      </c>
    </row>
    <row r="2155" spans="1:123" x14ac:dyDescent="0.3">
      <c r="A2155" t="str">
        <f t="shared" si="768"/>
        <v>10/04/2022 19:31:15.590</v>
      </c>
      <c r="C2155" t="str">
        <f t="shared" si="769"/>
        <v>FFDDD3C0</v>
      </c>
      <c r="D2155" t="s">
        <v>123</v>
      </c>
      <c r="E2155">
        <v>7</v>
      </c>
      <c r="F2155">
        <v>2007</v>
      </c>
      <c r="G2155" t="s">
        <v>124</v>
      </c>
      <c r="J2155" t="s">
        <v>125</v>
      </c>
      <c r="K2155">
        <v>0</v>
      </c>
      <c r="L2155">
        <v>3</v>
      </c>
      <c r="M2155">
        <v>0</v>
      </c>
      <c r="N2155">
        <v>2</v>
      </c>
      <c r="O2155">
        <v>0</v>
      </c>
      <c r="P2155">
        <v>1</v>
      </c>
      <c r="Q2155">
        <v>0</v>
      </c>
      <c r="S2155" t="str">
        <f t="shared" si="770"/>
        <v>19:31:15.000</v>
      </c>
      <c r="T2155" t="str">
        <f t="shared" si="770"/>
        <v>19:31:15.000</v>
      </c>
      <c r="U2155" t="str">
        <f t="shared" si="753"/>
        <v>AC3944</v>
      </c>
      <c r="V2155">
        <v>0</v>
      </c>
      <c r="W2155">
        <v>0</v>
      </c>
      <c r="X2155">
        <v>2</v>
      </c>
      <c r="Y2155">
        <v>0</v>
      </c>
      <c r="AA2155">
        <v>1</v>
      </c>
      <c r="AB2155">
        <v>8</v>
      </c>
      <c r="AC2155">
        <v>3</v>
      </c>
      <c r="AD2155">
        <v>0</v>
      </c>
      <c r="AE2155">
        <v>9</v>
      </c>
      <c r="AF2155" t="s">
        <v>138</v>
      </c>
      <c r="AG2155">
        <v>0</v>
      </c>
      <c r="AH2155">
        <v>3</v>
      </c>
      <c r="AI2155">
        <v>1</v>
      </c>
      <c r="AJ2155">
        <v>0</v>
      </c>
      <c r="AK2155" t="s">
        <v>752</v>
      </c>
      <c r="AL2155">
        <v>32.771529999999998</v>
      </c>
      <c r="AM2155" t="s">
        <v>753</v>
      </c>
      <c r="AN2155">
        <v>-116.821468</v>
      </c>
      <c r="AO2155">
        <v>25</v>
      </c>
      <c r="AP2155">
        <v>3000</v>
      </c>
      <c r="AQ2155" t="s">
        <v>129</v>
      </c>
      <c r="AR2155">
        <v>124</v>
      </c>
      <c r="AS2155">
        <v>-40</v>
      </c>
      <c r="AT2155">
        <v>192</v>
      </c>
      <c r="BB2155">
        <v>1200</v>
      </c>
      <c r="BC2155">
        <v>1</v>
      </c>
      <c r="BD2155" t="str">
        <f t="shared" si="754"/>
        <v xml:space="preserve">N887QR  </v>
      </c>
      <c r="BE2155">
        <v>1</v>
      </c>
      <c r="BJ2155">
        <v>2750</v>
      </c>
      <c r="BK2155">
        <v>-250</v>
      </c>
      <c r="BL2155" t="s">
        <v>163</v>
      </c>
      <c r="BM2155">
        <v>1</v>
      </c>
      <c r="BN2155">
        <v>1</v>
      </c>
      <c r="BO2155">
        <v>1</v>
      </c>
      <c r="BP2155">
        <v>0</v>
      </c>
      <c r="BS2155">
        <v>0.12</v>
      </c>
      <c r="BT2155">
        <v>0</v>
      </c>
      <c r="BU2155">
        <v>0</v>
      </c>
      <c r="CE2155" t="str">
        <f t="shared" si="771"/>
        <v>19:31:15.252</v>
      </c>
      <c r="CF2155">
        <v>251801326</v>
      </c>
      <c r="CS2155">
        <v>0</v>
      </c>
      <c r="CT2155">
        <v>2</v>
      </c>
      <c r="CU2155">
        <v>0</v>
      </c>
      <c r="CV2155">
        <v>2</v>
      </c>
      <c r="CW2155">
        <v>0</v>
      </c>
      <c r="CX2155">
        <v>5</v>
      </c>
      <c r="CY2155">
        <v>7</v>
      </c>
      <c r="CZ2155" t="s">
        <v>131</v>
      </c>
      <c r="DA2155">
        <v>300</v>
      </c>
      <c r="DB2155">
        <v>0</v>
      </c>
      <c r="DC2155" t="s">
        <v>176</v>
      </c>
      <c r="DD2155" t="s">
        <v>177</v>
      </c>
      <c r="DG2155">
        <v>5404322</v>
      </c>
      <c r="DI2155">
        <v>1</v>
      </c>
      <c r="DJ2155">
        <v>0</v>
      </c>
      <c r="DK2155">
        <v>1</v>
      </c>
      <c r="DL2155">
        <v>0</v>
      </c>
      <c r="DM2155">
        <v>0</v>
      </c>
      <c r="DN2155">
        <v>1</v>
      </c>
      <c r="DO2155">
        <v>0</v>
      </c>
      <c r="DP2155">
        <v>0</v>
      </c>
      <c r="DQ2155">
        <v>0</v>
      </c>
      <c r="DR2155">
        <v>0</v>
      </c>
      <c r="DS2155">
        <v>0</v>
      </c>
    </row>
    <row r="2156" spans="1:123" x14ac:dyDescent="0.3">
      <c r="A2156" t="str">
        <f t="shared" si="768"/>
        <v>10/04/2022 19:31:15.590</v>
      </c>
      <c r="C2156" t="str">
        <f t="shared" si="769"/>
        <v>FFDDD3C0</v>
      </c>
      <c r="D2156" t="s">
        <v>147</v>
      </c>
      <c r="E2156">
        <v>3</v>
      </c>
      <c r="H2156">
        <v>166</v>
      </c>
      <c r="I2156" t="s">
        <v>144</v>
      </c>
      <c r="J2156" t="s">
        <v>148</v>
      </c>
      <c r="K2156">
        <v>0</v>
      </c>
      <c r="L2156">
        <v>3</v>
      </c>
      <c r="M2156">
        <v>0</v>
      </c>
      <c r="N2156">
        <v>2</v>
      </c>
      <c r="O2156">
        <v>0</v>
      </c>
      <c r="P2156">
        <v>1</v>
      </c>
      <c r="Q2156">
        <v>0</v>
      </c>
      <c r="S2156" t="str">
        <f t="shared" si="770"/>
        <v>19:31:15.000</v>
      </c>
      <c r="T2156" t="str">
        <f t="shared" si="770"/>
        <v>19:31:15.000</v>
      </c>
      <c r="U2156" t="str">
        <f t="shared" si="753"/>
        <v>AC3944</v>
      </c>
      <c r="V2156">
        <v>0</v>
      </c>
      <c r="W2156">
        <v>0</v>
      </c>
      <c r="X2156">
        <v>2</v>
      </c>
      <c r="Y2156">
        <v>0</v>
      </c>
      <c r="AA2156">
        <v>1</v>
      </c>
      <c r="AB2156">
        <v>8</v>
      </c>
      <c r="AC2156">
        <v>3</v>
      </c>
      <c r="AD2156">
        <v>0</v>
      </c>
      <c r="AE2156">
        <v>9</v>
      </c>
      <c r="AF2156" t="s">
        <v>138</v>
      </c>
      <c r="AG2156">
        <v>0</v>
      </c>
      <c r="AH2156">
        <v>3</v>
      </c>
      <c r="AI2156">
        <v>1</v>
      </c>
      <c r="AJ2156">
        <v>0</v>
      </c>
      <c r="AK2156" t="s">
        <v>752</v>
      </c>
      <c r="AL2156">
        <v>32.771529999999998</v>
      </c>
      <c r="AM2156" t="s">
        <v>753</v>
      </c>
      <c r="AN2156">
        <v>-116.821468</v>
      </c>
      <c r="AO2156">
        <v>25</v>
      </c>
      <c r="AP2156">
        <v>3000</v>
      </c>
      <c r="AQ2156" t="s">
        <v>129</v>
      </c>
      <c r="AR2156">
        <v>124</v>
      </c>
      <c r="AS2156">
        <v>-40</v>
      </c>
      <c r="AT2156">
        <v>192</v>
      </c>
      <c r="BB2156">
        <v>1200</v>
      </c>
      <c r="BC2156">
        <v>1</v>
      </c>
      <c r="BD2156" t="str">
        <f t="shared" si="754"/>
        <v xml:space="preserve">N887QR  </v>
      </c>
      <c r="BE2156">
        <v>1</v>
      </c>
      <c r="BJ2156">
        <v>2750</v>
      </c>
      <c r="BK2156">
        <v>-250</v>
      </c>
      <c r="BL2156" t="s">
        <v>163</v>
      </c>
      <c r="BM2156">
        <v>1</v>
      </c>
      <c r="BN2156">
        <v>1</v>
      </c>
      <c r="BO2156">
        <v>1</v>
      </c>
      <c r="BP2156">
        <v>0</v>
      </c>
      <c r="BS2156">
        <v>0.12</v>
      </c>
      <c r="BT2156">
        <v>0</v>
      </c>
      <c r="BU2156">
        <v>0</v>
      </c>
      <c r="CE2156" t="str">
        <f t="shared" si="771"/>
        <v>19:31:15.252</v>
      </c>
      <c r="CF2156">
        <v>251801326</v>
      </c>
      <c r="CS2156">
        <v>0</v>
      </c>
      <c r="CT2156">
        <v>2</v>
      </c>
      <c r="CU2156">
        <v>0</v>
      </c>
      <c r="CV2156">
        <v>2</v>
      </c>
      <c r="CW2156">
        <v>0</v>
      </c>
      <c r="CX2156">
        <v>5</v>
      </c>
      <c r="CY2156">
        <v>7</v>
      </c>
      <c r="CZ2156" t="s">
        <v>131</v>
      </c>
      <c r="DA2156">
        <v>300</v>
      </c>
      <c r="DB2156">
        <v>0</v>
      </c>
      <c r="DC2156" t="s">
        <v>176</v>
      </c>
      <c r="DD2156" t="s">
        <v>177</v>
      </c>
      <c r="DG2156">
        <v>5404322</v>
      </c>
      <c r="DI2156">
        <v>1</v>
      </c>
      <c r="DJ2156">
        <v>0</v>
      </c>
      <c r="DK2156">
        <v>1</v>
      </c>
      <c r="DL2156">
        <v>0</v>
      </c>
      <c r="DM2156">
        <v>0</v>
      </c>
      <c r="DN2156">
        <v>1</v>
      </c>
      <c r="DO2156">
        <v>0</v>
      </c>
      <c r="DP2156">
        <v>0</v>
      </c>
      <c r="DQ2156">
        <v>0</v>
      </c>
      <c r="DR2156">
        <v>0</v>
      </c>
      <c r="DS2156">
        <v>0</v>
      </c>
    </row>
    <row r="2157" spans="1:123" x14ac:dyDescent="0.3">
      <c r="A2157" t="str">
        <f t="shared" si="768"/>
        <v>10/04/2022 19:31:15.590</v>
      </c>
      <c r="C2157" t="str">
        <f t="shared" si="769"/>
        <v>FFDDD3C0</v>
      </c>
      <c r="D2157" t="s">
        <v>141</v>
      </c>
      <c r="E2157">
        <v>4</v>
      </c>
      <c r="H2157">
        <v>4</v>
      </c>
      <c r="I2157" t="s">
        <v>142</v>
      </c>
      <c r="J2157" t="s">
        <v>138</v>
      </c>
      <c r="K2157">
        <v>0</v>
      </c>
      <c r="L2157">
        <v>3</v>
      </c>
      <c r="M2157">
        <v>0</v>
      </c>
      <c r="N2157">
        <v>2</v>
      </c>
      <c r="O2157">
        <v>0</v>
      </c>
      <c r="P2157">
        <v>1</v>
      </c>
      <c r="Q2157">
        <v>0</v>
      </c>
      <c r="S2157" t="str">
        <f t="shared" si="770"/>
        <v>19:31:15.000</v>
      </c>
      <c r="T2157" t="str">
        <f t="shared" si="770"/>
        <v>19:31:15.000</v>
      </c>
      <c r="U2157" t="str">
        <f t="shared" si="753"/>
        <v>AC3944</v>
      </c>
      <c r="V2157">
        <v>0</v>
      </c>
      <c r="W2157">
        <v>0</v>
      </c>
      <c r="X2157">
        <v>2</v>
      </c>
      <c r="Y2157">
        <v>0</v>
      </c>
      <c r="AA2157">
        <v>1</v>
      </c>
      <c r="AB2157">
        <v>8</v>
      </c>
      <c r="AC2157">
        <v>3</v>
      </c>
      <c r="AD2157">
        <v>0</v>
      </c>
      <c r="AE2157">
        <v>9</v>
      </c>
      <c r="AF2157" t="s">
        <v>138</v>
      </c>
      <c r="AG2157">
        <v>0</v>
      </c>
      <c r="AH2157">
        <v>3</v>
      </c>
      <c r="AI2157">
        <v>1</v>
      </c>
      <c r="AJ2157">
        <v>0</v>
      </c>
      <c r="AK2157" t="s">
        <v>752</v>
      </c>
      <c r="AL2157">
        <v>32.771529999999998</v>
      </c>
      <c r="AM2157" t="s">
        <v>753</v>
      </c>
      <c r="AN2157">
        <v>-116.821468</v>
      </c>
      <c r="AO2157">
        <v>25</v>
      </c>
      <c r="AP2157">
        <v>3000</v>
      </c>
      <c r="AQ2157" t="s">
        <v>129</v>
      </c>
      <c r="AR2157">
        <v>124</v>
      </c>
      <c r="AS2157">
        <v>-40</v>
      </c>
      <c r="AT2157">
        <v>192</v>
      </c>
      <c r="BB2157">
        <v>1200</v>
      </c>
      <c r="BC2157">
        <v>1</v>
      </c>
      <c r="BD2157" t="str">
        <f t="shared" si="754"/>
        <v xml:space="preserve">N887QR  </v>
      </c>
      <c r="BE2157">
        <v>1</v>
      </c>
      <c r="BJ2157">
        <v>2750</v>
      </c>
      <c r="BK2157">
        <v>-250</v>
      </c>
      <c r="BL2157" t="s">
        <v>163</v>
      </c>
      <c r="BM2157">
        <v>1</v>
      </c>
      <c r="BN2157">
        <v>1</v>
      </c>
      <c r="BO2157">
        <v>1</v>
      </c>
      <c r="BP2157">
        <v>0</v>
      </c>
      <c r="BS2157">
        <v>0.12</v>
      </c>
      <c r="BT2157">
        <v>0</v>
      </c>
      <c r="BU2157">
        <v>0</v>
      </c>
      <c r="CE2157" t="str">
        <f t="shared" si="771"/>
        <v>19:31:15.252</v>
      </c>
      <c r="CF2157">
        <v>251801326</v>
      </c>
      <c r="CS2157">
        <v>0</v>
      </c>
      <c r="CT2157">
        <v>2</v>
      </c>
      <c r="CU2157">
        <v>0</v>
      </c>
      <c r="CV2157">
        <v>2</v>
      </c>
      <c r="CW2157">
        <v>0</v>
      </c>
      <c r="CX2157">
        <v>5</v>
      </c>
      <c r="CY2157">
        <v>7</v>
      </c>
      <c r="CZ2157" t="s">
        <v>131</v>
      </c>
      <c r="DA2157">
        <v>300</v>
      </c>
      <c r="DB2157">
        <v>0</v>
      </c>
      <c r="DC2157" t="s">
        <v>176</v>
      </c>
      <c r="DD2157" t="s">
        <v>177</v>
      </c>
      <c r="DG2157">
        <v>5404322</v>
      </c>
      <c r="DI2157">
        <v>1</v>
      </c>
      <c r="DJ2157">
        <v>0</v>
      </c>
      <c r="DK2157">
        <v>1</v>
      </c>
      <c r="DL2157">
        <v>0</v>
      </c>
      <c r="DM2157">
        <v>0</v>
      </c>
      <c r="DN2157">
        <v>1</v>
      </c>
      <c r="DO2157">
        <v>0</v>
      </c>
      <c r="DP2157">
        <v>0</v>
      </c>
      <c r="DQ2157">
        <v>0</v>
      </c>
      <c r="DR2157">
        <v>0</v>
      </c>
      <c r="DS2157">
        <v>0</v>
      </c>
    </row>
    <row r="2158" spans="1:123" x14ac:dyDescent="0.3">
      <c r="A2158" t="str">
        <f>"10/04/2022 19:31:16.634"</f>
        <v>10/04/2022 19:31:16.634</v>
      </c>
      <c r="C2158" t="str">
        <f t="shared" si="769"/>
        <v>FFDDD3C0</v>
      </c>
      <c r="D2158" t="s">
        <v>134</v>
      </c>
      <c r="E2158">
        <v>15</v>
      </c>
      <c r="J2158" t="s">
        <v>135</v>
      </c>
      <c r="K2158">
        <v>0</v>
      </c>
      <c r="L2158">
        <v>3</v>
      </c>
      <c r="M2158">
        <v>0</v>
      </c>
      <c r="N2158">
        <v>2</v>
      </c>
      <c r="O2158">
        <v>0</v>
      </c>
      <c r="P2158">
        <v>1</v>
      </c>
      <c r="Q2158">
        <v>0</v>
      </c>
      <c r="S2158" t="str">
        <f t="shared" ref="S2158:T2171" si="772">"19:31:16.000"</f>
        <v>19:31:16.000</v>
      </c>
      <c r="T2158" t="str">
        <f t="shared" si="772"/>
        <v>19:31:16.000</v>
      </c>
      <c r="U2158" t="str">
        <f t="shared" si="753"/>
        <v>AC3944</v>
      </c>
      <c r="V2158">
        <v>0</v>
      </c>
      <c r="W2158">
        <v>0</v>
      </c>
      <c r="X2158">
        <v>2</v>
      </c>
      <c r="Y2158">
        <v>0</v>
      </c>
      <c r="AA2158">
        <v>1</v>
      </c>
      <c r="AB2158">
        <v>8</v>
      </c>
      <c r="AC2158">
        <v>3</v>
      </c>
      <c r="AD2158">
        <v>0</v>
      </c>
      <c r="AE2158">
        <v>9</v>
      </c>
      <c r="AF2158" t="s">
        <v>138</v>
      </c>
      <c r="AG2158">
        <v>0</v>
      </c>
      <c r="AH2158">
        <v>3</v>
      </c>
      <c r="AI2158">
        <v>1</v>
      </c>
      <c r="AJ2158">
        <v>0</v>
      </c>
      <c r="AK2158" t="s">
        <v>754</v>
      </c>
      <c r="AL2158">
        <v>32.771380000000001</v>
      </c>
      <c r="AM2158" t="s">
        <v>755</v>
      </c>
      <c r="AN2158">
        <v>-116.820931</v>
      </c>
      <c r="AO2158">
        <v>25</v>
      </c>
      <c r="AP2158">
        <v>3000</v>
      </c>
      <c r="AQ2158" t="s">
        <v>129</v>
      </c>
      <c r="AR2158">
        <v>123</v>
      </c>
      <c r="AS2158">
        <v>-41</v>
      </c>
      <c r="AT2158">
        <v>128</v>
      </c>
      <c r="BB2158">
        <v>1200</v>
      </c>
      <c r="BC2158">
        <v>1</v>
      </c>
      <c r="BD2158" t="str">
        <f t="shared" si="754"/>
        <v xml:space="preserve">N887QR  </v>
      </c>
      <c r="BE2158">
        <v>1</v>
      </c>
      <c r="BJ2158">
        <v>2750</v>
      </c>
      <c r="BK2158">
        <v>-250</v>
      </c>
      <c r="BL2158" t="s">
        <v>163</v>
      </c>
      <c r="BM2158">
        <v>1</v>
      </c>
      <c r="BN2158">
        <v>1</v>
      </c>
      <c r="BO2158">
        <v>1</v>
      </c>
      <c r="BP2158">
        <v>0</v>
      </c>
      <c r="BS2158">
        <v>0.12</v>
      </c>
      <c r="BT2158">
        <v>0</v>
      </c>
      <c r="BU2158">
        <v>0</v>
      </c>
      <c r="CE2158" t="str">
        <f t="shared" ref="CE2158:CE2164" si="773">"19:31:16.309"</f>
        <v>19:31:16.309</v>
      </c>
      <c r="CF2158">
        <v>309304796</v>
      </c>
      <c r="CS2158">
        <v>0</v>
      </c>
      <c r="CT2158">
        <v>2</v>
      </c>
      <c r="CU2158">
        <v>0</v>
      </c>
      <c r="CV2158">
        <v>2</v>
      </c>
      <c r="CW2158">
        <v>0</v>
      </c>
      <c r="CX2158">
        <v>5</v>
      </c>
      <c r="CY2158">
        <v>7</v>
      </c>
      <c r="CZ2158" t="s">
        <v>131</v>
      </c>
      <c r="DA2158">
        <v>300</v>
      </c>
      <c r="DB2158">
        <v>0</v>
      </c>
      <c r="DC2158" t="s">
        <v>176</v>
      </c>
      <c r="DD2158" t="s">
        <v>177</v>
      </c>
      <c r="DG2158">
        <v>5404487</v>
      </c>
      <c r="DI2158">
        <v>1</v>
      </c>
      <c r="DJ2158">
        <v>0</v>
      </c>
      <c r="DK2158">
        <v>0</v>
      </c>
      <c r="DL2158">
        <v>0</v>
      </c>
      <c r="DM2158">
        <v>0</v>
      </c>
      <c r="DN2158">
        <v>1</v>
      </c>
      <c r="DO2158">
        <v>0</v>
      </c>
      <c r="DP2158">
        <v>0</v>
      </c>
      <c r="DQ2158">
        <v>0</v>
      </c>
      <c r="DR2158">
        <v>0</v>
      </c>
      <c r="DS2158">
        <v>0</v>
      </c>
    </row>
    <row r="2159" spans="1:123" x14ac:dyDescent="0.3">
      <c r="A2159" t="str">
        <f>"10/04/2022 19:31:16.634"</f>
        <v>10/04/2022 19:31:16.634</v>
      </c>
      <c r="C2159" t="str">
        <f t="shared" si="769"/>
        <v>FFDDD3C0</v>
      </c>
      <c r="D2159" t="s">
        <v>147</v>
      </c>
      <c r="E2159">
        <v>3</v>
      </c>
      <c r="H2159">
        <v>166</v>
      </c>
      <c r="I2159" t="s">
        <v>144</v>
      </c>
      <c r="J2159" t="s">
        <v>148</v>
      </c>
      <c r="K2159">
        <v>0</v>
      </c>
      <c r="L2159">
        <v>3</v>
      </c>
      <c r="M2159">
        <v>0</v>
      </c>
      <c r="N2159">
        <v>2</v>
      </c>
      <c r="O2159">
        <v>0</v>
      </c>
      <c r="P2159">
        <v>1</v>
      </c>
      <c r="Q2159">
        <v>0</v>
      </c>
      <c r="S2159" t="str">
        <f t="shared" si="772"/>
        <v>19:31:16.000</v>
      </c>
      <c r="T2159" t="str">
        <f t="shared" si="772"/>
        <v>19:31:16.000</v>
      </c>
      <c r="U2159" t="str">
        <f t="shared" si="753"/>
        <v>AC3944</v>
      </c>
      <c r="V2159">
        <v>0</v>
      </c>
      <c r="W2159">
        <v>0</v>
      </c>
      <c r="X2159">
        <v>2</v>
      </c>
      <c r="Y2159">
        <v>0</v>
      </c>
      <c r="AA2159">
        <v>1</v>
      </c>
      <c r="AB2159">
        <v>8</v>
      </c>
      <c r="AC2159">
        <v>3</v>
      </c>
      <c r="AD2159">
        <v>0</v>
      </c>
      <c r="AE2159">
        <v>9</v>
      </c>
      <c r="AF2159" t="s">
        <v>138</v>
      </c>
      <c r="AG2159">
        <v>0</v>
      </c>
      <c r="AH2159">
        <v>3</v>
      </c>
      <c r="AI2159">
        <v>1</v>
      </c>
      <c r="AJ2159">
        <v>0</v>
      </c>
      <c r="AK2159" t="s">
        <v>754</v>
      </c>
      <c r="AL2159">
        <v>32.771380000000001</v>
      </c>
      <c r="AM2159" t="s">
        <v>755</v>
      </c>
      <c r="AN2159">
        <v>-116.820931</v>
      </c>
      <c r="AO2159">
        <v>25</v>
      </c>
      <c r="AP2159">
        <v>3000</v>
      </c>
      <c r="AQ2159" t="s">
        <v>129</v>
      </c>
      <c r="AR2159">
        <v>123</v>
      </c>
      <c r="AS2159">
        <v>-41</v>
      </c>
      <c r="AT2159">
        <v>128</v>
      </c>
      <c r="BB2159">
        <v>1200</v>
      </c>
      <c r="BC2159">
        <v>1</v>
      </c>
      <c r="BD2159" t="str">
        <f t="shared" si="754"/>
        <v xml:space="preserve">N887QR  </v>
      </c>
      <c r="BE2159">
        <v>1</v>
      </c>
      <c r="BJ2159">
        <v>2750</v>
      </c>
      <c r="BK2159">
        <v>-250</v>
      </c>
      <c r="BL2159" t="s">
        <v>163</v>
      </c>
      <c r="BM2159">
        <v>1</v>
      </c>
      <c r="BN2159">
        <v>1</v>
      </c>
      <c r="BO2159">
        <v>1</v>
      </c>
      <c r="BP2159">
        <v>0</v>
      </c>
      <c r="BS2159">
        <v>0.12</v>
      </c>
      <c r="BT2159">
        <v>0</v>
      </c>
      <c r="BU2159">
        <v>0</v>
      </c>
      <c r="CE2159" t="str">
        <f t="shared" si="773"/>
        <v>19:31:16.309</v>
      </c>
      <c r="CF2159">
        <v>309304796</v>
      </c>
      <c r="CS2159">
        <v>0</v>
      </c>
      <c r="CT2159">
        <v>2</v>
      </c>
      <c r="CU2159">
        <v>0</v>
      </c>
      <c r="CV2159">
        <v>2</v>
      </c>
      <c r="CW2159">
        <v>0</v>
      </c>
      <c r="CX2159">
        <v>5</v>
      </c>
      <c r="CY2159">
        <v>7</v>
      </c>
      <c r="CZ2159" t="s">
        <v>131</v>
      </c>
      <c r="DA2159">
        <v>300</v>
      </c>
      <c r="DB2159">
        <v>0</v>
      </c>
      <c r="DC2159" t="s">
        <v>176</v>
      </c>
      <c r="DD2159" t="s">
        <v>177</v>
      </c>
      <c r="DG2159">
        <v>5404487</v>
      </c>
      <c r="DI2159">
        <v>1</v>
      </c>
      <c r="DJ2159">
        <v>0</v>
      </c>
      <c r="DK2159">
        <v>1</v>
      </c>
      <c r="DL2159">
        <v>0</v>
      </c>
      <c r="DM2159">
        <v>0</v>
      </c>
      <c r="DN2159">
        <v>1</v>
      </c>
      <c r="DO2159">
        <v>0</v>
      </c>
      <c r="DP2159">
        <v>0</v>
      </c>
      <c r="DQ2159">
        <v>0</v>
      </c>
      <c r="DR2159">
        <v>0</v>
      </c>
      <c r="DS2159">
        <v>0</v>
      </c>
    </row>
    <row r="2160" spans="1:123" x14ac:dyDescent="0.3">
      <c r="A2160" t="str">
        <f>"10/04/2022 19:31:16.634"</f>
        <v>10/04/2022 19:31:16.634</v>
      </c>
      <c r="C2160" t="str">
        <f t="shared" si="769"/>
        <v>FFDDD3C0</v>
      </c>
      <c r="D2160" t="s">
        <v>136</v>
      </c>
      <c r="E2160">
        <v>8</v>
      </c>
      <c r="H2160">
        <v>225</v>
      </c>
      <c r="I2160" t="s">
        <v>137</v>
      </c>
      <c r="J2160" t="s">
        <v>138</v>
      </c>
      <c r="K2160">
        <v>0</v>
      </c>
      <c r="L2160">
        <v>3</v>
      </c>
      <c r="M2160">
        <v>0</v>
      </c>
      <c r="N2160">
        <v>2</v>
      </c>
      <c r="O2160">
        <v>0</v>
      </c>
      <c r="P2160">
        <v>1</v>
      </c>
      <c r="Q2160">
        <v>0</v>
      </c>
      <c r="S2160" t="str">
        <f t="shared" si="772"/>
        <v>19:31:16.000</v>
      </c>
      <c r="T2160" t="str">
        <f t="shared" si="772"/>
        <v>19:31:16.000</v>
      </c>
      <c r="U2160" t="str">
        <f t="shared" si="753"/>
        <v>AC3944</v>
      </c>
      <c r="V2160">
        <v>0</v>
      </c>
      <c r="W2160">
        <v>0</v>
      </c>
      <c r="X2160">
        <v>2</v>
      </c>
      <c r="Y2160">
        <v>0</v>
      </c>
      <c r="AA2160">
        <v>1</v>
      </c>
      <c r="AB2160">
        <v>8</v>
      </c>
      <c r="AC2160">
        <v>3</v>
      </c>
      <c r="AD2160">
        <v>0</v>
      </c>
      <c r="AE2160">
        <v>9</v>
      </c>
      <c r="AF2160" t="s">
        <v>138</v>
      </c>
      <c r="AG2160">
        <v>0</v>
      </c>
      <c r="AH2160">
        <v>3</v>
      </c>
      <c r="AI2160">
        <v>1</v>
      </c>
      <c r="AJ2160">
        <v>0</v>
      </c>
      <c r="AK2160" t="s">
        <v>754</v>
      </c>
      <c r="AL2160">
        <v>32.771380000000001</v>
      </c>
      <c r="AM2160" t="s">
        <v>755</v>
      </c>
      <c r="AN2160">
        <v>-116.820931</v>
      </c>
      <c r="AO2160">
        <v>25</v>
      </c>
      <c r="AP2160">
        <v>3000</v>
      </c>
      <c r="AQ2160" t="s">
        <v>129</v>
      </c>
      <c r="AR2160">
        <v>123</v>
      </c>
      <c r="AS2160">
        <v>-41</v>
      </c>
      <c r="AT2160">
        <v>128</v>
      </c>
      <c r="BB2160">
        <v>1200</v>
      </c>
      <c r="BC2160">
        <v>1</v>
      </c>
      <c r="BD2160" t="str">
        <f t="shared" si="754"/>
        <v xml:space="preserve">N887QR  </v>
      </c>
      <c r="BE2160">
        <v>1</v>
      </c>
      <c r="BJ2160">
        <v>2750</v>
      </c>
      <c r="BK2160">
        <v>-250</v>
      </c>
      <c r="BL2160" t="s">
        <v>163</v>
      </c>
      <c r="BM2160">
        <v>1</v>
      </c>
      <c r="BN2160">
        <v>1</v>
      </c>
      <c r="BO2160">
        <v>1</v>
      </c>
      <c r="BP2160">
        <v>0</v>
      </c>
      <c r="BS2160">
        <v>0.12</v>
      </c>
      <c r="BT2160">
        <v>0</v>
      </c>
      <c r="BU2160">
        <v>0</v>
      </c>
      <c r="CE2160" t="str">
        <f t="shared" si="773"/>
        <v>19:31:16.309</v>
      </c>
      <c r="CF2160">
        <v>309304796</v>
      </c>
      <c r="CS2160">
        <v>0</v>
      </c>
      <c r="CT2160">
        <v>2</v>
      </c>
      <c r="CU2160">
        <v>0</v>
      </c>
      <c r="CV2160">
        <v>2</v>
      </c>
      <c r="CW2160">
        <v>0</v>
      </c>
      <c r="CX2160">
        <v>5</v>
      </c>
      <c r="CY2160">
        <v>7</v>
      </c>
      <c r="CZ2160" t="s">
        <v>131</v>
      </c>
      <c r="DA2160">
        <v>300</v>
      </c>
      <c r="DB2160">
        <v>0</v>
      </c>
      <c r="DC2160" t="s">
        <v>176</v>
      </c>
      <c r="DD2160" t="s">
        <v>177</v>
      </c>
      <c r="DG2160">
        <v>5404487</v>
      </c>
      <c r="DI2160">
        <v>1</v>
      </c>
      <c r="DJ2160">
        <v>0</v>
      </c>
      <c r="DK2160">
        <v>1</v>
      </c>
      <c r="DL2160">
        <v>0</v>
      </c>
      <c r="DM2160">
        <v>0</v>
      </c>
      <c r="DN2160">
        <v>1</v>
      </c>
      <c r="DO2160">
        <v>0</v>
      </c>
      <c r="DP2160">
        <v>0</v>
      </c>
      <c r="DQ2160">
        <v>0</v>
      </c>
      <c r="DR2160">
        <v>0</v>
      </c>
      <c r="DS2160">
        <v>0</v>
      </c>
    </row>
    <row r="2161" spans="1:123" x14ac:dyDescent="0.3">
      <c r="A2161" t="str">
        <f>"10/04/2022 19:31:16.634"</f>
        <v>10/04/2022 19:31:16.634</v>
      </c>
      <c r="C2161" t="str">
        <f t="shared" si="769"/>
        <v>FFDDD3C0</v>
      </c>
      <c r="D2161" t="s">
        <v>123</v>
      </c>
      <c r="E2161">
        <v>7</v>
      </c>
      <c r="F2161">
        <v>2007</v>
      </c>
      <c r="G2161" t="s">
        <v>124</v>
      </c>
      <c r="J2161" t="s">
        <v>125</v>
      </c>
      <c r="K2161">
        <v>0</v>
      </c>
      <c r="L2161">
        <v>3</v>
      </c>
      <c r="M2161">
        <v>0</v>
      </c>
      <c r="N2161">
        <v>2</v>
      </c>
      <c r="O2161">
        <v>0</v>
      </c>
      <c r="P2161">
        <v>1</v>
      </c>
      <c r="Q2161">
        <v>0</v>
      </c>
      <c r="S2161" t="str">
        <f t="shared" si="772"/>
        <v>19:31:16.000</v>
      </c>
      <c r="T2161" t="str">
        <f t="shared" si="772"/>
        <v>19:31:16.000</v>
      </c>
      <c r="U2161" t="str">
        <f t="shared" si="753"/>
        <v>AC3944</v>
      </c>
      <c r="V2161">
        <v>0</v>
      </c>
      <c r="W2161">
        <v>0</v>
      </c>
      <c r="X2161">
        <v>2</v>
      </c>
      <c r="Y2161">
        <v>0</v>
      </c>
      <c r="AA2161">
        <v>1</v>
      </c>
      <c r="AB2161">
        <v>8</v>
      </c>
      <c r="AC2161">
        <v>3</v>
      </c>
      <c r="AD2161">
        <v>0</v>
      </c>
      <c r="AE2161">
        <v>9</v>
      </c>
      <c r="AF2161" t="s">
        <v>138</v>
      </c>
      <c r="AG2161">
        <v>0</v>
      </c>
      <c r="AH2161">
        <v>3</v>
      </c>
      <c r="AI2161">
        <v>1</v>
      </c>
      <c r="AJ2161">
        <v>0</v>
      </c>
      <c r="AK2161" t="s">
        <v>754</v>
      </c>
      <c r="AL2161">
        <v>32.771380000000001</v>
      </c>
      <c r="AM2161" t="s">
        <v>755</v>
      </c>
      <c r="AN2161">
        <v>-116.820931</v>
      </c>
      <c r="AO2161">
        <v>25</v>
      </c>
      <c r="AP2161">
        <v>3000</v>
      </c>
      <c r="AQ2161" t="s">
        <v>129</v>
      </c>
      <c r="AR2161">
        <v>123</v>
      </c>
      <c r="AS2161">
        <v>-41</v>
      </c>
      <c r="AT2161">
        <v>128</v>
      </c>
      <c r="BB2161">
        <v>1200</v>
      </c>
      <c r="BC2161">
        <v>1</v>
      </c>
      <c r="BD2161" t="str">
        <f t="shared" si="754"/>
        <v xml:space="preserve">N887QR  </v>
      </c>
      <c r="BE2161">
        <v>1</v>
      </c>
      <c r="BJ2161">
        <v>2750</v>
      </c>
      <c r="BK2161">
        <v>-250</v>
      </c>
      <c r="BL2161" t="s">
        <v>163</v>
      </c>
      <c r="BM2161">
        <v>1</v>
      </c>
      <c r="BN2161">
        <v>1</v>
      </c>
      <c r="BO2161">
        <v>1</v>
      </c>
      <c r="BP2161">
        <v>0</v>
      </c>
      <c r="BS2161">
        <v>0.12</v>
      </c>
      <c r="BT2161">
        <v>0</v>
      </c>
      <c r="BU2161">
        <v>0</v>
      </c>
      <c r="CE2161" t="str">
        <f t="shared" si="773"/>
        <v>19:31:16.309</v>
      </c>
      <c r="CF2161">
        <v>309304796</v>
      </c>
      <c r="CS2161">
        <v>0</v>
      </c>
      <c r="CT2161">
        <v>2</v>
      </c>
      <c r="CU2161">
        <v>0</v>
      </c>
      <c r="CV2161">
        <v>2</v>
      </c>
      <c r="CW2161">
        <v>0</v>
      </c>
      <c r="CX2161">
        <v>5</v>
      </c>
      <c r="CY2161">
        <v>7</v>
      </c>
      <c r="CZ2161" t="s">
        <v>131</v>
      </c>
      <c r="DA2161">
        <v>300</v>
      </c>
      <c r="DB2161">
        <v>0</v>
      </c>
      <c r="DC2161" t="s">
        <v>176</v>
      </c>
      <c r="DD2161" t="s">
        <v>177</v>
      </c>
      <c r="DG2161">
        <v>5404487</v>
      </c>
      <c r="DI2161">
        <v>1</v>
      </c>
      <c r="DJ2161">
        <v>0</v>
      </c>
      <c r="DK2161">
        <v>1</v>
      </c>
      <c r="DL2161">
        <v>0</v>
      </c>
      <c r="DM2161">
        <v>0</v>
      </c>
      <c r="DN2161">
        <v>1</v>
      </c>
      <c r="DO2161">
        <v>0</v>
      </c>
      <c r="DP2161">
        <v>0</v>
      </c>
      <c r="DQ2161">
        <v>0</v>
      </c>
      <c r="DR2161">
        <v>0</v>
      </c>
      <c r="DS2161">
        <v>0</v>
      </c>
    </row>
    <row r="2162" spans="1:123" x14ac:dyDescent="0.3">
      <c r="A2162" t="str">
        <f>"10/04/2022 19:31:16.634"</f>
        <v>10/04/2022 19:31:16.634</v>
      </c>
      <c r="C2162" t="str">
        <f t="shared" si="769"/>
        <v>FFDDD3C0</v>
      </c>
      <c r="D2162" t="s">
        <v>141</v>
      </c>
      <c r="E2162">
        <v>4</v>
      </c>
      <c r="H2162">
        <v>4</v>
      </c>
      <c r="I2162" t="s">
        <v>142</v>
      </c>
      <c r="J2162" t="s">
        <v>138</v>
      </c>
      <c r="K2162">
        <v>0</v>
      </c>
      <c r="L2162">
        <v>3</v>
      </c>
      <c r="M2162">
        <v>0</v>
      </c>
      <c r="N2162">
        <v>2</v>
      </c>
      <c r="O2162">
        <v>0</v>
      </c>
      <c r="P2162">
        <v>1</v>
      </c>
      <c r="Q2162">
        <v>0</v>
      </c>
      <c r="S2162" t="str">
        <f t="shared" si="772"/>
        <v>19:31:16.000</v>
      </c>
      <c r="T2162" t="str">
        <f t="shared" si="772"/>
        <v>19:31:16.000</v>
      </c>
      <c r="U2162" t="str">
        <f t="shared" si="753"/>
        <v>AC3944</v>
      </c>
      <c r="V2162">
        <v>0</v>
      </c>
      <c r="W2162">
        <v>0</v>
      </c>
      <c r="X2162">
        <v>2</v>
      </c>
      <c r="Y2162">
        <v>0</v>
      </c>
      <c r="AA2162">
        <v>1</v>
      </c>
      <c r="AB2162">
        <v>8</v>
      </c>
      <c r="AC2162">
        <v>3</v>
      </c>
      <c r="AD2162">
        <v>0</v>
      </c>
      <c r="AE2162">
        <v>9</v>
      </c>
      <c r="AF2162" t="s">
        <v>138</v>
      </c>
      <c r="AG2162">
        <v>0</v>
      </c>
      <c r="AH2162">
        <v>3</v>
      </c>
      <c r="AI2162">
        <v>1</v>
      </c>
      <c r="AJ2162">
        <v>0</v>
      </c>
      <c r="AK2162" t="s">
        <v>754</v>
      </c>
      <c r="AL2162">
        <v>32.771380000000001</v>
      </c>
      <c r="AM2162" t="s">
        <v>755</v>
      </c>
      <c r="AN2162">
        <v>-116.820931</v>
      </c>
      <c r="AO2162">
        <v>25</v>
      </c>
      <c r="AP2162">
        <v>3000</v>
      </c>
      <c r="AQ2162" t="s">
        <v>129</v>
      </c>
      <c r="AR2162">
        <v>123</v>
      </c>
      <c r="AS2162">
        <v>-41</v>
      </c>
      <c r="AT2162">
        <v>128</v>
      </c>
      <c r="BB2162">
        <v>1200</v>
      </c>
      <c r="BC2162">
        <v>1</v>
      </c>
      <c r="BD2162" t="str">
        <f t="shared" si="754"/>
        <v xml:space="preserve">N887QR  </v>
      </c>
      <c r="BE2162">
        <v>1</v>
      </c>
      <c r="BJ2162">
        <v>2750</v>
      </c>
      <c r="BK2162">
        <v>-250</v>
      </c>
      <c r="BL2162" t="s">
        <v>163</v>
      </c>
      <c r="BM2162">
        <v>1</v>
      </c>
      <c r="BN2162">
        <v>1</v>
      </c>
      <c r="BO2162">
        <v>1</v>
      </c>
      <c r="BP2162">
        <v>0</v>
      </c>
      <c r="BS2162">
        <v>0.12</v>
      </c>
      <c r="BT2162">
        <v>0</v>
      </c>
      <c r="BU2162">
        <v>0</v>
      </c>
      <c r="CE2162" t="str">
        <f t="shared" si="773"/>
        <v>19:31:16.309</v>
      </c>
      <c r="CF2162">
        <v>309304796</v>
      </c>
      <c r="CS2162">
        <v>0</v>
      </c>
      <c r="CT2162">
        <v>2</v>
      </c>
      <c r="CU2162">
        <v>0</v>
      </c>
      <c r="CV2162">
        <v>2</v>
      </c>
      <c r="CW2162">
        <v>0</v>
      </c>
      <c r="CX2162">
        <v>5</v>
      </c>
      <c r="CY2162">
        <v>7</v>
      </c>
      <c r="CZ2162" t="s">
        <v>131</v>
      </c>
      <c r="DA2162">
        <v>300</v>
      </c>
      <c r="DB2162">
        <v>0</v>
      </c>
      <c r="DC2162" t="s">
        <v>176</v>
      </c>
      <c r="DD2162" t="s">
        <v>177</v>
      </c>
      <c r="DG2162">
        <v>5404487</v>
      </c>
      <c r="DI2162">
        <v>1</v>
      </c>
      <c r="DJ2162">
        <v>0</v>
      </c>
      <c r="DK2162">
        <v>1</v>
      </c>
      <c r="DL2162">
        <v>0</v>
      </c>
      <c r="DM2162">
        <v>0</v>
      </c>
      <c r="DN2162">
        <v>1</v>
      </c>
      <c r="DO2162">
        <v>0</v>
      </c>
      <c r="DP2162">
        <v>0</v>
      </c>
      <c r="DQ2162">
        <v>0</v>
      </c>
      <c r="DR2162">
        <v>0</v>
      </c>
      <c r="DS2162">
        <v>0</v>
      </c>
    </row>
    <row r="2163" spans="1:123" x14ac:dyDescent="0.3">
      <c r="A2163" t="str">
        <f>"10/04/2022 19:31:16.681"</f>
        <v>10/04/2022 19:31:16.681</v>
      </c>
      <c r="C2163" t="str">
        <f t="shared" si="769"/>
        <v>FFDDD3C0</v>
      </c>
      <c r="D2163" t="s">
        <v>141</v>
      </c>
      <c r="E2163">
        <v>3</v>
      </c>
      <c r="H2163">
        <v>3</v>
      </c>
      <c r="I2163" t="s">
        <v>146</v>
      </c>
      <c r="J2163" t="s">
        <v>138</v>
      </c>
      <c r="K2163">
        <v>0</v>
      </c>
      <c r="L2163">
        <v>3</v>
      </c>
      <c r="M2163">
        <v>0</v>
      </c>
      <c r="N2163">
        <v>2</v>
      </c>
      <c r="O2163">
        <v>0</v>
      </c>
      <c r="P2163">
        <v>1</v>
      </c>
      <c r="Q2163">
        <v>0</v>
      </c>
      <c r="S2163" t="str">
        <f t="shared" si="772"/>
        <v>19:31:16.000</v>
      </c>
      <c r="T2163" t="str">
        <f t="shared" si="772"/>
        <v>19:31:16.000</v>
      </c>
      <c r="U2163" t="str">
        <f t="shared" si="753"/>
        <v>AC3944</v>
      </c>
      <c r="V2163">
        <v>0</v>
      </c>
      <c r="W2163">
        <v>0</v>
      </c>
      <c r="X2163">
        <v>2</v>
      </c>
      <c r="Y2163">
        <v>0</v>
      </c>
      <c r="AA2163">
        <v>1</v>
      </c>
      <c r="AB2163">
        <v>8</v>
      </c>
      <c r="AC2163">
        <v>3</v>
      </c>
      <c r="AD2163">
        <v>0</v>
      </c>
      <c r="AE2163">
        <v>9</v>
      </c>
      <c r="AF2163" t="s">
        <v>138</v>
      </c>
      <c r="AG2163">
        <v>0</v>
      </c>
      <c r="AH2163">
        <v>3</v>
      </c>
      <c r="AI2163">
        <v>1</v>
      </c>
      <c r="AJ2163">
        <v>0</v>
      </c>
      <c r="AK2163" t="s">
        <v>754</v>
      </c>
      <c r="AL2163">
        <v>32.771380000000001</v>
      </c>
      <c r="AM2163" t="s">
        <v>755</v>
      </c>
      <c r="AN2163">
        <v>-116.820931</v>
      </c>
      <c r="AO2163">
        <v>25</v>
      </c>
      <c r="AP2163">
        <v>3000</v>
      </c>
      <c r="AQ2163" t="s">
        <v>129</v>
      </c>
      <c r="AR2163">
        <v>123</v>
      </c>
      <c r="AS2163">
        <v>-41</v>
      </c>
      <c r="AT2163">
        <v>128</v>
      </c>
      <c r="BB2163">
        <v>1200</v>
      </c>
      <c r="BC2163">
        <v>1</v>
      </c>
      <c r="BD2163" t="str">
        <f t="shared" si="754"/>
        <v xml:space="preserve">N887QR  </v>
      </c>
      <c r="BE2163">
        <v>1</v>
      </c>
      <c r="BJ2163">
        <v>2750</v>
      </c>
      <c r="BK2163">
        <v>-250</v>
      </c>
      <c r="BL2163" t="s">
        <v>163</v>
      </c>
      <c r="BM2163">
        <v>1</v>
      </c>
      <c r="BN2163">
        <v>1</v>
      </c>
      <c r="BO2163">
        <v>1</v>
      </c>
      <c r="BP2163">
        <v>0</v>
      </c>
      <c r="BS2163">
        <v>0.12</v>
      </c>
      <c r="BT2163">
        <v>0</v>
      </c>
      <c r="BU2163">
        <v>0</v>
      </c>
      <c r="CE2163" t="str">
        <f t="shared" si="773"/>
        <v>19:31:16.309</v>
      </c>
      <c r="CF2163">
        <v>309304796</v>
      </c>
      <c r="CS2163">
        <v>0</v>
      </c>
      <c r="CT2163">
        <v>2</v>
      </c>
      <c r="CU2163">
        <v>0</v>
      </c>
      <c r="CV2163">
        <v>2</v>
      </c>
      <c r="CW2163">
        <v>0</v>
      </c>
      <c r="CX2163">
        <v>5</v>
      </c>
      <c r="CY2163">
        <v>7</v>
      </c>
      <c r="CZ2163" t="s">
        <v>131</v>
      </c>
      <c r="DA2163">
        <v>300</v>
      </c>
      <c r="DB2163">
        <v>0</v>
      </c>
      <c r="DC2163" t="s">
        <v>176</v>
      </c>
      <c r="DD2163" t="s">
        <v>177</v>
      </c>
      <c r="DG2163">
        <v>5404487</v>
      </c>
      <c r="DI2163">
        <v>1</v>
      </c>
      <c r="DJ2163">
        <v>0</v>
      </c>
      <c r="DK2163">
        <v>0</v>
      </c>
      <c r="DL2163">
        <v>0</v>
      </c>
      <c r="DM2163">
        <v>0</v>
      </c>
      <c r="DN2163">
        <v>1</v>
      </c>
      <c r="DO2163">
        <v>0</v>
      </c>
      <c r="DP2163">
        <v>0</v>
      </c>
      <c r="DQ2163">
        <v>0</v>
      </c>
      <c r="DR2163">
        <v>0</v>
      </c>
      <c r="DS2163">
        <v>0</v>
      </c>
    </row>
    <row r="2164" spans="1:123" x14ac:dyDescent="0.3">
      <c r="A2164" t="str">
        <f>"10/04/2022 19:31:16.681"</f>
        <v>10/04/2022 19:31:16.681</v>
      </c>
      <c r="C2164" t="str">
        <f t="shared" si="769"/>
        <v>FFDDD3C0</v>
      </c>
      <c r="D2164" t="s">
        <v>143</v>
      </c>
      <c r="E2164">
        <v>20</v>
      </c>
      <c r="F2164">
        <v>1020</v>
      </c>
      <c r="G2164" t="s">
        <v>144</v>
      </c>
      <c r="J2164" t="s">
        <v>145</v>
      </c>
      <c r="K2164">
        <v>0</v>
      </c>
      <c r="L2164">
        <v>3</v>
      </c>
      <c r="M2164">
        <v>0</v>
      </c>
      <c r="N2164">
        <v>2</v>
      </c>
      <c r="O2164">
        <v>0</v>
      </c>
      <c r="P2164">
        <v>1</v>
      </c>
      <c r="Q2164">
        <v>0</v>
      </c>
      <c r="S2164" t="str">
        <f t="shared" si="772"/>
        <v>19:31:16.000</v>
      </c>
      <c r="T2164" t="str">
        <f t="shared" si="772"/>
        <v>19:31:16.000</v>
      </c>
      <c r="U2164" t="str">
        <f t="shared" si="753"/>
        <v>AC3944</v>
      </c>
      <c r="V2164">
        <v>0</v>
      </c>
      <c r="W2164">
        <v>0</v>
      </c>
      <c r="X2164">
        <v>2</v>
      </c>
      <c r="Y2164">
        <v>0</v>
      </c>
      <c r="AA2164">
        <v>1</v>
      </c>
      <c r="AB2164">
        <v>8</v>
      </c>
      <c r="AC2164">
        <v>3</v>
      </c>
      <c r="AD2164">
        <v>0</v>
      </c>
      <c r="AE2164">
        <v>9</v>
      </c>
      <c r="AF2164" t="s">
        <v>138</v>
      </c>
      <c r="AG2164">
        <v>0</v>
      </c>
      <c r="AH2164">
        <v>3</v>
      </c>
      <c r="AI2164">
        <v>1</v>
      </c>
      <c r="AJ2164">
        <v>0</v>
      </c>
      <c r="AK2164" t="s">
        <v>754</v>
      </c>
      <c r="AL2164">
        <v>32.771380000000001</v>
      </c>
      <c r="AM2164" t="s">
        <v>755</v>
      </c>
      <c r="AN2164">
        <v>-116.820931</v>
      </c>
      <c r="AO2164">
        <v>25</v>
      </c>
      <c r="AP2164">
        <v>3000</v>
      </c>
      <c r="AQ2164" t="s">
        <v>129</v>
      </c>
      <c r="AR2164">
        <v>123</v>
      </c>
      <c r="AS2164">
        <v>-41</v>
      </c>
      <c r="AT2164">
        <v>128</v>
      </c>
      <c r="BB2164">
        <v>1200</v>
      </c>
      <c r="BC2164">
        <v>1</v>
      </c>
      <c r="BD2164" t="str">
        <f t="shared" si="754"/>
        <v xml:space="preserve">N887QR  </v>
      </c>
      <c r="BE2164">
        <v>1</v>
      </c>
      <c r="BJ2164">
        <v>2750</v>
      </c>
      <c r="BK2164">
        <v>-250</v>
      </c>
      <c r="BL2164" t="s">
        <v>163</v>
      </c>
      <c r="BM2164">
        <v>1</v>
      </c>
      <c r="BN2164">
        <v>1</v>
      </c>
      <c r="BO2164">
        <v>1</v>
      </c>
      <c r="BP2164">
        <v>0</v>
      </c>
      <c r="BS2164">
        <v>0.12</v>
      </c>
      <c r="BT2164">
        <v>0</v>
      </c>
      <c r="BU2164">
        <v>0</v>
      </c>
      <c r="CE2164" t="str">
        <f t="shared" si="773"/>
        <v>19:31:16.309</v>
      </c>
      <c r="CF2164">
        <v>309304796</v>
      </c>
      <c r="CS2164">
        <v>0</v>
      </c>
      <c r="CT2164">
        <v>2</v>
      </c>
      <c r="CU2164">
        <v>0</v>
      </c>
      <c r="CV2164">
        <v>2</v>
      </c>
      <c r="CW2164">
        <v>0</v>
      </c>
      <c r="CX2164">
        <v>5</v>
      </c>
      <c r="CY2164">
        <v>7</v>
      </c>
      <c r="CZ2164" t="s">
        <v>131</v>
      </c>
      <c r="DA2164">
        <v>300</v>
      </c>
      <c r="DB2164">
        <v>0</v>
      </c>
      <c r="DC2164" t="s">
        <v>176</v>
      </c>
      <c r="DD2164" t="s">
        <v>177</v>
      </c>
      <c r="DG2164">
        <v>5404487</v>
      </c>
      <c r="DI2164">
        <v>1</v>
      </c>
      <c r="DJ2164">
        <v>0</v>
      </c>
      <c r="DK2164">
        <v>1</v>
      </c>
      <c r="DL2164">
        <v>0</v>
      </c>
      <c r="DM2164">
        <v>0</v>
      </c>
      <c r="DN2164">
        <v>1</v>
      </c>
      <c r="DO2164">
        <v>0</v>
      </c>
      <c r="DP2164">
        <v>0</v>
      </c>
      <c r="DQ2164">
        <v>0</v>
      </c>
      <c r="DR2164">
        <v>0</v>
      </c>
      <c r="DS2164">
        <v>0</v>
      </c>
    </row>
    <row r="2165" spans="1:123" x14ac:dyDescent="0.3">
      <c r="A2165" t="str">
        <f t="shared" ref="A2165:A2171" si="774">"10/04/2022 19:31:17.306"</f>
        <v>10/04/2022 19:31:17.306</v>
      </c>
      <c r="C2165" t="str">
        <f t="shared" si="769"/>
        <v>FFDDD3C0</v>
      </c>
      <c r="D2165" t="s">
        <v>143</v>
      </c>
      <c r="E2165">
        <v>20</v>
      </c>
      <c r="F2165">
        <v>1020</v>
      </c>
      <c r="G2165" t="s">
        <v>144</v>
      </c>
      <c r="J2165" t="s">
        <v>145</v>
      </c>
      <c r="K2165">
        <v>0</v>
      </c>
      <c r="L2165">
        <v>3</v>
      </c>
      <c r="M2165">
        <v>0</v>
      </c>
      <c r="N2165">
        <v>2</v>
      </c>
      <c r="O2165">
        <v>0</v>
      </c>
      <c r="P2165">
        <v>1</v>
      </c>
      <c r="Q2165">
        <v>0</v>
      </c>
      <c r="S2165" t="str">
        <f t="shared" si="772"/>
        <v>19:31:16.000</v>
      </c>
      <c r="T2165" t="str">
        <f t="shared" si="772"/>
        <v>19:31:16.000</v>
      </c>
      <c r="U2165" t="str">
        <f t="shared" si="753"/>
        <v>AC3944</v>
      </c>
      <c r="V2165">
        <v>0</v>
      </c>
      <c r="W2165">
        <v>0</v>
      </c>
      <c r="X2165">
        <v>2</v>
      </c>
      <c r="Y2165">
        <v>0</v>
      </c>
      <c r="AA2165">
        <v>1</v>
      </c>
      <c r="AB2165">
        <v>8</v>
      </c>
      <c r="AC2165">
        <v>3</v>
      </c>
      <c r="AD2165">
        <v>0</v>
      </c>
      <c r="AE2165">
        <v>9</v>
      </c>
      <c r="AF2165" t="s">
        <v>138</v>
      </c>
      <c r="AG2165">
        <v>0</v>
      </c>
      <c r="AH2165">
        <v>3</v>
      </c>
      <c r="AI2165">
        <v>1</v>
      </c>
      <c r="AJ2165">
        <v>0</v>
      </c>
      <c r="AK2165" t="s">
        <v>756</v>
      </c>
      <c r="AL2165">
        <v>32.771186999999998</v>
      </c>
      <c r="AM2165" t="s">
        <v>757</v>
      </c>
      <c r="AN2165">
        <v>-116.820245</v>
      </c>
      <c r="AO2165">
        <v>25</v>
      </c>
      <c r="AP2165">
        <v>3000</v>
      </c>
      <c r="AQ2165" t="s">
        <v>129</v>
      </c>
      <c r="AR2165">
        <v>123</v>
      </c>
      <c r="AS2165">
        <v>-42</v>
      </c>
      <c r="AT2165">
        <v>128</v>
      </c>
      <c r="BB2165">
        <v>1200</v>
      </c>
      <c r="BC2165">
        <v>1</v>
      </c>
      <c r="BD2165" t="str">
        <f t="shared" si="754"/>
        <v xml:space="preserve">N887QR  </v>
      </c>
      <c r="BE2165">
        <v>1</v>
      </c>
      <c r="BJ2165">
        <v>2775</v>
      </c>
      <c r="BK2165">
        <v>-225</v>
      </c>
      <c r="BL2165" t="s">
        <v>163</v>
      </c>
      <c r="BM2165">
        <v>1</v>
      </c>
      <c r="BN2165">
        <v>1</v>
      </c>
      <c r="BO2165">
        <v>1</v>
      </c>
      <c r="BP2165">
        <v>0</v>
      </c>
      <c r="BS2165">
        <v>0.12</v>
      </c>
      <c r="BT2165">
        <v>0</v>
      </c>
      <c r="BU2165">
        <v>0</v>
      </c>
      <c r="CE2165" t="str">
        <f t="shared" ref="CE2165:CE2171" si="775">"19:31:16.993"</f>
        <v>19:31:16.993</v>
      </c>
      <c r="CF2165">
        <v>993307125</v>
      </c>
      <c r="CS2165">
        <v>0</v>
      </c>
      <c r="CT2165">
        <v>2</v>
      </c>
      <c r="CU2165">
        <v>0</v>
      </c>
      <c r="CV2165">
        <v>2</v>
      </c>
      <c r="CW2165">
        <v>0</v>
      </c>
      <c r="CX2165">
        <v>5</v>
      </c>
      <c r="CY2165">
        <v>7</v>
      </c>
      <c r="CZ2165" t="s">
        <v>131</v>
      </c>
      <c r="DA2165">
        <v>300</v>
      </c>
      <c r="DB2165">
        <v>0</v>
      </c>
      <c r="DC2165" t="s">
        <v>176</v>
      </c>
      <c r="DD2165" t="s">
        <v>177</v>
      </c>
      <c r="DG2165">
        <v>5404603</v>
      </c>
      <c r="DI2165">
        <v>1</v>
      </c>
      <c r="DJ2165">
        <v>0</v>
      </c>
      <c r="DK2165">
        <v>0</v>
      </c>
      <c r="DL2165">
        <v>0</v>
      </c>
      <c r="DM2165">
        <v>0</v>
      </c>
      <c r="DN2165">
        <v>1</v>
      </c>
      <c r="DO2165">
        <v>0</v>
      </c>
      <c r="DP2165">
        <v>0</v>
      </c>
      <c r="DQ2165">
        <v>0</v>
      </c>
      <c r="DR2165">
        <v>0</v>
      </c>
      <c r="DS2165">
        <v>0</v>
      </c>
    </row>
    <row r="2166" spans="1:123" x14ac:dyDescent="0.3">
      <c r="A2166" t="str">
        <f t="shared" si="774"/>
        <v>10/04/2022 19:31:17.306</v>
      </c>
      <c r="C2166" t="str">
        <f t="shared" si="769"/>
        <v>FFDDD3C0</v>
      </c>
      <c r="D2166" t="s">
        <v>141</v>
      </c>
      <c r="E2166">
        <v>3</v>
      </c>
      <c r="H2166">
        <v>3</v>
      </c>
      <c r="I2166" t="s">
        <v>146</v>
      </c>
      <c r="J2166" t="s">
        <v>138</v>
      </c>
      <c r="K2166">
        <v>0</v>
      </c>
      <c r="L2166">
        <v>3</v>
      </c>
      <c r="M2166">
        <v>0</v>
      </c>
      <c r="N2166">
        <v>2</v>
      </c>
      <c r="O2166">
        <v>0</v>
      </c>
      <c r="P2166">
        <v>1</v>
      </c>
      <c r="Q2166">
        <v>0</v>
      </c>
      <c r="S2166" t="str">
        <f t="shared" si="772"/>
        <v>19:31:16.000</v>
      </c>
      <c r="T2166" t="str">
        <f t="shared" si="772"/>
        <v>19:31:16.000</v>
      </c>
      <c r="U2166" t="str">
        <f t="shared" si="753"/>
        <v>AC3944</v>
      </c>
      <c r="V2166">
        <v>0</v>
      </c>
      <c r="W2166">
        <v>0</v>
      </c>
      <c r="X2166">
        <v>2</v>
      </c>
      <c r="Y2166">
        <v>0</v>
      </c>
      <c r="AA2166">
        <v>1</v>
      </c>
      <c r="AB2166">
        <v>8</v>
      </c>
      <c r="AC2166">
        <v>3</v>
      </c>
      <c r="AD2166">
        <v>0</v>
      </c>
      <c r="AE2166">
        <v>9</v>
      </c>
      <c r="AF2166" t="s">
        <v>138</v>
      </c>
      <c r="AG2166">
        <v>0</v>
      </c>
      <c r="AH2166">
        <v>3</v>
      </c>
      <c r="AI2166">
        <v>1</v>
      </c>
      <c r="AJ2166">
        <v>0</v>
      </c>
      <c r="AK2166" t="s">
        <v>756</v>
      </c>
      <c r="AL2166">
        <v>32.771186999999998</v>
      </c>
      <c r="AM2166" t="s">
        <v>757</v>
      </c>
      <c r="AN2166">
        <v>-116.820245</v>
      </c>
      <c r="AO2166">
        <v>25</v>
      </c>
      <c r="AP2166">
        <v>3000</v>
      </c>
      <c r="AQ2166" t="s">
        <v>129</v>
      </c>
      <c r="AR2166">
        <v>123</v>
      </c>
      <c r="AS2166">
        <v>-42</v>
      </c>
      <c r="AT2166">
        <v>128</v>
      </c>
      <c r="BB2166">
        <v>1200</v>
      </c>
      <c r="BC2166">
        <v>1</v>
      </c>
      <c r="BD2166" t="str">
        <f t="shared" si="754"/>
        <v xml:space="preserve">N887QR  </v>
      </c>
      <c r="BE2166">
        <v>1</v>
      </c>
      <c r="BJ2166">
        <v>2775</v>
      </c>
      <c r="BK2166">
        <v>-225</v>
      </c>
      <c r="BL2166" t="s">
        <v>163</v>
      </c>
      <c r="BM2166">
        <v>1</v>
      </c>
      <c r="BN2166">
        <v>1</v>
      </c>
      <c r="BO2166">
        <v>1</v>
      </c>
      <c r="BP2166">
        <v>0</v>
      </c>
      <c r="BS2166">
        <v>0.12</v>
      </c>
      <c r="BT2166">
        <v>0</v>
      </c>
      <c r="BU2166">
        <v>0</v>
      </c>
      <c r="CE2166" t="str">
        <f t="shared" si="775"/>
        <v>19:31:16.993</v>
      </c>
      <c r="CF2166">
        <v>993307125</v>
      </c>
      <c r="CS2166">
        <v>0</v>
      </c>
      <c r="CT2166">
        <v>2</v>
      </c>
      <c r="CU2166">
        <v>0</v>
      </c>
      <c r="CV2166">
        <v>2</v>
      </c>
      <c r="CW2166">
        <v>0</v>
      </c>
      <c r="CX2166">
        <v>5</v>
      </c>
      <c r="CY2166">
        <v>7</v>
      </c>
      <c r="CZ2166" t="s">
        <v>131</v>
      </c>
      <c r="DA2166">
        <v>300</v>
      </c>
      <c r="DB2166">
        <v>0</v>
      </c>
      <c r="DC2166" t="s">
        <v>176</v>
      </c>
      <c r="DD2166" t="s">
        <v>177</v>
      </c>
      <c r="DG2166">
        <v>5404603</v>
      </c>
      <c r="DI2166">
        <v>1</v>
      </c>
      <c r="DJ2166">
        <v>0</v>
      </c>
      <c r="DK2166">
        <v>1</v>
      </c>
      <c r="DL2166">
        <v>0</v>
      </c>
      <c r="DM2166">
        <v>0</v>
      </c>
      <c r="DN2166">
        <v>1</v>
      </c>
      <c r="DO2166">
        <v>0</v>
      </c>
      <c r="DP2166">
        <v>0</v>
      </c>
      <c r="DQ2166">
        <v>0</v>
      </c>
      <c r="DR2166">
        <v>0</v>
      </c>
      <c r="DS2166">
        <v>0</v>
      </c>
    </row>
    <row r="2167" spans="1:123" x14ac:dyDescent="0.3">
      <c r="A2167" t="str">
        <f t="shared" si="774"/>
        <v>10/04/2022 19:31:17.306</v>
      </c>
      <c r="C2167" t="str">
        <f t="shared" si="769"/>
        <v>FFDDD3C0</v>
      </c>
      <c r="D2167" t="s">
        <v>134</v>
      </c>
      <c r="E2167">
        <v>15</v>
      </c>
      <c r="J2167" t="s">
        <v>135</v>
      </c>
      <c r="K2167">
        <v>0</v>
      </c>
      <c r="L2167">
        <v>3</v>
      </c>
      <c r="M2167">
        <v>0</v>
      </c>
      <c r="N2167">
        <v>2</v>
      </c>
      <c r="O2167">
        <v>0</v>
      </c>
      <c r="P2167">
        <v>1</v>
      </c>
      <c r="Q2167">
        <v>0</v>
      </c>
      <c r="S2167" t="str">
        <f t="shared" si="772"/>
        <v>19:31:16.000</v>
      </c>
      <c r="T2167" t="str">
        <f t="shared" si="772"/>
        <v>19:31:16.000</v>
      </c>
      <c r="U2167" t="str">
        <f t="shared" si="753"/>
        <v>AC3944</v>
      </c>
      <c r="V2167">
        <v>0</v>
      </c>
      <c r="W2167">
        <v>0</v>
      </c>
      <c r="X2167">
        <v>2</v>
      </c>
      <c r="Y2167">
        <v>0</v>
      </c>
      <c r="AA2167">
        <v>1</v>
      </c>
      <c r="AB2167">
        <v>8</v>
      </c>
      <c r="AC2167">
        <v>3</v>
      </c>
      <c r="AD2167">
        <v>0</v>
      </c>
      <c r="AE2167">
        <v>9</v>
      </c>
      <c r="AF2167" t="s">
        <v>138</v>
      </c>
      <c r="AG2167">
        <v>0</v>
      </c>
      <c r="AH2167">
        <v>3</v>
      </c>
      <c r="AI2167">
        <v>1</v>
      </c>
      <c r="AJ2167">
        <v>0</v>
      </c>
      <c r="AK2167" t="s">
        <v>756</v>
      </c>
      <c r="AL2167">
        <v>32.771186999999998</v>
      </c>
      <c r="AM2167" t="s">
        <v>757</v>
      </c>
      <c r="AN2167">
        <v>-116.820245</v>
      </c>
      <c r="AO2167">
        <v>25</v>
      </c>
      <c r="AP2167">
        <v>3000</v>
      </c>
      <c r="AQ2167" t="s">
        <v>129</v>
      </c>
      <c r="AR2167">
        <v>123</v>
      </c>
      <c r="AS2167">
        <v>-42</v>
      </c>
      <c r="AT2167">
        <v>128</v>
      </c>
      <c r="BB2167">
        <v>1200</v>
      </c>
      <c r="BC2167">
        <v>1</v>
      </c>
      <c r="BD2167" t="str">
        <f t="shared" si="754"/>
        <v xml:space="preserve">N887QR  </v>
      </c>
      <c r="BE2167">
        <v>1</v>
      </c>
      <c r="BJ2167">
        <v>2775</v>
      </c>
      <c r="BK2167">
        <v>-225</v>
      </c>
      <c r="BL2167" t="s">
        <v>163</v>
      </c>
      <c r="BM2167">
        <v>1</v>
      </c>
      <c r="BN2167">
        <v>1</v>
      </c>
      <c r="BO2167">
        <v>1</v>
      </c>
      <c r="BP2167">
        <v>0</v>
      </c>
      <c r="BS2167">
        <v>0.12</v>
      </c>
      <c r="BT2167">
        <v>0</v>
      </c>
      <c r="BU2167">
        <v>0</v>
      </c>
      <c r="CE2167" t="str">
        <f t="shared" si="775"/>
        <v>19:31:16.993</v>
      </c>
      <c r="CF2167">
        <v>993307125</v>
      </c>
      <c r="CS2167">
        <v>0</v>
      </c>
      <c r="CT2167">
        <v>2</v>
      </c>
      <c r="CU2167">
        <v>0</v>
      </c>
      <c r="CV2167">
        <v>2</v>
      </c>
      <c r="CW2167">
        <v>0</v>
      </c>
      <c r="CX2167">
        <v>5</v>
      </c>
      <c r="CY2167">
        <v>7</v>
      </c>
      <c r="CZ2167" t="s">
        <v>131</v>
      </c>
      <c r="DA2167">
        <v>300</v>
      </c>
      <c r="DB2167">
        <v>0</v>
      </c>
      <c r="DC2167" t="s">
        <v>176</v>
      </c>
      <c r="DD2167" t="s">
        <v>177</v>
      </c>
      <c r="DG2167">
        <v>5404603</v>
      </c>
      <c r="DI2167">
        <v>1</v>
      </c>
      <c r="DJ2167">
        <v>0</v>
      </c>
      <c r="DK2167">
        <v>1</v>
      </c>
      <c r="DL2167">
        <v>0</v>
      </c>
      <c r="DM2167">
        <v>0</v>
      </c>
      <c r="DN2167">
        <v>1</v>
      </c>
      <c r="DO2167">
        <v>0</v>
      </c>
      <c r="DP2167">
        <v>0</v>
      </c>
      <c r="DQ2167">
        <v>0</v>
      </c>
      <c r="DR2167">
        <v>0</v>
      </c>
      <c r="DS2167">
        <v>0</v>
      </c>
    </row>
    <row r="2168" spans="1:123" x14ac:dyDescent="0.3">
      <c r="A2168" t="str">
        <f t="shared" si="774"/>
        <v>10/04/2022 19:31:17.306</v>
      </c>
      <c r="C2168" t="str">
        <f t="shared" si="769"/>
        <v>FFDDD3C0</v>
      </c>
      <c r="D2168" t="s">
        <v>147</v>
      </c>
      <c r="E2168">
        <v>3</v>
      </c>
      <c r="H2168">
        <v>166</v>
      </c>
      <c r="I2168" t="s">
        <v>144</v>
      </c>
      <c r="J2168" t="s">
        <v>148</v>
      </c>
      <c r="K2168">
        <v>0</v>
      </c>
      <c r="L2168">
        <v>3</v>
      </c>
      <c r="M2168">
        <v>0</v>
      </c>
      <c r="N2168">
        <v>2</v>
      </c>
      <c r="O2168">
        <v>0</v>
      </c>
      <c r="P2168">
        <v>1</v>
      </c>
      <c r="Q2168">
        <v>0</v>
      </c>
      <c r="S2168" t="str">
        <f t="shared" si="772"/>
        <v>19:31:16.000</v>
      </c>
      <c r="T2168" t="str">
        <f t="shared" si="772"/>
        <v>19:31:16.000</v>
      </c>
      <c r="U2168" t="str">
        <f t="shared" si="753"/>
        <v>AC3944</v>
      </c>
      <c r="V2168">
        <v>0</v>
      </c>
      <c r="W2168">
        <v>0</v>
      </c>
      <c r="X2168">
        <v>2</v>
      </c>
      <c r="Y2168">
        <v>0</v>
      </c>
      <c r="AA2168">
        <v>1</v>
      </c>
      <c r="AB2168">
        <v>8</v>
      </c>
      <c r="AC2168">
        <v>3</v>
      </c>
      <c r="AD2168">
        <v>0</v>
      </c>
      <c r="AE2168">
        <v>9</v>
      </c>
      <c r="AF2168" t="s">
        <v>138</v>
      </c>
      <c r="AG2168">
        <v>0</v>
      </c>
      <c r="AH2168">
        <v>3</v>
      </c>
      <c r="AI2168">
        <v>1</v>
      </c>
      <c r="AJ2168">
        <v>0</v>
      </c>
      <c r="AK2168" t="s">
        <v>756</v>
      </c>
      <c r="AL2168">
        <v>32.771186999999998</v>
      </c>
      <c r="AM2168" t="s">
        <v>757</v>
      </c>
      <c r="AN2168">
        <v>-116.820245</v>
      </c>
      <c r="AO2168">
        <v>25</v>
      </c>
      <c r="AP2168">
        <v>3000</v>
      </c>
      <c r="AQ2168" t="s">
        <v>129</v>
      </c>
      <c r="AR2168">
        <v>123</v>
      </c>
      <c r="AS2168">
        <v>-42</v>
      </c>
      <c r="AT2168">
        <v>128</v>
      </c>
      <c r="BB2168">
        <v>1200</v>
      </c>
      <c r="BC2168">
        <v>1</v>
      </c>
      <c r="BD2168" t="str">
        <f t="shared" si="754"/>
        <v xml:space="preserve">N887QR  </v>
      </c>
      <c r="BE2168">
        <v>1</v>
      </c>
      <c r="BJ2168">
        <v>2775</v>
      </c>
      <c r="BK2168">
        <v>-225</v>
      </c>
      <c r="BL2168" t="s">
        <v>163</v>
      </c>
      <c r="BM2168">
        <v>1</v>
      </c>
      <c r="BN2168">
        <v>1</v>
      </c>
      <c r="BO2168">
        <v>1</v>
      </c>
      <c r="BP2168">
        <v>0</v>
      </c>
      <c r="BS2168">
        <v>0.12</v>
      </c>
      <c r="BT2168">
        <v>0</v>
      </c>
      <c r="BU2168">
        <v>0</v>
      </c>
      <c r="CE2168" t="str">
        <f t="shared" si="775"/>
        <v>19:31:16.993</v>
      </c>
      <c r="CF2168">
        <v>993307125</v>
      </c>
      <c r="CS2168">
        <v>0</v>
      </c>
      <c r="CT2168">
        <v>2</v>
      </c>
      <c r="CU2168">
        <v>0</v>
      </c>
      <c r="CV2168">
        <v>2</v>
      </c>
      <c r="CW2168">
        <v>0</v>
      </c>
      <c r="CX2168">
        <v>5</v>
      </c>
      <c r="CY2168">
        <v>7</v>
      </c>
      <c r="CZ2168" t="s">
        <v>131</v>
      </c>
      <c r="DA2168">
        <v>300</v>
      </c>
      <c r="DB2168">
        <v>0</v>
      </c>
      <c r="DC2168" t="s">
        <v>176</v>
      </c>
      <c r="DD2168" t="s">
        <v>177</v>
      </c>
      <c r="DG2168">
        <v>5404603</v>
      </c>
      <c r="DI2168">
        <v>1</v>
      </c>
      <c r="DJ2168">
        <v>0</v>
      </c>
      <c r="DK2168">
        <v>1</v>
      </c>
      <c r="DL2168">
        <v>0</v>
      </c>
      <c r="DM2168">
        <v>0</v>
      </c>
      <c r="DN2168">
        <v>1</v>
      </c>
      <c r="DO2168">
        <v>0</v>
      </c>
      <c r="DP2168">
        <v>0</v>
      </c>
      <c r="DQ2168">
        <v>0</v>
      </c>
      <c r="DR2168">
        <v>0</v>
      </c>
      <c r="DS2168">
        <v>0</v>
      </c>
    </row>
    <row r="2169" spans="1:123" x14ac:dyDescent="0.3">
      <c r="A2169" t="str">
        <f t="shared" si="774"/>
        <v>10/04/2022 19:31:17.306</v>
      </c>
      <c r="C2169" t="str">
        <f t="shared" si="769"/>
        <v>FFDDD3C0</v>
      </c>
      <c r="D2169" t="s">
        <v>123</v>
      </c>
      <c r="E2169">
        <v>7</v>
      </c>
      <c r="F2169">
        <v>2007</v>
      </c>
      <c r="G2169" t="s">
        <v>124</v>
      </c>
      <c r="J2169" t="s">
        <v>125</v>
      </c>
      <c r="K2169">
        <v>0</v>
      </c>
      <c r="L2169">
        <v>3</v>
      </c>
      <c r="M2169">
        <v>0</v>
      </c>
      <c r="N2169">
        <v>2</v>
      </c>
      <c r="O2169">
        <v>0</v>
      </c>
      <c r="P2169">
        <v>1</v>
      </c>
      <c r="Q2169">
        <v>0</v>
      </c>
      <c r="S2169" t="str">
        <f t="shared" si="772"/>
        <v>19:31:16.000</v>
      </c>
      <c r="T2169" t="str">
        <f t="shared" si="772"/>
        <v>19:31:16.000</v>
      </c>
      <c r="U2169" t="str">
        <f t="shared" si="753"/>
        <v>AC3944</v>
      </c>
      <c r="V2169">
        <v>0</v>
      </c>
      <c r="W2169">
        <v>0</v>
      </c>
      <c r="X2169">
        <v>2</v>
      </c>
      <c r="Y2169">
        <v>0</v>
      </c>
      <c r="AA2169">
        <v>1</v>
      </c>
      <c r="AB2169">
        <v>8</v>
      </c>
      <c r="AC2169">
        <v>3</v>
      </c>
      <c r="AD2169">
        <v>0</v>
      </c>
      <c r="AE2169">
        <v>9</v>
      </c>
      <c r="AF2169" t="s">
        <v>138</v>
      </c>
      <c r="AG2169">
        <v>0</v>
      </c>
      <c r="AH2169">
        <v>3</v>
      </c>
      <c r="AI2169">
        <v>1</v>
      </c>
      <c r="AJ2169">
        <v>0</v>
      </c>
      <c r="AK2169" t="s">
        <v>756</v>
      </c>
      <c r="AL2169">
        <v>32.771186999999998</v>
      </c>
      <c r="AM2169" t="s">
        <v>757</v>
      </c>
      <c r="AN2169">
        <v>-116.820245</v>
      </c>
      <c r="AO2169">
        <v>25</v>
      </c>
      <c r="AP2169">
        <v>3000</v>
      </c>
      <c r="AQ2169" t="s">
        <v>129</v>
      </c>
      <c r="AR2169">
        <v>123</v>
      </c>
      <c r="AS2169">
        <v>-42</v>
      </c>
      <c r="AT2169">
        <v>128</v>
      </c>
      <c r="BB2169">
        <v>1200</v>
      </c>
      <c r="BC2169">
        <v>1</v>
      </c>
      <c r="BD2169" t="str">
        <f t="shared" si="754"/>
        <v xml:space="preserve">N887QR  </v>
      </c>
      <c r="BE2169">
        <v>1</v>
      </c>
      <c r="BJ2169">
        <v>2775</v>
      </c>
      <c r="BK2169">
        <v>-225</v>
      </c>
      <c r="BL2169" t="s">
        <v>163</v>
      </c>
      <c r="BM2169">
        <v>1</v>
      </c>
      <c r="BN2169">
        <v>1</v>
      </c>
      <c r="BO2169">
        <v>1</v>
      </c>
      <c r="BP2169">
        <v>0</v>
      </c>
      <c r="BS2169">
        <v>0.12</v>
      </c>
      <c r="BT2169">
        <v>0</v>
      </c>
      <c r="BU2169">
        <v>0</v>
      </c>
      <c r="CE2169" t="str">
        <f t="shared" si="775"/>
        <v>19:31:16.993</v>
      </c>
      <c r="CF2169">
        <v>993307125</v>
      </c>
      <c r="CS2169">
        <v>0</v>
      </c>
      <c r="CT2169">
        <v>2</v>
      </c>
      <c r="CU2169">
        <v>0</v>
      </c>
      <c r="CV2169">
        <v>2</v>
      </c>
      <c r="CW2169">
        <v>0</v>
      </c>
      <c r="CX2169">
        <v>5</v>
      </c>
      <c r="CY2169">
        <v>7</v>
      </c>
      <c r="CZ2169" t="s">
        <v>131</v>
      </c>
      <c r="DA2169">
        <v>300</v>
      </c>
      <c r="DB2169">
        <v>0</v>
      </c>
      <c r="DC2169" t="s">
        <v>176</v>
      </c>
      <c r="DD2169" t="s">
        <v>177</v>
      </c>
      <c r="DG2169">
        <v>5404603</v>
      </c>
      <c r="DI2169">
        <v>1</v>
      </c>
      <c r="DJ2169">
        <v>0</v>
      </c>
      <c r="DK2169">
        <v>1</v>
      </c>
      <c r="DL2169">
        <v>0</v>
      </c>
      <c r="DM2169">
        <v>0</v>
      </c>
      <c r="DN2169">
        <v>1</v>
      </c>
      <c r="DO2169">
        <v>0</v>
      </c>
      <c r="DP2169">
        <v>0</v>
      </c>
      <c r="DQ2169">
        <v>0</v>
      </c>
      <c r="DR2169">
        <v>0</v>
      </c>
      <c r="DS2169">
        <v>0</v>
      </c>
    </row>
    <row r="2170" spans="1:123" x14ac:dyDescent="0.3">
      <c r="A2170" t="str">
        <f t="shared" si="774"/>
        <v>10/04/2022 19:31:17.306</v>
      </c>
      <c r="C2170" t="str">
        <f t="shared" si="769"/>
        <v>FFDDD3C0</v>
      </c>
      <c r="D2170" t="s">
        <v>136</v>
      </c>
      <c r="E2170">
        <v>8</v>
      </c>
      <c r="H2170">
        <v>225</v>
      </c>
      <c r="I2170" t="s">
        <v>137</v>
      </c>
      <c r="J2170" t="s">
        <v>138</v>
      </c>
      <c r="K2170">
        <v>0</v>
      </c>
      <c r="L2170">
        <v>3</v>
      </c>
      <c r="M2170">
        <v>0</v>
      </c>
      <c r="N2170">
        <v>2</v>
      </c>
      <c r="O2170">
        <v>0</v>
      </c>
      <c r="P2170">
        <v>1</v>
      </c>
      <c r="Q2170">
        <v>0</v>
      </c>
      <c r="S2170" t="str">
        <f t="shared" si="772"/>
        <v>19:31:16.000</v>
      </c>
      <c r="T2170" t="str">
        <f t="shared" si="772"/>
        <v>19:31:16.000</v>
      </c>
      <c r="U2170" t="str">
        <f t="shared" si="753"/>
        <v>AC3944</v>
      </c>
      <c r="V2170">
        <v>0</v>
      </c>
      <c r="W2170">
        <v>0</v>
      </c>
      <c r="X2170">
        <v>2</v>
      </c>
      <c r="Y2170">
        <v>0</v>
      </c>
      <c r="AA2170">
        <v>1</v>
      </c>
      <c r="AB2170">
        <v>8</v>
      </c>
      <c r="AC2170">
        <v>3</v>
      </c>
      <c r="AD2170">
        <v>0</v>
      </c>
      <c r="AE2170">
        <v>9</v>
      </c>
      <c r="AF2170" t="s">
        <v>138</v>
      </c>
      <c r="AG2170">
        <v>0</v>
      </c>
      <c r="AH2170">
        <v>3</v>
      </c>
      <c r="AI2170">
        <v>1</v>
      </c>
      <c r="AJ2170">
        <v>0</v>
      </c>
      <c r="AK2170" t="s">
        <v>756</v>
      </c>
      <c r="AL2170">
        <v>32.771186999999998</v>
      </c>
      <c r="AM2170" t="s">
        <v>757</v>
      </c>
      <c r="AN2170">
        <v>-116.820245</v>
      </c>
      <c r="AO2170">
        <v>25</v>
      </c>
      <c r="AP2170">
        <v>3000</v>
      </c>
      <c r="AQ2170" t="s">
        <v>129</v>
      </c>
      <c r="AR2170">
        <v>123</v>
      </c>
      <c r="AS2170">
        <v>-42</v>
      </c>
      <c r="AT2170">
        <v>128</v>
      </c>
      <c r="BB2170">
        <v>1200</v>
      </c>
      <c r="BC2170">
        <v>1</v>
      </c>
      <c r="BD2170" t="str">
        <f t="shared" si="754"/>
        <v xml:space="preserve">N887QR  </v>
      </c>
      <c r="BE2170">
        <v>1</v>
      </c>
      <c r="BJ2170">
        <v>2775</v>
      </c>
      <c r="BK2170">
        <v>-225</v>
      </c>
      <c r="BL2170" t="s">
        <v>163</v>
      </c>
      <c r="BM2170">
        <v>1</v>
      </c>
      <c r="BN2170">
        <v>1</v>
      </c>
      <c r="BO2170">
        <v>1</v>
      </c>
      <c r="BP2170">
        <v>0</v>
      </c>
      <c r="BS2170">
        <v>0.12</v>
      </c>
      <c r="BT2170">
        <v>0</v>
      </c>
      <c r="BU2170">
        <v>0</v>
      </c>
      <c r="CE2170" t="str">
        <f t="shared" si="775"/>
        <v>19:31:16.993</v>
      </c>
      <c r="CF2170">
        <v>993307125</v>
      </c>
      <c r="CS2170">
        <v>0</v>
      </c>
      <c r="CT2170">
        <v>2</v>
      </c>
      <c r="CU2170">
        <v>0</v>
      </c>
      <c r="CV2170">
        <v>2</v>
      </c>
      <c r="CW2170">
        <v>0</v>
      </c>
      <c r="CX2170">
        <v>5</v>
      </c>
      <c r="CY2170">
        <v>7</v>
      </c>
      <c r="CZ2170" t="s">
        <v>131</v>
      </c>
      <c r="DA2170">
        <v>300</v>
      </c>
      <c r="DB2170">
        <v>0</v>
      </c>
      <c r="DC2170" t="s">
        <v>176</v>
      </c>
      <c r="DD2170" t="s">
        <v>177</v>
      </c>
      <c r="DG2170">
        <v>5404603</v>
      </c>
      <c r="DI2170">
        <v>1</v>
      </c>
      <c r="DJ2170">
        <v>0</v>
      </c>
      <c r="DK2170">
        <v>1</v>
      </c>
      <c r="DL2170">
        <v>0</v>
      </c>
      <c r="DM2170">
        <v>0</v>
      </c>
      <c r="DN2170">
        <v>1</v>
      </c>
      <c r="DO2170">
        <v>0</v>
      </c>
      <c r="DP2170">
        <v>0</v>
      </c>
      <c r="DQ2170">
        <v>0</v>
      </c>
      <c r="DR2170">
        <v>0</v>
      </c>
      <c r="DS2170">
        <v>0</v>
      </c>
    </row>
    <row r="2171" spans="1:123" x14ac:dyDescent="0.3">
      <c r="A2171" t="str">
        <f t="shared" si="774"/>
        <v>10/04/2022 19:31:17.306</v>
      </c>
      <c r="C2171" t="str">
        <f t="shared" si="769"/>
        <v>FFDDD3C0</v>
      </c>
      <c r="D2171" t="s">
        <v>141</v>
      </c>
      <c r="E2171">
        <v>4</v>
      </c>
      <c r="H2171">
        <v>4</v>
      </c>
      <c r="I2171" t="s">
        <v>142</v>
      </c>
      <c r="J2171" t="s">
        <v>138</v>
      </c>
      <c r="K2171">
        <v>0</v>
      </c>
      <c r="L2171">
        <v>3</v>
      </c>
      <c r="M2171">
        <v>0</v>
      </c>
      <c r="N2171">
        <v>2</v>
      </c>
      <c r="O2171">
        <v>0</v>
      </c>
      <c r="P2171">
        <v>1</v>
      </c>
      <c r="Q2171">
        <v>0</v>
      </c>
      <c r="S2171" t="str">
        <f t="shared" si="772"/>
        <v>19:31:16.000</v>
      </c>
      <c r="T2171" t="str">
        <f t="shared" si="772"/>
        <v>19:31:16.000</v>
      </c>
      <c r="U2171" t="str">
        <f t="shared" si="753"/>
        <v>AC3944</v>
      </c>
      <c r="V2171">
        <v>0</v>
      </c>
      <c r="W2171">
        <v>0</v>
      </c>
      <c r="X2171">
        <v>2</v>
      </c>
      <c r="Y2171">
        <v>0</v>
      </c>
      <c r="AA2171">
        <v>1</v>
      </c>
      <c r="AB2171">
        <v>8</v>
      </c>
      <c r="AC2171">
        <v>3</v>
      </c>
      <c r="AD2171">
        <v>0</v>
      </c>
      <c r="AE2171">
        <v>9</v>
      </c>
      <c r="AF2171" t="s">
        <v>138</v>
      </c>
      <c r="AG2171">
        <v>0</v>
      </c>
      <c r="AH2171">
        <v>3</v>
      </c>
      <c r="AI2171">
        <v>1</v>
      </c>
      <c r="AJ2171">
        <v>0</v>
      </c>
      <c r="AK2171" t="s">
        <v>756</v>
      </c>
      <c r="AL2171">
        <v>32.771186999999998</v>
      </c>
      <c r="AM2171" t="s">
        <v>757</v>
      </c>
      <c r="AN2171">
        <v>-116.820245</v>
      </c>
      <c r="AO2171">
        <v>25</v>
      </c>
      <c r="AP2171">
        <v>3000</v>
      </c>
      <c r="AQ2171" t="s">
        <v>129</v>
      </c>
      <c r="AR2171">
        <v>123</v>
      </c>
      <c r="AS2171">
        <v>-42</v>
      </c>
      <c r="AT2171">
        <v>128</v>
      </c>
      <c r="BB2171">
        <v>1200</v>
      </c>
      <c r="BC2171">
        <v>1</v>
      </c>
      <c r="BD2171" t="str">
        <f t="shared" si="754"/>
        <v xml:space="preserve">N887QR  </v>
      </c>
      <c r="BE2171">
        <v>1</v>
      </c>
      <c r="BJ2171">
        <v>2775</v>
      </c>
      <c r="BK2171">
        <v>-225</v>
      </c>
      <c r="BL2171" t="s">
        <v>163</v>
      </c>
      <c r="BM2171">
        <v>1</v>
      </c>
      <c r="BN2171">
        <v>1</v>
      </c>
      <c r="BO2171">
        <v>1</v>
      </c>
      <c r="BP2171">
        <v>0</v>
      </c>
      <c r="BS2171">
        <v>0.12</v>
      </c>
      <c r="BT2171">
        <v>0</v>
      </c>
      <c r="BU2171">
        <v>0</v>
      </c>
      <c r="CE2171" t="str">
        <f t="shared" si="775"/>
        <v>19:31:16.993</v>
      </c>
      <c r="CF2171">
        <v>993307125</v>
      </c>
      <c r="CS2171">
        <v>0</v>
      </c>
      <c r="CT2171">
        <v>2</v>
      </c>
      <c r="CU2171">
        <v>0</v>
      </c>
      <c r="CV2171">
        <v>2</v>
      </c>
      <c r="CW2171">
        <v>0</v>
      </c>
      <c r="CX2171">
        <v>5</v>
      </c>
      <c r="CY2171">
        <v>7</v>
      </c>
      <c r="CZ2171" t="s">
        <v>131</v>
      </c>
      <c r="DA2171">
        <v>300</v>
      </c>
      <c r="DB2171">
        <v>0</v>
      </c>
      <c r="DC2171" t="s">
        <v>176</v>
      </c>
      <c r="DD2171" t="s">
        <v>177</v>
      </c>
      <c r="DG2171">
        <v>5404603</v>
      </c>
      <c r="DI2171">
        <v>1</v>
      </c>
      <c r="DJ2171">
        <v>0</v>
      </c>
      <c r="DK2171">
        <v>1</v>
      </c>
      <c r="DL2171">
        <v>0</v>
      </c>
      <c r="DM2171">
        <v>0</v>
      </c>
      <c r="DN2171">
        <v>1</v>
      </c>
      <c r="DO2171">
        <v>0</v>
      </c>
      <c r="DP2171">
        <v>0</v>
      </c>
      <c r="DQ2171">
        <v>0</v>
      </c>
      <c r="DR2171">
        <v>0</v>
      </c>
      <c r="DS2171">
        <v>0</v>
      </c>
    </row>
    <row r="2172" spans="1:123" x14ac:dyDescent="0.3">
      <c r="A2172" t="str">
        <f>"10/04/2022 19:31:18.634"</f>
        <v>10/04/2022 19:31:18.634</v>
      </c>
      <c r="C2172" t="str">
        <f t="shared" si="769"/>
        <v>FFDDD3C0</v>
      </c>
      <c r="D2172" t="s">
        <v>123</v>
      </c>
      <c r="E2172">
        <v>7</v>
      </c>
      <c r="F2172">
        <v>2007</v>
      </c>
      <c r="G2172" t="s">
        <v>124</v>
      </c>
      <c r="J2172" t="s">
        <v>125</v>
      </c>
      <c r="K2172">
        <v>0</v>
      </c>
      <c r="L2172">
        <v>3</v>
      </c>
      <c r="M2172">
        <v>0</v>
      </c>
      <c r="N2172">
        <v>2</v>
      </c>
      <c r="O2172">
        <v>0</v>
      </c>
      <c r="P2172">
        <v>1</v>
      </c>
      <c r="Q2172">
        <v>0</v>
      </c>
      <c r="S2172" t="str">
        <f t="shared" ref="S2172:T2178" si="776">"19:31:18.000"</f>
        <v>19:31:18.000</v>
      </c>
      <c r="T2172" t="str">
        <f t="shared" si="776"/>
        <v>19:31:18.000</v>
      </c>
      <c r="U2172" t="str">
        <f t="shared" si="753"/>
        <v>AC3944</v>
      </c>
      <c r="V2172">
        <v>0</v>
      </c>
      <c r="W2172">
        <v>0</v>
      </c>
      <c r="X2172">
        <v>2</v>
      </c>
      <c r="Y2172">
        <v>0</v>
      </c>
      <c r="AA2172">
        <v>1</v>
      </c>
      <c r="AB2172">
        <v>8</v>
      </c>
      <c r="AC2172">
        <v>3</v>
      </c>
      <c r="AD2172">
        <v>0</v>
      </c>
      <c r="AE2172">
        <v>9</v>
      </c>
      <c r="AF2172" t="s">
        <v>138</v>
      </c>
      <c r="AG2172">
        <v>0</v>
      </c>
      <c r="AH2172">
        <v>3</v>
      </c>
      <c r="AI2172">
        <v>1</v>
      </c>
      <c r="AJ2172">
        <v>0</v>
      </c>
      <c r="AK2172" t="s">
        <v>758</v>
      </c>
      <c r="AL2172">
        <v>32.770994000000002</v>
      </c>
      <c r="AM2172" t="s">
        <v>759</v>
      </c>
      <c r="AN2172">
        <v>-116.81958</v>
      </c>
      <c r="AO2172">
        <v>25</v>
      </c>
      <c r="AP2172">
        <v>3000</v>
      </c>
      <c r="AQ2172" t="s">
        <v>129</v>
      </c>
      <c r="AR2172">
        <v>122</v>
      </c>
      <c r="AS2172">
        <v>-45</v>
      </c>
      <c r="AT2172">
        <v>64</v>
      </c>
      <c r="BB2172">
        <v>1200</v>
      </c>
      <c r="BC2172">
        <v>1</v>
      </c>
      <c r="BD2172" t="str">
        <f t="shared" si="754"/>
        <v xml:space="preserve">N887QR  </v>
      </c>
      <c r="BE2172">
        <v>1</v>
      </c>
      <c r="BJ2172">
        <v>2775</v>
      </c>
      <c r="BK2172">
        <v>-225</v>
      </c>
      <c r="BL2172" t="s">
        <v>163</v>
      </c>
      <c r="BM2172">
        <v>1</v>
      </c>
      <c r="BN2172">
        <v>1</v>
      </c>
      <c r="BO2172">
        <v>1</v>
      </c>
      <c r="BP2172">
        <v>0</v>
      </c>
      <c r="BS2172">
        <v>0.12</v>
      </c>
      <c r="BT2172">
        <v>0</v>
      </c>
      <c r="BU2172">
        <v>0</v>
      </c>
      <c r="CE2172" t="str">
        <f t="shared" ref="CE2172:CE2178" si="777">"19:31:18.467"</f>
        <v>19:31:18.467</v>
      </c>
      <c r="CF2172">
        <v>466562019</v>
      </c>
      <c r="CS2172">
        <v>0</v>
      </c>
      <c r="CT2172">
        <v>2</v>
      </c>
      <c r="CU2172">
        <v>0</v>
      </c>
      <c r="CV2172">
        <v>2</v>
      </c>
      <c r="CW2172">
        <v>0</v>
      </c>
      <c r="CX2172">
        <v>5</v>
      </c>
      <c r="CY2172">
        <v>7</v>
      </c>
      <c r="CZ2172" t="s">
        <v>131</v>
      </c>
      <c r="DA2172">
        <v>300</v>
      </c>
      <c r="DB2172">
        <v>0</v>
      </c>
      <c r="DC2172" t="s">
        <v>176</v>
      </c>
      <c r="DD2172" t="s">
        <v>177</v>
      </c>
      <c r="DG2172">
        <v>5404862</v>
      </c>
      <c r="DI2172">
        <v>1</v>
      </c>
      <c r="DJ2172">
        <v>0</v>
      </c>
      <c r="DK2172">
        <v>0</v>
      </c>
      <c r="DL2172">
        <v>0</v>
      </c>
      <c r="DM2172">
        <v>0</v>
      </c>
      <c r="DN2172">
        <v>1</v>
      </c>
      <c r="DO2172">
        <v>0</v>
      </c>
      <c r="DP2172">
        <v>0</v>
      </c>
      <c r="DQ2172">
        <v>0</v>
      </c>
      <c r="DR2172">
        <v>0</v>
      </c>
      <c r="DS2172">
        <v>0</v>
      </c>
    </row>
    <row r="2173" spans="1:123" x14ac:dyDescent="0.3">
      <c r="A2173" t="str">
        <f>"10/04/2022 19:31:18.744"</f>
        <v>10/04/2022 19:31:18.744</v>
      </c>
      <c r="C2173" t="str">
        <f t="shared" si="769"/>
        <v>FFDDD3C0</v>
      </c>
      <c r="D2173" t="s">
        <v>141</v>
      </c>
      <c r="E2173">
        <v>3</v>
      </c>
      <c r="H2173">
        <v>3</v>
      </c>
      <c r="I2173" t="s">
        <v>146</v>
      </c>
      <c r="J2173" t="s">
        <v>138</v>
      </c>
      <c r="K2173">
        <v>0</v>
      </c>
      <c r="L2173">
        <v>3</v>
      </c>
      <c r="M2173">
        <v>0</v>
      </c>
      <c r="N2173">
        <v>2</v>
      </c>
      <c r="O2173">
        <v>0</v>
      </c>
      <c r="P2173">
        <v>1</v>
      </c>
      <c r="Q2173">
        <v>0</v>
      </c>
      <c r="S2173" t="str">
        <f t="shared" si="776"/>
        <v>19:31:18.000</v>
      </c>
      <c r="T2173" t="str">
        <f t="shared" si="776"/>
        <v>19:31:18.000</v>
      </c>
      <c r="U2173" t="str">
        <f t="shared" si="753"/>
        <v>AC3944</v>
      </c>
      <c r="V2173">
        <v>0</v>
      </c>
      <c r="W2173">
        <v>0</v>
      </c>
      <c r="X2173">
        <v>2</v>
      </c>
      <c r="Y2173">
        <v>0</v>
      </c>
      <c r="AA2173">
        <v>1</v>
      </c>
      <c r="AB2173">
        <v>8</v>
      </c>
      <c r="AC2173">
        <v>3</v>
      </c>
      <c r="AD2173">
        <v>0</v>
      </c>
      <c r="AE2173">
        <v>9</v>
      </c>
      <c r="AF2173" t="s">
        <v>138</v>
      </c>
      <c r="AG2173">
        <v>0</v>
      </c>
      <c r="AH2173">
        <v>3</v>
      </c>
      <c r="AI2173">
        <v>1</v>
      </c>
      <c r="AJ2173">
        <v>0</v>
      </c>
      <c r="AK2173" t="s">
        <v>758</v>
      </c>
      <c r="AL2173">
        <v>32.770994000000002</v>
      </c>
      <c r="AM2173" t="s">
        <v>759</v>
      </c>
      <c r="AN2173">
        <v>-116.81958</v>
      </c>
      <c r="AO2173">
        <v>25</v>
      </c>
      <c r="AP2173">
        <v>3000</v>
      </c>
      <c r="AQ2173" t="s">
        <v>129</v>
      </c>
      <c r="AR2173">
        <v>122</v>
      </c>
      <c r="AS2173">
        <v>-45</v>
      </c>
      <c r="AT2173">
        <v>64</v>
      </c>
      <c r="BB2173">
        <v>1200</v>
      </c>
      <c r="BC2173">
        <v>1</v>
      </c>
      <c r="BD2173" t="str">
        <f t="shared" si="754"/>
        <v xml:space="preserve">N887QR  </v>
      </c>
      <c r="BE2173">
        <v>1</v>
      </c>
      <c r="BJ2173">
        <v>2775</v>
      </c>
      <c r="BK2173">
        <v>-225</v>
      </c>
      <c r="BL2173" t="s">
        <v>163</v>
      </c>
      <c r="BM2173">
        <v>1</v>
      </c>
      <c r="BN2173">
        <v>1</v>
      </c>
      <c r="BO2173">
        <v>1</v>
      </c>
      <c r="BP2173">
        <v>0</v>
      </c>
      <c r="BS2173">
        <v>0.12</v>
      </c>
      <c r="BT2173">
        <v>0</v>
      </c>
      <c r="BU2173">
        <v>0</v>
      </c>
      <c r="CE2173" t="str">
        <f t="shared" si="777"/>
        <v>19:31:18.467</v>
      </c>
      <c r="CF2173">
        <v>466562019</v>
      </c>
      <c r="CS2173">
        <v>0</v>
      </c>
      <c r="CT2173">
        <v>2</v>
      </c>
      <c r="CU2173">
        <v>0</v>
      </c>
      <c r="CV2173">
        <v>2</v>
      </c>
      <c r="CW2173">
        <v>0</v>
      </c>
      <c r="CX2173">
        <v>5</v>
      </c>
      <c r="CY2173">
        <v>7</v>
      </c>
      <c r="CZ2173" t="s">
        <v>131</v>
      </c>
      <c r="DA2173">
        <v>300</v>
      </c>
      <c r="DB2173">
        <v>0</v>
      </c>
      <c r="DC2173" t="s">
        <v>176</v>
      </c>
      <c r="DD2173" t="s">
        <v>177</v>
      </c>
      <c r="DG2173">
        <v>5404862</v>
      </c>
      <c r="DI2173">
        <v>1</v>
      </c>
      <c r="DJ2173">
        <v>0</v>
      </c>
      <c r="DK2173">
        <v>1</v>
      </c>
      <c r="DL2173">
        <v>0</v>
      </c>
      <c r="DM2173">
        <v>0</v>
      </c>
      <c r="DN2173">
        <v>1</v>
      </c>
      <c r="DO2173">
        <v>0</v>
      </c>
      <c r="DP2173">
        <v>0</v>
      </c>
      <c r="DQ2173">
        <v>0</v>
      </c>
      <c r="DR2173">
        <v>0</v>
      </c>
      <c r="DS2173">
        <v>0</v>
      </c>
    </row>
    <row r="2174" spans="1:123" x14ac:dyDescent="0.3">
      <c r="A2174" t="str">
        <f>"10/04/2022 19:31:18.775"</f>
        <v>10/04/2022 19:31:18.775</v>
      </c>
      <c r="C2174" t="str">
        <f t="shared" si="769"/>
        <v>FFDDD3C0</v>
      </c>
      <c r="D2174" t="s">
        <v>141</v>
      </c>
      <c r="E2174">
        <v>4</v>
      </c>
      <c r="H2174">
        <v>4</v>
      </c>
      <c r="I2174" t="s">
        <v>142</v>
      </c>
      <c r="J2174" t="s">
        <v>138</v>
      </c>
      <c r="K2174">
        <v>0</v>
      </c>
      <c r="L2174">
        <v>3</v>
      </c>
      <c r="M2174">
        <v>0</v>
      </c>
      <c r="N2174">
        <v>2</v>
      </c>
      <c r="O2174">
        <v>0</v>
      </c>
      <c r="P2174">
        <v>1</v>
      </c>
      <c r="Q2174">
        <v>0</v>
      </c>
      <c r="S2174" t="str">
        <f t="shared" si="776"/>
        <v>19:31:18.000</v>
      </c>
      <c r="T2174" t="str">
        <f t="shared" si="776"/>
        <v>19:31:18.000</v>
      </c>
      <c r="U2174" t="str">
        <f t="shared" si="753"/>
        <v>AC3944</v>
      </c>
      <c r="V2174">
        <v>0</v>
      </c>
      <c r="W2174">
        <v>0</v>
      </c>
      <c r="X2174">
        <v>2</v>
      </c>
      <c r="Y2174">
        <v>0</v>
      </c>
      <c r="AA2174">
        <v>1</v>
      </c>
      <c r="AB2174">
        <v>8</v>
      </c>
      <c r="AC2174">
        <v>3</v>
      </c>
      <c r="AD2174">
        <v>0</v>
      </c>
      <c r="AE2174">
        <v>9</v>
      </c>
      <c r="AF2174" t="s">
        <v>138</v>
      </c>
      <c r="AG2174">
        <v>0</v>
      </c>
      <c r="AH2174">
        <v>3</v>
      </c>
      <c r="AI2174">
        <v>1</v>
      </c>
      <c r="AJ2174">
        <v>0</v>
      </c>
      <c r="AK2174" t="s">
        <v>758</v>
      </c>
      <c r="AL2174">
        <v>32.770994000000002</v>
      </c>
      <c r="AM2174" t="s">
        <v>759</v>
      </c>
      <c r="AN2174">
        <v>-116.81958</v>
      </c>
      <c r="AO2174">
        <v>25</v>
      </c>
      <c r="AP2174">
        <v>3000</v>
      </c>
      <c r="AQ2174" t="s">
        <v>129</v>
      </c>
      <c r="AR2174">
        <v>122</v>
      </c>
      <c r="AS2174">
        <v>-45</v>
      </c>
      <c r="AT2174">
        <v>64</v>
      </c>
      <c r="BB2174">
        <v>1200</v>
      </c>
      <c r="BC2174">
        <v>1</v>
      </c>
      <c r="BD2174" t="str">
        <f t="shared" si="754"/>
        <v xml:space="preserve">N887QR  </v>
      </c>
      <c r="BE2174">
        <v>1</v>
      </c>
      <c r="BJ2174">
        <v>2775</v>
      </c>
      <c r="BK2174">
        <v>-225</v>
      </c>
      <c r="BL2174" t="s">
        <v>163</v>
      </c>
      <c r="BM2174">
        <v>1</v>
      </c>
      <c r="BN2174">
        <v>1</v>
      </c>
      <c r="BO2174">
        <v>1</v>
      </c>
      <c r="BP2174">
        <v>0</v>
      </c>
      <c r="BS2174">
        <v>0.12</v>
      </c>
      <c r="BT2174">
        <v>0</v>
      </c>
      <c r="BU2174">
        <v>0</v>
      </c>
      <c r="CE2174" t="str">
        <f t="shared" si="777"/>
        <v>19:31:18.467</v>
      </c>
      <c r="CF2174">
        <v>466562019</v>
      </c>
      <c r="CS2174">
        <v>0</v>
      </c>
      <c r="CT2174">
        <v>2</v>
      </c>
      <c r="CU2174">
        <v>0</v>
      </c>
      <c r="CV2174">
        <v>2</v>
      </c>
      <c r="CW2174">
        <v>0</v>
      </c>
      <c r="CX2174">
        <v>5</v>
      </c>
      <c r="CY2174">
        <v>7</v>
      </c>
      <c r="CZ2174" t="s">
        <v>131</v>
      </c>
      <c r="DA2174">
        <v>300</v>
      </c>
      <c r="DB2174">
        <v>0</v>
      </c>
      <c r="DC2174" t="s">
        <v>176</v>
      </c>
      <c r="DD2174" t="s">
        <v>177</v>
      </c>
      <c r="DG2174">
        <v>5404862</v>
      </c>
      <c r="DI2174">
        <v>1</v>
      </c>
      <c r="DJ2174">
        <v>0</v>
      </c>
      <c r="DK2174">
        <v>1</v>
      </c>
      <c r="DL2174">
        <v>0</v>
      </c>
      <c r="DM2174">
        <v>0</v>
      </c>
      <c r="DN2174">
        <v>1</v>
      </c>
      <c r="DO2174">
        <v>0</v>
      </c>
      <c r="DP2174">
        <v>0</v>
      </c>
      <c r="DQ2174">
        <v>0</v>
      </c>
      <c r="DR2174">
        <v>0</v>
      </c>
      <c r="DS2174">
        <v>0</v>
      </c>
    </row>
    <row r="2175" spans="1:123" x14ac:dyDescent="0.3">
      <c r="A2175" t="str">
        <f>"10/04/2022 19:31:18.775"</f>
        <v>10/04/2022 19:31:18.775</v>
      </c>
      <c r="C2175" t="str">
        <f t="shared" si="769"/>
        <v>FFDDD3C0</v>
      </c>
      <c r="D2175" t="s">
        <v>136</v>
      </c>
      <c r="E2175">
        <v>8</v>
      </c>
      <c r="H2175">
        <v>225</v>
      </c>
      <c r="I2175" t="s">
        <v>137</v>
      </c>
      <c r="J2175" t="s">
        <v>138</v>
      </c>
      <c r="K2175">
        <v>0</v>
      </c>
      <c r="L2175">
        <v>3</v>
      </c>
      <c r="M2175">
        <v>0</v>
      </c>
      <c r="N2175">
        <v>2</v>
      </c>
      <c r="O2175">
        <v>0</v>
      </c>
      <c r="P2175">
        <v>1</v>
      </c>
      <c r="Q2175">
        <v>0</v>
      </c>
      <c r="S2175" t="str">
        <f t="shared" si="776"/>
        <v>19:31:18.000</v>
      </c>
      <c r="T2175" t="str">
        <f t="shared" si="776"/>
        <v>19:31:18.000</v>
      </c>
      <c r="U2175" t="str">
        <f t="shared" si="753"/>
        <v>AC3944</v>
      </c>
      <c r="V2175">
        <v>0</v>
      </c>
      <c r="W2175">
        <v>0</v>
      </c>
      <c r="X2175">
        <v>2</v>
      </c>
      <c r="Y2175">
        <v>0</v>
      </c>
      <c r="AA2175">
        <v>1</v>
      </c>
      <c r="AB2175">
        <v>8</v>
      </c>
      <c r="AC2175">
        <v>3</v>
      </c>
      <c r="AD2175">
        <v>0</v>
      </c>
      <c r="AE2175">
        <v>9</v>
      </c>
      <c r="AF2175" t="s">
        <v>138</v>
      </c>
      <c r="AG2175">
        <v>0</v>
      </c>
      <c r="AH2175">
        <v>3</v>
      </c>
      <c r="AI2175">
        <v>1</v>
      </c>
      <c r="AJ2175">
        <v>0</v>
      </c>
      <c r="AK2175" t="s">
        <v>758</v>
      </c>
      <c r="AL2175">
        <v>32.770994000000002</v>
      </c>
      <c r="AM2175" t="s">
        <v>759</v>
      </c>
      <c r="AN2175">
        <v>-116.81958</v>
      </c>
      <c r="AO2175">
        <v>25</v>
      </c>
      <c r="AP2175">
        <v>3000</v>
      </c>
      <c r="AQ2175" t="s">
        <v>129</v>
      </c>
      <c r="AR2175">
        <v>122</v>
      </c>
      <c r="AS2175">
        <v>-45</v>
      </c>
      <c r="AT2175">
        <v>64</v>
      </c>
      <c r="BB2175">
        <v>1200</v>
      </c>
      <c r="BC2175">
        <v>1</v>
      </c>
      <c r="BD2175" t="str">
        <f t="shared" si="754"/>
        <v xml:space="preserve">N887QR  </v>
      </c>
      <c r="BE2175">
        <v>1</v>
      </c>
      <c r="BJ2175">
        <v>2775</v>
      </c>
      <c r="BK2175">
        <v>-225</v>
      </c>
      <c r="BL2175" t="s">
        <v>163</v>
      </c>
      <c r="BM2175">
        <v>1</v>
      </c>
      <c r="BN2175">
        <v>1</v>
      </c>
      <c r="BO2175">
        <v>1</v>
      </c>
      <c r="BP2175">
        <v>0</v>
      </c>
      <c r="BS2175">
        <v>0.12</v>
      </c>
      <c r="BT2175">
        <v>0</v>
      </c>
      <c r="BU2175">
        <v>0</v>
      </c>
      <c r="CE2175" t="str">
        <f t="shared" si="777"/>
        <v>19:31:18.467</v>
      </c>
      <c r="CF2175">
        <v>466562019</v>
      </c>
      <c r="CS2175">
        <v>0</v>
      </c>
      <c r="CT2175">
        <v>2</v>
      </c>
      <c r="CU2175">
        <v>0</v>
      </c>
      <c r="CV2175">
        <v>2</v>
      </c>
      <c r="CW2175">
        <v>0</v>
      </c>
      <c r="CX2175">
        <v>5</v>
      </c>
      <c r="CY2175">
        <v>7</v>
      </c>
      <c r="CZ2175" t="s">
        <v>131</v>
      </c>
      <c r="DA2175">
        <v>300</v>
      </c>
      <c r="DB2175">
        <v>0</v>
      </c>
      <c r="DC2175" t="s">
        <v>176</v>
      </c>
      <c r="DD2175" t="s">
        <v>177</v>
      </c>
      <c r="DG2175">
        <v>5404862</v>
      </c>
      <c r="DI2175">
        <v>1</v>
      </c>
      <c r="DJ2175">
        <v>0</v>
      </c>
      <c r="DK2175">
        <v>1</v>
      </c>
      <c r="DL2175">
        <v>0</v>
      </c>
      <c r="DM2175">
        <v>0</v>
      </c>
      <c r="DN2175">
        <v>1</v>
      </c>
      <c r="DO2175">
        <v>0</v>
      </c>
      <c r="DP2175">
        <v>0</v>
      </c>
      <c r="DQ2175">
        <v>0</v>
      </c>
      <c r="DR2175">
        <v>0</v>
      </c>
      <c r="DS2175">
        <v>0</v>
      </c>
    </row>
    <row r="2176" spans="1:123" x14ac:dyDescent="0.3">
      <c r="A2176" t="str">
        <f>"10/04/2022 19:31:18.775"</f>
        <v>10/04/2022 19:31:18.775</v>
      </c>
      <c r="C2176" t="str">
        <f t="shared" si="769"/>
        <v>FFDDD3C0</v>
      </c>
      <c r="D2176" t="s">
        <v>147</v>
      </c>
      <c r="E2176">
        <v>3</v>
      </c>
      <c r="H2176">
        <v>166</v>
      </c>
      <c r="I2176" t="s">
        <v>144</v>
      </c>
      <c r="J2176" t="s">
        <v>148</v>
      </c>
      <c r="K2176">
        <v>0</v>
      </c>
      <c r="L2176">
        <v>3</v>
      </c>
      <c r="M2176">
        <v>0</v>
      </c>
      <c r="N2176">
        <v>2</v>
      </c>
      <c r="O2176">
        <v>0</v>
      </c>
      <c r="P2176">
        <v>1</v>
      </c>
      <c r="Q2176">
        <v>0</v>
      </c>
      <c r="S2176" t="str">
        <f t="shared" si="776"/>
        <v>19:31:18.000</v>
      </c>
      <c r="T2176" t="str">
        <f t="shared" si="776"/>
        <v>19:31:18.000</v>
      </c>
      <c r="U2176" t="str">
        <f t="shared" si="753"/>
        <v>AC3944</v>
      </c>
      <c r="V2176">
        <v>0</v>
      </c>
      <c r="W2176">
        <v>0</v>
      </c>
      <c r="X2176">
        <v>2</v>
      </c>
      <c r="Y2176">
        <v>0</v>
      </c>
      <c r="AA2176">
        <v>1</v>
      </c>
      <c r="AB2176">
        <v>8</v>
      </c>
      <c r="AC2176">
        <v>3</v>
      </c>
      <c r="AD2176">
        <v>0</v>
      </c>
      <c r="AE2176">
        <v>9</v>
      </c>
      <c r="AF2176" t="s">
        <v>138</v>
      </c>
      <c r="AG2176">
        <v>0</v>
      </c>
      <c r="AH2176">
        <v>3</v>
      </c>
      <c r="AI2176">
        <v>1</v>
      </c>
      <c r="AJ2176">
        <v>0</v>
      </c>
      <c r="AK2176" t="s">
        <v>758</v>
      </c>
      <c r="AL2176">
        <v>32.770994000000002</v>
      </c>
      <c r="AM2176" t="s">
        <v>759</v>
      </c>
      <c r="AN2176">
        <v>-116.81958</v>
      </c>
      <c r="AO2176">
        <v>25</v>
      </c>
      <c r="AP2176">
        <v>3000</v>
      </c>
      <c r="AQ2176" t="s">
        <v>129</v>
      </c>
      <c r="AR2176">
        <v>122</v>
      </c>
      <c r="AS2176">
        <v>-45</v>
      </c>
      <c r="AT2176">
        <v>64</v>
      </c>
      <c r="BB2176">
        <v>1200</v>
      </c>
      <c r="BC2176">
        <v>1</v>
      </c>
      <c r="BD2176" t="str">
        <f t="shared" si="754"/>
        <v xml:space="preserve">N887QR  </v>
      </c>
      <c r="BE2176">
        <v>1</v>
      </c>
      <c r="BJ2176">
        <v>2775</v>
      </c>
      <c r="BK2176">
        <v>-225</v>
      </c>
      <c r="BL2176" t="s">
        <v>163</v>
      </c>
      <c r="BM2176">
        <v>1</v>
      </c>
      <c r="BN2176">
        <v>1</v>
      </c>
      <c r="BO2176">
        <v>1</v>
      </c>
      <c r="BP2176">
        <v>0</v>
      </c>
      <c r="BS2176">
        <v>0.12</v>
      </c>
      <c r="BT2176">
        <v>0</v>
      </c>
      <c r="BU2176">
        <v>0</v>
      </c>
      <c r="CE2176" t="str">
        <f t="shared" si="777"/>
        <v>19:31:18.467</v>
      </c>
      <c r="CF2176">
        <v>466562019</v>
      </c>
      <c r="CS2176">
        <v>0</v>
      </c>
      <c r="CT2176">
        <v>2</v>
      </c>
      <c r="CU2176">
        <v>0</v>
      </c>
      <c r="CV2176">
        <v>2</v>
      </c>
      <c r="CW2176">
        <v>0</v>
      </c>
      <c r="CX2176">
        <v>5</v>
      </c>
      <c r="CY2176">
        <v>7</v>
      </c>
      <c r="CZ2176" t="s">
        <v>131</v>
      </c>
      <c r="DA2176">
        <v>300</v>
      </c>
      <c r="DB2176">
        <v>0</v>
      </c>
      <c r="DC2176" t="s">
        <v>176</v>
      </c>
      <c r="DD2176" t="s">
        <v>177</v>
      </c>
      <c r="DG2176">
        <v>5404862</v>
      </c>
      <c r="DI2176">
        <v>1</v>
      </c>
      <c r="DJ2176">
        <v>0</v>
      </c>
      <c r="DK2176">
        <v>1</v>
      </c>
      <c r="DL2176">
        <v>0</v>
      </c>
      <c r="DM2176">
        <v>0</v>
      </c>
      <c r="DN2176">
        <v>1</v>
      </c>
      <c r="DO2176">
        <v>0</v>
      </c>
      <c r="DP2176">
        <v>0</v>
      </c>
      <c r="DQ2176">
        <v>0</v>
      </c>
      <c r="DR2176">
        <v>0</v>
      </c>
      <c r="DS2176">
        <v>0</v>
      </c>
    </row>
    <row r="2177" spans="1:123" x14ac:dyDescent="0.3">
      <c r="A2177" t="str">
        <f>"10/04/2022 19:31:18.775"</f>
        <v>10/04/2022 19:31:18.775</v>
      </c>
      <c r="C2177" t="str">
        <f t="shared" si="769"/>
        <v>FFDDD3C0</v>
      </c>
      <c r="D2177" t="s">
        <v>134</v>
      </c>
      <c r="E2177">
        <v>15</v>
      </c>
      <c r="J2177" t="s">
        <v>135</v>
      </c>
      <c r="K2177">
        <v>0</v>
      </c>
      <c r="L2177">
        <v>3</v>
      </c>
      <c r="M2177">
        <v>0</v>
      </c>
      <c r="N2177">
        <v>2</v>
      </c>
      <c r="O2177">
        <v>0</v>
      </c>
      <c r="P2177">
        <v>1</v>
      </c>
      <c r="Q2177">
        <v>0</v>
      </c>
      <c r="S2177" t="str">
        <f t="shared" si="776"/>
        <v>19:31:18.000</v>
      </c>
      <c r="T2177" t="str">
        <f t="shared" si="776"/>
        <v>19:31:18.000</v>
      </c>
      <c r="U2177" t="str">
        <f t="shared" si="753"/>
        <v>AC3944</v>
      </c>
      <c r="V2177">
        <v>0</v>
      </c>
      <c r="W2177">
        <v>0</v>
      </c>
      <c r="X2177">
        <v>2</v>
      </c>
      <c r="Y2177">
        <v>0</v>
      </c>
      <c r="AA2177">
        <v>1</v>
      </c>
      <c r="AB2177">
        <v>8</v>
      </c>
      <c r="AC2177">
        <v>3</v>
      </c>
      <c r="AD2177">
        <v>0</v>
      </c>
      <c r="AE2177">
        <v>9</v>
      </c>
      <c r="AF2177" t="s">
        <v>138</v>
      </c>
      <c r="AG2177">
        <v>0</v>
      </c>
      <c r="AH2177">
        <v>3</v>
      </c>
      <c r="AI2177">
        <v>1</v>
      </c>
      <c r="AJ2177">
        <v>0</v>
      </c>
      <c r="AK2177" t="s">
        <v>758</v>
      </c>
      <c r="AL2177">
        <v>32.770994000000002</v>
      </c>
      <c r="AM2177" t="s">
        <v>759</v>
      </c>
      <c r="AN2177">
        <v>-116.81958</v>
      </c>
      <c r="AO2177">
        <v>25</v>
      </c>
      <c r="AP2177">
        <v>3000</v>
      </c>
      <c r="AQ2177" t="s">
        <v>129</v>
      </c>
      <c r="AR2177">
        <v>122</v>
      </c>
      <c r="AS2177">
        <v>-45</v>
      </c>
      <c r="AT2177">
        <v>64</v>
      </c>
      <c r="BB2177">
        <v>1200</v>
      </c>
      <c r="BC2177">
        <v>1</v>
      </c>
      <c r="BD2177" t="str">
        <f t="shared" si="754"/>
        <v xml:space="preserve">N887QR  </v>
      </c>
      <c r="BE2177">
        <v>1</v>
      </c>
      <c r="BJ2177">
        <v>2775</v>
      </c>
      <c r="BK2177">
        <v>-225</v>
      </c>
      <c r="BL2177" t="s">
        <v>163</v>
      </c>
      <c r="BM2177">
        <v>1</v>
      </c>
      <c r="BN2177">
        <v>1</v>
      </c>
      <c r="BO2177">
        <v>1</v>
      </c>
      <c r="BP2177">
        <v>0</v>
      </c>
      <c r="BS2177">
        <v>0.12</v>
      </c>
      <c r="BT2177">
        <v>0</v>
      </c>
      <c r="BU2177">
        <v>0</v>
      </c>
      <c r="CE2177" t="str">
        <f t="shared" si="777"/>
        <v>19:31:18.467</v>
      </c>
      <c r="CF2177">
        <v>466562019</v>
      </c>
      <c r="CS2177">
        <v>0</v>
      </c>
      <c r="CT2177">
        <v>2</v>
      </c>
      <c r="CU2177">
        <v>0</v>
      </c>
      <c r="CV2177">
        <v>2</v>
      </c>
      <c r="CW2177">
        <v>0</v>
      </c>
      <c r="CX2177">
        <v>5</v>
      </c>
      <c r="CY2177">
        <v>7</v>
      </c>
      <c r="CZ2177" t="s">
        <v>131</v>
      </c>
      <c r="DA2177">
        <v>300</v>
      </c>
      <c r="DB2177">
        <v>0</v>
      </c>
      <c r="DC2177" t="s">
        <v>176</v>
      </c>
      <c r="DD2177" t="s">
        <v>177</v>
      </c>
      <c r="DG2177">
        <v>5404862</v>
      </c>
      <c r="DI2177">
        <v>1</v>
      </c>
      <c r="DJ2177">
        <v>0</v>
      </c>
      <c r="DK2177">
        <v>1</v>
      </c>
      <c r="DL2177">
        <v>0</v>
      </c>
      <c r="DM2177">
        <v>0</v>
      </c>
      <c r="DN2177">
        <v>1</v>
      </c>
      <c r="DO2177">
        <v>0</v>
      </c>
      <c r="DP2177">
        <v>0</v>
      </c>
      <c r="DQ2177">
        <v>0</v>
      </c>
      <c r="DR2177">
        <v>0</v>
      </c>
      <c r="DS2177">
        <v>0</v>
      </c>
    </row>
    <row r="2178" spans="1:123" x14ac:dyDescent="0.3">
      <c r="A2178" t="str">
        <f>"10/04/2022 19:31:18.775"</f>
        <v>10/04/2022 19:31:18.775</v>
      </c>
      <c r="C2178" t="str">
        <f t="shared" si="769"/>
        <v>FFDDD3C0</v>
      </c>
      <c r="D2178" t="s">
        <v>143</v>
      </c>
      <c r="E2178">
        <v>20</v>
      </c>
      <c r="F2178">
        <v>1020</v>
      </c>
      <c r="G2178" t="s">
        <v>144</v>
      </c>
      <c r="J2178" t="s">
        <v>145</v>
      </c>
      <c r="K2178">
        <v>0</v>
      </c>
      <c r="L2178">
        <v>3</v>
      </c>
      <c r="M2178">
        <v>0</v>
      </c>
      <c r="N2178">
        <v>2</v>
      </c>
      <c r="O2178">
        <v>0</v>
      </c>
      <c r="P2178">
        <v>1</v>
      </c>
      <c r="Q2178">
        <v>0</v>
      </c>
      <c r="S2178" t="str">
        <f t="shared" si="776"/>
        <v>19:31:18.000</v>
      </c>
      <c r="T2178" t="str">
        <f t="shared" si="776"/>
        <v>19:31:18.000</v>
      </c>
      <c r="U2178" t="str">
        <f t="shared" ref="U2178:U2241" si="778">"AC3944"</f>
        <v>AC3944</v>
      </c>
      <c r="V2178">
        <v>0</v>
      </c>
      <c r="W2178">
        <v>0</v>
      </c>
      <c r="X2178">
        <v>2</v>
      </c>
      <c r="Y2178">
        <v>0</v>
      </c>
      <c r="AA2178">
        <v>1</v>
      </c>
      <c r="AB2178">
        <v>8</v>
      </c>
      <c r="AC2178">
        <v>3</v>
      </c>
      <c r="AD2178">
        <v>0</v>
      </c>
      <c r="AE2178">
        <v>9</v>
      </c>
      <c r="AF2178" t="s">
        <v>138</v>
      </c>
      <c r="AG2178">
        <v>0</v>
      </c>
      <c r="AH2178">
        <v>3</v>
      </c>
      <c r="AI2178">
        <v>1</v>
      </c>
      <c r="AJ2178">
        <v>0</v>
      </c>
      <c r="AK2178" t="s">
        <v>758</v>
      </c>
      <c r="AL2178">
        <v>32.770994000000002</v>
      </c>
      <c r="AM2178" t="s">
        <v>759</v>
      </c>
      <c r="AN2178">
        <v>-116.81958</v>
      </c>
      <c r="AO2178">
        <v>25</v>
      </c>
      <c r="AP2178">
        <v>3000</v>
      </c>
      <c r="AQ2178" t="s">
        <v>129</v>
      </c>
      <c r="AR2178">
        <v>122</v>
      </c>
      <c r="AS2178">
        <v>-45</v>
      </c>
      <c r="AT2178">
        <v>64</v>
      </c>
      <c r="BB2178">
        <v>1200</v>
      </c>
      <c r="BC2178">
        <v>1</v>
      </c>
      <c r="BD2178" t="str">
        <f t="shared" ref="BD2178:BD2241" si="779">"N887QR  "</f>
        <v xml:space="preserve">N887QR  </v>
      </c>
      <c r="BE2178">
        <v>1</v>
      </c>
      <c r="BJ2178">
        <v>2775</v>
      </c>
      <c r="BK2178">
        <v>-225</v>
      </c>
      <c r="BL2178" t="s">
        <v>163</v>
      </c>
      <c r="BM2178">
        <v>1</v>
      </c>
      <c r="BN2178">
        <v>1</v>
      </c>
      <c r="BO2178">
        <v>1</v>
      </c>
      <c r="BP2178">
        <v>0</v>
      </c>
      <c r="BS2178">
        <v>0.12</v>
      </c>
      <c r="BT2178">
        <v>0</v>
      </c>
      <c r="BU2178">
        <v>0</v>
      </c>
      <c r="CE2178" t="str">
        <f t="shared" si="777"/>
        <v>19:31:18.467</v>
      </c>
      <c r="CF2178">
        <v>466562019</v>
      </c>
      <c r="CS2178">
        <v>0</v>
      </c>
      <c r="CT2178">
        <v>2</v>
      </c>
      <c r="CU2178">
        <v>0</v>
      </c>
      <c r="CV2178">
        <v>2</v>
      </c>
      <c r="CW2178">
        <v>0</v>
      </c>
      <c r="CX2178">
        <v>5</v>
      </c>
      <c r="CY2178">
        <v>7</v>
      </c>
      <c r="CZ2178" t="s">
        <v>131</v>
      </c>
      <c r="DA2178">
        <v>300</v>
      </c>
      <c r="DB2178">
        <v>0</v>
      </c>
      <c r="DC2178" t="s">
        <v>176</v>
      </c>
      <c r="DD2178" t="s">
        <v>177</v>
      </c>
      <c r="DG2178">
        <v>5404862</v>
      </c>
      <c r="DI2178">
        <v>1</v>
      </c>
      <c r="DJ2178">
        <v>0</v>
      </c>
      <c r="DK2178">
        <v>0</v>
      </c>
      <c r="DL2178">
        <v>0</v>
      </c>
      <c r="DM2178">
        <v>0</v>
      </c>
      <c r="DN2178">
        <v>1</v>
      </c>
      <c r="DO2178">
        <v>0</v>
      </c>
      <c r="DP2178">
        <v>0</v>
      </c>
      <c r="DQ2178">
        <v>0</v>
      </c>
      <c r="DR2178">
        <v>0</v>
      </c>
      <c r="DS2178">
        <v>0</v>
      </c>
    </row>
    <row r="2179" spans="1:123" x14ac:dyDescent="0.3">
      <c r="A2179" t="str">
        <f t="shared" ref="A2179:A2184" si="780">"10/04/2022 19:31:19.540"</f>
        <v>10/04/2022 19:31:19.540</v>
      </c>
      <c r="C2179" t="str">
        <f t="shared" si="769"/>
        <v>FFDDD3C0</v>
      </c>
      <c r="D2179" t="s">
        <v>143</v>
      </c>
      <c r="E2179">
        <v>20</v>
      </c>
      <c r="F2179">
        <v>1020</v>
      </c>
      <c r="G2179" t="s">
        <v>144</v>
      </c>
      <c r="J2179" t="s">
        <v>145</v>
      </c>
      <c r="K2179">
        <v>0</v>
      </c>
      <c r="L2179">
        <v>3</v>
      </c>
      <c r="M2179">
        <v>0</v>
      </c>
      <c r="N2179">
        <v>2</v>
      </c>
      <c r="O2179">
        <v>0</v>
      </c>
      <c r="P2179">
        <v>1</v>
      </c>
      <c r="Q2179">
        <v>0</v>
      </c>
      <c r="S2179" t="str">
        <f t="shared" ref="S2179:T2185" si="781">"19:31:19.000"</f>
        <v>19:31:19.000</v>
      </c>
      <c r="T2179" t="str">
        <f t="shared" si="781"/>
        <v>19:31:19.000</v>
      </c>
      <c r="U2179" t="str">
        <f t="shared" si="778"/>
        <v>AC3944</v>
      </c>
      <c r="V2179">
        <v>0</v>
      </c>
      <c r="W2179">
        <v>0</v>
      </c>
      <c r="X2179">
        <v>2</v>
      </c>
      <c r="Y2179">
        <v>0</v>
      </c>
      <c r="AA2179">
        <v>1</v>
      </c>
      <c r="AB2179">
        <v>8</v>
      </c>
      <c r="AC2179">
        <v>3</v>
      </c>
      <c r="AD2179">
        <v>0</v>
      </c>
      <c r="AE2179">
        <v>9</v>
      </c>
      <c r="AF2179" t="s">
        <v>138</v>
      </c>
      <c r="AG2179">
        <v>0</v>
      </c>
      <c r="AH2179">
        <v>3</v>
      </c>
      <c r="AI2179">
        <v>1</v>
      </c>
      <c r="AJ2179">
        <v>0</v>
      </c>
      <c r="AK2179" t="s">
        <v>760</v>
      </c>
      <c r="AL2179">
        <v>32.770758000000001</v>
      </c>
      <c r="AM2179" t="s">
        <v>761</v>
      </c>
      <c r="AN2179">
        <v>-116.818764</v>
      </c>
      <c r="AO2179">
        <v>25</v>
      </c>
      <c r="AP2179">
        <v>3000</v>
      </c>
      <c r="AQ2179" t="s">
        <v>129</v>
      </c>
      <c r="AR2179">
        <v>122</v>
      </c>
      <c r="AS2179">
        <v>-46</v>
      </c>
      <c r="AT2179">
        <v>64</v>
      </c>
      <c r="BB2179">
        <v>1200</v>
      </c>
      <c r="BC2179">
        <v>1</v>
      </c>
      <c r="BD2179" t="str">
        <f t="shared" si="779"/>
        <v xml:space="preserve">N887QR  </v>
      </c>
      <c r="BE2179">
        <v>1</v>
      </c>
      <c r="BJ2179">
        <v>2775</v>
      </c>
      <c r="BK2179">
        <v>-225</v>
      </c>
      <c r="BL2179" t="s">
        <v>163</v>
      </c>
      <c r="BM2179">
        <v>1</v>
      </c>
      <c r="BN2179">
        <v>1</v>
      </c>
      <c r="BO2179">
        <v>1</v>
      </c>
      <c r="BP2179">
        <v>0</v>
      </c>
      <c r="BS2179">
        <v>0.12</v>
      </c>
      <c r="BT2179">
        <v>0</v>
      </c>
      <c r="BU2179">
        <v>0</v>
      </c>
      <c r="CE2179" t="str">
        <f t="shared" ref="CE2179:CE2185" si="782">"19:31:19.346"</f>
        <v>19:31:19.346</v>
      </c>
      <c r="CF2179">
        <v>345564978</v>
      </c>
      <c r="CS2179">
        <v>0</v>
      </c>
      <c r="CT2179">
        <v>2</v>
      </c>
      <c r="CU2179">
        <v>0</v>
      </c>
      <c r="CV2179">
        <v>2</v>
      </c>
      <c r="CW2179">
        <v>0</v>
      </c>
      <c r="CX2179">
        <v>5</v>
      </c>
      <c r="CY2179">
        <v>7</v>
      </c>
      <c r="CZ2179" t="s">
        <v>131</v>
      </c>
      <c r="DA2179">
        <v>300</v>
      </c>
      <c r="DB2179">
        <v>0</v>
      </c>
      <c r="DC2179" t="s">
        <v>176</v>
      </c>
      <c r="DD2179" t="s">
        <v>177</v>
      </c>
      <c r="DG2179">
        <v>5405006</v>
      </c>
      <c r="DI2179">
        <v>1</v>
      </c>
      <c r="DJ2179">
        <v>0</v>
      </c>
      <c r="DK2179">
        <v>0</v>
      </c>
      <c r="DL2179">
        <v>0</v>
      </c>
      <c r="DM2179">
        <v>0</v>
      </c>
      <c r="DN2179">
        <v>1</v>
      </c>
      <c r="DO2179">
        <v>0</v>
      </c>
      <c r="DP2179">
        <v>0</v>
      </c>
      <c r="DQ2179">
        <v>0</v>
      </c>
      <c r="DR2179">
        <v>0</v>
      </c>
      <c r="DS2179">
        <v>0</v>
      </c>
    </row>
    <row r="2180" spans="1:123" x14ac:dyDescent="0.3">
      <c r="A2180" t="str">
        <f t="shared" si="780"/>
        <v>10/04/2022 19:31:19.540</v>
      </c>
      <c r="C2180" t="str">
        <f t="shared" si="769"/>
        <v>FFDDD3C0</v>
      </c>
      <c r="D2180" t="s">
        <v>123</v>
      </c>
      <c r="E2180">
        <v>7</v>
      </c>
      <c r="F2180">
        <v>2007</v>
      </c>
      <c r="G2180" t="s">
        <v>124</v>
      </c>
      <c r="J2180" t="s">
        <v>125</v>
      </c>
      <c r="K2180">
        <v>0</v>
      </c>
      <c r="L2180">
        <v>3</v>
      </c>
      <c r="M2180">
        <v>0</v>
      </c>
      <c r="N2180">
        <v>2</v>
      </c>
      <c r="O2180">
        <v>0</v>
      </c>
      <c r="P2180">
        <v>1</v>
      </c>
      <c r="Q2180">
        <v>0</v>
      </c>
      <c r="S2180" t="str">
        <f t="shared" si="781"/>
        <v>19:31:19.000</v>
      </c>
      <c r="T2180" t="str">
        <f t="shared" si="781"/>
        <v>19:31:19.000</v>
      </c>
      <c r="U2180" t="str">
        <f t="shared" si="778"/>
        <v>AC3944</v>
      </c>
      <c r="V2180">
        <v>0</v>
      </c>
      <c r="W2180">
        <v>0</v>
      </c>
      <c r="X2180">
        <v>2</v>
      </c>
      <c r="Y2180">
        <v>0</v>
      </c>
      <c r="AA2180">
        <v>1</v>
      </c>
      <c r="AB2180">
        <v>8</v>
      </c>
      <c r="AC2180">
        <v>3</v>
      </c>
      <c r="AD2180">
        <v>0</v>
      </c>
      <c r="AE2180">
        <v>9</v>
      </c>
      <c r="AF2180" t="s">
        <v>138</v>
      </c>
      <c r="AG2180">
        <v>0</v>
      </c>
      <c r="AH2180">
        <v>3</v>
      </c>
      <c r="AI2180">
        <v>1</v>
      </c>
      <c r="AJ2180">
        <v>0</v>
      </c>
      <c r="AK2180" t="s">
        <v>760</v>
      </c>
      <c r="AL2180">
        <v>32.770758000000001</v>
      </c>
      <c r="AM2180" t="s">
        <v>761</v>
      </c>
      <c r="AN2180">
        <v>-116.818764</v>
      </c>
      <c r="AO2180">
        <v>25</v>
      </c>
      <c r="AP2180">
        <v>3000</v>
      </c>
      <c r="AQ2180" t="s">
        <v>129</v>
      </c>
      <c r="AR2180">
        <v>122</v>
      </c>
      <c r="AS2180">
        <v>-46</v>
      </c>
      <c r="AT2180">
        <v>64</v>
      </c>
      <c r="BB2180">
        <v>1200</v>
      </c>
      <c r="BC2180">
        <v>1</v>
      </c>
      <c r="BD2180" t="str">
        <f t="shared" si="779"/>
        <v xml:space="preserve">N887QR  </v>
      </c>
      <c r="BE2180">
        <v>1</v>
      </c>
      <c r="BJ2180">
        <v>2775</v>
      </c>
      <c r="BK2180">
        <v>-225</v>
      </c>
      <c r="BL2180" t="s">
        <v>163</v>
      </c>
      <c r="BM2180">
        <v>1</v>
      </c>
      <c r="BN2180">
        <v>1</v>
      </c>
      <c r="BO2180">
        <v>1</v>
      </c>
      <c r="BP2180">
        <v>0</v>
      </c>
      <c r="BS2180">
        <v>0.12</v>
      </c>
      <c r="BT2180">
        <v>0</v>
      </c>
      <c r="BU2180">
        <v>0</v>
      </c>
      <c r="CE2180" t="str">
        <f t="shared" si="782"/>
        <v>19:31:19.346</v>
      </c>
      <c r="CF2180">
        <v>345564978</v>
      </c>
      <c r="CS2180">
        <v>0</v>
      </c>
      <c r="CT2180">
        <v>2</v>
      </c>
      <c r="CU2180">
        <v>0</v>
      </c>
      <c r="CV2180">
        <v>2</v>
      </c>
      <c r="CW2180">
        <v>0</v>
      </c>
      <c r="CX2180">
        <v>5</v>
      </c>
      <c r="CY2180">
        <v>7</v>
      </c>
      <c r="CZ2180" t="s">
        <v>131</v>
      </c>
      <c r="DA2180">
        <v>300</v>
      </c>
      <c r="DB2180">
        <v>0</v>
      </c>
      <c r="DC2180" t="s">
        <v>176</v>
      </c>
      <c r="DD2180" t="s">
        <v>177</v>
      </c>
      <c r="DG2180">
        <v>5405006</v>
      </c>
      <c r="DI2180">
        <v>1</v>
      </c>
      <c r="DJ2180">
        <v>0</v>
      </c>
      <c r="DK2180">
        <v>1</v>
      </c>
      <c r="DL2180">
        <v>0</v>
      </c>
      <c r="DM2180">
        <v>0</v>
      </c>
      <c r="DN2180">
        <v>1</v>
      </c>
      <c r="DO2180">
        <v>0</v>
      </c>
      <c r="DP2180">
        <v>0</v>
      </c>
      <c r="DQ2180">
        <v>0</v>
      </c>
      <c r="DR2180">
        <v>0</v>
      </c>
      <c r="DS2180">
        <v>0</v>
      </c>
    </row>
    <row r="2181" spans="1:123" x14ac:dyDescent="0.3">
      <c r="A2181" t="str">
        <f t="shared" si="780"/>
        <v>10/04/2022 19:31:19.540</v>
      </c>
      <c r="C2181" t="str">
        <f t="shared" si="769"/>
        <v>FFDDD3C0</v>
      </c>
      <c r="D2181" t="s">
        <v>141</v>
      </c>
      <c r="E2181">
        <v>3</v>
      </c>
      <c r="H2181">
        <v>3</v>
      </c>
      <c r="I2181" t="s">
        <v>146</v>
      </c>
      <c r="J2181" t="s">
        <v>138</v>
      </c>
      <c r="K2181">
        <v>0</v>
      </c>
      <c r="L2181">
        <v>3</v>
      </c>
      <c r="M2181">
        <v>0</v>
      </c>
      <c r="N2181">
        <v>2</v>
      </c>
      <c r="O2181">
        <v>0</v>
      </c>
      <c r="P2181">
        <v>1</v>
      </c>
      <c r="Q2181">
        <v>0</v>
      </c>
      <c r="S2181" t="str">
        <f t="shared" si="781"/>
        <v>19:31:19.000</v>
      </c>
      <c r="T2181" t="str">
        <f t="shared" si="781"/>
        <v>19:31:19.000</v>
      </c>
      <c r="U2181" t="str">
        <f t="shared" si="778"/>
        <v>AC3944</v>
      </c>
      <c r="V2181">
        <v>0</v>
      </c>
      <c r="W2181">
        <v>0</v>
      </c>
      <c r="X2181">
        <v>2</v>
      </c>
      <c r="Y2181">
        <v>0</v>
      </c>
      <c r="AA2181">
        <v>1</v>
      </c>
      <c r="AB2181">
        <v>8</v>
      </c>
      <c r="AC2181">
        <v>3</v>
      </c>
      <c r="AD2181">
        <v>0</v>
      </c>
      <c r="AE2181">
        <v>9</v>
      </c>
      <c r="AF2181" t="s">
        <v>138</v>
      </c>
      <c r="AG2181">
        <v>0</v>
      </c>
      <c r="AH2181">
        <v>3</v>
      </c>
      <c r="AI2181">
        <v>1</v>
      </c>
      <c r="AJ2181">
        <v>0</v>
      </c>
      <c r="AK2181" t="s">
        <v>760</v>
      </c>
      <c r="AL2181">
        <v>32.770758000000001</v>
      </c>
      <c r="AM2181" t="s">
        <v>761</v>
      </c>
      <c r="AN2181">
        <v>-116.818764</v>
      </c>
      <c r="AO2181">
        <v>25</v>
      </c>
      <c r="AP2181">
        <v>3000</v>
      </c>
      <c r="AQ2181" t="s">
        <v>129</v>
      </c>
      <c r="AR2181">
        <v>122</v>
      </c>
      <c r="AS2181">
        <v>-46</v>
      </c>
      <c r="AT2181">
        <v>64</v>
      </c>
      <c r="BB2181">
        <v>1200</v>
      </c>
      <c r="BC2181">
        <v>1</v>
      </c>
      <c r="BD2181" t="str">
        <f t="shared" si="779"/>
        <v xml:space="preserve">N887QR  </v>
      </c>
      <c r="BE2181">
        <v>1</v>
      </c>
      <c r="BJ2181">
        <v>2775</v>
      </c>
      <c r="BK2181">
        <v>-225</v>
      </c>
      <c r="BL2181" t="s">
        <v>163</v>
      </c>
      <c r="BM2181">
        <v>1</v>
      </c>
      <c r="BN2181">
        <v>1</v>
      </c>
      <c r="BO2181">
        <v>1</v>
      </c>
      <c r="BP2181">
        <v>0</v>
      </c>
      <c r="BS2181">
        <v>0.12</v>
      </c>
      <c r="BT2181">
        <v>0</v>
      </c>
      <c r="BU2181">
        <v>0</v>
      </c>
      <c r="CE2181" t="str">
        <f t="shared" si="782"/>
        <v>19:31:19.346</v>
      </c>
      <c r="CF2181">
        <v>345564978</v>
      </c>
      <c r="CS2181">
        <v>0</v>
      </c>
      <c r="CT2181">
        <v>2</v>
      </c>
      <c r="CU2181">
        <v>0</v>
      </c>
      <c r="CV2181">
        <v>2</v>
      </c>
      <c r="CW2181">
        <v>0</v>
      </c>
      <c r="CX2181">
        <v>5</v>
      </c>
      <c r="CY2181">
        <v>7</v>
      </c>
      <c r="CZ2181" t="s">
        <v>131</v>
      </c>
      <c r="DA2181">
        <v>300</v>
      </c>
      <c r="DB2181">
        <v>0</v>
      </c>
      <c r="DC2181" t="s">
        <v>176</v>
      </c>
      <c r="DD2181" t="s">
        <v>177</v>
      </c>
      <c r="DG2181">
        <v>5405006</v>
      </c>
      <c r="DI2181">
        <v>1</v>
      </c>
      <c r="DJ2181">
        <v>0</v>
      </c>
      <c r="DK2181">
        <v>1</v>
      </c>
      <c r="DL2181">
        <v>0</v>
      </c>
      <c r="DM2181">
        <v>0</v>
      </c>
      <c r="DN2181">
        <v>1</v>
      </c>
      <c r="DO2181">
        <v>0</v>
      </c>
      <c r="DP2181">
        <v>0</v>
      </c>
      <c r="DQ2181">
        <v>0</v>
      </c>
      <c r="DR2181">
        <v>0</v>
      </c>
      <c r="DS2181">
        <v>0</v>
      </c>
    </row>
    <row r="2182" spans="1:123" x14ac:dyDescent="0.3">
      <c r="A2182" t="str">
        <f t="shared" si="780"/>
        <v>10/04/2022 19:31:19.540</v>
      </c>
      <c r="C2182" t="str">
        <f t="shared" si="769"/>
        <v>FFDDD3C0</v>
      </c>
      <c r="D2182" t="s">
        <v>141</v>
      </c>
      <c r="E2182">
        <v>4</v>
      </c>
      <c r="H2182">
        <v>4</v>
      </c>
      <c r="I2182" t="s">
        <v>142</v>
      </c>
      <c r="J2182" t="s">
        <v>138</v>
      </c>
      <c r="K2182">
        <v>0</v>
      </c>
      <c r="L2182">
        <v>3</v>
      </c>
      <c r="M2182">
        <v>0</v>
      </c>
      <c r="N2182">
        <v>2</v>
      </c>
      <c r="O2182">
        <v>0</v>
      </c>
      <c r="P2182">
        <v>1</v>
      </c>
      <c r="Q2182">
        <v>0</v>
      </c>
      <c r="S2182" t="str">
        <f t="shared" si="781"/>
        <v>19:31:19.000</v>
      </c>
      <c r="T2182" t="str">
        <f t="shared" si="781"/>
        <v>19:31:19.000</v>
      </c>
      <c r="U2182" t="str">
        <f t="shared" si="778"/>
        <v>AC3944</v>
      </c>
      <c r="V2182">
        <v>0</v>
      </c>
      <c r="W2182">
        <v>0</v>
      </c>
      <c r="X2182">
        <v>2</v>
      </c>
      <c r="Y2182">
        <v>0</v>
      </c>
      <c r="AA2182">
        <v>1</v>
      </c>
      <c r="AB2182">
        <v>8</v>
      </c>
      <c r="AC2182">
        <v>3</v>
      </c>
      <c r="AD2182">
        <v>0</v>
      </c>
      <c r="AE2182">
        <v>9</v>
      </c>
      <c r="AF2182" t="s">
        <v>138</v>
      </c>
      <c r="AG2182">
        <v>0</v>
      </c>
      <c r="AH2182">
        <v>3</v>
      </c>
      <c r="AI2182">
        <v>1</v>
      </c>
      <c r="AJ2182">
        <v>0</v>
      </c>
      <c r="AK2182" t="s">
        <v>760</v>
      </c>
      <c r="AL2182">
        <v>32.770758000000001</v>
      </c>
      <c r="AM2182" t="s">
        <v>761</v>
      </c>
      <c r="AN2182">
        <v>-116.818764</v>
      </c>
      <c r="AO2182">
        <v>25</v>
      </c>
      <c r="AP2182">
        <v>3000</v>
      </c>
      <c r="AQ2182" t="s">
        <v>129</v>
      </c>
      <c r="AR2182">
        <v>122</v>
      </c>
      <c r="AS2182">
        <v>-46</v>
      </c>
      <c r="AT2182">
        <v>64</v>
      </c>
      <c r="BB2182">
        <v>1200</v>
      </c>
      <c r="BC2182">
        <v>1</v>
      </c>
      <c r="BD2182" t="str">
        <f t="shared" si="779"/>
        <v xml:space="preserve">N887QR  </v>
      </c>
      <c r="BE2182">
        <v>1</v>
      </c>
      <c r="BJ2182">
        <v>2775</v>
      </c>
      <c r="BK2182">
        <v>-225</v>
      </c>
      <c r="BL2182" t="s">
        <v>163</v>
      </c>
      <c r="BM2182">
        <v>1</v>
      </c>
      <c r="BN2182">
        <v>1</v>
      </c>
      <c r="BO2182">
        <v>1</v>
      </c>
      <c r="BP2182">
        <v>0</v>
      </c>
      <c r="BS2182">
        <v>0.12</v>
      </c>
      <c r="BT2182">
        <v>0</v>
      </c>
      <c r="BU2182">
        <v>0</v>
      </c>
      <c r="CE2182" t="str">
        <f t="shared" si="782"/>
        <v>19:31:19.346</v>
      </c>
      <c r="CF2182">
        <v>345564978</v>
      </c>
      <c r="CS2182">
        <v>0</v>
      </c>
      <c r="CT2182">
        <v>2</v>
      </c>
      <c r="CU2182">
        <v>0</v>
      </c>
      <c r="CV2182">
        <v>2</v>
      </c>
      <c r="CW2182">
        <v>0</v>
      </c>
      <c r="CX2182">
        <v>5</v>
      </c>
      <c r="CY2182">
        <v>7</v>
      </c>
      <c r="CZ2182" t="s">
        <v>131</v>
      </c>
      <c r="DA2182">
        <v>300</v>
      </c>
      <c r="DB2182">
        <v>0</v>
      </c>
      <c r="DC2182" t="s">
        <v>176</v>
      </c>
      <c r="DD2182" t="s">
        <v>177</v>
      </c>
      <c r="DG2182">
        <v>5405006</v>
      </c>
      <c r="DI2182">
        <v>1</v>
      </c>
      <c r="DJ2182">
        <v>0</v>
      </c>
      <c r="DK2182">
        <v>1</v>
      </c>
      <c r="DL2182">
        <v>0</v>
      </c>
      <c r="DM2182">
        <v>0</v>
      </c>
      <c r="DN2182">
        <v>1</v>
      </c>
      <c r="DO2182">
        <v>0</v>
      </c>
      <c r="DP2182">
        <v>0</v>
      </c>
      <c r="DQ2182">
        <v>0</v>
      </c>
      <c r="DR2182">
        <v>0</v>
      </c>
      <c r="DS2182">
        <v>0</v>
      </c>
    </row>
    <row r="2183" spans="1:123" x14ac:dyDescent="0.3">
      <c r="A2183" t="str">
        <f t="shared" si="780"/>
        <v>10/04/2022 19:31:19.540</v>
      </c>
      <c r="C2183" t="str">
        <f t="shared" si="769"/>
        <v>FFDDD3C0</v>
      </c>
      <c r="D2183" t="s">
        <v>136</v>
      </c>
      <c r="E2183">
        <v>8</v>
      </c>
      <c r="H2183">
        <v>225</v>
      </c>
      <c r="I2183" t="s">
        <v>137</v>
      </c>
      <c r="J2183" t="s">
        <v>138</v>
      </c>
      <c r="K2183">
        <v>0</v>
      </c>
      <c r="L2183">
        <v>3</v>
      </c>
      <c r="M2183">
        <v>0</v>
      </c>
      <c r="N2183">
        <v>2</v>
      </c>
      <c r="O2183">
        <v>0</v>
      </c>
      <c r="P2183">
        <v>1</v>
      </c>
      <c r="Q2183">
        <v>0</v>
      </c>
      <c r="S2183" t="str">
        <f t="shared" si="781"/>
        <v>19:31:19.000</v>
      </c>
      <c r="T2183" t="str">
        <f t="shared" si="781"/>
        <v>19:31:19.000</v>
      </c>
      <c r="U2183" t="str">
        <f t="shared" si="778"/>
        <v>AC3944</v>
      </c>
      <c r="V2183">
        <v>0</v>
      </c>
      <c r="W2183">
        <v>0</v>
      </c>
      <c r="X2183">
        <v>2</v>
      </c>
      <c r="Y2183">
        <v>0</v>
      </c>
      <c r="AA2183">
        <v>1</v>
      </c>
      <c r="AB2183">
        <v>8</v>
      </c>
      <c r="AC2183">
        <v>3</v>
      </c>
      <c r="AD2183">
        <v>0</v>
      </c>
      <c r="AE2183">
        <v>9</v>
      </c>
      <c r="AF2183" t="s">
        <v>138</v>
      </c>
      <c r="AG2183">
        <v>0</v>
      </c>
      <c r="AH2183">
        <v>3</v>
      </c>
      <c r="AI2183">
        <v>1</v>
      </c>
      <c r="AJ2183">
        <v>0</v>
      </c>
      <c r="AK2183" t="s">
        <v>760</v>
      </c>
      <c r="AL2183">
        <v>32.770758000000001</v>
      </c>
      <c r="AM2183" t="s">
        <v>761</v>
      </c>
      <c r="AN2183">
        <v>-116.818764</v>
      </c>
      <c r="AO2183">
        <v>25</v>
      </c>
      <c r="AP2183">
        <v>3000</v>
      </c>
      <c r="AQ2183" t="s">
        <v>129</v>
      </c>
      <c r="AR2183">
        <v>122</v>
      </c>
      <c r="AS2183">
        <v>-46</v>
      </c>
      <c r="AT2183">
        <v>64</v>
      </c>
      <c r="BB2183">
        <v>1200</v>
      </c>
      <c r="BC2183">
        <v>1</v>
      </c>
      <c r="BD2183" t="str">
        <f t="shared" si="779"/>
        <v xml:space="preserve">N887QR  </v>
      </c>
      <c r="BE2183">
        <v>1</v>
      </c>
      <c r="BJ2183">
        <v>2775</v>
      </c>
      <c r="BK2183">
        <v>-225</v>
      </c>
      <c r="BL2183" t="s">
        <v>163</v>
      </c>
      <c r="BM2183">
        <v>1</v>
      </c>
      <c r="BN2183">
        <v>1</v>
      </c>
      <c r="BO2183">
        <v>1</v>
      </c>
      <c r="BP2183">
        <v>0</v>
      </c>
      <c r="BS2183">
        <v>0.12</v>
      </c>
      <c r="BT2183">
        <v>0</v>
      </c>
      <c r="BU2183">
        <v>0</v>
      </c>
      <c r="CE2183" t="str">
        <f t="shared" si="782"/>
        <v>19:31:19.346</v>
      </c>
      <c r="CF2183">
        <v>345564978</v>
      </c>
      <c r="CS2183">
        <v>0</v>
      </c>
      <c r="CT2183">
        <v>2</v>
      </c>
      <c r="CU2183">
        <v>0</v>
      </c>
      <c r="CV2183">
        <v>2</v>
      </c>
      <c r="CW2183">
        <v>0</v>
      </c>
      <c r="CX2183">
        <v>5</v>
      </c>
      <c r="CY2183">
        <v>7</v>
      </c>
      <c r="CZ2183" t="s">
        <v>131</v>
      </c>
      <c r="DA2183">
        <v>300</v>
      </c>
      <c r="DB2183">
        <v>0</v>
      </c>
      <c r="DC2183" t="s">
        <v>176</v>
      </c>
      <c r="DD2183" t="s">
        <v>177</v>
      </c>
      <c r="DG2183">
        <v>5405006</v>
      </c>
      <c r="DI2183">
        <v>1</v>
      </c>
      <c r="DJ2183">
        <v>0</v>
      </c>
      <c r="DK2183">
        <v>1</v>
      </c>
      <c r="DL2183">
        <v>0</v>
      </c>
      <c r="DM2183">
        <v>0</v>
      </c>
      <c r="DN2183">
        <v>1</v>
      </c>
      <c r="DO2183">
        <v>0</v>
      </c>
      <c r="DP2183">
        <v>0</v>
      </c>
      <c r="DQ2183">
        <v>0</v>
      </c>
      <c r="DR2183">
        <v>0</v>
      </c>
      <c r="DS2183">
        <v>0</v>
      </c>
    </row>
    <row r="2184" spans="1:123" x14ac:dyDescent="0.3">
      <c r="A2184" t="str">
        <f t="shared" si="780"/>
        <v>10/04/2022 19:31:19.540</v>
      </c>
      <c r="C2184" t="str">
        <f t="shared" si="769"/>
        <v>FFDDD3C0</v>
      </c>
      <c r="D2184" t="s">
        <v>147</v>
      </c>
      <c r="E2184">
        <v>3</v>
      </c>
      <c r="H2184">
        <v>166</v>
      </c>
      <c r="I2184" t="s">
        <v>144</v>
      </c>
      <c r="J2184" t="s">
        <v>148</v>
      </c>
      <c r="K2184">
        <v>0</v>
      </c>
      <c r="L2184">
        <v>3</v>
      </c>
      <c r="M2184">
        <v>0</v>
      </c>
      <c r="N2184">
        <v>2</v>
      </c>
      <c r="O2184">
        <v>0</v>
      </c>
      <c r="P2184">
        <v>1</v>
      </c>
      <c r="Q2184">
        <v>0</v>
      </c>
      <c r="S2184" t="str">
        <f t="shared" si="781"/>
        <v>19:31:19.000</v>
      </c>
      <c r="T2184" t="str">
        <f t="shared" si="781"/>
        <v>19:31:19.000</v>
      </c>
      <c r="U2184" t="str">
        <f t="shared" si="778"/>
        <v>AC3944</v>
      </c>
      <c r="V2184">
        <v>0</v>
      </c>
      <c r="W2184">
        <v>0</v>
      </c>
      <c r="X2184">
        <v>2</v>
      </c>
      <c r="Y2184">
        <v>0</v>
      </c>
      <c r="AA2184">
        <v>1</v>
      </c>
      <c r="AB2184">
        <v>8</v>
      </c>
      <c r="AC2184">
        <v>3</v>
      </c>
      <c r="AD2184">
        <v>0</v>
      </c>
      <c r="AE2184">
        <v>9</v>
      </c>
      <c r="AF2184" t="s">
        <v>138</v>
      </c>
      <c r="AG2184">
        <v>0</v>
      </c>
      <c r="AH2184">
        <v>3</v>
      </c>
      <c r="AI2184">
        <v>1</v>
      </c>
      <c r="AJ2184">
        <v>0</v>
      </c>
      <c r="AK2184" t="s">
        <v>760</v>
      </c>
      <c r="AL2184">
        <v>32.770758000000001</v>
      </c>
      <c r="AM2184" t="s">
        <v>761</v>
      </c>
      <c r="AN2184">
        <v>-116.818764</v>
      </c>
      <c r="AO2184">
        <v>25</v>
      </c>
      <c r="AP2184">
        <v>3000</v>
      </c>
      <c r="AQ2184" t="s">
        <v>129</v>
      </c>
      <c r="AR2184">
        <v>122</v>
      </c>
      <c r="AS2184">
        <v>-46</v>
      </c>
      <c r="AT2184">
        <v>64</v>
      </c>
      <c r="BB2184">
        <v>1200</v>
      </c>
      <c r="BC2184">
        <v>1</v>
      </c>
      <c r="BD2184" t="str">
        <f t="shared" si="779"/>
        <v xml:space="preserve">N887QR  </v>
      </c>
      <c r="BE2184">
        <v>1</v>
      </c>
      <c r="BJ2184">
        <v>2775</v>
      </c>
      <c r="BK2184">
        <v>-225</v>
      </c>
      <c r="BL2184" t="s">
        <v>163</v>
      </c>
      <c r="BM2184">
        <v>1</v>
      </c>
      <c r="BN2184">
        <v>1</v>
      </c>
      <c r="BO2184">
        <v>1</v>
      </c>
      <c r="BP2184">
        <v>0</v>
      </c>
      <c r="BS2184">
        <v>0.12</v>
      </c>
      <c r="BT2184">
        <v>0</v>
      </c>
      <c r="BU2184">
        <v>0</v>
      </c>
      <c r="CE2184" t="str">
        <f t="shared" si="782"/>
        <v>19:31:19.346</v>
      </c>
      <c r="CF2184">
        <v>345564978</v>
      </c>
      <c r="CS2184">
        <v>0</v>
      </c>
      <c r="CT2184">
        <v>2</v>
      </c>
      <c r="CU2184">
        <v>0</v>
      </c>
      <c r="CV2184">
        <v>2</v>
      </c>
      <c r="CW2184">
        <v>0</v>
      </c>
      <c r="CX2184">
        <v>5</v>
      </c>
      <c r="CY2184">
        <v>7</v>
      </c>
      <c r="CZ2184" t="s">
        <v>131</v>
      </c>
      <c r="DA2184">
        <v>300</v>
      </c>
      <c r="DB2184">
        <v>0</v>
      </c>
      <c r="DC2184" t="s">
        <v>176</v>
      </c>
      <c r="DD2184" t="s">
        <v>177</v>
      </c>
      <c r="DG2184">
        <v>5405006</v>
      </c>
      <c r="DI2184">
        <v>1</v>
      </c>
      <c r="DJ2184">
        <v>0</v>
      </c>
      <c r="DK2184">
        <v>1</v>
      </c>
      <c r="DL2184">
        <v>0</v>
      </c>
      <c r="DM2184">
        <v>0</v>
      </c>
      <c r="DN2184">
        <v>1</v>
      </c>
      <c r="DO2184">
        <v>0</v>
      </c>
      <c r="DP2184">
        <v>0</v>
      </c>
      <c r="DQ2184">
        <v>0</v>
      </c>
      <c r="DR2184">
        <v>0</v>
      </c>
      <c r="DS2184">
        <v>0</v>
      </c>
    </row>
    <row r="2185" spans="1:123" x14ac:dyDescent="0.3">
      <c r="A2185" t="str">
        <f>"10/04/2022 19:31:19.603"</f>
        <v>10/04/2022 19:31:19.603</v>
      </c>
      <c r="C2185" t="str">
        <f t="shared" si="769"/>
        <v>FFDDD3C0</v>
      </c>
      <c r="D2185" t="s">
        <v>134</v>
      </c>
      <c r="E2185">
        <v>15</v>
      </c>
      <c r="J2185" t="s">
        <v>135</v>
      </c>
      <c r="K2185">
        <v>0</v>
      </c>
      <c r="L2185">
        <v>3</v>
      </c>
      <c r="M2185">
        <v>0</v>
      </c>
      <c r="N2185">
        <v>2</v>
      </c>
      <c r="O2185">
        <v>0</v>
      </c>
      <c r="P2185">
        <v>1</v>
      </c>
      <c r="Q2185">
        <v>0</v>
      </c>
      <c r="S2185" t="str">
        <f t="shared" si="781"/>
        <v>19:31:19.000</v>
      </c>
      <c r="T2185" t="str">
        <f t="shared" si="781"/>
        <v>19:31:19.000</v>
      </c>
      <c r="U2185" t="str">
        <f t="shared" si="778"/>
        <v>AC3944</v>
      </c>
      <c r="V2185">
        <v>0</v>
      </c>
      <c r="W2185">
        <v>0</v>
      </c>
      <c r="X2185">
        <v>2</v>
      </c>
      <c r="Y2185">
        <v>0</v>
      </c>
      <c r="AA2185">
        <v>1</v>
      </c>
      <c r="AB2185">
        <v>8</v>
      </c>
      <c r="AC2185">
        <v>3</v>
      </c>
      <c r="AD2185">
        <v>0</v>
      </c>
      <c r="AE2185">
        <v>9</v>
      </c>
      <c r="AF2185" t="s">
        <v>138</v>
      </c>
      <c r="AG2185">
        <v>0</v>
      </c>
      <c r="AH2185">
        <v>3</v>
      </c>
      <c r="AI2185">
        <v>1</v>
      </c>
      <c r="AJ2185">
        <v>0</v>
      </c>
      <c r="AK2185" t="s">
        <v>760</v>
      </c>
      <c r="AL2185">
        <v>32.770758000000001</v>
      </c>
      <c r="AM2185" t="s">
        <v>761</v>
      </c>
      <c r="AN2185">
        <v>-116.818764</v>
      </c>
      <c r="AO2185">
        <v>25</v>
      </c>
      <c r="AP2185">
        <v>3000</v>
      </c>
      <c r="AQ2185" t="s">
        <v>129</v>
      </c>
      <c r="AR2185">
        <v>122</v>
      </c>
      <c r="AS2185">
        <v>-46</v>
      </c>
      <c r="AT2185">
        <v>64</v>
      </c>
      <c r="BB2185">
        <v>1200</v>
      </c>
      <c r="BC2185">
        <v>1</v>
      </c>
      <c r="BD2185" t="str">
        <f t="shared" si="779"/>
        <v xml:space="preserve">N887QR  </v>
      </c>
      <c r="BE2185">
        <v>1</v>
      </c>
      <c r="BJ2185">
        <v>2775</v>
      </c>
      <c r="BK2185">
        <v>-225</v>
      </c>
      <c r="BL2185" t="s">
        <v>163</v>
      </c>
      <c r="BM2185">
        <v>1</v>
      </c>
      <c r="BN2185">
        <v>1</v>
      </c>
      <c r="BO2185">
        <v>1</v>
      </c>
      <c r="BP2185">
        <v>0</v>
      </c>
      <c r="BS2185">
        <v>0.12</v>
      </c>
      <c r="BT2185">
        <v>0</v>
      </c>
      <c r="BU2185">
        <v>0</v>
      </c>
      <c r="CE2185" t="str">
        <f t="shared" si="782"/>
        <v>19:31:19.346</v>
      </c>
      <c r="CF2185">
        <v>345564978</v>
      </c>
      <c r="CS2185">
        <v>0</v>
      </c>
      <c r="CT2185">
        <v>2</v>
      </c>
      <c r="CU2185">
        <v>0</v>
      </c>
      <c r="CV2185">
        <v>2</v>
      </c>
      <c r="CW2185">
        <v>0</v>
      </c>
      <c r="CX2185">
        <v>5</v>
      </c>
      <c r="CY2185">
        <v>7</v>
      </c>
      <c r="CZ2185" t="s">
        <v>131</v>
      </c>
      <c r="DA2185">
        <v>300</v>
      </c>
      <c r="DB2185">
        <v>0</v>
      </c>
      <c r="DC2185" t="s">
        <v>176</v>
      </c>
      <c r="DD2185" t="s">
        <v>177</v>
      </c>
      <c r="DG2185">
        <v>5405006</v>
      </c>
      <c r="DI2185">
        <v>1</v>
      </c>
      <c r="DJ2185">
        <v>0</v>
      </c>
      <c r="DK2185">
        <v>1</v>
      </c>
      <c r="DL2185">
        <v>0</v>
      </c>
      <c r="DM2185">
        <v>0</v>
      </c>
      <c r="DN2185">
        <v>1</v>
      </c>
      <c r="DO2185">
        <v>0</v>
      </c>
      <c r="DP2185">
        <v>0</v>
      </c>
      <c r="DQ2185">
        <v>0</v>
      </c>
      <c r="DR2185">
        <v>0</v>
      </c>
      <c r="DS2185">
        <v>0</v>
      </c>
    </row>
    <row r="2186" spans="1:123" x14ac:dyDescent="0.3">
      <c r="A2186" t="str">
        <f t="shared" ref="A2186:A2192" si="783">"10/04/2022 19:31:20.590"</f>
        <v>10/04/2022 19:31:20.590</v>
      </c>
      <c r="C2186" t="str">
        <f t="shared" si="769"/>
        <v>FFDDD3C0</v>
      </c>
      <c r="D2186" t="s">
        <v>134</v>
      </c>
      <c r="E2186">
        <v>15</v>
      </c>
      <c r="J2186" t="s">
        <v>135</v>
      </c>
      <c r="K2186">
        <v>0</v>
      </c>
      <c r="L2186">
        <v>3</v>
      </c>
      <c r="M2186">
        <v>0</v>
      </c>
      <c r="N2186">
        <v>2</v>
      </c>
      <c r="O2186">
        <v>0</v>
      </c>
      <c r="P2186">
        <v>1</v>
      </c>
      <c r="Q2186">
        <v>0</v>
      </c>
      <c r="S2186" t="str">
        <f t="shared" ref="S2186:T2199" si="784">"19:31:20.000"</f>
        <v>19:31:20.000</v>
      </c>
      <c r="T2186" t="str">
        <f t="shared" si="784"/>
        <v>19:31:20.000</v>
      </c>
      <c r="U2186" t="str">
        <f t="shared" si="778"/>
        <v>AC3944</v>
      </c>
      <c r="V2186">
        <v>0</v>
      </c>
      <c r="W2186">
        <v>0</v>
      </c>
      <c r="X2186">
        <v>2</v>
      </c>
      <c r="Y2186">
        <v>0</v>
      </c>
      <c r="AA2186">
        <v>1</v>
      </c>
      <c r="AB2186">
        <v>8</v>
      </c>
      <c r="AC2186">
        <v>3</v>
      </c>
      <c r="AD2186">
        <v>0</v>
      </c>
      <c r="AE2186">
        <v>9</v>
      </c>
      <c r="AF2186" t="s">
        <v>138</v>
      </c>
      <c r="AG2186">
        <v>0</v>
      </c>
      <c r="AH2186">
        <v>3</v>
      </c>
      <c r="AI2186">
        <v>1</v>
      </c>
      <c r="AJ2186">
        <v>0</v>
      </c>
      <c r="AK2186" t="s">
        <v>762</v>
      </c>
      <c r="AL2186">
        <v>32.770522</v>
      </c>
      <c r="AM2186" t="s">
        <v>763</v>
      </c>
      <c r="AN2186">
        <v>-116.818078</v>
      </c>
      <c r="AO2186">
        <v>25</v>
      </c>
      <c r="AP2186">
        <v>3000</v>
      </c>
      <c r="AQ2186" t="s">
        <v>129</v>
      </c>
      <c r="AR2186">
        <v>121</v>
      </c>
      <c r="AS2186">
        <v>-47</v>
      </c>
      <c r="AT2186">
        <v>64</v>
      </c>
      <c r="BB2186">
        <v>1200</v>
      </c>
      <c r="BC2186">
        <v>1</v>
      </c>
      <c r="BD2186" t="str">
        <f t="shared" si="779"/>
        <v xml:space="preserve">N887QR  </v>
      </c>
      <c r="BE2186">
        <v>1</v>
      </c>
      <c r="BJ2186">
        <v>2775</v>
      </c>
      <c r="BK2186">
        <v>-225</v>
      </c>
      <c r="BL2186" t="s">
        <v>163</v>
      </c>
      <c r="BM2186">
        <v>1</v>
      </c>
      <c r="BN2186">
        <v>1</v>
      </c>
      <c r="BO2186">
        <v>1</v>
      </c>
      <c r="BP2186">
        <v>0</v>
      </c>
      <c r="BS2186">
        <v>0.08</v>
      </c>
      <c r="BT2186">
        <v>0</v>
      </c>
      <c r="BU2186">
        <v>0</v>
      </c>
      <c r="CE2186" t="str">
        <f t="shared" ref="CE2186:CE2192" si="785">"19:31:20.236"</f>
        <v>19:31:20.236</v>
      </c>
      <c r="CF2186">
        <v>236317938</v>
      </c>
      <c r="CS2186">
        <v>0</v>
      </c>
      <c r="CT2186">
        <v>2</v>
      </c>
      <c r="CU2186">
        <v>0</v>
      </c>
      <c r="CV2186">
        <v>2</v>
      </c>
      <c r="CW2186">
        <v>0</v>
      </c>
      <c r="CX2186">
        <v>5</v>
      </c>
      <c r="CY2186">
        <v>7</v>
      </c>
      <c r="CZ2186" t="s">
        <v>131</v>
      </c>
      <c r="DA2186">
        <v>300</v>
      </c>
      <c r="DB2186">
        <v>0</v>
      </c>
      <c r="DC2186" t="s">
        <v>176</v>
      </c>
      <c r="DD2186" t="s">
        <v>177</v>
      </c>
      <c r="DG2186">
        <v>5405153</v>
      </c>
      <c r="DI2186">
        <v>1</v>
      </c>
      <c r="DJ2186">
        <v>0</v>
      </c>
      <c r="DK2186">
        <v>0</v>
      </c>
      <c r="DL2186">
        <v>0</v>
      </c>
      <c r="DM2186">
        <v>0</v>
      </c>
      <c r="DN2186">
        <v>1</v>
      </c>
      <c r="DO2186">
        <v>0</v>
      </c>
      <c r="DP2186">
        <v>0</v>
      </c>
      <c r="DQ2186">
        <v>0</v>
      </c>
      <c r="DR2186">
        <v>0</v>
      </c>
      <c r="DS2186">
        <v>0</v>
      </c>
    </row>
    <row r="2187" spans="1:123" x14ac:dyDescent="0.3">
      <c r="A2187" t="str">
        <f t="shared" si="783"/>
        <v>10/04/2022 19:31:20.590</v>
      </c>
      <c r="C2187" t="str">
        <f t="shared" si="769"/>
        <v>FFDDD3C0</v>
      </c>
      <c r="D2187" t="s">
        <v>143</v>
      </c>
      <c r="E2187">
        <v>20</v>
      </c>
      <c r="F2187">
        <v>1020</v>
      </c>
      <c r="G2187" t="s">
        <v>144</v>
      </c>
      <c r="J2187" t="s">
        <v>145</v>
      </c>
      <c r="K2187">
        <v>0</v>
      </c>
      <c r="L2187">
        <v>3</v>
      </c>
      <c r="M2187">
        <v>0</v>
      </c>
      <c r="N2187">
        <v>2</v>
      </c>
      <c r="O2187">
        <v>0</v>
      </c>
      <c r="P2187">
        <v>1</v>
      </c>
      <c r="Q2187">
        <v>0</v>
      </c>
      <c r="S2187" t="str">
        <f t="shared" si="784"/>
        <v>19:31:20.000</v>
      </c>
      <c r="T2187" t="str">
        <f t="shared" si="784"/>
        <v>19:31:20.000</v>
      </c>
      <c r="U2187" t="str">
        <f t="shared" si="778"/>
        <v>AC3944</v>
      </c>
      <c r="V2187">
        <v>0</v>
      </c>
      <c r="W2187">
        <v>0</v>
      </c>
      <c r="X2187">
        <v>2</v>
      </c>
      <c r="Y2187">
        <v>0</v>
      </c>
      <c r="AA2187">
        <v>1</v>
      </c>
      <c r="AB2187">
        <v>8</v>
      </c>
      <c r="AC2187">
        <v>3</v>
      </c>
      <c r="AD2187">
        <v>0</v>
      </c>
      <c r="AE2187">
        <v>9</v>
      </c>
      <c r="AF2187" t="s">
        <v>138</v>
      </c>
      <c r="AG2187">
        <v>0</v>
      </c>
      <c r="AH2187">
        <v>3</v>
      </c>
      <c r="AI2187">
        <v>1</v>
      </c>
      <c r="AJ2187">
        <v>0</v>
      </c>
      <c r="AK2187" t="s">
        <v>762</v>
      </c>
      <c r="AL2187">
        <v>32.770522</v>
      </c>
      <c r="AM2187" t="s">
        <v>763</v>
      </c>
      <c r="AN2187">
        <v>-116.818078</v>
      </c>
      <c r="AO2187">
        <v>25</v>
      </c>
      <c r="AP2187">
        <v>3000</v>
      </c>
      <c r="AQ2187" t="s">
        <v>129</v>
      </c>
      <c r="AR2187">
        <v>121</v>
      </c>
      <c r="AS2187">
        <v>-47</v>
      </c>
      <c r="AT2187">
        <v>64</v>
      </c>
      <c r="BB2187">
        <v>1200</v>
      </c>
      <c r="BC2187">
        <v>1</v>
      </c>
      <c r="BD2187" t="str">
        <f t="shared" si="779"/>
        <v xml:space="preserve">N887QR  </v>
      </c>
      <c r="BE2187">
        <v>1</v>
      </c>
      <c r="BJ2187">
        <v>2775</v>
      </c>
      <c r="BK2187">
        <v>-225</v>
      </c>
      <c r="BL2187" t="s">
        <v>163</v>
      </c>
      <c r="BM2187">
        <v>1</v>
      </c>
      <c r="BN2187">
        <v>1</v>
      </c>
      <c r="BO2187">
        <v>1</v>
      </c>
      <c r="BP2187">
        <v>0</v>
      </c>
      <c r="BS2187">
        <v>0.08</v>
      </c>
      <c r="BT2187">
        <v>0</v>
      </c>
      <c r="BU2187">
        <v>0</v>
      </c>
      <c r="CE2187" t="str">
        <f t="shared" si="785"/>
        <v>19:31:20.236</v>
      </c>
      <c r="CF2187">
        <v>236317938</v>
      </c>
      <c r="CS2187">
        <v>0</v>
      </c>
      <c r="CT2187">
        <v>2</v>
      </c>
      <c r="CU2187">
        <v>0</v>
      </c>
      <c r="CV2187">
        <v>2</v>
      </c>
      <c r="CW2187">
        <v>0</v>
      </c>
      <c r="CX2187">
        <v>5</v>
      </c>
      <c r="CY2187">
        <v>7</v>
      </c>
      <c r="CZ2187" t="s">
        <v>131</v>
      </c>
      <c r="DA2187">
        <v>300</v>
      </c>
      <c r="DB2187">
        <v>0</v>
      </c>
      <c r="DC2187" t="s">
        <v>176</v>
      </c>
      <c r="DD2187" t="s">
        <v>177</v>
      </c>
      <c r="DG2187">
        <v>5405153</v>
      </c>
      <c r="DI2187">
        <v>1</v>
      </c>
      <c r="DJ2187">
        <v>0</v>
      </c>
      <c r="DK2187">
        <v>1</v>
      </c>
      <c r="DL2187">
        <v>0</v>
      </c>
      <c r="DM2187">
        <v>0</v>
      </c>
      <c r="DN2187">
        <v>1</v>
      </c>
      <c r="DO2187">
        <v>0</v>
      </c>
      <c r="DP2187">
        <v>0</v>
      </c>
      <c r="DQ2187">
        <v>0</v>
      </c>
      <c r="DR2187">
        <v>0</v>
      </c>
      <c r="DS2187">
        <v>0</v>
      </c>
    </row>
    <row r="2188" spans="1:123" x14ac:dyDescent="0.3">
      <c r="A2188" t="str">
        <f t="shared" si="783"/>
        <v>10/04/2022 19:31:20.590</v>
      </c>
      <c r="C2188" t="str">
        <f t="shared" si="769"/>
        <v>FFDDD3C0</v>
      </c>
      <c r="D2188" t="s">
        <v>123</v>
      </c>
      <c r="E2188">
        <v>7</v>
      </c>
      <c r="F2188">
        <v>2007</v>
      </c>
      <c r="G2188" t="s">
        <v>124</v>
      </c>
      <c r="J2188" t="s">
        <v>125</v>
      </c>
      <c r="K2188">
        <v>0</v>
      </c>
      <c r="L2188">
        <v>3</v>
      </c>
      <c r="M2188">
        <v>0</v>
      </c>
      <c r="N2188">
        <v>2</v>
      </c>
      <c r="O2188">
        <v>0</v>
      </c>
      <c r="P2188">
        <v>1</v>
      </c>
      <c r="Q2188">
        <v>0</v>
      </c>
      <c r="S2188" t="str">
        <f t="shared" si="784"/>
        <v>19:31:20.000</v>
      </c>
      <c r="T2188" t="str">
        <f t="shared" si="784"/>
        <v>19:31:20.000</v>
      </c>
      <c r="U2188" t="str">
        <f t="shared" si="778"/>
        <v>AC3944</v>
      </c>
      <c r="V2188">
        <v>0</v>
      </c>
      <c r="W2188">
        <v>0</v>
      </c>
      <c r="X2188">
        <v>2</v>
      </c>
      <c r="Y2188">
        <v>0</v>
      </c>
      <c r="AA2188">
        <v>1</v>
      </c>
      <c r="AB2188">
        <v>8</v>
      </c>
      <c r="AC2188">
        <v>3</v>
      </c>
      <c r="AD2188">
        <v>0</v>
      </c>
      <c r="AE2188">
        <v>9</v>
      </c>
      <c r="AF2188" t="s">
        <v>138</v>
      </c>
      <c r="AG2188">
        <v>0</v>
      </c>
      <c r="AH2188">
        <v>3</v>
      </c>
      <c r="AI2188">
        <v>1</v>
      </c>
      <c r="AJ2188">
        <v>0</v>
      </c>
      <c r="AK2188" t="s">
        <v>762</v>
      </c>
      <c r="AL2188">
        <v>32.770522</v>
      </c>
      <c r="AM2188" t="s">
        <v>763</v>
      </c>
      <c r="AN2188">
        <v>-116.818078</v>
      </c>
      <c r="AO2188">
        <v>25</v>
      </c>
      <c r="AP2188">
        <v>3000</v>
      </c>
      <c r="AQ2188" t="s">
        <v>129</v>
      </c>
      <c r="AR2188">
        <v>121</v>
      </c>
      <c r="AS2188">
        <v>-47</v>
      </c>
      <c r="AT2188">
        <v>64</v>
      </c>
      <c r="BB2188">
        <v>1200</v>
      </c>
      <c r="BC2188">
        <v>1</v>
      </c>
      <c r="BD2188" t="str">
        <f t="shared" si="779"/>
        <v xml:space="preserve">N887QR  </v>
      </c>
      <c r="BE2188">
        <v>1</v>
      </c>
      <c r="BJ2188">
        <v>2775</v>
      </c>
      <c r="BK2188">
        <v>-225</v>
      </c>
      <c r="BL2188" t="s">
        <v>163</v>
      </c>
      <c r="BM2188">
        <v>1</v>
      </c>
      <c r="BN2188">
        <v>1</v>
      </c>
      <c r="BO2188">
        <v>1</v>
      </c>
      <c r="BP2188">
        <v>0</v>
      </c>
      <c r="BS2188">
        <v>0.08</v>
      </c>
      <c r="BT2188">
        <v>0</v>
      </c>
      <c r="BU2188">
        <v>0</v>
      </c>
      <c r="CE2188" t="str">
        <f t="shared" si="785"/>
        <v>19:31:20.236</v>
      </c>
      <c r="CF2188">
        <v>236317938</v>
      </c>
      <c r="CS2188">
        <v>0</v>
      </c>
      <c r="CT2188">
        <v>2</v>
      </c>
      <c r="CU2188">
        <v>0</v>
      </c>
      <c r="CV2188">
        <v>2</v>
      </c>
      <c r="CW2188">
        <v>0</v>
      </c>
      <c r="CX2188">
        <v>5</v>
      </c>
      <c r="CY2188">
        <v>7</v>
      </c>
      <c r="CZ2188" t="s">
        <v>131</v>
      </c>
      <c r="DA2188">
        <v>300</v>
      </c>
      <c r="DB2188">
        <v>0</v>
      </c>
      <c r="DC2188" t="s">
        <v>176</v>
      </c>
      <c r="DD2188" t="s">
        <v>177</v>
      </c>
      <c r="DG2188">
        <v>5405153</v>
      </c>
      <c r="DI2188">
        <v>1</v>
      </c>
      <c r="DJ2188">
        <v>0</v>
      </c>
      <c r="DK2188">
        <v>1</v>
      </c>
      <c r="DL2188">
        <v>0</v>
      </c>
      <c r="DM2188">
        <v>0</v>
      </c>
      <c r="DN2188">
        <v>1</v>
      </c>
      <c r="DO2188">
        <v>0</v>
      </c>
      <c r="DP2188">
        <v>0</v>
      </c>
      <c r="DQ2188">
        <v>0</v>
      </c>
      <c r="DR2188">
        <v>0</v>
      </c>
      <c r="DS2188">
        <v>0</v>
      </c>
    </row>
    <row r="2189" spans="1:123" x14ac:dyDescent="0.3">
      <c r="A2189" t="str">
        <f t="shared" si="783"/>
        <v>10/04/2022 19:31:20.590</v>
      </c>
      <c r="C2189" t="str">
        <f t="shared" si="769"/>
        <v>FFDDD3C0</v>
      </c>
      <c r="D2189" t="s">
        <v>141</v>
      </c>
      <c r="E2189">
        <v>4</v>
      </c>
      <c r="H2189">
        <v>4</v>
      </c>
      <c r="I2189" t="s">
        <v>142</v>
      </c>
      <c r="J2189" t="s">
        <v>138</v>
      </c>
      <c r="K2189">
        <v>0</v>
      </c>
      <c r="L2189">
        <v>3</v>
      </c>
      <c r="M2189">
        <v>0</v>
      </c>
      <c r="N2189">
        <v>2</v>
      </c>
      <c r="O2189">
        <v>0</v>
      </c>
      <c r="P2189">
        <v>1</v>
      </c>
      <c r="Q2189">
        <v>0</v>
      </c>
      <c r="S2189" t="str">
        <f t="shared" si="784"/>
        <v>19:31:20.000</v>
      </c>
      <c r="T2189" t="str">
        <f t="shared" si="784"/>
        <v>19:31:20.000</v>
      </c>
      <c r="U2189" t="str">
        <f t="shared" si="778"/>
        <v>AC3944</v>
      </c>
      <c r="V2189">
        <v>0</v>
      </c>
      <c r="W2189">
        <v>0</v>
      </c>
      <c r="X2189">
        <v>2</v>
      </c>
      <c r="Y2189">
        <v>0</v>
      </c>
      <c r="AA2189">
        <v>1</v>
      </c>
      <c r="AB2189">
        <v>8</v>
      </c>
      <c r="AC2189">
        <v>3</v>
      </c>
      <c r="AD2189">
        <v>0</v>
      </c>
      <c r="AE2189">
        <v>9</v>
      </c>
      <c r="AF2189" t="s">
        <v>138</v>
      </c>
      <c r="AG2189">
        <v>0</v>
      </c>
      <c r="AH2189">
        <v>3</v>
      </c>
      <c r="AI2189">
        <v>1</v>
      </c>
      <c r="AJ2189">
        <v>0</v>
      </c>
      <c r="AK2189" t="s">
        <v>762</v>
      </c>
      <c r="AL2189">
        <v>32.770522</v>
      </c>
      <c r="AM2189" t="s">
        <v>763</v>
      </c>
      <c r="AN2189">
        <v>-116.818078</v>
      </c>
      <c r="AO2189">
        <v>25</v>
      </c>
      <c r="AP2189">
        <v>3000</v>
      </c>
      <c r="AQ2189" t="s">
        <v>129</v>
      </c>
      <c r="AR2189">
        <v>121</v>
      </c>
      <c r="AS2189">
        <v>-47</v>
      </c>
      <c r="AT2189">
        <v>64</v>
      </c>
      <c r="BB2189">
        <v>1200</v>
      </c>
      <c r="BC2189">
        <v>1</v>
      </c>
      <c r="BD2189" t="str">
        <f t="shared" si="779"/>
        <v xml:space="preserve">N887QR  </v>
      </c>
      <c r="BE2189">
        <v>1</v>
      </c>
      <c r="BJ2189">
        <v>2775</v>
      </c>
      <c r="BK2189">
        <v>-225</v>
      </c>
      <c r="BL2189" t="s">
        <v>163</v>
      </c>
      <c r="BM2189">
        <v>1</v>
      </c>
      <c r="BN2189">
        <v>1</v>
      </c>
      <c r="BO2189">
        <v>1</v>
      </c>
      <c r="BP2189">
        <v>0</v>
      </c>
      <c r="BS2189">
        <v>0.08</v>
      </c>
      <c r="BT2189">
        <v>0</v>
      </c>
      <c r="BU2189">
        <v>0</v>
      </c>
      <c r="CE2189" t="str">
        <f t="shared" si="785"/>
        <v>19:31:20.236</v>
      </c>
      <c r="CF2189">
        <v>236317938</v>
      </c>
      <c r="CS2189">
        <v>0</v>
      </c>
      <c r="CT2189">
        <v>2</v>
      </c>
      <c r="CU2189">
        <v>0</v>
      </c>
      <c r="CV2189">
        <v>2</v>
      </c>
      <c r="CW2189">
        <v>0</v>
      </c>
      <c r="CX2189">
        <v>5</v>
      </c>
      <c r="CY2189">
        <v>7</v>
      </c>
      <c r="CZ2189" t="s">
        <v>131</v>
      </c>
      <c r="DA2189">
        <v>300</v>
      </c>
      <c r="DB2189">
        <v>0</v>
      </c>
      <c r="DC2189" t="s">
        <v>176</v>
      </c>
      <c r="DD2189" t="s">
        <v>177</v>
      </c>
      <c r="DG2189">
        <v>5405153</v>
      </c>
      <c r="DI2189">
        <v>1</v>
      </c>
      <c r="DJ2189">
        <v>0</v>
      </c>
      <c r="DK2189">
        <v>1</v>
      </c>
      <c r="DL2189">
        <v>0</v>
      </c>
      <c r="DM2189">
        <v>0</v>
      </c>
      <c r="DN2189">
        <v>1</v>
      </c>
      <c r="DO2189">
        <v>0</v>
      </c>
      <c r="DP2189">
        <v>0</v>
      </c>
      <c r="DQ2189">
        <v>0</v>
      </c>
      <c r="DR2189">
        <v>0</v>
      </c>
      <c r="DS2189">
        <v>0</v>
      </c>
    </row>
    <row r="2190" spans="1:123" x14ac:dyDescent="0.3">
      <c r="A2190" t="str">
        <f t="shared" si="783"/>
        <v>10/04/2022 19:31:20.590</v>
      </c>
      <c r="C2190" t="str">
        <f t="shared" si="769"/>
        <v>FFDDD3C0</v>
      </c>
      <c r="D2190" t="s">
        <v>141</v>
      </c>
      <c r="E2190">
        <v>3</v>
      </c>
      <c r="H2190">
        <v>3</v>
      </c>
      <c r="I2190" t="s">
        <v>146</v>
      </c>
      <c r="J2190" t="s">
        <v>138</v>
      </c>
      <c r="K2190">
        <v>0</v>
      </c>
      <c r="L2190">
        <v>3</v>
      </c>
      <c r="M2190">
        <v>0</v>
      </c>
      <c r="N2190">
        <v>2</v>
      </c>
      <c r="O2190">
        <v>0</v>
      </c>
      <c r="P2190">
        <v>1</v>
      </c>
      <c r="Q2190">
        <v>0</v>
      </c>
      <c r="S2190" t="str">
        <f t="shared" si="784"/>
        <v>19:31:20.000</v>
      </c>
      <c r="T2190" t="str">
        <f t="shared" si="784"/>
        <v>19:31:20.000</v>
      </c>
      <c r="U2190" t="str">
        <f t="shared" si="778"/>
        <v>AC3944</v>
      </c>
      <c r="V2190">
        <v>0</v>
      </c>
      <c r="W2190">
        <v>0</v>
      </c>
      <c r="X2190">
        <v>2</v>
      </c>
      <c r="Y2190">
        <v>0</v>
      </c>
      <c r="AA2190">
        <v>1</v>
      </c>
      <c r="AB2190">
        <v>8</v>
      </c>
      <c r="AC2190">
        <v>3</v>
      </c>
      <c r="AD2190">
        <v>0</v>
      </c>
      <c r="AE2190">
        <v>9</v>
      </c>
      <c r="AF2190" t="s">
        <v>138</v>
      </c>
      <c r="AG2190">
        <v>0</v>
      </c>
      <c r="AH2190">
        <v>3</v>
      </c>
      <c r="AI2190">
        <v>1</v>
      </c>
      <c r="AJ2190">
        <v>0</v>
      </c>
      <c r="AK2190" t="s">
        <v>762</v>
      </c>
      <c r="AL2190">
        <v>32.770522</v>
      </c>
      <c r="AM2190" t="s">
        <v>763</v>
      </c>
      <c r="AN2190">
        <v>-116.818078</v>
      </c>
      <c r="AO2190">
        <v>25</v>
      </c>
      <c r="AP2190">
        <v>3000</v>
      </c>
      <c r="AQ2190" t="s">
        <v>129</v>
      </c>
      <c r="AR2190">
        <v>121</v>
      </c>
      <c r="AS2190">
        <v>-47</v>
      </c>
      <c r="AT2190">
        <v>64</v>
      </c>
      <c r="BB2190">
        <v>1200</v>
      </c>
      <c r="BC2190">
        <v>1</v>
      </c>
      <c r="BD2190" t="str">
        <f t="shared" si="779"/>
        <v xml:space="preserve">N887QR  </v>
      </c>
      <c r="BE2190">
        <v>1</v>
      </c>
      <c r="BJ2190">
        <v>2775</v>
      </c>
      <c r="BK2190">
        <v>-225</v>
      </c>
      <c r="BL2190" t="s">
        <v>163</v>
      </c>
      <c r="BM2190">
        <v>1</v>
      </c>
      <c r="BN2190">
        <v>1</v>
      </c>
      <c r="BO2190">
        <v>1</v>
      </c>
      <c r="BP2190">
        <v>0</v>
      </c>
      <c r="BS2190">
        <v>0.08</v>
      </c>
      <c r="BT2190">
        <v>0</v>
      </c>
      <c r="BU2190">
        <v>0</v>
      </c>
      <c r="CE2190" t="str">
        <f t="shared" si="785"/>
        <v>19:31:20.236</v>
      </c>
      <c r="CF2190">
        <v>236317938</v>
      </c>
      <c r="CS2190">
        <v>0</v>
      </c>
      <c r="CT2190">
        <v>2</v>
      </c>
      <c r="CU2190">
        <v>0</v>
      </c>
      <c r="CV2190">
        <v>2</v>
      </c>
      <c r="CW2190">
        <v>0</v>
      </c>
      <c r="CX2190">
        <v>5</v>
      </c>
      <c r="CY2190">
        <v>7</v>
      </c>
      <c r="CZ2190" t="s">
        <v>131</v>
      </c>
      <c r="DA2190">
        <v>300</v>
      </c>
      <c r="DB2190">
        <v>0</v>
      </c>
      <c r="DC2190" t="s">
        <v>176</v>
      </c>
      <c r="DD2190" t="s">
        <v>177</v>
      </c>
      <c r="DG2190">
        <v>5405153</v>
      </c>
      <c r="DI2190">
        <v>1</v>
      </c>
      <c r="DJ2190">
        <v>0</v>
      </c>
      <c r="DK2190">
        <v>1</v>
      </c>
      <c r="DL2190">
        <v>0</v>
      </c>
      <c r="DM2190">
        <v>0</v>
      </c>
      <c r="DN2190">
        <v>1</v>
      </c>
      <c r="DO2190">
        <v>0</v>
      </c>
      <c r="DP2190">
        <v>0</v>
      </c>
      <c r="DQ2190">
        <v>0</v>
      </c>
      <c r="DR2190">
        <v>0</v>
      </c>
      <c r="DS2190">
        <v>0</v>
      </c>
    </row>
    <row r="2191" spans="1:123" x14ac:dyDescent="0.3">
      <c r="A2191" t="str">
        <f t="shared" si="783"/>
        <v>10/04/2022 19:31:20.590</v>
      </c>
      <c r="C2191" t="str">
        <f t="shared" si="769"/>
        <v>FFDDD3C0</v>
      </c>
      <c r="D2191" t="s">
        <v>136</v>
      </c>
      <c r="E2191">
        <v>8</v>
      </c>
      <c r="H2191">
        <v>225</v>
      </c>
      <c r="I2191" t="s">
        <v>137</v>
      </c>
      <c r="J2191" t="s">
        <v>138</v>
      </c>
      <c r="K2191">
        <v>0</v>
      </c>
      <c r="L2191">
        <v>3</v>
      </c>
      <c r="M2191">
        <v>0</v>
      </c>
      <c r="N2191">
        <v>2</v>
      </c>
      <c r="O2191">
        <v>0</v>
      </c>
      <c r="P2191">
        <v>1</v>
      </c>
      <c r="Q2191">
        <v>0</v>
      </c>
      <c r="S2191" t="str">
        <f t="shared" si="784"/>
        <v>19:31:20.000</v>
      </c>
      <c r="T2191" t="str">
        <f t="shared" si="784"/>
        <v>19:31:20.000</v>
      </c>
      <c r="U2191" t="str">
        <f t="shared" si="778"/>
        <v>AC3944</v>
      </c>
      <c r="V2191">
        <v>0</v>
      </c>
      <c r="W2191">
        <v>0</v>
      </c>
      <c r="X2191">
        <v>2</v>
      </c>
      <c r="Y2191">
        <v>0</v>
      </c>
      <c r="AA2191">
        <v>1</v>
      </c>
      <c r="AB2191">
        <v>8</v>
      </c>
      <c r="AC2191">
        <v>3</v>
      </c>
      <c r="AD2191">
        <v>0</v>
      </c>
      <c r="AE2191">
        <v>9</v>
      </c>
      <c r="AF2191" t="s">
        <v>138</v>
      </c>
      <c r="AG2191">
        <v>0</v>
      </c>
      <c r="AH2191">
        <v>3</v>
      </c>
      <c r="AI2191">
        <v>1</v>
      </c>
      <c r="AJ2191">
        <v>0</v>
      </c>
      <c r="AK2191" t="s">
        <v>762</v>
      </c>
      <c r="AL2191">
        <v>32.770522</v>
      </c>
      <c r="AM2191" t="s">
        <v>763</v>
      </c>
      <c r="AN2191">
        <v>-116.818078</v>
      </c>
      <c r="AO2191">
        <v>25</v>
      </c>
      <c r="AP2191">
        <v>3000</v>
      </c>
      <c r="AQ2191" t="s">
        <v>129</v>
      </c>
      <c r="AR2191">
        <v>121</v>
      </c>
      <c r="AS2191">
        <v>-47</v>
      </c>
      <c r="AT2191">
        <v>64</v>
      </c>
      <c r="BB2191">
        <v>1200</v>
      </c>
      <c r="BC2191">
        <v>1</v>
      </c>
      <c r="BD2191" t="str">
        <f t="shared" si="779"/>
        <v xml:space="preserve">N887QR  </v>
      </c>
      <c r="BE2191">
        <v>1</v>
      </c>
      <c r="BJ2191">
        <v>2775</v>
      </c>
      <c r="BK2191">
        <v>-225</v>
      </c>
      <c r="BL2191" t="s">
        <v>163</v>
      </c>
      <c r="BM2191">
        <v>1</v>
      </c>
      <c r="BN2191">
        <v>1</v>
      </c>
      <c r="BO2191">
        <v>1</v>
      </c>
      <c r="BP2191">
        <v>0</v>
      </c>
      <c r="BS2191">
        <v>0.08</v>
      </c>
      <c r="BT2191">
        <v>0</v>
      </c>
      <c r="BU2191">
        <v>0</v>
      </c>
      <c r="CE2191" t="str">
        <f t="shared" si="785"/>
        <v>19:31:20.236</v>
      </c>
      <c r="CF2191">
        <v>236317938</v>
      </c>
      <c r="CS2191">
        <v>0</v>
      </c>
      <c r="CT2191">
        <v>2</v>
      </c>
      <c r="CU2191">
        <v>0</v>
      </c>
      <c r="CV2191">
        <v>2</v>
      </c>
      <c r="CW2191">
        <v>0</v>
      </c>
      <c r="CX2191">
        <v>5</v>
      </c>
      <c r="CY2191">
        <v>7</v>
      </c>
      <c r="CZ2191" t="s">
        <v>131</v>
      </c>
      <c r="DA2191">
        <v>300</v>
      </c>
      <c r="DB2191">
        <v>0</v>
      </c>
      <c r="DC2191" t="s">
        <v>176</v>
      </c>
      <c r="DD2191" t="s">
        <v>177</v>
      </c>
      <c r="DG2191">
        <v>5405153</v>
      </c>
      <c r="DI2191">
        <v>1</v>
      </c>
      <c r="DJ2191">
        <v>0</v>
      </c>
      <c r="DK2191">
        <v>1</v>
      </c>
      <c r="DL2191">
        <v>0</v>
      </c>
      <c r="DM2191">
        <v>0</v>
      </c>
      <c r="DN2191">
        <v>1</v>
      </c>
      <c r="DO2191">
        <v>0</v>
      </c>
      <c r="DP2191">
        <v>0</v>
      </c>
      <c r="DQ2191">
        <v>0</v>
      </c>
      <c r="DR2191">
        <v>0</v>
      </c>
      <c r="DS2191">
        <v>0</v>
      </c>
    </row>
    <row r="2192" spans="1:123" x14ac:dyDescent="0.3">
      <c r="A2192" t="str">
        <f t="shared" si="783"/>
        <v>10/04/2022 19:31:20.590</v>
      </c>
      <c r="C2192" t="str">
        <f t="shared" si="769"/>
        <v>FFDDD3C0</v>
      </c>
      <c r="D2192" t="s">
        <v>147</v>
      </c>
      <c r="E2192">
        <v>3</v>
      </c>
      <c r="H2192">
        <v>166</v>
      </c>
      <c r="I2192" t="s">
        <v>144</v>
      </c>
      <c r="J2192" t="s">
        <v>148</v>
      </c>
      <c r="K2192">
        <v>0</v>
      </c>
      <c r="L2192">
        <v>3</v>
      </c>
      <c r="M2192">
        <v>0</v>
      </c>
      <c r="N2192">
        <v>2</v>
      </c>
      <c r="O2192">
        <v>0</v>
      </c>
      <c r="P2192">
        <v>1</v>
      </c>
      <c r="Q2192">
        <v>0</v>
      </c>
      <c r="S2192" t="str">
        <f t="shared" si="784"/>
        <v>19:31:20.000</v>
      </c>
      <c r="T2192" t="str">
        <f t="shared" si="784"/>
        <v>19:31:20.000</v>
      </c>
      <c r="U2192" t="str">
        <f t="shared" si="778"/>
        <v>AC3944</v>
      </c>
      <c r="V2192">
        <v>0</v>
      </c>
      <c r="W2192">
        <v>0</v>
      </c>
      <c r="X2192">
        <v>2</v>
      </c>
      <c r="Y2192">
        <v>0</v>
      </c>
      <c r="AA2192">
        <v>1</v>
      </c>
      <c r="AB2192">
        <v>8</v>
      </c>
      <c r="AC2192">
        <v>3</v>
      </c>
      <c r="AD2192">
        <v>0</v>
      </c>
      <c r="AE2192">
        <v>9</v>
      </c>
      <c r="AF2192" t="s">
        <v>138</v>
      </c>
      <c r="AG2192">
        <v>0</v>
      </c>
      <c r="AH2192">
        <v>3</v>
      </c>
      <c r="AI2192">
        <v>1</v>
      </c>
      <c r="AJ2192">
        <v>0</v>
      </c>
      <c r="AK2192" t="s">
        <v>762</v>
      </c>
      <c r="AL2192">
        <v>32.770522</v>
      </c>
      <c r="AM2192" t="s">
        <v>763</v>
      </c>
      <c r="AN2192">
        <v>-116.818078</v>
      </c>
      <c r="AO2192">
        <v>25</v>
      </c>
      <c r="AP2192">
        <v>3000</v>
      </c>
      <c r="AQ2192" t="s">
        <v>129</v>
      </c>
      <c r="AR2192">
        <v>121</v>
      </c>
      <c r="AS2192">
        <v>-47</v>
      </c>
      <c r="AT2192">
        <v>64</v>
      </c>
      <c r="BB2192">
        <v>1200</v>
      </c>
      <c r="BC2192">
        <v>1</v>
      </c>
      <c r="BD2192" t="str">
        <f t="shared" si="779"/>
        <v xml:space="preserve">N887QR  </v>
      </c>
      <c r="BE2192">
        <v>1</v>
      </c>
      <c r="BJ2192">
        <v>2775</v>
      </c>
      <c r="BK2192">
        <v>-225</v>
      </c>
      <c r="BL2192" t="s">
        <v>163</v>
      </c>
      <c r="BM2192">
        <v>1</v>
      </c>
      <c r="BN2192">
        <v>1</v>
      </c>
      <c r="BO2192">
        <v>1</v>
      </c>
      <c r="BP2192">
        <v>0</v>
      </c>
      <c r="BS2192">
        <v>0.08</v>
      </c>
      <c r="BT2192">
        <v>0</v>
      </c>
      <c r="BU2192">
        <v>0</v>
      </c>
      <c r="CE2192" t="str">
        <f t="shared" si="785"/>
        <v>19:31:20.236</v>
      </c>
      <c r="CF2192">
        <v>236317938</v>
      </c>
      <c r="CS2192">
        <v>0</v>
      </c>
      <c r="CT2192">
        <v>2</v>
      </c>
      <c r="CU2192">
        <v>0</v>
      </c>
      <c r="CV2192">
        <v>2</v>
      </c>
      <c r="CW2192">
        <v>0</v>
      </c>
      <c r="CX2192">
        <v>5</v>
      </c>
      <c r="CY2192">
        <v>7</v>
      </c>
      <c r="CZ2192" t="s">
        <v>131</v>
      </c>
      <c r="DA2192">
        <v>300</v>
      </c>
      <c r="DB2192">
        <v>0</v>
      </c>
      <c r="DC2192" t="s">
        <v>176</v>
      </c>
      <c r="DD2192" t="s">
        <v>177</v>
      </c>
      <c r="DG2192">
        <v>5405153</v>
      </c>
      <c r="DI2192">
        <v>1</v>
      </c>
      <c r="DJ2192">
        <v>0</v>
      </c>
      <c r="DK2192">
        <v>1</v>
      </c>
      <c r="DL2192">
        <v>0</v>
      </c>
      <c r="DM2192">
        <v>0</v>
      </c>
      <c r="DN2192">
        <v>1</v>
      </c>
      <c r="DO2192">
        <v>0</v>
      </c>
      <c r="DP2192">
        <v>0</v>
      </c>
      <c r="DQ2192">
        <v>0</v>
      </c>
      <c r="DR2192">
        <v>0</v>
      </c>
      <c r="DS2192">
        <v>0</v>
      </c>
    </row>
    <row r="2193" spans="1:123" x14ac:dyDescent="0.3">
      <c r="A2193" t="str">
        <f>"10/04/2022 19:31:21.105"</f>
        <v>10/04/2022 19:31:21.105</v>
      </c>
      <c r="C2193" t="str">
        <f t="shared" si="769"/>
        <v>FFDDD3C0</v>
      </c>
      <c r="D2193" t="s">
        <v>134</v>
      </c>
      <c r="E2193">
        <v>15</v>
      </c>
      <c r="J2193" t="s">
        <v>135</v>
      </c>
      <c r="K2193">
        <v>0</v>
      </c>
      <c r="L2193">
        <v>3</v>
      </c>
      <c r="M2193">
        <v>0</v>
      </c>
      <c r="N2193">
        <v>2</v>
      </c>
      <c r="O2193">
        <v>0</v>
      </c>
      <c r="P2193">
        <v>1</v>
      </c>
      <c r="Q2193">
        <v>0</v>
      </c>
      <c r="S2193" t="str">
        <f t="shared" si="784"/>
        <v>19:31:20.000</v>
      </c>
      <c r="T2193" t="str">
        <f t="shared" si="784"/>
        <v>19:31:20.000</v>
      </c>
      <c r="U2193" t="str">
        <f t="shared" si="778"/>
        <v>AC3944</v>
      </c>
      <c r="V2193">
        <v>0</v>
      </c>
      <c r="W2193">
        <v>0</v>
      </c>
      <c r="X2193">
        <v>2</v>
      </c>
      <c r="Y2193">
        <v>0</v>
      </c>
      <c r="AA2193">
        <v>1</v>
      </c>
      <c r="AB2193">
        <v>8</v>
      </c>
      <c r="AC2193">
        <v>3</v>
      </c>
      <c r="AD2193">
        <v>0</v>
      </c>
      <c r="AE2193">
        <v>9</v>
      </c>
      <c r="AF2193" t="s">
        <v>138</v>
      </c>
      <c r="AG2193">
        <v>0</v>
      </c>
      <c r="AH2193">
        <v>3</v>
      </c>
      <c r="AI2193">
        <v>1</v>
      </c>
      <c r="AJ2193">
        <v>0</v>
      </c>
      <c r="AK2193" t="s">
        <v>764</v>
      </c>
      <c r="AL2193">
        <v>32.770307000000003</v>
      </c>
      <c r="AM2193" t="s">
        <v>765</v>
      </c>
      <c r="AN2193">
        <v>-116.817412</v>
      </c>
      <c r="AO2193">
        <v>25</v>
      </c>
      <c r="AP2193">
        <v>3000</v>
      </c>
      <c r="AQ2193" t="s">
        <v>129</v>
      </c>
      <c r="AR2193">
        <v>121</v>
      </c>
      <c r="AS2193">
        <v>-48</v>
      </c>
      <c r="AT2193">
        <v>64</v>
      </c>
      <c r="BB2193">
        <v>1200</v>
      </c>
      <c r="BC2193">
        <v>1</v>
      </c>
      <c r="BD2193" t="str">
        <f t="shared" si="779"/>
        <v xml:space="preserve">N887QR  </v>
      </c>
      <c r="BE2193">
        <v>1</v>
      </c>
      <c r="BJ2193">
        <v>2775</v>
      </c>
      <c r="BK2193">
        <v>-225</v>
      </c>
      <c r="BL2193" t="s">
        <v>163</v>
      </c>
      <c r="BM2193">
        <v>1</v>
      </c>
      <c r="BN2193">
        <v>1</v>
      </c>
      <c r="BO2193">
        <v>1</v>
      </c>
      <c r="BP2193">
        <v>0</v>
      </c>
      <c r="BS2193">
        <v>0.08</v>
      </c>
      <c r="BT2193">
        <v>0</v>
      </c>
      <c r="BU2193">
        <v>0</v>
      </c>
      <c r="CE2193" t="str">
        <f t="shared" ref="CE2193:CE2199" si="786">"19:31:20.910"</f>
        <v>19:31:20.910</v>
      </c>
      <c r="CF2193">
        <v>910070147</v>
      </c>
      <c r="CS2193">
        <v>0</v>
      </c>
      <c r="CT2193">
        <v>2</v>
      </c>
      <c r="CU2193">
        <v>0</v>
      </c>
      <c r="CV2193">
        <v>2</v>
      </c>
      <c r="CW2193">
        <v>0</v>
      </c>
      <c r="CX2193">
        <v>5</v>
      </c>
      <c r="CY2193">
        <v>7</v>
      </c>
      <c r="CZ2193" t="s">
        <v>131</v>
      </c>
      <c r="DA2193">
        <v>300</v>
      </c>
      <c r="DB2193">
        <v>0</v>
      </c>
      <c r="DC2193" t="s">
        <v>176</v>
      </c>
      <c r="DD2193" t="s">
        <v>177</v>
      </c>
      <c r="DG2193">
        <v>5405258</v>
      </c>
      <c r="DI2193">
        <v>1</v>
      </c>
      <c r="DJ2193">
        <v>0</v>
      </c>
      <c r="DK2193">
        <v>0</v>
      </c>
      <c r="DL2193">
        <v>0</v>
      </c>
      <c r="DM2193">
        <v>0</v>
      </c>
      <c r="DN2193">
        <v>1</v>
      </c>
      <c r="DO2193">
        <v>0</v>
      </c>
      <c r="DP2193">
        <v>0</v>
      </c>
      <c r="DQ2193">
        <v>0</v>
      </c>
      <c r="DR2193">
        <v>0</v>
      </c>
      <c r="DS2193">
        <v>0</v>
      </c>
    </row>
    <row r="2194" spans="1:123" x14ac:dyDescent="0.3">
      <c r="A2194" t="str">
        <f>"10/04/2022 19:31:21.353"</f>
        <v>10/04/2022 19:31:21.353</v>
      </c>
      <c r="C2194" t="str">
        <f t="shared" si="769"/>
        <v>FFDDD3C0</v>
      </c>
      <c r="D2194" t="s">
        <v>143</v>
      </c>
      <c r="E2194">
        <v>20</v>
      </c>
      <c r="F2194">
        <v>1020</v>
      </c>
      <c r="G2194" t="s">
        <v>144</v>
      </c>
      <c r="J2194" t="s">
        <v>145</v>
      </c>
      <c r="K2194">
        <v>0</v>
      </c>
      <c r="L2194">
        <v>3</v>
      </c>
      <c r="M2194">
        <v>0</v>
      </c>
      <c r="N2194">
        <v>2</v>
      </c>
      <c r="O2194">
        <v>0</v>
      </c>
      <c r="P2194">
        <v>1</v>
      </c>
      <c r="Q2194">
        <v>0</v>
      </c>
      <c r="S2194" t="str">
        <f t="shared" si="784"/>
        <v>19:31:20.000</v>
      </c>
      <c r="T2194" t="str">
        <f t="shared" si="784"/>
        <v>19:31:20.000</v>
      </c>
      <c r="U2194" t="str">
        <f t="shared" si="778"/>
        <v>AC3944</v>
      </c>
      <c r="V2194">
        <v>0</v>
      </c>
      <c r="W2194">
        <v>0</v>
      </c>
      <c r="X2194">
        <v>2</v>
      </c>
      <c r="Y2194">
        <v>0</v>
      </c>
      <c r="AA2194">
        <v>1</v>
      </c>
      <c r="AB2194">
        <v>8</v>
      </c>
      <c r="AC2194">
        <v>3</v>
      </c>
      <c r="AD2194">
        <v>0</v>
      </c>
      <c r="AE2194">
        <v>9</v>
      </c>
      <c r="AF2194" t="s">
        <v>138</v>
      </c>
      <c r="AG2194">
        <v>0</v>
      </c>
      <c r="AH2194">
        <v>3</v>
      </c>
      <c r="AI2194">
        <v>1</v>
      </c>
      <c r="AJ2194">
        <v>0</v>
      </c>
      <c r="AK2194" t="s">
        <v>764</v>
      </c>
      <c r="AL2194">
        <v>32.770307000000003</v>
      </c>
      <c r="AM2194" t="s">
        <v>765</v>
      </c>
      <c r="AN2194">
        <v>-116.817412</v>
      </c>
      <c r="AO2194">
        <v>25</v>
      </c>
      <c r="AP2194">
        <v>3000</v>
      </c>
      <c r="AQ2194" t="s">
        <v>129</v>
      </c>
      <c r="AR2194">
        <v>121</v>
      </c>
      <c r="AS2194">
        <v>-48</v>
      </c>
      <c r="AT2194">
        <v>64</v>
      </c>
      <c r="BB2194">
        <v>1200</v>
      </c>
      <c r="BC2194">
        <v>1</v>
      </c>
      <c r="BD2194" t="str">
        <f t="shared" si="779"/>
        <v xml:space="preserve">N887QR  </v>
      </c>
      <c r="BE2194">
        <v>1</v>
      </c>
      <c r="BJ2194">
        <v>2775</v>
      </c>
      <c r="BK2194">
        <v>-225</v>
      </c>
      <c r="BL2194" t="s">
        <v>163</v>
      </c>
      <c r="BM2194">
        <v>1</v>
      </c>
      <c r="BN2194">
        <v>1</v>
      </c>
      <c r="BO2194">
        <v>1</v>
      </c>
      <c r="BP2194">
        <v>0</v>
      </c>
      <c r="BS2194">
        <v>0.08</v>
      </c>
      <c r="BT2194">
        <v>0</v>
      </c>
      <c r="BU2194">
        <v>0</v>
      </c>
      <c r="CE2194" t="str">
        <f t="shared" si="786"/>
        <v>19:31:20.910</v>
      </c>
      <c r="CF2194">
        <v>910070147</v>
      </c>
      <c r="CS2194">
        <v>0</v>
      </c>
      <c r="CT2194">
        <v>2</v>
      </c>
      <c r="CU2194">
        <v>0</v>
      </c>
      <c r="CV2194">
        <v>2</v>
      </c>
      <c r="CW2194">
        <v>0</v>
      </c>
      <c r="CX2194">
        <v>5</v>
      </c>
      <c r="CY2194">
        <v>7</v>
      </c>
      <c r="CZ2194" t="s">
        <v>131</v>
      </c>
      <c r="DA2194">
        <v>300</v>
      </c>
      <c r="DB2194">
        <v>0</v>
      </c>
      <c r="DC2194" t="s">
        <v>176</v>
      </c>
      <c r="DD2194" t="s">
        <v>177</v>
      </c>
      <c r="DG2194">
        <v>5405258</v>
      </c>
      <c r="DI2194">
        <v>1</v>
      </c>
      <c r="DJ2194">
        <v>0</v>
      </c>
      <c r="DK2194">
        <v>1</v>
      </c>
      <c r="DL2194">
        <v>0</v>
      </c>
      <c r="DM2194">
        <v>0</v>
      </c>
      <c r="DN2194">
        <v>1</v>
      </c>
      <c r="DO2194">
        <v>0</v>
      </c>
      <c r="DP2194">
        <v>0</v>
      </c>
      <c r="DQ2194">
        <v>0</v>
      </c>
      <c r="DR2194">
        <v>0</v>
      </c>
      <c r="DS2194">
        <v>0</v>
      </c>
    </row>
    <row r="2195" spans="1:123" x14ac:dyDescent="0.3">
      <c r="A2195" t="str">
        <f>"10/04/2022 19:31:21.431"</f>
        <v>10/04/2022 19:31:21.431</v>
      </c>
      <c r="C2195" t="str">
        <f t="shared" si="769"/>
        <v>FFDDD3C0</v>
      </c>
      <c r="D2195" t="s">
        <v>123</v>
      </c>
      <c r="E2195">
        <v>7</v>
      </c>
      <c r="F2195">
        <v>2007</v>
      </c>
      <c r="G2195" t="s">
        <v>124</v>
      </c>
      <c r="J2195" t="s">
        <v>125</v>
      </c>
      <c r="K2195">
        <v>0</v>
      </c>
      <c r="L2195">
        <v>3</v>
      </c>
      <c r="M2195">
        <v>0</v>
      </c>
      <c r="N2195">
        <v>2</v>
      </c>
      <c r="O2195">
        <v>0</v>
      </c>
      <c r="P2195">
        <v>1</v>
      </c>
      <c r="Q2195">
        <v>0</v>
      </c>
      <c r="S2195" t="str">
        <f t="shared" si="784"/>
        <v>19:31:20.000</v>
      </c>
      <c r="T2195" t="str">
        <f t="shared" si="784"/>
        <v>19:31:20.000</v>
      </c>
      <c r="U2195" t="str">
        <f t="shared" si="778"/>
        <v>AC3944</v>
      </c>
      <c r="V2195">
        <v>0</v>
      </c>
      <c r="W2195">
        <v>0</v>
      </c>
      <c r="X2195">
        <v>2</v>
      </c>
      <c r="Y2195">
        <v>0</v>
      </c>
      <c r="AA2195">
        <v>1</v>
      </c>
      <c r="AB2195">
        <v>8</v>
      </c>
      <c r="AC2195">
        <v>3</v>
      </c>
      <c r="AD2195">
        <v>0</v>
      </c>
      <c r="AE2195">
        <v>9</v>
      </c>
      <c r="AF2195" t="s">
        <v>138</v>
      </c>
      <c r="AG2195">
        <v>0</v>
      </c>
      <c r="AH2195">
        <v>3</v>
      </c>
      <c r="AI2195">
        <v>1</v>
      </c>
      <c r="AJ2195">
        <v>0</v>
      </c>
      <c r="AK2195" t="s">
        <v>764</v>
      </c>
      <c r="AL2195">
        <v>32.770307000000003</v>
      </c>
      <c r="AM2195" t="s">
        <v>765</v>
      </c>
      <c r="AN2195">
        <v>-116.817412</v>
      </c>
      <c r="AO2195">
        <v>25</v>
      </c>
      <c r="AP2195">
        <v>3000</v>
      </c>
      <c r="AQ2195" t="s">
        <v>129</v>
      </c>
      <c r="AR2195">
        <v>121</v>
      </c>
      <c r="AS2195">
        <v>-48</v>
      </c>
      <c r="AT2195">
        <v>64</v>
      </c>
      <c r="BB2195">
        <v>1200</v>
      </c>
      <c r="BC2195">
        <v>1</v>
      </c>
      <c r="BD2195" t="str">
        <f t="shared" si="779"/>
        <v xml:space="preserve">N887QR  </v>
      </c>
      <c r="BE2195">
        <v>1</v>
      </c>
      <c r="BJ2195">
        <v>2775</v>
      </c>
      <c r="BK2195">
        <v>-225</v>
      </c>
      <c r="BL2195" t="s">
        <v>163</v>
      </c>
      <c r="BM2195">
        <v>1</v>
      </c>
      <c r="BN2195">
        <v>1</v>
      </c>
      <c r="BO2195">
        <v>1</v>
      </c>
      <c r="BP2195">
        <v>0</v>
      </c>
      <c r="BS2195">
        <v>0.08</v>
      </c>
      <c r="BT2195">
        <v>0</v>
      </c>
      <c r="BU2195">
        <v>0</v>
      </c>
      <c r="CE2195" t="str">
        <f t="shared" si="786"/>
        <v>19:31:20.910</v>
      </c>
      <c r="CF2195">
        <v>910070147</v>
      </c>
      <c r="CS2195">
        <v>0</v>
      </c>
      <c r="CT2195">
        <v>2</v>
      </c>
      <c r="CU2195">
        <v>0</v>
      </c>
      <c r="CV2195">
        <v>2</v>
      </c>
      <c r="CW2195">
        <v>0</v>
      </c>
      <c r="CX2195">
        <v>5</v>
      </c>
      <c r="CY2195">
        <v>7</v>
      </c>
      <c r="CZ2195" t="s">
        <v>131</v>
      </c>
      <c r="DA2195">
        <v>300</v>
      </c>
      <c r="DB2195">
        <v>0</v>
      </c>
      <c r="DC2195" t="s">
        <v>176</v>
      </c>
      <c r="DD2195" t="s">
        <v>177</v>
      </c>
      <c r="DG2195">
        <v>5405258</v>
      </c>
      <c r="DI2195">
        <v>1</v>
      </c>
      <c r="DJ2195">
        <v>0</v>
      </c>
      <c r="DK2195">
        <v>1</v>
      </c>
      <c r="DL2195">
        <v>0</v>
      </c>
      <c r="DM2195">
        <v>0</v>
      </c>
      <c r="DN2195">
        <v>1</v>
      </c>
      <c r="DO2195">
        <v>0</v>
      </c>
      <c r="DP2195">
        <v>0</v>
      </c>
      <c r="DQ2195">
        <v>0</v>
      </c>
      <c r="DR2195">
        <v>0</v>
      </c>
      <c r="DS2195">
        <v>0</v>
      </c>
    </row>
    <row r="2196" spans="1:123" x14ac:dyDescent="0.3">
      <c r="A2196" t="str">
        <f>"10/04/2022 19:31:21.431"</f>
        <v>10/04/2022 19:31:21.431</v>
      </c>
      <c r="C2196" t="str">
        <f t="shared" si="769"/>
        <v>FFDDD3C0</v>
      </c>
      <c r="D2196" t="s">
        <v>141</v>
      </c>
      <c r="E2196">
        <v>4</v>
      </c>
      <c r="H2196">
        <v>4</v>
      </c>
      <c r="I2196" t="s">
        <v>142</v>
      </c>
      <c r="J2196" t="s">
        <v>138</v>
      </c>
      <c r="K2196">
        <v>0</v>
      </c>
      <c r="L2196">
        <v>3</v>
      </c>
      <c r="M2196">
        <v>0</v>
      </c>
      <c r="N2196">
        <v>2</v>
      </c>
      <c r="O2196">
        <v>0</v>
      </c>
      <c r="P2196">
        <v>1</v>
      </c>
      <c r="Q2196">
        <v>0</v>
      </c>
      <c r="S2196" t="str">
        <f t="shared" si="784"/>
        <v>19:31:20.000</v>
      </c>
      <c r="T2196" t="str">
        <f t="shared" si="784"/>
        <v>19:31:20.000</v>
      </c>
      <c r="U2196" t="str">
        <f t="shared" si="778"/>
        <v>AC3944</v>
      </c>
      <c r="V2196">
        <v>0</v>
      </c>
      <c r="W2196">
        <v>0</v>
      </c>
      <c r="X2196">
        <v>2</v>
      </c>
      <c r="Y2196">
        <v>0</v>
      </c>
      <c r="AA2196">
        <v>1</v>
      </c>
      <c r="AB2196">
        <v>8</v>
      </c>
      <c r="AC2196">
        <v>3</v>
      </c>
      <c r="AD2196">
        <v>0</v>
      </c>
      <c r="AE2196">
        <v>9</v>
      </c>
      <c r="AF2196" t="s">
        <v>138</v>
      </c>
      <c r="AG2196">
        <v>0</v>
      </c>
      <c r="AH2196">
        <v>3</v>
      </c>
      <c r="AI2196">
        <v>1</v>
      </c>
      <c r="AJ2196">
        <v>0</v>
      </c>
      <c r="AK2196" t="s">
        <v>764</v>
      </c>
      <c r="AL2196">
        <v>32.770307000000003</v>
      </c>
      <c r="AM2196" t="s">
        <v>765</v>
      </c>
      <c r="AN2196">
        <v>-116.817412</v>
      </c>
      <c r="AO2196">
        <v>25</v>
      </c>
      <c r="AP2196">
        <v>3000</v>
      </c>
      <c r="AQ2196" t="s">
        <v>129</v>
      </c>
      <c r="AR2196">
        <v>121</v>
      </c>
      <c r="AS2196">
        <v>-48</v>
      </c>
      <c r="AT2196">
        <v>64</v>
      </c>
      <c r="BB2196">
        <v>1200</v>
      </c>
      <c r="BC2196">
        <v>1</v>
      </c>
      <c r="BD2196" t="str">
        <f t="shared" si="779"/>
        <v xml:space="preserve">N887QR  </v>
      </c>
      <c r="BE2196">
        <v>1</v>
      </c>
      <c r="BJ2196">
        <v>2775</v>
      </c>
      <c r="BK2196">
        <v>-225</v>
      </c>
      <c r="BL2196" t="s">
        <v>163</v>
      </c>
      <c r="BM2196">
        <v>1</v>
      </c>
      <c r="BN2196">
        <v>1</v>
      </c>
      <c r="BO2196">
        <v>1</v>
      </c>
      <c r="BP2196">
        <v>0</v>
      </c>
      <c r="BS2196">
        <v>0.08</v>
      </c>
      <c r="BT2196">
        <v>0</v>
      </c>
      <c r="BU2196">
        <v>0</v>
      </c>
      <c r="CE2196" t="str">
        <f t="shared" si="786"/>
        <v>19:31:20.910</v>
      </c>
      <c r="CF2196">
        <v>910070147</v>
      </c>
      <c r="CS2196">
        <v>0</v>
      </c>
      <c r="CT2196">
        <v>2</v>
      </c>
      <c r="CU2196">
        <v>0</v>
      </c>
      <c r="CV2196">
        <v>2</v>
      </c>
      <c r="CW2196">
        <v>0</v>
      </c>
      <c r="CX2196">
        <v>5</v>
      </c>
      <c r="CY2196">
        <v>7</v>
      </c>
      <c r="CZ2196" t="s">
        <v>131</v>
      </c>
      <c r="DA2196">
        <v>300</v>
      </c>
      <c r="DB2196">
        <v>0</v>
      </c>
      <c r="DC2196" t="s">
        <v>176</v>
      </c>
      <c r="DD2196" t="s">
        <v>177</v>
      </c>
      <c r="DG2196">
        <v>5405258</v>
      </c>
      <c r="DI2196">
        <v>1</v>
      </c>
      <c r="DJ2196">
        <v>0</v>
      </c>
      <c r="DK2196">
        <v>1</v>
      </c>
      <c r="DL2196">
        <v>0</v>
      </c>
      <c r="DM2196">
        <v>0</v>
      </c>
      <c r="DN2196">
        <v>1</v>
      </c>
      <c r="DO2196">
        <v>0</v>
      </c>
      <c r="DP2196">
        <v>0</v>
      </c>
      <c r="DQ2196">
        <v>0</v>
      </c>
      <c r="DR2196">
        <v>0</v>
      </c>
      <c r="DS2196">
        <v>0</v>
      </c>
    </row>
    <row r="2197" spans="1:123" x14ac:dyDescent="0.3">
      <c r="A2197" t="str">
        <f>"10/04/2022 19:31:21.431"</f>
        <v>10/04/2022 19:31:21.431</v>
      </c>
      <c r="C2197" t="str">
        <f t="shared" si="769"/>
        <v>FFDDD3C0</v>
      </c>
      <c r="D2197" t="s">
        <v>141</v>
      </c>
      <c r="E2197">
        <v>3</v>
      </c>
      <c r="H2197">
        <v>3</v>
      </c>
      <c r="I2197" t="s">
        <v>146</v>
      </c>
      <c r="J2197" t="s">
        <v>138</v>
      </c>
      <c r="K2197">
        <v>0</v>
      </c>
      <c r="L2197">
        <v>3</v>
      </c>
      <c r="M2197">
        <v>0</v>
      </c>
      <c r="N2197">
        <v>2</v>
      </c>
      <c r="O2197">
        <v>0</v>
      </c>
      <c r="P2197">
        <v>1</v>
      </c>
      <c r="Q2197">
        <v>0</v>
      </c>
      <c r="S2197" t="str">
        <f t="shared" si="784"/>
        <v>19:31:20.000</v>
      </c>
      <c r="T2197" t="str">
        <f t="shared" si="784"/>
        <v>19:31:20.000</v>
      </c>
      <c r="U2197" t="str">
        <f t="shared" si="778"/>
        <v>AC3944</v>
      </c>
      <c r="V2197">
        <v>0</v>
      </c>
      <c r="W2197">
        <v>0</v>
      </c>
      <c r="X2197">
        <v>2</v>
      </c>
      <c r="Y2197">
        <v>0</v>
      </c>
      <c r="AA2197">
        <v>1</v>
      </c>
      <c r="AB2197">
        <v>8</v>
      </c>
      <c r="AC2197">
        <v>3</v>
      </c>
      <c r="AD2197">
        <v>0</v>
      </c>
      <c r="AE2197">
        <v>9</v>
      </c>
      <c r="AF2197" t="s">
        <v>138</v>
      </c>
      <c r="AG2197">
        <v>0</v>
      </c>
      <c r="AH2197">
        <v>3</v>
      </c>
      <c r="AI2197">
        <v>1</v>
      </c>
      <c r="AJ2197">
        <v>0</v>
      </c>
      <c r="AK2197" t="s">
        <v>764</v>
      </c>
      <c r="AL2197">
        <v>32.770307000000003</v>
      </c>
      <c r="AM2197" t="s">
        <v>765</v>
      </c>
      <c r="AN2197">
        <v>-116.817412</v>
      </c>
      <c r="AO2197">
        <v>25</v>
      </c>
      <c r="AP2197">
        <v>3000</v>
      </c>
      <c r="AQ2197" t="s">
        <v>129</v>
      </c>
      <c r="AR2197">
        <v>121</v>
      </c>
      <c r="AS2197">
        <v>-48</v>
      </c>
      <c r="AT2197">
        <v>64</v>
      </c>
      <c r="BB2197">
        <v>1200</v>
      </c>
      <c r="BC2197">
        <v>1</v>
      </c>
      <c r="BD2197" t="str">
        <f t="shared" si="779"/>
        <v xml:space="preserve">N887QR  </v>
      </c>
      <c r="BE2197">
        <v>1</v>
      </c>
      <c r="BJ2197">
        <v>2775</v>
      </c>
      <c r="BK2197">
        <v>-225</v>
      </c>
      <c r="BL2197" t="s">
        <v>163</v>
      </c>
      <c r="BM2197">
        <v>1</v>
      </c>
      <c r="BN2197">
        <v>1</v>
      </c>
      <c r="BO2197">
        <v>1</v>
      </c>
      <c r="BP2197">
        <v>0</v>
      </c>
      <c r="BS2197">
        <v>0.08</v>
      </c>
      <c r="BT2197">
        <v>0</v>
      </c>
      <c r="BU2197">
        <v>0</v>
      </c>
      <c r="CE2197" t="str">
        <f t="shared" si="786"/>
        <v>19:31:20.910</v>
      </c>
      <c r="CF2197">
        <v>910070147</v>
      </c>
      <c r="CS2197">
        <v>0</v>
      </c>
      <c r="CT2197">
        <v>2</v>
      </c>
      <c r="CU2197">
        <v>0</v>
      </c>
      <c r="CV2197">
        <v>2</v>
      </c>
      <c r="CW2197">
        <v>0</v>
      </c>
      <c r="CX2197">
        <v>5</v>
      </c>
      <c r="CY2197">
        <v>7</v>
      </c>
      <c r="CZ2197" t="s">
        <v>131</v>
      </c>
      <c r="DA2197">
        <v>300</v>
      </c>
      <c r="DB2197">
        <v>0</v>
      </c>
      <c r="DC2197" t="s">
        <v>176</v>
      </c>
      <c r="DD2197" t="s">
        <v>177</v>
      </c>
      <c r="DG2197">
        <v>5405258</v>
      </c>
      <c r="DI2197">
        <v>1</v>
      </c>
      <c r="DJ2197">
        <v>0</v>
      </c>
      <c r="DK2197">
        <v>1</v>
      </c>
      <c r="DL2197">
        <v>0</v>
      </c>
      <c r="DM2197">
        <v>0</v>
      </c>
      <c r="DN2197">
        <v>1</v>
      </c>
      <c r="DO2197">
        <v>0</v>
      </c>
      <c r="DP2197">
        <v>0</v>
      </c>
      <c r="DQ2197">
        <v>0</v>
      </c>
      <c r="DR2197">
        <v>0</v>
      </c>
      <c r="DS2197">
        <v>0</v>
      </c>
    </row>
    <row r="2198" spans="1:123" x14ac:dyDescent="0.3">
      <c r="A2198" t="str">
        <f>"10/04/2022 19:31:21.431"</f>
        <v>10/04/2022 19:31:21.431</v>
      </c>
      <c r="C2198" t="str">
        <f t="shared" si="769"/>
        <v>FFDDD3C0</v>
      </c>
      <c r="D2198" t="s">
        <v>147</v>
      </c>
      <c r="E2198">
        <v>3</v>
      </c>
      <c r="H2198">
        <v>166</v>
      </c>
      <c r="I2198" t="s">
        <v>144</v>
      </c>
      <c r="J2198" t="s">
        <v>148</v>
      </c>
      <c r="K2198">
        <v>0</v>
      </c>
      <c r="L2198">
        <v>3</v>
      </c>
      <c r="M2198">
        <v>0</v>
      </c>
      <c r="N2198">
        <v>2</v>
      </c>
      <c r="O2198">
        <v>0</v>
      </c>
      <c r="P2198">
        <v>1</v>
      </c>
      <c r="Q2198">
        <v>0</v>
      </c>
      <c r="S2198" t="str">
        <f t="shared" si="784"/>
        <v>19:31:20.000</v>
      </c>
      <c r="T2198" t="str">
        <f t="shared" si="784"/>
        <v>19:31:20.000</v>
      </c>
      <c r="U2198" t="str">
        <f t="shared" si="778"/>
        <v>AC3944</v>
      </c>
      <c r="V2198">
        <v>0</v>
      </c>
      <c r="W2198">
        <v>0</v>
      </c>
      <c r="X2198">
        <v>2</v>
      </c>
      <c r="Y2198">
        <v>0</v>
      </c>
      <c r="AA2198">
        <v>1</v>
      </c>
      <c r="AB2198">
        <v>8</v>
      </c>
      <c r="AC2198">
        <v>3</v>
      </c>
      <c r="AD2198">
        <v>0</v>
      </c>
      <c r="AE2198">
        <v>9</v>
      </c>
      <c r="AF2198" t="s">
        <v>138</v>
      </c>
      <c r="AG2198">
        <v>0</v>
      </c>
      <c r="AH2198">
        <v>3</v>
      </c>
      <c r="AI2198">
        <v>1</v>
      </c>
      <c r="AJ2198">
        <v>0</v>
      </c>
      <c r="AK2198" t="s">
        <v>764</v>
      </c>
      <c r="AL2198">
        <v>32.770307000000003</v>
      </c>
      <c r="AM2198" t="s">
        <v>765</v>
      </c>
      <c r="AN2198">
        <v>-116.817412</v>
      </c>
      <c r="AO2198">
        <v>25</v>
      </c>
      <c r="AP2198">
        <v>3000</v>
      </c>
      <c r="AQ2198" t="s">
        <v>129</v>
      </c>
      <c r="AR2198">
        <v>121</v>
      </c>
      <c r="AS2198">
        <v>-48</v>
      </c>
      <c r="AT2198">
        <v>64</v>
      </c>
      <c r="BB2198">
        <v>1200</v>
      </c>
      <c r="BC2198">
        <v>1</v>
      </c>
      <c r="BD2198" t="str">
        <f t="shared" si="779"/>
        <v xml:space="preserve">N887QR  </v>
      </c>
      <c r="BE2198">
        <v>1</v>
      </c>
      <c r="BJ2198">
        <v>2775</v>
      </c>
      <c r="BK2198">
        <v>-225</v>
      </c>
      <c r="BL2198" t="s">
        <v>163</v>
      </c>
      <c r="BM2198">
        <v>1</v>
      </c>
      <c r="BN2198">
        <v>1</v>
      </c>
      <c r="BO2198">
        <v>1</v>
      </c>
      <c r="BP2198">
        <v>0</v>
      </c>
      <c r="BS2198">
        <v>0.08</v>
      </c>
      <c r="BT2198">
        <v>0</v>
      </c>
      <c r="BU2198">
        <v>0</v>
      </c>
      <c r="CE2198" t="str">
        <f t="shared" si="786"/>
        <v>19:31:20.910</v>
      </c>
      <c r="CF2198">
        <v>910070147</v>
      </c>
      <c r="CS2198">
        <v>0</v>
      </c>
      <c r="CT2198">
        <v>2</v>
      </c>
      <c r="CU2198">
        <v>0</v>
      </c>
      <c r="CV2198">
        <v>2</v>
      </c>
      <c r="CW2198">
        <v>0</v>
      </c>
      <c r="CX2198">
        <v>5</v>
      </c>
      <c r="CY2198">
        <v>7</v>
      </c>
      <c r="CZ2198" t="s">
        <v>131</v>
      </c>
      <c r="DA2198">
        <v>300</v>
      </c>
      <c r="DB2198">
        <v>0</v>
      </c>
      <c r="DC2198" t="s">
        <v>176</v>
      </c>
      <c r="DD2198" t="s">
        <v>177</v>
      </c>
      <c r="DG2198">
        <v>5405258</v>
      </c>
      <c r="DI2198">
        <v>1</v>
      </c>
      <c r="DJ2198">
        <v>0</v>
      </c>
      <c r="DK2198">
        <v>1</v>
      </c>
      <c r="DL2198">
        <v>0</v>
      </c>
      <c r="DM2198">
        <v>0</v>
      </c>
      <c r="DN2198">
        <v>1</v>
      </c>
      <c r="DO2198">
        <v>0</v>
      </c>
      <c r="DP2198">
        <v>0</v>
      </c>
      <c r="DQ2198">
        <v>0</v>
      </c>
      <c r="DR2198">
        <v>0</v>
      </c>
      <c r="DS2198">
        <v>0</v>
      </c>
    </row>
    <row r="2199" spans="1:123" x14ac:dyDescent="0.3">
      <c r="A2199" t="str">
        <f>"10/04/2022 19:31:21.431"</f>
        <v>10/04/2022 19:31:21.431</v>
      </c>
      <c r="C2199" t="str">
        <f t="shared" si="769"/>
        <v>FFDDD3C0</v>
      </c>
      <c r="D2199" t="s">
        <v>136</v>
      </c>
      <c r="E2199">
        <v>8</v>
      </c>
      <c r="H2199">
        <v>225</v>
      </c>
      <c r="I2199" t="s">
        <v>137</v>
      </c>
      <c r="J2199" t="s">
        <v>138</v>
      </c>
      <c r="K2199">
        <v>0</v>
      </c>
      <c r="L2199">
        <v>3</v>
      </c>
      <c r="M2199">
        <v>0</v>
      </c>
      <c r="N2199">
        <v>2</v>
      </c>
      <c r="O2199">
        <v>0</v>
      </c>
      <c r="P2199">
        <v>1</v>
      </c>
      <c r="Q2199">
        <v>0</v>
      </c>
      <c r="S2199" t="str">
        <f t="shared" si="784"/>
        <v>19:31:20.000</v>
      </c>
      <c r="T2199" t="str">
        <f t="shared" si="784"/>
        <v>19:31:20.000</v>
      </c>
      <c r="U2199" t="str">
        <f t="shared" si="778"/>
        <v>AC3944</v>
      </c>
      <c r="V2199">
        <v>0</v>
      </c>
      <c r="W2199">
        <v>0</v>
      </c>
      <c r="X2199">
        <v>2</v>
      </c>
      <c r="Y2199">
        <v>0</v>
      </c>
      <c r="AA2199">
        <v>1</v>
      </c>
      <c r="AB2199">
        <v>8</v>
      </c>
      <c r="AC2199">
        <v>3</v>
      </c>
      <c r="AD2199">
        <v>0</v>
      </c>
      <c r="AE2199">
        <v>9</v>
      </c>
      <c r="AF2199" t="s">
        <v>138</v>
      </c>
      <c r="AG2199">
        <v>0</v>
      </c>
      <c r="AH2199">
        <v>3</v>
      </c>
      <c r="AI2199">
        <v>1</v>
      </c>
      <c r="AJ2199">
        <v>0</v>
      </c>
      <c r="AK2199" t="s">
        <v>764</v>
      </c>
      <c r="AL2199">
        <v>32.770307000000003</v>
      </c>
      <c r="AM2199" t="s">
        <v>765</v>
      </c>
      <c r="AN2199">
        <v>-116.817412</v>
      </c>
      <c r="AO2199">
        <v>25</v>
      </c>
      <c r="AP2199">
        <v>3000</v>
      </c>
      <c r="AQ2199" t="s">
        <v>129</v>
      </c>
      <c r="AR2199">
        <v>121</v>
      </c>
      <c r="AS2199">
        <v>-48</v>
      </c>
      <c r="AT2199">
        <v>64</v>
      </c>
      <c r="BB2199">
        <v>1200</v>
      </c>
      <c r="BC2199">
        <v>1</v>
      </c>
      <c r="BD2199" t="str">
        <f t="shared" si="779"/>
        <v xml:space="preserve">N887QR  </v>
      </c>
      <c r="BE2199">
        <v>1</v>
      </c>
      <c r="BJ2199">
        <v>2775</v>
      </c>
      <c r="BK2199">
        <v>-225</v>
      </c>
      <c r="BL2199" t="s">
        <v>163</v>
      </c>
      <c r="BM2199">
        <v>1</v>
      </c>
      <c r="BN2199">
        <v>1</v>
      </c>
      <c r="BO2199">
        <v>1</v>
      </c>
      <c r="BP2199">
        <v>0</v>
      </c>
      <c r="BS2199">
        <v>0.08</v>
      </c>
      <c r="BT2199">
        <v>0</v>
      </c>
      <c r="BU2199">
        <v>0</v>
      </c>
      <c r="CE2199" t="str">
        <f t="shared" si="786"/>
        <v>19:31:20.910</v>
      </c>
      <c r="CF2199">
        <v>910070147</v>
      </c>
      <c r="CS2199">
        <v>0</v>
      </c>
      <c r="CT2199">
        <v>2</v>
      </c>
      <c r="CU2199">
        <v>0</v>
      </c>
      <c r="CV2199">
        <v>2</v>
      </c>
      <c r="CW2199">
        <v>0</v>
      </c>
      <c r="CX2199">
        <v>5</v>
      </c>
      <c r="CY2199">
        <v>7</v>
      </c>
      <c r="CZ2199" t="s">
        <v>131</v>
      </c>
      <c r="DA2199">
        <v>300</v>
      </c>
      <c r="DB2199">
        <v>0</v>
      </c>
      <c r="DC2199" t="s">
        <v>176</v>
      </c>
      <c r="DD2199" t="s">
        <v>177</v>
      </c>
      <c r="DG2199">
        <v>5405258</v>
      </c>
      <c r="DI2199">
        <v>1</v>
      </c>
      <c r="DJ2199">
        <v>0</v>
      </c>
      <c r="DK2199">
        <v>1</v>
      </c>
      <c r="DL2199">
        <v>0</v>
      </c>
      <c r="DM2199">
        <v>0</v>
      </c>
      <c r="DN2199">
        <v>1</v>
      </c>
      <c r="DO2199">
        <v>0</v>
      </c>
      <c r="DP2199">
        <v>0</v>
      </c>
      <c r="DQ2199">
        <v>0</v>
      </c>
      <c r="DR2199">
        <v>0</v>
      </c>
      <c r="DS2199">
        <v>0</v>
      </c>
    </row>
    <row r="2200" spans="1:123" x14ac:dyDescent="0.3">
      <c r="A2200" t="str">
        <f>"10/04/2022 19:31:22.463"</f>
        <v>10/04/2022 19:31:22.463</v>
      </c>
      <c r="C2200" t="str">
        <f t="shared" si="769"/>
        <v>FFDDD3C0</v>
      </c>
      <c r="D2200" t="s">
        <v>141</v>
      </c>
      <c r="E2200">
        <v>3</v>
      </c>
      <c r="H2200">
        <v>3</v>
      </c>
      <c r="I2200" t="s">
        <v>146</v>
      </c>
      <c r="J2200" t="s">
        <v>138</v>
      </c>
      <c r="K2200">
        <v>0</v>
      </c>
      <c r="L2200">
        <v>3</v>
      </c>
      <c r="M2200">
        <v>0</v>
      </c>
      <c r="N2200">
        <v>2</v>
      </c>
      <c r="O2200">
        <v>0</v>
      </c>
      <c r="P2200">
        <v>1</v>
      </c>
      <c r="Q2200">
        <v>0</v>
      </c>
      <c r="S2200" t="str">
        <f t="shared" ref="S2200:T2211" si="787">"19:31:22.000"</f>
        <v>19:31:22.000</v>
      </c>
      <c r="T2200" t="str">
        <f t="shared" si="787"/>
        <v>19:31:22.000</v>
      </c>
      <c r="U2200" t="str">
        <f t="shared" si="778"/>
        <v>AC3944</v>
      </c>
      <c r="V2200">
        <v>0</v>
      </c>
      <c r="W2200">
        <v>0</v>
      </c>
      <c r="X2200">
        <v>2</v>
      </c>
      <c r="Y2200">
        <v>0</v>
      </c>
      <c r="AA2200">
        <v>1</v>
      </c>
      <c r="AB2200">
        <v>8</v>
      </c>
      <c r="AC2200">
        <v>3</v>
      </c>
      <c r="AD2200">
        <v>0</v>
      </c>
      <c r="AE2200">
        <v>9</v>
      </c>
      <c r="AF2200" t="s">
        <v>138</v>
      </c>
      <c r="AG2200">
        <v>0</v>
      </c>
      <c r="AH2200">
        <v>3</v>
      </c>
      <c r="AI2200">
        <v>1</v>
      </c>
      <c r="AJ2200">
        <v>0</v>
      </c>
      <c r="AK2200" t="s">
        <v>766</v>
      </c>
      <c r="AL2200">
        <v>32.770091999999998</v>
      </c>
      <c r="AM2200" t="s">
        <v>767</v>
      </c>
      <c r="AN2200">
        <v>-116.81674700000001</v>
      </c>
      <c r="AO2200">
        <v>25</v>
      </c>
      <c r="AP2200">
        <v>3000</v>
      </c>
      <c r="AQ2200" t="s">
        <v>129</v>
      </c>
      <c r="AR2200">
        <v>121</v>
      </c>
      <c r="AS2200">
        <v>-49</v>
      </c>
      <c r="AT2200">
        <v>128</v>
      </c>
      <c r="BB2200">
        <v>1200</v>
      </c>
      <c r="BC2200">
        <v>1</v>
      </c>
      <c r="BD2200" t="str">
        <f t="shared" si="779"/>
        <v xml:space="preserve">N887QR  </v>
      </c>
      <c r="BE2200">
        <v>1</v>
      </c>
      <c r="BJ2200">
        <v>2775</v>
      </c>
      <c r="BK2200">
        <v>-225</v>
      </c>
      <c r="BL2200" t="s">
        <v>163</v>
      </c>
      <c r="BM2200">
        <v>1</v>
      </c>
      <c r="BN2200">
        <v>1</v>
      </c>
      <c r="BO2200">
        <v>1</v>
      </c>
      <c r="BP2200">
        <v>0</v>
      </c>
      <c r="BS2200">
        <v>0.08</v>
      </c>
      <c r="BT2200">
        <v>0</v>
      </c>
      <c r="BU2200">
        <v>0</v>
      </c>
      <c r="CE2200" t="str">
        <f t="shared" ref="CE2200:CE2206" si="788">"19:31:22.216"</f>
        <v>19:31:22.216</v>
      </c>
      <c r="CF2200">
        <v>216324607</v>
      </c>
      <c r="CS2200">
        <v>0</v>
      </c>
      <c r="CT2200">
        <v>2</v>
      </c>
      <c r="CU2200">
        <v>0</v>
      </c>
      <c r="CV2200">
        <v>2</v>
      </c>
      <c r="CW2200">
        <v>0</v>
      </c>
      <c r="CX2200">
        <v>5</v>
      </c>
      <c r="CY2200">
        <v>7</v>
      </c>
      <c r="CZ2200" t="s">
        <v>131</v>
      </c>
      <c r="DA2200">
        <v>300</v>
      </c>
      <c r="DB2200">
        <v>0</v>
      </c>
      <c r="DC2200" t="s">
        <v>176</v>
      </c>
      <c r="DD2200" t="s">
        <v>177</v>
      </c>
      <c r="DG2200">
        <v>5405464</v>
      </c>
      <c r="DI2200">
        <v>1</v>
      </c>
      <c r="DJ2200">
        <v>0</v>
      </c>
      <c r="DK2200">
        <v>0</v>
      </c>
      <c r="DL2200">
        <v>0</v>
      </c>
      <c r="DM2200">
        <v>0</v>
      </c>
      <c r="DN2200">
        <v>1</v>
      </c>
      <c r="DO2200">
        <v>0</v>
      </c>
      <c r="DP2200">
        <v>0</v>
      </c>
      <c r="DQ2200">
        <v>0</v>
      </c>
      <c r="DR2200">
        <v>0</v>
      </c>
      <c r="DS2200">
        <v>0</v>
      </c>
    </row>
    <row r="2201" spans="1:123" x14ac:dyDescent="0.3">
      <c r="A2201" t="str">
        <f>"10/04/2022 19:31:22.463"</f>
        <v>10/04/2022 19:31:22.463</v>
      </c>
      <c r="C2201" t="str">
        <f t="shared" si="769"/>
        <v>FFDDD3C0</v>
      </c>
      <c r="D2201" t="s">
        <v>136</v>
      </c>
      <c r="E2201">
        <v>8</v>
      </c>
      <c r="H2201">
        <v>225</v>
      </c>
      <c r="I2201" t="s">
        <v>137</v>
      </c>
      <c r="J2201" t="s">
        <v>138</v>
      </c>
      <c r="K2201">
        <v>0</v>
      </c>
      <c r="L2201">
        <v>3</v>
      </c>
      <c r="M2201">
        <v>0</v>
      </c>
      <c r="N2201">
        <v>2</v>
      </c>
      <c r="O2201">
        <v>0</v>
      </c>
      <c r="P2201">
        <v>1</v>
      </c>
      <c r="Q2201">
        <v>0</v>
      </c>
      <c r="S2201" t="str">
        <f t="shared" si="787"/>
        <v>19:31:22.000</v>
      </c>
      <c r="T2201" t="str">
        <f t="shared" si="787"/>
        <v>19:31:22.000</v>
      </c>
      <c r="U2201" t="str">
        <f t="shared" si="778"/>
        <v>AC3944</v>
      </c>
      <c r="V2201">
        <v>0</v>
      </c>
      <c r="W2201">
        <v>0</v>
      </c>
      <c r="X2201">
        <v>2</v>
      </c>
      <c r="Y2201">
        <v>0</v>
      </c>
      <c r="AA2201">
        <v>1</v>
      </c>
      <c r="AB2201">
        <v>8</v>
      </c>
      <c r="AC2201">
        <v>3</v>
      </c>
      <c r="AD2201">
        <v>0</v>
      </c>
      <c r="AE2201">
        <v>9</v>
      </c>
      <c r="AF2201" t="s">
        <v>138</v>
      </c>
      <c r="AG2201">
        <v>0</v>
      </c>
      <c r="AH2201">
        <v>3</v>
      </c>
      <c r="AI2201">
        <v>1</v>
      </c>
      <c r="AJ2201">
        <v>0</v>
      </c>
      <c r="AK2201" t="s">
        <v>766</v>
      </c>
      <c r="AL2201">
        <v>32.770091999999998</v>
      </c>
      <c r="AM2201" t="s">
        <v>767</v>
      </c>
      <c r="AN2201">
        <v>-116.81674700000001</v>
      </c>
      <c r="AO2201">
        <v>25</v>
      </c>
      <c r="AP2201">
        <v>3000</v>
      </c>
      <c r="AQ2201" t="s">
        <v>129</v>
      </c>
      <c r="AR2201">
        <v>121</v>
      </c>
      <c r="AS2201">
        <v>-49</v>
      </c>
      <c r="AT2201">
        <v>128</v>
      </c>
      <c r="BB2201">
        <v>1200</v>
      </c>
      <c r="BC2201">
        <v>1</v>
      </c>
      <c r="BD2201" t="str">
        <f t="shared" si="779"/>
        <v xml:space="preserve">N887QR  </v>
      </c>
      <c r="BE2201">
        <v>1</v>
      </c>
      <c r="BJ2201">
        <v>2775</v>
      </c>
      <c r="BK2201">
        <v>-225</v>
      </c>
      <c r="BL2201" t="s">
        <v>163</v>
      </c>
      <c r="BM2201">
        <v>1</v>
      </c>
      <c r="BN2201">
        <v>1</v>
      </c>
      <c r="BO2201">
        <v>1</v>
      </c>
      <c r="BP2201">
        <v>0</v>
      </c>
      <c r="BS2201">
        <v>0.08</v>
      </c>
      <c r="BT2201">
        <v>0</v>
      </c>
      <c r="BU2201">
        <v>0</v>
      </c>
      <c r="CE2201" t="str">
        <f t="shared" si="788"/>
        <v>19:31:22.216</v>
      </c>
      <c r="CF2201">
        <v>216324607</v>
      </c>
      <c r="CS2201">
        <v>0</v>
      </c>
      <c r="CT2201">
        <v>2</v>
      </c>
      <c r="CU2201">
        <v>0</v>
      </c>
      <c r="CV2201">
        <v>2</v>
      </c>
      <c r="CW2201">
        <v>0</v>
      </c>
      <c r="CX2201">
        <v>5</v>
      </c>
      <c r="CY2201">
        <v>7</v>
      </c>
      <c r="CZ2201" t="s">
        <v>131</v>
      </c>
      <c r="DA2201">
        <v>300</v>
      </c>
      <c r="DB2201">
        <v>0</v>
      </c>
      <c r="DC2201" t="s">
        <v>176</v>
      </c>
      <c r="DD2201" t="s">
        <v>177</v>
      </c>
      <c r="DG2201">
        <v>5405464</v>
      </c>
      <c r="DI2201">
        <v>1</v>
      </c>
      <c r="DJ2201">
        <v>0</v>
      </c>
      <c r="DK2201">
        <v>1</v>
      </c>
      <c r="DL2201">
        <v>0</v>
      </c>
      <c r="DM2201">
        <v>0</v>
      </c>
      <c r="DN2201">
        <v>1</v>
      </c>
      <c r="DO2201">
        <v>0</v>
      </c>
      <c r="DP2201">
        <v>0</v>
      </c>
      <c r="DQ2201">
        <v>0</v>
      </c>
      <c r="DR2201">
        <v>0</v>
      </c>
      <c r="DS2201">
        <v>0</v>
      </c>
    </row>
    <row r="2202" spans="1:123" x14ac:dyDescent="0.3">
      <c r="A2202" t="str">
        <f>"10/04/2022 19:31:22.463"</f>
        <v>10/04/2022 19:31:22.463</v>
      </c>
      <c r="C2202" t="str">
        <f t="shared" si="769"/>
        <v>FFDDD3C0</v>
      </c>
      <c r="D2202" t="s">
        <v>147</v>
      </c>
      <c r="E2202">
        <v>3</v>
      </c>
      <c r="H2202">
        <v>166</v>
      </c>
      <c r="I2202" t="s">
        <v>144</v>
      </c>
      <c r="J2202" t="s">
        <v>148</v>
      </c>
      <c r="K2202">
        <v>0</v>
      </c>
      <c r="L2202">
        <v>3</v>
      </c>
      <c r="M2202">
        <v>0</v>
      </c>
      <c r="N2202">
        <v>2</v>
      </c>
      <c r="O2202">
        <v>0</v>
      </c>
      <c r="P2202">
        <v>1</v>
      </c>
      <c r="Q2202">
        <v>0</v>
      </c>
      <c r="S2202" t="str">
        <f t="shared" si="787"/>
        <v>19:31:22.000</v>
      </c>
      <c r="T2202" t="str">
        <f t="shared" si="787"/>
        <v>19:31:22.000</v>
      </c>
      <c r="U2202" t="str">
        <f t="shared" si="778"/>
        <v>AC3944</v>
      </c>
      <c r="V2202">
        <v>0</v>
      </c>
      <c r="W2202">
        <v>0</v>
      </c>
      <c r="X2202">
        <v>2</v>
      </c>
      <c r="Y2202">
        <v>0</v>
      </c>
      <c r="AA2202">
        <v>1</v>
      </c>
      <c r="AB2202">
        <v>8</v>
      </c>
      <c r="AC2202">
        <v>3</v>
      </c>
      <c r="AD2202">
        <v>0</v>
      </c>
      <c r="AE2202">
        <v>9</v>
      </c>
      <c r="AF2202" t="s">
        <v>138</v>
      </c>
      <c r="AG2202">
        <v>0</v>
      </c>
      <c r="AH2202">
        <v>3</v>
      </c>
      <c r="AI2202">
        <v>1</v>
      </c>
      <c r="AJ2202">
        <v>0</v>
      </c>
      <c r="AK2202" t="s">
        <v>766</v>
      </c>
      <c r="AL2202">
        <v>32.770091999999998</v>
      </c>
      <c r="AM2202" t="s">
        <v>767</v>
      </c>
      <c r="AN2202">
        <v>-116.81674700000001</v>
      </c>
      <c r="AO2202">
        <v>25</v>
      </c>
      <c r="AP2202">
        <v>3000</v>
      </c>
      <c r="AQ2202" t="s">
        <v>129</v>
      </c>
      <c r="AR2202">
        <v>121</v>
      </c>
      <c r="AS2202">
        <v>-49</v>
      </c>
      <c r="AT2202">
        <v>128</v>
      </c>
      <c r="BB2202">
        <v>1200</v>
      </c>
      <c r="BC2202">
        <v>1</v>
      </c>
      <c r="BD2202" t="str">
        <f t="shared" si="779"/>
        <v xml:space="preserve">N887QR  </v>
      </c>
      <c r="BE2202">
        <v>1</v>
      </c>
      <c r="BJ2202">
        <v>2775</v>
      </c>
      <c r="BK2202">
        <v>-225</v>
      </c>
      <c r="BL2202" t="s">
        <v>163</v>
      </c>
      <c r="BM2202">
        <v>1</v>
      </c>
      <c r="BN2202">
        <v>1</v>
      </c>
      <c r="BO2202">
        <v>1</v>
      </c>
      <c r="BP2202">
        <v>0</v>
      </c>
      <c r="BS2202">
        <v>0.08</v>
      </c>
      <c r="BT2202">
        <v>0</v>
      </c>
      <c r="BU2202">
        <v>0</v>
      </c>
      <c r="CE2202" t="str">
        <f t="shared" si="788"/>
        <v>19:31:22.216</v>
      </c>
      <c r="CF2202">
        <v>216324607</v>
      </c>
      <c r="CS2202">
        <v>0</v>
      </c>
      <c r="CT2202">
        <v>2</v>
      </c>
      <c r="CU2202">
        <v>0</v>
      </c>
      <c r="CV2202">
        <v>2</v>
      </c>
      <c r="CW2202">
        <v>0</v>
      </c>
      <c r="CX2202">
        <v>5</v>
      </c>
      <c r="CY2202">
        <v>7</v>
      </c>
      <c r="CZ2202" t="s">
        <v>131</v>
      </c>
      <c r="DA2202">
        <v>300</v>
      </c>
      <c r="DB2202">
        <v>0</v>
      </c>
      <c r="DC2202" t="s">
        <v>176</v>
      </c>
      <c r="DD2202" t="s">
        <v>177</v>
      </c>
      <c r="DG2202">
        <v>5405464</v>
      </c>
      <c r="DI2202">
        <v>1</v>
      </c>
      <c r="DJ2202">
        <v>0</v>
      </c>
      <c r="DK2202">
        <v>1</v>
      </c>
      <c r="DL2202">
        <v>0</v>
      </c>
      <c r="DM2202">
        <v>0</v>
      </c>
      <c r="DN2202">
        <v>1</v>
      </c>
      <c r="DO2202">
        <v>0</v>
      </c>
      <c r="DP2202">
        <v>0</v>
      </c>
      <c r="DQ2202">
        <v>0</v>
      </c>
      <c r="DR2202">
        <v>0</v>
      </c>
      <c r="DS2202">
        <v>0</v>
      </c>
    </row>
    <row r="2203" spans="1:123" x14ac:dyDescent="0.3">
      <c r="A2203" t="str">
        <f>"10/04/2022 19:31:22.478"</f>
        <v>10/04/2022 19:31:22.478</v>
      </c>
      <c r="C2203" t="str">
        <f t="shared" si="769"/>
        <v>FFDDD3C0</v>
      </c>
      <c r="D2203" t="s">
        <v>134</v>
      </c>
      <c r="E2203">
        <v>15</v>
      </c>
      <c r="J2203" t="s">
        <v>135</v>
      </c>
      <c r="K2203">
        <v>0</v>
      </c>
      <c r="L2203">
        <v>3</v>
      </c>
      <c r="M2203">
        <v>0</v>
      </c>
      <c r="N2203">
        <v>2</v>
      </c>
      <c r="O2203">
        <v>0</v>
      </c>
      <c r="P2203">
        <v>1</v>
      </c>
      <c r="Q2203">
        <v>0</v>
      </c>
      <c r="S2203" t="str">
        <f t="shared" si="787"/>
        <v>19:31:22.000</v>
      </c>
      <c r="T2203" t="str">
        <f t="shared" si="787"/>
        <v>19:31:22.000</v>
      </c>
      <c r="U2203" t="str">
        <f t="shared" si="778"/>
        <v>AC3944</v>
      </c>
      <c r="V2203">
        <v>0</v>
      </c>
      <c r="W2203">
        <v>0</v>
      </c>
      <c r="X2203">
        <v>2</v>
      </c>
      <c r="Y2203">
        <v>0</v>
      </c>
      <c r="AA2203">
        <v>1</v>
      </c>
      <c r="AB2203">
        <v>8</v>
      </c>
      <c r="AC2203">
        <v>3</v>
      </c>
      <c r="AD2203">
        <v>0</v>
      </c>
      <c r="AE2203">
        <v>9</v>
      </c>
      <c r="AF2203" t="s">
        <v>138</v>
      </c>
      <c r="AG2203">
        <v>0</v>
      </c>
      <c r="AH2203">
        <v>3</v>
      </c>
      <c r="AI2203">
        <v>1</v>
      </c>
      <c r="AJ2203">
        <v>0</v>
      </c>
      <c r="AK2203" t="s">
        <v>766</v>
      </c>
      <c r="AL2203">
        <v>32.770091999999998</v>
      </c>
      <c r="AM2203" t="s">
        <v>767</v>
      </c>
      <c r="AN2203">
        <v>-116.81674700000001</v>
      </c>
      <c r="AO2203">
        <v>25</v>
      </c>
      <c r="AP2203">
        <v>3000</v>
      </c>
      <c r="AQ2203" t="s">
        <v>129</v>
      </c>
      <c r="AR2203">
        <v>121</v>
      </c>
      <c r="AS2203">
        <v>-49</v>
      </c>
      <c r="AT2203">
        <v>128</v>
      </c>
      <c r="BB2203">
        <v>1200</v>
      </c>
      <c r="BC2203">
        <v>1</v>
      </c>
      <c r="BD2203" t="str">
        <f t="shared" si="779"/>
        <v xml:space="preserve">N887QR  </v>
      </c>
      <c r="BE2203">
        <v>1</v>
      </c>
      <c r="BJ2203">
        <v>2775</v>
      </c>
      <c r="BK2203">
        <v>-225</v>
      </c>
      <c r="BL2203" t="s">
        <v>163</v>
      </c>
      <c r="BM2203">
        <v>1</v>
      </c>
      <c r="BN2203">
        <v>1</v>
      </c>
      <c r="BO2203">
        <v>1</v>
      </c>
      <c r="BP2203">
        <v>0</v>
      </c>
      <c r="BS2203">
        <v>0.08</v>
      </c>
      <c r="BT2203">
        <v>0</v>
      </c>
      <c r="BU2203">
        <v>0</v>
      </c>
      <c r="CE2203" t="str">
        <f t="shared" si="788"/>
        <v>19:31:22.216</v>
      </c>
      <c r="CF2203">
        <v>216324607</v>
      </c>
      <c r="CS2203">
        <v>0</v>
      </c>
      <c r="CT2203">
        <v>2</v>
      </c>
      <c r="CU2203">
        <v>0</v>
      </c>
      <c r="CV2203">
        <v>2</v>
      </c>
      <c r="CW2203">
        <v>0</v>
      </c>
      <c r="CX2203">
        <v>5</v>
      </c>
      <c r="CY2203">
        <v>7</v>
      </c>
      <c r="CZ2203" t="s">
        <v>131</v>
      </c>
      <c r="DA2203">
        <v>300</v>
      </c>
      <c r="DB2203">
        <v>0</v>
      </c>
      <c r="DC2203" t="s">
        <v>176</v>
      </c>
      <c r="DD2203" t="s">
        <v>177</v>
      </c>
      <c r="DG2203">
        <v>5405464</v>
      </c>
      <c r="DI2203">
        <v>1</v>
      </c>
      <c r="DJ2203">
        <v>0</v>
      </c>
      <c r="DK2203">
        <v>1</v>
      </c>
      <c r="DL2203">
        <v>0</v>
      </c>
      <c r="DM2203">
        <v>0</v>
      </c>
      <c r="DN2203">
        <v>1</v>
      </c>
      <c r="DO2203">
        <v>0</v>
      </c>
      <c r="DP2203">
        <v>0</v>
      </c>
      <c r="DQ2203">
        <v>0</v>
      </c>
      <c r="DR2203">
        <v>0</v>
      </c>
      <c r="DS2203">
        <v>0</v>
      </c>
    </row>
    <row r="2204" spans="1:123" x14ac:dyDescent="0.3">
      <c r="A2204" t="str">
        <f>"10/04/2022 19:31:22.525"</f>
        <v>10/04/2022 19:31:22.525</v>
      </c>
      <c r="C2204" t="str">
        <f t="shared" si="769"/>
        <v>FFDDD3C0</v>
      </c>
      <c r="D2204" t="s">
        <v>143</v>
      </c>
      <c r="E2204">
        <v>20</v>
      </c>
      <c r="F2204">
        <v>1020</v>
      </c>
      <c r="G2204" t="s">
        <v>144</v>
      </c>
      <c r="J2204" t="s">
        <v>145</v>
      </c>
      <c r="K2204">
        <v>0</v>
      </c>
      <c r="L2204">
        <v>3</v>
      </c>
      <c r="M2204">
        <v>0</v>
      </c>
      <c r="N2204">
        <v>2</v>
      </c>
      <c r="O2204">
        <v>0</v>
      </c>
      <c r="P2204">
        <v>1</v>
      </c>
      <c r="Q2204">
        <v>0</v>
      </c>
      <c r="S2204" t="str">
        <f t="shared" si="787"/>
        <v>19:31:22.000</v>
      </c>
      <c r="T2204" t="str">
        <f t="shared" si="787"/>
        <v>19:31:22.000</v>
      </c>
      <c r="U2204" t="str">
        <f t="shared" si="778"/>
        <v>AC3944</v>
      </c>
      <c r="V2204">
        <v>0</v>
      </c>
      <c r="W2204">
        <v>0</v>
      </c>
      <c r="X2204">
        <v>2</v>
      </c>
      <c r="Y2204">
        <v>0</v>
      </c>
      <c r="AA2204">
        <v>1</v>
      </c>
      <c r="AB2204">
        <v>8</v>
      </c>
      <c r="AC2204">
        <v>3</v>
      </c>
      <c r="AD2204">
        <v>0</v>
      </c>
      <c r="AE2204">
        <v>9</v>
      </c>
      <c r="AF2204" t="s">
        <v>138</v>
      </c>
      <c r="AG2204">
        <v>0</v>
      </c>
      <c r="AH2204">
        <v>3</v>
      </c>
      <c r="AI2204">
        <v>1</v>
      </c>
      <c r="AJ2204">
        <v>0</v>
      </c>
      <c r="AK2204" t="s">
        <v>766</v>
      </c>
      <c r="AL2204">
        <v>32.770091999999998</v>
      </c>
      <c r="AM2204" t="s">
        <v>767</v>
      </c>
      <c r="AN2204">
        <v>-116.81674700000001</v>
      </c>
      <c r="AO2204">
        <v>25</v>
      </c>
      <c r="AP2204">
        <v>3000</v>
      </c>
      <c r="AQ2204" t="s">
        <v>129</v>
      </c>
      <c r="AR2204">
        <v>121</v>
      </c>
      <c r="AS2204">
        <v>-49</v>
      </c>
      <c r="AT2204">
        <v>128</v>
      </c>
      <c r="BB2204">
        <v>1200</v>
      </c>
      <c r="BC2204">
        <v>1</v>
      </c>
      <c r="BD2204" t="str">
        <f t="shared" si="779"/>
        <v xml:space="preserve">N887QR  </v>
      </c>
      <c r="BE2204">
        <v>1</v>
      </c>
      <c r="BJ2204">
        <v>2775</v>
      </c>
      <c r="BK2204">
        <v>-225</v>
      </c>
      <c r="BL2204" t="s">
        <v>163</v>
      </c>
      <c r="BM2204">
        <v>1</v>
      </c>
      <c r="BN2204">
        <v>1</v>
      </c>
      <c r="BO2204">
        <v>1</v>
      </c>
      <c r="BP2204">
        <v>0</v>
      </c>
      <c r="BS2204">
        <v>0.08</v>
      </c>
      <c r="BT2204">
        <v>0</v>
      </c>
      <c r="BU2204">
        <v>0</v>
      </c>
      <c r="CE2204" t="str">
        <f t="shared" si="788"/>
        <v>19:31:22.216</v>
      </c>
      <c r="CF2204">
        <v>216324607</v>
      </c>
      <c r="CS2204">
        <v>0</v>
      </c>
      <c r="CT2204">
        <v>2</v>
      </c>
      <c r="CU2204">
        <v>0</v>
      </c>
      <c r="CV2204">
        <v>2</v>
      </c>
      <c r="CW2204">
        <v>0</v>
      </c>
      <c r="CX2204">
        <v>5</v>
      </c>
      <c r="CY2204">
        <v>7</v>
      </c>
      <c r="CZ2204" t="s">
        <v>131</v>
      </c>
      <c r="DA2204">
        <v>300</v>
      </c>
      <c r="DB2204">
        <v>0</v>
      </c>
      <c r="DC2204" t="s">
        <v>176</v>
      </c>
      <c r="DD2204" t="s">
        <v>177</v>
      </c>
      <c r="DG2204">
        <v>5405464</v>
      </c>
      <c r="DI2204">
        <v>1</v>
      </c>
      <c r="DJ2204">
        <v>0</v>
      </c>
      <c r="DK2204">
        <v>1</v>
      </c>
      <c r="DL2204">
        <v>0</v>
      </c>
      <c r="DM2204">
        <v>0</v>
      </c>
      <c r="DN2204">
        <v>1</v>
      </c>
      <c r="DO2204">
        <v>0</v>
      </c>
      <c r="DP2204">
        <v>0</v>
      </c>
      <c r="DQ2204">
        <v>0</v>
      </c>
      <c r="DR2204">
        <v>0</v>
      </c>
      <c r="DS2204">
        <v>0</v>
      </c>
    </row>
    <row r="2205" spans="1:123" x14ac:dyDescent="0.3">
      <c r="A2205" t="str">
        <f>"10/04/2022 19:31:22.541"</f>
        <v>10/04/2022 19:31:22.541</v>
      </c>
      <c r="C2205" t="str">
        <f t="shared" si="769"/>
        <v>FFDDD3C0</v>
      </c>
      <c r="D2205" t="s">
        <v>141</v>
      </c>
      <c r="E2205">
        <v>4</v>
      </c>
      <c r="H2205">
        <v>4</v>
      </c>
      <c r="I2205" t="s">
        <v>142</v>
      </c>
      <c r="J2205" t="s">
        <v>138</v>
      </c>
      <c r="K2205">
        <v>0</v>
      </c>
      <c r="L2205">
        <v>3</v>
      </c>
      <c r="M2205">
        <v>0</v>
      </c>
      <c r="N2205">
        <v>2</v>
      </c>
      <c r="O2205">
        <v>0</v>
      </c>
      <c r="P2205">
        <v>1</v>
      </c>
      <c r="Q2205">
        <v>0</v>
      </c>
      <c r="S2205" t="str">
        <f t="shared" si="787"/>
        <v>19:31:22.000</v>
      </c>
      <c r="T2205" t="str">
        <f t="shared" si="787"/>
        <v>19:31:22.000</v>
      </c>
      <c r="U2205" t="str">
        <f t="shared" si="778"/>
        <v>AC3944</v>
      </c>
      <c r="V2205">
        <v>0</v>
      </c>
      <c r="W2205">
        <v>0</v>
      </c>
      <c r="X2205">
        <v>2</v>
      </c>
      <c r="Y2205">
        <v>0</v>
      </c>
      <c r="AA2205">
        <v>1</v>
      </c>
      <c r="AB2205">
        <v>8</v>
      </c>
      <c r="AC2205">
        <v>3</v>
      </c>
      <c r="AD2205">
        <v>0</v>
      </c>
      <c r="AE2205">
        <v>9</v>
      </c>
      <c r="AF2205" t="s">
        <v>138</v>
      </c>
      <c r="AG2205">
        <v>0</v>
      </c>
      <c r="AH2205">
        <v>3</v>
      </c>
      <c r="AI2205">
        <v>1</v>
      </c>
      <c r="AJ2205">
        <v>0</v>
      </c>
      <c r="AK2205" t="s">
        <v>766</v>
      </c>
      <c r="AL2205">
        <v>32.770091999999998</v>
      </c>
      <c r="AM2205" t="s">
        <v>767</v>
      </c>
      <c r="AN2205">
        <v>-116.81674700000001</v>
      </c>
      <c r="AO2205">
        <v>25</v>
      </c>
      <c r="AP2205">
        <v>3000</v>
      </c>
      <c r="AQ2205" t="s">
        <v>129</v>
      </c>
      <c r="AR2205">
        <v>121</v>
      </c>
      <c r="AS2205">
        <v>-49</v>
      </c>
      <c r="AT2205">
        <v>128</v>
      </c>
      <c r="BB2205">
        <v>1200</v>
      </c>
      <c r="BC2205">
        <v>1</v>
      </c>
      <c r="BD2205" t="str">
        <f t="shared" si="779"/>
        <v xml:space="preserve">N887QR  </v>
      </c>
      <c r="BE2205">
        <v>1</v>
      </c>
      <c r="BJ2205">
        <v>2775</v>
      </c>
      <c r="BK2205">
        <v>-225</v>
      </c>
      <c r="BL2205" t="s">
        <v>163</v>
      </c>
      <c r="BM2205">
        <v>1</v>
      </c>
      <c r="BN2205">
        <v>1</v>
      </c>
      <c r="BO2205">
        <v>1</v>
      </c>
      <c r="BP2205">
        <v>0</v>
      </c>
      <c r="BS2205">
        <v>0.08</v>
      </c>
      <c r="BT2205">
        <v>0</v>
      </c>
      <c r="BU2205">
        <v>0</v>
      </c>
      <c r="CE2205" t="str">
        <f t="shared" si="788"/>
        <v>19:31:22.216</v>
      </c>
      <c r="CF2205">
        <v>216324607</v>
      </c>
      <c r="CS2205">
        <v>0</v>
      </c>
      <c r="CT2205">
        <v>2</v>
      </c>
      <c r="CU2205">
        <v>0</v>
      </c>
      <c r="CV2205">
        <v>2</v>
      </c>
      <c r="CW2205">
        <v>0</v>
      </c>
      <c r="CX2205">
        <v>5</v>
      </c>
      <c r="CY2205">
        <v>7</v>
      </c>
      <c r="CZ2205" t="s">
        <v>131</v>
      </c>
      <c r="DA2205">
        <v>300</v>
      </c>
      <c r="DB2205">
        <v>0</v>
      </c>
      <c r="DC2205" t="s">
        <v>176</v>
      </c>
      <c r="DD2205" t="s">
        <v>177</v>
      </c>
      <c r="DG2205">
        <v>5405464</v>
      </c>
      <c r="DI2205">
        <v>1</v>
      </c>
      <c r="DJ2205">
        <v>0</v>
      </c>
      <c r="DK2205">
        <v>0</v>
      </c>
      <c r="DL2205">
        <v>0</v>
      </c>
      <c r="DM2205">
        <v>0</v>
      </c>
      <c r="DN2205">
        <v>1</v>
      </c>
      <c r="DO2205">
        <v>0</v>
      </c>
      <c r="DP2205">
        <v>0</v>
      </c>
      <c r="DQ2205">
        <v>0</v>
      </c>
      <c r="DR2205">
        <v>0</v>
      </c>
      <c r="DS2205">
        <v>0</v>
      </c>
    </row>
    <row r="2206" spans="1:123" x14ac:dyDescent="0.3">
      <c r="A2206" t="str">
        <f>"10/04/2022 19:31:22.525"</f>
        <v>10/04/2022 19:31:22.525</v>
      </c>
      <c r="C2206" t="str">
        <f t="shared" si="769"/>
        <v>FFDDD3C0</v>
      </c>
      <c r="D2206" t="s">
        <v>123</v>
      </c>
      <c r="E2206">
        <v>7</v>
      </c>
      <c r="F2206">
        <v>2007</v>
      </c>
      <c r="G2206" t="s">
        <v>124</v>
      </c>
      <c r="J2206" t="s">
        <v>125</v>
      </c>
      <c r="K2206">
        <v>0</v>
      </c>
      <c r="L2206">
        <v>3</v>
      </c>
      <c r="M2206">
        <v>0</v>
      </c>
      <c r="N2206">
        <v>2</v>
      </c>
      <c r="O2206">
        <v>0</v>
      </c>
      <c r="P2206">
        <v>1</v>
      </c>
      <c r="Q2206">
        <v>0</v>
      </c>
      <c r="S2206" t="str">
        <f t="shared" si="787"/>
        <v>19:31:22.000</v>
      </c>
      <c r="T2206" t="str">
        <f t="shared" si="787"/>
        <v>19:31:22.000</v>
      </c>
      <c r="U2206" t="str">
        <f t="shared" si="778"/>
        <v>AC3944</v>
      </c>
      <c r="V2206">
        <v>0</v>
      </c>
      <c r="W2206">
        <v>0</v>
      </c>
      <c r="X2206">
        <v>2</v>
      </c>
      <c r="Y2206">
        <v>0</v>
      </c>
      <c r="AA2206">
        <v>1</v>
      </c>
      <c r="AB2206">
        <v>8</v>
      </c>
      <c r="AC2206">
        <v>3</v>
      </c>
      <c r="AD2206">
        <v>0</v>
      </c>
      <c r="AE2206">
        <v>9</v>
      </c>
      <c r="AF2206" t="s">
        <v>138</v>
      </c>
      <c r="AG2206">
        <v>0</v>
      </c>
      <c r="AH2206">
        <v>3</v>
      </c>
      <c r="AI2206">
        <v>1</v>
      </c>
      <c r="AJ2206">
        <v>0</v>
      </c>
      <c r="AK2206" t="s">
        <v>766</v>
      </c>
      <c r="AL2206">
        <v>32.770091999999998</v>
      </c>
      <c r="AM2206" t="s">
        <v>767</v>
      </c>
      <c r="AN2206">
        <v>-116.81674700000001</v>
      </c>
      <c r="AO2206">
        <v>25</v>
      </c>
      <c r="AP2206">
        <v>3000</v>
      </c>
      <c r="AQ2206" t="s">
        <v>129</v>
      </c>
      <c r="AR2206">
        <v>121</v>
      </c>
      <c r="AS2206">
        <v>-49</v>
      </c>
      <c r="AT2206">
        <v>128</v>
      </c>
      <c r="BB2206">
        <v>1200</v>
      </c>
      <c r="BC2206">
        <v>1</v>
      </c>
      <c r="BD2206" t="str">
        <f t="shared" si="779"/>
        <v xml:space="preserve">N887QR  </v>
      </c>
      <c r="BE2206">
        <v>1</v>
      </c>
      <c r="BJ2206">
        <v>2775</v>
      </c>
      <c r="BK2206">
        <v>-225</v>
      </c>
      <c r="BL2206" t="s">
        <v>163</v>
      </c>
      <c r="BM2206">
        <v>1</v>
      </c>
      <c r="BN2206">
        <v>1</v>
      </c>
      <c r="BO2206">
        <v>1</v>
      </c>
      <c r="BP2206">
        <v>0</v>
      </c>
      <c r="BS2206">
        <v>0.08</v>
      </c>
      <c r="BT2206">
        <v>0</v>
      </c>
      <c r="BU2206">
        <v>0</v>
      </c>
      <c r="CE2206" t="str">
        <f t="shared" si="788"/>
        <v>19:31:22.216</v>
      </c>
      <c r="CF2206">
        <v>216324607</v>
      </c>
      <c r="CS2206">
        <v>0</v>
      </c>
      <c r="CT2206">
        <v>2</v>
      </c>
      <c r="CU2206">
        <v>0</v>
      </c>
      <c r="CV2206">
        <v>2</v>
      </c>
      <c r="CW2206">
        <v>0</v>
      </c>
      <c r="CX2206">
        <v>5</v>
      </c>
      <c r="CY2206">
        <v>7</v>
      </c>
      <c r="CZ2206" t="s">
        <v>131</v>
      </c>
      <c r="DA2206">
        <v>300</v>
      </c>
      <c r="DB2206">
        <v>0</v>
      </c>
      <c r="DC2206" t="s">
        <v>176</v>
      </c>
      <c r="DD2206" t="s">
        <v>177</v>
      </c>
      <c r="DG2206">
        <v>5405464</v>
      </c>
      <c r="DI2206">
        <v>1</v>
      </c>
      <c r="DJ2206">
        <v>0</v>
      </c>
      <c r="DK2206">
        <v>1</v>
      </c>
      <c r="DL2206">
        <v>0</v>
      </c>
      <c r="DM2206">
        <v>0</v>
      </c>
      <c r="DN2206">
        <v>1</v>
      </c>
      <c r="DO2206">
        <v>0</v>
      </c>
      <c r="DP2206">
        <v>0</v>
      </c>
      <c r="DQ2206">
        <v>0</v>
      </c>
      <c r="DR2206">
        <v>0</v>
      </c>
      <c r="DS2206">
        <v>0</v>
      </c>
    </row>
    <row r="2207" spans="1:123" x14ac:dyDescent="0.3">
      <c r="A2207" t="str">
        <f>"10/04/2022 19:31:23.338"</f>
        <v>10/04/2022 19:31:23.338</v>
      </c>
      <c r="C2207" t="str">
        <f t="shared" si="769"/>
        <v>FFDDD3C0</v>
      </c>
      <c r="D2207" t="s">
        <v>141</v>
      </c>
      <c r="E2207">
        <v>3</v>
      </c>
      <c r="H2207">
        <v>3</v>
      </c>
      <c r="I2207" t="s">
        <v>146</v>
      </c>
      <c r="J2207" t="s">
        <v>138</v>
      </c>
      <c r="K2207">
        <v>0</v>
      </c>
      <c r="L2207">
        <v>3</v>
      </c>
      <c r="M2207">
        <v>0</v>
      </c>
      <c r="N2207">
        <v>2</v>
      </c>
      <c r="O2207">
        <v>0</v>
      </c>
      <c r="P2207">
        <v>1</v>
      </c>
      <c r="Q2207">
        <v>0</v>
      </c>
      <c r="S2207" t="str">
        <f t="shared" si="787"/>
        <v>19:31:22.000</v>
      </c>
      <c r="T2207" t="str">
        <f t="shared" si="787"/>
        <v>19:31:22.000</v>
      </c>
      <c r="U2207" t="str">
        <f t="shared" si="778"/>
        <v>AC3944</v>
      </c>
      <c r="V2207">
        <v>0</v>
      </c>
      <c r="W2207">
        <v>0</v>
      </c>
      <c r="X2207">
        <v>2</v>
      </c>
      <c r="Y2207">
        <v>0</v>
      </c>
      <c r="AA2207">
        <v>1</v>
      </c>
      <c r="AB2207">
        <v>8</v>
      </c>
      <c r="AC2207">
        <v>3</v>
      </c>
      <c r="AD2207">
        <v>0</v>
      </c>
      <c r="AE2207">
        <v>9</v>
      </c>
      <c r="AF2207" t="s">
        <v>138</v>
      </c>
      <c r="AG2207">
        <v>0</v>
      </c>
      <c r="AH2207">
        <v>3</v>
      </c>
      <c r="AI2207">
        <v>1</v>
      </c>
      <c r="AJ2207">
        <v>0</v>
      </c>
      <c r="AK2207" t="s">
        <v>768</v>
      </c>
      <c r="AL2207">
        <v>32.769855999999997</v>
      </c>
      <c r="AM2207" t="s">
        <v>769</v>
      </c>
      <c r="AN2207">
        <v>-116.81608199999999</v>
      </c>
      <c r="AO2207">
        <v>25</v>
      </c>
      <c r="AP2207">
        <v>3100</v>
      </c>
      <c r="AQ2207" t="s">
        <v>129</v>
      </c>
      <c r="AR2207">
        <v>120</v>
      </c>
      <c r="AS2207">
        <v>-50</v>
      </c>
      <c r="AT2207">
        <v>128</v>
      </c>
      <c r="BB2207">
        <v>1200</v>
      </c>
      <c r="BC2207">
        <v>1</v>
      </c>
      <c r="BD2207" t="str">
        <f t="shared" si="779"/>
        <v xml:space="preserve">N887QR  </v>
      </c>
      <c r="BE2207">
        <v>1</v>
      </c>
      <c r="BJ2207">
        <v>2775</v>
      </c>
      <c r="BK2207">
        <v>-325</v>
      </c>
      <c r="BL2207" t="s">
        <v>163</v>
      </c>
      <c r="BM2207">
        <v>1</v>
      </c>
      <c r="BN2207">
        <v>1</v>
      </c>
      <c r="BO2207">
        <v>1</v>
      </c>
      <c r="BP2207">
        <v>0</v>
      </c>
      <c r="BS2207">
        <v>0.08</v>
      </c>
      <c r="BT2207">
        <v>0</v>
      </c>
      <c r="BU2207">
        <v>0</v>
      </c>
      <c r="CE2207" t="str">
        <f>"19:31:22.885"</f>
        <v>19:31:22.885</v>
      </c>
      <c r="CF2207">
        <v>884826818</v>
      </c>
      <c r="CS2207">
        <v>0</v>
      </c>
      <c r="CT2207">
        <v>2</v>
      </c>
      <c r="CU2207">
        <v>0</v>
      </c>
      <c r="CV2207">
        <v>2</v>
      </c>
      <c r="CW2207">
        <v>0</v>
      </c>
      <c r="CX2207">
        <v>5</v>
      </c>
      <c r="CY2207">
        <v>7</v>
      </c>
      <c r="CZ2207" t="s">
        <v>131</v>
      </c>
      <c r="DA2207">
        <v>300</v>
      </c>
      <c r="DB2207">
        <v>0</v>
      </c>
      <c r="DC2207" t="s">
        <v>176</v>
      </c>
      <c r="DD2207" t="s">
        <v>177</v>
      </c>
      <c r="DG2207">
        <v>5405574</v>
      </c>
      <c r="DI2207">
        <v>1</v>
      </c>
      <c r="DJ2207">
        <v>0</v>
      </c>
      <c r="DK2207">
        <v>0</v>
      </c>
      <c r="DL2207">
        <v>0</v>
      </c>
      <c r="DM2207">
        <v>0</v>
      </c>
      <c r="DN2207">
        <v>1</v>
      </c>
      <c r="DO2207">
        <v>0</v>
      </c>
      <c r="DP2207">
        <v>0</v>
      </c>
      <c r="DQ2207">
        <v>0</v>
      </c>
      <c r="DR2207">
        <v>0</v>
      </c>
      <c r="DS2207">
        <v>0</v>
      </c>
    </row>
    <row r="2208" spans="1:123" x14ac:dyDescent="0.3">
      <c r="A2208" t="str">
        <f>"10/04/2022 19:31:23.338"</f>
        <v>10/04/2022 19:31:23.338</v>
      </c>
      <c r="C2208" t="str">
        <f t="shared" si="769"/>
        <v>FFDDD3C0</v>
      </c>
      <c r="D2208" t="s">
        <v>136</v>
      </c>
      <c r="E2208">
        <v>8</v>
      </c>
      <c r="H2208">
        <v>225</v>
      </c>
      <c r="I2208" t="s">
        <v>137</v>
      </c>
      <c r="J2208" t="s">
        <v>138</v>
      </c>
      <c r="K2208">
        <v>0</v>
      </c>
      <c r="L2208">
        <v>3</v>
      </c>
      <c r="M2208">
        <v>0</v>
      </c>
      <c r="N2208">
        <v>2</v>
      </c>
      <c r="O2208">
        <v>0</v>
      </c>
      <c r="P2208">
        <v>1</v>
      </c>
      <c r="Q2208">
        <v>0</v>
      </c>
      <c r="S2208" t="str">
        <f t="shared" si="787"/>
        <v>19:31:22.000</v>
      </c>
      <c r="T2208" t="str">
        <f t="shared" si="787"/>
        <v>19:31:22.000</v>
      </c>
      <c r="U2208" t="str">
        <f t="shared" si="778"/>
        <v>AC3944</v>
      </c>
      <c r="V2208">
        <v>0</v>
      </c>
      <c r="W2208">
        <v>0</v>
      </c>
      <c r="X2208">
        <v>2</v>
      </c>
      <c r="Y2208">
        <v>0</v>
      </c>
      <c r="AA2208">
        <v>1</v>
      </c>
      <c r="AB2208">
        <v>8</v>
      </c>
      <c r="AC2208">
        <v>3</v>
      </c>
      <c r="AD2208">
        <v>0</v>
      </c>
      <c r="AE2208">
        <v>9</v>
      </c>
      <c r="AF2208" t="s">
        <v>138</v>
      </c>
      <c r="AG2208">
        <v>0</v>
      </c>
      <c r="AH2208">
        <v>3</v>
      </c>
      <c r="AI2208">
        <v>1</v>
      </c>
      <c r="AJ2208">
        <v>0</v>
      </c>
      <c r="AK2208" t="s">
        <v>768</v>
      </c>
      <c r="AL2208">
        <v>32.769855999999997</v>
      </c>
      <c r="AM2208" t="s">
        <v>769</v>
      </c>
      <c r="AN2208">
        <v>-116.81608199999999</v>
      </c>
      <c r="AO2208">
        <v>25</v>
      </c>
      <c r="AP2208">
        <v>3100</v>
      </c>
      <c r="AQ2208" t="s">
        <v>129</v>
      </c>
      <c r="AR2208">
        <v>120</v>
      </c>
      <c r="AS2208">
        <v>-50</v>
      </c>
      <c r="AT2208">
        <v>128</v>
      </c>
      <c r="BB2208">
        <v>1200</v>
      </c>
      <c r="BC2208">
        <v>1</v>
      </c>
      <c r="BD2208" t="str">
        <f t="shared" si="779"/>
        <v xml:space="preserve">N887QR  </v>
      </c>
      <c r="BE2208">
        <v>1</v>
      </c>
      <c r="BJ2208">
        <v>2775</v>
      </c>
      <c r="BK2208">
        <v>-325</v>
      </c>
      <c r="BL2208" t="s">
        <v>163</v>
      </c>
      <c r="BM2208">
        <v>1</v>
      </c>
      <c r="BN2208">
        <v>1</v>
      </c>
      <c r="BO2208">
        <v>1</v>
      </c>
      <c r="BP2208">
        <v>0</v>
      </c>
      <c r="BS2208">
        <v>0.08</v>
      </c>
      <c r="BT2208">
        <v>0</v>
      </c>
      <c r="BU2208">
        <v>0</v>
      </c>
      <c r="CE2208" t="str">
        <f>"19:31:22.885"</f>
        <v>19:31:22.885</v>
      </c>
      <c r="CF2208">
        <v>884826818</v>
      </c>
      <c r="CS2208">
        <v>0</v>
      </c>
      <c r="CT2208">
        <v>2</v>
      </c>
      <c r="CU2208">
        <v>0</v>
      </c>
      <c r="CV2208">
        <v>2</v>
      </c>
      <c r="CW2208">
        <v>0</v>
      </c>
      <c r="CX2208">
        <v>5</v>
      </c>
      <c r="CY2208">
        <v>7</v>
      </c>
      <c r="CZ2208" t="s">
        <v>131</v>
      </c>
      <c r="DA2208">
        <v>300</v>
      </c>
      <c r="DB2208">
        <v>0</v>
      </c>
      <c r="DC2208" t="s">
        <v>176</v>
      </c>
      <c r="DD2208" t="s">
        <v>177</v>
      </c>
      <c r="DG2208">
        <v>5405574</v>
      </c>
      <c r="DI2208">
        <v>1</v>
      </c>
      <c r="DJ2208">
        <v>0</v>
      </c>
      <c r="DK2208">
        <v>1</v>
      </c>
      <c r="DL2208">
        <v>0</v>
      </c>
      <c r="DM2208">
        <v>0</v>
      </c>
      <c r="DN2208">
        <v>1</v>
      </c>
      <c r="DO2208">
        <v>0</v>
      </c>
      <c r="DP2208">
        <v>0</v>
      </c>
      <c r="DQ2208">
        <v>0</v>
      </c>
      <c r="DR2208">
        <v>0</v>
      </c>
      <c r="DS2208">
        <v>0</v>
      </c>
    </row>
    <row r="2209" spans="1:123" x14ac:dyDescent="0.3">
      <c r="A2209" t="str">
        <f>"10/04/2022 19:31:23.338"</f>
        <v>10/04/2022 19:31:23.338</v>
      </c>
      <c r="C2209" t="str">
        <f t="shared" si="769"/>
        <v>FFDDD3C0</v>
      </c>
      <c r="D2209" t="s">
        <v>147</v>
      </c>
      <c r="E2209">
        <v>3</v>
      </c>
      <c r="H2209">
        <v>166</v>
      </c>
      <c r="I2209" t="s">
        <v>144</v>
      </c>
      <c r="J2209" t="s">
        <v>148</v>
      </c>
      <c r="K2209">
        <v>0</v>
      </c>
      <c r="L2209">
        <v>3</v>
      </c>
      <c r="M2209">
        <v>0</v>
      </c>
      <c r="N2209">
        <v>2</v>
      </c>
      <c r="O2209">
        <v>0</v>
      </c>
      <c r="P2209">
        <v>1</v>
      </c>
      <c r="Q2209">
        <v>0</v>
      </c>
      <c r="S2209" t="str">
        <f t="shared" si="787"/>
        <v>19:31:22.000</v>
      </c>
      <c r="T2209" t="str">
        <f t="shared" si="787"/>
        <v>19:31:22.000</v>
      </c>
      <c r="U2209" t="str">
        <f t="shared" si="778"/>
        <v>AC3944</v>
      </c>
      <c r="V2209">
        <v>0</v>
      </c>
      <c r="W2209">
        <v>0</v>
      </c>
      <c r="X2209">
        <v>2</v>
      </c>
      <c r="Y2209">
        <v>0</v>
      </c>
      <c r="AA2209">
        <v>1</v>
      </c>
      <c r="AB2209">
        <v>8</v>
      </c>
      <c r="AC2209">
        <v>3</v>
      </c>
      <c r="AD2209">
        <v>0</v>
      </c>
      <c r="AE2209">
        <v>9</v>
      </c>
      <c r="AF2209" t="s">
        <v>138</v>
      </c>
      <c r="AG2209">
        <v>0</v>
      </c>
      <c r="AH2209">
        <v>3</v>
      </c>
      <c r="AI2209">
        <v>1</v>
      </c>
      <c r="AJ2209">
        <v>0</v>
      </c>
      <c r="AK2209" t="s">
        <v>768</v>
      </c>
      <c r="AL2209">
        <v>32.769855999999997</v>
      </c>
      <c r="AM2209" t="s">
        <v>769</v>
      </c>
      <c r="AN2209">
        <v>-116.81608199999999</v>
      </c>
      <c r="AO2209">
        <v>25</v>
      </c>
      <c r="AP2209">
        <v>3100</v>
      </c>
      <c r="AQ2209" t="s">
        <v>129</v>
      </c>
      <c r="AR2209">
        <v>120</v>
      </c>
      <c r="AS2209">
        <v>-50</v>
      </c>
      <c r="AT2209">
        <v>128</v>
      </c>
      <c r="BB2209">
        <v>1200</v>
      </c>
      <c r="BC2209">
        <v>1</v>
      </c>
      <c r="BD2209" t="str">
        <f t="shared" si="779"/>
        <v xml:space="preserve">N887QR  </v>
      </c>
      <c r="BE2209">
        <v>1</v>
      </c>
      <c r="BJ2209">
        <v>2775</v>
      </c>
      <c r="BK2209">
        <v>-325</v>
      </c>
      <c r="BL2209" t="s">
        <v>163</v>
      </c>
      <c r="BM2209">
        <v>1</v>
      </c>
      <c r="BN2209">
        <v>1</v>
      </c>
      <c r="BO2209">
        <v>1</v>
      </c>
      <c r="BP2209">
        <v>0</v>
      </c>
      <c r="BS2209">
        <v>0.08</v>
      </c>
      <c r="BT2209">
        <v>0</v>
      </c>
      <c r="BU2209">
        <v>0</v>
      </c>
      <c r="CE2209" t="str">
        <f>"19:31:22.885"</f>
        <v>19:31:22.885</v>
      </c>
      <c r="CF2209">
        <v>884826818</v>
      </c>
      <c r="CS2209">
        <v>0</v>
      </c>
      <c r="CT2209">
        <v>2</v>
      </c>
      <c r="CU2209">
        <v>0</v>
      </c>
      <c r="CV2209">
        <v>2</v>
      </c>
      <c r="CW2209">
        <v>0</v>
      </c>
      <c r="CX2209">
        <v>5</v>
      </c>
      <c r="CY2209">
        <v>7</v>
      </c>
      <c r="CZ2209" t="s">
        <v>131</v>
      </c>
      <c r="DA2209">
        <v>300</v>
      </c>
      <c r="DB2209">
        <v>0</v>
      </c>
      <c r="DC2209" t="s">
        <v>176</v>
      </c>
      <c r="DD2209" t="s">
        <v>177</v>
      </c>
      <c r="DG2209">
        <v>5405574</v>
      </c>
      <c r="DI2209">
        <v>1</v>
      </c>
      <c r="DJ2209">
        <v>0</v>
      </c>
      <c r="DK2209">
        <v>1</v>
      </c>
      <c r="DL2209">
        <v>0</v>
      </c>
      <c r="DM2209">
        <v>0</v>
      </c>
      <c r="DN2209">
        <v>1</v>
      </c>
      <c r="DO2209">
        <v>0</v>
      </c>
      <c r="DP2209">
        <v>0</v>
      </c>
      <c r="DQ2209">
        <v>0</v>
      </c>
      <c r="DR2209">
        <v>0</v>
      </c>
      <c r="DS2209">
        <v>0</v>
      </c>
    </row>
    <row r="2210" spans="1:123" x14ac:dyDescent="0.3">
      <c r="A2210" t="str">
        <f>"10/04/2022 19:31:23.338"</f>
        <v>10/04/2022 19:31:23.338</v>
      </c>
      <c r="C2210" t="str">
        <f t="shared" si="769"/>
        <v>FFDDD3C0</v>
      </c>
      <c r="D2210" t="s">
        <v>134</v>
      </c>
      <c r="E2210">
        <v>15</v>
      </c>
      <c r="J2210" t="s">
        <v>135</v>
      </c>
      <c r="K2210">
        <v>0</v>
      </c>
      <c r="L2210">
        <v>3</v>
      </c>
      <c r="M2210">
        <v>0</v>
      </c>
      <c r="N2210">
        <v>2</v>
      </c>
      <c r="O2210">
        <v>0</v>
      </c>
      <c r="P2210">
        <v>1</v>
      </c>
      <c r="Q2210">
        <v>0</v>
      </c>
      <c r="S2210" t="str">
        <f t="shared" si="787"/>
        <v>19:31:22.000</v>
      </c>
      <c r="T2210" t="str">
        <f t="shared" si="787"/>
        <v>19:31:22.000</v>
      </c>
      <c r="U2210" t="str">
        <f t="shared" si="778"/>
        <v>AC3944</v>
      </c>
      <c r="V2210">
        <v>0</v>
      </c>
      <c r="W2210">
        <v>0</v>
      </c>
      <c r="X2210">
        <v>2</v>
      </c>
      <c r="Y2210">
        <v>0</v>
      </c>
      <c r="AA2210">
        <v>1</v>
      </c>
      <c r="AB2210">
        <v>8</v>
      </c>
      <c r="AC2210">
        <v>3</v>
      </c>
      <c r="AD2210">
        <v>0</v>
      </c>
      <c r="AE2210">
        <v>9</v>
      </c>
      <c r="AF2210" t="s">
        <v>138</v>
      </c>
      <c r="AG2210">
        <v>0</v>
      </c>
      <c r="AH2210">
        <v>3</v>
      </c>
      <c r="AI2210">
        <v>1</v>
      </c>
      <c r="AJ2210">
        <v>0</v>
      </c>
      <c r="AK2210" t="s">
        <v>768</v>
      </c>
      <c r="AL2210">
        <v>32.769855999999997</v>
      </c>
      <c r="AM2210" t="s">
        <v>769</v>
      </c>
      <c r="AN2210">
        <v>-116.81608199999999</v>
      </c>
      <c r="AO2210">
        <v>25</v>
      </c>
      <c r="AP2210">
        <v>3100</v>
      </c>
      <c r="AQ2210" t="s">
        <v>129</v>
      </c>
      <c r="AR2210">
        <v>120</v>
      </c>
      <c r="AS2210">
        <v>-50</v>
      </c>
      <c r="AT2210">
        <v>128</v>
      </c>
      <c r="BB2210">
        <v>1200</v>
      </c>
      <c r="BC2210">
        <v>1</v>
      </c>
      <c r="BD2210" t="str">
        <f t="shared" si="779"/>
        <v xml:space="preserve">N887QR  </v>
      </c>
      <c r="BE2210">
        <v>1</v>
      </c>
      <c r="BJ2210">
        <v>2775</v>
      </c>
      <c r="BK2210">
        <v>-325</v>
      </c>
      <c r="BL2210" t="s">
        <v>163</v>
      </c>
      <c r="BM2210">
        <v>1</v>
      </c>
      <c r="BN2210">
        <v>1</v>
      </c>
      <c r="BO2210">
        <v>1</v>
      </c>
      <c r="BP2210">
        <v>0</v>
      </c>
      <c r="BS2210">
        <v>0.08</v>
      </c>
      <c r="BT2210">
        <v>0</v>
      </c>
      <c r="BU2210">
        <v>0</v>
      </c>
      <c r="CE2210" t="str">
        <f>"19:31:22.885"</f>
        <v>19:31:22.885</v>
      </c>
      <c r="CF2210">
        <v>884826818</v>
      </c>
      <c r="CS2210">
        <v>0</v>
      </c>
      <c r="CT2210">
        <v>2</v>
      </c>
      <c r="CU2210">
        <v>0</v>
      </c>
      <c r="CV2210">
        <v>2</v>
      </c>
      <c r="CW2210">
        <v>0</v>
      </c>
      <c r="CX2210">
        <v>5</v>
      </c>
      <c r="CY2210">
        <v>7</v>
      </c>
      <c r="CZ2210" t="s">
        <v>131</v>
      </c>
      <c r="DA2210">
        <v>300</v>
      </c>
      <c r="DB2210">
        <v>0</v>
      </c>
      <c r="DC2210" t="s">
        <v>176</v>
      </c>
      <c r="DD2210" t="s">
        <v>177</v>
      </c>
      <c r="DG2210">
        <v>5405574</v>
      </c>
      <c r="DI2210">
        <v>1</v>
      </c>
      <c r="DJ2210">
        <v>0</v>
      </c>
      <c r="DK2210">
        <v>1</v>
      </c>
      <c r="DL2210">
        <v>0</v>
      </c>
      <c r="DM2210">
        <v>0</v>
      </c>
      <c r="DN2210">
        <v>1</v>
      </c>
      <c r="DO2210">
        <v>0</v>
      </c>
      <c r="DP2210">
        <v>0</v>
      </c>
      <c r="DQ2210">
        <v>0</v>
      </c>
      <c r="DR2210">
        <v>0</v>
      </c>
      <c r="DS2210">
        <v>0</v>
      </c>
    </row>
    <row r="2211" spans="1:123" x14ac:dyDescent="0.3">
      <c r="A2211" t="str">
        <f>"10/04/2022 19:31:23.338"</f>
        <v>10/04/2022 19:31:23.338</v>
      </c>
      <c r="C2211" t="str">
        <f t="shared" si="769"/>
        <v>FFDDD3C0</v>
      </c>
      <c r="D2211" t="s">
        <v>143</v>
      </c>
      <c r="E2211">
        <v>20</v>
      </c>
      <c r="F2211">
        <v>1020</v>
      </c>
      <c r="G2211" t="s">
        <v>144</v>
      </c>
      <c r="J2211" t="s">
        <v>145</v>
      </c>
      <c r="K2211">
        <v>0</v>
      </c>
      <c r="L2211">
        <v>3</v>
      </c>
      <c r="M2211">
        <v>0</v>
      </c>
      <c r="N2211">
        <v>2</v>
      </c>
      <c r="O2211">
        <v>0</v>
      </c>
      <c r="P2211">
        <v>1</v>
      </c>
      <c r="Q2211">
        <v>0</v>
      </c>
      <c r="S2211" t="str">
        <f t="shared" si="787"/>
        <v>19:31:22.000</v>
      </c>
      <c r="T2211" t="str">
        <f t="shared" si="787"/>
        <v>19:31:22.000</v>
      </c>
      <c r="U2211" t="str">
        <f t="shared" si="778"/>
        <v>AC3944</v>
      </c>
      <c r="V2211">
        <v>0</v>
      </c>
      <c r="W2211">
        <v>0</v>
      </c>
      <c r="X2211">
        <v>2</v>
      </c>
      <c r="Y2211">
        <v>0</v>
      </c>
      <c r="AA2211">
        <v>1</v>
      </c>
      <c r="AB2211">
        <v>8</v>
      </c>
      <c r="AC2211">
        <v>3</v>
      </c>
      <c r="AD2211">
        <v>0</v>
      </c>
      <c r="AE2211">
        <v>9</v>
      </c>
      <c r="AF2211" t="s">
        <v>138</v>
      </c>
      <c r="AG2211">
        <v>0</v>
      </c>
      <c r="AH2211">
        <v>3</v>
      </c>
      <c r="AI2211">
        <v>1</v>
      </c>
      <c r="AJ2211">
        <v>0</v>
      </c>
      <c r="AK2211" t="s">
        <v>768</v>
      </c>
      <c r="AL2211">
        <v>32.769855999999997</v>
      </c>
      <c r="AM2211" t="s">
        <v>769</v>
      </c>
      <c r="AN2211">
        <v>-116.81608199999999</v>
      </c>
      <c r="AO2211">
        <v>25</v>
      </c>
      <c r="AP2211">
        <v>3100</v>
      </c>
      <c r="AQ2211" t="s">
        <v>129</v>
      </c>
      <c r="AR2211">
        <v>120</v>
      </c>
      <c r="AS2211">
        <v>-50</v>
      </c>
      <c r="AT2211">
        <v>128</v>
      </c>
      <c r="BB2211">
        <v>1200</v>
      </c>
      <c r="BC2211">
        <v>1</v>
      </c>
      <c r="BD2211" t="str">
        <f t="shared" si="779"/>
        <v xml:space="preserve">N887QR  </v>
      </c>
      <c r="BE2211">
        <v>1</v>
      </c>
      <c r="BJ2211">
        <v>2775</v>
      </c>
      <c r="BK2211">
        <v>-325</v>
      </c>
      <c r="BL2211" t="s">
        <v>163</v>
      </c>
      <c r="BM2211">
        <v>1</v>
      </c>
      <c r="BN2211">
        <v>1</v>
      </c>
      <c r="BO2211">
        <v>1</v>
      </c>
      <c r="BP2211">
        <v>0</v>
      </c>
      <c r="BS2211">
        <v>0.08</v>
      </c>
      <c r="BT2211">
        <v>0</v>
      </c>
      <c r="BU2211">
        <v>0</v>
      </c>
      <c r="CE2211" t="str">
        <f>"19:31:22.885"</f>
        <v>19:31:22.885</v>
      </c>
      <c r="CF2211">
        <v>884826818</v>
      </c>
      <c r="CS2211">
        <v>0</v>
      </c>
      <c r="CT2211">
        <v>2</v>
      </c>
      <c r="CU2211">
        <v>0</v>
      </c>
      <c r="CV2211">
        <v>2</v>
      </c>
      <c r="CW2211">
        <v>0</v>
      </c>
      <c r="CX2211">
        <v>5</v>
      </c>
      <c r="CY2211">
        <v>7</v>
      </c>
      <c r="CZ2211" t="s">
        <v>131</v>
      </c>
      <c r="DA2211">
        <v>300</v>
      </c>
      <c r="DB2211">
        <v>0</v>
      </c>
      <c r="DC2211" t="s">
        <v>176</v>
      </c>
      <c r="DD2211" t="s">
        <v>177</v>
      </c>
      <c r="DG2211">
        <v>5405574</v>
      </c>
      <c r="DI2211">
        <v>1</v>
      </c>
      <c r="DJ2211">
        <v>0</v>
      </c>
      <c r="DK2211">
        <v>1</v>
      </c>
      <c r="DL2211">
        <v>0</v>
      </c>
      <c r="DM2211">
        <v>0</v>
      </c>
      <c r="DN2211">
        <v>1</v>
      </c>
      <c r="DO2211">
        <v>0</v>
      </c>
      <c r="DP2211">
        <v>0</v>
      </c>
      <c r="DQ2211">
        <v>0</v>
      </c>
      <c r="DR2211">
        <v>0</v>
      </c>
      <c r="DS2211">
        <v>0</v>
      </c>
    </row>
    <row r="2212" spans="1:123" x14ac:dyDescent="0.3">
      <c r="A2212" t="str">
        <f>"10/04/2022 19:31:24.197"</f>
        <v>10/04/2022 19:31:24.197</v>
      </c>
      <c r="C2212" t="str">
        <f t="shared" si="769"/>
        <v>FFDDD3C0</v>
      </c>
      <c r="D2212" t="s">
        <v>141</v>
      </c>
      <c r="E2212">
        <v>3</v>
      </c>
      <c r="H2212">
        <v>3</v>
      </c>
      <c r="I2212" t="s">
        <v>146</v>
      </c>
      <c r="J2212" t="s">
        <v>138</v>
      </c>
      <c r="K2212">
        <v>0</v>
      </c>
      <c r="L2212">
        <v>3</v>
      </c>
      <c r="M2212">
        <v>0</v>
      </c>
      <c r="N2212">
        <v>2</v>
      </c>
      <c r="O2212">
        <v>0</v>
      </c>
      <c r="P2212">
        <v>1</v>
      </c>
      <c r="Q2212">
        <v>0</v>
      </c>
      <c r="S2212" t="str">
        <f t="shared" ref="S2212:T2225" si="789">"19:31:24.000"</f>
        <v>19:31:24.000</v>
      </c>
      <c r="T2212" t="str">
        <f t="shared" si="789"/>
        <v>19:31:24.000</v>
      </c>
      <c r="U2212" t="str">
        <f t="shared" si="778"/>
        <v>AC3944</v>
      </c>
      <c r="V2212">
        <v>0</v>
      </c>
      <c r="W2212">
        <v>0</v>
      </c>
      <c r="X2212">
        <v>2</v>
      </c>
      <c r="Y2212">
        <v>0</v>
      </c>
      <c r="AA2212">
        <v>1</v>
      </c>
      <c r="AB2212">
        <v>8</v>
      </c>
      <c r="AC2212">
        <v>3</v>
      </c>
      <c r="AD2212">
        <v>0</v>
      </c>
      <c r="AE2212">
        <v>9</v>
      </c>
      <c r="AF2212" t="s">
        <v>138</v>
      </c>
      <c r="AG2212">
        <v>0</v>
      </c>
      <c r="AH2212">
        <v>3</v>
      </c>
      <c r="AI2212">
        <v>1</v>
      </c>
      <c r="AJ2212">
        <v>0</v>
      </c>
      <c r="AK2212" t="s">
        <v>770</v>
      </c>
      <c r="AL2212">
        <v>32.769620000000003</v>
      </c>
      <c r="AM2212" t="s">
        <v>771</v>
      </c>
      <c r="AN2212">
        <v>-116.815417</v>
      </c>
      <c r="AO2212">
        <v>25</v>
      </c>
      <c r="AP2212">
        <v>3100</v>
      </c>
      <c r="AQ2212" t="s">
        <v>129</v>
      </c>
      <c r="AR2212">
        <v>120</v>
      </c>
      <c r="AS2212">
        <v>-51</v>
      </c>
      <c r="AT2212">
        <v>128</v>
      </c>
      <c r="BB2212">
        <v>1200</v>
      </c>
      <c r="BC2212">
        <v>1</v>
      </c>
      <c r="BD2212" t="str">
        <f t="shared" si="779"/>
        <v xml:space="preserve">N887QR  </v>
      </c>
      <c r="BE2212">
        <v>1</v>
      </c>
      <c r="BJ2212">
        <v>2775</v>
      </c>
      <c r="BK2212">
        <v>-325</v>
      </c>
      <c r="BL2212" t="s">
        <v>163</v>
      </c>
      <c r="BM2212">
        <v>1</v>
      </c>
      <c r="BN2212">
        <v>1</v>
      </c>
      <c r="BO2212">
        <v>1</v>
      </c>
      <c r="BP2212">
        <v>0</v>
      </c>
      <c r="BS2212">
        <v>0.08</v>
      </c>
      <c r="BT2212">
        <v>0</v>
      </c>
      <c r="BU2212">
        <v>0</v>
      </c>
      <c r="CE2212" t="str">
        <f t="shared" ref="CE2212:CE2218" si="790">"19:31:24.007"</f>
        <v>19:31:24.007</v>
      </c>
      <c r="CF2212">
        <v>6580568</v>
      </c>
      <c r="CS2212">
        <v>0</v>
      </c>
      <c r="CT2212">
        <v>2</v>
      </c>
      <c r="CU2212">
        <v>0</v>
      </c>
      <c r="CV2212">
        <v>2</v>
      </c>
      <c r="CW2212">
        <v>0</v>
      </c>
      <c r="CX2212">
        <v>5</v>
      </c>
      <c r="CY2212">
        <v>7</v>
      </c>
      <c r="CZ2212" t="s">
        <v>131</v>
      </c>
      <c r="DA2212">
        <v>300</v>
      </c>
      <c r="DB2212">
        <v>0</v>
      </c>
      <c r="DC2212" t="s">
        <v>176</v>
      </c>
      <c r="DD2212" t="s">
        <v>177</v>
      </c>
      <c r="DG2212">
        <v>5405749</v>
      </c>
      <c r="DI2212">
        <v>1</v>
      </c>
      <c r="DJ2212">
        <v>0</v>
      </c>
      <c r="DK2212">
        <v>0</v>
      </c>
      <c r="DL2212">
        <v>0</v>
      </c>
      <c r="DM2212">
        <v>0</v>
      </c>
      <c r="DN2212">
        <v>1</v>
      </c>
      <c r="DO2212">
        <v>0</v>
      </c>
      <c r="DP2212">
        <v>0</v>
      </c>
      <c r="DQ2212">
        <v>0</v>
      </c>
      <c r="DR2212">
        <v>0</v>
      </c>
      <c r="DS2212">
        <v>0</v>
      </c>
    </row>
    <row r="2213" spans="1:123" x14ac:dyDescent="0.3">
      <c r="A2213" t="str">
        <f>"10/04/2022 19:31:24.197"</f>
        <v>10/04/2022 19:31:24.197</v>
      </c>
      <c r="C2213" t="str">
        <f t="shared" si="769"/>
        <v>FFDDD3C0</v>
      </c>
      <c r="D2213" t="s">
        <v>136</v>
      </c>
      <c r="E2213">
        <v>8</v>
      </c>
      <c r="H2213">
        <v>225</v>
      </c>
      <c r="I2213" t="s">
        <v>137</v>
      </c>
      <c r="J2213" t="s">
        <v>138</v>
      </c>
      <c r="K2213">
        <v>0</v>
      </c>
      <c r="L2213">
        <v>3</v>
      </c>
      <c r="M2213">
        <v>0</v>
      </c>
      <c r="N2213">
        <v>2</v>
      </c>
      <c r="O2213">
        <v>0</v>
      </c>
      <c r="P2213">
        <v>1</v>
      </c>
      <c r="Q2213">
        <v>0</v>
      </c>
      <c r="S2213" t="str">
        <f t="shared" si="789"/>
        <v>19:31:24.000</v>
      </c>
      <c r="T2213" t="str">
        <f t="shared" si="789"/>
        <v>19:31:24.000</v>
      </c>
      <c r="U2213" t="str">
        <f t="shared" si="778"/>
        <v>AC3944</v>
      </c>
      <c r="V2213">
        <v>0</v>
      </c>
      <c r="W2213">
        <v>0</v>
      </c>
      <c r="X2213">
        <v>2</v>
      </c>
      <c r="Y2213">
        <v>0</v>
      </c>
      <c r="AA2213">
        <v>1</v>
      </c>
      <c r="AB2213">
        <v>8</v>
      </c>
      <c r="AC2213">
        <v>3</v>
      </c>
      <c r="AD2213">
        <v>0</v>
      </c>
      <c r="AE2213">
        <v>9</v>
      </c>
      <c r="AF2213" t="s">
        <v>138</v>
      </c>
      <c r="AG2213">
        <v>0</v>
      </c>
      <c r="AH2213">
        <v>3</v>
      </c>
      <c r="AI2213">
        <v>1</v>
      </c>
      <c r="AJ2213">
        <v>0</v>
      </c>
      <c r="AK2213" t="s">
        <v>770</v>
      </c>
      <c r="AL2213">
        <v>32.769620000000003</v>
      </c>
      <c r="AM2213" t="s">
        <v>771</v>
      </c>
      <c r="AN2213">
        <v>-116.815417</v>
      </c>
      <c r="AO2213">
        <v>25</v>
      </c>
      <c r="AP2213">
        <v>3100</v>
      </c>
      <c r="AQ2213" t="s">
        <v>129</v>
      </c>
      <c r="AR2213">
        <v>120</v>
      </c>
      <c r="AS2213">
        <v>-51</v>
      </c>
      <c r="AT2213">
        <v>128</v>
      </c>
      <c r="BB2213">
        <v>1200</v>
      </c>
      <c r="BC2213">
        <v>1</v>
      </c>
      <c r="BD2213" t="str">
        <f t="shared" si="779"/>
        <v xml:space="preserve">N887QR  </v>
      </c>
      <c r="BE2213">
        <v>1</v>
      </c>
      <c r="BJ2213">
        <v>2775</v>
      </c>
      <c r="BK2213">
        <v>-325</v>
      </c>
      <c r="BL2213" t="s">
        <v>163</v>
      </c>
      <c r="BM2213">
        <v>1</v>
      </c>
      <c r="BN2213">
        <v>1</v>
      </c>
      <c r="BO2213">
        <v>1</v>
      </c>
      <c r="BP2213">
        <v>0</v>
      </c>
      <c r="BS2213">
        <v>0.08</v>
      </c>
      <c r="BT2213">
        <v>0</v>
      </c>
      <c r="BU2213">
        <v>0</v>
      </c>
      <c r="CE2213" t="str">
        <f t="shared" si="790"/>
        <v>19:31:24.007</v>
      </c>
      <c r="CF2213">
        <v>6580568</v>
      </c>
      <c r="CS2213">
        <v>0</v>
      </c>
      <c r="CT2213">
        <v>2</v>
      </c>
      <c r="CU2213">
        <v>0</v>
      </c>
      <c r="CV2213">
        <v>2</v>
      </c>
      <c r="CW2213">
        <v>0</v>
      </c>
      <c r="CX2213">
        <v>5</v>
      </c>
      <c r="CY2213">
        <v>7</v>
      </c>
      <c r="CZ2213" t="s">
        <v>131</v>
      </c>
      <c r="DA2213">
        <v>300</v>
      </c>
      <c r="DB2213">
        <v>0</v>
      </c>
      <c r="DC2213" t="s">
        <v>176</v>
      </c>
      <c r="DD2213" t="s">
        <v>177</v>
      </c>
      <c r="DG2213">
        <v>5405749</v>
      </c>
      <c r="DI2213">
        <v>1</v>
      </c>
      <c r="DJ2213">
        <v>0</v>
      </c>
      <c r="DK2213">
        <v>1</v>
      </c>
      <c r="DL2213">
        <v>0</v>
      </c>
      <c r="DM2213">
        <v>0</v>
      </c>
      <c r="DN2213">
        <v>1</v>
      </c>
      <c r="DO2213">
        <v>0</v>
      </c>
      <c r="DP2213">
        <v>0</v>
      </c>
      <c r="DQ2213">
        <v>0</v>
      </c>
      <c r="DR2213">
        <v>0</v>
      </c>
      <c r="DS2213">
        <v>0</v>
      </c>
    </row>
    <row r="2214" spans="1:123" x14ac:dyDescent="0.3">
      <c r="A2214" t="str">
        <f>"10/04/2022 19:31:24.197"</f>
        <v>10/04/2022 19:31:24.197</v>
      </c>
      <c r="C2214" t="str">
        <f t="shared" si="769"/>
        <v>FFDDD3C0</v>
      </c>
      <c r="D2214" t="s">
        <v>147</v>
      </c>
      <c r="E2214">
        <v>3</v>
      </c>
      <c r="H2214">
        <v>166</v>
      </c>
      <c r="I2214" t="s">
        <v>144</v>
      </c>
      <c r="J2214" t="s">
        <v>148</v>
      </c>
      <c r="K2214">
        <v>0</v>
      </c>
      <c r="L2214">
        <v>3</v>
      </c>
      <c r="M2214">
        <v>0</v>
      </c>
      <c r="N2214">
        <v>2</v>
      </c>
      <c r="O2214">
        <v>0</v>
      </c>
      <c r="P2214">
        <v>1</v>
      </c>
      <c r="Q2214">
        <v>0</v>
      </c>
      <c r="S2214" t="str">
        <f t="shared" si="789"/>
        <v>19:31:24.000</v>
      </c>
      <c r="T2214" t="str">
        <f t="shared" si="789"/>
        <v>19:31:24.000</v>
      </c>
      <c r="U2214" t="str">
        <f t="shared" si="778"/>
        <v>AC3944</v>
      </c>
      <c r="V2214">
        <v>0</v>
      </c>
      <c r="W2214">
        <v>0</v>
      </c>
      <c r="X2214">
        <v>2</v>
      </c>
      <c r="Y2214">
        <v>0</v>
      </c>
      <c r="AA2214">
        <v>1</v>
      </c>
      <c r="AB2214">
        <v>8</v>
      </c>
      <c r="AC2214">
        <v>3</v>
      </c>
      <c r="AD2214">
        <v>0</v>
      </c>
      <c r="AE2214">
        <v>9</v>
      </c>
      <c r="AF2214" t="s">
        <v>138</v>
      </c>
      <c r="AG2214">
        <v>0</v>
      </c>
      <c r="AH2214">
        <v>3</v>
      </c>
      <c r="AI2214">
        <v>1</v>
      </c>
      <c r="AJ2214">
        <v>0</v>
      </c>
      <c r="AK2214" t="s">
        <v>770</v>
      </c>
      <c r="AL2214">
        <v>32.769620000000003</v>
      </c>
      <c r="AM2214" t="s">
        <v>771</v>
      </c>
      <c r="AN2214">
        <v>-116.815417</v>
      </c>
      <c r="AO2214">
        <v>25</v>
      </c>
      <c r="AP2214">
        <v>3100</v>
      </c>
      <c r="AQ2214" t="s">
        <v>129</v>
      </c>
      <c r="AR2214">
        <v>120</v>
      </c>
      <c r="AS2214">
        <v>-51</v>
      </c>
      <c r="AT2214">
        <v>128</v>
      </c>
      <c r="BB2214">
        <v>1200</v>
      </c>
      <c r="BC2214">
        <v>1</v>
      </c>
      <c r="BD2214" t="str">
        <f t="shared" si="779"/>
        <v xml:space="preserve">N887QR  </v>
      </c>
      <c r="BE2214">
        <v>1</v>
      </c>
      <c r="BJ2214">
        <v>2775</v>
      </c>
      <c r="BK2214">
        <v>-325</v>
      </c>
      <c r="BL2214" t="s">
        <v>163</v>
      </c>
      <c r="BM2214">
        <v>1</v>
      </c>
      <c r="BN2214">
        <v>1</v>
      </c>
      <c r="BO2214">
        <v>1</v>
      </c>
      <c r="BP2214">
        <v>0</v>
      </c>
      <c r="BS2214">
        <v>0.08</v>
      </c>
      <c r="BT2214">
        <v>0</v>
      </c>
      <c r="BU2214">
        <v>0</v>
      </c>
      <c r="CE2214" t="str">
        <f t="shared" si="790"/>
        <v>19:31:24.007</v>
      </c>
      <c r="CF2214">
        <v>6580568</v>
      </c>
      <c r="CS2214">
        <v>0</v>
      </c>
      <c r="CT2214">
        <v>2</v>
      </c>
      <c r="CU2214">
        <v>0</v>
      </c>
      <c r="CV2214">
        <v>2</v>
      </c>
      <c r="CW2214">
        <v>0</v>
      </c>
      <c r="CX2214">
        <v>5</v>
      </c>
      <c r="CY2214">
        <v>7</v>
      </c>
      <c r="CZ2214" t="s">
        <v>131</v>
      </c>
      <c r="DA2214">
        <v>300</v>
      </c>
      <c r="DB2214">
        <v>0</v>
      </c>
      <c r="DC2214" t="s">
        <v>176</v>
      </c>
      <c r="DD2214" t="s">
        <v>177</v>
      </c>
      <c r="DG2214">
        <v>5405749</v>
      </c>
      <c r="DI2214">
        <v>1</v>
      </c>
      <c r="DJ2214">
        <v>0</v>
      </c>
      <c r="DK2214">
        <v>1</v>
      </c>
      <c r="DL2214">
        <v>0</v>
      </c>
      <c r="DM2214">
        <v>0</v>
      </c>
      <c r="DN2214">
        <v>1</v>
      </c>
      <c r="DO2214">
        <v>0</v>
      </c>
      <c r="DP2214">
        <v>0</v>
      </c>
      <c r="DQ2214">
        <v>0</v>
      </c>
      <c r="DR2214">
        <v>0</v>
      </c>
      <c r="DS2214">
        <v>0</v>
      </c>
    </row>
    <row r="2215" spans="1:123" x14ac:dyDescent="0.3">
      <c r="A2215" t="str">
        <f>"10/04/2022 19:31:24.306"</f>
        <v>10/04/2022 19:31:24.306</v>
      </c>
      <c r="C2215" t="str">
        <f t="shared" ref="C2215:C2278" si="791">"FFDDD3C0"</f>
        <v>FFDDD3C0</v>
      </c>
      <c r="D2215" t="s">
        <v>143</v>
      </c>
      <c r="E2215">
        <v>20</v>
      </c>
      <c r="F2215">
        <v>1020</v>
      </c>
      <c r="G2215" t="s">
        <v>144</v>
      </c>
      <c r="J2215" t="s">
        <v>145</v>
      </c>
      <c r="K2215">
        <v>0</v>
      </c>
      <c r="L2215">
        <v>3</v>
      </c>
      <c r="M2215">
        <v>0</v>
      </c>
      <c r="N2215">
        <v>2</v>
      </c>
      <c r="O2215">
        <v>0</v>
      </c>
      <c r="P2215">
        <v>1</v>
      </c>
      <c r="Q2215">
        <v>0</v>
      </c>
      <c r="S2215" t="str">
        <f t="shared" si="789"/>
        <v>19:31:24.000</v>
      </c>
      <c r="T2215" t="str">
        <f t="shared" si="789"/>
        <v>19:31:24.000</v>
      </c>
      <c r="U2215" t="str">
        <f t="shared" si="778"/>
        <v>AC3944</v>
      </c>
      <c r="V2215">
        <v>0</v>
      </c>
      <c r="W2215">
        <v>0</v>
      </c>
      <c r="X2215">
        <v>2</v>
      </c>
      <c r="Y2215">
        <v>0</v>
      </c>
      <c r="AA2215">
        <v>1</v>
      </c>
      <c r="AB2215">
        <v>8</v>
      </c>
      <c r="AC2215">
        <v>3</v>
      </c>
      <c r="AD2215">
        <v>0</v>
      </c>
      <c r="AE2215">
        <v>9</v>
      </c>
      <c r="AF2215" t="s">
        <v>138</v>
      </c>
      <c r="AG2215">
        <v>0</v>
      </c>
      <c r="AH2215">
        <v>3</v>
      </c>
      <c r="AI2215">
        <v>1</v>
      </c>
      <c r="AJ2215">
        <v>0</v>
      </c>
      <c r="AK2215" t="s">
        <v>770</v>
      </c>
      <c r="AL2215">
        <v>32.769620000000003</v>
      </c>
      <c r="AM2215" t="s">
        <v>771</v>
      </c>
      <c r="AN2215">
        <v>-116.815417</v>
      </c>
      <c r="AO2215">
        <v>25</v>
      </c>
      <c r="AP2215">
        <v>3100</v>
      </c>
      <c r="AQ2215" t="s">
        <v>129</v>
      </c>
      <c r="AR2215">
        <v>120</v>
      </c>
      <c r="AS2215">
        <v>-51</v>
      </c>
      <c r="AT2215">
        <v>128</v>
      </c>
      <c r="BB2215">
        <v>1200</v>
      </c>
      <c r="BC2215">
        <v>1</v>
      </c>
      <c r="BD2215" t="str">
        <f t="shared" si="779"/>
        <v xml:space="preserve">N887QR  </v>
      </c>
      <c r="BE2215">
        <v>1</v>
      </c>
      <c r="BJ2215">
        <v>2775</v>
      </c>
      <c r="BK2215">
        <v>-325</v>
      </c>
      <c r="BL2215" t="s">
        <v>163</v>
      </c>
      <c r="BM2215">
        <v>1</v>
      </c>
      <c r="BN2215">
        <v>1</v>
      </c>
      <c r="BO2215">
        <v>1</v>
      </c>
      <c r="BP2215">
        <v>0</v>
      </c>
      <c r="BS2215">
        <v>0.08</v>
      </c>
      <c r="BT2215">
        <v>0</v>
      </c>
      <c r="BU2215">
        <v>0</v>
      </c>
      <c r="CE2215" t="str">
        <f t="shared" si="790"/>
        <v>19:31:24.007</v>
      </c>
      <c r="CF2215">
        <v>6580568</v>
      </c>
      <c r="CS2215">
        <v>0</v>
      </c>
      <c r="CT2215">
        <v>2</v>
      </c>
      <c r="CU2215">
        <v>0</v>
      </c>
      <c r="CV2215">
        <v>2</v>
      </c>
      <c r="CW2215">
        <v>0</v>
      </c>
      <c r="CX2215">
        <v>5</v>
      </c>
      <c r="CY2215">
        <v>7</v>
      </c>
      <c r="CZ2215" t="s">
        <v>131</v>
      </c>
      <c r="DA2215">
        <v>300</v>
      </c>
      <c r="DB2215">
        <v>0</v>
      </c>
      <c r="DC2215" t="s">
        <v>176</v>
      </c>
      <c r="DD2215" t="s">
        <v>177</v>
      </c>
      <c r="DG2215">
        <v>5405749</v>
      </c>
      <c r="DI2215">
        <v>1</v>
      </c>
      <c r="DJ2215">
        <v>0</v>
      </c>
      <c r="DK2215">
        <v>1</v>
      </c>
      <c r="DL2215">
        <v>0</v>
      </c>
      <c r="DM2215">
        <v>0</v>
      </c>
      <c r="DN2215">
        <v>1</v>
      </c>
      <c r="DO2215">
        <v>0</v>
      </c>
      <c r="DP2215">
        <v>0</v>
      </c>
      <c r="DQ2215">
        <v>0</v>
      </c>
      <c r="DR2215">
        <v>0</v>
      </c>
      <c r="DS2215">
        <v>0</v>
      </c>
    </row>
    <row r="2216" spans="1:123" x14ac:dyDescent="0.3">
      <c r="A2216" t="str">
        <f>"10/04/2022 19:31:24.306"</f>
        <v>10/04/2022 19:31:24.306</v>
      </c>
      <c r="C2216" t="str">
        <f t="shared" si="791"/>
        <v>FFDDD3C0</v>
      </c>
      <c r="D2216" t="s">
        <v>134</v>
      </c>
      <c r="E2216">
        <v>15</v>
      </c>
      <c r="J2216" t="s">
        <v>135</v>
      </c>
      <c r="K2216">
        <v>0</v>
      </c>
      <c r="L2216">
        <v>3</v>
      </c>
      <c r="M2216">
        <v>0</v>
      </c>
      <c r="N2216">
        <v>2</v>
      </c>
      <c r="O2216">
        <v>0</v>
      </c>
      <c r="P2216">
        <v>1</v>
      </c>
      <c r="Q2216">
        <v>0</v>
      </c>
      <c r="S2216" t="str">
        <f t="shared" si="789"/>
        <v>19:31:24.000</v>
      </c>
      <c r="T2216" t="str">
        <f t="shared" si="789"/>
        <v>19:31:24.000</v>
      </c>
      <c r="U2216" t="str">
        <f t="shared" si="778"/>
        <v>AC3944</v>
      </c>
      <c r="V2216">
        <v>0</v>
      </c>
      <c r="W2216">
        <v>0</v>
      </c>
      <c r="X2216">
        <v>2</v>
      </c>
      <c r="Y2216">
        <v>0</v>
      </c>
      <c r="AA2216">
        <v>1</v>
      </c>
      <c r="AB2216">
        <v>8</v>
      </c>
      <c r="AC2216">
        <v>3</v>
      </c>
      <c r="AD2216">
        <v>0</v>
      </c>
      <c r="AE2216">
        <v>9</v>
      </c>
      <c r="AF2216" t="s">
        <v>138</v>
      </c>
      <c r="AG2216">
        <v>0</v>
      </c>
      <c r="AH2216">
        <v>3</v>
      </c>
      <c r="AI2216">
        <v>1</v>
      </c>
      <c r="AJ2216">
        <v>0</v>
      </c>
      <c r="AK2216" t="s">
        <v>770</v>
      </c>
      <c r="AL2216">
        <v>32.769620000000003</v>
      </c>
      <c r="AM2216" t="s">
        <v>771</v>
      </c>
      <c r="AN2216">
        <v>-116.815417</v>
      </c>
      <c r="AO2216">
        <v>25</v>
      </c>
      <c r="AP2216">
        <v>3100</v>
      </c>
      <c r="AQ2216" t="s">
        <v>129</v>
      </c>
      <c r="AR2216">
        <v>120</v>
      </c>
      <c r="AS2216">
        <v>-51</v>
      </c>
      <c r="AT2216">
        <v>128</v>
      </c>
      <c r="BB2216">
        <v>1200</v>
      </c>
      <c r="BC2216">
        <v>1</v>
      </c>
      <c r="BD2216" t="str">
        <f t="shared" si="779"/>
        <v xml:space="preserve">N887QR  </v>
      </c>
      <c r="BE2216">
        <v>1</v>
      </c>
      <c r="BJ2216">
        <v>2775</v>
      </c>
      <c r="BK2216">
        <v>-325</v>
      </c>
      <c r="BL2216" t="s">
        <v>163</v>
      </c>
      <c r="BM2216">
        <v>1</v>
      </c>
      <c r="BN2216">
        <v>1</v>
      </c>
      <c r="BO2216">
        <v>1</v>
      </c>
      <c r="BP2216">
        <v>0</v>
      </c>
      <c r="BS2216">
        <v>0.08</v>
      </c>
      <c r="BT2216">
        <v>0</v>
      </c>
      <c r="BU2216">
        <v>0</v>
      </c>
      <c r="CE2216" t="str">
        <f t="shared" si="790"/>
        <v>19:31:24.007</v>
      </c>
      <c r="CF2216">
        <v>6580568</v>
      </c>
      <c r="CS2216">
        <v>0</v>
      </c>
      <c r="CT2216">
        <v>2</v>
      </c>
      <c r="CU2216">
        <v>0</v>
      </c>
      <c r="CV2216">
        <v>2</v>
      </c>
      <c r="CW2216">
        <v>0</v>
      </c>
      <c r="CX2216">
        <v>5</v>
      </c>
      <c r="CY2216">
        <v>7</v>
      </c>
      <c r="CZ2216" t="s">
        <v>131</v>
      </c>
      <c r="DA2216">
        <v>300</v>
      </c>
      <c r="DB2216">
        <v>0</v>
      </c>
      <c r="DC2216" t="s">
        <v>176</v>
      </c>
      <c r="DD2216" t="s">
        <v>177</v>
      </c>
      <c r="DG2216">
        <v>5405749</v>
      </c>
      <c r="DI2216">
        <v>1</v>
      </c>
      <c r="DJ2216">
        <v>0</v>
      </c>
      <c r="DK2216">
        <v>1</v>
      </c>
      <c r="DL2216">
        <v>0</v>
      </c>
      <c r="DM2216">
        <v>0</v>
      </c>
      <c r="DN2216">
        <v>1</v>
      </c>
      <c r="DO2216">
        <v>0</v>
      </c>
      <c r="DP2216">
        <v>0</v>
      </c>
      <c r="DQ2216">
        <v>0</v>
      </c>
      <c r="DR2216">
        <v>0</v>
      </c>
      <c r="DS2216">
        <v>0</v>
      </c>
    </row>
    <row r="2217" spans="1:123" x14ac:dyDescent="0.3">
      <c r="A2217" t="str">
        <f>"10/04/2022 19:31:24.306"</f>
        <v>10/04/2022 19:31:24.306</v>
      </c>
      <c r="C2217" t="str">
        <f t="shared" si="791"/>
        <v>FFDDD3C0</v>
      </c>
      <c r="D2217" t="s">
        <v>123</v>
      </c>
      <c r="E2217">
        <v>7</v>
      </c>
      <c r="F2217">
        <v>2007</v>
      </c>
      <c r="G2217" t="s">
        <v>124</v>
      </c>
      <c r="J2217" t="s">
        <v>125</v>
      </c>
      <c r="K2217">
        <v>0</v>
      </c>
      <c r="L2217">
        <v>3</v>
      </c>
      <c r="M2217">
        <v>0</v>
      </c>
      <c r="N2217">
        <v>2</v>
      </c>
      <c r="O2217">
        <v>0</v>
      </c>
      <c r="P2217">
        <v>1</v>
      </c>
      <c r="Q2217">
        <v>0</v>
      </c>
      <c r="S2217" t="str">
        <f t="shared" si="789"/>
        <v>19:31:24.000</v>
      </c>
      <c r="T2217" t="str">
        <f t="shared" si="789"/>
        <v>19:31:24.000</v>
      </c>
      <c r="U2217" t="str">
        <f t="shared" si="778"/>
        <v>AC3944</v>
      </c>
      <c r="V2217">
        <v>0</v>
      </c>
      <c r="W2217">
        <v>0</v>
      </c>
      <c r="X2217">
        <v>2</v>
      </c>
      <c r="Y2217">
        <v>0</v>
      </c>
      <c r="AA2217">
        <v>1</v>
      </c>
      <c r="AB2217">
        <v>8</v>
      </c>
      <c r="AC2217">
        <v>3</v>
      </c>
      <c r="AD2217">
        <v>0</v>
      </c>
      <c r="AE2217">
        <v>9</v>
      </c>
      <c r="AF2217" t="s">
        <v>138</v>
      </c>
      <c r="AG2217">
        <v>0</v>
      </c>
      <c r="AH2217">
        <v>3</v>
      </c>
      <c r="AI2217">
        <v>1</v>
      </c>
      <c r="AJ2217">
        <v>0</v>
      </c>
      <c r="AK2217" t="s">
        <v>770</v>
      </c>
      <c r="AL2217">
        <v>32.769620000000003</v>
      </c>
      <c r="AM2217" t="s">
        <v>771</v>
      </c>
      <c r="AN2217">
        <v>-116.815417</v>
      </c>
      <c r="AO2217">
        <v>25</v>
      </c>
      <c r="AP2217">
        <v>3100</v>
      </c>
      <c r="AQ2217" t="s">
        <v>129</v>
      </c>
      <c r="AR2217">
        <v>120</v>
      </c>
      <c r="AS2217">
        <v>-51</v>
      </c>
      <c r="AT2217">
        <v>128</v>
      </c>
      <c r="BB2217">
        <v>1200</v>
      </c>
      <c r="BC2217">
        <v>1</v>
      </c>
      <c r="BD2217" t="str">
        <f t="shared" si="779"/>
        <v xml:space="preserve">N887QR  </v>
      </c>
      <c r="BE2217">
        <v>1</v>
      </c>
      <c r="BJ2217">
        <v>2775</v>
      </c>
      <c r="BK2217">
        <v>-325</v>
      </c>
      <c r="BL2217" t="s">
        <v>163</v>
      </c>
      <c r="BM2217">
        <v>1</v>
      </c>
      <c r="BN2217">
        <v>1</v>
      </c>
      <c r="BO2217">
        <v>1</v>
      </c>
      <c r="BP2217">
        <v>0</v>
      </c>
      <c r="BS2217">
        <v>0.08</v>
      </c>
      <c r="BT2217">
        <v>0</v>
      </c>
      <c r="BU2217">
        <v>0</v>
      </c>
      <c r="CE2217" t="str">
        <f t="shared" si="790"/>
        <v>19:31:24.007</v>
      </c>
      <c r="CF2217">
        <v>6580568</v>
      </c>
      <c r="CS2217">
        <v>0</v>
      </c>
      <c r="CT2217">
        <v>2</v>
      </c>
      <c r="CU2217">
        <v>0</v>
      </c>
      <c r="CV2217">
        <v>2</v>
      </c>
      <c r="CW2217">
        <v>0</v>
      </c>
      <c r="CX2217">
        <v>5</v>
      </c>
      <c r="CY2217">
        <v>7</v>
      </c>
      <c r="CZ2217" t="s">
        <v>131</v>
      </c>
      <c r="DA2217">
        <v>300</v>
      </c>
      <c r="DB2217">
        <v>0</v>
      </c>
      <c r="DC2217" t="s">
        <v>176</v>
      </c>
      <c r="DD2217" t="s">
        <v>177</v>
      </c>
      <c r="DG2217">
        <v>5405749</v>
      </c>
      <c r="DI2217">
        <v>1</v>
      </c>
      <c r="DJ2217">
        <v>0</v>
      </c>
      <c r="DK2217">
        <v>1</v>
      </c>
      <c r="DL2217">
        <v>0</v>
      </c>
      <c r="DM2217">
        <v>0</v>
      </c>
      <c r="DN2217">
        <v>1</v>
      </c>
      <c r="DO2217">
        <v>0</v>
      </c>
      <c r="DP2217">
        <v>0</v>
      </c>
      <c r="DQ2217">
        <v>0</v>
      </c>
      <c r="DR2217">
        <v>0</v>
      </c>
      <c r="DS2217">
        <v>0</v>
      </c>
    </row>
    <row r="2218" spans="1:123" x14ac:dyDescent="0.3">
      <c r="A2218" t="str">
        <f>"10/04/2022 19:31:24.306"</f>
        <v>10/04/2022 19:31:24.306</v>
      </c>
      <c r="C2218" t="str">
        <f t="shared" si="791"/>
        <v>FFDDD3C0</v>
      </c>
      <c r="D2218" t="s">
        <v>141</v>
      </c>
      <c r="E2218">
        <v>4</v>
      </c>
      <c r="H2218">
        <v>4</v>
      </c>
      <c r="I2218" t="s">
        <v>142</v>
      </c>
      <c r="J2218" t="s">
        <v>138</v>
      </c>
      <c r="K2218">
        <v>0</v>
      </c>
      <c r="L2218">
        <v>3</v>
      </c>
      <c r="M2218">
        <v>0</v>
      </c>
      <c r="N2218">
        <v>2</v>
      </c>
      <c r="O2218">
        <v>0</v>
      </c>
      <c r="P2218">
        <v>1</v>
      </c>
      <c r="Q2218">
        <v>0</v>
      </c>
      <c r="S2218" t="str">
        <f t="shared" si="789"/>
        <v>19:31:24.000</v>
      </c>
      <c r="T2218" t="str">
        <f t="shared" si="789"/>
        <v>19:31:24.000</v>
      </c>
      <c r="U2218" t="str">
        <f t="shared" si="778"/>
        <v>AC3944</v>
      </c>
      <c r="V2218">
        <v>0</v>
      </c>
      <c r="W2218">
        <v>0</v>
      </c>
      <c r="X2218">
        <v>2</v>
      </c>
      <c r="Y2218">
        <v>0</v>
      </c>
      <c r="AA2218">
        <v>1</v>
      </c>
      <c r="AB2218">
        <v>8</v>
      </c>
      <c r="AC2218">
        <v>3</v>
      </c>
      <c r="AD2218">
        <v>0</v>
      </c>
      <c r="AE2218">
        <v>9</v>
      </c>
      <c r="AF2218" t="s">
        <v>138</v>
      </c>
      <c r="AG2218">
        <v>0</v>
      </c>
      <c r="AH2218">
        <v>3</v>
      </c>
      <c r="AI2218">
        <v>1</v>
      </c>
      <c r="AJ2218">
        <v>0</v>
      </c>
      <c r="AK2218" t="s">
        <v>770</v>
      </c>
      <c r="AL2218">
        <v>32.769620000000003</v>
      </c>
      <c r="AM2218" t="s">
        <v>771</v>
      </c>
      <c r="AN2218">
        <v>-116.815417</v>
      </c>
      <c r="AO2218">
        <v>25</v>
      </c>
      <c r="AP2218">
        <v>3100</v>
      </c>
      <c r="AQ2218" t="s">
        <v>129</v>
      </c>
      <c r="AR2218">
        <v>120</v>
      </c>
      <c r="AS2218">
        <v>-51</v>
      </c>
      <c r="AT2218">
        <v>128</v>
      </c>
      <c r="BB2218">
        <v>1200</v>
      </c>
      <c r="BC2218">
        <v>1</v>
      </c>
      <c r="BD2218" t="str">
        <f t="shared" si="779"/>
        <v xml:space="preserve">N887QR  </v>
      </c>
      <c r="BE2218">
        <v>1</v>
      </c>
      <c r="BJ2218">
        <v>2775</v>
      </c>
      <c r="BK2218">
        <v>-325</v>
      </c>
      <c r="BL2218" t="s">
        <v>163</v>
      </c>
      <c r="BM2218">
        <v>1</v>
      </c>
      <c r="BN2218">
        <v>1</v>
      </c>
      <c r="BO2218">
        <v>1</v>
      </c>
      <c r="BP2218">
        <v>0</v>
      </c>
      <c r="BS2218">
        <v>0.08</v>
      </c>
      <c r="BT2218">
        <v>0</v>
      </c>
      <c r="BU2218">
        <v>0</v>
      </c>
      <c r="CE2218" t="str">
        <f t="shared" si="790"/>
        <v>19:31:24.007</v>
      </c>
      <c r="CF2218">
        <v>6580568</v>
      </c>
      <c r="CS2218">
        <v>0</v>
      </c>
      <c r="CT2218">
        <v>2</v>
      </c>
      <c r="CU2218">
        <v>0</v>
      </c>
      <c r="CV2218">
        <v>2</v>
      </c>
      <c r="CW2218">
        <v>0</v>
      </c>
      <c r="CX2218">
        <v>5</v>
      </c>
      <c r="CY2218">
        <v>7</v>
      </c>
      <c r="CZ2218" t="s">
        <v>131</v>
      </c>
      <c r="DA2218">
        <v>300</v>
      </c>
      <c r="DB2218">
        <v>0</v>
      </c>
      <c r="DC2218" t="s">
        <v>176</v>
      </c>
      <c r="DD2218" t="s">
        <v>177</v>
      </c>
      <c r="DG2218">
        <v>5405749</v>
      </c>
      <c r="DI2218">
        <v>1</v>
      </c>
      <c r="DJ2218">
        <v>0</v>
      </c>
      <c r="DK2218">
        <v>1</v>
      </c>
      <c r="DL2218">
        <v>0</v>
      </c>
      <c r="DM2218">
        <v>0</v>
      </c>
      <c r="DN2218">
        <v>1</v>
      </c>
      <c r="DO2218">
        <v>0</v>
      </c>
      <c r="DP2218">
        <v>0</v>
      </c>
      <c r="DQ2218">
        <v>0</v>
      </c>
      <c r="DR2218">
        <v>0</v>
      </c>
      <c r="DS2218">
        <v>0</v>
      </c>
    </row>
    <row r="2219" spans="1:123" x14ac:dyDescent="0.3">
      <c r="A2219" t="str">
        <f>"10/04/2022 19:31:25.245"</f>
        <v>10/04/2022 19:31:25.245</v>
      </c>
      <c r="C2219" t="str">
        <f t="shared" si="791"/>
        <v>FFDDD3C0</v>
      </c>
      <c r="D2219" t="s">
        <v>123</v>
      </c>
      <c r="E2219">
        <v>7</v>
      </c>
      <c r="F2219">
        <v>2007</v>
      </c>
      <c r="G2219" t="s">
        <v>124</v>
      </c>
      <c r="J2219" t="s">
        <v>125</v>
      </c>
      <c r="K2219">
        <v>0</v>
      </c>
      <c r="L2219">
        <v>3</v>
      </c>
      <c r="M2219">
        <v>0</v>
      </c>
      <c r="N2219">
        <v>2</v>
      </c>
      <c r="O2219">
        <v>0</v>
      </c>
      <c r="P2219">
        <v>1</v>
      </c>
      <c r="Q2219">
        <v>0</v>
      </c>
      <c r="S2219" t="str">
        <f t="shared" si="789"/>
        <v>19:31:24.000</v>
      </c>
      <c r="T2219" t="str">
        <f t="shared" si="789"/>
        <v>19:31:24.000</v>
      </c>
      <c r="U2219" t="str">
        <f t="shared" si="778"/>
        <v>AC3944</v>
      </c>
      <c r="V2219">
        <v>0</v>
      </c>
      <c r="W2219">
        <v>0</v>
      </c>
      <c r="X2219">
        <v>2</v>
      </c>
      <c r="Y2219">
        <v>0</v>
      </c>
      <c r="AA2219">
        <v>1</v>
      </c>
      <c r="AB2219">
        <v>8</v>
      </c>
      <c r="AC2219">
        <v>3</v>
      </c>
      <c r="AD2219">
        <v>0</v>
      </c>
      <c r="AE2219">
        <v>9</v>
      </c>
      <c r="AF2219" t="s">
        <v>138</v>
      </c>
      <c r="AG2219">
        <v>0</v>
      </c>
      <c r="AH2219">
        <v>3</v>
      </c>
      <c r="AI2219">
        <v>1</v>
      </c>
      <c r="AJ2219">
        <v>0</v>
      </c>
      <c r="AK2219" t="s">
        <v>772</v>
      </c>
      <c r="AL2219">
        <v>32.769405999999996</v>
      </c>
      <c r="AM2219" t="s">
        <v>773</v>
      </c>
      <c r="AN2219">
        <v>-116.814902</v>
      </c>
      <c r="AO2219">
        <v>25</v>
      </c>
      <c r="AP2219">
        <v>3100</v>
      </c>
      <c r="AQ2219" t="s">
        <v>129</v>
      </c>
      <c r="AR2219">
        <v>120</v>
      </c>
      <c r="AS2219">
        <v>-52</v>
      </c>
      <c r="AT2219">
        <v>128</v>
      </c>
      <c r="BB2219">
        <v>1200</v>
      </c>
      <c r="BC2219">
        <v>1</v>
      </c>
      <c r="BD2219" t="str">
        <f t="shared" si="779"/>
        <v xml:space="preserve">N887QR  </v>
      </c>
      <c r="BE2219">
        <v>1</v>
      </c>
      <c r="BJ2219">
        <v>2775</v>
      </c>
      <c r="BK2219">
        <v>-325</v>
      </c>
      <c r="BL2219" t="s">
        <v>163</v>
      </c>
      <c r="BM2219">
        <v>1</v>
      </c>
      <c r="BN2219">
        <v>1</v>
      </c>
      <c r="BO2219">
        <v>1</v>
      </c>
      <c r="BP2219">
        <v>0</v>
      </c>
      <c r="BS2219">
        <v>0.08</v>
      </c>
      <c r="BT2219">
        <v>0</v>
      </c>
      <c r="BU2219">
        <v>0</v>
      </c>
      <c r="CE2219" t="str">
        <f t="shared" ref="CE2219:CE2225" si="792">"19:31:24.870"</f>
        <v>19:31:24.870</v>
      </c>
      <c r="CF2219">
        <v>869833405</v>
      </c>
      <c r="CS2219">
        <v>0</v>
      </c>
      <c r="CT2219">
        <v>2</v>
      </c>
      <c r="CU2219">
        <v>0</v>
      </c>
      <c r="CV2219">
        <v>2</v>
      </c>
      <c r="CW2219">
        <v>0</v>
      </c>
      <c r="CX2219">
        <v>5</v>
      </c>
      <c r="CY2219">
        <v>7</v>
      </c>
      <c r="CZ2219" t="s">
        <v>131</v>
      </c>
      <c r="DA2219">
        <v>300</v>
      </c>
      <c r="DB2219">
        <v>0</v>
      </c>
      <c r="DC2219" t="s">
        <v>176</v>
      </c>
      <c r="DD2219" t="s">
        <v>177</v>
      </c>
      <c r="DG2219">
        <v>5405893</v>
      </c>
      <c r="DI2219">
        <v>1</v>
      </c>
      <c r="DJ2219">
        <v>0</v>
      </c>
      <c r="DK2219">
        <v>0</v>
      </c>
      <c r="DL2219">
        <v>0</v>
      </c>
      <c r="DM2219">
        <v>0</v>
      </c>
      <c r="DN2219">
        <v>1</v>
      </c>
      <c r="DO2219">
        <v>0</v>
      </c>
      <c r="DP2219">
        <v>0</v>
      </c>
      <c r="DQ2219">
        <v>0</v>
      </c>
      <c r="DR2219">
        <v>0</v>
      </c>
      <c r="DS2219">
        <v>0</v>
      </c>
    </row>
    <row r="2220" spans="1:123" x14ac:dyDescent="0.3">
      <c r="A2220" t="str">
        <f>"10/04/2022 19:31:25.245"</f>
        <v>10/04/2022 19:31:25.245</v>
      </c>
      <c r="C2220" t="str">
        <f t="shared" si="791"/>
        <v>FFDDD3C0</v>
      </c>
      <c r="D2220" t="s">
        <v>134</v>
      </c>
      <c r="E2220">
        <v>15</v>
      </c>
      <c r="J2220" t="s">
        <v>135</v>
      </c>
      <c r="K2220">
        <v>0</v>
      </c>
      <c r="L2220">
        <v>3</v>
      </c>
      <c r="M2220">
        <v>0</v>
      </c>
      <c r="N2220">
        <v>2</v>
      </c>
      <c r="O2220">
        <v>0</v>
      </c>
      <c r="P2220">
        <v>1</v>
      </c>
      <c r="Q2220">
        <v>0</v>
      </c>
      <c r="S2220" t="str">
        <f t="shared" si="789"/>
        <v>19:31:24.000</v>
      </c>
      <c r="T2220" t="str">
        <f t="shared" si="789"/>
        <v>19:31:24.000</v>
      </c>
      <c r="U2220" t="str">
        <f t="shared" si="778"/>
        <v>AC3944</v>
      </c>
      <c r="V2220">
        <v>0</v>
      </c>
      <c r="W2220">
        <v>0</v>
      </c>
      <c r="X2220">
        <v>2</v>
      </c>
      <c r="Y2220">
        <v>0</v>
      </c>
      <c r="AA2220">
        <v>1</v>
      </c>
      <c r="AB2220">
        <v>8</v>
      </c>
      <c r="AC2220">
        <v>3</v>
      </c>
      <c r="AD2220">
        <v>0</v>
      </c>
      <c r="AE2220">
        <v>9</v>
      </c>
      <c r="AF2220" t="s">
        <v>138</v>
      </c>
      <c r="AG2220">
        <v>0</v>
      </c>
      <c r="AH2220">
        <v>3</v>
      </c>
      <c r="AI2220">
        <v>1</v>
      </c>
      <c r="AJ2220">
        <v>0</v>
      </c>
      <c r="AK2220" t="s">
        <v>772</v>
      </c>
      <c r="AL2220">
        <v>32.769405999999996</v>
      </c>
      <c r="AM2220" t="s">
        <v>773</v>
      </c>
      <c r="AN2220">
        <v>-116.814902</v>
      </c>
      <c r="AO2220">
        <v>25</v>
      </c>
      <c r="AP2220">
        <v>3100</v>
      </c>
      <c r="AQ2220" t="s">
        <v>129</v>
      </c>
      <c r="AR2220">
        <v>120</v>
      </c>
      <c r="AS2220">
        <v>-52</v>
      </c>
      <c r="AT2220">
        <v>128</v>
      </c>
      <c r="BB2220">
        <v>1200</v>
      </c>
      <c r="BC2220">
        <v>1</v>
      </c>
      <c r="BD2220" t="str">
        <f t="shared" si="779"/>
        <v xml:space="preserve">N887QR  </v>
      </c>
      <c r="BE2220">
        <v>1</v>
      </c>
      <c r="BJ2220">
        <v>2775</v>
      </c>
      <c r="BK2220">
        <v>-325</v>
      </c>
      <c r="BL2220" t="s">
        <v>163</v>
      </c>
      <c r="BM2220">
        <v>1</v>
      </c>
      <c r="BN2220">
        <v>1</v>
      </c>
      <c r="BO2220">
        <v>1</v>
      </c>
      <c r="BP2220">
        <v>0</v>
      </c>
      <c r="BS2220">
        <v>0.08</v>
      </c>
      <c r="BT2220">
        <v>0</v>
      </c>
      <c r="BU2220">
        <v>0</v>
      </c>
      <c r="CE2220" t="str">
        <f t="shared" si="792"/>
        <v>19:31:24.870</v>
      </c>
      <c r="CF2220">
        <v>869833405</v>
      </c>
      <c r="CS2220">
        <v>0</v>
      </c>
      <c r="CT2220">
        <v>2</v>
      </c>
      <c r="CU2220">
        <v>0</v>
      </c>
      <c r="CV2220">
        <v>2</v>
      </c>
      <c r="CW2220">
        <v>0</v>
      </c>
      <c r="CX2220">
        <v>5</v>
      </c>
      <c r="CY2220">
        <v>7</v>
      </c>
      <c r="CZ2220" t="s">
        <v>131</v>
      </c>
      <c r="DA2220">
        <v>300</v>
      </c>
      <c r="DB2220">
        <v>0</v>
      </c>
      <c r="DC2220" t="s">
        <v>176</v>
      </c>
      <c r="DD2220" t="s">
        <v>177</v>
      </c>
      <c r="DG2220">
        <v>5405893</v>
      </c>
      <c r="DI2220">
        <v>1</v>
      </c>
      <c r="DJ2220">
        <v>0</v>
      </c>
      <c r="DK2220">
        <v>1</v>
      </c>
      <c r="DL2220">
        <v>0</v>
      </c>
      <c r="DM2220">
        <v>0</v>
      </c>
      <c r="DN2220">
        <v>1</v>
      </c>
      <c r="DO2220">
        <v>0</v>
      </c>
      <c r="DP2220">
        <v>0</v>
      </c>
      <c r="DQ2220">
        <v>0</v>
      </c>
      <c r="DR2220">
        <v>0</v>
      </c>
      <c r="DS2220">
        <v>0</v>
      </c>
    </row>
    <row r="2221" spans="1:123" x14ac:dyDescent="0.3">
      <c r="A2221" t="str">
        <f>"10/04/2022 19:31:25.245"</f>
        <v>10/04/2022 19:31:25.245</v>
      </c>
      <c r="C2221" t="str">
        <f t="shared" si="791"/>
        <v>FFDDD3C0</v>
      </c>
      <c r="D2221" t="s">
        <v>141</v>
      </c>
      <c r="E2221">
        <v>4</v>
      </c>
      <c r="H2221">
        <v>4</v>
      </c>
      <c r="I2221" t="s">
        <v>142</v>
      </c>
      <c r="J2221" t="s">
        <v>138</v>
      </c>
      <c r="K2221">
        <v>0</v>
      </c>
      <c r="L2221">
        <v>3</v>
      </c>
      <c r="M2221">
        <v>0</v>
      </c>
      <c r="N2221">
        <v>2</v>
      </c>
      <c r="O2221">
        <v>0</v>
      </c>
      <c r="P2221">
        <v>1</v>
      </c>
      <c r="Q2221">
        <v>0</v>
      </c>
      <c r="S2221" t="str">
        <f t="shared" si="789"/>
        <v>19:31:24.000</v>
      </c>
      <c r="T2221" t="str">
        <f t="shared" si="789"/>
        <v>19:31:24.000</v>
      </c>
      <c r="U2221" t="str">
        <f t="shared" si="778"/>
        <v>AC3944</v>
      </c>
      <c r="V2221">
        <v>0</v>
      </c>
      <c r="W2221">
        <v>0</v>
      </c>
      <c r="X2221">
        <v>2</v>
      </c>
      <c r="Y2221">
        <v>0</v>
      </c>
      <c r="AA2221">
        <v>1</v>
      </c>
      <c r="AB2221">
        <v>8</v>
      </c>
      <c r="AC2221">
        <v>3</v>
      </c>
      <c r="AD2221">
        <v>0</v>
      </c>
      <c r="AE2221">
        <v>9</v>
      </c>
      <c r="AF2221" t="s">
        <v>138</v>
      </c>
      <c r="AG2221">
        <v>0</v>
      </c>
      <c r="AH2221">
        <v>3</v>
      </c>
      <c r="AI2221">
        <v>1</v>
      </c>
      <c r="AJ2221">
        <v>0</v>
      </c>
      <c r="AK2221" t="s">
        <v>772</v>
      </c>
      <c r="AL2221">
        <v>32.769405999999996</v>
      </c>
      <c r="AM2221" t="s">
        <v>773</v>
      </c>
      <c r="AN2221">
        <v>-116.814902</v>
      </c>
      <c r="AO2221">
        <v>25</v>
      </c>
      <c r="AP2221">
        <v>3100</v>
      </c>
      <c r="AQ2221" t="s">
        <v>129</v>
      </c>
      <c r="AR2221">
        <v>120</v>
      </c>
      <c r="AS2221">
        <v>-52</v>
      </c>
      <c r="AT2221">
        <v>128</v>
      </c>
      <c r="BB2221">
        <v>1200</v>
      </c>
      <c r="BC2221">
        <v>1</v>
      </c>
      <c r="BD2221" t="str">
        <f t="shared" si="779"/>
        <v xml:space="preserve">N887QR  </v>
      </c>
      <c r="BE2221">
        <v>1</v>
      </c>
      <c r="BJ2221">
        <v>2775</v>
      </c>
      <c r="BK2221">
        <v>-325</v>
      </c>
      <c r="BL2221" t="s">
        <v>163</v>
      </c>
      <c r="BM2221">
        <v>1</v>
      </c>
      <c r="BN2221">
        <v>1</v>
      </c>
      <c r="BO2221">
        <v>1</v>
      </c>
      <c r="BP2221">
        <v>0</v>
      </c>
      <c r="BS2221">
        <v>0.08</v>
      </c>
      <c r="BT2221">
        <v>0</v>
      </c>
      <c r="BU2221">
        <v>0</v>
      </c>
      <c r="CE2221" t="str">
        <f t="shared" si="792"/>
        <v>19:31:24.870</v>
      </c>
      <c r="CF2221">
        <v>869833405</v>
      </c>
      <c r="CS2221">
        <v>0</v>
      </c>
      <c r="CT2221">
        <v>2</v>
      </c>
      <c r="CU2221">
        <v>0</v>
      </c>
      <c r="CV2221">
        <v>2</v>
      </c>
      <c r="CW2221">
        <v>0</v>
      </c>
      <c r="CX2221">
        <v>5</v>
      </c>
      <c r="CY2221">
        <v>7</v>
      </c>
      <c r="CZ2221" t="s">
        <v>131</v>
      </c>
      <c r="DA2221">
        <v>300</v>
      </c>
      <c r="DB2221">
        <v>0</v>
      </c>
      <c r="DC2221" t="s">
        <v>176</v>
      </c>
      <c r="DD2221" t="s">
        <v>177</v>
      </c>
      <c r="DG2221">
        <v>5405893</v>
      </c>
      <c r="DI2221">
        <v>1</v>
      </c>
      <c r="DJ2221">
        <v>0</v>
      </c>
      <c r="DK2221">
        <v>1</v>
      </c>
      <c r="DL2221">
        <v>0</v>
      </c>
      <c r="DM2221">
        <v>0</v>
      </c>
      <c r="DN2221">
        <v>1</v>
      </c>
      <c r="DO2221">
        <v>0</v>
      </c>
      <c r="DP2221">
        <v>0</v>
      </c>
      <c r="DQ2221">
        <v>0</v>
      </c>
      <c r="DR2221">
        <v>0</v>
      </c>
      <c r="DS2221">
        <v>0</v>
      </c>
    </row>
    <row r="2222" spans="1:123" x14ac:dyDescent="0.3">
      <c r="A2222" t="str">
        <f>"10/04/2022 19:31:25.292"</f>
        <v>10/04/2022 19:31:25.292</v>
      </c>
      <c r="C2222" t="str">
        <f t="shared" si="791"/>
        <v>FFDDD3C0</v>
      </c>
      <c r="D2222" t="s">
        <v>136</v>
      </c>
      <c r="E2222">
        <v>8</v>
      </c>
      <c r="H2222">
        <v>225</v>
      </c>
      <c r="I2222" t="s">
        <v>137</v>
      </c>
      <c r="J2222" t="s">
        <v>138</v>
      </c>
      <c r="K2222">
        <v>0</v>
      </c>
      <c r="L2222">
        <v>3</v>
      </c>
      <c r="M2222">
        <v>0</v>
      </c>
      <c r="N2222">
        <v>2</v>
      </c>
      <c r="O2222">
        <v>0</v>
      </c>
      <c r="P2222">
        <v>1</v>
      </c>
      <c r="Q2222">
        <v>0</v>
      </c>
      <c r="S2222" t="str">
        <f t="shared" si="789"/>
        <v>19:31:24.000</v>
      </c>
      <c r="T2222" t="str">
        <f t="shared" si="789"/>
        <v>19:31:24.000</v>
      </c>
      <c r="U2222" t="str">
        <f t="shared" si="778"/>
        <v>AC3944</v>
      </c>
      <c r="V2222">
        <v>0</v>
      </c>
      <c r="W2222">
        <v>0</v>
      </c>
      <c r="X2222">
        <v>2</v>
      </c>
      <c r="Y2222">
        <v>0</v>
      </c>
      <c r="AA2222">
        <v>1</v>
      </c>
      <c r="AB2222">
        <v>8</v>
      </c>
      <c r="AC2222">
        <v>3</v>
      </c>
      <c r="AD2222">
        <v>0</v>
      </c>
      <c r="AE2222">
        <v>9</v>
      </c>
      <c r="AF2222" t="s">
        <v>138</v>
      </c>
      <c r="AG2222">
        <v>0</v>
      </c>
      <c r="AH2222">
        <v>3</v>
      </c>
      <c r="AI2222">
        <v>1</v>
      </c>
      <c r="AJ2222">
        <v>0</v>
      </c>
      <c r="AK2222" t="s">
        <v>772</v>
      </c>
      <c r="AL2222">
        <v>32.769405999999996</v>
      </c>
      <c r="AM2222" t="s">
        <v>773</v>
      </c>
      <c r="AN2222">
        <v>-116.814902</v>
      </c>
      <c r="AO2222">
        <v>25</v>
      </c>
      <c r="AP2222">
        <v>3100</v>
      </c>
      <c r="AQ2222" t="s">
        <v>129</v>
      </c>
      <c r="AR2222">
        <v>120</v>
      </c>
      <c r="AS2222">
        <v>-52</v>
      </c>
      <c r="AT2222">
        <v>128</v>
      </c>
      <c r="BB2222">
        <v>1200</v>
      </c>
      <c r="BC2222">
        <v>1</v>
      </c>
      <c r="BD2222" t="str">
        <f t="shared" si="779"/>
        <v xml:space="preserve">N887QR  </v>
      </c>
      <c r="BE2222">
        <v>1</v>
      </c>
      <c r="BJ2222">
        <v>2775</v>
      </c>
      <c r="BK2222">
        <v>-325</v>
      </c>
      <c r="BL2222" t="s">
        <v>163</v>
      </c>
      <c r="BM2222">
        <v>1</v>
      </c>
      <c r="BN2222">
        <v>1</v>
      </c>
      <c r="BO2222">
        <v>1</v>
      </c>
      <c r="BP2222">
        <v>0</v>
      </c>
      <c r="BS2222">
        <v>0.08</v>
      </c>
      <c r="BT2222">
        <v>0</v>
      </c>
      <c r="BU2222">
        <v>0</v>
      </c>
      <c r="CE2222" t="str">
        <f t="shared" si="792"/>
        <v>19:31:24.870</v>
      </c>
      <c r="CF2222">
        <v>869833405</v>
      </c>
      <c r="CS2222">
        <v>0</v>
      </c>
      <c r="CT2222">
        <v>2</v>
      </c>
      <c r="CU2222">
        <v>0</v>
      </c>
      <c r="CV2222">
        <v>2</v>
      </c>
      <c r="CW2222">
        <v>0</v>
      </c>
      <c r="CX2222">
        <v>5</v>
      </c>
      <c r="CY2222">
        <v>7</v>
      </c>
      <c r="CZ2222" t="s">
        <v>131</v>
      </c>
      <c r="DA2222">
        <v>300</v>
      </c>
      <c r="DB2222">
        <v>0</v>
      </c>
      <c r="DC2222" t="s">
        <v>176</v>
      </c>
      <c r="DD2222" t="s">
        <v>177</v>
      </c>
      <c r="DG2222">
        <v>5405893</v>
      </c>
      <c r="DI2222">
        <v>1</v>
      </c>
      <c r="DJ2222">
        <v>0</v>
      </c>
      <c r="DK2222">
        <v>0</v>
      </c>
      <c r="DL2222">
        <v>0</v>
      </c>
      <c r="DM2222">
        <v>0</v>
      </c>
      <c r="DN2222">
        <v>1</v>
      </c>
      <c r="DO2222">
        <v>0</v>
      </c>
      <c r="DP2222">
        <v>0</v>
      </c>
      <c r="DQ2222">
        <v>0</v>
      </c>
      <c r="DR2222">
        <v>0</v>
      </c>
      <c r="DS2222">
        <v>0</v>
      </c>
    </row>
    <row r="2223" spans="1:123" x14ac:dyDescent="0.3">
      <c r="A2223" t="str">
        <f>"10/04/2022 19:31:25.292"</f>
        <v>10/04/2022 19:31:25.292</v>
      </c>
      <c r="C2223" t="str">
        <f t="shared" si="791"/>
        <v>FFDDD3C0</v>
      </c>
      <c r="D2223" t="s">
        <v>141</v>
      </c>
      <c r="E2223">
        <v>3</v>
      </c>
      <c r="H2223">
        <v>3</v>
      </c>
      <c r="I2223" t="s">
        <v>146</v>
      </c>
      <c r="J2223" t="s">
        <v>138</v>
      </c>
      <c r="K2223">
        <v>0</v>
      </c>
      <c r="L2223">
        <v>3</v>
      </c>
      <c r="M2223">
        <v>0</v>
      </c>
      <c r="N2223">
        <v>2</v>
      </c>
      <c r="O2223">
        <v>0</v>
      </c>
      <c r="P2223">
        <v>1</v>
      </c>
      <c r="Q2223">
        <v>0</v>
      </c>
      <c r="S2223" t="str">
        <f t="shared" si="789"/>
        <v>19:31:24.000</v>
      </c>
      <c r="T2223" t="str">
        <f t="shared" si="789"/>
        <v>19:31:24.000</v>
      </c>
      <c r="U2223" t="str">
        <f t="shared" si="778"/>
        <v>AC3944</v>
      </c>
      <c r="V2223">
        <v>0</v>
      </c>
      <c r="W2223">
        <v>0</v>
      </c>
      <c r="X2223">
        <v>2</v>
      </c>
      <c r="Y2223">
        <v>0</v>
      </c>
      <c r="AA2223">
        <v>1</v>
      </c>
      <c r="AB2223">
        <v>8</v>
      </c>
      <c r="AC2223">
        <v>3</v>
      </c>
      <c r="AD2223">
        <v>0</v>
      </c>
      <c r="AE2223">
        <v>9</v>
      </c>
      <c r="AF2223" t="s">
        <v>138</v>
      </c>
      <c r="AG2223">
        <v>0</v>
      </c>
      <c r="AH2223">
        <v>3</v>
      </c>
      <c r="AI2223">
        <v>1</v>
      </c>
      <c r="AJ2223">
        <v>0</v>
      </c>
      <c r="AK2223" t="s">
        <v>772</v>
      </c>
      <c r="AL2223">
        <v>32.769405999999996</v>
      </c>
      <c r="AM2223" t="s">
        <v>773</v>
      </c>
      <c r="AN2223">
        <v>-116.814902</v>
      </c>
      <c r="AO2223">
        <v>25</v>
      </c>
      <c r="AP2223">
        <v>3100</v>
      </c>
      <c r="AQ2223" t="s">
        <v>129</v>
      </c>
      <c r="AR2223">
        <v>120</v>
      </c>
      <c r="AS2223">
        <v>-52</v>
      </c>
      <c r="AT2223">
        <v>128</v>
      </c>
      <c r="BB2223">
        <v>1200</v>
      </c>
      <c r="BC2223">
        <v>1</v>
      </c>
      <c r="BD2223" t="str">
        <f t="shared" si="779"/>
        <v xml:space="preserve">N887QR  </v>
      </c>
      <c r="BE2223">
        <v>1</v>
      </c>
      <c r="BJ2223">
        <v>2775</v>
      </c>
      <c r="BK2223">
        <v>-325</v>
      </c>
      <c r="BL2223" t="s">
        <v>163</v>
      </c>
      <c r="BM2223">
        <v>1</v>
      </c>
      <c r="BN2223">
        <v>1</v>
      </c>
      <c r="BO2223">
        <v>1</v>
      </c>
      <c r="BP2223">
        <v>0</v>
      </c>
      <c r="BS2223">
        <v>0.08</v>
      </c>
      <c r="BT2223">
        <v>0</v>
      </c>
      <c r="BU2223">
        <v>0</v>
      </c>
      <c r="CE2223" t="str">
        <f t="shared" si="792"/>
        <v>19:31:24.870</v>
      </c>
      <c r="CF2223">
        <v>869833405</v>
      </c>
      <c r="CS2223">
        <v>0</v>
      </c>
      <c r="CT2223">
        <v>2</v>
      </c>
      <c r="CU2223">
        <v>0</v>
      </c>
      <c r="CV2223">
        <v>2</v>
      </c>
      <c r="CW2223">
        <v>0</v>
      </c>
      <c r="CX2223">
        <v>5</v>
      </c>
      <c r="CY2223">
        <v>7</v>
      </c>
      <c r="CZ2223" t="s">
        <v>131</v>
      </c>
      <c r="DA2223">
        <v>300</v>
      </c>
      <c r="DB2223">
        <v>0</v>
      </c>
      <c r="DC2223" t="s">
        <v>176</v>
      </c>
      <c r="DD2223" t="s">
        <v>177</v>
      </c>
      <c r="DG2223">
        <v>5405893</v>
      </c>
      <c r="DI2223">
        <v>1</v>
      </c>
      <c r="DJ2223">
        <v>0</v>
      </c>
      <c r="DK2223">
        <v>1</v>
      </c>
      <c r="DL2223">
        <v>0</v>
      </c>
      <c r="DM2223">
        <v>0</v>
      </c>
      <c r="DN2223">
        <v>1</v>
      </c>
      <c r="DO2223">
        <v>0</v>
      </c>
      <c r="DP2223">
        <v>0</v>
      </c>
      <c r="DQ2223">
        <v>0</v>
      </c>
      <c r="DR2223">
        <v>0</v>
      </c>
      <c r="DS2223">
        <v>0</v>
      </c>
    </row>
    <row r="2224" spans="1:123" x14ac:dyDescent="0.3">
      <c r="A2224" t="str">
        <f>"10/04/2022 19:31:25.292"</f>
        <v>10/04/2022 19:31:25.292</v>
      </c>
      <c r="C2224" t="str">
        <f t="shared" si="791"/>
        <v>FFDDD3C0</v>
      </c>
      <c r="D2224" t="s">
        <v>147</v>
      </c>
      <c r="E2224">
        <v>3</v>
      </c>
      <c r="H2224">
        <v>166</v>
      </c>
      <c r="I2224" t="s">
        <v>144</v>
      </c>
      <c r="J2224" t="s">
        <v>148</v>
      </c>
      <c r="K2224">
        <v>0</v>
      </c>
      <c r="L2224">
        <v>3</v>
      </c>
      <c r="M2224">
        <v>0</v>
      </c>
      <c r="N2224">
        <v>2</v>
      </c>
      <c r="O2224">
        <v>0</v>
      </c>
      <c r="P2224">
        <v>1</v>
      </c>
      <c r="Q2224">
        <v>0</v>
      </c>
      <c r="S2224" t="str">
        <f t="shared" si="789"/>
        <v>19:31:24.000</v>
      </c>
      <c r="T2224" t="str">
        <f t="shared" si="789"/>
        <v>19:31:24.000</v>
      </c>
      <c r="U2224" t="str">
        <f t="shared" si="778"/>
        <v>AC3944</v>
      </c>
      <c r="V2224">
        <v>0</v>
      </c>
      <c r="W2224">
        <v>0</v>
      </c>
      <c r="X2224">
        <v>2</v>
      </c>
      <c r="Y2224">
        <v>0</v>
      </c>
      <c r="AA2224">
        <v>1</v>
      </c>
      <c r="AB2224">
        <v>8</v>
      </c>
      <c r="AC2224">
        <v>3</v>
      </c>
      <c r="AD2224">
        <v>0</v>
      </c>
      <c r="AE2224">
        <v>9</v>
      </c>
      <c r="AF2224" t="s">
        <v>138</v>
      </c>
      <c r="AG2224">
        <v>0</v>
      </c>
      <c r="AH2224">
        <v>3</v>
      </c>
      <c r="AI2224">
        <v>1</v>
      </c>
      <c r="AJ2224">
        <v>0</v>
      </c>
      <c r="AK2224" t="s">
        <v>772</v>
      </c>
      <c r="AL2224">
        <v>32.769405999999996</v>
      </c>
      <c r="AM2224" t="s">
        <v>773</v>
      </c>
      <c r="AN2224">
        <v>-116.814902</v>
      </c>
      <c r="AO2224">
        <v>25</v>
      </c>
      <c r="AP2224">
        <v>3100</v>
      </c>
      <c r="AQ2224" t="s">
        <v>129</v>
      </c>
      <c r="AR2224">
        <v>120</v>
      </c>
      <c r="AS2224">
        <v>-52</v>
      </c>
      <c r="AT2224">
        <v>128</v>
      </c>
      <c r="BB2224">
        <v>1200</v>
      </c>
      <c r="BC2224">
        <v>1</v>
      </c>
      <c r="BD2224" t="str">
        <f t="shared" si="779"/>
        <v xml:space="preserve">N887QR  </v>
      </c>
      <c r="BE2224">
        <v>1</v>
      </c>
      <c r="BJ2224">
        <v>2775</v>
      </c>
      <c r="BK2224">
        <v>-325</v>
      </c>
      <c r="BL2224" t="s">
        <v>163</v>
      </c>
      <c r="BM2224">
        <v>1</v>
      </c>
      <c r="BN2224">
        <v>1</v>
      </c>
      <c r="BO2224">
        <v>1</v>
      </c>
      <c r="BP2224">
        <v>0</v>
      </c>
      <c r="BS2224">
        <v>0.08</v>
      </c>
      <c r="BT2224">
        <v>0</v>
      </c>
      <c r="BU2224">
        <v>0</v>
      </c>
      <c r="CE2224" t="str">
        <f t="shared" si="792"/>
        <v>19:31:24.870</v>
      </c>
      <c r="CF2224">
        <v>869833405</v>
      </c>
      <c r="CS2224">
        <v>0</v>
      </c>
      <c r="CT2224">
        <v>2</v>
      </c>
      <c r="CU2224">
        <v>0</v>
      </c>
      <c r="CV2224">
        <v>2</v>
      </c>
      <c r="CW2224">
        <v>0</v>
      </c>
      <c r="CX2224">
        <v>5</v>
      </c>
      <c r="CY2224">
        <v>7</v>
      </c>
      <c r="CZ2224" t="s">
        <v>131</v>
      </c>
      <c r="DA2224">
        <v>300</v>
      </c>
      <c r="DB2224">
        <v>0</v>
      </c>
      <c r="DC2224" t="s">
        <v>176</v>
      </c>
      <c r="DD2224" t="s">
        <v>177</v>
      </c>
      <c r="DG2224">
        <v>5405893</v>
      </c>
      <c r="DI2224">
        <v>1</v>
      </c>
      <c r="DJ2224">
        <v>0</v>
      </c>
      <c r="DK2224">
        <v>1</v>
      </c>
      <c r="DL2224">
        <v>0</v>
      </c>
      <c r="DM2224">
        <v>0</v>
      </c>
      <c r="DN2224">
        <v>1</v>
      </c>
      <c r="DO2224">
        <v>0</v>
      </c>
      <c r="DP2224">
        <v>0</v>
      </c>
      <c r="DQ2224">
        <v>0</v>
      </c>
      <c r="DR2224">
        <v>0</v>
      </c>
      <c r="DS2224">
        <v>0</v>
      </c>
    </row>
    <row r="2225" spans="1:123" x14ac:dyDescent="0.3">
      <c r="A2225" t="str">
        <f>"10/04/2022 19:31:25.308"</f>
        <v>10/04/2022 19:31:25.308</v>
      </c>
      <c r="C2225" t="str">
        <f t="shared" si="791"/>
        <v>FFDDD3C0</v>
      </c>
      <c r="D2225" t="s">
        <v>143</v>
      </c>
      <c r="E2225">
        <v>20</v>
      </c>
      <c r="F2225">
        <v>1020</v>
      </c>
      <c r="G2225" t="s">
        <v>144</v>
      </c>
      <c r="J2225" t="s">
        <v>145</v>
      </c>
      <c r="K2225">
        <v>0</v>
      </c>
      <c r="L2225">
        <v>3</v>
      </c>
      <c r="M2225">
        <v>0</v>
      </c>
      <c r="N2225">
        <v>2</v>
      </c>
      <c r="O2225">
        <v>0</v>
      </c>
      <c r="P2225">
        <v>1</v>
      </c>
      <c r="Q2225">
        <v>0</v>
      </c>
      <c r="S2225" t="str">
        <f t="shared" si="789"/>
        <v>19:31:24.000</v>
      </c>
      <c r="T2225" t="str">
        <f t="shared" si="789"/>
        <v>19:31:24.000</v>
      </c>
      <c r="U2225" t="str">
        <f t="shared" si="778"/>
        <v>AC3944</v>
      </c>
      <c r="V2225">
        <v>0</v>
      </c>
      <c r="W2225">
        <v>0</v>
      </c>
      <c r="X2225">
        <v>2</v>
      </c>
      <c r="Y2225">
        <v>0</v>
      </c>
      <c r="AA2225">
        <v>1</v>
      </c>
      <c r="AB2225">
        <v>8</v>
      </c>
      <c r="AC2225">
        <v>3</v>
      </c>
      <c r="AD2225">
        <v>0</v>
      </c>
      <c r="AE2225">
        <v>9</v>
      </c>
      <c r="AF2225" t="s">
        <v>138</v>
      </c>
      <c r="AG2225">
        <v>0</v>
      </c>
      <c r="AH2225">
        <v>3</v>
      </c>
      <c r="AI2225">
        <v>1</v>
      </c>
      <c r="AJ2225">
        <v>0</v>
      </c>
      <c r="AK2225" t="s">
        <v>772</v>
      </c>
      <c r="AL2225">
        <v>32.769405999999996</v>
      </c>
      <c r="AM2225" t="s">
        <v>773</v>
      </c>
      <c r="AN2225">
        <v>-116.814902</v>
      </c>
      <c r="AO2225">
        <v>25</v>
      </c>
      <c r="AP2225">
        <v>3100</v>
      </c>
      <c r="AQ2225" t="s">
        <v>129</v>
      </c>
      <c r="AR2225">
        <v>120</v>
      </c>
      <c r="AS2225">
        <v>-52</v>
      </c>
      <c r="AT2225">
        <v>128</v>
      </c>
      <c r="BB2225">
        <v>1200</v>
      </c>
      <c r="BC2225">
        <v>1</v>
      </c>
      <c r="BD2225" t="str">
        <f t="shared" si="779"/>
        <v xml:space="preserve">N887QR  </v>
      </c>
      <c r="BE2225">
        <v>1</v>
      </c>
      <c r="BJ2225">
        <v>2775</v>
      </c>
      <c r="BK2225">
        <v>-325</v>
      </c>
      <c r="BL2225" t="s">
        <v>163</v>
      </c>
      <c r="BM2225">
        <v>1</v>
      </c>
      <c r="BN2225">
        <v>1</v>
      </c>
      <c r="BO2225">
        <v>1</v>
      </c>
      <c r="BP2225">
        <v>0</v>
      </c>
      <c r="BS2225">
        <v>0.08</v>
      </c>
      <c r="BT2225">
        <v>0</v>
      </c>
      <c r="BU2225">
        <v>0</v>
      </c>
      <c r="CE2225" t="str">
        <f t="shared" si="792"/>
        <v>19:31:24.870</v>
      </c>
      <c r="CF2225">
        <v>869833405</v>
      </c>
      <c r="CS2225">
        <v>0</v>
      </c>
      <c r="CT2225">
        <v>2</v>
      </c>
      <c r="CU2225">
        <v>0</v>
      </c>
      <c r="CV2225">
        <v>2</v>
      </c>
      <c r="CW2225">
        <v>0</v>
      </c>
      <c r="CX2225">
        <v>5</v>
      </c>
      <c r="CY2225">
        <v>7</v>
      </c>
      <c r="CZ2225" t="s">
        <v>131</v>
      </c>
      <c r="DA2225">
        <v>300</v>
      </c>
      <c r="DB2225">
        <v>0</v>
      </c>
      <c r="DC2225" t="s">
        <v>176</v>
      </c>
      <c r="DD2225" t="s">
        <v>177</v>
      </c>
      <c r="DG2225">
        <v>5405893</v>
      </c>
      <c r="DI2225">
        <v>1</v>
      </c>
      <c r="DJ2225">
        <v>0</v>
      </c>
      <c r="DK2225">
        <v>1</v>
      </c>
      <c r="DL2225">
        <v>0</v>
      </c>
      <c r="DM2225">
        <v>0</v>
      </c>
      <c r="DN2225">
        <v>1</v>
      </c>
      <c r="DO2225">
        <v>0</v>
      </c>
      <c r="DP2225">
        <v>0</v>
      </c>
      <c r="DQ2225">
        <v>0</v>
      </c>
      <c r="DR2225">
        <v>0</v>
      </c>
      <c r="DS2225">
        <v>0</v>
      </c>
    </row>
    <row r="2226" spans="1:123" x14ac:dyDescent="0.3">
      <c r="A2226" t="str">
        <f>"10/04/2022 19:31:26.697"</f>
        <v>10/04/2022 19:31:26.697</v>
      </c>
      <c r="C2226" t="str">
        <f t="shared" si="791"/>
        <v>FFDDD3C0</v>
      </c>
      <c r="D2226" t="s">
        <v>147</v>
      </c>
      <c r="E2226">
        <v>3</v>
      </c>
      <c r="H2226">
        <v>166</v>
      </c>
      <c r="I2226" t="s">
        <v>144</v>
      </c>
      <c r="J2226" t="s">
        <v>148</v>
      </c>
      <c r="K2226">
        <v>0</v>
      </c>
      <c r="L2226">
        <v>3</v>
      </c>
      <c r="M2226">
        <v>0</v>
      </c>
      <c r="N2226">
        <v>2</v>
      </c>
      <c r="O2226">
        <v>0</v>
      </c>
      <c r="P2226">
        <v>1</v>
      </c>
      <c r="Q2226">
        <v>0</v>
      </c>
      <c r="S2226" t="str">
        <f>"19:31:26.000"</f>
        <v>19:31:26.000</v>
      </c>
      <c r="T2226" t="str">
        <f>"19:31:26.000"</f>
        <v>19:31:26.000</v>
      </c>
      <c r="U2226" t="str">
        <f t="shared" si="778"/>
        <v>AC3944</v>
      </c>
      <c r="V2226">
        <v>0</v>
      </c>
      <c r="W2226">
        <v>0</v>
      </c>
      <c r="X2226">
        <v>2</v>
      </c>
      <c r="Y2226">
        <v>0</v>
      </c>
      <c r="AA2226">
        <v>1</v>
      </c>
      <c r="AB2226">
        <v>8</v>
      </c>
      <c r="AC2226">
        <v>3</v>
      </c>
      <c r="AD2226">
        <v>0</v>
      </c>
      <c r="AE2226">
        <v>9</v>
      </c>
      <c r="AF2226" t="s">
        <v>138</v>
      </c>
      <c r="AG2226">
        <v>0</v>
      </c>
      <c r="AH2226">
        <v>3</v>
      </c>
      <c r="AI2226">
        <v>1</v>
      </c>
      <c r="AJ2226">
        <v>0</v>
      </c>
      <c r="AK2226" t="s">
        <v>774</v>
      </c>
      <c r="AL2226">
        <v>32.769170000000003</v>
      </c>
      <c r="AM2226" t="s">
        <v>775</v>
      </c>
      <c r="AN2226">
        <v>-116.81423700000001</v>
      </c>
      <c r="AO2226">
        <v>25</v>
      </c>
      <c r="AP2226">
        <v>3100</v>
      </c>
      <c r="AQ2226" t="s">
        <v>129</v>
      </c>
      <c r="AR2226">
        <v>119</v>
      </c>
      <c r="AS2226">
        <v>-53</v>
      </c>
      <c r="AT2226">
        <v>128</v>
      </c>
      <c r="BB2226">
        <v>1200</v>
      </c>
      <c r="BC2226">
        <v>1</v>
      </c>
      <c r="BD2226" t="str">
        <f t="shared" si="779"/>
        <v xml:space="preserve">N887QR  </v>
      </c>
      <c r="BE2226">
        <v>1</v>
      </c>
      <c r="BJ2226">
        <v>2775</v>
      </c>
      <c r="BK2226">
        <v>-325</v>
      </c>
      <c r="BL2226" t="s">
        <v>163</v>
      </c>
      <c r="BM2226">
        <v>1</v>
      </c>
      <c r="BN2226">
        <v>1</v>
      </c>
      <c r="BO2226">
        <v>1</v>
      </c>
      <c r="BP2226">
        <v>0</v>
      </c>
      <c r="BS2226">
        <v>0.08</v>
      </c>
      <c r="BT2226">
        <v>0</v>
      </c>
      <c r="BU2226">
        <v>0</v>
      </c>
      <c r="CE2226" t="str">
        <f>"19:31:26.005"</f>
        <v>19:31:26.005</v>
      </c>
      <c r="CF2226">
        <v>5337236</v>
      </c>
      <c r="CS2226">
        <v>0</v>
      </c>
      <c r="CT2226">
        <v>2</v>
      </c>
      <c r="CU2226">
        <v>0</v>
      </c>
      <c r="CV2226">
        <v>2</v>
      </c>
      <c r="CW2226">
        <v>0</v>
      </c>
      <c r="CX2226">
        <v>5</v>
      </c>
      <c r="CY2226">
        <v>7</v>
      </c>
      <c r="CZ2226" t="s">
        <v>131</v>
      </c>
      <c r="DA2226">
        <v>300</v>
      </c>
      <c r="DB2226">
        <v>0</v>
      </c>
      <c r="DC2226" t="s">
        <v>176</v>
      </c>
      <c r="DD2226" t="s">
        <v>177</v>
      </c>
      <c r="DG2226">
        <v>5406072</v>
      </c>
      <c r="DI2226">
        <v>1</v>
      </c>
      <c r="DJ2226">
        <v>0</v>
      </c>
      <c r="DK2226">
        <v>0</v>
      </c>
      <c r="DL2226">
        <v>0</v>
      </c>
      <c r="DM2226">
        <v>0</v>
      </c>
      <c r="DN2226">
        <v>1</v>
      </c>
      <c r="DO2226">
        <v>0</v>
      </c>
      <c r="DP2226">
        <v>0</v>
      </c>
      <c r="DQ2226">
        <v>0</v>
      </c>
      <c r="DR2226">
        <v>0</v>
      </c>
      <c r="DS2226">
        <v>0</v>
      </c>
    </row>
    <row r="2227" spans="1:123" x14ac:dyDescent="0.3">
      <c r="A2227" t="str">
        <f t="shared" ref="A2227:A2232" si="793">"10/04/2022 19:31:27.683"</f>
        <v>10/04/2022 19:31:27.683</v>
      </c>
      <c r="C2227" t="str">
        <f t="shared" si="791"/>
        <v>FFDDD3C0</v>
      </c>
      <c r="D2227" t="s">
        <v>136</v>
      </c>
      <c r="E2227">
        <v>8</v>
      </c>
      <c r="H2227">
        <v>225</v>
      </c>
      <c r="I2227" t="s">
        <v>137</v>
      </c>
      <c r="J2227" t="s">
        <v>138</v>
      </c>
      <c r="K2227">
        <v>0</v>
      </c>
      <c r="L2227">
        <v>3</v>
      </c>
      <c r="M2227">
        <v>0</v>
      </c>
      <c r="N2227">
        <v>2</v>
      </c>
      <c r="O2227">
        <v>0</v>
      </c>
      <c r="P2227">
        <v>1</v>
      </c>
      <c r="Q2227">
        <v>0</v>
      </c>
      <c r="S2227" t="str">
        <f t="shared" ref="S2227:T2233" si="794">"19:31:27.000"</f>
        <v>19:31:27.000</v>
      </c>
      <c r="T2227" t="str">
        <f t="shared" si="794"/>
        <v>19:31:27.000</v>
      </c>
      <c r="U2227" t="str">
        <f t="shared" si="778"/>
        <v>AC3944</v>
      </c>
      <c r="V2227">
        <v>0</v>
      </c>
      <c r="W2227">
        <v>0</v>
      </c>
      <c r="X2227">
        <v>2</v>
      </c>
      <c r="Y2227">
        <v>0</v>
      </c>
      <c r="AA2227">
        <v>1</v>
      </c>
      <c r="AB2227">
        <v>8</v>
      </c>
      <c r="AC2227">
        <v>3</v>
      </c>
      <c r="AD2227">
        <v>0</v>
      </c>
      <c r="AE2227">
        <v>9</v>
      </c>
      <c r="AF2227" t="s">
        <v>138</v>
      </c>
      <c r="AG2227">
        <v>0</v>
      </c>
      <c r="AH2227">
        <v>3</v>
      </c>
      <c r="AI2227">
        <v>1</v>
      </c>
      <c r="AJ2227">
        <v>0</v>
      </c>
      <c r="AK2227" t="s">
        <v>776</v>
      </c>
      <c r="AL2227">
        <v>32.768869000000002</v>
      </c>
      <c r="AM2227" t="s">
        <v>777</v>
      </c>
      <c r="AN2227">
        <v>-116.81344300000001</v>
      </c>
      <c r="AO2227">
        <v>25</v>
      </c>
      <c r="AP2227">
        <v>3100</v>
      </c>
      <c r="AQ2227" t="s">
        <v>129</v>
      </c>
      <c r="AR2227">
        <v>119</v>
      </c>
      <c r="AS2227">
        <v>-55</v>
      </c>
      <c r="AT2227">
        <v>128</v>
      </c>
      <c r="BB2227">
        <v>1200</v>
      </c>
      <c r="BC2227">
        <v>1</v>
      </c>
      <c r="BD2227" t="str">
        <f t="shared" si="779"/>
        <v xml:space="preserve">N887QR  </v>
      </c>
      <c r="BE2227">
        <v>1</v>
      </c>
      <c r="BJ2227">
        <v>2800</v>
      </c>
      <c r="BK2227">
        <v>-300</v>
      </c>
      <c r="BL2227" t="s">
        <v>163</v>
      </c>
      <c r="BM2227">
        <v>1</v>
      </c>
      <c r="BN2227">
        <v>1</v>
      </c>
      <c r="BO2227">
        <v>1</v>
      </c>
      <c r="BP2227">
        <v>0</v>
      </c>
      <c r="BS2227">
        <v>0.08</v>
      </c>
      <c r="BT2227">
        <v>0</v>
      </c>
      <c r="BU2227">
        <v>0</v>
      </c>
      <c r="CE2227" t="str">
        <f t="shared" ref="CE2227:CE2233" si="795">"19:31:27.462"</f>
        <v>19:31:27.462</v>
      </c>
      <c r="CF2227">
        <v>462342134</v>
      </c>
      <c r="CS2227">
        <v>0</v>
      </c>
      <c r="CT2227">
        <v>2</v>
      </c>
      <c r="CU2227">
        <v>0</v>
      </c>
      <c r="CV2227">
        <v>2</v>
      </c>
      <c r="CW2227">
        <v>0</v>
      </c>
      <c r="CX2227">
        <v>5</v>
      </c>
      <c r="CY2227">
        <v>7</v>
      </c>
      <c r="CZ2227" t="s">
        <v>131</v>
      </c>
      <c r="DA2227">
        <v>300</v>
      </c>
      <c r="DB2227">
        <v>0</v>
      </c>
      <c r="DC2227" t="s">
        <v>176</v>
      </c>
      <c r="DD2227" t="s">
        <v>177</v>
      </c>
      <c r="DG2227">
        <v>5406298</v>
      </c>
      <c r="DI2227">
        <v>1</v>
      </c>
      <c r="DJ2227">
        <v>0</v>
      </c>
      <c r="DK2227">
        <v>0</v>
      </c>
      <c r="DL2227">
        <v>0</v>
      </c>
      <c r="DM2227">
        <v>0</v>
      </c>
      <c r="DN2227">
        <v>1</v>
      </c>
      <c r="DO2227">
        <v>0</v>
      </c>
      <c r="DP2227">
        <v>0</v>
      </c>
      <c r="DQ2227">
        <v>0</v>
      </c>
      <c r="DR2227">
        <v>0</v>
      </c>
      <c r="DS2227">
        <v>0</v>
      </c>
    </row>
    <row r="2228" spans="1:123" x14ac:dyDescent="0.3">
      <c r="A2228" t="str">
        <f t="shared" si="793"/>
        <v>10/04/2022 19:31:27.683</v>
      </c>
      <c r="C2228" t="str">
        <f t="shared" si="791"/>
        <v>FFDDD3C0</v>
      </c>
      <c r="D2228" t="s">
        <v>141</v>
      </c>
      <c r="E2228">
        <v>3</v>
      </c>
      <c r="H2228">
        <v>3</v>
      </c>
      <c r="I2228" t="s">
        <v>146</v>
      </c>
      <c r="J2228" t="s">
        <v>138</v>
      </c>
      <c r="K2228">
        <v>0</v>
      </c>
      <c r="L2228">
        <v>3</v>
      </c>
      <c r="M2228">
        <v>0</v>
      </c>
      <c r="N2228">
        <v>2</v>
      </c>
      <c r="O2228">
        <v>0</v>
      </c>
      <c r="P2228">
        <v>1</v>
      </c>
      <c r="Q2228">
        <v>0</v>
      </c>
      <c r="S2228" t="str">
        <f t="shared" si="794"/>
        <v>19:31:27.000</v>
      </c>
      <c r="T2228" t="str">
        <f t="shared" si="794"/>
        <v>19:31:27.000</v>
      </c>
      <c r="U2228" t="str">
        <f t="shared" si="778"/>
        <v>AC3944</v>
      </c>
      <c r="V2228">
        <v>0</v>
      </c>
      <c r="W2228">
        <v>0</v>
      </c>
      <c r="X2228">
        <v>2</v>
      </c>
      <c r="Y2228">
        <v>0</v>
      </c>
      <c r="AA2228">
        <v>1</v>
      </c>
      <c r="AB2228">
        <v>8</v>
      </c>
      <c r="AC2228">
        <v>3</v>
      </c>
      <c r="AD2228">
        <v>0</v>
      </c>
      <c r="AE2228">
        <v>9</v>
      </c>
      <c r="AF2228" t="s">
        <v>138</v>
      </c>
      <c r="AG2228">
        <v>0</v>
      </c>
      <c r="AH2228">
        <v>3</v>
      </c>
      <c r="AI2228">
        <v>1</v>
      </c>
      <c r="AJ2228">
        <v>0</v>
      </c>
      <c r="AK2228" t="s">
        <v>776</v>
      </c>
      <c r="AL2228">
        <v>32.768869000000002</v>
      </c>
      <c r="AM2228" t="s">
        <v>777</v>
      </c>
      <c r="AN2228">
        <v>-116.81344300000001</v>
      </c>
      <c r="AO2228">
        <v>25</v>
      </c>
      <c r="AP2228">
        <v>3100</v>
      </c>
      <c r="AQ2228" t="s">
        <v>129</v>
      </c>
      <c r="AR2228">
        <v>119</v>
      </c>
      <c r="AS2228">
        <v>-55</v>
      </c>
      <c r="AT2228">
        <v>128</v>
      </c>
      <c r="BB2228">
        <v>1200</v>
      </c>
      <c r="BC2228">
        <v>1</v>
      </c>
      <c r="BD2228" t="str">
        <f t="shared" si="779"/>
        <v xml:space="preserve">N887QR  </v>
      </c>
      <c r="BE2228">
        <v>1</v>
      </c>
      <c r="BJ2228">
        <v>2800</v>
      </c>
      <c r="BK2228">
        <v>-300</v>
      </c>
      <c r="BL2228" t="s">
        <v>163</v>
      </c>
      <c r="BM2228">
        <v>1</v>
      </c>
      <c r="BN2228">
        <v>1</v>
      </c>
      <c r="BO2228">
        <v>1</v>
      </c>
      <c r="BP2228">
        <v>0</v>
      </c>
      <c r="BS2228">
        <v>0.08</v>
      </c>
      <c r="BT2228">
        <v>0</v>
      </c>
      <c r="BU2228">
        <v>0</v>
      </c>
      <c r="CE2228" t="str">
        <f t="shared" si="795"/>
        <v>19:31:27.462</v>
      </c>
      <c r="CF2228">
        <v>462342134</v>
      </c>
      <c r="CS2228">
        <v>0</v>
      </c>
      <c r="CT2228">
        <v>2</v>
      </c>
      <c r="CU2228">
        <v>0</v>
      </c>
      <c r="CV2228">
        <v>2</v>
      </c>
      <c r="CW2228">
        <v>0</v>
      </c>
      <c r="CX2228">
        <v>5</v>
      </c>
      <c r="CY2228">
        <v>7</v>
      </c>
      <c r="CZ2228" t="s">
        <v>131</v>
      </c>
      <c r="DA2228">
        <v>300</v>
      </c>
      <c r="DB2228">
        <v>0</v>
      </c>
      <c r="DC2228" t="s">
        <v>176</v>
      </c>
      <c r="DD2228" t="s">
        <v>177</v>
      </c>
      <c r="DG2228">
        <v>5406298</v>
      </c>
      <c r="DI2228">
        <v>1</v>
      </c>
      <c r="DJ2228">
        <v>0</v>
      </c>
      <c r="DK2228">
        <v>1</v>
      </c>
      <c r="DL2228">
        <v>0</v>
      </c>
      <c r="DM2228">
        <v>0</v>
      </c>
      <c r="DN2228">
        <v>1</v>
      </c>
      <c r="DO2228">
        <v>0</v>
      </c>
      <c r="DP2228">
        <v>0</v>
      </c>
      <c r="DQ2228">
        <v>0</v>
      </c>
      <c r="DR2228">
        <v>0</v>
      </c>
      <c r="DS2228">
        <v>0</v>
      </c>
    </row>
    <row r="2229" spans="1:123" x14ac:dyDescent="0.3">
      <c r="A2229" t="str">
        <f t="shared" si="793"/>
        <v>10/04/2022 19:31:27.683</v>
      </c>
      <c r="C2229" t="str">
        <f t="shared" si="791"/>
        <v>FFDDD3C0</v>
      </c>
      <c r="D2229" t="s">
        <v>147</v>
      </c>
      <c r="E2229">
        <v>3</v>
      </c>
      <c r="H2229">
        <v>166</v>
      </c>
      <c r="I2229" t="s">
        <v>144</v>
      </c>
      <c r="J2229" t="s">
        <v>148</v>
      </c>
      <c r="K2229">
        <v>0</v>
      </c>
      <c r="L2229">
        <v>3</v>
      </c>
      <c r="M2229">
        <v>0</v>
      </c>
      <c r="N2229">
        <v>2</v>
      </c>
      <c r="O2229">
        <v>0</v>
      </c>
      <c r="P2229">
        <v>1</v>
      </c>
      <c r="Q2229">
        <v>0</v>
      </c>
      <c r="S2229" t="str">
        <f t="shared" si="794"/>
        <v>19:31:27.000</v>
      </c>
      <c r="T2229" t="str">
        <f t="shared" si="794"/>
        <v>19:31:27.000</v>
      </c>
      <c r="U2229" t="str">
        <f t="shared" si="778"/>
        <v>AC3944</v>
      </c>
      <c r="V2229">
        <v>0</v>
      </c>
      <c r="W2229">
        <v>0</v>
      </c>
      <c r="X2229">
        <v>2</v>
      </c>
      <c r="Y2229">
        <v>0</v>
      </c>
      <c r="AA2229">
        <v>1</v>
      </c>
      <c r="AB2229">
        <v>8</v>
      </c>
      <c r="AC2229">
        <v>3</v>
      </c>
      <c r="AD2229">
        <v>0</v>
      </c>
      <c r="AE2229">
        <v>9</v>
      </c>
      <c r="AF2229" t="s">
        <v>138</v>
      </c>
      <c r="AG2229">
        <v>0</v>
      </c>
      <c r="AH2229">
        <v>3</v>
      </c>
      <c r="AI2229">
        <v>1</v>
      </c>
      <c r="AJ2229">
        <v>0</v>
      </c>
      <c r="AK2229" t="s">
        <v>776</v>
      </c>
      <c r="AL2229">
        <v>32.768869000000002</v>
      </c>
      <c r="AM2229" t="s">
        <v>777</v>
      </c>
      <c r="AN2229">
        <v>-116.81344300000001</v>
      </c>
      <c r="AO2229">
        <v>25</v>
      </c>
      <c r="AP2229">
        <v>3100</v>
      </c>
      <c r="AQ2229" t="s">
        <v>129</v>
      </c>
      <c r="AR2229">
        <v>119</v>
      </c>
      <c r="AS2229">
        <v>-55</v>
      </c>
      <c r="AT2229">
        <v>128</v>
      </c>
      <c r="BB2229">
        <v>1200</v>
      </c>
      <c r="BC2229">
        <v>1</v>
      </c>
      <c r="BD2229" t="str">
        <f t="shared" si="779"/>
        <v xml:space="preserve">N887QR  </v>
      </c>
      <c r="BE2229">
        <v>1</v>
      </c>
      <c r="BJ2229">
        <v>2800</v>
      </c>
      <c r="BK2229">
        <v>-300</v>
      </c>
      <c r="BL2229" t="s">
        <v>163</v>
      </c>
      <c r="BM2229">
        <v>1</v>
      </c>
      <c r="BN2229">
        <v>1</v>
      </c>
      <c r="BO2229">
        <v>1</v>
      </c>
      <c r="BP2229">
        <v>0</v>
      </c>
      <c r="BS2229">
        <v>0.08</v>
      </c>
      <c r="BT2229">
        <v>0</v>
      </c>
      <c r="BU2229">
        <v>0</v>
      </c>
      <c r="CE2229" t="str">
        <f t="shared" si="795"/>
        <v>19:31:27.462</v>
      </c>
      <c r="CF2229">
        <v>462342134</v>
      </c>
      <c r="CS2229">
        <v>0</v>
      </c>
      <c r="CT2229">
        <v>2</v>
      </c>
      <c r="CU2229">
        <v>0</v>
      </c>
      <c r="CV2229">
        <v>2</v>
      </c>
      <c r="CW2229">
        <v>0</v>
      </c>
      <c r="CX2229">
        <v>5</v>
      </c>
      <c r="CY2229">
        <v>7</v>
      </c>
      <c r="CZ2229" t="s">
        <v>131</v>
      </c>
      <c r="DA2229">
        <v>300</v>
      </c>
      <c r="DB2229">
        <v>0</v>
      </c>
      <c r="DC2229" t="s">
        <v>176</v>
      </c>
      <c r="DD2229" t="s">
        <v>177</v>
      </c>
      <c r="DG2229">
        <v>5406298</v>
      </c>
      <c r="DI2229">
        <v>1</v>
      </c>
      <c r="DJ2229">
        <v>0</v>
      </c>
      <c r="DK2229">
        <v>1</v>
      </c>
      <c r="DL2229">
        <v>0</v>
      </c>
      <c r="DM2229">
        <v>0</v>
      </c>
      <c r="DN2229">
        <v>1</v>
      </c>
      <c r="DO2229">
        <v>0</v>
      </c>
      <c r="DP2229">
        <v>0</v>
      </c>
      <c r="DQ2229">
        <v>0</v>
      </c>
      <c r="DR2229">
        <v>0</v>
      </c>
      <c r="DS2229">
        <v>0</v>
      </c>
    </row>
    <row r="2230" spans="1:123" x14ac:dyDescent="0.3">
      <c r="A2230" t="str">
        <f t="shared" si="793"/>
        <v>10/04/2022 19:31:27.683</v>
      </c>
      <c r="C2230" t="str">
        <f t="shared" si="791"/>
        <v>FFDDD3C0</v>
      </c>
      <c r="D2230" t="s">
        <v>143</v>
      </c>
      <c r="E2230">
        <v>20</v>
      </c>
      <c r="F2230">
        <v>1020</v>
      </c>
      <c r="G2230" t="s">
        <v>144</v>
      </c>
      <c r="J2230" t="s">
        <v>145</v>
      </c>
      <c r="K2230">
        <v>0</v>
      </c>
      <c r="L2230">
        <v>3</v>
      </c>
      <c r="M2230">
        <v>0</v>
      </c>
      <c r="N2230">
        <v>2</v>
      </c>
      <c r="O2230">
        <v>0</v>
      </c>
      <c r="P2230">
        <v>1</v>
      </c>
      <c r="Q2230">
        <v>0</v>
      </c>
      <c r="S2230" t="str">
        <f t="shared" si="794"/>
        <v>19:31:27.000</v>
      </c>
      <c r="T2230" t="str">
        <f t="shared" si="794"/>
        <v>19:31:27.000</v>
      </c>
      <c r="U2230" t="str">
        <f t="shared" si="778"/>
        <v>AC3944</v>
      </c>
      <c r="V2230">
        <v>0</v>
      </c>
      <c r="W2230">
        <v>0</v>
      </c>
      <c r="X2230">
        <v>2</v>
      </c>
      <c r="Y2230">
        <v>0</v>
      </c>
      <c r="AA2230">
        <v>1</v>
      </c>
      <c r="AB2230">
        <v>8</v>
      </c>
      <c r="AC2230">
        <v>3</v>
      </c>
      <c r="AD2230">
        <v>0</v>
      </c>
      <c r="AE2230">
        <v>9</v>
      </c>
      <c r="AF2230" t="s">
        <v>138</v>
      </c>
      <c r="AG2230">
        <v>0</v>
      </c>
      <c r="AH2230">
        <v>3</v>
      </c>
      <c r="AI2230">
        <v>1</v>
      </c>
      <c r="AJ2230">
        <v>0</v>
      </c>
      <c r="AK2230" t="s">
        <v>776</v>
      </c>
      <c r="AL2230">
        <v>32.768869000000002</v>
      </c>
      <c r="AM2230" t="s">
        <v>777</v>
      </c>
      <c r="AN2230">
        <v>-116.81344300000001</v>
      </c>
      <c r="AO2230">
        <v>25</v>
      </c>
      <c r="AP2230">
        <v>3100</v>
      </c>
      <c r="AQ2230" t="s">
        <v>129</v>
      </c>
      <c r="AR2230">
        <v>119</v>
      </c>
      <c r="AS2230">
        <v>-55</v>
      </c>
      <c r="AT2230">
        <v>128</v>
      </c>
      <c r="BB2230">
        <v>1200</v>
      </c>
      <c r="BC2230">
        <v>1</v>
      </c>
      <c r="BD2230" t="str">
        <f t="shared" si="779"/>
        <v xml:space="preserve">N887QR  </v>
      </c>
      <c r="BE2230">
        <v>1</v>
      </c>
      <c r="BJ2230">
        <v>2800</v>
      </c>
      <c r="BK2230">
        <v>-300</v>
      </c>
      <c r="BL2230" t="s">
        <v>163</v>
      </c>
      <c r="BM2230">
        <v>1</v>
      </c>
      <c r="BN2230">
        <v>1</v>
      </c>
      <c r="BO2230">
        <v>1</v>
      </c>
      <c r="BP2230">
        <v>0</v>
      </c>
      <c r="BS2230">
        <v>0.08</v>
      </c>
      <c r="BT2230">
        <v>0</v>
      </c>
      <c r="BU2230">
        <v>0</v>
      </c>
      <c r="CE2230" t="str">
        <f t="shared" si="795"/>
        <v>19:31:27.462</v>
      </c>
      <c r="CF2230">
        <v>462342134</v>
      </c>
      <c r="CS2230">
        <v>0</v>
      </c>
      <c r="CT2230">
        <v>2</v>
      </c>
      <c r="CU2230">
        <v>0</v>
      </c>
      <c r="CV2230">
        <v>2</v>
      </c>
      <c r="CW2230">
        <v>0</v>
      </c>
      <c r="CX2230">
        <v>5</v>
      </c>
      <c r="CY2230">
        <v>7</v>
      </c>
      <c r="CZ2230" t="s">
        <v>131</v>
      </c>
      <c r="DA2230">
        <v>300</v>
      </c>
      <c r="DB2230">
        <v>0</v>
      </c>
      <c r="DC2230" t="s">
        <v>176</v>
      </c>
      <c r="DD2230" t="s">
        <v>177</v>
      </c>
      <c r="DG2230">
        <v>5406298</v>
      </c>
      <c r="DI2230">
        <v>1</v>
      </c>
      <c r="DJ2230">
        <v>0</v>
      </c>
      <c r="DK2230">
        <v>1</v>
      </c>
      <c r="DL2230">
        <v>0</v>
      </c>
      <c r="DM2230">
        <v>0</v>
      </c>
      <c r="DN2230">
        <v>1</v>
      </c>
      <c r="DO2230">
        <v>0</v>
      </c>
      <c r="DP2230">
        <v>0</v>
      </c>
      <c r="DQ2230">
        <v>0</v>
      </c>
      <c r="DR2230">
        <v>0</v>
      </c>
      <c r="DS2230">
        <v>0</v>
      </c>
    </row>
    <row r="2231" spans="1:123" x14ac:dyDescent="0.3">
      <c r="A2231" t="str">
        <f t="shared" si="793"/>
        <v>10/04/2022 19:31:27.683</v>
      </c>
      <c r="C2231" t="str">
        <f t="shared" si="791"/>
        <v>FFDDD3C0</v>
      </c>
      <c r="D2231" t="s">
        <v>123</v>
      </c>
      <c r="E2231">
        <v>7</v>
      </c>
      <c r="F2231">
        <v>2007</v>
      </c>
      <c r="G2231" t="s">
        <v>124</v>
      </c>
      <c r="J2231" t="s">
        <v>125</v>
      </c>
      <c r="K2231">
        <v>0</v>
      </c>
      <c r="L2231">
        <v>3</v>
      </c>
      <c r="M2231">
        <v>0</v>
      </c>
      <c r="N2231">
        <v>2</v>
      </c>
      <c r="O2231">
        <v>0</v>
      </c>
      <c r="P2231">
        <v>1</v>
      </c>
      <c r="Q2231">
        <v>0</v>
      </c>
      <c r="S2231" t="str">
        <f t="shared" si="794"/>
        <v>19:31:27.000</v>
      </c>
      <c r="T2231" t="str">
        <f t="shared" si="794"/>
        <v>19:31:27.000</v>
      </c>
      <c r="U2231" t="str">
        <f t="shared" si="778"/>
        <v>AC3944</v>
      </c>
      <c r="V2231">
        <v>0</v>
      </c>
      <c r="W2231">
        <v>0</v>
      </c>
      <c r="X2231">
        <v>2</v>
      </c>
      <c r="Y2231">
        <v>0</v>
      </c>
      <c r="AA2231">
        <v>1</v>
      </c>
      <c r="AB2231">
        <v>8</v>
      </c>
      <c r="AC2231">
        <v>3</v>
      </c>
      <c r="AD2231">
        <v>0</v>
      </c>
      <c r="AE2231">
        <v>9</v>
      </c>
      <c r="AF2231" t="s">
        <v>138</v>
      </c>
      <c r="AG2231">
        <v>0</v>
      </c>
      <c r="AH2231">
        <v>3</v>
      </c>
      <c r="AI2231">
        <v>1</v>
      </c>
      <c r="AJ2231">
        <v>0</v>
      </c>
      <c r="AK2231" t="s">
        <v>776</v>
      </c>
      <c r="AL2231">
        <v>32.768869000000002</v>
      </c>
      <c r="AM2231" t="s">
        <v>777</v>
      </c>
      <c r="AN2231">
        <v>-116.81344300000001</v>
      </c>
      <c r="AO2231">
        <v>25</v>
      </c>
      <c r="AP2231">
        <v>3100</v>
      </c>
      <c r="AQ2231" t="s">
        <v>129</v>
      </c>
      <c r="AR2231">
        <v>119</v>
      </c>
      <c r="AS2231">
        <v>-55</v>
      </c>
      <c r="AT2231">
        <v>128</v>
      </c>
      <c r="BB2231">
        <v>1200</v>
      </c>
      <c r="BC2231">
        <v>1</v>
      </c>
      <c r="BD2231" t="str">
        <f t="shared" si="779"/>
        <v xml:space="preserve">N887QR  </v>
      </c>
      <c r="BE2231">
        <v>1</v>
      </c>
      <c r="BJ2231">
        <v>2800</v>
      </c>
      <c r="BK2231">
        <v>-300</v>
      </c>
      <c r="BL2231" t="s">
        <v>163</v>
      </c>
      <c r="BM2231">
        <v>1</v>
      </c>
      <c r="BN2231">
        <v>1</v>
      </c>
      <c r="BO2231">
        <v>1</v>
      </c>
      <c r="BP2231">
        <v>0</v>
      </c>
      <c r="BS2231">
        <v>0.08</v>
      </c>
      <c r="BT2231">
        <v>0</v>
      </c>
      <c r="BU2231">
        <v>0</v>
      </c>
      <c r="CE2231" t="str">
        <f t="shared" si="795"/>
        <v>19:31:27.462</v>
      </c>
      <c r="CF2231">
        <v>462342134</v>
      </c>
      <c r="CS2231">
        <v>0</v>
      </c>
      <c r="CT2231">
        <v>2</v>
      </c>
      <c r="CU2231">
        <v>0</v>
      </c>
      <c r="CV2231">
        <v>2</v>
      </c>
      <c r="CW2231">
        <v>0</v>
      </c>
      <c r="CX2231">
        <v>5</v>
      </c>
      <c r="CY2231">
        <v>7</v>
      </c>
      <c r="CZ2231" t="s">
        <v>131</v>
      </c>
      <c r="DA2231">
        <v>300</v>
      </c>
      <c r="DB2231">
        <v>0</v>
      </c>
      <c r="DC2231" t="s">
        <v>176</v>
      </c>
      <c r="DD2231" t="s">
        <v>177</v>
      </c>
      <c r="DG2231">
        <v>5406298</v>
      </c>
      <c r="DI2231">
        <v>1</v>
      </c>
      <c r="DJ2231">
        <v>0</v>
      </c>
      <c r="DK2231">
        <v>1</v>
      </c>
      <c r="DL2231">
        <v>0</v>
      </c>
      <c r="DM2231">
        <v>0</v>
      </c>
      <c r="DN2231">
        <v>1</v>
      </c>
      <c r="DO2231">
        <v>0</v>
      </c>
      <c r="DP2231">
        <v>0</v>
      </c>
      <c r="DQ2231">
        <v>0</v>
      </c>
      <c r="DR2231">
        <v>0</v>
      </c>
      <c r="DS2231">
        <v>0</v>
      </c>
    </row>
    <row r="2232" spans="1:123" x14ac:dyDescent="0.3">
      <c r="A2232" t="str">
        <f t="shared" si="793"/>
        <v>10/04/2022 19:31:27.683</v>
      </c>
      <c r="C2232" t="str">
        <f t="shared" si="791"/>
        <v>FFDDD3C0</v>
      </c>
      <c r="D2232" t="s">
        <v>141</v>
      </c>
      <c r="E2232">
        <v>4</v>
      </c>
      <c r="H2232">
        <v>4</v>
      </c>
      <c r="I2232" t="s">
        <v>142</v>
      </c>
      <c r="J2232" t="s">
        <v>138</v>
      </c>
      <c r="K2232">
        <v>0</v>
      </c>
      <c r="L2232">
        <v>3</v>
      </c>
      <c r="M2232">
        <v>0</v>
      </c>
      <c r="N2232">
        <v>2</v>
      </c>
      <c r="O2232">
        <v>0</v>
      </c>
      <c r="P2232">
        <v>1</v>
      </c>
      <c r="Q2232">
        <v>0</v>
      </c>
      <c r="S2232" t="str">
        <f t="shared" si="794"/>
        <v>19:31:27.000</v>
      </c>
      <c r="T2232" t="str">
        <f t="shared" si="794"/>
        <v>19:31:27.000</v>
      </c>
      <c r="U2232" t="str">
        <f t="shared" si="778"/>
        <v>AC3944</v>
      </c>
      <c r="V2232">
        <v>0</v>
      </c>
      <c r="W2232">
        <v>0</v>
      </c>
      <c r="X2232">
        <v>2</v>
      </c>
      <c r="Y2232">
        <v>0</v>
      </c>
      <c r="AA2232">
        <v>1</v>
      </c>
      <c r="AB2232">
        <v>8</v>
      </c>
      <c r="AC2232">
        <v>3</v>
      </c>
      <c r="AD2232">
        <v>0</v>
      </c>
      <c r="AE2232">
        <v>9</v>
      </c>
      <c r="AF2232" t="s">
        <v>138</v>
      </c>
      <c r="AG2232">
        <v>0</v>
      </c>
      <c r="AH2232">
        <v>3</v>
      </c>
      <c r="AI2232">
        <v>1</v>
      </c>
      <c r="AJ2232">
        <v>0</v>
      </c>
      <c r="AK2232" t="s">
        <v>776</v>
      </c>
      <c r="AL2232">
        <v>32.768869000000002</v>
      </c>
      <c r="AM2232" t="s">
        <v>777</v>
      </c>
      <c r="AN2232">
        <v>-116.81344300000001</v>
      </c>
      <c r="AO2232">
        <v>25</v>
      </c>
      <c r="AP2232">
        <v>3100</v>
      </c>
      <c r="AQ2232" t="s">
        <v>129</v>
      </c>
      <c r="AR2232">
        <v>119</v>
      </c>
      <c r="AS2232">
        <v>-55</v>
      </c>
      <c r="AT2232">
        <v>128</v>
      </c>
      <c r="BB2232">
        <v>1200</v>
      </c>
      <c r="BC2232">
        <v>1</v>
      </c>
      <c r="BD2232" t="str">
        <f t="shared" si="779"/>
        <v xml:space="preserve">N887QR  </v>
      </c>
      <c r="BE2232">
        <v>1</v>
      </c>
      <c r="BJ2232">
        <v>2800</v>
      </c>
      <c r="BK2232">
        <v>-300</v>
      </c>
      <c r="BL2232" t="s">
        <v>163</v>
      </c>
      <c r="BM2232">
        <v>1</v>
      </c>
      <c r="BN2232">
        <v>1</v>
      </c>
      <c r="BO2232">
        <v>1</v>
      </c>
      <c r="BP2232">
        <v>0</v>
      </c>
      <c r="BS2232">
        <v>0.08</v>
      </c>
      <c r="BT2232">
        <v>0</v>
      </c>
      <c r="BU2232">
        <v>0</v>
      </c>
      <c r="CE2232" t="str">
        <f t="shared" si="795"/>
        <v>19:31:27.462</v>
      </c>
      <c r="CF2232">
        <v>462342134</v>
      </c>
      <c r="CS2232">
        <v>0</v>
      </c>
      <c r="CT2232">
        <v>2</v>
      </c>
      <c r="CU2232">
        <v>0</v>
      </c>
      <c r="CV2232">
        <v>2</v>
      </c>
      <c r="CW2232">
        <v>0</v>
      </c>
      <c r="CX2232">
        <v>5</v>
      </c>
      <c r="CY2232">
        <v>7</v>
      </c>
      <c r="CZ2232" t="s">
        <v>131</v>
      </c>
      <c r="DA2232">
        <v>300</v>
      </c>
      <c r="DB2232">
        <v>0</v>
      </c>
      <c r="DC2232" t="s">
        <v>176</v>
      </c>
      <c r="DD2232" t="s">
        <v>177</v>
      </c>
      <c r="DG2232">
        <v>5406298</v>
      </c>
      <c r="DI2232">
        <v>1</v>
      </c>
      <c r="DJ2232">
        <v>0</v>
      </c>
      <c r="DK2232">
        <v>1</v>
      </c>
      <c r="DL2232">
        <v>0</v>
      </c>
      <c r="DM2232">
        <v>0</v>
      </c>
      <c r="DN2232">
        <v>1</v>
      </c>
      <c r="DO2232">
        <v>0</v>
      </c>
      <c r="DP2232">
        <v>0</v>
      </c>
      <c r="DQ2232">
        <v>0</v>
      </c>
      <c r="DR2232">
        <v>0</v>
      </c>
      <c r="DS2232">
        <v>0</v>
      </c>
    </row>
    <row r="2233" spans="1:123" x14ac:dyDescent="0.3">
      <c r="A2233" t="str">
        <f>"10/04/2022 19:31:27.886"</f>
        <v>10/04/2022 19:31:27.886</v>
      </c>
      <c r="C2233" t="str">
        <f t="shared" si="791"/>
        <v>FFDDD3C0</v>
      </c>
      <c r="D2233" t="s">
        <v>134</v>
      </c>
      <c r="E2233">
        <v>15</v>
      </c>
      <c r="J2233" t="s">
        <v>135</v>
      </c>
      <c r="K2233">
        <v>0</v>
      </c>
      <c r="L2233">
        <v>3</v>
      </c>
      <c r="M2233">
        <v>0</v>
      </c>
      <c r="N2233">
        <v>2</v>
      </c>
      <c r="O2233">
        <v>0</v>
      </c>
      <c r="P2233">
        <v>1</v>
      </c>
      <c r="Q2233">
        <v>0</v>
      </c>
      <c r="S2233" t="str">
        <f t="shared" si="794"/>
        <v>19:31:27.000</v>
      </c>
      <c r="T2233" t="str">
        <f t="shared" si="794"/>
        <v>19:31:27.000</v>
      </c>
      <c r="U2233" t="str">
        <f t="shared" si="778"/>
        <v>AC3944</v>
      </c>
      <c r="V2233">
        <v>0</v>
      </c>
      <c r="W2233">
        <v>0</v>
      </c>
      <c r="X2233">
        <v>2</v>
      </c>
      <c r="Y2233">
        <v>0</v>
      </c>
      <c r="AA2233">
        <v>1</v>
      </c>
      <c r="AB2233">
        <v>8</v>
      </c>
      <c r="AC2233">
        <v>3</v>
      </c>
      <c r="AD2233">
        <v>0</v>
      </c>
      <c r="AE2233">
        <v>9</v>
      </c>
      <c r="AF2233" t="s">
        <v>138</v>
      </c>
      <c r="AG2233">
        <v>0</v>
      </c>
      <c r="AH2233">
        <v>3</v>
      </c>
      <c r="AI2233">
        <v>1</v>
      </c>
      <c r="AJ2233">
        <v>0</v>
      </c>
      <c r="AK2233" t="s">
        <v>776</v>
      </c>
      <c r="AL2233">
        <v>32.768869000000002</v>
      </c>
      <c r="AM2233" t="s">
        <v>777</v>
      </c>
      <c r="AN2233">
        <v>-116.81344300000001</v>
      </c>
      <c r="AO2233">
        <v>25</v>
      </c>
      <c r="AP2233">
        <v>3100</v>
      </c>
      <c r="AQ2233" t="s">
        <v>129</v>
      </c>
      <c r="AR2233">
        <v>119</v>
      </c>
      <c r="AS2233">
        <v>-55</v>
      </c>
      <c r="AT2233">
        <v>128</v>
      </c>
      <c r="BB2233">
        <v>1200</v>
      </c>
      <c r="BC2233">
        <v>1</v>
      </c>
      <c r="BD2233" t="str">
        <f t="shared" si="779"/>
        <v xml:space="preserve">N887QR  </v>
      </c>
      <c r="BE2233">
        <v>1</v>
      </c>
      <c r="BJ2233">
        <v>2800</v>
      </c>
      <c r="BK2233">
        <v>-300</v>
      </c>
      <c r="BL2233" t="s">
        <v>163</v>
      </c>
      <c r="BM2233">
        <v>1</v>
      </c>
      <c r="BN2233">
        <v>1</v>
      </c>
      <c r="BO2233">
        <v>1</v>
      </c>
      <c r="BP2233">
        <v>0</v>
      </c>
      <c r="BS2233">
        <v>0.08</v>
      </c>
      <c r="BT2233">
        <v>0</v>
      </c>
      <c r="BU2233">
        <v>0</v>
      </c>
      <c r="CE2233" t="str">
        <f t="shared" si="795"/>
        <v>19:31:27.462</v>
      </c>
      <c r="CF2233">
        <v>462342134</v>
      </c>
      <c r="CS2233">
        <v>0</v>
      </c>
      <c r="CT2233">
        <v>2</v>
      </c>
      <c r="CU2233">
        <v>0</v>
      </c>
      <c r="CV2233">
        <v>2</v>
      </c>
      <c r="CW2233">
        <v>0</v>
      </c>
      <c r="CX2233">
        <v>5</v>
      </c>
      <c r="CY2233">
        <v>7</v>
      </c>
      <c r="CZ2233" t="s">
        <v>131</v>
      </c>
      <c r="DA2233">
        <v>300</v>
      </c>
      <c r="DB2233">
        <v>0</v>
      </c>
      <c r="DC2233" t="s">
        <v>176</v>
      </c>
      <c r="DD2233" t="s">
        <v>177</v>
      </c>
      <c r="DG2233">
        <v>5406298</v>
      </c>
      <c r="DI2233">
        <v>1</v>
      </c>
      <c r="DJ2233">
        <v>0</v>
      </c>
      <c r="DK2233">
        <v>1</v>
      </c>
      <c r="DL2233">
        <v>0</v>
      </c>
      <c r="DM2233">
        <v>0</v>
      </c>
      <c r="DN2233">
        <v>1</v>
      </c>
      <c r="DO2233">
        <v>0</v>
      </c>
      <c r="DP2233">
        <v>0</v>
      </c>
      <c r="DQ2233">
        <v>0</v>
      </c>
      <c r="DR2233">
        <v>0</v>
      </c>
      <c r="DS2233">
        <v>0</v>
      </c>
    </row>
    <row r="2234" spans="1:123" x14ac:dyDescent="0.3">
      <c r="A2234" t="str">
        <f t="shared" ref="A2234:A2239" si="796">"10/04/2022 19:31:28.511"</f>
        <v>10/04/2022 19:31:28.511</v>
      </c>
      <c r="C2234" t="str">
        <f t="shared" si="791"/>
        <v>FFDDD3C0</v>
      </c>
      <c r="D2234" t="s">
        <v>147</v>
      </c>
      <c r="E2234">
        <v>3</v>
      </c>
      <c r="H2234">
        <v>166</v>
      </c>
      <c r="I2234" t="s">
        <v>144</v>
      </c>
      <c r="J2234" t="s">
        <v>148</v>
      </c>
      <c r="K2234">
        <v>0</v>
      </c>
      <c r="L2234">
        <v>3</v>
      </c>
      <c r="M2234">
        <v>0</v>
      </c>
      <c r="N2234">
        <v>2</v>
      </c>
      <c r="O2234">
        <v>0</v>
      </c>
      <c r="P2234">
        <v>1</v>
      </c>
      <c r="Q2234">
        <v>0</v>
      </c>
      <c r="S2234" t="str">
        <f t="shared" ref="S2234:T2240" si="797">"19:31:28.000"</f>
        <v>19:31:28.000</v>
      </c>
      <c r="T2234" t="str">
        <f t="shared" si="797"/>
        <v>19:31:28.000</v>
      </c>
      <c r="U2234" t="str">
        <f t="shared" si="778"/>
        <v>AC3944</v>
      </c>
      <c r="V2234">
        <v>0</v>
      </c>
      <c r="W2234">
        <v>0</v>
      </c>
      <c r="X2234">
        <v>2</v>
      </c>
      <c r="Y2234">
        <v>0</v>
      </c>
      <c r="AA2234">
        <v>1</v>
      </c>
      <c r="AB2234">
        <v>8</v>
      </c>
      <c r="AC2234">
        <v>3</v>
      </c>
      <c r="AD2234">
        <v>0</v>
      </c>
      <c r="AE2234">
        <v>9</v>
      </c>
      <c r="AF2234" t="s">
        <v>138</v>
      </c>
      <c r="AG2234">
        <v>0</v>
      </c>
      <c r="AH2234">
        <v>3</v>
      </c>
      <c r="AI2234">
        <v>1</v>
      </c>
      <c r="AJ2234">
        <v>0</v>
      </c>
      <c r="AK2234" t="s">
        <v>778</v>
      </c>
      <c r="AL2234">
        <v>32.768611999999997</v>
      </c>
      <c r="AM2234" t="s">
        <v>779</v>
      </c>
      <c r="AN2234">
        <v>-116.81277799999999</v>
      </c>
      <c r="AO2234">
        <v>25</v>
      </c>
      <c r="AP2234">
        <v>3100</v>
      </c>
      <c r="AQ2234" t="s">
        <v>129</v>
      </c>
      <c r="AR2234">
        <v>119</v>
      </c>
      <c r="AS2234">
        <v>-56</v>
      </c>
      <c r="AT2234">
        <v>192</v>
      </c>
      <c r="BB2234">
        <v>1200</v>
      </c>
      <c r="BC2234">
        <v>1</v>
      </c>
      <c r="BD2234" t="str">
        <f t="shared" si="779"/>
        <v xml:space="preserve">N887QR  </v>
      </c>
      <c r="BE2234">
        <v>1</v>
      </c>
      <c r="BJ2234">
        <v>2800</v>
      </c>
      <c r="BK2234">
        <v>-300</v>
      </c>
      <c r="BL2234" t="s">
        <v>163</v>
      </c>
      <c r="BM2234">
        <v>1</v>
      </c>
      <c r="BN2234">
        <v>1</v>
      </c>
      <c r="BO2234">
        <v>1</v>
      </c>
      <c r="BP2234">
        <v>0</v>
      </c>
      <c r="BS2234">
        <v>0.08</v>
      </c>
      <c r="BT2234">
        <v>0</v>
      </c>
      <c r="BU2234">
        <v>0</v>
      </c>
      <c r="CE2234" t="str">
        <f t="shared" ref="CE2234:CE2240" si="798">"19:31:28.215"</f>
        <v>19:31:28.215</v>
      </c>
      <c r="CF2234">
        <v>214844700</v>
      </c>
      <c r="CS2234">
        <v>0</v>
      </c>
      <c r="CT2234">
        <v>2</v>
      </c>
      <c r="CU2234">
        <v>0</v>
      </c>
      <c r="CV2234">
        <v>2</v>
      </c>
      <c r="CW2234">
        <v>0</v>
      </c>
      <c r="CX2234">
        <v>5</v>
      </c>
      <c r="CY2234">
        <v>7</v>
      </c>
      <c r="CZ2234" t="s">
        <v>131</v>
      </c>
      <c r="DA2234">
        <v>300</v>
      </c>
      <c r="DB2234">
        <v>0</v>
      </c>
      <c r="DC2234" t="s">
        <v>176</v>
      </c>
      <c r="DD2234" t="s">
        <v>177</v>
      </c>
      <c r="DG2234">
        <v>5406418</v>
      </c>
      <c r="DI2234">
        <v>1</v>
      </c>
      <c r="DJ2234">
        <v>0</v>
      </c>
      <c r="DK2234">
        <v>0</v>
      </c>
      <c r="DL2234">
        <v>0</v>
      </c>
      <c r="DM2234">
        <v>0</v>
      </c>
      <c r="DN2234">
        <v>1</v>
      </c>
      <c r="DO2234">
        <v>0</v>
      </c>
      <c r="DP2234">
        <v>0</v>
      </c>
      <c r="DQ2234">
        <v>0</v>
      </c>
      <c r="DR2234">
        <v>0</v>
      </c>
      <c r="DS2234">
        <v>0</v>
      </c>
    </row>
    <row r="2235" spans="1:123" x14ac:dyDescent="0.3">
      <c r="A2235" t="str">
        <f t="shared" si="796"/>
        <v>10/04/2022 19:31:28.511</v>
      </c>
      <c r="C2235" t="str">
        <f t="shared" si="791"/>
        <v>FFDDD3C0</v>
      </c>
      <c r="D2235" t="s">
        <v>136</v>
      </c>
      <c r="E2235">
        <v>8</v>
      </c>
      <c r="H2235">
        <v>225</v>
      </c>
      <c r="I2235" t="s">
        <v>137</v>
      </c>
      <c r="J2235" t="s">
        <v>138</v>
      </c>
      <c r="K2235">
        <v>0</v>
      </c>
      <c r="L2235">
        <v>3</v>
      </c>
      <c r="M2235">
        <v>0</v>
      </c>
      <c r="N2235">
        <v>2</v>
      </c>
      <c r="O2235">
        <v>0</v>
      </c>
      <c r="P2235">
        <v>1</v>
      </c>
      <c r="Q2235">
        <v>0</v>
      </c>
      <c r="S2235" t="str">
        <f t="shared" si="797"/>
        <v>19:31:28.000</v>
      </c>
      <c r="T2235" t="str">
        <f t="shared" si="797"/>
        <v>19:31:28.000</v>
      </c>
      <c r="U2235" t="str">
        <f t="shared" si="778"/>
        <v>AC3944</v>
      </c>
      <c r="V2235">
        <v>0</v>
      </c>
      <c r="W2235">
        <v>0</v>
      </c>
      <c r="X2235">
        <v>2</v>
      </c>
      <c r="Y2235">
        <v>0</v>
      </c>
      <c r="AA2235">
        <v>1</v>
      </c>
      <c r="AB2235">
        <v>8</v>
      </c>
      <c r="AC2235">
        <v>3</v>
      </c>
      <c r="AD2235">
        <v>0</v>
      </c>
      <c r="AE2235">
        <v>9</v>
      </c>
      <c r="AF2235" t="s">
        <v>138</v>
      </c>
      <c r="AG2235">
        <v>0</v>
      </c>
      <c r="AH2235">
        <v>3</v>
      </c>
      <c r="AI2235">
        <v>1</v>
      </c>
      <c r="AJ2235">
        <v>0</v>
      </c>
      <c r="AK2235" t="s">
        <v>778</v>
      </c>
      <c r="AL2235">
        <v>32.768611999999997</v>
      </c>
      <c r="AM2235" t="s">
        <v>779</v>
      </c>
      <c r="AN2235">
        <v>-116.81277799999999</v>
      </c>
      <c r="AO2235">
        <v>25</v>
      </c>
      <c r="AP2235">
        <v>3100</v>
      </c>
      <c r="AQ2235" t="s">
        <v>129</v>
      </c>
      <c r="AR2235">
        <v>119</v>
      </c>
      <c r="AS2235">
        <v>-56</v>
      </c>
      <c r="AT2235">
        <v>192</v>
      </c>
      <c r="BB2235">
        <v>1200</v>
      </c>
      <c r="BC2235">
        <v>1</v>
      </c>
      <c r="BD2235" t="str">
        <f t="shared" si="779"/>
        <v xml:space="preserve">N887QR  </v>
      </c>
      <c r="BE2235">
        <v>1</v>
      </c>
      <c r="BJ2235">
        <v>2800</v>
      </c>
      <c r="BK2235">
        <v>-300</v>
      </c>
      <c r="BL2235" t="s">
        <v>163</v>
      </c>
      <c r="BM2235">
        <v>1</v>
      </c>
      <c r="BN2235">
        <v>1</v>
      </c>
      <c r="BO2235">
        <v>1</v>
      </c>
      <c r="BP2235">
        <v>0</v>
      </c>
      <c r="BS2235">
        <v>0.08</v>
      </c>
      <c r="BT2235">
        <v>0</v>
      </c>
      <c r="BU2235">
        <v>0</v>
      </c>
      <c r="CE2235" t="str">
        <f t="shared" si="798"/>
        <v>19:31:28.215</v>
      </c>
      <c r="CF2235">
        <v>214844700</v>
      </c>
      <c r="CS2235">
        <v>0</v>
      </c>
      <c r="CT2235">
        <v>2</v>
      </c>
      <c r="CU2235">
        <v>0</v>
      </c>
      <c r="CV2235">
        <v>2</v>
      </c>
      <c r="CW2235">
        <v>0</v>
      </c>
      <c r="CX2235">
        <v>5</v>
      </c>
      <c r="CY2235">
        <v>7</v>
      </c>
      <c r="CZ2235" t="s">
        <v>131</v>
      </c>
      <c r="DA2235">
        <v>300</v>
      </c>
      <c r="DB2235">
        <v>0</v>
      </c>
      <c r="DC2235" t="s">
        <v>176</v>
      </c>
      <c r="DD2235" t="s">
        <v>177</v>
      </c>
      <c r="DG2235">
        <v>5406418</v>
      </c>
      <c r="DI2235">
        <v>1</v>
      </c>
      <c r="DJ2235">
        <v>0</v>
      </c>
      <c r="DK2235">
        <v>1</v>
      </c>
      <c r="DL2235">
        <v>0</v>
      </c>
      <c r="DM2235">
        <v>0</v>
      </c>
      <c r="DN2235">
        <v>1</v>
      </c>
      <c r="DO2235">
        <v>0</v>
      </c>
      <c r="DP2235">
        <v>0</v>
      </c>
      <c r="DQ2235">
        <v>0</v>
      </c>
      <c r="DR2235">
        <v>0</v>
      </c>
      <c r="DS2235">
        <v>0</v>
      </c>
    </row>
    <row r="2236" spans="1:123" x14ac:dyDescent="0.3">
      <c r="A2236" t="str">
        <f t="shared" si="796"/>
        <v>10/04/2022 19:31:28.511</v>
      </c>
      <c r="C2236" t="str">
        <f t="shared" si="791"/>
        <v>FFDDD3C0</v>
      </c>
      <c r="D2236" t="s">
        <v>143</v>
      </c>
      <c r="E2236">
        <v>20</v>
      </c>
      <c r="F2236">
        <v>1020</v>
      </c>
      <c r="G2236" t="s">
        <v>144</v>
      </c>
      <c r="J2236" t="s">
        <v>145</v>
      </c>
      <c r="K2236">
        <v>0</v>
      </c>
      <c r="L2236">
        <v>3</v>
      </c>
      <c r="M2236">
        <v>0</v>
      </c>
      <c r="N2236">
        <v>2</v>
      </c>
      <c r="O2236">
        <v>0</v>
      </c>
      <c r="P2236">
        <v>1</v>
      </c>
      <c r="Q2236">
        <v>0</v>
      </c>
      <c r="S2236" t="str">
        <f t="shared" si="797"/>
        <v>19:31:28.000</v>
      </c>
      <c r="T2236" t="str">
        <f t="shared" si="797"/>
        <v>19:31:28.000</v>
      </c>
      <c r="U2236" t="str">
        <f t="shared" si="778"/>
        <v>AC3944</v>
      </c>
      <c r="V2236">
        <v>0</v>
      </c>
      <c r="W2236">
        <v>0</v>
      </c>
      <c r="X2236">
        <v>2</v>
      </c>
      <c r="Y2236">
        <v>0</v>
      </c>
      <c r="AA2236">
        <v>1</v>
      </c>
      <c r="AB2236">
        <v>8</v>
      </c>
      <c r="AC2236">
        <v>3</v>
      </c>
      <c r="AD2236">
        <v>0</v>
      </c>
      <c r="AE2236">
        <v>9</v>
      </c>
      <c r="AF2236" t="s">
        <v>138</v>
      </c>
      <c r="AG2236">
        <v>0</v>
      </c>
      <c r="AH2236">
        <v>3</v>
      </c>
      <c r="AI2236">
        <v>1</v>
      </c>
      <c r="AJ2236">
        <v>0</v>
      </c>
      <c r="AK2236" t="s">
        <v>778</v>
      </c>
      <c r="AL2236">
        <v>32.768611999999997</v>
      </c>
      <c r="AM2236" t="s">
        <v>779</v>
      </c>
      <c r="AN2236">
        <v>-116.81277799999999</v>
      </c>
      <c r="AO2236">
        <v>25</v>
      </c>
      <c r="AP2236">
        <v>3100</v>
      </c>
      <c r="AQ2236" t="s">
        <v>129</v>
      </c>
      <c r="AR2236">
        <v>119</v>
      </c>
      <c r="AS2236">
        <v>-56</v>
      </c>
      <c r="AT2236">
        <v>192</v>
      </c>
      <c r="BB2236">
        <v>1200</v>
      </c>
      <c r="BC2236">
        <v>1</v>
      </c>
      <c r="BD2236" t="str">
        <f t="shared" si="779"/>
        <v xml:space="preserve">N887QR  </v>
      </c>
      <c r="BE2236">
        <v>1</v>
      </c>
      <c r="BJ2236">
        <v>2800</v>
      </c>
      <c r="BK2236">
        <v>-300</v>
      </c>
      <c r="BL2236" t="s">
        <v>163</v>
      </c>
      <c r="BM2236">
        <v>1</v>
      </c>
      <c r="BN2236">
        <v>1</v>
      </c>
      <c r="BO2236">
        <v>1</v>
      </c>
      <c r="BP2236">
        <v>0</v>
      </c>
      <c r="BS2236">
        <v>0.08</v>
      </c>
      <c r="BT2236">
        <v>0</v>
      </c>
      <c r="BU2236">
        <v>0</v>
      </c>
      <c r="CE2236" t="str">
        <f t="shared" si="798"/>
        <v>19:31:28.215</v>
      </c>
      <c r="CF2236">
        <v>214844700</v>
      </c>
      <c r="CS2236">
        <v>0</v>
      </c>
      <c r="CT2236">
        <v>2</v>
      </c>
      <c r="CU2236">
        <v>0</v>
      </c>
      <c r="CV2236">
        <v>2</v>
      </c>
      <c r="CW2236">
        <v>0</v>
      </c>
      <c r="CX2236">
        <v>5</v>
      </c>
      <c r="CY2236">
        <v>7</v>
      </c>
      <c r="CZ2236" t="s">
        <v>131</v>
      </c>
      <c r="DA2236">
        <v>300</v>
      </c>
      <c r="DB2236">
        <v>0</v>
      </c>
      <c r="DC2236" t="s">
        <v>176</v>
      </c>
      <c r="DD2236" t="s">
        <v>177</v>
      </c>
      <c r="DG2236">
        <v>5406418</v>
      </c>
      <c r="DI2236">
        <v>1</v>
      </c>
      <c r="DJ2236">
        <v>0</v>
      </c>
      <c r="DK2236">
        <v>1</v>
      </c>
      <c r="DL2236">
        <v>0</v>
      </c>
      <c r="DM2236">
        <v>0</v>
      </c>
      <c r="DN2236">
        <v>1</v>
      </c>
      <c r="DO2236">
        <v>0</v>
      </c>
      <c r="DP2236">
        <v>0</v>
      </c>
      <c r="DQ2236">
        <v>0</v>
      </c>
      <c r="DR2236">
        <v>0</v>
      </c>
      <c r="DS2236">
        <v>0</v>
      </c>
    </row>
    <row r="2237" spans="1:123" x14ac:dyDescent="0.3">
      <c r="A2237" t="str">
        <f t="shared" si="796"/>
        <v>10/04/2022 19:31:28.511</v>
      </c>
      <c r="C2237" t="str">
        <f t="shared" si="791"/>
        <v>FFDDD3C0</v>
      </c>
      <c r="D2237" t="s">
        <v>141</v>
      </c>
      <c r="E2237">
        <v>3</v>
      </c>
      <c r="H2237">
        <v>3</v>
      </c>
      <c r="I2237" t="s">
        <v>146</v>
      </c>
      <c r="J2237" t="s">
        <v>138</v>
      </c>
      <c r="K2237">
        <v>0</v>
      </c>
      <c r="L2237">
        <v>3</v>
      </c>
      <c r="M2237">
        <v>0</v>
      </c>
      <c r="N2237">
        <v>2</v>
      </c>
      <c r="O2237">
        <v>0</v>
      </c>
      <c r="P2237">
        <v>1</v>
      </c>
      <c r="Q2237">
        <v>0</v>
      </c>
      <c r="S2237" t="str">
        <f t="shared" si="797"/>
        <v>19:31:28.000</v>
      </c>
      <c r="T2237" t="str">
        <f t="shared" si="797"/>
        <v>19:31:28.000</v>
      </c>
      <c r="U2237" t="str">
        <f t="shared" si="778"/>
        <v>AC3944</v>
      </c>
      <c r="V2237">
        <v>0</v>
      </c>
      <c r="W2237">
        <v>0</v>
      </c>
      <c r="X2237">
        <v>2</v>
      </c>
      <c r="Y2237">
        <v>0</v>
      </c>
      <c r="AA2237">
        <v>1</v>
      </c>
      <c r="AB2237">
        <v>8</v>
      </c>
      <c r="AC2237">
        <v>3</v>
      </c>
      <c r="AD2237">
        <v>0</v>
      </c>
      <c r="AE2237">
        <v>9</v>
      </c>
      <c r="AF2237" t="s">
        <v>138</v>
      </c>
      <c r="AG2237">
        <v>0</v>
      </c>
      <c r="AH2237">
        <v>3</v>
      </c>
      <c r="AI2237">
        <v>1</v>
      </c>
      <c r="AJ2237">
        <v>0</v>
      </c>
      <c r="AK2237" t="s">
        <v>778</v>
      </c>
      <c r="AL2237">
        <v>32.768611999999997</v>
      </c>
      <c r="AM2237" t="s">
        <v>779</v>
      </c>
      <c r="AN2237">
        <v>-116.81277799999999</v>
      </c>
      <c r="AO2237">
        <v>25</v>
      </c>
      <c r="AP2237">
        <v>3100</v>
      </c>
      <c r="AQ2237" t="s">
        <v>129</v>
      </c>
      <c r="AR2237">
        <v>119</v>
      </c>
      <c r="AS2237">
        <v>-56</v>
      </c>
      <c r="AT2237">
        <v>192</v>
      </c>
      <c r="BB2237">
        <v>1200</v>
      </c>
      <c r="BC2237">
        <v>1</v>
      </c>
      <c r="BD2237" t="str">
        <f t="shared" si="779"/>
        <v xml:space="preserve">N887QR  </v>
      </c>
      <c r="BE2237">
        <v>1</v>
      </c>
      <c r="BJ2237">
        <v>2800</v>
      </c>
      <c r="BK2237">
        <v>-300</v>
      </c>
      <c r="BL2237" t="s">
        <v>163</v>
      </c>
      <c r="BM2237">
        <v>1</v>
      </c>
      <c r="BN2237">
        <v>1</v>
      </c>
      <c r="BO2237">
        <v>1</v>
      </c>
      <c r="BP2237">
        <v>0</v>
      </c>
      <c r="BS2237">
        <v>0.08</v>
      </c>
      <c r="BT2237">
        <v>0</v>
      </c>
      <c r="BU2237">
        <v>0</v>
      </c>
      <c r="CE2237" t="str">
        <f t="shared" si="798"/>
        <v>19:31:28.215</v>
      </c>
      <c r="CF2237">
        <v>214844700</v>
      </c>
      <c r="CS2237">
        <v>0</v>
      </c>
      <c r="CT2237">
        <v>2</v>
      </c>
      <c r="CU2237">
        <v>0</v>
      </c>
      <c r="CV2237">
        <v>2</v>
      </c>
      <c r="CW2237">
        <v>0</v>
      </c>
      <c r="CX2237">
        <v>5</v>
      </c>
      <c r="CY2237">
        <v>7</v>
      </c>
      <c r="CZ2237" t="s">
        <v>131</v>
      </c>
      <c r="DA2237">
        <v>300</v>
      </c>
      <c r="DB2237">
        <v>0</v>
      </c>
      <c r="DC2237" t="s">
        <v>176</v>
      </c>
      <c r="DD2237" t="s">
        <v>177</v>
      </c>
      <c r="DG2237">
        <v>5406418</v>
      </c>
      <c r="DI2237">
        <v>1</v>
      </c>
      <c r="DJ2237">
        <v>0</v>
      </c>
      <c r="DK2237">
        <v>1</v>
      </c>
      <c r="DL2237">
        <v>0</v>
      </c>
      <c r="DM2237">
        <v>0</v>
      </c>
      <c r="DN2237">
        <v>1</v>
      </c>
      <c r="DO2237">
        <v>0</v>
      </c>
      <c r="DP2237">
        <v>0</v>
      </c>
      <c r="DQ2237">
        <v>0</v>
      </c>
      <c r="DR2237">
        <v>0</v>
      </c>
      <c r="DS2237">
        <v>0</v>
      </c>
    </row>
    <row r="2238" spans="1:123" x14ac:dyDescent="0.3">
      <c r="A2238" t="str">
        <f t="shared" si="796"/>
        <v>10/04/2022 19:31:28.511</v>
      </c>
      <c r="C2238" t="str">
        <f t="shared" si="791"/>
        <v>FFDDD3C0</v>
      </c>
      <c r="D2238" t="s">
        <v>123</v>
      </c>
      <c r="E2238">
        <v>7</v>
      </c>
      <c r="F2238">
        <v>2007</v>
      </c>
      <c r="G2238" t="s">
        <v>124</v>
      </c>
      <c r="J2238" t="s">
        <v>125</v>
      </c>
      <c r="K2238">
        <v>0</v>
      </c>
      <c r="L2238">
        <v>3</v>
      </c>
      <c r="M2238">
        <v>0</v>
      </c>
      <c r="N2238">
        <v>2</v>
      </c>
      <c r="O2238">
        <v>0</v>
      </c>
      <c r="P2238">
        <v>1</v>
      </c>
      <c r="Q2238">
        <v>0</v>
      </c>
      <c r="S2238" t="str">
        <f t="shared" si="797"/>
        <v>19:31:28.000</v>
      </c>
      <c r="T2238" t="str">
        <f t="shared" si="797"/>
        <v>19:31:28.000</v>
      </c>
      <c r="U2238" t="str">
        <f t="shared" si="778"/>
        <v>AC3944</v>
      </c>
      <c r="V2238">
        <v>0</v>
      </c>
      <c r="W2238">
        <v>0</v>
      </c>
      <c r="X2238">
        <v>2</v>
      </c>
      <c r="Y2238">
        <v>0</v>
      </c>
      <c r="AA2238">
        <v>1</v>
      </c>
      <c r="AB2238">
        <v>8</v>
      </c>
      <c r="AC2238">
        <v>3</v>
      </c>
      <c r="AD2238">
        <v>0</v>
      </c>
      <c r="AE2238">
        <v>9</v>
      </c>
      <c r="AF2238" t="s">
        <v>138</v>
      </c>
      <c r="AG2238">
        <v>0</v>
      </c>
      <c r="AH2238">
        <v>3</v>
      </c>
      <c r="AI2238">
        <v>1</v>
      </c>
      <c r="AJ2238">
        <v>0</v>
      </c>
      <c r="AK2238" t="s">
        <v>778</v>
      </c>
      <c r="AL2238">
        <v>32.768611999999997</v>
      </c>
      <c r="AM2238" t="s">
        <v>779</v>
      </c>
      <c r="AN2238">
        <v>-116.81277799999999</v>
      </c>
      <c r="AO2238">
        <v>25</v>
      </c>
      <c r="AP2238">
        <v>3100</v>
      </c>
      <c r="AQ2238" t="s">
        <v>129</v>
      </c>
      <c r="AR2238">
        <v>119</v>
      </c>
      <c r="AS2238">
        <v>-56</v>
      </c>
      <c r="AT2238">
        <v>192</v>
      </c>
      <c r="BB2238">
        <v>1200</v>
      </c>
      <c r="BC2238">
        <v>1</v>
      </c>
      <c r="BD2238" t="str">
        <f t="shared" si="779"/>
        <v xml:space="preserve">N887QR  </v>
      </c>
      <c r="BE2238">
        <v>1</v>
      </c>
      <c r="BJ2238">
        <v>2800</v>
      </c>
      <c r="BK2238">
        <v>-300</v>
      </c>
      <c r="BL2238" t="s">
        <v>163</v>
      </c>
      <c r="BM2238">
        <v>1</v>
      </c>
      <c r="BN2238">
        <v>1</v>
      </c>
      <c r="BO2238">
        <v>1</v>
      </c>
      <c r="BP2238">
        <v>0</v>
      </c>
      <c r="BS2238">
        <v>0.08</v>
      </c>
      <c r="BT2238">
        <v>0</v>
      </c>
      <c r="BU2238">
        <v>0</v>
      </c>
      <c r="CE2238" t="str">
        <f t="shared" si="798"/>
        <v>19:31:28.215</v>
      </c>
      <c r="CF2238">
        <v>214844700</v>
      </c>
      <c r="CS2238">
        <v>0</v>
      </c>
      <c r="CT2238">
        <v>2</v>
      </c>
      <c r="CU2238">
        <v>0</v>
      </c>
      <c r="CV2238">
        <v>2</v>
      </c>
      <c r="CW2238">
        <v>0</v>
      </c>
      <c r="CX2238">
        <v>5</v>
      </c>
      <c r="CY2238">
        <v>7</v>
      </c>
      <c r="CZ2238" t="s">
        <v>131</v>
      </c>
      <c r="DA2238">
        <v>300</v>
      </c>
      <c r="DB2238">
        <v>0</v>
      </c>
      <c r="DC2238" t="s">
        <v>176</v>
      </c>
      <c r="DD2238" t="s">
        <v>177</v>
      </c>
      <c r="DG2238">
        <v>5406418</v>
      </c>
      <c r="DI2238">
        <v>1</v>
      </c>
      <c r="DJ2238">
        <v>0</v>
      </c>
      <c r="DK2238">
        <v>1</v>
      </c>
      <c r="DL2238">
        <v>0</v>
      </c>
      <c r="DM2238">
        <v>0</v>
      </c>
      <c r="DN2238">
        <v>1</v>
      </c>
      <c r="DO2238">
        <v>0</v>
      </c>
      <c r="DP2238">
        <v>0</v>
      </c>
      <c r="DQ2238">
        <v>0</v>
      </c>
      <c r="DR2238">
        <v>0</v>
      </c>
      <c r="DS2238">
        <v>0</v>
      </c>
    </row>
    <row r="2239" spans="1:123" x14ac:dyDescent="0.3">
      <c r="A2239" t="str">
        <f t="shared" si="796"/>
        <v>10/04/2022 19:31:28.511</v>
      </c>
      <c r="C2239" t="str">
        <f t="shared" si="791"/>
        <v>FFDDD3C0</v>
      </c>
      <c r="D2239" t="s">
        <v>141</v>
      </c>
      <c r="E2239">
        <v>4</v>
      </c>
      <c r="H2239">
        <v>4</v>
      </c>
      <c r="I2239" t="s">
        <v>142</v>
      </c>
      <c r="J2239" t="s">
        <v>138</v>
      </c>
      <c r="K2239">
        <v>0</v>
      </c>
      <c r="L2239">
        <v>3</v>
      </c>
      <c r="M2239">
        <v>0</v>
      </c>
      <c r="N2239">
        <v>2</v>
      </c>
      <c r="O2239">
        <v>0</v>
      </c>
      <c r="P2239">
        <v>1</v>
      </c>
      <c r="Q2239">
        <v>0</v>
      </c>
      <c r="S2239" t="str">
        <f t="shared" si="797"/>
        <v>19:31:28.000</v>
      </c>
      <c r="T2239" t="str">
        <f t="shared" si="797"/>
        <v>19:31:28.000</v>
      </c>
      <c r="U2239" t="str">
        <f t="shared" si="778"/>
        <v>AC3944</v>
      </c>
      <c r="V2239">
        <v>0</v>
      </c>
      <c r="W2239">
        <v>0</v>
      </c>
      <c r="X2239">
        <v>2</v>
      </c>
      <c r="Y2239">
        <v>0</v>
      </c>
      <c r="AA2239">
        <v>1</v>
      </c>
      <c r="AB2239">
        <v>8</v>
      </c>
      <c r="AC2239">
        <v>3</v>
      </c>
      <c r="AD2239">
        <v>0</v>
      </c>
      <c r="AE2239">
        <v>9</v>
      </c>
      <c r="AF2239" t="s">
        <v>138</v>
      </c>
      <c r="AG2239">
        <v>0</v>
      </c>
      <c r="AH2239">
        <v>3</v>
      </c>
      <c r="AI2239">
        <v>1</v>
      </c>
      <c r="AJ2239">
        <v>0</v>
      </c>
      <c r="AK2239" t="s">
        <v>778</v>
      </c>
      <c r="AL2239">
        <v>32.768611999999997</v>
      </c>
      <c r="AM2239" t="s">
        <v>779</v>
      </c>
      <c r="AN2239">
        <v>-116.81277799999999</v>
      </c>
      <c r="AO2239">
        <v>25</v>
      </c>
      <c r="AP2239">
        <v>3100</v>
      </c>
      <c r="AQ2239" t="s">
        <v>129</v>
      </c>
      <c r="AR2239">
        <v>119</v>
      </c>
      <c r="AS2239">
        <v>-56</v>
      </c>
      <c r="AT2239">
        <v>192</v>
      </c>
      <c r="BB2239">
        <v>1200</v>
      </c>
      <c r="BC2239">
        <v>1</v>
      </c>
      <c r="BD2239" t="str">
        <f t="shared" si="779"/>
        <v xml:space="preserve">N887QR  </v>
      </c>
      <c r="BE2239">
        <v>1</v>
      </c>
      <c r="BJ2239">
        <v>2800</v>
      </c>
      <c r="BK2239">
        <v>-300</v>
      </c>
      <c r="BL2239" t="s">
        <v>163</v>
      </c>
      <c r="BM2239">
        <v>1</v>
      </c>
      <c r="BN2239">
        <v>1</v>
      </c>
      <c r="BO2239">
        <v>1</v>
      </c>
      <c r="BP2239">
        <v>0</v>
      </c>
      <c r="BS2239">
        <v>0.08</v>
      </c>
      <c r="BT2239">
        <v>0</v>
      </c>
      <c r="BU2239">
        <v>0</v>
      </c>
      <c r="CE2239" t="str">
        <f t="shared" si="798"/>
        <v>19:31:28.215</v>
      </c>
      <c r="CF2239">
        <v>214844700</v>
      </c>
      <c r="CS2239">
        <v>0</v>
      </c>
      <c r="CT2239">
        <v>2</v>
      </c>
      <c r="CU2239">
        <v>0</v>
      </c>
      <c r="CV2239">
        <v>2</v>
      </c>
      <c r="CW2239">
        <v>0</v>
      </c>
      <c r="CX2239">
        <v>5</v>
      </c>
      <c r="CY2239">
        <v>7</v>
      </c>
      <c r="CZ2239" t="s">
        <v>131</v>
      </c>
      <c r="DA2239">
        <v>300</v>
      </c>
      <c r="DB2239">
        <v>0</v>
      </c>
      <c r="DC2239" t="s">
        <v>176</v>
      </c>
      <c r="DD2239" t="s">
        <v>177</v>
      </c>
      <c r="DG2239">
        <v>5406418</v>
      </c>
      <c r="DI2239">
        <v>1</v>
      </c>
      <c r="DJ2239">
        <v>0</v>
      </c>
      <c r="DK2239">
        <v>1</v>
      </c>
      <c r="DL2239">
        <v>0</v>
      </c>
      <c r="DM2239">
        <v>0</v>
      </c>
      <c r="DN2239">
        <v>1</v>
      </c>
      <c r="DO2239">
        <v>0</v>
      </c>
      <c r="DP2239">
        <v>0</v>
      </c>
      <c r="DQ2239">
        <v>0</v>
      </c>
      <c r="DR2239">
        <v>0</v>
      </c>
      <c r="DS2239">
        <v>0</v>
      </c>
    </row>
    <row r="2240" spans="1:123" x14ac:dyDescent="0.3">
      <c r="A2240" t="str">
        <f>"10/04/2022 19:31:28.558"</f>
        <v>10/04/2022 19:31:28.558</v>
      </c>
      <c r="C2240" t="str">
        <f t="shared" si="791"/>
        <v>FFDDD3C0</v>
      </c>
      <c r="D2240" t="s">
        <v>134</v>
      </c>
      <c r="E2240">
        <v>15</v>
      </c>
      <c r="J2240" t="s">
        <v>135</v>
      </c>
      <c r="K2240">
        <v>0</v>
      </c>
      <c r="L2240">
        <v>3</v>
      </c>
      <c r="M2240">
        <v>0</v>
      </c>
      <c r="N2240">
        <v>2</v>
      </c>
      <c r="O2240">
        <v>0</v>
      </c>
      <c r="P2240">
        <v>1</v>
      </c>
      <c r="Q2240">
        <v>0</v>
      </c>
      <c r="S2240" t="str">
        <f t="shared" si="797"/>
        <v>19:31:28.000</v>
      </c>
      <c r="T2240" t="str">
        <f t="shared" si="797"/>
        <v>19:31:28.000</v>
      </c>
      <c r="U2240" t="str">
        <f t="shared" si="778"/>
        <v>AC3944</v>
      </c>
      <c r="V2240">
        <v>0</v>
      </c>
      <c r="W2240">
        <v>0</v>
      </c>
      <c r="X2240">
        <v>2</v>
      </c>
      <c r="Y2240">
        <v>0</v>
      </c>
      <c r="AA2240">
        <v>1</v>
      </c>
      <c r="AB2240">
        <v>8</v>
      </c>
      <c r="AC2240">
        <v>3</v>
      </c>
      <c r="AD2240">
        <v>0</v>
      </c>
      <c r="AE2240">
        <v>9</v>
      </c>
      <c r="AF2240" t="s">
        <v>138</v>
      </c>
      <c r="AG2240">
        <v>0</v>
      </c>
      <c r="AH2240">
        <v>3</v>
      </c>
      <c r="AI2240">
        <v>1</v>
      </c>
      <c r="AJ2240">
        <v>0</v>
      </c>
      <c r="AK2240" t="s">
        <v>778</v>
      </c>
      <c r="AL2240">
        <v>32.768611999999997</v>
      </c>
      <c r="AM2240" t="s">
        <v>779</v>
      </c>
      <c r="AN2240">
        <v>-116.81277799999999</v>
      </c>
      <c r="AO2240">
        <v>25</v>
      </c>
      <c r="AP2240">
        <v>3100</v>
      </c>
      <c r="AQ2240" t="s">
        <v>129</v>
      </c>
      <c r="AR2240">
        <v>119</v>
      </c>
      <c r="AS2240">
        <v>-56</v>
      </c>
      <c r="AT2240">
        <v>192</v>
      </c>
      <c r="BB2240">
        <v>1200</v>
      </c>
      <c r="BC2240">
        <v>1</v>
      </c>
      <c r="BD2240" t="str">
        <f t="shared" si="779"/>
        <v xml:space="preserve">N887QR  </v>
      </c>
      <c r="BE2240">
        <v>1</v>
      </c>
      <c r="BJ2240">
        <v>2800</v>
      </c>
      <c r="BK2240">
        <v>-300</v>
      </c>
      <c r="BL2240" t="s">
        <v>163</v>
      </c>
      <c r="BM2240">
        <v>1</v>
      </c>
      <c r="BN2240">
        <v>1</v>
      </c>
      <c r="BO2240">
        <v>1</v>
      </c>
      <c r="BP2240">
        <v>0</v>
      </c>
      <c r="BS2240">
        <v>0.08</v>
      </c>
      <c r="BT2240">
        <v>0</v>
      </c>
      <c r="BU2240">
        <v>0</v>
      </c>
      <c r="CE2240" t="str">
        <f t="shared" si="798"/>
        <v>19:31:28.215</v>
      </c>
      <c r="CF2240">
        <v>214844700</v>
      </c>
      <c r="CS2240">
        <v>0</v>
      </c>
      <c r="CT2240">
        <v>2</v>
      </c>
      <c r="CU2240">
        <v>0</v>
      </c>
      <c r="CV2240">
        <v>2</v>
      </c>
      <c r="CW2240">
        <v>0</v>
      </c>
      <c r="CX2240">
        <v>5</v>
      </c>
      <c r="CY2240">
        <v>7</v>
      </c>
      <c r="CZ2240" t="s">
        <v>131</v>
      </c>
      <c r="DA2240">
        <v>300</v>
      </c>
      <c r="DB2240">
        <v>0</v>
      </c>
      <c r="DC2240" t="s">
        <v>176</v>
      </c>
      <c r="DD2240" t="s">
        <v>177</v>
      </c>
      <c r="DG2240">
        <v>5406418</v>
      </c>
      <c r="DI2240">
        <v>1</v>
      </c>
      <c r="DJ2240">
        <v>0</v>
      </c>
      <c r="DK2240">
        <v>1</v>
      </c>
      <c r="DL2240">
        <v>0</v>
      </c>
      <c r="DM2240">
        <v>0</v>
      </c>
      <c r="DN2240">
        <v>1</v>
      </c>
      <c r="DO2240">
        <v>0</v>
      </c>
      <c r="DP2240">
        <v>0</v>
      </c>
      <c r="DQ2240">
        <v>0</v>
      </c>
      <c r="DR2240">
        <v>0</v>
      </c>
      <c r="DS2240">
        <v>0</v>
      </c>
    </row>
    <row r="2241" spans="1:123" x14ac:dyDescent="0.3">
      <c r="A2241" t="str">
        <f>"10/04/2022 19:31:29.511"</f>
        <v>10/04/2022 19:31:29.511</v>
      </c>
      <c r="C2241" t="str">
        <f t="shared" si="791"/>
        <v>FFDDD3C0</v>
      </c>
      <c r="D2241" t="s">
        <v>134</v>
      </c>
      <c r="E2241">
        <v>15</v>
      </c>
      <c r="J2241" t="s">
        <v>135</v>
      </c>
      <c r="K2241">
        <v>0</v>
      </c>
      <c r="L2241">
        <v>3</v>
      </c>
      <c r="M2241">
        <v>0</v>
      </c>
      <c r="N2241">
        <v>2</v>
      </c>
      <c r="O2241">
        <v>0</v>
      </c>
      <c r="P2241">
        <v>1</v>
      </c>
      <c r="Q2241">
        <v>0</v>
      </c>
      <c r="S2241" t="str">
        <f t="shared" ref="S2241:T2247" si="799">"19:31:29.000"</f>
        <v>19:31:29.000</v>
      </c>
      <c r="T2241" t="str">
        <f t="shared" si="799"/>
        <v>19:31:29.000</v>
      </c>
      <c r="U2241" t="str">
        <f t="shared" si="778"/>
        <v>AC3944</v>
      </c>
      <c r="V2241">
        <v>0</v>
      </c>
      <c r="W2241">
        <v>0</v>
      </c>
      <c r="X2241">
        <v>2</v>
      </c>
      <c r="Y2241">
        <v>0</v>
      </c>
      <c r="AA2241">
        <v>1</v>
      </c>
      <c r="AB2241">
        <v>8</v>
      </c>
      <c r="AC2241">
        <v>3</v>
      </c>
      <c r="AD2241">
        <v>0</v>
      </c>
      <c r="AE2241">
        <v>9</v>
      </c>
      <c r="AF2241" t="s">
        <v>138</v>
      </c>
      <c r="AG2241">
        <v>0</v>
      </c>
      <c r="AH2241">
        <v>3</v>
      </c>
      <c r="AI2241">
        <v>1</v>
      </c>
      <c r="AJ2241">
        <v>0</v>
      </c>
      <c r="AK2241" t="s">
        <v>780</v>
      </c>
      <c r="AL2241">
        <v>32.768354000000002</v>
      </c>
      <c r="AM2241" t="s">
        <v>781</v>
      </c>
      <c r="AN2241">
        <v>-116.812134</v>
      </c>
      <c r="AO2241">
        <v>25</v>
      </c>
      <c r="AP2241">
        <v>3100</v>
      </c>
      <c r="AQ2241" t="s">
        <v>129</v>
      </c>
      <c r="AR2241">
        <v>118</v>
      </c>
      <c r="AS2241">
        <v>-57</v>
      </c>
      <c r="AT2241">
        <v>192</v>
      </c>
      <c r="BB2241">
        <v>1200</v>
      </c>
      <c r="BC2241">
        <v>1</v>
      </c>
      <c r="BD2241" t="str">
        <f t="shared" si="779"/>
        <v xml:space="preserve">N887QR  </v>
      </c>
      <c r="BE2241">
        <v>1</v>
      </c>
      <c r="BJ2241">
        <v>2800</v>
      </c>
      <c r="BK2241">
        <v>-300</v>
      </c>
      <c r="BL2241" t="s">
        <v>163</v>
      </c>
      <c r="BM2241">
        <v>1</v>
      </c>
      <c r="BN2241">
        <v>1</v>
      </c>
      <c r="BO2241">
        <v>1</v>
      </c>
      <c r="BP2241">
        <v>0</v>
      </c>
      <c r="BS2241">
        <v>0.08</v>
      </c>
      <c r="BT2241">
        <v>0</v>
      </c>
      <c r="BU2241">
        <v>0</v>
      </c>
      <c r="CE2241" t="str">
        <f t="shared" ref="CE2241:CE2247" si="800">"19:31:29.266"</f>
        <v>19:31:29.266</v>
      </c>
      <c r="CF2241">
        <v>265848209</v>
      </c>
      <c r="CS2241">
        <v>0</v>
      </c>
      <c r="CT2241">
        <v>2</v>
      </c>
      <c r="CU2241">
        <v>0</v>
      </c>
      <c r="CV2241">
        <v>2</v>
      </c>
      <c r="CW2241">
        <v>0</v>
      </c>
      <c r="CX2241">
        <v>5</v>
      </c>
      <c r="CY2241">
        <v>7</v>
      </c>
      <c r="CZ2241" t="s">
        <v>131</v>
      </c>
      <c r="DA2241">
        <v>300</v>
      </c>
      <c r="DB2241">
        <v>0</v>
      </c>
      <c r="DC2241" t="s">
        <v>176</v>
      </c>
      <c r="DD2241" t="s">
        <v>177</v>
      </c>
      <c r="DG2241">
        <v>5406588</v>
      </c>
      <c r="DI2241">
        <v>1</v>
      </c>
      <c r="DJ2241">
        <v>0</v>
      </c>
      <c r="DK2241">
        <v>0</v>
      </c>
      <c r="DL2241">
        <v>0</v>
      </c>
      <c r="DM2241">
        <v>0</v>
      </c>
      <c r="DN2241">
        <v>1</v>
      </c>
      <c r="DO2241">
        <v>0</v>
      </c>
      <c r="DP2241">
        <v>0</v>
      </c>
      <c r="DQ2241">
        <v>0</v>
      </c>
      <c r="DR2241">
        <v>0</v>
      </c>
      <c r="DS2241">
        <v>0</v>
      </c>
    </row>
    <row r="2242" spans="1:123" x14ac:dyDescent="0.3">
      <c r="A2242" t="str">
        <f t="shared" ref="A2242:A2247" si="801">"10/04/2022 19:31:29.558"</f>
        <v>10/04/2022 19:31:29.558</v>
      </c>
      <c r="C2242" t="str">
        <f t="shared" si="791"/>
        <v>FFDDD3C0</v>
      </c>
      <c r="D2242" t="s">
        <v>147</v>
      </c>
      <c r="E2242">
        <v>3</v>
      </c>
      <c r="H2242">
        <v>166</v>
      </c>
      <c r="I2242" t="s">
        <v>144</v>
      </c>
      <c r="J2242" t="s">
        <v>148</v>
      </c>
      <c r="K2242">
        <v>0</v>
      </c>
      <c r="L2242">
        <v>3</v>
      </c>
      <c r="M2242">
        <v>0</v>
      </c>
      <c r="N2242">
        <v>2</v>
      </c>
      <c r="O2242">
        <v>0</v>
      </c>
      <c r="P2242">
        <v>1</v>
      </c>
      <c r="Q2242">
        <v>0</v>
      </c>
      <c r="S2242" t="str">
        <f t="shared" si="799"/>
        <v>19:31:29.000</v>
      </c>
      <c r="T2242" t="str">
        <f t="shared" si="799"/>
        <v>19:31:29.000</v>
      </c>
      <c r="U2242" t="str">
        <f t="shared" ref="U2242:U2305" si="802">"AC3944"</f>
        <v>AC3944</v>
      </c>
      <c r="V2242">
        <v>0</v>
      </c>
      <c r="W2242">
        <v>0</v>
      </c>
      <c r="X2242">
        <v>2</v>
      </c>
      <c r="Y2242">
        <v>0</v>
      </c>
      <c r="AA2242">
        <v>1</v>
      </c>
      <c r="AB2242">
        <v>8</v>
      </c>
      <c r="AC2242">
        <v>3</v>
      </c>
      <c r="AD2242">
        <v>0</v>
      </c>
      <c r="AE2242">
        <v>9</v>
      </c>
      <c r="AF2242" t="s">
        <v>138</v>
      </c>
      <c r="AG2242">
        <v>0</v>
      </c>
      <c r="AH2242">
        <v>3</v>
      </c>
      <c r="AI2242">
        <v>1</v>
      </c>
      <c r="AJ2242">
        <v>0</v>
      </c>
      <c r="AK2242" t="s">
        <v>780</v>
      </c>
      <c r="AL2242">
        <v>32.768354000000002</v>
      </c>
      <c r="AM2242" t="s">
        <v>781</v>
      </c>
      <c r="AN2242">
        <v>-116.812134</v>
      </c>
      <c r="AO2242">
        <v>25</v>
      </c>
      <c r="AP2242">
        <v>3100</v>
      </c>
      <c r="AQ2242" t="s">
        <v>129</v>
      </c>
      <c r="AR2242">
        <v>118</v>
      </c>
      <c r="AS2242">
        <v>-57</v>
      </c>
      <c r="AT2242">
        <v>192</v>
      </c>
      <c r="BB2242">
        <v>1200</v>
      </c>
      <c r="BC2242">
        <v>1</v>
      </c>
      <c r="BD2242" t="str">
        <f t="shared" ref="BD2242:BD2305" si="803">"N887QR  "</f>
        <v xml:space="preserve">N887QR  </v>
      </c>
      <c r="BE2242">
        <v>1</v>
      </c>
      <c r="BJ2242">
        <v>2800</v>
      </c>
      <c r="BK2242">
        <v>-300</v>
      </c>
      <c r="BL2242" t="s">
        <v>163</v>
      </c>
      <c r="BM2242">
        <v>1</v>
      </c>
      <c r="BN2242">
        <v>1</v>
      </c>
      <c r="BO2242">
        <v>1</v>
      </c>
      <c r="BP2242">
        <v>0</v>
      </c>
      <c r="BS2242">
        <v>0.08</v>
      </c>
      <c r="BT2242">
        <v>0</v>
      </c>
      <c r="BU2242">
        <v>0</v>
      </c>
      <c r="CE2242" t="str">
        <f t="shared" si="800"/>
        <v>19:31:29.266</v>
      </c>
      <c r="CF2242">
        <v>265848209</v>
      </c>
      <c r="CS2242">
        <v>0</v>
      </c>
      <c r="CT2242">
        <v>2</v>
      </c>
      <c r="CU2242">
        <v>0</v>
      </c>
      <c r="CV2242">
        <v>2</v>
      </c>
      <c r="CW2242">
        <v>0</v>
      </c>
      <c r="CX2242">
        <v>5</v>
      </c>
      <c r="CY2242">
        <v>7</v>
      </c>
      <c r="CZ2242" t="s">
        <v>131</v>
      </c>
      <c r="DA2242">
        <v>300</v>
      </c>
      <c r="DB2242">
        <v>0</v>
      </c>
      <c r="DC2242" t="s">
        <v>176</v>
      </c>
      <c r="DD2242" t="s">
        <v>177</v>
      </c>
      <c r="DG2242">
        <v>5406588</v>
      </c>
      <c r="DI2242">
        <v>1</v>
      </c>
      <c r="DJ2242">
        <v>0</v>
      </c>
      <c r="DK2242">
        <v>1</v>
      </c>
      <c r="DL2242">
        <v>0</v>
      </c>
      <c r="DM2242">
        <v>0</v>
      </c>
      <c r="DN2242">
        <v>1</v>
      </c>
      <c r="DO2242">
        <v>0</v>
      </c>
      <c r="DP2242">
        <v>0</v>
      </c>
      <c r="DQ2242">
        <v>0</v>
      </c>
      <c r="DR2242">
        <v>0</v>
      </c>
      <c r="DS2242">
        <v>0</v>
      </c>
    </row>
    <row r="2243" spans="1:123" x14ac:dyDescent="0.3">
      <c r="A2243" t="str">
        <f t="shared" si="801"/>
        <v>10/04/2022 19:31:29.558</v>
      </c>
      <c r="C2243" t="str">
        <f t="shared" si="791"/>
        <v>FFDDD3C0</v>
      </c>
      <c r="D2243" t="s">
        <v>136</v>
      </c>
      <c r="E2243">
        <v>8</v>
      </c>
      <c r="H2243">
        <v>225</v>
      </c>
      <c r="I2243" t="s">
        <v>137</v>
      </c>
      <c r="J2243" t="s">
        <v>138</v>
      </c>
      <c r="K2243">
        <v>0</v>
      </c>
      <c r="L2243">
        <v>3</v>
      </c>
      <c r="M2243">
        <v>0</v>
      </c>
      <c r="N2243">
        <v>2</v>
      </c>
      <c r="O2243">
        <v>0</v>
      </c>
      <c r="P2243">
        <v>1</v>
      </c>
      <c r="Q2243">
        <v>0</v>
      </c>
      <c r="S2243" t="str">
        <f t="shared" si="799"/>
        <v>19:31:29.000</v>
      </c>
      <c r="T2243" t="str">
        <f t="shared" si="799"/>
        <v>19:31:29.000</v>
      </c>
      <c r="U2243" t="str">
        <f t="shared" si="802"/>
        <v>AC3944</v>
      </c>
      <c r="V2243">
        <v>0</v>
      </c>
      <c r="W2243">
        <v>0</v>
      </c>
      <c r="X2243">
        <v>2</v>
      </c>
      <c r="Y2243">
        <v>0</v>
      </c>
      <c r="AA2243">
        <v>1</v>
      </c>
      <c r="AB2243">
        <v>8</v>
      </c>
      <c r="AC2243">
        <v>3</v>
      </c>
      <c r="AD2243">
        <v>0</v>
      </c>
      <c r="AE2243">
        <v>9</v>
      </c>
      <c r="AF2243" t="s">
        <v>138</v>
      </c>
      <c r="AG2243">
        <v>0</v>
      </c>
      <c r="AH2243">
        <v>3</v>
      </c>
      <c r="AI2243">
        <v>1</v>
      </c>
      <c r="AJ2243">
        <v>0</v>
      </c>
      <c r="AK2243" t="s">
        <v>780</v>
      </c>
      <c r="AL2243">
        <v>32.768354000000002</v>
      </c>
      <c r="AM2243" t="s">
        <v>781</v>
      </c>
      <c r="AN2243">
        <v>-116.812134</v>
      </c>
      <c r="AO2243">
        <v>25</v>
      </c>
      <c r="AP2243">
        <v>3100</v>
      </c>
      <c r="AQ2243" t="s">
        <v>129</v>
      </c>
      <c r="AR2243">
        <v>118</v>
      </c>
      <c r="AS2243">
        <v>-57</v>
      </c>
      <c r="AT2243">
        <v>192</v>
      </c>
      <c r="BB2243">
        <v>1200</v>
      </c>
      <c r="BC2243">
        <v>1</v>
      </c>
      <c r="BD2243" t="str">
        <f t="shared" si="803"/>
        <v xml:space="preserve">N887QR  </v>
      </c>
      <c r="BE2243">
        <v>1</v>
      </c>
      <c r="BJ2243">
        <v>2800</v>
      </c>
      <c r="BK2243">
        <v>-300</v>
      </c>
      <c r="BL2243" t="s">
        <v>163</v>
      </c>
      <c r="BM2243">
        <v>1</v>
      </c>
      <c r="BN2243">
        <v>1</v>
      </c>
      <c r="BO2243">
        <v>1</v>
      </c>
      <c r="BP2243">
        <v>0</v>
      </c>
      <c r="BS2243">
        <v>0.08</v>
      </c>
      <c r="BT2243">
        <v>0</v>
      </c>
      <c r="BU2243">
        <v>0</v>
      </c>
      <c r="CE2243" t="str">
        <f t="shared" si="800"/>
        <v>19:31:29.266</v>
      </c>
      <c r="CF2243">
        <v>265848209</v>
      </c>
      <c r="CS2243">
        <v>0</v>
      </c>
      <c r="CT2243">
        <v>2</v>
      </c>
      <c r="CU2243">
        <v>0</v>
      </c>
      <c r="CV2243">
        <v>2</v>
      </c>
      <c r="CW2243">
        <v>0</v>
      </c>
      <c r="CX2243">
        <v>5</v>
      </c>
      <c r="CY2243">
        <v>7</v>
      </c>
      <c r="CZ2243" t="s">
        <v>131</v>
      </c>
      <c r="DA2243">
        <v>300</v>
      </c>
      <c r="DB2243">
        <v>0</v>
      </c>
      <c r="DC2243" t="s">
        <v>176</v>
      </c>
      <c r="DD2243" t="s">
        <v>177</v>
      </c>
      <c r="DG2243">
        <v>5406588</v>
      </c>
      <c r="DI2243">
        <v>1</v>
      </c>
      <c r="DJ2243">
        <v>0</v>
      </c>
      <c r="DK2243">
        <v>1</v>
      </c>
      <c r="DL2243">
        <v>0</v>
      </c>
      <c r="DM2243">
        <v>0</v>
      </c>
      <c r="DN2243">
        <v>1</v>
      </c>
      <c r="DO2243">
        <v>0</v>
      </c>
      <c r="DP2243">
        <v>0</v>
      </c>
      <c r="DQ2243">
        <v>0</v>
      </c>
      <c r="DR2243">
        <v>0</v>
      </c>
      <c r="DS2243">
        <v>0</v>
      </c>
    </row>
    <row r="2244" spans="1:123" x14ac:dyDescent="0.3">
      <c r="A2244" t="str">
        <f t="shared" si="801"/>
        <v>10/04/2022 19:31:29.558</v>
      </c>
      <c r="C2244" t="str">
        <f t="shared" si="791"/>
        <v>FFDDD3C0</v>
      </c>
      <c r="D2244" t="s">
        <v>143</v>
      </c>
      <c r="E2244">
        <v>20</v>
      </c>
      <c r="F2244">
        <v>1020</v>
      </c>
      <c r="G2244" t="s">
        <v>144</v>
      </c>
      <c r="J2244" t="s">
        <v>145</v>
      </c>
      <c r="K2244">
        <v>0</v>
      </c>
      <c r="L2244">
        <v>3</v>
      </c>
      <c r="M2244">
        <v>0</v>
      </c>
      <c r="N2244">
        <v>2</v>
      </c>
      <c r="O2244">
        <v>0</v>
      </c>
      <c r="P2244">
        <v>1</v>
      </c>
      <c r="Q2244">
        <v>0</v>
      </c>
      <c r="S2244" t="str">
        <f t="shared" si="799"/>
        <v>19:31:29.000</v>
      </c>
      <c r="T2244" t="str">
        <f t="shared" si="799"/>
        <v>19:31:29.000</v>
      </c>
      <c r="U2244" t="str">
        <f t="shared" si="802"/>
        <v>AC3944</v>
      </c>
      <c r="V2244">
        <v>0</v>
      </c>
      <c r="W2244">
        <v>0</v>
      </c>
      <c r="X2244">
        <v>2</v>
      </c>
      <c r="Y2244">
        <v>0</v>
      </c>
      <c r="AA2244">
        <v>1</v>
      </c>
      <c r="AB2244">
        <v>8</v>
      </c>
      <c r="AC2244">
        <v>3</v>
      </c>
      <c r="AD2244">
        <v>0</v>
      </c>
      <c r="AE2244">
        <v>9</v>
      </c>
      <c r="AF2244" t="s">
        <v>138</v>
      </c>
      <c r="AG2244">
        <v>0</v>
      </c>
      <c r="AH2244">
        <v>3</v>
      </c>
      <c r="AI2244">
        <v>1</v>
      </c>
      <c r="AJ2244">
        <v>0</v>
      </c>
      <c r="AK2244" t="s">
        <v>780</v>
      </c>
      <c r="AL2244">
        <v>32.768354000000002</v>
      </c>
      <c r="AM2244" t="s">
        <v>781</v>
      </c>
      <c r="AN2244">
        <v>-116.812134</v>
      </c>
      <c r="AO2244">
        <v>25</v>
      </c>
      <c r="AP2244">
        <v>3100</v>
      </c>
      <c r="AQ2244" t="s">
        <v>129</v>
      </c>
      <c r="AR2244">
        <v>118</v>
      </c>
      <c r="AS2244">
        <v>-57</v>
      </c>
      <c r="AT2244">
        <v>192</v>
      </c>
      <c r="BB2244">
        <v>1200</v>
      </c>
      <c r="BC2244">
        <v>1</v>
      </c>
      <c r="BD2244" t="str">
        <f t="shared" si="803"/>
        <v xml:space="preserve">N887QR  </v>
      </c>
      <c r="BE2244">
        <v>1</v>
      </c>
      <c r="BJ2244">
        <v>2800</v>
      </c>
      <c r="BK2244">
        <v>-300</v>
      </c>
      <c r="BL2244" t="s">
        <v>163</v>
      </c>
      <c r="BM2244">
        <v>1</v>
      </c>
      <c r="BN2244">
        <v>1</v>
      </c>
      <c r="BO2244">
        <v>1</v>
      </c>
      <c r="BP2244">
        <v>0</v>
      </c>
      <c r="BS2244">
        <v>0.08</v>
      </c>
      <c r="BT2244">
        <v>0</v>
      </c>
      <c r="BU2244">
        <v>0</v>
      </c>
      <c r="CE2244" t="str">
        <f t="shared" si="800"/>
        <v>19:31:29.266</v>
      </c>
      <c r="CF2244">
        <v>265848209</v>
      </c>
      <c r="CS2244">
        <v>0</v>
      </c>
      <c r="CT2244">
        <v>2</v>
      </c>
      <c r="CU2244">
        <v>0</v>
      </c>
      <c r="CV2244">
        <v>2</v>
      </c>
      <c r="CW2244">
        <v>0</v>
      </c>
      <c r="CX2244">
        <v>5</v>
      </c>
      <c r="CY2244">
        <v>7</v>
      </c>
      <c r="CZ2244" t="s">
        <v>131</v>
      </c>
      <c r="DA2244">
        <v>300</v>
      </c>
      <c r="DB2244">
        <v>0</v>
      </c>
      <c r="DC2244" t="s">
        <v>176</v>
      </c>
      <c r="DD2244" t="s">
        <v>177</v>
      </c>
      <c r="DG2244">
        <v>5406588</v>
      </c>
      <c r="DI2244">
        <v>1</v>
      </c>
      <c r="DJ2244">
        <v>0</v>
      </c>
      <c r="DK2244">
        <v>1</v>
      </c>
      <c r="DL2244">
        <v>0</v>
      </c>
      <c r="DM2244">
        <v>0</v>
      </c>
      <c r="DN2244">
        <v>1</v>
      </c>
      <c r="DO2244">
        <v>0</v>
      </c>
      <c r="DP2244">
        <v>0</v>
      </c>
      <c r="DQ2244">
        <v>0</v>
      </c>
      <c r="DR2244">
        <v>0</v>
      </c>
      <c r="DS2244">
        <v>0</v>
      </c>
    </row>
    <row r="2245" spans="1:123" x14ac:dyDescent="0.3">
      <c r="A2245" t="str">
        <f t="shared" si="801"/>
        <v>10/04/2022 19:31:29.558</v>
      </c>
      <c r="C2245" t="str">
        <f t="shared" si="791"/>
        <v>FFDDD3C0</v>
      </c>
      <c r="D2245" t="s">
        <v>141</v>
      </c>
      <c r="E2245">
        <v>3</v>
      </c>
      <c r="H2245">
        <v>3</v>
      </c>
      <c r="I2245" t="s">
        <v>146</v>
      </c>
      <c r="J2245" t="s">
        <v>138</v>
      </c>
      <c r="K2245">
        <v>0</v>
      </c>
      <c r="L2245">
        <v>3</v>
      </c>
      <c r="M2245">
        <v>0</v>
      </c>
      <c r="N2245">
        <v>2</v>
      </c>
      <c r="O2245">
        <v>0</v>
      </c>
      <c r="P2245">
        <v>1</v>
      </c>
      <c r="Q2245">
        <v>0</v>
      </c>
      <c r="S2245" t="str">
        <f t="shared" si="799"/>
        <v>19:31:29.000</v>
      </c>
      <c r="T2245" t="str">
        <f t="shared" si="799"/>
        <v>19:31:29.000</v>
      </c>
      <c r="U2245" t="str">
        <f t="shared" si="802"/>
        <v>AC3944</v>
      </c>
      <c r="V2245">
        <v>0</v>
      </c>
      <c r="W2245">
        <v>0</v>
      </c>
      <c r="X2245">
        <v>2</v>
      </c>
      <c r="Y2245">
        <v>0</v>
      </c>
      <c r="AA2245">
        <v>1</v>
      </c>
      <c r="AB2245">
        <v>8</v>
      </c>
      <c r="AC2245">
        <v>3</v>
      </c>
      <c r="AD2245">
        <v>0</v>
      </c>
      <c r="AE2245">
        <v>9</v>
      </c>
      <c r="AF2245" t="s">
        <v>138</v>
      </c>
      <c r="AG2245">
        <v>0</v>
      </c>
      <c r="AH2245">
        <v>3</v>
      </c>
      <c r="AI2245">
        <v>1</v>
      </c>
      <c r="AJ2245">
        <v>0</v>
      </c>
      <c r="AK2245" t="s">
        <v>780</v>
      </c>
      <c r="AL2245">
        <v>32.768354000000002</v>
      </c>
      <c r="AM2245" t="s">
        <v>781</v>
      </c>
      <c r="AN2245">
        <v>-116.812134</v>
      </c>
      <c r="AO2245">
        <v>25</v>
      </c>
      <c r="AP2245">
        <v>3100</v>
      </c>
      <c r="AQ2245" t="s">
        <v>129</v>
      </c>
      <c r="AR2245">
        <v>118</v>
      </c>
      <c r="AS2245">
        <v>-57</v>
      </c>
      <c r="AT2245">
        <v>192</v>
      </c>
      <c r="BB2245">
        <v>1200</v>
      </c>
      <c r="BC2245">
        <v>1</v>
      </c>
      <c r="BD2245" t="str">
        <f t="shared" si="803"/>
        <v xml:space="preserve">N887QR  </v>
      </c>
      <c r="BE2245">
        <v>1</v>
      </c>
      <c r="BJ2245">
        <v>2800</v>
      </c>
      <c r="BK2245">
        <v>-300</v>
      </c>
      <c r="BL2245" t="s">
        <v>163</v>
      </c>
      <c r="BM2245">
        <v>1</v>
      </c>
      <c r="BN2245">
        <v>1</v>
      </c>
      <c r="BO2245">
        <v>1</v>
      </c>
      <c r="BP2245">
        <v>0</v>
      </c>
      <c r="BS2245">
        <v>0.08</v>
      </c>
      <c r="BT2245">
        <v>0</v>
      </c>
      <c r="BU2245">
        <v>0</v>
      </c>
      <c r="CE2245" t="str">
        <f t="shared" si="800"/>
        <v>19:31:29.266</v>
      </c>
      <c r="CF2245">
        <v>265848209</v>
      </c>
      <c r="CS2245">
        <v>0</v>
      </c>
      <c r="CT2245">
        <v>2</v>
      </c>
      <c r="CU2245">
        <v>0</v>
      </c>
      <c r="CV2245">
        <v>2</v>
      </c>
      <c r="CW2245">
        <v>0</v>
      </c>
      <c r="CX2245">
        <v>5</v>
      </c>
      <c r="CY2245">
        <v>7</v>
      </c>
      <c r="CZ2245" t="s">
        <v>131</v>
      </c>
      <c r="DA2245">
        <v>300</v>
      </c>
      <c r="DB2245">
        <v>0</v>
      </c>
      <c r="DC2245" t="s">
        <v>176</v>
      </c>
      <c r="DD2245" t="s">
        <v>177</v>
      </c>
      <c r="DG2245">
        <v>5406588</v>
      </c>
      <c r="DI2245">
        <v>1</v>
      </c>
      <c r="DJ2245">
        <v>0</v>
      </c>
      <c r="DK2245">
        <v>1</v>
      </c>
      <c r="DL2245">
        <v>0</v>
      </c>
      <c r="DM2245">
        <v>0</v>
      </c>
      <c r="DN2245">
        <v>1</v>
      </c>
      <c r="DO2245">
        <v>0</v>
      </c>
      <c r="DP2245">
        <v>0</v>
      </c>
      <c r="DQ2245">
        <v>0</v>
      </c>
      <c r="DR2245">
        <v>0</v>
      </c>
      <c r="DS2245">
        <v>0</v>
      </c>
    </row>
    <row r="2246" spans="1:123" x14ac:dyDescent="0.3">
      <c r="A2246" t="str">
        <f t="shared" si="801"/>
        <v>10/04/2022 19:31:29.558</v>
      </c>
      <c r="C2246" t="str">
        <f t="shared" si="791"/>
        <v>FFDDD3C0</v>
      </c>
      <c r="D2246" t="s">
        <v>141</v>
      </c>
      <c r="E2246">
        <v>4</v>
      </c>
      <c r="H2246">
        <v>4</v>
      </c>
      <c r="I2246" t="s">
        <v>142</v>
      </c>
      <c r="J2246" t="s">
        <v>138</v>
      </c>
      <c r="K2246">
        <v>0</v>
      </c>
      <c r="L2246">
        <v>3</v>
      </c>
      <c r="M2246">
        <v>0</v>
      </c>
      <c r="N2246">
        <v>2</v>
      </c>
      <c r="O2246">
        <v>0</v>
      </c>
      <c r="P2246">
        <v>1</v>
      </c>
      <c r="Q2246">
        <v>0</v>
      </c>
      <c r="S2246" t="str">
        <f t="shared" si="799"/>
        <v>19:31:29.000</v>
      </c>
      <c r="T2246" t="str">
        <f t="shared" si="799"/>
        <v>19:31:29.000</v>
      </c>
      <c r="U2246" t="str">
        <f t="shared" si="802"/>
        <v>AC3944</v>
      </c>
      <c r="V2246">
        <v>0</v>
      </c>
      <c r="W2246">
        <v>0</v>
      </c>
      <c r="X2246">
        <v>2</v>
      </c>
      <c r="Y2246">
        <v>0</v>
      </c>
      <c r="AA2246">
        <v>1</v>
      </c>
      <c r="AB2246">
        <v>8</v>
      </c>
      <c r="AC2246">
        <v>3</v>
      </c>
      <c r="AD2246">
        <v>0</v>
      </c>
      <c r="AE2246">
        <v>9</v>
      </c>
      <c r="AF2246" t="s">
        <v>138</v>
      </c>
      <c r="AG2246">
        <v>0</v>
      </c>
      <c r="AH2246">
        <v>3</v>
      </c>
      <c r="AI2246">
        <v>1</v>
      </c>
      <c r="AJ2246">
        <v>0</v>
      </c>
      <c r="AK2246" t="s">
        <v>780</v>
      </c>
      <c r="AL2246">
        <v>32.768354000000002</v>
      </c>
      <c r="AM2246" t="s">
        <v>781</v>
      </c>
      <c r="AN2246">
        <v>-116.812134</v>
      </c>
      <c r="AO2246">
        <v>25</v>
      </c>
      <c r="AP2246">
        <v>3100</v>
      </c>
      <c r="AQ2246" t="s">
        <v>129</v>
      </c>
      <c r="AR2246">
        <v>118</v>
      </c>
      <c r="AS2246">
        <v>-57</v>
      </c>
      <c r="AT2246">
        <v>192</v>
      </c>
      <c r="BB2246">
        <v>1200</v>
      </c>
      <c r="BC2246">
        <v>1</v>
      </c>
      <c r="BD2246" t="str">
        <f t="shared" si="803"/>
        <v xml:space="preserve">N887QR  </v>
      </c>
      <c r="BE2246">
        <v>1</v>
      </c>
      <c r="BJ2246">
        <v>2800</v>
      </c>
      <c r="BK2246">
        <v>-300</v>
      </c>
      <c r="BL2246" t="s">
        <v>163</v>
      </c>
      <c r="BM2246">
        <v>1</v>
      </c>
      <c r="BN2246">
        <v>1</v>
      </c>
      <c r="BO2246">
        <v>1</v>
      </c>
      <c r="BP2246">
        <v>0</v>
      </c>
      <c r="BS2246">
        <v>0.08</v>
      </c>
      <c r="BT2246">
        <v>0</v>
      </c>
      <c r="BU2246">
        <v>0</v>
      </c>
      <c r="CE2246" t="str">
        <f t="shared" si="800"/>
        <v>19:31:29.266</v>
      </c>
      <c r="CF2246">
        <v>265848209</v>
      </c>
      <c r="CS2246">
        <v>0</v>
      </c>
      <c r="CT2246">
        <v>2</v>
      </c>
      <c r="CU2246">
        <v>0</v>
      </c>
      <c r="CV2246">
        <v>2</v>
      </c>
      <c r="CW2246">
        <v>0</v>
      </c>
      <c r="CX2246">
        <v>5</v>
      </c>
      <c r="CY2246">
        <v>7</v>
      </c>
      <c r="CZ2246" t="s">
        <v>131</v>
      </c>
      <c r="DA2246">
        <v>300</v>
      </c>
      <c r="DB2246">
        <v>0</v>
      </c>
      <c r="DC2246" t="s">
        <v>176</v>
      </c>
      <c r="DD2246" t="s">
        <v>177</v>
      </c>
      <c r="DG2246">
        <v>5406588</v>
      </c>
      <c r="DI2246">
        <v>1</v>
      </c>
      <c r="DJ2246">
        <v>0</v>
      </c>
      <c r="DK2246">
        <v>1</v>
      </c>
      <c r="DL2246">
        <v>0</v>
      </c>
      <c r="DM2246">
        <v>0</v>
      </c>
      <c r="DN2246">
        <v>1</v>
      </c>
      <c r="DO2246">
        <v>0</v>
      </c>
      <c r="DP2246">
        <v>0</v>
      </c>
      <c r="DQ2246">
        <v>0</v>
      </c>
      <c r="DR2246">
        <v>0</v>
      </c>
      <c r="DS2246">
        <v>0</v>
      </c>
    </row>
    <row r="2247" spans="1:123" x14ac:dyDescent="0.3">
      <c r="A2247" t="str">
        <f t="shared" si="801"/>
        <v>10/04/2022 19:31:29.558</v>
      </c>
      <c r="C2247" t="str">
        <f t="shared" si="791"/>
        <v>FFDDD3C0</v>
      </c>
      <c r="D2247" t="s">
        <v>123</v>
      </c>
      <c r="E2247">
        <v>7</v>
      </c>
      <c r="F2247">
        <v>2007</v>
      </c>
      <c r="G2247" t="s">
        <v>124</v>
      </c>
      <c r="J2247" t="s">
        <v>125</v>
      </c>
      <c r="K2247">
        <v>0</v>
      </c>
      <c r="L2247">
        <v>3</v>
      </c>
      <c r="M2247">
        <v>0</v>
      </c>
      <c r="N2247">
        <v>2</v>
      </c>
      <c r="O2247">
        <v>0</v>
      </c>
      <c r="P2247">
        <v>1</v>
      </c>
      <c r="Q2247">
        <v>0</v>
      </c>
      <c r="S2247" t="str">
        <f t="shared" si="799"/>
        <v>19:31:29.000</v>
      </c>
      <c r="T2247" t="str">
        <f t="shared" si="799"/>
        <v>19:31:29.000</v>
      </c>
      <c r="U2247" t="str">
        <f t="shared" si="802"/>
        <v>AC3944</v>
      </c>
      <c r="V2247">
        <v>0</v>
      </c>
      <c r="W2247">
        <v>0</v>
      </c>
      <c r="X2247">
        <v>2</v>
      </c>
      <c r="Y2247">
        <v>0</v>
      </c>
      <c r="AA2247">
        <v>1</v>
      </c>
      <c r="AB2247">
        <v>8</v>
      </c>
      <c r="AC2247">
        <v>3</v>
      </c>
      <c r="AD2247">
        <v>0</v>
      </c>
      <c r="AE2247">
        <v>9</v>
      </c>
      <c r="AF2247" t="s">
        <v>138</v>
      </c>
      <c r="AG2247">
        <v>0</v>
      </c>
      <c r="AH2247">
        <v>3</v>
      </c>
      <c r="AI2247">
        <v>1</v>
      </c>
      <c r="AJ2247">
        <v>0</v>
      </c>
      <c r="AK2247" t="s">
        <v>780</v>
      </c>
      <c r="AL2247">
        <v>32.768354000000002</v>
      </c>
      <c r="AM2247" t="s">
        <v>781</v>
      </c>
      <c r="AN2247">
        <v>-116.812134</v>
      </c>
      <c r="AO2247">
        <v>25</v>
      </c>
      <c r="AP2247">
        <v>3100</v>
      </c>
      <c r="AQ2247" t="s">
        <v>129</v>
      </c>
      <c r="AR2247">
        <v>118</v>
      </c>
      <c r="AS2247">
        <v>-57</v>
      </c>
      <c r="AT2247">
        <v>192</v>
      </c>
      <c r="BB2247">
        <v>1200</v>
      </c>
      <c r="BC2247">
        <v>1</v>
      </c>
      <c r="BD2247" t="str">
        <f t="shared" si="803"/>
        <v xml:space="preserve">N887QR  </v>
      </c>
      <c r="BE2247">
        <v>1</v>
      </c>
      <c r="BJ2247">
        <v>2800</v>
      </c>
      <c r="BK2247">
        <v>-300</v>
      </c>
      <c r="BL2247" t="s">
        <v>163</v>
      </c>
      <c r="BM2247">
        <v>1</v>
      </c>
      <c r="BN2247">
        <v>1</v>
      </c>
      <c r="BO2247">
        <v>1</v>
      </c>
      <c r="BP2247">
        <v>0</v>
      </c>
      <c r="BS2247">
        <v>0.08</v>
      </c>
      <c r="BT2247">
        <v>0</v>
      </c>
      <c r="BU2247">
        <v>0</v>
      </c>
      <c r="CE2247" t="str">
        <f t="shared" si="800"/>
        <v>19:31:29.266</v>
      </c>
      <c r="CF2247">
        <v>265848209</v>
      </c>
      <c r="CS2247">
        <v>0</v>
      </c>
      <c r="CT2247">
        <v>2</v>
      </c>
      <c r="CU2247">
        <v>0</v>
      </c>
      <c r="CV2247">
        <v>2</v>
      </c>
      <c r="CW2247">
        <v>0</v>
      </c>
      <c r="CX2247">
        <v>5</v>
      </c>
      <c r="CY2247">
        <v>7</v>
      </c>
      <c r="CZ2247" t="s">
        <v>131</v>
      </c>
      <c r="DA2247">
        <v>300</v>
      </c>
      <c r="DB2247">
        <v>0</v>
      </c>
      <c r="DC2247" t="s">
        <v>176</v>
      </c>
      <c r="DD2247" t="s">
        <v>177</v>
      </c>
      <c r="DG2247">
        <v>5406588</v>
      </c>
      <c r="DI2247">
        <v>1</v>
      </c>
      <c r="DJ2247">
        <v>0</v>
      </c>
      <c r="DK2247">
        <v>1</v>
      </c>
      <c r="DL2247">
        <v>0</v>
      </c>
      <c r="DM2247">
        <v>0</v>
      </c>
      <c r="DN2247">
        <v>1</v>
      </c>
      <c r="DO2247">
        <v>0</v>
      </c>
      <c r="DP2247">
        <v>0</v>
      </c>
      <c r="DQ2247">
        <v>0</v>
      </c>
      <c r="DR2247">
        <v>0</v>
      </c>
      <c r="DS2247">
        <v>0</v>
      </c>
    </row>
    <row r="2248" spans="1:123" x14ac:dyDescent="0.3">
      <c r="A2248" t="str">
        <f t="shared" ref="A2248:A2253" si="804">"10/04/2022 19:31:30.716"</f>
        <v>10/04/2022 19:31:30.716</v>
      </c>
      <c r="C2248" t="str">
        <f t="shared" si="791"/>
        <v>FFDDD3C0</v>
      </c>
      <c r="D2248" t="s">
        <v>134</v>
      </c>
      <c r="E2248">
        <v>15</v>
      </c>
      <c r="J2248" t="s">
        <v>135</v>
      </c>
      <c r="K2248">
        <v>0</v>
      </c>
      <c r="L2248">
        <v>3</v>
      </c>
      <c r="M2248">
        <v>0</v>
      </c>
      <c r="N2248">
        <v>2</v>
      </c>
      <c r="O2248">
        <v>0</v>
      </c>
      <c r="P2248">
        <v>1</v>
      </c>
      <c r="Q2248">
        <v>0</v>
      </c>
      <c r="S2248" t="str">
        <f t="shared" ref="S2248:T2254" si="805">"19:31:30.000"</f>
        <v>19:31:30.000</v>
      </c>
      <c r="T2248" t="str">
        <f t="shared" si="805"/>
        <v>19:31:30.000</v>
      </c>
      <c r="U2248" t="str">
        <f t="shared" si="802"/>
        <v>AC3944</v>
      </c>
      <c r="V2248">
        <v>0</v>
      </c>
      <c r="W2248">
        <v>0</v>
      </c>
      <c r="X2248">
        <v>2</v>
      </c>
      <c r="Y2248">
        <v>0</v>
      </c>
      <c r="AA2248">
        <v>1</v>
      </c>
      <c r="AB2248">
        <v>8</v>
      </c>
      <c r="AC2248">
        <v>3</v>
      </c>
      <c r="AD2248">
        <v>0</v>
      </c>
      <c r="AE2248">
        <v>9</v>
      </c>
      <c r="AF2248" t="s">
        <v>138</v>
      </c>
      <c r="AG2248">
        <v>0</v>
      </c>
      <c r="AH2248">
        <v>3</v>
      </c>
      <c r="AI2248">
        <v>1</v>
      </c>
      <c r="AJ2248">
        <v>0</v>
      </c>
      <c r="AK2248" t="s">
        <v>782</v>
      </c>
      <c r="AL2248">
        <v>32.768096999999997</v>
      </c>
      <c r="AM2248" t="s">
        <v>783</v>
      </c>
      <c r="AN2248">
        <v>-116.81149000000001</v>
      </c>
      <c r="AO2248">
        <v>25</v>
      </c>
      <c r="AP2248">
        <v>3100</v>
      </c>
      <c r="AQ2248" t="s">
        <v>129</v>
      </c>
      <c r="AR2248">
        <v>117</v>
      </c>
      <c r="AS2248">
        <v>-58</v>
      </c>
      <c r="AT2248">
        <v>192</v>
      </c>
      <c r="BB2248">
        <v>1200</v>
      </c>
      <c r="BC2248">
        <v>1</v>
      </c>
      <c r="BD2248" t="str">
        <f t="shared" si="803"/>
        <v xml:space="preserve">N887QR  </v>
      </c>
      <c r="BE2248">
        <v>1</v>
      </c>
      <c r="BJ2248">
        <v>2800</v>
      </c>
      <c r="BK2248">
        <v>-300</v>
      </c>
      <c r="BL2248" t="s">
        <v>163</v>
      </c>
      <c r="BM2248">
        <v>1</v>
      </c>
      <c r="BN2248">
        <v>1</v>
      </c>
      <c r="BO2248">
        <v>1</v>
      </c>
      <c r="BP2248">
        <v>0</v>
      </c>
      <c r="BS2248">
        <v>0.04</v>
      </c>
      <c r="BT2248">
        <v>0</v>
      </c>
      <c r="BU2248">
        <v>0</v>
      </c>
      <c r="CE2248" t="str">
        <f t="shared" ref="CE2248:CE2254" si="806">"19:31:30.433"</f>
        <v>19:31:30.433</v>
      </c>
      <c r="CF2248">
        <v>433352076</v>
      </c>
      <c r="CS2248">
        <v>0</v>
      </c>
      <c r="CT2248">
        <v>2</v>
      </c>
      <c r="CU2248">
        <v>0</v>
      </c>
      <c r="CV2248">
        <v>2</v>
      </c>
      <c r="CW2248">
        <v>0</v>
      </c>
      <c r="CX2248">
        <v>5</v>
      </c>
      <c r="CY2248">
        <v>7</v>
      </c>
      <c r="CZ2248" t="s">
        <v>131</v>
      </c>
      <c r="DA2248">
        <v>300</v>
      </c>
      <c r="DB2248">
        <v>0</v>
      </c>
      <c r="DC2248" t="s">
        <v>176</v>
      </c>
      <c r="DD2248" t="s">
        <v>177</v>
      </c>
      <c r="DG2248">
        <v>5406761</v>
      </c>
      <c r="DI2248">
        <v>1</v>
      </c>
      <c r="DJ2248">
        <v>0</v>
      </c>
      <c r="DK2248">
        <v>0</v>
      </c>
      <c r="DL2248">
        <v>0</v>
      </c>
      <c r="DM2248">
        <v>0</v>
      </c>
      <c r="DN2248">
        <v>1</v>
      </c>
      <c r="DO2248">
        <v>0</v>
      </c>
      <c r="DP2248">
        <v>0</v>
      </c>
      <c r="DQ2248">
        <v>0</v>
      </c>
      <c r="DR2248">
        <v>0</v>
      </c>
      <c r="DS2248">
        <v>0</v>
      </c>
    </row>
    <row r="2249" spans="1:123" x14ac:dyDescent="0.3">
      <c r="A2249" t="str">
        <f t="shared" si="804"/>
        <v>10/04/2022 19:31:30.716</v>
      </c>
      <c r="C2249" t="str">
        <f t="shared" si="791"/>
        <v>FFDDD3C0</v>
      </c>
      <c r="D2249" t="s">
        <v>143</v>
      </c>
      <c r="E2249">
        <v>20</v>
      </c>
      <c r="F2249">
        <v>1020</v>
      </c>
      <c r="G2249" t="s">
        <v>144</v>
      </c>
      <c r="J2249" t="s">
        <v>145</v>
      </c>
      <c r="K2249">
        <v>0</v>
      </c>
      <c r="L2249">
        <v>3</v>
      </c>
      <c r="M2249">
        <v>0</v>
      </c>
      <c r="N2249">
        <v>2</v>
      </c>
      <c r="O2249">
        <v>0</v>
      </c>
      <c r="P2249">
        <v>1</v>
      </c>
      <c r="Q2249">
        <v>0</v>
      </c>
      <c r="S2249" t="str">
        <f t="shared" si="805"/>
        <v>19:31:30.000</v>
      </c>
      <c r="T2249" t="str">
        <f t="shared" si="805"/>
        <v>19:31:30.000</v>
      </c>
      <c r="U2249" t="str">
        <f t="shared" si="802"/>
        <v>AC3944</v>
      </c>
      <c r="V2249">
        <v>0</v>
      </c>
      <c r="W2249">
        <v>0</v>
      </c>
      <c r="X2249">
        <v>2</v>
      </c>
      <c r="Y2249">
        <v>0</v>
      </c>
      <c r="AA2249">
        <v>1</v>
      </c>
      <c r="AB2249">
        <v>8</v>
      </c>
      <c r="AC2249">
        <v>3</v>
      </c>
      <c r="AD2249">
        <v>0</v>
      </c>
      <c r="AE2249">
        <v>9</v>
      </c>
      <c r="AF2249" t="s">
        <v>138</v>
      </c>
      <c r="AG2249">
        <v>0</v>
      </c>
      <c r="AH2249">
        <v>3</v>
      </c>
      <c r="AI2249">
        <v>1</v>
      </c>
      <c r="AJ2249">
        <v>0</v>
      </c>
      <c r="AK2249" t="s">
        <v>782</v>
      </c>
      <c r="AL2249">
        <v>32.768096999999997</v>
      </c>
      <c r="AM2249" t="s">
        <v>783</v>
      </c>
      <c r="AN2249">
        <v>-116.81149000000001</v>
      </c>
      <c r="AO2249">
        <v>25</v>
      </c>
      <c r="AP2249">
        <v>3100</v>
      </c>
      <c r="AQ2249" t="s">
        <v>129</v>
      </c>
      <c r="AR2249">
        <v>117</v>
      </c>
      <c r="AS2249">
        <v>-58</v>
      </c>
      <c r="AT2249">
        <v>192</v>
      </c>
      <c r="BB2249">
        <v>1200</v>
      </c>
      <c r="BC2249">
        <v>1</v>
      </c>
      <c r="BD2249" t="str">
        <f t="shared" si="803"/>
        <v xml:space="preserve">N887QR  </v>
      </c>
      <c r="BE2249">
        <v>1</v>
      </c>
      <c r="BJ2249">
        <v>2800</v>
      </c>
      <c r="BK2249">
        <v>-300</v>
      </c>
      <c r="BL2249" t="s">
        <v>163</v>
      </c>
      <c r="BM2249">
        <v>1</v>
      </c>
      <c r="BN2249">
        <v>1</v>
      </c>
      <c r="BO2249">
        <v>1</v>
      </c>
      <c r="BP2249">
        <v>0</v>
      </c>
      <c r="BS2249">
        <v>0.04</v>
      </c>
      <c r="BT2249">
        <v>0</v>
      </c>
      <c r="BU2249">
        <v>0</v>
      </c>
      <c r="CE2249" t="str">
        <f t="shared" si="806"/>
        <v>19:31:30.433</v>
      </c>
      <c r="CF2249">
        <v>433352076</v>
      </c>
      <c r="CS2249">
        <v>0</v>
      </c>
      <c r="CT2249">
        <v>2</v>
      </c>
      <c r="CU2249">
        <v>0</v>
      </c>
      <c r="CV2249">
        <v>2</v>
      </c>
      <c r="CW2249">
        <v>0</v>
      </c>
      <c r="CX2249">
        <v>5</v>
      </c>
      <c r="CY2249">
        <v>7</v>
      </c>
      <c r="CZ2249" t="s">
        <v>131</v>
      </c>
      <c r="DA2249">
        <v>300</v>
      </c>
      <c r="DB2249">
        <v>0</v>
      </c>
      <c r="DC2249" t="s">
        <v>176</v>
      </c>
      <c r="DD2249" t="s">
        <v>177</v>
      </c>
      <c r="DG2249">
        <v>5406761</v>
      </c>
      <c r="DI2249">
        <v>1</v>
      </c>
      <c r="DJ2249">
        <v>0</v>
      </c>
      <c r="DK2249">
        <v>1</v>
      </c>
      <c r="DL2249">
        <v>0</v>
      </c>
      <c r="DM2249">
        <v>0</v>
      </c>
      <c r="DN2249">
        <v>1</v>
      </c>
      <c r="DO2249">
        <v>0</v>
      </c>
      <c r="DP2249">
        <v>0</v>
      </c>
      <c r="DQ2249">
        <v>0</v>
      </c>
      <c r="DR2249">
        <v>0</v>
      </c>
      <c r="DS2249">
        <v>0</v>
      </c>
    </row>
    <row r="2250" spans="1:123" x14ac:dyDescent="0.3">
      <c r="A2250" t="str">
        <f t="shared" si="804"/>
        <v>10/04/2022 19:31:30.716</v>
      </c>
      <c r="C2250" t="str">
        <f t="shared" si="791"/>
        <v>FFDDD3C0</v>
      </c>
      <c r="D2250" t="s">
        <v>136</v>
      </c>
      <c r="E2250">
        <v>8</v>
      </c>
      <c r="H2250">
        <v>225</v>
      </c>
      <c r="I2250" t="s">
        <v>137</v>
      </c>
      <c r="J2250" t="s">
        <v>138</v>
      </c>
      <c r="K2250">
        <v>0</v>
      </c>
      <c r="L2250">
        <v>3</v>
      </c>
      <c r="M2250">
        <v>0</v>
      </c>
      <c r="N2250">
        <v>2</v>
      </c>
      <c r="O2250">
        <v>0</v>
      </c>
      <c r="P2250">
        <v>1</v>
      </c>
      <c r="Q2250">
        <v>0</v>
      </c>
      <c r="S2250" t="str">
        <f t="shared" si="805"/>
        <v>19:31:30.000</v>
      </c>
      <c r="T2250" t="str">
        <f t="shared" si="805"/>
        <v>19:31:30.000</v>
      </c>
      <c r="U2250" t="str">
        <f t="shared" si="802"/>
        <v>AC3944</v>
      </c>
      <c r="V2250">
        <v>0</v>
      </c>
      <c r="W2250">
        <v>0</v>
      </c>
      <c r="X2250">
        <v>2</v>
      </c>
      <c r="Y2250">
        <v>0</v>
      </c>
      <c r="AA2250">
        <v>1</v>
      </c>
      <c r="AB2250">
        <v>8</v>
      </c>
      <c r="AC2250">
        <v>3</v>
      </c>
      <c r="AD2250">
        <v>0</v>
      </c>
      <c r="AE2250">
        <v>9</v>
      </c>
      <c r="AF2250" t="s">
        <v>138</v>
      </c>
      <c r="AG2250">
        <v>0</v>
      </c>
      <c r="AH2250">
        <v>3</v>
      </c>
      <c r="AI2250">
        <v>1</v>
      </c>
      <c r="AJ2250">
        <v>0</v>
      </c>
      <c r="AK2250" t="s">
        <v>782</v>
      </c>
      <c r="AL2250">
        <v>32.768096999999997</v>
      </c>
      <c r="AM2250" t="s">
        <v>783</v>
      </c>
      <c r="AN2250">
        <v>-116.81149000000001</v>
      </c>
      <c r="AO2250">
        <v>25</v>
      </c>
      <c r="AP2250">
        <v>3100</v>
      </c>
      <c r="AQ2250" t="s">
        <v>129</v>
      </c>
      <c r="AR2250">
        <v>117</v>
      </c>
      <c r="AS2250">
        <v>-58</v>
      </c>
      <c r="AT2250">
        <v>192</v>
      </c>
      <c r="BB2250">
        <v>1200</v>
      </c>
      <c r="BC2250">
        <v>1</v>
      </c>
      <c r="BD2250" t="str">
        <f t="shared" si="803"/>
        <v xml:space="preserve">N887QR  </v>
      </c>
      <c r="BE2250">
        <v>1</v>
      </c>
      <c r="BJ2250">
        <v>2800</v>
      </c>
      <c r="BK2250">
        <v>-300</v>
      </c>
      <c r="BL2250" t="s">
        <v>163</v>
      </c>
      <c r="BM2250">
        <v>1</v>
      </c>
      <c r="BN2250">
        <v>1</v>
      </c>
      <c r="BO2250">
        <v>1</v>
      </c>
      <c r="BP2250">
        <v>0</v>
      </c>
      <c r="BS2250">
        <v>0.04</v>
      </c>
      <c r="BT2250">
        <v>0</v>
      </c>
      <c r="BU2250">
        <v>0</v>
      </c>
      <c r="CE2250" t="str">
        <f t="shared" si="806"/>
        <v>19:31:30.433</v>
      </c>
      <c r="CF2250">
        <v>433352076</v>
      </c>
      <c r="CS2250">
        <v>0</v>
      </c>
      <c r="CT2250">
        <v>2</v>
      </c>
      <c r="CU2250">
        <v>0</v>
      </c>
      <c r="CV2250">
        <v>2</v>
      </c>
      <c r="CW2250">
        <v>0</v>
      </c>
      <c r="CX2250">
        <v>5</v>
      </c>
      <c r="CY2250">
        <v>7</v>
      </c>
      <c r="CZ2250" t="s">
        <v>131</v>
      </c>
      <c r="DA2250">
        <v>300</v>
      </c>
      <c r="DB2250">
        <v>0</v>
      </c>
      <c r="DC2250" t="s">
        <v>176</v>
      </c>
      <c r="DD2250" t="s">
        <v>177</v>
      </c>
      <c r="DG2250">
        <v>5406761</v>
      </c>
      <c r="DI2250">
        <v>1</v>
      </c>
      <c r="DJ2250">
        <v>0</v>
      </c>
      <c r="DK2250">
        <v>1</v>
      </c>
      <c r="DL2250">
        <v>0</v>
      </c>
      <c r="DM2250">
        <v>0</v>
      </c>
      <c r="DN2250">
        <v>1</v>
      </c>
      <c r="DO2250">
        <v>0</v>
      </c>
      <c r="DP2250">
        <v>0</v>
      </c>
      <c r="DQ2250">
        <v>0</v>
      </c>
      <c r="DR2250">
        <v>0</v>
      </c>
      <c r="DS2250">
        <v>0</v>
      </c>
    </row>
    <row r="2251" spans="1:123" x14ac:dyDescent="0.3">
      <c r="A2251" t="str">
        <f t="shared" si="804"/>
        <v>10/04/2022 19:31:30.716</v>
      </c>
      <c r="C2251" t="str">
        <f t="shared" si="791"/>
        <v>FFDDD3C0</v>
      </c>
      <c r="D2251" t="s">
        <v>147</v>
      </c>
      <c r="E2251">
        <v>3</v>
      </c>
      <c r="H2251">
        <v>166</v>
      </c>
      <c r="I2251" t="s">
        <v>144</v>
      </c>
      <c r="J2251" t="s">
        <v>148</v>
      </c>
      <c r="K2251">
        <v>0</v>
      </c>
      <c r="L2251">
        <v>3</v>
      </c>
      <c r="M2251">
        <v>0</v>
      </c>
      <c r="N2251">
        <v>2</v>
      </c>
      <c r="O2251">
        <v>0</v>
      </c>
      <c r="P2251">
        <v>1</v>
      </c>
      <c r="Q2251">
        <v>0</v>
      </c>
      <c r="S2251" t="str">
        <f t="shared" si="805"/>
        <v>19:31:30.000</v>
      </c>
      <c r="T2251" t="str">
        <f t="shared" si="805"/>
        <v>19:31:30.000</v>
      </c>
      <c r="U2251" t="str">
        <f t="shared" si="802"/>
        <v>AC3944</v>
      </c>
      <c r="V2251">
        <v>0</v>
      </c>
      <c r="W2251">
        <v>0</v>
      </c>
      <c r="X2251">
        <v>2</v>
      </c>
      <c r="Y2251">
        <v>0</v>
      </c>
      <c r="AA2251">
        <v>1</v>
      </c>
      <c r="AB2251">
        <v>8</v>
      </c>
      <c r="AC2251">
        <v>3</v>
      </c>
      <c r="AD2251">
        <v>0</v>
      </c>
      <c r="AE2251">
        <v>9</v>
      </c>
      <c r="AF2251" t="s">
        <v>138</v>
      </c>
      <c r="AG2251">
        <v>0</v>
      </c>
      <c r="AH2251">
        <v>3</v>
      </c>
      <c r="AI2251">
        <v>1</v>
      </c>
      <c r="AJ2251">
        <v>0</v>
      </c>
      <c r="AK2251" t="s">
        <v>782</v>
      </c>
      <c r="AL2251">
        <v>32.768096999999997</v>
      </c>
      <c r="AM2251" t="s">
        <v>783</v>
      </c>
      <c r="AN2251">
        <v>-116.81149000000001</v>
      </c>
      <c r="AO2251">
        <v>25</v>
      </c>
      <c r="AP2251">
        <v>3100</v>
      </c>
      <c r="AQ2251" t="s">
        <v>129</v>
      </c>
      <c r="AR2251">
        <v>117</v>
      </c>
      <c r="AS2251">
        <v>-58</v>
      </c>
      <c r="AT2251">
        <v>192</v>
      </c>
      <c r="BB2251">
        <v>1200</v>
      </c>
      <c r="BC2251">
        <v>1</v>
      </c>
      <c r="BD2251" t="str">
        <f t="shared" si="803"/>
        <v xml:space="preserve">N887QR  </v>
      </c>
      <c r="BE2251">
        <v>1</v>
      </c>
      <c r="BJ2251">
        <v>2800</v>
      </c>
      <c r="BK2251">
        <v>-300</v>
      </c>
      <c r="BL2251" t="s">
        <v>163</v>
      </c>
      <c r="BM2251">
        <v>1</v>
      </c>
      <c r="BN2251">
        <v>1</v>
      </c>
      <c r="BO2251">
        <v>1</v>
      </c>
      <c r="BP2251">
        <v>0</v>
      </c>
      <c r="BS2251">
        <v>0.04</v>
      </c>
      <c r="BT2251">
        <v>0</v>
      </c>
      <c r="BU2251">
        <v>0</v>
      </c>
      <c r="CE2251" t="str">
        <f t="shared" si="806"/>
        <v>19:31:30.433</v>
      </c>
      <c r="CF2251">
        <v>433352076</v>
      </c>
      <c r="CS2251">
        <v>0</v>
      </c>
      <c r="CT2251">
        <v>2</v>
      </c>
      <c r="CU2251">
        <v>0</v>
      </c>
      <c r="CV2251">
        <v>2</v>
      </c>
      <c r="CW2251">
        <v>0</v>
      </c>
      <c r="CX2251">
        <v>5</v>
      </c>
      <c r="CY2251">
        <v>7</v>
      </c>
      <c r="CZ2251" t="s">
        <v>131</v>
      </c>
      <c r="DA2251">
        <v>300</v>
      </c>
      <c r="DB2251">
        <v>0</v>
      </c>
      <c r="DC2251" t="s">
        <v>176</v>
      </c>
      <c r="DD2251" t="s">
        <v>177</v>
      </c>
      <c r="DG2251">
        <v>5406761</v>
      </c>
      <c r="DI2251">
        <v>1</v>
      </c>
      <c r="DJ2251">
        <v>0</v>
      </c>
      <c r="DK2251">
        <v>1</v>
      </c>
      <c r="DL2251">
        <v>0</v>
      </c>
      <c r="DM2251">
        <v>0</v>
      </c>
      <c r="DN2251">
        <v>1</v>
      </c>
      <c r="DO2251">
        <v>0</v>
      </c>
      <c r="DP2251">
        <v>0</v>
      </c>
      <c r="DQ2251">
        <v>0</v>
      </c>
      <c r="DR2251">
        <v>0</v>
      </c>
      <c r="DS2251">
        <v>0</v>
      </c>
    </row>
    <row r="2252" spans="1:123" x14ac:dyDescent="0.3">
      <c r="A2252" t="str">
        <f t="shared" si="804"/>
        <v>10/04/2022 19:31:30.716</v>
      </c>
      <c r="C2252" t="str">
        <f t="shared" si="791"/>
        <v>FFDDD3C0</v>
      </c>
      <c r="D2252" t="s">
        <v>123</v>
      </c>
      <c r="E2252">
        <v>7</v>
      </c>
      <c r="F2252">
        <v>2007</v>
      </c>
      <c r="G2252" t="s">
        <v>124</v>
      </c>
      <c r="J2252" t="s">
        <v>125</v>
      </c>
      <c r="K2252">
        <v>0</v>
      </c>
      <c r="L2252">
        <v>3</v>
      </c>
      <c r="M2252">
        <v>0</v>
      </c>
      <c r="N2252">
        <v>2</v>
      </c>
      <c r="O2252">
        <v>0</v>
      </c>
      <c r="P2252">
        <v>1</v>
      </c>
      <c r="Q2252">
        <v>0</v>
      </c>
      <c r="S2252" t="str">
        <f t="shared" si="805"/>
        <v>19:31:30.000</v>
      </c>
      <c r="T2252" t="str">
        <f t="shared" si="805"/>
        <v>19:31:30.000</v>
      </c>
      <c r="U2252" t="str">
        <f t="shared" si="802"/>
        <v>AC3944</v>
      </c>
      <c r="V2252">
        <v>0</v>
      </c>
      <c r="W2252">
        <v>0</v>
      </c>
      <c r="X2252">
        <v>2</v>
      </c>
      <c r="Y2252">
        <v>0</v>
      </c>
      <c r="AA2252">
        <v>1</v>
      </c>
      <c r="AB2252">
        <v>8</v>
      </c>
      <c r="AC2252">
        <v>3</v>
      </c>
      <c r="AD2252">
        <v>0</v>
      </c>
      <c r="AE2252">
        <v>9</v>
      </c>
      <c r="AF2252" t="s">
        <v>138</v>
      </c>
      <c r="AG2252">
        <v>0</v>
      </c>
      <c r="AH2252">
        <v>3</v>
      </c>
      <c r="AI2252">
        <v>1</v>
      </c>
      <c r="AJ2252">
        <v>0</v>
      </c>
      <c r="AK2252" t="s">
        <v>782</v>
      </c>
      <c r="AL2252">
        <v>32.768096999999997</v>
      </c>
      <c r="AM2252" t="s">
        <v>783</v>
      </c>
      <c r="AN2252">
        <v>-116.81149000000001</v>
      </c>
      <c r="AO2252">
        <v>25</v>
      </c>
      <c r="AP2252">
        <v>3100</v>
      </c>
      <c r="AQ2252" t="s">
        <v>129</v>
      </c>
      <c r="AR2252">
        <v>117</v>
      </c>
      <c r="AS2252">
        <v>-58</v>
      </c>
      <c r="AT2252">
        <v>192</v>
      </c>
      <c r="BB2252">
        <v>1200</v>
      </c>
      <c r="BC2252">
        <v>1</v>
      </c>
      <c r="BD2252" t="str">
        <f t="shared" si="803"/>
        <v xml:space="preserve">N887QR  </v>
      </c>
      <c r="BE2252">
        <v>1</v>
      </c>
      <c r="BJ2252">
        <v>2800</v>
      </c>
      <c r="BK2252">
        <v>-300</v>
      </c>
      <c r="BL2252" t="s">
        <v>163</v>
      </c>
      <c r="BM2252">
        <v>1</v>
      </c>
      <c r="BN2252">
        <v>1</v>
      </c>
      <c r="BO2252">
        <v>1</v>
      </c>
      <c r="BP2252">
        <v>0</v>
      </c>
      <c r="BS2252">
        <v>0.04</v>
      </c>
      <c r="BT2252">
        <v>0</v>
      </c>
      <c r="BU2252">
        <v>0</v>
      </c>
      <c r="CE2252" t="str">
        <f t="shared" si="806"/>
        <v>19:31:30.433</v>
      </c>
      <c r="CF2252">
        <v>433352076</v>
      </c>
      <c r="CS2252">
        <v>0</v>
      </c>
      <c r="CT2252">
        <v>2</v>
      </c>
      <c r="CU2252">
        <v>0</v>
      </c>
      <c r="CV2252">
        <v>2</v>
      </c>
      <c r="CW2252">
        <v>0</v>
      </c>
      <c r="CX2252">
        <v>5</v>
      </c>
      <c r="CY2252">
        <v>7</v>
      </c>
      <c r="CZ2252" t="s">
        <v>131</v>
      </c>
      <c r="DA2252">
        <v>300</v>
      </c>
      <c r="DB2252">
        <v>0</v>
      </c>
      <c r="DC2252" t="s">
        <v>176</v>
      </c>
      <c r="DD2252" t="s">
        <v>177</v>
      </c>
      <c r="DG2252">
        <v>5406761</v>
      </c>
      <c r="DI2252">
        <v>1</v>
      </c>
      <c r="DJ2252">
        <v>0</v>
      </c>
      <c r="DK2252">
        <v>1</v>
      </c>
      <c r="DL2252">
        <v>0</v>
      </c>
      <c r="DM2252">
        <v>0</v>
      </c>
      <c r="DN2252">
        <v>1</v>
      </c>
      <c r="DO2252">
        <v>0</v>
      </c>
      <c r="DP2252">
        <v>0</v>
      </c>
      <c r="DQ2252">
        <v>0</v>
      </c>
      <c r="DR2252">
        <v>0</v>
      </c>
      <c r="DS2252">
        <v>0</v>
      </c>
    </row>
    <row r="2253" spans="1:123" x14ac:dyDescent="0.3">
      <c r="A2253" t="str">
        <f t="shared" si="804"/>
        <v>10/04/2022 19:31:30.716</v>
      </c>
      <c r="C2253" t="str">
        <f t="shared" si="791"/>
        <v>FFDDD3C0</v>
      </c>
      <c r="D2253" t="s">
        <v>141</v>
      </c>
      <c r="E2253">
        <v>3</v>
      </c>
      <c r="H2253">
        <v>3</v>
      </c>
      <c r="I2253" t="s">
        <v>146</v>
      </c>
      <c r="J2253" t="s">
        <v>138</v>
      </c>
      <c r="K2253">
        <v>0</v>
      </c>
      <c r="L2253">
        <v>3</v>
      </c>
      <c r="M2253">
        <v>0</v>
      </c>
      <c r="N2253">
        <v>2</v>
      </c>
      <c r="O2253">
        <v>0</v>
      </c>
      <c r="P2253">
        <v>1</v>
      </c>
      <c r="Q2253">
        <v>0</v>
      </c>
      <c r="S2253" t="str">
        <f t="shared" si="805"/>
        <v>19:31:30.000</v>
      </c>
      <c r="T2253" t="str">
        <f t="shared" si="805"/>
        <v>19:31:30.000</v>
      </c>
      <c r="U2253" t="str">
        <f t="shared" si="802"/>
        <v>AC3944</v>
      </c>
      <c r="V2253">
        <v>0</v>
      </c>
      <c r="W2253">
        <v>0</v>
      </c>
      <c r="X2253">
        <v>2</v>
      </c>
      <c r="Y2253">
        <v>0</v>
      </c>
      <c r="AA2253">
        <v>1</v>
      </c>
      <c r="AB2253">
        <v>8</v>
      </c>
      <c r="AC2253">
        <v>3</v>
      </c>
      <c r="AD2253">
        <v>0</v>
      </c>
      <c r="AE2253">
        <v>9</v>
      </c>
      <c r="AF2253" t="s">
        <v>138</v>
      </c>
      <c r="AG2253">
        <v>0</v>
      </c>
      <c r="AH2253">
        <v>3</v>
      </c>
      <c r="AI2253">
        <v>1</v>
      </c>
      <c r="AJ2253">
        <v>0</v>
      </c>
      <c r="AK2253" t="s">
        <v>782</v>
      </c>
      <c r="AL2253">
        <v>32.768096999999997</v>
      </c>
      <c r="AM2253" t="s">
        <v>783</v>
      </c>
      <c r="AN2253">
        <v>-116.81149000000001</v>
      </c>
      <c r="AO2253">
        <v>25</v>
      </c>
      <c r="AP2253">
        <v>3100</v>
      </c>
      <c r="AQ2253" t="s">
        <v>129</v>
      </c>
      <c r="AR2253">
        <v>117</v>
      </c>
      <c r="AS2253">
        <v>-58</v>
      </c>
      <c r="AT2253">
        <v>192</v>
      </c>
      <c r="BB2253">
        <v>1200</v>
      </c>
      <c r="BC2253">
        <v>1</v>
      </c>
      <c r="BD2253" t="str">
        <f t="shared" si="803"/>
        <v xml:space="preserve">N887QR  </v>
      </c>
      <c r="BE2253">
        <v>1</v>
      </c>
      <c r="BJ2253">
        <v>2800</v>
      </c>
      <c r="BK2253">
        <v>-300</v>
      </c>
      <c r="BL2253" t="s">
        <v>163</v>
      </c>
      <c r="BM2253">
        <v>1</v>
      </c>
      <c r="BN2253">
        <v>1</v>
      </c>
      <c r="BO2253">
        <v>1</v>
      </c>
      <c r="BP2253">
        <v>0</v>
      </c>
      <c r="BS2253">
        <v>0.04</v>
      </c>
      <c r="BT2253">
        <v>0</v>
      </c>
      <c r="BU2253">
        <v>0</v>
      </c>
      <c r="CE2253" t="str">
        <f t="shared" si="806"/>
        <v>19:31:30.433</v>
      </c>
      <c r="CF2253">
        <v>433352076</v>
      </c>
      <c r="CS2253">
        <v>0</v>
      </c>
      <c r="CT2253">
        <v>2</v>
      </c>
      <c r="CU2253">
        <v>0</v>
      </c>
      <c r="CV2253">
        <v>2</v>
      </c>
      <c r="CW2253">
        <v>0</v>
      </c>
      <c r="CX2253">
        <v>5</v>
      </c>
      <c r="CY2253">
        <v>7</v>
      </c>
      <c r="CZ2253" t="s">
        <v>131</v>
      </c>
      <c r="DA2253">
        <v>300</v>
      </c>
      <c r="DB2253">
        <v>0</v>
      </c>
      <c r="DC2253" t="s">
        <v>176</v>
      </c>
      <c r="DD2253" t="s">
        <v>177</v>
      </c>
      <c r="DG2253">
        <v>5406761</v>
      </c>
      <c r="DI2253">
        <v>1</v>
      </c>
      <c r="DJ2253">
        <v>0</v>
      </c>
      <c r="DK2253">
        <v>1</v>
      </c>
      <c r="DL2253">
        <v>0</v>
      </c>
      <c r="DM2253">
        <v>0</v>
      </c>
      <c r="DN2253">
        <v>1</v>
      </c>
      <c r="DO2253">
        <v>0</v>
      </c>
      <c r="DP2253">
        <v>0</v>
      </c>
      <c r="DQ2253">
        <v>0</v>
      </c>
      <c r="DR2253">
        <v>0</v>
      </c>
      <c r="DS2253">
        <v>0</v>
      </c>
    </row>
    <row r="2254" spans="1:123" x14ac:dyDescent="0.3">
      <c r="A2254" t="str">
        <f>"10/04/2022 19:31:30.747"</f>
        <v>10/04/2022 19:31:30.747</v>
      </c>
      <c r="C2254" t="str">
        <f t="shared" si="791"/>
        <v>FFDDD3C0</v>
      </c>
      <c r="D2254" t="s">
        <v>141</v>
      </c>
      <c r="E2254">
        <v>4</v>
      </c>
      <c r="H2254">
        <v>4</v>
      </c>
      <c r="I2254" t="s">
        <v>142</v>
      </c>
      <c r="J2254" t="s">
        <v>138</v>
      </c>
      <c r="K2254">
        <v>0</v>
      </c>
      <c r="L2254">
        <v>3</v>
      </c>
      <c r="M2254">
        <v>0</v>
      </c>
      <c r="N2254">
        <v>2</v>
      </c>
      <c r="O2254">
        <v>0</v>
      </c>
      <c r="P2254">
        <v>1</v>
      </c>
      <c r="Q2254">
        <v>0</v>
      </c>
      <c r="S2254" t="str">
        <f t="shared" si="805"/>
        <v>19:31:30.000</v>
      </c>
      <c r="T2254" t="str">
        <f t="shared" si="805"/>
        <v>19:31:30.000</v>
      </c>
      <c r="U2254" t="str">
        <f t="shared" si="802"/>
        <v>AC3944</v>
      </c>
      <c r="V2254">
        <v>0</v>
      </c>
      <c r="W2254">
        <v>0</v>
      </c>
      <c r="X2254">
        <v>2</v>
      </c>
      <c r="Y2254">
        <v>0</v>
      </c>
      <c r="AA2254">
        <v>1</v>
      </c>
      <c r="AB2254">
        <v>8</v>
      </c>
      <c r="AC2254">
        <v>3</v>
      </c>
      <c r="AD2254">
        <v>0</v>
      </c>
      <c r="AE2254">
        <v>9</v>
      </c>
      <c r="AF2254" t="s">
        <v>138</v>
      </c>
      <c r="AG2254">
        <v>0</v>
      </c>
      <c r="AH2254">
        <v>3</v>
      </c>
      <c r="AI2254">
        <v>1</v>
      </c>
      <c r="AJ2254">
        <v>0</v>
      </c>
      <c r="AK2254" t="s">
        <v>782</v>
      </c>
      <c r="AL2254">
        <v>32.768096999999997</v>
      </c>
      <c r="AM2254" t="s">
        <v>783</v>
      </c>
      <c r="AN2254">
        <v>-116.81149000000001</v>
      </c>
      <c r="AO2254">
        <v>25</v>
      </c>
      <c r="AP2254">
        <v>3100</v>
      </c>
      <c r="AQ2254" t="s">
        <v>129</v>
      </c>
      <c r="AR2254">
        <v>117</v>
      </c>
      <c r="AS2254">
        <v>-58</v>
      </c>
      <c r="AT2254">
        <v>192</v>
      </c>
      <c r="BB2254">
        <v>1200</v>
      </c>
      <c r="BC2254">
        <v>1</v>
      </c>
      <c r="BD2254" t="str">
        <f t="shared" si="803"/>
        <v xml:space="preserve">N887QR  </v>
      </c>
      <c r="BE2254">
        <v>1</v>
      </c>
      <c r="BJ2254">
        <v>2800</v>
      </c>
      <c r="BK2254">
        <v>-300</v>
      </c>
      <c r="BL2254" t="s">
        <v>163</v>
      </c>
      <c r="BM2254">
        <v>1</v>
      </c>
      <c r="BN2254">
        <v>1</v>
      </c>
      <c r="BO2254">
        <v>1</v>
      </c>
      <c r="BP2254">
        <v>0</v>
      </c>
      <c r="BS2254">
        <v>0.04</v>
      </c>
      <c r="BT2254">
        <v>0</v>
      </c>
      <c r="BU2254">
        <v>0</v>
      </c>
      <c r="CE2254" t="str">
        <f t="shared" si="806"/>
        <v>19:31:30.433</v>
      </c>
      <c r="CF2254">
        <v>433352076</v>
      </c>
      <c r="CS2254">
        <v>0</v>
      </c>
      <c r="CT2254">
        <v>2</v>
      </c>
      <c r="CU2254">
        <v>0</v>
      </c>
      <c r="CV2254">
        <v>2</v>
      </c>
      <c r="CW2254">
        <v>0</v>
      </c>
      <c r="CX2254">
        <v>5</v>
      </c>
      <c r="CY2254">
        <v>7</v>
      </c>
      <c r="CZ2254" t="s">
        <v>131</v>
      </c>
      <c r="DA2254">
        <v>300</v>
      </c>
      <c r="DB2254">
        <v>0</v>
      </c>
      <c r="DC2254" t="s">
        <v>176</v>
      </c>
      <c r="DD2254" t="s">
        <v>177</v>
      </c>
      <c r="DG2254">
        <v>5406761</v>
      </c>
      <c r="DI2254">
        <v>1</v>
      </c>
      <c r="DJ2254">
        <v>0</v>
      </c>
      <c r="DK2254">
        <v>1</v>
      </c>
      <c r="DL2254">
        <v>0</v>
      </c>
      <c r="DM2254">
        <v>0</v>
      </c>
      <c r="DN2254">
        <v>1</v>
      </c>
      <c r="DO2254">
        <v>0</v>
      </c>
      <c r="DP2254">
        <v>0</v>
      </c>
      <c r="DQ2254">
        <v>0</v>
      </c>
      <c r="DR2254">
        <v>0</v>
      </c>
      <c r="DS2254">
        <v>0</v>
      </c>
    </row>
    <row r="2255" spans="1:123" x14ac:dyDescent="0.3">
      <c r="A2255" t="str">
        <f t="shared" ref="A2255:A2260" si="807">"10/04/2022 19:31:32.666"</f>
        <v>10/04/2022 19:31:32.666</v>
      </c>
      <c r="C2255" t="str">
        <f t="shared" si="791"/>
        <v>FFDDD3C0</v>
      </c>
      <c r="D2255" t="s">
        <v>123</v>
      </c>
      <c r="E2255">
        <v>7</v>
      </c>
      <c r="F2255">
        <v>2007</v>
      </c>
      <c r="G2255" t="s">
        <v>124</v>
      </c>
      <c r="J2255" t="s">
        <v>125</v>
      </c>
      <c r="K2255">
        <v>0</v>
      </c>
      <c r="L2255">
        <v>3</v>
      </c>
      <c r="M2255">
        <v>0</v>
      </c>
      <c r="N2255">
        <v>2</v>
      </c>
      <c r="O2255">
        <v>0</v>
      </c>
      <c r="P2255">
        <v>1</v>
      </c>
      <c r="Q2255">
        <v>0</v>
      </c>
      <c r="S2255" t="str">
        <f t="shared" ref="S2255:T2261" si="808">"19:31:32.000"</f>
        <v>19:31:32.000</v>
      </c>
      <c r="T2255" t="str">
        <f t="shared" si="808"/>
        <v>19:31:32.000</v>
      </c>
      <c r="U2255" t="str">
        <f t="shared" si="802"/>
        <v>AC3944</v>
      </c>
      <c r="V2255">
        <v>0</v>
      </c>
      <c r="W2255">
        <v>0</v>
      </c>
      <c r="X2255">
        <v>2</v>
      </c>
      <c r="Y2255">
        <v>0</v>
      </c>
      <c r="AA2255">
        <v>1</v>
      </c>
      <c r="AB2255">
        <v>8</v>
      </c>
      <c r="AC2255">
        <v>3</v>
      </c>
      <c r="AD2255">
        <v>0</v>
      </c>
      <c r="AE2255">
        <v>9</v>
      </c>
      <c r="AF2255" t="s">
        <v>138</v>
      </c>
      <c r="AG2255">
        <v>0</v>
      </c>
      <c r="AH2255">
        <v>3</v>
      </c>
      <c r="AI2255">
        <v>1</v>
      </c>
      <c r="AJ2255">
        <v>0</v>
      </c>
      <c r="AK2255" t="s">
        <v>784</v>
      </c>
      <c r="AL2255">
        <v>32.767538999999999</v>
      </c>
      <c r="AM2255" t="s">
        <v>785</v>
      </c>
      <c r="AN2255">
        <v>-116.810203</v>
      </c>
      <c r="AO2255">
        <v>25</v>
      </c>
      <c r="AP2255">
        <v>3100</v>
      </c>
      <c r="AQ2255" t="s">
        <v>129</v>
      </c>
      <c r="AR2255">
        <v>115</v>
      </c>
      <c r="AS2255">
        <v>-62</v>
      </c>
      <c r="AT2255">
        <v>128</v>
      </c>
      <c r="BB2255">
        <v>1200</v>
      </c>
      <c r="BC2255">
        <v>1</v>
      </c>
      <c r="BD2255" t="str">
        <f t="shared" si="803"/>
        <v xml:space="preserve">N887QR  </v>
      </c>
      <c r="BE2255">
        <v>1</v>
      </c>
      <c r="BJ2255">
        <v>2800</v>
      </c>
      <c r="BK2255">
        <v>-300</v>
      </c>
      <c r="BL2255" t="s">
        <v>163</v>
      </c>
      <c r="BM2255">
        <v>1</v>
      </c>
      <c r="BN2255">
        <v>1</v>
      </c>
      <c r="BO2255">
        <v>1</v>
      </c>
      <c r="BP2255">
        <v>0</v>
      </c>
      <c r="BS2255">
        <v>0.04</v>
      </c>
      <c r="BT2255">
        <v>0</v>
      </c>
      <c r="BU2255">
        <v>0</v>
      </c>
      <c r="CE2255" t="str">
        <f t="shared" ref="CE2255:CE2261" si="809">"19:31:32.461"</f>
        <v>19:31:32.461</v>
      </c>
      <c r="CF2255">
        <v>460608904</v>
      </c>
      <c r="CS2255">
        <v>0</v>
      </c>
      <c r="CT2255">
        <v>2</v>
      </c>
      <c r="CU2255">
        <v>0</v>
      </c>
      <c r="CV2255">
        <v>2</v>
      </c>
      <c r="CW2255">
        <v>0</v>
      </c>
      <c r="CX2255">
        <v>5</v>
      </c>
      <c r="CY2255">
        <v>7</v>
      </c>
      <c r="CZ2255" t="s">
        <v>131</v>
      </c>
      <c r="DA2255">
        <v>300</v>
      </c>
      <c r="DB2255">
        <v>0</v>
      </c>
      <c r="DC2255" t="s">
        <v>176</v>
      </c>
      <c r="DD2255" t="s">
        <v>177</v>
      </c>
      <c r="DG2255">
        <v>5407086</v>
      </c>
      <c r="DI2255">
        <v>1</v>
      </c>
      <c r="DJ2255">
        <v>0</v>
      </c>
      <c r="DK2255">
        <v>0</v>
      </c>
      <c r="DL2255">
        <v>0</v>
      </c>
      <c r="DM2255">
        <v>0</v>
      </c>
      <c r="DN2255">
        <v>1</v>
      </c>
      <c r="DO2255">
        <v>0</v>
      </c>
      <c r="DP2255">
        <v>0</v>
      </c>
      <c r="DQ2255">
        <v>0</v>
      </c>
      <c r="DR2255">
        <v>0</v>
      </c>
      <c r="DS2255">
        <v>0</v>
      </c>
    </row>
    <row r="2256" spans="1:123" x14ac:dyDescent="0.3">
      <c r="A2256" t="str">
        <f t="shared" si="807"/>
        <v>10/04/2022 19:31:32.666</v>
      </c>
      <c r="C2256" t="str">
        <f t="shared" si="791"/>
        <v>FFDDD3C0</v>
      </c>
      <c r="D2256" t="s">
        <v>134</v>
      </c>
      <c r="E2256">
        <v>15</v>
      </c>
      <c r="J2256" t="s">
        <v>135</v>
      </c>
      <c r="K2256">
        <v>0</v>
      </c>
      <c r="L2256">
        <v>3</v>
      </c>
      <c r="M2256">
        <v>0</v>
      </c>
      <c r="N2256">
        <v>2</v>
      </c>
      <c r="O2256">
        <v>0</v>
      </c>
      <c r="P2256">
        <v>1</v>
      </c>
      <c r="Q2256">
        <v>0</v>
      </c>
      <c r="S2256" t="str">
        <f t="shared" si="808"/>
        <v>19:31:32.000</v>
      </c>
      <c r="T2256" t="str">
        <f t="shared" si="808"/>
        <v>19:31:32.000</v>
      </c>
      <c r="U2256" t="str">
        <f t="shared" si="802"/>
        <v>AC3944</v>
      </c>
      <c r="V2256">
        <v>0</v>
      </c>
      <c r="W2256">
        <v>0</v>
      </c>
      <c r="X2256">
        <v>2</v>
      </c>
      <c r="Y2256">
        <v>0</v>
      </c>
      <c r="AA2256">
        <v>1</v>
      </c>
      <c r="AB2256">
        <v>8</v>
      </c>
      <c r="AC2256">
        <v>3</v>
      </c>
      <c r="AD2256">
        <v>0</v>
      </c>
      <c r="AE2256">
        <v>9</v>
      </c>
      <c r="AF2256" t="s">
        <v>138</v>
      </c>
      <c r="AG2256">
        <v>0</v>
      </c>
      <c r="AH2256">
        <v>3</v>
      </c>
      <c r="AI2256">
        <v>1</v>
      </c>
      <c r="AJ2256">
        <v>0</v>
      </c>
      <c r="AK2256" t="s">
        <v>784</v>
      </c>
      <c r="AL2256">
        <v>32.767538999999999</v>
      </c>
      <c r="AM2256" t="s">
        <v>785</v>
      </c>
      <c r="AN2256">
        <v>-116.810203</v>
      </c>
      <c r="AO2256">
        <v>25</v>
      </c>
      <c r="AP2256">
        <v>3100</v>
      </c>
      <c r="AQ2256" t="s">
        <v>129</v>
      </c>
      <c r="AR2256">
        <v>115</v>
      </c>
      <c r="AS2256">
        <v>-62</v>
      </c>
      <c r="AT2256">
        <v>128</v>
      </c>
      <c r="BB2256">
        <v>1200</v>
      </c>
      <c r="BC2256">
        <v>1</v>
      </c>
      <c r="BD2256" t="str">
        <f t="shared" si="803"/>
        <v xml:space="preserve">N887QR  </v>
      </c>
      <c r="BE2256">
        <v>1</v>
      </c>
      <c r="BJ2256">
        <v>2800</v>
      </c>
      <c r="BK2256">
        <v>-300</v>
      </c>
      <c r="BL2256" t="s">
        <v>163</v>
      </c>
      <c r="BM2256">
        <v>1</v>
      </c>
      <c r="BN2256">
        <v>1</v>
      </c>
      <c r="BO2256">
        <v>1</v>
      </c>
      <c r="BP2256">
        <v>0</v>
      </c>
      <c r="BS2256">
        <v>0.04</v>
      </c>
      <c r="BT2256">
        <v>0</v>
      </c>
      <c r="BU2256">
        <v>0</v>
      </c>
      <c r="CE2256" t="str">
        <f t="shared" si="809"/>
        <v>19:31:32.461</v>
      </c>
      <c r="CF2256">
        <v>460608904</v>
      </c>
      <c r="CS2256">
        <v>0</v>
      </c>
      <c r="CT2256">
        <v>2</v>
      </c>
      <c r="CU2256">
        <v>0</v>
      </c>
      <c r="CV2256">
        <v>2</v>
      </c>
      <c r="CW2256">
        <v>0</v>
      </c>
      <c r="CX2256">
        <v>5</v>
      </c>
      <c r="CY2256">
        <v>7</v>
      </c>
      <c r="CZ2256" t="s">
        <v>131</v>
      </c>
      <c r="DA2256">
        <v>300</v>
      </c>
      <c r="DB2256">
        <v>0</v>
      </c>
      <c r="DC2256" t="s">
        <v>176</v>
      </c>
      <c r="DD2256" t="s">
        <v>177</v>
      </c>
      <c r="DG2256">
        <v>5407086</v>
      </c>
      <c r="DI2256">
        <v>1</v>
      </c>
      <c r="DJ2256">
        <v>0</v>
      </c>
      <c r="DK2256">
        <v>1</v>
      </c>
      <c r="DL2256">
        <v>0</v>
      </c>
      <c r="DM2256">
        <v>0</v>
      </c>
      <c r="DN2256">
        <v>1</v>
      </c>
      <c r="DO2256">
        <v>0</v>
      </c>
      <c r="DP2256">
        <v>0</v>
      </c>
      <c r="DQ2256">
        <v>0</v>
      </c>
      <c r="DR2256">
        <v>0</v>
      </c>
      <c r="DS2256">
        <v>0</v>
      </c>
    </row>
    <row r="2257" spans="1:123" x14ac:dyDescent="0.3">
      <c r="A2257" t="str">
        <f t="shared" si="807"/>
        <v>10/04/2022 19:31:32.666</v>
      </c>
      <c r="C2257" t="str">
        <f t="shared" si="791"/>
        <v>FFDDD3C0</v>
      </c>
      <c r="D2257" t="s">
        <v>147</v>
      </c>
      <c r="E2257">
        <v>3</v>
      </c>
      <c r="H2257">
        <v>166</v>
      </c>
      <c r="I2257" t="s">
        <v>144</v>
      </c>
      <c r="J2257" t="s">
        <v>148</v>
      </c>
      <c r="K2257">
        <v>0</v>
      </c>
      <c r="L2257">
        <v>3</v>
      </c>
      <c r="M2257">
        <v>0</v>
      </c>
      <c r="N2257">
        <v>2</v>
      </c>
      <c r="O2257">
        <v>0</v>
      </c>
      <c r="P2257">
        <v>1</v>
      </c>
      <c r="Q2257">
        <v>0</v>
      </c>
      <c r="S2257" t="str">
        <f t="shared" si="808"/>
        <v>19:31:32.000</v>
      </c>
      <c r="T2257" t="str">
        <f t="shared" si="808"/>
        <v>19:31:32.000</v>
      </c>
      <c r="U2257" t="str">
        <f t="shared" si="802"/>
        <v>AC3944</v>
      </c>
      <c r="V2257">
        <v>0</v>
      </c>
      <c r="W2257">
        <v>0</v>
      </c>
      <c r="X2257">
        <v>2</v>
      </c>
      <c r="Y2257">
        <v>0</v>
      </c>
      <c r="AA2257">
        <v>1</v>
      </c>
      <c r="AB2257">
        <v>8</v>
      </c>
      <c r="AC2257">
        <v>3</v>
      </c>
      <c r="AD2257">
        <v>0</v>
      </c>
      <c r="AE2257">
        <v>9</v>
      </c>
      <c r="AF2257" t="s">
        <v>138</v>
      </c>
      <c r="AG2257">
        <v>0</v>
      </c>
      <c r="AH2257">
        <v>3</v>
      </c>
      <c r="AI2257">
        <v>1</v>
      </c>
      <c r="AJ2257">
        <v>0</v>
      </c>
      <c r="AK2257" t="s">
        <v>784</v>
      </c>
      <c r="AL2257">
        <v>32.767538999999999</v>
      </c>
      <c r="AM2257" t="s">
        <v>785</v>
      </c>
      <c r="AN2257">
        <v>-116.810203</v>
      </c>
      <c r="AO2257">
        <v>25</v>
      </c>
      <c r="AP2257">
        <v>3100</v>
      </c>
      <c r="AQ2257" t="s">
        <v>129</v>
      </c>
      <c r="AR2257">
        <v>115</v>
      </c>
      <c r="AS2257">
        <v>-62</v>
      </c>
      <c r="AT2257">
        <v>128</v>
      </c>
      <c r="BB2257">
        <v>1200</v>
      </c>
      <c r="BC2257">
        <v>1</v>
      </c>
      <c r="BD2257" t="str">
        <f t="shared" si="803"/>
        <v xml:space="preserve">N887QR  </v>
      </c>
      <c r="BE2257">
        <v>1</v>
      </c>
      <c r="BJ2257">
        <v>2800</v>
      </c>
      <c r="BK2257">
        <v>-300</v>
      </c>
      <c r="BL2257" t="s">
        <v>163</v>
      </c>
      <c r="BM2257">
        <v>1</v>
      </c>
      <c r="BN2257">
        <v>1</v>
      </c>
      <c r="BO2257">
        <v>1</v>
      </c>
      <c r="BP2257">
        <v>0</v>
      </c>
      <c r="BS2257">
        <v>0.04</v>
      </c>
      <c r="BT2257">
        <v>0</v>
      </c>
      <c r="BU2257">
        <v>0</v>
      </c>
      <c r="CE2257" t="str">
        <f t="shared" si="809"/>
        <v>19:31:32.461</v>
      </c>
      <c r="CF2257">
        <v>460608904</v>
      </c>
      <c r="CS2257">
        <v>0</v>
      </c>
      <c r="CT2257">
        <v>2</v>
      </c>
      <c r="CU2257">
        <v>0</v>
      </c>
      <c r="CV2257">
        <v>2</v>
      </c>
      <c r="CW2257">
        <v>0</v>
      </c>
      <c r="CX2257">
        <v>5</v>
      </c>
      <c r="CY2257">
        <v>7</v>
      </c>
      <c r="CZ2257" t="s">
        <v>131</v>
      </c>
      <c r="DA2257">
        <v>300</v>
      </c>
      <c r="DB2257">
        <v>0</v>
      </c>
      <c r="DC2257" t="s">
        <v>176</v>
      </c>
      <c r="DD2257" t="s">
        <v>177</v>
      </c>
      <c r="DG2257">
        <v>5407086</v>
      </c>
      <c r="DI2257">
        <v>1</v>
      </c>
      <c r="DJ2257">
        <v>0</v>
      </c>
      <c r="DK2257">
        <v>1</v>
      </c>
      <c r="DL2257">
        <v>0</v>
      </c>
      <c r="DM2257">
        <v>0</v>
      </c>
      <c r="DN2257">
        <v>1</v>
      </c>
      <c r="DO2257">
        <v>0</v>
      </c>
      <c r="DP2257">
        <v>0</v>
      </c>
      <c r="DQ2257">
        <v>0</v>
      </c>
      <c r="DR2257">
        <v>0</v>
      </c>
      <c r="DS2257">
        <v>0</v>
      </c>
    </row>
    <row r="2258" spans="1:123" x14ac:dyDescent="0.3">
      <c r="A2258" t="str">
        <f t="shared" si="807"/>
        <v>10/04/2022 19:31:32.666</v>
      </c>
      <c r="C2258" t="str">
        <f t="shared" si="791"/>
        <v>FFDDD3C0</v>
      </c>
      <c r="D2258" t="s">
        <v>136</v>
      </c>
      <c r="E2258">
        <v>8</v>
      </c>
      <c r="H2258">
        <v>225</v>
      </c>
      <c r="I2258" t="s">
        <v>137</v>
      </c>
      <c r="J2258" t="s">
        <v>138</v>
      </c>
      <c r="K2258">
        <v>0</v>
      </c>
      <c r="L2258">
        <v>3</v>
      </c>
      <c r="M2258">
        <v>0</v>
      </c>
      <c r="N2258">
        <v>2</v>
      </c>
      <c r="O2258">
        <v>0</v>
      </c>
      <c r="P2258">
        <v>1</v>
      </c>
      <c r="Q2258">
        <v>0</v>
      </c>
      <c r="S2258" t="str">
        <f t="shared" si="808"/>
        <v>19:31:32.000</v>
      </c>
      <c r="T2258" t="str">
        <f t="shared" si="808"/>
        <v>19:31:32.000</v>
      </c>
      <c r="U2258" t="str">
        <f t="shared" si="802"/>
        <v>AC3944</v>
      </c>
      <c r="V2258">
        <v>0</v>
      </c>
      <c r="W2258">
        <v>0</v>
      </c>
      <c r="X2258">
        <v>2</v>
      </c>
      <c r="Y2258">
        <v>0</v>
      </c>
      <c r="AA2258">
        <v>1</v>
      </c>
      <c r="AB2258">
        <v>8</v>
      </c>
      <c r="AC2258">
        <v>3</v>
      </c>
      <c r="AD2258">
        <v>0</v>
      </c>
      <c r="AE2258">
        <v>9</v>
      </c>
      <c r="AF2258" t="s">
        <v>138</v>
      </c>
      <c r="AG2258">
        <v>0</v>
      </c>
      <c r="AH2258">
        <v>3</v>
      </c>
      <c r="AI2258">
        <v>1</v>
      </c>
      <c r="AJ2258">
        <v>0</v>
      </c>
      <c r="AK2258" t="s">
        <v>784</v>
      </c>
      <c r="AL2258">
        <v>32.767538999999999</v>
      </c>
      <c r="AM2258" t="s">
        <v>785</v>
      </c>
      <c r="AN2258">
        <v>-116.810203</v>
      </c>
      <c r="AO2258">
        <v>25</v>
      </c>
      <c r="AP2258">
        <v>3100</v>
      </c>
      <c r="AQ2258" t="s">
        <v>129</v>
      </c>
      <c r="AR2258">
        <v>115</v>
      </c>
      <c r="AS2258">
        <v>-62</v>
      </c>
      <c r="AT2258">
        <v>128</v>
      </c>
      <c r="BB2258">
        <v>1200</v>
      </c>
      <c r="BC2258">
        <v>1</v>
      </c>
      <c r="BD2258" t="str">
        <f t="shared" si="803"/>
        <v xml:space="preserve">N887QR  </v>
      </c>
      <c r="BE2258">
        <v>1</v>
      </c>
      <c r="BJ2258">
        <v>2800</v>
      </c>
      <c r="BK2258">
        <v>-300</v>
      </c>
      <c r="BL2258" t="s">
        <v>163</v>
      </c>
      <c r="BM2258">
        <v>1</v>
      </c>
      <c r="BN2258">
        <v>1</v>
      </c>
      <c r="BO2258">
        <v>1</v>
      </c>
      <c r="BP2258">
        <v>0</v>
      </c>
      <c r="BS2258">
        <v>0.04</v>
      </c>
      <c r="BT2258">
        <v>0</v>
      </c>
      <c r="BU2258">
        <v>0</v>
      </c>
      <c r="CE2258" t="str">
        <f t="shared" si="809"/>
        <v>19:31:32.461</v>
      </c>
      <c r="CF2258">
        <v>460608904</v>
      </c>
      <c r="CS2258">
        <v>0</v>
      </c>
      <c r="CT2258">
        <v>2</v>
      </c>
      <c r="CU2258">
        <v>0</v>
      </c>
      <c r="CV2258">
        <v>2</v>
      </c>
      <c r="CW2258">
        <v>0</v>
      </c>
      <c r="CX2258">
        <v>5</v>
      </c>
      <c r="CY2258">
        <v>7</v>
      </c>
      <c r="CZ2258" t="s">
        <v>131</v>
      </c>
      <c r="DA2258">
        <v>300</v>
      </c>
      <c r="DB2258">
        <v>0</v>
      </c>
      <c r="DC2258" t="s">
        <v>176</v>
      </c>
      <c r="DD2258" t="s">
        <v>177</v>
      </c>
      <c r="DG2258">
        <v>5407086</v>
      </c>
      <c r="DI2258">
        <v>1</v>
      </c>
      <c r="DJ2258">
        <v>0</v>
      </c>
      <c r="DK2258">
        <v>1</v>
      </c>
      <c r="DL2258">
        <v>0</v>
      </c>
      <c r="DM2258">
        <v>0</v>
      </c>
      <c r="DN2258">
        <v>1</v>
      </c>
      <c r="DO2258">
        <v>0</v>
      </c>
      <c r="DP2258">
        <v>0</v>
      </c>
      <c r="DQ2258">
        <v>0</v>
      </c>
      <c r="DR2258">
        <v>0</v>
      </c>
      <c r="DS2258">
        <v>0</v>
      </c>
    </row>
    <row r="2259" spans="1:123" x14ac:dyDescent="0.3">
      <c r="A2259" t="str">
        <f t="shared" si="807"/>
        <v>10/04/2022 19:31:32.666</v>
      </c>
      <c r="C2259" t="str">
        <f t="shared" si="791"/>
        <v>FFDDD3C0</v>
      </c>
      <c r="D2259" t="s">
        <v>141</v>
      </c>
      <c r="E2259">
        <v>4</v>
      </c>
      <c r="H2259">
        <v>4</v>
      </c>
      <c r="I2259" t="s">
        <v>142</v>
      </c>
      <c r="J2259" t="s">
        <v>138</v>
      </c>
      <c r="K2259">
        <v>0</v>
      </c>
      <c r="L2259">
        <v>3</v>
      </c>
      <c r="M2259">
        <v>0</v>
      </c>
      <c r="N2259">
        <v>2</v>
      </c>
      <c r="O2259">
        <v>0</v>
      </c>
      <c r="P2259">
        <v>1</v>
      </c>
      <c r="Q2259">
        <v>0</v>
      </c>
      <c r="S2259" t="str">
        <f t="shared" si="808"/>
        <v>19:31:32.000</v>
      </c>
      <c r="T2259" t="str">
        <f t="shared" si="808"/>
        <v>19:31:32.000</v>
      </c>
      <c r="U2259" t="str">
        <f t="shared" si="802"/>
        <v>AC3944</v>
      </c>
      <c r="V2259">
        <v>0</v>
      </c>
      <c r="W2259">
        <v>0</v>
      </c>
      <c r="X2259">
        <v>2</v>
      </c>
      <c r="Y2259">
        <v>0</v>
      </c>
      <c r="AA2259">
        <v>1</v>
      </c>
      <c r="AB2259">
        <v>8</v>
      </c>
      <c r="AC2259">
        <v>3</v>
      </c>
      <c r="AD2259">
        <v>0</v>
      </c>
      <c r="AE2259">
        <v>9</v>
      </c>
      <c r="AF2259" t="s">
        <v>138</v>
      </c>
      <c r="AG2259">
        <v>0</v>
      </c>
      <c r="AH2259">
        <v>3</v>
      </c>
      <c r="AI2259">
        <v>1</v>
      </c>
      <c r="AJ2259">
        <v>0</v>
      </c>
      <c r="AK2259" t="s">
        <v>784</v>
      </c>
      <c r="AL2259">
        <v>32.767538999999999</v>
      </c>
      <c r="AM2259" t="s">
        <v>785</v>
      </c>
      <c r="AN2259">
        <v>-116.810203</v>
      </c>
      <c r="AO2259">
        <v>25</v>
      </c>
      <c r="AP2259">
        <v>3100</v>
      </c>
      <c r="AQ2259" t="s">
        <v>129</v>
      </c>
      <c r="AR2259">
        <v>115</v>
      </c>
      <c r="AS2259">
        <v>-62</v>
      </c>
      <c r="AT2259">
        <v>128</v>
      </c>
      <c r="BB2259">
        <v>1200</v>
      </c>
      <c r="BC2259">
        <v>1</v>
      </c>
      <c r="BD2259" t="str">
        <f t="shared" si="803"/>
        <v xml:space="preserve">N887QR  </v>
      </c>
      <c r="BE2259">
        <v>1</v>
      </c>
      <c r="BJ2259">
        <v>2800</v>
      </c>
      <c r="BK2259">
        <v>-300</v>
      </c>
      <c r="BL2259" t="s">
        <v>163</v>
      </c>
      <c r="BM2259">
        <v>1</v>
      </c>
      <c r="BN2259">
        <v>1</v>
      </c>
      <c r="BO2259">
        <v>1</v>
      </c>
      <c r="BP2259">
        <v>0</v>
      </c>
      <c r="BS2259">
        <v>0.04</v>
      </c>
      <c r="BT2259">
        <v>0</v>
      </c>
      <c r="BU2259">
        <v>0</v>
      </c>
      <c r="CE2259" t="str">
        <f t="shared" si="809"/>
        <v>19:31:32.461</v>
      </c>
      <c r="CF2259">
        <v>460608904</v>
      </c>
      <c r="CS2259">
        <v>0</v>
      </c>
      <c r="CT2259">
        <v>2</v>
      </c>
      <c r="CU2259">
        <v>0</v>
      </c>
      <c r="CV2259">
        <v>2</v>
      </c>
      <c r="CW2259">
        <v>0</v>
      </c>
      <c r="CX2259">
        <v>5</v>
      </c>
      <c r="CY2259">
        <v>7</v>
      </c>
      <c r="CZ2259" t="s">
        <v>131</v>
      </c>
      <c r="DA2259">
        <v>300</v>
      </c>
      <c r="DB2259">
        <v>0</v>
      </c>
      <c r="DC2259" t="s">
        <v>176</v>
      </c>
      <c r="DD2259" t="s">
        <v>177</v>
      </c>
      <c r="DG2259">
        <v>5407086</v>
      </c>
      <c r="DI2259">
        <v>1</v>
      </c>
      <c r="DJ2259">
        <v>0</v>
      </c>
      <c r="DK2259">
        <v>1</v>
      </c>
      <c r="DL2259">
        <v>0</v>
      </c>
      <c r="DM2259">
        <v>0</v>
      </c>
      <c r="DN2259">
        <v>1</v>
      </c>
      <c r="DO2259">
        <v>0</v>
      </c>
      <c r="DP2259">
        <v>0</v>
      </c>
      <c r="DQ2259">
        <v>0</v>
      </c>
      <c r="DR2259">
        <v>0</v>
      </c>
      <c r="DS2259">
        <v>0</v>
      </c>
    </row>
    <row r="2260" spans="1:123" x14ac:dyDescent="0.3">
      <c r="A2260" t="str">
        <f t="shared" si="807"/>
        <v>10/04/2022 19:31:32.666</v>
      </c>
      <c r="C2260" t="str">
        <f t="shared" si="791"/>
        <v>FFDDD3C0</v>
      </c>
      <c r="D2260" t="s">
        <v>141</v>
      </c>
      <c r="E2260">
        <v>3</v>
      </c>
      <c r="H2260">
        <v>3</v>
      </c>
      <c r="I2260" t="s">
        <v>146</v>
      </c>
      <c r="J2260" t="s">
        <v>138</v>
      </c>
      <c r="K2260">
        <v>0</v>
      </c>
      <c r="L2260">
        <v>3</v>
      </c>
      <c r="M2260">
        <v>0</v>
      </c>
      <c r="N2260">
        <v>2</v>
      </c>
      <c r="O2260">
        <v>0</v>
      </c>
      <c r="P2260">
        <v>1</v>
      </c>
      <c r="Q2260">
        <v>0</v>
      </c>
      <c r="S2260" t="str">
        <f t="shared" si="808"/>
        <v>19:31:32.000</v>
      </c>
      <c r="T2260" t="str">
        <f t="shared" si="808"/>
        <v>19:31:32.000</v>
      </c>
      <c r="U2260" t="str">
        <f t="shared" si="802"/>
        <v>AC3944</v>
      </c>
      <c r="V2260">
        <v>0</v>
      </c>
      <c r="W2260">
        <v>0</v>
      </c>
      <c r="X2260">
        <v>2</v>
      </c>
      <c r="Y2260">
        <v>0</v>
      </c>
      <c r="AA2260">
        <v>1</v>
      </c>
      <c r="AB2260">
        <v>8</v>
      </c>
      <c r="AC2260">
        <v>3</v>
      </c>
      <c r="AD2260">
        <v>0</v>
      </c>
      <c r="AE2260">
        <v>9</v>
      </c>
      <c r="AF2260" t="s">
        <v>138</v>
      </c>
      <c r="AG2260">
        <v>0</v>
      </c>
      <c r="AH2260">
        <v>3</v>
      </c>
      <c r="AI2260">
        <v>1</v>
      </c>
      <c r="AJ2260">
        <v>0</v>
      </c>
      <c r="AK2260" t="s">
        <v>784</v>
      </c>
      <c r="AL2260">
        <v>32.767538999999999</v>
      </c>
      <c r="AM2260" t="s">
        <v>785</v>
      </c>
      <c r="AN2260">
        <v>-116.810203</v>
      </c>
      <c r="AO2260">
        <v>25</v>
      </c>
      <c r="AP2260">
        <v>3100</v>
      </c>
      <c r="AQ2260" t="s">
        <v>129</v>
      </c>
      <c r="AR2260">
        <v>115</v>
      </c>
      <c r="AS2260">
        <v>-62</v>
      </c>
      <c r="AT2260">
        <v>128</v>
      </c>
      <c r="BB2260">
        <v>1200</v>
      </c>
      <c r="BC2260">
        <v>1</v>
      </c>
      <c r="BD2260" t="str">
        <f t="shared" si="803"/>
        <v xml:space="preserve">N887QR  </v>
      </c>
      <c r="BE2260">
        <v>1</v>
      </c>
      <c r="BJ2260">
        <v>2800</v>
      </c>
      <c r="BK2260">
        <v>-300</v>
      </c>
      <c r="BL2260" t="s">
        <v>163</v>
      </c>
      <c r="BM2260">
        <v>1</v>
      </c>
      <c r="BN2260">
        <v>1</v>
      </c>
      <c r="BO2260">
        <v>1</v>
      </c>
      <c r="BP2260">
        <v>0</v>
      </c>
      <c r="BS2260">
        <v>0.04</v>
      </c>
      <c r="BT2260">
        <v>0</v>
      </c>
      <c r="BU2260">
        <v>0</v>
      </c>
      <c r="CE2260" t="str">
        <f t="shared" si="809"/>
        <v>19:31:32.461</v>
      </c>
      <c r="CF2260">
        <v>460608904</v>
      </c>
      <c r="CS2260">
        <v>0</v>
      </c>
      <c r="CT2260">
        <v>2</v>
      </c>
      <c r="CU2260">
        <v>0</v>
      </c>
      <c r="CV2260">
        <v>2</v>
      </c>
      <c r="CW2260">
        <v>0</v>
      </c>
      <c r="CX2260">
        <v>5</v>
      </c>
      <c r="CY2260">
        <v>7</v>
      </c>
      <c r="CZ2260" t="s">
        <v>131</v>
      </c>
      <c r="DA2260">
        <v>300</v>
      </c>
      <c r="DB2260">
        <v>0</v>
      </c>
      <c r="DC2260" t="s">
        <v>176</v>
      </c>
      <c r="DD2260" t="s">
        <v>177</v>
      </c>
      <c r="DG2260">
        <v>5407086</v>
      </c>
      <c r="DI2260">
        <v>1</v>
      </c>
      <c r="DJ2260">
        <v>0</v>
      </c>
      <c r="DK2260">
        <v>1</v>
      </c>
      <c r="DL2260">
        <v>0</v>
      </c>
      <c r="DM2260">
        <v>0</v>
      </c>
      <c r="DN2260">
        <v>1</v>
      </c>
      <c r="DO2260">
        <v>0</v>
      </c>
      <c r="DP2260">
        <v>0</v>
      </c>
      <c r="DQ2260">
        <v>0</v>
      </c>
      <c r="DR2260">
        <v>0</v>
      </c>
      <c r="DS2260">
        <v>0</v>
      </c>
    </row>
    <row r="2261" spans="1:123" x14ac:dyDescent="0.3">
      <c r="A2261" t="str">
        <f>"10/04/2022 19:31:32.744"</f>
        <v>10/04/2022 19:31:32.744</v>
      </c>
      <c r="C2261" t="str">
        <f t="shared" si="791"/>
        <v>FFDDD3C0</v>
      </c>
      <c r="D2261" t="s">
        <v>143</v>
      </c>
      <c r="E2261">
        <v>20</v>
      </c>
      <c r="F2261">
        <v>1020</v>
      </c>
      <c r="G2261" t="s">
        <v>144</v>
      </c>
      <c r="J2261" t="s">
        <v>145</v>
      </c>
      <c r="K2261">
        <v>0</v>
      </c>
      <c r="L2261">
        <v>3</v>
      </c>
      <c r="M2261">
        <v>0</v>
      </c>
      <c r="N2261">
        <v>2</v>
      </c>
      <c r="O2261">
        <v>0</v>
      </c>
      <c r="P2261">
        <v>1</v>
      </c>
      <c r="Q2261">
        <v>0</v>
      </c>
      <c r="S2261" t="str">
        <f t="shared" si="808"/>
        <v>19:31:32.000</v>
      </c>
      <c r="T2261" t="str">
        <f t="shared" si="808"/>
        <v>19:31:32.000</v>
      </c>
      <c r="U2261" t="str">
        <f t="shared" si="802"/>
        <v>AC3944</v>
      </c>
      <c r="V2261">
        <v>0</v>
      </c>
      <c r="W2261">
        <v>0</v>
      </c>
      <c r="X2261">
        <v>2</v>
      </c>
      <c r="Y2261">
        <v>0</v>
      </c>
      <c r="AA2261">
        <v>1</v>
      </c>
      <c r="AB2261">
        <v>8</v>
      </c>
      <c r="AC2261">
        <v>3</v>
      </c>
      <c r="AD2261">
        <v>0</v>
      </c>
      <c r="AE2261">
        <v>9</v>
      </c>
      <c r="AF2261" t="s">
        <v>138</v>
      </c>
      <c r="AG2261">
        <v>0</v>
      </c>
      <c r="AH2261">
        <v>3</v>
      </c>
      <c r="AI2261">
        <v>1</v>
      </c>
      <c r="AJ2261">
        <v>0</v>
      </c>
      <c r="AK2261" t="s">
        <v>784</v>
      </c>
      <c r="AL2261">
        <v>32.767538999999999</v>
      </c>
      <c r="AM2261" t="s">
        <v>785</v>
      </c>
      <c r="AN2261">
        <v>-116.810203</v>
      </c>
      <c r="AO2261">
        <v>25</v>
      </c>
      <c r="AP2261">
        <v>3100</v>
      </c>
      <c r="AQ2261" t="s">
        <v>129</v>
      </c>
      <c r="AR2261">
        <v>115</v>
      </c>
      <c r="AS2261">
        <v>-62</v>
      </c>
      <c r="AT2261">
        <v>128</v>
      </c>
      <c r="BB2261">
        <v>1200</v>
      </c>
      <c r="BC2261">
        <v>1</v>
      </c>
      <c r="BD2261" t="str">
        <f t="shared" si="803"/>
        <v xml:space="preserve">N887QR  </v>
      </c>
      <c r="BE2261">
        <v>1</v>
      </c>
      <c r="BJ2261">
        <v>2800</v>
      </c>
      <c r="BK2261">
        <v>-300</v>
      </c>
      <c r="BL2261" t="s">
        <v>163</v>
      </c>
      <c r="BM2261">
        <v>1</v>
      </c>
      <c r="BN2261">
        <v>1</v>
      </c>
      <c r="BO2261">
        <v>1</v>
      </c>
      <c r="BP2261">
        <v>0</v>
      </c>
      <c r="BS2261">
        <v>0.04</v>
      </c>
      <c r="BT2261">
        <v>0</v>
      </c>
      <c r="BU2261">
        <v>0</v>
      </c>
      <c r="CE2261" t="str">
        <f t="shared" si="809"/>
        <v>19:31:32.461</v>
      </c>
      <c r="CF2261">
        <v>460608904</v>
      </c>
      <c r="CS2261">
        <v>0</v>
      </c>
      <c r="CT2261">
        <v>2</v>
      </c>
      <c r="CU2261">
        <v>0</v>
      </c>
      <c r="CV2261">
        <v>2</v>
      </c>
      <c r="CW2261">
        <v>0</v>
      </c>
      <c r="CX2261">
        <v>5</v>
      </c>
      <c r="CY2261">
        <v>7</v>
      </c>
      <c r="CZ2261" t="s">
        <v>131</v>
      </c>
      <c r="DA2261">
        <v>300</v>
      </c>
      <c r="DB2261">
        <v>0</v>
      </c>
      <c r="DC2261" t="s">
        <v>176</v>
      </c>
      <c r="DD2261" t="s">
        <v>177</v>
      </c>
      <c r="DG2261">
        <v>5407086</v>
      </c>
      <c r="DI2261">
        <v>1</v>
      </c>
      <c r="DJ2261">
        <v>0</v>
      </c>
      <c r="DK2261">
        <v>1</v>
      </c>
      <c r="DL2261">
        <v>0</v>
      </c>
      <c r="DM2261">
        <v>0</v>
      </c>
      <c r="DN2261">
        <v>1</v>
      </c>
      <c r="DO2261">
        <v>0</v>
      </c>
      <c r="DP2261">
        <v>0</v>
      </c>
      <c r="DQ2261">
        <v>0</v>
      </c>
      <c r="DR2261">
        <v>0</v>
      </c>
      <c r="DS2261">
        <v>0</v>
      </c>
    </row>
    <row r="2262" spans="1:123" x14ac:dyDescent="0.3">
      <c r="A2262" t="str">
        <f t="shared" ref="A2262:A2267" si="810">"10/04/2022 19:31:33.556"</f>
        <v>10/04/2022 19:31:33.556</v>
      </c>
      <c r="C2262" t="str">
        <f t="shared" si="791"/>
        <v>FFDDD3C0</v>
      </c>
      <c r="D2262" t="s">
        <v>123</v>
      </c>
      <c r="E2262">
        <v>7</v>
      </c>
      <c r="F2262">
        <v>2007</v>
      </c>
      <c r="G2262" t="s">
        <v>124</v>
      </c>
      <c r="J2262" t="s">
        <v>125</v>
      </c>
      <c r="K2262">
        <v>0</v>
      </c>
      <c r="L2262">
        <v>3</v>
      </c>
      <c r="M2262">
        <v>0</v>
      </c>
      <c r="N2262">
        <v>2</v>
      </c>
      <c r="O2262">
        <v>0</v>
      </c>
      <c r="P2262">
        <v>1</v>
      </c>
      <c r="Q2262">
        <v>0</v>
      </c>
      <c r="S2262" t="str">
        <f t="shared" ref="S2262:T2268" si="811">"19:31:33.000"</f>
        <v>19:31:33.000</v>
      </c>
      <c r="T2262" t="str">
        <f t="shared" si="811"/>
        <v>19:31:33.000</v>
      </c>
      <c r="U2262" t="str">
        <f t="shared" si="802"/>
        <v>AC3944</v>
      </c>
      <c r="V2262">
        <v>0</v>
      </c>
      <c r="W2262">
        <v>0</v>
      </c>
      <c r="X2262">
        <v>2</v>
      </c>
      <c r="Y2262">
        <v>0</v>
      </c>
      <c r="AA2262">
        <v>1</v>
      </c>
      <c r="AB2262">
        <v>8</v>
      </c>
      <c r="AC2262">
        <v>3</v>
      </c>
      <c r="AD2262">
        <v>0</v>
      </c>
      <c r="AE2262">
        <v>9</v>
      </c>
      <c r="AF2262" t="s">
        <v>138</v>
      </c>
      <c r="AG2262">
        <v>0</v>
      </c>
      <c r="AH2262">
        <v>3</v>
      </c>
      <c r="AI2262">
        <v>1</v>
      </c>
      <c r="AJ2262">
        <v>0</v>
      </c>
      <c r="AK2262" t="s">
        <v>786</v>
      </c>
      <c r="AL2262">
        <v>32.767302999999998</v>
      </c>
      <c r="AM2262" t="s">
        <v>787</v>
      </c>
      <c r="AN2262">
        <v>-116.80968799999999</v>
      </c>
      <c r="AO2262">
        <v>25</v>
      </c>
      <c r="AP2262">
        <v>3100</v>
      </c>
      <c r="AQ2262" t="s">
        <v>129</v>
      </c>
      <c r="AR2262">
        <v>115</v>
      </c>
      <c r="AS2262">
        <v>-64</v>
      </c>
      <c r="AT2262">
        <v>128</v>
      </c>
      <c r="BB2262">
        <v>1200</v>
      </c>
      <c r="BC2262">
        <v>1</v>
      </c>
      <c r="BD2262" t="str">
        <f t="shared" si="803"/>
        <v xml:space="preserve">N887QR  </v>
      </c>
      <c r="BE2262">
        <v>1</v>
      </c>
      <c r="BJ2262">
        <v>2800</v>
      </c>
      <c r="BK2262">
        <v>-300</v>
      </c>
      <c r="BL2262" t="s">
        <v>163</v>
      </c>
      <c r="BM2262">
        <v>1</v>
      </c>
      <c r="BN2262">
        <v>1</v>
      </c>
      <c r="BO2262">
        <v>1</v>
      </c>
      <c r="BP2262">
        <v>0</v>
      </c>
      <c r="BS2262">
        <v>0.04</v>
      </c>
      <c r="BT2262">
        <v>0</v>
      </c>
      <c r="BU2262">
        <v>0</v>
      </c>
      <c r="CE2262" t="str">
        <f t="shared" ref="CE2262:CE2268" si="812">"19:31:33.299"</f>
        <v>19:31:33.299</v>
      </c>
      <c r="CF2262">
        <v>299361747</v>
      </c>
      <c r="CS2262">
        <v>0</v>
      </c>
      <c r="CT2262">
        <v>2</v>
      </c>
      <c r="CU2262">
        <v>0</v>
      </c>
      <c r="CV2262">
        <v>2</v>
      </c>
      <c r="CW2262">
        <v>0</v>
      </c>
      <c r="CX2262">
        <v>5</v>
      </c>
      <c r="CY2262">
        <v>7</v>
      </c>
      <c r="CZ2262" t="s">
        <v>131</v>
      </c>
      <c r="DA2262">
        <v>300</v>
      </c>
      <c r="DB2262">
        <v>0</v>
      </c>
      <c r="DC2262" t="s">
        <v>176</v>
      </c>
      <c r="DD2262" t="s">
        <v>177</v>
      </c>
      <c r="DG2262">
        <v>5407216</v>
      </c>
      <c r="DI2262">
        <v>1</v>
      </c>
      <c r="DJ2262">
        <v>0</v>
      </c>
      <c r="DK2262">
        <v>0</v>
      </c>
      <c r="DL2262">
        <v>0</v>
      </c>
      <c r="DM2262">
        <v>0</v>
      </c>
      <c r="DN2262">
        <v>1</v>
      </c>
      <c r="DO2262">
        <v>0</v>
      </c>
      <c r="DP2262">
        <v>0</v>
      </c>
      <c r="DQ2262">
        <v>0</v>
      </c>
      <c r="DR2262">
        <v>0</v>
      </c>
      <c r="DS2262">
        <v>0</v>
      </c>
    </row>
    <row r="2263" spans="1:123" x14ac:dyDescent="0.3">
      <c r="A2263" t="str">
        <f t="shared" si="810"/>
        <v>10/04/2022 19:31:33.556</v>
      </c>
      <c r="C2263" t="str">
        <f t="shared" si="791"/>
        <v>FFDDD3C0</v>
      </c>
      <c r="D2263" t="s">
        <v>147</v>
      </c>
      <c r="E2263">
        <v>3</v>
      </c>
      <c r="H2263">
        <v>166</v>
      </c>
      <c r="I2263" t="s">
        <v>144</v>
      </c>
      <c r="J2263" t="s">
        <v>148</v>
      </c>
      <c r="K2263">
        <v>0</v>
      </c>
      <c r="L2263">
        <v>3</v>
      </c>
      <c r="M2263">
        <v>0</v>
      </c>
      <c r="N2263">
        <v>2</v>
      </c>
      <c r="O2263">
        <v>0</v>
      </c>
      <c r="P2263">
        <v>1</v>
      </c>
      <c r="Q2263">
        <v>0</v>
      </c>
      <c r="S2263" t="str">
        <f t="shared" si="811"/>
        <v>19:31:33.000</v>
      </c>
      <c r="T2263" t="str">
        <f t="shared" si="811"/>
        <v>19:31:33.000</v>
      </c>
      <c r="U2263" t="str">
        <f t="shared" si="802"/>
        <v>AC3944</v>
      </c>
      <c r="V2263">
        <v>0</v>
      </c>
      <c r="W2263">
        <v>0</v>
      </c>
      <c r="X2263">
        <v>2</v>
      </c>
      <c r="Y2263">
        <v>0</v>
      </c>
      <c r="AA2263">
        <v>1</v>
      </c>
      <c r="AB2263">
        <v>8</v>
      </c>
      <c r="AC2263">
        <v>3</v>
      </c>
      <c r="AD2263">
        <v>0</v>
      </c>
      <c r="AE2263">
        <v>9</v>
      </c>
      <c r="AF2263" t="s">
        <v>138</v>
      </c>
      <c r="AG2263">
        <v>0</v>
      </c>
      <c r="AH2263">
        <v>3</v>
      </c>
      <c r="AI2263">
        <v>1</v>
      </c>
      <c r="AJ2263">
        <v>0</v>
      </c>
      <c r="AK2263" t="s">
        <v>786</v>
      </c>
      <c r="AL2263">
        <v>32.767302999999998</v>
      </c>
      <c r="AM2263" t="s">
        <v>787</v>
      </c>
      <c r="AN2263">
        <v>-116.80968799999999</v>
      </c>
      <c r="AO2263">
        <v>25</v>
      </c>
      <c r="AP2263">
        <v>3100</v>
      </c>
      <c r="AQ2263" t="s">
        <v>129</v>
      </c>
      <c r="AR2263">
        <v>115</v>
      </c>
      <c r="AS2263">
        <v>-64</v>
      </c>
      <c r="AT2263">
        <v>128</v>
      </c>
      <c r="BB2263">
        <v>1200</v>
      </c>
      <c r="BC2263">
        <v>1</v>
      </c>
      <c r="BD2263" t="str">
        <f t="shared" si="803"/>
        <v xml:space="preserve">N887QR  </v>
      </c>
      <c r="BE2263">
        <v>1</v>
      </c>
      <c r="BJ2263">
        <v>2800</v>
      </c>
      <c r="BK2263">
        <v>-300</v>
      </c>
      <c r="BL2263" t="s">
        <v>163</v>
      </c>
      <c r="BM2263">
        <v>1</v>
      </c>
      <c r="BN2263">
        <v>1</v>
      </c>
      <c r="BO2263">
        <v>1</v>
      </c>
      <c r="BP2263">
        <v>0</v>
      </c>
      <c r="BS2263">
        <v>0.04</v>
      </c>
      <c r="BT2263">
        <v>0</v>
      </c>
      <c r="BU2263">
        <v>0</v>
      </c>
      <c r="CE2263" t="str">
        <f t="shared" si="812"/>
        <v>19:31:33.299</v>
      </c>
      <c r="CF2263">
        <v>299361747</v>
      </c>
      <c r="CS2263">
        <v>0</v>
      </c>
      <c r="CT2263">
        <v>2</v>
      </c>
      <c r="CU2263">
        <v>0</v>
      </c>
      <c r="CV2263">
        <v>2</v>
      </c>
      <c r="CW2263">
        <v>0</v>
      </c>
      <c r="CX2263">
        <v>5</v>
      </c>
      <c r="CY2263">
        <v>7</v>
      </c>
      <c r="CZ2263" t="s">
        <v>131</v>
      </c>
      <c r="DA2263">
        <v>300</v>
      </c>
      <c r="DB2263">
        <v>0</v>
      </c>
      <c r="DC2263" t="s">
        <v>176</v>
      </c>
      <c r="DD2263" t="s">
        <v>177</v>
      </c>
      <c r="DG2263">
        <v>5407216</v>
      </c>
      <c r="DI2263">
        <v>1</v>
      </c>
      <c r="DJ2263">
        <v>0</v>
      </c>
      <c r="DK2263">
        <v>1</v>
      </c>
      <c r="DL2263">
        <v>0</v>
      </c>
      <c r="DM2263">
        <v>0</v>
      </c>
      <c r="DN2263">
        <v>1</v>
      </c>
      <c r="DO2263">
        <v>0</v>
      </c>
      <c r="DP2263">
        <v>0</v>
      </c>
      <c r="DQ2263">
        <v>0</v>
      </c>
      <c r="DR2263">
        <v>0</v>
      </c>
      <c r="DS2263">
        <v>0</v>
      </c>
    </row>
    <row r="2264" spans="1:123" x14ac:dyDescent="0.3">
      <c r="A2264" t="str">
        <f t="shared" si="810"/>
        <v>10/04/2022 19:31:33.556</v>
      </c>
      <c r="C2264" t="str">
        <f t="shared" si="791"/>
        <v>FFDDD3C0</v>
      </c>
      <c r="D2264" t="s">
        <v>134</v>
      </c>
      <c r="E2264">
        <v>15</v>
      </c>
      <c r="J2264" t="s">
        <v>135</v>
      </c>
      <c r="K2264">
        <v>0</v>
      </c>
      <c r="L2264">
        <v>3</v>
      </c>
      <c r="M2264">
        <v>0</v>
      </c>
      <c r="N2264">
        <v>2</v>
      </c>
      <c r="O2264">
        <v>0</v>
      </c>
      <c r="P2264">
        <v>1</v>
      </c>
      <c r="Q2264">
        <v>0</v>
      </c>
      <c r="S2264" t="str">
        <f t="shared" si="811"/>
        <v>19:31:33.000</v>
      </c>
      <c r="T2264" t="str">
        <f t="shared" si="811"/>
        <v>19:31:33.000</v>
      </c>
      <c r="U2264" t="str">
        <f t="shared" si="802"/>
        <v>AC3944</v>
      </c>
      <c r="V2264">
        <v>0</v>
      </c>
      <c r="W2264">
        <v>0</v>
      </c>
      <c r="X2264">
        <v>2</v>
      </c>
      <c r="Y2264">
        <v>0</v>
      </c>
      <c r="AA2264">
        <v>1</v>
      </c>
      <c r="AB2264">
        <v>8</v>
      </c>
      <c r="AC2264">
        <v>3</v>
      </c>
      <c r="AD2264">
        <v>0</v>
      </c>
      <c r="AE2264">
        <v>9</v>
      </c>
      <c r="AF2264" t="s">
        <v>138</v>
      </c>
      <c r="AG2264">
        <v>0</v>
      </c>
      <c r="AH2264">
        <v>3</v>
      </c>
      <c r="AI2264">
        <v>1</v>
      </c>
      <c r="AJ2264">
        <v>0</v>
      </c>
      <c r="AK2264" t="s">
        <v>786</v>
      </c>
      <c r="AL2264">
        <v>32.767302999999998</v>
      </c>
      <c r="AM2264" t="s">
        <v>787</v>
      </c>
      <c r="AN2264">
        <v>-116.80968799999999</v>
      </c>
      <c r="AO2264">
        <v>25</v>
      </c>
      <c r="AP2264">
        <v>3100</v>
      </c>
      <c r="AQ2264" t="s">
        <v>129</v>
      </c>
      <c r="AR2264">
        <v>115</v>
      </c>
      <c r="AS2264">
        <v>-64</v>
      </c>
      <c r="AT2264">
        <v>128</v>
      </c>
      <c r="BB2264">
        <v>1200</v>
      </c>
      <c r="BC2264">
        <v>1</v>
      </c>
      <c r="BD2264" t="str">
        <f t="shared" si="803"/>
        <v xml:space="preserve">N887QR  </v>
      </c>
      <c r="BE2264">
        <v>1</v>
      </c>
      <c r="BJ2264">
        <v>2800</v>
      </c>
      <c r="BK2264">
        <v>-300</v>
      </c>
      <c r="BL2264" t="s">
        <v>163</v>
      </c>
      <c r="BM2264">
        <v>1</v>
      </c>
      <c r="BN2264">
        <v>1</v>
      </c>
      <c r="BO2264">
        <v>1</v>
      </c>
      <c r="BP2264">
        <v>0</v>
      </c>
      <c r="BS2264">
        <v>0.04</v>
      </c>
      <c r="BT2264">
        <v>0</v>
      </c>
      <c r="BU2264">
        <v>0</v>
      </c>
      <c r="CE2264" t="str">
        <f t="shared" si="812"/>
        <v>19:31:33.299</v>
      </c>
      <c r="CF2264">
        <v>299361747</v>
      </c>
      <c r="CS2264">
        <v>0</v>
      </c>
      <c r="CT2264">
        <v>2</v>
      </c>
      <c r="CU2264">
        <v>0</v>
      </c>
      <c r="CV2264">
        <v>2</v>
      </c>
      <c r="CW2264">
        <v>0</v>
      </c>
      <c r="CX2264">
        <v>5</v>
      </c>
      <c r="CY2264">
        <v>7</v>
      </c>
      <c r="CZ2264" t="s">
        <v>131</v>
      </c>
      <c r="DA2264">
        <v>300</v>
      </c>
      <c r="DB2264">
        <v>0</v>
      </c>
      <c r="DC2264" t="s">
        <v>176</v>
      </c>
      <c r="DD2264" t="s">
        <v>177</v>
      </c>
      <c r="DG2264">
        <v>5407216</v>
      </c>
      <c r="DI2264">
        <v>1</v>
      </c>
      <c r="DJ2264">
        <v>0</v>
      </c>
      <c r="DK2264">
        <v>0</v>
      </c>
      <c r="DL2264">
        <v>0</v>
      </c>
      <c r="DM2264">
        <v>0</v>
      </c>
      <c r="DN2264">
        <v>1</v>
      </c>
      <c r="DO2264">
        <v>0</v>
      </c>
      <c r="DP2264">
        <v>0</v>
      </c>
      <c r="DQ2264">
        <v>0</v>
      </c>
      <c r="DR2264">
        <v>0</v>
      </c>
      <c r="DS2264">
        <v>0</v>
      </c>
    </row>
    <row r="2265" spans="1:123" x14ac:dyDescent="0.3">
      <c r="A2265" t="str">
        <f t="shared" si="810"/>
        <v>10/04/2022 19:31:33.556</v>
      </c>
      <c r="C2265" t="str">
        <f t="shared" si="791"/>
        <v>FFDDD3C0</v>
      </c>
      <c r="D2265" t="s">
        <v>136</v>
      </c>
      <c r="E2265">
        <v>8</v>
      </c>
      <c r="H2265">
        <v>225</v>
      </c>
      <c r="I2265" t="s">
        <v>137</v>
      </c>
      <c r="J2265" t="s">
        <v>138</v>
      </c>
      <c r="K2265">
        <v>0</v>
      </c>
      <c r="L2265">
        <v>3</v>
      </c>
      <c r="M2265">
        <v>0</v>
      </c>
      <c r="N2265">
        <v>2</v>
      </c>
      <c r="O2265">
        <v>0</v>
      </c>
      <c r="P2265">
        <v>1</v>
      </c>
      <c r="Q2265">
        <v>0</v>
      </c>
      <c r="S2265" t="str">
        <f t="shared" si="811"/>
        <v>19:31:33.000</v>
      </c>
      <c r="T2265" t="str">
        <f t="shared" si="811"/>
        <v>19:31:33.000</v>
      </c>
      <c r="U2265" t="str">
        <f t="shared" si="802"/>
        <v>AC3944</v>
      </c>
      <c r="V2265">
        <v>0</v>
      </c>
      <c r="W2265">
        <v>0</v>
      </c>
      <c r="X2265">
        <v>2</v>
      </c>
      <c r="Y2265">
        <v>0</v>
      </c>
      <c r="AA2265">
        <v>1</v>
      </c>
      <c r="AB2265">
        <v>8</v>
      </c>
      <c r="AC2265">
        <v>3</v>
      </c>
      <c r="AD2265">
        <v>0</v>
      </c>
      <c r="AE2265">
        <v>9</v>
      </c>
      <c r="AF2265" t="s">
        <v>138</v>
      </c>
      <c r="AG2265">
        <v>0</v>
      </c>
      <c r="AH2265">
        <v>3</v>
      </c>
      <c r="AI2265">
        <v>1</v>
      </c>
      <c r="AJ2265">
        <v>0</v>
      </c>
      <c r="AK2265" t="s">
        <v>786</v>
      </c>
      <c r="AL2265">
        <v>32.767302999999998</v>
      </c>
      <c r="AM2265" t="s">
        <v>787</v>
      </c>
      <c r="AN2265">
        <v>-116.80968799999999</v>
      </c>
      <c r="AO2265">
        <v>25</v>
      </c>
      <c r="AP2265">
        <v>3100</v>
      </c>
      <c r="AQ2265" t="s">
        <v>129</v>
      </c>
      <c r="AR2265">
        <v>115</v>
      </c>
      <c r="AS2265">
        <v>-64</v>
      </c>
      <c r="AT2265">
        <v>128</v>
      </c>
      <c r="BB2265">
        <v>1200</v>
      </c>
      <c r="BC2265">
        <v>1</v>
      </c>
      <c r="BD2265" t="str">
        <f t="shared" si="803"/>
        <v xml:space="preserve">N887QR  </v>
      </c>
      <c r="BE2265">
        <v>1</v>
      </c>
      <c r="BJ2265">
        <v>2800</v>
      </c>
      <c r="BK2265">
        <v>-300</v>
      </c>
      <c r="BL2265" t="s">
        <v>163</v>
      </c>
      <c r="BM2265">
        <v>1</v>
      </c>
      <c r="BN2265">
        <v>1</v>
      </c>
      <c r="BO2265">
        <v>1</v>
      </c>
      <c r="BP2265">
        <v>0</v>
      </c>
      <c r="BS2265">
        <v>0.04</v>
      </c>
      <c r="BT2265">
        <v>0</v>
      </c>
      <c r="BU2265">
        <v>0</v>
      </c>
      <c r="CE2265" t="str">
        <f t="shared" si="812"/>
        <v>19:31:33.299</v>
      </c>
      <c r="CF2265">
        <v>299361747</v>
      </c>
      <c r="CS2265">
        <v>0</v>
      </c>
      <c r="CT2265">
        <v>2</v>
      </c>
      <c r="CU2265">
        <v>0</v>
      </c>
      <c r="CV2265">
        <v>2</v>
      </c>
      <c r="CW2265">
        <v>0</v>
      </c>
      <c r="CX2265">
        <v>5</v>
      </c>
      <c r="CY2265">
        <v>7</v>
      </c>
      <c r="CZ2265" t="s">
        <v>131</v>
      </c>
      <c r="DA2265">
        <v>300</v>
      </c>
      <c r="DB2265">
        <v>0</v>
      </c>
      <c r="DC2265" t="s">
        <v>176</v>
      </c>
      <c r="DD2265" t="s">
        <v>177</v>
      </c>
      <c r="DG2265">
        <v>5407216</v>
      </c>
      <c r="DI2265">
        <v>1</v>
      </c>
      <c r="DJ2265">
        <v>0</v>
      </c>
      <c r="DK2265">
        <v>1</v>
      </c>
      <c r="DL2265">
        <v>0</v>
      </c>
      <c r="DM2265">
        <v>0</v>
      </c>
      <c r="DN2265">
        <v>1</v>
      </c>
      <c r="DO2265">
        <v>0</v>
      </c>
      <c r="DP2265">
        <v>0</v>
      </c>
      <c r="DQ2265">
        <v>0</v>
      </c>
      <c r="DR2265">
        <v>0</v>
      </c>
      <c r="DS2265">
        <v>0</v>
      </c>
    </row>
    <row r="2266" spans="1:123" x14ac:dyDescent="0.3">
      <c r="A2266" t="str">
        <f t="shared" si="810"/>
        <v>10/04/2022 19:31:33.556</v>
      </c>
      <c r="C2266" t="str">
        <f t="shared" si="791"/>
        <v>FFDDD3C0</v>
      </c>
      <c r="D2266" t="s">
        <v>141</v>
      </c>
      <c r="E2266">
        <v>4</v>
      </c>
      <c r="H2266">
        <v>4</v>
      </c>
      <c r="I2266" t="s">
        <v>142</v>
      </c>
      <c r="J2266" t="s">
        <v>138</v>
      </c>
      <c r="K2266">
        <v>0</v>
      </c>
      <c r="L2266">
        <v>3</v>
      </c>
      <c r="M2266">
        <v>0</v>
      </c>
      <c r="N2266">
        <v>2</v>
      </c>
      <c r="O2266">
        <v>0</v>
      </c>
      <c r="P2266">
        <v>1</v>
      </c>
      <c r="Q2266">
        <v>0</v>
      </c>
      <c r="S2266" t="str">
        <f t="shared" si="811"/>
        <v>19:31:33.000</v>
      </c>
      <c r="T2266" t="str">
        <f t="shared" si="811"/>
        <v>19:31:33.000</v>
      </c>
      <c r="U2266" t="str">
        <f t="shared" si="802"/>
        <v>AC3944</v>
      </c>
      <c r="V2266">
        <v>0</v>
      </c>
      <c r="W2266">
        <v>0</v>
      </c>
      <c r="X2266">
        <v>2</v>
      </c>
      <c r="Y2266">
        <v>0</v>
      </c>
      <c r="AA2266">
        <v>1</v>
      </c>
      <c r="AB2266">
        <v>8</v>
      </c>
      <c r="AC2266">
        <v>3</v>
      </c>
      <c r="AD2266">
        <v>0</v>
      </c>
      <c r="AE2266">
        <v>9</v>
      </c>
      <c r="AF2266" t="s">
        <v>138</v>
      </c>
      <c r="AG2266">
        <v>0</v>
      </c>
      <c r="AH2266">
        <v>3</v>
      </c>
      <c r="AI2266">
        <v>1</v>
      </c>
      <c r="AJ2266">
        <v>0</v>
      </c>
      <c r="AK2266" t="s">
        <v>786</v>
      </c>
      <c r="AL2266">
        <v>32.767302999999998</v>
      </c>
      <c r="AM2266" t="s">
        <v>787</v>
      </c>
      <c r="AN2266">
        <v>-116.80968799999999</v>
      </c>
      <c r="AO2266">
        <v>25</v>
      </c>
      <c r="AP2266">
        <v>3100</v>
      </c>
      <c r="AQ2266" t="s">
        <v>129</v>
      </c>
      <c r="AR2266">
        <v>115</v>
      </c>
      <c r="AS2266">
        <v>-64</v>
      </c>
      <c r="AT2266">
        <v>128</v>
      </c>
      <c r="BB2266">
        <v>1200</v>
      </c>
      <c r="BC2266">
        <v>1</v>
      </c>
      <c r="BD2266" t="str">
        <f t="shared" si="803"/>
        <v xml:space="preserve">N887QR  </v>
      </c>
      <c r="BE2266">
        <v>1</v>
      </c>
      <c r="BJ2266">
        <v>2800</v>
      </c>
      <c r="BK2266">
        <v>-300</v>
      </c>
      <c r="BL2266" t="s">
        <v>163</v>
      </c>
      <c r="BM2266">
        <v>1</v>
      </c>
      <c r="BN2266">
        <v>1</v>
      </c>
      <c r="BO2266">
        <v>1</v>
      </c>
      <c r="BP2266">
        <v>0</v>
      </c>
      <c r="BS2266">
        <v>0.04</v>
      </c>
      <c r="BT2266">
        <v>0</v>
      </c>
      <c r="BU2266">
        <v>0</v>
      </c>
      <c r="CE2266" t="str">
        <f t="shared" si="812"/>
        <v>19:31:33.299</v>
      </c>
      <c r="CF2266">
        <v>299361747</v>
      </c>
      <c r="CS2266">
        <v>0</v>
      </c>
      <c r="CT2266">
        <v>2</v>
      </c>
      <c r="CU2266">
        <v>0</v>
      </c>
      <c r="CV2266">
        <v>2</v>
      </c>
      <c r="CW2266">
        <v>0</v>
      </c>
      <c r="CX2266">
        <v>5</v>
      </c>
      <c r="CY2266">
        <v>7</v>
      </c>
      <c r="CZ2266" t="s">
        <v>131</v>
      </c>
      <c r="DA2266">
        <v>300</v>
      </c>
      <c r="DB2266">
        <v>0</v>
      </c>
      <c r="DC2266" t="s">
        <v>176</v>
      </c>
      <c r="DD2266" t="s">
        <v>177</v>
      </c>
      <c r="DG2266">
        <v>5407216</v>
      </c>
      <c r="DI2266">
        <v>1</v>
      </c>
      <c r="DJ2266">
        <v>0</v>
      </c>
      <c r="DK2266">
        <v>1</v>
      </c>
      <c r="DL2266">
        <v>0</v>
      </c>
      <c r="DM2266">
        <v>0</v>
      </c>
      <c r="DN2266">
        <v>1</v>
      </c>
      <c r="DO2266">
        <v>0</v>
      </c>
      <c r="DP2266">
        <v>0</v>
      </c>
      <c r="DQ2266">
        <v>0</v>
      </c>
      <c r="DR2266">
        <v>0</v>
      </c>
      <c r="DS2266">
        <v>0</v>
      </c>
    </row>
    <row r="2267" spans="1:123" x14ac:dyDescent="0.3">
      <c r="A2267" t="str">
        <f t="shared" si="810"/>
        <v>10/04/2022 19:31:33.556</v>
      </c>
      <c r="C2267" t="str">
        <f t="shared" si="791"/>
        <v>FFDDD3C0</v>
      </c>
      <c r="D2267" t="s">
        <v>141</v>
      </c>
      <c r="E2267">
        <v>3</v>
      </c>
      <c r="H2267">
        <v>3</v>
      </c>
      <c r="I2267" t="s">
        <v>146</v>
      </c>
      <c r="J2267" t="s">
        <v>138</v>
      </c>
      <c r="K2267">
        <v>0</v>
      </c>
      <c r="L2267">
        <v>3</v>
      </c>
      <c r="M2267">
        <v>0</v>
      </c>
      <c r="N2267">
        <v>2</v>
      </c>
      <c r="O2267">
        <v>0</v>
      </c>
      <c r="P2267">
        <v>1</v>
      </c>
      <c r="Q2267">
        <v>0</v>
      </c>
      <c r="S2267" t="str">
        <f t="shared" si="811"/>
        <v>19:31:33.000</v>
      </c>
      <c r="T2267" t="str">
        <f t="shared" si="811"/>
        <v>19:31:33.000</v>
      </c>
      <c r="U2267" t="str">
        <f t="shared" si="802"/>
        <v>AC3944</v>
      </c>
      <c r="V2267">
        <v>0</v>
      </c>
      <c r="W2267">
        <v>0</v>
      </c>
      <c r="X2267">
        <v>2</v>
      </c>
      <c r="Y2267">
        <v>0</v>
      </c>
      <c r="AA2267">
        <v>1</v>
      </c>
      <c r="AB2267">
        <v>8</v>
      </c>
      <c r="AC2267">
        <v>3</v>
      </c>
      <c r="AD2267">
        <v>0</v>
      </c>
      <c r="AE2267">
        <v>9</v>
      </c>
      <c r="AF2267" t="s">
        <v>138</v>
      </c>
      <c r="AG2267">
        <v>0</v>
      </c>
      <c r="AH2267">
        <v>3</v>
      </c>
      <c r="AI2267">
        <v>1</v>
      </c>
      <c r="AJ2267">
        <v>0</v>
      </c>
      <c r="AK2267" t="s">
        <v>786</v>
      </c>
      <c r="AL2267">
        <v>32.767302999999998</v>
      </c>
      <c r="AM2267" t="s">
        <v>787</v>
      </c>
      <c r="AN2267">
        <v>-116.80968799999999</v>
      </c>
      <c r="AO2267">
        <v>25</v>
      </c>
      <c r="AP2267">
        <v>3100</v>
      </c>
      <c r="AQ2267" t="s">
        <v>129</v>
      </c>
      <c r="AR2267">
        <v>115</v>
      </c>
      <c r="AS2267">
        <v>-64</v>
      </c>
      <c r="AT2267">
        <v>128</v>
      </c>
      <c r="BB2267">
        <v>1200</v>
      </c>
      <c r="BC2267">
        <v>1</v>
      </c>
      <c r="BD2267" t="str">
        <f t="shared" si="803"/>
        <v xml:space="preserve">N887QR  </v>
      </c>
      <c r="BE2267">
        <v>1</v>
      </c>
      <c r="BJ2267">
        <v>2800</v>
      </c>
      <c r="BK2267">
        <v>-300</v>
      </c>
      <c r="BL2267" t="s">
        <v>163</v>
      </c>
      <c r="BM2267">
        <v>1</v>
      </c>
      <c r="BN2267">
        <v>1</v>
      </c>
      <c r="BO2267">
        <v>1</v>
      </c>
      <c r="BP2267">
        <v>0</v>
      </c>
      <c r="BS2267">
        <v>0.04</v>
      </c>
      <c r="BT2267">
        <v>0</v>
      </c>
      <c r="BU2267">
        <v>0</v>
      </c>
      <c r="CE2267" t="str">
        <f t="shared" si="812"/>
        <v>19:31:33.299</v>
      </c>
      <c r="CF2267">
        <v>299361747</v>
      </c>
      <c r="CS2267">
        <v>0</v>
      </c>
      <c r="CT2267">
        <v>2</v>
      </c>
      <c r="CU2267">
        <v>0</v>
      </c>
      <c r="CV2267">
        <v>2</v>
      </c>
      <c r="CW2267">
        <v>0</v>
      </c>
      <c r="CX2267">
        <v>5</v>
      </c>
      <c r="CY2267">
        <v>7</v>
      </c>
      <c r="CZ2267" t="s">
        <v>131</v>
      </c>
      <c r="DA2267">
        <v>300</v>
      </c>
      <c r="DB2267">
        <v>0</v>
      </c>
      <c r="DC2267" t="s">
        <v>176</v>
      </c>
      <c r="DD2267" t="s">
        <v>177</v>
      </c>
      <c r="DG2267">
        <v>5407216</v>
      </c>
      <c r="DI2267">
        <v>1</v>
      </c>
      <c r="DJ2267">
        <v>0</v>
      </c>
      <c r="DK2267">
        <v>1</v>
      </c>
      <c r="DL2267">
        <v>0</v>
      </c>
      <c r="DM2267">
        <v>0</v>
      </c>
      <c r="DN2267">
        <v>1</v>
      </c>
      <c r="DO2267">
        <v>0</v>
      </c>
      <c r="DP2267">
        <v>0</v>
      </c>
      <c r="DQ2267">
        <v>0</v>
      </c>
      <c r="DR2267">
        <v>0</v>
      </c>
      <c r="DS2267">
        <v>0</v>
      </c>
    </row>
    <row r="2268" spans="1:123" x14ac:dyDescent="0.3">
      <c r="A2268" t="str">
        <f>"10/04/2022 19:31:33.619"</f>
        <v>10/04/2022 19:31:33.619</v>
      </c>
      <c r="C2268" t="str">
        <f t="shared" si="791"/>
        <v>FFDDD3C0</v>
      </c>
      <c r="D2268" t="s">
        <v>143</v>
      </c>
      <c r="E2268">
        <v>20</v>
      </c>
      <c r="F2268">
        <v>1020</v>
      </c>
      <c r="G2268" t="s">
        <v>144</v>
      </c>
      <c r="J2268" t="s">
        <v>145</v>
      </c>
      <c r="K2268">
        <v>0</v>
      </c>
      <c r="L2268">
        <v>3</v>
      </c>
      <c r="M2268">
        <v>0</v>
      </c>
      <c r="N2268">
        <v>2</v>
      </c>
      <c r="O2268">
        <v>0</v>
      </c>
      <c r="P2268">
        <v>1</v>
      </c>
      <c r="Q2268">
        <v>0</v>
      </c>
      <c r="S2268" t="str">
        <f t="shared" si="811"/>
        <v>19:31:33.000</v>
      </c>
      <c r="T2268" t="str">
        <f t="shared" si="811"/>
        <v>19:31:33.000</v>
      </c>
      <c r="U2268" t="str">
        <f t="shared" si="802"/>
        <v>AC3944</v>
      </c>
      <c r="V2268">
        <v>0</v>
      </c>
      <c r="W2268">
        <v>0</v>
      </c>
      <c r="X2268">
        <v>2</v>
      </c>
      <c r="Y2268">
        <v>0</v>
      </c>
      <c r="AA2268">
        <v>1</v>
      </c>
      <c r="AB2268">
        <v>8</v>
      </c>
      <c r="AC2268">
        <v>3</v>
      </c>
      <c r="AD2268">
        <v>0</v>
      </c>
      <c r="AE2268">
        <v>9</v>
      </c>
      <c r="AF2268" t="s">
        <v>138</v>
      </c>
      <c r="AG2268">
        <v>0</v>
      </c>
      <c r="AH2268">
        <v>3</v>
      </c>
      <c r="AI2268">
        <v>1</v>
      </c>
      <c r="AJ2268">
        <v>0</v>
      </c>
      <c r="AK2268" t="s">
        <v>786</v>
      </c>
      <c r="AL2268">
        <v>32.767302999999998</v>
      </c>
      <c r="AM2268" t="s">
        <v>787</v>
      </c>
      <c r="AN2268">
        <v>-116.80968799999999</v>
      </c>
      <c r="AO2268">
        <v>25</v>
      </c>
      <c r="AP2268">
        <v>3100</v>
      </c>
      <c r="AQ2268" t="s">
        <v>129</v>
      </c>
      <c r="AR2268">
        <v>115</v>
      </c>
      <c r="AS2268">
        <v>-64</v>
      </c>
      <c r="AT2268">
        <v>128</v>
      </c>
      <c r="BB2268">
        <v>1200</v>
      </c>
      <c r="BC2268">
        <v>1</v>
      </c>
      <c r="BD2268" t="str">
        <f t="shared" si="803"/>
        <v xml:space="preserve">N887QR  </v>
      </c>
      <c r="BE2268">
        <v>1</v>
      </c>
      <c r="BJ2268">
        <v>2800</v>
      </c>
      <c r="BK2268">
        <v>-300</v>
      </c>
      <c r="BL2268" t="s">
        <v>163</v>
      </c>
      <c r="BM2268">
        <v>1</v>
      </c>
      <c r="BN2268">
        <v>1</v>
      </c>
      <c r="BO2268">
        <v>1</v>
      </c>
      <c r="BP2268">
        <v>0</v>
      </c>
      <c r="BS2268">
        <v>0.04</v>
      </c>
      <c r="BT2268">
        <v>0</v>
      </c>
      <c r="BU2268">
        <v>0</v>
      </c>
      <c r="CE2268" t="str">
        <f t="shared" si="812"/>
        <v>19:31:33.299</v>
      </c>
      <c r="CF2268">
        <v>299361747</v>
      </c>
      <c r="CS2268">
        <v>0</v>
      </c>
      <c r="CT2268">
        <v>2</v>
      </c>
      <c r="CU2268">
        <v>0</v>
      </c>
      <c r="CV2268">
        <v>2</v>
      </c>
      <c r="CW2268">
        <v>0</v>
      </c>
      <c r="CX2268">
        <v>5</v>
      </c>
      <c r="CY2268">
        <v>7</v>
      </c>
      <c r="CZ2268" t="s">
        <v>131</v>
      </c>
      <c r="DA2268">
        <v>300</v>
      </c>
      <c r="DB2268">
        <v>0</v>
      </c>
      <c r="DC2268" t="s">
        <v>176</v>
      </c>
      <c r="DD2268" t="s">
        <v>177</v>
      </c>
      <c r="DG2268">
        <v>5407216</v>
      </c>
      <c r="DI2268">
        <v>1</v>
      </c>
      <c r="DJ2268">
        <v>0</v>
      </c>
      <c r="DK2268">
        <v>1</v>
      </c>
      <c r="DL2268">
        <v>0</v>
      </c>
      <c r="DM2268">
        <v>0</v>
      </c>
      <c r="DN2268">
        <v>1</v>
      </c>
      <c r="DO2268">
        <v>0</v>
      </c>
      <c r="DP2268">
        <v>0</v>
      </c>
      <c r="DQ2268">
        <v>0</v>
      </c>
      <c r="DR2268">
        <v>0</v>
      </c>
      <c r="DS2268">
        <v>0</v>
      </c>
    </row>
    <row r="2269" spans="1:123" x14ac:dyDescent="0.3">
      <c r="A2269" t="str">
        <f t="shared" ref="A2269:A2275" si="813">"10/04/2022 19:31:35.698"</f>
        <v>10/04/2022 19:31:35.698</v>
      </c>
      <c r="C2269" t="str">
        <f t="shared" si="791"/>
        <v>FFDDD3C0</v>
      </c>
      <c r="D2269" t="s">
        <v>143</v>
      </c>
      <c r="E2269">
        <v>20</v>
      </c>
      <c r="F2269">
        <v>1020</v>
      </c>
      <c r="G2269" t="s">
        <v>144</v>
      </c>
      <c r="J2269" t="s">
        <v>145</v>
      </c>
      <c r="K2269">
        <v>0</v>
      </c>
      <c r="L2269">
        <v>3</v>
      </c>
      <c r="M2269">
        <v>0</v>
      </c>
      <c r="N2269">
        <v>2</v>
      </c>
      <c r="O2269">
        <v>0</v>
      </c>
      <c r="P2269">
        <v>1</v>
      </c>
      <c r="Q2269">
        <v>0</v>
      </c>
      <c r="S2269" t="str">
        <f t="shared" ref="S2269:T2277" si="814">"19:31:35.000"</f>
        <v>19:31:35.000</v>
      </c>
      <c r="T2269" t="str">
        <f t="shared" si="814"/>
        <v>19:31:35.000</v>
      </c>
      <c r="U2269" t="str">
        <f t="shared" si="802"/>
        <v>AC3944</v>
      </c>
      <c r="V2269">
        <v>0</v>
      </c>
      <c r="W2269">
        <v>0</v>
      </c>
      <c r="X2269">
        <v>2</v>
      </c>
      <c r="Y2269">
        <v>0</v>
      </c>
      <c r="AA2269">
        <v>1</v>
      </c>
      <c r="AB2269">
        <v>8</v>
      </c>
      <c r="AC2269">
        <v>3</v>
      </c>
      <c r="AD2269">
        <v>0</v>
      </c>
      <c r="AE2269">
        <v>9</v>
      </c>
      <c r="AF2269" t="s">
        <v>138</v>
      </c>
      <c r="AG2269">
        <v>0</v>
      </c>
      <c r="AH2269">
        <v>3</v>
      </c>
      <c r="AI2269">
        <v>1</v>
      </c>
      <c r="AJ2269">
        <v>0</v>
      </c>
      <c r="AK2269" t="s">
        <v>788</v>
      </c>
      <c r="AL2269">
        <v>32.766724000000004</v>
      </c>
      <c r="AM2269" t="s">
        <v>789</v>
      </c>
      <c r="AN2269">
        <v>-116.80842199999999</v>
      </c>
      <c r="AO2269">
        <v>25</v>
      </c>
      <c r="AP2269">
        <v>3100</v>
      </c>
      <c r="AQ2269" t="s">
        <v>129</v>
      </c>
      <c r="AR2269">
        <v>113</v>
      </c>
      <c r="AS2269">
        <v>-68</v>
      </c>
      <c r="AT2269">
        <v>128</v>
      </c>
      <c r="BB2269">
        <v>1200</v>
      </c>
      <c r="BC2269">
        <v>1</v>
      </c>
      <c r="BD2269" t="str">
        <f t="shared" si="803"/>
        <v xml:space="preserve">N887QR  </v>
      </c>
      <c r="BE2269">
        <v>1</v>
      </c>
      <c r="BJ2269">
        <v>2825</v>
      </c>
      <c r="BK2269">
        <v>-275</v>
      </c>
      <c r="BL2269" t="s">
        <v>163</v>
      </c>
      <c r="BM2269">
        <v>1</v>
      </c>
      <c r="BN2269">
        <v>1</v>
      </c>
      <c r="BO2269">
        <v>1</v>
      </c>
      <c r="BP2269">
        <v>0</v>
      </c>
      <c r="BS2269">
        <v>0.04</v>
      </c>
      <c r="BT2269">
        <v>0</v>
      </c>
      <c r="BU2269">
        <v>0</v>
      </c>
      <c r="CE2269" t="str">
        <f t="shared" ref="CE2269:CE2275" si="815">"19:31:35.327"</f>
        <v>19:31:35.327</v>
      </c>
      <c r="CF2269">
        <v>327118612</v>
      </c>
      <c r="CS2269">
        <v>0</v>
      </c>
      <c r="CT2269">
        <v>2</v>
      </c>
      <c r="CU2269">
        <v>0</v>
      </c>
      <c r="CV2269">
        <v>2</v>
      </c>
      <c r="CW2269">
        <v>0</v>
      </c>
      <c r="CX2269">
        <v>5</v>
      </c>
      <c r="CY2269">
        <v>7</v>
      </c>
      <c r="CZ2269" t="s">
        <v>131</v>
      </c>
      <c r="DA2269">
        <v>300</v>
      </c>
      <c r="DB2269">
        <v>0</v>
      </c>
      <c r="DC2269" t="s">
        <v>176</v>
      </c>
      <c r="DD2269" t="s">
        <v>177</v>
      </c>
      <c r="DG2269">
        <v>5407537</v>
      </c>
      <c r="DI2269">
        <v>1</v>
      </c>
      <c r="DJ2269">
        <v>0</v>
      </c>
      <c r="DK2269">
        <v>0</v>
      </c>
      <c r="DL2269">
        <v>0</v>
      </c>
      <c r="DM2269">
        <v>0</v>
      </c>
      <c r="DN2269">
        <v>1</v>
      </c>
      <c r="DO2269">
        <v>0</v>
      </c>
      <c r="DP2269">
        <v>0</v>
      </c>
      <c r="DQ2269">
        <v>0</v>
      </c>
      <c r="DR2269">
        <v>0</v>
      </c>
      <c r="DS2269">
        <v>0</v>
      </c>
    </row>
    <row r="2270" spans="1:123" x14ac:dyDescent="0.3">
      <c r="A2270" t="str">
        <f t="shared" si="813"/>
        <v>10/04/2022 19:31:35.698</v>
      </c>
      <c r="C2270" t="str">
        <f t="shared" si="791"/>
        <v>FFDDD3C0</v>
      </c>
      <c r="D2270" t="s">
        <v>123</v>
      </c>
      <c r="E2270">
        <v>7</v>
      </c>
      <c r="F2270">
        <v>2007</v>
      </c>
      <c r="G2270" t="s">
        <v>124</v>
      </c>
      <c r="J2270" t="s">
        <v>125</v>
      </c>
      <c r="K2270">
        <v>0</v>
      </c>
      <c r="L2270">
        <v>3</v>
      </c>
      <c r="M2270">
        <v>0</v>
      </c>
      <c r="N2270">
        <v>2</v>
      </c>
      <c r="O2270">
        <v>0</v>
      </c>
      <c r="P2270">
        <v>1</v>
      </c>
      <c r="Q2270">
        <v>0</v>
      </c>
      <c r="S2270" t="str">
        <f t="shared" si="814"/>
        <v>19:31:35.000</v>
      </c>
      <c r="T2270" t="str">
        <f t="shared" si="814"/>
        <v>19:31:35.000</v>
      </c>
      <c r="U2270" t="str">
        <f t="shared" si="802"/>
        <v>AC3944</v>
      </c>
      <c r="V2270">
        <v>0</v>
      </c>
      <c r="W2270">
        <v>0</v>
      </c>
      <c r="X2270">
        <v>2</v>
      </c>
      <c r="Y2270">
        <v>0</v>
      </c>
      <c r="AA2270">
        <v>1</v>
      </c>
      <c r="AB2270">
        <v>8</v>
      </c>
      <c r="AC2270">
        <v>3</v>
      </c>
      <c r="AD2270">
        <v>0</v>
      </c>
      <c r="AE2270">
        <v>9</v>
      </c>
      <c r="AF2270" t="s">
        <v>138</v>
      </c>
      <c r="AG2270">
        <v>0</v>
      </c>
      <c r="AH2270">
        <v>3</v>
      </c>
      <c r="AI2270">
        <v>1</v>
      </c>
      <c r="AJ2270">
        <v>0</v>
      </c>
      <c r="AK2270" t="s">
        <v>788</v>
      </c>
      <c r="AL2270">
        <v>32.766724000000004</v>
      </c>
      <c r="AM2270" t="s">
        <v>789</v>
      </c>
      <c r="AN2270">
        <v>-116.80842199999999</v>
      </c>
      <c r="AO2270">
        <v>25</v>
      </c>
      <c r="AP2270">
        <v>3100</v>
      </c>
      <c r="AQ2270" t="s">
        <v>129</v>
      </c>
      <c r="AR2270">
        <v>113</v>
      </c>
      <c r="AS2270">
        <v>-68</v>
      </c>
      <c r="AT2270">
        <v>128</v>
      </c>
      <c r="BB2270">
        <v>1200</v>
      </c>
      <c r="BC2270">
        <v>1</v>
      </c>
      <c r="BD2270" t="str">
        <f t="shared" si="803"/>
        <v xml:space="preserve">N887QR  </v>
      </c>
      <c r="BE2270">
        <v>1</v>
      </c>
      <c r="BJ2270">
        <v>2825</v>
      </c>
      <c r="BK2270">
        <v>-275</v>
      </c>
      <c r="BL2270" t="s">
        <v>163</v>
      </c>
      <c r="BM2270">
        <v>1</v>
      </c>
      <c r="BN2270">
        <v>1</v>
      </c>
      <c r="BO2270">
        <v>1</v>
      </c>
      <c r="BP2270">
        <v>0</v>
      </c>
      <c r="BS2270">
        <v>0.04</v>
      </c>
      <c r="BT2270">
        <v>0</v>
      </c>
      <c r="BU2270">
        <v>0</v>
      </c>
      <c r="CE2270" t="str">
        <f t="shared" si="815"/>
        <v>19:31:35.327</v>
      </c>
      <c r="CF2270">
        <v>327118612</v>
      </c>
      <c r="CS2270">
        <v>0</v>
      </c>
      <c r="CT2270">
        <v>2</v>
      </c>
      <c r="CU2270">
        <v>0</v>
      </c>
      <c r="CV2270">
        <v>2</v>
      </c>
      <c r="CW2270">
        <v>0</v>
      </c>
      <c r="CX2270">
        <v>5</v>
      </c>
      <c r="CY2270">
        <v>7</v>
      </c>
      <c r="CZ2270" t="s">
        <v>131</v>
      </c>
      <c r="DA2270">
        <v>300</v>
      </c>
      <c r="DB2270">
        <v>0</v>
      </c>
      <c r="DC2270" t="s">
        <v>176</v>
      </c>
      <c r="DD2270" t="s">
        <v>177</v>
      </c>
      <c r="DG2270">
        <v>5407537</v>
      </c>
      <c r="DI2270">
        <v>1</v>
      </c>
      <c r="DJ2270">
        <v>0</v>
      </c>
      <c r="DK2270">
        <v>1</v>
      </c>
      <c r="DL2270">
        <v>0</v>
      </c>
      <c r="DM2270">
        <v>0</v>
      </c>
      <c r="DN2270">
        <v>1</v>
      </c>
      <c r="DO2270">
        <v>0</v>
      </c>
      <c r="DP2270">
        <v>0</v>
      </c>
      <c r="DQ2270">
        <v>0</v>
      </c>
      <c r="DR2270">
        <v>0</v>
      </c>
      <c r="DS2270">
        <v>0</v>
      </c>
    </row>
    <row r="2271" spans="1:123" x14ac:dyDescent="0.3">
      <c r="A2271" t="str">
        <f t="shared" si="813"/>
        <v>10/04/2022 19:31:35.698</v>
      </c>
      <c r="C2271" t="str">
        <f t="shared" si="791"/>
        <v>FFDDD3C0</v>
      </c>
      <c r="D2271" t="s">
        <v>141</v>
      </c>
      <c r="E2271">
        <v>4</v>
      </c>
      <c r="H2271">
        <v>4</v>
      </c>
      <c r="I2271" t="s">
        <v>142</v>
      </c>
      <c r="J2271" t="s">
        <v>138</v>
      </c>
      <c r="K2271">
        <v>0</v>
      </c>
      <c r="L2271">
        <v>3</v>
      </c>
      <c r="M2271">
        <v>0</v>
      </c>
      <c r="N2271">
        <v>2</v>
      </c>
      <c r="O2271">
        <v>0</v>
      </c>
      <c r="P2271">
        <v>1</v>
      </c>
      <c r="Q2271">
        <v>0</v>
      </c>
      <c r="S2271" t="str">
        <f t="shared" si="814"/>
        <v>19:31:35.000</v>
      </c>
      <c r="T2271" t="str">
        <f t="shared" si="814"/>
        <v>19:31:35.000</v>
      </c>
      <c r="U2271" t="str">
        <f t="shared" si="802"/>
        <v>AC3944</v>
      </c>
      <c r="V2271">
        <v>0</v>
      </c>
      <c r="W2271">
        <v>0</v>
      </c>
      <c r="X2271">
        <v>2</v>
      </c>
      <c r="Y2271">
        <v>0</v>
      </c>
      <c r="AA2271">
        <v>1</v>
      </c>
      <c r="AB2271">
        <v>8</v>
      </c>
      <c r="AC2271">
        <v>3</v>
      </c>
      <c r="AD2271">
        <v>0</v>
      </c>
      <c r="AE2271">
        <v>9</v>
      </c>
      <c r="AF2271" t="s">
        <v>138</v>
      </c>
      <c r="AG2271">
        <v>0</v>
      </c>
      <c r="AH2271">
        <v>3</v>
      </c>
      <c r="AI2271">
        <v>1</v>
      </c>
      <c r="AJ2271">
        <v>0</v>
      </c>
      <c r="AK2271" t="s">
        <v>788</v>
      </c>
      <c r="AL2271">
        <v>32.766724000000004</v>
      </c>
      <c r="AM2271" t="s">
        <v>789</v>
      </c>
      <c r="AN2271">
        <v>-116.80842199999999</v>
      </c>
      <c r="AO2271">
        <v>25</v>
      </c>
      <c r="AP2271">
        <v>3100</v>
      </c>
      <c r="AQ2271" t="s">
        <v>129</v>
      </c>
      <c r="AR2271">
        <v>113</v>
      </c>
      <c r="AS2271">
        <v>-68</v>
      </c>
      <c r="AT2271">
        <v>128</v>
      </c>
      <c r="BB2271">
        <v>1200</v>
      </c>
      <c r="BC2271">
        <v>1</v>
      </c>
      <c r="BD2271" t="str">
        <f t="shared" si="803"/>
        <v xml:space="preserve">N887QR  </v>
      </c>
      <c r="BE2271">
        <v>1</v>
      </c>
      <c r="BJ2271">
        <v>2825</v>
      </c>
      <c r="BK2271">
        <v>-275</v>
      </c>
      <c r="BL2271" t="s">
        <v>163</v>
      </c>
      <c r="BM2271">
        <v>1</v>
      </c>
      <c r="BN2271">
        <v>1</v>
      </c>
      <c r="BO2271">
        <v>1</v>
      </c>
      <c r="BP2271">
        <v>0</v>
      </c>
      <c r="BS2271">
        <v>0.04</v>
      </c>
      <c r="BT2271">
        <v>0</v>
      </c>
      <c r="BU2271">
        <v>0</v>
      </c>
      <c r="CE2271" t="str">
        <f t="shared" si="815"/>
        <v>19:31:35.327</v>
      </c>
      <c r="CF2271">
        <v>327118612</v>
      </c>
      <c r="CS2271">
        <v>0</v>
      </c>
      <c r="CT2271">
        <v>2</v>
      </c>
      <c r="CU2271">
        <v>0</v>
      </c>
      <c r="CV2271">
        <v>2</v>
      </c>
      <c r="CW2271">
        <v>0</v>
      </c>
      <c r="CX2271">
        <v>5</v>
      </c>
      <c r="CY2271">
        <v>7</v>
      </c>
      <c r="CZ2271" t="s">
        <v>131</v>
      </c>
      <c r="DA2271">
        <v>300</v>
      </c>
      <c r="DB2271">
        <v>0</v>
      </c>
      <c r="DC2271" t="s">
        <v>176</v>
      </c>
      <c r="DD2271" t="s">
        <v>177</v>
      </c>
      <c r="DG2271">
        <v>5407537</v>
      </c>
      <c r="DI2271">
        <v>1</v>
      </c>
      <c r="DJ2271">
        <v>0</v>
      </c>
      <c r="DK2271">
        <v>1</v>
      </c>
      <c r="DL2271">
        <v>0</v>
      </c>
      <c r="DM2271">
        <v>0</v>
      </c>
      <c r="DN2271">
        <v>1</v>
      </c>
      <c r="DO2271">
        <v>0</v>
      </c>
      <c r="DP2271">
        <v>0</v>
      </c>
      <c r="DQ2271">
        <v>0</v>
      </c>
      <c r="DR2271">
        <v>0</v>
      </c>
      <c r="DS2271">
        <v>0</v>
      </c>
    </row>
    <row r="2272" spans="1:123" x14ac:dyDescent="0.3">
      <c r="A2272" t="str">
        <f t="shared" si="813"/>
        <v>10/04/2022 19:31:35.698</v>
      </c>
      <c r="C2272" t="str">
        <f t="shared" si="791"/>
        <v>FFDDD3C0</v>
      </c>
      <c r="D2272" t="s">
        <v>147</v>
      </c>
      <c r="E2272">
        <v>3</v>
      </c>
      <c r="H2272">
        <v>166</v>
      </c>
      <c r="I2272" t="s">
        <v>144</v>
      </c>
      <c r="J2272" t="s">
        <v>148</v>
      </c>
      <c r="K2272">
        <v>0</v>
      </c>
      <c r="L2272">
        <v>3</v>
      </c>
      <c r="M2272">
        <v>0</v>
      </c>
      <c r="N2272">
        <v>2</v>
      </c>
      <c r="O2272">
        <v>0</v>
      </c>
      <c r="P2272">
        <v>1</v>
      </c>
      <c r="Q2272">
        <v>0</v>
      </c>
      <c r="S2272" t="str">
        <f t="shared" si="814"/>
        <v>19:31:35.000</v>
      </c>
      <c r="T2272" t="str">
        <f t="shared" si="814"/>
        <v>19:31:35.000</v>
      </c>
      <c r="U2272" t="str">
        <f t="shared" si="802"/>
        <v>AC3944</v>
      </c>
      <c r="V2272">
        <v>0</v>
      </c>
      <c r="W2272">
        <v>0</v>
      </c>
      <c r="X2272">
        <v>2</v>
      </c>
      <c r="Y2272">
        <v>0</v>
      </c>
      <c r="AA2272">
        <v>1</v>
      </c>
      <c r="AB2272">
        <v>8</v>
      </c>
      <c r="AC2272">
        <v>3</v>
      </c>
      <c r="AD2272">
        <v>0</v>
      </c>
      <c r="AE2272">
        <v>9</v>
      </c>
      <c r="AF2272" t="s">
        <v>138</v>
      </c>
      <c r="AG2272">
        <v>0</v>
      </c>
      <c r="AH2272">
        <v>3</v>
      </c>
      <c r="AI2272">
        <v>1</v>
      </c>
      <c r="AJ2272">
        <v>0</v>
      </c>
      <c r="AK2272" t="s">
        <v>788</v>
      </c>
      <c r="AL2272">
        <v>32.766724000000004</v>
      </c>
      <c r="AM2272" t="s">
        <v>789</v>
      </c>
      <c r="AN2272">
        <v>-116.80842199999999</v>
      </c>
      <c r="AO2272">
        <v>25</v>
      </c>
      <c r="AP2272">
        <v>3100</v>
      </c>
      <c r="AQ2272" t="s">
        <v>129</v>
      </c>
      <c r="AR2272">
        <v>113</v>
      </c>
      <c r="AS2272">
        <v>-68</v>
      </c>
      <c r="AT2272">
        <v>128</v>
      </c>
      <c r="BB2272">
        <v>1200</v>
      </c>
      <c r="BC2272">
        <v>1</v>
      </c>
      <c r="BD2272" t="str">
        <f t="shared" si="803"/>
        <v xml:space="preserve">N887QR  </v>
      </c>
      <c r="BE2272">
        <v>1</v>
      </c>
      <c r="BJ2272">
        <v>2825</v>
      </c>
      <c r="BK2272">
        <v>-275</v>
      </c>
      <c r="BL2272" t="s">
        <v>163</v>
      </c>
      <c r="BM2272">
        <v>1</v>
      </c>
      <c r="BN2272">
        <v>1</v>
      </c>
      <c r="BO2272">
        <v>1</v>
      </c>
      <c r="BP2272">
        <v>0</v>
      </c>
      <c r="BS2272">
        <v>0.04</v>
      </c>
      <c r="BT2272">
        <v>0</v>
      </c>
      <c r="BU2272">
        <v>0</v>
      </c>
      <c r="CE2272" t="str">
        <f t="shared" si="815"/>
        <v>19:31:35.327</v>
      </c>
      <c r="CF2272">
        <v>327118612</v>
      </c>
      <c r="CS2272">
        <v>0</v>
      </c>
      <c r="CT2272">
        <v>2</v>
      </c>
      <c r="CU2272">
        <v>0</v>
      </c>
      <c r="CV2272">
        <v>2</v>
      </c>
      <c r="CW2272">
        <v>0</v>
      </c>
      <c r="CX2272">
        <v>5</v>
      </c>
      <c r="CY2272">
        <v>7</v>
      </c>
      <c r="CZ2272" t="s">
        <v>131</v>
      </c>
      <c r="DA2272">
        <v>300</v>
      </c>
      <c r="DB2272">
        <v>0</v>
      </c>
      <c r="DC2272" t="s">
        <v>176</v>
      </c>
      <c r="DD2272" t="s">
        <v>177</v>
      </c>
      <c r="DG2272">
        <v>5407537</v>
      </c>
      <c r="DI2272">
        <v>1</v>
      </c>
      <c r="DJ2272">
        <v>0</v>
      </c>
      <c r="DK2272">
        <v>1</v>
      </c>
      <c r="DL2272">
        <v>0</v>
      </c>
      <c r="DM2272">
        <v>0</v>
      </c>
      <c r="DN2272">
        <v>1</v>
      </c>
      <c r="DO2272">
        <v>0</v>
      </c>
      <c r="DP2272">
        <v>0</v>
      </c>
      <c r="DQ2272">
        <v>0</v>
      </c>
      <c r="DR2272">
        <v>0</v>
      </c>
      <c r="DS2272">
        <v>0</v>
      </c>
    </row>
    <row r="2273" spans="1:123" x14ac:dyDescent="0.3">
      <c r="A2273" t="str">
        <f t="shared" si="813"/>
        <v>10/04/2022 19:31:35.698</v>
      </c>
      <c r="C2273" t="str">
        <f t="shared" si="791"/>
        <v>FFDDD3C0</v>
      </c>
      <c r="D2273" t="s">
        <v>136</v>
      </c>
      <c r="E2273">
        <v>8</v>
      </c>
      <c r="H2273">
        <v>225</v>
      </c>
      <c r="I2273" t="s">
        <v>137</v>
      </c>
      <c r="J2273" t="s">
        <v>138</v>
      </c>
      <c r="K2273">
        <v>0</v>
      </c>
      <c r="L2273">
        <v>3</v>
      </c>
      <c r="M2273">
        <v>0</v>
      </c>
      <c r="N2273">
        <v>2</v>
      </c>
      <c r="O2273">
        <v>0</v>
      </c>
      <c r="P2273">
        <v>1</v>
      </c>
      <c r="Q2273">
        <v>0</v>
      </c>
      <c r="S2273" t="str">
        <f t="shared" si="814"/>
        <v>19:31:35.000</v>
      </c>
      <c r="T2273" t="str">
        <f t="shared" si="814"/>
        <v>19:31:35.000</v>
      </c>
      <c r="U2273" t="str">
        <f t="shared" si="802"/>
        <v>AC3944</v>
      </c>
      <c r="V2273">
        <v>0</v>
      </c>
      <c r="W2273">
        <v>0</v>
      </c>
      <c r="X2273">
        <v>2</v>
      </c>
      <c r="Y2273">
        <v>0</v>
      </c>
      <c r="AA2273">
        <v>1</v>
      </c>
      <c r="AB2273">
        <v>8</v>
      </c>
      <c r="AC2273">
        <v>3</v>
      </c>
      <c r="AD2273">
        <v>0</v>
      </c>
      <c r="AE2273">
        <v>9</v>
      </c>
      <c r="AF2273" t="s">
        <v>138</v>
      </c>
      <c r="AG2273">
        <v>0</v>
      </c>
      <c r="AH2273">
        <v>3</v>
      </c>
      <c r="AI2273">
        <v>1</v>
      </c>
      <c r="AJ2273">
        <v>0</v>
      </c>
      <c r="AK2273" t="s">
        <v>788</v>
      </c>
      <c r="AL2273">
        <v>32.766724000000004</v>
      </c>
      <c r="AM2273" t="s">
        <v>789</v>
      </c>
      <c r="AN2273">
        <v>-116.80842199999999</v>
      </c>
      <c r="AO2273">
        <v>25</v>
      </c>
      <c r="AP2273">
        <v>3100</v>
      </c>
      <c r="AQ2273" t="s">
        <v>129</v>
      </c>
      <c r="AR2273">
        <v>113</v>
      </c>
      <c r="AS2273">
        <v>-68</v>
      </c>
      <c r="AT2273">
        <v>128</v>
      </c>
      <c r="BB2273">
        <v>1200</v>
      </c>
      <c r="BC2273">
        <v>1</v>
      </c>
      <c r="BD2273" t="str">
        <f t="shared" si="803"/>
        <v xml:space="preserve">N887QR  </v>
      </c>
      <c r="BE2273">
        <v>1</v>
      </c>
      <c r="BJ2273">
        <v>2825</v>
      </c>
      <c r="BK2273">
        <v>-275</v>
      </c>
      <c r="BL2273" t="s">
        <v>163</v>
      </c>
      <c r="BM2273">
        <v>1</v>
      </c>
      <c r="BN2273">
        <v>1</v>
      </c>
      <c r="BO2273">
        <v>1</v>
      </c>
      <c r="BP2273">
        <v>0</v>
      </c>
      <c r="BS2273">
        <v>0.04</v>
      </c>
      <c r="BT2273">
        <v>0</v>
      </c>
      <c r="BU2273">
        <v>0</v>
      </c>
      <c r="CE2273" t="str">
        <f t="shared" si="815"/>
        <v>19:31:35.327</v>
      </c>
      <c r="CF2273">
        <v>327118612</v>
      </c>
      <c r="CS2273">
        <v>0</v>
      </c>
      <c r="CT2273">
        <v>2</v>
      </c>
      <c r="CU2273">
        <v>0</v>
      </c>
      <c r="CV2273">
        <v>2</v>
      </c>
      <c r="CW2273">
        <v>0</v>
      </c>
      <c r="CX2273">
        <v>5</v>
      </c>
      <c r="CY2273">
        <v>7</v>
      </c>
      <c r="CZ2273" t="s">
        <v>131</v>
      </c>
      <c r="DA2273">
        <v>300</v>
      </c>
      <c r="DB2273">
        <v>0</v>
      </c>
      <c r="DC2273" t="s">
        <v>176</v>
      </c>
      <c r="DD2273" t="s">
        <v>177</v>
      </c>
      <c r="DG2273">
        <v>5407537</v>
      </c>
      <c r="DI2273">
        <v>1</v>
      </c>
      <c r="DJ2273">
        <v>0</v>
      </c>
      <c r="DK2273">
        <v>1</v>
      </c>
      <c r="DL2273">
        <v>0</v>
      </c>
      <c r="DM2273">
        <v>0</v>
      </c>
      <c r="DN2273">
        <v>1</v>
      </c>
      <c r="DO2273">
        <v>0</v>
      </c>
      <c r="DP2273">
        <v>0</v>
      </c>
      <c r="DQ2273">
        <v>0</v>
      </c>
      <c r="DR2273">
        <v>0</v>
      </c>
      <c r="DS2273">
        <v>0</v>
      </c>
    </row>
    <row r="2274" spans="1:123" x14ac:dyDescent="0.3">
      <c r="A2274" t="str">
        <f t="shared" si="813"/>
        <v>10/04/2022 19:31:35.698</v>
      </c>
      <c r="C2274" t="str">
        <f t="shared" si="791"/>
        <v>FFDDD3C0</v>
      </c>
      <c r="D2274" t="s">
        <v>141</v>
      </c>
      <c r="E2274">
        <v>3</v>
      </c>
      <c r="H2274">
        <v>3</v>
      </c>
      <c r="I2274" t="s">
        <v>146</v>
      </c>
      <c r="J2274" t="s">
        <v>138</v>
      </c>
      <c r="K2274">
        <v>0</v>
      </c>
      <c r="L2274">
        <v>3</v>
      </c>
      <c r="M2274">
        <v>0</v>
      </c>
      <c r="N2274">
        <v>2</v>
      </c>
      <c r="O2274">
        <v>0</v>
      </c>
      <c r="P2274">
        <v>1</v>
      </c>
      <c r="Q2274">
        <v>0</v>
      </c>
      <c r="S2274" t="str">
        <f t="shared" si="814"/>
        <v>19:31:35.000</v>
      </c>
      <c r="T2274" t="str">
        <f t="shared" si="814"/>
        <v>19:31:35.000</v>
      </c>
      <c r="U2274" t="str">
        <f t="shared" si="802"/>
        <v>AC3944</v>
      </c>
      <c r="V2274">
        <v>0</v>
      </c>
      <c r="W2274">
        <v>0</v>
      </c>
      <c r="X2274">
        <v>2</v>
      </c>
      <c r="Y2274">
        <v>0</v>
      </c>
      <c r="AA2274">
        <v>1</v>
      </c>
      <c r="AB2274">
        <v>8</v>
      </c>
      <c r="AC2274">
        <v>3</v>
      </c>
      <c r="AD2274">
        <v>0</v>
      </c>
      <c r="AE2274">
        <v>9</v>
      </c>
      <c r="AF2274" t="s">
        <v>138</v>
      </c>
      <c r="AG2274">
        <v>0</v>
      </c>
      <c r="AH2274">
        <v>3</v>
      </c>
      <c r="AI2274">
        <v>1</v>
      </c>
      <c r="AJ2274">
        <v>0</v>
      </c>
      <c r="AK2274" t="s">
        <v>788</v>
      </c>
      <c r="AL2274">
        <v>32.766724000000004</v>
      </c>
      <c r="AM2274" t="s">
        <v>789</v>
      </c>
      <c r="AN2274">
        <v>-116.80842199999999</v>
      </c>
      <c r="AO2274">
        <v>25</v>
      </c>
      <c r="AP2274">
        <v>3100</v>
      </c>
      <c r="AQ2274" t="s">
        <v>129</v>
      </c>
      <c r="AR2274">
        <v>113</v>
      </c>
      <c r="AS2274">
        <v>-68</v>
      </c>
      <c r="AT2274">
        <v>128</v>
      </c>
      <c r="BB2274">
        <v>1200</v>
      </c>
      <c r="BC2274">
        <v>1</v>
      </c>
      <c r="BD2274" t="str">
        <f t="shared" si="803"/>
        <v xml:space="preserve">N887QR  </v>
      </c>
      <c r="BE2274">
        <v>1</v>
      </c>
      <c r="BJ2274">
        <v>2825</v>
      </c>
      <c r="BK2274">
        <v>-275</v>
      </c>
      <c r="BL2274" t="s">
        <v>163</v>
      </c>
      <c r="BM2274">
        <v>1</v>
      </c>
      <c r="BN2274">
        <v>1</v>
      </c>
      <c r="BO2274">
        <v>1</v>
      </c>
      <c r="BP2274">
        <v>0</v>
      </c>
      <c r="BS2274">
        <v>0.04</v>
      </c>
      <c r="BT2274">
        <v>0</v>
      </c>
      <c r="BU2274">
        <v>0</v>
      </c>
      <c r="CE2274" t="str">
        <f t="shared" si="815"/>
        <v>19:31:35.327</v>
      </c>
      <c r="CF2274">
        <v>327118612</v>
      </c>
      <c r="CS2274">
        <v>0</v>
      </c>
      <c r="CT2274">
        <v>2</v>
      </c>
      <c r="CU2274">
        <v>0</v>
      </c>
      <c r="CV2274">
        <v>2</v>
      </c>
      <c r="CW2274">
        <v>0</v>
      </c>
      <c r="CX2274">
        <v>5</v>
      </c>
      <c r="CY2274">
        <v>7</v>
      </c>
      <c r="CZ2274" t="s">
        <v>131</v>
      </c>
      <c r="DA2274">
        <v>300</v>
      </c>
      <c r="DB2274">
        <v>0</v>
      </c>
      <c r="DC2274" t="s">
        <v>176</v>
      </c>
      <c r="DD2274" t="s">
        <v>177</v>
      </c>
      <c r="DG2274">
        <v>5407537</v>
      </c>
      <c r="DI2274">
        <v>1</v>
      </c>
      <c r="DJ2274">
        <v>0</v>
      </c>
      <c r="DK2274">
        <v>1</v>
      </c>
      <c r="DL2274">
        <v>0</v>
      </c>
      <c r="DM2274">
        <v>0</v>
      </c>
      <c r="DN2274">
        <v>1</v>
      </c>
      <c r="DO2274">
        <v>0</v>
      </c>
      <c r="DP2274">
        <v>0</v>
      </c>
      <c r="DQ2274">
        <v>0</v>
      </c>
      <c r="DR2274">
        <v>0</v>
      </c>
      <c r="DS2274">
        <v>0</v>
      </c>
    </row>
    <row r="2275" spans="1:123" x14ac:dyDescent="0.3">
      <c r="A2275" t="str">
        <f t="shared" si="813"/>
        <v>10/04/2022 19:31:35.698</v>
      </c>
      <c r="C2275" t="str">
        <f t="shared" si="791"/>
        <v>FFDDD3C0</v>
      </c>
      <c r="D2275" t="s">
        <v>134</v>
      </c>
      <c r="E2275">
        <v>15</v>
      </c>
      <c r="J2275" t="s">
        <v>135</v>
      </c>
      <c r="K2275">
        <v>0</v>
      </c>
      <c r="L2275">
        <v>3</v>
      </c>
      <c r="M2275">
        <v>0</v>
      </c>
      <c r="N2275">
        <v>2</v>
      </c>
      <c r="O2275">
        <v>0</v>
      </c>
      <c r="P2275">
        <v>1</v>
      </c>
      <c r="Q2275">
        <v>0</v>
      </c>
      <c r="S2275" t="str">
        <f t="shared" si="814"/>
        <v>19:31:35.000</v>
      </c>
      <c r="T2275" t="str">
        <f t="shared" si="814"/>
        <v>19:31:35.000</v>
      </c>
      <c r="U2275" t="str">
        <f t="shared" si="802"/>
        <v>AC3944</v>
      </c>
      <c r="V2275">
        <v>0</v>
      </c>
      <c r="W2275">
        <v>0</v>
      </c>
      <c r="X2275">
        <v>2</v>
      </c>
      <c r="Y2275">
        <v>0</v>
      </c>
      <c r="AA2275">
        <v>1</v>
      </c>
      <c r="AB2275">
        <v>8</v>
      </c>
      <c r="AC2275">
        <v>3</v>
      </c>
      <c r="AD2275">
        <v>0</v>
      </c>
      <c r="AE2275">
        <v>9</v>
      </c>
      <c r="AF2275" t="s">
        <v>138</v>
      </c>
      <c r="AG2275">
        <v>0</v>
      </c>
      <c r="AH2275">
        <v>3</v>
      </c>
      <c r="AI2275">
        <v>1</v>
      </c>
      <c r="AJ2275">
        <v>0</v>
      </c>
      <c r="AK2275" t="s">
        <v>788</v>
      </c>
      <c r="AL2275">
        <v>32.766724000000004</v>
      </c>
      <c r="AM2275" t="s">
        <v>789</v>
      </c>
      <c r="AN2275">
        <v>-116.80842199999999</v>
      </c>
      <c r="AO2275">
        <v>25</v>
      </c>
      <c r="AP2275">
        <v>3100</v>
      </c>
      <c r="AQ2275" t="s">
        <v>129</v>
      </c>
      <c r="AR2275">
        <v>113</v>
      </c>
      <c r="AS2275">
        <v>-68</v>
      </c>
      <c r="AT2275">
        <v>128</v>
      </c>
      <c r="BB2275">
        <v>1200</v>
      </c>
      <c r="BC2275">
        <v>1</v>
      </c>
      <c r="BD2275" t="str">
        <f t="shared" si="803"/>
        <v xml:space="preserve">N887QR  </v>
      </c>
      <c r="BE2275">
        <v>1</v>
      </c>
      <c r="BJ2275">
        <v>2825</v>
      </c>
      <c r="BK2275">
        <v>-275</v>
      </c>
      <c r="BL2275" t="s">
        <v>163</v>
      </c>
      <c r="BM2275">
        <v>1</v>
      </c>
      <c r="BN2275">
        <v>1</v>
      </c>
      <c r="BO2275">
        <v>1</v>
      </c>
      <c r="BP2275">
        <v>0</v>
      </c>
      <c r="BS2275">
        <v>0.04</v>
      </c>
      <c r="BT2275">
        <v>0</v>
      </c>
      <c r="BU2275">
        <v>0</v>
      </c>
      <c r="CE2275" t="str">
        <f t="shared" si="815"/>
        <v>19:31:35.327</v>
      </c>
      <c r="CF2275">
        <v>327118612</v>
      </c>
      <c r="CS2275">
        <v>0</v>
      </c>
      <c r="CT2275">
        <v>2</v>
      </c>
      <c r="CU2275">
        <v>0</v>
      </c>
      <c r="CV2275">
        <v>2</v>
      </c>
      <c r="CW2275">
        <v>0</v>
      </c>
      <c r="CX2275">
        <v>5</v>
      </c>
      <c r="CY2275">
        <v>7</v>
      </c>
      <c r="CZ2275" t="s">
        <v>131</v>
      </c>
      <c r="DA2275">
        <v>300</v>
      </c>
      <c r="DB2275">
        <v>0</v>
      </c>
      <c r="DC2275" t="s">
        <v>176</v>
      </c>
      <c r="DD2275" t="s">
        <v>177</v>
      </c>
      <c r="DG2275">
        <v>5407537</v>
      </c>
      <c r="DI2275">
        <v>1</v>
      </c>
      <c r="DJ2275">
        <v>0</v>
      </c>
      <c r="DK2275">
        <v>1</v>
      </c>
      <c r="DL2275">
        <v>0</v>
      </c>
      <c r="DM2275">
        <v>0</v>
      </c>
      <c r="DN2275">
        <v>1</v>
      </c>
      <c r="DO2275">
        <v>0</v>
      </c>
      <c r="DP2275">
        <v>0</v>
      </c>
      <c r="DQ2275">
        <v>0</v>
      </c>
      <c r="DR2275">
        <v>0</v>
      </c>
      <c r="DS2275">
        <v>0</v>
      </c>
    </row>
    <row r="2276" spans="1:123" x14ac:dyDescent="0.3">
      <c r="A2276" t="str">
        <f>"10/04/2022 19:31:36.214"</f>
        <v>10/04/2022 19:31:36.214</v>
      </c>
      <c r="C2276" t="str">
        <f t="shared" si="791"/>
        <v>FFDDD3C0</v>
      </c>
      <c r="D2276" t="s">
        <v>123</v>
      </c>
      <c r="E2276">
        <v>7</v>
      </c>
      <c r="F2276">
        <v>2007</v>
      </c>
      <c r="G2276" t="s">
        <v>124</v>
      </c>
      <c r="J2276" t="s">
        <v>125</v>
      </c>
      <c r="K2276">
        <v>0</v>
      </c>
      <c r="L2276">
        <v>3</v>
      </c>
      <c r="M2276">
        <v>0</v>
      </c>
      <c r="N2276">
        <v>2</v>
      </c>
      <c r="O2276">
        <v>0</v>
      </c>
      <c r="P2276">
        <v>1</v>
      </c>
      <c r="Q2276">
        <v>0</v>
      </c>
      <c r="S2276" t="str">
        <f t="shared" si="814"/>
        <v>19:31:35.000</v>
      </c>
      <c r="T2276" t="str">
        <f t="shared" si="814"/>
        <v>19:31:35.000</v>
      </c>
      <c r="U2276" t="str">
        <f t="shared" si="802"/>
        <v>AC3944</v>
      </c>
      <c r="V2276">
        <v>0</v>
      </c>
      <c r="W2276">
        <v>0</v>
      </c>
      <c r="X2276">
        <v>2</v>
      </c>
      <c r="Y2276">
        <v>0</v>
      </c>
      <c r="AA2276">
        <v>1</v>
      </c>
      <c r="AB2276">
        <v>8</v>
      </c>
      <c r="AC2276">
        <v>3</v>
      </c>
      <c r="AD2276">
        <v>0</v>
      </c>
      <c r="AE2276">
        <v>9</v>
      </c>
      <c r="AF2276" t="s">
        <v>138</v>
      </c>
      <c r="AG2276">
        <v>0</v>
      </c>
      <c r="AH2276">
        <v>3</v>
      </c>
      <c r="AI2276">
        <v>1</v>
      </c>
      <c r="AJ2276">
        <v>0</v>
      </c>
      <c r="AK2276" t="s">
        <v>790</v>
      </c>
      <c r="AL2276">
        <v>32.766337</v>
      </c>
      <c r="AM2276" t="s">
        <v>791</v>
      </c>
      <c r="AN2276">
        <v>-116.807671</v>
      </c>
      <c r="AO2276">
        <v>25</v>
      </c>
      <c r="AP2276">
        <v>3100</v>
      </c>
      <c r="AQ2276" t="s">
        <v>129</v>
      </c>
      <c r="AR2276">
        <v>113</v>
      </c>
      <c r="AS2276">
        <v>-69</v>
      </c>
      <c r="AT2276">
        <v>128</v>
      </c>
      <c r="BB2276">
        <v>1200</v>
      </c>
      <c r="BC2276">
        <v>1</v>
      </c>
      <c r="BD2276" t="str">
        <f t="shared" si="803"/>
        <v xml:space="preserve">N887QR  </v>
      </c>
      <c r="BE2276">
        <v>1</v>
      </c>
      <c r="BJ2276">
        <v>2825</v>
      </c>
      <c r="BK2276">
        <v>-275</v>
      </c>
      <c r="BL2276" t="s">
        <v>163</v>
      </c>
      <c r="BM2276">
        <v>1</v>
      </c>
      <c r="BN2276">
        <v>1</v>
      </c>
      <c r="BO2276">
        <v>1</v>
      </c>
      <c r="BP2276">
        <v>0</v>
      </c>
      <c r="BS2276">
        <v>0.04</v>
      </c>
      <c r="BT2276">
        <v>0</v>
      </c>
      <c r="BU2276">
        <v>0</v>
      </c>
      <c r="CE2276" t="str">
        <f>"19:31:35.939"</f>
        <v>19:31:35.939</v>
      </c>
      <c r="CF2276">
        <v>939120623</v>
      </c>
      <c r="CS2276">
        <v>0</v>
      </c>
      <c r="CT2276">
        <v>2</v>
      </c>
      <c r="CU2276">
        <v>0</v>
      </c>
      <c r="CV2276">
        <v>2</v>
      </c>
      <c r="CW2276">
        <v>0</v>
      </c>
      <c r="CX2276">
        <v>5</v>
      </c>
      <c r="CY2276">
        <v>7</v>
      </c>
      <c r="CZ2276" t="s">
        <v>131</v>
      </c>
      <c r="DA2276">
        <v>300</v>
      </c>
      <c r="DB2276">
        <v>0</v>
      </c>
      <c r="DC2276" t="s">
        <v>176</v>
      </c>
      <c r="DD2276" t="s">
        <v>177</v>
      </c>
      <c r="DG2276">
        <v>5407631</v>
      </c>
      <c r="DI2276">
        <v>1</v>
      </c>
      <c r="DJ2276">
        <v>0</v>
      </c>
      <c r="DK2276">
        <v>0</v>
      </c>
      <c r="DL2276">
        <v>0</v>
      </c>
      <c r="DM2276">
        <v>0</v>
      </c>
      <c r="DN2276">
        <v>1</v>
      </c>
      <c r="DO2276">
        <v>0</v>
      </c>
      <c r="DP2276">
        <v>0</v>
      </c>
      <c r="DQ2276">
        <v>0</v>
      </c>
      <c r="DR2276">
        <v>0</v>
      </c>
      <c r="DS2276">
        <v>0</v>
      </c>
    </row>
    <row r="2277" spans="1:123" x14ac:dyDescent="0.3">
      <c r="A2277" t="str">
        <f>"10/04/2022 19:31:36.214"</f>
        <v>10/04/2022 19:31:36.214</v>
      </c>
      <c r="C2277" t="str">
        <f t="shared" si="791"/>
        <v>FFDDD3C0</v>
      </c>
      <c r="D2277" t="s">
        <v>147</v>
      </c>
      <c r="E2277">
        <v>3</v>
      </c>
      <c r="H2277">
        <v>166</v>
      </c>
      <c r="I2277" t="s">
        <v>144</v>
      </c>
      <c r="J2277" t="s">
        <v>148</v>
      </c>
      <c r="K2277">
        <v>0</v>
      </c>
      <c r="L2277">
        <v>3</v>
      </c>
      <c r="M2277">
        <v>0</v>
      </c>
      <c r="N2277">
        <v>2</v>
      </c>
      <c r="O2277">
        <v>0</v>
      </c>
      <c r="P2277">
        <v>1</v>
      </c>
      <c r="Q2277">
        <v>0</v>
      </c>
      <c r="S2277" t="str">
        <f t="shared" si="814"/>
        <v>19:31:35.000</v>
      </c>
      <c r="T2277" t="str">
        <f t="shared" si="814"/>
        <v>19:31:35.000</v>
      </c>
      <c r="U2277" t="str">
        <f t="shared" si="802"/>
        <v>AC3944</v>
      </c>
      <c r="V2277">
        <v>0</v>
      </c>
      <c r="W2277">
        <v>0</v>
      </c>
      <c r="X2277">
        <v>2</v>
      </c>
      <c r="Y2277">
        <v>0</v>
      </c>
      <c r="AA2277">
        <v>1</v>
      </c>
      <c r="AB2277">
        <v>8</v>
      </c>
      <c r="AC2277">
        <v>3</v>
      </c>
      <c r="AD2277">
        <v>0</v>
      </c>
      <c r="AE2277">
        <v>9</v>
      </c>
      <c r="AF2277" t="s">
        <v>138</v>
      </c>
      <c r="AG2277">
        <v>0</v>
      </c>
      <c r="AH2277">
        <v>3</v>
      </c>
      <c r="AI2277">
        <v>1</v>
      </c>
      <c r="AJ2277">
        <v>0</v>
      </c>
      <c r="AK2277" t="s">
        <v>790</v>
      </c>
      <c r="AL2277">
        <v>32.766337</v>
      </c>
      <c r="AM2277" t="s">
        <v>791</v>
      </c>
      <c r="AN2277">
        <v>-116.807671</v>
      </c>
      <c r="AO2277">
        <v>25</v>
      </c>
      <c r="AP2277">
        <v>3100</v>
      </c>
      <c r="AQ2277" t="s">
        <v>129</v>
      </c>
      <c r="AR2277">
        <v>113</v>
      </c>
      <c r="AS2277">
        <v>-69</v>
      </c>
      <c r="AT2277">
        <v>128</v>
      </c>
      <c r="BB2277">
        <v>1200</v>
      </c>
      <c r="BC2277">
        <v>1</v>
      </c>
      <c r="BD2277" t="str">
        <f t="shared" si="803"/>
        <v xml:space="preserve">N887QR  </v>
      </c>
      <c r="BE2277">
        <v>1</v>
      </c>
      <c r="BJ2277">
        <v>2825</v>
      </c>
      <c r="BK2277">
        <v>-275</v>
      </c>
      <c r="BL2277" t="s">
        <v>163</v>
      </c>
      <c r="BM2277">
        <v>1</v>
      </c>
      <c r="BN2277">
        <v>1</v>
      </c>
      <c r="BO2277">
        <v>1</v>
      </c>
      <c r="BP2277">
        <v>0</v>
      </c>
      <c r="BS2277">
        <v>0.04</v>
      </c>
      <c r="BT2277">
        <v>0</v>
      </c>
      <c r="BU2277">
        <v>0</v>
      </c>
      <c r="CE2277" t="str">
        <f>"19:31:35.939"</f>
        <v>19:31:35.939</v>
      </c>
      <c r="CF2277">
        <v>939120623</v>
      </c>
      <c r="CS2277">
        <v>0</v>
      </c>
      <c r="CT2277">
        <v>2</v>
      </c>
      <c r="CU2277">
        <v>0</v>
      </c>
      <c r="CV2277">
        <v>2</v>
      </c>
      <c r="CW2277">
        <v>0</v>
      </c>
      <c r="CX2277">
        <v>5</v>
      </c>
      <c r="CY2277">
        <v>7</v>
      </c>
      <c r="CZ2277" t="s">
        <v>131</v>
      </c>
      <c r="DA2277">
        <v>300</v>
      </c>
      <c r="DB2277">
        <v>0</v>
      </c>
      <c r="DC2277" t="s">
        <v>176</v>
      </c>
      <c r="DD2277" t="s">
        <v>177</v>
      </c>
      <c r="DG2277">
        <v>5407631</v>
      </c>
      <c r="DI2277">
        <v>1</v>
      </c>
      <c r="DJ2277">
        <v>0</v>
      </c>
      <c r="DK2277">
        <v>1</v>
      </c>
      <c r="DL2277">
        <v>0</v>
      </c>
      <c r="DM2277">
        <v>0</v>
      </c>
      <c r="DN2277">
        <v>1</v>
      </c>
      <c r="DO2277">
        <v>0</v>
      </c>
      <c r="DP2277">
        <v>0</v>
      </c>
      <c r="DQ2277">
        <v>0</v>
      </c>
      <c r="DR2277">
        <v>0</v>
      </c>
      <c r="DS2277">
        <v>0</v>
      </c>
    </row>
    <row r="2278" spans="1:123" x14ac:dyDescent="0.3">
      <c r="A2278" t="str">
        <f t="shared" ref="A2278:A2284" si="816">"10/04/2022 19:31:37.494"</f>
        <v>10/04/2022 19:31:37.494</v>
      </c>
      <c r="C2278" t="str">
        <f t="shared" si="791"/>
        <v>FFDDD3C0</v>
      </c>
      <c r="D2278" t="s">
        <v>143</v>
      </c>
      <c r="E2278">
        <v>20</v>
      </c>
      <c r="F2278">
        <v>1020</v>
      </c>
      <c r="G2278" t="s">
        <v>144</v>
      </c>
      <c r="J2278" t="s">
        <v>145</v>
      </c>
      <c r="K2278">
        <v>0</v>
      </c>
      <c r="L2278">
        <v>3</v>
      </c>
      <c r="M2278">
        <v>0</v>
      </c>
      <c r="N2278">
        <v>2</v>
      </c>
      <c r="O2278">
        <v>0</v>
      </c>
      <c r="P2278">
        <v>1</v>
      </c>
      <c r="Q2278">
        <v>0</v>
      </c>
      <c r="S2278" t="str">
        <f t="shared" ref="S2278:T2284" si="817">"19:31:37.000"</f>
        <v>19:31:37.000</v>
      </c>
      <c r="T2278" t="str">
        <f t="shared" si="817"/>
        <v>19:31:37.000</v>
      </c>
      <c r="U2278" t="str">
        <f t="shared" si="802"/>
        <v>AC3944</v>
      </c>
      <c r="V2278">
        <v>0</v>
      </c>
      <c r="W2278">
        <v>0</v>
      </c>
      <c r="X2278">
        <v>2</v>
      </c>
      <c r="Y2278">
        <v>0</v>
      </c>
      <c r="AA2278">
        <v>1</v>
      </c>
      <c r="AB2278">
        <v>8</v>
      </c>
      <c r="AC2278">
        <v>3</v>
      </c>
      <c r="AD2278">
        <v>0</v>
      </c>
      <c r="AE2278">
        <v>9</v>
      </c>
      <c r="AF2278" t="s">
        <v>138</v>
      </c>
      <c r="AG2278">
        <v>0</v>
      </c>
      <c r="AH2278">
        <v>3</v>
      </c>
      <c r="AI2278">
        <v>1</v>
      </c>
      <c r="AJ2278">
        <v>0</v>
      </c>
      <c r="AK2278" t="s">
        <v>792</v>
      </c>
      <c r="AL2278">
        <v>32.766016</v>
      </c>
      <c r="AM2278" t="s">
        <v>793</v>
      </c>
      <c r="AN2278">
        <v>-116.80704799999999</v>
      </c>
      <c r="AO2278">
        <v>25</v>
      </c>
      <c r="AP2278">
        <v>3100</v>
      </c>
      <c r="AQ2278" t="s">
        <v>129</v>
      </c>
      <c r="AR2278">
        <v>112</v>
      </c>
      <c r="AS2278">
        <v>-71</v>
      </c>
      <c r="AT2278">
        <v>64</v>
      </c>
      <c r="BB2278">
        <v>1200</v>
      </c>
      <c r="BC2278">
        <v>1</v>
      </c>
      <c r="BD2278" t="str">
        <f t="shared" si="803"/>
        <v xml:space="preserve">N887QR  </v>
      </c>
      <c r="BE2278">
        <v>1</v>
      </c>
      <c r="BJ2278">
        <v>2825</v>
      </c>
      <c r="BK2278">
        <v>-275</v>
      </c>
      <c r="BL2278" t="s">
        <v>163</v>
      </c>
      <c r="BM2278">
        <v>1</v>
      </c>
      <c r="BN2278">
        <v>1</v>
      </c>
      <c r="BO2278">
        <v>1</v>
      </c>
      <c r="BP2278">
        <v>0</v>
      </c>
      <c r="BS2278">
        <v>0.04</v>
      </c>
      <c r="BT2278">
        <v>0</v>
      </c>
      <c r="BU2278">
        <v>0</v>
      </c>
      <c r="CE2278" t="str">
        <f t="shared" ref="CE2278:CE2284" si="818">"19:31:37.163"</f>
        <v>19:31:37.163</v>
      </c>
      <c r="CF2278">
        <v>162874770</v>
      </c>
      <c r="CS2278">
        <v>0</v>
      </c>
      <c r="CT2278">
        <v>2</v>
      </c>
      <c r="CU2278">
        <v>0</v>
      </c>
      <c r="CV2278">
        <v>2</v>
      </c>
      <c r="CW2278">
        <v>0</v>
      </c>
      <c r="CX2278">
        <v>5</v>
      </c>
      <c r="CY2278">
        <v>7</v>
      </c>
      <c r="CZ2278" t="s">
        <v>131</v>
      </c>
      <c r="DA2278">
        <v>300</v>
      </c>
      <c r="DB2278">
        <v>0</v>
      </c>
      <c r="DC2278" t="s">
        <v>176</v>
      </c>
      <c r="DD2278" t="s">
        <v>177</v>
      </c>
      <c r="DG2278">
        <v>5407841</v>
      </c>
      <c r="DI2278">
        <v>1</v>
      </c>
      <c r="DJ2278">
        <v>0</v>
      </c>
      <c r="DK2278">
        <v>0</v>
      </c>
      <c r="DL2278">
        <v>0</v>
      </c>
      <c r="DM2278">
        <v>0</v>
      </c>
      <c r="DN2278">
        <v>1</v>
      </c>
      <c r="DO2278">
        <v>0</v>
      </c>
      <c r="DP2278">
        <v>0</v>
      </c>
      <c r="DQ2278">
        <v>0</v>
      </c>
      <c r="DR2278">
        <v>0</v>
      </c>
      <c r="DS2278">
        <v>0</v>
      </c>
    </row>
    <row r="2279" spans="1:123" x14ac:dyDescent="0.3">
      <c r="A2279" t="str">
        <f t="shared" si="816"/>
        <v>10/04/2022 19:31:37.494</v>
      </c>
      <c r="C2279" t="str">
        <f t="shared" ref="C2279:C2342" si="819">"FFDDD3C0"</f>
        <v>FFDDD3C0</v>
      </c>
      <c r="D2279" t="s">
        <v>123</v>
      </c>
      <c r="E2279">
        <v>7</v>
      </c>
      <c r="F2279">
        <v>2007</v>
      </c>
      <c r="G2279" t="s">
        <v>124</v>
      </c>
      <c r="J2279" t="s">
        <v>125</v>
      </c>
      <c r="K2279">
        <v>0</v>
      </c>
      <c r="L2279">
        <v>3</v>
      </c>
      <c r="M2279">
        <v>0</v>
      </c>
      <c r="N2279">
        <v>2</v>
      </c>
      <c r="O2279">
        <v>0</v>
      </c>
      <c r="P2279">
        <v>1</v>
      </c>
      <c r="Q2279">
        <v>0</v>
      </c>
      <c r="S2279" t="str">
        <f t="shared" si="817"/>
        <v>19:31:37.000</v>
      </c>
      <c r="T2279" t="str">
        <f t="shared" si="817"/>
        <v>19:31:37.000</v>
      </c>
      <c r="U2279" t="str">
        <f t="shared" si="802"/>
        <v>AC3944</v>
      </c>
      <c r="V2279">
        <v>0</v>
      </c>
      <c r="W2279">
        <v>0</v>
      </c>
      <c r="X2279">
        <v>2</v>
      </c>
      <c r="Y2279">
        <v>0</v>
      </c>
      <c r="AA2279">
        <v>1</v>
      </c>
      <c r="AB2279">
        <v>8</v>
      </c>
      <c r="AC2279">
        <v>3</v>
      </c>
      <c r="AD2279">
        <v>0</v>
      </c>
      <c r="AE2279">
        <v>9</v>
      </c>
      <c r="AF2279" t="s">
        <v>138</v>
      </c>
      <c r="AG2279">
        <v>0</v>
      </c>
      <c r="AH2279">
        <v>3</v>
      </c>
      <c r="AI2279">
        <v>1</v>
      </c>
      <c r="AJ2279">
        <v>0</v>
      </c>
      <c r="AK2279" t="s">
        <v>792</v>
      </c>
      <c r="AL2279">
        <v>32.766016</v>
      </c>
      <c r="AM2279" t="s">
        <v>793</v>
      </c>
      <c r="AN2279">
        <v>-116.80704799999999</v>
      </c>
      <c r="AO2279">
        <v>25</v>
      </c>
      <c r="AP2279">
        <v>3100</v>
      </c>
      <c r="AQ2279" t="s">
        <v>129</v>
      </c>
      <c r="AR2279">
        <v>112</v>
      </c>
      <c r="AS2279">
        <v>-71</v>
      </c>
      <c r="AT2279">
        <v>64</v>
      </c>
      <c r="BB2279">
        <v>1200</v>
      </c>
      <c r="BC2279">
        <v>1</v>
      </c>
      <c r="BD2279" t="str">
        <f t="shared" si="803"/>
        <v xml:space="preserve">N887QR  </v>
      </c>
      <c r="BE2279">
        <v>1</v>
      </c>
      <c r="BJ2279">
        <v>2825</v>
      </c>
      <c r="BK2279">
        <v>-275</v>
      </c>
      <c r="BL2279" t="s">
        <v>163</v>
      </c>
      <c r="BM2279">
        <v>1</v>
      </c>
      <c r="BN2279">
        <v>1</v>
      </c>
      <c r="BO2279">
        <v>1</v>
      </c>
      <c r="BP2279">
        <v>0</v>
      </c>
      <c r="BS2279">
        <v>0.04</v>
      </c>
      <c r="BT2279">
        <v>0</v>
      </c>
      <c r="BU2279">
        <v>0</v>
      </c>
      <c r="CE2279" t="str">
        <f t="shared" si="818"/>
        <v>19:31:37.163</v>
      </c>
      <c r="CF2279">
        <v>162874770</v>
      </c>
      <c r="CS2279">
        <v>0</v>
      </c>
      <c r="CT2279">
        <v>2</v>
      </c>
      <c r="CU2279">
        <v>0</v>
      </c>
      <c r="CV2279">
        <v>2</v>
      </c>
      <c r="CW2279">
        <v>0</v>
      </c>
      <c r="CX2279">
        <v>5</v>
      </c>
      <c r="CY2279">
        <v>7</v>
      </c>
      <c r="CZ2279" t="s">
        <v>131</v>
      </c>
      <c r="DA2279">
        <v>300</v>
      </c>
      <c r="DB2279">
        <v>0</v>
      </c>
      <c r="DC2279" t="s">
        <v>176</v>
      </c>
      <c r="DD2279" t="s">
        <v>177</v>
      </c>
      <c r="DG2279">
        <v>5407841</v>
      </c>
      <c r="DI2279">
        <v>1</v>
      </c>
      <c r="DJ2279">
        <v>0</v>
      </c>
      <c r="DK2279">
        <v>0</v>
      </c>
      <c r="DL2279">
        <v>0</v>
      </c>
      <c r="DM2279">
        <v>0</v>
      </c>
      <c r="DN2279">
        <v>1</v>
      </c>
      <c r="DO2279">
        <v>0</v>
      </c>
      <c r="DP2279">
        <v>0</v>
      </c>
      <c r="DQ2279">
        <v>0</v>
      </c>
      <c r="DR2279">
        <v>0</v>
      </c>
      <c r="DS2279">
        <v>0</v>
      </c>
    </row>
    <row r="2280" spans="1:123" x14ac:dyDescent="0.3">
      <c r="A2280" t="str">
        <f t="shared" si="816"/>
        <v>10/04/2022 19:31:37.494</v>
      </c>
      <c r="C2280" t="str">
        <f t="shared" si="819"/>
        <v>FFDDD3C0</v>
      </c>
      <c r="D2280" t="s">
        <v>141</v>
      </c>
      <c r="E2280">
        <v>4</v>
      </c>
      <c r="H2280">
        <v>4</v>
      </c>
      <c r="I2280" t="s">
        <v>142</v>
      </c>
      <c r="J2280" t="s">
        <v>138</v>
      </c>
      <c r="K2280">
        <v>0</v>
      </c>
      <c r="L2280">
        <v>3</v>
      </c>
      <c r="M2280">
        <v>0</v>
      </c>
      <c r="N2280">
        <v>2</v>
      </c>
      <c r="O2280">
        <v>0</v>
      </c>
      <c r="P2280">
        <v>1</v>
      </c>
      <c r="Q2280">
        <v>0</v>
      </c>
      <c r="S2280" t="str">
        <f t="shared" si="817"/>
        <v>19:31:37.000</v>
      </c>
      <c r="T2280" t="str">
        <f t="shared" si="817"/>
        <v>19:31:37.000</v>
      </c>
      <c r="U2280" t="str">
        <f t="shared" si="802"/>
        <v>AC3944</v>
      </c>
      <c r="V2280">
        <v>0</v>
      </c>
      <c r="W2280">
        <v>0</v>
      </c>
      <c r="X2280">
        <v>2</v>
      </c>
      <c r="Y2280">
        <v>0</v>
      </c>
      <c r="AA2280">
        <v>1</v>
      </c>
      <c r="AB2280">
        <v>8</v>
      </c>
      <c r="AC2280">
        <v>3</v>
      </c>
      <c r="AD2280">
        <v>0</v>
      </c>
      <c r="AE2280">
        <v>9</v>
      </c>
      <c r="AF2280" t="s">
        <v>138</v>
      </c>
      <c r="AG2280">
        <v>0</v>
      </c>
      <c r="AH2280">
        <v>3</v>
      </c>
      <c r="AI2280">
        <v>1</v>
      </c>
      <c r="AJ2280">
        <v>0</v>
      </c>
      <c r="AK2280" t="s">
        <v>792</v>
      </c>
      <c r="AL2280">
        <v>32.766016</v>
      </c>
      <c r="AM2280" t="s">
        <v>793</v>
      </c>
      <c r="AN2280">
        <v>-116.80704799999999</v>
      </c>
      <c r="AO2280">
        <v>25</v>
      </c>
      <c r="AP2280">
        <v>3100</v>
      </c>
      <c r="AQ2280" t="s">
        <v>129</v>
      </c>
      <c r="AR2280">
        <v>112</v>
      </c>
      <c r="AS2280">
        <v>-71</v>
      </c>
      <c r="AT2280">
        <v>64</v>
      </c>
      <c r="BB2280">
        <v>1200</v>
      </c>
      <c r="BC2280">
        <v>1</v>
      </c>
      <c r="BD2280" t="str">
        <f t="shared" si="803"/>
        <v xml:space="preserve">N887QR  </v>
      </c>
      <c r="BE2280">
        <v>1</v>
      </c>
      <c r="BJ2280">
        <v>2825</v>
      </c>
      <c r="BK2280">
        <v>-275</v>
      </c>
      <c r="BL2280" t="s">
        <v>163</v>
      </c>
      <c r="BM2280">
        <v>1</v>
      </c>
      <c r="BN2280">
        <v>1</v>
      </c>
      <c r="BO2280">
        <v>1</v>
      </c>
      <c r="BP2280">
        <v>0</v>
      </c>
      <c r="BS2280">
        <v>0.04</v>
      </c>
      <c r="BT2280">
        <v>0</v>
      </c>
      <c r="BU2280">
        <v>0</v>
      </c>
      <c r="CE2280" t="str">
        <f t="shared" si="818"/>
        <v>19:31:37.163</v>
      </c>
      <c r="CF2280">
        <v>162874770</v>
      </c>
      <c r="CS2280">
        <v>0</v>
      </c>
      <c r="CT2280">
        <v>2</v>
      </c>
      <c r="CU2280">
        <v>0</v>
      </c>
      <c r="CV2280">
        <v>2</v>
      </c>
      <c r="CW2280">
        <v>0</v>
      </c>
      <c r="CX2280">
        <v>5</v>
      </c>
      <c r="CY2280">
        <v>7</v>
      </c>
      <c r="CZ2280" t="s">
        <v>131</v>
      </c>
      <c r="DA2280">
        <v>300</v>
      </c>
      <c r="DB2280">
        <v>0</v>
      </c>
      <c r="DC2280" t="s">
        <v>176</v>
      </c>
      <c r="DD2280" t="s">
        <v>177</v>
      </c>
      <c r="DG2280">
        <v>5407841</v>
      </c>
      <c r="DI2280">
        <v>1</v>
      </c>
      <c r="DJ2280">
        <v>0</v>
      </c>
      <c r="DK2280">
        <v>1</v>
      </c>
      <c r="DL2280">
        <v>0</v>
      </c>
      <c r="DM2280">
        <v>0</v>
      </c>
      <c r="DN2280">
        <v>1</v>
      </c>
      <c r="DO2280">
        <v>0</v>
      </c>
      <c r="DP2280">
        <v>0</v>
      </c>
      <c r="DQ2280">
        <v>0</v>
      </c>
      <c r="DR2280">
        <v>0</v>
      </c>
      <c r="DS2280">
        <v>0</v>
      </c>
    </row>
    <row r="2281" spans="1:123" x14ac:dyDescent="0.3">
      <c r="A2281" t="str">
        <f t="shared" si="816"/>
        <v>10/04/2022 19:31:37.494</v>
      </c>
      <c r="C2281" t="str">
        <f t="shared" si="819"/>
        <v>FFDDD3C0</v>
      </c>
      <c r="D2281" t="s">
        <v>147</v>
      </c>
      <c r="E2281">
        <v>3</v>
      </c>
      <c r="H2281">
        <v>166</v>
      </c>
      <c r="I2281" t="s">
        <v>144</v>
      </c>
      <c r="J2281" t="s">
        <v>148</v>
      </c>
      <c r="K2281">
        <v>0</v>
      </c>
      <c r="L2281">
        <v>3</v>
      </c>
      <c r="M2281">
        <v>0</v>
      </c>
      <c r="N2281">
        <v>2</v>
      </c>
      <c r="O2281">
        <v>0</v>
      </c>
      <c r="P2281">
        <v>1</v>
      </c>
      <c r="Q2281">
        <v>0</v>
      </c>
      <c r="S2281" t="str">
        <f t="shared" si="817"/>
        <v>19:31:37.000</v>
      </c>
      <c r="T2281" t="str">
        <f t="shared" si="817"/>
        <v>19:31:37.000</v>
      </c>
      <c r="U2281" t="str">
        <f t="shared" si="802"/>
        <v>AC3944</v>
      </c>
      <c r="V2281">
        <v>0</v>
      </c>
      <c r="W2281">
        <v>0</v>
      </c>
      <c r="X2281">
        <v>2</v>
      </c>
      <c r="Y2281">
        <v>0</v>
      </c>
      <c r="AA2281">
        <v>1</v>
      </c>
      <c r="AB2281">
        <v>8</v>
      </c>
      <c r="AC2281">
        <v>3</v>
      </c>
      <c r="AD2281">
        <v>0</v>
      </c>
      <c r="AE2281">
        <v>9</v>
      </c>
      <c r="AF2281" t="s">
        <v>138</v>
      </c>
      <c r="AG2281">
        <v>0</v>
      </c>
      <c r="AH2281">
        <v>3</v>
      </c>
      <c r="AI2281">
        <v>1</v>
      </c>
      <c r="AJ2281">
        <v>0</v>
      </c>
      <c r="AK2281" t="s">
        <v>792</v>
      </c>
      <c r="AL2281">
        <v>32.766016</v>
      </c>
      <c r="AM2281" t="s">
        <v>793</v>
      </c>
      <c r="AN2281">
        <v>-116.80704799999999</v>
      </c>
      <c r="AO2281">
        <v>25</v>
      </c>
      <c r="AP2281">
        <v>3100</v>
      </c>
      <c r="AQ2281" t="s">
        <v>129</v>
      </c>
      <c r="AR2281">
        <v>112</v>
      </c>
      <c r="AS2281">
        <v>-71</v>
      </c>
      <c r="AT2281">
        <v>64</v>
      </c>
      <c r="BB2281">
        <v>1200</v>
      </c>
      <c r="BC2281">
        <v>1</v>
      </c>
      <c r="BD2281" t="str">
        <f t="shared" si="803"/>
        <v xml:space="preserve">N887QR  </v>
      </c>
      <c r="BE2281">
        <v>1</v>
      </c>
      <c r="BJ2281">
        <v>2825</v>
      </c>
      <c r="BK2281">
        <v>-275</v>
      </c>
      <c r="BL2281" t="s">
        <v>163</v>
      </c>
      <c r="BM2281">
        <v>1</v>
      </c>
      <c r="BN2281">
        <v>1</v>
      </c>
      <c r="BO2281">
        <v>1</v>
      </c>
      <c r="BP2281">
        <v>0</v>
      </c>
      <c r="BS2281">
        <v>0.04</v>
      </c>
      <c r="BT2281">
        <v>0</v>
      </c>
      <c r="BU2281">
        <v>0</v>
      </c>
      <c r="CE2281" t="str">
        <f t="shared" si="818"/>
        <v>19:31:37.163</v>
      </c>
      <c r="CF2281">
        <v>162874770</v>
      </c>
      <c r="CS2281">
        <v>0</v>
      </c>
      <c r="CT2281">
        <v>2</v>
      </c>
      <c r="CU2281">
        <v>0</v>
      </c>
      <c r="CV2281">
        <v>2</v>
      </c>
      <c r="CW2281">
        <v>0</v>
      </c>
      <c r="CX2281">
        <v>5</v>
      </c>
      <c r="CY2281">
        <v>7</v>
      </c>
      <c r="CZ2281" t="s">
        <v>131</v>
      </c>
      <c r="DA2281">
        <v>300</v>
      </c>
      <c r="DB2281">
        <v>0</v>
      </c>
      <c r="DC2281" t="s">
        <v>176</v>
      </c>
      <c r="DD2281" t="s">
        <v>177</v>
      </c>
      <c r="DG2281">
        <v>5407841</v>
      </c>
      <c r="DI2281">
        <v>1</v>
      </c>
      <c r="DJ2281">
        <v>0</v>
      </c>
      <c r="DK2281">
        <v>1</v>
      </c>
      <c r="DL2281">
        <v>0</v>
      </c>
      <c r="DM2281">
        <v>0</v>
      </c>
      <c r="DN2281">
        <v>1</v>
      </c>
      <c r="DO2281">
        <v>0</v>
      </c>
      <c r="DP2281">
        <v>0</v>
      </c>
      <c r="DQ2281">
        <v>0</v>
      </c>
      <c r="DR2281">
        <v>0</v>
      </c>
      <c r="DS2281">
        <v>0</v>
      </c>
    </row>
    <row r="2282" spans="1:123" x14ac:dyDescent="0.3">
      <c r="A2282" t="str">
        <f t="shared" si="816"/>
        <v>10/04/2022 19:31:37.494</v>
      </c>
      <c r="C2282" t="str">
        <f t="shared" si="819"/>
        <v>FFDDD3C0</v>
      </c>
      <c r="D2282" t="s">
        <v>136</v>
      </c>
      <c r="E2282">
        <v>8</v>
      </c>
      <c r="H2282">
        <v>225</v>
      </c>
      <c r="I2282" t="s">
        <v>137</v>
      </c>
      <c r="J2282" t="s">
        <v>138</v>
      </c>
      <c r="K2282">
        <v>0</v>
      </c>
      <c r="L2282">
        <v>3</v>
      </c>
      <c r="M2282">
        <v>0</v>
      </c>
      <c r="N2282">
        <v>2</v>
      </c>
      <c r="O2282">
        <v>0</v>
      </c>
      <c r="P2282">
        <v>1</v>
      </c>
      <c r="Q2282">
        <v>0</v>
      </c>
      <c r="S2282" t="str">
        <f t="shared" si="817"/>
        <v>19:31:37.000</v>
      </c>
      <c r="T2282" t="str">
        <f t="shared" si="817"/>
        <v>19:31:37.000</v>
      </c>
      <c r="U2282" t="str">
        <f t="shared" si="802"/>
        <v>AC3944</v>
      </c>
      <c r="V2282">
        <v>0</v>
      </c>
      <c r="W2282">
        <v>0</v>
      </c>
      <c r="X2282">
        <v>2</v>
      </c>
      <c r="Y2282">
        <v>0</v>
      </c>
      <c r="AA2282">
        <v>1</v>
      </c>
      <c r="AB2282">
        <v>8</v>
      </c>
      <c r="AC2282">
        <v>3</v>
      </c>
      <c r="AD2282">
        <v>0</v>
      </c>
      <c r="AE2282">
        <v>9</v>
      </c>
      <c r="AF2282" t="s">
        <v>138</v>
      </c>
      <c r="AG2282">
        <v>0</v>
      </c>
      <c r="AH2282">
        <v>3</v>
      </c>
      <c r="AI2282">
        <v>1</v>
      </c>
      <c r="AJ2282">
        <v>0</v>
      </c>
      <c r="AK2282" t="s">
        <v>792</v>
      </c>
      <c r="AL2282">
        <v>32.766016</v>
      </c>
      <c r="AM2282" t="s">
        <v>793</v>
      </c>
      <c r="AN2282">
        <v>-116.80704799999999</v>
      </c>
      <c r="AO2282">
        <v>25</v>
      </c>
      <c r="AP2282">
        <v>3100</v>
      </c>
      <c r="AQ2282" t="s">
        <v>129</v>
      </c>
      <c r="AR2282">
        <v>112</v>
      </c>
      <c r="AS2282">
        <v>-71</v>
      </c>
      <c r="AT2282">
        <v>64</v>
      </c>
      <c r="BB2282">
        <v>1200</v>
      </c>
      <c r="BC2282">
        <v>1</v>
      </c>
      <c r="BD2282" t="str">
        <f t="shared" si="803"/>
        <v xml:space="preserve">N887QR  </v>
      </c>
      <c r="BE2282">
        <v>1</v>
      </c>
      <c r="BJ2282">
        <v>2825</v>
      </c>
      <c r="BK2282">
        <v>-275</v>
      </c>
      <c r="BL2282" t="s">
        <v>163</v>
      </c>
      <c r="BM2282">
        <v>1</v>
      </c>
      <c r="BN2282">
        <v>1</v>
      </c>
      <c r="BO2282">
        <v>1</v>
      </c>
      <c r="BP2282">
        <v>0</v>
      </c>
      <c r="BS2282">
        <v>0.04</v>
      </c>
      <c r="BT2282">
        <v>0</v>
      </c>
      <c r="BU2282">
        <v>0</v>
      </c>
      <c r="CE2282" t="str">
        <f t="shared" si="818"/>
        <v>19:31:37.163</v>
      </c>
      <c r="CF2282">
        <v>162874770</v>
      </c>
      <c r="CS2282">
        <v>0</v>
      </c>
      <c r="CT2282">
        <v>2</v>
      </c>
      <c r="CU2282">
        <v>0</v>
      </c>
      <c r="CV2282">
        <v>2</v>
      </c>
      <c r="CW2282">
        <v>0</v>
      </c>
      <c r="CX2282">
        <v>5</v>
      </c>
      <c r="CY2282">
        <v>7</v>
      </c>
      <c r="CZ2282" t="s">
        <v>131</v>
      </c>
      <c r="DA2282">
        <v>300</v>
      </c>
      <c r="DB2282">
        <v>0</v>
      </c>
      <c r="DC2282" t="s">
        <v>176</v>
      </c>
      <c r="DD2282" t="s">
        <v>177</v>
      </c>
      <c r="DG2282">
        <v>5407841</v>
      </c>
      <c r="DI2282">
        <v>1</v>
      </c>
      <c r="DJ2282">
        <v>0</v>
      </c>
      <c r="DK2282">
        <v>1</v>
      </c>
      <c r="DL2282">
        <v>0</v>
      </c>
      <c r="DM2282">
        <v>0</v>
      </c>
      <c r="DN2282">
        <v>1</v>
      </c>
      <c r="DO2282">
        <v>0</v>
      </c>
      <c r="DP2282">
        <v>0</v>
      </c>
      <c r="DQ2282">
        <v>0</v>
      </c>
      <c r="DR2282">
        <v>0</v>
      </c>
      <c r="DS2282">
        <v>0</v>
      </c>
    </row>
    <row r="2283" spans="1:123" x14ac:dyDescent="0.3">
      <c r="A2283" t="str">
        <f t="shared" si="816"/>
        <v>10/04/2022 19:31:37.494</v>
      </c>
      <c r="C2283" t="str">
        <f t="shared" si="819"/>
        <v>FFDDD3C0</v>
      </c>
      <c r="D2283" t="s">
        <v>141</v>
      </c>
      <c r="E2283">
        <v>3</v>
      </c>
      <c r="H2283">
        <v>3</v>
      </c>
      <c r="I2283" t="s">
        <v>146</v>
      </c>
      <c r="J2283" t="s">
        <v>138</v>
      </c>
      <c r="K2283">
        <v>0</v>
      </c>
      <c r="L2283">
        <v>3</v>
      </c>
      <c r="M2283">
        <v>0</v>
      </c>
      <c r="N2283">
        <v>2</v>
      </c>
      <c r="O2283">
        <v>0</v>
      </c>
      <c r="P2283">
        <v>1</v>
      </c>
      <c r="Q2283">
        <v>0</v>
      </c>
      <c r="S2283" t="str">
        <f t="shared" si="817"/>
        <v>19:31:37.000</v>
      </c>
      <c r="T2283" t="str">
        <f t="shared" si="817"/>
        <v>19:31:37.000</v>
      </c>
      <c r="U2283" t="str">
        <f t="shared" si="802"/>
        <v>AC3944</v>
      </c>
      <c r="V2283">
        <v>0</v>
      </c>
      <c r="W2283">
        <v>0</v>
      </c>
      <c r="X2283">
        <v>2</v>
      </c>
      <c r="Y2283">
        <v>0</v>
      </c>
      <c r="AA2283">
        <v>1</v>
      </c>
      <c r="AB2283">
        <v>8</v>
      </c>
      <c r="AC2283">
        <v>3</v>
      </c>
      <c r="AD2283">
        <v>0</v>
      </c>
      <c r="AE2283">
        <v>9</v>
      </c>
      <c r="AF2283" t="s">
        <v>138</v>
      </c>
      <c r="AG2283">
        <v>0</v>
      </c>
      <c r="AH2283">
        <v>3</v>
      </c>
      <c r="AI2283">
        <v>1</v>
      </c>
      <c r="AJ2283">
        <v>0</v>
      </c>
      <c r="AK2283" t="s">
        <v>792</v>
      </c>
      <c r="AL2283">
        <v>32.766016</v>
      </c>
      <c r="AM2283" t="s">
        <v>793</v>
      </c>
      <c r="AN2283">
        <v>-116.80704799999999</v>
      </c>
      <c r="AO2283">
        <v>25</v>
      </c>
      <c r="AP2283">
        <v>3100</v>
      </c>
      <c r="AQ2283" t="s">
        <v>129</v>
      </c>
      <c r="AR2283">
        <v>112</v>
      </c>
      <c r="AS2283">
        <v>-71</v>
      </c>
      <c r="AT2283">
        <v>64</v>
      </c>
      <c r="BB2283">
        <v>1200</v>
      </c>
      <c r="BC2283">
        <v>1</v>
      </c>
      <c r="BD2283" t="str">
        <f t="shared" si="803"/>
        <v xml:space="preserve">N887QR  </v>
      </c>
      <c r="BE2283">
        <v>1</v>
      </c>
      <c r="BJ2283">
        <v>2825</v>
      </c>
      <c r="BK2283">
        <v>-275</v>
      </c>
      <c r="BL2283" t="s">
        <v>163</v>
      </c>
      <c r="BM2283">
        <v>1</v>
      </c>
      <c r="BN2283">
        <v>1</v>
      </c>
      <c r="BO2283">
        <v>1</v>
      </c>
      <c r="BP2283">
        <v>0</v>
      </c>
      <c r="BS2283">
        <v>0.04</v>
      </c>
      <c r="BT2283">
        <v>0</v>
      </c>
      <c r="BU2283">
        <v>0</v>
      </c>
      <c r="CE2283" t="str">
        <f t="shared" si="818"/>
        <v>19:31:37.163</v>
      </c>
      <c r="CF2283">
        <v>162874770</v>
      </c>
      <c r="CS2283">
        <v>0</v>
      </c>
      <c r="CT2283">
        <v>2</v>
      </c>
      <c r="CU2283">
        <v>0</v>
      </c>
      <c r="CV2283">
        <v>2</v>
      </c>
      <c r="CW2283">
        <v>0</v>
      </c>
      <c r="CX2283">
        <v>5</v>
      </c>
      <c r="CY2283">
        <v>7</v>
      </c>
      <c r="CZ2283" t="s">
        <v>131</v>
      </c>
      <c r="DA2283">
        <v>300</v>
      </c>
      <c r="DB2283">
        <v>0</v>
      </c>
      <c r="DC2283" t="s">
        <v>176</v>
      </c>
      <c r="DD2283" t="s">
        <v>177</v>
      </c>
      <c r="DG2283">
        <v>5407841</v>
      </c>
      <c r="DI2283">
        <v>1</v>
      </c>
      <c r="DJ2283">
        <v>0</v>
      </c>
      <c r="DK2283">
        <v>1</v>
      </c>
      <c r="DL2283">
        <v>0</v>
      </c>
      <c r="DM2283">
        <v>0</v>
      </c>
      <c r="DN2283">
        <v>1</v>
      </c>
      <c r="DO2283">
        <v>0</v>
      </c>
      <c r="DP2283">
        <v>0</v>
      </c>
      <c r="DQ2283">
        <v>0</v>
      </c>
      <c r="DR2283">
        <v>0</v>
      </c>
      <c r="DS2283">
        <v>0</v>
      </c>
    </row>
    <row r="2284" spans="1:123" x14ac:dyDescent="0.3">
      <c r="A2284" t="str">
        <f t="shared" si="816"/>
        <v>10/04/2022 19:31:37.494</v>
      </c>
      <c r="C2284" t="str">
        <f t="shared" si="819"/>
        <v>FFDDD3C0</v>
      </c>
      <c r="D2284" t="s">
        <v>134</v>
      </c>
      <c r="E2284">
        <v>15</v>
      </c>
      <c r="J2284" t="s">
        <v>135</v>
      </c>
      <c r="K2284">
        <v>0</v>
      </c>
      <c r="L2284">
        <v>3</v>
      </c>
      <c r="M2284">
        <v>0</v>
      </c>
      <c r="N2284">
        <v>2</v>
      </c>
      <c r="O2284">
        <v>0</v>
      </c>
      <c r="P2284">
        <v>1</v>
      </c>
      <c r="Q2284">
        <v>0</v>
      </c>
      <c r="S2284" t="str">
        <f t="shared" si="817"/>
        <v>19:31:37.000</v>
      </c>
      <c r="T2284" t="str">
        <f t="shared" si="817"/>
        <v>19:31:37.000</v>
      </c>
      <c r="U2284" t="str">
        <f t="shared" si="802"/>
        <v>AC3944</v>
      </c>
      <c r="V2284">
        <v>0</v>
      </c>
      <c r="W2284">
        <v>0</v>
      </c>
      <c r="X2284">
        <v>2</v>
      </c>
      <c r="Y2284">
        <v>0</v>
      </c>
      <c r="AA2284">
        <v>1</v>
      </c>
      <c r="AB2284">
        <v>8</v>
      </c>
      <c r="AC2284">
        <v>3</v>
      </c>
      <c r="AD2284">
        <v>0</v>
      </c>
      <c r="AE2284">
        <v>9</v>
      </c>
      <c r="AF2284" t="s">
        <v>138</v>
      </c>
      <c r="AG2284">
        <v>0</v>
      </c>
      <c r="AH2284">
        <v>3</v>
      </c>
      <c r="AI2284">
        <v>1</v>
      </c>
      <c r="AJ2284">
        <v>0</v>
      </c>
      <c r="AK2284" t="s">
        <v>792</v>
      </c>
      <c r="AL2284">
        <v>32.766016</v>
      </c>
      <c r="AM2284" t="s">
        <v>793</v>
      </c>
      <c r="AN2284">
        <v>-116.80704799999999</v>
      </c>
      <c r="AO2284">
        <v>25</v>
      </c>
      <c r="AP2284">
        <v>3100</v>
      </c>
      <c r="AQ2284" t="s">
        <v>129</v>
      </c>
      <c r="AR2284">
        <v>112</v>
      </c>
      <c r="AS2284">
        <v>-71</v>
      </c>
      <c r="AT2284">
        <v>64</v>
      </c>
      <c r="BB2284">
        <v>1200</v>
      </c>
      <c r="BC2284">
        <v>1</v>
      </c>
      <c r="BD2284" t="str">
        <f t="shared" si="803"/>
        <v xml:space="preserve">N887QR  </v>
      </c>
      <c r="BE2284">
        <v>1</v>
      </c>
      <c r="BJ2284">
        <v>2825</v>
      </c>
      <c r="BK2284">
        <v>-275</v>
      </c>
      <c r="BL2284" t="s">
        <v>163</v>
      </c>
      <c r="BM2284">
        <v>1</v>
      </c>
      <c r="BN2284">
        <v>1</v>
      </c>
      <c r="BO2284">
        <v>1</v>
      </c>
      <c r="BP2284">
        <v>0</v>
      </c>
      <c r="BS2284">
        <v>0.04</v>
      </c>
      <c r="BT2284">
        <v>0</v>
      </c>
      <c r="BU2284">
        <v>0</v>
      </c>
      <c r="CE2284" t="str">
        <f t="shared" si="818"/>
        <v>19:31:37.163</v>
      </c>
      <c r="CF2284">
        <v>162874770</v>
      </c>
      <c r="CS2284">
        <v>0</v>
      </c>
      <c r="CT2284">
        <v>2</v>
      </c>
      <c r="CU2284">
        <v>0</v>
      </c>
      <c r="CV2284">
        <v>2</v>
      </c>
      <c r="CW2284">
        <v>0</v>
      </c>
      <c r="CX2284">
        <v>5</v>
      </c>
      <c r="CY2284">
        <v>7</v>
      </c>
      <c r="CZ2284" t="s">
        <v>131</v>
      </c>
      <c r="DA2284">
        <v>300</v>
      </c>
      <c r="DB2284">
        <v>0</v>
      </c>
      <c r="DC2284" t="s">
        <v>176</v>
      </c>
      <c r="DD2284" t="s">
        <v>177</v>
      </c>
      <c r="DG2284">
        <v>5407841</v>
      </c>
      <c r="DI2284">
        <v>1</v>
      </c>
      <c r="DJ2284">
        <v>0</v>
      </c>
      <c r="DK2284">
        <v>1</v>
      </c>
      <c r="DL2284">
        <v>0</v>
      </c>
      <c r="DM2284">
        <v>0</v>
      </c>
      <c r="DN2284">
        <v>1</v>
      </c>
      <c r="DO2284">
        <v>0</v>
      </c>
      <c r="DP2284">
        <v>0</v>
      </c>
      <c r="DQ2284">
        <v>0</v>
      </c>
      <c r="DR2284">
        <v>0</v>
      </c>
      <c r="DS2284">
        <v>0</v>
      </c>
    </row>
    <row r="2285" spans="1:123" x14ac:dyDescent="0.3">
      <c r="A2285" t="str">
        <f>"10/04/2022 19:31:38.541"</f>
        <v>10/04/2022 19:31:38.541</v>
      </c>
      <c r="C2285" t="str">
        <f t="shared" si="819"/>
        <v>FFDDD3C0</v>
      </c>
      <c r="D2285" t="s">
        <v>136</v>
      </c>
      <c r="E2285">
        <v>8</v>
      </c>
      <c r="H2285">
        <v>225</v>
      </c>
      <c r="I2285" t="s">
        <v>137</v>
      </c>
      <c r="J2285" t="s">
        <v>138</v>
      </c>
      <c r="K2285">
        <v>0</v>
      </c>
      <c r="L2285">
        <v>3</v>
      </c>
      <c r="M2285">
        <v>0</v>
      </c>
      <c r="N2285">
        <v>2</v>
      </c>
      <c r="O2285">
        <v>0</v>
      </c>
      <c r="P2285">
        <v>1</v>
      </c>
      <c r="Q2285">
        <v>0</v>
      </c>
      <c r="S2285" t="str">
        <f t="shared" ref="S2285:T2296" si="820">"19:31:38.000"</f>
        <v>19:31:38.000</v>
      </c>
      <c r="T2285" t="str">
        <f t="shared" si="820"/>
        <v>19:31:38.000</v>
      </c>
      <c r="U2285" t="str">
        <f t="shared" si="802"/>
        <v>AC3944</v>
      </c>
      <c r="V2285">
        <v>0</v>
      </c>
      <c r="W2285">
        <v>0</v>
      </c>
      <c r="X2285">
        <v>2</v>
      </c>
      <c r="Y2285">
        <v>0</v>
      </c>
      <c r="AA2285">
        <v>1</v>
      </c>
      <c r="AB2285">
        <v>8</v>
      </c>
      <c r="AC2285">
        <v>3</v>
      </c>
      <c r="AD2285">
        <v>0</v>
      </c>
      <c r="AE2285">
        <v>9</v>
      </c>
      <c r="AF2285" t="s">
        <v>138</v>
      </c>
      <c r="AG2285">
        <v>0</v>
      </c>
      <c r="AH2285">
        <v>3</v>
      </c>
      <c r="AI2285">
        <v>1</v>
      </c>
      <c r="AJ2285">
        <v>0</v>
      </c>
      <c r="AK2285" t="s">
        <v>794</v>
      </c>
      <c r="AL2285">
        <v>32.765694000000003</v>
      </c>
      <c r="AM2285" t="s">
        <v>795</v>
      </c>
      <c r="AN2285">
        <v>-116.806426</v>
      </c>
      <c r="AO2285">
        <v>25</v>
      </c>
      <c r="AP2285">
        <v>3100</v>
      </c>
      <c r="AQ2285" t="s">
        <v>129</v>
      </c>
      <c r="AR2285">
        <v>111</v>
      </c>
      <c r="AS2285">
        <v>-73</v>
      </c>
      <c r="AT2285">
        <v>0</v>
      </c>
      <c r="BB2285">
        <v>1200</v>
      </c>
      <c r="BC2285">
        <v>1</v>
      </c>
      <c r="BD2285" t="str">
        <f t="shared" si="803"/>
        <v xml:space="preserve">N887QR  </v>
      </c>
      <c r="BE2285">
        <v>1</v>
      </c>
      <c r="BJ2285">
        <v>2800</v>
      </c>
      <c r="BK2285">
        <v>-300</v>
      </c>
      <c r="BL2285" t="s">
        <v>163</v>
      </c>
      <c r="BM2285">
        <v>1</v>
      </c>
      <c r="BN2285">
        <v>1</v>
      </c>
      <c r="BO2285">
        <v>1</v>
      </c>
      <c r="BP2285">
        <v>0</v>
      </c>
      <c r="BS2285">
        <v>0.04</v>
      </c>
      <c r="BT2285">
        <v>0</v>
      </c>
      <c r="BU2285">
        <v>0</v>
      </c>
      <c r="CE2285" t="str">
        <f>"19:31:38.165"</f>
        <v>19:31:38.165</v>
      </c>
      <c r="CF2285">
        <v>165378124</v>
      </c>
      <c r="CS2285">
        <v>0</v>
      </c>
      <c r="CT2285">
        <v>2</v>
      </c>
      <c r="CU2285">
        <v>0</v>
      </c>
      <c r="CV2285">
        <v>2</v>
      </c>
      <c r="CW2285">
        <v>0</v>
      </c>
      <c r="CX2285">
        <v>5</v>
      </c>
      <c r="CY2285">
        <v>7</v>
      </c>
      <c r="CZ2285" t="s">
        <v>131</v>
      </c>
      <c r="DA2285">
        <v>300</v>
      </c>
      <c r="DB2285">
        <v>0</v>
      </c>
      <c r="DC2285" t="s">
        <v>176</v>
      </c>
      <c r="DD2285" t="s">
        <v>177</v>
      </c>
      <c r="DG2285">
        <v>5407991</v>
      </c>
      <c r="DI2285">
        <v>1</v>
      </c>
      <c r="DJ2285">
        <v>0</v>
      </c>
      <c r="DK2285">
        <v>0</v>
      </c>
      <c r="DL2285">
        <v>0</v>
      </c>
      <c r="DM2285">
        <v>0</v>
      </c>
      <c r="DN2285">
        <v>1</v>
      </c>
      <c r="DO2285">
        <v>0</v>
      </c>
      <c r="DP2285">
        <v>0</v>
      </c>
      <c r="DQ2285">
        <v>0</v>
      </c>
      <c r="DR2285">
        <v>0</v>
      </c>
      <c r="DS2285">
        <v>0</v>
      </c>
    </row>
    <row r="2286" spans="1:123" x14ac:dyDescent="0.3">
      <c r="A2286" t="str">
        <f>"10/04/2022 19:31:38.541"</f>
        <v>10/04/2022 19:31:38.541</v>
      </c>
      <c r="C2286" t="str">
        <f t="shared" si="819"/>
        <v>FFDDD3C0</v>
      </c>
      <c r="D2286" t="s">
        <v>141</v>
      </c>
      <c r="E2286">
        <v>3</v>
      </c>
      <c r="H2286">
        <v>3</v>
      </c>
      <c r="I2286" t="s">
        <v>146</v>
      </c>
      <c r="J2286" t="s">
        <v>138</v>
      </c>
      <c r="K2286">
        <v>0</v>
      </c>
      <c r="L2286">
        <v>3</v>
      </c>
      <c r="M2286">
        <v>0</v>
      </c>
      <c r="N2286">
        <v>2</v>
      </c>
      <c r="O2286">
        <v>0</v>
      </c>
      <c r="P2286">
        <v>1</v>
      </c>
      <c r="Q2286">
        <v>0</v>
      </c>
      <c r="S2286" t="str">
        <f t="shared" si="820"/>
        <v>19:31:38.000</v>
      </c>
      <c r="T2286" t="str">
        <f t="shared" si="820"/>
        <v>19:31:38.000</v>
      </c>
      <c r="U2286" t="str">
        <f t="shared" si="802"/>
        <v>AC3944</v>
      </c>
      <c r="V2286">
        <v>0</v>
      </c>
      <c r="W2286">
        <v>0</v>
      </c>
      <c r="X2286">
        <v>2</v>
      </c>
      <c r="Y2286">
        <v>0</v>
      </c>
      <c r="AA2286">
        <v>1</v>
      </c>
      <c r="AB2286">
        <v>8</v>
      </c>
      <c r="AC2286">
        <v>3</v>
      </c>
      <c r="AD2286">
        <v>0</v>
      </c>
      <c r="AE2286">
        <v>9</v>
      </c>
      <c r="AF2286" t="s">
        <v>138</v>
      </c>
      <c r="AG2286">
        <v>0</v>
      </c>
      <c r="AH2286">
        <v>3</v>
      </c>
      <c r="AI2286">
        <v>1</v>
      </c>
      <c r="AJ2286">
        <v>0</v>
      </c>
      <c r="AK2286" t="s">
        <v>794</v>
      </c>
      <c r="AL2286">
        <v>32.765694000000003</v>
      </c>
      <c r="AM2286" t="s">
        <v>795</v>
      </c>
      <c r="AN2286">
        <v>-116.806426</v>
      </c>
      <c r="AO2286">
        <v>25</v>
      </c>
      <c r="AP2286">
        <v>3100</v>
      </c>
      <c r="AQ2286" t="s">
        <v>129</v>
      </c>
      <c r="AR2286">
        <v>111</v>
      </c>
      <c r="AS2286">
        <v>-73</v>
      </c>
      <c r="AT2286">
        <v>0</v>
      </c>
      <c r="BB2286">
        <v>1200</v>
      </c>
      <c r="BC2286">
        <v>1</v>
      </c>
      <c r="BD2286" t="str">
        <f t="shared" si="803"/>
        <v xml:space="preserve">N887QR  </v>
      </c>
      <c r="BE2286">
        <v>1</v>
      </c>
      <c r="BJ2286">
        <v>2800</v>
      </c>
      <c r="BK2286">
        <v>-300</v>
      </c>
      <c r="BL2286" t="s">
        <v>163</v>
      </c>
      <c r="BM2286">
        <v>1</v>
      </c>
      <c r="BN2286">
        <v>1</v>
      </c>
      <c r="BO2286">
        <v>1</v>
      </c>
      <c r="BP2286">
        <v>0</v>
      </c>
      <c r="BS2286">
        <v>0.04</v>
      </c>
      <c r="BT2286">
        <v>0</v>
      </c>
      <c r="BU2286">
        <v>0</v>
      </c>
      <c r="CE2286" t="str">
        <f>"19:31:38.165"</f>
        <v>19:31:38.165</v>
      </c>
      <c r="CF2286">
        <v>165378124</v>
      </c>
      <c r="CS2286">
        <v>0</v>
      </c>
      <c r="CT2286">
        <v>2</v>
      </c>
      <c r="CU2286">
        <v>0</v>
      </c>
      <c r="CV2286">
        <v>2</v>
      </c>
      <c r="CW2286">
        <v>0</v>
      </c>
      <c r="CX2286">
        <v>5</v>
      </c>
      <c r="CY2286">
        <v>7</v>
      </c>
      <c r="CZ2286" t="s">
        <v>131</v>
      </c>
      <c r="DA2286">
        <v>300</v>
      </c>
      <c r="DB2286">
        <v>0</v>
      </c>
      <c r="DC2286" t="s">
        <v>176</v>
      </c>
      <c r="DD2286" t="s">
        <v>177</v>
      </c>
      <c r="DG2286">
        <v>5407991</v>
      </c>
      <c r="DI2286">
        <v>1</v>
      </c>
      <c r="DJ2286">
        <v>0</v>
      </c>
      <c r="DK2286">
        <v>1</v>
      </c>
      <c r="DL2286">
        <v>0</v>
      </c>
      <c r="DM2286">
        <v>0</v>
      </c>
      <c r="DN2286">
        <v>1</v>
      </c>
      <c r="DO2286">
        <v>0</v>
      </c>
      <c r="DP2286">
        <v>0</v>
      </c>
      <c r="DQ2286">
        <v>0</v>
      </c>
      <c r="DR2286">
        <v>0</v>
      </c>
      <c r="DS2286">
        <v>0</v>
      </c>
    </row>
    <row r="2287" spans="1:123" x14ac:dyDescent="0.3">
      <c r="A2287" t="str">
        <f>"10/04/2022 19:31:38.541"</f>
        <v>10/04/2022 19:31:38.541</v>
      </c>
      <c r="C2287" t="str">
        <f t="shared" si="819"/>
        <v>FFDDD3C0</v>
      </c>
      <c r="D2287" t="s">
        <v>143</v>
      </c>
      <c r="E2287">
        <v>20</v>
      </c>
      <c r="F2287">
        <v>1020</v>
      </c>
      <c r="G2287" t="s">
        <v>144</v>
      </c>
      <c r="J2287" t="s">
        <v>145</v>
      </c>
      <c r="K2287">
        <v>0</v>
      </c>
      <c r="L2287">
        <v>3</v>
      </c>
      <c r="M2287">
        <v>0</v>
      </c>
      <c r="N2287">
        <v>2</v>
      </c>
      <c r="O2287">
        <v>0</v>
      </c>
      <c r="P2287">
        <v>1</v>
      </c>
      <c r="Q2287">
        <v>0</v>
      </c>
      <c r="S2287" t="str">
        <f t="shared" si="820"/>
        <v>19:31:38.000</v>
      </c>
      <c r="T2287" t="str">
        <f t="shared" si="820"/>
        <v>19:31:38.000</v>
      </c>
      <c r="U2287" t="str">
        <f t="shared" si="802"/>
        <v>AC3944</v>
      </c>
      <c r="V2287">
        <v>0</v>
      </c>
      <c r="W2287">
        <v>0</v>
      </c>
      <c r="X2287">
        <v>2</v>
      </c>
      <c r="Y2287">
        <v>0</v>
      </c>
      <c r="AA2287">
        <v>1</v>
      </c>
      <c r="AB2287">
        <v>8</v>
      </c>
      <c r="AC2287">
        <v>3</v>
      </c>
      <c r="AD2287">
        <v>0</v>
      </c>
      <c r="AE2287">
        <v>9</v>
      </c>
      <c r="AF2287" t="s">
        <v>138</v>
      </c>
      <c r="AG2287">
        <v>0</v>
      </c>
      <c r="AH2287">
        <v>3</v>
      </c>
      <c r="AI2287">
        <v>1</v>
      </c>
      <c r="AJ2287">
        <v>0</v>
      </c>
      <c r="AK2287" t="s">
        <v>794</v>
      </c>
      <c r="AL2287">
        <v>32.765694000000003</v>
      </c>
      <c r="AM2287" t="s">
        <v>795</v>
      </c>
      <c r="AN2287">
        <v>-116.806426</v>
      </c>
      <c r="AO2287">
        <v>25</v>
      </c>
      <c r="AP2287">
        <v>3100</v>
      </c>
      <c r="AQ2287" t="s">
        <v>129</v>
      </c>
      <c r="AR2287">
        <v>111</v>
      </c>
      <c r="AS2287">
        <v>-73</v>
      </c>
      <c r="AT2287">
        <v>0</v>
      </c>
      <c r="BB2287">
        <v>1200</v>
      </c>
      <c r="BC2287">
        <v>1</v>
      </c>
      <c r="BD2287" t="str">
        <f t="shared" si="803"/>
        <v xml:space="preserve">N887QR  </v>
      </c>
      <c r="BE2287">
        <v>1</v>
      </c>
      <c r="BJ2287">
        <v>2800</v>
      </c>
      <c r="BK2287">
        <v>-300</v>
      </c>
      <c r="BL2287" t="s">
        <v>163</v>
      </c>
      <c r="BM2287">
        <v>1</v>
      </c>
      <c r="BN2287">
        <v>1</v>
      </c>
      <c r="BO2287">
        <v>1</v>
      </c>
      <c r="BP2287">
        <v>0</v>
      </c>
      <c r="BS2287">
        <v>0.04</v>
      </c>
      <c r="BT2287">
        <v>0</v>
      </c>
      <c r="BU2287">
        <v>0</v>
      </c>
      <c r="CE2287" t="str">
        <f>"19:31:38.165"</f>
        <v>19:31:38.165</v>
      </c>
      <c r="CF2287">
        <v>165378124</v>
      </c>
      <c r="CS2287">
        <v>0</v>
      </c>
      <c r="CT2287">
        <v>2</v>
      </c>
      <c r="CU2287">
        <v>0</v>
      </c>
      <c r="CV2287">
        <v>2</v>
      </c>
      <c r="CW2287">
        <v>0</v>
      </c>
      <c r="CX2287">
        <v>5</v>
      </c>
      <c r="CY2287">
        <v>7</v>
      </c>
      <c r="CZ2287" t="s">
        <v>131</v>
      </c>
      <c r="DA2287">
        <v>300</v>
      </c>
      <c r="DB2287">
        <v>0</v>
      </c>
      <c r="DC2287" t="s">
        <v>176</v>
      </c>
      <c r="DD2287" t="s">
        <v>177</v>
      </c>
      <c r="DG2287">
        <v>5407991</v>
      </c>
      <c r="DI2287">
        <v>1</v>
      </c>
      <c r="DJ2287">
        <v>0</v>
      </c>
      <c r="DK2287">
        <v>1</v>
      </c>
      <c r="DL2287">
        <v>0</v>
      </c>
      <c r="DM2287">
        <v>0</v>
      </c>
      <c r="DN2287">
        <v>1</v>
      </c>
      <c r="DO2287">
        <v>0</v>
      </c>
      <c r="DP2287">
        <v>0</v>
      </c>
      <c r="DQ2287">
        <v>0</v>
      </c>
      <c r="DR2287">
        <v>0</v>
      </c>
      <c r="DS2287">
        <v>0</v>
      </c>
    </row>
    <row r="2288" spans="1:123" x14ac:dyDescent="0.3">
      <c r="A2288" t="str">
        <f>"10/04/2022 19:31:38.541"</f>
        <v>10/04/2022 19:31:38.541</v>
      </c>
      <c r="C2288" t="str">
        <f t="shared" si="819"/>
        <v>FFDDD3C0</v>
      </c>
      <c r="D2288" t="s">
        <v>134</v>
      </c>
      <c r="E2288">
        <v>15</v>
      </c>
      <c r="J2288" t="s">
        <v>135</v>
      </c>
      <c r="K2288">
        <v>0</v>
      </c>
      <c r="L2288">
        <v>3</v>
      </c>
      <c r="M2288">
        <v>0</v>
      </c>
      <c r="N2288">
        <v>2</v>
      </c>
      <c r="O2288">
        <v>0</v>
      </c>
      <c r="P2288">
        <v>1</v>
      </c>
      <c r="Q2288">
        <v>0</v>
      </c>
      <c r="S2288" t="str">
        <f t="shared" si="820"/>
        <v>19:31:38.000</v>
      </c>
      <c r="T2288" t="str">
        <f t="shared" si="820"/>
        <v>19:31:38.000</v>
      </c>
      <c r="U2288" t="str">
        <f t="shared" si="802"/>
        <v>AC3944</v>
      </c>
      <c r="V2288">
        <v>0</v>
      </c>
      <c r="W2288">
        <v>0</v>
      </c>
      <c r="X2288">
        <v>2</v>
      </c>
      <c r="Y2288">
        <v>0</v>
      </c>
      <c r="AA2288">
        <v>1</v>
      </c>
      <c r="AB2288">
        <v>8</v>
      </c>
      <c r="AC2288">
        <v>3</v>
      </c>
      <c r="AD2288">
        <v>0</v>
      </c>
      <c r="AE2288">
        <v>9</v>
      </c>
      <c r="AF2288" t="s">
        <v>138</v>
      </c>
      <c r="AG2288">
        <v>0</v>
      </c>
      <c r="AH2288">
        <v>3</v>
      </c>
      <c r="AI2288">
        <v>1</v>
      </c>
      <c r="AJ2288">
        <v>0</v>
      </c>
      <c r="AK2288" t="s">
        <v>794</v>
      </c>
      <c r="AL2288">
        <v>32.765694000000003</v>
      </c>
      <c r="AM2288" t="s">
        <v>795</v>
      </c>
      <c r="AN2288">
        <v>-116.806426</v>
      </c>
      <c r="AO2288">
        <v>25</v>
      </c>
      <c r="AP2288">
        <v>3100</v>
      </c>
      <c r="AQ2288" t="s">
        <v>129</v>
      </c>
      <c r="AR2288">
        <v>111</v>
      </c>
      <c r="AS2288">
        <v>-73</v>
      </c>
      <c r="AT2288">
        <v>0</v>
      </c>
      <c r="BB2288">
        <v>1200</v>
      </c>
      <c r="BC2288">
        <v>1</v>
      </c>
      <c r="BD2288" t="str">
        <f t="shared" si="803"/>
        <v xml:space="preserve">N887QR  </v>
      </c>
      <c r="BE2288">
        <v>1</v>
      </c>
      <c r="BJ2288">
        <v>2800</v>
      </c>
      <c r="BK2288">
        <v>-300</v>
      </c>
      <c r="BL2288" t="s">
        <v>163</v>
      </c>
      <c r="BM2288">
        <v>1</v>
      </c>
      <c r="BN2288">
        <v>1</v>
      </c>
      <c r="BO2288">
        <v>1</v>
      </c>
      <c r="BP2288">
        <v>0</v>
      </c>
      <c r="BS2288">
        <v>0.04</v>
      </c>
      <c r="BT2288">
        <v>0</v>
      </c>
      <c r="BU2288">
        <v>0</v>
      </c>
      <c r="CE2288" t="str">
        <f>"19:31:38.165"</f>
        <v>19:31:38.165</v>
      </c>
      <c r="CF2288">
        <v>165378124</v>
      </c>
      <c r="CS2288">
        <v>0</v>
      </c>
      <c r="CT2288">
        <v>2</v>
      </c>
      <c r="CU2288">
        <v>0</v>
      </c>
      <c r="CV2288">
        <v>2</v>
      </c>
      <c r="CW2288">
        <v>0</v>
      </c>
      <c r="CX2288">
        <v>5</v>
      </c>
      <c r="CY2288">
        <v>7</v>
      </c>
      <c r="CZ2288" t="s">
        <v>131</v>
      </c>
      <c r="DA2288">
        <v>300</v>
      </c>
      <c r="DB2288">
        <v>0</v>
      </c>
      <c r="DC2288" t="s">
        <v>176</v>
      </c>
      <c r="DD2288" t="s">
        <v>177</v>
      </c>
      <c r="DG2288">
        <v>5407991</v>
      </c>
      <c r="DI2288">
        <v>1</v>
      </c>
      <c r="DJ2288">
        <v>0</v>
      </c>
      <c r="DK2288">
        <v>1</v>
      </c>
      <c r="DL2288">
        <v>0</v>
      </c>
      <c r="DM2288">
        <v>0</v>
      </c>
      <c r="DN2288">
        <v>1</v>
      </c>
      <c r="DO2288">
        <v>0</v>
      </c>
      <c r="DP2288">
        <v>0</v>
      </c>
      <c r="DQ2288">
        <v>0</v>
      </c>
      <c r="DR2288">
        <v>0</v>
      </c>
      <c r="DS2288">
        <v>0</v>
      </c>
    </row>
    <row r="2289" spans="1:123" x14ac:dyDescent="0.3">
      <c r="A2289" t="str">
        <f>"10/04/2022 19:31:38.541"</f>
        <v>10/04/2022 19:31:38.541</v>
      </c>
      <c r="C2289" t="str">
        <f t="shared" si="819"/>
        <v>FFDDD3C0</v>
      </c>
      <c r="D2289" t="s">
        <v>123</v>
      </c>
      <c r="E2289">
        <v>7</v>
      </c>
      <c r="F2289">
        <v>2007</v>
      </c>
      <c r="G2289" t="s">
        <v>124</v>
      </c>
      <c r="J2289" t="s">
        <v>125</v>
      </c>
      <c r="K2289">
        <v>0</v>
      </c>
      <c r="L2289">
        <v>3</v>
      </c>
      <c r="M2289">
        <v>0</v>
      </c>
      <c r="N2289">
        <v>2</v>
      </c>
      <c r="O2289">
        <v>0</v>
      </c>
      <c r="P2289">
        <v>1</v>
      </c>
      <c r="Q2289">
        <v>0</v>
      </c>
      <c r="S2289" t="str">
        <f t="shared" si="820"/>
        <v>19:31:38.000</v>
      </c>
      <c r="T2289" t="str">
        <f t="shared" si="820"/>
        <v>19:31:38.000</v>
      </c>
      <c r="U2289" t="str">
        <f t="shared" si="802"/>
        <v>AC3944</v>
      </c>
      <c r="V2289">
        <v>0</v>
      </c>
      <c r="W2289">
        <v>0</v>
      </c>
      <c r="X2289">
        <v>2</v>
      </c>
      <c r="Y2289">
        <v>0</v>
      </c>
      <c r="AA2289">
        <v>1</v>
      </c>
      <c r="AB2289">
        <v>8</v>
      </c>
      <c r="AC2289">
        <v>3</v>
      </c>
      <c r="AD2289">
        <v>0</v>
      </c>
      <c r="AE2289">
        <v>9</v>
      </c>
      <c r="AF2289" t="s">
        <v>138</v>
      </c>
      <c r="AG2289">
        <v>0</v>
      </c>
      <c r="AH2289">
        <v>3</v>
      </c>
      <c r="AI2289">
        <v>1</v>
      </c>
      <c r="AJ2289">
        <v>0</v>
      </c>
      <c r="AK2289" t="s">
        <v>794</v>
      </c>
      <c r="AL2289">
        <v>32.765694000000003</v>
      </c>
      <c r="AM2289" t="s">
        <v>795</v>
      </c>
      <c r="AN2289">
        <v>-116.806426</v>
      </c>
      <c r="AO2289">
        <v>25</v>
      </c>
      <c r="AP2289">
        <v>3100</v>
      </c>
      <c r="AQ2289" t="s">
        <v>129</v>
      </c>
      <c r="AR2289">
        <v>111</v>
      </c>
      <c r="AS2289">
        <v>-73</v>
      </c>
      <c r="AT2289">
        <v>0</v>
      </c>
      <c r="BB2289">
        <v>1200</v>
      </c>
      <c r="BC2289">
        <v>1</v>
      </c>
      <c r="BD2289" t="str">
        <f t="shared" si="803"/>
        <v xml:space="preserve">N887QR  </v>
      </c>
      <c r="BE2289">
        <v>1</v>
      </c>
      <c r="BJ2289">
        <v>2800</v>
      </c>
      <c r="BK2289">
        <v>-300</v>
      </c>
      <c r="BL2289" t="s">
        <v>163</v>
      </c>
      <c r="BM2289">
        <v>1</v>
      </c>
      <c r="BN2289">
        <v>1</v>
      </c>
      <c r="BO2289">
        <v>1</v>
      </c>
      <c r="BP2289">
        <v>0</v>
      </c>
      <c r="BS2289">
        <v>0.04</v>
      </c>
      <c r="BT2289">
        <v>0</v>
      </c>
      <c r="BU2289">
        <v>0</v>
      </c>
      <c r="CE2289" t="str">
        <f>"19:31:38.165"</f>
        <v>19:31:38.165</v>
      </c>
      <c r="CF2289">
        <v>165378124</v>
      </c>
      <c r="CS2289">
        <v>0</v>
      </c>
      <c r="CT2289">
        <v>2</v>
      </c>
      <c r="CU2289">
        <v>0</v>
      </c>
      <c r="CV2289">
        <v>2</v>
      </c>
      <c r="CW2289">
        <v>0</v>
      </c>
      <c r="CX2289">
        <v>5</v>
      </c>
      <c r="CY2289">
        <v>7</v>
      </c>
      <c r="CZ2289" t="s">
        <v>131</v>
      </c>
      <c r="DA2289">
        <v>300</v>
      </c>
      <c r="DB2289">
        <v>0</v>
      </c>
      <c r="DC2289" t="s">
        <v>176</v>
      </c>
      <c r="DD2289" t="s">
        <v>177</v>
      </c>
      <c r="DG2289">
        <v>5407991</v>
      </c>
      <c r="DI2289">
        <v>1</v>
      </c>
      <c r="DJ2289">
        <v>0</v>
      </c>
      <c r="DK2289">
        <v>1</v>
      </c>
      <c r="DL2289">
        <v>0</v>
      </c>
      <c r="DM2289">
        <v>0</v>
      </c>
      <c r="DN2289">
        <v>1</v>
      </c>
      <c r="DO2289">
        <v>0</v>
      </c>
      <c r="DP2289">
        <v>0</v>
      </c>
      <c r="DQ2289">
        <v>0</v>
      </c>
      <c r="DR2289">
        <v>0</v>
      </c>
      <c r="DS2289">
        <v>0</v>
      </c>
    </row>
    <row r="2290" spans="1:123" x14ac:dyDescent="0.3">
      <c r="A2290" t="str">
        <f t="shared" ref="A2290:A2295" si="821">"10/04/2022 19:31:39.135"</f>
        <v>10/04/2022 19:31:39.135</v>
      </c>
      <c r="C2290" t="str">
        <f t="shared" si="819"/>
        <v>FFDDD3C0</v>
      </c>
      <c r="D2290" t="s">
        <v>136</v>
      </c>
      <c r="E2290">
        <v>8</v>
      </c>
      <c r="H2290">
        <v>225</v>
      </c>
      <c r="I2290" t="s">
        <v>137</v>
      </c>
      <c r="J2290" t="s">
        <v>138</v>
      </c>
      <c r="K2290">
        <v>0</v>
      </c>
      <c r="L2290">
        <v>3</v>
      </c>
      <c r="M2290">
        <v>0</v>
      </c>
      <c r="N2290">
        <v>2</v>
      </c>
      <c r="O2290">
        <v>0</v>
      </c>
      <c r="P2290">
        <v>1</v>
      </c>
      <c r="Q2290">
        <v>0</v>
      </c>
      <c r="S2290" t="str">
        <f t="shared" si="820"/>
        <v>19:31:38.000</v>
      </c>
      <c r="T2290" t="str">
        <f t="shared" si="820"/>
        <v>19:31:38.000</v>
      </c>
      <c r="U2290" t="str">
        <f t="shared" si="802"/>
        <v>AC3944</v>
      </c>
      <c r="V2290">
        <v>0</v>
      </c>
      <c r="W2290">
        <v>0</v>
      </c>
      <c r="X2290">
        <v>2</v>
      </c>
      <c r="Y2290">
        <v>0</v>
      </c>
      <c r="AA2290">
        <v>1</v>
      </c>
      <c r="AB2290">
        <v>8</v>
      </c>
      <c r="AC2290">
        <v>3</v>
      </c>
      <c r="AD2290">
        <v>0</v>
      </c>
      <c r="AE2290">
        <v>9</v>
      </c>
      <c r="AF2290" t="s">
        <v>138</v>
      </c>
      <c r="AG2290">
        <v>0</v>
      </c>
      <c r="AH2290">
        <v>3</v>
      </c>
      <c r="AI2290">
        <v>1</v>
      </c>
      <c r="AJ2290">
        <v>0</v>
      </c>
      <c r="AK2290" t="s">
        <v>796</v>
      </c>
      <c r="AL2290">
        <v>32.765349999999998</v>
      </c>
      <c r="AM2290" t="s">
        <v>797</v>
      </c>
      <c r="AN2290">
        <v>-116.805825</v>
      </c>
      <c r="AO2290">
        <v>25</v>
      </c>
      <c r="AP2290">
        <v>3100</v>
      </c>
      <c r="AQ2290" t="s">
        <v>129</v>
      </c>
      <c r="AR2290">
        <v>111</v>
      </c>
      <c r="AS2290">
        <v>-73</v>
      </c>
      <c r="AT2290">
        <v>0</v>
      </c>
      <c r="BB2290">
        <v>1200</v>
      </c>
      <c r="BC2290">
        <v>1</v>
      </c>
      <c r="BD2290" t="str">
        <f t="shared" si="803"/>
        <v xml:space="preserve">N887QR  </v>
      </c>
      <c r="BE2290">
        <v>1</v>
      </c>
      <c r="BJ2290">
        <v>2800</v>
      </c>
      <c r="BK2290">
        <v>-300</v>
      </c>
      <c r="BL2290" t="s">
        <v>163</v>
      </c>
      <c r="BM2290">
        <v>1</v>
      </c>
      <c r="BN2290">
        <v>1</v>
      </c>
      <c r="BO2290">
        <v>1</v>
      </c>
      <c r="BP2290">
        <v>0</v>
      </c>
      <c r="BS2290">
        <v>0.04</v>
      </c>
      <c r="BT2290">
        <v>0</v>
      </c>
      <c r="BU2290">
        <v>0</v>
      </c>
      <c r="CE2290" t="str">
        <f t="shared" ref="CE2290:CE2296" si="822">"19:31:38.781"</f>
        <v>19:31:38.781</v>
      </c>
      <c r="CF2290">
        <v>781380175</v>
      </c>
      <c r="CS2290">
        <v>0</v>
      </c>
      <c r="CT2290">
        <v>2</v>
      </c>
      <c r="CU2290">
        <v>0</v>
      </c>
      <c r="CV2290">
        <v>2</v>
      </c>
      <c r="CW2290">
        <v>0</v>
      </c>
      <c r="CX2290">
        <v>5</v>
      </c>
      <c r="CY2290">
        <v>7</v>
      </c>
      <c r="CZ2290" t="s">
        <v>131</v>
      </c>
      <c r="DA2290">
        <v>300</v>
      </c>
      <c r="DB2290">
        <v>0</v>
      </c>
      <c r="DC2290" t="s">
        <v>176</v>
      </c>
      <c r="DD2290" t="s">
        <v>177</v>
      </c>
      <c r="DG2290">
        <v>5408075</v>
      </c>
      <c r="DI2290">
        <v>1</v>
      </c>
      <c r="DJ2290">
        <v>0</v>
      </c>
      <c r="DK2290">
        <v>0</v>
      </c>
      <c r="DL2290">
        <v>0</v>
      </c>
      <c r="DM2290">
        <v>0</v>
      </c>
      <c r="DN2290">
        <v>1</v>
      </c>
      <c r="DO2290">
        <v>0</v>
      </c>
      <c r="DP2290">
        <v>0</v>
      </c>
      <c r="DQ2290">
        <v>0</v>
      </c>
      <c r="DR2290">
        <v>0</v>
      </c>
      <c r="DS2290">
        <v>0</v>
      </c>
    </row>
    <row r="2291" spans="1:123" x14ac:dyDescent="0.3">
      <c r="A2291" t="str">
        <f t="shared" si="821"/>
        <v>10/04/2022 19:31:39.135</v>
      </c>
      <c r="C2291" t="str">
        <f t="shared" si="819"/>
        <v>FFDDD3C0</v>
      </c>
      <c r="D2291" t="s">
        <v>141</v>
      </c>
      <c r="E2291">
        <v>3</v>
      </c>
      <c r="H2291">
        <v>3</v>
      </c>
      <c r="I2291" t="s">
        <v>146</v>
      </c>
      <c r="J2291" t="s">
        <v>138</v>
      </c>
      <c r="K2291">
        <v>0</v>
      </c>
      <c r="L2291">
        <v>3</v>
      </c>
      <c r="M2291">
        <v>0</v>
      </c>
      <c r="N2291">
        <v>2</v>
      </c>
      <c r="O2291">
        <v>0</v>
      </c>
      <c r="P2291">
        <v>1</v>
      </c>
      <c r="Q2291">
        <v>0</v>
      </c>
      <c r="S2291" t="str">
        <f t="shared" si="820"/>
        <v>19:31:38.000</v>
      </c>
      <c r="T2291" t="str">
        <f t="shared" si="820"/>
        <v>19:31:38.000</v>
      </c>
      <c r="U2291" t="str">
        <f t="shared" si="802"/>
        <v>AC3944</v>
      </c>
      <c r="V2291">
        <v>0</v>
      </c>
      <c r="W2291">
        <v>0</v>
      </c>
      <c r="X2291">
        <v>2</v>
      </c>
      <c r="Y2291">
        <v>0</v>
      </c>
      <c r="AA2291">
        <v>1</v>
      </c>
      <c r="AB2291">
        <v>8</v>
      </c>
      <c r="AC2291">
        <v>3</v>
      </c>
      <c r="AD2291">
        <v>0</v>
      </c>
      <c r="AE2291">
        <v>9</v>
      </c>
      <c r="AF2291" t="s">
        <v>138</v>
      </c>
      <c r="AG2291">
        <v>0</v>
      </c>
      <c r="AH2291">
        <v>3</v>
      </c>
      <c r="AI2291">
        <v>1</v>
      </c>
      <c r="AJ2291">
        <v>0</v>
      </c>
      <c r="AK2291" t="s">
        <v>796</v>
      </c>
      <c r="AL2291">
        <v>32.765349999999998</v>
      </c>
      <c r="AM2291" t="s">
        <v>797</v>
      </c>
      <c r="AN2291">
        <v>-116.805825</v>
      </c>
      <c r="AO2291">
        <v>25</v>
      </c>
      <c r="AP2291">
        <v>3100</v>
      </c>
      <c r="AQ2291" t="s">
        <v>129</v>
      </c>
      <c r="AR2291">
        <v>111</v>
      </c>
      <c r="AS2291">
        <v>-73</v>
      </c>
      <c r="AT2291">
        <v>0</v>
      </c>
      <c r="BB2291">
        <v>1200</v>
      </c>
      <c r="BC2291">
        <v>1</v>
      </c>
      <c r="BD2291" t="str">
        <f t="shared" si="803"/>
        <v xml:space="preserve">N887QR  </v>
      </c>
      <c r="BE2291">
        <v>1</v>
      </c>
      <c r="BJ2291">
        <v>2800</v>
      </c>
      <c r="BK2291">
        <v>-300</v>
      </c>
      <c r="BL2291" t="s">
        <v>163</v>
      </c>
      <c r="BM2291">
        <v>1</v>
      </c>
      <c r="BN2291">
        <v>1</v>
      </c>
      <c r="BO2291">
        <v>1</v>
      </c>
      <c r="BP2291">
        <v>0</v>
      </c>
      <c r="BS2291">
        <v>0.04</v>
      </c>
      <c r="BT2291">
        <v>0</v>
      </c>
      <c r="BU2291">
        <v>0</v>
      </c>
      <c r="CE2291" t="str">
        <f t="shared" si="822"/>
        <v>19:31:38.781</v>
      </c>
      <c r="CF2291">
        <v>781380175</v>
      </c>
      <c r="CS2291">
        <v>0</v>
      </c>
      <c r="CT2291">
        <v>2</v>
      </c>
      <c r="CU2291">
        <v>0</v>
      </c>
      <c r="CV2291">
        <v>2</v>
      </c>
      <c r="CW2291">
        <v>0</v>
      </c>
      <c r="CX2291">
        <v>5</v>
      </c>
      <c r="CY2291">
        <v>7</v>
      </c>
      <c r="CZ2291" t="s">
        <v>131</v>
      </c>
      <c r="DA2291">
        <v>300</v>
      </c>
      <c r="DB2291">
        <v>0</v>
      </c>
      <c r="DC2291" t="s">
        <v>176</v>
      </c>
      <c r="DD2291" t="s">
        <v>177</v>
      </c>
      <c r="DG2291">
        <v>5408075</v>
      </c>
      <c r="DI2291">
        <v>1</v>
      </c>
      <c r="DJ2291">
        <v>0</v>
      </c>
      <c r="DK2291">
        <v>1</v>
      </c>
      <c r="DL2291">
        <v>0</v>
      </c>
      <c r="DM2291">
        <v>0</v>
      </c>
      <c r="DN2291">
        <v>1</v>
      </c>
      <c r="DO2291">
        <v>0</v>
      </c>
      <c r="DP2291">
        <v>0</v>
      </c>
      <c r="DQ2291">
        <v>0</v>
      </c>
      <c r="DR2291">
        <v>0</v>
      </c>
      <c r="DS2291">
        <v>0</v>
      </c>
    </row>
    <row r="2292" spans="1:123" x14ac:dyDescent="0.3">
      <c r="A2292" t="str">
        <f t="shared" si="821"/>
        <v>10/04/2022 19:31:39.135</v>
      </c>
      <c r="C2292" t="str">
        <f t="shared" si="819"/>
        <v>FFDDD3C0</v>
      </c>
      <c r="D2292" t="s">
        <v>143</v>
      </c>
      <c r="E2292">
        <v>20</v>
      </c>
      <c r="F2292">
        <v>1020</v>
      </c>
      <c r="G2292" t="s">
        <v>144</v>
      </c>
      <c r="J2292" t="s">
        <v>145</v>
      </c>
      <c r="K2292">
        <v>0</v>
      </c>
      <c r="L2292">
        <v>3</v>
      </c>
      <c r="M2292">
        <v>0</v>
      </c>
      <c r="N2292">
        <v>2</v>
      </c>
      <c r="O2292">
        <v>0</v>
      </c>
      <c r="P2292">
        <v>1</v>
      </c>
      <c r="Q2292">
        <v>0</v>
      </c>
      <c r="S2292" t="str">
        <f t="shared" si="820"/>
        <v>19:31:38.000</v>
      </c>
      <c r="T2292" t="str">
        <f t="shared" si="820"/>
        <v>19:31:38.000</v>
      </c>
      <c r="U2292" t="str">
        <f t="shared" si="802"/>
        <v>AC3944</v>
      </c>
      <c r="V2292">
        <v>0</v>
      </c>
      <c r="W2292">
        <v>0</v>
      </c>
      <c r="X2292">
        <v>2</v>
      </c>
      <c r="Y2292">
        <v>0</v>
      </c>
      <c r="AA2292">
        <v>1</v>
      </c>
      <c r="AB2292">
        <v>8</v>
      </c>
      <c r="AC2292">
        <v>3</v>
      </c>
      <c r="AD2292">
        <v>0</v>
      </c>
      <c r="AE2292">
        <v>9</v>
      </c>
      <c r="AF2292" t="s">
        <v>138</v>
      </c>
      <c r="AG2292">
        <v>0</v>
      </c>
      <c r="AH2292">
        <v>3</v>
      </c>
      <c r="AI2292">
        <v>1</v>
      </c>
      <c r="AJ2292">
        <v>0</v>
      </c>
      <c r="AK2292" t="s">
        <v>796</v>
      </c>
      <c r="AL2292">
        <v>32.765349999999998</v>
      </c>
      <c r="AM2292" t="s">
        <v>797</v>
      </c>
      <c r="AN2292">
        <v>-116.805825</v>
      </c>
      <c r="AO2292">
        <v>25</v>
      </c>
      <c r="AP2292">
        <v>3100</v>
      </c>
      <c r="AQ2292" t="s">
        <v>129</v>
      </c>
      <c r="AR2292">
        <v>111</v>
      </c>
      <c r="AS2292">
        <v>-73</v>
      </c>
      <c r="AT2292">
        <v>0</v>
      </c>
      <c r="BB2292">
        <v>1200</v>
      </c>
      <c r="BC2292">
        <v>1</v>
      </c>
      <c r="BD2292" t="str">
        <f t="shared" si="803"/>
        <v xml:space="preserve">N887QR  </v>
      </c>
      <c r="BE2292">
        <v>1</v>
      </c>
      <c r="BJ2292">
        <v>2800</v>
      </c>
      <c r="BK2292">
        <v>-300</v>
      </c>
      <c r="BL2292" t="s">
        <v>163</v>
      </c>
      <c r="BM2292">
        <v>1</v>
      </c>
      <c r="BN2292">
        <v>1</v>
      </c>
      <c r="BO2292">
        <v>1</v>
      </c>
      <c r="BP2292">
        <v>0</v>
      </c>
      <c r="BS2292">
        <v>0.04</v>
      </c>
      <c r="BT2292">
        <v>0</v>
      </c>
      <c r="BU2292">
        <v>0</v>
      </c>
      <c r="CE2292" t="str">
        <f t="shared" si="822"/>
        <v>19:31:38.781</v>
      </c>
      <c r="CF2292">
        <v>781380175</v>
      </c>
      <c r="CS2292">
        <v>0</v>
      </c>
      <c r="CT2292">
        <v>2</v>
      </c>
      <c r="CU2292">
        <v>0</v>
      </c>
      <c r="CV2292">
        <v>2</v>
      </c>
      <c r="CW2292">
        <v>0</v>
      </c>
      <c r="CX2292">
        <v>5</v>
      </c>
      <c r="CY2292">
        <v>7</v>
      </c>
      <c r="CZ2292" t="s">
        <v>131</v>
      </c>
      <c r="DA2292">
        <v>300</v>
      </c>
      <c r="DB2292">
        <v>0</v>
      </c>
      <c r="DC2292" t="s">
        <v>176</v>
      </c>
      <c r="DD2292" t="s">
        <v>177</v>
      </c>
      <c r="DG2292">
        <v>5408075</v>
      </c>
      <c r="DI2292">
        <v>1</v>
      </c>
      <c r="DJ2292">
        <v>0</v>
      </c>
      <c r="DK2292">
        <v>1</v>
      </c>
      <c r="DL2292">
        <v>0</v>
      </c>
      <c r="DM2292">
        <v>0</v>
      </c>
      <c r="DN2292">
        <v>1</v>
      </c>
      <c r="DO2292">
        <v>0</v>
      </c>
      <c r="DP2292">
        <v>0</v>
      </c>
      <c r="DQ2292">
        <v>0</v>
      </c>
      <c r="DR2292">
        <v>0</v>
      </c>
      <c r="DS2292">
        <v>0</v>
      </c>
    </row>
    <row r="2293" spans="1:123" x14ac:dyDescent="0.3">
      <c r="A2293" t="str">
        <f t="shared" si="821"/>
        <v>10/04/2022 19:31:39.135</v>
      </c>
      <c r="C2293" t="str">
        <f t="shared" si="819"/>
        <v>FFDDD3C0</v>
      </c>
      <c r="D2293" t="s">
        <v>134</v>
      </c>
      <c r="E2293">
        <v>15</v>
      </c>
      <c r="J2293" t="s">
        <v>135</v>
      </c>
      <c r="K2293">
        <v>0</v>
      </c>
      <c r="L2293">
        <v>3</v>
      </c>
      <c r="M2293">
        <v>0</v>
      </c>
      <c r="N2293">
        <v>2</v>
      </c>
      <c r="O2293">
        <v>0</v>
      </c>
      <c r="P2293">
        <v>1</v>
      </c>
      <c r="Q2293">
        <v>0</v>
      </c>
      <c r="S2293" t="str">
        <f t="shared" si="820"/>
        <v>19:31:38.000</v>
      </c>
      <c r="T2293" t="str">
        <f t="shared" si="820"/>
        <v>19:31:38.000</v>
      </c>
      <c r="U2293" t="str">
        <f t="shared" si="802"/>
        <v>AC3944</v>
      </c>
      <c r="V2293">
        <v>0</v>
      </c>
      <c r="W2293">
        <v>0</v>
      </c>
      <c r="X2293">
        <v>2</v>
      </c>
      <c r="Y2293">
        <v>0</v>
      </c>
      <c r="AA2293">
        <v>1</v>
      </c>
      <c r="AB2293">
        <v>8</v>
      </c>
      <c r="AC2293">
        <v>3</v>
      </c>
      <c r="AD2293">
        <v>0</v>
      </c>
      <c r="AE2293">
        <v>9</v>
      </c>
      <c r="AF2293" t="s">
        <v>138</v>
      </c>
      <c r="AG2293">
        <v>0</v>
      </c>
      <c r="AH2293">
        <v>3</v>
      </c>
      <c r="AI2293">
        <v>1</v>
      </c>
      <c r="AJ2293">
        <v>0</v>
      </c>
      <c r="AK2293" t="s">
        <v>796</v>
      </c>
      <c r="AL2293">
        <v>32.765349999999998</v>
      </c>
      <c r="AM2293" t="s">
        <v>797</v>
      </c>
      <c r="AN2293">
        <v>-116.805825</v>
      </c>
      <c r="AO2293">
        <v>25</v>
      </c>
      <c r="AP2293">
        <v>3100</v>
      </c>
      <c r="AQ2293" t="s">
        <v>129</v>
      </c>
      <c r="AR2293">
        <v>111</v>
      </c>
      <c r="AS2293">
        <v>-73</v>
      </c>
      <c r="AT2293">
        <v>0</v>
      </c>
      <c r="BB2293">
        <v>1200</v>
      </c>
      <c r="BC2293">
        <v>1</v>
      </c>
      <c r="BD2293" t="str">
        <f t="shared" si="803"/>
        <v xml:space="preserve">N887QR  </v>
      </c>
      <c r="BE2293">
        <v>1</v>
      </c>
      <c r="BJ2293">
        <v>2800</v>
      </c>
      <c r="BK2293">
        <v>-300</v>
      </c>
      <c r="BL2293" t="s">
        <v>163</v>
      </c>
      <c r="BM2293">
        <v>1</v>
      </c>
      <c r="BN2293">
        <v>1</v>
      </c>
      <c r="BO2293">
        <v>1</v>
      </c>
      <c r="BP2293">
        <v>0</v>
      </c>
      <c r="BS2293">
        <v>0.04</v>
      </c>
      <c r="BT2293">
        <v>0</v>
      </c>
      <c r="BU2293">
        <v>0</v>
      </c>
      <c r="CE2293" t="str">
        <f t="shared" si="822"/>
        <v>19:31:38.781</v>
      </c>
      <c r="CF2293">
        <v>781380175</v>
      </c>
      <c r="CS2293">
        <v>0</v>
      </c>
      <c r="CT2293">
        <v>2</v>
      </c>
      <c r="CU2293">
        <v>0</v>
      </c>
      <c r="CV2293">
        <v>2</v>
      </c>
      <c r="CW2293">
        <v>0</v>
      </c>
      <c r="CX2293">
        <v>5</v>
      </c>
      <c r="CY2293">
        <v>7</v>
      </c>
      <c r="CZ2293" t="s">
        <v>131</v>
      </c>
      <c r="DA2293">
        <v>300</v>
      </c>
      <c r="DB2293">
        <v>0</v>
      </c>
      <c r="DC2293" t="s">
        <v>176</v>
      </c>
      <c r="DD2293" t="s">
        <v>177</v>
      </c>
      <c r="DG2293">
        <v>5408075</v>
      </c>
      <c r="DI2293">
        <v>1</v>
      </c>
      <c r="DJ2293">
        <v>0</v>
      </c>
      <c r="DK2293">
        <v>1</v>
      </c>
      <c r="DL2293">
        <v>0</v>
      </c>
      <c r="DM2293">
        <v>0</v>
      </c>
      <c r="DN2293">
        <v>1</v>
      </c>
      <c r="DO2293">
        <v>0</v>
      </c>
      <c r="DP2293">
        <v>0</v>
      </c>
      <c r="DQ2293">
        <v>0</v>
      </c>
      <c r="DR2293">
        <v>0</v>
      </c>
      <c r="DS2293">
        <v>0</v>
      </c>
    </row>
    <row r="2294" spans="1:123" x14ac:dyDescent="0.3">
      <c r="A2294" t="str">
        <f t="shared" si="821"/>
        <v>10/04/2022 19:31:39.135</v>
      </c>
      <c r="C2294" t="str">
        <f t="shared" si="819"/>
        <v>FFDDD3C0</v>
      </c>
      <c r="D2294" t="s">
        <v>123</v>
      </c>
      <c r="E2294">
        <v>7</v>
      </c>
      <c r="F2294">
        <v>2007</v>
      </c>
      <c r="G2294" t="s">
        <v>124</v>
      </c>
      <c r="J2294" t="s">
        <v>125</v>
      </c>
      <c r="K2294">
        <v>0</v>
      </c>
      <c r="L2294">
        <v>3</v>
      </c>
      <c r="M2294">
        <v>0</v>
      </c>
      <c r="N2294">
        <v>2</v>
      </c>
      <c r="O2294">
        <v>0</v>
      </c>
      <c r="P2294">
        <v>1</v>
      </c>
      <c r="Q2294">
        <v>0</v>
      </c>
      <c r="S2294" t="str">
        <f t="shared" si="820"/>
        <v>19:31:38.000</v>
      </c>
      <c r="T2294" t="str">
        <f t="shared" si="820"/>
        <v>19:31:38.000</v>
      </c>
      <c r="U2294" t="str">
        <f t="shared" si="802"/>
        <v>AC3944</v>
      </c>
      <c r="V2294">
        <v>0</v>
      </c>
      <c r="W2294">
        <v>0</v>
      </c>
      <c r="X2294">
        <v>2</v>
      </c>
      <c r="Y2294">
        <v>0</v>
      </c>
      <c r="AA2294">
        <v>1</v>
      </c>
      <c r="AB2294">
        <v>8</v>
      </c>
      <c r="AC2294">
        <v>3</v>
      </c>
      <c r="AD2294">
        <v>0</v>
      </c>
      <c r="AE2294">
        <v>9</v>
      </c>
      <c r="AF2294" t="s">
        <v>138</v>
      </c>
      <c r="AG2294">
        <v>0</v>
      </c>
      <c r="AH2294">
        <v>3</v>
      </c>
      <c r="AI2294">
        <v>1</v>
      </c>
      <c r="AJ2294">
        <v>0</v>
      </c>
      <c r="AK2294" t="s">
        <v>796</v>
      </c>
      <c r="AL2294">
        <v>32.765349999999998</v>
      </c>
      <c r="AM2294" t="s">
        <v>797</v>
      </c>
      <c r="AN2294">
        <v>-116.805825</v>
      </c>
      <c r="AO2294">
        <v>25</v>
      </c>
      <c r="AP2294">
        <v>3100</v>
      </c>
      <c r="AQ2294" t="s">
        <v>129</v>
      </c>
      <c r="AR2294">
        <v>111</v>
      </c>
      <c r="AS2294">
        <v>-73</v>
      </c>
      <c r="AT2294">
        <v>0</v>
      </c>
      <c r="BB2294">
        <v>1200</v>
      </c>
      <c r="BC2294">
        <v>1</v>
      </c>
      <c r="BD2294" t="str">
        <f t="shared" si="803"/>
        <v xml:space="preserve">N887QR  </v>
      </c>
      <c r="BE2294">
        <v>1</v>
      </c>
      <c r="BJ2294">
        <v>2800</v>
      </c>
      <c r="BK2294">
        <v>-300</v>
      </c>
      <c r="BL2294" t="s">
        <v>163</v>
      </c>
      <c r="BM2294">
        <v>1</v>
      </c>
      <c r="BN2294">
        <v>1</v>
      </c>
      <c r="BO2294">
        <v>1</v>
      </c>
      <c r="BP2294">
        <v>0</v>
      </c>
      <c r="BS2294">
        <v>0.04</v>
      </c>
      <c r="BT2294">
        <v>0</v>
      </c>
      <c r="BU2294">
        <v>0</v>
      </c>
      <c r="CE2294" t="str">
        <f t="shared" si="822"/>
        <v>19:31:38.781</v>
      </c>
      <c r="CF2294">
        <v>781380175</v>
      </c>
      <c r="CS2294">
        <v>0</v>
      </c>
      <c r="CT2294">
        <v>2</v>
      </c>
      <c r="CU2294">
        <v>0</v>
      </c>
      <c r="CV2294">
        <v>2</v>
      </c>
      <c r="CW2294">
        <v>0</v>
      </c>
      <c r="CX2294">
        <v>5</v>
      </c>
      <c r="CY2294">
        <v>7</v>
      </c>
      <c r="CZ2294" t="s">
        <v>131</v>
      </c>
      <c r="DA2294">
        <v>300</v>
      </c>
      <c r="DB2294">
        <v>0</v>
      </c>
      <c r="DC2294" t="s">
        <v>176</v>
      </c>
      <c r="DD2294" t="s">
        <v>177</v>
      </c>
      <c r="DG2294">
        <v>5408075</v>
      </c>
      <c r="DI2294">
        <v>1</v>
      </c>
      <c r="DJ2294">
        <v>0</v>
      </c>
      <c r="DK2294">
        <v>1</v>
      </c>
      <c r="DL2294">
        <v>0</v>
      </c>
      <c r="DM2294">
        <v>0</v>
      </c>
      <c r="DN2294">
        <v>1</v>
      </c>
      <c r="DO2294">
        <v>0</v>
      </c>
      <c r="DP2294">
        <v>0</v>
      </c>
      <c r="DQ2294">
        <v>0</v>
      </c>
      <c r="DR2294">
        <v>0</v>
      </c>
      <c r="DS2294">
        <v>0</v>
      </c>
    </row>
    <row r="2295" spans="1:123" x14ac:dyDescent="0.3">
      <c r="A2295" t="str">
        <f t="shared" si="821"/>
        <v>10/04/2022 19:31:39.135</v>
      </c>
      <c r="C2295" t="str">
        <f t="shared" si="819"/>
        <v>FFDDD3C0</v>
      </c>
      <c r="D2295" t="s">
        <v>141</v>
      </c>
      <c r="E2295">
        <v>4</v>
      </c>
      <c r="H2295">
        <v>4</v>
      </c>
      <c r="I2295" t="s">
        <v>142</v>
      </c>
      <c r="J2295" t="s">
        <v>138</v>
      </c>
      <c r="K2295">
        <v>0</v>
      </c>
      <c r="L2295">
        <v>3</v>
      </c>
      <c r="M2295">
        <v>0</v>
      </c>
      <c r="N2295">
        <v>2</v>
      </c>
      <c r="O2295">
        <v>0</v>
      </c>
      <c r="P2295">
        <v>1</v>
      </c>
      <c r="Q2295">
        <v>0</v>
      </c>
      <c r="S2295" t="str">
        <f t="shared" si="820"/>
        <v>19:31:38.000</v>
      </c>
      <c r="T2295" t="str">
        <f t="shared" si="820"/>
        <v>19:31:38.000</v>
      </c>
      <c r="U2295" t="str">
        <f t="shared" si="802"/>
        <v>AC3944</v>
      </c>
      <c r="V2295">
        <v>0</v>
      </c>
      <c r="W2295">
        <v>0</v>
      </c>
      <c r="X2295">
        <v>2</v>
      </c>
      <c r="Y2295">
        <v>0</v>
      </c>
      <c r="AA2295">
        <v>1</v>
      </c>
      <c r="AB2295">
        <v>8</v>
      </c>
      <c r="AC2295">
        <v>3</v>
      </c>
      <c r="AD2295">
        <v>0</v>
      </c>
      <c r="AE2295">
        <v>9</v>
      </c>
      <c r="AF2295" t="s">
        <v>138</v>
      </c>
      <c r="AG2295">
        <v>0</v>
      </c>
      <c r="AH2295">
        <v>3</v>
      </c>
      <c r="AI2295">
        <v>1</v>
      </c>
      <c r="AJ2295">
        <v>0</v>
      </c>
      <c r="AK2295" t="s">
        <v>796</v>
      </c>
      <c r="AL2295">
        <v>32.765349999999998</v>
      </c>
      <c r="AM2295" t="s">
        <v>797</v>
      </c>
      <c r="AN2295">
        <v>-116.805825</v>
      </c>
      <c r="AO2295">
        <v>25</v>
      </c>
      <c r="AP2295">
        <v>3100</v>
      </c>
      <c r="AQ2295" t="s">
        <v>129</v>
      </c>
      <c r="AR2295">
        <v>111</v>
      </c>
      <c r="AS2295">
        <v>-73</v>
      </c>
      <c r="AT2295">
        <v>0</v>
      </c>
      <c r="BB2295">
        <v>1200</v>
      </c>
      <c r="BC2295">
        <v>1</v>
      </c>
      <c r="BD2295" t="str">
        <f t="shared" si="803"/>
        <v xml:space="preserve">N887QR  </v>
      </c>
      <c r="BE2295">
        <v>1</v>
      </c>
      <c r="BJ2295">
        <v>2800</v>
      </c>
      <c r="BK2295">
        <v>-300</v>
      </c>
      <c r="BL2295" t="s">
        <v>163</v>
      </c>
      <c r="BM2295">
        <v>1</v>
      </c>
      <c r="BN2295">
        <v>1</v>
      </c>
      <c r="BO2295">
        <v>1</v>
      </c>
      <c r="BP2295">
        <v>0</v>
      </c>
      <c r="BS2295">
        <v>0.04</v>
      </c>
      <c r="BT2295">
        <v>0</v>
      </c>
      <c r="BU2295">
        <v>0</v>
      </c>
      <c r="CE2295" t="str">
        <f t="shared" si="822"/>
        <v>19:31:38.781</v>
      </c>
      <c r="CF2295">
        <v>781380175</v>
      </c>
      <c r="CS2295">
        <v>0</v>
      </c>
      <c r="CT2295">
        <v>2</v>
      </c>
      <c r="CU2295">
        <v>0</v>
      </c>
      <c r="CV2295">
        <v>2</v>
      </c>
      <c r="CW2295">
        <v>0</v>
      </c>
      <c r="CX2295">
        <v>5</v>
      </c>
      <c r="CY2295">
        <v>7</v>
      </c>
      <c r="CZ2295" t="s">
        <v>131</v>
      </c>
      <c r="DA2295">
        <v>300</v>
      </c>
      <c r="DB2295">
        <v>0</v>
      </c>
      <c r="DC2295" t="s">
        <v>176</v>
      </c>
      <c r="DD2295" t="s">
        <v>177</v>
      </c>
      <c r="DG2295">
        <v>5408075</v>
      </c>
      <c r="DI2295">
        <v>1</v>
      </c>
      <c r="DJ2295">
        <v>0</v>
      </c>
      <c r="DK2295">
        <v>1</v>
      </c>
      <c r="DL2295">
        <v>0</v>
      </c>
      <c r="DM2295">
        <v>0</v>
      </c>
      <c r="DN2295">
        <v>1</v>
      </c>
      <c r="DO2295">
        <v>0</v>
      </c>
      <c r="DP2295">
        <v>0</v>
      </c>
      <c r="DQ2295">
        <v>0</v>
      </c>
      <c r="DR2295">
        <v>0</v>
      </c>
      <c r="DS2295">
        <v>0</v>
      </c>
    </row>
    <row r="2296" spans="1:123" x14ac:dyDescent="0.3">
      <c r="A2296" t="str">
        <f>"10/04/2022 19:31:39.229"</f>
        <v>10/04/2022 19:31:39.229</v>
      </c>
      <c r="C2296" t="str">
        <f t="shared" si="819"/>
        <v>FFDDD3C0</v>
      </c>
      <c r="D2296" t="s">
        <v>147</v>
      </c>
      <c r="E2296">
        <v>3</v>
      </c>
      <c r="H2296">
        <v>166</v>
      </c>
      <c r="I2296" t="s">
        <v>144</v>
      </c>
      <c r="J2296" t="s">
        <v>148</v>
      </c>
      <c r="K2296">
        <v>0</v>
      </c>
      <c r="L2296">
        <v>3</v>
      </c>
      <c r="M2296">
        <v>0</v>
      </c>
      <c r="N2296">
        <v>2</v>
      </c>
      <c r="O2296">
        <v>0</v>
      </c>
      <c r="P2296">
        <v>1</v>
      </c>
      <c r="Q2296">
        <v>0</v>
      </c>
      <c r="S2296" t="str">
        <f t="shared" si="820"/>
        <v>19:31:38.000</v>
      </c>
      <c r="T2296" t="str">
        <f t="shared" si="820"/>
        <v>19:31:38.000</v>
      </c>
      <c r="U2296" t="str">
        <f t="shared" si="802"/>
        <v>AC3944</v>
      </c>
      <c r="V2296">
        <v>0</v>
      </c>
      <c r="W2296">
        <v>0</v>
      </c>
      <c r="X2296">
        <v>2</v>
      </c>
      <c r="Y2296">
        <v>0</v>
      </c>
      <c r="AA2296">
        <v>1</v>
      </c>
      <c r="AB2296">
        <v>8</v>
      </c>
      <c r="AC2296">
        <v>3</v>
      </c>
      <c r="AD2296">
        <v>0</v>
      </c>
      <c r="AE2296">
        <v>9</v>
      </c>
      <c r="AF2296" t="s">
        <v>138</v>
      </c>
      <c r="AG2296">
        <v>0</v>
      </c>
      <c r="AH2296">
        <v>3</v>
      </c>
      <c r="AI2296">
        <v>1</v>
      </c>
      <c r="AJ2296">
        <v>0</v>
      </c>
      <c r="AK2296" t="s">
        <v>796</v>
      </c>
      <c r="AL2296">
        <v>32.765349999999998</v>
      </c>
      <c r="AM2296" t="s">
        <v>797</v>
      </c>
      <c r="AN2296">
        <v>-116.805825</v>
      </c>
      <c r="AO2296">
        <v>25</v>
      </c>
      <c r="AP2296">
        <v>3100</v>
      </c>
      <c r="AQ2296" t="s">
        <v>129</v>
      </c>
      <c r="AR2296">
        <v>111</v>
      </c>
      <c r="AS2296">
        <v>-73</v>
      </c>
      <c r="AT2296">
        <v>0</v>
      </c>
      <c r="BB2296">
        <v>1200</v>
      </c>
      <c r="BC2296">
        <v>1</v>
      </c>
      <c r="BD2296" t="str">
        <f t="shared" si="803"/>
        <v xml:space="preserve">N887QR  </v>
      </c>
      <c r="BE2296">
        <v>1</v>
      </c>
      <c r="BJ2296">
        <v>2800</v>
      </c>
      <c r="BK2296">
        <v>-300</v>
      </c>
      <c r="BL2296" t="s">
        <v>163</v>
      </c>
      <c r="BM2296">
        <v>1</v>
      </c>
      <c r="BN2296">
        <v>1</v>
      </c>
      <c r="BO2296">
        <v>1</v>
      </c>
      <c r="BP2296">
        <v>0</v>
      </c>
      <c r="BS2296">
        <v>0.04</v>
      </c>
      <c r="BT2296">
        <v>0</v>
      </c>
      <c r="BU2296">
        <v>0</v>
      </c>
      <c r="CE2296" t="str">
        <f t="shared" si="822"/>
        <v>19:31:38.781</v>
      </c>
      <c r="CF2296">
        <v>781380175</v>
      </c>
      <c r="CS2296">
        <v>0</v>
      </c>
      <c r="CT2296">
        <v>2</v>
      </c>
      <c r="CU2296">
        <v>0</v>
      </c>
      <c r="CV2296">
        <v>2</v>
      </c>
      <c r="CW2296">
        <v>0</v>
      </c>
      <c r="CX2296">
        <v>5</v>
      </c>
      <c r="CY2296">
        <v>7</v>
      </c>
      <c r="CZ2296" t="s">
        <v>131</v>
      </c>
      <c r="DA2296">
        <v>300</v>
      </c>
      <c r="DB2296">
        <v>0</v>
      </c>
      <c r="DC2296" t="s">
        <v>176</v>
      </c>
      <c r="DD2296" t="s">
        <v>177</v>
      </c>
      <c r="DG2296">
        <v>5408075</v>
      </c>
      <c r="DI2296">
        <v>1</v>
      </c>
      <c r="DJ2296">
        <v>0</v>
      </c>
      <c r="DK2296">
        <v>1</v>
      </c>
      <c r="DL2296">
        <v>0</v>
      </c>
      <c r="DM2296">
        <v>0</v>
      </c>
      <c r="DN2296">
        <v>1</v>
      </c>
      <c r="DO2296">
        <v>0</v>
      </c>
      <c r="DP2296">
        <v>0</v>
      </c>
      <c r="DQ2296">
        <v>0</v>
      </c>
      <c r="DR2296">
        <v>0</v>
      </c>
      <c r="DS2296">
        <v>0</v>
      </c>
    </row>
    <row r="2297" spans="1:123" x14ac:dyDescent="0.3">
      <c r="A2297" t="str">
        <f t="shared" ref="A2297:A2303" si="823">"10/04/2022 19:31:40.449"</f>
        <v>10/04/2022 19:31:40.449</v>
      </c>
      <c r="C2297" t="str">
        <f t="shared" si="819"/>
        <v>FFDDD3C0</v>
      </c>
      <c r="D2297" t="s">
        <v>147</v>
      </c>
      <c r="E2297">
        <v>3</v>
      </c>
      <c r="H2297">
        <v>166</v>
      </c>
      <c r="I2297" t="s">
        <v>144</v>
      </c>
      <c r="J2297" t="s">
        <v>148</v>
      </c>
      <c r="K2297">
        <v>0</v>
      </c>
      <c r="L2297">
        <v>3</v>
      </c>
      <c r="M2297">
        <v>0</v>
      </c>
      <c r="N2297">
        <v>2</v>
      </c>
      <c r="O2297">
        <v>0</v>
      </c>
      <c r="P2297">
        <v>1</v>
      </c>
      <c r="Q2297">
        <v>0</v>
      </c>
      <c r="S2297" t="str">
        <f t="shared" ref="S2297:T2303" si="824">"19:31:40.000"</f>
        <v>19:31:40.000</v>
      </c>
      <c r="T2297" t="str">
        <f t="shared" si="824"/>
        <v>19:31:40.000</v>
      </c>
      <c r="U2297" t="str">
        <f t="shared" si="802"/>
        <v>AC3944</v>
      </c>
      <c r="V2297">
        <v>0</v>
      </c>
      <c r="W2297">
        <v>0</v>
      </c>
      <c r="X2297">
        <v>2</v>
      </c>
      <c r="Y2297">
        <v>0</v>
      </c>
      <c r="AA2297">
        <v>1</v>
      </c>
      <c r="AB2297">
        <v>8</v>
      </c>
      <c r="AC2297">
        <v>3</v>
      </c>
      <c r="AD2297">
        <v>0</v>
      </c>
      <c r="AE2297">
        <v>9</v>
      </c>
      <c r="AF2297" t="s">
        <v>138</v>
      </c>
      <c r="AG2297">
        <v>0</v>
      </c>
      <c r="AH2297">
        <v>3</v>
      </c>
      <c r="AI2297">
        <v>1</v>
      </c>
      <c r="AJ2297">
        <v>0</v>
      </c>
      <c r="AK2297" t="s">
        <v>798</v>
      </c>
      <c r="AL2297">
        <v>32.765028000000001</v>
      </c>
      <c r="AM2297" t="s">
        <v>799</v>
      </c>
      <c r="AN2297">
        <v>-116.805224</v>
      </c>
      <c r="AO2297">
        <v>25</v>
      </c>
      <c r="AP2297">
        <v>3100</v>
      </c>
      <c r="AQ2297" t="s">
        <v>129</v>
      </c>
      <c r="AR2297">
        <v>112</v>
      </c>
      <c r="AS2297">
        <v>-71</v>
      </c>
      <c r="AT2297">
        <v>0</v>
      </c>
      <c r="BB2297">
        <v>1200</v>
      </c>
      <c r="BC2297">
        <v>1</v>
      </c>
      <c r="BD2297" t="str">
        <f t="shared" si="803"/>
        <v xml:space="preserve">N887QR  </v>
      </c>
      <c r="BE2297">
        <v>1</v>
      </c>
      <c r="BJ2297">
        <v>2800</v>
      </c>
      <c r="BK2297">
        <v>-300</v>
      </c>
      <c r="BL2297" t="s">
        <v>163</v>
      </c>
      <c r="BM2297">
        <v>1</v>
      </c>
      <c r="BN2297">
        <v>1</v>
      </c>
      <c r="BO2297">
        <v>1</v>
      </c>
      <c r="BP2297">
        <v>0</v>
      </c>
      <c r="BS2297">
        <v>0.04</v>
      </c>
      <c r="BT2297">
        <v>0</v>
      </c>
      <c r="BU2297">
        <v>0</v>
      </c>
      <c r="CE2297" t="str">
        <f t="shared" ref="CE2297:CE2303" si="825">"19:31:40.198"</f>
        <v>19:31:40.198</v>
      </c>
      <c r="CF2297">
        <v>197885036</v>
      </c>
      <c r="CS2297">
        <v>0</v>
      </c>
      <c r="CT2297">
        <v>2</v>
      </c>
      <c r="CU2297">
        <v>0</v>
      </c>
      <c r="CV2297">
        <v>2</v>
      </c>
      <c r="CW2297">
        <v>1</v>
      </c>
      <c r="CX2297">
        <v>5</v>
      </c>
      <c r="CY2297">
        <v>7</v>
      </c>
      <c r="CZ2297" t="s">
        <v>131</v>
      </c>
      <c r="DA2297">
        <v>300</v>
      </c>
      <c r="DB2297">
        <v>0</v>
      </c>
      <c r="DC2297" t="s">
        <v>176</v>
      </c>
      <c r="DD2297" t="s">
        <v>177</v>
      </c>
      <c r="DG2297">
        <v>5408299</v>
      </c>
      <c r="DI2297">
        <v>1</v>
      </c>
      <c r="DJ2297">
        <v>0</v>
      </c>
      <c r="DK2297">
        <v>0</v>
      </c>
      <c r="DL2297">
        <v>0</v>
      </c>
      <c r="DM2297">
        <v>0</v>
      </c>
      <c r="DN2297">
        <v>1</v>
      </c>
      <c r="DO2297">
        <v>0</v>
      </c>
      <c r="DP2297">
        <v>0</v>
      </c>
      <c r="DQ2297">
        <v>0</v>
      </c>
      <c r="DR2297">
        <v>0</v>
      </c>
      <c r="DS2297">
        <v>0</v>
      </c>
    </row>
    <row r="2298" spans="1:123" x14ac:dyDescent="0.3">
      <c r="A2298" t="str">
        <f t="shared" si="823"/>
        <v>10/04/2022 19:31:40.449</v>
      </c>
      <c r="C2298" t="str">
        <f t="shared" si="819"/>
        <v>FFDDD3C0</v>
      </c>
      <c r="D2298" t="s">
        <v>136</v>
      </c>
      <c r="E2298">
        <v>8</v>
      </c>
      <c r="H2298">
        <v>225</v>
      </c>
      <c r="I2298" t="s">
        <v>137</v>
      </c>
      <c r="J2298" t="s">
        <v>138</v>
      </c>
      <c r="K2298">
        <v>0</v>
      </c>
      <c r="L2298">
        <v>3</v>
      </c>
      <c r="M2298">
        <v>0</v>
      </c>
      <c r="N2298">
        <v>2</v>
      </c>
      <c r="O2298">
        <v>0</v>
      </c>
      <c r="P2298">
        <v>1</v>
      </c>
      <c r="Q2298">
        <v>0</v>
      </c>
      <c r="S2298" t="str">
        <f t="shared" si="824"/>
        <v>19:31:40.000</v>
      </c>
      <c r="T2298" t="str">
        <f t="shared" si="824"/>
        <v>19:31:40.000</v>
      </c>
      <c r="U2298" t="str">
        <f t="shared" si="802"/>
        <v>AC3944</v>
      </c>
      <c r="V2298">
        <v>0</v>
      </c>
      <c r="W2298">
        <v>0</v>
      </c>
      <c r="X2298">
        <v>2</v>
      </c>
      <c r="Y2298">
        <v>0</v>
      </c>
      <c r="AA2298">
        <v>1</v>
      </c>
      <c r="AB2298">
        <v>8</v>
      </c>
      <c r="AC2298">
        <v>3</v>
      </c>
      <c r="AD2298">
        <v>0</v>
      </c>
      <c r="AE2298">
        <v>9</v>
      </c>
      <c r="AF2298" t="s">
        <v>138</v>
      </c>
      <c r="AG2298">
        <v>0</v>
      </c>
      <c r="AH2298">
        <v>3</v>
      </c>
      <c r="AI2298">
        <v>1</v>
      </c>
      <c r="AJ2298">
        <v>0</v>
      </c>
      <c r="AK2298" t="s">
        <v>798</v>
      </c>
      <c r="AL2298">
        <v>32.765028000000001</v>
      </c>
      <c r="AM2298" t="s">
        <v>799</v>
      </c>
      <c r="AN2298">
        <v>-116.805224</v>
      </c>
      <c r="AO2298">
        <v>25</v>
      </c>
      <c r="AP2298">
        <v>3100</v>
      </c>
      <c r="AQ2298" t="s">
        <v>129</v>
      </c>
      <c r="AR2298">
        <v>112</v>
      </c>
      <c r="AS2298">
        <v>-71</v>
      </c>
      <c r="AT2298">
        <v>0</v>
      </c>
      <c r="BB2298">
        <v>1200</v>
      </c>
      <c r="BC2298">
        <v>1</v>
      </c>
      <c r="BD2298" t="str">
        <f t="shared" si="803"/>
        <v xml:space="preserve">N887QR  </v>
      </c>
      <c r="BE2298">
        <v>1</v>
      </c>
      <c r="BJ2298">
        <v>2800</v>
      </c>
      <c r="BK2298">
        <v>-300</v>
      </c>
      <c r="BL2298" t="s">
        <v>163</v>
      </c>
      <c r="BM2298">
        <v>1</v>
      </c>
      <c r="BN2298">
        <v>1</v>
      </c>
      <c r="BO2298">
        <v>1</v>
      </c>
      <c r="BP2298">
        <v>0</v>
      </c>
      <c r="BS2298">
        <v>0.04</v>
      </c>
      <c r="BT2298">
        <v>0</v>
      </c>
      <c r="BU2298">
        <v>0</v>
      </c>
      <c r="CE2298" t="str">
        <f t="shared" si="825"/>
        <v>19:31:40.198</v>
      </c>
      <c r="CF2298">
        <v>197885036</v>
      </c>
      <c r="CS2298">
        <v>0</v>
      </c>
      <c r="CT2298">
        <v>2</v>
      </c>
      <c r="CU2298">
        <v>0</v>
      </c>
      <c r="CV2298">
        <v>2</v>
      </c>
      <c r="CW2298">
        <v>1</v>
      </c>
      <c r="CX2298">
        <v>5</v>
      </c>
      <c r="CY2298">
        <v>7</v>
      </c>
      <c r="CZ2298" t="s">
        <v>131</v>
      </c>
      <c r="DA2298">
        <v>300</v>
      </c>
      <c r="DB2298">
        <v>0</v>
      </c>
      <c r="DC2298" t="s">
        <v>176</v>
      </c>
      <c r="DD2298" t="s">
        <v>177</v>
      </c>
      <c r="DG2298">
        <v>5408299</v>
      </c>
      <c r="DI2298">
        <v>1</v>
      </c>
      <c r="DJ2298">
        <v>0</v>
      </c>
      <c r="DK2298">
        <v>1</v>
      </c>
      <c r="DL2298">
        <v>0</v>
      </c>
      <c r="DM2298">
        <v>0</v>
      </c>
      <c r="DN2298">
        <v>1</v>
      </c>
      <c r="DO2298">
        <v>0</v>
      </c>
      <c r="DP2298">
        <v>0</v>
      </c>
      <c r="DQ2298">
        <v>0</v>
      </c>
      <c r="DR2298">
        <v>0</v>
      </c>
      <c r="DS2298">
        <v>0</v>
      </c>
    </row>
    <row r="2299" spans="1:123" x14ac:dyDescent="0.3">
      <c r="A2299" t="str">
        <f t="shared" si="823"/>
        <v>10/04/2022 19:31:40.449</v>
      </c>
      <c r="C2299" t="str">
        <f t="shared" si="819"/>
        <v>FFDDD3C0</v>
      </c>
      <c r="D2299" t="s">
        <v>141</v>
      </c>
      <c r="E2299">
        <v>3</v>
      </c>
      <c r="H2299">
        <v>3</v>
      </c>
      <c r="I2299" t="s">
        <v>146</v>
      </c>
      <c r="J2299" t="s">
        <v>138</v>
      </c>
      <c r="K2299">
        <v>0</v>
      </c>
      <c r="L2299">
        <v>3</v>
      </c>
      <c r="M2299">
        <v>0</v>
      </c>
      <c r="N2299">
        <v>2</v>
      </c>
      <c r="O2299">
        <v>0</v>
      </c>
      <c r="P2299">
        <v>1</v>
      </c>
      <c r="Q2299">
        <v>0</v>
      </c>
      <c r="S2299" t="str">
        <f t="shared" si="824"/>
        <v>19:31:40.000</v>
      </c>
      <c r="T2299" t="str">
        <f t="shared" si="824"/>
        <v>19:31:40.000</v>
      </c>
      <c r="U2299" t="str">
        <f t="shared" si="802"/>
        <v>AC3944</v>
      </c>
      <c r="V2299">
        <v>0</v>
      </c>
      <c r="W2299">
        <v>0</v>
      </c>
      <c r="X2299">
        <v>2</v>
      </c>
      <c r="Y2299">
        <v>0</v>
      </c>
      <c r="AA2299">
        <v>1</v>
      </c>
      <c r="AB2299">
        <v>8</v>
      </c>
      <c r="AC2299">
        <v>3</v>
      </c>
      <c r="AD2299">
        <v>0</v>
      </c>
      <c r="AE2299">
        <v>9</v>
      </c>
      <c r="AF2299" t="s">
        <v>138</v>
      </c>
      <c r="AG2299">
        <v>0</v>
      </c>
      <c r="AH2299">
        <v>3</v>
      </c>
      <c r="AI2299">
        <v>1</v>
      </c>
      <c r="AJ2299">
        <v>0</v>
      </c>
      <c r="AK2299" t="s">
        <v>798</v>
      </c>
      <c r="AL2299">
        <v>32.765028000000001</v>
      </c>
      <c r="AM2299" t="s">
        <v>799</v>
      </c>
      <c r="AN2299">
        <v>-116.805224</v>
      </c>
      <c r="AO2299">
        <v>25</v>
      </c>
      <c r="AP2299">
        <v>3100</v>
      </c>
      <c r="AQ2299" t="s">
        <v>129</v>
      </c>
      <c r="AR2299">
        <v>112</v>
      </c>
      <c r="AS2299">
        <v>-71</v>
      </c>
      <c r="AT2299">
        <v>0</v>
      </c>
      <c r="BB2299">
        <v>1200</v>
      </c>
      <c r="BC2299">
        <v>1</v>
      </c>
      <c r="BD2299" t="str">
        <f t="shared" si="803"/>
        <v xml:space="preserve">N887QR  </v>
      </c>
      <c r="BE2299">
        <v>1</v>
      </c>
      <c r="BJ2299">
        <v>2800</v>
      </c>
      <c r="BK2299">
        <v>-300</v>
      </c>
      <c r="BL2299" t="s">
        <v>163</v>
      </c>
      <c r="BM2299">
        <v>1</v>
      </c>
      <c r="BN2299">
        <v>1</v>
      </c>
      <c r="BO2299">
        <v>1</v>
      </c>
      <c r="BP2299">
        <v>0</v>
      </c>
      <c r="BS2299">
        <v>0.04</v>
      </c>
      <c r="BT2299">
        <v>0</v>
      </c>
      <c r="BU2299">
        <v>0</v>
      </c>
      <c r="CE2299" t="str">
        <f t="shared" si="825"/>
        <v>19:31:40.198</v>
      </c>
      <c r="CF2299">
        <v>197885036</v>
      </c>
      <c r="CS2299">
        <v>0</v>
      </c>
      <c r="CT2299">
        <v>2</v>
      </c>
      <c r="CU2299">
        <v>0</v>
      </c>
      <c r="CV2299">
        <v>2</v>
      </c>
      <c r="CW2299">
        <v>1</v>
      </c>
      <c r="CX2299">
        <v>5</v>
      </c>
      <c r="CY2299">
        <v>7</v>
      </c>
      <c r="CZ2299" t="s">
        <v>131</v>
      </c>
      <c r="DA2299">
        <v>300</v>
      </c>
      <c r="DB2299">
        <v>0</v>
      </c>
      <c r="DC2299" t="s">
        <v>176</v>
      </c>
      <c r="DD2299" t="s">
        <v>177</v>
      </c>
      <c r="DG2299">
        <v>5408299</v>
      </c>
      <c r="DI2299">
        <v>1</v>
      </c>
      <c r="DJ2299">
        <v>0</v>
      </c>
      <c r="DK2299">
        <v>1</v>
      </c>
      <c r="DL2299">
        <v>0</v>
      </c>
      <c r="DM2299">
        <v>0</v>
      </c>
      <c r="DN2299">
        <v>1</v>
      </c>
      <c r="DO2299">
        <v>0</v>
      </c>
      <c r="DP2299">
        <v>0</v>
      </c>
      <c r="DQ2299">
        <v>0</v>
      </c>
      <c r="DR2299">
        <v>0</v>
      </c>
      <c r="DS2299">
        <v>0</v>
      </c>
    </row>
    <row r="2300" spans="1:123" x14ac:dyDescent="0.3">
      <c r="A2300" t="str">
        <f t="shared" si="823"/>
        <v>10/04/2022 19:31:40.449</v>
      </c>
      <c r="C2300" t="str">
        <f t="shared" si="819"/>
        <v>FFDDD3C0</v>
      </c>
      <c r="D2300" t="s">
        <v>143</v>
      </c>
      <c r="E2300">
        <v>20</v>
      </c>
      <c r="F2300">
        <v>1020</v>
      </c>
      <c r="G2300" t="s">
        <v>144</v>
      </c>
      <c r="J2300" t="s">
        <v>145</v>
      </c>
      <c r="K2300">
        <v>0</v>
      </c>
      <c r="L2300">
        <v>3</v>
      </c>
      <c r="M2300">
        <v>0</v>
      </c>
      <c r="N2300">
        <v>2</v>
      </c>
      <c r="O2300">
        <v>0</v>
      </c>
      <c r="P2300">
        <v>1</v>
      </c>
      <c r="Q2300">
        <v>0</v>
      </c>
      <c r="S2300" t="str">
        <f t="shared" si="824"/>
        <v>19:31:40.000</v>
      </c>
      <c r="T2300" t="str">
        <f t="shared" si="824"/>
        <v>19:31:40.000</v>
      </c>
      <c r="U2300" t="str">
        <f t="shared" si="802"/>
        <v>AC3944</v>
      </c>
      <c r="V2300">
        <v>0</v>
      </c>
      <c r="W2300">
        <v>0</v>
      </c>
      <c r="X2300">
        <v>2</v>
      </c>
      <c r="Y2300">
        <v>0</v>
      </c>
      <c r="AA2300">
        <v>1</v>
      </c>
      <c r="AB2300">
        <v>8</v>
      </c>
      <c r="AC2300">
        <v>3</v>
      </c>
      <c r="AD2300">
        <v>0</v>
      </c>
      <c r="AE2300">
        <v>9</v>
      </c>
      <c r="AF2300" t="s">
        <v>138</v>
      </c>
      <c r="AG2300">
        <v>0</v>
      </c>
      <c r="AH2300">
        <v>3</v>
      </c>
      <c r="AI2300">
        <v>1</v>
      </c>
      <c r="AJ2300">
        <v>0</v>
      </c>
      <c r="AK2300" t="s">
        <v>798</v>
      </c>
      <c r="AL2300">
        <v>32.765028000000001</v>
      </c>
      <c r="AM2300" t="s">
        <v>799</v>
      </c>
      <c r="AN2300">
        <v>-116.805224</v>
      </c>
      <c r="AO2300">
        <v>25</v>
      </c>
      <c r="AP2300">
        <v>3100</v>
      </c>
      <c r="AQ2300" t="s">
        <v>129</v>
      </c>
      <c r="AR2300">
        <v>112</v>
      </c>
      <c r="AS2300">
        <v>-71</v>
      </c>
      <c r="AT2300">
        <v>0</v>
      </c>
      <c r="BB2300">
        <v>1200</v>
      </c>
      <c r="BC2300">
        <v>1</v>
      </c>
      <c r="BD2300" t="str">
        <f t="shared" si="803"/>
        <v xml:space="preserve">N887QR  </v>
      </c>
      <c r="BE2300">
        <v>1</v>
      </c>
      <c r="BJ2300">
        <v>2800</v>
      </c>
      <c r="BK2300">
        <v>-300</v>
      </c>
      <c r="BL2300" t="s">
        <v>163</v>
      </c>
      <c r="BM2300">
        <v>1</v>
      </c>
      <c r="BN2300">
        <v>1</v>
      </c>
      <c r="BO2300">
        <v>1</v>
      </c>
      <c r="BP2300">
        <v>0</v>
      </c>
      <c r="BS2300">
        <v>0.04</v>
      </c>
      <c r="BT2300">
        <v>0</v>
      </c>
      <c r="BU2300">
        <v>0</v>
      </c>
      <c r="CE2300" t="str">
        <f t="shared" si="825"/>
        <v>19:31:40.198</v>
      </c>
      <c r="CF2300">
        <v>197885036</v>
      </c>
      <c r="CS2300">
        <v>0</v>
      </c>
      <c r="CT2300">
        <v>2</v>
      </c>
      <c r="CU2300">
        <v>0</v>
      </c>
      <c r="CV2300">
        <v>2</v>
      </c>
      <c r="CW2300">
        <v>1</v>
      </c>
      <c r="CX2300">
        <v>5</v>
      </c>
      <c r="CY2300">
        <v>7</v>
      </c>
      <c r="CZ2300" t="s">
        <v>131</v>
      </c>
      <c r="DA2300">
        <v>300</v>
      </c>
      <c r="DB2300">
        <v>0</v>
      </c>
      <c r="DC2300" t="s">
        <v>176</v>
      </c>
      <c r="DD2300" t="s">
        <v>177</v>
      </c>
      <c r="DG2300">
        <v>5408299</v>
      </c>
      <c r="DI2300">
        <v>1</v>
      </c>
      <c r="DJ2300">
        <v>0</v>
      </c>
      <c r="DK2300">
        <v>1</v>
      </c>
      <c r="DL2300">
        <v>0</v>
      </c>
      <c r="DM2300">
        <v>0</v>
      </c>
      <c r="DN2300">
        <v>1</v>
      </c>
      <c r="DO2300">
        <v>0</v>
      </c>
      <c r="DP2300">
        <v>0</v>
      </c>
      <c r="DQ2300">
        <v>0</v>
      </c>
      <c r="DR2300">
        <v>0</v>
      </c>
      <c r="DS2300">
        <v>0</v>
      </c>
    </row>
    <row r="2301" spans="1:123" x14ac:dyDescent="0.3">
      <c r="A2301" t="str">
        <f t="shared" si="823"/>
        <v>10/04/2022 19:31:40.449</v>
      </c>
      <c r="C2301" t="str">
        <f t="shared" si="819"/>
        <v>FFDDD3C0</v>
      </c>
      <c r="D2301" t="s">
        <v>123</v>
      </c>
      <c r="E2301">
        <v>7</v>
      </c>
      <c r="F2301">
        <v>2007</v>
      </c>
      <c r="G2301" t="s">
        <v>124</v>
      </c>
      <c r="J2301" t="s">
        <v>125</v>
      </c>
      <c r="K2301">
        <v>0</v>
      </c>
      <c r="L2301">
        <v>3</v>
      </c>
      <c r="M2301">
        <v>0</v>
      </c>
      <c r="N2301">
        <v>2</v>
      </c>
      <c r="O2301">
        <v>0</v>
      </c>
      <c r="P2301">
        <v>1</v>
      </c>
      <c r="Q2301">
        <v>0</v>
      </c>
      <c r="S2301" t="str">
        <f t="shared" si="824"/>
        <v>19:31:40.000</v>
      </c>
      <c r="T2301" t="str">
        <f t="shared" si="824"/>
        <v>19:31:40.000</v>
      </c>
      <c r="U2301" t="str">
        <f t="shared" si="802"/>
        <v>AC3944</v>
      </c>
      <c r="V2301">
        <v>0</v>
      </c>
      <c r="W2301">
        <v>0</v>
      </c>
      <c r="X2301">
        <v>2</v>
      </c>
      <c r="Y2301">
        <v>0</v>
      </c>
      <c r="AA2301">
        <v>1</v>
      </c>
      <c r="AB2301">
        <v>8</v>
      </c>
      <c r="AC2301">
        <v>3</v>
      </c>
      <c r="AD2301">
        <v>0</v>
      </c>
      <c r="AE2301">
        <v>9</v>
      </c>
      <c r="AF2301" t="s">
        <v>138</v>
      </c>
      <c r="AG2301">
        <v>0</v>
      </c>
      <c r="AH2301">
        <v>3</v>
      </c>
      <c r="AI2301">
        <v>1</v>
      </c>
      <c r="AJ2301">
        <v>0</v>
      </c>
      <c r="AK2301" t="s">
        <v>798</v>
      </c>
      <c r="AL2301">
        <v>32.765028000000001</v>
      </c>
      <c r="AM2301" t="s">
        <v>799</v>
      </c>
      <c r="AN2301">
        <v>-116.805224</v>
      </c>
      <c r="AO2301">
        <v>25</v>
      </c>
      <c r="AP2301">
        <v>3100</v>
      </c>
      <c r="AQ2301" t="s">
        <v>129</v>
      </c>
      <c r="AR2301">
        <v>112</v>
      </c>
      <c r="AS2301">
        <v>-71</v>
      </c>
      <c r="AT2301">
        <v>0</v>
      </c>
      <c r="BB2301">
        <v>1200</v>
      </c>
      <c r="BC2301">
        <v>1</v>
      </c>
      <c r="BD2301" t="str">
        <f t="shared" si="803"/>
        <v xml:space="preserve">N887QR  </v>
      </c>
      <c r="BE2301">
        <v>1</v>
      </c>
      <c r="BJ2301">
        <v>2800</v>
      </c>
      <c r="BK2301">
        <v>-300</v>
      </c>
      <c r="BL2301" t="s">
        <v>163</v>
      </c>
      <c r="BM2301">
        <v>1</v>
      </c>
      <c r="BN2301">
        <v>1</v>
      </c>
      <c r="BO2301">
        <v>1</v>
      </c>
      <c r="BP2301">
        <v>0</v>
      </c>
      <c r="BS2301">
        <v>0.04</v>
      </c>
      <c r="BT2301">
        <v>0</v>
      </c>
      <c r="BU2301">
        <v>0</v>
      </c>
      <c r="CE2301" t="str">
        <f t="shared" si="825"/>
        <v>19:31:40.198</v>
      </c>
      <c r="CF2301">
        <v>197885036</v>
      </c>
      <c r="CS2301">
        <v>0</v>
      </c>
      <c r="CT2301">
        <v>2</v>
      </c>
      <c r="CU2301">
        <v>0</v>
      </c>
      <c r="CV2301">
        <v>2</v>
      </c>
      <c r="CW2301">
        <v>1</v>
      </c>
      <c r="CX2301">
        <v>5</v>
      </c>
      <c r="CY2301">
        <v>7</v>
      </c>
      <c r="CZ2301" t="s">
        <v>131</v>
      </c>
      <c r="DA2301">
        <v>300</v>
      </c>
      <c r="DB2301">
        <v>0</v>
      </c>
      <c r="DC2301" t="s">
        <v>176</v>
      </c>
      <c r="DD2301" t="s">
        <v>177</v>
      </c>
      <c r="DG2301">
        <v>5408299</v>
      </c>
      <c r="DI2301">
        <v>1</v>
      </c>
      <c r="DJ2301">
        <v>0</v>
      </c>
      <c r="DK2301">
        <v>0</v>
      </c>
      <c r="DL2301">
        <v>0</v>
      </c>
      <c r="DM2301">
        <v>0</v>
      </c>
      <c r="DN2301">
        <v>1</v>
      </c>
      <c r="DO2301">
        <v>0</v>
      </c>
      <c r="DP2301">
        <v>0</v>
      </c>
      <c r="DQ2301">
        <v>0</v>
      </c>
      <c r="DR2301">
        <v>0</v>
      </c>
      <c r="DS2301">
        <v>0</v>
      </c>
    </row>
    <row r="2302" spans="1:123" x14ac:dyDescent="0.3">
      <c r="A2302" t="str">
        <f t="shared" si="823"/>
        <v>10/04/2022 19:31:40.449</v>
      </c>
      <c r="C2302" t="str">
        <f t="shared" si="819"/>
        <v>FFDDD3C0</v>
      </c>
      <c r="D2302" t="s">
        <v>134</v>
      </c>
      <c r="E2302">
        <v>15</v>
      </c>
      <c r="J2302" t="s">
        <v>135</v>
      </c>
      <c r="K2302">
        <v>0</v>
      </c>
      <c r="L2302">
        <v>3</v>
      </c>
      <c r="M2302">
        <v>0</v>
      </c>
      <c r="N2302">
        <v>2</v>
      </c>
      <c r="O2302">
        <v>0</v>
      </c>
      <c r="P2302">
        <v>1</v>
      </c>
      <c r="Q2302">
        <v>0</v>
      </c>
      <c r="S2302" t="str">
        <f t="shared" si="824"/>
        <v>19:31:40.000</v>
      </c>
      <c r="T2302" t="str">
        <f t="shared" si="824"/>
        <v>19:31:40.000</v>
      </c>
      <c r="U2302" t="str">
        <f t="shared" si="802"/>
        <v>AC3944</v>
      </c>
      <c r="V2302">
        <v>0</v>
      </c>
      <c r="W2302">
        <v>0</v>
      </c>
      <c r="X2302">
        <v>2</v>
      </c>
      <c r="Y2302">
        <v>0</v>
      </c>
      <c r="AA2302">
        <v>1</v>
      </c>
      <c r="AB2302">
        <v>8</v>
      </c>
      <c r="AC2302">
        <v>3</v>
      </c>
      <c r="AD2302">
        <v>0</v>
      </c>
      <c r="AE2302">
        <v>9</v>
      </c>
      <c r="AF2302" t="s">
        <v>138</v>
      </c>
      <c r="AG2302">
        <v>0</v>
      </c>
      <c r="AH2302">
        <v>3</v>
      </c>
      <c r="AI2302">
        <v>1</v>
      </c>
      <c r="AJ2302">
        <v>0</v>
      </c>
      <c r="AK2302" t="s">
        <v>798</v>
      </c>
      <c r="AL2302">
        <v>32.765028000000001</v>
      </c>
      <c r="AM2302" t="s">
        <v>799</v>
      </c>
      <c r="AN2302">
        <v>-116.805224</v>
      </c>
      <c r="AO2302">
        <v>25</v>
      </c>
      <c r="AP2302">
        <v>3100</v>
      </c>
      <c r="AQ2302" t="s">
        <v>129</v>
      </c>
      <c r="AR2302">
        <v>112</v>
      </c>
      <c r="AS2302">
        <v>-71</v>
      </c>
      <c r="AT2302">
        <v>0</v>
      </c>
      <c r="BB2302">
        <v>1200</v>
      </c>
      <c r="BC2302">
        <v>1</v>
      </c>
      <c r="BD2302" t="str">
        <f t="shared" si="803"/>
        <v xml:space="preserve">N887QR  </v>
      </c>
      <c r="BE2302">
        <v>1</v>
      </c>
      <c r="BJ2302">
        <v>2800</v>
      </c>
      <c r="BK2302">
        <v>-300</v>
      </c>
      <c r="BL2302" t="s">
        <v>163</v>
      </c>
      <c r="BM2302">
        <v>1</v>
      </c>
      <c r="BN2302">
        <v>1</v>
      </c>
      <c r="BO2302">
        <v>1</v>
      </c>
      <c r="BP2302">
        <v>0</v>
      </c>
      <c r="BS2302">
        <v>0.04</v>
      </c>
      <c r="BT2302">
        <v>0</v>
      </c>
      <c r="BU2302">
        <v>0</v>
      </c>
      <c r="CE2302" t="str">
        <f t="shared" si="825"/>
        <v>19:31:40.198</v>
      </c>
      <c r="CF2302">
        <v>197885036</v>
      </c>
      <c r="CS2302">
        <v>0</v>
      </c>
      <c r="CT2302">
        <v>2</v>
      </c>
      <c r="CU2302">
        <v>0</v>
      </c>
      <c r="CV2302">
        <v>2</v>
      </c>
      <c r="CW2302">
        <v>1</v>
      </c>
      <c r="CX2302">
        <v>5</v>
      </c>
      <c r="CY2302">
        <v>7</v>
      </c>
      <c r="CZ2302" t="s">
        <v>131</v>
      </c>
      <c r="DA2302">
        <v>300</v>
      </c>
      <c r="DB2302">
        <v>0</v>
      </c>
      <c r="DC2302" t="s">
        <v>176</v>
      </c>
      <c r="DD2302" t="s">
        <v>177</v>
      </c>
      <c r="DG2302">
        <v>5408299</v>
      </c>
      <c r="DI2302">
        <v>1</v>
      </c>
      <c r="DJ2302">
        <v>0</v>
      </c>
      <c r="DK2302">
        <v>1</v>
      </c>
      <c r="DL2302">
        <v>0</v>
      </c>
      <c r="DM2302">
        <v>0</v>
      </c>
      <c r="DN2302">
        <v>1</v>
      </c>
      <c r="DO2302">
        <v>0</v>
      </c>
      <c r="DP2302">
        <v>0</v>
      </c>
      <c r="DQ2302">
        <v>0</v>
      </c>
      <c r="DR2302">
        <v>0</v>
      </c>
      <c r="DS2302">
        <v>0</v>
      </c>
    </row>
    <row r="2303" spans="1:123" x14ac:dyDescent="0.3">
      <c r="A2303" t="str">
        <f t="shared" si="823"/>
        <v>10/04/2022 19:31:40.449</v>
      </c>
      <c r="C2303" t="str">
        <f t="shared" si="819"/>
        <v>FFDDD3C0</v>
      </c>
      <c r="D2303" t="s">
        <v>141</v>
      </c>
      <c r="E2303">
        <v>4</v>
      </c>
      <c r="H2303">
        <v>4</v>
      </c>
      <c r="I2303" t="s">
        <v>142</v>
      </c>
      <c r="J2303" t="s">
        <v>138</v>
      </c>
      <c r="K2303">
        <v>0</v>
      </c>
      <c r="L2303">
        <v>3</v>
      </c>
      <c r="M2303">
        <v>0</v>
      </c>
      <c r="N2303">
        <v>2</v>
      </c>
      <c r="O2303">
        <v>0</v>
      </c>
      <c r="P2303">
        <v>1</v>
      </c>
      <c r="Q2303">
        <v>0</v>
      </c>
      <c r="S2303" t="str">
        <f t="shared" si="824"/>
        <v>19:31:40.000</v>
      </c>
      <c r="T2303" t="str">
        <f t="shared" si="824"/>
        <v>19:31:40.000</v>
      </c>
      <c r="U2303" t="str">
        <f t="shared" si="802"/>
        <v>AC3944</v>
      </c>
      <c r="V2303">
        <v>0</v>
      </c>
      <c r="W2303">
        <v>0</v>
      </c>
      <c r="X2303">
        <v>2</v>
      </c>
      <c r="Y2303">
        <v>0</v>
      </c>
      <c r="AA2303">
        <v>1</v>
      </c>
      <c r="AB2303">
        <v>8</v>
      </c>
      <c r="AC2303">
        <v>3</v>
      </c>
      <c r="AD2303">
        <v>0</v>
      </c>
      <c r="AE2303">
        <v>9</v>
      </c>
      <c r="AF2303" t="s">
        <v>138</v>
      </c>
      <c r="AG2303">
        <v>0</v>
      </c>
      <c r="AH2303">
        <v>3</v>
      </c>
      <c r="AI2303">
        <v>1</v>
      </c>
      <c r="AJ2303">
        <v>0</v>
      </c>
      <c r="AK2303" t="s">
        <v>798</v>
      </c>
      <c r="AL2303">
        <v>32.765028000000001</v>
      </c>
      <c r="AM2303" t="s">
        <v>799</v>
      </c>
      <c r="AN2303">
        <v>-116.805224</v>
      </c>
      <c r="AO2303">
        <v>25</v>
      </c>
      <c r="AP2303">
        <v>3100</v>
      </c>
      <c r="AQ2303" t="s">
        <v>129</v>
      </c>
      <c r="AR2303">
        <v>112</v>
      </c>
      <c r="AS2303">
        <v>-71</v>
      </c>
      <c r="AT2303">
        <v>0</v>
      </c>
      <c r="BB2303">
        <v>1200</v>
      </c>
      <c r="BC2303">
        <v>1</v>
      </c>
      <c r="BD2303" t="str">
        <f t="shared" si="803"/>
        <v xml:space="preserve">N887QR  </v>
      </c>
      <c r="BE2303">
        <v>1</v>
      </c>
      <c r="BJ2303">
        <v>2800</v>
      </c>
      <c r="BK2303">
        <v>-300</v>
      </c>
      <c r="BL2303" t="s">
        <v>163</v>
      </c>
      <c r="BM2303">
        <v>1</v>
      </c>
      <c r="BN2303">
        <v>1</v>
      </c>
      <c r="BO2303">
        <v>1</v>
      </c>
      <c r="BP2303">
        <v>0</v>
      </c>
      <c r="BS2303">
        <v>0.04</v>
      </c>
      <c r="BT2303">
        <v>0</v>
      </c>
      <c r="BU2303">
        <v>0</v>
      </c>
      <c r="CE2303" t="str">
        <f t="shared" si="825"/>
        <v>19:31:40.198</v>
      </c>
      <c r="CF2303">
        <v>197885036</v>
      </c>
      <c r="CS2303">
        <v>0</v>
      </c>
      <c r="CT2303">
        <v>2</v>
      </c>
      <c r="CU2303">
        <v>0</v>
      </c>
      <c r="CV2303">
        <v>2</v>
      </c>
      <c r="CW2303">
        <v>1</v>
      </c>
      <c r="CX2303">
        <v>5</v>
      </c>
      <c r="CY2303">
        <v>7</v>
      </c>
      <c r="CZ2303" t="s">
        <v>131</v>
      </c>
      <c r="DA2303">
        <v>300</v>
      </c>
      <c r="DB2303">
        <v>0</v>
      </c>
      <c r="DC2303" t="s">
        <v>176</v>
      </c>
      <c r="DD2303" t="s">
        <v>177</v>
      </c>
      <c r="DG2303">
        <v>5408299</v>
      </c>
      <c r="DI2303">
        <v>1</v>
      </c>
      <c r="DJ2303">
        <v>0</v>
      </c>
      <c r="DK2303">
        <v>1</v>
      </c>
      <c r="DL2303">
        <v>0</v>
      </c>
      <c r="DM2303">
        <v>0</v>
      </c>
      <c r="DN2303">
        <v>1</v>
      </c>
      <c r="DO2303">
        <v>0</v>
      </c>
      <c r="DP2303">
        <v>0</v>
      </c>
      <c r="DQ2303">
        <v>0</v>
      </c>
      <c r="DR2303">
        <v>0</v>
      </c>
      <c r="DS2303">
        <v>0</v>
      </c>
    </row>
    <row r="2304" spans="1:123" x14ac:dyDescent="0.3">
      <c r="A2304" t="str">
        <f t="shared" ref="A2304:A2310" si="826">"10/04/2022 19:31:41.713"</f>
        <v>10/04/2022 19:31:41.713</v>
      </c>
      <c r="C2304" t="str">
        <f t="shared" si="819"/>
        <v>FFDDD3C0</v>
      </c>
      <c r="D2304" t="s">
        <v>147</v>
      </c>
      <c r="E2304">
        <v>3</v>
      </c>
      <c r="H2304">
        <v>166</v>
      </c>
      <c r="I2304" t="s">
        <v>144</v>
      </c>
      <c r="J2304" t="s">
        <v>148</v>
      </c>
      <c r="K2304">
        <v>0</v>
      </c>
      <c r="L2304">
        <v>3</v>
      </c>
      <c r="M2304">
        <v>0</v>
      </c>
      <c r="N2304">
        <v>2</v>
      </c>
      <c r="O2304">
        <v>0</v>
      </c>
      <c r="P2304">
        <v>1</v>
      </c>
      <c r="Q2304">
        <v>0</v>
      </c>
      <c r="S2304" t="str">
        <f t="shared" ref="S2304:T2310" si="827">"19:31:41.000"</f>
        <v>19:31:41.000</v>
      </c>
      <c r="T2304" t="str">
        <f t="shared" si="827"/>
        <v>19:31:41.000</v>
      </c>
      <c r="U2304" t="str">
        <f t="shared" si="802"/>
        <v>AC3944</v>
      </c>
      <c r="V2304">
        <v>0</v>
      </c>
      <c r="W2304">
        <v>0</v>
      </c>
      <c r="X2304">
        <v>2</v>
      </c>
      <c r="Y2304">
        <v>0</v>
      </c>
      <c r="AA2304">
        <v>1</v>
      </c>
      <c r="AB2304">
        <v>8</v>
      </c>
      <c r="AC2304">
        <v>3</v>
      </c>
      <c r="AD2304">
        <v>0</v>
      </c>
      <c r="AE2304">
        <v>9</v>
      </c>
      <c r="AF2304" t="s">
        <v>138</v>
      </c>
      <c r="AG2304">
        <v>0</v>
      </c>
      <c r="AH2304">
        <v>3</v>
      </c>
      <c r="AI2304">
        <v>1</v>
      </c>
      <c r="AJ2304">
        <v>0</v>
      </c>
      <c r="AK2304" t="s">
        <v>800</v>
      </c>
      <c r="AL2304">
        <v>32.764685</v>
      </c>
      <c r="AM2304" t="s">
        <v>801</v>
      </c>
      <c r="AN2304">
        <v>-116.804602</v>
      </c>
      <c r="AO2304">
        <v>25</v>
      </c>
      <c r="AP2304">
        <v>3100</v>
      </c>
      <c r="AQ2304" t="s">
        <v>129</v>
      </c>
      <c r="AR2304">
        <v>113</v>
      </c>
      <c r="AS2304">
        <v>-69</v>
      </c>
      <c r="AT2304">
        <v>0</v>
      </c>
      <c r="BB2304">
        <v>1200</v>
      </c>
      <c r="BC2304">
        <v>1</v>
      </c>
      <c r="BD2304" t="str">
        <f t="shared" si="803"/>
        <v xml:space="preserve">N887QR  </v>
      </c>
      <c r="BE2304">
        <v>1</v>
      </c>
      <c r="BJ2304">
        <v>2800</v>
      </c>
      <c r="BK2304">
        <v>-300</v>
      </c>
      <c r="BL2304" t="s">
        <v>163</v>
      </c>
      <c r="BM2304">
        <v>1</v>
      </c>
      <c r="BN2304">
        <v>1</v>
      </c>
      <c r="BO2304">
        <v>1</v>
      </c>
      <c r="BP2304">
        <v>0</v>
      </c>
      <c r="BS2304">
        <v>0</v>
      </c>
      <c r="BT2304">
        <v>0</v>
      </c>
      <c r="BU2304">
        <v>0</v>
      </c>
      <c r="CE2304" t="str">
        <f t="shared" ref="CE2304:CE2310" si="828">"19:31:41.206"</f>
        <v>19:31:41.206</v>
      </c>
      <c r="CF2304">
        <v>206138425</v>
      </c>
      <c r="CS2304">
        <v>0</v>
      </c>
      <c r="CT2304">
        <v>2</v>
      </c>
      <c r="CU2304">
        <v>0</v>
      </c>
      <c r="CV2304">
        <v>2</v>
      </c>
      <c r="CW2304">
        <v>0</v>
      </c>
      <c r="CX2304">
        <v>5</v>
      </c>
      <c r="CY2304">
        <v>7</v>
      </c>
      <c r="CZ2304" t="s">
        <v>131</v>
      </c>
      <c r="DA2304">
        <v>300</v>
      </c>
      <c r="DB2304">
        <v>0</v>
      </c>
      <c r="DC2304" t="s">
        <v>176</v>
      </c>
      <c r="DD2304" t="s">
        <v>177</v>
      </c>
      <c r="DG2304">
        <v>5408462</v>
      </c>
      <c r="DI2304">
        <v>1</v>
      </c>
      <c r="DJ2304">
        <v>0</v>
      </c>
      <c r="DK2304">
        <v>0</v>
      </c>
      <c r="DL2304">
        <v>0</v>
      </c>
      <c r="DM2304">
        <v>0</v>
      </c>
      <c r="DN2304">
        <v>1</v>
      </c>
      <c r="DO2304">
        <v>0</v>
      </c>
      <c r="DP2304">
        <v>0</v>
      </c>
      <c r="DQ2304">
        <v>0</v>
      </c>
      <c r="DR2304">
        <v>0</v>
      </c>
      <c r="DS2304">
        <v>0</v>
      </c>
    </row>
    <row r="2305" spans="1:123" x14ac:dyDescent="0.3">
      <c r="A2305" t="str">
        <f t="shared" si="826"/>
        <v>10/04/2022 19:31:41.713</v>
      </c>
      <c r="C2305" t="str">
        <f t="shared" si="819"/>
        <v>FFDDD3C0</v>
      </c>
      <c r="D2305" t="s">
        <v>136</v>
      </c>
      <c r="E2305">
        <v>8</v>
      </c>
      <c r="H2305">
        <v>225</v>
      </c>
      <c r="I2305" t="s">
        <v>137</v>
      </c>
      <c r="J2305" t="s">
        <v>138</v>
      </c>
      <c r="K2305">
        <v>0</v>
      </c>
      <c r="L2305">
        <v>3</v>
      </c>
      <c r="M2305">
        <v>0</v>
      </c>
      <c r="N2305">
        <v>2</v>
      </c>
      <c r="O2305">
        <v>0</v>
      </c>
      <c r="P2305">
        <v>1</v>
      </c>
      <c r="Q2305">
        <v>0</v>
      </c>
      <c r="S2305" t="str">
        <f t="shared" si="827"/>
        <v>19:31:41.000</v>
      </c>
      <c r="T2305" t="str">
        <f t="shared" si="827"/>
        <v>19:31:41.000</v>
      </c>
      <c r="U2305" t="str">
        <f t="shared" si="802"/>
        <v>AC3944</v>
      </c>
      <c r="V2305">
        <v>0</v>
      </c>
      <c r="W2305">
        <v>0</v>
      </c>
      <c r="X2305">
        <v>2</v>
      </c>
      <c r="Y2305">
        <v>0</v>
      </c>
      <c r="AA2305">
        <v>1</v>
      </c>
      <c r="AB2305">
        <v>8</v>
      </c>
      <c r="AC2305">
        <v>3</v>
      </c>
      <c r="AD2305">
        <v>0</v>
      </c>
      <c r="AE2305">
        <v>9</v>
      </c>
      <c r="AF2305" t="s">
        <v>138</v>
      </c>
      <c r="AG2305">
        <v>0</v>
      </c>
      <c r="AH2305">
        <v>3</v>
      </c>
      <c r="AI2305">
        <v>1</v>
      </c>
      <c r="AJ2305">
        <v>0</v>
      </c>
      <c r="AK2305" t="s">
        <v>800</v>
      </c>
      <c r="AL2305">
        <v>32.764685</v>
      </c>
      <c r="AM2305" t="s">
        <v>801</v>
      </c>
      <c r="AN2305">
        <v>-116.804602</v>
      </c>
      <c r="AO2305">
        <v>25</v>
      </c>
      <c r="AP2305">
        <v>3100</v>
      </c>
      <c r="AQ2305" t="s">
        <v>129</v>
      </c>
      <c r="AR2305">
        <v>113</v>
      </c>
      <c r="AS2305">
        <v>-69</v>
      </c>
      <c r="AT2305">
        <v>0</v>
      </c>
      <c r="BB2305">
        <v>1200</v>
      </c>
      <c r="BC2305">
        <v>1</v>
      </c>
      <c r="BD2305" t="str">
        <f t="shared" si="803"/>
        <v xml:space="preserve">N887QR  </v>
      </c>
      <c r="BE2305">
        <v>1</v>
      </c>
      <c r="BJ2305">
        <v>2800</v>
      </c>
      <c r="BK2305">
        <v>-300</v>
      </c>
      <c r="BL2305" t="s">
        <v>163</v>
      </c>
      <c r="BM2305">
        <v>1</v>
      </c>
      <c r="BN2305">
        <v>1</v>
      </c>
      <c r="BO2305">
        <v>1</v>
      </c>
      <c r="BP2305">
        <v>0</v>
      </c>
      <c r="BS2305">
        <v>0</v>
      </c>
      <c r="BT2305">
        <v>0</v>
      </c>
      <c r="BU2305">
        <v>0</v>
      </c>
      <c r="CE2305" t="str">
        <f t="shared" si="828"/>
        <v>19:31:41.206</v>
      </c>
      <c r="CF2305">
        <v>206138425</v>
      </c>
      <c r="CS2305">
        <v>0</v>
      </c>
      <c r="CT2305">
        <v>2</v>
      </c>
      <c r="CU2305">
        <v>0</v>
      </c>
      <c r="CV2305">
        <v>2</v>
      </c>
      <c r="CW2305">
        <v>0</v>
      </c>
      <c r="CX2305">
        <v>5</v>
      </c>
      <c r="CY2305">
        <v>7</v>
      </c>
      <c r="CZ2305" t="s">
        <v>131</v>
      </c>
      <c r="DA2305">
        <v>300</v>
      </c>
      <c r="DB2305">
        <v>0</v>
      </c>
      <c r="DC2305" t="s">
        <v>176</v>
      </c>
      <c r="DD2305" t="s">
        <v>177</v>
      </c>
      <c r="DG2305">
        <v>5408462</v>
      </c>
      <c r="DI2305">
        <v>1</v>
      </c>
      <c r="DJ2305">
        <v>0</v>
      </c>
      <c r="DK2305">
        <v>1</v>
      </c>
      <c r="DL2305">
        <v>0</v>
      </c>
      <c r="DM2305">
        <v>0</v>
      </c>
      <c r="DN2305">
        <v>1</v>
      </c>
      <c r="DO2305">
        <v>0</v>
      </c>
      <c r="DP2305">
        <v>0</v>
      </c>
      <c r="DQ2305">
        <v>0</v>
      </c>
      <c r="DR2305">
        <v>0</v>
      </c>
      <c r="DS2305">
        <v>0</v>
      </c>
    </row>
    <row r="2306" spans="1:123" x14ac:dyDescent="0.3">
      <c r="A2306" t="str">
        <f t="shared" si="826"/>
        <v>10/04/2022 19:31:41.713</v>
      </c>
      <c r="C2306" t="str">
        <f t="shared" si="819"/>
        <v>FFDDD3C0</v>
      </c>
      <c r="D2306" t="s">
        <v>143</v>
      </c>
      <c r="E2306">
        <v>20</v>
      </c>
      <c r="F2306">
        <v>1020</v>
      </c>
      <c r="G2306" t="s">
        <v>144</v>
      </c>
      <c r="J2306" t="s">
        <v>145</v>
      </c>
      <c r="K2306">
        <v>0</v>
      </c>
      <c r="L2306">
        <v>3</v>
      </c>
      <c r="M2306">
        <v>0</v>
      </c>
      <c r="N2306">
        <v>2</v>
      </c>
      <c r="O2306">
        <v>0</v>
      </c>
      <c r="P2306">
        <v>1</v>
      </c>
      <c r="Q2306">
        <v>0</v>
      </c>
      <c r="S2306" t="str">
        <f t="shared" si="827"/>
        <v>19:31:41.000</v>
      </c>
      <c r="T2306" t="str">
        <f t="shared" si="827"/>
        <v>19:31:41.000</v>
      </c>
      <c r="U2306" t="str">
        <f t="shared" ref="U2306:U2369" si="829">"AC3944"</f>
        <v>AC3944</v>
      </c>
      <c r="V2306">
        <v>0</v>
      </c>
      <c r="W2306">
        <v>0</v>
      </c>
      <c r="X2306">
        <v>2</v>
      </c>
      <c r="Y2306">
        <v>0</v>
      </c>
      <c r="AA2306">
        <v>1</v>
      </c>
      <c r="AB2306">
        <v>8</v>
      </c>
      <c r="AC2306">
        <v>3</v>
      </c>
      <c r="AD2306">
        <v>0</v>
      </c>
      <c r="AE2306">
        <v>9</v>
      </c>
      <c r="AF2306" t="s">
        <v>138</v>
      </c>
      <c r="AG2306">
        <v>0</v>
      </c>
      <c r="AH2306">
        <v>3</v>
      </c>
      <c r="AI2306">
        <v>1</v>
      </c>
      <c r="AJ2306">
        <v>0</v>
      </c>
      <c r="AK2306" t="s">
        <v>800</v>
      </c>
      <c r="AL2306">
        <v>32.764685</v>
      </c>
      <c r="AM2306" t="s">
        <v>801</v>
      </c>
      <c r="AN2306">
        <v>-116.804602</v>
      </c>
      <c r="AO2306">
        <v>25</v>
      </c>
      <c r="AP2306">
        <v>3100</v>
      </c>
      <c r="AQ2306" t="s">
        <v>129</v>
      </c>
      <c r="AR2306">
        <v>113</v>
      </c>
      <c r="AS2306">
        <v>-69</v>
      </c>
      <c r="AT2306">
        <v>0</v>
      </c>
      <c r="BB2306">
        <v>1200</v>
      </c>
      <c r="BC2306">
        <v>1</v>
      </c>
      <c r="BD2306" t="str">
        <f t="shared" ref="BD2306:BD2369" si="830">"N887QR  "</f>
        <v xml:space="preserve">N887QR  </v>
      </c>
      <c r="BE2306">
        <v>1</v>
      </c>
      <c r="BJ2306">
        <v>2800</v>
      </c>
      <c r="BK2306">
        <v>-300</v>
      </c>
      <c r="BL2306" t="s">
        <v>163</v>
      </c>
      <c r="BM2306">
        <v>1</v>
      </c>
      <c r="BN2306">
        <v>1</v>
      </c>
      <c r="BO2306">
        <v>1</v>
      </c>
      <c r="BP2306">
        <v>0</v>
      </c>
      <c r="BS2306">
        <v>0</v>
      </c>
      <c r="BT2306">
        <v>0</v>
      </c>
      <c r="BU2306">
        <v>0</v>
      </c>
      <c r="CE2306" t="str">
        <f t="shared" si="828"/>
        <v>19:31:41.206</v>
      </c>
      <c r="CF2306">
        <v>206138425</v>
      </c>
      <c r="CS2306">
        <v>0</v>
      </c>
      <c r="CT2306">
        <v>2</v>
      </c>
      <c r="CU2306">
        <v>0</v>
      </c>
      <c r="CV2306">
        <v>2</v>
      </c>
      <c r="CW2306">
        <v>0</v>
      </c>
      <c r="CX2306">
        <v>5</v>
      </c>
      <c r="CY2306">
        <v>7</v>
      </c>
      <c r="CZ2306" t="s">
        <v>131</v>
      </c>
      <c r="DA2306">
        <v>300</v>
      </c>
      <c r="DB2306">
        <v>0</v>
      </c>
      <c r="DC2306" t="s">
        <v>176</v>
      </c>
      <c r="DD2306" t="s">
        <v>177</v>
      </c>
      <c r="DG2306">
        <v>5408462</v>
      </c>
      <c r="DI2306">
        <v>1</v>
      </c>
      <c r="DJ2306">
        <v>0</v>
      </c>
      <c r="DK2306">
        <v>1</v>
      </c>
      <c r="DL2306">
        <v>0</v>
      </c>
      <c r="DM2306">
        <v>0</v>
      </c>
      <c r="DN2306">
        <v>1</v>
      </c>
      <c r="DO2306">
        <v>0</v>
      </c>
      <c r="DP2306">
        <v>0</v>
      </c>
      <c r="DQ2306">
        <v>0</v>
      </c>
      <c r="DR2306">
        <v>0</v>
      </c>
      <c r="DS2306">
        <v>0</v>
      </c>
    </row>
    <row r="2307" spans="1:123" x14ac:dyDescent="0.3">
      <c r="A2307" t="str">
        <f t="shared" si="826"/>
        <v>10/04/2022 19:31:41.713</v>
      </c>
      <c r="C2307" t="str">
        <f t="shared" si="819"/>
        <v>FFDDD3C0</v>
      </c>
      <c r="D2307" t="s">
        <v>141</v>
      </c>
      <c r="E2307">
        <v>3</v>
      </c>
      <c r="H2307">
        <v>3</v>
      </c>
      <c r="I2307" t="s">
        <v>146</v>
      </c>
      <c r="J2307" t="s">
        <v>138</v>
      </c>
      <c r="K2307">
        <v>0</v>
      </c>
      <c r="L2307">
        <v>3</v>
      </c>
      <c r="M2307">
        <v>0</v>
      </c>
      <c r="N2307">
        <v>2</v>
      </c>
      <c r="O2307">
        <v>0</v>
      </c>
      <c r="P2307">
        <v>1</v>
      </c>
      <c r="Q2307">
        <v>0</v>
      </c>
      <c r="S2307" t="str">
        <f t="shared" si="827"/>
        <v>19:31:41.000</v>
      </c>
      <c r="T2307" t="str">
        <f t="shared" si="827"/>
        <v>19:31:41.000</v>
      </c>
      <c r="U2307" t="str">
        <f t="shared" si="829"/>
        <v>AC3944</v>
      </c>
      <c r="V2307">
        <v>0</v>
      </c>
      <c r="W2307">
        <v>0</v>
      </c>
      <c r="X2307">
        <v>2</v>
      </c>
      <c r="Y2307">
        <v>0</v>
      </c>
      <c r="AA2307">
        <v>1</v>
      </c>
      <c r="AB2307">
        <v>8</v>
      </c>
      <c r="AC2307">
        <v>3</v>
      </c>
      <c r="AD2307">
        <v>0</v>
      </c>
      <c r="AE2307">
        <v>9</v>
      </c>
      <c r="AF2307" t="s">
        <v>138</v>
      </c>
      <c r="AG2307">
        <v>0</v>
      </c>
      <c r="AH2307">
        <v>3</v>
      </c>
      <c r="AI2307">
        <v>1</v>
      </c>
      <c r="AJ2307">
        <v>0</v>
      </c>
      <c r="AK2307" t="s">
        <v>800</v>
      </c>
      <c r="AL2307">
        <v>32.764685</v>
      </c>
      <c r="AM2307" t="s">
        <v>801</v>
      </c>
      <c r="AN2307">
        <v>-116.804602</v>
      </c>
      <c r="AO2307">
        <v>25</v>
      </c>
      <c r="AP2307">
        <v>3100</v>
      </c>
      <c r="AQ2307" t="s">
        <v>129</v>
      </c>
      <c r="AR2307">
        <v>113</v>
      </c>
      <c r="AS2307">
        <v>-69</v>
      </c>
      <c r="AT2307">
        <v>0</v>
      </c>
      <c r="BB2307">
        <v>1200</v>
      </c>
      <c r="BC2307">
        <v>1</v>
      </c>
      <c r="BD2307" t="str">
        <f t="shared" si="830"/>
        <v xml:space="preserve">N887QR  </v>
      </c>
      <c r="BE2307">
        <v>1</v>
      </c>
      <c r="BJ2307">
        <v>2800</v>
      </c>
      <c r="BK2307">
        <v>-300</v>
      </c>
      <c r="BL2307" t="s">
        <v>163</v>
      </c>
      <c r="BM2307">
        <v>1</v>
      </c>
      <c r="BN2307">
        <v>1</v>
      </c>
      <c r="BO2307">
        <v>1</v>
      </c>
      <c r="BP2307">
        <v>0</v>
      </c>
      <c r="BS2307">
        <v>0</v>
      </c>
      <c r="BT2307">
        <v>0</v>
      </c>
      <c r="BU2307">
        <v>0</v>
      </c>
      <c r="CE2307" t="str">
        <f t="shared" si="828"/>
        <v>19:31:41.206</v>
      </c>
      <c r="CF2307">
        <v>206138425</v>
      </c>
      <c r="CS2307">
        <v>0</v>
      </c>
      <c r="CT2307">
        <v>2</v>
      </c>
      <c r="CU2307">
        <v>0</v>
      </c>
      <c r="CV2307">
        <v>2</v>
      </c>
      <c r="CW2307">
        <v>0</v>
      </c>
      <c r="CX2307">
        <v>5</v>
      </c>
      <c r="CY2307">
        <v>7</v>
      </c>
      <c r="CZ2307" t="s">
        <v>131</v>
      </c>
      <c r="DA2307">
        <v>300</v>
      </c>
      <c r="DB2307">
        <v>0</v>
      </c>
      <c r="DC2307" t="s">
        <v>176</v>
      </c>
      <c r="DD2307" t="s">
        <v>177</v>
      </c>
      <c r="DG2307">
        <v>5408462</v>
      </c>
      <c r="DI2307">
        <v>1</v>
      </c>
      <c r="DJ2307">
        <v>0</v>
      </c>
      <c r="DK2307">
        <v>1</v>
      </c>
      <c r="DL2307">
        <v>0</v>
      </c>
      <c r="DM2307">
        <v>0</v>
      </c>
      <c r="DN2307">
        <v>1</v>
      </c>
      <c r="DO2307">
        <v>0</v>
      </c>
      <c r="DP2307">
        <v>0</v>
      </c>
      <c r="DQ2307">
        <v>0</v>
      </c>
      <c r="DR2307">
        <v>0</v>
      </c>
      <c r="DS2307">
        <v>0</v>
      </c>
    </row>
    <row r="2308" spans="1:123" x14ac:dyDescent="0.3">
      <c r="A2308" t="str">
        <f t="shared" si="826"/>
        <v>10/04/2022 19:31:41.713</v>
      </c>
      <c r="C2308" t="str">
        <f t="shared" si="819"/>
        <v>FFDDD3C0</v>
      </c>
      <c r="D2308" t="s">
        <v>123</v>
      </c>
      <c r="E2308">
        <v>7</v>
      </c>
      <c r="F2308">
        <v>2007</v>
      </c>
      <c r="G2308" t="s">
        <v>124</v>
      </c>
      <c r="J2308" t="s">
        <v>125</v>
      </c>
      <c r="K2308">
        <v>0</v>
      </c>
      <c r="L2308">
        <v>3</v>
      </c>
      <c r="M2308">
        <v>0</v>
      </c>
      <c r="N2308">
        <v>2</v>
      </c>
      <c r="O2308">
        <v>0</v>
      </c>
      <c r="P2308">
        <v>1</v>
      </c>
      <c r="Q2308">
        <v>0</v>
      </c>
      <c r="S2308" t="str">
        <f t="shared" si="827"/>
        <v>19:31:41.000</v>
      </c>
      <c r="T2308" t="str">
        <f t="shared" si="827"/>
        <v>19:31:41.000</v>
      </c>
      <c r="U2308" t="str">
        <f t="shared" si="829"/>
        <v>AC3944</v>
      </c>
      <c r="V2308">
        <v>0</v>
      </c>
      <c r="W2308">
        <v>0</v>
      </c>
      <c r="X2308">
        <v>2</v>
      </c>
      <c r="Y2308">
        <v>0</v>
      </c>
      <c r="AA2308">
        <v>1</v>
      </c>
      <c r="AB2308">
        <v>8</v>
      </c>
      <c r="AC2308">
        <v>3</v>
      </c>
      <c r="AD2308">
        <v>0</v>
      </c>
      <c r="AE2308">
        <v>9</v>
      </c>
      <c r="AF2308" t="s">
        <v>138</v>
      </c>
      <c r="AG2308">
        <v>0</v>
      </c>
      <c r="AH2308">
        <v>3</v>
      </c>
      <c r="AI2308">
        <v>1</v>
      </c>
      <c r="AJ2308">
        <v>0</v>
      </c>
      <c r="AK2308" t="s">
        <v>800</v>
      </c>
      <c r="AL2308">
        <v>32.764685</v>
      </c>
      <c r="AM2308" t="s">
        <v>801</v>
      </c>
      <c r="AN2308">
        <v>-116.804602</v>
      </c>
      <c r="AO2308">
        <v>25</v>
      </c>
      <c r="AP2308">
        <v>3100</v>
      </c>
      <c r="AQ2308" t="s">
        <v>129</v>
      </c>
      <c r="AR2308">
        <v>113</v>
      </c>
      <c r="AS2308">
        <v>-69</v>
      </c>
      <c r="AT2308">
        <v>0</v>
      </c>
      <c r="BB2308">
        <v>1200</v>
      </c>
      <c r="BC2308">
        <v>1</v>
      </c>
      <c r="BD2308" t="str">
        <f t="shared" si="830"/>
        <v xml:space="preserve">N887QR  </v>
      </c>
      <c r="BE2308">
        <v>1</v>
      </c>
      <c r="BJ2308">
        <v>2800</v>
      </c>
      <c r="BK2308">
        <v>-300</v>
      </c>
      <c r="BL2308" t="s">
        <v>163</v>
      </c>
      <c r="BM2308">
        <v>1</v>
      </c>
      <c r="BN2308">
        <v>1</v>
      </c>
      <c r="BO2308">
        <v>1</v>
      </c>
      <c r="BP2308">
        <v>0</v>
      </c>
      <c r="BS2308">
        <v>0</v>
      </c>
      <c r="BT2308">
        <v>0</v>
      </c>
      <c r="BU2308">
        <v>0</v>
      </c>
      <c r="CE2308" t="str">
        <f t="shared" si="828"/>
        <v>19:31:41.206</v>
      </c>
      <c r="CF2308">
        <v>206138425</v>
      </c>
      <c r="CS2308">
        <v>0</v>
      </c>
      <c r="CT2308">
        <v>2</v>
      </c>
      <c r="CU2308">
        <v>0</v>
      </c>
      <c r="CV2308">
        <v>2</v>
      </c>
      <c r="CW2308">
        <v>0</v>
      </c>
      <c r="CX2308">
        <v>5</v>
      </c>
      <c r="CY2308">
        <v>7</v>
      </c>
      <c r="CZ2308" t="s">
        <v>131</v>
      </c>
      <c r="DA2308">
        <v>300</v>
      </c>
      <c r="DB2308">
        <v>0</v>
      </c>
      <c r="DC2308" t="s">
        <v>176</v>
      </c>
      <c r="DD2308" t="s">
        <v>177</v>
      </c>
      <c r="DG2308">
        <v>5408462</v>
      </c>
      <c r="DI2308">
        <v>1</v>
      </c>
      <c r="DJ2308">
        <v>0</v>
      </c>
      <c r="DK2308">
        <v>1</v>
      </c>
      <c r="DL2308">
        <v>0</v>
      </c>
      <c r="DM2308">
        <v>0</v>
      </c>
      <c r="DN2308">
        <v>1</v>
      </c>
      <c r="DO2308">
        <v>0</v>
      </c>
      <c r="DP2308">
        <v>0</v>
      </c>
      <c r="DQ2308">
        <v>0</v>
      </c>
      <c r="DR2308">
        <v>0</v>
      </c>
      <c r="DS2308">
        <v>0</v>
      </c>
    </row>
    <row r="2309" spans="1:123" x14ac:dyDescent="0.3">
      <c r="A2309" t="str">
        <f t="shared" si="826"/>
        <v>10/04/2022 19:31:41.713</v>
      </c>
      <c r="C2309" t="str">
        <f t="shared" si="819"/>
        <v>FFDDD3C0</v>
      </c>
      <c r="D2309" t="s">
        <v>134</v>
      </c>
      <c r="E2309">
        <v>15</v>
      </c>
      <c r="J2309" t="s">
        <v>135</v>
      </c>
      <c r="K2309">
        <v>0</v>
      </c>
      <c r="L2309">
        <v>3</v>
      </c>
      <c r="M2309">
        <v>0</v>
      </c>
      <c r="N2309">
        <v>2</v>
      </c>
      <c r="O2309">
        <v>0</v>
      </c>
      <c r="P2309">
        <v>1</v>
      </c>
      <c r="Q2309">
        <v>0</v>
      </c>
      <c r="S2309" t="str">
        <f t="shared" si="827"/>
        <v>19:31:41.000</v>
      </c>
      <c r="T2309" t="str">
        <f t="shared" si="827"/>
        <v>19:31:41.000</v>
      </c>
      <c r="U2309" t="str">
        <f t="shared" si="829"/>
        <v>AC3944</v>
      </c>
      <c r="V2309">
        <v>0</v>
      </c>
      <c r="W2309">
        <v>0</v>
      </c>
      <c r="X2309">
        <v>2</v>
      </c>
      <c r="Y2309">
        <v>0</v>
      </c>
      <c r="AA2309">
        <v>1</v>
      </c>
      <c r="AB2309">
        <v>8</v>
      </c>
      <c r="AC2309">
        <v>3</v>
      </c>
      <c r="AD2309">
        <v>0</v>
      </c>
      <c r="AE2309">
        <v>9</v>
      </c>
      <c r="AF2309" t="s">
        <v>138</v>
      </c>
      <c r="AG2309">
        <v>0</v>
      </c>
      <c r="AH2309">
        <v>3</v>
      </c>
      <c r="AI2309">
        <v>1</v>
      </c>
      <c r="AJ2309">
        <v>0</v>
      </c>
      <c r="AK2309" t="s">
        <v>800</v>
      </c>
      <c r="AL2309">
        <v>32.764685</v>
      </c>
      <c r="AM2309" t="s">
        <v>801</v>
      </c>
      <c r="AN2309">
        <v>-116.804602</v>
      </c>
      <c r="AO2309">
        <v>25</v>
      </c>
      <c r="AP2309">
        <v>3100</v>
      </c>
      <c r="AQ2309" t="s">
        <v>129</v>
      </c>
      <c r="AR2309">
        <v>113</v>
      </c>
      <c r="AS2309">
        <v>-69</v>
      </c>
      <c r="AT2309">
        <v>0</v>
      </c>
      <c r="BB2309">
        <v>1200</v>
      </c>
      <c r="BC2309">
        <v>1</v>
      </c>
      <c r="BD2309" t="str">
        <f t="shared" si="830"/>
        <v xml:space="preserve">N887QR  </v>
      </c>
      <c r="BE2309">
        <v>1</v>
      </c>
      <c r="BJ2309">
        <v>2800</v>
      </c>
      <c r="BK2309">
        <v>-300</v>
      </c>
      <c r="BL2309" t="s">
        <v>163</v>
      </c>
      <c r="BM2309">
        <v>1</v>
      </c>
      <c r="BN2309">
        <v>1</v>
      </c>
      <c r="BO2309">
        <v>1</v>
      </c>
      <c r="BP2309">
        <v>0</v>
      </c>
      <c r="BS2309">
        <v>0</v>
      </c>
      <c r="BT2309">
        <v>0</v>
      </c>
      <c r="BU2309">
        <v>0</v>
      </c>
      <c r="CE2309" t="str">
        <f t="shared" si="828"/>
        <v>19:31:41.206</v>
      </c>
      <c r="CF2309">
        <v>206138425</v>
      </c>
      <c r="CS2309">
        <v>0</v>
      </c>
      <c r="CT2309">
        <v>2</v>
      </c>
      <c r="CU2309">
        <v>0</v>
      </c>
      <c r="CV2309">
        <v>2</v>
      </c>
      <c r="CW2309">
        <v>0</v>
      </c>
      <c r="CX2309">
        <v>5</v>
      </c>
      <c r="CY2309">
        <v>7</v>
      </c>
      <c r="CZ2309" t="s">
        <v>131</v>
      </c>
      <c r="DA2309">
        <v>300</v>
      </c>
      <c r="DB2309">
        <v>0</v>
      </c>
      <c r="DC2309" t="s">
        <v>176</v>
      </c>
      <c r="DD2309" t="s">
        <v>177</v>
      </c>
      <c r="DG2309">
        <v>5408462</v>
      </c>
      <c r="DI2309">
        <v>1</v>
      </c>
      <c r="DJ2309">
        <v>0</v>
      </c>
      <c r="DK2309">
        <v>0</v>
      </c>
      <c r="DL2309">
        <v>0</v>
      </c>
      <c r="DM2309">
        <v>0</v>
      </c>
      <c r="DN2309">
        <v>1</v>
      </c>
      <c r="DO2309">
        <v>0</v>
      </c>
      <c r="DP2309">
        <v>0</v>
      </c>
      <c r="DQ2309">
        <v>0</v>
      </c>
      <c r="DR2309">
        <v>0</v>
      </c>
      <c r="DS2309">
        <v>0</v>
      </c>
    </row>
    <row r="2310" spans="1:123" x14ac:dyDescent="0.3">
      <c r="A2310" t="str">
        <f t="shared" si="826"/>
        <v>10/04/2022 19:31:41.713</v>
      </c>
      <c r="C2310" t="str">
        <f t="shared" si="819"/>
        <v>FFDDD3C0</v>
      </c>
      <c r="D2310" t="s">
        <v>141</v>
      </c>
      <c r="E2310">
        <v>4</v>
      </c>
      <c r="H2310">
        <v>4</v>
      </c>
      <c r="I2310" t="s">
        <v>142</v>
      </c>
      <c r="J2310" t="s">
        <v>138</v>
      </c>
      <c r="K2310">
        <v>0</v>
      </c>
      <c r="L2310">
        <v>3</v>
      </c>
      <c r="M2310">
        <v>0</v>
      </c>
      <c r="N2310">
        <v>2</v>
      </c>
      <c r="O2310">
        <v>0</v>
      </c>
      <c r="P2310">
        <v>1</v>
      </c>
      <c r="Q2310">
        <v>0</v>
      </c>
      <c r="S2310" t="str">
        <f t="shared" si="827"/>
        <v>19:31:41.000</v>
      </c>
      <c r="T2310" t="str">
        <f t="shared" si="827"/>
        <v>19:31:41.000</v>
      </c>
      <c r="U2310" t="str">
        <f t="shared" si="829"/>
        <v>AC3944</v>
      </c>
      <c r="V2310">
        <v>0</v>
      </c>
      <c r="W2310">
        <v>0</v>
      </c>
      <c r="X2310">
        <v>2</v>
      </c>
      <c r="Y2310">
        <v>0</v>
      </c>
      <c r="AA2310">
        <v>1</v>
      </c>
      <c r="AB2310">
        <v>8</v>
      </c>
      <c r="AC2310">
        <v>3</v>
      </c>
      <c r="AD2310">
        <v>0</v>
      </c>
      <c r="AE2310">
        <v>9</v>
      </c>
      <c r="AF2310" t="s">
        <v>138</v>
      </c>
      <c r="AG2310">
        <v>0</v>
      </c>
      <c r="AH2310">
        <v>3</v>
      </c>
      <c r="AI2310">
        <v>1</v>
      </c>
      <c r="AJ2310">
        <v>0</v>
      </c>
      <c r="AK2310" t="s">
        <v>800</v>
      </c>
      <c r="AL2310">
        <v>32.764685</v>
      </c>
      <c r="AM2310" t="s">
        <v>801</v>
      </c>
      <c r="AN2310">
        <v>-116.804602</v>
      </c>
      <c r="AO2310">
        <v>25</v>
      </c>
      <c r="AP2310">
        <v>3100</v>
      </c>
      <c r="AQ2310" t="s">
        <v>129</v>
      </c>
      <c r="AR2310">
        <v>113</v>
      </c>
      <c r="AS2310">
        <v>-69</v>
      </c>
      <c r="AT2310">
        <v>0</v>
      </c>
      <c r="BB2310">
        <v>1200</v>
      </c>
      <c r="BC2310">
        <v>1</v>
      </c>
      <c r="BD2310" t="str">
        <f t="shared" si="830"/>
        <v xml:space="preserve">N887QR  </v>
      </c>
      <c r="BE2310">
        <v>1</v>
      </c>
      <c r="BJ2310">
        <v>2800</v>
      </c>
      <c r="BK2310">
        <v>-300</v>
      </c>
      <c r="BL2310" t="s">
        <v>163</v>
      </c>
      <c r="BM2310">
        <v>1</v>
      </c>
      <c r="BN2310">
        <v>1</v>
      </c>
      <c r="BO2310">
        <v>1</v>
      </c>
      <c r="BP2310">
        <v>0</v>
      </c>
      <c r="BS2310">
        <v>0</v>
      </c>
      <c r="BT2310">
        <v>0</v>
      </c>
      <c r="BU2310">
        <v>0</v>
      </c>
      <c r="CE2310" t="str">
        <f t="shared" si="828"/>
        <v>19:31:41.206</v>
      </c>
      <c r="CF2310">
        <v>206138425</v>
      </c>
      <c r="CS2310">
        <v>0</v>
      </c>
      <c r="CT2310">
        <v>2</v>
      </c>
      <c r="CU2310">
        <v>0</v>
      </c>
      <c r="CV2310">
        <v>2</v>
      </c>
      <c r="CW2310">
        <v>0</v>
      </c>
      <c r="CX2310">
        <v>5</v>
      </c>
      <c r="CY2310">
        <v>7</v>
      </c>
      <c r="CZ2310" t="s">
        <v>131</v>
      </c>
      <c r="DA2310">
        <v>300</v>
      </c>
      <c r="DB2310">
        <v>0</v>
      </c>
      <c r="DC2310" t="s">
        <v>176</v>
      </c>
      <c r="DD2310" t="s">
        <v>177</v>
      </c>
      <c r="DG2310">
        <v>5408462</v>
      </c>
      <c r="DI2310">
        <v>1</v>
      </c>
      <c r="DJ2310">
        <v>0</v>
      </c>
      <c r="DK2310">
        <v>1</v>
      </c>
      <c r="DL2310">
        <v>0</v>
      </c>
      <c r="DM2310">
        <v>0</v>
      </c>
      <c r="DN2310">
        <v>1</v>
      </c>
      <c r="DO2310">
        <v>0</v>
      </c>
      <c r="DP2310">
        <v>0</v>
      </c>
      <c r="DQ2310">
        <v>0</v>
      </c>
      <c r="DR2310">
        <v>0</v>
      </c>
      <c r="DS2310">
        <v>0</v>
      </c>
    </row>
    <row r="2311" spans="1:123" x14ac:dyDescent="0.3">
      <c r="A2311" t="str">
        <f>"10/04/2022 19:31:42.698"</f>
        <v>10/04/2022 19:31:42.698</v>
      </c>
      <c r="C2311" t="str">
        <f t="shared" si="819"/>
        <v>FFDDD3C0</v>
      </c>
      <c r="D2311" t="s">
        <v>147</v>
      </c>
      <c r="E2311">
        <v>3</v>
      </c>
      <c r="H2311">
        <v>166</v>
      </c>
      <c r="I2311" t="s">
        <v>144</v>
      </c>
      <c r="J2311" t="s">
        <v>148</v>
      </c>
      <c r="K2311">
        <v>0</v>
      </c>
      <c r="L2311">
        <v>3</v>
      </c>
      <c r="M2311">
        <v>0</v>
      </c>
      <c r="N2311">
        <v>2</v>
      </c>
      <c r="O2311">
        <v>0</v>
      </c>
      <c r="P2311">
        <v>1</v>
      </c>
      <c r="Q2311">
        <v>0</v>
      </c>
      <c r="S2311" t="str">
        <f t="shared" ref="S2311:T2317" si="831">"19:31:42.000"</f>
        <v>19:31:42.000</v>
      </c>
      <c r="T2311" t="str">
        <f t="shared" si="831"/>
        <v>19:31:42.000</v>
      </c>
      <c r="U2311" t="str">
        <f t="shared" si="829"/>
        <v>AC3944</v>
      </c>
      <c r="V2311">
        <v>0</v>
      </c>
      <c r="W2311">
        <v>0</v>
      </c>
      <c r="X2311">
        <v>2</v>
      </c>
      <c r="Y2311">
        <v>0</v>
      </c>
      <c r="AA2311">
        <v>1</v>
      </c>
      <c r="AB2311">
        <v>8</v>
      </c>
      <c r="AC2311">
        <v>3</v>
      </c>
      <c r="AD2311">
        <v>0</v>
      </c>
      <c r="AE2311">
        <v>9</v>
      </c>
      <c r="AF2311" t="s">
        <v>138</v>
      </c>
      <c r="AG2311">
        <v>0</v>
      </c>
      <c r="AH2311">
        <v>3</v>
      </c>
      <c r="AI2311">
        <v>1</v>
      </c>
      <c r="AJ2311">
        <v>0</v>
      </c>
      <c r="AK2311" t="s">
        <v>802</v>
      </c>
      <c r="AL2311">
        <v>32.764428000000002</v>
      </c>
      <c r="AM2311" t="s">
        <v>803</v>
      </c>
      <c r="AN2311">
        <v>-116.804109</v>
      </c>
      <c r="AO2311">
        <v>25</v>
      </c>
      <c r="AP2311">
        <v>3100</v>
      </c>
      <c r="AQ2311" t="s">
        <v>129</v>
      </c>
      <c r="AR2311">
        <v>115</v>
      </c>
      <c r="AS2311">
        <v>-65</v>
      </c>
      <c r="AT2311">
        <v>0</v>
      </c>
      <c r="BB2311">
        <v>1200</v>
      </c>
      <c r="BC2311">
        <v>1</v>
      </c>
      <c r="BD2311" t="str">
        <f t="shared" si="830"/>
        <v xml:space="preserve">N887QR  </v>
      </c>
      <c r="BE2311">
        <v>1</v>
      </c>
      <c r="BJ2311">
        <v>2800</v>
      </c>
      <c r="BK2311">
        <v>-300</v>
      </c>
      <c r="BL2311" t="s">
        <v>163</v>
      </c>
      <c r="BM2311">
        <v>1</v>
      </c>
      <c r="BN2311">
        <v>1</v>
      </c>
      <c r="BO2311">
        <v>1</v>
      </c>
      <c r="BP2311">
        <v>0</v>
      </c>
      <c r="BS2311">
        <v>0</v>
      </c>
      <c r="BT2311">
        <v>0</v>
      </c>
      <c r="BU2311">
        <v>0</v>
      </c>
      <c r="CE2311" t="str">
        <f t="shared" ref="CE2311:CE2317" si="832">"19:31:42.436"</f>
        <v>19:31:42.436</v>
      </c>
      <c r="CF2311">
        <v>435642572</v>
      </c>
      <c r="CS2311">
        <v>0</v>
      </c>
      <c r="CT2311">
        <v>2</v>
      </c>
      <c r="CU2311">
        <v>0</v>
      </c>
      <c r="CV2311">
        <v>2</v>
      </c>
      <c r="CW2311">
        <v>0</v>
      </c>
      <c r="CX2311">
        <v>5</v>
      </c>
      <c r="CY2311">
        <v>7</v>
      </c>
      <c r="CZ2311" t="s">
        <v>131</v>
      </c>
      <c r="DA2311">
        <v>300</v>
      </c>
      <c r="DB2311">
        <v>0</v>
      </c>
      <c r="DC2311" t="s">
        <v>176</v>
      </c>
      <c r="DD2311" t="s">
        <v>177</v>
      </c>
      <c r="DG2311">
        <v>5408646</v>
      </c>
      <c r="DI2311">
        <v>1</v>
      </c>
      <c r="DJ2311">
        <v>0</v>
      </c>
      <c r="DK2311">
        <v>0</v>
      </c>
      <c r="DL2311">
        <v>0</v>
      </c>
      <c r="DM2311">
        <v>0</v>
      </c>
      <c r="DN2311">
        <v>1</v>
      </c>
      <c r="DO2311">
        <v>0</v>
      </c>
      <c r="DP2311">
        <v>0</v>
      </c>
      <c r="DQ2311">
        <v>0</v>
      </c>
      <c r="DR2311">
        <v>0</v>
      </c>
      <c r="DS2311">
        <v>0</v>
      </c>
    </row>
    <row r="2312" spans="1:123" x14ac:dyDescent="0.3">
      <c r="A2312" t="str">
        <f>"10/04/2022 19:31:42.698"</f>
        <v>10/04/2022 19:31:42.698</v>
      </c>
      <c r="C2312" t="str">
        <f t="shared" si="819"/>
        <v>FFDDD3C0</v>
      </c>
      <c r="D2312" t="s">
        <v>136</v>
      </c>
      <c r="E2312">
        <v>8</v>
      </c>
      <c r="H2312">
        <v>225</v>
      </c>
      <c r="I2312" t="s">
        <v>137</v>
      </c>
      <c r="J2312" t="s">
        <v>138</v>
      </c>
      <c r="K2312">
        <v>0</v>
      </c>
      <c r="L2312">
        <v>3</v>
      </c>
      <c r="M2312">
        <v>0</v>
      </c>
      <c r="N2312">
        <v>2</v>
      </c>
      <c r="O2312">
        <v>0</v>
      </c>
      <c r="P2312">
        <v>1</v>
      </c>
      <c r="Q2312">
        <v>0</v>
      </c>
      <c r="S2312" t="str">
        <f t="shared" si="831"/>
        <v>19:31:42.000</v>
      </c>
      <c r="T2312" t="str">
        <f t="shared" si="831"/>
        <v>19:31:42.000</v>
      </c>
      <c r="U2312" t="str">
        <f t="shared" si="829"/>
        <v>AC3944</v>
      </c>
      <c r="V2312">
        <v>0</v>
      </c>
      <c r="W2312">
        <v>0</v>
      </c>
      <c r="X2312">
        <v>2</v>
      </c>
      <c r="Y2312">
        <v>0</v>
      </c>
      <c r="AA2312">
        <v>1</v>
      </c>
      <c r="AB2312">
        <v>8</v>
      </c>
      <c r="AC2312">
        <v>3</v>
      </c>
      <c r="AD2312">
        <v>0</v>
      </c>
      <c r="AE2312">
        <v>9</v>
      </c>
      <c r="AF2312" t="s">
        <v>138</v>
      </c>
      <c r="AG2312">
        <v>0</v>
      </c>
      <c r="AH2312">
        <v>3</v>
      </c>
      <c r="AI2312">
        <v>1</v>
      </c>
      <c r="AJ2312">
        <v>0</v>
      </c>
      <c r="AK2312" t="s">
        <v>802</v>
      </c>
      <c r="AL2312">
        <v>32.764428000000002</v>
      </c>
      <c r="AM2312" t="s">
        <v>803</v>
      </c>
      <c r="AN2312">
        <v>-116.804109</v>
      </c>
      <c r="AO2312">
        <v>25</v>
      </c>
      <c r="AP2312">
        <v>3100</v>
      </c>
      <c r="AQ2312" t="s">
        <v>129</v>
      </c>
      <c r="AR2312">
        <v>115</v>
      </c>
      <c r="AS2312">
        <v>-65</v>
      </c>
      <c r="AT2312">
        <v>0</v>
      </c>
      <c r="BB2312">
        <v>1200</v>
      </c>
      <c r="BC2312">
        <v>1</v>
      </c>
      <c r="BD2312" t="str">
        <f t="shared" si="830"/>
        <v xml:space="preserve">N887QR  </v>
      </c>
      <c r="BE2312">
        <v>1</v>
      </c>
      <c r="BJ2312">
        <v>2800</v>
      </c>
      <c r="BK2312">
        <v>-300</v>
      </c>
      <c r="BL2312" t="s">
        <v>163</v>
      </c>
      <c r="BM2312">
        <v>1</v>
      </c>
      <c r="BN2312">
        <v>1</v>
      </c>
      <c r="BO2312">
        <v>1</v>
      </c>
      <c r="BP2312">
        <v>0</v>
      </c>
      <c r="BS2312">
        <v>0</v>
      </c>
      <c r="BT2312">
        <v>0</v>
      </c>
      <c r="BU2312">
        <v>0</v>
      </c>
      <c r="CE2312" t="str">
        <f t="shared" si="832"/>
        <v>19:31:42.436</v>
      </c>
      <c r="CF2312">
        <v>435642572</v>
      </c>
      <c r="CS2312">
        <v>0</v>
      </c>
      <c r="CT2312">
        <v>2</v>
      </c>
      <c r="CU2312">
        <v>0</v>
      </c>
      <c r="CV2312">
        <v>2</v>
      </c>
      <c r="CW2312">
        <v>0</v>
      </c>
      <c r="CX2312">
        <v>5</v>
      </c>
      <c r="CY2312">
        <v>7</v>
      </c>
      <c r="CZ2312" t="s">
        <v>131</v>
      </c>
      <c r="DA2312">
        <v>300</v>
      </c>
      <c r="DB2312">
        <v>0</v>
      </c>
      <c r="DC2312" t="s">
        <v>176</v>
      </c>
      <c r="DD2312" t="s">
        <v>177</v>
      </c>
      <c r="DG2312">
        <v>5408646</v>
      </c>
      <c r="DI2312">
        <v>1</v>
      </c>
      <c r="DJ2312">
        <v>0</v>
      </c>
      <c r="DK2312">
        <v>1</v>
      </c>
      <c r="DL2312">
        <v>0</v>
      </c>
      <c r="DM2312">
        <v>0</v>
      </c>
      <c r="DN2312">
        <v>1</v>
      </c>
      <c r="DO2312">
        <v>0</v>
      </c>
      <c r="DP2312">
        <v>0</v>
      </c>
      <c r="DQ2312">
        <v>0</v>
      </c>
      <c r="DR2312">
        <v>0</v>
      </c>
      <c r="DS2312">
        <v>0</v>
      </c>
    </row>
    <row r="2313" spans="1:123" x14ac:dyDescent="0.3">
      <c r="A2313" t="str">
        <f>"10/04/2022 19:31:42.698"</f>
        <v>10/04/2022 19:31:42.698</v>
      </c>
      <c r="C2313" t="str">
        <f t="shared" si="819"/>
        <v>FFDDD3C0</v>
      </c>
      <c r="D2313" t="s">
        <v>143</v>
      </c>
      <c r="E2313">
        <v>20</v>
      </c>
      <c r="F2313">
        <v>1020</v>
      </c>
      <c r="G2313" t="s">
        <v>144</v>
      </c>
      <c r="J2313" t="s">
        <v>145</v>
      </c>
      <c r="K2313">
        <v>0</v>
      </c>
      <c r="L2313">
        <v>3</v>
      </c>
      <c r="M2313">
        <v>0</v>
      </c>
      <c r="N2313">
        <v>2</v>
      </c>
      <c r="O2313">
        <v>0</v>
      </c>
      <c r="P2313">
        <v>1</v>
      </c>
      <c r="Q2313">
        <v>0</v>
      </c>
      <c r="S2313" t="str">
        <f t="shared" si="831"/>
        <v>19:31:42.000</v>
      </c>
      <c r="T2313" t="str">
        <f t="shared" si="831"/>
        <v>19:31:42.000</v>
      </c>
      <c r="U2313" t="str">
        <f t="shared" si="829"/>
        <v>AC3944</v>
      </c>
      <c r="V2313">
        <v>0</v>
      </c>
      <c r="W2313">
        <v>0</v>
      </c>
      <c r="X2313">
        <v>2</v>
      </c>
      <c r="Y2313">
        <v>0</v>
      </c>
      <c r="AA2313">
        <v>1</v>
      </c>
      <c r="AB2313">
        <v>8</v>
      </c>
      <c r="AC2313">
        <v>3</v>
      </c>
      <c r="AD2313">
        <v>0</v>
      </c>
      <c r="AE2313">
        <v>9</v>
      </c>
      <c r="AF2313" t="s">
        <v>138</v>
      </c>
      <c r="AG2313">
        <v>0</v>
      </c>
      <c r="AH2313">
        <v>3</v>
      </c>
      <c r="AI2313">
        <v>1</v>
      </c>
      <c r="AJ2313">
        <v>0</v>
      </c>
      <c r="AK2313" t="s">
        <v>802</v>
      </c>
      <c r="AL2313">
        <v>32.764428000000002</v>
      </c>
      <c r="AM2313" t="s">
        <v>803</v>
      </c>
      <c r="AN2313">
        <v>-116.804109</v>
      </c>
      <c r="AO2313">
        <v>25</v>
      </c>
      <c r="AP2313">
        <v>3100</v>
      </c>
      <c r="AQ2313" t="s">
        <v>129</v>
      </c>
      <c r="AR2313">
        <v>115</v>
      </c>
      <c r="AS2313">
        <v>-65</v>
      </c>
      <c r="AT2313">
        <v>0</v>
      </c>
      <c r="BB2313">
        <v>1200</v>
      </c>
      <c r="BC2313">
        <v>1</v>
      </c>
      <c r="BD2313" t="str">
        <f t="shared" si="830"/>
        <v xml:space="preserve">N887QR  </v>
      </c>
      <c r="BE2313">
        <v>1</v>
      </c>
      <c r="BJ2313">
        <v>2800</v>
      </c>
      <c r="BK2313">
        <v>-300</v>
      </c>
      <c r="BL2313" t="s">
        <v>163</v>
      </c>
      <c r="BM2313">
        <v>1</v>
      </c>
      <c r="BN2313">
        <v>1</v>
      </c>
      <c r="BO2313">
        <v>1</v>
      </c>
      <c r="BP2313">
        <v>0</v>
      </c>
      <c r="BS2313">
        <v>0</v>
      </c>
      <c r="BT2313">
        <v>0</v>
      </c>
      <c r="BU2313">
        <v>0</v>
      </c>
      <c r="CE2313" t="str">
        <f t="shared" si="832"/>
        <v>19:31:42.436</v>
      </c>
      <c r="CF2313">
        <v>435642572</v>
      </c>
      <c r="CS2313">
        <v>0</v>
      </c>
      <c r="CT2313">
        <v>2</v>
      </c>
      <c r="CU2313">
        <v>0</v>
      </c>
      <c r="CV2313">
        <v>2</v>
      </c>
      <c r="CW2313">
        <v>0</v>
      </c>
      <c r="CX2313">
        <v>5</v>
      </c>
      <c r="CY2313">
        <v>7</v>
      </c>
      <c r="CZ2313" t="s">
        <v>131</v>
      </c>
      <c r="DA2313">
        <v>300</v>
      </c>
      <c r="DB2313">
        <v>0</v>
      </c>
      <c r="DC2313" t="s">
        <v>176</v>
      </c>
      <c r="DD2313" t="s">
        <v>177</v>
      </c>
      <c r="DG2313">
        <v>5408646</v>
      </c>
      <c r="DI2313">
        <v>1</v>
      </c>
      <c r="DJ2313">
        <v>0</v>
      </c>
      <c r="DK2313">
        <v>1</v>
      </c>
      <c r="DL2313">
        <v>0</v>
      </c>
      <c r="DM2313">
        <v>0</v>
      </c>
      <c r="DN2313">
        <v>1</v>
      </c>
      <c r="DO2313">
        <v>0</v>
      </c>
      <c r="DP2313">
        <v>0</v>
      </c>
      <c r="DQ2313">
        <v>0</v>
      </c>
      <c r="DR2313">
        <v>0</v>
      </c>
      <c r="DS2313">
        <v>0</v>
      </c>
    </row>
    <row r="2314" spans="1:123" x14ac:dyDescent="0.3">
      <c r="A2314" t="str">
        <f>"10/04/2022 19:31:42.744"</f>
        <v>10/04/2022 19:31:42.744</v>
      </c>
      <c r="C2314" t="str">
        <f t="shared" si="819"/>
        <v>FFDDD3C0</v>
      </c>
      <c r="D2314" t="s">
        <v>141</v>
      </c>
      <c r="E2314">
        <v>3</v>
      </c>
      <c r="H2314">
        <v>3</v>
      </c>
      <c r="I2314" t="s">
        <v>146</v>
      </c>
      <c r="J2314" t="s">
        <v>138</v>
      </c>
      <c r="K2314">
        <v>0</v>
      </c>
      <c r="L2314">
        <v>3</v>
      </c>
      <c r="M2314">
        <v>0</v>
      </c>
      <c r="N2314">
        <v>2</v>
      </c>
      <c r="O2314">
        <v>0</v>
      </c>
      <c r="P2314">
        <v>1</v>
      </c>
      <c r="Q2314">
        <v>0</v>
      </c>
      <c r="S2314" t="str">
        <f t="shared" si="831"/>
        <v>19:31:42.000</v>
      </c>
      <c r="T2314" t="str">
        <f t="shared" si="831"/>
        <v>19:31:42.000</v>
      </c>
      <c r="U2314" t="str">
        <f t="shared" si="829"/>
        <v>AC3944</v>
      </c>
      <c r="V2314">
        <v>0</v>
      </c>
      <c r="W2314">
        <v>0</v>
      </c>
      <c r="X2314">
        <v>2</v>
      </c>
      <c r="Y2314">
        <v>0</v>
      </c>
      <c r="AA2314">
        <v>1</v>
      </c>
      <c r="AB2314">
        <v>8</v>
      </c>
      <c r="AC2314">
        <v>3</v>
      </c>
      <c r="AD2314">
        <v>0</v>
      </c>
      <c r="AE2314">
        <v>9</v>
      </c>
      <c r="AF2314" t="s">
        <v>138</v>
      </c>
      <c r="AG2314">
        <v>0</v>
      </c>
      <c r="AH2314">
        <v>3</v>
      </c>
      <c r="AI2314">
        <v>1</v>
      </c>
      <c r="AJ2314">
        <v>0</v>
      </c>
      <c r="AK2314" t="s">
        <v>802</v>
      </c>
      <c r="AL2314">
        <v>32.764428000000002</v>
      </c>
      <c r="AM2314" t="s">
        <v>803</v>
      </c>
      <c r="AN2314">
        <v>-116.804109</v>
      </c>
      <c r="AO2314">
        <v>25</v>
      </c>
      <c r="AP2314">
        <v>3100</v>
      </c>
      <c r="AQ2314" t="s">
        <v>129</v>
      </c>
      <c r="AR2314">
        <v>115</v>
      </c>
      <c r="AS2314">
        <v>-65</v>
      </c>
      <c r="AT2314">
        <v>0</v>
      </c>
      <c r="BB2314">
        <v>1200</v>
      </c>
      <c r="BC2314">
        <v>1</v>
      </c>
      <c r="BD2314" t="str">
        <f t="shared" si="830"/>
        <v xml:space="preserve">N887QR  </v>
      </c>
      <c r="BE2314">
        <v>1</v>
      </c>
      <c r="BJ2314">
        <v>2800</v>
      </c>
      <c r="BK2314">
        <v>-300</v>
      </c>
      <c r="BL2314" t="s">
        <v>163</v>
      </c>
      <c r="BM2314">
        <v>1</v>
      </c>
      <c r="BN2314">
        <v>1</v>
      </c>
      <c r="BO2314">
        <v>1</v>
      </c>
      <c r="BP2314">
        <v>0</v>
      </c>
      <c r="BS2314">
        <v>0</v>
      </c>
      <c r="BT2314">
        <v>0</v>
      </c>
      <c r="BU2314">
        <v>0</v>
      </c>
      <c r="CE2314" t="str">
        <f t="shared" si="832"/>
        <v>19:31:42.436</v>
      </c>
      <c r="CF2314">
        <v>435642572</v>
      </c>
      <c r="CS2314">
        <v>0</v>
      </c>
      <c r="CT2314">
        <v>2</v>
      </c>
      <c r="CU2314">
        <v>0</v>
      </c>
      <c r="CV2314">
        <v>2</v>
      </c>
      <c r="CW2314">
        <v>0</v>
      </c>
      <c r="CX2314">
        <v>5</v>
      </c>
      <c r="CY2314">
        <v>7</v>
      </c>
      <c r="CZ2314" t="s">
        <v>131</v>
      </c>
      <c r="DA2314">
        <v>300</v>
      </c>
      <c r="DB2314">
        <v>0</v>
      </c>
      <c r="DC2314" t="s">
        <v>176</v>
      </c>
      <c r="DD2314" t="s">
        <v>177</v>
      </c>
      <c r="DG2314">
        <v>5408646</v>
      </c>
      <c r="DI2314">
        <v>1</v>
      </c>
      <c r="DJ2314">
        <v>0</v>
      </c>
      <c r="DK2314">
        <v>1</v>
      </c>
      <c r="DL2314">
        <v>0</v>
      </c>
      <c r="DM2314">
        <v>0</v>
      </c>
      <c r="DN2314">
        <v>1</v>
      </c>
      <c r="DO2314">
        <v>0</v>
      </c>
      <c r="DP2314">
        <v>0</v>
      </c>
      <c r="DQ2314">
        <v>0</v>
      </c>
      <c r="DR2314">
        <v>0</v>
      </c>
      <c r="DS2314">
        <v>0</v>
      </c>
    </row>
    <row r="2315" spans="1:123" x14ac:dyDescent="0.3">
      <c r="A2315" t="str">
        <f>"10/04/2022 19:31:42.744"</f>
        <v>10/04/2022 19:31:42.744</v>
      </c>
      <c r="C2315" t="str">
        <f t="shared" si="819"/>
        <v>FFDDD3C0</v>
      </c>
      <c r="D2315" t="s">
        <v>123</v>
      </c>
      <c r="E2315">
        <v>7</v>
      </c>
      <c r="F2315">
        <v>2007</v>
      </c>
      <c r="G2315" t="s">
        <v>124</v>
      </c>
      <c r="J2315" t="s">
        <v>125</v>
      </c>
      <c r="K2315">
        <v>0</v>
      </c>
      <c r="L2315">
        <v>3</v>
      </c>
      <c r="M2315">
        <v>0</v>
      </c>
      <c r="N2315">
        <v>2</v>
      </c>
      <c r="O2315">
        <v>0</v>
      </c>
      <c r="P2315">
        <v>1</v>
      </c>
      <c r="Q2315">
        <v>0</v>
      </c>
      <c r="S2315" t="str">
        <f t="shared" si="831"/>
        <v>19:31:42.000</v>
      </c>
      <c r="T2315" t="str">
        <f t="shared" si="831"/>
        <v>19:31:42.000</v>
      </c>
      <c r="U2315" t="str">
        <f t="shared" si="829"/>
        <v>AC3944</v>
      </c>
      <c r="V2315">
        <v>0</v>
      </c>
      <c r="W2315">
        <v>0</v>
      </c>
      <c r="X2315">
        <v>2</v>
      </c>
      <c r="Y2315">
        <v>0</v>
      </c>
      <c r="AA2315">
        <v>1</v>
      </c>
      <c r="AB2315">
        <v>8</v>
      </c>
      <c r="AC2315">
        <v>3</v>
      </c>
      <c r="AD2315">
        <v>0</v>
      </c>
      <c r="AE2315">
        <v>9</v>
      </c>
      <c r="AF2315" t="s">
        <v>138</v>
      </c>
      <c r="AG2315">
        <v>0</v>
      </c>
      <c r="AH2315">
        <v>3</v>
      </c>
      <c r="AI2315">
        <v>1</v>
      </c>
      <c r="AJ2315">
        <v>0</v>
      </c>
      <c r="AK2315" t="s">
        <v>802</v>
      </c>
      <c r="AL2315">
        <v>32.764428000000002</v>
      </c>
      <c r="AM2315" t="s">
        <v>803</v>
      </c>
      <c r="AN2315">
        <v>-116.804109</v>
      </c>
      <c r="AO2315">
        <v>25</v>
      </c>
      <c r="AP2315">
        <v>3100</v>
      </c>
      <c r="AQ2315" t="s">
        <v>129</v>
      </c>
      <c r="AR2315">
        <v>115</v>
      </c>
      <c r="AS2315">
        <v>-65</v>
      </c>
      <c r="AT2315">
        <v>0</v>
      </c>
      <c r="BB2315">
        <v>1200</v>
      </c>
      <c r="BC2315">
        <v>1</v>
      </c>
      <c r="BD2315" t="str">
        <f t="shared" si="830"/>
        <v xml:space="preserve">N887QR  </v>
      </c>
      <c r="BE2315">
        <v>1</v>
      </c>
      <c r="BJ2315">
        <v>2800</v>
      </c>
      <c r="BK2315">
        <v>-300</v>
      </c>
      <c r="BL2315" t="s">
        <v>163</v>
      </c>
      <c r="BM2315">
        <v>1</v>
      </c>
      <c r="BN2315">
        <v>1</v>
      </c>
      <c r="BO2315">
        <v>1</v>
      </c>
      <c r="BP2315">
        <v>0</v>
      </c>
      <c r="BS2315">
        <v>0</v>
      </c>
      <c r="BT2315">
        <v>0</v>
      </c>
      <c r="BU2315">
        <v>0</v>
      </c>
      <c r="CE2315" t="str">
        <f t="shared" si="832"/>
        <v>19:31:42.436</v>
      </c>
      <c r="CF2315">
        <v>435642572</v>
      </c>
      <c r="CS2315">
        <v>0</v>
      </c>
      <c r="CT2315">
        <v>2</v>
      </c>
      <c r="CU2315">
        <v>0</v>
      </c>
      <c r="CV2315">
        <v>2</v>
      </c>
      <c r="CW2315">
        <v>0</v>
      </c>
      <c r="CX2315">
        <v>5</v>
      </c>
      <c r="CY2315">
        <v>7</v>
      </c>
      <c r="CZ2315" t="s">
        <v>131</v>
      </c>
      <c r="DA2315">
        <v>300</v>
      </c>
      <c r="DB2315">
        <v>0</v>
      </c>
      <c r="DC2315" t="s">
        <v>176</v>
      </c>
      <c r="DD2315" t="s">
        <v>177</v>
      </c>
      <c r="DG2315">
        <v>5408646</v>
      </c>
      <c r="DI2315">
        <v>1</v>
      </c>
      <c r="DJ2315">
        <v>0</v>
      </c>
      <c r="DK2315">
        <v>1</v>
      </c>
      <c r="DL2315">
        <v>0</v>
      </c>
      <c r="DM2315">
        <v>0</v>
      </c>
      <c r="DN2315">
        <v>1</v>
      </c>
      <c r="DO2315">
        <v>0</v>
      </c>
      <c r="DP2315">
        <v>0</v>
      </c>
      <c r="DQ2315">
        <v>0</v>
      </c>
      <c r="DR2315">
        <v>0</v>
      </c>
      <c r="DS2315">
        <v>0</v>
      </c>
    </row>
    <row r="2316" spans="1:123" x14ac:dyDescent="0.3">
      <c r="A2316" t="str">
        <f>"10/04/2022 19:31:42.744"</f>
        <v>10/04/2022 19:31:42.744</v>
      </c>
      <c r="C2316" t="str">
        <f t="shared" si="819"/>
        <v>FFDDD3C0</v>
      </c>
      <c r="D2316" t="s">
        <v>141</v>
      </c>
      <c r="E2316">
        <v>4</v>
      </c>
      <c r="H2316">
        <v>4</v>
      </c>
      <c r="I2316" t="s">
        <v>142</v>
      </c>
      <c r="J2316" t="s">
        <v>138</v>
      </c>
      <c r="K2316">
        <v>0</v>
      </c>
      <c r="L2316">
        <v>3</v>
      </c>
      <c r="M2316">
        <v>0</v>
      </c>
      <c r="N2316">
        <v>2</v>
      </c>
      <c r="O2316">
        <v>0</v>
      </c>
      <c r="P2316">
        <v>1</v>
      </c>
      <c r="Q2316">
        <v>0</v>
      </c>
      <c r="S2316" t="str">
        <f t="shared" si="831"/>
        <v>19:31:42.000</v>
      </c>
      <c r="T2316" t="str">
        <f t="shared" si="831"/>
        <v>19:31:42.000</v>
      </c>
      <c r="U2316" t="str">
        <f t="shared" si="829"/>
        <v>AC3944</v>
      </c>
      <c r="V2316">
        <v>0</v>
      </c>
      <c r="W2316">
        <v>0</v>
      </c>
      <c r="X2316">
        <v>2</v>
      </c>
      <c r="Y2316">
        <v>0</v>
      </c>
      <c r="AA2316">
        <v>1</v>
      </c>
      <c r="AB2316">
        <v>8</v>
      </c>
      <c r="AC2316">
        <v>3</v>
      </c>
      <c r="AD2316">
        <v>0</v>
      </c>
      <c r="AE2316">
        <v>9</v>
      </c>
      <c r="AF2316" t="s">
        <v>138</v>
      </c>
      <c r="AG2316">
        <v>0</v>
      </c>
      <c r="AH2316">
        <v>3</v>
      </c>
      <c r="AI2316">
        <v>1</v>
      </c>
      <c r="AJ2316">
        <v>0</v>
      </c>
      <c r="AK2316" t="s">
        <v>802</v>
      </c>
      <c r="AL2316">
        <v>32.764428000000002</v>
      </c>
      <c r="AM2316" t="s">
        <v>803</v>
      </c>
      <c r="AN2316">
        <v>-116.804109</v>
      </c>
      <c r="AO2316">
        <v>25</v>
      </c>
      <c r="AP2316">
        <v>3100</v>
      </c>
      <c r="AQ2316" t="s">
        <v>129</v>
      </c>
      <c r="AR2316">
        <v>115</v>
      </c>
      <c r="AS2316">
        <v>-65</v>
      </c>
      <c r="AT2316">
        <v>0</v>
      </c>
      <c r="BB2316">
        <v>1200</v>
      </c>
      <c r="BC2316">
        <v>1</v>
      </c>
      <c r="BD2316" t="str">
        <f t="shared" si="830"/>
        <v xml:space="preserve">N887QR  </v>
      </c>
      <c r="BE2316">
        <v>1</v>
      </c>
      <c r="BJ2316">
        <v>2800</v>
      </c>
      <c r="BK2316">
        <v>-300</v>
      </c>
      <c r="BL2316" t="s">
        <v>163</v>
      </c>
      <c r="BM2316">
        <v>1</v>
      </c>
      <c r="BN2316">
        <v>1</v>
      </c>
      <c r="BO2316">
        <v>1</v>
      </c>
      <c r="BP2316">
        <v>0</v>
      </c>
      <c r="BS2316">
        <v>0</v>
      </c>
      <c r="BT2316">
        <v>0</v>
      </c>
      <c r="BU2316">
        <v>0</v>
      </c>
      <c r="CE2316" t="str">
        <f t="shared" si="832"/>
        <v>19:31:42.436</v>
      </c>
      <c r="CF2316">
        <v>435642572</v>
      </c>
      <c r="CS2316">
        <v>0</v>
      </c>
      <c r="CT2316">
        <v>2</v>
      </c>
      <c r="CU2316">
        <v>0</v>
      </c>
      <c r="CV2316">
        <v>2</v>
      </c>
      <c r="CW2316">
        <v>0</v>
      </c>
      <c r="CX2316">
        <v>5</v>
      </c>
      <c r="CY2316">
        <v>7</v>
      </c>
      <c r="CZ2316" t="s">
        <v>131</v>
      </c>
      <c r="DA2316">
        <v>300</v>
      </c>
      <c r="DB2316">
        <v>0</v>
      </c>
      <c r="DC2316" t="s">
        <v>176</v>
      </c>
      <c r="DD2316" t="s">
        <v>177</v>
      </c>
      <c r="DG2316">
        <v>5408646</v>
      </c>
      <c r="DI2316">
        <v>1</v>
      </c>
      <c r="DJ2316">
        <v>0</v>
      </c>
      <c r="DK2316">
        <v>1</v>
      </c>
      <c r="DL2316">
        <v>0</v>
      </c>
      <c r="DM2316">
        <v>0</v>
      </c>
      <c r="DN2316">
        <v>1</v>
      </c>
      <c r="DO2316">
        <v>0</v>
      </c>
      <c r="DP2316">
        <v>0</v>
      </c>
      <c r="DQ2316">
        <v>0</v>
      </c>
      <c r="DR2316">
        <v>0</v>
      </c>
      <c r="DS2316">
        <v>0</v>
      </c>
    </row>
    <row r="2317" spans="1:123" x14ac:dyDescent="0.3">
      <c r="A2317" t="str">
        <f>"10/04/2022 19:31:42.744"</f>
        <v>10/04/2022 19:31:42.744</v>
      </c>
      <c r="C2317" t="str">
        <f t="shared" si="819"/>
        <v>FFDDD3C0</v>
      </c>
      <c r="D2317" t="s">
        <v>134</v>
      </c>
      <c r="E2317">
        <v>15</v>
      </c>
      <c r="J2317" t="s">
        <v>135</v>
      </c>
      <c r="K2317">
        <v>0</v>
      </c>
      <c r="L2317">
        <v>3</v>
      </c>
      <c r="M2317">
        <v>0</v>
      </c>
      <c r="N2317">
        <v>2</v>
      </c>
      <c r="O2317">
        <v>0</v>
      </c>
      <c r="P2317">
        <v>1</v>
      </c>
      <c r="Q2317">
        <v>0</v>
      </c>
      <c r="S2317" t="str">
        <f t="shared" si="831"/>
        <v>19:31:42.000</v>
      </c>
      <c r="T2317" t="str">
        <f t="shared" si="831"/>
        <v>19:31:42.000</v>
      </c>
      <c r="U2317" t="str">
        <f t="shared" si="829"/>
        <v>AC3944</v>
      </c>
      <c r="V2317">
        <v>0</v>
      </c>
      <c r="W2317">
        <v>0</v>
      </c>
      <c r="X2317">
        <v>2</v>
      </c>
      <c r="Y2317">
        <v>0</v>
      </c>
      <c r="AA2317">
        <v>1</v>
      </c>
      <c r="AB2317">
        <v>8</v>
      </c>
      <c r="AC2317">
        <v>3</v>
      </c>
      <c r="AD2317">
        <v>0</v>
      </c>
      <c r="AE2317">
        <v>9</v>
      </c>
      <c r="AF2317" t="s">
        <v>138</v>
      </c>
      <c r="AG2317">
        <v>0</v>
      </c>
      <c r="AH2317">
        <v>3</v>
      </c>
      <c r="AI2317">
        <v>1</v>
      </c>
      <c r="AJ2317">
        <v>0</v>
      </c>
      <c r="AK2317" t="s">
        <v>802</v>
      </c>
      <c r="AL2317">
        <v>32.764428000000002</v>
      </c>
      <c r="AM2317" t="s">
        <v>803</v>
      </c>
      <c r="AN2317">
        <v>-116.804109</v>
      </c>
      <c r="AO2317">
        <v>25</v>
      </c>
      <c r="AP2317">
        <v>3100</v>
      </c>
      <c r="AQ2317" t="s">
        <v>129</v>
      </c>
      <c r="AR2317">
        <v>115</v>
      </c>
      <c r="AS2317">
        <v>-65</v>
      </c>
      <c r="AT2317">
        <v>0</v>
      </c>
      <c r="BB2317">
        <v>1200</v>
      </c>
      <c r="BC2317">
        <v>1</v>
      </c>
      <c r="BD2317" t="str">
        <f t="shared" si="830"/>
        <v xml:space="preserve">N887QR  </v>
      </c>
      <c r="BE2317">
        <v>1</v>
      </c>
      <c r="BJ2317">
        <v>2800</v>
      </c>
      <c r="BK2317">
        <v>-300</v>
      </c>
      <c r="BL2317" t="s">
        <v>163</v>
      </c>
      <c r="BM2317">
        <v>1</v>
      </c>
      <c r="BN2317">
        <v>1</v>
      </c>
      <c r="BO2317">
        <v>1</v>
      </c>
      <c r="BP2317">
        <v>0</v>
      </c>
      <c r="BS2317">
        <v>0</v>
      </c>
      <c r="BT2317">
        <v>0</v>
      </c>
      <c r="BU2317">
        <v>0</v>
      </c>
      <c r="CE2317" t="str">
        <f t="shared" si="832"/>
        <v>19:31:42.436</v>
      </c>
      <c r="CF2317">
        <v>435642572</v>
      </c>
      <c r="CS2317">
        <v>0</v>
      </c>
      <c r="CT2317">
        <v>2</v>
      </c>
      <c r="CU2317">
        <v>0</v>
      </c>
      <c r="CV2317">
        <v>2</v>
      </c>
      <c r="CW2317">
        <v>0</v>
      </c>
      <c r="CX2317">
        <v>5</v>
      </c>
      <c r="CY2317">
        <v>7</v>
      </c>
      <c r="CZ2317" t="s">
        <v>131</v>
      </c>
      <c r="DA2317">
        <v>300</v>
      </c>
      <c r="DB2317">
        <v>0</v>
      </c>
      <c r="DC2317" t="s">
        <v>176</v>
      </c>
      <c r="DD2317" t="s">
        <v>177</v>
      </c>
      <c r="DG2317">
        <v>5408646</v>
      </c>
      <c r="DI2317">
        <v>1</v>
      </c>
      <c r="DJ2317">
        <v>0</v>
      </c>
      <c r="DK2317">
        <v>1</v>
      </c>
      <c r="DL2317">
        <v>0</v>
      </c>
      <c r="DM2317">
        <v>0</v>
      </c>
      <c r="DN2317">
        <v>1</v>
      </c>
      <c r="DO2317">
        <v>0</v>
      </c>
      <c r="DP2317">
        <v>0</v>
      </c>
      <c r="DQ2317">
        <v>0</v>
      </c>
      <c r="DR2317">
        <v>0</v>
      </c>
      <c r="DS2317">
        <v>0</v>
      </c>
    </row>
    <row r="2318" spans="1:123" x14ac:dyDescent="0.3">
      <c r="A2318" t="str">
        <f>"10/04/2022 19:31:43.666"</f>
        <v>10/04/2022 19:31:43.666</v>
      </c>
      <c r="C2318" t="str">
        <f t="shared" si="819"/>
        <v>FFDDD3C0</v>
      </c>
      <c r="D2318" t="s">
        <v>141</v>
      </c>
      <c r="E2318">
        <v>4</v>
      </c>
      <c r="H2318">
        <v>4</v>
      </c>
      <c r="I2318" t="s">
        <v>142</v>
      </c>
      <c r="J2318" t="s">
        <v>138</v>
      </c>
      <c r="K2318">
        <v>0</v>
      </c>
      <c r="L2318">
        <v>3</v>
      </c>
      <c r="M2318">
        <v>0</v>
      </c>
      <c r="N2318">
        <v>2</v>
      </c>
      <c r="O2318">
        <v>0</v>
      </c>
      <c r="P2318">
        <v>1</v>
      </c>
      <c r="Q2318">
        <v>0</v>
      </c>
      <c r="S2318" t="str">
        <f t="shared" ref="S2318:T2324" si="833">"19:31:43.000"</f>
        <v>19:31:43.000</v>
      </c>
      <c r="T2318" t="str">
        <f t="shared" si="833"/>
        <v>19:31:43.000</v>
      </c>
      <c r="U2318" t="str">
        <f t="shared" si="829"/>
        <v>AC3944</v>
      </c>
      <c r="V2318">
        <v>0</v>
      </c>
      <c r="W2318">
        <v>0</v>
      </c>
      <c r="X2318">
        <v>2</v>
      </c>
      <c r="Y2318">
        <v>0</v>
      </c>
      <c r="AA2318">
        <v>1</v>
      </c>
      <c r="AB2318">
        <v>8</v>
      </c>
      <c r="AC2318">
        <v>3</v>
      </c>
      <c r="AD2318">
        <v>0</v>
      </c>
      <c r="AE2318">
        <v>9</v>
      </c>
      <c r="AF2318" t="s">
        <v>138</v>
      </c>
      <c r="AG2318">
        <v>0</v>
      </c>
      <c r="AH2318">
        <v>3</v>
      </c>
      <c r="AI2318">
        <v>1</v>
      </c>
      <c r="AJ2318">
        <v>0</v>
      </c>
      <c r="AK2318" t="s">
        <v>804</v>
      </c>
      <c r="AL2318">
        <v>32.764105999999998</v>
      </c>
      <c r="AM2318" t="s">
        <v>805</v>
      </c>
      <c r="AN2318">
        <v>-116.80348600000001</v>
      </c>
      <c r="AO2318">
        <v>25</v>
      </c>
      <c r="AP2318">
        <v>3100</v>
      </c>
      <c r="AQ2318" t="s">
        <v>129</v>
      </c>
      <c r="AR2318">
        <v>116</v>
      </c>
      <c r="AS2318">
        <v>-63</v>
      </c>
      <c r="AT2318">
        <v>0</v>
      </c>
      <c r="BB2318">
        <v>1200</v>
      </c>
      <c r="BC2318">
        <v>1</v>
      </c>
      <c r="BD2318" t="str">
        <f t="shared" si="830"/>
        <v xml:space="preserve">N887QR  </v>
      </c>
      <c r="BE2318">
        <v>1</v>
      </c>
      <c r="BJ2318">
        <v>2825</v>
      </c>
      <c r="BK2318">
        <v>-275</v>
      </c>
      <c r="BL2318" t="s">
        <v>163</v>
      </c>
      <c r="BM2318">
        <v>1</v>
      </c>
      <c r="BN2318">
        <v>1</v>
      </c>
      <c r="BO2318">
        <v>1</v>
      </c>
      <c r="BP2318">
        <v>0</v>
      </c>
      <c r="BS2318">
        <v>0</v>
      </c>
      <c r="BT2318">
        <v>0</v>
      </c>
      <c r="BU2318">
        <v>0</v>
      </c>
      <c r="CE2318" t="str">
        <f t="shared" ref="CE2318:CE2324" si="834">"19:31:43.237"</f>
        <v>19:31:43.237</v>
      </c>
      <c r="CF2318">
        <v>237145256</v>
      </c>
      <c r="CS2318">
        <v>0</v>
      </c>
      <c r="CT2318">
        <v>2</v>
      </c>
      <c r="CU2318">
        <v>0</v>
      </c>
      <c r="CV2318">
        <v>2</v>
      </c>
      <c r="CW2318">
        <v>0</v>
      </c>
      <c r="CX2318">
        <v>5</v>
      </c>
      <c r="CY2318">
        <v>7</v>
      </c>
      <c r="CZ2318" t="s">
        <v>131</v>
      </c>
      <c r="DA2318">
        <v>300</v>
      </c>
      <c r="DB2318">
        <v>0</v>
      </c>
      <c r="DC2318" t="s">
        <v>176</v>
      </c>
      <c r="DD2318" t="s">
        <v>177</v>
      </c>
      <c r="DG2318">
        <v>5408759</v>
      </c>
      <c r="DI2318">
        <v>1</v>
      </c>
      <c r="DJ2318">
        <v>0</v>
      </c>
      <c r="DK2318">
        <v>0</v>
      </c>
      <c r="DL2318">
        <v>0</v>
      </c>
      <c r="DM2318">
        <v>0</v>
      </c>
      <c r="DN2318">
        <v>1</v>
      </c>
      <c r="DO2318">
        <v>0</v>
      </c>
      <c r="DP2318">
        <v>0</v>
      </c>
      <c r="DQ2318">
        <v>0</v>
      </c>
      <c r="DR2318">
        <v>0</v>
      </c>
      <c r="DS2318">
        <v>0</v>
      </c>
    </row>
    <row r="2319" spans="1:123" x14ac:dyDescent="0.3">
      <c r="A2319" t="str">
        <f>"10/04/2022 19:31:43.666"</f>
        <v>10/04/2022 19:31:43.666</v>
      </c>
      <c r="C2319" t="str">
        <f t="shared" si="819"/>
        <v>FFDDD3C0</v>
      </c>
      <c r="D2319" t="s">
        <v>134</v>
      </c>
      <c r="E2319">
        <v>15</v>
      </c>
      <c r="J2319" t="s">
        <v>135</v>
      </c>
      <c r="K2319">
        <v>0</v>
      </c>
      <c r="L2319">
        <v>3</v>
      </c>
      <c r="M2319">
        <v>0</v>
      </c>
      <c r="N2319">
        <v>2</v>
      </c>
      <c r="O2319">
        <v>0</v>
      </c>
      <c r="P2319">
        <v>1</v>
      </c>
      <c r="Q2319">
        <v>0</v>
      </c>
      <c r="S2319" t="str">
        <f t="shared" si="833"/>
        <v>19:31:43.000</v>
      </c>
      <c r="T2319" t="str">
        <f t="shared" si="833"/>
        <v>19:31:43.000</v>
      </c>
      <c r="U2319" t="str">
        <f t="shared" si="829"/>
        <v>AC3944</v>
      </c>
      <c r="V2319">
        <v>0</v>
      </c>
      <c r="W2319">
        <v>0</v>
      </c>
      <c r="X2319">
        <v>2</v>
      </c>
      <c r="Y2319">
        <v>0</v>
      </c>
      <c r="AA2319">
        <v>1</v>
      </c>
      <c r="AB2319">
        <v>8</v>
      </c>
      <c r="AC2319">
        <v>3</v>
      </c>
      <c r="AD2319">
        <v>0</v>
      </c>
      <c r="AE2319">
        <v>9</v>
      </c>
      <c r="AF2319" t="s">
        <v>138</v>
      </c>
      <c r="AG2319">
        <v>0</v>
      </c>
      <c r="AH2319">
        <v>3</v>
      </c>
      <c r="AI2319">
        <v>1</v>
      </c>
      <c r="AJ2319">
        <v>0</v>
      </c>
      <c r="AK2319" t="s">
        <v>804</v>
      </c>
      <c r="AL2319">
        <v>32.764105999999998</v>
      </c>
      <c r="AM2319" t="s">
        <v>805</v>
      </c>
      <c r="AN2319">
        <v>-116.80348600000001</v>
      </c>
      <c r="AO2319">
        <v>25</v>
      </c>
      <c r="AP2319">
        <v>3100</v>
      </c>
      <c r="AQ2319" t="s">
        <v>129</v>
      </c>
      <c r="AR2319">
        <v>116</v>
      </c>
      <c r="AS2319">
        <v>-63</v>
      </c>
      <c r="AT2319">
        <v>0</v>
      </c>
      <c r="BB2319">
        <v>1200</v>
      </c>
      <c r="BC2319">
        <v>1</v>
      </c>
      <c r="BD2319" t="str">
        <f t="shared" si="830"/>
        <v xml:space="preserve">N887QR  </v>
      </c>
      <c r="BE2319">
        <v>1</v>
      </c>
      <c r="BJ2319">
        <v>2825</v>
      </c>
      <c r="BK2319">
        <v>-275</v>
      </c>
      <c r="BL2319" t="s">
        <v>163</v>
      </c>
      <c r="BM2319">
        <v>1</v>
      </c>
      <c r="BN2319">
        <v>1</v>
      </c>
      <c r="BO2319">
        <v>1</v>
      </c>
      <c r="BP2319">
        <v>0</v>
      </c>
      <c r="BS2319">
        <v>0</v>
      </c>
      <c r="BT2319">
        <v>0</v>
      </c>
      <c r="BU2319">
        <v>0</v>
      </c>
      <c r="CE2319" t="str">
        <f t="shared" si="834"/>
        <v>19:31:43.237</v>
      </c>
      <c r="CF2319">
        <v>237145256</v>
      </c>
      <c r="CS2319">
        <v>0</v>
      </c>
      <c r="CT2319">
        <v>2</v>
      </c>
      <c r="CU2319">
        <v>0</v>
      </c>
      <c r="CV2319">
        <v>2</v>
      </c>
      <c r="CW2319">
        <v>0</v>
      </c>
      <c r="CX2319">
        <v>5</v>
      </c>
      <c r="CY2319">
        <v>7</v>
      </c>
      <c r="CZ2319" t="s">
        <v>131</v>
      </c>
      <c r="DA2319">
        <v>300</v>
      </c>
      <c r="DB2319">
        <v>0</v>
      </c>
      <c r="DC2319" t="s">
        <v>176</v>
      </c>
      <c r="DD2319" t="s">
        <v>177</v>
      </c>
      <c r="DG2319">
        <v>5408759</v>
      </c>
      <c r="DI2319">
        <v>1</v>
      </c>
      <c r="DJ2319">
        <v>0</v>
      </c>
      <c r="DK2319">
        <v>0</v>
      </c>
      <c r="DL2319">
        <v>0</v>
      </c>
      <c r="DM2319">
        <v>0</v>
      </c>
      <c r="DN2319">
        <v>1</v>
      </c>
      <c r="DO2319">
        <v>0</v>
      </c>
      <c r="DP2319">
        <v>0</v>
      </c>
      <c r="DQ2319">
        <v>0</v>
      </c>
      <c r="DR2319">
        <v>0</v>
      </c>
      <c r="DS2319">
        <v>0</v>
      </c>
    </row>
    <row r="2320" spans="1:123" x14ac:dyDescent="0.3">
      <c r="A2320" t="str">
        <f>"10/04/2022 19:31:43.713"</f>
        <v>10/04/2022 19:31:43.713</v>
      </c>
      <c r="C2320" t="str">
        <f t="shared" si="819"/>
        <v>FFDDD3C0</v>
      </c>
      <c r="D2320" t="s">
        <v>143</v>
      </c>
      <c r="E2320">
        <v>20</v>
      </c>
      <c r="F2320">
        <v>1020</v>
      </c>
      <c r="G2320" t="s">
        <v>144</v>
      </c>
      <c r="J2320" t="s">
        <v>145</v>
      </c>
      <c r="K2320">
        <v>0</v>
      </c>
      <c r="L2320">
        <v>3</v>
      </c>
      <c r="M2320">
        <v>0</v>
      </c>
      <c r="N2320">
        <v>2</v>
      </c>
      <c r="O2320">
        <v>0</v>
      </c>
      <c r="P2320">
        <v>1</v>
      </c>
      <c r="Q2320">
        <v>0</v>
      </c>
      <c r="S2320" t="str">
        <f t="shared" si="833"/>
        <v>19:31:43.000</v>
      </c>
      <c r="T2320" t="str">
        <f t="shared" si="833"/>
        <v>19:31:43.000</v>
      </c>
      <c r="U2320" t="str">
        <f t="shared" si="829"/>
        <v>AC3944</v>
      </c>
      <c r="V2320">
        <v>0</v>
      </c>
      <c r="W2320">
        <v>0</v>
      </c>
      <c r="X2320">
        <v>2</v>
      </c>
      <c r="Y2320">
        <v>0</v>
      </c>
      <c r="AA2320">
        <v>1</v>
      </c>
      <c r="AB2320">
        <v>8</v>
      </c>
      <c r="AC2320">
        <v>3</v>
      </c>
      <c r="AD2320">
        <v>0</v>
      </c>
      <c r="AE2320">
        <v>9</v>
      </c>
      <c r="AF2320" t="s">
        <v>138</v>
      </c>
      <c r="AG2320">
        <v>0</v>
      </c>
      <c r="AH2320">
        <v>3</v>
      </c>
      <c r="AI2320">
        <v>1</v>
      </c>
      <c r="AJ2320">
        <v>0</v>
      </c>
      <c r="AK2320" t="s">
        <v>804</v>
      </c>
      <c r="AL2320">
        <v>32.764105999999998</v>
      </c>
      <c r="AM2320" t="s">
        <v>805</v>
      </c>
      <c r="AN2320">
        <v>-116.80348600000001</v>
      </c>
      <c r="AO2320">
        <v>25</v>
      </c>
      <c r="AP2320">
        <v>3100</v>
      </c>
      <c r="AQ2320" t="s">
        <v>129</v>
      </c>
      <c r="AR2320">
        <v>116</v>
      </c>
      <c r="AS2320">
        <v>-63</v>
      </c>
      <c r="AT2320">
        <v>0</v>
      </c>
      <c r="BB2320">
        <v>1200</v>
      </c>
      <c r="BC2320">
        <v>1</v>
      </c>
      <c r="BD2320" t="str">
        <f t="shared" si="830"/>
        <v xml:space="preserve">N887QR  </v>
      </c>
      <c r="BE2320">
        <v>1</v>
      </c>
      <c r="BJ2320">
        <v>2825</v>
      </c>
      <c r="BK2320">
        <v>-275</v>
      </c>
      <c r="BL2320" t="s">
        <v>163</v>
      </c>
      <c r="BM2320">
        <v>1</v>
      </c>
      <c r="BN2320">
        <v>1</v>
      </c>
      <c r="BO2320">
        <v>1</v>
      </c>
      <c r="BP2320">
        <v>0</v>
      </c>
      <c r="BS2320">
        <v>0</v>
      </c>
      <c r="BT2320">
        <v>0</v>
      </c>
      <c r="BU2320">
        <v>0</v>
      </c>
      <c r="CE2320" t="str">
        <f t="shared" si="834"/>
        <v>19:31:43.237</v>
      </c>
      <c r="CF2320">
        <v>237145256</v>
      </c>
      <c r="CS2320">
        <v>0</v>
      </c>
      <c r="CT2320">
        <v>2</v>
      </c>
      <c r="CU2320">
        <v>0</v>
      </c>
      <c r="CV2320">
        <v>2</v>
      </c>
      <c r="CW2320">
        <v>0</v>
      </c>
      <c r="CX2320">
        <v>5</v>
      </c>
      <c r="CY2320">
        <v>7</v>
      </c>
      <c r="CZ2320" t="s">
        <v>131</v>
      </c>
      <c r="DA2320">
        <v>300</v>
      </c>
      <c r="DB2320">
        <v>0</v>
      </c>
      <c r="DC2320" t="s">
        <v>176</v>
      </c>
      <c r="DD2320" t="s">
        <v>177</v>
      </c>
      <c r="DG2320">
        <v>5408759</v>
      </c>
      <c r="DI2320">
        <v>1</v>
      </c>
      <c r="DJ2320">
        <v>0</v>
      </c>
      <c r="DK2320">
        <v>1</v>
      </c>
      <c r="DL2320">
        <v>0</v>
      </c>
      <c r="DM2320">
        <v>0</v>
      </c>
      <c r="DN2320">
        <v>1</v>
      </c>
      <c r="DO2320">
        <v>0</v>
      </c>
      <c r="DP2320">
        <v>0</v>
      </c>
      <c r="DQ2320">
        <v>0</v>
      </c>
      <c r="DR2320">
        <v>0</v>
      </c>
      <c r="DS2320">
        <v>0</v>
      </c>
    </row>
    <row r="2321" spans="1:123" x14ac:dyDescent="0.3">
      <c r="A2321" t="str">
        <f>"10/04/2022 19:31:43.713"</f>
        <v>10/04/2022 19:31:43.713</v>
      </c>
      <c r="C2321" t="str">
        <f t="shared" si="819"/>
        <v>FFDDD3C0</v>
      </c>
      <c r="D2321" t="s">
        <v>147</v>
      </c>
      <c r="E2321">
        <v>3</v>
      </c>
      <c r="H2321">
        <v>166</v>
      </c>
      <c r="I2321" t="s">
        <v>144</v>
      </c>
      <c r="J2321" t="s">
        <v>148</v>
      </c>
      <c r="K2321">
        <v>0</v>
      </c>
      <c r="L2321">
        <v>3</v>
      </c>
      <c r="M2321">
        <v>0</v>
      </c>
      <c r="N2321">
        <v>2</v>
      </c>
      <c r="O2321">
        <v>0</v>
      </c>
      <c r="P2321">
        <v>1</v>
      </c>
      <c r="Q2321">
        <v>0</v>
      </c>
      <c r="S2321" t="str">
        <f t="shared" si="833"/>
        <v>19:31:43.000</v>
      </c>
      <c r="T2321" t="str">
        <f t="shared" si="833"/>
        <v>19:31:43.000</v>
      </c>
      <c r="U2321" t="str">
        <f t="shared" si="829"/>
        <v>AC3944</v>
      </c>
      <c r="V2321">
        <v>0</v>
      </c>
      <c r="W2321">
        <v>0</v>
      </c>
      <c r="X2321">
        <v>2</v>
      </c>
      <c r="Y2321">
        <v>0</v>
      </c>
      <c r="AA2321">
        <v>1</v>
      </c>
      <c r="AB2321">
        <v>8</v>
      </c>
      <c r="AC2321">
        <v>3</v>
      </c>
      <c r="AD2321">
        <v>0</v>
      </c>
      <c r="AE2321">
        <v>9</v>
      </c>
      <c r="AF2321" t="s">
        <v>138</v>
      </c>
      <c r="AG2321">
        <v>0</v>
      </c>
      <c r="AH2321">
        <v>3</v>
      </c>
      <c r="AI2321">
        <v>1</v>
      </c>
      <c r="AJ2321">
        <v>0</v>
      </c>
      <c r="AK2321" t="s">
        <v>804</v>
      </c>
      <c r="AL2321">
        <v>32.764105999999998</v>
      </c>
      <c r="AM2321" t="s">
        <v>805</v>
      </c>
      <c r="AN2321">
        <v>-116.80348600000001</v>
      </c>
      <c r="AO2321">
        <v>25</v>
      </c>
      <c r="AP2321">
        <v>3100</v>
      </c>
      <c r="AQ2321" t="s">
        <v>129</v>
      </c>
      <c r="AR2321">
        <v>116</v>
      </c>
      <c r="AS2321">
        <v>-63</v>
      </c>
      <c r="AT2321">
        <v>0</v>
      </c>
      <c r="BB2321">
        <v>1200</v>
      </c>
      <c r="BC2321">
        <v>1</v>
      </c>
      <c r="BD2321" t="str">
        <f t="shared" si="830"/>
        <v xml:space="preserve">N887QR  </v>
      </c>
      <c r="BE2321">
        <v>1</v>
      </c>
      <c r="BJ2321">
        <v>2825</v>
      </c>
      <c r="BK2321">
        <v>-275</v>
      </c>
      <c r="BL2321" t="s">
        <v>163</v>
      </c>
      <c r="BM2321">
        <v>1</v>
      </c>
      <c r="BN2321">
        <v>1</v>
      </c>
      <c r="BO2321">
        <v>1</v>
      </c>
      <c r="BP2321">
        <v>0</v>
      </c>
      <c r="BS2321">
        <v>0</v>
      </c>
      <c r="BT2321">
        <v>0</v>
      </c>
      <c r="BU2321">
        <v>0</v>
      </c>
      <c r="CE2321" t="str">
        <f t="shared" si="834"/>
        <v>19:31:43.237</v>
      </c>
      <c r="CF2321">
        <v>237145256</v>
      </c>
      <c r="CS2321">
        <v>0</v>
      </c>
      <c r="CT2321">
        <v>2</v>
      </c>
      <c r="CU2321">
        <v>0</v>
      </c>
      <c r="CV2321">
        <v>2</v>
      </c>
      <c r="CW2321">
        <v>0</v>
      </c>
      <c r="CX2321">
        <v>5</v>
      </c>
      <c r="CY2321">
        <v>7</v>
      </c>
      <c r="CZ2321" t="s">
        <v>131</v>
      </c>
      <c r="DA2321">
        <v>300</v>
      </c>
      <c r="DB2321">
        <v>0</v>
      </c>
      <c r="DC2321" t="s">
        <v>176</v>
      </c>
      <c r="DD2321" t="s">
        <v>177</v>
      </c>
      <c r="DG2321">
        <v>5408759</v>
      </c>
      <c r="DI2321">
        <v>1</v>
      </c>
      <c r="DJ2321">
        <v>0</v>
      </c>
      <c r="DK2321">
        <v>1</v>
      </c>
      <c r="DL2321">
        <v>0</v>
      </c>
      <c r="DM2321">
        <v>0</v>
      </c>
      <c r="DN2321">
        <v>1</v>
      </c>
      <c r="DO2321">
        <v>0</v>
      </c>
      <c r="DP2321">
        <v>0</v>
      </c>
      <c r="DQ2321">
        <v>0</v>
      </c>
      <c r="DR2321">
        <v>0</v>
      </c>
      <c r="DS2321">
        <v>0</v>
      </c>
    </row>
    <row r="2322" spans="1:123" x14ac:dyDescent="0.3">
      <c r="A2322" t="str">
        <f>"10/04/2022 19:31:43.713"</f>
        <v>10/04/2022 19:31:43.713</v>
      </c>
      <c r="C2322" t="str">
        <f t="shared" si="819"/>
        <v>FFDDD3C0</v>
      </c>
      <c r="D2322" t="s">
        <v>136</v>
      </c>
      <c r="E2322">
        <v>8</v>
      </c>
      <c r="H2322">
        <v>225</v>
      </c>
      <c r="I2322" t="s">
        <v>137</v>
      </c>
      <c r="J2322" t="s">
        <v>138</v>
      </c>
      <c r="K2322">
        <v>0</v>
      </c>
      <c r="L2322">
        <v>3</v>
      </c>
      <c r="M2322">
        <v>0</v>
      </c>
      <c r="N2322">
        <v>2</v>
      </c>
      <c r="O2322">
        <v>0</v>
      </c>
      <c r="P2322">
        <v>1</v>
      </c>
      <c r="Q2322">
        <v>0</v>
      </c>
      <c r="S2322" t="str">
        <f t="shared" si="833"/>
        <v>19:31:43.000</v>
      </c>
      <c r="T2322" t="str">
        <f t="shared" si="833"/>
        <v>19:31:43.000</v>
      </c>
      <c r="U2322" t="str">
        <f t="shared" si="829"/>
        <v>AC3944</v>
      </c>
      <c r="V2322">
        <v>0</v>
      </c>
      <c r="W2322">
        <v>0</v>
      </c>
      <c r="X2322">
        <v>2</v>
      </c>
      <c r="Y2322">
        <v>0</v>
      </c>
      <c r="AA2322">
        <v>1</v>
      </c>
      <c r="AB2322">
        <v>8</v>
      </c>
      <c r="AC2322">
        <v>3</v>
      </c>
      <c r="AD2322">
        <v>0</v>
      </c>
      <c r="AE2322">
        <v>9</v>
      </c>
      <c r="AF2322" t="s">
        <v>138</v>
      </c>
      <c r="AG2322">
        <v>0</v>
      </c>
      <c r="AH2322">
        <v>3</v>
      </c>
      <c r="AI2322">
        <v>1</v>
      </c>
      <c r="AJ2322">
        <v>0</v>
      </c>
      <c r="AK2322" t="s">
        <v>804</v>
      </c>
      <c r="AL2322">
        <v>32.764105999999998</v>
      </c>
      <c r="AM2322" t="s">
        <v>805</v>
      </c>
      <c r="AN2322">
        <v>-116.80348600000001</v>
      </c>
      <c r="AO2322">
        <v>25</v>
      </c>
      <c r="AP2322">
        <v>3100</v>
      </c>
      <c r="AQ2322" t="s">
        <v>129</v>
      </c>
      <c r="AR2322">
        <v>116</v>
      </c>
      <c r="AS2322">
        <v>-63</v>
      </c>
      <c r="AT2322">
        <v>0</v>
      </c>
      <c r="BB2322">
        <v>1200</v>
      </c>
      <c r="BC2322">
        <v>1</v>
      </c>
      <c r="BD2322" t="str">
        <f t="shared" si="830"/>
        <v xml:space="preserve">N887QR  </v>
      </c>
      <c r="BE2322">
        <v>1</v>
      </c>
      <c r="BJ2322">
        <v>2825</v>
      </c>
      <c r="BK2322">
        <v>-275</v>
      </c>
      <c r="BL2322" t="s">
        <v>163</v>
      </c>
      <c r="BM2322">
        <v>1</v>
      </c>
      <c r="BN2322">
        <v>1</v>
      </c>
      <c r="BO2322">
        <v>1</v>
      </c>
      <c r="BP2322">
        <v>0</v>
      </c>
      <c r="BS2322">
        <v>0</v>
      </c>
      <c r="BT2322">
        <v>0</v>
      </c>
      <c r="BU2322">
        <v>0</v>
      </c>
      <c r="CE2322" t="str">
        <f t="shared" si="834"/>
        <v>19:31:43.237</v>
      </c>
      <c r="CF2322">
        <v>237145256</v>
      </c>
      <c r="CS2322">
        <v>0</v>
      </c>
      <c r="CT2322">
        <v>2</v>
      </c>
      <c r="CU2322">
        <v>0</v>
      </c>
      <c r="CV2322">
        <v>2</v>
      </c>
      <c r="CW2322">
        <v>0</v>
      </c>
      <c r="CX2322">
        <v>5</v>
      </c>
      <c r="CY2322">
        <v>7</v>
      </c>
      <c r="CZ2322" t="s">
        <v>131</v>
      </c>
      <c r="DA2322">
        <v>300</v>
      </c>
      <c r="DB2322">
        <v>0</v>
      </c>
      <c r="DC2322" t="s">
        <v>176</v>
      </c>
      <c r="DD2322" t="s">
        <v>177</v>
      </c>
      <c r="DG2322">
        <v>5408759</v>
      </c>
      <c r="DI2322">
        <v>1</v>
      </c>
      <c r="DJ2322">
        <v>0</v>
      </c>
      <c r="DK2322">
        <v>1</v>
      </c>
      <c r="DL2322">
        <v>0</v>
      </c>
      <c r="DM2322">
        <v>0</v>
      </c>
      <c r="DN2322">
        <v>1</v>
      </c>
      <c r="DO2322">
        <v>0</v>
      </c>
      <c r="DP2322">
        <v>0</v>
      </c>
      <c r="DQ2322">
        <v>0</v>
      </c>
      <c r="DR2322">
        <v>0</v>
      </c>
      <c r="DS2322">
        <v>0</v>
      </c>
    </row>
    <row r="2323" spans="1:123" x14ac:dyDescent="0.3">
      <c r="A2323" t="str">
        <f>"10/04/2022 19:31:43.713"</f>
        <v>10/04/2022 19:31:43.713</v>
      </c>
      <c r="C2323" t="str">
        <f t="shared" si="819"/>
        <v>FFDDD3C0</v>
      </c>
      <c r="D2323" t="s">
        <v>123</v>
      </c>
      <c r="E2323">
        <v>7</v>
      </c>
      <c r="F2323">
        <v>2007</v>
      </c>
      <c r="G2323" t="s">
        <v>124</v>
      </c>
      <c r="J2323" t="s">
        <v>125</v>
      </c>
      <c r="K2323">
        <v>0</v>
      </c>
      <c r="L2323">
        <v>3</v>
      </c>
      <c r="M2323">
        <v>0</v>
      </c>
      <c r="N2323">
        <v>2</v>
      </c>
      <c r="O2323">
        <v>0</v>
      </c>
      <c r="P2323">
        <v>1</v>
      </c>
      <c r="Q2323">
        <v>0</v>
      </c>
      <c r="S2323" t="str">
        <f t="shared" si="833"/>
        <v>19:31:43.000</v>
      </c>
      <c r="T2323" t="str">
        <f t="shared" si="833"/>
        <v>19:31:43.000</v>
      </c>
      <c r="U2323" t="str">
        <f t="shared" si="829"/>
        <v>AC3944</v>
      </c>
      <c r="V2323">
        <v>0</v>
      </c>
      <c r="W2323">
        <v>0</v>
      </c>
      <c r="X2323">
        <v>2</v>
      </c>
      <c r="Y2323">
        <v>0</v>
      </c>
      <c r="AA2323">
        <v>1</v>
      </c>
      <c r="AB2323">
        <v>8</v>
      </c>
      <c r="AC2323">
        <v>3</v>
      </c>
      <c r="AD2323">
        <v>0</v>
      </c>
      <c r="AE2323">
        <v>9</v>
      </c>
      <c r="AF2323" t="s">
        <v>138</v>
      </c>
      <c r="AG2323">
        <v>0</v>
      </c>
      <c r="AH2323">
        <v>3</v>
      </c>
      <c r="AI2323">
        <v>1</v>
      </c>
      <c r="AJ2323">
        <v>0</v>
      </c>
      <c r="AK2323" t="s">
        <v>804</v>
      </c>
      <c r="AL2323">
        <v>32.764105999999998</v>
      </c>
      <c r="AM2323" t="s">
        <v>805</v>
      </c>
      <c r="AN2323">
        <v>-116.80348600000001</v>
      </c>
      <c r="AO2323">
        <v>25</v>
      </c>
      <c r="AP2323">
        <v>3100</v>
      </c>
      <c r="AQ2323" t="s">
        <v>129</v>
      </c>
      <c r="AR2323">
        <v>116</v>
      </c>
      <c r="AS2323">
        <v>-63</v>
      </c>
      <c r="AT2323">
        <v>0</v>
      </c>
      <c r="BB2323">
        <v>1200</v>
      </c>
      <c r="BC2323">
        <v>1</v>
      </c>
      <c r="BD2323" t="str">
        <f t="shared" si="830"/>
        <v xml:space="preserve">N887QR  </v>
      </c>
      <c r="BE2323">
        <v>1</v>
      </c>
      <c r="BJ2323">
        <v>2825</v>
      </c>
      <c r="BK2323">
        <v>-275</v>
      </c>
      <c r="BL2323" t="s">
        <v>163</v>
      </c>
      <c r="BM2323">
        <v>1</v>
      </c>
      <c r="BN2323">
        <v>1</v>
      </c>
      <c r="BO2323">
        <v>1</v>
      </c>
      <c r="BP2323">
        <v>0</v>
      </c>
      <c r="BS2323">
        <v>0</v>
      </c>
      <c r="BT2323">
        <v>0</v>
      </c>
      <c r="BU2323">
        <v>0</v>
      </c>
      <c r="CE2323" t="str">
        <f t="shared" si="834"/>
        <v>19:31:43.237</v>
      </c>
      <c r="CF2323">
        <v>237145256</v>
      </c>
      <c r="CS2323">
        <v>0</v>
      </c>
      <c r="CT2323">
        <v>2</v>
      </c>
      <c r="CU2323">
        <v>0</v>
      </c>
      <c r="CV2323">
        <v>2</v>
      </c>
      <c r="CW2323">
        <v>0</v>
      </c>
      <c r="CX2323">
        <v>5</v>
      </c>
      <c r="CY2323">
        <v>7</v>
      </c>
      <c r="CZ2323" t="s">
        <v>131</v>
      </c>
      <c r="DA2323">
        <v>300</v>
      </c>
      <c r="DB2323">
        <v>0</v>
      </c>
      <c r="DC2323" t="s">
        <v>176</v>
      </c>
      <c r="DD2323" t="s">
        <v>177</v>
      </c>
      <c r="DG2323">
        <v>5408759</v>
      </c>
      <c r="DI2323">
        <v>1</v>
      </c>
      <c r="DJ2323">
        <v>0</v>
      </c>
      <c r="DK2323">
        <v>1</v>
      </c>
      <c r="DL2323">
        <v>0</v>
      </c>
      <c r="DM2323">
        <v>0</v>
      </c>
      <c r="DN2323">
        <v>1</v>
      </c>
      <c r="DO2323">
        <v>0</v>
      </c>
      <c r="DP2323">
        <v>0</v>
      </c>
      <c r="DQ2323">
        <v>0</v>
      </c>
      <c r="DR2323">
        <v>0</v>
      </c>
      <c r="DS2323">
        <v>0</v>
      </c>
    </row>
    <row r="2324" spans="1:123" x14ac:dyDescent="0.3">
      <c r="A2324" t="str">
        <f>"10/04/2022 19:31:43.713"</f>
        <v>10/04/2022 19:31:43.713</v>
      </c>
      <c r="C2324" t="str">
        <f t="shared" si="819"/>
        <v>FFDDD3C0</v>
      </c>
      <c r="D2324" t="s">
        <v>141</v>
      </c>
      <c r="E2324">
        <v>3</v>
      </c>
      <c r="H2324">
        <v>3</v>
      </c>
      <c r="I2324" t="s">
        <v>146</v>
      </c>
      <c r="J2324" t="s">
        <v>138</v>
      </c>
      <c r="K2324">
        <v>0</v>
      </c>
      <c r="L2324">
        <v>3</v>
      </c>
      <c r="M2324">
        <v>0</v>
      </c>
      <c r="N2324">
        <v>2</v>
      </c>
      <c r="O2324">
        <v>0</v>
      </c>
      <c r="P2324">
        <v>1</v>
      </c>
      <c r="Q2324">
        <v>0</v>
      </c>
      <c r="S2324" t="str">
        <f t="shared" si="833"/>
        <v>19:31:43.000</v>
      </c>
      <c r="T2324" t="str">
        <f t="shared" si="833"/>
        <v>19:31:43.000</v>
      </c>
      <c r="U2324" t="str">
        <f t="shared" si="829"/>
        <v>AC3944</v>
      </c>
      <c r="V2324">
        <v>0</v>
      </c>
      <c r="W2324">
        <v>0</v>
      </c>
      <c r="X2324">
        <v>2</v>
      </c>
      <c r="Y2324">
        <v>0</v>
      </c>
      <c r="AA2324">
        <v>1</v>
      </c>
      <c r="AB2324">
        <v>8</v>
      </c>
      <c r="AC2324">
        <v>3</v>
      </c>
      <c r="AD2324">
        <v>0</v>
      </c>
      <c r="AE2324">
        <v>9</v>
      </c>
      <c r="AF2324" t="s">
        <v>138</v>
      </c>
      <c r="AG2324">
        <v>0</v>
      </c>
      <c r="AH2324">
        <v>3</v>
      </c>
      <c r="AI2324">
        <v>1</v>
      </c>
      <c r="AJ2324">
        <v>0</v>
      </c>
      <c r="AK2324" t="s">
        <v>804</v>
      </c>
      <c r="AL2324">
        <v>32.764105999999998</v>
      </c>
      <c r="AM2324" t="s">
        <v>805</v>
      </c>
      <c r="AN2324">
        <v>-116.80348600000001</v>
      </c>
      <c r="AO2324">
        <v>25</v>
      </c>
      <c r="AP2324">
        <v>3100</v>
      </c>
      <c r="AQ2324" t="s">
        <v>129</v>
      </c>
      <c r="AR2324">
        <v>116</v>
      </c>
      <c r="AS2324">
        <v>-63</v>
      </c>
      <c r="AT2324">
        <v>0</v>
      </c>
      <c r="BB2324">
        <v>1200</v>
      </c>
      <c r="BC2324">
        <v>1</v>
      </c>
      <c r="BD2324" t="str">
        <f t="shared" si="830"/>
        <v xml:space="preserve">N887QR  </v>
      </c>
      <c r="BE2324">
        <v>1</v>
      </c>
      <c r="BJ2324">
        <v>2825</v>
      </c>
      <c r="BK2324">
        <v>-275</v>
      </c>
      <c r="BL2324" t="s">
        <v>163</v>
      </c>
      <c r="BM2324">
        <v>1</v>
      </c>
      <c r="BN2324">
        <v>1</v>
      </c>
      <c r="BO2324">
        <v>1</v>
      </c>
      <c r="BP2324">
        <v>0</v>
      </c>
      <c r="BS2324">
        <v>0</v>
      </c>
      <c r="BT2324">
        <v>0</v>
      </c>
      <c r="BU2324">
        <v>0</v>
      </c>
      <c r="CE2324" t="str">
        <f t="shared" si="834"/>
        <v>19:31:43.237</v>
      </c>
      <c r="CF2324">
        <v>237145256</v>
      </c>
      <c r="CS2324">
        <v>0</v>
      </c>
      <c r="CT2324">
        <v>2</v>
      </c>
      <c r="CU2324">
        <v>0</v>
      </c>
      <c r="CV2324">
        <v>2</v>
      </c>
      <c r="CW2324">
        <v>0</v>
      </c>
      <c r="CX2324">
        <v>5</v>
      </c>
      <c r="CY2324">
        <v>7</v>
      </c>
      <c r="CZ2324" t="s">
        <v>131</v>
      </c>
      <c r="DA2324">
        <v>300</v>
      </c>
      <c r="DB2324">
        <v>0</v>
      </c>
      <c r="DC2324" t="s">
        <v>176</v>
      </c>
      <c r="DD2324" t="s">
        <v>177</v>
      </c>
      <c r="DG2324">
        <v>5408759</v>
      </c>
      <c r="DI2324">
        <v>1</v>
      </c>
      <c r="DJ2324">
        <v>0</v>
      </c>
      <c r="DK2324">
        <v>1</v>
      </c>
      <c r="DL2324">
        <v>0</v>
      </c>
      <c r="DM2324">
        <v>0</v>
      </c>
      <c r="DN2324">
        <v>1</v>
      </c>
      <c r="DO2324">
        <v>0</v>
      </c>
      <c r="DP2324">
        <v>0</v>
      </c>
      <c r="DQ2324">
        <v>0</v>
      </c>
      <c r="DR2324">
        <v>0</v>
      </c>
      <c r="DS2324">
        <v>0</v>
      </c>
    </row>
    <row r="2325" spans="1:123" x14ac:dyDescent="0.3">
      <c r="A2325" t="str">
        <f t="shared" ref="A2325:A2331" si="835">"10/04/2022 19:31:44.760"</f>
        <v>10/04/2022 19:31:44.760</v>
      </c>
      <c r="C2325" t="str">
        <f t="shared" si="819"/>
        <v>FFDDD3C0</v>
      </c>
      <c r="D2325" t="s">
        <v>141</v>
      </c>
      <c r="E2325">
        <v>4</v>
      </c>
      <c r="H2325">
        <v>4</v>
      </c>
      <c r="I2325" t="s">
        <v>142</v>
      </c>
      <c r="J2325" t="s">
        <v>138</v>
      </c>
      <c r="K2325">
        <v>0</v>
      </c>
      <c r="L2325">
        <v>3</v>
      </c>
      <c r="M2325">
        <v>0</v>
      </c>
      <c r="N2325">
        <v>2</v>
      </c>
      <c r="O2325">
        <v>0</v>
      </c>
      <c r="P2325">
        <v>1</v>
      </c>
      <c r="Q2325">
        <v>0</v>
      </c>
      <c r="S2325" t="str">
        <f t="shared" ref="S2325:T2331" si="836">"19:31:44.000"</f>
        <v>19:31:44.000</v>
      </c>
      <c r="T2325" t="str">
        <f t="shared" si="836"/>
        <v>19:31:44.000</v>
      </c>
      <c r="U2325" t="str">
        <f t="shared" si="829"/>
        <v>AC3944</v>
      </c>
      <c r="V2325">
        <v>0</v>
      </c>
      <c r="W2325">
        <v>0</v>
      </c>
      <c r="X2325">
        <v>2</v>
      </c>
      <c r="Y2325">
        <v>0</v>
      </c>
      <c r="AA2325">
        <v>1</v>
      </c>
      <c r="AB2325">
        <v>8</v>
      </c>
      <c r="AC2325">
        <v>3</v>
      </c>
      <c r="AD2325">
        <v>0</v>
      </c>
      <c r="AE2325">
        <v>9</v>
      </c>
      <c r="AF2325" t="s">
        <v>138</v>
      </c>
      <c r="AG2325">
        <v>0</v>
      </c>
      <c r="AH2325">
        <v>3</v>
      </c>
      <c r="AI2325">
        <v>1</v>
      </c>
      <c r="AJ2325">
        <v>0</v>
      </c>
      <c r="AK2325" t="s">
        <v>806</v>
      </c>
      <c r="AL2325">
        <v>32.763762</v>
      </c>
      <c r="AM2325" t="s">
        <v>807</v>
      </c>
      <c r="AN2325">
        <v>-116.80271399999999</v>
      </c>
      <c r="AO2325">
        <v>25</v>
      </c>
      <c r="AP2325">
        <v>3100</v>
      </c>
      <c r="AQ2325" t="s">
        <v>129</v>
      </c>
      <c r="AR2325">
        <v>117</v>
      </c>
      <c r="AS2325">
        <v>-61</v>
      </c>
      <c r="AT2325">
        <v>64</v>
      </c>
      <c r="BB2325">
        <v>1200</v>
      </c>
      <c r="BC2325">
        <v>1</v>
      </c>
      <c r="BD2325" t="str">
        <f t="shared" si="830"/>
        <v xml:space="preserve">N887QR  </v>
      </c>
      <c r="BE2325">
        <v>1</v>
      </c>
      <c r="BJ2325">
        <v>2825</v>
      </c>
      <c r="BK2325">
        <v>-275</v>
      </c>
      <c r="BL2325" t="s">
        <v>163</v>
      </c>
      <c r="BM2325">
        <v>1</v>
      </c>
      <c r="BN2325">
        <v>1</v>
      </c>
      <c r="BO2325">
        <v>1</v>
      </c>
      <c r="BP2325">
        <v>0</v>
      </c>
      <c r="BS2325">
        <v>0</v>
      </c>
      <c r="BT2325">
        <v>0</v>
      </c>
      <c r="BU2325">
        <v>0</v>
      </c>
      <c r="CE2325" t="str">
        <f t="shared" ref="CE2325:CE2331" si="837">"19:31:44.483"</f>
        <v>19:31:44.483</v>
      </c>
      <c r="CF2325">
        <v>482899438</v>
      </c>
      <c r="CS2325">
        <v>0</v>
      </c>
      <c r="CT2325">
        <v>2</v>
      </c>
      <c r="CU2325">
        <v>0</v>
      </c>
      <c r="CV2325">
        <v>2</v>
      </c>
      <c r="CW2325">
        <v>0</v>
      </c>
      <c r="CX2325">
        <v>5</v>
      </c>
      <c r="CY2325">
        <v>7</v>
      </c>
      <c r="CZ2325" t="s">
        <v>131</v>
      </c>
      <c r="DA2325">
        <v>300</v>
      </c>
      <c r="DB2325">
        <v>0</v>
      </c>
      <c r="DC2325" t="s">
        <v>176</v>
      </c>
      <c r="DD2325" t="s">
        <v>177</v>
      </c>
      <c r="DG2325">
        <v>5408975</v>
      </c>
      <c r="DI2325">
        <v>0</v>
      </c>
      <c r="DJ2325">
        <v>0</v>
      </c>
      <c r="DK2325">
        <v>0</v>
      </c>
      <c r="DL2325">
        <v>0</v>
      </c>
      <c r="DM2325">
        <v>0</v>
      </c>
      <c r="DN2325">
        <v>1</v>
      </c>
      <c r="DO2325">
        <v>0</v>
      </c>
      <c r="DP2325">
        <v>0</v>
      </c>
      <c r="DQ2325">
        <v>0</v>
      </c>
      <c r="DR2325">
        <v>0</v>
      </c>
      <c r="DS2325">
        <v>0</v>
      </c>
    </row>
    <row r="2326" spans="1:123" x14ac:dyDescent="0.3">
      <c r="A2326" t="str">
        <f t="shared" si="835"/>
        <v>10/04/2022 19:31:44.760</v>
      </c>
      <c r="C2326" t="str">
        <f t="shared" si="819"/>
        <v>FFDDD3C0</v>
      </c>
      <c r="D2326" t="s">
        <v>134</v>
      </c>
      <c r="E2326">
        <v>15</v>
      </c>
      <c r="J2326" t="s">
        <v>135</v>
      </c>
      <c r="K2326">
        <v>0</v>
      </c>
      <c r="L2326">
        <v>3</v>
      </c>
      <c r="M2326">
        <v>0</v>
      </c>
      <c r="N2326">
        <v>2</v>
      </c>
      <c r="O2326">
        <v>0</v>
      </c>
      <c r="P2326">
        <v>1</v>
      </c>
      <c r="Q2326">
        <v>0</v>
      </c>
      <c r="S2326" t="str">
        <f t="shared" si="836"/>
        <v>19:31:44.000</v>
      </c>
      <c r="T2326" t="str">
        <f t="shared" si="836"/>
        <v>19:31:44.000</v>
      </c>
      <c r="U2326" t="str">
        <f t="shared" si="829"/>
        <v>AC3944</v>
      </c>
      <c r="V2326">
        <v>0</v>
      </c>
      <c r="W2326">
        <v>0</v>
      </c>
      <c r="X2326">
        <v>2</v>
      </c>
      <c r="Y2326">
        <v>0</v>
      </c>
      <c r="AA2326">
        <v>1</v>
      </c>
      <c r="AB2326">
        <v>8</v>
      </c>
      <c r="AC2326">
        <v>3</v>
      </c>
      <c r="AD2326">
        <v>0</v>
      </c>
      <c r="AE2326">
        <v>9</v>
      </c>
      <c r="AF2326" t="s">
        <v>138</v>
      </c>
      <c r="AG2326">
        <v>0</v>
      </c>
      <c r="AH2326">
        <v>3</v>
      </c>
      <c r="AI2326">
        <v>1</v>
      </c>
      <c r="AJ2326">
        <v>0</v>
      </c>
      <c r="AK2326" t="s">
        <v>806</v>
      </c>
      <c r="AL2326">
        <v>32.763762</v>
      </c>
      <c r="AM2326" t="s">
        <v>807</v>
      </c>
      <c r="AN2326">
        <v>-116.80271399999999</v>
      </c>
      <c r="AO2326">
        <v>25</v>
      </c>
      <c r="AP2326">
        <v>3100</v>
      </c>
      <c r="AQ2326" t="s">
        <v>129</v>
      </c>
      <c r="AR2326">
        <v>117</v>
      </c>
      <c r="AS2326">
        <v>-61</v>
      </c>
      <c r="AT2326">
        <v>64</v>
      </c>
      <c r="BB2326">
        <v>1200</v>
      </c>
      <c r="BC2326">
        <v>1</v>
      </c>
      <c r="BD2326" t="str">
        <f t="shared" si="830"/>
        <v xml:space="preserve">N887QR  </v>
      </c>
      <c r="BE2326">
        <v>1</v>
      </c>
      <c r="BJ2326">
        <v>2825</v>
      </c>
      <c r="BK2326">
        <v>-275</v>
      </c>
      <c r="BL2326" t="s">
        <v>163</v>
      </c>
      <c r="BM2326">
        <v>1</v>
      </c>
      <c r="BN2326">
        <v>1</v>
      </c>
      <c r="BO2326">
        <v>1</v>
      </c>
      <c r="BP2326">
        <v>0</v>
      </c>
      <c r="BS2326">
        <v>0</v>
      </c>
      <c r="BT2326">
        <v>0</v>
      </c>
      <c r="BU2326">
        <v>0</v>
      </c>
      <c r="CE2326" t="str">
        <f t="shared" si="837"/>
        <v>19:31:44.483</v>
      </c>
      <c r="CF2326">
        <v>482899438</v>
      </c>
      <c r="CS2326">
        <v>0</v>
      </c>
      <c r="CT2326">
        <v>2</v>
      </c>
      <c r="CU2326">
        <v>0</v>
      </c>
      <c r="CV2326">
        <v>2</v>
      </c>
      <c r="CW2326">
        <v>0</v>
      </c>
      <c r="CX2326">
        <v>5</v>
      </c>
      <c r="CY2326">
        <v>7</v>
      </c>
      <c r="CZ2326" t="s">
        <v>131</v>
      </c>
      <c r="DA2326">
        <v>300</v>
      </c>
      <c r="DB2326">
        <v>0</v>
      </c>
      <c r="DC2326" t="s">
        <v>176</v>
      </c>
      <c r="DD2326" t="s">
        <v>177</v>
      </c>
      <c r="DG2326">
        <v>5408975</v>
      </c>
      <c r="DI2326">
        <v>0</v>
      </c>
      <c r="DJ2326">
        <v>0</v>
      </c>
      <c r="DK2326">
        <v>1</v>
      </c>
      <c r="DL2326">
        <v>0</v>
      </c>
      <c r="DM2326">
        <v>0</v>
      </c>
      <c r="DN2326">
        <v>1</v>
      </c>
      <c r="DO2326">
        <v>0</v>
      </c>
      <c r="DP2326">
        <v>0</v>
      </c>
      <c r="DQ2326">
        <v>0</v>
      </c>
      <c r="DR2326">
        <v>0</v>
      </c>
      <c r="DS2326">
        <v>0</v>
      </c>
    </row>
    <row r="2327" spans="1:123" x14ac:dyDescent="0.3">
      <c r="A2327" t="str">
        <f t="shared" si="835"/>
        <v>10/04/2022 19:31:44.760</v>
      </c>
      <c r="C2327" t="str">
        <f t="shared" si="819"/>
        <v>FFDDD3C0</v>
      </c>
      <c r="D2327" t="s">
        <v>143</v>
      </c>
      <c r="E2327">
        <v>20</v>
      </c>
      <c r="F2327">
        <v>1020</v>
      </c>
      <c r="G2327" t="s">
        <v>144</v>
      </c>
      <c r="J2327" t="s">
        <v>145</v>
      </c>
      <c r="K2327">
        <v>0</v>
      </c>
      <c r="L2327">
        <v>3</v>
      </c>
      <c r="M2327">
        <v>0</v>
      </c>
      <c r="N2327">
        <v>2</v>
      </c>
      <c r="O2327">
        <v>0</v>
      </c>
      <c r="P2327">
        <v>1</v>
      </c>
      <c r="Q2327">
        <v>0</v>
      </c>
      <c r="S2327" t="str">
        <f t="shared" si="836"/>
        <v>19:31:44.000</v>
      </c>
      <c r="T2327" t="str">
        <f t="shared" si="836"/>
        <v>19:31:44.000</v>
      </c>
      <c r="U2327" t="str">
        <f t="shared" si="829"/>
        <v>AC3944</v>
      </c>
      <c r="V2327">
        <v>0</v>
      </c>
      <c r="W2327">
        <v>0</v>
      </c>
      <c r="X2327">
        <v>2</v>
      </c>
      <c r="Y2327">
        <v>0</v>
      </c>
      <c r="AA2327">
        <v>1</v>
      </c>
      <c r="AB2327">
        <v>8</v>
      </c>
      <c r="AC2327">
        <v>3</v>
      </c>
      <c r="AD2327">
        <v>0</v>
      </c>
      <c r="AE2327">
        <v>9</v>
      </c>
      <c r="AF2327" t="s">
        <v>138</v>
      </c>
      <c r="AG2327">
        <v>0</v>
      </c>
      <c r="AH2327">
        <v>3</v>
      </c>
      <c r="AI2327">
        <v>1</v>
      </c>
      <c r="AJ2327">
        <v>0</v>
      </c>
      <c r="AK2327" t="s">
        <v>806</v>
      </c>
      <c r="AL2327">
        <v>32.763762</v>
      </c>
      <c r="AM2327" t="s">
        <v>807</v>
      </c>
      <c r="AN2327">
        <v>-116.80271399999999</v>
      </c>
      <c r="AO2327">
        <v>25</v>
      </c>
      <c r="AP2327">
        <v>3100</v>
      </c>
      <c r="AQ2327" t="s">
        <v>129</v>
      </c>
      <c r="AR2327">
        <v>117</v>
      </c>
      <c r="AS2327">
        <v>-61</v>
      </c>
      <c r="AT2327">
        <v>64</v>
      </c>
      <c r="BB2327">
        <v>1200</v>
      </c>
      <c r="BC2327">
        <v>1</v>
      </c>
      <c r="BD2327" t="str">
        <f t="shared" si="830"/>
        <v xml:space="preserve">N887QR  </v>
      </c>
      <c r="BE2327">
        <v>1</v>
      </c>
      <c r="BJ2327">
        <v>2825</v>
      </c>
      <c r="BK2327">
        <v>-275</v>
      </c>
      <c r="BL2327" t="s">
        <v>163</v>
      </c>
      <c r="BM2327">
        <v>1</v>
      </c>
      <c r="BN2327">
        <v>1</v>
      </c>
      <c r="BO2327">
        <v>1</v>
      </c>
      <c r="BP2327">
        <v>0</v>
      </c>
      <c r="BS2327">
        <v>0</v>
      </c>
      <c r="BT2327">
        <v>0</v>
      </c>
      <c r="BU2327">
        <v>0</v>
      </c>
      <c r="CE2327" t="str">
        <f t="shared" si="837"/>
        <v>19:31:44.483</v>
      </c>
      <c r="CF2327">
        <v>482899438</v>
      </c>
      <c r="CS2327">
        <v>0</v>
      </c>
      <c r="CT2327">
        <v>2</v>
      </c>
      <c r="CU2327">
        <v>0</v>
      </c>
      <c r="CV2327">
        <v>2</v>
      </c>
      <c r="CW2327">
        <v>0</v>
      </c>
      <c r="CX2327">
        <v>5</v>
      </c>
      <c r="CY2327">
        <v>7</v>
      </c>
      <c r="CZ2327" t="s">
        <v>131</v>
      </c>
      <c r="DA2327">
        <v>300</v>
      </c>
      <c r="DB2327">
        <v>0</v>
      </c>
      <c r="DC2327" t="s">
        <v>176</v>
      </c>
      <c r="DD2327" t="s">
        <v>177</v>
      </c>
      <c r="DG2327">
        <v>5408975</v>
      </c>
      <c r="DI2327">
        <v>0</v>
      </c>
      <c r="DJ2327">
        <v>0</v>
      </c>
      <c r="DK2327">
        <v>1</v>
      </c>
      <c r="DL2327">
        <v>0</v>
      </c>
      <c r="DM2327">
        <v>0</v>
      </c>
      <c r="DN2327">
        <v>1</v>
      </c>
      <c r="DO2327">
        <v>0</v>
      </c>
      <c r="DP2327">
        <v>0</v>
      </c>
      <c r="DQ2327">
        <v>0</v>
      </c>
      <c r="DR2327">
        <v>0</v>
      </c>
      <c r="DS2327">
        <v>0</v>
      </c>
    </row>
    <row r="2328" spans="1:123" x14ac:dyDescent="0.3">
      <c r="A2328" t="str">
        <f t="shared" si="835"/>
        <v>10/04/2022 19:31:44.760</v>
      </c>
      <c r="C2328" t="str">
        <f t="shared" si="819"/>
        <v>FFDDD3C0</v>
      </c>
      <c r="D2328" t="s">
        <v>136</v>
      </c>
      <c r="E2328">
        <v>8</v>
      </c>
      <c r="H2328">
        <v>225</v>
      </c>
      <c r="I2328" t="s">
        <v>137</v>
      </c>
      <c r="J2328" t="s">
        <v>138</v>
      </c>
      <c r="K2328">
        <v>0</v>
      </c>
      <c r="L2328">
        <v>3</v>
      </c>
      <c r="M2328">
        <v>0</v>
      </c>
      <c r="N2328">
        <v>2</v>
      </c>
      <c r="O2328">
        <v>0</v>
      </c>
      <c r="P2328">
        <v>1</v>
      </c>
      <c r="Q2328">
        <v>0</v>
      </c>
      <c r="S2328" t="str">
        <f t="shared" si="836"/>
        <v>19:31:44.000</v>
      </c>
      <c r="T2328" t="str">
        <f t="shared" si="836"/>
        <v>19:31:44.000</v>
      </c>
      <c r="U2328" t="str">
        <f t="shared" si="829"/>
        <v>AC3944</v>
      </c>
      <c r="V2328">
        <v>0</v>
      </c>
      <c r="W2328">
        <v>0</v>
      </c>
      <c r="X2328">
        <v>2</v>
      </c>
      <c r="Y2328">
        <v>0</v>
      </c>
      <c r="AA2328">
        <v>1</v>
      </c>
      <c r="AB2328">
        <v>8</v>
      </c>
      <c r="AC2328">
        <v>3</v>
      </c>
      <c r="AD2328">
        <v>0</v>
      </c>
      <c r="AE2328">
        <v>9</v>
      </c>
      <c r="AF2328" t="s">
        <v>138</v>
      </c>
      <c r="AG2328">
        <v>0</v>
      </c>
      <c r="AH2328">
        <v>3</v>
      </c>
      <c r="AI2328">
        <v>1</v>
      </c>
      <c r="AJ2328">
        <v>0</v>
      </c>
      <c r="AK2328" t="s">
        <v>806</v>
      </c>
      <c r="AL2328">
        <v>32.763762</v>
      </c>
      <c r="AM2328" t="s">
        <v>807</v>
      </c>
      <c r="AN2328">
        <v>-116.80271399999999</v>
      </c>
      <c r="AO2328">
        <v>25</v>
      </c>
      <c r="AP2328">
        <v>3100</v>
      </c>
      <c r="AQ2328" t="s">
        <v>129</v>
      </c>
      <c r="AR2328">
        <v>117</v>
      </c>
      <c r="AS2328">
        <v>-61</v>
      </c>
      <c r="AT2328">
        <v>64</v>
      </c>
      <c r="BB2328">
        <v>1200</v>
      </c>
      <c r="BC2328">
        <v>1</v>
      </c>
      <c r="BD2328" t="str">
        <f t="shared" si="830"/>
        <v xml:space="preserve">N887QR  </v>
      </c>
      <c r="BE2328">
        <v>1</v>
      </c>
      <c r="BJ2328">
        <v>2825</v>
      </c>
      <c r="BK2328">
        <v>-275</v>
      </c>
      <c r="BL2328" t="s">
        <v>163</v>
      </c>
      <c r="BM2328">
        <v>1</v>
      </c>
      <c r="BN2328">
        <v>1</v>
      </c>
      <c r="BO2328">
        <v>1</v>
      </c>
      <c r="BP2328">
        <v>0</v>
      </c>
      <c r="BS2328">
        <v>0</v>
      </c>
      <c r="BT2328">
        <v>0</v>
      </c>
      <c r="BU2328">
        <v>0</v>
      </c>
      <c r="CE2328" t="str">
        <f t="shared" si="837"/>
        <v>19:31:44.483</v>
      </c>
      <c r="CF2328">
        <v>482899438</v>
      </c>
      <c r="CS2328">
        <v>0</v>
      </c>
      <c r="CT2328">
        <v>2</v>
      </c>
      <c r="CU2328">
        <v>0</v>
      </c>
      <c r="CV2328">
        <v>2</v>
      </c>
      <c r="CW2328">
        <v>0</v>
      </c>
      <c r="CX2328">
        <v>5</v>
      </c>
      <c r="CY2328">
        <v>7</v>
      </c>
      <c r="CZ2328" t="s">
        <v>131</v>
      </c>
      <c r="DA2328">
        <v>300</v>
      </c>
      <c r="DB2328">
        <v>0</v>
      </c>
      <c r="DC2328" t="s">
        <v>176</v>
      </c>
      <c r="DD2328" t="s">
        <v>177</v>
      </c>
      <c r="DG2328">
        <v>5408975</v>
      </c>
      <c r="DI2328">
        <v>0</v>
      </c>
      <c r="DJ2328">
        <v>0</v>
      </c>
      <c r="DK2328">
        <v>1</v>
      </c>
      <c r="DL2328">
        <v>0</v>
      </c>
      <c r="DM2328">
        <v>0</v>
      </c>
      <c r="DN2328">
        <v>1</v>
      </c>
      <c r="DO2328">
        <v>0</v>
      </c>
      <c r="DP2328">
        <v>0</v>
      </c>
      <c r="DQ2328">
        <v>0</v>
      </c>
      <c r="DR2328">
        <v>0</v>
      </c>
      <c r="DS2328">
        <v>0</v>
      </c>
    </row>
    <row r="2329" spans="1:123" x14ac:dyDescent="0.3">
      <c r="A2329" t="str">
        <f t="shared" si="835"/>
        <v>10/04/2022 19:31:44.760</v>
      </c>
      <c r="C2329" t="str">
        <f t="shared" si="819"/>
        <v>FFDDD3C0</v>
      </c>
      <c r="D2329" t="s">
        <v>147</v>
      </c>
      <c r="E2329">
        <v>3</v>
      </c>
      <c r="H2329">
        <v>166</v>
      </c>
      <c r="I2329" t="s">
        <v>144</v>
      </c>
      <c r="J2329" t="s">
        <v>148</v>
      </c>
      <c r="K2329">
        <v>0</v>
      </c>
      <c r="L2329">
        <v>3</v>
      </c>
      <c r="M2329">
        <v>0</v>
      </c>
      <c r="N2329">
        <v>2</v>
      </c>
      <c r="O2329">
        <v>0</v>
      </c>
      <c r="P2329">
        <v>1</v>
      </c>
      <c r="Q2329">
        <v>0</v>
      </c>
      <c r="S2329" t="str">
        <f t="shared" si="836"/>
        <v>19:31:44.000</v>
      </c>
      <c r="T2329" t="str">
        <f t="shared" si="836"/>
        <v>19:31:44.000</v>
      </c>
      <c r="U2329" t="str">
        <f t="shared" si="829"/>
        <v>AC3944</v>
      </c>
      <c r="V2329">
        <v>0</v>
      </c>
      <c r="W2329">
        <v>0</v>
      </c>
      <c r="X2329">
        <v>2</v>
      </c>
      <c r="Y2329">
        <v>0</v>
      </c>
      <c r="AA2329">
        <v>1</v>
      </c>
      <c r="AB2329">
        <v>8</v>
      </c>
      <c r="AC2329">
        <v>3</v>
      </c>
      <c r="AD2329">
        <v>0</v>
      </c>
      <c r="AE2329">
        <v>9</v>
      </c>
      <c r="AF2329" t="s">
        <v>138</v>
      </c>
      <c r="AG2329">
        <v>0</v>
      </c>
      <c r="AH2329">
        <v>3</v>
      </c>
      <c r="AI2329">
        <v>1</v>
      </c>
      <c r="AJ2329">
        <v>0</v>
      </c>
      <c r="AK2329" t="s">
        <v>806</v>
      </c>
      <c r="AL2329">
        <v>32.763762</v>
      </c>
      <c r="AM2329" t="s">
        <v>807</v>
      </c>
      <c r="AN2329">
        <v>-116.80271399999999</v>
      </c>
      <c r="AO2329">
        <v>25</v>
      </c>
      <c r="AP2329">
        <v>3100</v>
      </c>
      <c r="AQ2329" t="s">
        <v>129</v>
      </c>
      <c r="AR2329">
        <v>117</v>
      </c>
      <c r="AS2329">
        <v>-61</v>
      </c>
      <c r="AT2329">
        <v>64</v>
      </c>
      <c r="BB2329">
        <v>1200</v>
      </c>
      <c r="BC2329">
        <v>1</v>
      </c>
      <c r="BD2329" t="str">
        <f t="shared" si="830"/>
        <v xml:space="preserve">N887QR  </v>
      </c>
      <c r="BE2329">
        <v>1</v>
      </c>
      <c r="BJ2329">
        <v>2825</v>
      </c>
      <c r="BK2329">
        <v>-275</v>
      </c>
      <c r="BL2329" t="s">
        <v>163</v>
      </c>
      <c r="BM2329">
        <v>1</v>
      </c>
      <c r="BN2329">
        <v>1</v>
      </c>
      <c r="BO2329">
        <v>1</v>
      </c>
      <c r="BP2329">
        <v>0</v>
      </c>
      <c r="BS2329">
        <v>0</v>
      </c>
      <c r="BT2329">
        <v>0</v>
      </c>
      <c r="BU2329">
        <v>0</v>
      </c>
      <c r="CE2329" t="str">
        <f t="shared" si="837"/>
        <v>19:31:44.483</v>
      </c>
      <c r="CF2329">
        <v>482899438</v>
      </c>
      <c r="CS2329">
        <v>0</v>
      </c>
      <c r="CT2329">
        <v>2</v>
      </c>
      <c r="CU2329">
        <v>0</v>
      </c>
      <c r="CV2329">
        <v>2</v>
      </c>
      <c r="CW2329">
        <v>0</v>
      </c>
      <c r="CX2329">
        <v>5</v>
      </c>
      <c r="CY2329">
        <v>7</v>
      </c>
      <c r="CZ2329" t="s">
        <v>131</v>
      </c>
      <c r="DA2329">
        <v>300</v>
      </c>
      <c r="DB2329">
        <v>0</v>
      </c>
      <c r="DC2329" t="s">
        <v>176</v>
      </c>
      <c r="DD2329" t="s">
        <v>177</v>
      </c>
      <c r="DG2329">
        <v>5408975</v>
      </c>
      <c r="DI2329">
        <v>0</v>
      </c>
      <c r="DJ2329">
        <v>0</v>
      </c>
      <c r="DK2329">
        <v>1</v>
      </c>
      <c r="DL2329">
        <v>0</v>
      </c>
      <c r="DM2329">
        <v>0</v>
      </c>
      <c r="DN2329">
        <v>1</v>
      </c>
      <c r="DO2329">
        <v>0</v>
      </c>
      <c r="DP2329">
        <v>0</v>
      </c>
      <c r="DQ2329">
        <v>0</v>
      </c>
      <c r="DR2329">
        <v>0</v>
      </c>
      <c r="DS2329">
        <v>0</v>
      </c>
    </row>
    <row r="2330" spans="1:123" x14ac:dyDescent="0.3">
      <c r="A2330" t="str">
        <f t="shared" si="835"/>
        <v>10/04/2022 19:31:44.760</v>
      </c>
      <c r="C2330" t="str">
        <f t="shared" si="819"/>
        <v>FFDDD3C0</v>
      </c>
      <c r="D2330" t="s">
        <v>123</v>
      </c>
      <c r="E2330">
        <v>7</v>
      </c>
      <c r="F2330">
        <v>2007</v>
      </c>
      <c r="G2330" t="s">
        <v>124</v>
      </c>
      <c r="J2330" t="s">
        <v>125</v>
      </c>
      <c r="K2330">
        <v>0</v>
      </c>
      <c r="L2330">
        <v>3</v>
      </c>
      <c r="M2330">
        <v>0</v>
      </c>
      <c r="N2330">
        <v>2</v>
      </c>
      <c r="O2330">
        <v>0</v>
      </c>
      <c r="P2330">
        <v>1</v>
      </c>
      <c r="Q2330">
        <v>0</v>
      </c>
      <c r="S2330" t="str">
        <f t="shared" si="836"/>
        <v>19:31:44.000</v>
      </c>
      <c r="T2330" t="str">
        <f t="shared" si="836"/>
        <v>19:31:44.000</v>
      </c>
      <c r="U2330" t="str">
        <f t="shared" si="829"/>
        <v>AC3944</v>
      </c>
      <c r="V2330">
        <v>0</v>
      </c>
      <c r="W2330">
        <v>0</v>
      </c>
      <c r="X2330">
        <v>2</v>
      </c>
      <c r="Y2330">
        <v>0</v>
      </c>
      <c r="AA2330">
        <v>1</v>
      </c>
      <c r="AB2330">
        <v>8</v>
      </c>
      <c r="AC2330">
        <v>3</v>
      </c>
      <c r="AD2330">
        <v>0</v>
      </c>
      <c r="AE2330">
        <v>9</v>
      </c>
      <c r="AF2330" t="s">
        <v>138</v>
      </c>
      <c r="AG2330">
        <v>0</v>
      </c>
      <c r="AH2330">
        <v>3</v>
      </c>
      <c r="AI2330">
        <v>1</v>
      </c>
      <c r="AJ2330">
        <v>0</v>
      </c>
      <c r="AK2330" t="s">
        <v>806</v>
      </c>
      <c r="AL2330">
        <v>32.763762</v>
      </c>
      <c r="AM2330" t="s">
        <v>807</v>
      </c>
      <c r="AN2330">
        <v>-116.80271399999999</v>
      </c>
      <c r="AO2330">
        <v>25</v>
      </c>
      <c r="AP2330">
        <v>3100</v>
      </c>
      <c r="AQ2330" t="s">
        <v>129</v>
      </c>
      <c r="AR2330">
        <v>117</v>
      </c>
      <c r="AS2330">
        <v>-61</v>
      </c>
      <c r="AT2330">
        <v>64</v>
      </c>
      <c r="BB2330">
        <v>1200</v>
      </c>
      <c r="BC2330">
        <v>1</v>
      </c>
      <c r="BD2330" t="str">
        <f t="shared" si="830"/>
        <v xml:space="preserve">N887QR  </v>
      </c>
      <c r="BE2330">
        <v>1</v>
      </c>
      <c r="BJ2330">
        <v>2825</v>
      </c>
      <c r="BK2330">
        <v>-275</v>
      </c>
      <c r="BL2330" t="s">
        <v>163</v>
      </c>
      <c r="BM2330">
        <v>1</v>
      </c>
      <c r="BN2330">
        <v>1</v>
      </c>
      <c r="BO2330">
        <v>1</v>
      </c>
      <c r="BP2330">
        <v>0</v>
      </c>
      <c r="BS2330">
        <v>0</v>
      </c>
      <c r="BT2330">
        <v>0</v>
      </c>
      <c r="BU2330">
        <v>0</v>
      </c>
      <c r="CE2330" t="str">
        <f t="shared" si="837"/>
        <v>19:31:44.483</v>
      </c>
      <c r="CF2330">
        <v>482899438</v>
      </c>
      <c r="CS2330">
        <v>0</v>
      </c>
      <c r="CT2330">
        <v>2</v>
      </c>
      <c r="CU2330">
        <v>0</v>
      </c>
      <c r="CV2330">
        <v>2</v>
      </c>
      <c r="CW2330">
        <v>0</v>
      </c>
      <c r="CX2330">
        <v>5</v>
      </c>
      <c r="CY2330">
        <v>7</v>
      </c>
      <c r="CZ2330" t="s">
        <v>131</v>
      </c>
      <c r="DA2330">
        <v>300</v>
      </c>
      <c r="DB2330">
        <v>0</v>
      </c>
      <c r="DC2330" t="s">
        <v>176</v>
      </c>
      <c r="DD2330" t="s">
        <v>177</v>
      </c>
      <c r="DG2330">
        <v>5408975</v>
      </c>
      <c r="DI2330">
        <v>0</v>
      </c>
      <c r="DJ2330">
        <v>0</v>
      </c>
      <c r="DK2330">
        <v>1</v>
      </c>
      <c r="DL2330">
        <v>0</v>
      </c>
      <c r="DM2330">
        <v>0</v>
      </c>
      <c r="DN2330">
        <v>1</v>
      </c>
      <c r="DO2330">
        <v>0</v>
      </c>
      <c r="DP2330">
        <v>0</v>
      </c>
      <c r="DQ2330">
        <v>0</v>
      </c>
      <c r="DR2330">
        <v>0</v>
      </c>
      <c r="DS2330">
        <v>0</v>
      </c>
    </row>
    <row r="2331" spans="1:123" x14ac:dyDescent="0.3">
      <c r="A2331" t="str">
        <f t="shared" si="835"/>
        <v>10/04/2022 19:31:44.760</v>
      </c>
      <c r="C2331" t="str">
        <f t="shared" si="819"/>
        <v>FFDDD3C0</v>
      </c>
      <c r="D2331" t="s">
        <v>141</v>
      </c>
      <c r="E2331">
        <v>3</v>
      </c>
      <c r="H2331">
        <v>3</v>
      </c>
      <c r="I2331" t="s">
        <v>146</v>
      </c>
      <c r="J2331" t="s">
        <v>138</v>
      </c>
      <c r="K2331">
        <v>0</v>
      </c>
      <c r="L2331">
        <v>3</v>
      </c>
      <c r="M2331">
        <v>0</v>
      </c>
      <c r="N2331">
        <v>2</v>
      </c>
      <c r="O2331">
        <v>0</v>
      </c>
      <c r="P2331">
        <v>1</v>
      </c>
      <c r="Q2331">
        <v>0</v>
      </c>
      <c r="S2331" t="str">
        <f t="shared" si="836"/>
        <v>19:31:44.000</v>
      </c>
      <c r="T2331" t="str">
        <f t="shared" si="836"/>
        <v>19:31:44.000</v>
      </c>
      <c r="U2331" t="str">
        <f t="shared" si="829"/>
        <v>AC3944</v>
      </c>
      <c r="V2331">
        <v>0</v>
      </c>
      <c r="W2331">
        <v>0</v>
      </c>
      <c r="X2331">
        <v>2</v>
      </c>
      <c r="Y2331">
        <v>0</v>
      </c>
      <c r="AA2331">
        <v>1</v>
      </c>
      <c r="AB2331">
        <v>8</v>
      </c>
      <c r="AC2331">
        <v>3</v>
      </c>
      <c r="AD2331">
        <v>0</v>
      </c>
      <c r="AE2331">
        <v>9</v>
      </c>
      <c r="AF2331" t="s">
        <v>138</v>
      </c>
      <c r="AG2331">
        <v>0</v>
      </c>
      <c r="AH2331">
        <v>3</v>
      </c>
      <c r="AI2331">
        <v>1</v>
      </c>
      <c r="AJ2331">
        <v>0</v>
      </c>
      <c r="AK2331" t="s">
        <v>806</v>
      </c>
      <c r="AL2331">
        <v>32.763762</v>
      </c>
      <c r="AM2331" t="s">
        <v>807</v>
      </c>
      <c r="AN2331">
        <v>-116.80271399999999</v>
      </c>
      <c r="AO2331">
        <v>25</v>
      </c>
      <c r="AP2331">
        <v>3100</v>
      </c>
      <c r="AQ2331" t="s">
        <v>129</v>
      </c>
      <c r="AR2331">
        <v>117</v>
      </c>
      <c r="AS2331">
        <v>-61</v>
      </c>
      <c r="AT2331">
        <v>64</v>
      </c>
      <c r="BB2331">
        <v>1200</v>
      </c>
      <c r="BC2331">
        <v>1</v>
      </c>
      <c r="BD2331" t="str">
        <f t="shared" si="830"/>
        <v xml:space="preserve">N887QR  </v>
      </c>
      <c r="BE2331">
        <v>1</v>
      </c>
      <c r="BJ2331">
        <v>2825</v>
      </c>
      <c r="BK2331">
        <v>-275</v>
      </c>
      <c r="BL2331" t="s">
        <v>163</v>
      </c>
      <c r="BM2331">
        <v>1</v>
      </c>
      <c r="BN2331">
        <v>1</v>
      </c>
      <c r="BO2331">
        <v>1</v>
      </c>
      <c r="BP2331">
        <v>0</v>
      </c>
      <c r="BS2331">
        <v>0</v>
      </c>
      <c r="BT2331">
        <v>0</v>
      </c>
      <c r="BU2331">
        <v>0</v>
      </c>
      <c r="CE2331" t="str">
        <f t="shared" si="837"/>
        <v>19:31:44.483</v>
      </c>
      <c r="CF2331">
        <v>482899438</v>
      </c>
      <c r="CS2331">
        <v>0</v>
      </c>
      <c r="CT2331">
        <v>2</v>
      </c>
      <c r="CU2331">
        <v>0</v>
      </c>
      <c r="CV2331">
        <v>2</v>
      </c>
      <c r="CW2331">
        <v>0</v>
      </c>
      <c r="CX2331">
        <v>5</v>
      </c>
      <c r="CY2331">
        <v>7</v>
      </c>
      <c r="CZ2331" t="s">
        <v>131</v>
      </c>
      <c r="DA2331">
        <v>300</v>
      </c>
      <c r="DB2331">
        <v>0</v>
      </c>
      <c r="DC2331" t="s">
        <v>176</v>
      </c>
      <c r="DD2331" t="s">
        <v>177</v>
      </c>
      <c r="DG2331">
        <v>5408975</v>
      </c>
      <c r="DI2331">
        <v>0</v>
      </c>
      <c r="DJ2331">
        <v>0</v>
      </c>
      <c r="DK2331">
        <v>1</v>
      </c>
      <c r="DL2331">
        <v>0</v>
      </c>
      <c r="DM2331">
        <v>0</v>
      </c>
      <c r="DN2331">
        <v>1</v>
      </c>
      <c r="DO2331">
        <v>0</v>
      </c>
      <c r="DP2331">
        <v>0</v>
      </c>
      <c r="DQ2331">
        <v>0</v>
      </c>
      <c r="DR2331">
        <v>0</v>
      </c>
      <c r="DS2331">
        <v>0</v>
      </c>
    </row>
    <row r="2332" spans="1:123" x14ac:dyDescent="0.3">
      <c r="A2332" t="str">
        <f>"10/04/2022 19:31:45.777"</f>
        <v>10/04/2022 19:31:45.777</v>
      </c>
      <c r="C2332" t="str">
        <f t="shared" si="819"/>
        <v>FFDDD3C0</v>
      </c>
      <c r="D2332" t="s">
        <v>141</v>
      </c>
      <c r="E2332">
        <v>3</v>
      </c>
      <c r="H2332">
        <v>3</v>
      </c>
      <c r="I2332" t="s">
        <v>146</v>
      </c>
      <c r="J2332" t="s">
        <v>138</v>
      </c>
      <c r="K2332">
        <v>0</v>
      </c>
      <c r="L2332">
        <v>3</v>
      </c>
      <c r="M2332">
        <v>0</v>
      </c>
      <c r="N2332">
        <v>2</v>
      </c>
      <c r="O2332">
        <v>0</v>
      </c>
      <c r="P2332">
        <v>1</v>
      </c>
      <c r="Q2332">
        <v>0</v>
      </c>
      <c r="S2332" t="str">
        <f t="shared" ref="S2332:T2344" si="838">"19:31:45.000"</f>
        <v>19:31:45.000</v>
      </c>
      <c r="T2332" t="str">
        <f t="shared" si="838"/>
        <v>19:31:45.000</v>
      </c>
      <c r="U2332" t="str">
        <f t="shared" si="829"/>
        <v>AC3944</v>
      </c>
      <c r="V2332">
        <v>0</v>
      </c>
      <c r="W2332">
        <v>0</v>
      </c>
      <c r="X2332">
        <v>2</v>
      </c>
      <c r="Y2332">
        <v>0</v>
      </c>
      <c r="AA2332">
        <v>1</v>
      </c>
      <c r="AB2332">
        <v>8</v>
      </c>
      <c r="AC2332">
        <v>3</v>
      </c>
      <c r="AD2332">
        <v>0</v>
      </c>
      <c r="AE2332">
        <v>9</v>
      </c>
      <c r="AF2332" t="s">
        <v>138</v>
      </c>
      <c r="AG2332">
        <v>0</v>
      </c>
      <c r="AH2332">
        <v>3</v>
      </c>
      <c r="AI2332">
        <v>1</v>
      </c>
      <c r="AJ2332">
        <v>0</v>
      </c>
      <c r="AK2332" t="s">
        <v>808</v>
      </c>
      <c r="AL2332">
        <v>32.763461999999997</v>
      </c>
      <c r="AM2332" t="s">
        <v>809</v>
      </c>
      <c r="AN2332">
        <v>-116.80207</v>
      </c>
      <c r="AO2332">
        <v>25</v>
      </c>
      <c r="AP2332">
        <v>3100</v>
      </c>
      <c r="AQ2332" t="s">
        <v>129</v>
      </c>
      <c r="AR2332">
        <v>119</v>
      </c>
      <c r="AS2332">
        <v>-60</v>
      </c>
      <c r="AT2332">
        <v>64</v>
      </c>
      <c r="BB2332">
        <v>1200</v>
      </c>
      <c r="BC2332">
        <v>1</v>
      </c>
      <c r="BD2332" t="str">
        <f t="shared" si="830"/>
        <v xml:space="preserve">N887QR  </v>
      </c>
      <c r="BE2332">
        <v>1</v>
      </c>
      <c r="BJ2332">
        <v>2825</v>
      </c>
      <c r="BK2332">
        <v>-275</v>
      </c>
      <c r="BL2332" t="s">
        <v>163</v>
      </c>
      <c r="BM2332">
        <v>1</v>
      </c>
      <c r="BN2332">
        <v>1</v>
      </c>
      <c r="BO2332">
        <v>1</v>
      </c>
      <c r="BP2332">
        <v>0</v>
      </c>
      <c r="BS2332">
        <v>0</v>
      </c>
      <c r="BT2332">
        <v>0</v>
      </c>
      <c r="BU2332">
        <v>0</v>
      </c>
      <c r="CE2332" t="str">
        <f t="shared" ref="CE2332:CE2338" si="839">"19:31:45.477"</f>
        <v>19:31:45.477</v>
      </c>
      <c r="CF2332">
        <v>476902832</v>
      </c>
      <c r="CS2332">
        <v>0</v>
      </c>
      <c r="CT2332">
        <v>2</v>
      </c>
      <c r="CU2332">
        <v>0</v>
      </c>
      <c r="CV2332">
        <v>2</v>
      </c>
      <c r="CW2332">
        <v>0</v>
      </c>
      <c r="CX2332">
        <v>5</v>
      </c>
      <c r="CY2332">
        <v>7</v>
      </c>
      <c r="CZ2332" t="s">
        <v>131</v>
      </c>
      <c r="DA2332">
        <v>300</v>
      </c>
      <c r="DB2332">
        <v>0</v>
      </c>
      <c r="DC2332" t="s">
        <v>176</v>
      </c>
      <c r="DD2332" t="s">
        <v>177</v>
      </c>
      <c r="DG2332">
        <v>5409146</v>
      </c>
      <c r="DI2332">
        <v>0</v>
      </c>
      <c r="DJ2332">
        <v>0</v>
      </c>
      <c r="DK2332">
        <v>0</v>
      </c>
      <c r="DL2332">
        <v>0</v>
      </c>
      <c r="DM2332">
        <v>0</v>
      </c>
      <c r="DN2332">
        <v>1</v>
      </c>
      <c r="DO2332">
        <v>0</v>
      </c>
      <c r="DP2332">
        <v>0</v>
      </c>
      <c r="DQ2332">
        <v>0</v>
      </c>
      <c r="DR2332">
        <v>0</v>
      </c>
      <c r="DS2332">
        <v>0</v>
      </c>
    </row>
    <row r="2333" spans="1:123" x14ac:dyDescent="0.3">
      <c r="A2333" t="str">
        <f>"10/04/2022 19:31:45.777"</f>
        <v>10/04/2022 19:31:45.777</v>
      </c>
      <c r="C2333" t="str">
        <f t="shared" si="819"/>
        <v>FFDDD3C0</v>
      </c>
      <c r="D2333" t="s">
        <v>141</v>
      </c>
      <c r="E2333">
        <v>4</v>
      </c>
      <c r="H2333">
        <v>4</v>
      </c>
      <c r="I2333" t="s">
        <v>142</v>
      </c>
      <c r="J2333" t="s">
        <v>138</v>
      </c>
      <c r="K2333">
        <v>0</v>
      </c>
      <c r="L2333">
        <v>3</v>
      </c>
      <c r="M2333">
        <v>0</v>
      </c>
      <c r="N2333">
        <v>2</v>
      </c>
      <c r="O2333">
        <v>0</v>
      </c>
      <c r="P2333">
        <v>1</v>
      </c>
      <c r="Q2333">
        <v>0</v>
      </c>
      <c r="S2333" t="str">
        <f t="shared" si="838"/>
        <v>19:31:45.000</v>
      </c>
      <c r="T2333" t="str">
        <f t="shared" si="838"/>
        <v>19:31:45.000</v>
      </c>
      <c r="U2333" t="str">
        <f t="shared" si="829"/>
        <v>AC3944</v>
      </c>
      <c r="V2333">
        <v>0</v>
      </c>
      <c r="W2333">
        <v>0</v>
      </c>
      <c r="X2333">
        <v>2</v>
      </c>
      <c r="Y2333">
        <v>0</v>
      </c>
      <c r="AA2333">
        <v>1</v>
      </c>
      <c r="AB2333">
        <v>8</v>
      </c>
      <c r="AC2333">
        <v>3</v>
      </c>
      <c r="AD2333">
        <v>0</v>
      </c>
      <c r="AE2333">
        <v>9</v>
      </c>
      <c r="AF2333" t="s">
        <v>138</v>
      </c>
      <c r="AG2333">
        <v>0</v>
      </c>
      <c r="AH2333">
        <v>3</v>
      </c>
      <c r="AI2333">
        <v>1</v>
      </c>
      <c r="AJ2333">
        <v>0</v>
      </c>
      <c r="AK2333" t="s">
        <v>808</v>
      </c>
      <c r="AL2333">
        <v>32.763461999999997</v>
      </c>
      <c r="AM2333" t="s">
        <v>809</v>
      </c>
      <c r="AN2333">
        <v>-116.80207</v>
      </c>
      <c r="AO2333">
        <v>25</v>
      </c>
      <c r="AP2333">
        <v>3100</v>
      </c>
      <c r="AQ2333" t="s">
        <v>129</v>
      </c>
      <c r="AR2333">
        <v>119</v>
      </c>
      <c r="AS2333">
        <v>-60</v>
      </c>
      <c r="AT2333">
        <v>64</v>
      </c>
      <c r="BB2333">
        <v>1200</v>
      </c>
      <c r="BC2333">
        <v>1</v>
      </c>
      <c r="BD2333" t="str">
        <f t="shared" si="830"/>
        <v xml:space="preserve">N887QR  </v>
      </c>
      <c r="BE2333">
        <v>1</v>
      </c>
      <c r="BJ2333">
        <v>2825</v>
      </c>
      <c r="BK2333">
        <v>-275</v>
      </c>
      <c r="BL2333" t="s">
        <v>163</v>
      </c>
      <c r="BM2333">
        <v>1</v>
      </c>
      <c r="BN2333">
        <v>1</v>
      </c>
      <c r="BO2333">
        <v>1</v>
      </c>
      <c r="BP2333">
        <v>0</v>
      </c>
      <c r="BS2333">
        <v>0</v>
      </c>
      <c r="BT2333">
        <v>0</v>
      </c>
      <c r="BU2333">
        <v>0</v>
      </c>
      <c r="CE2333" t="str">
        <f t="shared" si="839"/>
        <v>19:31:45.477</v>
      </c>
      <c r="CF2333">
        <v>476902832</v>
      </c>
      <c r="CS2333">
        <v>0</v>
      </c>
      <c r="CT2333">
        <v>2</v>
      </c>
      <c r="CU2333">
        <v>0</v>
      </c>
      <c r="CV2333">
        <v>2</v>
      </c>
      <c r="CW2333">
        <v>0</v>
      </c>
      <c r="CX2333">
        <v>5</v>
      </c>
      <c r="CY2333">
        <v>7</v>
      </c>
      <c r="CZ2333" t="s">
        <v>131</v>
      </c>
      <c r="DA2333">
        <v>300</v>
      </c>
      <c r="DB2333">
        <v>0</v>
      </c>
      <c r="DC2333" t="s">
        <v>176</v>
      </c>
      <c r="DD2333" t="s">
        <v>177</v>
      </c>
      <c r="DG2333">
        <v>5409146</v>
      </c>
      <c r="DI2333">
        <v>0</v>
      </c>
      <c r="DJ2333">
        <v>0</v>
      </c>
      <c r="DK2333">
        <v>1</v>
      </c>
      <c r="DL2333">
        <v>0</v>
      </c>
      <c r="DM2333">
        <v>0</v>
      </c>
      <c r="DN2333">
        <v>1</v>
      </c>
      <c r="DO2333">
        <v>0</v>
      </c>
      <c r="DP2333">
        <v>0</v>
      </c>
      <c r="DQ2333">
        <v>0</v>
      </c>
      <c r="DR2333">
        <v>0</v>
      </c>
      <c r="DS2333">
        <v>0</v>
      </c>
    </row>
    <row r="2334" spans="1:123" x14ac:dyDescent="0.3">
      <c r="A2334" t="str">
        <f>"10/04/2022 19:31:45.871"</f>
        <v>10/04/2022 19:31:45.871</v>
      </c>
      <c r="C2334" t="str">
        <f t="shared" si="819"/>
        <v>FFDDD3C0</v>
      </c>
      <c r="D2334" t="s">
        <v>143</v>
      </c>
      <c r="E2334">
        <v>20</v>
      </c>
      <c r="F2334">
        <v>1020</v>
      </c>
      <c r="G2334" t="s">
        <v>144</v>
      </c>
      <c r="J2334" t="s">
        <v>145</v>
      </c>
      <c r="K2334">
        <v>0</v>
      </c>
      <c r="L2334">
        <v>3</v>
      </c>
      <c r="M2334">
        <v>0</v>
      </c>
      <c r="N2334">
        <v>2</v>
      </c>
      <c r="O2334">
        <v>0</v>
      </c>
      <c r="P2334">
        <v>1</v>
      </c>
      <c r="Q2334">
        <v>0</v>
      </c>
      <c r="S2334" t="str">
        <f t="shared" si="838"/>
        <v>19:31:45.000</v>
      </c>
      <c r="T2334" t="str">
        <f t="shared" si="838"/>
        <v>19:31:45.000</v>
      </c>
      <c r="U2334" t="str">
        <f t="shared" si="829"/>
        <v>AC3944</v>
      </c>
      <c r="V2334">
        <v>0</v>
      </c>
      <c r="W2334">
        <v>0</v>
      </c>
      <c r="X2334">
        <v>2</v>
      </c>
      <c r="Y2334">
        <v>0</v>
      </c>
      <c r="AA2334">
        <v>1</v>
      </c>
      <c r="AB2334">
        <v>8</v>
      </c>
      <c r="AC2334">
        <v>3</v>
      </c>
      <c r="AD2334">
        <v>0</v>
      </c>
      <c r="AE2334">
        <v>9</v>
      </c>
      <c r="AF2334" t="s">
        <v>138</v>
      </c>
      <c r="AG2334">
        <v>0</v>
      </c>
      <c r="AH2334">
        <v>3</v>
      </c>
      <c r="AI2334">
        <v>1</v>
      </c>
      <c r="AJ2334">
        <v>0</v>
      </c>
      <c r="AK2334" t="s">
        <v>808</v>
      </c>
      <c r="AL2334">
        <v>32.763461999999997</v>
      </c>
      <c r="AM2334" t="s">
        <v>809</v>
      </c>
      <c r="AN2334">
        <v>-116.80207</v>
      </c>
      <c r="AO2334">
        <v>25</v>
      </c>
      <c r="AP2334">
        <v>3100</v>
      </c>
      <c r="AQ2334" t="s">
        <v>129</v>
      </c>
      <c r="AR2334">
        <v>119</v>
      </c>
      <c r="AS2334">
        <v>-60</v>
      </c>
      <c r="AT2334">
        <v>64</v>
      </c>
      <c r="BB2334">
        <v>1200</v>
      </c>
      <c r="BC2334">
        <v>1</v>
      </c>
      <c r="BD2334" t="str">
        <f t="shared" si="830"/>
        <v xml:space="preserve">N887QR  </v>
      </c>
      <c r="BE2334">
        <v>1</v>
      </c>
      <c r="BJ2334">
        <v>2825</v>
      </c>
      <c r="BK2334">
        <v>-275</v>
      </c>
      <c r="BL2334" t="s">
        <v>163</v>
      </c>
      <c r="BM2334">
        <v>1</v>
      </c>
      <c r="BN2334">
        <v>1</v>
      </c>
      <c r="BO2334">
        <v>1</v>
      </c>
      <c r="BP2334">
        <v>0</v>
      </c>
      <c r="BS2334">
        <v>0</v>
      </c>
      <c r="BT2334">
        <v>0</v>
      </c>
      <c r="BU2334">
        <v>0</v>
      </c>
      <c r="CE2334" t="str">
        <f t="shared" si="839"/>
        <v>19:31:45.477</v>
      </c>
      <c r="CF2334">
        <v>476902832</v>
      </c>
      <c r="CS2334">
        <v>0</v>
      </c>
      <c r="CT2334">
        <v>2</v>
      </c>
      <c r="CU2334">
        <v>0</v>
      </c>
      <c r="CV2334">
        <v>2</v>
      </c>
      <c r="CW2334">
        <v>0</v>
      </c>
      <c r="CX2334">
        <v>5</v>
      </c>
      <c r="CY2334">
        <v>7</v>
      </c>
      <c r="CZ2334" t="s">
        <v>131</v>
      </c>
      <c r="DA2334">
        <v>300</v>
      </c>
      <c r="DB2334">
        <v>0</v>
      </c>
      <c r="DC2334" t="s">
        <v>176</v>
      </c>
      <c r="DD2334" t="s">
        <v>177</v>
      </c>
      <c r="DG2334">
        <v>5409146</v>
      </c>
      <c r="DI2334">
        <v>0</v>
      </c>
      <c r="DJ2334">
        <v>0</v>
      </c>
      <c r="DK2334">
        <v>1</v>
      </c>
      <c r="DL2334">
        <v>0</v>
      </c>
      <c r="DM2334">
        <v>0</v>
      </c>
      <c r="DN2334">
        <v>1</v>
      </c>
      <c r="DO2334">
        <v>0</v>
      </c>
      <c r="DP2334">
        <v>0</v>
      </c>
      <c r="DQ2334">
        <v>0</v>
      </c>
      <c r="DR2334">
        <v>0</v>
      </c>
      <c r="DS2334">
        <v>0</v>
      </c>
    </row>
    <row r="2335" spans="1:123" x14ac:dyDescent="0.3">
      <c r="A2335" t="str">
        <f>"10/04/2022 19:31:45.871"</f>
        <v>10/04/2022 19:31:45.871</v>
      </c>
      <c r="C2335" t="str">
        <f t="shared" si="819"/>
        <v>FFDDD3C0</v>
      </c>
      <c r="D2335" t="s">
        <v>134</v>
      </c>
      <c r="E2335">
        <v>15</v>
      </c>
      <c r="J2335" t="s">
        <v>135</v>
      </c>
      <c r="K2335">
        <v>0</v>
      </c>
      <c r="L2335">
        <v>3</v>
      </c>
      <c r="M2335">
        <v>0</v>
      </c>
      <c r="N2335">
        <v>2</v>
      </c>
      <c r="O2335">
        <v>0</v>
      </c>
      <c r="P2335">
        <v>1</v>
      </c>
      <c r="Q2335">
        <v>0</v>
      </c>
      <c r="S2335" t="str">
        <f t="shared" si="838"/>
        <v>19:31:45.000</v>
      </c>
      <c r="T2335" t="str">
        <f t="shared" si="838"/>
        <v>19:31:45.000</v>
      </c>
      <c r="U2335" t="str">
        <f t="shared" si="829"/>
        <v>AC3944</v>
      </c>
      <c r="V2335">
        <v>0</v>
      </c>
      <c r="W2335">
        <v>0</v>
      </c>
      <c r="X2335">
        <v>2</v>
      </c>
      <c r="Y2335">
        <v>0</v>
      </c>
      <c r="AA2335">
        <v>1</v>
      </c>
      <c r="AB2335">
        <v>8</v>
      </c>
      <c r="AC2335">
        <v>3</v>
      </c>
      <c r="AD2335">
        <v>0</v>
      </c>
      <c r="AE2335">
        <v>9</v>
      </c>
      <c r="AF2335" t="s">
        <v>138</v>
      </c>
      <c r="AG2335">
        <v>0</v>
      </c>
      <c r="AH2335">
        <v>3</v>
      </c>
      <c r="AI2335">
        <v>1</v>
      </c>
      <c r="AJ2335">
        <v>0</v>
      </c>
      <c r="AK2335" t="s">
        <v>808</v>
      </c>
      <c r="AL2335">
        <v>32.763461999999997</v>
      </c>
      <c r="AM2335" t="s">
        <v>809</v>
      </c>
      <c r="AN2335">
        <v>-116.80207</v>
      </c>
      <c r="AO2335">
        <v>25</v>
      </c>
      <c r="AP2335">
        <v>3100</v>
      </c>
      <c r="AQ2335" t="s">
        <v>129</v>
      </c>
      <c r="AR2335">
        <v>119</v>
      </c>
      <c r="AS2335">
        <v>-60</v>
      </c>
      <c r="AT2335">
        <v>64</v>
      </c>
      <c r="BB2335">
        <v>1200</v>
      </c>
      <c r="BC2335">
        <v>1</v>
      </c>
      <c r="BD2335" t="str">
        <f t="shared" si="830"/>
        <v xml:space="preserve">N887QR  </v>
      </c>
      <c r="BE2335">
        <v>1</v>
      </c>
      <c r="BJ2335">
        <v>2825</v>
      </c>
      <c r="BK2335">
        <v>-275</v>
      </c>
      <c r="BL2335" t="s">
        <v>163</v>
      </c>
      <c r="BM2335">
        <v>1</v>
      </c>
      <c r="BN2335">
        <v>1</v>
      </c>
      <c r="BO2335">
        <v>1</v>
      </c>
      <c r="BP2335">
        <v>0</v>
      </c>
      <c r="BS2335">
        <v>0</v>
      </c>
      <c r="BT2335">
        <v>0</v>
      </c>
      <c r="BU2335">
        <v>0</v>
      </c>
      <c r="CE2335" t="str">
        <f t="shared" si="839"/>
        <v>19:31:45.477</v>
      </c>
      <c r="CF2335">
        <v>476902832</v>
      </c>
      <c r="CS2335">
        <v>0</v>
      </c>
      <c r="CT2335">
        <v>2</v>
      </c>
      <c r="CU2335">
        <v>0</v>
      </c>
      <c r="CV2335">
        <v>2</v>
      </c>
      <c r="CW2335">
        <v>0</v>
      </c>
      <c r="CX2335">
        <v>5</v>
      </c>
      <c r="CY2335">
        <v>7</v>
      </c>
      <c r="CZ2335" t="s">
        <v>131</v>
      </c>
      <c r="DA2335">
        <v>300</v>
      </c>
      <c r="DB2335">
        <v>0</v>
      </c>
      <c r="DC2335" t="s">
        <v>176</v>
      </c>
      <c r="DD2335" t="s">
        <v>177</v>
      </c>
      <c r="DG2335">
        <v>5409146</v>
      </c>
      <c r="DI2335">
        <v>0</v>
      </c>
      <c r="DJ2335">
        <v>0</v>
      </c>
      <c r="DK2335">
        <v>1</v>
      </c>
      <c r="DL2335">
        <v>0</v>
      </c>
      <c r="DM2335">
        <v>0</v>
      </c>
      <c r="DN2335">
        <v>1</v>
      </c>
      <c r="DO2335">
        <v>0</v>
      </c>
      <c r="DP2335">
        <v>0</v>
      </c>
      <c r="DQ2335">
        <v>0</v>
      </c>
      <c r="DR2335">
        <v>0</v>
      </c>
      <c r="DS2335">
        <v>0</v>
      </c>
    </row>
    <row r="2336" spans="1:123" x14ac:dyDescent="0.3">
      <c r="A2336" t="str">
        <f>"10/04/2022 19:31:45.871"</f>
        <v>10/04/2022 19:31:45.871</v>
      </c>
      <c r="C2336" t="str">
        <f t="shared" si="819"/>
        <v>FFDDD3C0</v>
      </c>
      <c r="D2336" t="s">
        <v>136</v>
      </c>
      <c r="E2336">
        <v>8</v>
      </c>
      <c r="H2336">
        <v>225</v>
      </c>
      <c r="I2336" t="s">
        <v>137</v>
      </c>
      <c r="J2336" t="s">
        <v>138</v>
      </c>
      <c r="K2336">
        <v>0</v>
      </c>
      <c r="L2336">
        <v>3</v>
      </c>
      <c r="M2336">
        <v>0</v>
      </c>
      <c r="N2336">
        <v>2</v>
      </c>
      <c r="O2336">
        <v>0</v>
      </c>
      <c r="P2336">
        <v>1</v>
      </c>
      <c r="Q2336">
        <v>0</v>
      </c>
      <c r="S2336" t="str">
        <f t="shared" si="838"/>
        <v>19:31:45.000</v>
      </c>
      <c r="T2336" t="str">
        <f t="shared" si="838"/>
        <v>19:31:45.000</v>
      </c>
      <c r="U2336" t="str">
        <f t="shared" si="829"/>
        <v>AC3944</v>
      </c>
      <c r="V2336">
        <v>0</v>
      </c>
      <c r="W2336">
        <v>0</v>
      </c>
      <c r="X2336">
        <v>2</v>
      </c>
      <c r="Y2336">
        <v>0</v>
      </c>
      <c r="AA2336">
        <v>1</v>
      </c>
      <c r="AB2336">
        <v>8</v>
      </c>
      <c r="AC2336">
        <v>3</v>
      </c>
      <c r="AD2336">
        <v>0</v>
      </c>
      <c r="AE2336">
        <v>9</v>
      </c>
      <c r="AF2336" t="s">
        <v>138</v>
      </c>
      <c r="AG2336">
        <v>0</v>
      </c>
      <c r="AH2336">
        <v>3</v>
      </c>
      <c r="AI2336">
        <v>1</v>
      </c>
      <c r="AJ2336">
        <v>0</v>
      </c>
      <c r="AK2336" t="s">
        <v>808</v>
      </c>
      <c r="AL2336">
        <v>32.763461999999997</v>
      </c>
      <c r="AM2336" t="s">
        <v>809</v>
      </c>
      <c r="AN2336">
        <v>-116.80207</v>
      </c>
      <c r="AO2336">
        <v>25</v>
      </c>
      <c r="AP2336">
        <v>3100</v>
      </c>
      <c r="AQ2336" t="s">
        <v>129</v>
      </c>
      <c r="AR2336">
        <v>119</v>
      </c>
      <c r="AS2336">
        <v>-60</v>
      </c>
      <c r="AT2336">
        <v>64</v>
      </c>
      <c r="BB2336">
        <v>1200</v>
      </c>
      <c r="BC2336">
        <v>1</v>
      </c>
      <c r="BD2336" t="str">
        <f t="shared" si="830"/>
        <v xml:space="preserve">N887QR  </v>
      </c>
      <c r="BE2336">
        <v>1</v>
      </c>
      <c r="BJ2336">
        <v>2825</v>
      </c>
      <c r="BK2336">
        <v>-275</v>
      </c>
      <c r="BL2336" t="s">
        <v>163</v>
      </c>
      <c r="BM2336">
        <v>1</v>
      </c>
      <c r="BN2336">
        <v>1</v>
      </c>
      <c r="BO2336">
        <v>1</v>
      </c>
      <c r="BP2336">
        <v>0</v>
      </c>
      <c r="BS2336">
        <v>0</v>
      </c>
      <c r="BT2336">
        <v>0</v>
      </c>
      <c r="BU2336">
        <v>0</v>
      </c>
      <c r="CE2336" t="str">
        <f t="shared" si="839"/>
        <v>19:31:45.477</v>
      </c>
      <c r="CF2336">
        <v>476902832</v>
      </c>
      <c r="CS2336">
        <v>0</v>
      </c>
      <c r="CT2336">
        <v>2</v>
      </c>
      <c r="CU2336">
        <v>0</v>
      </c>
      <c r="CV2336">
        <v>2</v>
      </c>
      <c r="CW2336">
        <v>0</v>
      </c>
      <c r="CX2336">
        <v>5</v>
      </c>
      <c r="CY2336">
        <v>7</v>
      </c>
      <c r="CZ2336" t="s">
        <v>131</v>
      </c>
      <c r="DA2336">
        <v>300</v>
      </c>
      <c r="DB2336">
        <v>0</v>
      </c>
      <c r="DC2336" t="s">
        <v>176</v>
      </c>
      <c r="DD2336" t="s">
        <v>177</v>
      </c>
      <c r="DG2336">
        <v>5409146</v>
      </c>
      <c r="DI2336">
        <v>0</v>
      </c>
      <c r="DJ2336">
        <v>0</v>
      </c>
      <c r="DK2336">
        <v>1</v>
      </c>
      <c r="DL2336">
        <v>0</v>
      </c>
      <c r="DM2336">
        <v>0</v>
      </c>
      <c r="DN2336">
        <v>1</v>
      </c>
      <c r="DO2336">
        <v>0</v>
      </c>
      <c r="DP2336">
        <v>0</v>
      </c>
      <c r="DQ2336">
        <v>0</v>
      </c>
      <c r="DR2336">
        <v>0</v>
      </c>
      <c r="DS2336">
        <v>0</v>
      </c>
    </row>
    <row r="2337" spans="1:123" x14ac:dyDescent="0.3">
      <c r="A2337" t="str">
        <f>"10/04/2022 19:31:45.871"</f>
        <v>10/04/2022 19:31:45.871</v>
      </c>
      <c r="C2337" t="str">
        <f t="shared" si="819"/>
        <v>FFDDD3C0</v>
      </c>
      <c r="D2337" t="s">
        <v>147</v>
      </c>
      <c r="E2337">
        <v>3</v>
      </c>
      <c r="H2337">
        <v>166</v>
      </c>
      <c r="I2337" t="s">
        <v>144</v>
      </c>
      <c r="J2337" t="s">
        <v>148</v>
      </c>
      <c r="K2337">
        <v>0</v>
      </c>
      <c r="L2337">
        <v>3</v>
      </c>
      <c r="M2337">
        <v>0</v>
      </c>
      <c r="N2337">
        <v>2</v>
      </c>
      <c r="O2337">
        <v>0</v>
      </c>
      <c r="P2337">
        <v>1</v>
      </c>
      <c r="Q2337">
        <v>0</v>
      </c>
      <c r="S2337" t="str">
        <f t="shared" si="838"/>
        <v>19:31:45.000</v>
      </c>
      <c r="T2337" t="str">
        <f t="shared" si="838"/>
        <v>19:31:45.000</v>
      </c>
      <c r="U2337" t="str">
        <f t="shared" si="829"/>
        <v>AC3944</v>
      </c>
      <c r="V2337">
        <v>0</v>
      </c>
      <c r="W2337">
        <v>0</v>
      </c>
      <c r="X2337">
        <v>2</v>
      </c>
      <c r="Y2337">
        <v>0</v>
      </c>
      <c r="AA2337">
        <v>1</v>
      </c>
      <c r="AB2337">
        <v>8</v>
      </c>
      <c r="AC2337">
        <v>3</v>
      </c>
      <c r="AD2337">
        <v>0</v>
      </c>
      <c r="AE2337">
        <v>9</v>
      </c>
      <c r="AF2337" t="s">
        <v>138</v>
      </c>
      <c r="AG2337">
        <v>0</v>
      </c>
      <c r="AH2337">
        <v>3</v>
      </c>
      <c r="AI2337">
        <v>1</v>
      </c>
      <c r="AJ2337">
        <v>0</v>
      </c>
      <c r="AK2337" t="s">
        <v>808</v>
      </c>
      <c r="AL2337">
        <v>32.763461999999997</v>
      </c>
      <c r="AM2337" t="s">
        <v>809</v>
      </c>
      <c r="AN2337">
        <v>-116.80207</v>
      </c>
      <c r="AO2337">
        <v>25</v>
      </c>
      <c r="AP2337">
        <v>3100</v>
      </c>
      <c r="AQ2337" t="s">
        <v>129</v>
      </c>
      <c r="AR2337">
        <v>119</v>
      </c>
      <c r="AS2337">
        <v>-60</v>
      </c>
      <c r="AT2337">
        <v>64</v>
      </c>
      <c r="BB2337">
        <v>1200</v>
      </c>
      <c r="BC2337">
        <v>1</v>
      </c>
      <c r="BD2337" t="str">
        <f t="shared" si="830"/>
        <v xml:space="preserve">N887QR  </v>
      </c>
      <c r="BE2337">
        <v>1</v>
      </c>
      <c r="BJ2337">
        <v>2825</v>
      </c>
      <c r="BK2337">
        <v>-275</v>
      </c>
      <c r="BL2337" t="s">
        <v>163</v>
      </c>
      <c r="BM2337">
        <v>1</v>
      </c>
      <c r="BN2337">
        <v>1</v>
      </c>
      <c r="BO2337">
        <v>1</v>
      </c>
      <c r="BP2337">
        <v>0</v>
      </c>
      <c r="BS2337">
        <v>0</v>
      </c>
      <c r="BT2337">
        <v>0</v>
      </c>
      <c r="BU2337">
        <v>0</v>
      </c>
      <c r="CE2337" t="str">
        <f t="shared" si="839"/>
        <v>19:31:45.477</v>
      </c>
      <c r="CF2337">
        <v>476902832</v>
      </c>
      <c r="CS2337">
        <v>0</v>
      </c>
      <c r="CT2337">
        <v>2</v>
      </c>
      <c r="CU2337">
        <v>0</v>
      </c>
      <c r="CV2337">
        <v>2</v>
      </c>
      <c r="CW2337">
        <v>0</v>
      </c>
      <c r="CX2337">
        <v>5</v>
      </c>
      <c r="CY2337">
        <v>7</v>
      </c>
      <c r="CZ2337" t="s">
        <v>131</v>
      </c>
      <c r="DA2337">
        <v>300</v>
      </c>
      <c r="DB2337">
        <v>0</v>
      </c>
      <c r="DC2337" t="s">
        <v>176</v>
      </c>
      <c r="DD2337" t="s">
        <v>177</v>
      </c>
      <c r="DG2337">
        <v>5409146</v>
      </c>
      <c r="DI2337">
        <v>0</v>
      </c>
      <c r="DJ2337">
        <v>0</v>
      </c>
      <c r="DK2337">
        <v>1</v>
      </c>
      <c r="DL2337">
        <v>0</v>
      </c>
      <c r="DM2337">
        <v>0</v>
      </c>
      <c r="DN2337">
        <v>1</v>
      </c>
      <c r="DO2337">
        <v>0</v>
      </c>
      <c r="DP2337">
        <v>0</v>
      </c>
      <c r="DQ2337">
        <v>0</v>
      </c>
      <c r="DR2337">
        <v>0</v>
      </c>
      <c r="DS2337">
        <v>0</v>
      </c>
    </row>
    <row r="2338" spans="1:123" x14ac:dyDescent="0.3">
      <c r="A2338" t="str">
        <f>"10/04/2022 19:31:45.871"</f>
        <v>10/04/2022 19:31:45.871</v>
      </c>
      <c r="C2338" t="str">
        <f t="shared" si="819"/>
        <v>FFDDD3C0</v>
      </c>
      <c r="D2338" t="s">
        <v>123</v>
      </c>
      <c r="E2338">
        <v>7</v>
      </c>
      <c r="F2338">
        <v>2007</v>
      </c>
      <c r="G2338" t="s">
        <v>124</v>
      </c>
      <c r="J2338" t="s">
        <v>125</v>
      </c>
      <c r="K2338">
        <v>0</v>
      </c>
      <c r="L2338">
        <v>3</v>
      </c>
      <c r="M2338">
        <v>0</v>
      </c>
      <c r="N2338">
        <v>2</v>
      </c>
      <c r="O2338">
        <v>0</v>
      </c>
      <c r="P2338">
        <v>1</v>
      </c>
      <c r="Q2338">
        <v>0</v>
      </c>
      <c r="S2338" t="str">
        <f t="shared" si="838"/>
        <v>19:31:45.000</v>
      </c>
      <c r="T2338" t="str">
        <f t="shared" si="838"/>
        <v>19:31:45.000</v>
      </c>
      <c r="U2338" t="str">
        <f t="shared" si="829"/>
        <v>AC3944</v>
      </c>
      <c r="V2338">
        <v>0</v>
      </c>
      <c r="W2338">
        <v>0</v>
      </c>
      <c r="X2338">
        <v>2</v>
      </c>
      <c r="Y2338">
        <v>0</v>
      </c>
      <c r="AA2338">
        <v>1</v>
      </c>
      <c r="AB2338">
        <v>8</v>
      </c>
      <c r="AC2338">
        <v>3</v>
      </c>
      <c r="AD2338">
        <v>0</v>
      </c>
      <c r="AE2338">
        <v>9</v>
      </c>
      <c r="AF2338" t="s">
        <v>138</v>
      </c>
      <c r="AG2338">
        <v>0</v>
      </c>
      <c r="AH2338">
        <v>3</v>
      </c>
      <c r="AI2338">
        <v>1</v>
      </c>
      <c r="AJ2338">
        <v>0</v>
      </c>
      <c r="AK2338" t="s">
        <v>808</v>
      </c>
      <c r="AL2338">
        <v>32.763461999999997</v>
      </c>
      <c r="AM2338" t="s">
        <v>809</v>
      </c>
      <c r="AN2338">
        <v>-116.80207</v>
      </c>
      <c r="AO2338">
        <v>25</v>
      </c>
      <c r="AP2338">
        <v>3100</v>
      </c>
      <c r="AQ2338" t="s">
        <v>129</v>
      </c>
      <c r="AR2338">
        <v>119</v>
      </c>
      <c r="AS2338">
        <v>-60</v>
      </c>
      <c r="AT2338">
        <v>64</v>
      </c>
      <c r="BB2338">
        <v>1200</v>
      </c>
      <c r="BC2338">
        <v>1</v>
      </c>
      <c r="BD2338" t="str">
        <f t="shared" si="830"/>
        <v xml:space="preserve">N887QR  </v>
      </c>
      <c r="BE2338">
        <v>1</v>
      </c>
      <c r="BJ2338">
        <v>2825</v>
      </c>
      <c r="BK2338">
        <v>-275</v>
      </c>
      <c r="BL2338" t="s">
        <v>163</v>
      </c>
      <c r="BM2338">
        <v>1</v>
      </c>
      <c r="BN2338">
        <v>1</v>
      </c>
      <c r="BO2338">
        <v>1</v>
      </c>
      <c r="BP2338">
        <v>0</v>
      </c>
      <c r="BS2338">
        <v>0</v>
      </c>
      <c r="BT2338">
        <v>0</v>
      </c>
      <c r="BU2338">
        <v>0</v>
      </c>
      <c r="CE2338" t="str">
        <f t="shared" si="839"/>
        <v>19:31:45.477</v>
      </c>
      <c r="CF2338">
        <v>476902832</v>
      </c>
      <c r="CS2338">
        <v>0</v>
      </c>
      <c r="CT2338">
        <v>2</v>
      </c>
      <c r="CU2338">
        <v>0</v>
      </c>
      <c r="CV2338">
        <v>2</v>
      </c>
      <c r="CW2338">
        <v>0</v>
      </c>
      <c r="CX2338">
        <v>5</v>
      </c>
      <c r="CY2338">
        <v>7</v>
      </c>
      <c r="CZ2338" t="s">
        <v>131</v>
      </c>
      <c r="DA2338">
        <v>300</v>
      </c>
      <c r="DB2338">
        <v>0</v>
      </c>
      <c r="DC2338" t="s">
        <v>176</v>
      </c>
      <c r="DD2338" t="s">
        <v>177</v>
      </c>
      <c r="DG2338">
        <v>5409146</v>
      </c>
      <c r="DI2338">
        <v>0</v>
      </c>
      <c r="DJ2338">
        <v>0</v>
      </c>
      <c r="DK2338">
        <v>1</v>
      </c>
      <c r="DL2338">
        <v>0</v>
      </c>
      <c r="DM2338">
        <v>0</v>
      </c>
      <c r="DN2338">
        <v>1</v>
      </c>
      <c r="DO2338">
        <v>0</v>
      </c>
      <c r="DP2338">
        <v>0</v>
      </c>
      <c r="DQ2338">
        <v>0</v>
      </c>
      <c r="DR2338">
        <v>0</v>
      </c>
      <c r="DS2338">
        <v>0</v>
      </c>
    </row>
    <row r="2339" spans="1:123" x14ac:dyDescent="0.3">
      <c r="A2339" t="str">
        <f>"10/04/2022 19:31:46.369"</f>
        <v>10/04/2022 19:31:46.369</v>
      </c>
      <c r="C2339" t="str">
        <f t="shared" si="819"/>
        <v>FFDDD3C0</v>
      </c>
      <c r="D2339" t="s">
        <v>147</v>
      </c>
      <c r="E2339">
        <v>3</v>
      </c>
      <c r="H2339">
        <v>166</v>
      </c>
      <c r="I2339" t="s">
        <v>144</v>
      </c>
      <c r="J2339" t="s">
        <v>148</v>
      </c>
      <c r="K2339">
        <v>0</v>
      </c>
      <c r="L2339">
        <v>3</v>
      </c>
      <c r="M2339">
        <v>0</v>
      </c>
      <c r="N2339">
        <v>2</v>
      </c>
      <c r="O2339">
        <v>0</v>
      </c>
      <c r="P2339">
        <v>1</v>
      </c>
      <c r="Q2339">
        <v>0</v>
      </c>
      <c r="S2339" t="str">
        <f t="shared" si="838"/>
        <v>19:31:45.000</v>
      </c>
      <c r="T2339" t="str">
        <f t="shared" si="838"/>
        <v>19:31:45.000</v>
      </c>
      <c r="U2339" t="str">
        <f t="shared" si="829"/>
        <v>AC3944</v>
      </c>
      <c r="V2339">
        <v>0</v>
      </c>
      <c r="W2339">
        <v>0</v>
      </c>
      <c r="X2339">
        <v>2</v>
      </c>
      <c r="Y2339">
        <v>0</v>
      </c>
      <c r="AA2339">
        <v>1</v>
      </c>
      <c r="AB2339">
        <v>8</v>
      </c>
      <c r="AC2339">
        <v>3</v>
      </c>
      <c r="AD2339">
        <v>0</v>
      </c>
      <c r="AE2339">
        <v>9</v>
      </c>
      <c r="AF2339" t="s">
        <v>138</v>
      </c>
      <c r="AG2339">
        <v>0</v>
      </c>
      <c r="AH2339">
        <v>3</v>
      </c>
      <c r="AI2339">
        <v>1</v>
      </c>
      <c r="AJ2339">
        <v>0</v>
      </c>
      <c r="AK2339" t="s">
        <v>810</v>
      </c>
      <c r="AL2339">
        <v>32.763182999999998</v>
      </c>
      <c r="AM2339" t="s">
        <v>811</v>
      </c>
      <c r="AN2339">
        <v>-116.80142600000001</v>
      </c>
      <c r="AO2339">
        <v>25</v>
      </c>
      <c r="AP2339">
        <v>3100</v>
      </c>
      <c r="AQ2339" t="s">
        <v>129</v>
      </c>
      <c r="AR2339">
        <v>119</v>
      </c>
      <c r="AS2339">
        <v>-59</v>
      </c>
      <c r="AT2339">
        <v>64</v>
      </c>
      <c r="BB2339">
        <v>1200</v>
      </c>
      <c r="BC2339">
        <v>1</v>
      </c>
      <c r="BD2339" t="str">
        <f t="shared" si="830"/>
        <v xml:space="preserve">N887QR  </v>
      </c>
      <c r="BE2339">
        <v>1</v>
      </c>
      <c r="BJ2339">
        <v>2825</v>
      </c>
      <c r="BK2339">
        <v>-275</v>
      </c>
      <c r="BL2339" t="s">
        <v>163</v>
      </c>
      <c r="BM2339">
        <v>1</v>
      </c>
      <c r="BN2339">
        <v>1</v>
      </c>
      <c r="BO2339">
        <v>1</v>
      </c>
      <c r="BP2339">
        <v>0</v>
      </c>
      <c r="BS2339">
        <v>0.08</v>
      </c>
      <c r="BT2339">
        <v>0</v>
      </c>
      <c r="BU2339">
        <v>0</v>
      </c>
      <c r="CE2339" t="str">
        <f t="shared" ref="CE2339:CE2344" si="840">"19:31:45.738"</f>
        <v>19:31:45.738</v>
      </c>
      <c r="CF2339">
        <v>737991053</v>
      </c>
      <c r="CS2339">
        <v>0</v>
      </c>
      <c r="CT2339">
        <v>2</v>
      </c>
      <c r="CU2339">
        <v>0</v>
      </c>
      <c r="CV2339">
        <v>2</v>
      </c>
      <c r="CW2339">
        <v>0</v>
      </c>
      <c r="CX2339">
        <v>1</v>
      </c>
      <c r="CY2339">
        <v>7</v>
      </c>
      <c r="CZ2339" t="s">
        <v>131</v>
      </c>
      <c r="DA2339">
        <v>297</v>
      </c>
      <c r="DB2339">
        <v>0</v>
      </c>
      <c r="DC2339" t="s">
        <v>258</v>
      </c>
      <c r="DD2339" t="s">
        <v>259</v>
      </c>
      <c r="DG2339">
        <v>16749765</v>
      </c>
      <c r="DI2339">
        <v>0</v>
      </c>
      <c r="DJ2339">
        <v>0</v>
      </c>
      <c r="DK2339">
        <v>0</v>
      </c>
      <c r="DL2339">
        <v>0</v>
      </c>
      <c r="DM2339">
        <v>0</v>
      </c>
      <c r="DN2339">
        <v>1</v>
      </c>
      <c r="DO2339">
        <v>0</v>
      </c>
      <c r="DP2339">
        <v>0</v>
      </c>
      <c r="DQ2339">
        <v>0</v>
      </c>
      <c r="DR2339">
        <v>0</v>
      </c>
      <c r="DS2339">
        <v>0</v>
      </c>
    </row>
    <row r="2340" spans="1:123" x14ac:dyDescent="0.3">
      <c r="A2340" t="str">
        <f>"10/04/2022 19:31:46.369"</f>
        <v>10/04/2022 19:31:46.369</v>
      </c>
      <c r="C2340" t="str">
        <f t="shared" si="819"/>
        <v>FFDDD3C0</v>
      </c>
      <c r="D2340" t="s">
        <v>136</v>
      </c>
      <c r="E2340">
        <v>8</v>
      </c>
      <c r="H2340">
        <v>225</v>
      </c>
      <c r="I2340" t="s">
        <v>137</v>
      </c>
      <c r="J2340" t="s">
        <v>138</v>
      </c>
      <c r="K2340">
        <v>0</v>
      </c>
      <c r="L2340">
        <v>3</v>
      </c>
      <c r="M2340">
        <v>0</v>
      </c>
      <c r="N2340">
        <v>2</v>
      </c>
      <c r="O2340">
        <v>0</v>
      </c>
      <c r="P2340">
        <v>1</v>
      </c>
      <c r="Q2340">
        <v>0</v>
      </c>
      <c r="S2340" t="str">
        <f t="shared" si="838"/>
        <v>19:31:45.000</v>
      </c>
      <c r="T2340" t="str">
        <f t="shared" si="838"/>
        <v>19:31:45.000</v>
      </c>
      <c r="U2340" t="str">
        <f t="shared" si="829"/>
        <v>AC3944</v>
      </c>
      <c r="V2340">
        <v>0</v>
      </c>
      <c r="W2340">
        <v>0</v>
      </c>
      <c r="X2340">
        <v>2</v>
      </c>
      <c r="Y2340">
        <v>0</v>
      </c>
      <c r="AA2340">
        <v>1</v>
      </c>
      <c r="AB2340">
        <v>8</v>
      </c>
      <c r="AC2340">
        <v>3</v>
      </c>
      <c r="AD2340">
        <v>0</v>
      </c>
      <c r="AE2340">
        <v>9</v>
      </c>
      <c r="AF2340" t="s">
        <v>138</v>
      </c>
      <c r="AG2340">
        <v>0</v>
      </c>
      <c r="AH2340">
        <v>3</v>
      </c>
      <c r="AI2340">
        <v>1</v>
      </c>
      <c r="AJ2340">
        <v>0</v>
      </c>
      <c r="AK2340" t="s">
        <v>810</v>
      </c>
      <c r="AL2340">
        <v>32.763182999999998</v>
      </c>
      <c r="AM2340" t="s">
        <v>811</v>
      </c>
      <c r="AN2340">
        <v>-116.80142600000001</v>
      </c>
      <c r="AO2340">
        <v>25</v>
      </c>
      <c r="AP2340">
        <v>3100</v>
      </c>
      <c r="AQ2340" t="s">
        <v>129</v>
      </c>
      <c r="AR2340">
        <v>119</v>
      </c>
      <c r="AS2340">
        <v>-59</v>
      </c>
      <c r="AT2340">
        <v>64</v>
      </c>
      <c r="BB2340">
        <v>1200</v>
      </c>
      <c r="BC2340">
        <v>1</v>
      </c>
      <c r="BD2340" t="str">
        <f t="shared" si="830"/>
        <v xml:space="preserve">N887QR  </v>
      </c>
      <c r="BE2340">
        <v>1</v>
      </c>
      <c r="BJ2340">
        <v>2825</v>
      </c>
      <c r="BK2340">
        <v>-275</v>
      </c>
      <c r="BL2340" t="s">
        <v>163</v>
      </c>
      <c r="BM2340">
        <v>1</v>
      </c>
      <c r="BN2340">
        <v>1</v>
      </c>
      <c r="BO2340">
        <v>1</v>
      </c>
      <c r="BP2340">
        <v>0</v>
      </c>
      <c r="BS2340">
        <v>0.08</v>
      </c>
      <c r="BT2340">
        <v>0</v>
      </c>
      <c r="BU2340">
        <v>0</v>
      </c>
      <c r="CE2340" t="str">
        <f t="shared" si="840"/>
        <v>19:31:45.738</v>
      </c>
      <c r="CF2340">
        <v>737991053</v>
      </c>
      <c r="CS2340">
        <v>0</v>
      </c>
      <c r="CT2340">
        <v>2</v>
      </c>
      <c r="CU2340">
        <v>0</v>
      </c>
      <c r="CV2340">
        <v>2</v>
      </c>
      <c r="CW2340">
        <v>0</v>
      </c>
      <c r="CX2340">
        <v>1</v>
      </c>
      <c r="CY2340">
        <v>7</v>
      </c>
      <c r="CZ2340" t="s">
        <v>131</v>
      </c>
      <c r="DA2340">
        <v>297</v>
      </c>
      <c r="DB2340">
        <v>0</v>
      </c>
      <c r="DC2340" t="s">
        <v>258</v>
      </c>
      <c r="DD2340" t="s">
        <v>259</v>
      </c>
      <c r="DG2340">
        <v>16749765</v>
      </c>
      <c r="DI2340">
        <v>0</v>
      </c>
      <c r="DJ2340">
        <v>0</v>
      </c>
      <c r="DK2340">
        <v>1</v>
      </c>
      <c r="DL2340">
        <v>0</v>
      </c>
      <c r="DM2340">
        <v>0</v>
      </c>
      <c r="DN2340">
        <v>1</v>
      </c>
      <c r="DO2340">
        <v>0</v>
      </c>
      <c r="DP2340">
        <v>0</v>
      </c>
      <c r="DQ2340">
        <v>0</v>
      </c>
      <c r="DR2340">
        <v>0</v>
      </c>
      <c r="DS2340">
        <v>0</v>
      </c>
    </row>
    <row r="2341" spans="1:123" x14ac:dyDescent="0.3">
      <c r="A2341" t="str">
        <f>"10/04/2022 19:31:46.369"</f>
        <v>10/04/2022 19:31:46.369</v>
      </c>
      <c r="C2341" t="str">
        <f t="shared" si="819"/>
        <v>FFDDD3C0</v>
      </c>
      <c r="D2341" t="s">
        <v>123</v>
      </c>
      <c r="E2341">
        <v>7</v>
      </c>
      <c r="F2341">
        <v>2007</v>
      </c>
      <c r="G2341" t="s">
        <v>124</v>
      </c>
      <c r="J2341" t="s">
        <v>125</v>
      </c>
      <c r="K2341">
        <v>0</v>
      </c>
      <c r="L2341">
        <v>3</v>
      </c>
      <c r="M2341">
        <v>0</v>
      </c>
      <c r="N2341">
        <v>2</v>
      </c>
      <c r="O2341">
        <v>0</v>
      </c>
      <c r="P2341">
        <v>1</v>
      </c>
      <c r="Q2341">
        <v>0</v>
      </c>
      <c r="S2341" t="str">
        <f t="shared" si="838"/>
        <v>19:31:45.000</v>
      </c>
      <c r="T2341" t="str">
        <f t="shared" si="838"/>
        <v>19:31:45.000</v>
      </c>
      <c r="U2341" t="str">
        <f t="shared" si="829"/>
        <v>AC3944</v>
      </c>
      <c r="V2341">
        <v>0</v>
      </c>
      <c r="W2341">
        <v>0</v>
      </c>
      <c r="X2341">
        <v>2</v>
      </c>
      <c r="Y2341">
        <v>0</v>
      </c>
      <c r="AA2341">
        <v>1</v>
      </c>
      <c r="AB2341">
        <v>8</v>
      </c>
      <c r="AC2341">
        <v>3</v>
      </c>
      <c r="AD2341">
        <v>0</v>
      </c>
      <c r="AE2341">
        <v>9</v>
      </c>
      <c r="AF2341" t="s">
        <v>138</v>
      </c>
      <c r="AG2341">
        <v>0</v>
      </c>
      <c r="AH2341">
        <v>3</v>
      </c>
      <c r="AI2341">
        <v>1</v>
      </c>
      <c r="AJ2341">
        <v>0</v>
      </c>
      <c r="AK2341" t="s">
        <v>810</v>
      </c>
      <c r="AL2341">
        <v>32.763182999999998</v>
      </c>
      <c r="AM2341" t="s">
        <v>811</v>
      </c>
      <c r="AN2341">
        <v>-116.80142600000001</v>
      </c>
      <c r="AO2341">
        <v>25</v>
      </c>
      <c r="AP2341">
        <v>3100</v>
      </c>
      <c r="AQ2341" t="s">
        <v>129</v>
      </c>
      <c r="AR2341">
        <v>119</v>
      </c>
      <c r="AS2341">
        <v>-59</v>
      </c>
      <c r="AT2341">
        <v>64</v>
      </c>
      <c r="BB2341">
        <v>1200</v>
      </c>
      <c r="BC2341">
        <v>1</v>
      </c>
      <c r="BD2341" t="str">
        <f t="shared" si="830"/>
        <v xml:space="preserve">N887QR  </v>
      </c>
      <c r="BE2341">
        <v>1</v>
      </c>
      <c r="BJ2341">
        <v>2825</v>
      </c>
      <c r="BK2341">
        <v>-275</v>
      </c>
      <c r="BL2341" t="s">
        <v>163</v>
      </c>
      <c r="BM2341">
        <v>1</v>
      </c>
      <c r="BN2341">
        <v>1</v>
      </c>
      <c r="BO2341">
        <v>1</v>
      </c>
      <c r="BP2341">
        <v>0</v>
      </c>
      <c r="BS2341">
        <v>0.08</v>
      </c>
      <c r="BT2341">
        <v>0</v>
      </c>
      <c r="BU2341">
        <v>0</v>
      </c>
      <c r="CE2341" t="str">
        <f t="shared" si="840"/>
        <v>19:31:45.738</v>
      </c>
      <c r="CF2341">
        <v>737991053</v>
      </c>
      <c r="CS2341">
        <v>0</v>
      </c>
      <c r="CT2341">
        <v>2</v>
      </c>
      <c r="CU2341">
        <v>0</v>
      </c>
      <c r="CV2341">
        <v>2</v>
      </c>
      <c r="CW2341">
        <v>0</v>
      </c>
      <c r="CX2341">
        <v>1</v>
      </c>
      <c r="CY2341">
        <v>7</v>
      </c>
      <c r="CZ2341" t="s">
        <v>131</v>
      </c>
      <c r="DA2341">
        <v>297</v>
      </c>
      <c r="DB2341">
        <v>0</v>
      </c>
      <c r="DC2341" t="s">
        <v>258</v>
      </c>
      <c r="DD2341" t="s">
        <v>259</v>
      </c>
      <c r="DG2341">
        <v>16749765</v>
      </c>
      <c r="DI2341">
        <v>0</v>
      </c>
      <c r="DJ2341">
        <v>0</v>
      </c>
      <c r="DK2341">
        <v>1</v>
      </c>
      <c r="DL2341">
        <v>0</v>
      </c>
      <c r="DM2341">
        <v>0</v>
      </c>
      <c r="DN2341">
        <v>1</v>
      </c>
      <c r="DO2341">
        <v>0</v>
      </c>
      <c r="DP2341">
        <v>0</v>
      </c>
      <c r="DQ2341">
        <v>0</v>
      </c>
      <c r="DR2341">
        <v>0</v>
      </c>
      <c r="DS2341">
        <v>0</v>
      </c>
    </row>
    <row r="2342" spans="1:123" x14ac:dyDescent="0.3">
      <c r="A2342" t="str">
        <f>"10/04/2022 19:31:46.416"</f>
        <v>10/04/2022 19:31:46.416</v>
      </c>
      <c r="C2342" t="str">
        <f t="shared" si="819"/>
        <v>FFDDD3C0</v>
      </c>
      <c r="D2342" t="s">
        <v>141</v>
      </c>
      <c r="E2342">
        <v>4</v>
      </c>
      <c r="H2342">
        <v>4</v>
      </c>
      <c r="I2342" t="s">
        <v>142</v>
      </c>
      <c r="J2342" t="s">
        <v>138</v>
      </c>
      <c r="K2342">
        <v>0</v>
      </c>
      <c r="L2342">
        <v>3</v>
      </c>
      <c r="M2342">
        <v>0</v>
      </c>
      <c r="N2342">
        <v>2</v>
      </c>
      <c r="O2342">
        <v>0</v>
      </c>
      <c r="P2342">
        <v>1</v>
      </c>
      <c r="Q2342">
        <v>0</v>
      </c>
      <c r="S2342" t="str">
        <f t="shared" si="838"/>
        <v>19:31:45.000</v>
      </c>
      <c r="T2342" t="str">
        <f t="shared" si="838"/>
        <v>19:31:45.000</v>
      </c>
      <c r="U2342" t="str">
        <f t="shared" si="829"/>
        <v>AC3944</v>
      </c>
      <c r="V2342">
        <v>0</v>
      </c>
      <c r="W2342">
        <v>0</v>
      </c>
      <c r="X2342">
        <v>2</v>
      </c>
      <c r="Y2342">
        <v>0</v>
      </c>
      <c r="AA2342">
        <v>1</v>
      </c>
      <c r="AB2342">
        <v>8</v>
      </c>
      <c r="AC2342">
        <v>3</v>
      </c>
      <c r="AD2342">
        <v>0</v>
      </c>
      <c r="AE2342">
        <v>9</v>
      </c>
      <c r="AF2342" t="s">
        <v>138</v>
      </c>
      <c r="AG2342">
        <v>0</v>
      </c>
      <c r="AH2342">
        <v>3</v>
      </c>
      <c r="AI2342">
        <v>1</v>
      </c>
      <c r="AJ2342">
        <v>0</v>
      </c>
      <c r="AK2342" t="s">
        <v>810</v>
      </c>
      <c r="AL2342">
        <v>32.763182999999998</v>
      </c>
      <c r="AM2342" t="s">
        <v>811</v>
      </c>
      <c r="AN2342">
        <v>-116.80142600000001</v>
      </c>
      <c r="AO2342">
        <v>25</v>
      </c>
      <c r="AP2342">
        <v>3100</v>
      </c>
      <c r="AQ2342" t="s">
        <v>129</v>
      </c>
      <c r="AR2342">
        <v>119</v>
      </c>
      <c r="AS2342">
        <v>-59</v>
      </c>
      <c r="AT2342">
        <v>64</v>
      </c>
      <c r="BB2342">
        <v>1200</v>
      </c>
      <c r="BC2342">
        <v>1</v>
      </c>
      <c r="BD2342" t="str">
        <f t="shared" si="830"/>
        <v xml:space="preserve">N887QR  </v>
      </c>
      <c r="BE2342">
        <v>1</v>
      </c>
      <c r="BJ2342">
        <v>2825</v>
      </c>
      <c r="BK2342">
        <v>-275</v>
      </c>
      <c r="BL2342" t="s">
        <v>163</v>
      </c>
      <c r="BM2342">
        <v>1</v>
      </c>
      <c r="BN2342">
        <v>1</v>
      </c>
      <c r="BO2342">
        <v>1</v>
      </c>
      <c r="BP2342">
        <v>0</v>
      </c>
      <c r="BS2342">
        <v>0.08</v>
      </c>
      <c r="BT2342">
        <v>0</v>
      </c>
      <c r="BU2342">
        <v>0</v>
      </c>
      <c r="CE2342" t="str">
        <f t="shared" si="840"/>
        <v>19:31:45.738</v>
      </c>
      <c r="CF2342">
        <v>737991053</v>
      </c>
      <c r="CS2342">
        <v>0</v>
      </c>
      <c r="CT2342">
        <v>2</v>
      </c>
      <c r="CU2342">
        <v>0</v>
      </c>
      <c r="CV2342">
        <v>2</v>
      </c>
      <c r="CW2342">
        <v>0</v>
      </c>
      <c r="CX2342">
        <v>1</v>
      </c>
      <c r="CY2342">
        <v>7</v>
      </c>
      <c r="CZ2342" t="s">
        <v>131</v>
      </c>
      <c r="DA2342">
        <v>297</v>
      </c>
      <c r="DB2342">
        <v>0</v>
      </c>
      <c r="DC2342" t="s">
        <v>258</v>
      </c>
      <c r="DD2342" t="s">
        <v>259</v>
      </c>
      <c r="DG2342">
        <v>16749765</v>
      </c>
      <c r="DI2342">
        <v>0</v>
      </c>
      <c r="DJ2342">
        <v>0</v>
      </c>
      <c r="DK2342">
        <v>1</v>
      </c>
      <c r="DL2342">
        <v>0</v>
      </c>
      <c r="DM2342">
        <v>0</v>
      </c>
      <c r="DN2342">
        <v>1</v>
      </c>
      <c r="DO2342">
        <v>0</v>
      </c>
      <c r="DP2342">
        <v>0</v>
      </c>
      <c r="DQ2342">
        <v>0</v>
      </c>
      <c r="DR2342">
        <v>0</v>
      </c>
      <c r="DS2342">
        <v>0</v>
      </c>
    </row>
    <row r="2343" spans="1:123" x14ac:dyDescent="0.3">
      <c r="A2343" t="str">
        <f>"10/04/2022 19:31:46.416"</f>
        <v>10/04/2022 19:31:46.416</v>
      </c>
      <c r="C2343" t="str">
        <f t="shared" ref="C2343:C2406" si="841">"FFDDD3C0"</f>
        <v>FFDDD3C0</v>
      </c>
      <c r="D2343" t="s">
        <v>143</v>
      </c>
      <c r="E2343">
        <v>20</v>
      </c>
      <c r="F2343">
        <v>1020</v>
      </c>
      <c r="G2343" t="s">
        <v>144</v>
      </c>
      <c r="J2343" t="s">
        <v>145</v>
      </c>
      <c r="K2343">
        <v>0</v>
      </c>
      <c r="L2343">
        <v>3</v>
      </c>
      <c r="M2343">
        <v>0</v>
      </c>
      <c r="N2343">
        <v>2</v>
      </c>
      <c r="O2343">
        <v>0</v>
      </c>
      <c r="P2343">
        <v>1</v>
      </c>
      <c r="Q2343">
        <v>0</v>
      </c>
      <c r="S2343" t="str">
        <f t="shared" si="838"/>
        <v>19:31:45.000</v>
      </c>
      <c r="T2343" t="str">
        <f t="shared" si="838"/>
        <v>19:31:45.000</v>
      </c>
      <c r="U2343" t="str">
        <f t="shared" si="829"/>
        <v>AC3944</v>
      </c>
      <c r="V2343">
        <v>0</v>
      </c>
      <c r="W2343">
        <v>0</v>
      </c>
      <c r="X2343">
        <v>2</v>
      </c>
      <c r="Y2343">
        <v>0</v>
      </c>
      <c r="AA2343">
        <v>1</v>
      </c>
      <c r="AB2343">
        <v>8</v>
      </c>
      <c r="AC2343">
        <v>3</v>
      </c>
      <c r="AD2343">
        <v>0</v>
      </c>
      <c r="AE2343">
        <v>9</v>
      </c>
      <c r="AF2343" t="s">
        <v>138</v>
      </c>
      <c r="AG2343">
        <v>0</v>
      </c>
      <c r="AH2343">
        <v>3</v>
      </c>
      <c r="AI2343">
        <v>1</v>
      </c>
      <c r="AJ2343">
        <v>0</v>
      </c>
      <c r="AK2343" t="s">
        <v>810</v>
      </c>
      <c r="AL2343">
        <v>32.763182999999998</v>
      </c>
      <c r="AM2343" t="s">
        <v>811</v>
      </c>
      <c r="AN2343">
        <v>-116.80142600000001</v>
      </c>
      <c r="AO2343">
        <v>25</v>
      </c>
      <c r="AP2343">
        <v>3100</v>
      </c>
      <c r="AQ2343" t="s">
        <v>129</v>
      </c>
      <c r="AR2343">
        <v>119</v>
      </c>
      <c r="AS2343">
        <v>-59</v>
      </c>
      <c r="AT2343">
        <v>64</v>
      </c>
      <c r="BB2343">
        <v>1200</v>
      </c>
      <c r="BC2343">
        <v>1</v>
      </c>
      <c r="BD2343" t="str">
        <f t="shared" si="830"/>
        <v xml:space="preserve">N887QR  </v>
      </c>
      <c r="BE2343">
        <v>1</v>
      </c>
      <c r="BJ2343">
        <v>2825</v>
      </c>
      <c r="BK2343">
        <v>-275</v>
      </c>
      <c r="BL2343" t="s">
        <v>163</v>
      </c>
      <c r="BM2343">
        <v>1</v>
      </c>
      <c r="BN2343">
        <v>1</v>
      </c>
      <c r="BO2343">
        <v>1</v>
      </c>
      <c r="BP2343">
        <v>0</v>
      </c>
      <c r="BS2343">
        <v>0.08</v>
      </c>
      <c r="BT2343">
        <v>0</v>
      </c>
      <c r="BU2343">
        <v>0</v>
      </c>
      <c r="CE2343" t="str">
        <f t="shared" si="840"/>
        <v>19:31:45.738</v>
      </c>
      <c r="CF2343">
        <v>737991053</v>
      </c>
      <c r="CS2343">
        <v>0</v>
      </c>
      <c r="CT2343">
        <v>2</v>
      </c>
      <c r="CU2343">
        <v>0</v>
      </c>
      <c r="CV2343">
        <v>2</v>
      </c>
      <c r="CW2343">
        <v>0</v>
      </c>
      <c r="CX2343">
        <v>1</v>
      </c>
      <c r="CY2343">
        <v>7</v>
      </c>
      <c r="CZ2343" t="s">
        <v>131</v>
      </c>
      <c r="DA2343">
        <v>297</v>
      </c>
      <c r="DB2343">
        <v>0</v>
      </c>
      <c r="DC2343" t="s">
        <v>258</v>
      </c>
      <c r="DD2343" t="s">
        <v>259</v>
      </c>
      <c r="DG2343">
        <v>16749765</v>
      </c>
      <c r="DI2343">
        <v>0</v>
      </c>
      <c r="DJ2343">
        <v>0</v>
      </c>
      <c r="DK2343">
        <v>0</v>
      </c>
      <c r="DL2343">
        <v>0</v>
      </c>
      <c r="DM2343">
        <v>0</v>
      </c>
      <c r="DN2343">
        <v>1</v>
      </c>
      <c r="DO2343">
        <v>0</v>
      </c>
      <c r="DP2343">
        <v>0</v>
      </c>
      <c r="DQ2343">
        <v>0</v>
      </c>
      <c r="DR2343">
        <v>0</v>
      </c>
      <c r="DS2343">
        <v>0</v>
      </c>
    </row>
    <row r="2344" spans="1:123" x14ac:dyDescent="0.3">
      <c r="A2344" t="str">
        <f>"10/04/2022 19:31:46.416"</f>
        <v>10/04/2022 19:31:46.416</v>
      </c>
      <c r="C2344" t="str">
        <f t="shared" si="841"/>
        <v>FFDDD3C0</v>
      </c>
      <c r="D2344" t="s">
        <v>134</v>
      </c>
      <c r="E2344">
        <v>15</v>
      </c>
      <c r="J2344" t="s">
        <v>135</v>
      </c>
      <c r="K2344">
        <v>0</v>
      </c>
      <c r="L2344">
        <v>3</v>
      </c>
      <c r="M2344">
        <v>0</v>
      </c>
      <c r="N2344">
        <v>2</v>
      </c>
      <c r="O2344">
        <v>0</v>
      </c>
      <c r="P2344">
        <v>1</v>
      </c>
      <c r="Q2344">
        <v>0</v>
      </c>
      <c r="S2344" t="str">
        <f t="shared" si="838"/>
        <v>19:31:45.000</v>
      </c>
      <c r="T2344" t="str">
        <f t="shared" si="838"/>
        <v>19:31:45.000</v>
      </c>
      <c r="U2344" t="str">
        <f t="shared" si="829"/>
        <v>AC3944</v>
      </c>
      <c r="V2344">
        <v>0</v>
      </c>
      <c r="W2344">
        <v>0</v>
      </c>
      <c r="X2344">
        <v>2</v>
      </c>
      <c r="Y2344">
        <v>0</v>
      </c>
      <c r="AA2344">
        <v>1</v>
      </c>
      <c r="AB2344">
        <v>8</v>
      </c>
      <c r="AC2344">
        <v>3</v>
      </c>
      <c r="AD2344">
        <v>0</v>
      </c>
      <c r="AE2344">
        <v>9</v>
      </c>
      <c r="AF2344" t="s">
        <v>138</v>
      </c>
      <c r="AG2344">
        <v>0</v>
      </c>
      <c r="AH2344">
        <v>3</v>
      </c>
      <c r="AI2344">
        <v>1</v>
      </c>
      <c r="AJ2344">
        <v>0</v>
      </c>
      <c r="AK2344" t="s">
        <v>810</v>
      </c>
      <c r="AL2344">
        <v>32.763182999999998</v>
      </c>
      <c r="AM2344" t="s">
        <v>811</v>
      </c>
      <c r="AN2344">
        <v>-116.80142600000001</v>
      </c>
      <c r="AO2344">
        <v>25</v>
      </c>
      <c r="AP2344">
        <v>3100</v>
      </c>
      <c r="AQ2344" t="s">
        <v>129</v>
      </c>
      <c r="AR2344">
        <v>119</v>
      </c>
      <c r="AS2344">
        <v>-59</v>
      </c>
      <c r="AT2344">
        <v>64</v>
      </c>
      <c r="BB2344">
        <v>1200</v>
      </c>
      <c r="BC2344">
        <v>1</v>
      </c>
      <c r="BD2344" t="str">
        <f t="shared" si="830"/>
        <v xml:space="preserve">N887QR  </v>
      </c>
      <c r="BE2344">
        <v>1</v>
      </c>
      <c r="BJ2344">
        <v>2825</v>
      </c>
      <c r="BK2344">
        <v>-275</v>
      </c>
      <c r="BL2344" t="s">
        <v>163</v>
      </c>
      <c r="BM2344">
        <v>1</v>
      </c>
      <c r="BN2344">
        <v>1</v>
      </c>
      <c r="BO2344">
        <v>1</v>
      </c>
      <c r="BP2344">
        <v>0</v>
      </c>
      <c r="BS2344">
        <v>0.08</v>
      </c>
      <c r="BT2344">
        <v>0</v>
      </c>
      <c r="BU2344">
        <v>0</v>
      </c>
      <c r="CE2344" t="str">
        <f t="shared" si="840"/>
        <v>19:31:45.738</v>
      </c>
      <c r="CF2344">
        <v>737991053</v>
      </c>
      <c r="CS2344">
        <v>0</v>
      </c>
      <c r="CT2344">
        <v>2</v>
      </c>
      <c r="CU2344">
        <v>0</v>
      </c>
      <c r="CV2344">
        <v>2</v>
      </c>
      <c r="CW2344">
        <v>0</v>
      </c>
      <c r="CX2344">
        <v>1</v>
      </c>
      <c r="CY2344">
        <v>7</v>
      </c>
      <c r="CZ2344" t="s">
        <v>131</v>
      </c>
      <c r="DA2344">
        <v>297</v>
      </c>
      <c r="DB2344">
        <v>0</v>
      </c>
      <c r="DC2344" t="s">
        <v>258</v>
      </c>
      <c r="DD2344" t="s">
        <v>259</v>
      </c>
      <c r="DG2344">
        <v>16749765</v>
      </c>
      <c r="DI2344">
        <v>0</v>
      </c>
      <c r="DJ2344">
        <v>0</v>
      </c>
      <c r="DK2344">
        <v>1</v>
      </c>
      <c r="DL2344">
        <v>0</v>
      </c>
      <c r="DM2344">
        <v>0</v>
      </c>
      <c r="DN2344">
        <v>1</v>
      </c>
      <c r="DO2344">
        <v>0</v>
      </c>
      <c r="DP2344">
        <v>0</v>
      </c>
      <c r="DQ2344">
        <v>0</v>
      </c>
      <c r="DR2344">
        <v>0</v>
      </c>
      <c r="DS2344">
        <v>0</v>
      </c>
    </row>
    <row r="2345" spans="1:123" x14ac:dyDescent="0.3">
      <c r="A2345" t="str">
        <f t="shared" ref="A2345:A2351" si="842">"10/04/2022 19:31:47.556"</f>
        <v>10/04/2022 19:31:47.556</v>
      </c>
      <c r="C2345" t="str">
        <f t="shared" si="841"/>
        <v>FFDDD3C0</v>
      </c>
      <c r="D2345" t="s">
        <v>141</v>
      </c>
      <c r="E2345">
        <v>4</v>
      </c>
      <c r="H2345">
        <v>4</v>
      </c>
      <c r="I2345" t="s">
        <v>142</v>
      </c>
      <c r="J2345" t="s">
        <v>138</v>
      </c>
      <c r="K2345">
        <v>0</v>
      </c>
      <c r="L2345">
        <v>3</v>
      </c>
      <c r="M2345">
        <v>0</v>
      </c>
      <c r="N2345">
        <v>2</v>
      </c>
      <c r="O2345">
        <v>0</v>
      </c>
      <c r="P2345">
        <v>1</v>
      </c>
      <c r="Q2345">
        <v>0</v>
      </c>
      <c r="S2345" t="str">
        <f t="shared" ref="S2345:T2358" si="843">"19:31:47.000"</f>
        <v>19:31:47.000</v>
      </c>
      <c r="T2345" t="str">
        <f t="shared" si="843"/>
        <v>19:31:47.000</v>
      </c>
      <c r="U2345" t="str">
        <f t="shared" si="829"/>
        <v>AC3944</v>
      </c>
      <c r="V2345">
        <v>0</v>
      </c>
      <c r="W2345">
        <v>0</v>
      </c>
      <c r="X2345">
        <v>2</v>
      </c>
      <c r="Y2345">
        <v>0</v>
      </c>
      <c r="AA2345">
        <v>1</v>
      </c>
      <c r="AB2345">
        <v>8</v>
      </c>
      <c r="AC2345">
        <v>3</v>
      </c>
      <c r="AD2345">
        <v>0</v>
      </c>
      <c r="AE2345">
        <v>9</v>
      </c>
      <c r="AF2345" t="s">
        <v>138</v>
      </c>
      <c r="AG2345">
        <v>0</v>
      </c>
      <c r="AH2345">
        <v>3</v>
      </c>
      <c r="AI2345">
        <v>1</v>
      </c>
      <c r="AJ2345">
        <v>0</v>
      </c>
      <c r="AK2345" t="s">
        <v>812</v>
      </c>
      <c r="AL2345">
        <v>32.762903999999999</v>
      </c>
      <c r="AM2345" t="s">
        <v>813</v>
      </c>
      <c r="AN2345">
        <v>-116.80076099999999</v>
      </c>
      <c r="AO2345">
        <v>25</v>
      </c>
      <c r="AP2345">
        <v>3100</v>
      </c>
      <c r="AQ2345" t="s">
        <v>129</v>
      </c>
      <c r="AR2345">
        <v>120</v>
      </c>
      <c r="AS2345">
        <v>-58</v>
      </c>
      <c r="AT2345">
        <v>0</v>
      </c>
      <c r="BB2345">
        <v>1200</v>
      </c>
      <c r="BC2345">
        <v>1</v>
      </c>
      <c r="BD2345" t="str">
        <f t="shared" si="830"/>
        <v xml:space="preserve">N887QR  </v>
      </c>
      <c r="BE2345">
        <v>1</v>
      </c>
      <c r="BJ2345">
        <v>2825</v>
      </c>
      <c r="BK2345">
        <v>-275</v>
      </c>
      <c r="BL2345" t="s">
        <v>163</v>
      </c>
      <c r="BM2345">
        <v>1</v>
      </c>
      <c r="BN2345">
        <v>1</v>
      </c>
      <c r="BO2345">
        <v>1</v>
      </c>
      <c r="BP2345">
        <v>0</v>
      </c>
      <c r="BS2345">
        <v>0.08</v>
      </c>
      <c r="BT2345">
        <v>0</v>
      </c>
      <c r="BU2345">
        <v>0</v>
      </c>
      <c r="CE2345" t="str">
        <f t="shared" ref="CE2345:CE2351" si="844">"19:31:47.325"</f>
        <v>19:31:47.325</v>
      </c>
      <c r="CF2345">
        <v>325158987</v>
      </c>
      <c r="CS2345">
        <v>0</v>
      </c>
      <c r="CT2345">
        <v>2</v>
      </c>
      <c r="CU2345">
        <v>0</v>
      </c>
      <c r="CV2345">
        <v>2</v>
      </c>
      <c r="CW2345">
        <v>0</v>
      </c>
      <c r="CX2345">
        <v>5</v>
      </c>
      <c r="CY2345">
        <v>7</v>
      </c>
      <c r="CZ2345" t="s">
        <v>131</v>
      </c>
      <c r="DA2345">
        <v>300</v>
      </c>
      <c r="DB2345">
        <v>0</v>
      </c>
      <c r="DC2345" t="s">
        <v>176</v>
      </c>
      <c r="DD2345" t="s">
        <v>177</v>
      </c>
      <c r="DG2345">
        <v>5409459</v>
      </c>
      <c r="DI2345">
        <v>0</v>
      </c>
      <c r="DJ2345">
        <v>0</v>
      </c>
      <c r="DK2345">
        <v>0</v>
      </c>
      <c r="DL2345">
        <v>0</v>
      </c>
      <c r="DM2345">
        <v>0</v>
      </c>
      <c r="DN2345">
        <v>1</v>
      </c>
      <c r="DO2345">
        <v>0</v>
      </c>
      <c r="DP2345">
        <v>0</v>
      </c>
      <c r="DQ2345">
        <v>0</v>
      </c>
      <c r="DR2345">
        <v>0</v>
      </c>
      <c r="DS2345">
        <v>0</v>
      </c>
    </row>
    <row r="2346" spans="1:123" x14ac:dyDescent="0.3">
      <c r="A2346" t="str">
        <f t="shared" si="842"/>
        <v>10/04/2022 19:31:47.556</v>
      </c>
      <c r="C2346" t="str">
        <f t="shared" si="841"/>
        <v>FFDDD3C0</v>
      </c>
      <c r="D2346" t="s">
        <v>143</v>
      </c>
      <c r="E2346">
        <v>20</v>
      </c>
      <c r="F2346">
        <v>1020</v>
      </c>
      <c r="G2346" t="s">
        <v>144</v>
      </c>
      <c r="J2346" t="s">
        <v>145</v>
      </c>
      <c r="K2346">
        <v>0</v>
      </c>
      <c r="L2346">
        <v>3</v>
      </c>
      <c r="M2346">
        <v>0</v>
      </c>
      <c r="N2346">
        <v>2</v>
      </c>
      <c r="O2346">
        <v>0</v>
      </c>
      <c r="P2346">
        <v>1</v>
      </c>
      <c r="Q2346">
        <v>0</v>
      </c>
      <c r="S2346" t="str">
        <f t="shared" si="843"/>
        <v>19:31:47.000</v>
      </c>
      <c r="T2346" t="str">
        <f t="shared" si="843"/>
        <v>19:31:47.000</v>
      </c>
      <c r="U2346" t="str">
        <f t="shared" si="829"/>
        <v>AC3944</v>
      </c>
      <c r="V2346">
        <v>0</v>
      </c>
      <c r="W2346">
        <v>0</v>
      </c>
      <c r="X2346">
        <v>2</v>
      </c>
      <c r="Y2346">
        <v>0</v>
      </c>
      <c r="AA2346">
        <v>1</v>
      </c>
      <c r="AB2346">
        <v>8</v>
      </c>
      <c r="AC2346">
        <v>3</v>
      </c>
      <c r="AD2346">
        <v>0</v>
      </c>
      <c r="AE2346">
        <v>9</v>
      </c>
      <c r="AF2346" t="s">
        <v>138</v>
      </c>
      <c r="AG2346">
        <v>0</v>
      </c>
      <c r="AH2346">
        <v>3</v>
      </c>
      <c r="AI2346">
        <v>1</v>
      </c>
      <c r="AJ2346">
        <v>0</v>
      </c>
      <c r="AK2346" t="s">
        <v>812</v>
      </c>
      <c r="AL2346">
        <v>32.762903999999999</v>
      </c>
      <c r="AM2346" t="s">
        <v>813</v>
      </c>
      <c r="AN2346">
        <v>-116.80076099999999</v>
      </c>
      <c r="AO2346">
        <v>25</v>
      </c>
      <c r="AP2346">
        <v>3100</v>
      </c>
      <c r="AQ2346" t="s">
        <v>129</v>
      </c>
      <c r="AR2346">
        <v>120</v>
      </c>
      <c r="AS2346">
        <v>-58</v>
      </c>
      <c r="AT2346">
        <v>0</v>
      </c>
      <c r="BB2346">
        <v>1200</v>
      </c>
      <c r="BC2346">
        <v>1</v>
      </c>
      <c r="BD2346" t="str">
        <f t="shared" si="830"/>
        <v xml:space="preserve">N887QR  </v>
      </c>
      <c r="BE2346">
        <v>1</v>
      </c>
      <c r="BJ2346">
        <v>2825</v>
      </c>
      <c r="BK2346">
        <v>-275</v>
      </c>
      <c r="BL2346" t="s">
        <v>163</v>
      </c>
      <c r="BM2346">
        <v>1</v>
      </c>
      <c r="BN2346">
        <v>1</v>
      </c>
      <c r="BO2346">
        <v>1</v>
      </c>
      <c r="BP2346">
        <v>0</v>
      </c>
      <c r="BS2346">
        <v>0.08</v>
      </c>
      <c r="BT2346">
        <v>0</v>
      </c>
      <c r="BU2346">
        <v>0</v>
      </c>
      <c r="CE2346" t="str">
        <f t="shared" si="844"/>
        <v>19:31:47.325</v>
      </c>
      <c r="CF2346">
        <v>325158987</v>
      </c>
      <c r="CS2346">
        <v>0</v>
      </c>
      <c r="CT2346">
        <v>2</v>
      </c>
      <c r="CU2346">
        <v>0</v>
      </c>
      <c r="CV2346">
        <v>2</v>
      </c>
      <c r="CW2346">
        <v>0</v>
      </c>
      <c r="CX2346">
        <v>5</v>
      </c>
      <c r="CY2346">
        <v>7</v>
      </c>
      <c r="CZ2346" t="s">
        <v>131</v>
      </c>
      <c r="DA2346">
        <v>300</v>
      </c>
      <c r="DB2346">
        <v>0</v>
      </c>
      <c r="DC2346" t="s">
        <v>176</v>
      </c>
      <c r="DD2346" t="s">
        <v>177</v>
      </c>
      <c r="DG2346">
        <v>5409459</v>
      </c>
      <c r="DI2346">
        <v>0</v>
      </c>
      <c r="DJ2346">
        <v>0</v>
      </c>
      <c r="DK2346">
        <v>1</v>
      </c>
      <c r="DL2346">
        <v>0</v>
      </c>
      <c r="DM2346">
        <v>0</v>
      </c>
      <c r="DN2346">
        <v>1</v>
      </c>
      <c r="DO2346">
        <v>0</v>
      </c>
      <c r="DP2346">
        <v>0</v>
      </c>
      <c r="DQ2346">
        <v>0</v>
      </c>
      <c r="DR2346">
        <v>0</v>
      </c>
      <c r="DS2346">
        <v>0</v>
      </c>
    </row>
    <row r="2347" spans="1:123" x14ac:dyDescent="0.3">
      <c r="A2347" t="str">
        <f t="shared" si="842"/>
        <v>10/04/2022 19:31:47.556</v>
      </c>
      <c r="C2347" t="str">
        <f t="shared" si="841"/>
        <v>FFDDD3C0</v>
      </c>
      <c r="D2347" t="s">
        <v>123</v>
      </c>
      <c r="E2347">
        <v>7</v>
      </c>
      <c r="F2347">
        <v>2007</v>
      </c>
      <c r="G2347" t="s">
        <v>124</v>
      </c>
      <c r="J2347" t="s">
        <v>125</v>
      </c>
      <c r="K2347">
        <v>0</v>
      </c>
      <c r="L2347">
        <v>3</v>
      </c>
      <c r="M2347">
        <v>0</v>
      </c>
      <c r="N2347">
        <v>2</v>
      </c>
      <c r="O2347">
        <v>0</v>
      </c>
      <c r="P2347">
        <v>1</v>
      </c>
      <c r="Q2347">
        <v>0</v>
      </c>
      <c r="S2347" t="str">
        <f t="shared" si="843"/>
        <v>19:31:47.000</v>
      </c>
      <c r="T2347" t="str">
        <f t="shared" si="843"/>
        <v>19:31:47.000</v>
      </c>
      <c r="U2347" t="str">
        <f t="shared" si="829"/>
        <v>AC3944</v>
      </c>
      <c r="V2347">
        <v>0</v>
      </c>
      <c r="W2347">
        <v>0</v>
      </c>
      <c r="X2347">
        <v>2</v>
      </c>
      <c r="Y2347">
        <v>0</v>
      </c>
      <c r="AA2347">
        <v>1</v>
      </c>
      <c r="AB2347">
        <v>8</v>
      </c>
      <c r="AC2347">
        <v>3</v>
      </c>
      <c r="AD2347">
        <v>0</v>
      </c>
      <c r="AE2347">
        <v>9</v>
      </c>
      <c r="AF2347" t="s">
        <v>138</v>
      </c>
      <c r="AG2347">
        <v>0</v>
      </c>
      <c r="AH2347">
        <v>3</v>
      </c>
      <c r="AI2347">
        <v>1</v>
      </c>
      <c r="AJ2347">
        <v>0</v>
      </c>
      <c r="AK2347" t="s">
        <v>812</v>
      </c>
      <c r="AL2347">
        <v>32.762903999999999</v>
      </c>
      <c r="AM2347" t="s">
        <v>813</v>
      </c>
      <c r="AN2347">
        <v>-116.80076099999999</v>
      </c>
      <c r="AO2347">
        <v>25</v>
      </c>
      <c r="AP2347">
        <v>3100</v>
      </c>
      <c r="AQ2347" t="s">
        <v>129</v>
      </c>
      <c r="AR2347">
        <v>120</v>
      </c>
      <c r="AS2347">
        <v>-58</v>
      </c>
      <c r="AT2347">
        <v>0</v>
      </c>
      <c r="BB2347">
        <v>1200</v>
      </c>
      <c r="BC2347">
        <v>1</v>
      </c>
      <c r="BD2347" t="str">
        <f t="shared" si="830"/>
        <v xml:space="preserve">N887QR  </v>
      </c>
      <c r="BE2347">
        <v>1</v>
      </c>
      <c r="BJ2347">
        <v>2825</v>
      </c>
      <c r="BK2347">
        <v>-275</v>
      </c>
      <c r="BL2347" t="s">
        <v>163</v>
      </c>
      <c r="BM2347">
        <v>1</v>
      </c>
      <c r="BN2347">
        <v>1</v>
      </c>
      <c r="BO2347">
        <v>1</v>
      </c>
      <c r="BP2347">
        <v>0</v>
      </c>
      <c r="BS2347">
        <v>0.08</v>
      </c>
      <c r="BT2347">
        <v>0</v>
      </c>
      <c r="BU2347">
        <v>0</v>
      </c>
      <c r="CE2347" t="str">
        <f t="shared" si="844"/>
        <v>19:31:47.325</v>
      </c>
      <c r="CF2347">
        <v>325158987</v>
      </c>
      <c r="CS2347">
        <v>0</v>
      </c>
      <c r="CT2347">
        <v>2</v>
      </c>
      <c r="CU2347">
        <v>0</v>
      </c>
      <c r="CV2347">
        <v>2</v>
      </c>
      <c r="CW2347">
        <v>0</v>
      </c>
      <c r="CX2347">
        <v>5</v>
      </c>
      <c r="CY2347">
        <v>7</v>
      </c>
      <c r="CZ2347" t="s">
        <v>131</v>
      </c>
      <c r="DA2347">
        <v>300</v>
      </c>
      <c r="DB2347">
        <v>0</v>
      </c>
      <c r="DC2347" t="s">
        <v>176</v>
      </c>
      <c r="DD2347" t="s">
        <v>177</v>
      </c>
      <c r="DG2347">
        <v>5409459</v>
      </c>
      <c r="DI2347">
        <v>0</v>
      </c>
      <c r="DJ2347">
        <v>0</v>
      </c>
      <c r="DK2347">
        <v>1</v>
      </c>
      <c r="DL2347">
        <v>0</v>
      </c>
      <c r="DM2347">
        <v>0</v>
      </c>
      <c r="DN2347">
        <v>1</v>
      </c>
      <c r="DO2347">
        <v>0</v>
      </c>
      <c r="DP2347">
        <v>0</v>
      </c>
      <c r="DQ2347">
        <v>0</v>
      </c>
      <c r="DR2347">
        <v>0</v>
      </c>
      <c r="DS2347">
        <v>0</v>
      </c>
    </row>
    <row r="2348" spans="1:123" x14ac:dyDescent="0.3">
      <c r="A2348" t="str">
        <f t="shared" si="842"/>
        <v>10/04/2022 19:31:47.556</v>
      </c>
      <c r="C2348" t="str">
        <f t="shared" si="841"/>
        <v>FFDDD3C0</v>
      </c>
      <c r="D2348" t="s">
        <v>147</v>
      </c>
      <c r="E2348">
        <v>3</v>
      </c>
      <c r="H2348">
        <v>166</v>
      </c>
      <c r="I2348" t="s">
        <v>144</v>
      </c>
      <c r="J2348" t="s">
        <v>148</v>
      </c>
      <c r="K2348">
        <v>0</v>
      </c>
      <c r="L2348">
        <v>3</v>
      </c>
      <c r="M2348">
        <v>0</v>
      </c>
      <c r="N2348">
        <v>2</v>
      </c>
      <c r="O2348">
        <v>0</v>
      </c>
      <c r="P2348">
        <v>1</v>
      </c>
      <c r="Q2348">
        <v>0</v>
      </c>
      <c r="S2348" t="str">
        <f t="shared" si="843"/>
        <v>19:31:47.000</v>
      </c>
      <c r="T2348" t="str">
        <f t="shared" si="843"/>
        <v>19:31:47.000</v>
      </c>
      <c r="U2348" t="str">
        <f t="shared" si="829"/>
        <v>AC3944</v>
      </c>
      <c r="V2348">
        <v>0</v>
      </c>
      <c r="W2348">
        <v>0</v>
      </c>
      <c r="X2348">
        <v>2</v>
      </c>
      <c r="Y2348">
        <v>0</v>
      </c>
      <c r="AA2348">
        <v>1</v>
      </c>
      <c r="AB2348">
        <v>8</v>
      </c>
      <c r="AC2348">
        <v>3</v>
      </c>
      <c r="AD2348">
        <v>0</v>
      </c>
      <c r="AE2348">
        <v>9</v>
      </c>
      <c r="AF2348" t="s">
        <v>138</v>
      </c>
      <c r="AG2348">
        <v>0</v>
      </c>
      <c r="AH2348">
        <v>3</v>
      </c>
      <c r="AI2348">
        <v>1</v>
      </c>
      <c r="AJ2348">
        <v>0</v>
      </c>
      <c r="AK2348" t="s">
        <v>812</v>
      </c>
      <c r="AL2348">
        <v>32.762903999999999</v>
      </c>
      <c r="AM2348" t="s">
        <v>813</v>
      </c>
      <c r="AN2348">
        <v>-116.80076099999999</v>
      </c>
      <c r="AO2348">
        <v>25</v>
      </c>
      <c r="AP2348">
        <v>3100</v>
      </c>
      <c r="AQ2348" t="s">
        <v>129</v>
      </c>
      <c r="AR2348">
        <v>120</v>
      </c>
      <c r="AS2348">
        <v>-58</v>
      </c>
      <c r="AT2348">
        <v>0</v>
      </c>
      <c r="BB2348">
        <v>1200</v>
      </c>
      <c r="BC2348">
        <v>1</v>
      </c>
      <c r="BD2348" t="str">
        <f t="shared" si="830"/>
        <v xml:space="preserve">N887QR  </v>
      </c>
      <c r="BE2348">
        <v>1</v>
      </c>
      <c r="BJ2348">
        <v>2825</v>
      </c>
      <c r="BK2348">
        <v>-275</v>
      </c>
      <c r="BL2348" t="s">
        <v>163</v>
      </c>
      <c r="BM2348">
        <v>1</v>
      </c>
      <c r="BN2348">
        <v>1</v>
      </c>
      <c r="BO2348">
        <v>1</v>
      </c>
      <c r="BP2348">
        <v>0</v>
      </c>
      <c r="BS2348">
        <v>0.08</v>
      </c>
      <c r="BT2348">
        <v>0</v>
      </c>
      <c r="BU2348">
        <v>0</v>
      </c>
      <c r="CE2348" t="str">
        <f t="shared" si="844"/>
        <v>19:31:47.325</v>
      </c>
      <c r="CF2348">
        <v>325158987</v>
      </c>
      <c r="CS2348">
        <v>0</v>
      </c>
      <c r="CT2348">
        <v>2</v>
      </c>
      <c r="CU2348">
        <v>0</v>
      </c>
      <c r="CV2348">
        <v>2</v>
      </c>
      <c r="CW2348">
        <v>0</v>
      </c>
      <c r="CX2348">
        <v>5</v>
      </c>
      <c r="CY2348">
        <v>7</v>
      </c>
      <c r="CZ2348" t="s">
        <v>131</v>
      </c>
      <c r="DA2348">
        <v>300</v>
      </c>
      <c r="DB2348">
        <v>0</v>
      </c>
      <c r="DC2348" t="s">
        <v>176</v>
      </c>
      <c r="DD2348" t="s">
        <v>177</v>
      </c>
      <c r="DG2348">
        <v>5409459</v>
      </c>
      <c r="DI2348">
        <v>0</v>
      </c>
      <c r="DJ2348">
        <v>0</v>
      </c>
      <c r="DK2348">
        <v>1</v>
      </c>
      <c r="DL2348">
        <v>0</v>
      </c>
      <c r="DM2348">
        <v>0</v>
      </c>
      <c r="DN2348">
        <v>1</v>
      </c>
      <c r="DO2348">
        <v>0</v>
      </c>
      <c r="DP2348">
        <v>0</v>
      </c>
      <c r="DQ2348">
        <v>0</v>
      </c>
      <c r="DR2348">
        <v>0</v>
      </c>
      <c r="DS2348">
        <v>0</v>
      </c>
    </row>
    <row r="2349" spans="1:123" x14ac:dyDescent="0.3">
      <c r="A2349" t="str">
        <f t="shared" si="842"/>
        <v>10/04/2022 19:31:47.556</v>
      </c>
      <c r="C2349" t="str">
        <f t="shared" si="841"/>
        <v>FFDDD3C0</v>
      </c>
      <c r="D2349" t="s">
        <v>136</v>
      </c>
      <c r="E2349">
        <v>8</v>
      </c>
      <c r="H2349">
        <v>225</v>
      </c>
      <c r="I2349" t="s">
        <v>137</v>
      </c>
      <c r="J2349" t="s">
        <v>138</v>
      </c>
      <c r="K2349">
        <v>0</v>
      </c>
      <c r="L2349">
        <v>3</v>
      </c>
      <c r="M2349">
        <v>0</v>
      </c>
      <c r="N2349">
        <v>2</v>
      </c>
      <c r="O2349">
        <v>0</v>
      </c>
      <c r="P2349">
        <v>1</v>
      </c>
      <c r="Q2349">
        <v>0</v>
      </c>
      <c r="S2349" t="str">
        <f t="shared" si="843"/>
        <v>19:31:47.000</v>
      </c>
      <c r="T2349" t="str">
        <f t="shared" si="843"/>
        <v>19:31:47.000</v>
      </c>
      <c r="U2349" t="str">
        <f t="shared" si="829"/>
        <v>AC3944</v>
      </c>
      <c r="V2349">
        <v>0</v>
      </c>
      <c r="W2349">
        <v>0</v>
      </c>
      <c r="X2349">
        <v>2</v>
      </c>
      <c r="Y2349">
        <v>0</v>
      </c>
      <c r="AA2349">
        <v>1</v>
      </c>
      <c r="AB2349">
        <v>8</v>
      </c>
      <c r="AC2349">
        <v>3</v>
      </c>
      <c r="AD2349">
        <v>0</v>
      </c>
      <c r="AE2349">
        <v>9</v>
      </c>
      <c r="AF2349" t="s">
        <v>138</v>
      </c>
      <c r="AG2349">
        <v>0</v>
      </c>
      <c r="AH2349">
        <v>3</v>
      </c>
      <c r="AI2349">
        <v>1</v>
      </c>
      <c r="AJ2349">
        <v>0</v>
      </c>
      <c r="AK2349" t="s">
        <v>812</v>
      </c>
      <c r="AL2349">
        <v>32.762903999999999</v>
      </c>
      <c r="AM2349" t="s">
        <v>813</v>
      </c>
      <c r="AN2349">
        <v>-116.80076099999999</v>
      </c>
      <c r="AO2349">
        <v>25</v>
      </c>
      <c r="AP2349">
        <v>3100</v>
      </c>
      <c r="AQ2349" t="s">
        <v>129</v>
      </c>
      <c r="AR2349">
        <v>120</v>
      </c>
      <c r="AS2349">
        <v>-58</v>
      </c>
      <c r="AT2349">
        <v>0</v>
      </c>
      <c r="BB2349">
        <v>1200</v>
      </c>
      <c r="BC2349">
        <v>1</v>
      </c>
      <c r="BD2349" t="str">
        <f t="shared" si="830"/>
        <v xml:space="preserve">N887QR  </v>
      </c>
      <c r="BE2349">
        <v>1</v>
      </c>
      <c r="BJ2349">
        <v>2825</v>
      </c>
      <c r="BK2349">
        <v>-275</v>
      </c>
      <c r="BL2349" t="s">
        <v>163</v>
      </c>
      <c r="BM2349">
        <v>1</v>
      </c>
      <c r="BN2349">
        <v>1</v>
      </c>
      <c r="BO2349">
        <v>1</v>
      </c>
      <c r="BP2349">
        <v>0</v>
      </c>
      <c r="BS2349">
        <v>0.08</v>
      </c>
      <c r="BT2349">
        <v>0</v>
      </c>
      <c r="BU2349">
        <v>0</v>
      </c>
      <c r="CE2349" t="str">
        <f t="shared" si="844"/>
        <v>19:31:47.325</v>
      </c>
      <c r="CF2349">
        <v>325158987</v>
      </c>
      <c r="CS2349">
        <v>0</v>
      </c>
      <c r="CT2349">
        <v>2</v>
      </c>
      <c r="CU2349">
        <v>0</v>
      </c>
      <c r="CV2349">
        <v>2</v>
      </c>
      <c r="CW2349">
        <v>0</v>
      </c>
      <c r="CX2349">
        <v>5</v>
      </c>
      <c r="CY2349">
        <v>7</v>
      </c>
      <c r="CZ2349" t="s">
        <v>131</v>
      </c>
      <c r="DA2349">
        <v>300</v>
      </c>
      <c r="DB2349">
        <v>0</v>
      </c>
      <c r="DC2349" t="s">
        <v>176</v>
      </c>
      <c r="DD2349" t="s">
        <v>177</v>
      </c>
      <c r="DG2349">
        <v>5409459</v>
      </c>
      <c r="DI2349">
        <v>0</v>
      </c>
      <c r="DJ2349">
        <v>0</v>
      </c>
      <c r="DK2349">
        <v>1</v>
      </c>
      <c r="DL2349">
        <v>0</v>
      </c>
      <c r="DM2349">
        <v>0</v>
      </c>
      <c r="DN2349">
        <v>1</v>
      </c>
      <c r="DO2349">
        <v>0</v>
      </c>
      <c r="DP2349">
        <v>0</v>
      </c>
      <c r="DQ2349">
        <v>0</v>
      </c>
      <c r="DR2349">
        <v>0</v>
      </c>
      <c r="DS2349">
        <v>0</v>
      </c>
    </row>
    <row r="2350" spans="1:123" x14ac:dyDescent="0.3">
      <c r="A2350" t="str">
        <f t="shared" si="842"/>
        <v>10/04/2022 19:31:47.556</v>
      </c>
      <c r="C2350" t="str">
        <f t="shared" si="841"/>
        <v>FFDDD3C0</v>
      </c>
      <c r="D2350" t="s">
        <v>134</v>
      </c>
      <c r="E2350">
        <v>15</v>
      </c>
      <c r="J2350" t="s">
        <v>135</v>
      </c>
      <c r="K2350">
        <v>0</v>
      </c>
      <c r="L2350">
        <v>3</v>
      </c>
      <c r="M2350">
        <v>0</v>
      </c>
      <c r="N2350">
        <v>2</v>
      </c>
      <c r="O2350">
        <v>0</v>
      </c>
      <c r="P2350">
        <v>1</v>
      </c>
      <c r="Q2350">
        <v>0</v>
      </c>
      <c r="S2350" t="str">
        <f t="shared" si="843"/>
        <v>19:31:47.000</v>
      </c>
      <c r="T2350" t="str">
        <f t="shared" si="843"/>
        <v>19:31:47.000</v>
      </c>
      <c r="U2350" t="str">
        <f t="shared" si="829"/>
        <v>AC3944</v>
      </c>
      <c r="V2350">
        <v>0</v>
      </c>
      <c r="W2350">
        <v>0</v>
      </c>
      <c r="X2350">
        <v>2</v>
      </c>
      <c r="Y2350">
        <v>0</v>
      </c>
      <c r="AA2350">
        <v>1</v>
      </c>
      <c r="AB2350">
        <v>8</v>
      </c>
      <c r="AC2350">
        <v>3</v>
      </c>
      <c r="AD2350">
        <v>0</v>
      </c>
      <c r="AE2350">
        <v>9</v>
      </c>
      <c r="AF2350" t="s">
        <v>138</v>
      </c>
      <c r="AG2350">
        <v>0</v>
      </c>
      <c r="AH2350">
        <v>3</v>
      </c>
      <c r="AI2350">
        <v>1</v>
      </c>
      <c r="AJ2350">
        <v>0</v>
      </c>
      <c r="AK2350" t="s">
        <v>812</v>
      </c>
      <c r="AL2350">
        <v>32.762903999999999</v>
      </c>
      <c r="AM2350" t="s">
        <v>813</v>
      </c>
      <c r="AN2350">
        <v>-116.80076099999999</v>
      </c>
      <c r="AO2350">
        <v>25</v>
      </c>
      <c r="AP2350">
        <v>3100</v>
      </c>
      <c r="AQ2350" t="s">
        <v>129</v>
      </c>
      <c r="AR2350">
        <v>120</v>
      </c>
      <c r="AS2350">
        <v>-58</v>
      </c>
      <c r="AT2350">
        <v>0</v>
      </c>
      <c r="BB2350">
        <v>1200</v>
      </c>
      <c r="BC2350">
        <v>1</v>
      </c>
      <c r="BD2350" t="str">
        <f t="shared" si="830"/>
        <v xml:space="preserve">N887QR  </v>
      </c>
      <c r="BE2350">
        <v>1</v>
      </c>
      <c r="BJ2350">
        <v>2825</v>
      </c>
      <c r="BK2350">
        <v>-275</v>
      </c>
      <c r="BL2350" t="s">
        <v>163</v>
      </c>
      <c r="BM2350">
        <v>1</v>
      </c>
      <c r="BN2350">
        <v>1</v>
      </c>
      <c r="BO2350">
        <v>1</v>
      </c>
      <c r="BP2350">
        <v>0</v>
      </c>
      <c r="BS2350">
        <v>0.08</v>
      </c>
      <c r="BT2350">
        <v>0</v>
      </c>
      <c r="BU2350">
        <v>0</v>
      </c>
      <c r="CE2350" t="str">
        <f t="shared" si="844"/>
        <v>19:31:47.325</v>
      </c>
      <c r="CF2350">
        <v>325158987</v>
      </c>
      <c r="CS2350">
        <v>0</v>
      </c>
      <c r="CT2350">
        <v>2</v>
      </c>
      <c r="CU2350">
        <v>0</v>
      </c>
      <c r="CV2350">
        <v>2</v>
      </c>
      <c r="CW2350">
        <v>0</v>
      </c>
      <c r="CX2350">
        <v>5</v>
      </c>
      <c r="CY2350">
        <v>7</v>
      </c>
      <c r="CZ2350" t="s">
        <v>131</v>
      </c>
      <c r="DA2350">
        <v>300</v>
      </c>
      <c r="DB2350">
        <v>0</v>
      </c>
      <c r="DC2350" t="s">
        <v>176</v>
      </c>
      <c r="DD2350" t="s">
        <v>177</v>
      </c>
      <c r="DG2350">
        <v>5409459</v>
      </c>
      <c r="DI2350">
        <v>0</v>
      </c>
      <c r="DJ2350">
        <v>0</v>
      </c>
      <c r="DK2350">
        <v>1</v>
      </c>
      <c r="DL2350">
        <v>0</v>
      </c>
      <c r="DM2350">
        <v>0</v>
      </c>
      <c r="DN2350">
        <v>1</v>
      </c>
      <c r="DO2350">
        <v>0</v>
      </c>
      <c r="DP2350">
        <v>0</v>
      </c>
      <c r="DQ2350">
        <v>0</v>
      </c>
      <c r="DR2350">
        <v>0</v>
      </c>
      <c r="DS2350">
        <v>0</v>
      </c>
    </row>
    <row r="2351" spans="1:123" x14ac:dyDescent="0.3">
      <c r="A2351" t="str">
        <f t="shared" si="842"/>
        <v>10/04/2022 19:31:47.556</v>
      </c>
      <c r="C2351" t="str">
        <f t="shared" si="841"/>
        <v>FFDDD3C0</v>
      </c>
      <c r="D2351" t="s">
        <v>141</v>
      </c>
      <c r="E2351">
        <v>3</v>
      </c>
      <c r="H2351">
        <v>3</v>
      </c>
      <c r="I2351" t="s">
        <v>146</v>
      </c>
      <c r="J2351" t="s">
        <v>138</v>
      </c>
      <c r="K2351">
        <v>0</v>
      </c>
      <c r="L2351">
        <v>3</v>
      </c>
      <c r="M2351">
        <v>0</v>
      </c>
      <c r="N2351">
        <v>2</v>
      </c>
      <c r="O2351">
        <v>0</v>
      </c>
      <c r="P2351">
        <v>1</v>
      </c>
      <c r="Q2351">
        <v>0</v>
      </c>
      <c r="S2351" t="str">
        <f t="shared" si="843"/>
        <v>19:31:47.000</v>
      </c>
      <c r="T2351" t="str">
        <f t="shared" si="843"/>
        <v>19:31:47.000</v>
      </c>
      <c r="U2351" t="str">
        <f t="shared" si="829"/>
        <v>AC3944</v>
      </c>
      <c r="V2351">
        <v>0</v>
      </c>
      <c r="W2351">
        <v>0</v>
      </c>
      <c r="X2351">
        <v>2</v>
      </c>
      <c r="Y2351">
        <v>0</v>
      </c>
      <c r="AA2351">
        <v>1</v>
      </c>
      <c r="AB2351">
        <v>8</v>
      </c>
      <c r="AC2351">
        <v>3</v>
      </c>
      <c r="AD2351">
        <v>0</v>
      </c>
      <c r="AE2351">
        <v>9</v>
      </c>
      <c r="AF2351" t="s">
        <v>138</v>
      </c>
      <c r="AG2351">
        <v>0</v>
      </c>
      <c r="AH2351">
        <v>3</v>
      </c>
      <c r="AI2351">
        <v>1</v>
      </c>
      <c r="AJ2351">
        <v>0</v>
      </c>
      <c r="AK2351" t="s">
        <v>812</v>
      </c>
      <c r="AL2351">
        <v>32.762903999999999</v>
      </c>
      <c r="AM2351" t="s">
        <v>813</v>
      </c>
      <c r="AN2351">
        <v>-116.80076099999999</v>
      </c>
      <c r="AO2351">
        <v>25</v>
      </c>
      <c r="AP2351">
        <v>3100</v>
      </c>
      <c r="AQ2351" t="s">
        <v>129</v>
      </c>
      <c r="AR2351">
        <v>120</v>
      </c>
      <c r="AS2351">
        <v>-58</v>
      </c>
      <c r="AT2351">
        <v>0</v>
      </c>
      <c r="BB2351">
        <v>1200</v>
      </c>
      <c r="BC2351">
        <v>1</v>
      </c>
      <c r="BD2351" t="str">
        <f t="shared" si="830"/>
        <v xml:space="preserve">N887QR  </v>
      </c>
      <c r="BE2351">
        <v>1</v>
      </c>
      <c r="BJ2351">
        <v>2825</v>
      </c>
      <c r="BK2351">
        <v>-275</v>
      </c>
      <c r="BL2351" t="s">
        <v>163</v>
      </c>
      <c r="BM2351">
        <v>1</v>
      </c>
      <c r="BN2351">
        <v>1</v>
      </c>
      <c r="BO2351">
        <v>1</v>
      </c>
      <c r="BP2351">
        <v>0</v>
      </c>
      <c r="BS2351">
        <v>0.08</v>
      </c>
      <c r="BT2351">
        <v>0</v>
      </c>
      <c r="BU2351">
        <v>0</v>
      </c>
      <c r="CE2351" t="str">
        <f t="shared" si="844"/>
        <v>19:31:47.325</v>
      </c>
      <c r="CF2351">
        <v>325158987</v>
      </c>
      <c r="CS2351">
        <v>0</v>
      </c>
      <c r="CT2351">
        <v>2</v>
      </c>
      <c r="CU2351">
        <v>0</v>
      </c>
      <c r="CV2351">
        <v>2</v>
      </c>
      <c r="CW2351">
        <v>0</v>
      </c>
      <c r="CX2351">
        <v>5</v>
      </c>
      <c r="CY2351">
        <v>7</v>
      </c>
      <c r="CZ2351" t="s">
        <v>131</v>
      </c>
      <c r="DA2351">
        <v>300</v>
      </c>
      <c r="DB2351">
        <v>0</v>
      </c>
      <c r="DC2351" t="s">
        <v>176</v>
      </c>
      <c r="DD2351" t="s">
        <v>177</v>
      </c>
      <c r="DG2351">
        <v>5409459</v>
      </c>
      <c r="DI2351">
        <v>0</v>
      </c>
      <c r="DJ2351">
        <v>0</v>
      </c>
      <c r="DK2351">
        <v>1</v>
      </c>
      <c r="DL2351">
        <v>0</v>
      </c>
      <c r="DM2351">
        <v>0</v>
      </c>
      <c r="DN2351">
        <v>1</v>
      </c>
      <c r="DO2351">
        <v>0</v>
      </c>
      <c r="DP2351">
        <v>0</v>
      </c>
      <c r="DQ2351">
        <v>0</v>
      </c>
      <c r="DR2351">
        <v>0</v>
      </c>
      <c r="DS2351">
        <v>0</v>
      </c>
    </row>
    <row r="2352" spans="1:123" x14ac:dyDescent="0.3">
      <c r="A2352" t="str">
        <f t="shared" ref="A2352:A2358" si="845">"10/04/2022 19:31:48.041"</f>
        <v>10/04/2022 19:31:48.041</v>
      </c>
      <c r="C2352" t="str">
        <f t="shared" si="841"/>
        <v>FFDDD3C0</v>
      </c>
      <c r="D2352" t="s">
        <v>141</v>
      </c>
      <c r="E2352">
        <v>3</v>
      </c>
      <c r="H2352">
        <v>3</v>
      </c>
      <c r="I2352" t="s">
        <v>146</v>
      </c>
      <c r="J2352" t="s">
        <v>138</v>
      </c>
      <c r="K2352">
        <v>0</v>
      </c>
      <c r="L2352">
        <v>3</v>
      </c>
      <c r="M2352">
        <v>0</v>
      </c>
      <c r="N2352">
        <v>2</v>
      </c>
      <c r="O2352">
        <v>0</v>
      </c>
      <c r="P2352">
        <v>1</v>
      </c>
      <c r="Q2352">
        <v>0</v>
      </c>
      <c r="S2352" t="str">
        <f t="shared" si="843"/>
        <v>19:31:47.000</v>
      </c>
      <c r="T2352" t="str">
        <f t="shared" si="843"/>
        <v>19:31:47.000</v>
      </c>
      <c r="U2352" t="str">
        <f t="shared" si="829"/>
        <v>AC3944</v>
      </c>
      <c r="V2352">
        <v>0</v>
      </c>
      <c r="W2352">
        <v>0</v>
      </c>
      <c r="X2352">
        <v>2</v>
      </c>
      <c r="Y2352">
        <v>0</v>
      </c>
      <c r="AA2352">
        <v>1</v>
      </c>
      <c r="AB2352">
        <v>8</v>
      </c>
      <c r="AC2352">
        <v>3</v>
      </c>
      <c r="AD2352">
        <v>0</v>
      </c>
      <c r="AE2352">
        <v>9</v>
      </c>
      <c r="AF2352" t="s">
        <v>138</v>
      </c>
      <c r="AG2352">
        <v>0</v>
      </c>
      <c r="AH2352">
        <v>3</v>
      </c>
      <c r="AI2352">
        <v>1</v>
      </c>
      <c r="AJ2352">
        <v>0</v>
      </c>
      <c r="AK2352" t="s">
        <v>814</v>
      </c>
      <c r="AL2352">
        <v>32.762625</v>
      </c>
      <c r="AM2352" t="s">
        <v>815</v>
      </c>
      <c r="AN2352">
        <v>-116.800096</v>
      </c>
      <c r="AO2352">
        <v>25</v>
      </c>
      <c r="AP2352">
        <v>3100</v>
      </c>
      <c r="AQ2352" t="s">
        <v>129</v>
      </c>
      <c r="AR2352">
        <v>120</v>
      </c>
      <c r="AS2352">
        <v>-58</v>
      </c>
      <c r="AT2352">
        <v>0</v>
      </c>
      <c r="BB2352">
        <v>1200</v>
      </c>
      <c r="BC2352">
        <v>1</v>
      </c>
      <c r="BD2352" t="str">
        <f t="shared" si="830"/>
        <v xml:space="preserve">N887QR  </v>
      </c>
      <c r="BE2352">
        <v>1</v>
      </c>
      <c r="BJ2352">
        <v>2825</v>
      </c>
      <c r="BK2352">
        <v>-275</v>
      </c>
      <c r="BL2352" t="s">
        <v>163</v>
      </c>
      <c r="BM2352">
        <v>1</v>
      </c>
      <c r="BN2352">
        <v>1</v>
      </c>
      <c r="BO2352">
        <v>1</v>
      </c>
      <c r="BP2352">
        <v>0</v>
      </c>
      <c r="BS2352">
        <v>0.08</v>
      </c>
      <c r="BT2352">
        <v>0</v>
      </c>
      <c r="BU2352">
        <v>0</v>
      </c>
      <c r="CE2352" t="str">
        <f t="shared" ref="CE2352:CE2358" si="846">"19:31:47.802"</f>
        <v>19:31:47.802</v>
      </c>
      <c r="CF2352">
        <v>801819950</v>
      </c>
      <c r="CS2352">
        <v>0</v>
      </c>
      <c r="CT2352">
        <v>2</v>
      </c>
      <c r="CU2352">
        <v>0</v>
      </c>
      <c r="CV2352">
        <v>2</v>
      </c>
      <c r="CW2352">
        <v>0</v>
      </c>
      <c r="CX2352">
        <v>0</v>
      </c>
      <c r="CY2352">
        <v>7</v>
      </c>
      <c r="CZ2352" t="s">
        <v>131</v>
      </c>
      <c r="DA2352">
        <v>296</v>
      </c>
      <c r="DB2352">
        <v>0</v>
      </c>
      <c r="DC2352" t="s">
        <v>816</v>
      </c>
      <c r="DD2352" t="s">
        <v>817</v>
      </c>
      <c r="DG2352">
        <v>11091901</v>
      </c>
      <c r="DI2352">
        <v>0</v>
      </c>
      <c r="DJ2352">
        <v>0</v>
      </c>
      <c r="DK2352">
        <v>0</v>
      </c>
      <c r="DL2352">
        <v>0</v>
      </c>
      <c r="DM2352">
        <v>0</v>
      </c>
      <c r="DN2352">
        <v>1</v>
      </c>
      <c r="DO2352">
        <v>0</v>
      </c>
      <c r="DP2352">
        <v>0</v>
      </c>
      <c r="DQ2352">
        <v>0</v>
      </c>
      <c r="DR2352">
        <v>0</v>
      </c>
      <c r="DS2352">
        <v>0</v>
      </c>
    </row>
    <row r="2353" spans="1:123" x14ac:dyDescent="0.3">
      <c r="A2353" t="str">
        <f t="shared" si="845"/>
        <v>10/04/2022 19:31:48.041</v>
      </c>
      <c r="C2353" t="str">
        <f t="shared" si="841"/>
        <v>FFDDD3C0</v>
      </c>
      <c r="D2353" t="s">
        <v>141</v>
      </c>
      <c r="E2353">
        <v>4</v>
      </c>
      <c r="H2353">
        <v>4</v>
      </c>
      <c r="I2353" t="s">
        <v>142</v>
      </c>
      <c r="J2353" t="s">
        <v>138</v>
      </c>
      <c r="K2353">
        <v>0</v>
      </c>
      <c r="L2353">
        <v>3</v>
      </c>
      <c r="M2353">
        <v>0</v>
      </c>
      <c r="N2353">
        <v>2</v>
      </c>
      <c r="O2353">
        <v>0</v>
      </c>
      <c r="P2353">
        <v>1</v>
      </c>
      <c r="Q2353">
        <v>0</v>
      </c>
      <c r="S2353" t="str">
        <f t="shared" si="843"/>
        <v>19:31:47.000</v>
      </c>
      <c r="T2353" t="str">
        <f t="shared" si="843"/>
        <v>19:31:47.000</v>
      </c>
      <c r="U2353" t="str">
        <f t="shared" si="829"/>
        <v>AC3944</v>
      </c>
      <c r="V2353">
        <v>0</v>
      </c>
      <c r="W2353">
        <v>0</v>
      </c>
      <c r="X2353">
        <v>2</v>
      </c>
      <c r="Y2353">
        <v>0</v>
      </c>
      <c r="AA2353">
        <v>1</v>
      </c>
      <c r="AB2353">
        <v>8</v>
      </c>
      <c r="AC2353">
        <v>3</v>
      </c>
      <c r="AD2353">
        <v>0</v>
      </c>
      <c r="AE2353">
        <v>9</v>
      </c>
      <c r="AF2353" t="s">
        <v>138</v>
      </c>
      <c r="AG2353">
        <v>0</v>
      </c>
      <c r="AH2353">
        <v>3</v>
      </c>
      <c r="AI2353">
        <v>1</v>
      </c>
      <c r="AJ2353">
        <v>0</v>
      </c>
      <c r="AK2353" t="s">
        <v>814</v>
      </c>
      <c r="AL2353">
        <v>32.762625</v>
      </c>
      <c r="AM2353" t="s">
        <v>815</v>
      </c>
      <c r="AN2353">
        <v>-116.800096</v>
      </c>
      <c r="AO2353">
        <v>25</v>
      </c>
      <c r="AP2353">
        <v>3100</v>
      </c>
      <c r="AQ2353" t="s">
        <v>129</v>
      </c>
      <c r="AR2353">
        <v>120</v>
      </c>
      <c r="AS2353">
        <v>-58</v>
      </c>
      <c r="AT2353">
        <v>0</v>
      </c>
      <c r="BB2353">
        <v>1200</v>
      </c>
      <c r="BC2353">
        <v>1</v>
      </c>
      <c r="BD2353" t="str">
        <f t="shared" si="830"/>
        <v xml:space="preserve">N887QR  </v>
      </c>
      <c r="BE2353">
        <v>1</v>
      </c>
      <c r="BJ2353">
        <v>2825</v>
      </c>
      <c r="BK2353">
        <v>-275</v>
      </c>
      <c r="BL2353" t="s">
        <v>163</v>
      </c>
      <c r="BM2353">
        <v>1</v>
      </c>
      <c r="BN2353">
        <v>1</v>
      </c>
      <c r="BO2353">
        <v>1</v>
      </c>
      <c r="BP2353">
        <v>0</v>
      </c>
      <c r="BS2353">
        <v>0.08</v>
      </c>
      <c r="BT2353">
        <v>0</v>
      </c>
      <c r="BU2353">
        <v>0</v>
      </c>
      <c r="CE2353" t="str">
        <f t="shared" si="846"/>
        <v>19:31:47.802</v>
      </c>
      <c r="CF2353">
        <v>801819950</v>
      </c>
      <c r="CS2353">
        <v>0</v>
      </c>
      <c r="CT2353">
        <v>2</v>
      </c>
      <c r="CU2353">
        <v>0</v>
      </c>
      <c r="CV2353">
        <v>2</v>
      </c>
      <c r="CW2353">
        <v>0</v>
      </c>
      <c r="CX2353">
        <v>0</v>
      </c>
      <c r="CY2353">
        <v>7</v>
      </c>
      <c r="CZ2353" t="s">
        <v>131</v>
      </c>
      <c r="DA2353">
        <v>296</v>
      </c>
      <c r="DB2353">
        <v>0</v>
      </c>
      <c r="DC2353" t="s">
        <v>816</v>
      </c>
      <c r="DD2353" t="s">
        <v>817</v>
      </c>
      <c r="DG2353">
        <v>11091901</v>
      </c>
      <c r="DI2353">
        <v>0</v>
      </c>
      <c r="DJ2353">
        <v>0</v>
      </c>
      <c r="DK2353">
        <v>1</v>
      </c>
      <c r="DL2353">
        <v>0</v>
      </c>
      <c r="DM2353">
        <v>0</v>
      </c>
      <c r="DN2353">
        <v>1</v>
      </c>
      <c r="DO2353">
        <v>0</v>
      </c>
      <c r="DP2353">
        <v>0</v>
      </c>
      <c r="DQ2353">
        <v>0</v>
      </c>
      <c r="DR2353">
        <v>0</v>
      </c>
      <c r="DS2353">
        <v>0</v>
      </c>
    </row>
    <row r="2354" spans="1:123" x14ac:dyDescent="0.3">
      <c r="A2354" t="str">
        <f t="shared" si="845"/>
        <v>10/04/2022 19:31:48.041</v>
      </c>
      <c r="C2354" t="str">
        <f t="shared" si="841"/>
        <v>FFDDD3C0</v>
      </c>
      <c r="D2354" t="s">
        <v>143</v>
      </c>
      <c r="E2354">
        <v>20</v>
      </c>
      <c r="F2354">
        <v>1020</v>
      </c>
      <c r="G2354" t="s">
        <v>144</v>
      </c>
      <c r="J2354" t="s">
        <v>145</v>
      </c>
      <c r="K2354">
        <v>0</v>
      </c>
      <c r="L2354">
        <v>3</v>
      </c>
      <c r="M2354">
        <v>0</v>
      </c>
      <c r="N2354">
        <v>2</v>
      </c>
      <c r="O2354">
        <v>0</v>
      </c>
      <c r="P2354">
        <v>1</v>
      </c>
      <c r="Q2354">
        <v>0</v>
      </c>
      <c r="S2354" t="str">
        <f t="shared" si="843"/>
        <v>19:31:47.000</v>
      </c>
      <c r="T2354" t="str">
        <f t="shared" si="843"/>
        <v>19:31:47.000</v>
      </c>
      <c r="U2354" t="str">
        <f t="shared" si="829"/>
        <v>AC3944</v>
      </c>
      <c r="V2354">
        <v>0</v>
      </c>
      <c r="W2354">
        <v>0</v>
      </c>
      <c r="X2354">
        <v>2</v>
      </c>
      <c r="Y2354">
        <v>0</v>
      </c>
      <c r="AA2354">
        <v>1</v>
      </c>
      <c r="AB2354">
        <v>8</v>
      </c>
      <c r="AC2354">
        <v>3</v>
      </c>
      <c r="AD2354">
        <v>0</v>
      </c>
      <c r="AE2354">
        <v>9</v>
      </c>
      <c r="AF2354" t="s">
        <v>138</v>
      </c>
      <c r="AG2354">
        <v>0</v>
      </c>
      <c r="AH2354">
        <v>3</v>
      </c>
      <c r="AI2354">
        <v>1</v>
      </c>
      <c r="AJ2354">
        <v>0</v>
      </c>
      <c r="AK2354" t="s">
        <v>814</v>
      </c>
      <c r="AL2354">
        <v>32.762625</v>
      </c>
      <c r="AM2354" t="s">
        <v>815</v>
      </c>
      <c r="AN2354">
        <v>-116.800096</v>
      </c>
      <c r="AO2354">
        <v>25</v>
      </c>
      <c r="AP2354">
        <v>3100</v>
      </c>
      <c r="AQ2354" t="s">
        <v>129</v>
      </c>
      <c r="AR2354">
        <v>120</v>
      </c>
      <c r="AS2354">
        <v>-58</v>
      </c>
      <c r="AT2354">
        <v>0</v>
      </c>
      <c r="BB2354">
        <v>1200</v>
      </c>
      <c r="BC2354">
        <v>1</v>
      </c>
      <c r="BD2354" t="str">
        <f t="shared" si="830"/>
        <v xml:space="preserve">N887QR  </v>
      </c>
      <c r="BE2354">
        <v>1</v>
      </c>
      <c r="BJ2354">
        <v>2825</v>
      </c>
      <c r="BK2354">
        <v>-275</v>
      </c>
      <c r="BL2354" t="s">
        <v>163</v>
      </c>
      <c r="BM2354">
        <v>1</v>
      </c>
      <c r="BN2354">
        <v>1</v>
      </c>
      <c r="BO2354">
        <v>1</v>
      </c>
      <c r="BP2354">
        <v>0</v>
      </c>
      <c r="BS2354">
        <v>0.08</v>
      </c>
      <c r="BT2354">
        <v>0</v>
      </c>
      <c r="BU2354">
        <v>0</v>
      </c>
      <c r="CE2354" t="str">
        <f t="shared" si="846"/>
        <v>19:31:47.802</v>
      </c>
      <c r="CF2354">
        <v>801819950</v>
      </c>
      <c r="CS2354">
        <v>0</v>
      </c>
      <c r="CT2354">
        <v>2</v>
      </c>
      <c r="CU2354">
        <v>0</v>
      </c>
      <c r="CV2354">
        <v>2</v>
      </c>
      <c r="CW2354">
        <v>0</v>
      </c>
      <c r="CX2354">
        <v>0</v>
      </c>
      <c r="CY2354">
        <v>7</v>
      </c>
      <c r="CZ2354" t="s">
        <v>131</v>
      </c>
      <c r="DA2354">
        <v>296</v>
      </c>
      <c r="DB2354">
        <v>0</v>
      </c>
      <c r="DC2354" t="s">
        <v>816</v>
      </c>
      <c r="DD2354" t="s">
        <v>817</v>
      </c>
      <c r="DG2354">
        <v>11091901</v>
      </c>
      <c r="DI2354">
        <v>0</v>
      </c>
      <c r="DJ2354">
        <v>0</v>
      </c>
      <c r="DK2354">
        <v>0</v>
      </c>
      <c r="DL2354">
        <v>0</v>
      </c>
      <c r="DM2354">
        <v>0</v>
      </c>
      <c r="DN2354">
        <v>1</v>
      </c>
      <c r="DO2354">
        <v>0</v>
      </c>
      <c r="DP2354">
        <v>0</v>
      </c>
      <c r="DQ2354">
        <v>0</v>
      </c>
      <c r="DR2354">
        <v>0</v>
      </c>
      <c r="DS2354">
        <v>0</v>
      </c>
    </row>
    <row r="2355" spans="1:123" x14ac:dyDescent="0.3">
      <c r="A2355" t="str">
        <f t="shared" si="845"/>
        <v>10/04/2022 19:31:48.041</v>
      </c>
      <c r="C2355" t="str">
        <f t="shared" si="841"/>
        <v>FFDDD3C0</v>
      </c>
      <c r="D2355" t="s">
        <v>123</v>
      </c>
      <c r="E2355">
        <v>7</v>
      </c>
      <c r="F2355">
        <v>2007</v>
      </c>
      <c r="G2355" t="s">
        <v>124</v>
      </c>
      <c r="J2355" t="s">
        <v>125</v>
      </c>
      <c r="K2355">
        <v>0</v>
      </c>
      <c r="L2355">
        <v>3</v>
      </c>
      <c r="M2355">
        <v>0</v>
      </c>
      <c r="N2355">
        <v>2</v>
      </c>
      <c r="O2355">
        <v>0</v>
      </c>
      <c r="P2355">
        <v>1</v>
      </c>
      <c r="Q2355">
        <v>0</v>
      </c>
      <c r="S2355" t="str">
        <f t="shared" si="843"/>
        <v>19:31:47.000</v>
      </c>
      <c r="T2355" t="str">
        <f t="shared" si="843"/>
        <v>19:31:47.000</v>
      </c>
      <c r="U2355" t="str">
        <f t="shared" si="829"/>
        <v>AC3944</v>
      </c>
      <c r="V2355">
        <v>0</v>
      </c>
      <c r="W2355">
        <v>0</v>
      </c>
      <c r="X2355">
        <v>2</v>
      </c>
      <c r="Y2355">
        <v>0</v>
      </c>
      <c r="AA2355">
        <v>1</v>
      </c>
      <c r="AB2355">
        <v>8</v>
      </c>
      <c r="AC2355">
        <v>3</v>
      </c>
      <c r="AD2355">
        <v>0</v>
      </c>
      <c r="AE2355">
        <v>9</v>
      </c>
      <c r="AF2355" t="s">
        <v>138</v>
      </c>
      <c r="AG2355">
        <v>0</v>
      </c>
      <c r="AH2355">
        <v>3</v>
      </c>
      <c r="AI2355">
        <v>1</v>
      </c>
      <c r="AJ2355">
        <v>0</v>
      </c>
      <c r="AK2355" t="s">
        <v>814</v>
      </c>
      <c r="AL2355">
        <v>32.762625</v>
      </c>
      <c r="AM2355" t="s">
        <v>815</v>
      </c>
      <c r="AN2355">
        <v>-116.800096</v>
      </c>
      <c r="AO2355">
        <v>25</v>
      </c>
      <c r="AP2355">
        <v>3100</v>
      </c>
      <c r="AQ2355" t="s">
        <v>129</v>
      </c>
      <c r="AR2355">
        <v>120</v>
      </c>
      <c r="AS2355">
        <v>-58</v>
      </c>
      <c r="AT2355">
        <v>0</v>
      </c>
      <c r="BB2355">
        <v>1200</v>
      </c>
      <c r="BC2355">
        <v>1</v>
      </c>
      <c r="BD2355" t="str">
        <f t="shared" si="830"/>
        <v xml:space="preserve">N887QR  </v>
      </c>
      <c r="BE2355">
        <v>1</v>
      </c>
      <c r="BJ2355">
        <v>2825</v>
      </c>
      <c r="BK2355">
        <v>-275</v>
      </c>
      <c r="BL2355" t="s">
        <v>163</v>
      </c>
      <c r="BM2355">
        <v>1</v>
      </c>
      <c r="BN2355">
        <v>1</v>
      </c>
      <c r="BO2355">
        <v>1</v>
      </c>
      <c r="BP2355">
        <v>0</v>
      </c>
      <c r="BS2355">
        <v>0.08</v>
      </c>
      <c r="BT2355">
        <v>0</v>
      </c>
      <c r="BU2355">
        <v>0</v>
      </c>
      <c r="CE2355" t="str">
        <f t="shared" si="846"/>
        <v>19:31:47.802</v>
      </c>
      <c r="CF2355">
        <v>801819950</v>
      </c>
      <c r="CS2355">
        <v>0</v>
      </c>
      <c r="CT2355">
        <v>2</v>
      </c>
      <c r="CU2355">
        <v>0</v>
      </c>
      <c r="CV2355">
        <v>2</v>
      </c>
      <c r="CW2355">
        <v>0</v>
      </c>
      <c r="CX2355">
        <v>0</v>
      </c>
      <c r="CY2355">
        <v>7</v>
      </c>
      <c r="CZ2355" t="s">
        <v>131</v>
      </c>
      <c r="DA2355">
        <v>296</v>
      </c>
      <c r="DB2355">
        <v>0</v>
      </c>
      <c r="DC2355" t="s">
        <v>816</v>
      </c>
      <c r="DD2355" t="s">
        <v>817</v>
      </c>
      <c r="DG2355">
        <v>11091901</v>
      </c>
      <c r="DI2355">
        <v>0</v>
      </c>
      <c r="DJ2355">
        <v>0</v>
      </c>
      <c r="DK2355">
        <v>1</v>
      </c>
      <c r="DL2355">
        <v>0</v>
      </c>
      <c r="DM2355">
        <v>0</v>
      </c>
      <c r="DN2355">
        <v>1</v>
      </c>
      <c r="DO2355">
        <v>0</v>
      </c>
      <c r="DP2355">
        <v>0</v>
      </c>
      <c r="DQ2355">
        <v>0</v>
      </c>
      <c r="DR2355">
        <v>0</v>
      </c>
      <c r="DS2355">
        <v>0</v>
      </c>
    </row>
    <row r="2356" spans="1:123" x14ac:dyDescent="0.3">
      <c r="A2356" t="str">
        <f t="shared" si="845"/>
        <v>10/04/2022 19:31:48.041</v>
      </c>
      <c r="C2356" t="str">
        <f t="shared" si="841"/>
        <v>FFDDD3C0</v>
      </c>
      <c r="D2356" t="s">
        <v>147</v>
      </c>
      <c r="E2356">
        <v>3</v>
      </c>
      <c r="H2356">
        <v>166</v>
      </c>
      <c r="I2356" t="s">
        <v>144</v>
      </c>
      <c r="J2356" t="s">
        <v>148</v>
      </c>
      <c r="K2356">
        <v>0</v>
      </c>
      <c r="L2356">
        <v>3</v>
      </c>
      <c r="M2356">
        <v>0</v>
      </c>
      <c r="N2356">
        <v>2</v>
      </c>
      <c r="O2356">
        <v>0</v>
      </c>
      <c r="P2356">
        <v>1</v>
      </c>
      <c r="Q2356">
        <v>0</v>
      </c>
      <c r="S2356" t="str">
        <f t="shared" si="843"/>
        <v>19:31:47.000</v>
      </c>
      <c r="T2356" t="str">
        <f t="shared" si="843"/>
        <v>19:31:47.000</v>
      </c>
      <c r="U2356" t="str">
        <f t="shared" si="829"/>
        <v>AC3944</v>
      </c>
      <c r="V2356">
        <v>0</v>
      </c>
      <c r="W2356">
        <v>0</v>
      </c>
      <c r="X2356">
        <v>2</v>
      </c>
      <c r="Y2356">
        <v>0</v>
      </c>
      <c r="AA2356">
        <v>1</v>
      </c>
      <c r="AB2356">
        <v>8</v>
      </c>
      <c r="AC2356">
        <v>3</v>
      </c>
      <c r="AD2356">
        <v>0</v>
      </c>
      <c r="AE2356">
        <v>9</v>
      </c>
      <c r="AF2356" t="s">
        <v>138</v>
      </c>
      <c r="AG2356">
        <v>0</v>
      </c>
      <c r="AH2356">
        <v>3</v>
      </c>
      <c r="AI2356">
        <v>1</v>
      </c>
      <c r="AJ2356">
        <v>0</v>
      </c>
      <c r="AK2356" t="s">
        <v>814</v>
      </c>
      <c r="AL2356">
        <v>32.762625</v>
      </c>
      <c r="AM2356" t="s">
        <v>815</v>
      </c>
      <c r="AN2356">
        <v>-116.800096</v>
      </c>
      <c r="AO2356">
        <v>25</v>
      </c>
      <c r="AP2356">
        <v>3100</v>
      </c>
      <c r="AQ2356" t="s">
        <v>129</v>
      </c>
      <c r="AR2356">
        <v>120</v>
      </c>
      <c r="AS2356">
        <v>-58</v>
      </c>
      <c r="AT2356">
        <v>0</v>
      </c>
      <c r="BB2356">
        <v>1200</v>
      </c>
      <c r="BC2356">
        <v>1</v>
      </c>
      <c r="BD2356" t="str">
        <f t="shared" si="830"/>
        <v xml:space="preserve">N887QR  </v>
      </c>
      <c r="BE2356">
        <v>1</v>
      </c>
      <c r="BJ2356">
        <v>2825</v>
      </c>
      <c r="BK2356">
        <v>-275</v>
      </c>
      <c r="BL2356" t="s">
        <v>163</v>
      </c>
      <c r="BM2356">
        <v>1</v>
      </c>
      <c r="BN2356">
        <v>1</v>
      </c>
      <c r="BO2356">
        <v>1</v>
      </c>
      <c r="BP2356">
        <v>0</v>
      </c>
      <c r="BS2356">
        <v>0.08</v>
      </c>
      <c r="BT2356">
        <v>0</v>
      </c>
      <c r="BU2356">
        <v>0</v>
      </c>
      <c r="CE2356" t="str">
        <f t="shared" si="846"/>
        <v>19:31:47.802</v>
      </c>
      <c r="CF2356">
        <v>801819950</v>
      </c>
      <c r="CS2356">
        <v>0</v>
      </c>
      <c r="CT2356">
        <v>2</v>
      </c>
      <c r="CU2356">
        <v>0</v>
      </c>
      <c r="CV2356">
        <v>2</v>
      </c>
      <c r="CW2356">
        <v>0</v>
      </c>
      <c r="CX2356">
        <v>0</v>
      </c>
      <c r="CY2356">
        <v>7</v>
      </c>
      <c r="CZ2356" t="s">
        <v>131</v>
      </c>
      <c r="DA2356">
        <v>296</v>
      </c>
      <c r="DB2356">
        <v>0</v>
      </c>
      <c r="DC2356" t="s">
        <v>816</v>
      </c>
      <c r="DD2356" t="s">
        <v>817</v>
      </c>
      <c r="DG2356">
        <v>11091901</v>
      </c>
      <c r="DI2356">
        <v>0</v>
      </c>
      <c r="DJ2356">
        <v>0</v>
      </c>
      <c r="DK2356">
        <v>1</v>
      </c>
      <c r="DL2356">
        <v>0</v>
      </c>
      <c r="DM2356">
        <v>0</v>
      </c>
      <c r="DN2356">
        <v>1</v>
      </c>
      <c r="DO2356">
        <v>0</v>
      </c>
      <c r="DP2356">
        <v>0</v>
      </c>
      <c r="DQ2356">
        <v>0</v>
      </c>
      <c r="DR2356">
        <v>0</v>
      </c>
      <c r="DS2356">
        <v>0</v>
      </c>
    </row>
    <row r="2357" spans="1:123" x14ac:dyDescent="0.3">
      <c r="A2357" t="str">
        <f t="shared" si="845"/>
        <v>10/04/2022 19:31:48.041</v>
      </c>
      <c r="C2357" t="str">
        <f t="shared" si="841"/>
        <v>FFDDD3C0</v>
      </c>
      <c r="D2357" t="s">
        <v>136</v>
      </c>
      <c r="E2357">
        <v>8</v>
      </c>
      <c r="H2357">
        <v>225</v>
      </c>
      <c r="I2357" t="s">
        <v>137</v>
      </c>
      <c r="J2357" t="s">
        <v>138</v>
      </c>
      <c r="K2357">
        <v>0</v>
      </c>
      <c r="L2357">
        <v>3</v>
      </c>
      <c r="M2357">
        <v>0</v>
      </c>
      <c r="N2357">
        <v>2</v>
      </c>
      <c r="O2357">
        <v>0</v>
      </c>
      <c r="P2357">
        <v>1</v>
      </c>
      <c r="Q2357">
        <v>0</v>
      </c>
      <c r="S2357" t="str">
        <f t="shared" si="843"/>
        <v>19:31:47.000</v>
      </c>
      <c r="T2357" t="str">
        <f t="shared" si="843"/>
        <v>19:31:47.000</v>
      </c>
      <c r="U2357" t="str">
        <f t="shared" si="829"/>
        <v>AC3944</v>
      </c>
      <c r="V2357">
        <v>0</v>
      </c>
      <c r="W2357">
        <v>0</v>
      </c>
      <c r="X2357">
        <v>2</v>
      </c>
      <c r="Y2357">
        <v>0</v>
      </c>
      <c r="AA2357">
        <v>1</v>
      </c>
      <c r="AB2357">
        <v>8</v>
      </c>
      <c r="AC2357">
        <v>3</v>
      </c>
      <c r="AD2357">
        <v>0</v>
      </c>
      <c r="AE2357">
        <v>9</v>
      </c>
      <c r="AF2357" t="s">
        <v>138</v>
      </c>
      <c r="AG2357">
        <v>0</v>
      </c>
      <c r="AH2357">
        <v>3</v>
      </c>
      <c r="AI2357">
        <v>1</v>
      </c>
      <c r="AJ2357">
        <v>0</v>
      </c>
      <c r="AK2357" t="s">
        <v>814</v>
      </c>
      <c r="AL2357">
        <v>32.762625</v>
      </c>
      <c r="AM2357" t="s">
        <v>815</v>
      </c>
      <c r="AN2357">
        <v>-116.800096</v>
      </c>
      <c r="AO2357">
        <v>25</v>
      </c>
      <c r="AP2357">
        <v>3100</v>
      </c>
      <c r="AQ2357" t="s">
        <v>129</v>
      </c>
      <c r="AR2357">
        <v>120</v>
      </c>
      <c r="AS2357">
        <v>-58</v>
      </c>
      <c r="AT2357">
        <v>0</v>
      </c>
      <c r="BB2357">
        <v>1200</v>
      </c>
      <c r="BC2357">
        <v>1</v>
      </c>
      <c r="BD2357" t="str">
        <f t="shared" si="830"/>
        <v xml:space="preserve">N887QR  </v>
      </c>
      <c r="BE2357">
        <v>1</v>
      </c>
      <c r="BJ2357">
        <v>2825</v>
      </c>
      <c r="BK2357">
        <v>-275</v>
      </c>
      <c r="BL2357" t="s">
        <v>163</v>
      </c>
      <c r="BM2357">
        <v>1</v>
      </c>
      <c r="BN2357">
        <v>1</v>
      </c>
      <c r="BO2357">
        <v>1</v>
      </c>
      <c r="BP2357">
        <v>0</v>
      </c>
      <c r="BS2357">
        <v>0.08</v>
      </c>
      <c r="BT2357">
        <v>0</v>
      </c>
      <c r="BU2357">
        <v>0</v>
      </c>
      <c r="CE2357" t="str">
        <f t="shared" si="846"/>
        <v>19:31:47.802</v>
      </c>
      <c r="CF2357">
        <v>801819950</v>
      </c>
      <c r="CS2357">
        <v>0</v>
      </c>
      <c r="CT2357">
        <v>2</v>
      </c>
      <c r="CU2357">
        <v>0</v>
      </c>
      <c r="CV2357">
        <v>2</v>
      </c>
      <c r="CW2357">
        <v>0</v>
      </c>
      <c r="CX2357">
        <v>0</v>
      </c>
      <c r="CY2357">
        <v>7</v>
      </c>
      <c r="CZ2357" t="s">
        <v>131</v>
      </c>
      <c r="DA2357">
        <v>296</v>
      </c>
      <c r="DB2357">
        <v>0</v>
      </c>
      <c r="DC2357" t="s">
        <v>816</v>
      </c>
      <c r="DD2357" t="s">
        <v>817</v>
      </c>
      <c r="DG2357">
        <v>11091901</v>
      </c>
      <c r="DI2357">
        <v>0</v>
      </c>
      <c r="DJ2357">
        <v>0</v>
      </c>
      <c r="DK2357">
        <v>1</v>
      </c>
      <c r="DL2357">
        <v>0</v>
      </c>
      <c r="DM2357">
        <v>0</v>
      </c>
      <c r="DN2357">
        <v>1</v>
      </c>
      <c r="DO2357">
        <v>0</v>
      </c>
      <c r="DP2357">
        <v>0</v>
      </c>
      <c r="DQ2357">
        <v>0</v>
      </c>
      <c r="DR2357">
        <v>0</v>
      </c>
      <c r="DS2357">
        <v>0</v>
      </c>
    </row>
    <row r="2358" spans="1:123" x14ac:dyDescent="0.3">
      <c r="A2358" t="str">
        <f t="shared" si="845"/>
        <v>10/04/2022 19:31:48.041</v>
      </c>
      <c r="C2358" t="str">
        <f t="shared" si="841"/>
        <v>FFDDD3C0</v>
      </c>
      <c r="D2358" t="s">
        <v>134</v>
      </c>
      <c r="E2358">
        <v>15</v>
      </c>
      <c r="J2358" t="s">
        <v>135</v>
      </c>
      <c r="K2358">
        <v>0</v>
      </c>
      <c r="L2358">
        <v>3</v>
      </c>
      <c r="M2358">
        <v>0</v>
      </c>
      <c r="N2358">
        <v>2</v>
      </c>
      <c r="O2358">
        <v>0</v>
      </c>
      <c r="P2358">
        <v>1</v>
      </c>
      <c r="Q2358">
        <v>0</v>
      </c>
      <c r="S2358" t="str">
        <f t="shared" si="843"/>
        <v>19:31:47.000</v>
      </c>
      <c r="T2358" t="str">
        <f t="shared" si="843"/>
        <v>19:31:47.000</v>
      </c>
      <c r="U2358" t="str">
        <f t="shared" si="829"/>
        <v>AC3944</v>
      </c>
      <c r="V2358">
        <v>0</v>
      </c>
      <c r="W2358">
        <v>0</v>
      </c>
      <c r="X2358">
        <v>2</v>
      </c>
      <c r="Y2358">
        <v>0</v>
      </c>
      <c r="AA2358">
        <v>1</v>
      </c>
      <c r="AB2358">
        <v>8</v>
      </c>
      <c r="AC2358">
        <v>3</v>
      </c>
      <c r="AD2358">
        <v>0</v>
      </c>
      <c r="AE2358">
        <v>9</v>
      </c>
      <c r="AF2358" t="s">
        <v>138</v>
      </c>
      <c r="AG2358">
        <v>0</v>
      </c>
      <c r="AH2358">
        <v>3</v>
      </c>
      <c r="AI2358">
        <v>1</v>
      </c>
      <c r="AJ2358">
        <v>0</v>
      </c>
      <c r="AK2358" t="s">
        <v>814</v>
      </c>
      <c r="AL2358">
        <v>32.762625</v>
      </c>
      <c r="AM2358" t="s">
        <v>815</v>
      </c>
      <c r="AN2358">
        <v>-116.800096</v>
      </c>
      <c r="AO2358">
        <v>25</v>
      </c>
      <c r="AP2358">
        <v>3100</v>
      </c>
      <c r="AQ2358" t="s">
        <v>129</v>
      </c>
      <c r="AR2358">
        <v>120</v>
      </c>
      <c r="AS2358">
        <v>-58</v>
      </c>
      <c r="AT2358">
        <v>0</v>
      </c>
      <c r="BB2358">
        <v>1200</v>
      </c>
      <c r="BC2358">
        <v>1</v>
      </c>
      <c r="BD2358" t="str">
        <f t="shared" si="830"/>
        <v xml:space="preserve">N887QR  </v>
      </c>
      <c r="BE2358">
        <v>1</v>
      </c>
      <c r="BJ2358">
        <v>2825</v>
      </c>
      <c r="BK2358">
        <v>-275</v>
      </c>
      <c r="BL2358" t="s">
        <v>163</v>
      </c>
      <c r="BM2358">
        <v>1</v>
      </c>
      <c r="BN2358">
        <v>1</v>
      </c>
      <c r="BO2358">
        <v>1</v>
      </c>
      <c r="BP2358">
        <v>0</v>
      </c>
      <c r="BS2358">
        <v>0.08</v>
      </c>
      <c r="BT2358">
        <v>0</v>
      </c>
      <c r="BU2358">
        <v>0</v>
      </c>
      <c r="CE2358" t="str">
        <f t="shared" si="846"/>
        <v>19:31:47.802</v>
      </c>
      <c r="CF2358">
        <v>801819950</v>
      </c>
      <c r="CS2358">
        <v>0</v>
      </c>
      <c r="CT2358">
        <v>2</v>
      </c>
      <c r="CU2358">
        <v>0</v>
      </c>
      <c r="CV2358">
        <v>2</v>
      </c>
      <c r="CW2358">
        <v>0</v>
      </c>
      <c r="CX2358">
        <v>0</v>
      </c>
      <c r="CY2358">
        <v>7</v>
      </c>
      <c r="CZ2358" t="s">
        <v>131</v>
      </c>
      <c r="DA2358">
        <v>296</v>
      </c>
      <c r="DB2358">
        <v>0</v>
      </c>
      <c r="DC2358" t="s">
        <v>816</v>
      </c>
      <c r="DD2358" t="s">
        <v>817</v>
      </c>
      <c r="DG2358">
        <v>11091901</v>
      </c>
      <c r="DI2358">
        <v>0</v>
      </c>
      <c r="DJ2358">
        <v>0</v>
      </c>
      <c r="DK2358">
        <v>1</v>
      </c>
      <c r="DL2358">
        <v>0</v>
      </c>
      <c r="DM2358">
        <v>0</v>
      </c>
      <c r="DN2358">
        <v>1</v>
      </c>
      <c r="DO2358">
        <v>0</v>
      </c>
      <c r="DP2358">
        <v>0</v>
      </c>
      <c r="DQ2358">
        <v>0</v>
      </c>
      <c r="DR2358">
        <v>0</v>
      </c>
      <c r="DS2358">
        <v>0</v>
      </c>
    </row>
    <row r="2359" spans="1:123" x14ac:dyDescent="0.3">
      <c r="A2359" t="str">
        <f>"10/04/2022 19:31:49.369"</f>
        <v>10/04/2022 19:31:49.369</v>
      </c>
      <c r="C2359" t="str">
        <f t="shared" si="841"/>
        <v>FFDDD3C0</v>
      </c>
      <c r="D2359" t="s">
        <v>143</v>
      </c>
      <c r="E2359">
        <v>20</v>
      </c>
      <c r="F2359">
        <v>1020</v>
      </c>
      <c r="G2359" t="s">
        <v>144</v>
      </c>
      <c r="J2359" t="s">
        <v>145</v>
      </c>
      <c r="K2359">
        <v>0</v>
      </c>
      <c r="L2359">
        <v>3</v>
      </c>
      <c r="M2359">
        <v>0</v>
      </c>
      <c r="N2359">
        <v>2</v>
      </c>
      <c r="O2359">
        <v>0</v>
      </c>
      <c r="P2359">
        <v>1</v>
      </c>
      <c r="Q2359">
        <v>0</v>
      </c>
      <c r="S2359" t="str">
        <f t="shared" ref="S2359:T2365" si="847">"19:31:49.000"</f>
        <v>19:31:49.000</v>
      </c>
      <c r="T2359" t="str">
        <f t="shared" si="847"/>
        <v>19:31:49.000</v>
      </c>
      <c r="U2359" t="str">
        <f t="shared" si="829"/>
        <v>AC3944</v>
      </c>
      <c r="V2359">
        <v>0</v>
      </c>
      <c r="W2359">
        <v>0</v>
      </c>
      <c r="X2359">
        <v>2</v>
      </c>
      <c r="Y2359">
        <v>0</v>
      </c>
      <c r="AA2359">
        <v>1</v>
      </c>
      <c r="AB2359">
        <v>8</v>
      </c>
      <c r="AC2359">
        <v>3</v>
      </c>
      <c r="AD2359">
        <v>0</v>
      </c>
      <c r="AE2359">
        <v>9</v>
      </c>
      <c r="AF2359" t="s">
        <v>138</v>
      </c>
      <c r="AG2359">
        <v>0</v>
      </c>
      <c r="AH2359">
        <v>3</v>
      </c>
      <c r="AI2359">
        <v>1</v>
      </c>
      <c r="AJ2359">
        <v>0</v>
      </c>
      <c r="AK2359" t="s">
        <v>818</v>
      </c>
      <c r="AL2359">
        <v>32.762368000000002</v>
      </c>
      <c r="AM2359" t="s">
        <v>819</v>
      </c>
      <c r="AN2359">
        <v>-116.799452</v>
      </c>
      <c r="AO2359">
        <v>25</v>
      </c>
      <c r="AP2359">
        <v>3100</v>
      </c>
      <c r="AQ2359" t="s">
        <v>129</v>
      </c>
      <c r="AR2359">
        <v>120</v>
      </c>
      <c r="AS2359">
        <v>-58</v>
      </c>
      <c r="AT2359">
        <v>-64</v>
      </c>
      <c r="BB2359">
        <v>1200</v>
      </c>
      <c r="BC2359">
        <v>1</v>
      </c>
      <c r="BD2359" t="str">
        <f t="shared" si="830"/>
        <v xml:space="preserve">N887QR  </v>
      </c>
      <c r="BE2359">
        <v>1</v>
      </c>
      <c r="BJ2359">
        <v>2800</v>
      </c>
      <c r="BK2359">
        <v>-300</v>
      </c>
      <c r="BL2359" t="s">
        <v>163</v>
      </c>
      <c r="BM2359">
        <v>1</v>
      </c>
      <c r="BN2359">
        <v>1</v>
      </c>
      <c r="BO2359">
        <v>1</v>
      </c>
      <c r="BP2359">
        <v>0</v>
      </c>
      <c r="BS2359">
        <v>0.08</v>
      </c>
      <c r="BT2359">
        <v>0</v>
      </c>
      <c r="BU2359">
        <v>0</v>
      </c>
      <c r="CE2359" t="str">
        <f t="shared" ref="CE2359:CE2365" si="848">"19:31:49.183"</f>
        <v>19:31:49.183</v>
      </c>
      <c r="CF2359">
        <v>182665185</v>
      </c>
      <c r="CS2359">
        <v>0</v>
      </c>
      <c r="CT2359">
        <v>2</v>
      </c>
      <c r="CU2359">
        <v>0</v>
      </c>
      <c r="CV2359">
        <v>2</v>
      </c>
      <c r="CW2359">
        <v>0</v>
      </c>
      <c r="CX2359">
        <v>5</v>
      </c>
      <c r="CY2359">
        <v>7</v>
      </c>
      <c r="CZ2359" t="s">
        <v>131</v>
      </c>
      <c r="DA2359">
        <v>300</v>
      </c>
      <c r="DB2359">
        <v>0</v>
      </c>
      <c r="DC2359" t="s">
        <v>176</v>
      </c>
      <c r="DD2359" t="s">
        <v>177</v>
      </c>
      <c r="DG2359">
        <v>5409751</v>
      </c>
      <c r="DI2359">
        <v>0</v>
      </c>
      <c r="DJ2359">
        <v>0</v>
      </c>
      <c r="DK2359">
        <v>0</v>
      </c>
      <c r="DL2359">
        <v>0</v>
      </c>
      <c r="DM2359">
        <v>0</v>
      </c>
      <c r="DN2359">
        <v>1</v>
      </c>
      <c r="DO2359">
        <v>0</v>
      </c>
      <c r="DP2359">
        <v>0</v>
      </c>
      <c r="DQ2359">
        <v>0</v>
      </c>
      <c r="DR2359">
        <v>0</v>
      </c>
      <c r="DS2359">
        <v>0</v>
      </c>
    </row>
    <row r="2360" spans="1:123" x14ac:dyDescent="0.3">
      <c r="A2360" t="str">
        <f t="shared" ref="A2360:A2365" si="849">"10/04/2022 19:31:49.431"</f>
        <v>10/04/2022 19:31:49.431</v>
      </c>
      <c r="C2360" t="str">
        <f t="shared" si="841"/>
        <v>FFDDD3C0</v>
      </c>
      <c r="D2360" t="s">
        <v>123</v>
      </c>
      <c r="E2360">
        <v>7</v>
      </c>
      <c r="F2360">
        <v>2007</v>
      </c>
      <c r="G2360" t="s">
        <v>124</v>
      </c>
      <c r="J2360" t="s">
        <v>125</v>
      </c>
      <c r="K2360">
        <v>0</v>
      </c>
      <c r="L2360">
        <v>3</v>
      </c>
      <c r="M2360">
        <v>0</v>
      </c>
      <c r="N2360">
        <v>2</v>
      </c>
      <c r="O2360">
        <v>0</v>
      </c>
      <c r="P2360">
        <v>1</v>
      </c>
      <c r="Q2360">
        <v>0</v>
      </c>
      <c r="S2360" t="str">
        <f t="shared" si="847"/>
        <v>19:31:49.000</v>
      </c>
      <c r="T2360" t="str">
        <f t="shared" si="847"/>
        <v>19:31:49.000</v>
      </c>
      <c r="U2360" t="str">
        <f t="shared" si="829"/>
        <v>AC3944</v>
      </c>
      <c r="V2360">
        <v>0</v>
      </c>
      <c r="W2360">
        <v>0</v>
      </c>
      <c r="X2360">
        <v>2</v>
      </c>
      <c r="Y2360">
        <v>0</v>
      </c>
      <c r="AA2360">
        <v>1</v>
      </c>
      <c r="AB2360">
        <v>8</v>
      </c>
      <c r="AC2360">
        <v>3</v>
      </c>
      <c r="AD2360">
        <v>0</v>
      </c>
      <c r="AE2360">
        <v>9</v>
      </c>
      <c r="AF2360" t="s">
        <v>138</v>
      </c>
      <c r="AG2360">
        <v>0</v>
      </c>
      <c r="AH2360">
        <v>3</v>
      </c>
      <c r="AI2360">
        <v>1</v>
      </c>
      <c r="AJ2360">
        <v>0</v>
      </c>
      <c r="AK2360" t="s">
        <v>818</v>
      </c>
      <c r="AL2360">
        <v>32.762368000000002</v>
      </c>
      <c r="AM2360" t="s">
        <v>819</v>
      </c>
      <c r="AN2360">
        <v>-116.799452</v>
      </c>
      <c r="AO2360">
        <v>25</v>
      </c>
      <c r="AP2360">
        <v>3100</v>
      </c>
      <c r="AQ2360" t="s">
        <v>129</v>
      </c>
      <c r="AR2360">
        <v>120</v>
      </c>
      <c r="AS2360">
        <v>-58</v>
      </c>
      <c r="AT2360">
        <v>-64</v>
      </c>
      <c r="BB2360">
        <v>1200</v>
      </c>
      <c r="BC2360">
        <v>1</v>
      </c>
      <c r="BD2360" t="str">
        <f t="shared" si="830"/>
        <v xml:space="preserve">N887QR  </v>
      </c>
      <c r="BE2360">
        <v>1</v>
      </c>
      <c r="BJ2360">
        <v>2800</v>
      </c>
      <c r="BK2360">
        <v>-300</v>
      </c>
      <c r="BL2360" t="s">
        <v>163</v>
      </c>
      <c r="BM2360">
        <v>1</v>
      </c>
      <c r="BN2360">
        <v>1</v>
      </c>
      <c r="BO2360">
        <v>1</v>
      </c>
      <c r="BP2360">
        <v>0</v>
      </c>
      <c r="BS2360">
        <v>0.08</v>
      </c>
      <c r="BT2360">
        <v>0</v>
      </c>
      <c r="BU2360">
        <v>0</v>
      </c>
      <c r="CE2360" t="str">
        <f t="shared" si="848"/>
        <v>19:31:49.183</v>
      </c>
      <c r="CF2360">
        <v>182665185</v>
      </c>
      <c r="CS2360">
        <v>0</v>
      </c>
      <c r="CT2360">
        <v>2</v>
      </c>
      <c r="CU2360">
        <v>0</v>
      </c>
      <c r="CV2360">
        <v>2</v>
      </c>
      <c r="CW2360">
        <v>0</v>
      </c>
      <c r="CX2360">
        <v>5</v>
      </c>
      <c r="CY2360">
        <v>7</v>
      </c>
      <c r="CZ2360" t="s">
        <v>131</v>
      </c>
      <c r="DA2360">
        <v>300</v>
      </c>
      <c r="DB2360">
        <v>0</v>
      </c>
      <c r="DC2360" t="s">
        <v>176</v>
      </c>
      <c r="DD2360" t="s">
        <v>177</v>
      </c>
      <c r="DG2360">
        <v>5409751</v>
      </c>
      <c r="DI2360">
        <v>0</v>
      </c>
      <c r="DJ2360">
        <v>0</v>
      </c>
      <c r="DK2360">
        <v>1</v>
      </c>
      <c r="DL2360">
        <v>0</v>
      </c>
      <c r="DM2360">
        <v>0</v>
      </c>
      <c r="DN2360">
        <v>1</v>
      </c>
      <c r="DO2360">
        <v>0</v>
      </c>
      <c r="DP2360">
        <v>0</v>
      </c>
      <c r="DQ2360">
        <v>0</v>
      </c>
      <c r="DR2360">
        <v>0</v>
      </c>
      <c r="DS2360">
        <v>0</v>
      </c>
    </row>
    <row r="2361" spans="1:123" x14ac:dyDescent="0.3">
      <c r="A2361" t="str">
        <f t="shared" si="849"/>
        <v>10/04/2022 19:31:49.431</v>
      </c>
      <c r="C2361" t="str">
        <f t="shared" si="841"/>
        <v>FFDDD3C0</v>
      </c>
      <c r="D2361" t="s">
        <v>147</v>
      </c>
      <c r="E2361">
        <v>3</v>
      </c>
      <c r="H2361">
        <v>166</v>
      </c>
      <c r="I2361" t="s">
        <v>144</v>
      </c>
      <c r="J2361" t="s">
        <v>148</v>
      </c>
      <c r="K2361">
        <v>0</v>
      </c>
      <c r="L2361">
        <v>3</v>
      </c>
      <c r="M2361">
        <v>0</v>
      </c>
      <c r="N2361">
        <v>2</v>
      </c>
      <c r="O2361">
        <v>0</v>
      </c>
      <c r="P2361">
        <v>1</v>
      </c>
      <c r="Q2361">
        <v>0</v>
      </c>
      <c r="S2361" t="str">
        <f t="shared" si="847"/>
        <v>19:31:49.000</v>
      </c>
      <c r="T2361" t="str">
        <f t="shared" si="847"/>
        <v>19:31:49.000</v>
      </c>
      <c r="U2361" t="str">
        <f t="shared" si="829"/>
        <v>AC3944</v>
      </c>
      <c r="V2361">
        <v>0</v>
      </c>
      <c r="W2361">
        <v>0</v>
      </c>
      <c r="X2361">
        <v>2</v>
      </c>
      <c r="Y2361">
        <v>0</v>
      </c>
      <c r="AA2361">
        <v>1</v>
      </c>
      <c r="AB2361">
        <v>8</v>
      </c>
      <c r="AC2361">
        <v>3</v>
      </c>
      <c r="AD2361">
        <v>0</v>
      </c>
      <c r="AE2361">
        <v>9</v>
      </c>
      <c r="AF2361" t="s">
        <v>138</v>
      </c>
      <c r="AG2361">
        <v>0</v>
      </c>
      <c r="AH2361">
        <v>3</v>
      </c>
      <c r="AI2361">
        <v>1</v>
      </c>
      <c r="AJ2361">
        <v>0</v>
      </c>
      <c r="AK2361" t="s">
        <v>818</v>
      </c>
      <c r="AL2361">
        <v>32.762368000000002</v>
      </c>
      <c r="AM2361" t="s">
        <v>819</v>
      </c>
      <c r="AN2361">
        <v>-116.799452</v>
      </c>
      <c r="AO2361">
        <v>25</v>
      </c>
      <c r="AP2361">
        <v>3100</v>
      </c>
      <c r="AQ2361" t="s">
        <v>129</v>
      </c>
      <c r="AR2361">
        <v>120</v>
      </c>
      <c r="AS2361">
        <v>-58</v>
      </c>
      <c r="AT2361">
        <v>-64</v>
      </c>
      <c r="BB2361">
        <v>1200</v>
      </c>
      <c r="BC2361">
        <v>1</v>
      </c>
      <c r="BD2361" t="str">
        <f t="shared" si="830"/>
        <v xml:space="preserve">N887QR  </v>
      </c>
      <c r="BE2361">
        <v>1</v>
      </c>
      <c r="BJ2361">
        <v>2800</v>
      </c>
      <c r="BK2361">
        <v>-300</v>
      </c>
      <c r="BL2361" t="s">
        <v>163</v>
      </c>
      <c r="BM2361">
        <v>1</v>
      </c>
      <c r="BN2361">
        <v>1</v>
      </c>
      <c r="BO2361">
        <v>1</v>
      </c>
      <c r="BP2361">
        <v>0</v>
      </c>
      <c r="BS2361">
        <v>0.08</v>
      </c>
      <c r="BT2361">
        <v>0</v>
      </c>
      <c r="BU2361">
        <v>0</v>
      </c>
      <c r="CE2361" t="str">
        <f t="shared" si="848"/>
        <v>19:31:49.183</v>
      </c>
      <c r="CF2361">
        <v>182665185</v>
      </c>
      <c r="CS2361">
        <v>0</v>
      </c>
      <c r="CT2361">
        <v>2</v>
      </c>
      <c r="CU2361">
        <v>0</v>
      </c>
      <c r="CV2361">
        <v>2</v>
      </c>
      <c r="CW2361">
        <v>0</v>
      </c>
      <c r="CX2361">
        <v>5</v>
      </c>
      <c r="CY2361">
        <v>7</v>
      </c>
      <c r="CZ2361" t="s">
        <v>131</v>
      </c>
      <c r="DA2361">
        <v>300</v>
      </c>
      <c r="DB2361">
        <v>0</v>
      </c>
      <c r="DC2361" t="s">
        <v>176</v>
      </c>
      <c r="DD2361" t="s">
        <v>177</v>
      </c>
      <c r="DG2361">
        <v>5409751</v>
      </c>
      <c r="DI2361">
        <v>0</v>
      </c>
      <c r="DJ2361">
        <v>0</v>
      </c>
      <c r="DK2361">
        <v>1</v>
      </c>
      <c r="DL2361">
        <v>0</v>
      </c>
      <c r="DM2361">
        <v>0</v>
      </c>
      <c r="DN2361">
        <v>1</v>
      </c>
      <c r="DO2361">
        <v>0</v>
      </c>
      <c r="DP2361">
        <v>0</v>
      </c>
      <c r="DQ2361">
        <v>0</v>
      </c>
      <c r="DR2361">
        <v>0</v>
      </c>
      <c r="DS2361">
        <v>0</v>
      </c>
    </row>
    <row r="2362" spans="1:123" x14ac:dyDescent="0.3">
      <c r="A2362" t="str">
        <f t="shared" si="849"/>
        <v>10/04/2022 19:31:49.431</v>
      </c>
      <c r="C2362" t="str">
        <f t="shared" si="841"/>
        <v>FFDDD3C0</v>
      </c>
      <c r="D2362" t="s">
        <v>136</v>
      </c>
      <c r="E2362">
        <v>8</v>
      </c>
      <c r="H2362">
        <v>225</v>
      </c>
      <c r="I2362" t="s">
        <v>137</v>
      </c>
      <c r="J2362" t="s">
        <v>138</v>
      </c>
      <c r="K2362">
        <v>0</v>
      </c>
      <c r="L2362">
        <v>3</v>
      </c>
      <c r="M2362">
        <v>0</v>
      </c>
      <c r="N2362">
        <v>2</v>
      </c>
      <c r="O2362">
        <v>0</v>
      </c>
      <c r="P2362">
        <v>1</v>
      </c>
      <c r="Q2362">
        <v>0</v>
      </c>
      <c r="S2362" t="str">
        <f t="shared" si="847"/>
        <v>19:31:49.000</v>
      </c>
      <c r="T2362" t="str">
        <f t="shared" si="847"/>
        <v>19:31:49.000</v>
      </c>
      <c r="U2362" t="str">
        <f t="shared" si="829"/>
        <v>AC3944</v>
      </c>
      <c r="V2362">
        <v>0</v>
      </c>
      <c r="W2362">
        <v>0</v>
      </c>
      <c r="X2362">
        <v>2</v>
      </c>
      <c r="Y2362">
        <v>0</v>
      </c>
      <c r="AA2362">
        <v>1</v>
      </c>
      <c r="AB2362">
        <v>8</v>
      </c>
      <c r="AC2362">
        <v>3</v>
      </c>
      <c r="AD2362">
        <v>0</v>
      </c>
      <c r="AE2362">
        <v>9</v>
      </c>
      <c r="AF2362" t="s">
        <v>138</v>
      </c>
      <c r="AG2362">
        <v>0</v>
      </c>
      <c r="AH2362">
        <v>3</v>
      </c>
      <c r="AI2362">
        <v>1</v>
      </c>
      <c r="AJ2362">
        <v>0</v>
      </c>
      <c r="AK2362" t="s">
        <v>818</v>
      </c>
      <c r="AL2362">
        <v>32.762368000000002</v>
      </c>
      <c r="AM2362" t="s">
        <v>819</v>
      </c>
      <c r="AN2362">
        <v>-116.799452</v>
      </c>
      <c r="AO2362">
        <v>25</v>
      </c>
      <c r="AP2362">
        <v>3100</v>
      </c>
      <c r="AQ2362" t="s">
        <v>129</v>
      </c>
      <c r="AR2362">
        <v>120</v>
      </c>
      <c r="AS2362">
        <v>-58</v>
      </c>
      <c r="AT2362">
        <v>-64</v>
      </c>
      <c r="BB2362">
        <v>1200</v>
      </c>
      <c r="BC2362">
        <v>1</v>
      </c>
      <c r="BD2362" t="str">
        <f t="shared" si="830"/>
        <v xml:space="preserve">N887QR  </v>
      </c>
      <c r="BE2362">
        <v>1</v>
      </c>
      <c r="BJ2362">
        <v>2800</v>
      </c>
      <c r="BK2362">
        <v>-300</v>
      </c>
      <c r="BL2362" t="s">
        <v>163</v>
      </c>
      <c r="BM2362">
        <v>1</v>
      </c>
      <c r="BN2362">
        <v>1</v>
      </c>
      <c r="BO2362">
        <v>1</v>
      </c>
      <c r="BP2362">
        <v>0</v>
      </c>
      <c r="BS2362">
        <v>0.08</v>
      </c>
      <c r="BT2362">
        <v>0</v>
      </c>
      <c r="BU2362">
        <v>0</v>
      </c>
      <c r="CE2362" t="str">
        <f t="shared" si="848"/>
        <v>19:31:49.183</v>
      </c>
      <c r="CF2362">
        <v>182665185</v>
      </c>
      <c r="CS2362">
        <v>0</v>
      </c>
      <c r="CT2362">
        <v>2</v>
      </c>
      <c r="CU2362">
        <v>0</v>
      </c>
      <c r="CV2362">
        <v>2</v>
      </c>
      <c r="CW2362">
        <v>0</v>
      </c>
      <c r="CX2362">
        <v>5</v>
      </c>
      <c r="CY2362">
        <v>7</v>
      </c>
      <c r="CZ2362" t="s">
        <v>131</v>
      </c>
      <c r="DA2362">
        <v>300</v>
      </c>
      <c r="DB2362">
        <v>0</v>
      </c>
      <c r="DC2362" t="s">
        <v>176</v>
      </c>
      <c r="DD2362" t="s">
        <v>177</v>
      </c>
      <c r="DG2362">
        <v>5409751</v>
      </c>
      <c r="DI2362">
        <v>0</v>
      </c>
      <c r="DJ2362">
        <v>0</v>
      </c>
      <c r="DK2362">
        <v>1</v>
      </c>
      <c r="DL2362">
        <v>0</v>
      </c>
      <c r="DM2362">
        <v>0</v>
      </c>
      <c r="DN2362">
        <v>1</v>
      </c>
      <c r="DO2362">
        <v>0</v>
      </c>
      <c r="DP2362">
        <v>0</v>
      </c>
      <c r="DQ2362">
        <v>0</v>
      </c>
      <c r="DR2362">
        <v>0</v>
      </c>
      <c r="DS2362">
        <v>0</v>
      </c>
    </row>
    <row r="2363" spans="1:123" x14ac:dyDescent="0.3">
      <c r="A2363" t="str">
        <f t="shared" si="849"/>
        <v>10/04/2022 19:31:49.431</v>
      </c>
      <c r="C2363" t="str">
        <f t="shared" si="841"/>
        <v>FFDDD3C0</v>
      </c>
      <c r="D2363" t="s">
        <v>134</v>
      </c>
      <c r="E2363">
        <v>15</v>
      </c>
      <c r="J2363" t="s">
        <v>135</v>
      </c>
      <c r="K2363">
        <v>0</v>
      </c>
      <c r="L2363">
        <v>3</v>
      </c>
      <c r="M2363">
        <v>0</v>
      </c>
      <c r="N2363">
        <v>2</v>
      </c>
      <c r="O2363">
        <v>0</v>
      </c>
      <c r="P2363">
        <v>1</v>
      </c>
      <c r="Q2363">
        <v>0</v>
      </c>
      <c r="S2363" t="str">
        <f t="shared" si="847"/>
        <v>19:31:49.000</v>
      </c>
      <c r="T2363" t="str">
        <f t="shared" si="847"/>
        <v>19:31:49.000</v>
      </c>
      <c r="U2363" t="str">
        <f t="shared" si="829"/>
        <v>AC3944</v>
      </c>
      <c r="V2363">
        <v>0</v>
      </c>
      <c r="W2363">
        <v>0</v>
      </c>
      <c r="X2363">
        <v>2</v>
      </c>
      <c r="Y2363">
        <v>0</v>
      </c>
      <c r="AA2363">
        <v>1</v>
      </c>
      <c r="AB2363">
        <v>8</v>
      </c>
      <c r="AC2363">
        <v>3</v>
      </c>
      <c r="AD2363">
        <v>0</v>
      </c>
      <c r="AE2363">
        <v>9</v>
      </c>
      <c r="AF2363" t="s">
        <v>138</v>
      </c>
      <c r="AG2363">
        <v>0</v>
      </c>
      <c r="AH2363">
        <v>3</v>
      </c>
      <c r="AI2363">
        <v>1</v>
      </c>
      <c r="AJ2363">
        <v>0</v>
      </c>
      <c r="AK2363" t="s">
        <v>818</v>
      </c>
      <c r="AL2363">
        <v>32.762368000000002</v>
      </c>
      <c r="AM2363" t="s">
        <v>819</v>
      </c>
      <c r="AN2363">
        <v>-116.799452</v>
      </c>
      <c r="AO2363">
        <v>25</v>
      </c>
      <c r="AP2363">
        <v>3100</v>
      </c>
      <c r="AQ2363" t="s">
        <v>129</v>
      </c>
      <c r="AR2363">
        <v>120</v>
      </c>
      <c r="AS2363">
        <v>-58</v>
      </c>
      <c r="AT2363">
        <v>-64</v>
      </c>
      <c r="BB2363">
        <v>1200</v>
      </c>
      <c r="BC2363">
        <v>1</v>
      </c>
      <c r="BD2363" t="str">
        <f t="shared" si="830"/>
        <v xml:space="preserve">N887QR  </v>
      </c>
      <c r="BE2363">
        <v>1</v>
      </c>
      <c r="BJ2363">
        <v>2800</v>
      </c>
      <c r="BK2363">
        <v>-300</v>
      </c>
      <c r="BL2363" t="s">
        <v>163</v>
      </c>
      <c r="BM2363">
        <v>1</v>
      </c>
      <c r="BN2363">
        <v>1</v>
      </c>
      <c r="BO2363">
        <v>1</v>
      </c>
      <c r="BP2363">
        <v>0</v>
      </c>
      <c r="BS2363">
        <v>0.08</v>
      </c>
      <c r="BT2363">
        <v>0</v>
      </c>
      <c r="BU2363">
        <v>0</v>
      </c>
      <c r="CE2363" t="str">
        <f t="shared" si="848"/>
        <v>19:31:49.183</v>
      </c>
      <c r="CF2363">
        <v>182665185</v>
      </c>
      <c r="CS2363">
        <v>0</v>
      </c>
      <c r="CT2363">
        <v>2</v>
      </c>
      <c r="CU2363">
        <v>0</v>
      </c>
      <c r="CV2363">
        <v>2</v>
      </c>
      <c r="CW2363">
        <v>0</v>
      </c>
      <c r="CX2363">
        <v>5</v>
      </c>
      <c r="CY2363">
        <v>7</v>
      </c>
      <c r="CZ2363" t="s">
        <v>131</v>
      </c>
      <c r="DA2363">
        <v>300</v>
      </c>
      <c r="DB2363">
        <v>0</v>
      </c>
      <c r="DC2363" t="s">
        <v>176</v>
      </c>
      <c r="DD2363" t="s">
        <v>177</v>
      </c>
      <c r="DG2363">
        <v>5409751</v>
      </c>
      <c r="DI2363">
        <v>0</v>
      </c>
      <c r="DJ2363">
        <v>0</v>
      </c>
      <c r="DK2363">
        <v>1</v>
      </c>
      <c r="DL2363">
        <v>0</v>
      </c>
      <c r="DM2363">
        <v>0</v>
      </c>
      <c r="DN2363">
        <v>1</v>
      </c>
      <c r="DO2363">
        <v>0</v>
      </c>
      <c r="DP2363">
        <v>0</v>
      </c>
      <c r="DQ2363">
        <v>0</v>
      </c>
      <c r="DR2363">
        <v>0</v>
      </c>
      <c r="DS2363">
        <v>0</v>
      </c>
    </row>
    <row r="2364" spans="1:123" x14ac:dyDescent="0.3">
      <c r="A2364" t="str">
        <f t="shared" si="849"/>
        <v>10/04/2022 19:31:49.431</v>
      </c>
      <c r="C2364" t="str">
        <f t="shared" si="841"/>
        <v>FFDDD3C0</v>
      </c>
      <c r="D2364" t="s">
        <v>141</v>
      </c>
      <c r="E2364">
        <v>4</v>
      </c>
      <c r="H2364">
        <v>4</v>
      </c>
      <c r="I2364" t="s">
        <v>142</v>
      </c>
      <c r="J2364" t="s">
        <v>138</v>
      </c>
      <c r="K2364">
        <v>0</v>
      </c>
      <c r="L2364">
        <v>3</v>
      </c>
      <c r="M2364">
        <v>0</v>
      </c>
      <c r="N2364">
        <v>2</v>
      </c>
      <c r="O2364">
        <v>0</v>
      </c>
      <c r="P2364">
        <v>1</v>
      </c>
      <c r="Q2364">
        <v>0</v>
      </c>
      <c r="S2364" t="str">
        <f t="shared" si="847"/>
        <v>19:31:49.000</v>
      </c>
      <c r="T2364" t="str">
        <f t="shared" si="847"/>
        <v>19:31:49.000</v>
      </c>
      <c r="U2364" t="str">
        <f t="shared" si="829"/>
        <v>AC3944</v>
      </c>
      <c r="V2364">
        <v>0</v>
      </c>
      <c r="W2364">
        <v>0</v>
      </c>
      <c r="X2364">
        <v>2</v>
      </c>
      <c r="Y2364">
        <v>0</v>
      </c>
      <c r="AA2364">
        <v>1</v>
      </c>
      <c r="AB2364">
        <v>8</v>
      </c>
      <c r="AC2364">
        <v>3</v>
      </c>
      <c r="AD2364">
        <v>0</v>
      </c>
      <c r="AE2364">
        <v>9</v>
      </c>
      <c r="AF2364" t="s">
        <v>138</v>
      </c>
      <c r="AG2364">
        <v>0</v>
      </c>
      <c r="AH2364">
        <v>3</v>
      </c>
      <c r="AI2364">
        <v>1</v>
      </c>
      <c r="AJ2364">
        <v>0</v>
      </c>
      <c r="AK2364" t="s">
        <v>818</v>
      </c>
      <c r="AL2364">
        <v>32.762368000000002</v>
      </c>
      <c r="AM2364" t="s">
        <v>819</v>
      </c>
      <c r="AN2364">
        <v>-116.799452</v>
      </c>
      <c r="AO2364">
        <v>25</v>
      </c>
      <c r="AP2364">
        <v>3100</v>
      </c>
      <c r="AQ2364" t="s">
        <v>129</v>
      </c>
      <c r="AR2364">
        <v>120</v>
      </c>
      <c r="AS2364">
        <v>-58</v>
      </c>
      <c r="AT2364">
        <v>-64</v>
      </c>
      <c r="BB2364">
        <v>1200</v>
      </c>
      <c r="BC2364">
        <v>1</v>
      </c>
      <c r="BD2364" t="str">
        <f t="shared" si="830"/>
        <v xml:space="preserve">N887QR  </v>
      </c>
      <c r="BE2364">
        <v>1</v>
      </c>
      <c r="BJ2364">
        <v>2800</v>
      </c>
      <c r="BK2364">
        <v>-300</v>
      </c>
      <c r="BL2364" t="s">
        <v>163</v>
      </c>
      <c r="BM2364">
        <v>1</v>
      </c>
      <c r="BN2364">
        <v>1</v>
      </c>
      <c r="BO2364">
        <v>1</v>
      </c>
      <c r="BP2364">
        <v>0</v>
      </c>
      <c r="BS2364">
        <v>0.08</v>
      </c>
      <c r="BT2364">
        <v>0</v>
      </c>
      <c r="BU2364">
        <v>0</v>
      </c>
      <c r="CE2364" t="str">
        <f t="shared" si="848"/>
        <v>19:31:49.183</v>
      </c>
      <c r="CF2364">
        <v>182665185</v>
      </c>
      <c r="CS2364">
        <v>0</v>
      </c>
      <c r="CT2364">
        <v>2</v>
      </c>
      <c r="CU2364">
        <v>0</v>
      </c>
      <c r="CV2364">
        <v>2</v>
      </c>
      <c r="CW2364">
        <v>0</v>
      </c>
      <c r="CX2364">
        <v>5</v>
      </c>
      <c r="CY2364">
        <v>7</v>
      </c>
      <c r="CZ2364" t="s">
        <v>131</v>
      </c>
      <c r="DA2364">
        <v>300</v>
      </c>
      <c r="DB2364">
        <v>0</v>
      </c>
      <c r="DC2364" t="s">
        <v>176</v>
      </c>
      <c r="DD2364" t="s">
        <v>177</v>
      </c>
      <c r="DG2364">
        <v>5409751</v>
      </c>
      <c r="DI2364">
        <v>0</v>
      </c>
      <c r="DJ2364">
        <v>0</v>
      </c>
      <c r="DK2364">
        <v>1</v>
      </c>
      <c r="DL2364">
        <v>0</v>
      </c>
      <c r="DM2364">
        <v>0</v>
      </c>
      <c r="DN2364">
        <v>1</v>
      </c>
      <c r="DO2364">
        <v>0</v>
      </c>
      <c r="DP2364">
        <v>0</v>
      </c>
      <c r="DQ2364">
        <v>0</v>
      </c>
      <c r="DR2364">
        <v>0</v>
      </c>
      <c r="DS2364">
        <v>0</v>
      </c>
    </row>
    <row r="2365" spans="1:123" x14ac:dyDescent="0.3">
      <c r="A2365" t="str">
        <f t="shared" si="849"/>
        <v>10/04/2022 19:31:49.431</v>
      </c>
      <c r="C2365" t="str">
        <f t="shared" si="841"/>
        <v>FFDDD3C0</v>
      </c>
      <c r="D2365" t="s">
        <v>141</v>
      </c>
      <c r="E2365">
        <v>3</v>
      </c>
      <c r="H2365">
        <v>3</v>
      </c>
      <c r="I2365" t="s">
        <v>146</v>
      </c>
      <c r="J2365" t="s">
        <v>138</v>
      </c>
      <c r="K2365">
        <v>0</v>
      </c>
      <c r="L2365">
        <v>3</v>
      </c>
      <c r="M2365">
        <v>0</v>
      </c>
      <c r="N2365">
        <v>2</v>
      </c>
      <c r="O2365">
        <v>0</v>
      </c>
      <c r="P2365">
        <v>1</v>
      </c>
      <c r="Q2365">
        <v>0</v>
      </c>
      <c r="S2365" t="str">
        <f t="shared" si="847"/>
        <v>19:31:49.000</v>
      </c>
      <c r="T2365" t="str">
        <f t="shared" si="847"/>
        <v>19:31:49.000</v>
      </c>
      <c r="U2365" t="str">
        <f t="shared" si="829"/>
        <v>AC3944</v>
      </c>
      <c r="V2365">
        <v>0</v>
      </c>
      <c r="W2365">
        <v>0</v>
      </c>
      <c r="X2365">
        <v>2</v>
      </c>
      <c r="Y2365">
        <v>0</v>
      </c>
      <c r="AA2365">
        <v>1</v>
      </c>
      <c r="AB2365">
        <v>8</v>
      </c>
      <c r="AC2365">
        <v>3</v>
      </c>
      <c r="AD2365">
        <v>0</v>
      </c>
      <c r="AE2365">
        <v>9</v>
      </c>
      <c r="AF2365" t="s">
        <v>138</v>
      </c>
      <c r="AG2365">
        <v>0</v>
      </c>
      <c r="AH2365">
        <v>3</v>
      </c>
      <c r="AI2365">
        <v>1</v>
      </c>
      <c r="AJ2365">
        <v>0</v>
      </c>
      <c r="AK2365" t="s">
        <v>818</v>
      </c>
      <c r="AL2365">
        <v>32.762368000000002</v>
      </c>
      <c r="AM2365" t="s">
        <v>819</v>
      </c>
      <c r="AN2365">
        <v>-116.799452</v>
      </c>
      <c r="AO2365">
        <v>25</v>
      </c>
      <c r="AP2365">
        <v>3100</v>
      </c>
      <c r="AQ2365" t="s">
        <v>129</v>
      </c>
      <c r="AR2365">
        <v>120</v>
      </c>
      <c r="AS2365">
        <v>-58</v>
      </c>
      <c r="AT2365">
        <v>-64</v>
      </c>
      <c r="BB2365">
        <v>1200</v>
      </c>
      <c r="BC2365">
        <v>1</v>
      </c>
      <c r="BD2365" t="str">
        <f t="shared" si="830"/>
        <v xml:space="preserve">N887QR  </v>
      </c>
      <c r="BE2365">
        <v>1</v>
      </c>
      <c r="BJ2365">
        <v>2800</v>
      </c>
      <c r="BK2365">
        <v>-300</v>
      </c>
      <c r="BL2365" t="s">
        <v>163</v>
      </c>
      <c r="BM2365">
        <v>1</v>
      </c>
      <c r="BN2365">
        <v>1</v>
      </c>
      <c r="BO2365">
        <v>1</v>
      </c>
      <c r="BP2365">
        <v>0</v>
      </c>
      <c r="BS2365">
        <v>0.08</v>
      </c>
      <c r="BT2365">
        <v>0</v>
      </c>
      <c r="BU2365">
        <v>0</v>
      </c>
      <c r="CE2365" t="str">
        <f t="shared" si="848"/>
        <v>19:31:49.183</v>
      </c>
      <c r="CF2365">
        <v>182665185</v>
      </c>
      <c r="CS2365">
        <v>0</v>
      </c>
      <c r="CT2365">
        <v>2</v>
      </c>
      <c r="CU2365">
        <v>0</v>
      </c>
      <c r="CV2365">
        <v>2</v>
      </c>
      <c r="CW2365">
        <v>0</v>
      </c>
      <c r="CX2365">
        <v>5</v>
      </c>
      <c r="CY2365">
        <v>7</v>
      </c>
      <c r="CZ2365" t="s">
        <v>131</v>
      </c>
      <c r="DA2365">
        <v>300</v>
      </c>
      <c r="DB2365">
        <v>0</v>
      </c>
      <c r="DC2365" t="s">
        <v>176</v>
      </c>
      <c r="DD2365" t="s">
        <v>177</v>
      </c>
      <c r="DG2365">
        <v>5409751</v>
      </c>
      <c r="DI2365">
        <v>0</v>
      </c>
      <c r="DJ2365">
        <v>0</v>
      </c>
      <c r="DK2365">
        <v>1</v>
      </c>
      <c r="DL2365">
        <v>0</v>
      </c>
      <c r="DM2365">
        <v>0</v>
      </c>
      <c r="DN2365">
        <v>1</v>
      </c>
      <c r="DO2365">
        <v>0</v>
      </c>
      <c r="DP2365">
        <v>0</v>
      </c>
      <c r="DQ2365">
        <v>0</v>
      </c>
      <c r="DR2365">
        <v>0</v>
      </c>
      <c r="DS2365">
        <v>0</v>
      </c>
    </row>
    <row r="2366" spans="1:123" x14ac:dyDescent="0.3">
      <c r="A2366" t="str">
        <f t="shared" ref="A2366:A2371" si="850">"10/04/2022 19:31:51.120"</f>
        <v>10/04/2022 19:31:51.120</v>
      </c>
      <c r="C2366" t="str">
        <f t="shared" si="841"/>
        <v>FFDDD3C0</v>
      </c>
      <c r="D2366" t="s">
        <v>123</v>
      </c>
      <c r="E2366">
        <v>7</v>
      </c>
      <c r="F2366">
        <v>2007</v>
      </c>
      <c r="G2366" t="s">
        <v>124</v>
      </c>
      <c r="J2366" t="s">
        <v>125</v>
      </c>
      <c r="K2366">
        <v>0</v>
      </c>
      <c r="L2366">
        <v>3</v>
      </c>
      <c r="M2366">
        <v>0</v>
      </c>
      <c r="N2366">
        <v>2</v>
      </c>
      <c r="O2366">
        <v>0</v>
      </c>
      <c r="P2366">
        <v>1</v>
      </c>
      <c r="Q2366">
        <v>0</v>
      </c>
      <c r="S2366" t="str">
        <f t="shared" ref="S2366:T2372" si="851">"19:31:50.000"</f>
        <v>19:31:50.000</v>
      </c>
      <c r="T2366" t="str">
        <f t="shared" si="851"/>
        <v>19:31:50.000</v>
      </c>
      <c r="U2366" t="str">
        <f t="shared" si="829"/>
        <v>AC3944</v>
      </c>
      <c r="V2366">
        <v>0</v>
      </c>
      <c r="W2366">
        <v>0</v>
      </c>
      <c r="X2366">
        <v>2</v>
      </c>
      <c r="Y2366">
        <v>0</v>
      </c>
      <c r="AA2366">
        <v>1</v>
      </c>
      <c r="AB2366">
        <v>8</v>
      </c>
      <c r="AC2366">
        <v>3</v>
      </c>
      <c r="AD2366">
        <v>0</v>
      </c>
      <c r="AE2366">
        <v>9</v>
      </c>
      <c r="AF2366" t="s">
        <v>138</v>
      </c>
      <c r="AG2366">
        <v>0</v>
      </c>
      <c r="AH2366">
        <v>3</v>
      </c>
      <c r="AI2366">
        <v>1</v>
      </c>
      <c r="AJ2366">
        <v>0</v>
      </c>
      <c r="AK2366" t="s">
        <v>820</v>
      </c>
      <c r="AL2366">
        <v>32.761873999999999</v>
      </c>
      <c r="AM2366" t="s">
        <v>821</v>
      </c>
      <c r="AN2366">
        <v>-116.79825099999999</v>
      </c>
      <c r="AO2366">
        <v>25</v>
      </c>
      <c r="AP2366">
        <v>3100</v>
      </c>
      <c r="AQ2366" t="s">
        <v>129</v>
      </c>
      <c r="AR2366">
        <v>119</v>
      </c>
      <c r="AS2366">
        <v>-59</v>
      </c>
      <c r="AT2366">
        <v>-64</v>
      </c>
      <c r="BB2366">
        <v>1200</v>
      </c>
      <c r="BC2366">
        <v>1</v>
      </c>
      <c r="BD2366" t="str">
        <f t="shared" si="830"/>
        <v xml:space="preserve">N887QR  </v>
      </c>
      <c r="BE2366">
        <v>1</v>
      </c>
      <c r="BJ2366">
        <v>2800</v>
      </c>
      <c r="BK2366">
        <v>-300</v>
      </c>
      <c r="BL2366" t="s">
        <v>163</v>
      </c>
      <c r="BM2366">
        <v>1</v>
      </c>
      <c r="BN2366">
        <v>1</v>
      </c>
      <c r="BO2366">
        <v>1</v>
      </c>
      <c r="BP2366">
        <v>0</v>
      </c>
      <c r="BS2366">
        <v>0</v>
      </c>
      <c r="BT2366">
        <v>0</v>
      </c>
      <c r="BU2366">
        <v>0</v>
      </c>
      <c r="CE2366" t="str">
        <f t="shared" ref="CE2366:CE2372" si="852">"19:31:50.848"</f>
        <v>19:31:50.848</v>
      </c>
      <c r="CF2366">
        <v>848170830</v>
      </c>
      <c r="CS2366">
        <v>0</v>
      </c>
      <c r="CT2366">
        <v>2</v>
      </c>
      <c r="CU2366">
        <v>0</v>
      </c>
      <c r="CV2366">
        <v>2</v>
      </c>
      <c r="CW2366">
        <v>0</v>
      </c>
      <c r="CX2366">
        <v>5</v>
      </c>
      <c r="CY2366">
        <v>7</v>
      </c>
      <c r="CZ2366" t="s">
        <v>131</v>
      </c>
      <c r="DA2366">
        <v>300</v>
      </c>
      <c r="DB2366">
        <v>0</v>
      </c>
      <c r="DC2366" t="s">
        <v>176</v>
      </c>
      <c r="DD2366" t="s">
        <v>177</v>
      </c>
      <c r="DG2366">
        <v>5410039</v>
      </c>
      <c r="DI2366">
        <v>0</v>
      </c>
      <c r="DJ2366">
        <v>0</v>
      </c>
      <c r="DK2366">
        <v>0</v>
      </c>
      <c r="DL2366">
        <v>0</v>
      </c>
      <c r="DM2366">
        <v>0</v>
      </c>
      <c r="DN2366">
        <v>1</v>
      </c>
      <c r="DO2366">
        <v>0</v>
      </c>
      <c r="DP2366">
        <v>0</v>
      </c>
      <c r="DQ2366">
        <v>0</v>
      </c>
      <c r="DR2366">
        <v>0</v>
      </c>
      <c r="DS2366">
        <v>0</v>
      </c>
    </row>
    <row r="2367" spans="1:123" x14ac:dyDescent="0.3">
      <c r="A2367" t="str">
        <f t="shared" si="850"/>
        <v>10/04/2022 19:31:51.120</v>
      </c>
      <c r="C2367" t="str">
        <f t="shared" si="841"/>
        <v>FFDDD3C0</v>
      </c>
      <c r="D2367" t="s">
        <v>147</v>
      </c>
      <c r="E2367">
        <v>3</v>
      </c>
      <c r="H2367">
        <v>166</v>
      </c>
      <c r="I2367" t="s">
        <v>144</v>
      </c>
      <c r="J2367" t="s">
        <v>148</v>
      </c>
      <c r="K2367">
        <v>0</v>
      </c>
      <c r="L2367">
        <v>3</v>
      </c>
      <c r="M2367">
        <v>0</v>
      </c>
      <c r="N2367">
        <v>2</v>
      </c>
      <c r="O2367">
        <v>0</v>
      </c>
      <c r="P2367">
        <v>1</v>
      </c>
      <c r="Q2367">
        <v>0</v>
      </c>
      <c r="S2367" t="str">
        <f t="shared" si="851"/>
        <v>19:31:50.000</v>
      </c>
      <c r="T2367" t="str">
        <f t="shared" si="851"/>
        <v>19:31:50.000</v>
      </c>
      <c r="U2367" t="str">
        <f t="shared" si="829"/>
        <v>AC3944</v>
      </c>
      <c r="V2367">
        <v>0</v>
      </c>
      <c r="W2367">
        <v>0</v>
      </c>
      <c r="X2367">
        <v>2</v>
      </c>
      <c r="Y2367">
        <v>0</v>
      </c>
      <c r="AA2367">
        <v>1</v>
      </c>
      <c r="AB2367">
        <v>8</v>
      </c>
      <c r="AC2367">
        <v>3</v>
      </c>
      <c r="AD2367">
        <v>0</v>
      </c>
      <c r="AE2367">
        <v>9</v>
      </c>
      <c r="AF2367" t="s">
        <v>138</v>
      </c>
      <c r="AG2367">
        <v>0</v>
      </c>
      <c r="AH2367">
        <v>3</v>
      </c>
      <c r="AI2367">
        <v>1</v>
      </c>
      <c r="AJ2367">
        <v>0</v>
      </c>
      <c r="AK2367" t="s">
        <v>820</v>
      </c>
      <c r="AL2367">
        <v>32.761873999999999</v>
      </c>
      <c r="AM2367" t="s">
        <v>821</v>
      </c>
      <c r="AN2367">
        <v>-116.79825099999999</v>
      </c>
      <c r="AO2367">
        <v>25</v>
      </c>
      <c r="AP2367">
        <v>3100</v>
      </c>
      <c r="AQ2367" t="s">
        <v>129</v>
      </c>
      <c r="AR2367">
        <v>119</v>
      </c>
      <c r="AS2367">
        <v>-59</v>
      </c>
      <c r="AT2367">
        <v>-64</v>
      </c>
      <c r="BB2367">
        <v>1200</v>
      </c>
      <c r="BC2367">
        <v>1</v>
      </c>
      <c r="BD2367" t="str">
        <f t="shared" si="830"/>
        <v xml:space="preserve">N887QR  </v>
      </c>
      <c r="BE2367">
        <v>1</v>
      </c>
      <c r="BJ2367">
        <v>2800</v>
      </c>
      <c r="BK2367">
        <v>-300</v>
      </c>
      <c r="BL2367" t="s">
        <v>163</v>
      </c>
      <c r="BM2367">
        <v>1</v>
      </c>
      <c r="BN2367">
        <v>1</v>
      </c>
      <c r="BO2367">
        <v>1</v>
      </c>
      <c r="BP2367">
        <v>0</v>
      </c>
      <c r="BS2367">
        <v>0</v>
      </c>
      <c r="BT2367">
        <v>0</v>
      </c>
      <c r="BU2367">
        <v>0</v>
      </c>
      <c r="CE2367" t="str">
        <f t="shared" si="852"/>
        <v>19:31:50.848</v>
      </c>
      <c r="CF2367">
        <v>848170830</v>
      </c>
      <c r="CS2367">
        <v>0</v>
      </c>
      <c r="CT2367">
        <v>2</v>
      </c>
      <c r="CU2367">
        <v>0</v>
      </c>
      <c r="CV2367">
        <v>2</v>
      </c>
      <c r="CW2367">
        <v>0</v>
      </c>
      <c r="CX2367">
        <v>5</v>
      </c>
      <c r="CY2367">
        <v>7</v>
      </c>
      <c r="CZ2367" t="s">
        <v>131</v>
      </c>
      <c r="DA2367">
        <v>300</v>
      </c>
      <c r="DB2367">
        <v>0</v>
      </c>
      <c r="DC2367" t="s">
        <v>176</v>
      </c>
      <c r="DD2367" t="s">
        <v>177</v>
      </c>
      <c r="DG2367">
        <v>5410039</v>
      </c>
      <c r="DI2367">
        <v>0</v>
      </c>
      <c r="DJ2367">
        <v>0</v>
      </c>
      <c r="DK2367">
        <v>1</v>
      </c>
      <c r="DL2367">
        <v>0</v>
      </c>
      <c r="DM2367">
        <v>0</v>
      </c>
      <c r="DN2367">
        <v>1</v>
      </c>
      <c r="DO2367">
        <v>0</v>
      </c>
      <c r="DP2367">
        <v>0</v>
      </c>
      <c r="DQ2367">
        <v>0</v>
      </c>
      <c r="DR2367">
        <v>0</v>
      </c>
      <c r="DS2367">
        <v>0</v>
      </c>
    </row>
    <row r="2368" spans="1:123" x14ac:dyDescent="0.3">
      <c r="A2368" t="str">
        <f t="shared" si="850"/>
        <v>10/04/2022 19:31:51.120</v>
      </c>
      <c r="C2368" t="str">
        <f t="shared" si="841"/>
        <v>FFDDD3C0</v>
      </c>
      <c r="D2368" t="s">
        <v>136</v>
      </c>
      <c r="E2368">
        <v>8</v>
      </c>
      <c r="H2368">
        <v>225</v>
      </c>
      <c r="I2368" t="s">
        <v>137</v>
      </c>
      <c r="J2368" t="s">
        <v>138</v>
      </c>
      <c r="K2368">
        <v>0</v>
      </c>
      <c r="L2368">
        <v>3</v>
      </c>
      <c r="M2368">
        <v>0</v>
      </c>
      <c r="N2368">
        <v>2</v>
      </c>
      <c r="O2368">
        <v>0</v>
      </c>
      <c r="P2368">
        <v>1</v>
      </c>
      <c r="Q2368">
        <v>0</v>
      </c>
      <c r="S2368" t="str">
        <f t="shared" si="851"/>
        <v>19:31:50.000</v>
      </c>
      <c r="T2368" t="str">
        <f t="shared" si="851"/>
        <v>19:31:50.000</v>
      </c>
      <c r="U2368" t="str">
        <f t="shared" si="829"/>
        <v>AC3944</v>
      </c>
      <c r="V2368">
        <v>0</v>
      </c>
      <c r="W2368">
        <v>0</v>
      </c>
      <c r="X2368">
        <v>2</v>
      </c>
      <c r="Y2368">
        <v>0</v>
      </c>
      <c r="AA2368">
        <v>1</v>
      </c>
      <c r="AB2368">
        <v>8</v>
      </c>
      <c r="AC2368">
        <v>3</v>
      </c>
      <c r="AD2368">
        <v>0</v>
      </c>
      <c r="AE2368">
        <v>9</v>
      </c>
      <c r="AF2368" t="s">
        <v>138</v>
      </c>
      <c r="AG2368">
        <v>0</v>
      </c>
      <c r="AH2368">
        <v>3</v>
      </c>
      <c r="AI2368">
        <v>1</v>
      </c>
      <c r="AJ2368">
        <v>0</v>
      </c>
      <c r="AK2368" t="s">
        <v>820</v>
      </c>
      <c r="AL2368">
        <v>32.761873999999999</v>
      </c>
      <c r="AM2368" t="s">
        <v>821</v>
      </c>
      <c r="AN2368">
        <v>-116.79825099999999</v>
      </c>
      <c r="AO2368">
        <v>25</v>
      </c>
      <c r="AP2368">
        <v>3100</v>
      </c>
      <c r="AQ2368" t="s">
        <v>129</v>
      </c>
      <c r="AR2368">
        <v>119</v>
      </c>
      <c r="AS2368">
        <v>-59</v>
      </c>
      <c r="AT2368">
        <v>-64</v>
      </c>
      <c r="BB2368">
        <v>1200</v>
      </c>
      <c r="BC2368">
        <v>1</v>
      </c>
      <c r="BD2368" t="str">
        <f t="shared" si="830"/>
        <v xml:space="preserve">N887QR  </v>
      </c>
      <c r="BE2368">
        <v>1</v>
      </c>
      <c r="BJ2368">
        <v>2800</v>
      </c>
      <c r="BK2368">
        <v>-300</v>
      </c>
      <c r="BL2368" t="s">
        <v>163</v>
      </c>
      <c r="BM2368">
        <v>1</v>
      </c>
      <c r="BN2368">
        <v>1</v>
      </c>
      <c r="BO2368">
        <v>1</v>
      </c>
      <c r="BP2368">
        <v>0</v>
      </c>
      <c r="BS2368">
        <v>0</v>
      </c>
      <c r="BT2368">
        <v>0</v>
      </c>
      <c r="BU2368">
        <v>0</v>
      </c>
      <c r="CE2368" t="str">
        <f t="shared" si="852"/>
        <v>19:31:50.848</v>
      </c>
      <c r="CF2368">
        <v>848170830</v>
      </c>
      <c r="CS2368">
        <v>0</v>
      </c>
      <c r="CT2368">
        <v>2</v>
      </c>
      <c r="CU2368">
        <v>0</v>
      </c>
      <c r="CV2368">
        <v>2</v>
      </c>
      <c r="CW2368">
        <v>0</v>
      </c>
      <c r="CX2368">
        <v>5</v>
      </c>
      <c r="CY2368">
        <v>7</v>
      </c>
      <c r="CZ2368" t="s">
        <v>131</v>
      </c>
      <c r="DA2368">
        <v>300</v>
      </c>
      <c r="DB2368">
        <v>0</v>
      </c>
      <c r="DC2368" t="s">
        <v>176</v>
      </c>
      <c r="DD2368" t="s">
        <v>177</v>
      </c>
      <c r="DG2368">
        <v>5410039</v>
      </c>
      <c r="DI2368">
        <v>0</v>
      </c>
      <c r="DJ2368">
        <v>0</v>
      </c>
      <c r="DK2368">
        <v>1</v>
      </c>
      <c r="DL2368">
        <v>0</v>
      </c>
      <c r="DM2368">
        <v>0</v>
      </c>
      <c r="DN2368">
        <v>1</v>
      </c>
      <c r="DO2368">
        <v>0</v>
      </c>
      <c r="DP2368">
        <v>0</v>
      </c>
      <c r="DQ2368">
        <v>0</v>
      </c>
      <c r="DR2368">
        <v>0</v>
      </c>
      <c r="DS2368">
        <v>0</v>
      </c>
    </row>
    <row r="2369" spans="1:123" x14ac:dyDescent="0.3">
      <c r="A2369" t="str">
        <f t="shared" si="850"/>
        <v>10/04/2022 19:31:51.120</v>
      </c>
      <c r="C2369" t="str">
        <f t="shared" si="841"/>
        <v>FFDDD3C0</v>
      </c>
      <c r="D2369" t="s">
        <v>141</v>
      </c>
      <c r="E2369">
        <v>4</v>
      </c>
      <c r="H2369">
        <v>4</v>
      </c>
      <c r="I2369" t="s">
        <v>142</v>
      </c>
      <c r="J2369" t="s">
        <v>138</v>
      </c>
      <c r="K2369">
        <v>0</v>
      </c>
      <c r="L2369">
        <v>3</v>
      </c>
      <c r="M2369">
        <v>0</v>
      </c>
      <c r="N2369">
        <v>2</v>
      </c>
      <c r="O2369">
        <v>0</v>
      </c>
      <c r="P2369">
        <v>1</v>
      </c>
      <c r="Q2369">
        <v>0</v>
      </c>
      <c r="S2369" t="str">
        <f t="shared" si="851"/>
        <v>19:31:50.000</v>
      </c>
      <c r="T2369" t="str">
        <f t="shared" si="851"/>
        <v>19:31:50.000</v>
      </c>
      <c r="U2369" t="str">
        <f t="shared" si="829"/>
        <v>AC3944</v>
      </c>
      <c r="V2369">
        <v>0</v>
      </c>
      <c r="W2369">
        <v>0</v>
      </c>
      <c r="X2369">
        <v>2</v>
      </c>
      <c r="Y2369">
        <v>0</v>
      </c>
      <c r="AA2369">
        <v>1</v>
      </c>
      <c r="AB2369">
        <v>8</v>
      </c>
      <c r="AC2369">
        <v>3</v>
      </c>
      <c r="AD2369">
        <v>0</v>
      </c>
      <c r="AE2369">
        <v>9</v>
      </c>
      <c r="AF2369" t="s">
        <v>138</v>
      </c>
      <c r="AG2369">
        <v>0</v>
      </c>
      <c r="AH2369">
        <v>3</v>
      </c>
      <c r="AI2369">
        <v>1</v>
      </c>
      <c r="AJ2369">
        <v>0</v>
      </c>
      <c r="AK2369" t="s">
        <v>820</v>
      </c>
      <c r="AL2369">
        <v>32.761873999999999</v>
      </c>
      <c r="AM2369" t="s">
        <v>821</v>
      </c>
      <c r="AN2369">
        <v>-116.79825099999999</v>
      </c>
      <c r="AO2369">
        <v>25</v>
      </c>
      <c r="AP2369">
        <v>3100</v>
      </c>
      <c r="AQ2369" t="s">
        <v>129</v>
      </c>
      <c r="AR2369">
        <v>119</v>
      </c>
      <c r="AS2369">
        <v>-59</v>
      </c>
      <c r="AT2369">
        <v>-64</v>
      </c>
      <c r="BB2369">
        <v>1200</v>
      </c>
      <c r="BC2369">
        <v>1</v>
      </c>
      <c r="BD2369" t="str">
        <f t="shared" si="830"/>
        <v xml:space="preserve">N887QR  </v>
      </c>
      <c r="BE2369">
        <v>1</v>
      </c>
      <c r="BJ2369">
        <v>2800</v>
      </c>
      <c r="BK2369">
        <v>-300</v>
      </c>
      <c r="BL2369" t="s">
        <v>163</v>
      </c>
      <c r="BM2369">
        <v>1</v>
      </c>
      <c r="BN2369">
        <v>1</v>
      </c>
      <c r="BO2369">
        <v>1</v>
      </c>
      <c r="BP2369">
        <v>0</v>
      </c>
      <c r="BS2369">
        <v>0</v>
      </c>
      <c r="BT2369">
        <v>0</v>
      </c>
      <c r="BU2369">
        <v>0</v>
      </c>
      <c r="CE2369" t="str">
        <f t="shared" si="852"/>
        <v>19:31:50.848</v>
      </c>
      <c r="CF2369">
        <v>848170830</v>
      </c>
      <c r="CS2369">
        <v>0</v>
      </c>
      <c r="CT2369">
        <v>2</v>
      </c>
      <c r="CU2369">
        <v>0</v>
      </c>
      <c r="CV2369">
        <v>2</v>
      </c>
      <c r="CW2369">
        <v>0</v>
      </c>
      <c r="CX2369">
        <v>5</v>
      </c>
      <c r="CY2369">
        <v>7</v>
      </c>
      <c r="CZ2369" t="s">
        <v>131</v>
      </c>
      <c r="DA2369">
        <v>300</v>
      </c>
      <c r="DB2369">
        <v>0</v>
      </c>
      <c r="DC2369" t="s">
        <v>176</v>
      </c>
      <c r="DD2369" t="s">
        <v>177</v>
      </c>
      <c r="DG2369">
        <v>5410039</v>
      </c>
      <c r="DI2369">
        <v>0</v>
      </c>
      <c r="DJ2369">
        <v>0</v>
      </c>
      <c r="DK2369">
        <v>1</v>
      </c>
      <c r="DL2369">
        <v>0</v>
      </c>
      <c r="DM2369">
        <v>0</v>
      </c>
      <c r="DN2369">
        <v>1</v>
      </c>
      <c r="DO2369">
        <v>0</v>
      </c>
      <c r="DP2369">
        <v>0</v>
      </c>
      <c r="DQ2369">
        <v>0</v>
      </c>
      <c r="DR2369">
        <v>0</v>
      </c>
      <c r="DS2369">
        <v>0</v>
      </c>
    </row>
    <row r="2370" spans="1:123" x14ac:dyDescent="0.3">
      <c r="A2370" t="str">
        <f t="shared" si="850"/>
        <v>10/04/2022 19:31:51.120</v>
      </c>
      <c r="C2370" t="str">
        <f t="shared" si="841"/>
        <v>FFDDD3C0</v>
      </c>
      <c r="D2370" t="s">
        <v>134</v>
      </c>
      <c r="E2370">
        <v>15</v>
      </c>
      <c r="J2370" t="s">
        <v>135</v>
      </c>
      <c r="K2370">
        <v>0</v>
      </c>
      <c r="L2370">
        <v>3</v>
      </c>
      <c r="M2370">
        <v>0</v>
      </c>
      <c r="N2370">
        <v>2</v>
      </c>
      <c r="O2370">
        <v>0</v>
      </c>
      <c r="P2370">
        <v>1</v>
      </c>
      <c r="Q2370">
        <v>0</v>
      </c>
      <c r="S2370" t="str">
        <f t="shared" si="851"/>
        <v>19:31:50.000</v>
      </c>
      <c r="T2370" t="str">
        <f t="shared" si="851"/>
        <v>19:31:50.000</v>
      </c>
      <c r="U2370" t="str">
        <f t="shared" ref="U2370:U2433" si="853">"AC3944"</f>
        <v>AC3944</v>
      </c>
      <c r="V2370">
        <v>0</v>
      </c>
      <c r="W2370">
        <v>0</v>
      </c>
      <c r="X2370">
        <v>2</v>
      </c>
      <c r="Y2370">
        <v>0</v>
      </c>
      <c r="AA2370">
        <v>1</v>
      </c>
      <c r="AB2370">
        <v>8</v>
      </c>
      <c r="AC2370">
        <v>3</v>
      </c>
      <c r="AD2370">
        <v>0</v>
      </c>
      <c r="AE2370">
        <v>9</v>
      </c>
      <c r="AF2370" t="s">
        <v>138</v>
      </c>
      <c r="AG2370">
        <v>0</v>
      </c>
      <c r="AH2370">
        <v>3</v>
      </c>
      <c r="AI2370">
        <v>1</v>
      </c>
      <c r="AJ2370">
        <v>0</v>
      </c>
      <c r="AK2370" t="s">
        <v>820</v>
      </c>
      <c r="AL2370">
        <v>32.761873999999999</v>
      </c>
      <c r="AM2370" t="s">
        <v>821</v>
      </c>
      <c r="AN2370">
        <v>-116.79825099999999</v>
      </c>
      <c r="AO2370">
        <v>25</v>
      </c>
      <c r="AP2370">
        <v>3100</v>
      </c>
      <c r="AQ2370" t="s">
        <v>129</v>
      </c>
      <c r="AR2370">
        <v>119</v>
      </c>
      <c r="AS2370">
        <v>-59</v>
      </c>
      <c r="AT2370">
        <v>-64</v>
      </c>
      <c r="BB2370">
        <v>1200</v>
      </c>
      <c r="BC2370">
        <v>1</v>
      </c>
      <c r="BD2370" t="str">
        <f t="shared" ref="BD2370:BD2433" si="854">"N887QR  "</f>
        <v xml:space="preserve">N887QR  </v>
      </c>
      <c r="BE2370">
        <v>1</v>
      </c>
      <c r="BJ2370">
        <v>2800</v>
      </c>
      <c r="BK2370">
        <v>-300</v>
      </c>
      <c r="BL2370" t="s">
        <v>163</v>
      </c>
      <c r="BM2370">
        <v>1</v>
      </c>
      <c r="BN2370">
        <v>1</v>
      </c>
      <c r="BO2370">
        <v>1</v>
      </c>
      <c r="BP2370">
        <v>0</v>
      </c>
      <c r="BS2370">
        <v>0</v>
      </c>
      <c r="BT2370">
        <v>0</v>
      </c>
      <c r="BU2370">
        <v>0</v>
      </c>
      <c r="CE2370" t="str">
        <f t="shared" si="852"/>
        <v>19:31:50.848</v>
      </c>
      <c r="CF2370">
        <v>848170830</v>
      </c>
      <c r="CS2370">
        <v>0</v>
      </c>
      <c r="CT2370">
        <v>2</v>
      </c>
      <c r="CU2370">
        <v>0</v>
      </c>
      <c r="CV2370">
        <v>2</v>
      </c>
      <c r="CW2370">
        <v>0</v>
      </c>
      <c r="CX2370">
        <v>5</v>
      </c>
      <c r="CY2370">
        <v>7</v>
      </c>
      <c r="CZ2370" t="s">
        <v>131</v>
      </c>
      <c r="DA2370">
        <v>300</v>
      </c>
      <c r="DB2370">
        <v>0</v>
      </c>
      <c r="DC2370" t="s">
        <v>176</v>
      </c>
      <c r="DD2370" t="s">
        <v>177</v>
      </c>
      <c r="DG2370">
        <v>5410039</v>
      </c>
      <c r="DI2370">
        <v>0</v>
      </c>
      <c r="DJ2370">
        <v>0</v>
      </c>
      <c r="DK2370">
        <v>1</v>
      </c>
      <c r="DL2370">
        <v>0</v>
      </c>
      <c r="DM2370">
        <v>0</v>
      </c>
      <c r="DN2370">
        <v>1</v>
      </c>
      <c r="DO2370">
        <v>0</v>
      </c>
      <c r="DP2370">
        <v>0</v>
      </c>
      <c r="DQ2370">
        <v>0</v>
      </c>
      <c r="DR2370">
        <v>0</v>
      </c>
      <c r="DS2370">
        <v>0</v>
      </c>
    </row>
    <row r="2371" spans="1:123" x14ac:dyDescent="0.3">
      <c r="A2371" t="str">
        <f t="shared" si="850"/>
        <v>10/04/2022 19:31:51.120</v>
      </c>
      <c r="C2371" t="str">
        <f t="shared" si="841"/>
        <v>FFDDD3C0</v>
      </c>
      <c r="D2371" t="s">
        <v>141</v>
      </c>
      <c r="E2371">
        <v>3</v>
      </c>
      <c r="H2371">
        <v>3</v>
      </c>
      <c r="I2371" t="s">
        <v>146</v>
      </c>
      <c r="J2371" t="s">
        <v>138</v>
      </c>
      <c r="K2371">
        <v>0</v>
      </c>
      <c r="L2371">
        <v>3</v>
      </c>
      <c r="M2371">
        <v>0</v>
      </c>
      <c r="N2371">
        <v>2</v>
      </c>
      <c r="O2371">
        <v>0</v>
      </c>
      <c r="P2371">
        <v>1</v>
      </c>
      <c r="Q2371">
        <v>0</v>
      </c>
      <c r="S2371" t="str">
        <f t="shared" si="851"/>
        <v>19:31:50.000</v>
      </c>
      <c r="T2371" t="str">
        <f t="shared" si="851"/>
        <v>19:31:50.000</v>
      </c>
      <c r="U2371" t="str">
        <f t="shared" si="853"/>
        <v>AC3944</v>
      </c>
      <c r="V2371">
        <v>0</v>
      </c>
      <c r="W2371">
        <v>0</v>
      </c>
      <c r="X2371">
        <v>2</v>
      </c>
      <c r="Y2371">
        <v>0</v>
      </c>
      <c r="AA2371">
        <v>1</v>
      </c>
      <c r="AB2371">
        <v>8</v>
      </c>
      <c r="AC2371">
        <v>3</v>
      </c>
      <c r="AD2371">
        <v>0</v>
      </c>
      <c r="AE2371">
        <v>9</v>
      </c>
      <c r="AF2371" t="s">
        <v>138</v>
      </c>
      <c r="AG2371">
        <v>0</v>
      </c>
      <c r="AH2371">
        <v>3</v>
      </c>
      <c r="AI2371">
        <v>1</v>
      </c>
      <c r="AJ2371">
        <v>0</v>
      </c>
      <c r="AK2371" t="s">
        <v>820</v>
      </c>
      <c r="AL2371">
        <v>32.761873999999999</v>
      </c>
      <c r="AM2371" t="s">
        <v>821</v>
      </c>
      <c r="AN2371">
        <v>-116.79825099999999</v>
      </c>
      <c r="AO2371">
        <v>25</v>
      </c>
      <c r="AP2371">
        <v>3100</v>
      </c>
      <c r="AQ2371" t="s">
        <v>129</v>
      </c>
      <c r="AR2371">
        <v>119</v>
      </c>
      <c r="AS2371">
        <v>-59</v>
      </c>
      <c r="AT2371">
        <v>-64</v>
      </c>
      <c r="BB2371">
        <v>1200</v>
      </c>
      <c r="BC2371">
        <v>1</v>
      </c>
      <c r="BD2371" t="str">
        <f t="shared" si="854"/>
        <v xml:space="preserve">N887QR  </v>
      </c>
      <c r="BE2371">
        <v>1</v>
      </c>
      <c r="BJ2371">
        <v>2800</v>
      </c>
      <c r="BK2371">
        <v>-300</v>
      </c>
      <c r="BL2371" t="s">
        <v>163</v>
      </c>
      <c r="BM2371">
        <v>1</v>
      </c>
      <c r="BN2371">
        <v>1</v>
      </c>
      <c r="BO2371">
        <v>1</v>
      </c>
      <c r="BP2371">
        <v>0</v>
      </c>
      <c r="BS2371">
        <v>0</v>
      </c>
      <c r="BT2371">
        <v>0</v>
      </c>
      <c r="BU2371">
        <v>0</v>
      </c>
      <c r="CE2371" t="str">
        <f t="shared" si="852"/>
        <v>19:31:50.848</v>
      </c>
      <c r="CF2371">
        <v>848170830</v>
      </c>
      <c r="CS2371">
        <v>0</v>
      </c>
      <c r="CT2371">
        <v>2</v>
      </c>
      <c r="CU2371">
        <v>0</v>
      </c>
      <c r="CV2371">
        <v>2</v>
      </c>
      <c r="CW2371">
        <v>0</v>
      </c>
      <c r="CX2371">
        <v>5</v>
      </c>
      <c r="CY2371">
        <v>7</v>
      </c>
      <c r="CZ2371" t="s">
        <v>131</v>
      </c>
      <c r="DA2371">
        <v>300</v>
      </c>
      <c r="DB2371">
        <v>0</v>
      </c>
      <c r="DC2371" t="s">
        <v>176</v>
      </c>
      <c r="DD2371" t="s">
        <v>177</v>
      </c>
      <c r="DG2371">
        <v>5410039</v>
      </c>
      <c r="DI2371">
        <v>0</v>
      </c>
      <c r="DJ2371">
        <v>0</v>
      </c>
      <c r="DK2371">
        <v>1</v>
      </c>
      <c r="DL2371">
        <v>0</v>
      </c>
      <c r="DM2371">
        <v>0</v>
      </c>
      <c r="DN2371">
        <v>1</v>
      </c>
      <c r="DO2371">
        <v>0</v>
      </c>
      <c r="DP2371">
        <v>0</v>
      </c>
      <c r="DQ2371">
        <v>0</v>
      </c>
      <c r="DR2371">
        <v>0</v>
      </c>
      <c r="DS2371">
        <v>0</v>
      </c>
    </row>
    <row r="2372" spans="1:123" x14ac:dyDescent="0.3">
      <c r="A2372" t="str">
        <f>"10/04/2022 19:31:51.151"</f>
        <v>10/04/2022 19:31:51.151</v>
      </c>
      <c r="C2372" t="str">
        <f t="shared" si="841"/>
        <v>FFDDD3C0</v>
      </c>
      <c r="D2372" t="s">
        <v>143</v>
      </c>
      <c r="E2372">
        <v>20</v>
      </c>
      <c r="F2372">
        <v>1020</v>
      </c>
      <c r="G2372" t="s">
        <v>144</v>
      </c>
      <c r="J2372" t="s">
        <v>145</v>
      </c>
      <c r="K2372">
        <v>0</v>
      </c>
      <c r="L2372">
        <v>3</v>
      </c>
      <c r="M2372">
        <v>0</v>
      </c>
      <c r="N2372">
        <v>2</v>
      </c>
      <c r="O2372">
        <v>0</v>
      </c>
      <c r="P2372">
        <v>1</v>
      </c>
      <c r="Q2372">
        <v>0</v>
      </c>
      <c r="S2372" t="str">
        <f t="shared" si="851"/>
        <v>19:31:50.000</v>
      </c>
      <c r="T2372" t="str">
        <f t="shared" si="851"/>
        <v>19:31:50.000</v>
      </c>
      <c r="U2372" t="str">
        <f t="shared" si="853"/>
        <v>AC3944</v>
      </c>
      <c r="V2372">
        <v>0</v>
      </c>
      <c r="W2372">
        <v>0</v>
      </c>
      <c r="X2372">
        <v>2</v>
      </c>
      <c r="Y2372">
        <v>0</v>
      </c>
      <c r="AA2372">
        <v>1</v>
      </c>
      <c r="AB2372">
        <v>8</v>
      </c>
      <c r="AC2372">
        <v>3</v>
      </c>
      <c r="AD2372">
        <v>0</v>
      </c>
      <c r="AE2372">
        <v>9</v>
      </c>
      <c r="AF2372" t="s">
        <v>138</v>
      </c>
      <c r="AG2372">
        <v>0</v>
      </c>
      <c r="AH2372">
        <v>3</v>
      </c>
      <c r="AI2372">
        <v>1</v>
      </c>
      <c r="AJ2372">
        <v>0</v>
      </c>
      <c r="AK2372" t="s">
        <v>820</v>
      </c>
      <c r="AL2372">
        <v>32.761873999999999</v>
      </c>
      <c r="AM2372" t="s">
        <v>821</v>
      </c>
      <c r="AN2372">
        <v>-116.79825099999999</v>
      </c>
      <c r="AO2372">
        <v>25</v>
      </c>
      <c r="AP2372">
        <v>3100</v>
      </c>
      <c r="AQ2372" t="s">
        <v>129</v>
      </c>
      <c r="AR2372">
        <v>119</v>
      </c>
      <c r="AS2372">
        <v>-59</v>
      </c>
      <c r="AT2372">
        <v>-64</v>
      </c>
      <c r="BB2372">
        <v>1200</v>
      </c>
      <c r="BC2372">
        <v>1</v>
      </c>
      <c r="BD2372" t="str">
        <f t="shared" si="854"/>
        <v xml:space="preserve">N887QR  </v>
      </c>
      <c r="BE2372">
        <v>1</v>
      </c>
      <c r="BJ2372">
        <v>2800</v>
      </c>
      <c r="BK2372">
        <v>-300</v>
      </c>
      <c r="BL2372" t="s">
        <v>163</v>
      </c>
      <c r="BM2372">
        <v>1</v>
      </c>
      <c r="BN2372">
        <v>1</v>
      </c>
      <c r="BO2372">
        <v>1</v>
      </c>
      <c r="BP2372">
        <v>0</v>
      </c>
      <c r="BS2372">
        <v>0</v>
      </c>
      <c r="BT2372">
        <v>0</v>
      </c>
      <c r="BU2372">
        <v>0</v>
      </c>
      <c r="CE2372" t="str">
        <f t="shared" si="852"/>
        <v>19:31:50.848</v>
      </c>
      <c r="CF2372">
        <v>848170830</v>
      </c>
      <c r="CS2372">
        <v>0</v>
      </c>
      <c r="CT2372">
        <v>2</v>
      </c>
      <c r="CU2372">
        <v>0</v>
      </c>
      <c r="CV2372">
        <v>2</v>
      </c>
      <c r="CW2372">
        <v>0</v>
      </c>
      <c r="CX2372">
        <v>5</v>
      </c>
      <c r="CY2372">
        <v>7</v>
      </c>
      <c r="CZ2372" t="s">
        <v>131</v>
      </c>
      <c r="DA2372">
        <v>300</v>
      </c>
      <c r="DB2372">
        <v>0</v>
      </c>
      <c r="DC2372" t="s">
        <v>176</v>
      </c>
      <c r="DD2372" t="s">
        <v>177</v>
      </c>
      <c r="DG2372">
        <v>5410039</v>
      </c>
      <c r="DI2372">
        <v>0</v>
      </c>
      <c r="DJ2372">
        <v>0</v>
      </c>
      <c r="DK2372">
        <v>0</v>
      </c>
      <c r="DL2372">
        <v>0</v>
      </c>
      <c r="DM2372">
        <v>0</v>
      </c>
      <c r="DN2372">
        <v>1</v>
      </c>
      <c r="DO2372">
        <v>0</v>
      </c>
      <c r="DP2372">
        <v>0</v>
      </c>
      <c r="DQ2372">
        <v>0</v>
      </c>
      <c r="DR2372">
        <v>0</v>
      </c>
      <c r="DS2372">
        <v>0</v>
      </c>
    </row>
    <row r="2373" spans="1:123" x14ac:dyDescent="0.3">
      <c r="A2373" t="str">
        <f t="shared" ref="A2373:A2379" si="855">"10/04/2022 19:31:52.400"</f>
        <v>10/04/2022 19:31:52.400</v>
      </c>
      <c r="C2373" t="str">
        <f t="shared" si="841"/>
        <v>FFDDD3C0</v>
      </c>
      <c r="D2373" t="s">
        <v>141</v>
      </c>
      <c r="E2373">
        <v>3</v>
      </c>
      <c r="H2373">
        <v>3</v>
      </c>
      <c r="I2373" t="s">
        <v>146</v>
      </c>
      <c r="J2373" t="s">
        <v>138</v>
      </c>
      <c r="K2373">
        <v>0</v>
      </c>
      <c r="L2373">
        <v>3</v>
      </c>
      <c r="M2373">
        <v>0</v>
      </c>
      <c r="N2373">
        <v>2</v>
      </c>
      <c r="O2373">
        <v>0</v>
      </c>
      <c r="P2373">
        <v>1</v>
      </c>
      <c r="Q2373">
        <v>0</v>
      </c>
      <c r="S2373" t="str">
        <f t="shared" ref="S2373:T2379" si="856">"19:31:52.000"</f>
        <v>19:31:52.000</v>
      </c>
      <c r="T2373" t="str">
        <f t="shared" si="856"/>
        <v>19:31:52.000</v>
      </c>
      <c r="U2373" t="str">
        <f t="shared" si="853"/>
        <v>AC3944</v>
      </c>
      <c r="V2373">
        <v>0</v>
      </c>
      <c r="W2373">
        <v>0</v>
      </c>
      <c r="X2373">
        <v>2</v>
      </c>
      <c r="Y2373">
        <v>0</v>
      </c>
      <c r="AA2373">
        <v>1</v>
      </c>
      <c r="AB2373">
        <v>8</v>
      </c>
      <c r="AC2373">
        <v>3</v>
      </c>
      <c r="AD2373">
        <v>0</v>
      </c>
      <c r="AE2373">
        <v>9</v>
      </c>
      <c r="AF2373" t="s">
        <v>138</v>
      </c>
      <c r="AG2373">
        <v>0</v>
      </c>
      <c r="AH2373">
        <v>3</v>
      </c>
      <c r="AI2373">
        <v>1</v>
      </c>
      <c r="AJ2373">
        <v>0</v>
      </c>
      <c r="AK2373" t="s">
        <v>822</v>
      </c>
      <c r="AL2373">
        <v>32.761552000000002</v>
      </c>
      <c r="AM2373" t="s">
        <v>823</v>
      </c>
      <c r="AN2373">
        <v>-116.79745699999999</v>
      </c>
      <c r="AO2373">
        <v>25</v>
      </c>
      <c r="AP2373">
        <v>3100</v>
      </c>
      <c r="AQ2373" t="s">
        <v>129</v>
      </c>
      <c r="AR2373">
        <v>117</v>
      </c>
      <c r="AS2373">
        <v>-61</v>
      </c>
      <c r="AT2373">
        <v>-64</v>
      </c>
      <c r="BB2373">
        <v>1200</v>
      </c>
      <c r="BC2373">
        <v>1</v>
      </c>
      <c r="BD2373" t="str">
        <f t="shared" si="854"/>
        <v xml:space="preserve">N887QR  </v>
      </c>
      <c r="BE2373">
        <v>1</v>
      </c>
      <c r="BJ2373">
        <v>2825</v>
      </c>
      <c r="BK2373">
        <v>-275</v>
      </c>
      <c r="BL2373" t="s">
        <v>163</v>
      </c>
      <c r="BM2373">
        <v>1</v>
      </c>
      <c r="BN2373">
        <v>1</v>
      </c>
      <c r="BO2373">
        <v>1</v>
      </c>
      <c r="BP2373">
        <v>0</v>
      </c>
      <c r="BS2373">
        <v>0</v>
      </c>
      <c r="BT2373">
        <v>0</v>
      </c>
      <c r="BU2373">
        <v>0</v>
      </c>
      <c r="CE2373" t="str">
        <f t="shared" ref="CE2373:CE2379" si="857">"19:31:52.155"</f>
        <v>19:31:52.155</v>
      </c>
      <c r="CF2373">
        <v>155175167</v>
      </c>
      <c r="CS2373">
        <v>0</v>
      </c>
      <c r="CT2373">
        <v>2</v>
      </c>
      <c r="CU2373">
        <v>0</v>
      </c>
      <c r="CV2373">
        <v>2</v>
      </c>
      <c r="CW2373">
        <v>0</v>
      </c>
      <c r="CX2373">
        <v>5</v>
      </c>
      <c r="CY2373">
        <v>7</v>
      </c>
      <c r="CZ2373" t="s">
        <v>131</v>
      </c>
      <c r="DA2373">
        <v>300</v>
      </c>
      <c r="DB2373">
        <v>0</v>
      </c>
      <c r="DC2373" t="s">
        <v>176</v>
      </c>
      <c r="DD2373" t="s">
        <v>177</v>
      </c>
      <c r="DG2373">
        <v>5410250</v>
      </c>
      <c r="DI2373">
        <v>1</v>
      </c>
      <c r="DJ2373">
        <v>0</v>
      </c>
      <c r="DK2373">
        <v>0</v>
      </c>
      <c r="DL2373">
        <v>0</v>
      </c>
      <c r="DM2373">
        <v>0</v>
      </c>
      <c r="DN2373">
        <v>1</v>
      </c>
      <c r="DO2373">
        <v>0</v>
      </c>
      <c r="DP2373">
        <v>0</v>
      </c>
      <c r="DQ2373">
        <v>0</v>
      </c>
      <c r="DR2373">
        <v>0</v>
      </c>
      <c r="DS2373">
        <v>0</v>
      </c>
    </row>
    <row r="2374" spans="1:123" x14ac:dyDescent="0.3">
      <c r="A2374" t="str">
        <f t="shared" si="855"/>
        <v>10/04/2022 19:31:52.400</v>
      </c>
      <c r="C2374" t="str">
        <f t="shared" si="841"/>
        <v>FFDDD3C0</v>
      </c>
      <c r="D2374" t="s">
        <v>123</v>
      </c>
      <c r="E2374">
        <v>7</v>
      </c>
      <c r="F2374">
        <v>2007</v>
      </c>
      <c r="G2374" t="s">
        <v>124</v>
      </c>
      <c r="J2374" t="s">
        <v>125</v>
      </c>
      <c r="K2374">
        <v>0</v>
      </c>
      <c r="L2374">
        <v>3</v>
      </c>
      <c r="M2374">
        <v>0</v>
      </c>
      <c r="N2374">
        <v>2</v>
      </c>
      <c r="O2374">
        <v>0</v>
      </c>
      <c r="P2374">
        <v>1</v>
      </c>
      <c r="Q2374">
        <v>0</v>
      </c>
      <c r="S2374" t="str">
        <f t="shared" si="856"/>
        <v>19:31:52.000</v>
      </c>
      <c r="T2374" t="str">
        <f t="shared" si="856"/>
        <v>19:31:52.000</v>
      </c>
      <c r="U2374" t="str">
        <f t="shared" si="853"/>
        <v>AC3944</v>
      </c>
      <c r="V2374">
        <v>0</v>
      </c>
      <c r="W2374">
        <v>0</v>
      </c>
      <c r="X2374">
        <v>2</v>
      </c>
      <c r="Y2374">
        <v>0</v>
      </c>
      <c r="AA2374">
        <v>1</v>
      </c>
      <c r="AB2374">
        <v>8</v>
      </c>
      <c r="AC2374">
        <v>3</v>
      </c>
      <c r="AD2374">
        <v>0</v>
      </c>
      <c r="AE2374">
        <v>9</v>
      </c>
      <c r="AF2374" t="s">
        <v>138</v>
      </c>
      <c r="AG2374">
        <v>0</v>
      </c>
      <c r="AH2374">
        <v>3</v>
      </c>
      <c r="AI2374">
        <v>1</v>
      </c>
      <c r="AJ2374">
        <v>0</v>
      </c>
      <c r="AK2374" t="s">
        <v>822</v>
      </c>
      <c r="AL2374">
        <v>32.761552000000002</v>
      </c>
      <c r="AM2374" t="s">
        <v>823</v>
      </c>
      <c r="AN2374">
        <v>-116.79745699999999</v>
      </c>
      <c r="AO2374">
        <v>25</v>
      </c>
      <c r="AP2374">
        <v>3100</v>
      </c>
      <c r="AQ2374" t="s">
        <v>129</v>
      </c>
      <c r="AR2374">
        <v>117</v>
      </c>
      <c r="AS2374">
        <v>-61</v>
      </c>
      <c r="AT2374">
        <v>-64</v>
      </c>
      <c r="BB2374">
        <v>1200</v>
      </c>
      <c r="BC2374">
        <v>1</v>
      </c>
      <c r="BD2374" t="str">
        <f t="shared" si="854"/>
        <v xml:space="preserve">N887QR  </v>
      </c>
      <c r="BE2374">
        <v>1</v>
      </c>
      <c r="BJ2374">
        <v>2825</v>
      </c>
      <c r="BK2374">
        <v>-275</v>
      </c>
      <c r="BL2374" t="s">
        <v>163</v>
      </c>
      <c r="BM2374">
        <v>1</v>
      </c>
      <c r="BN2374">
        <v>1</v>
      </c>
      <c r="BO2374">
        <v>1</v>
      </c>
      <c r="BP2374">
        <v>0</v>
      </c>
      <c r="BS2374">
        <v>0</v>
      </c>
      <c r="BT2374">
        <v>0</v>
      </c>
      <c r="BU2374">
        <v>0</v>
      </c>
      <c r="CE2374" t="str">
        <f t="shared" si="857"/>
        <v>19:31:52.155</v>
      </c>
      <c r="CF2374">
        <v>155175167</v>
      </c>
      <c r="CS2374">
        <v>0</v>
      </c>
      <c r="CT2374">
        <v>2</v>
      </c>
      <c r="CU2374">
        <v>0</v>
      </c>
      <c r="CV2374">
        <v>2</v>
      </c>
      <c r="CW2374">
        <v>0</v>
      </c>
      <c r="CX2374">
        <v>5</v>
      </c>
      <c r="CY2374">
        <v>7</v>
      </c>
      <c r="CZ2374" t="s">
        <v>131</v>
      </c>
      <c r="DA2374">
        <v>300</v>
      </c>
      <c r="DB2374">
        <v>0</v>
      </c>
      <c r="DC2374" t="s">
        <v>176</v>
      </c>
      <c r="DD2374" t="s">
        <v>177</v>
      </c>
      <c r="DG2374">
        <v>5410250</v>
      </c>
      <c r="DI2374">
        <v>1</v>
      </c>
      <c r="DJ2374">
        <v>0</v>
      </c>
      <c r="DK2374">
        <v>1</v>
      </c>
      <c r="DL2374">
        <v>0</v>
      </c>
      <c r="DM2374">
        <v>0</v>
      </c>
      <c r="DN2374">
        <v>1</v>
      </c>
      <c r="DO2374">
        <v>0</v>
      </c>
      <c r="DP2374">
        <v>0</v>
      </c>
      <c r="DQ2374">
        <v>0</v>
      </c>
      <c r="DR2374">
        <v>0</v>
      </c>
      <c r="DS2374">
        <v>0</v>
      </c>
    </row>
    <row r="2375" spans="1:123" x14ac:dyDescent="0.3">
      <c r="A2375" t="str">
        <f t="shared" si="855"/>
        <v>10/04/2022 19:31:52.400</v>
      </c>
      <c r="C2375" t="str">
        <f t="shared" si="841"/>
        <v>FFDDD3C0</v>
      </c>
      <c r="D2375" t="s">
        <v>147</v>
      </c>
      <c r="E2375">
        <v>3</v>
      </c>
      <c r="H2375">
        <v>166</v>
      </c>
      <c r="I2375" t="s">
        <v>144</v>
      </c>
      <c r="J2375" t="s">
        <v>148</v>
      </c>
      <c r="K2375">
        <v>0</v>
      </c>
      <c r="L2375">
        <v>3</v>
      </c>
      <c r="M2375">
        <v>0</v>
      </c>
      <c r="N2375">
        <v>2</v>
      </c>
      <c r="O2375">
        <v>0</v>
      </c>
      <c r="P2375">
        <v>1</v>
      </c>
      <c r="Q2375">
        <v>0</v>
      </c>
      <c r="S2375" t="str">
        <f t="shared" si="856"/>
        <v>19:31:52.000</v>
      </c>
      <c r="T2375" t="str">
        <f t="shared" si="856"/>
        <v>19:31:52.000</v>
      </c>
      <c r="U2375" t="str">
        <f t="shared" si="853"/>
        <v>AC3944</v>
      </c>
      <c r="V2375">
        <v>0</v>
      </c>
      <c r="W2375">
        <v>0</v>
      </c>
      <c r="X2375">
        <v>2</v>
      </c>
      <c r="Y2375">
        <v>0</v>
      </c>
      <c r="AA2375">
        <v>1</v>
      </c>
      <c r="AB2375">
        <v>8</v>
      </c>
      <c r="AC2375">
        <v>3</v>
      </c>
      <c r="AD2375">
        <v>0</v>
      </c>
      <c r="AE2375">
        <v>9</v>
      </c>
      <c r="AF2375" t="s">
        <v>138</v>
      </c>
      <c r="AG2375">
        <v>0</v>
      </c>
      <c r="AH2375">
        <v>3</v>
      </c>
      <c r="AI2375">
        <v>1</v>
      </c>
      <c r="AJ2375">
        <v>0</v>
      </c>
      <c r="AK2375" t="s">
        <v>822</v>
      </c>
      <c r="AL2375">
        <v>32.761552000000002</v>
      </c>
      <c r="AM2375" t="s">
        <v>823</v>
      </c>
      <c r="AN2375">
        <v>-116.79745699999999</v>
      </c>
      <c r="AO2375">
        <v>25</v>
      </c>
      <c r="AP2375">
        <v>3100</v>
      </c>
      <c r="AQ2375" t="s">
        <v>129</v>
      </c>
      <c r="AR2375">
        <v>117</v>
      </c>
      <c r="AS2375">
        <v>-61</v>
      </c>
      <c r="AT2375">
        <v>-64</v>
      </c>
      <c r="BB2375">
        <v>1200</v>
      </c>
      <c r="BC2375">
        <v>1</v>
      </c>
      <c r="BD2375" t="str">
        <f t="shared" si="854"/>
        <v xml:space="preserve">N887QR  </v>
      </c>
      <c r="BE2375">
        <v>1</v>
      </c>
      <c r="BJ2375">
        <v>2825</v>
      </c>
      <c r="BK2375">
        <v>-275</v>
      </c>
      <c r="BL2375" t="s">
        <v>163</v>
      </c>
      <c r="BM2375">
        <v>1</v>
      </c>
      <c r="BN2375">
        <v>1</v>
      </c>
      <c r="BO2375">
        <v>1</v>
      </c>
      <c r="BP2375">
        <v>0</v>
      </c>
      <c r="BS2375">
        <v>0</v>
      </c>
      <c r="BT2375">
        <v>0</v>
      </c>
      <c r="BU2375">
        <v>0</v>
      </c>
      <c r="CE2375" t="str">
        <f t="shared" si="857"/>
        <v>19:31:52.155</v>
      </c>
      <c r="CF2375">
        <v>155175167</v>
      </c>
      <c r="CS2375">
        <v>0</v>
      </c>
      <c r="CT2375">
        <v>2</v>
      </c>
      <c r="CU2375">
        <v>0</v>
      </c>
      <c r="CV2375">
        <v>2</v>
      </c>
      <c r="CW2375">
        <v>0</v>
      </c>
      <c r="CX2375">
        <v>5</v>
      </c>
      <c r="CY2375">
        <v>7</v>
      </c>
      <c r="CZ2375" t="s">
        <v>131</v>
      </c>
      <c r="DA2375">
        <v>300</v>
      </c>
      <c r="DB2375">
        <v>0</v>
      </c>
      <c r="DC2375" t="s">
        <v>176</v>
      </c>
      <c r="DD2375" t="s">
        <v>177</v>
      </c>
      <c r="DG2375">
        <v>5410250</v>
      </c>
      <c r="DI2375">
        <v>1</v>
      </c>
      <c r="DJ2375">
        <v>0</v>
      </c>
      <c r="DK2375">
        <v>0</v>
      </c>
      <c r="DL2375">
        <v>0</v>
      </c>
      <c r="DM2375">
        <v>0</v>
      </c>
      <c r="DN2375">
        <v>1</v>
      </c>
      <c r="DO2375">
        <v>0</v>
      </c>
      <c r="DP2375">
        <v>0</v>
      </c>
      <c r="DQ2375">
        <v>0</v>
      </c>
      <c r="DR2375">
        <v>0</v>
      </c>
      <c r="DS2375">
        <v>0</v>
      </c>
    </row>
    <row r="2376" spans="1:123" x14ac:dyDescent="0.3">
      <c r="A2376" t="str">
        <f t="shared" si="855"/>
        <v>10/04/2022 19:31:52.400</v>
      </c>
      <c r="C2376" t="str">
        <f t="shared" si="841"/>
        <v>FFDDD3C0</v>
      </c>
      <c r="D2376" t="s">
        <v>136</v>
      </c>
      <c r="E2376">
        <v>8</v>
      </c>
      <c r="H2376">
        <v>225</v>
      </c>
      <c r="I2376" t="s">
        <v>137</v>
      </c>
      <c r="J2376" t="s">
        <v>138</v>
      </c>
      <c r="K2376">
        <v>0</v>
      </c>
      <c r="L2376">
        <v>3</v>
      </c>
      <c r="M2376">
        <v>0</v>
      </c>
      <c r="N2376">
        <v>2</v>
      </c>
      <c r="O2376">
        <v>0</v>
      </c>
      <c r="P2376">
        <v>1</v>
      </c>
      <c r="Q2376">
        <v>0</v>
      </c>
      <c r="S2376" t="str">
        <f t="shared" si="856"/>
        <v>19:31:52.000</v>
      </c>
      <c r="T2376" t="str">
        <f t="shared" si="856"/>
        <v>19:31:52.000</v>
      </c>
      <c r="U2376" t="str">
        <f t="shared" si="853"/>
        <v>AC3944</v>
      </c>
      <c r="V2376">
        <v>0</v>
      </c>
      <c r="W2376">
        <v>0</v>
      </c>
      <c r="X2376">
        <v>2</v>
      </c>
      <c r="Y2376">
        <v>0</v>
      </c>
      <c r="AA2376">
        <v>1</v>
      </c>
      <c r="AB2376">
        <v>8</v>
      </c>
      <c r="AC2376">
        <v>3</v>
      </c>
      <c r="AD2376">
        <v>0</v>
      </c>
      <c r="AE2376">
        <v>9</v>
      </c>
      <c r="AF2376" t="s">
        <v>138</v>
      </c>
      <c r="AG2376">
        <v>0</v>
      </c>
      <c r="AH2376">
        <v>3</v>
      </c>
      <c r="AI2376">
        <v>1</v>
      </c>
      <c r="AJ2376">
        <v>0</v>
      </c>
      <c r="AK2376" t="s">
        <v>822</v>
      </c>
      <c r="AL2376">
        <v>32.761552000000002</v>
      </c>
      <c r="AM2376" t="s">
        <v>823</v>
      </c>
      <c r="AN2376">
        <v>-116.79745699999999</v>
      </c>
      <c r="AO2376">
        <v>25</v>
      </c>
      <c r="AP2376">
        <v>3100</v>
      </c>
      <c r="AQ2376" t="s">
        <v>129</v>
      </c>
      <c r="AR2376">
        <v>117</v>
      </c>
      <c r="AS2376">
        <v>-61</v>
      </c>
      <c r="AT2376">
        <v>-64</v>
      </c>
      <c r="BB2376">
        <v>1200</v>
      </c>
      <c r="BC2376">
        <v>1</v>
      </c>
      <c r="BD2376" t="str">
        <f t="shared" si="854"/>
        <v xml:space="preserve">N887QR  </v>
      </c>
      <c r="BE2376">
        <v>1</v>
      </c>
      <c r="BJ2376">
        <v>2825</v>
      </c>
      <c r="BK2376">
        <v>-275</v>
      </c>
      <c r="BL2376" t="s">
        <v>163</v>
      </c>
      <c r="BM2376">
        <v>1</v>
      </c>
      <c r="BN2376">
        <v>1</v>
      </c>
      <c r="BO2376">
        <v>1</v>
      </c>
      <c r="BP2376">
        <v>0</v>
      </c>
      <c r="BS2376">
        <v>0</v>
      </c>
      <c r="BT2376">
        <v>0</v>
      </c>
      <c r="BU2376">
        <v>0</v>
      </c>
      <c r="CE2376" t="str">
        <f t="shared" si="857"/>
        <v>19:31:52.155</v>
      </c>
      <c r="CF2376">
        <v>155175167</v>
      </c>
      <c r="CS2376">
        <v>0</v>
      </c>
      <c r="CT2376">
        <v>2</v>
      </c>
      <c r="CU2376">
        <v>0</v>
      </c>
      <c r="CV2376">
        <v>2</v>
      </c>
      <c r="CW2376">
        <v>0</v>
      </c>
      <c r="CX2376">
        <v>5</v>
      </c>
      <c r="CY2376">
        <v>7</v>
      </c>
      <c r="CZ2376" t="s">
        <v>131</v>
      </c>
      <c r="DA2376">
        <v>300</v>
      </c>
      <c r="DB2376">
        <v>0</v>
      </c>
      <c r="DC2376" t="s">
        <v>176</v>
      </c>
      <c r="DD2376" t="s">
        <v>177</v>
      </c>
      <c r="DG2376">
        <v>5410250</v>
      </c>
      <c r="DI2376">
        <v>1</v>
      </c>
      <c r="DJ2376">
        <v>0</v>
      </c>
      <c r="DK2376">
        <v>1</v>
      </c>
      <c r="DL2376">
        <v>0</v>
      </c>
      <c r="DM2376">
        <v>0</v>
      </c>
      <c r="DN2376">
        <v>1</v>
      </c>
      <c r="DO2376">
        <v>0</v>
      </c>
      <c r="DP2376">
        <v>0</v>
      </c>
      <c r="DQ2376">
        <v>0</v>
      </c>
      <c r="DR2376">
        <v>0</v>
      </c>
      <c r="DS2376">
        <v>0</v>
      </c>
    </row>
    <row r="2377" spans="1:123" x14ac:dyDescent="0.3">
      <c r="A2377" t="str">
        <f t="shared" si="855"/>
        <v>10/04/2022 19:31:52.400</v>
      </c>
      <c r="C2377" t="str">
        <f t="shared" si="841"/>
        <v>FFDDD3C0</v>
      </c>
      <c r="D2377" t="s">
        <v>141</v>
      </c>
      <c r="E2377">
        <v>4</v>
      </c>
      <c r="H2377">
        <v>4</v>
      </c>
      <c r="I2377" t="s">
        <v>142</v>
      </c>
      <c r="J2377" t="s">
        <v>138</v>
      </c>
      <c r="K2377">
        <v>0</v>
      </c>
      <c r="L2377">
        <v>3</v>
      </c>
      <c r="M2377">
        <v>0</v>
      </c>
      <c r="N2377">
        <v>2</v>
      </c>
      <c r="O2377">
        <v>0</v>
      </c>
      <c r="P2377">
        <v>1</v>
      </c>
      <c r="Q2377">
        <v>0</v>
      </c>
      <c r="S2377" t="str">
        <f t="shared" si="856"/>
        <v>19:31:52.000</v>
      </c>
      <c r="T2377" t="str">
        <f t="shared" si="856"/>
        <v>19:31:52.000</v>
      </c>
      <c r="U2377" t="str">
        <f t="shared" si="853"/>
        <v>AC3944</v>
      </c>
      <c r="V2377">
        <v>0</v>
      </c>
      <c r="W2377">
        <v>0</v>
      </c>
      <c r="X2377">
        <v>2</v>
      </c>
      <c r="Y2377">
        <v>0</v>
      </c>
      <c r="AA2377">
        <v>1</v>
      </c>
      <c r="AB2377">
        <v>8</v>
      </c>
      <c r="AC2377">
        <v>3</v>
      </c>
      <c r="AD2377">
        <v>0</v>
      </c>
      <c r="AE2377">
        <v>9</v>
      </c>
      <c r="AF2377" t="s">
        <v>138</v>
      </c>
      <c r="AG2377">
        <v>0</v>
      </c>
      <c r="AH2377">
        <v>3</v>
      </c>
      <c r="AI2377">
        <v>1</v>
      </c>
      <c r="AJ2377">
        <v>0</v>
      </c>
      <c r="AK2377" t="s">
        <v>822</v>
      </c>
      <c r="AL2377">
        <v>32.761552000000002</v>
      </c>
      <c r="AM2377" t="s">
        <v>823</v>
      </c>
      <c r="AN2377">
        <v>-116.79745699999999</v>
      </c>
      <c r="AO2377">
        <v>25</v>
      </c>
      <c r="AP2377">
        <v>3100</v>
      </c>
      <c r="AQ2377" t="s">
        <v>129</v>
      </c>
      <c r="AR2377">
        <v>117</v>
      </c>
      <c r="AS2377">
        <v>-61</v>
      </c>
      <c r="AT2377">
        <v>-64</v>
      </c>
      <c r="BB2377">
        <v>1200</v>
      </c>
      <c r="BC2377">
        <v>1</v>
      </c>
      <c r="BD2377" t="str">
        <f t="shared" si="854"/>
        <v xml:space="preserve">N887QR  </v>
      </c>
      <c r="BE2377">
        <v>1</v>
      </c>
      <c r="BJ2377">
        <v>2825</v>
      </c>
      <c r="BK2377">
        <v>-275</v>
      </c>
      <c r="BL2377" t="s">
        <v>163</v>
      </c>
      <c r="BM2377">
        <v>1</v>
      </c>
      <c r="BN2377">
        <v>1</v>
      </c>
      <c r="BO2377">
        <v>1</v>
      </c>
      <c r="BP2377">
        <v>0</v>
      </c>
      <c r="BS2377">
        <v>0</v>
      </c>
      <c r="BT2377">
        <v>0</v>
      </c>
      <c r="BU2377">
        <v>0</v>
      </c>
      <c r="CE2377" t="str">
        <f t="shared" si="857"/>
        <v>19:31:52.155</v>
      </c>
      <c r="CF2377">
        <v>155175167</v>
      </c>
      <c r="CS2377">
        <v>0</v>
      </c>
      <c r="CT2377">
        <v>2</v>
      </c>
      <c r="CU2377">
        <v>0</v>
      </c>
      <c r="CV2377">
        <v>2</v>
      </c>
      <c r="CW2377">
        <v>0</v>
      </c>
      <c r="CX2377">
        <v>5</v>
      </c>
      <c r="CY2377">
        <v>7</v>
      </c>
      <c r="CZ2377" t="s">
        <v>131</v>
      </c>
      <c r="DA2377">
        <v>300</v>
      </c>
      <c r="DB2377">
        <v>0</v>
      </c>
      <c r="DC2377" t="s">
        <v>176</v>
      </c>
      <c r="DD2377" t="s">
        <v>177</v>
      </c>
      <c r="DG2377">
        <v>5410250</v>
      </c>
      <c r="DI2377">
        <v>1</v>
      </c>
      <c r="DJ2377">
        <v>0</v>
      </c>
      <c r="DK2377">
        <v>1</v>
      </c>
      <c r="DL2377">
        <v>0</v>
      </c>
      <c r="DM2377">
        <v>0</v>
      </c>
      <c r="DN2377">
        <v>1</v>
      </c>
      <c r="DO2377">
        <v>0</v>
      </c>
      <c r="DP2377">
        <v>0</v>
      </c>
      <c r="DQ2377">
        <v>0</v>
      </c>
      <c r="DR2377">
        <v>0</v>
      </c>
      <c r="DS2377">
        <v>0</v>
      </c>
    </row>
    <row r="2378" spans="1:123" x14ac:dyDescent="0.3">
      <c r="A2378" t="str">
        <f t="shared" si="855"/>
        <v>10/04/2022 19:31:52.400</v>
      </c>
      <c r="C2378" t="str">
        <f t="shared" si="841"/>
        <v>FFDDD3C0</v>
      </c>
      <c r="D2378" t="s">
        <v>134</v>
      </c>
      <c r="E2378">
        <v>15</v>
      </c>
      <c r="J2378" t="s">
        <v>135</v>
      </c>
      <c r="K2378">
        <v>0</v>
      </c>
      <c r="L2378">
        <v>3</v>
      </c>
      <c r="M2378">
        <v>0</v>
      </c>
      <c r="N2378">
        <v>2</v>
      </c>
      <c r="O2378">
        <v>0</v>
      </c>
      <c r="P2378">
        <v>1</v>
      </c>
      <c r="Q2378">
        <v>0</v>
      </c>
      <c r="S2378" t="str">
        <f t="shared" si="856"/>
        <v>19:31:52.000</v>
      </c>
      <c r="T2378" t="str">
        <f t="shared" si="856"/>
        <v>19:31:52.000</v>
      </c>
      <c r="U2378" t="str">
        <f t="shared" si="853"/>
        <v>AC3944</v>
      </c>
      <c r="V2378">
        <v>0</v>
      </c>
      <c r="W2378">
        <v>0</v>
      </c>
      <c r="X2378">
        <v>2</v>
      </c>
      <c r="Y2378">
        <v>0</v>
      </c>
      <c r="AA2378">
        <v>1</v>
      </c>
      <c r="AB2378">
        <v>8</v>
      </c>
      <c r="AC2378">
        <v>3</v>
      </c>
      <c r="AD2378">
        <v>0</v>
      </c>
      <c r="AE2378">
        <v>9</v>
      </c>
      <c r="AF2378" t="s">
        <v>138</v>
      </c>
      <c r="AG2378">
        <v>0</v>
      </c>
      <c r="AH2378">
        <v>3</v>
      </c>
      <c r="AI2378">
        <v>1</v>
      </c>
      <c r="AJ2378">
        <v>0</v>
      </c>
      <c r="AK2378" t="s">
        <v>822</v>
      </c>
      <c r="AL2378">
        <v>32.761552000000002</v>
      </c>
      <c r="AM2378" t="s">
        <v>823</v>
      </c>
      <c r="AN2378">
        <v>-116.79745699999999</v>
      </c>
      <c r="AO2378">
        <v>25</v>
      </c>
      <c r="AP2378">
        <v>3100</v>
      </c>
      <c r="AQ2378" t="s">
        <v>129</v>
      </c>
      <c r="AR2378">
        <v>117</v>
      </c>
      <c r="AS2378">
        <v>-61</v>
      </c>
      <c r="AT2378">
        <v>-64</v>
      </c>
      <c r="BB2378">
        <v>1200</v>
      </c>
      <c r="BC2378">
        <v>1</v>
      </c>
      <c r="BD2378" t="str">
        <f t="shared" si="854"/>
        <v xml:space="preserve">N887QR  </v>
      </c>
      <c r="BE2378">
        <v>1</v>
      </c>
      <c r="BJ2378">
        <v>2825</v>
      </c>
      <c r="BK2378">
        <v>-275</v>
      </c>
      <c r="BL2378" t="s">
        <v>163</v>
      </c>
      <c r="BM2378">
        <v>1</v>
      </c>
      <c r="BN2378">
        <v>1</v>
      </c>
      <c r="BO2378">
        <v>1</v>
      </c>
      <c r="BP2378">
        <v>0</v>
      </c>
      <c r="BS2378">
        <v>0</v>
      </c>
      <c r="BT2378">
        <v>0</v>
      </c>
      <c r="BU2378">
        <v>0</v>
      </c>
      <c r="CE2378" t="str">
        <f t="shared" si="857"/>
        <v>19:31:52.155</v>
      </c>
      <c r="CF2378">
        <v>155175167</v>
      </c>
      <c r="CS2378">
        <v>0</v>
      </c>
      <c r="CT2378">
        <v>2</v>
      </c>
      <c r="CU2378">
        <v>0</v>
      </c>
      <c r="CV2378">
        <v>2</v>
      </c>
      <c r="CW2378">
        <v>0</v>
      </c>
      <c r="CX2378">
        <v>5</v>
      </c>
      <c r="CY2378">
        <v>7</v>
      </c>
      <c r="CZ2378" t="s">
        <v>131</v>
      </c>
      <c r="DA2378">
        <v>300</v>
      </c>
      <c r="DB2378">
        <v>0</v>
      </c>
      <c r="DC2378" t="s">
        <v>176</v>
      </c>
      <c r="DD2378" t="s">
        <v>177</v>
      </c>
      <c r="DG2378">
        <v>5410250</v>
      </c>
      <c r="DI2378">
        <v>1</v>
      </c>
      <c r="DJ2378">
        <v>0</v>
      </c>
      <c r="DK2378">
        <v>1</v>
      </c>
      <c r="DL2378">
        <v>0</v>
      </c>
      <c r="DM2378">
        <v>0</v>
      </c>
      <c r="DN2378">
        <v>1</v>
      </c>
      <c r="DO2378">
        <v>0</v>
      </c>
      <c r="DP2378">
        <v>0</v>
      </c>
      <c r="DQ2378">
        <v>0</v>
      </c>
      <c r="DR2378">
        <v>0</v>
      </c>
      <c r="DS2378">
        <v>0</v>
      </c>
    </row>
    <row r="2379" spans="1:123" x14ac:dyDescent="0.3">
      <c r="A2379" t="str">
        <f t="shared" si="855"/>
        <v>10/04/2022 19:31:52.400</v>
      </c>
      <c r="C2379" t="str">
        <f t="shared" si="841"/>
        <v>FFDDD3C0</v>
      </c>
      <c r="D2379" t="s">
        <v>143</v>
      </c>
      <c r="E2379">
        <v>20</v>
      </c>
      <c r="F2379">
        <v>1020</v>
      </c>
      <c r="G2379" t="s">
        <v>144</v>
      </c>
      <c r="J2379" t="s">
        <v>145</v>
      </c>
      <c r="K2379">
        <v>0</v>
      </c>
      <c r="L2379">
        <v>3</v>
      </c>
      <c r="M2379">
        <v>0</v>
      </c>
      <c r="N2379">
        <v>2</v>
      </c>
      <c r="O2379">
        <v>0</v>
      </c>
      <c r="P2379">
        <v>1</v>
      </c>
      <c r="Q2379">
        <v>0</v>
      </c>
      <c r="S2379" t="str">
        <f t="shared" si="856"/>
        <v>19:31:52.000</v>
      </c>
      <c r="T2379" t="str">
        <f t="shared" si="856"/>
        <v>19:31:52.000</v>
      </c>
      <c r="U2379" t="str">
        <f t="shared" si="853"/>
        <v>AC3944</v>
      </c>
      <c r="V2379">
        <v>0</v>
      </c>
      <c r="W2379">
        <v>0</v>
      </c>
      <c r="X2379">
        <v>2</v>
      </c>
      <c r="Y2379">
        <v>0</v>
      </c>
      <c r="AA2379">
        <v>1</v>
      </c>
      <c r="AB2379">
        <v>8</v>
      </c>
      <c r="AC2379">
        <v>3</v>
      </c>
      <c r="AD2379">
        <v>0</v>
      </c>
      <c r="AE2379">
        <v>9</v>
      </c>
      <c r="AF2379" t="s">
        <v>138</v>
      </c>
      <c r="AG2379">
        <v>0</v>
      </c>
      <c r="AH2379">
        <v>3</v>
      </c>
      <c r="AI2379">
        <v>1</v>
      </c>
      <c r="AJ2379">
        <v>0</v>
      </c>
      <c r="AK2379" t="s">
        <v>822</v>
      </c>
      <c r="AL2379">
        <v>32.761552000000002</v>
      </c>
      <c r="AM2379" t="s">
        <v>823</v>
      </c>
      <c r="AN2379">
        <v>-116.79745699999999</v>
      </c>
      <c r="AO2379">
        <v>25</v>
      </c>
      <c r="AP2379">
        <v>3100</v>
      </c>
      <c r="AQ2379" t="s">
        <v>129</v>
      </c>
      <c r="AR2379">
        <v>117</v>
      </c>
      <c r="AS2379">
        <v>-61</v>
      </c>
      <c r="AT2379">
        <v>-64</v>
      </c>
      <c r="BB2379">
        <v>1200</v>
      </c>
      <c r="BC2379">
        <v>1</v>
      </c>
      <c r="BD2379" t="str">
        <f t="shared" si="854"/>
        <v xml:space="preserve">N887QR  </v>
      </c>
      <c r="BE2379">
        <v>1</v>
      </c>
      <c r="BJ2379">
        <v>2825</v>
      </c>
      <c r="BK2379">
        <v>-275</v>
      </c>
      <c r="BL2379" t="s">
        <v>163</v>
      </c>
      <c r="BM2379">
        <v>1</v>
      </c>
      <c r="BN2379">
        <v>1</v>
      </c>
      <c r="BO2379">
        <v>1</v>
      </c>
      <c r="BP2379">
        <v>0</v>
      </c>
      <c r="BS2379">
        <v>0</v>
      </c>
      <c r="BT2379">
        <v>0</v>
      </c>
      <c r="BU2379">
        <v>0</v>
      </c>
      <c r="CE2379" t="str">
        <f t="shared" si="857"/>
        <v>19:31:52.155</v>
      </c>
      <c r="CF2379">
        <v>155175167</v>
      </c>
      <c r="CS2379">
        <v>0</v>
      </c>
      <c r="CT2379">
        <v>2</v>
      </c>
      <c r="CU2379">
        <v>0</v>
      </c>
      <c r="CV2379">
        <v>2</v>
      </c>
      <c r="CW2379">
        <v>0</v>
      </c>
      <c r="CX2379">
        <v>5</v>
      </c>
      <c r="CY2379">
        <v>7</v>
      </c>
      <c r="CZ2379" t="s">
        <v>131</v>
      </c>
      <c r="DA2379">
        <v>300</v>
      </c>
      <c r="DB2379">
        <v>0</v>
      </c>
      <c r="DC2379" t="s">
        <v>176</v>
      </c>
      <c r="DD2379" t="s">
        <v>177</v>
      </c>
      <c r="DG2379">
        <v>5410250</v>
      </c>
      <c r="DI2379">
        <v>1</v>
      </c>
      <c r="DJ2379">
        <v>0</v>
      </c>
      <c r="DK2379">
        <v>1</v>
      </c>
      <c r="DL2379">
        <v>0</v>
      </c>
      <c r="DM2379">
        <v>0</v>
      </c>
      <c r="DN2379">
        <v>1</v>
      </c>
      <c r="DO2379">
        <v>0</v>
      </c>
      <c r="DP2379">
        <v>0</v>
      </c>
      <c r="DQ2379">
        <v>0</v>
      </c>
      <c r="DR2379">
        <v>0</v>
      </c>
      <c r="DS2379">
        <v>0</v>
      </c>
    </row>
    <row r="2380" spans="1:123" x14ac:dyDescent="0.3">
      <c r="A2380" t="str">
        <f>"10/04/2022 19:31:56.074"</f>
        <v>10/04/2022 19:31:56.074</v>
      </c>
      <c r="C2380" t="str">
        <f t="shared" si="841"/>
        <v>FFDDD3C0</v>
      </c>
      <c r="D2380" t="s">
        <v>123</v>
      </c>
      <c r="E2380">
        <v>7</v>
      </c>
      <c r="F2380">
        <v>2007</v>
      </c>
      <c r="G2380" t="s">
        <v>124</v>
      </c>
      <c r="J2380" t="s">
        <v>125</v>
      </c>
      <c r="K2380">
        <v>0</v>
      </c>
      <c r="L2380">
        <v>3</v>
      </c>
      <c r="M2380">
        <v>0</v>
      </c>
      <c r="N2380">
        <v>2</v>
      </c>
      <c r="O2380">
        <v>0</v>
      </c>
      <c r="P2380">
        <v>1</v>
      </c>
      <c r="Q2380">
        <v>0</v>
      </c>
      <c r="S2380" t="str">
        <f t="shared" ref="S2380:T2386" si="858">"19:31:55.000"</f>
        <v>19:31:55.000</v>
      </c>
      <c r="T2380" t="str">
        <f t="shared" si="858"/>
        <v>19:31:55.000</v>
      </c>
      <c r="U2380" t="str">
        <f t="shared" si="853"/>
        <v>AC3944</v>
      </c>
      <c r="V2380">
        <v>0</v>
      </c>
      <c r="W2380">
        <v>0</v>
      </c>
      <c r="X2380">
        <v>2</v>
      </c>
      <c r="Y2380">
        <v>0</v>
      </c>
      <c r="AA2380">
        <v>1</v>
      </c>
      <c r="AB2380">
        <v>8</v>
      </c>
      <c r="AC2380">
        <v>3</v>
      </c>
      <c r="AD2380">
        <v>0</v>
      </c>
      <c r="AE2380">
        <v>9</v>
      </c>
      <c r="AF2380" t="s">
        <v>138</v>
      </c>
      <c r="AG2380">
        <v>0</v>
      </c>
      <c r="AH2380">
        <v>3</v>
      </c>
      <c r="AI2380">
        <v>1</v>
      </c>
      <c r="AJ2380">
        <v>0</v>
      </c>
      <c r="AK2380" t="s">
        <v>824</v>
      </c>
      <c r="AL2380">
        <v>32.760393999999998</v>
      </c>
      <c r="AM2380" t="s">
        <v>825</v>
      </c>
      <c r="AN2380">
        <v>-116.79492500000001</v>
      </c>
      <c r="AO2380">
        <v>25</v>
      </c>
      <c r="AP2380">
        <v>3100</v>
      </c>
      <c r="AQ2380" t="s">
        <v>129</v>
      </c>
      <c r="AR2380">
        <v>113</v>
      </c>
      <c r="AS2380">
        <v>-63</v>
      </c>
      <c r="AT2380">
        <v>192</v>
      </c>
      <c r="BB2380">
        <v>1200</v>
      </c>
      <c r="BC2380">
        <v>1</v>
      </c>
      <c r="BD2380" t="str">
        <f t="shared" si="854"/>
        <v xml:space="preserve">N887QR  </v>
      </c>
      <c r="BE2380">
        <v>1</v>
      </c>
      <c r="BJ2380">
        <v>2825</v>
      </c>
      <c r="BK2380">
        <v>-275</v>
      </c>
      <c r="BL2380" t="s">
        <v>163</v>
      </c>
      <c r="BM2380">
        <v>1</v>
      </c>
      <c r="BN2380">
        <v>1</v>
      </c>
      <c r="BO2380">
        <v>1</v>
      </c>
      <c r="BP2380">
        <v>0</v>
      </c>
      <c r="BS2380">
        <v>0</v>
      </c>
      <c r="BT2380">
        <v>0</v>
      </c>
      <c r="BU2380">
        <v>0</v>
      </c>
      <c r="CE2380" t="str">
        <f t="shared" ref="CE2380:CE2386" si="859">"19:31:55.744"</f>
        <v>19:31:55.744</v>
      </c>
      <c r="CF2380">
        <v>743937328</v>
      </c>
      <c r="CS2380">
        <v>0</v>
      </c>
      <c r="CT2380">
        <v>2</v>
      </c>
      <c r="CU2380">
        <v>0</v>
      </c>
      <c r="CV2380">
        <v>2</v>
      </c>
      <c r="CW2380">
        <v>0</v>
      </c>
      <c r="CX2380">
        <v>5</v>
      </c>
      <c r="CY2380">
        <v>7</v>
      </c>
      <c r="CZ2380" t="s">
        <v>131</v>
      </c>
      <c r="DA2380">
        <v>300</v>
      </c>
      <c r="DB2380">
        <v>0</v>
      </c>
      <c r="DC2380" t="s">
        <v>176</v>
      </c>
      <c r="DD2380" t="s">
        <v>177</v>
      </c>
      <c r="DG2380">
        <v>5410847</v>
      </c>
      <c r="DI2380">
        <v>1</v>
      </c>
      <c r="DJ2380">
        <v>0</v>
      </c>
      <c r="DK2380">
        <v>0</v>
      </c>
      <c r="DL2380">
        <v>0</v>
      </c>
      <c r="DM2380">
        <v>0</v>
      </c>
      <c r="DN2380">
        <v>1</v>
      </c>
      <c r="DO2380">
        <v>0</v>
      </c>
      <c r="DP2380">
        <v>0</v>
      </c>
      <c r="DQ2380">
        <v>0</v>
      </c>
      <c r="DR2380">
        <v>0</v>
      </c>
      <c r="DS2380">
        <v>0</v>
      </c>
    </row>
    <row r="2381" spans="1:123" x14ac:dyDescent="0.3">
      <c r="A2381" t="str">
        <f>"10/04/2022 19:31:56.265"</f>
        <v>10/04/2022 19:31:56.265</v>
      </c>
      <c r="C2381" t="str">
        <f t="shared" si="841"/>
        <v>FFDDD3C0</v>
      </c>
      <c r="D2381" t="s">
        <v>141</v>
      </c>
      <c r="E2381">
        <v>3</v>
      </c>
      <c r="H2381">
        <v>3</v>
      </c>
      <c r="I2381" t="s">
        <v>146</v>
      </c>
      <c r="J2381" t="s">
        <v>138</v>
      </c>
      <c r="K2381">
        <v>0</v>
      </c>
      <c r="L2381">
        <v>3</v>
      </c>
      <c r="M2381">
        <v>0</v>
      </c>
      <c r="N2381">
        <v>2</v>
      </c>
      <c r="O2381">
        <v>0</v>
      </c>
      <c r="P2381">
        <v>1</v>
      </c>
      <c r="Q2381">
        <v>0</v>
      </c>
      <c r="S2381" t="str">
        <f t="shared" si="858"/>
        <v>19:31:55.000</v>
      </c>
      <c r="T2381" t="str">
        <f t="shared" si="858"/>
        <v>19:31:55.000</v>
      </c>
      <c r="U2381" t="str">
        <f t="shared" si="853"/>
        <v>AC3944</v>
      </c>
      <c r="V2381">
        <v>0</v>
      </c>
      <c r="W2381">
        <v>0</v>
      </c>
      <c r="X2381">
        <v>2</v>
      </c>
      <c r="Y2381">
        <v>0</v>
      </c>
      <c r="AA2381">
        <v>1</v>
      </c>
      <c r="AB2381">
        <v>8</v>
      </c>
      <c r="AC2381">
        <v>3</v>
      </c>
      <c r="AD2381">
        <v>0</v>
      </c>
      <c r="AE2381">
        <v>9</v>
      </c>
      <c r="AF2381" t="s">
        <v>138</v>
      </c>
      <c r="AG2381">
        <v>0</v>
      </c>
      <c r="AH2381">
        <v>3</v>
      </c>
      <c r="AI2381">
        <v>1</v>
      </c>
      <c r="AJ2381">
        <v>0</v>
      </c>
      <c r="AK2381" t="s">
        <v>824</v>
      </c>
      <c r="AL2381">
        <v>32.760393999999998</v>
      </c>
      <c r="AM2381" t="s">
        <v>825</v>
      </c>
      <c r="AN2381">
        <v>-116.79492500000001</v>
      </c>
      <c r="AO2381">
        <v>25</v>
      </c>
      <c r="AP2381">
        <v>3100</v>
      </c>
      <c r="AQ2381" t="s">
        <v>129</v>
      </c>
      <c r="AR2381">
        <v>113</v>
      </c>
      <c r="AS2381">
        <v>-63</v>
      </c>
      <c r="AT2381">
        <v>192</v>
      </c>
      <c r="BB2381">
        <v>1200</v>
      </c>
      <c r="BC2381">
        <v>1</v>
      </c>
      <c r="BD2381" t="str">
        <f t="shared" si="854"/>
        <v xml:space="preserve">N887QR  </v>
      </c>
      <c r="BE2381">
        <v>1</v>
      </c>
      <c r="BJ2381">
        <v>2825</v>
      </c>
      <c r="BK2381">
        <v>-275</v>
      </c>
      <c r="BL2381" t="s">
        <v>163</v>
      </c>
      <c r="BM2381">
        <v>1</v>
      </c>
      <c r="BN2381">
        <v>1</v>
      </c>
      <c r="BO2381">
        <v>1</v>
      </c>
      <c r="BP2381">
        <v>0</v>
      </c>
      <c r="BS2381">
        <v>0</v>
      </c>
      <c r="BT2381">
        <v>0</v>
      </c>
      <c r="BU2381">
        <v>0</v>
      </c>
      <c r="CE2381" t="str">
        <f t="shared" si="859"/>
        <v>19:31:55.744</v>
      </c>
      <c r="CF2381">
        <v>743937328</v>
      </c>
      <c r="CS2381">
        <v>0</v>
      </c>
      <c r="CT2381">
        <v>2</v>
      </c>
      <c r="CU2381">
        <v>0</v>
      </c>
      <c r="CV2381">
        <v>2</v>
      </c>
      <c r="CW2381">
        <v>0</v>
      </c>
      <c r="CX2381">
        <v>5</v>
      </c>
      <c r="CY2381">
        <v>7</v>
      </c>
      <c r="CZ2381" t="s">
        <v>131</v>
      </c>
      <c r="DA2381">
        <v>300</v>
      </c>
      <c r="DB2381">
        <v>0</v>
      </c>
      <c r="DC2381" t="s">
        <v>176</v>
      </c>
      <c r="DD2381" t="s">
        <v>177</v>
      </c>
      <c r="DG2381">
        <v>5410847</v>
      </c>
      <c r="DI2381">
        <v>1</v>
      </c>
      <c r="DJ2381">
        <v>0</v>
      </c>
      <c r="DK2381">
        <v>1</v>
      </c>
      <c r="DL2381">
        <v>0</v>
      </c>
      <c r="DM2381">
        <v>0</v>
      </c>
      <c r="DN2381">
        <v>1</v>
      </c>
      <c r="DO2381">
        <v>0</v>
      </c>
      <c r="DP2381">
        <v>0</v>
      </c>
      <c r="DQ2381">
        <v>0</v>
      </c>
      <c r="DR2381">
        <v>0</v>
      </c>
      <c r="DS2381">
        <v>0</v>
      </c>
    </row>
    <row r="2382" spans="1:123" x14ac:dyDescent="0.3">
      <c r="A2382" t="str">
        <f>"10/04/2022 19:31:56.291"</f>
        <v>10/04/2022 19:31:56.291</v>
      </c>
      <c r="C2382" t="str">
        <f t="shared" si="841"/>
        <v>FFDDD3C0</v>
      </c>
      <c r="D2382" t="s">
        <v>134</v>
      </c>
      <c r="E2382">
        <v>15</v>
      </c>
      <c r="J2382" t="s">
        <v>135</v>
      </c>
      <c r="K2382">
        <v>0</v>
      </c>
      <c r="L2382">
        <v>3</v>
      </c>
      <c r="M2382">
        <v>0</v>
      </c>
      <c r="N2382">
        <v>2</v>
      </c>
      <c r="O2382">
        <v>0</v>
      </c>
      <c r="P2382">
        <v>1</v>
      </c>
      <c r="Q2382">
        <v>0</v>
      </c>
      <c r="S2382" t="str">
        <f t="shared" si="858"/>
        <v>19:31:55.000</v>
      </c>
      <c r="T2382" t="str">
        <f t="shared" si="858"/>
        <v>19:31:55.000</v>
      </c>
      <c r="U2382" t="str">
        <f t="shared" si="853"/>
        <v>AC3944</v>
      </c>
      <c r="V2382">
        <v>0</v>
      </c>
      <c r="W2382">
        <v>0</v>
      </c>
      <c r="X2382">
        <v>2</v>
      </c>
      <c r="Y2382">
        <v>0</v>
      </c>
      <c r="AA2382">
        <v>1</v>
      </c>
      <c r="AB2382">
        <v>8</v>
      </c>
      <c r="AC2382">
        <v>3</v>
      </c>
      <c r="AD2382">
        <v>0</v>
      </c>
      <c r="AE2382">
        <v>9</v>
      </c>
      <c r="AF2382" t="s">
        <v>138</v>
      </c>
      <c r="AG2382">
        <v>0</v>
      </c>
      <c r="AH2382">
        <v>3</v>
      </c>
      <c r="AI2382">
        <v>1</v>
      </c>
      <c r="AJ2382">
        <v>0</v>
      </c>
      <c r="AK2382" t="s">
        <v>824</v>
      </c>
      <c r="AL2382">
        <v>32.760393999999998</v>
      </c>
      <c r="AM2382" t="s">
        <v>825</v>
      </c>
      <c r="AN2382">
        <v>-116.79492500000001</v>
      </c>
      <c r="AO2382">
        <v>25</v>
      </c>
      <c r="AP2382">
        <v>3100</v>
      </c>
      <c r="AQ2382" t="s">
        <v>129</v>
      </c>
      <c r="AR2382">
        <v>113</v>
      </c>
      <c r="AS2382">
        <v>-63</v>
      </c>
      <c r="AT2382">
        <v>192</v>
      </c>
      <c r="BB2382">
        <v>1200</v>
      </c>
      <c r="BC2382">
        <v>1</v>
      </c>
      <c r="BD2382" t="str">
        <f t="shared" si="854"/>
        <v xml:space="preserve">N887QR  </v>
      </c>
      <c r="BE2382">
        <v>1</v>
      </c>
      <c r="BJ2382">
        <v>2825</v>
      </c>
      <c r="BK2382">
        <v>-275</v>
      </c>
      <c r="BL2382" t="s">
        <v>163</v>
      </c>
      <c r="BM2382">
        <v>1</v>
      </c>
      <c r="BN2382">
        <v>1</v>
      </c>
      <c r="BO2382">
        <v>1</v>
      </c>
      <c r="BP2382">
        <v>0</v>
      </c>
      <c r="BS2382">
        <v>0</v>
      </c>
      <c r="BT2382">
        <v>0</v>
      </c>
      <c r="BU2382">
        <v>0</v>
      </c>
      <c r="CE2382" t="str">
        <f t="shared" si="859"/>
        <v>19:31:55.744</v>
      </c>
      <c r="CF2382">
        <v>743937328</v>
      </c>
      <c r="CS2382">
        <v>0</v>
      </c>
      <c r="CT2382">
        <v>2</v>
      </c>
      <c r="CU2382">
        <v>0</v>
      </c>
      <c r="CV2382">
        <v>2</v>
      </c>
      <c r="CW2382">
        <v>0</v>
      </c>
      <c r="CX2382">
        <v>5</v>
      </c>
      <c r="CY2382">
        <v>7</v>
      </c>
      <c r="CZ2382" t="s">
        <v>131</v>
      </c>
      <c r="DA2382">
        <v>300</v>
      </c>
      <c r="DB2382">
        <v>0</v>
      </c>
      <c r="DC2382" t="s">
        <v>176</v>
      </c>
      <c r="DD2382" t="s">
        <v>177</v>
      </c>
      <c r="DG2382">
        <v>5410847</v>
      </c>
      <c r="DI2382">
        <v>1</v>
      </c>
      <c r="DJ2382">
        <v>0</v>
      </c>
      <c r="DK2382">
        <v>1</v>
      </c>
      <c r="DL2382">
        <v>0</v>
      </c>
      <c r="DM2382">
        <v>0</v>
      </c>
      <c r="DN2382">
        <v>1</v>
      </c>
      <c r="DO2382">
        <v>0</v>
      </c>
      <c r="DP2382">
        <v>0</v>
      </c>
      <c r="DQ2382">
        <v>0</v>
      </c>
      <c r="DR2382">
        <v>0</v>
      </c>
      <c r="DS2382">
        <v>0</v>
      </c>
    </row>
    <row r="2383" spans="1:123" x14ac:dyDescent="0.3">
      <c r="A2383" t="str">
        <f>"10/04/2022 19:31:56.338"</f>
        <v>10/04/2022 19:31:56.338</v>
      </c>
      <c r="C2383" t="str">
        <f t="shared" si="841"/>
        <v>FFDDD3C0</v>
      </c>
      <c r="D2383" t="s">
        <v>141</v>
      </c>
      <c r="E2383">
        <v>4</v>
      </c>
      <c r="H2383">
        <v>4</v>
      </c>
      <c r="I2383" t="s">
        <v>142</v>
      </c>
      <c r="J2383" t="s">
        <v>138</v>
      </c>
      <c r="K2383">
        <v>0</v>
      </c>
      <c r="L2383">
        <v>3</v>
      </c>
      <c r="M2383">
        <v>0</v>
      </c>
      <c r="N2383">
        <v>2</v>
      </c>
      <c r="O2383">
        <v>0</v>
      </c>
      <c r="P2383">
        <v>1</v>
      </c>
      <c r="Q2383">
        <v>0</v>
      </c>
      <c r="S2383" t="str">
        <f t="shared" si="858"/>
        <v>19:31:55.000</v>
      </c>
      <c r="T2383" t="str">
        <f t="shared" si="858"/>
        <v>19:31:55.000</v>
      </c>
      <c r="U2383" t="str">
        <f t="shared" si="853"/>
        <v>AC3944</v>
      </c>
      <c r="V2383">
        <v>0</v>
      </c>
      <c r="W2383">
        <v>0</v>
      </c>
      <c r="X2383">
        <v>2</v>
      </c>
      <c r="Y2383">
        <v>0</v>
      </c>
      <c r="AA2383">
        <v>1</v>
      </c>
      <c r="AB2383">
        <v>8</v>
      </c>
      <c r="AC2383">
        <v>3</v>
      </c>
      <c r="AD2383">
        <v>0</v>
      </c>
      <c r="AE2383">
        <v>9</v>
      </c>
      <c r="AF2383" t="s">
        <v>138</v>
      </c>
      <c r="AG2383">
        <v>0</v>
      </c>
      <c r="AH2383">
        <v>3</v>
      </c>
      <c r="AI2383">
        <v>1</v>
      </c>
      <c r="AJ2383">
        <v>0</v>
      </c>
      <c r="AK2383" t="s">
        <v>824</v>
      </c>
      <c r="AL2383">
        <v>32.760393999999998</v>
      </c>
      <c r="AM2383" t="s">
        <v>825</v>
      </c>
      <c r="AN2383">
        <v>-116.79492500000001</v>
      </c>
      <c r="AO2383">
        <v>25</v>
      </c>
      <c r="AP2383">
        <v>3100</v>
      </c>
      <c r="AQ2383" t="s">
        <v>129</v>
      </c>
      <c r="AR2383">
        <v>113</v>
      </c>
      <c r="AS2383">
        <v>-63</v>
      </c>
      <c r="AT2383">
        <v>192</v>
      </c>
      <c r="BB2383">
        <v>1200</v>
      </c>
      <c r="BC2383">
        <v>1</v>
      </c>
      <c r="BD2383" t="str">
        <f t="shared" si="854"/>
        <v xml:space="preserve">N887QR  </v>
      </c>
      <c r="BE2383">
        <v>1</v>
      </c>
      <c r="BJ2383">
        <v>2825</v>
      </c>
      <c r="BK2383">
        <v>-275</v>
      </c>
      <c r="BL2383" t="s">
        <v>163</v>
      </c>
      <c r="BM2383">
        <v>1</v>
      </c>
      <c r="BN2383">
        <v>1</v>
      </c>
      <c r="BO2383">
        <v>1</v>
      </c>
      <c r="BP2383">
        <v>0</v>
      </c>
      <c r="BS2383">
        <v>0</v>
      </c>
      <c r="BT2383">
        <v>0</v>
      </c>
      <c r="BU2383">
        <v>0</v>
      </c>
      <c r="CE2383" t="str">
        <f t="shared" si="859"/>
        <v>19:31:55.744</v>
      </c>
      <c r="CF2383">
        <v>743937328</v>
      </c>
      <c r="CS2383">
        <v>0</v>
      </c>
      <c r="CT2383">
        <v>2</v>
      </c>
      <c r="CU2383">
        <v>0</v>
      </c>
      <c r="CV2383">
        <v>2</v>
      </c>
      <c r="CW2383">
        <v>0</v>
      </c>
      <c r="CX2383">
        <v>5</v>
      </c>
      <c r="CY2383">
        <v>7</v>
      </c>
      <c r="CZ2383" t="s">
        <v>131</v>
      </c>
      <c r="DA2383">
        <v>300</v>
      </c>
      <c r="DB2383">
        <v>0</v>
      </c>
      <c r="DC2383" t="s">
        <v>176</v>
      </c>
      <c r="DD2383" t="s">
        <v>177</v>
      </c>
      <c r="DG2383">
        <v>5410847</v>
      </c>
      <c r="DI2383">
        <v>1</v>
      </c>
      <c r="DJ2383">
        <v>0</v>
      </c>
      <c r="DK2383">
        <v>0</v>
      </c>
      <c r="DL2383">
        <v>0</v>
      </c>
      <c r="DM2383">
        <v>0</v>
      </c>
      <c r="DN2383">
        <v>1</v>
      </c>
      <c r="DO2383">
        <v>0</v>
      </c>
      <c r="DP2383">
        <v>0</v>
      </c>
      <c r="DQ2383">
        <v>0</v>
      </c>
      <c r="DR2383">
        <v>0</v>
      </c>
      <c r="DS2383">
        <v>0</v>
      </c>
    </row>
    <row r="2384" spans="1:123" x14ac:dyDescent="0.3">
      <c r="A2384" t="str">
        <f>"10/04/2022 19:31:56.338"</f>
        <v>10/04/2022 19:31:56.338</v>
      </c>
      <c r="C2384" t="str">
        <f t="shared" si="841"/>
        <v>FFDDD3C0</v>
      </c>
      <c r="D2384" t="s">
        <v>147</v>
      </c>
      <c r="E2384">
        <v>3</v>
      </c>
      <c r="H2384">
        <v>166</v>
      </c>
      <c r="I2384" t="s">
        <v>144</v>
      </c>
      <c r="J2384" t="s">
        <v>148</v>
      </c>
      <c r="K2384">
        <v>0</v>
      </c>
      <c r="L2384">
        <v>3</v>
      </c>
      <c r="M2384">
        <v>0</v>
      </c>
      <c r="N2384">
        <v>2</v>
      </c>
      <c r="O2384">
        <v>0</v>
      </c>
      <c r="P2384">
        <v>1</v>
      </c>
      <c r="Q2384">
        <v>0</v>
      </c>
      <c r="S2384" t="str">
        <f t="shared" si="858"/>
        <v>19:31:55.000</v>
      </c>
      <c r="T2384" t="str">
        <f t="shared" si="858"/>
        <v>19:31:55.000</v>
      </c>
      <c r="U2384" t="str">
        <f t="shared" si="853"/>
        <v>AC3944</v>
      </c>
      <c r="V2384">
        <v>0</v>
      </c>
      <c r="W2384">
        <v>0</v>
      </c>
      <c r="X2384">
        <v>2</v>
      </c>
      <c r="Y2384">
        <v>0</v>
      </c>
      <c r="AA2384">
        <v>1</v>
      </c>
      <c r="AB2384">
        <v>8</v>
      </c>
      <c r="AC2384">
        <v>3</v>
      </c>
      <c r="AD2384">
        <v>0</v>
      </c>
      <c r="AE2384">
        <v>9</v>
      </c>
      <c r="AF2384" t="s">
        <v>138</v>
      </c>
      <c r="AG2384">
        <v>0</v>
      </c>
      <c r="AH2384">
        <v>3</v>
      </c>
      <c r="AI2384">
        <v>1</v>
      </c>
      <c r="AJ2384">
        <v>0</v>
      </c>
      <c r="AK2384" t="s">
        <v>824</v>
      </c>
      <c r="AL2384">
        <v>32.760393999999998</v>
      </c>
      <c r="AM2384" t="s">
        <v>825</v>
      </c>
      <c r="AN2384">
        <v>-116.79492500000001</v>
      </c>
      <c r="AO2384">
        <v>25</v>
      </c>
      <c r="AP2384">
        <v>3100</v>
      </c>
      <c r="AQ2384" t="s">
        <v>129</v>
      </c>
      <c r="AR2384">
        <v>113</v>
      </c>
      <c r="AS2384">
        <v>-63</v>
      </c>
      <c r="AT2384">
        <v>192</v>
      </c>
      <c r="BB2384">
        <v>1200</v>
      </c>
      <c r="BC2384">
        <v>1</v>
      </c>
      <c r="BD2384" t="str">
        <f t="shared" si="854"/>
        <v xml:space="preserve">N887QR  </v>
      </c>
      <c r="BE2384">
        <v>1</v>
      </c>
      <c r="BJ2384">
        <v>2825</v>
      </c>
      <c r="BK2384">
        <v>-275</v>
      </c>
      <c r="BL2384" t="s">
        <v>163</v>
      </c>
      <c r="BM2384">
        <v>1</v>
      </c>
      <c r="BN2384">
        <v>1</v>
      </c>
      <c r="BO2384">
        <v>1</v>
      </c>
      <c r="BP2384">
        <v>0</v>
      </c>
      <c r="BS2384">
        <v>0</v>
      </c>
      <c r="BT2384">
        <v>0</v>
      </c>
      <c r="BU2384">
        <v>0</v>
      </c>
      <c r="CE2384" t="str">
        <f t="shared" si="859"/>
        <v>19:31:55.744</v>
      </c>
      <c r="CF2384">
        <v>743937328</v>
      </c>
      <c r="CS2384">
        <v>0</v>
      </c>
      <c r="CT2384">
        <v>2</v>
      </c>
      <c r="CU2384">
        <v>0</v>
      </c>
      <c r="CV2384">
        <v>2</v>
      </c>
      <c r="CW2384">
        <v>0</v>
      </c>
      <c r="CX2384">
        <v>5</v>
      </c>
      <c r="CY2384">
        <v>7</v>
      </c>
      <c r="CZ2384" t="s">
        <v>131</v>
      </c>
      <c r="DA2384">
        <v>300</v>
      </c>
      <c r="DB2384">
        <v>0</v>
      </c>
      <c r="DC2384" t="s">
        <v>176</v>
      </c>
      <c r="DD2384" t="s">
        <v>177</v>
      </c>
      <c r="DG2384">
        <v>5410847</v>
      </c>
      <c r="DI2384">
        <v>1</v>
      </c>
      <c r="DJ2384">
        <v>0</v>
      </c>
      <c r="DK2384">
        <v>1</v>
      </c>
      <c r="DL2384">
        <v>0</v>
      </c>
      <c r="DM2384">
        <v>0</v>
      </c>
      <c r="DN2384">
        <v>1</v>
      </c>
      <c r="DO2384">
        <v>0</v>
      </c>
      <c r="DP2384">
        <v>0</v>
      </c>
      <c r="DQ2384">
        <v>0</v>
      </c>
      <c r="DR2384">
        <v>0</v>
      </c>
      <c r="DS2384">
        <v>0</v>
      </c>
    </row>
    <row r="2385" spans="1:123" x14ac:dyDescent="0.3">
      <c r="A2385" t="str">
        <f>"10/04/2022 19:31:56.338"</f>
        <v>10/04/2022 19:31:56.338</v>
      </c>
      <c r="C2385" t="str">
        <f t="shared" si="841"/>
        <v>FFDDD3C0</v>
      </c>
      <c r="D2385" t="s">
        <v>136</v>
      </c>
      <c r="E2385">
        <v>8</v>
      </c>
      <c r="H2385">
        <v>225</v>
      </c>
      <c r="I2385" t="s">
        <v>137</v>
      </c>
      <c r="J2385" t="s">
        <v>138</v>
      </c>
      <c r="K2385">
        <v>0</v>
      </c>
      <c r="L2385">
        <v>3</v>
      </c>
      <c r="M2385">
        <v>0</v>
      </c>
      <c r="N2385">
        <v>2</v>
      </c>
      <c r="O2385">
        <v>0</v>
      </c>
      <c r="P2385">
        <v>1</v>
      </c>
      <c r="Q2385">
        <v>0</v>
      </c>
      <c r="S2385" t="str">
        <f t="shared" si="858"/>
        <v>19:31:55.000</v>
      </c>
      <c r="T2385" t="str">
        <f t="shared" si="858"/>
        <v>19:31:55.000</v>
      </c>
      <c r="U2385" t="str">
        <f t="shared" si="853"/>
        <v>AC3944</v>
      </c>
      <c r="V2385">
        <v>0</v>
      </c>
      <c r="W2385">
        <v>0</v>
      </c>
      <c r="X2385">
        <v>2</v>
      </c>
      <c r="Y2385">
        <v>0</v>
      </c>
      <c r="AA2385">
        <v>1</v>
      </c>
      <c r="AB2385">
        <v>8</v>
      </c>
      <c r="AC2385">
        <v>3</v>
      </c>
      <c r="AD2385">
        <v>0</v>
      </c>
      <c r="AE2385">
        <v>9</v>
      </c>
      <c r="AF2385" t="s">
        <v>138</v>
      </c>
      <c r="AG2385">
        <v>0</v>
      </c>
      <c r="AH2385">
        <v>3</v>
      </c>
      <c r="AI2385">
        <v>1</v>
      </c>
      <c r="AJ2385">
        <v>0</v>
      </c>
      <c r="AK2385" t="s">
        <v>824</v>
      </c>
      <c r="AL2385">
        <v>32.760393999999998</v>
      </c>
      <c r="AM2385" t="s">
        <v>825</v>
      </c>
      <c r="AN2385">
        <v>-116.79492500000001</v>
      </c>
      <c r="AO2385">
        <v>25</v>
      </c>
      <c r="AP2385">
        <v>3100</v>
      </c>
      <c r="AQ2385" t="s">
        <v>129</v>
      </c>
      <c r="AR2385">
        <v>113</v>
      </c>
      <c r="AS2385">
        <v>-63</v>
      </c>
      <c r="AT2385">
        <v>192</v>
      </c>
      <c r="BB2385">
        <v>1200</v>
      </c>
      <c r="BC2385">
        <v>1</v>
      </c>
      <c r="BD2385" t="str">
        <f t="shared" si="854"/>
        <v xml:space="preserve">N887QR  </v>
      </c>
      <c r="BE2385">
        <v>1</v>
      </c>
      <c r="BJ2385">
        <v>2825</v>
      </c>
      <c r="BK2385">
        <v>-275</v>
      </c>
      <c r="BL2385" t="s">
        <v>163</v>
      </c>
      <c r="BM2385">
        <v>1</v>
      </c>
      <c r="BN2385">
        <v>1</v>
      </c>
      <c r="BO2385">
        <v>1</v>
      </c>
      <c r="BP2385">
        <v>0</v>
      </c>
      <c r="BS2385">
        <v>0</v>
      </c>
      <c r="BT2385">
        <v>0</v>
      </c>
      <c r="BU2385">
        <v>0</v>
      </c>
      <c r="CE2385" t="str">
        <f t="shared" si="859"/>
        <v>19:31:55.744</v>
      </c>
      <c r="CF2385">
        <v>743937328</v>
      </c>
      <c r="CS2385">
        <v>0</v>
      </c>
      <c r="CT2385">
        <v>2</v>
      </c>
      <c r="CU2385">
        <v>0</v>
      </c>
      <c r="CV2385">
        <v>2</v>
      </c>
      <c r="CW2385">
        <v>0</v>
      </c>
      <c r="CX2385">
        <v>5</v>
      </c>
      <c r="CY2385">
        <v>7</v>
      </c>
      <c r="CZ2385" t="s">
        <v>131</v>
      </c>
      <c r="DA2385">
        <v>300</v>
      </c>
      <c r="DB2385">
        <v>0</v>
      </c>
      <c r="DC2385" t="s">
        <v>176</v>
      </c>
      <c r="DD2385" t="s">
        <v>177</v>
      </c>
      <c r="DG2385">
        <v>5410847</v>
      </c>
      <c r="DI2385">
        <v>1</v>
      </c>
      <c r="DJ2385">
        <v>0</v>
      </c>
      <c r="DK2385">
        <v>1</v>
      </c>
      <c r="DL2385">
        <v>0</v>
      </c>
      <c r="DM2385">
        <v>0</v>
      </c>
      <c r="DN2385">
        <v>1</v>
      </c>
      <c r="DO2385">
        <v>0</v>
      </c>
      <c r="DP2385">
        <v>0</v>
      </c>
      <c r="DQ2385">
        <v>0</v>
      </c>
      <c r="DR2385">
        <v>0</v>
      </c>
      <c r="DS2385">
        <v>0</v>
      </c>
    </row>
    <row r="2386" spans="1:123" x14ac:dyDescent="0.3">
      <c r="A2386" t="str">
        <f>"10/04/2022 19:31:56.338"</f>
        <v>10/04/2022 19:31:56.338</v>
      </c>
      <c r="C2386" t="str">
        <f t="shared" si="841"/>
        <v>FFDDD3C0</v>
      </c>
      <c r="D2386" t="s">
        <v>143</v>
      </c>
      <c r="E2386">
        <v>20</v>
      </c>
      <c r="F2386">
        <v>1020</v>
      </c>
      <c r="G2386" t="s">
        <v>144</v>
      </c>
      <c r="J2386" t="s">
        <v>145</v>
      </c>
      <c r="K2386">
        <v>0</v>
      </c>
      <c r="L2386">
        <v>3</v>
      </c>
      <c r="M2386">
        <v>0</v>
      </c>
      <c r="N2386">
        <v>2</v>
      </c>
      <c r="O2386">
        <v>0</v>
      </c>
      <c r="P2386">
        <v>1</v>
      </c>
      <c r="Q2386">
        <v>0</v>
      </c>
      <c r="S2386" t="str">
        <f t="shared" si="858"/>
        <v>19:31:55.000</v>
      </c>
      <c r="T2386" t="str">
        <f t="shared" si="858"/>
        <v>19:31:55.000</v>
      </c>
      <c r="U2386" t="str">
        <f t="shared" si="853"/>
        <v>AC3944</v>
      </c>
      <c r="V2386">
        <v>0</v>
      </c>
      <c r="W2386">
        <v>0</v>
      </c>
      <c r="X2386">
        <v>2</v>
      </c>
      <c r="Y2386">
        <v>0</v>
      </c>
      <c r="AA2386">
        <v>1</v>
      </c>
      <c r="AB2386">
        <v>8</v>
      </c>
      <c r="AC2386">
        <v>3</v>
      </c>
      <c r="AD2386">
        <v>0</v>
      </c>
      <c r="AE2386">
        <v>9</v>
      </c>
      <c r="AF2386" t="s">
        <v>138</v>
      </c>
      <c r="AG2386">
        <v>0</v>
      </c>
      <c r="AH2386">
        <v>3</v>
      </c>
      <c r="AI2386">
        <v>1</v>
      </c>
      <c r="AJ2386">
        <v>0</v>
      </c>
      <c r="AK2386" t="s">
        <v>824</v>
      </c>
      <c r="AL2386">
        <v>32.760393999999998</v>
      </c>
      <c r="AM2386" t="s">
        <v>825</v>
      </c>
      <c r="AN2386">
        <v>-116.79492500000001</v>
      </c>
      <c r="AO2386">
        <v>25</v>
      </c>
      <c r="AP2386">
        <v>3100</v>
      </c>
      <c r="AQ2386" t="s">
        <v>129</v>
      </c>
      <c r="AR2386">
        <v>113</v>
      </c>
      <c r="AS2386">
        <v>-63</v>
      </c>
      <c r="AT2386">
        <v>192</v>
      </c>
      <c r="BB2386">
        <v>1200</v>
      </c>
      <c r="BC2386">
        <v>1</v>
      </c>
      <c r="BD2386" t="str">
        <f t="shared" si="854"/>
        <v xml:space="preserve">N887QR  </v>
      </c>
      <c r="BE2386">
        <v>1</v>
      </c>
      <c r="BJ2386">
        <v>2825</v>
      </c>
      <c r="BK2386">
        <v>-275</v>
      </c>
      <c r="BL2386" t="s">
        <v>163</v>
      </c>
      <c r="BM2386">
        <v>1</v>
      </c>
      <c r="BN2386">
        <v>1</v>
      </c>
      <c r="BO2386">
        <v>1</v>
      </c>
      <c r="BP2386">
        <v>0</v>
      </c>
      <c r="BS2386">
        <v>0</v>
      </c>
      <c r="BT2386">
        <v>0</v>
      </c>
      <c r="BU2386">
        <v>0</v>
      </c>
      <c r="CE2386" t="str">
        <f t="shared" si="859"/>
        <v>19:31:55.744</v>
      </c>
      <c r="CF2386">
        <v>743937328</v>
      </c>
      <c r="CS2386">
        <v>0</v>
      </c>
      <c r="CT2386">
        <v>2</v>
      </c>
      <c r="CU2386">
        <v>0</v>
      </c>
      <c r="CV2386">
        <v>2</v>
      </c>
      <c r="CW2386">
        <v>0</v>
      </c>
      <c r="CX2386">
        <v>5</v>
      </c>
      <c r="CY2386">
        <v>7</v>
      </c>
      <c r="CZ2386" t="s">
        <v>131</v>
      </c>
      <c r="DA2386">
        <v>300</v>
      </c>
      <c r="DB2386">
        <v>0</v>
      </c>
      <c r="DC2386" t="s">
        <v>176</v>
      </c>
      <c r="DD2386" t="s">
        <v>177</v>
      </c>
      <c r="DG2386">
        <v>5410847</v>
      </c>
      <c r="DI2386">
        <v>1</v>
      </c>
      <c r="DJ2386">
        <v>0</v>
      </c>
      <c r="DK2386">
        <v>1</v>
      </c>
      <c r="DL2386">
        <v>0</v>
      </c>
      <c r="DM2386">
        <v>0</v>
      </c>
      <c r="DN2386">
        <v>1</v>
      </c>
      <c r="DO2386">
        <v>0</v>
      </c>
      <c r="DP2386">
        <v>0</v>
      </c>
      <c r="DQ2386">
        <v>0</v>
      </c>
      <c r="DR2386">
        <v>0</v>
      </c>
      <c r="DS2386">
        <v>0</v>
      </c>
    </row>
    <row r="2387" spans="1:123" x14ac:dyDescent="0.3">
      <c r="A2387" t="str">
        <f>"10/04/2022 19:31:57.796"</f>
        <v>10/04/2022 19:31:57.796</v>
      </c>
      <c r="C2387" t="str">
        <f t="shared" si="841"/>
        <v>FFDDD3C0</v>
      </c>
      <c r="D2387" t="s">
        <v>123</v>
      </c>
      <c r="E2387">
        <v>7</v>
      </c>
      <c r="F2387">
        <v>2007</v>
      </c>
      <c r="G2387" t="s">
        <v>124</v>
      </c>
      <c r="J2387" t="s">
        <v>125</v>
      </c>
      <c r="K2387">
        <v>0</v>
      </c>
      <c r="L2387">
        <v>3</v>
      </c>
      <c r="M2387">
        <v>0</v>
      </c>
      <c r="N2387">
        <v>2</v>
      </c>
      <c r="O2387">
        <v>0</v>
      </c>
      <c r="P2387">
        <v>1</v>
      </c>
      <c r="Q2387">
        <v>0</v>
      </c>
      <c r="S2387" t="str">
        <f t="shared" ref="S2387:T2393" si="860">"19:31:57.000"</f>
        <v>19:31:57.000</v>
      </c>
      <c r="T2387" t="str">
        <f t="shared" si="860"/>
        <v>19:31:57.000</v>
      </c>
      <c r="U2387" t="str">
        <f t="shared" si="853"/>
        <v>AC3944</v>
      </c>
      <c r="V2387">
        <v>0</v>
      </c>
      <c r="W2387">
        <v>0</v>
      </c>
      <c r="X2387">
        <v>2</v>
      </c>
      <c r="Y2387">
        <v>0</v>
      </c>
      <c r="AA2387">
        <v>1</v>
      </c>
      <c r="AB2387">
        <v>8</v>
      </c>
      <c r="AC2387">
        <v>3</v>
      </c>
      <c r="AD2387">
        <v>0</v>
      </c>
      <c r="AE2387">
        <v>9</v>
      </c>
      <c r="AF2387" t="s">
        <v>138</v>
      </c>
      <c r="AG2387">
        <v>0</v>
      </c>
      <c r="AH2387">
        <v>3</v>
      </c>
      <c r="AI2387">
        <v>1</v>
      </c>
      <c r="AJ2387">
        <v>0</v>
      </c>
      <c r="AK2387" t="s">
        <v>826</v>
      </c>
      <c r="AL2387">
        <v>32.760092999999998</v>
      </c>
      <c r="AM2387" t="s">
        <v>827</v>
      </c>
      <c r="AN2387">
        <v>-116.794302</v>
      </c>
      <c r="AO2387">
        <v>25</v>
      </c>
      <c r="AP2387">
        <v>3100</v>
      </c>
      <c r="AQ2387" t="s">
        <v>129</v>
      </c>
      <c r="AR2387">
        <v>113</v>
      </c>
      <c r="AS2387">
        <v>-63</v>
      </c>
      <c r="AT2387">
        <v>384</v>
      </c>
      <c r="BB2387">
        <v>1200</v>
      </c>
      <c r="BC2387">
        <v>1</v>
      </c>
      <c r="BD2387" t="str">
        <f t="shared" si="854"/>
        <v xml:space="preserve">N887QR  </v>
      </c>
      <c r="BE2387">
        <v>1</v>
      </c>
      <c r="BJ2387">
        <v>2850</v>
      </c>
      <c r="BK2387">
        <v>-250</v>
      </c>
      <c r="BL2387" t="s">
        <v>163</v>
      </c>
      <c r="BM2387">
        <v>1</v>
      </c>
      <c r="BN2387">
        <v>1</v>
      </c>
      <c r="BO2387">
        <v>1</v>
      </c>
      <c r="BP2387">
        <v>0</v>
      </c>
      <c r="BS2387">
        <v>0.08</v>
      </c>
      <c r="BT2387">
        <v>0</v>
      </c>
      <c r="BU2387">
        <v>0</v>
      </c>
      <c r="CE2387" t="str">
        <f t="shared" ref="CE2387:CE2393" si="861">"19:31:57.499"</f>
        <v>19:31:57.499</v>
      </c>
      <c r="CF2387">
        <v>498693209</v>
      </c>
      <c r="CS2387">
        <v>0</v>
      </c>
      <c r="CT2387">
        <v>2</v>
      </c>
      <c r="CU2387">
        <v>0</v>
      </c>
      <c r="CV2387">
        <v>2</v>
      </c>
      <c r="CW2387">
        <v>0</v>
      </c>
      <c r="CX2387">
        <v>5</v>
      </c>
      <c r="CY2387">
        <v>7</v>
      </c>
      <c r="CZ2387" t="s">
        <v>131</v>
      </c>
      <c r="DA2387">
        <v>300</v>
      </c>
      <c r="DB2387">
        <v>0</v>
      </c>
      <c r="DC2387" t="s">
        <v>176</v>
      </c>
      <c r="DD2387" t="s">
        <v>177</v>
      </c>
      <c r="DG2387">
        <v>5411106</v>
      </c>
      <c r="DI2387">
        <v>1</v>
      </c>
      <c r="DJ2387">
        <v>0</v>
      </c>
      <c r="DK2387">
        <v>0</v>
      </c>
      <c r="DL2387">
        <v>0</v>
      </c>
      <c r="DM2387">
        <v>0</v>
      </c>
      <c r="DN2387">
        <v>1</v>
      </c>
      <c r="DO2387">
        <v>0</v>
      </c>
      <c r="DP2387">
        <v>0</v>
      </c>
      <c r="DQ2387">
        <v>0</v>
      </c>
      <c r="DR2387">
        <v>0</v>
      </c>
      <c r="DS2387">
        <v>0</v>
      </c>
    </row>
    <row r="2388" spans="1:123" x14ac:dyDescent="0.3">
      <c r="A2388" t="str">
        <f>"10/04/2022 19:31:57.796"</f>
        <v>10/04/2022 19:31:57.796</v>
      </c>
      <c r="C2388" t="str">
        <f t="shared" si="841"/>
        <v>FFDDD3C0</v>
      </c>
      <c r="D2388" t="s">
        <v>141</v>
      </c>
      <c r="E2388">
        <v>3</v>
      </c>
      <c r="H2388">
        <v>3</v>
      </c>
      <c r="I2388" t="s">
        <v>146</v>
      </c>
      <c r="J2388" t="s">
        <v>138</v>
      </c>
      <c r="K2388">
        <v>0</v>
      </c>
      <c r="L2388">
        <v>3</v>
      </c>
      <c r="M2388">
        <v>0</v>
      </c>
      <c r="N2388">
        <v>2</v>
      </c>
      <c r="O2388">
        <v>0</v>
      </c>
      <c r="P2388">
        <v>1</v>
      </c>
      <c r="Q2388">
        <v>0</v>
      </c>
      <c r="S2388" t="str">
        <f t="shared" si="860"/>
        <v>19:31:57.000</v>
      </c>
      <c r="T2388" t="str">
        <f t="shared" si="860"/>
        <v>19:31:57.000</v>
      </c>
      <c r="U2388" t="str">
        <f t="shared" si="853"/>
        <v>AC3944</v>
      </c>
      <c r="V2388">
        <v>0</v>
      </c>
      <c r="W2388">
        <v>0</v>
      </c>
      <c r="X2388">
        <v>2</v>
      </c>
      <c r="Y2388">
        <v>0</v>
      </c>
      <c r="AA2388">
        <v>1</v>
      </c>
      <c r="AB2388">
        <v>8</v>
      </c>
      <c r="AC2388">
        <v>3</v>
      </c>
      <c r="AD2388">
        <v>0</v>
      </c>
      <c r="AE2388">
        <v>9</v>
      </c>
      <c r="AF2388" t="s">
        <v>138</v>
      </c>
      <c r="AG2388">
        <v>0</v>
      </c>
      <c r="AH2388">
        <v>3</v>
      </c>
      <c r="AI2388">
        <v>1</v>
      </c>
      <c r="AJ2388">
        <v>0</v>
      </c>
      <c r="AK2388" t="s">
        <v>826</v>
      </c>
      <c r="AL2388">
        <v>32.760092999999998</v>
      </c>
      <c r="AM2388" t="s">
        <v>827</v>
      </c>
      <c r="AN2388">
        <v>-116.794302</v>
      </c>
      <c r="AO2388">
        <v>25</v>
      </c>
      <c r="AP2388">
        <v>3100</v>
      </c>
      <c r="AQ2388" t="s">
        <v>129</v>
      </c>
      <c r="AR2388">
        <v>113</v>
      </c>
      <c r="AS2388">
        <v>-63</v>
      </c>
      <c r="AT2388">
        <v>384</v>
      </c>
      <c r="BB2388">
        <v>1200</v>
      </c>
      <c r="BC2388">
        <v>1</v>
      </c>
      <c r="BD2388" t="str">
        <f t="shared" si="854"/>
        <v xml:space="preserve">N887QR  </v>
      </c>
      <c r="BE2388">
        <v>1</v>
      </c>
      <c r="BJ2388">
        <v>2850</v>
      </c>
      <c r="BK2388">
        <v>-250</v>
      </c>
      <c r="BL2388" t="s">
        <v>163</v>
      </c>
      <c r="BM2388">
        <v>1</v>
      </c>
      <c r="BN2388">
        <v>1</v>
      </c>
      <c r="BO2388">
        <v>1</v>
      </c>
      <c r="BP2388">
        <v>0</v>
      </c>
      <c r="BS2388">
        <v>0.08</v>
      </c>
      <c r="BT2388">
        <v>0</v>
      </c>
      <c r="BU2388">
        <v>0</v>
      </c>
      <c r="CE2388" t="str">
        <f t="shared" si="861"/>
        <v>19:31:57.499</v>
      </c>
      <c r="CF2388">
        <v>498693209</v>
      </c>
      <c r="CS2388">
        <v>0</v>
      </c>
      <c r="CT2388">
        <v>2</v>
      </c>
      <c r="CU2388">
        <v>0</v>
      </c>
      <c r="CV2388">
        <v>2</v>
      </c>
      <c r="CW2388">
        <v>0</v>
      </c>
      <c r="CX2388">
        <v>5</v>
      </c>
      <c r="CY2388">
        <v>7</v>
      </c>
      <c r="CZ2388" t="s">
        <v>131</v>
      </c>
      <c r="DA2388">
        <v>300</v>
      </c>
      <c r="DB2388">
        <v>0</v>
      </c>
      <c r="DC2388" t="s">
        <v>176</v>
      </c>
      <c r="DD2388" t="s">
        <v>177</v>
      </c>
      <c r="DG2388">
        <v>5411106</v>
      </c>
      <c r="DI2388">
        <v>1</v>
      </c>
      <c r="DJ2388">
        <v>0</v>
      </c>
      <c r="DK2388">
        <v>1</v>
      </c>
      <c r="DL2388">
        <v>0</v>
      </c>
      <c r="DM2388">
        <v>0</v>
      </c>
      <c r="DN2388">
        <v>1</v>
      </c>
      <c r="DO2388">
        <v>0</v>
      </c>
      <c r="DP2388">
        <v>0</v>
      </c>
      <c r="DQ2388">
        <v>0</v>
      </c>
      <c r="DR2388">
        <v>0</v>
      </c>
      <c r="DS2388">
        <v>0</v>
      </c>
    </row>
    <row r="2389" spans="1:123" x14ac:dyDescent="0.3">
      <c r="A2389" t="str">
        <f>"10/04/2022 19:31:57.811"</f>
        <v>10/04/2022 19:31:57.811</v>
      </c>
      <c r="C2389" t="str">
        <f t="shared" si="841"/>
        <v>FFDDD3C0</v>
      </c>
      <c r="D2389" t="s">
        <v>134</v>
      </c>
      <c r="E2389">
        <v>15</v>
      </c>
      <c r="J2389" t="s">
        <v>135</v>
      </c>
      <c r="K2389">
        <v>0</v>
      </c>
      <c r="L2389">
        <v>3</v>
      </c>
      <c r="M2389">
        <v>0</v>
      </c>
      <c r="N2389">
        <v>2</v>
      </c>
      <c r="O2389">
        <v>0</v>
      </c>
      <c r="P2389">
        <v>1</v>
      </c>
      <c r="Q2389">
        <v>0</v>
      </c>
      <c r="S2389" t="str">
        <f t="shared" si="860"/>
        <v>19:31:57.000</v>
      </c>
      <c r="T2389" t="str">
        <f t="shared" si="860"/>
        <v>19:31:57.000</v>
      </c>
      <c r="U2389" t="str">
        <f t="shared" si="853"/>
        <v>AC3944</v>
      </c>
      <c r="V2389">
        <v>0</v>
      </c>
      <c r="W2389">
        <v>0</v>
      </c>
      <c r="X2389">
        <v>2</v>
      </c>
      <c r="Y2389">
        <v>0</v>
      </c>
      <c r="AA2389">
        <v>1</v>
      </c>
      <c r="AB2389">
        <v>8</v>
      </c>
      <c r="AC2389">
        <v>3</v>
      </c>
      <c r="AD2389">
        <v>0</v>
      </c>
      <c r="AE2389">
        <v>9</v>
      </c>
      <c r="AF2389" t="s">
        <v>138</v>
      </c>
      <c r="AG2389">
        <v>0</v>
      </c>
      <c r="AH2389">
        <v>3</v>
      </c>
      <c r="AI2389">
        <v>1</v>
      </c>
      <c r="AJ2389">
        <v>0</v>
      </c>
      <c r="AK2389" t="s">
        <v>826</v>
      </c>
      <c r="AL2389">
        <v>32.760092999999998</v>
      </c>
      <c r="AM2389" t="s">
        <v>827</v>
      </c>
      <c r="AN2389">
        <v>-116.794302</v>
      </c>
      <c r="AO2389">
        <v>25</v>
      </c>
      <c r="AP2389">
        <v>3100</v>
      </c>
      <c r="AQ2389" t="s">
        <v>129</v>
      </c>
      <c r="AR2389">
        <v>113</v>
      </c>
      <c r="AS2389">
        <v>-63</v>
      </c>
      <c r="AT2389">
        <v>384</v>
      </c>
      <c r="BB2389">
        <v>1200</v>
      </c>
      <c r="BC2389">
        <v>1</v>
      </c>
      <c r="BD2389" t="str">
        <f t="shared" si="854"/>
        <v xml:space="preserve">N887QR  </v>
      </c>
      <c r="BE2389">
        <v>1</v>
      </c>
      <c r="BJ2389">
        <v>2850</v>
      </c>
      <c r="BK2389">
        <v>-250</v>
      </c>
      <c r="BL2389" t="s">
        <v>163</v>
      </c>
      <c r="BM2389">
        <v>1</v>
      </c>
      <c r="BN2389">
        <v>1</v>
      </c>
      <c r="BO2389">
        <v>1</v>
      </c>
      <c r="BP2389">
        <v>0</v>
      </c>
      <c r="BS2389">
        <v>0.08</v>
      </c>
      <c r="BT2389">
        <v>0</v>
      </c>
      <c r="BU2389">
        <v>0</v>
      </c>
      <c r="CE2389" t="str">
        <f t="shared" si="861"/>
        <v>19:31:57.499</v>
      </c>
      <c r="CF2389">
        <v>498693209</v>
      </c>
      <c r="CS2389">
        <v>0</v>
      </c>
      <c r="CT2389">
        <v>2</v>
      </c>
      <c r="CU2389">
        <v>0</v>
      </c>
      <c r="CV2389">
        <v>2</v>
      </c>
      <c r="CW2389">
        <v>0</v>
      </c>
      <c r="CX2389">
        <v>5</v>
      </c>
      <c r="CY2389">
        <v>7</v>
      </c>
      <c r="CZ2389" t="s">
        <v>131</v>
      </c>
      <c r="DA2389">
        <v>300</v>
      </c>
      <c r="DB2389">
        <v>0</v>
      </c>
      <c r="DC2389" t="s">
        <v>176</v>
      </c>
      <c r="DD2389" t="s">
        <v>177</v>
      </c>
      <c r="DG2389">
        <v>5411106</v>
      </c>
      <c r="DI2389">
        <v>1</v>
      </c>
      <c r="DJ2389">
        <v>0</v>
      </c>
      <c r="DK2389">
        <v>1</v>
      </c>
      <c r="DL2389">
        <v>0</v>
      </c>
      <c r="DM2389">
        <v>0</v>
      </c>
      <c r="DN2389">
        <v>1</v>
      </c>
      <c r="DO2389">
        <v>0</v>
      </c>
      <c r="DP2389">
        <v>0</v>
      </c>
      <c r="DQ2389">
        <v>0</v>
      </c>
      <c r="DR2389">
        <v>0</v>
      </c>
      <c r="DS2389">
        <v>0</v>
      </c>
    </row>
    <row r="2390" spans="1:123" x14ac:dyDescent="0.3">
      <c r="A2390" t="str">
        <f>"10/04/2022 19:31:57.811"</f>
        <v>10/04/2022 19:31:57.811</v>
      </c>
      <c r="C2390" t="str">
        <f t="shared" si="841"/>
        <v>FFDDD3C0</v>
      </c>
      <c r="D2390" t="s">
        <v>141</v>
      </c>
      <c r="E2390">
        <v>4</v>
      </c>
      <c r="H2390">
        <v>4</v>
      </c>
      <c r="I2390" t="s">
        <v>142</v>
      </c>
      <c r="J2390" t="s">
        <v>138</v>
      </c>
      <c r="K2390">
        <v>0</v>
      </c>
      <c r="L2390">
        <v>3</v>
      </c>
      <c r="M2390">
        <v>0</v>
      </c>
      <c r="N2390">
        <v>2</v>
      </c>
      <c r="O2390">
        <v>0</v>
      </c>
      <c r="P2390">
        <v>1</v>
      </c>
      <c r="Q2390">
        <v>0</v>
      </c>
      <c r="S2390" t="str">
        <f t="shared" si="860"/>
        <v>19:31:57.000</v>
      </c>
      <c r="T2390" t="str">
        <f t="shared" si="860"/>
        <v>19:31:57.000</v>
      </c>
      <c r="U2390" t="str">
        <f t="shared" si="853"/>
        <v>AC3944</v>
      </c>
      <c r="V2390">
        <v>0</v>
      </c>
      <c r="W2390">
        <v>0</v>
      </c>
      <c r="X2390">
        <v>2</v>
      </c>
      <c r="Y2390">
        <v>0</v>
      </c>
      <c r="AA2390">
        <v>1</v>
      </c>
      <c r="AB2390">
        <v>8</v>
      </c>
      <c r="AC2390">
        <v>3</v>
      </c>
      <c r="AD2390">
        <v>0</v>
      </c>
      <c r="AE2390">
        <v>9</v>
      </c>
      <c r="AF2390" t="s">
        <v>138</v>
      </c>
      <c r="AG2390">
        <v>0</v>
      </c>
      <c r="AH2390">
        <v>3</v>
      </c>
      <c r="AI2390">
        <v>1</v>
      </c>
      <c r="AJ2390">
        <v>0</v>
      </c>
      <c r="AK2390" t="s">
        <v>826</v>
      </c>
      <c r="AL2390">
        <v>32.760092999999998</v>
      </c>
      <c r="AM2390" t="s">
        <v>827</v>
      </c>
      <c r="AN2390">
        <v>-116.794302</v>
      </c>
      <c r="AO2390">
        <v>25</v>
      </c>
      <c r="AP2390">
        <v>3100</v>
      </c>
      <c r="AQ2390" t="s">
        <v>129</v>
      </c>
      <c r="AR2390">
        <v>113</v>
      </c>
      <c r="AS2390">
        <v>-63</v>
      </c>
      <c r="AT2390">
        <v>384</v>
      </c>
      <c r="BB2390">
        <v>1200</v>
      </c>
      <c r="BC2390">
        <v>1</v>
      </c>
      <c r="BD2390" t="str">
        <f t="shared" si="854"/>
        <v xml:space="preserve">N887QR  </v>
      </c>
      <c r="BE2390">
        <v>1</v>
      </c>
      <c r="BJ2390">
        <v>2850</v>
      </c>
      <c r="BK2390">
        <v>-250</v>
      </c>
      <c r="BL2390" t="s">
        <v>163</v>
      </c>
      <c r="BM2390">
        <v>1</v>
      </c>
      <c r="BN2390">
        <v>1</v>
      </c>
      <c r="BO2390">
        <v>1</v>
      </c>
      <c r="BP2390">
        <v>0</v>
      </c>
      <c r="BS2390">
        <v>0.08</v>
      </c>
      <c r="BT2390">
        <v>0</v>
      </c>
      <c r="BU2390">
        <v>0</v>
      </c>
      <c r="CE2390" t="str">
        <f t="shared" si="861"/>
        <v>19:31:57.499</v>
      </c>
      <c r="CF2390">
        <v>498693209</v>
      </c>
      <c r="CS2390">
        <v>0</v>
      </c>
      <c r="CT2390">
        <v>2</v>
      </c>
      <c r="CU2390">
        <v>0</v>
      </c>
      <c r="CV2390">
        <v>2</v>
      </c>
      <c r="CW2390">
        <v>0</v>
      </c>
      <c r="CX2390">
        <v>5</v>
      </c>
      <c r="CY2390">
        <v>7</v>
      </c>
      <c r="CZ2390" t="s">
        <v>131</v>
      </c>
      <c r="DA2390">
        <v>300</v>
      </c>
      <c r="DB2390">
        <v>0</v>
      </c>
      <c r="DC2390" t="s">
        <v>176</v>
      </c>
      <c r="DD2390" t="s">
        <v>177</v>
      </c>
      <c r="DG2390">
        <v>5411106</v>
      </c>
      <c r="DI2390">
        <v>1</v>
      </c>
      <c r="DJ2390">
        <v>0</v>
      </c>
      <c r="DK2390">
        <v>1</v>
      </c>
      <c r="DL2390">
        <v>0</v>
      </c>
      <c r="DM2390">
        <v>0</v>
      </c>
      <c r="DN2390">
        <v>1</v>
      </c>
      <c r="DO2390">
        <v>0</v>
      </c>
      <c r="DP2390">
        <v>0</v>
      </c>
      <c r="DQ2390">
        <v>0</v>
      </c>
      <c r="DR2390">
        <v>0</v>
      </c>
      <c r="DS2390">
        <v>0</v>
      </c>
    </row>
    <row r="2391" spans="1:123" x14ac:dyDescent="0.3">
      <c r="A2391" t="str">
        <f>"10/04/2022 19:31:57.811"</f>
        <v>10/04/2022 19:31:57.811</v>
      </c>
      <c r="C2391" t="str">
        <f t="shared" si="841"/>
        <v>FFDDD3C0</v>
      </c>
      <c r="D2391" t="s">
        <v>136</v>
      </c>
      <c r="E2391">
        <v>8</v>
      </c>
      <c r="H2391">
        <v>225</v>
      </c>
      <c r="I2391" t="s">
        <v>137</v>
      </c>
      <c r="J2391" t="s">
        <v>138</v>
      </c>
      <c r="K2391">
        <v>0</v>
      </c>
      <c r="L2391">
        <v>3</v>
      </c>
      <c r="M2391">
        <v>0</v>
      </c>
      <c r="N2391">
        <v>2</v>
      </c>
      <c r="O2391">
        <v>0</v>
      </c>
      <c r="P2391">
        <v>1</v>
      </c>
      <c r="Q2391">
        <v>0</v>
      </c>
      <c r="S2391" t="str">
        <f t="shared" si="860"/>
        <v>19:31:57.000</v>
      </c>
      <c r="T2391" t="str">
        <f t="shared" si="860"/>
        <v>19:31:57.000</v>
      </c>
      <c r="U2391" t="str">
        <f t="shared" si="853"/>
        <v>AC3944</v>
      </c>
      <c r="V2391">
        <v>0</v>
      </c>
      <c r="W2391">
        <v>0</v>
      </c>
      <c r="X2391">
        <v>2</v>
      </c>
      <c r="Y2391">
        <v>0</v>
      </c>
      <c r="AA2391">
        <v>1</v>
      </c>
      <c r="AB2391">
        <v>8</v>
      </c>
      <c r="AC2391">
        <v>3</v>
      </c>
      <c r="AD2391">
        <v>0</v>
      </c>
      <c r="AE2391">
        <v>9</v>
      </c>
      <c r="AF2391" t="s">
        <v>138</v>
      </c>
      <c r="AG2391">
        <v>0</v>
      </c>
      <c r="AH2391">
        <v>3</v>
      </c>
      <c r="AI2391">
        <v>1</v>
      </c>
      <c r="AJ2391">
        <v>0</v>
      </c>
      <c r="AK2391" t="s">
        <v>826</v>
      </c>
      <c r="AL2391">
        <v>32.760092999999998</v>
      </c>
      <c r="AM2391" t="s">
        <v>827</v>
      </c>
      <c r="AN2391">
        <v>-116.794302</v>
      </c>
      <c r="AO2391">
        <v>25</v>
      </c>
      <c r="AP2391">
        <v>3100</v>
      </c>
      <c r="AQ2391" t="s">
        <v>129</v>
      </c>
      <c r="AR2391">
        <v>113</v>
      </c>
      <c r="AS2391">
        <v>-63</v>
      </c>
      <c r="AT2391">
        <v>384</v>
      </c>
      <c r="BB2391">
        <v>1200</v>
      </c>
      <c r="BC2391">
        <v>1</v>
      </c>
      <c r="BD2391" t="str">
        <f t="shared" si="854"/>
        <v xml:space="preserve">N887QR  </v>
      </c>
      <c r="BE2391">
        <v>1</v>
      </c>
      <c r="BJ2391">
        <v>2850</v>
      </c>
      <c r="BK2391">
        <v>-250</v>
      </c>
      <c r="BL2391" t="s">
        <v>163</v>
      </c>
      <c r="BM2391">
        <v>1</v>
      </c>
      <c r="BN2391">
        <v>1</v>
      </c>
      <c r="BO2391">
        <v>1</v>
      </c>
      <c r="BP2391">
        <v>0</v>
      </c>
      <c r="BS2391">
        <v>0.08</v>
      </c>
      <c r="BT2391">
        <v>0</v>
      </c>
      <c r="BU2391">
        <v>0</v>
      </c>
      <c r="CE2391" t="str">
        <f t="shared" si="861"/>
        <v>19:31:57.499</v>
      </c>
      <c r="CF2391">
        <v>498693209</v>
      </c>
      <c r="CS2391">
        <v>0</v>
      </c>
      <c r="CT2391">
        <v>2</v>
      </c>
      <c r="CU2391">
        <v>0</v>
      </c>
      <c r="CV2391">
        <v>2</v>
      </c>
      <c r="CW2391">
        <v>0</v>
      </c>
      <c r="CX2391">
        <v>5</v>
      </c>
      <c r="CY2391">
        <v>7</v>
      </c>
      <c r="CZ2391" t="s">
        <v>131</v>
      </c>
      <c r="DA2391">
        <v>300</v>
      </c>
      <c r="DB2391">
        <v>0</v>
      </c>
      <c r="DC2391" t="s">
        <v>176</v>
      </c>
      <c r="DD2391" t="s">
        <v>177</v>
      </c>
      <c r="DG2391">
        <v>5411106</v>
      </c>
      <c r="DI2391">
        <v>1</v>
      </c>
      <c r="DJ2391">
        <v>0</v>
      </c>
      <c r="DK2391">
        <v>1</v>
      </c>
      <c r="DL2391">
        <v>0</v>
      </c>
      <c r="DM2391">
        <v>0</v>
      </c>
      <c r="DN2391">
        <v>1</v>
      </c>
      <c r="DO2391">
        <v>0</v>
      </c>
      <c r="DP2391">
        <v>0</v>
      </c>
      <c r="DQ2391">
        <v>0</v>
      </c>
      <c r="DR2391">
        <v>0</v>
      </c>
      <c r="DS2391">
        <v>0</v>
      </c>
    </row>
    <row r="2392" spans="1:123" x14ac:dyDescent="0.3">
      <c r="A2392" t="str">
        <f>"10/04/2022 19:31:57.811"</f>
        <v>10/04/2022 19:31:57.811</v>
      </c>
      <c r="C2392" t="str">
        <f t="shared" si="841"/>
        <v>FFDDD3C0</v>
      </c>
      <c r="D2392" t="s">
        <v>147</v>
      </c>
      <c r="E2392">
        <v>3</v>
      </c>
      <c r="H2392">
        <v>166</v>
      </c>
      <c r="I2392" t="s">
        <v>144</v>
      </c>
      <c r="J2392" t="s">
        <v>148</v>
      </c>
      <c r="K2392">
        <v>0</v>
      </c>
      <c r="L2392">
        <v>3</v>
      </c>
      <c r="M2392">
        <v>0</v>
      </c>
      <c r="N2392">
        <v>2</v>
      </c>
      <c r="O2392">
        <v>0</v>
      </c>
      <c r="P2392">
        <v>1</v>
      </c>
      <c r="Q2392">
        <v>0</v>
      </c>
      <c r="S2392" t="str">
        <f t="shared" si="860"/>
        <v>19:31:57.000</v>
      </c>
      <c r="T2392" t="str">
        <f t="shared" si="860"/>
        <v>19:31:57.000</v>
      </c>
      <c r="U2392" t="str">
        <f t="shared" si="853"/>
        <v>AC3944</v>
      </c>
      <c r="V2392">
        <v>0</v>
      </c>
      <c r="W2392">
        <v>0</v>
      </c>
      <c r="X2392">
        <v>2</v>
      </c>
      <c r="Y2392">
        <v>0</v>
      </c>
      <c r="AA2392">
        <v>1</v>
      </c>
      <c r="AB2392">
        <v>8</v>
      </c>
      <c r="AC2392">
        <v>3</v>
      </c>
      <c r="AD2392">
        <v>0</v>
      </c>
      <c r="AE2392">
        <v>9</v>
      </c>
      <c r="AF2392" t="s">
        <v>138</v>
      </c>
      <c r="AG2392">
        <v>0</v>
      </c>
      <c r="AH2392">
        <v>3</v>
      </c>
      <c r="AI2392">
        <v>1</v>
      </c>
      <c r="AJ2392">
        <v>0</v>
      </c>
      <c r="AK2392" t="s">
        <v>826</v>
      </c>
      <c r="AL2392">
        <v>32.760092999999998</v>
      </c>
      <c r="AM2392" t="s">
        <v>827</v>
      </c>
      <c r="AN2392">
        <v>-116.794302</v>
      </c>
      <c r="AO2392">
        <v>25</v>
      </c>
      <c r="AP2392">
        <v>3100</v>
      </c>
      <c r="AQ2392" t="s">
        <v>129</v>
      </c>
      <c r="AR2392">
        <v>113</v>
      </c>
      <c r="AS2392">
        <v>-63</v>
      </c>
      <c r="AT2392">
        <v>384</v>
      </c>
      <c r="BB2392">
        <v>1200</v>
      </c>
      <c r="BC2392">
        <v>1</v>
      </c>
      <c r="BD2392" t="str">
        <f t="shared" si="854"/>
        <v xml:space="preserve">N887QR  </v>
      </c>
      <c r="BE2392">
        <v>1</v>
      </c>
      <c r="BJ2392">
        <v>2850</v>
      </c>
      <c r="BK2392">
        <v>-250</v>
      </c>
      <c r="BL2392" t="s">
        <v>163</v>
      </c>
      <c r="BM2392">
        <v>1</v>
      </c>
      <c r="BN2392">
        <v>1</v>
      </c>
      <c r="BO2392">
        <v>1</v>
      </c>
      <c r="BP2392">
        <v>0</v>
      </c>
      <c r="BS2392">
        <v>0.08</v>
      </c>
      <c r="BT2392">
        <v>0</v>
      </c>
      <c r="BU2392">
        <v>0</v>
      </c>
      <c r="CE2392" t="str">
        <f t="shared" si="861"/>
        <v>19:31:57.499</v>
      </c>
      <c r="CF2392">
        <v>498693209</v>
      </c>
      <c r="CS2392">
        <v>0</v>
      </c>
      <c r="CT2392">
        <v>2</v>
      </c>
      <c r="CU2392">
        <v>0</v>
      </c>
      <c r="CV2392">
        <v>2</v>
      </c>
      <c r="CW2392">
        <v>0</v>
      </c>
      <c r="CX2392">
        <v>5</v>
      </c>
      <c r="CY2392">
        <v>7</v>
      </c>
      <c r="CZ2392" t="s">
        <v>131</v>
      </c>
      <c r="DA2392">
        <v>300</v>
      </c>
      <c r="DB2392">
        <v>0</v>
      </c>
      <c r="DC2392" t="s">
        <v>176</v>
      </c>
      <c r="DD2392" t="s">
        <v>177</v>
      </c>
      <c r="DG2392">
        <v>5411106</v>
      </c>
      <c r="DI2392">
        <v>1</v>
      </c>
      <c r="DJ2392">
        <v>0</v>
      </c>
      <c r="DK2392">
        <v>1</v>
      </c>
      <c r="DL2392">
        <v>0</v>
      </c>
      <c r="DM2392">
        <v>0</v>
      </c>
      <c r="DN2392">
        <v>1</v>
      </c>
      <c r="DO2392">
        <v>0</v>
      </c>
      <c r="DP2392">
        <v>0</v>
      </c>
      <c r="DQ2392">
        <v>0</v>
      </c>
      <c r="DR2392">
        <v>0</v>
      </c>
      <c r="DS2392">
        <v>0</v>
      </c>
    </row>
    <row r="2393" spans="1:123" x14ac:dyDescent="0.3">
      <c r="A2393" t="str">
        <f>"10/04/2022 19:31:57.811"</f>
        <v>10/04/2022 19:31:57.811</v>
      </c>
      <c r="C2393" t="str">
        <f t="shared" si="841"/>
        <v>FFDDD3C0</v>
      </c>
      <c r="D2393" t="s">
        <v>143</v>
      </c>
      <c r="E2393">
        <v>20</v>
      </c>
      <c r="F2393">
        <v>1020</v>
      </c>
      <c r="G2393" t="s">
        <v>144</v>
      </c>
      <c r="J2393" t="s">
        <v>145</v>
      </c>
      <c r="K2393">
        <v>0</v>
      </c>
      <c r="L2393">
        <v>3</v>
      </c>
      <c r="M2393">
        <v>0</v>
      </c>
      <c r="N2393">
        <v>2</v>
      </c>
      <c r="O2393">
        <v>0</v>
      </c>
      <c r="P2393">
        <v>1</v>
      </c>
      <c r="Q2393">
        <v>0</v>
      </c>
      <c r="S2393" t="str">
        <f t="shared" si="860"/>
        <v>19:31:57.000</v>
      </c>
      <c r="T2393" t="str">
        <f t="shared" si="860"/>
        <v>19:31:57.000</v>
      </c>
      <c r="U2393" t="str">
        <f t="shared" si="853"/>
        <v>AC3944</v>
      </c>
      <c r="V2393">
        <v>0</v>
      </c>
      <c r="W2393">
        <v>0</v>
      </c>
      <c r="X2393">
        <v>2</v>
      </c>
      <c r="Y2393">
        <v>0</v>
      </c>
      <c r="AA2393">
        <v>1</v>
      </c>
      <c r="AB2393">
        <v>8</v>
      </c>
      <c r="AC2393">
        <v>3</v>
      </c>
      <c r="AD2393">
        <v>0</v>
      </c>
      <c r="AE2393">
        <v>9</v>
      </c>
      <c r="AF2393" t="s">
        <v>138</v>
      </c>
      <c r="AG2393">
        <v>0</v>
      </c>
      <c r="AH2393">
        <v>3</v>
      </c>
      <c r="AI2393">
        <v>1</v>
      </c>
      <c r="AJ2393">
        <v>0</v>
      </c>
      <c r="AK2393" t="s">
        <v>826</v>
      </c>
      <c r="AL2393">
        <v>32.760092999999998</v>
      </c>
      <c r="AM2393" t="s">
        <v>827</v>
      </c>
      <c r="AN2393">
        <v>-116.794302</v>
      </c>
      <c r="AO2393">
        <v>25</v>
      </c>
      <c r="AP2393">
        <v>3100</v>
      </c>
      <c r="AQ2393" t="s">
        <v>129</v>
      </c>
      <c r="AR2393">
        <v>113</v>
      </c>
      <c r="AS2393">
        <v>-63</v>
      </c>
      <c r="AT2393">
        <v>384</v>
      </c>
      <c r="BB2393">
        <v>1200</v>
      </c>
      <c r="BC2393">
        <v>1</v>
      </c>
      <c r="BD2393" t="str">
        <f t="shared" si="854"/>
        <v xml:space="preserve">N887QR  </v>
      </c>
      <c r="BE2393">
        <v>1</v>
      </c>
      <c r="BJ2393">
        <v>2850</v>
      </c>
      <c r="BK2393">
        <v>-250</v>
      </c>
      <c r="BL2393" t="s">
        <v>163</v>
      </c>
      <c r="BM2393">
        <v>1</v>
      </c>
      <c r="BN2393">
        <v>1</v>
      </c>
      <c r="BO2393">
        <v>1</v>
      </c>
      <c r="BP2393">
        <v>0</v>
      </c>
      <c r="BS2393">
        <v>0.08</v>
      </c>
      <c r="BT2393">
        <v>0</v>
      </c>
      <c r="BU2393">
        <v>0</v>
      </c>
      <c r="CE2393" t="str">
        <f t="shared" si="861"/>
        <v>19:31:57.499</v>
      </c>
      <c r="CF2393">
        <v>498693209</v>
      </c>
      <c r="CS2393">
        <v>0</v>
      </c>
      <c r="CT2393">
        <v>2</v>
      </c>
      <c r="CU2393">
        <v>0</v>
      </c>
      <c r="CV2393">
        <v>2</v>
      </c>
      <c r="CW2393">
        <v>0</v>
      </c>
      <c r="CX2393">
        <v>5</v>
      </c>
      <c r="CY2393">
        <v>7</v>
      </c>
      <c r="CZ2393" t="s">
        <v>131</v>
      </c>
      <c r="DA2393">
        <v>300</v>
      </c>
      <c r="DB2393">
        <v>0</v>
      </c>
      <c r="DC2393" t="s">
        <v>176</v>
      </c>
      <c r="DD2393" t="s">
        <v>177</v>
      </c>
      <c r="DG2393">
        <v>5411106</v>
      </c>
      <c r="DI2393">
        <v>1</v>
      </c>
      <c r="DJ2393">
        <v>0</v>
      </c>
      <c r="DK2393">
        <v>1</v>
      </c>
      <c r="DL2393">
        <v>0</v>
      </c>
      <c r="DM2393">
        <v>0</v>
      </c>
      <c r="DN2393">
        <v>1</v>
      </c>
      <c r="DO2393">
        <v>0</v>
      </c>
      <c r="DP2393">
        <v>0</v>
      </c>
      <c r="DQ2393">
        <v>0</v>
      </c>
      <c r="DR2393">
        <v>0</v>
      </c>
      <c r="DS2393">
        <v>0</v>
      </c>
    </row>
    <row r="2394" spans="1:123" x14ac:dyDescent="0.3">
      <c r="A2394" t="str">
        <f>"10/04/2022 19:31:58.702"</f>
        <v>10/04/2022 19:31:58.702</v>
      </c>
      <c r="C2394" t="str">
        <f t="shared" si="841"/>
        <v>FFDDD3C0</v>
      </c>
      <c r="D2394" t="s">
        <v>141</v>
      </c>
      <c r="E2394">
        <v>3</v>
      </c>
      <c r="H2394">
        <v>3</v>
      </c>
      <c r="I2394" t="s">
        <v>146</v>
      </c>
      <c r="J2394" t="s">
        <v>138</v>
      </c>
      <c r="K2394">
        <v>0</v>
      </c>
      <c r="L2394">
        <v>3</v>
      </c>
      <c r="M2394">
        <v>0</v>
      </c>
      <c r="N2394">
        <v>2</v>
      </c>
      <c r="O2394">
        <v>0</v>
      </c>
      <c r="P2394">
        <v>1</v>
      </c>
      <c r="Q2394">
        <v>0</v>
      </c>
      <c r="S2394" t="str">
        <f t="shared" ref="S2394:T2400" si="862">"19:31:58.000"</f>
        <v>19:31:58.000</v>
      </c>
      <c r="T2394" t="str">
        <f t="shared" si="862"/>
        <v>19:31:58.000</v>
      </c>
      <c r="U2394" t="str">
        <f t="shared" si="853"/>
        <v>AC3944</v>
      </c>
      <c r="V2394">
        <v>0</v>
      </c>
      <c r="W2394">
        <v>0</v>
      </c>
      <c r="X2394">
        <v>2</v>
      </c>
      <c r="Y2394">
        <v>0</v>
      </c>
      <c r="AA2394">
        <v>1</v>
      </c>
      <c r="AB2394">
        <v>8</v>
      </c>
      <c r="AC2394">
        <v>3</v>
      </c>
      <c r="AD2394">
        <v>0</v>
      </c>
      <c r="AE2394">
        <v>9</v>
      </c>
      <c r="AF2394" t="s">
        <v>138</v>
      </c>
      <c r="AG2394">
        <v>0</v>
      </c>
      <c r="AH2394">
        <v>3</v>
      </c>
      <c r="AI2394">
        <v>1</v>
      </c>
      <c r="AJ2394">
        <v>0</v>
      </c>
      <c r="AK2394" t="s">
        <v>828</v>
      </c>
      <c r="AL2394">
        <v>32.759813999999999</v>
      </c>
      <c r="AM2394" t="s">
        <v>829</v>
      </c>
      <c r="AN2394">
        <v>-116.79367999999999</v>
      </c>
      <c r="AO2394">
        <v>25</v>
      </c>
      <c r="AP2394">
        <v>3100</v>
      </c>
      <c r="AQ2394" t="s">
        <v>129</v>
      </c>
      <c r="AR2394">
        <v>112</v>
      </c>
      <c r="AS2394">
        <v>-64</v>
      </c>
      <c r="AT2394">
        <v>448</v>
      </c>
      <c r="BB2394">
        <v>1200</v>
      </c>
      <c r="BC2394">
        <v>1</v>
      </c>
      <c r="BD2394" t="str">
        <f t="shared" si="854"/>
        <v xml:space="preserve">N887QR  </v>
      </c>
      <c r="BE2394">
        <v>1</v>
      </c>
      <c r="BJ2394">
        <v>2850</v>
      </c>
      <c r="BK2394">
        <v>-250</v>
      </c>
      <c r="BL2394" t="s">
        <v>163</v>
      </c>
      <c r="BM2394">
        <v>1</v>
      </c>
      <c r="BN2394">
        <v>1</v>
      </c>
      <c r="BO2394">
        <v>1</v>
      </c>
      <c r="BP2394">
        <v>0</v>
      </c>
      <c r="BS2394">
        <v>0.08</v>
      </c>
      <c r="BT2394">
        <v>0</v>
      </c>
      <c r="BU2394">
        <v>0</v>
      </c>
      <c r="CE2394" t="str">
        <f t="shared" ref="CE2394:CE2400" si="863">"19:31:58.450"</f>
        <v>19:31:58.450</v>
      </c>
      <c r="CF2394">
        <v>449696407</v>
      </c>
      <c r="CS2394">
        <v>0</v>
      </c>
      <c r="CT2394">
        <v>2</v>
      </c>
      <c r="CU2394">
        <v>0</v>
      </c>
      <c r="CV2394">
        <v>2</v>
      </c>
      <c r="CW2394">
        <v>0</v>
      </c>
      <c r="CX2394">
        <v>5</v>
      </c>
      <c r="CY2394">
        <v>7</v>
      </c>
      <c r="CZ2394" t="s">
        <v>131</v>
      </c>
      <c r="DA2394">
        <v>300</v>
      </c>
      <c r="DB2394">
        <v>0</v>
      </c>
      <c r="DC2394" t="s">
        <v>176</v>
      </c>
      <c r="DD2394" t="s">
        <v>177</v>
      </c>
      <c r="DG2394">
        <v>5411259</v>
      </c>
      <c r="DI2394">
        <v>1</v>
      </c>
      <c r="DJ2394">
        <v>0</v>
      </c>
      <c r="DK2394">
        <v>0</v>
      </c>
      <c r="DL2394">
        <v>0</v>
      </c>
      <c r="DM2394">
        <v>0</v>
      </c>
      <c r="DN2394">
        <v>1</v>
      </c>
      <c r="DO2394">
        <v>0</v>
      </c>
      <c r="DP2394">
        <v>0</v>
      </c>
      <c r="DQ2394">
        <v>0</v>
      </c>
      <c r="DR2394">
        <v>0</v>
      </c>
      <c r="DS2394">
        <v>0</v>
      </c>
    </row>
    <row r="2395" spans="1:123" x14ac:dyDescent="0.3">
      <c r="A2395" t="str">
        <f t="shared" ref="A2395:A2400" si="864">"10/04/2022 19:31:58.733"</f>
        <v>10/04/2022 19:31:58.733</v>
      </c>
      <c r="C2395" t="str">
        <f t="shared" si="841"/>
        <v>FFDDD3C0</v>
      </c>
      <c r="D2395" t="s">
        <v>134</v>
      </c>
      <c r="E2395">
        <v>15</v>
      </c>
      <c r="J2395" t="s">
        <v>135</v>
      </c>
      <c r="K2395">
        <v>0</v>
      </c>
      <c r="L2395">
        <v>3</v>
      </c>
      <c r="M2395">
        <v>0</v>
      </c>
      <c r="N2395">
        <v>2</v>
      </c>
      <c r="O2395">
        <v>0</v>
      </c>
      <c r="P2395">
        <v>1</v>
      </c>
      <c r="Q2395">
        <v>0</v>
      </c>
      <c r="S2395" t="str">
        <f t="shared" si="862"/>
        <v>19:31:58.000</v>
      </c>
      <c r="T2395" t="str">
        <f t="shared" si="862"/>
        <v>19:31:58.000</v>
      </c>
      <c r="U2395" t="str">
        <f t="shared" si="853"/>
        <v>AC3944</v>
      </c>
      <c r="V2395">
        <v>0</v>
      </c>
      <c r="W2395">
        <v>0</v>
      </c>
      <c r="X2395">
        <v>2</v>
      </c>
      <c r="Y2395">
        <v>0</v>
      </c>
      <c r="AA2395">
        <v>1</v>
      </c>
      <c r="AB2395">
        <v>8</v>
      </c>
      <c r="AC2395">
        <v>3</v>
      </c>
      <c r="AD2395">
        <v>0</v>
      </c>
      <c r="AE2395">
        <v>9</v>
      </c>
      <c r="AF2395" t="s">
        <v>138</v>
      </c>
      <c r="AG2395">
        <v>0</v>
      </c>
      <c r="AH2395">
        <v>3</v>
      </c>
      <c r="AI2395">
        <v>1</v>
      </c>
      <c r="AJ2395">
        <v>0</v>
      </c>
      <c r="AK2395" t="s">
        <v>828</v>
      </c>
      <c r="AL2395">
        <v>32.759813999999999</v>
      </c>
      <c r="AM2395" t="s">
        <v>829</v>
      </c>
      <c r="AN2395">
        <v>-116.79367999999999</v>
      </c>
      <c r="AO2395">
        <v>25</v>
      </c>
      <c r="AP2395">
        <v>3100</v>
      </c>
      <c r="AQ2395" t="s">
        <v>129</v>
      </c>
      <c r="AR2395">
        <v>112</v>
      </c>
      <c r="AS2395">
        <v>-64</v>
      </c>
      <c r="AT2395">
        <v>448</v>
      </c>
      <c r="BB2395">
        <v>1200</v>
      </c>
      <c r="BC2395">
        <v>1</v>
      </c>
      <c r="BD2395" t="str">
        <f t="shared" si="854"/>
        <v xml:space="preserve">N887QR  </v>
      </c>
      <c r="BE2395">
        <v>1</v>
      </c>
      <c r="BJ2395">
        <v>2850</v>
      </c>
      <c r="BK2395">
        <v>-250</v>
      </c>
      <c r="BL2395" t="s">
        <v>163</v>
      </c>
      <c r="BM2395">
        <v>1</v>
      </c>
      <c r="BN2395">
        <v>1</v>
      </c>
      <c r="BO2395">
        <v>1</v>
      </c>
      <c r="BP2395">
        <v>0</v>
      </c>
      <c r="BS2395">
        <v>0.08</v>
      </c>
      <c r="BT2395">
        <v>0</v>
      </c>
      <c r="BU2395">
        <v>0</v>
      </c>
      <c r="CE2395" t="str">
        <f t="shared" si="863"/>
        <v>19:31:58.450</v>
      </c>
      <c r="CF2395">
        <v>449696407</v>
      </c>
      <c r="CS2395">
        <v>0</v>
      </c>
      <c r="CT2395">
        <v>2</v>
      </c>
      <c r="CU2395">
        <v>0</v>
      </c>
      <c r="CV2395">
        <v>2</v>
      </c>
      <c r="CW2395">
        <v>0</v>
      </c>
      <c r="CX2395">
        <v>5</v>
      </c>
      <c r="CY2395">
        <v>7</v>
      </c>
      <c r="CZ2395" t="s">
        <v>131</v>
      </c>
      <c r="DA2395">
        <v>300</v>
      </c>
      <c r="DB2395">
        <v>0</v>
      </c>
      <c r="DC2395" t="s">
        <v>176</v>
      </c>
      <c r="DD2395" t="s">
        <v>177</v>
      </c>
      <c r="DG2395">
        <v>5411259</v>
      </c>
      <c r="DI2395">
        <v>1</v>
      </c>
      <c r="DJ2395">
        <v>0</v>
      </c>
      <c r="DK2395">
        <v>1</v>
      </c>
      <c r="DL2395">
        <v>0</v>
      </c>
      <c r="DM2395">
        <v>0</v>
      </c>
      <c r="DN2395">
        <v>1</v>
      </c>
      <c r="DO2395">
        <v>0</v>
      </c>
      <c r="DP2395">
        <v>0</v>
      </c>
      <c r="DQ2395">
        <v>0</v>
      </c>
      <c r="DR2395">
        <v>0</v>
      </c>
      <c r="DS2395">
        <v>0</v>
      </c>
    </row>
    <row r="2396" spans="1:123" x14ac:dyDescent="0.3">
      <c r="A2396" t="str">
        <f t="shared" si="864"/>
        <v>10/04/2022 19:31:58.733</v>
      </c>
      <c r="C2396" t="str">
        <f t="shared" si="841"/>
        <v>FFDDD3C0</v>
      </c>
      <c r="D2396" t="s">
        <v>141</v>
      </c>
      <c r="E2396">
        <v>4</v>
      </c>
      <c r="H2396">
        <v>4</v>
      </c>
      <c r="I2396" t="s">
        <v>142</v>
      </c>
      <c r="J2396" t="s">
        <v>138</v>
      </c>
      <c r="K2396">
        <v>0</v>
      </c>
      <c r="L2396">
        <v>3</v>
      </c>
      <c r="M2396">
        <v>0</v>
      </c>
      <c r="N2396">
        <v>2</v>
      </c>
      <c r="O2396">
        <v>0</v>
      </c>
      <c r="P2396">
        <v>1</v>
      </c>
      <c r="Q2396">
        <v>0</v>
      </c>
      <c r="S2396" t="str">
        <f t="shared" si="862"/>
        <v>19:31:58.000</v>
      </c>
      <c r="T2396" t="str">
        <f t="shared" si="862"/>
        <v>19:31:58.000</v>
      </c>
      <c r="U2396" t="str">
        <f t="shared" si="853"/>
        <v>AC3944</v>
      </c>
      <c r="V2396">
        <v>0</v>
      </c>
      <c r="W2396">
        <v>0</v>
      </c>
      <c r="X2396">
        <v>2</v>
      </c>
      <c r="Y2396">
        <v>0</v>
      </c>
      <c r="AA2396">
        <v>1</v>
      </c>
      <c r="AB2396">
        <v>8</v>
      </c>
      <c r="AC2396">
        <v>3</v>
      </c>
      <c r="AD2396">
        <v>0</v>
      </c>
      <c r="AE2396">
        <v>9</v>
      </c>
      <c r="AF2396" t="s">
        <v>138</v>
      </c>
      <c r="AG2396">
        <v>0</v>
      </c>
      <c r="AH2396">
        <v>3</v>
      </c>
      <c r="AI2396">
        <v>1</v>
      </c>
      <c r="AJ2396">
        <v>0</v>
      </c>
      <c r="AK2396" t="s">
        <v>828</v>
      </c>
      <c r="AL2396">
        <v>32.759813999999999</v>
      </c>
      <c r="AM2396" t="s">
        <v>829</v>
      </c>
      <c r="AN2396">
        <v>-116.79367999999999</v>
      </c>
      <c r="AO2396">
        <v>25</v>
      </c>
      <c r="AP2396">
        <v>3100</v>
      </c>
      <c r="AQ2396" t="s">
        <v>129</v>
      </c>
      <c r="AR2396">
        <v>112</v>
      </c>
      <c r="AS2396">
        <v>-64</v>
      </c>
      <c r="AT2396">
        <v>448</v>
      </c>
      <c r="BB2396">
        <v>1200</v>
      </c>
      <c r="BC2396">
        <v>1</v>
      </c>
      <c r="BD2396" t="str">
        <f t="shared" si="854"/>
        <v xml:space="preserve">N887QR  </v>
      </c>
      <c r="BE2396">
        <v>1</v>
      </c>
      <c r="BJ2396">
        <v>2850</v>
      </c>
      <c r="BK2396">
        <v>-250</v>
      </c>
      <c r="BL2396" t="s">
        <v>163</v>
      </c>
      <c r="BM2396">
        <v>1</v>
      </c>
      <c r="BN2396">
        <v>1</v>
      </c>
      <c r="BO2396">
        <v>1</v>
      </c>
      <c r="BP2396">
        <v>0</v>
      </c>
      <c r="BS2396">
        <v>0.08</v>
      </c>
      <c r="BT2396">
        <v>0</v>
      </c>
      <c r="BU2396">
        <v>0</v>
      </c>
      <c r="CE2396" t="str">
        <f t="shared" si="863"/>
        <v>19:31:58.450</v>
      </c>
      <c r="CF2396">
        <v>449696407</v>
      </c>
      <c r="CS2396">
        <v>0</v>
      </c>
      <c r="CT2396">
        <v>2</v>
      </c>
      <c r="CU2396">
        <v>0</v>
      </c>
      <c r="CV2396">
        <v>2</v>
      </c>
      <c r="CW2396">
        <v>0</v>
      </c>
      <c r="CX2396">
        <v>5</v>
      </c>
      <c r="CY2396">
        <v>7</v>
      </c>
      <c r="CZ2396" t="s">
        <v>131</v>
      </c>
      <c r="DA2396">
        <v>300</v>
      </c>
      <c r="DB2396">
        <v>0</v>
      </c>
      <c r="DC2396" t="s">
        <v>176</v>
      </c>
      <c r="DD2396" t="s">
        <v>177</v>
      </c>
      <c r="DG2396">
        <v>5411259</v>
      </c>
      <c r="DI2396">
        <v>1</v>
      </c>
      <c r="DJ2396">
        <v>0</v>
      </c>
      <c r="DK2396">
        <v>1</v>
      </c>
      <c r="DL2396">
        <v>0</v>
      </c>
      <c r="DM2396">
        <v>0</v>
      </c>
      <c r="DN2396">
        <v>1</v>
      </c>
      <c r="DO2396">
        <v>0</v>
      </c>
      <c r="DP2396">
        <v>0</v>
      </c>
      <c r="DQ2396">
        <v>0</v>
      </c>
      <c r="DR2396">
        <v>0</v>
      </c>
      <c r="DS2396">
        <v>0</v>
      </c>
    </row>
    <row r="2397" spans="1:123" x14ac:dyDescent="0.3">
      <c r="A2397" t="str">
        <f t="shared" si="864"/>
        <v>10/04/2022 19:31:58.733</v>
      </c>
      <c r="C2397" t="str">
        <f t="shared" si="841"/>
        <v>FFDDD3C0</v>
      </c>
      <c r="D2397" t="s">
        <v>136</v>
      </c>
      <c r="E2397">
        <v>8</v>
      </c>
      <c r="H2397">
        <v>225</v>
      </c>
      <c r="I2397" t="s">
        <v>137</v>
      </c>
      <c r="J2397" t="s">
        <v>138</v>
      </c>
      <c r="K2397">
        <v>0</v>
      </c>
      <c r="L2397">
        <v>3</v>
      </c>
      <c r="M2397">
        <v>0</v>
      </c>
      <c r="N2397">
        <v>2</v>
      </c>
      <c r="O2397">
        <v>0</v>
      </c>
      <c r="P2397">
        <v>1</v>
      </c>
      <c r="Q2397">
        <v>0</v>
      </c>
      <c r="S2397" t="str">
        <f t="shared" si="862"/>
        <v>19:31:58.000</v>
      </c>
      <c r="T2397" t="str">
        <f t="shared" si="862"/>
        <v>19:31:58.000</v>
      </c>
      <c r="U2397" t="str">
        <f t="shared" si="853"/>
        <v>AC3944</v>
      </c>
      <c r="V2397">
        <v>0</v>
      </c>
      <c r="W2397">
        <v>0</v>
      </c>
      <c r="X2397">
        <v>2</v>
      </c>
      <c r="Y2397">
        <v>0</v>
      </c>
      <c r="AA2397">
        <v>1</v>
      </c>
      <c r="AB2397">
        <v>8</v>
      </c>
      <c r="AC2397">
        <v>3</v>
      </c>
      <c r="AD2397">
        <v>0</v>
      </c>
      <c r="AE2397">
        <v>9</v>
      </c>
      <c r="AF2397" t="s">
        <v>138</v>
      </c>
      <c r="AG2397">
        <v>0</v>
      </c>
      <c r="AH2397">
        <v>3</v>
      </c>
      <c r="AI2397">
        <v>1</v>
      </c>
      <c r="AJ2397">
        <v>0</v>
      </c>
      <c r="AK2397" t="s">
        <v>828</v>
      </c>
      <c r="AL2397">
        <v>32.759813999999999</v>
      </c>
      <c r="AM2397" t="s">
        <v>829</v>
      </c>
      <c r="AN2397">
        <v>-116.79367999999999</v>
      </c>
      <c r="AO2397">
        <v>25</v>
      </c>
      <c r="AP2397">
        <v>3100</v>
      </c>
      <c r="AQ2397" t="s">
        <v>129</v>
      </c>
      <c r="AR2397">
        <v>112</v>
      </c>
      <c r="AS2397">
        <v>-64</v>
      </c>
      <c r="AT2397">
        <v>448</v>
      </c>
      <c r="BB2397">
        <v>1200</v>
      </c>
      <c r="BC2397">
        <v>1</v>
      </c>
      <c r="BD2397" t="str">
        <f t="shared" si="854"/>
        <v xml:space="preserve">N887QR  </v>
      </c>
      <c r="BE2397">
        <v>1</v>
      </c>
      <c r="BJ2397">
        <v>2850</v>
      </c>
      <c r="BK2397">
        <v>-250</v>
      </c>
      <c r="BL2397" t="s">
        <v>163</v>
      </c>
      <c r="BM2397">
        <v>1</v>
      </c>
      <c r="BN2397">
        <v>1</v>
      </c>
      <c r="BO2397">
        <v>1</v>
      </c>
      <c r="BP2397">
        <v>0</v>
      </c>
      <c r="BS2397">
        <v>0.08</v>
      </c>
      <c r="BT2397">
        <v>0</v>
      </c>
      <c r="BU2397">
        <v>0</v>
      </c>
      <c r="CE2397" t="str">
        <f t="shared" si="863"/>
        <v>19:31:58.450</v>
      </c>
      <c r="CF2397">
        <v>449696407</v>
      </c>
      <c r="CS2397">
        <v>0</v>
      </c>
      <c r="CT2397">
        <v>2</v>
      </c>
      <c r="CU2397">
        <v>0</v>
      </c>
      <c r="CV2397">
        <v>2</v>
      </c>
      <c r="CW2397">
        <v>0</v>
      </c>
      <c r="CX2397">
        <v>5</v>
      </c>
      <c r="CY2397">
        <v>7</v>
      </c>
      <c r="CZ2397" t="s">
        <v>131</v>
      </c>
      <c r="DA2397">
        <v>300</v>
      </c>
      <c r="DB2397">
        <v>0</v>
      </c>
      <c r="DC2397" t="s">
        <v>176</v>
      </c>
      <c r="DD2397" t="s">
        <v>177</v>
      </c>
      <c r="DG2397">
        <v>5411259</v>
      </c>
      <c r="DI2397">
        <v>1</v>
      </c>
      <c r="DJ2397">
        <v>0</v>
      </c>
      <c r="DK2397">
        <v>1</v>
      </c>
      <c r="DL2397">
        <v>0</v>
      </c>
      <c r="DM2397">
        <v>0</v>
      </c>
      <c r="DN2397">
        <v>1</v>
      </c>
      <c r="DO2397">
        <v>0</v>
      </c>
      <c r="DP2397">
        <v>0</v>
      </c>
      <c r="DQ2397">
        <v>0</v>
      </c>
      <c r="DR2397">
        <v>0</v>
      </c>
      <c r="DS2397">
        <v>0</v>
      </c>
    </row>
    <row r="2398" spans="1:123" x14ac:dyDescent="0.3">
      <c r="A2398" t="str">
        <f t="shared" si="864"/>
        <v>10/04/2022 19:31:58.733</v>
      </c>
      <c r="C2398" t="str">
        <f t="shared" si="841"/>
        <v>FFDDD3C0</v>
      </c>
      <c r="D2398" t="s">
        <v>143</v>
      </c>
      <c r="E2398">
        <v>20</v>
      </c>
      <c r="F2398">
        <v>1020</v>
      </c>
      <c r="G2398" t="s">
        <v>144</v>
      </c>
      <c r="J2398" t="s">
        <v>145</v>
      </c>
      <c r="K2398">
        <v>0</v>
      </c>
      <c r="L2398">
        <v>3</v>
      </c>
      <c r="M2398">
        <v>0</v>
      </c>
      <c r="N2398">
        <v>2</v>
      </c>
      <c r="O2398">
        <v>0</v>
      </c>
      <c r="P2398">
        <v>1</v>
      </c>
      <c r="Q2398">
        <v>0</v>
      </c>
      <c r="S2398" t="str">
        <f t="shared" si="862"/>
        <v>19:31:58.000</v>
      </c>
      <c r="T2398" t="str">
        <f t="shared" si="862"/>
        <v>19:31:58.000</v>
      </c>
      <c r="U2398" t="str">
        <f t="shared" si="853"/>
        <v>AC3944</v>
      </c>
      <c r="V2398">
        <v>0</v>
      </c>
      <c r="W2398">
        <v>0</v>
      </c>
      <c r="X2398">
        <v>2</v>
      </c>
      <c r="Y2398">
        <v>0</v>
      </c>
      <c r="AA2398">
        <v>1</v>
      </c>
      <c r="AB2398">
        <v>8</v>
      </c>
      <c r="AC2398">
        <v>3</v>
      </c>
      <c r="AD2398">
        <v>0</v>
      </c>
      <c r="AE2398">
        <v>9</v>
      </c>
      <c r="AF2398" t="s">
        <v>138</v>
      </c>
      <c r="AG2398">
        <v>0</v>
      </c>
      <c r="AH2398">
        <v>3</v>
      </c>
      <c r="AI2398">
        <v>1</v>
      </c>
      <c r="AJ2398">
        <v>0</v>
      </c>
      <c r="AK2398" t="s">
        <v>828</v>
      </c>
      <c r="AL2398">
        <v>32.759813999999999</v>
      </c>
      <c r="AM2398" t="s">
        <v>829</v>
      </c>
      <c r="AN2398">
        <v>-116.79367999999999</v>
      </c>
      <c r="AO2398">
        <v>25</v>
      </c>
      <c r="AP2398">
        <v>3100</v>
      </c>
      <c r="AQ2398" t="s">
        <v>129</v>
      </c>
      <c r="AR2398">
        <v>112</v>
      </c>
      <c r="AS2398">
        <v>-64</v>
      </c>
      <c r="AT2398">
        <v>448</v>
      </c>
      <c r="BB2398">
        <v>1200</v>
      </c>
      <c r="BC2398">
        <v>1</v>
      </c>
      <c r="BD2398" t="str">
        <f t="shared" si="854"/>
        <v xml:space="preserve">N887QR  </v>
      </c>
      <c r="BE2398">
        <v>1</v>
      </c>
      <c r="BJ2398">
        <v>2850</v>
      </c>
      <c r="BK2398">
        <v>-250</v>
      </c>
      <c r="BL2398" t="s">
        <v>163</v>
      </c>
      <c r="BM2398">
        <v>1</v>
      </c>
      <c r="BN2398">
        <v>1</v>
      </c>
      <c r="BO2398">
        <v>1</v>
      </c>
      <c r="BP2398">
        <v>0</v>
      </c>
      <c r="BS2398">
        <v>0.08</v>
      </c>
      <c r="BT2398">
        <v>0</v>
      </c>
      <c r="BU2398">
        <v>0</v>
      </c>
      <c r="CE2398" t="str">
        <f t="shared" si="863"/>
        <v>19:31:58.450</v>
      </c>
      <c r="CF2398">
        <v>449696407</v>
      </c>
      <c r="CS2398">
        <v>0</v>
      </c>
      <c r="CT2398">
        <v>2</v>
      </c>
      <c r="CU2398">
        <v>0</v>
      </c>
      <c r="CV2398">
        <v>2</v>
      </c>
      <c r="CW2398">
        <v>0</v>
      </c>
      <c r="CX2398">
        <v>5</v>
      </c>
      <c r="CY2398">
        <v>7</v>
      </c>
      <c r="CZ2398" t="s">
        <v>131</v>
      </c>
      <c r="DA2398">
        <v>300</v>
      </c>
      <c r="DB2398">
        <v>0</v>
      </c>
      <c r="DC2398" t="s">
        <v>176</v>
      </c>
      <c r="DD2398" t="s">
        <v>177</v>
      </c>
      <c r="DG2398">
        <v>5411259</v>
      </c>
      <c r="DI2398">
        <v>1</v>
      </c>
      <c r="DJ2398">
        <v>0</v>
      </c>
      <c r="DK2398">
        <v>1</v>
      </c>
      <c r="DL2398">
        <v>0</v>
      </c>
      <c r="DM2398">
        <v>0</v>
      </c>
      <c r="DN2398">
        <v>1</v>
      </c>
      <c r="DO2398">
        <v>0</v>
      </c>
      <c r="DP2398">
        <v>0</v>
      </c>
      <c r="DQ2398">
        <v>0</v>
      </c>
      <c r="DR2398">
        <v>0</v>
      </c>
      <c r="DS2398">
        <v>0</v>
      </c>
    </row>
    <row r="2399" spans="1:123" x14ac:dyDescent="0.3">
      <c r="A2399" t="str">
        <f t="shared" si="864"/>
        <v>10/04/2022 19:31:58.733</v>
      </c>
      <c r="C2399" t="str">
        <f t="shared" si="841"/>
        <v>FFDDD3C0</v>
      </c>
      <c r="D2399" t="s">
        <v>147</v>
      </c>
      <c r="E2399">
        <v>3</v>
      </c>
      <c r="H2399">
        <v>166</v>
      </c>
      <c r="I2399" t="s">
        <v>144</v>
      </c>
      <c r="J2399" t="s">
        <v>148</v>
      </c>
      <c r="K2399">
        <v>0</v>
      </c>
      <c r="L2399">
        <v>3</v>
      </c>
      <c r="M2399">
        <v>0</v>
      </c>
      <c r="N2399">
        <v>2</v>
      </c>
      <c r="O2399">
        <v>0</v>
      </c>
      <c r="P2399">
        <v>1</v>
      </c>
      <c r="Q2399">
        <v>0</v>
      </c>
      <c r="S2399" t="str">
        <f t="shared" si="862"/>
        <v>19:31:58.000</v>
      </c>
      <c r="T2399" t="str">
        <f t="shared" si="862"/>
        <v>19:31:58.000</v>
      </c>
      <c r="U2399" t="str">
        <f t="shared" si="853"/>
        <v>AC3944</v>
      </c>
      <c r="V2399">
        <v>0</v>
      </c>
      <c r="W2399">
        <v>0</v>
      </c>
      <c r="X2399">
        <v>2</v>
      </c>
      <c r="Y2399">
        <v>0</v>
      </c>
      <c r="AA2399">
        <v>1</v>
      </c>
      <c r="AB2399">
        <v>8</v>
      </c>
      <c r="AC2399">
        <v>3</v>
      </c>
      <c r="AD2399">
        <v>0</v>
      </c>
      <c r="AE2399">
        <v>9</v>
      </c>
      <c r="AF2399" t="s">
        <v>138</v>
      </c>
      <c r="AG2399">
        <v>0</v>
      </c>
      <c r="AH2399">
        <v>3</v>
      </c>
      <c r="AI2399">
        <v>1</v>
      </c>
      <c r="AJ2399">
        <v>0</v>
      </c>
      <c r="AK2399" t="s">
        <v>828</v>
      </c>
      <c r="AL2399">
        <v>32.759813999999999</v>
      </c>
      <c r="AM2399" t="s">
        <v>829</v>
      </c>
      <c r="AN2399">
        <v>-116.79367999999999</v>
      </c>
      <c r="AO2399">
        <v>25</v>
      </c>
      <c r="AP2399">
        <v>3100</v>
      </c>
      <c r="AQ2399" t="s">
        <v>129</v>
      </c>
      <c r="AR2399">
        <v>112</v>
      </c>
      <c r="AS2399">
        <v>-64</v>
      </c>
      <c r="AT2399">
        <v>448</v>
      </c>
      <c r="BB2399">
        <v>1200</v>
      </c>
      <c r="BC2399">
        <v>1</v>
      </c>
      <c r="BD2399" t="str">
        <f t="shared" si="854"/>
        <v xml:space="preserve">N887QR  </v>
      </c>
      <c r="BE2399">
        <v>1</v>
      </c>
      <c r="BJ2399">
        <v>2850</v>
      </c>
      <c r="BK2399">
        <v>-250</v>
      </c>
      <c r="BL2399" t="s">
        <v>163</v>
      </c>
      <c r="BM2399">
        <v>1</v>
      </c>
      <c r="BN2399">
        <v>1</v>
      </c>
      <c r="BO2399">
        <v>1</v>
      </c>
      <c r="BP2399">
        <v>0</v>
      </c>
      <c r="BS2399">
        <v>0.08</v>
      </c>
      <c r="BT2399">
        <v>0</v>
      </c>
      <c r="BU2399">
        <v>0</v>
      </c>
      <c r="CE2399" t="str">
        <f t="shared" si="863"/>
        <v>19:31:58.450</v>
      </c>
      <c r="CF2399">
        <v>449696407</v>
      </c>
      <c r="CS2399">
        <v>0</v>
      </c>
      <c r="CT2399">
        <v>2</v>
      </c>
      <c r="CU2399">
        <v>0</v>
      </c>
      <c r="CV2399">
        <v>2</v>
      </c>
      <c r="CW2399">
        <v>0</v>
      </c>
      <c r="CX2399">
        <v>5</v>
      </c>
      <c r="CY2399">
        <v>7</v>
      </c>
      <c r="CZ2399" t="s">
        <v>131</v>
      </c>
      <c r="DA2399">
        <v>300</v>
      </c>
      <c r="DB2399">
        <v>0</v>
      </c>
      <c r="DC2399" t="s">
        <v>176</v>
      </c>
      <c r="DD2399" t="s">
        <v>177</v>
      </c>
      <c r="DG2399">
        <v>5411259</v>
      </c>
      <c r="DI2399">
        <v>1</v>
      </c>
      <c r="DJ2399">
        <v>0</v>
      </c>
      <c r="DK2399">
        <v>1</v>
      </c>
      <c r="DL2399">
        <v>0</v>
      </c>
      <c r="DM2399">
        <v>0</v>
      </c>
      <c r="DN2399">
        <v>1</v>
      </c>
      <c r="DO2399">
        <v>0</v>
      </c>
      <c r="DP2399">
        <v>0</v>
      </c>
      <c r="DQ2399">
        <v>0</v>
      </c>
      <c r="DR2399">
        <v>0</v>
      </c>
      <c r="DS2399">
        <v>0</v>
      </c>
    </row>
    <row r="2400" spans="1:123" x14ac:dyDescent="0.3">
      <c r="A2400" t="str">
        <f t="shared" si="864"/>
        <v>10/04/2022 19:31:58.733</v>
      </c>
      <c r="C2400" t="str">
        <f t="shared" si="841"/>
        <v>FFDDD3C0</v>
      </c>
      <c r="D2400" t="s">
        <v>123</v>
      </c>
      <c r="E2400">
        <v>7</v>
      </c>
      <c r="F2400">
        <v>2007</v>
      </c>
      <c r="G2400" t="s">
        <v>124</v>
      </c>
      <c r="J2400" t="s">
        <v>125</v>
      </c>
      <c r="K2400">
        <v>0</v>
      </c>
      <c r="L2400">
        <v>3</v>
      </c>
      <c r="M2400">
        <v>0</v>
      </c>
      <c r="N2400">
        <v>2</v>
      </c>
      <c r="O2400">
        <v>0</v>
      </c>
      <c r="P2400">
        <v>1</v>
      </c>
      <c r="Q2400">
        <v>0</v>
      </c>
      <c r="S2400" t="str">
        <f t="shared" si="862"/>
        <v>19:31:58.000</v>
      </c>
      <c r="T2400" t="str">
        <f t="shared" si="862"/>
        <v>19:31:58.000</v>
      </c>
      <c r="U2400" t="str">
        <f t="shared" si="853"/>
        <v>AC3944</v>
      </c>
      <c r="V2400">
        <v>0</v>
      </c>
      <c r="W2400">
        <v>0</v>
      </c>
      <c r="X2400">
        <v>2</v>
      </c>
      <c r="Y2400">
        <v>0</v>
      </c>
      <c r="AA2400">
        <v>1</v>
      </c>
      <c r="AB2400">
        <v>8</v>
      </c>
      <c r="AC2400">
        <v>3</v>
      </c>
      <c r="AD2400">
        <v>0</v>
      </c>
      <c r="AE2400">
        <v>9</v>
      </c>
      <c r="AF2400" t="s">
        <v>138</v>
      </c>
      <c r="AG2400">
        <v>0</v>
      </c>
      <c r="AH2400">
        <v>3</v>
      </c>
      <c r="AI2400">
        <v>1</v>
      </c>
      <c r="AJ2400">
        <v>0</v>
      </c>
      <c r="AK2400" t="s">
        <v>828</v>
      </c>
      <c r="AL2400">
        <v>32.759813999999999</v>
      </c>
      <c r="AM2400" t="s">
        <v>829</v>
      </c>
      <c r="AN2400">
        <v>-116.79367999999999</v>
      </c>
      <c r="AO2400">
        <v>25</v>
      </c>
      <c r="AP2400">
        <v>3100</v>
      </c>
      <c r="AQ2400" t="s">
        <v>129</v>
      </c>
      <c r="AR2400">
        <v>112</v>
      </c>
      <c r="AS2400">
        <v>-64</v>
      </c>
      <c r="AT2400">
        <v>448</v>
      </c>
      <c r="BB2400">
        <v>1200</v>
      </c>
      <c r="BC2400">
        <v>1</v>
      </c>
      <c r="BD2400" t="str">
        <f t="shared" si="854"/>
        <v xml:space="preserve">N887QR  </v>
      </c>
      <c r="BE2400">
        <v>1</v>
      </c>
      <c r="BJ2400">
        <v>2850</v>
      </c>
      <c r="BK2400">
        <v>-250</v>
      </c>
      <c r="BL2400" t="s">
        <v>163</v>
      </c>
      <c r="BM2400">
        <v>1</v>
      </c>
      <c r="BN2400">
        <v>1</v>
      </c>
      <c r="BO2400">
        <v>1</v>
      </c>
      <c r="BP2400">
        <v>0</v>
      </c>
      <c r="BS2400">
        <v>0.08</v>
      </c>
      <c r="BT2400">
        <v>0</v>
      </c>
      <c r="BU2400">
        <v>0</v>
      </c>
      <c r="CE2400" t="str">
        <f t="shared" si="863"/>
        <v>19:31:58.450</v>
      </c>
      <c r="CF2400">
        <v>449696407</v>
      </c>
      <c r="CS2400">
        <v>0</v>
      </c>
      <c r="CT2400">
        <v>2</v>
      </c>
      <c r="CU2400">
        <v>0</v>
      </c>
      <c r="CV2400">
        <v>2</v>
      </c>
      <c r="CW2400">
        <v>0</v>
      </c>
      <c r="CX2400">
        <v>5</v>
      </c>
      <c r="CY2400">
        <v>7</v>
      </c>
      <c r="CZ2400" t="s">
        <v>131</v>
      </c>
      <c r="DA2400">
        <v>300</v>
      </c>
      <c r="DB2400">
        <v>0</v>
      </c>
      <c r="DC2400" t="s">
        <v>176</v>
      </c>
      <c r="DD2400" t="s">
        <v>177</v>
      </c>
      <c r="DG2400">
        <v>5411259</v>
      </c>
      <c r="DI2400">
        <v>1</v>
      </c>
      <c r="DJ2400">
        <v>0</v>
      </c>
      <c r="DK2400">
        <v>1</v>
      </c>
      <c r="DL2400">
        <v>0</v>
      </c>
      <c r="DM2400">
        <v>0</v>
      </c>
      <c r="DN2400">
        <v>1</v>
      </c>
      <c r="DO2400">
        <v>0</v>
      </c>
      <c r="DP2400">
        <v>0</v>
      </c>
      <c r="DQ2400">
        <v>0</v>
      </c>
      <c r="DR2400">
        <v>0</v>
      </c>
      <c r="DS2400">
        <v>0</v>
      </c>
    </row>
    <row r="2401" spans="1:123" x14ac:dyDescent="0.3">
      <c r="A2401" t="str">
        <f>"10/04/2022 19:31:59.390"</f>
        <v>10/04/2022 19:31:59.390</v>
      </c>
      <c r="C2401" t="str">
        <f t="shared" si="841"/>
        <v>FFDDD3C0</v>
      </c>
      <c r="D2401" t="s">
        <v>141</v>
      </c>
      <c r="E2401">
        <v>3</v>
      </c>
      <c r="H2401">
        <v>3</v>
      </c>
      <c r="I2401" t="s">
        <v>146</v>
      </c>
      <c r="J2401" t="s">
        <v>138</v>
      </c>
      <c r="K2401">
        <v>0</v>
      </c>
      <c r="L2401">
        <v>3</v>
      </c>
      <c r="M2401">
        <v>0</v>
      </c>
      <c r="N2401">
        <v>2</v>
      </c>
      <c r="O2401">
        <v>0</v>
      </c>
      <c r="P2401">
        <v>1</v>
      </c>
      <c r="Q2401">
        <v>0</v>
      </c>
      <c r="S2401" t="str">
        <f t="shared" ref="S2401:T2414" si="865">"19:31:59.000"</f>
        <v>19:31:59.000</v>
      </c>
      <c r="T2401" t="str">
        <f t="shared" si="865"/>
        <v>19:31:59.000</v>
      </c>
      <c r="U2401" t="str">
        <f t="shared" si="853"/>
        <v>AC3944</v>
      </c>
      <c r="V2401">
        <v>0</v>
      </c>
      <c r="W2401">
        <v>0</v>
      </c>
      <c r="X2401">
        <v>2</v>
      </c>
      <c r="Y2401">
        <v>0</v>
      </c>
      <c r="AA2401">
        <v>1</v>
      </c>
      <c r="AB2401">
        <v>8</v>
      </c>
      <c r="AC2401">
        <v>3</v>
      </c>
      <c r="AD2401">
        <v>0</v>
      </c>
      <c r="AE2401">
        <v>9</v>
      </c>
      <c r="AF2401" t="s">
        <v>138</v>
      </c>
      <c r="AG2401">
        <v>0</v>
      </c>
      <c r="AH2401">
        <v>3</v>
      </c>
      <c r="AI2401">
        <v>1</v>
      </c>
      <c r="AJ2401">
        <v>0</v>
      </c>
      <c r="AK2401" t="s">
        <v>830</v>
      </c>
      <c r="AL2401">
        <v>32.759557000000001</v>
      </c>
      <c r="AM2401" t="s">
        <v>831</v>
      </c>
      <c r="AN2401">
        <v>-116.793187</v>
      </c>
      <c r="AO2401">
        <v>25</v>
      </c>
      <c r="AP2401">
        <v>3100</v>
      </c>
      <c r="AQ2401" t="s">
        <v>129</v>
      </c>
      <c r="AR2401">
        <v>111</v>
      </c>
      <c r="AS2401">
        <v>-65</v>
      </c>
      <c r="AT2401">
        <v>448</v>
      </c>
      <c r="BB2401">
        <v>1200</v>
      </c>
      <c r="BC2401">
        <v>1</v>
      </c>
      <c r="BD2401" t="str">
        <f t="shared" si="854"/>
        <v xml:space="preserve">N887QR  </v>
      </c>
      <c r="BE2401">
        <v>1</v>
      </c>
      <c r="BJ2401">
        <v>2875</v>
      </c>
      <c r="BK2401">
        <v>-225</v>
      </c>
      <c r="BL2401" t="s">
        <v>163</v>
      </c>
      <c r="BM2401">
        <v>1</v>
      </c>
      <c r="BN2401">
        <v>1</v>
      </c>
      <c r="BO2401">
        <v>1</v>
      </c>
      <c r="BP2401">
        <v>0</v>
      </c>
      <c r="BS2401">
        <v>0.08</v>
      </c>
      <c r="BT2401">
        <v>0</v>
      </c>
      <c r="BU2401">
        <v>0</v>
      </c>
      <c r="CE2401" t="str">
        <f t="shared" ref="CE2401:CE2407" si="866">"19:31:59.198"</f>
        <v>19:31:59.198</v>
      </c>
      <c r="CF2401">
        <v>198198970</v>
      </c>
      <c r="CS2401">
        <v>0</v>
      </c>
      <c r="CT2401">
        <v>2</v>
      </c>
      <c r="CU2401">
        <v>0</v>
      </c>
      <c r="CV2401">
        <v>2</v>
      </c>
      <c r="CW2401">
        <v>0</v>
      </c>
      <c r="CX2401">
        <v>5</v>
      </c>
      <c r="CY2401">
        <v>7</v>
      </c>
      <c r="CZ2401" t="s">
        <v>131</v>
      </c>
      <c r="DA2401">
        <v>300</v>
      </c>
      <c r="DB2401">
        <v>0</v>
      </c>
      <c r="DC2401" t="s">
        <v>176</v>
      </c>
      <c r="DD2401" t="s">
        <v>177</v>
      </c>
      <c r="DG2401">
        <v>5411389</v>
      </c>
      <c r="DI2401">
        <v>1</v>
      </c>
      <c r="DJ2401">
        <v>0</v>
      </c>
      <c r="DK2401">
        <v>0</v>
      </c>
      <c r="DL2401">
        <v>0</v>
      </c>
      <c r="DM2401">
        <v>0</v>
      </c>
      <c r="DN2401">
        <v>1</v>
      </c>
      <c r="DO2401">
        <v>0</v>
      </c>
      <c r="DP2401">
        <v>0</v>
      </c>
      <c r="DQ2401">
        <v>0</v>
      </c>
      <c r="DR2401">
        <v>0</v>
      </c>
      <c r="DS2401">
        <v>0</v>
      </c>
    </row>
    <row r="2402" spans="1:123" x14ac:dyDescent="0.3">
      <c r="A2402" t="str">
        <f>"10/04/2022 19:31:59.390"</f>
        <v>10/04/2022 19:31:59.390</v>
      </c>
      <c r="C2402" t="str">
        <f t="shared" si="841"/>
        <v>FFDDD3C0</v>
      </c>
      <c r="D2402" t="s">
        <v>134</v>
      </c>
      <c r="E2402">
        <v>15</v>
      </c>
      <c r="J2402" t="s">
        <v>135</v>
      </c>
      <c r="K2402">
        <v>0</v>
      </c>
      <c r="L2402">
        <v>3</v>
      </c>
      <c r="M2402">
        <v>0</v>
      </c>
      <c r="N2402">
        <v>2</v>
      </c>
      <c r="O2402">
        <v>0</v>
      </c>
      <c r="P2402">
        <v>1</v>
      </c>
      <c r="Q2402">
        <v>0</v>
      </c>
      <c r="S2402" t="str">
        <f t="shared" si="865"/>
        <v>19:31:59.000</v>
      </c>
      <c r="T2402" t="str">
        <f t="shared" si="865"/>
        <v>19:31:59.000</v>
      </c>
      <c r="U2402" t="str">
        <f t="shared" si="853"/>
        <v>AC3944</v>
      </c>
      <c r="V2402">
        <v>0</v>
      </c>
      <c r="W2402">
        <v>0</v>
      </c>
      <c r="X2402">
        <v>2</v>
      </c>
      <c r="Y2402">
        <v>0</v>
      </c>
      <c r="AA2402">
        <v>1</v>
      </c>
      <c r="AB2402">
        <v>8</v>
      </c>
      <c r="AC2402">
        <v>3</v>
      </c>
      <c r="AD2402">
        <v>0</v>
      </c>
      <c r="AE2402">
        <v>9</v>
      </c>
      <c r="AF2402" t="s">
        <v>138</v>
      </c>
      <c r="AG2402">
        <v>0</v>
      </c>
      <c r="AH2402">
        <v>3</v>
      </c>
      <c r="AI2402">
        <v>1</v>
      </c>
      <c r="AJ2402">
        <v>0</v>
      </c>
      <c r="AK2402" t="s">
        <v>830</v>
      </c>
      <c r="AL2402">
        <v>32.759557000000001</v>
      </c>
      <c r="AM2402" t="s">
        <v>831</v>
      </c>
      <c r="AN2402">
        <v>-116.793187</v>
      </c>
      <c r="AO2402">
        <v>25</v>
      </c>
      <c r="AP2402">
        <v>3100</v>
      </c>
      <c r="AQ2402" t="s">
        <v>129</v>
      </c>
      <c r="AR2402">
        <v>111</v>
      </c>
      <c r="AS2402">
        <v>-65</v>
      </c>
      <c r="AT2402">
        <v>448</v>
      </c>
      <c r="BB2402">
        <v>1200</v>
      </c>
      <c r="BC2402">
        <v>1</v>
      </c>
      <c r="BD2402" t="str">
        <f t="shared" si="854"/>
        <v xml:space="preserve">N887QR  </v>
      </c>
      <c r="BE2402">
        <v>1</v>
      </c>
      <c r="BJ2402">
        <v>2875</v>
      </c>
      <c r="BK2402">
        <v>-225</v>
      </c>
      <c r="BL2402" t="s">
        <v>163</v>
      </c>
      <c r="BM2402">
        <v>1</v>
      </c>
      <c r="BN2402">
        <v>1</v>
      </c>
      <c r="BO2402">
        <v>1</v>
      </c>
      <c r="BP2402">
        <v>0</v>
      </c>
      <c r="BS2402">
        <v>0.08</v>
      </c>
      <c r="BT2402">
        <v>0</v>
      </c>
      <c r="BU2402">
        <v>0</v>
      </c>
      <c r="CE2402" t="str">
        <f t="shared" si="866"/>
        <v>19:31:59.198</v>
      </c>
      <c r="CF2402">
        <v>198198970</v>
      </c>
      <c r="CS2402">
        <v>0</v>
      </c>
      <c r="CT2402">
        <v>2</v>
      </c>
      <c r="CU2402">
        <v>0</v>
      </c>
      <c r="CV2402">
        <v>2</v>
      </c>
      <c r="CW2402">
        <v>0</v>
      </c>
      <c r="CX2402">
        <v>5</v>
      </c>
      <c r="CY2402">
        <v>7</v>
      </c>
      <c r="CZ2402" t="s">
        <v>131</v>
      </c>
      <c r="DA2402">
        <v>300</v>
      </c>
      <c r="DB2402">
        <v>0</v>
      </c>
      <c r="DC2402" t="s">
        <v>176</v>
      </c>
      <c r="DD2402" t="s">
        <v>177</v>
      </c>
      <c r="DG2402">
        <v>5411389</v>
      </c>
      <c r="DI2402">
        <v>1</v>
      </c>
      <c r="DJ2402">
        <v>0</v>
      </c>
      <c r="DK2402">
        <v>1</v>
      </c>
      <c r="DL2402">
        <v>0</v>
      </c>
      <c r="DM2402">
        <v>0</v>
      </c>
      <c r="DN2402">
        <v>1</v>
      </c>
      <c r="DO2402">
        <v>0</v>
      </c>
      <c r="DP2402">
        <v>0</v>
      </c>
      <c r="DQ2402">
        <v>0</v>
      </c>
      <c r="DR2402">
        <v>0</v>
      </c>
      <c r="DS2402">
        <v>0</v>
      </c>
    </row>
    <row r="2403" spans="1:123" x14ac:dyDescent="0.3">
      <c r="A2403" t="str">
        <f>"10/04/2022 19:31:59.390"</f>
        <v>10/04/2022 19:31:59.390</v>
      </c>
      <c r="C2403" t="str">
        <f t="shared" si="841"/>
        <v>FFDDD3C0</v>
      </c>
      <c r="D2403" t="s">
        <v>141</v>
      </c>
      <c r="E2403">
        <v>4</v>
      </c>
      <c r="H2403">
        <v>4</v>
      </c>
      <c r="I2403" t="s">
        <v>142</v>
      </c>
      <c r="J2403" t="s">
        <v>138</v>
      </c>
      <c r="K2403">
        <v>0</v>
      </c>
      <c r="L2403">
        <v>3</v>
      </c>
      <c r="M2403">
        <v>0</v>
      </c>
      <c r="N2403">
        <v>2</v>
      </c>
      <c r="O2403">
        <v>0</v>
      </c>
      <c r="P2403">
        <v>1</v>
      </c>
      <c r="Q2403">
        <v>0</v>
      </c>
      <c r="S2403" t="str">
        <f t="shared" si="865"/>
        <v>19:31:59.000</v>
      </c>
      <c r="T2403" t="str">
        <f t="shared" si="865"/>
        <v>19:31:59.000</v>
      </c>
      <c r="U2403" t="str">
        <f t="shared" si="853"/>
        <v>AC3944</v>
      </c>
      <c r="V2403">
        <v>0</v>
      </c>
      <c r="W2403">
        <v>0</v>
      </c>
      <c r="X2403">
        <v>2</v>
      </c>
      <c r="Y2403">
        <v>0</v>
      </c>
      <c r="AA2403">
        <v>1</v>
      </c>
      <c r="AB2403">
        <v>8</v>
      </c>
      <c r="AC2403">
        <v>3</v>
      </c>
      <c r="AD2403">
        <v>0</v>
      </c>
      <c r="AE2403">
        <v>9</v>
      </c>
      <c r="AF2403" t="s">
        <v>138</v>
      </c>
      <c r="AG2403">
        <v>0</v>
      </c>
      <c r="AH2403">
        <v>3</v>
      </c>
      <c r="AI2403">
        <v>1</v>
      </c>
      <c r="AJ2403">
        <v>0</v>
      </c>
      <c r="AK2403" t="s">
        <v>830</v>
      </c>
      <c r="AL2403">
        <v>32.759557000000001</v>
      </c>
      <c r="AM2403" t="s">
        <v>831</v>
      </c>
      <c r="AN2403">
        <v>-116.793187</v>
      </c>
      <c r="AO2403">
        <v>25</v>
      </c>
      <c r="AP2403">
        <v>3100</v>
      </c>
      <c r="AQ2403" t="s">
        <v>129</v>
      </c>
      <c r="AR2403">
        <v>111</v>
      </c>
      <c r="AS2403">
        <v>-65</v>
      </c>
      <c r="AT2403">
        <v>448</v>
      </c>
      <c r="BB2403">
        <v>1200</v>
      </c>
      <c r="BC2403">
        <v>1</v>
      </c>
      <c r="BD2403" t="str">
        <f t="shared" si="854"/>
        <v xml:space="preserve">N887QR  </v>
      </c>
      <c r="BE2403">
        <v>1</v>
      </c>
      <c r="BJ2403">
        <v>2875</v>
      </c>
      <c r="BK2403">
        <v>-225</v>
      </c>
      <c r="BL2403" t="s">
        <v>163</v>
      </c>
      <c r="BM2403">
        <v>1</v>
      </c>
      <c r="BN2403">
        <v>1</v>
      </c>
      <c r="BO2403">
        <v>1</v>
      </c>
      <c r="BP2403">
        <v>0</v>
      </c>
      <c r="BS2403">
        <v>0.08</v>
      </c>
      <c r="BT2403">
        <v>0</v>
      </c>
      <c r="BU2403">
        <v>0</v>
      </c>
      <c r="CE2403" t="str">
        <f t="shared" si="866"/>
        <v>19:31:59.198</v>
      </c>
      <c r="CF2403">
        <v>198198970</v>
      </c>
      <c r="CS2403">
        <v>0</v>
      </c>
      <c r="CT2403">
        <v>2</v>
      </c>
      <c r="CU2403">
        <v>0</v>
      </c>
      <c r="CV2403">
        <v>2</v>
      </c>
      <c r="CW2403">
        <v>0</v>
      </c>
      <c r="CX2403">
        <v>5</v>
      </c>
      <c r="CY2403">
        <v>7</v>
      </c>
      <c r="CZ2403" t="s">
        <v>131</v>
      </c>
      <c r="DA2403">
        <v>300</v>
      </c>
      <c r="DB2403">
        <v>0</v>
      </c>
      <c r="DC2403" t="s">
        <v>176</v>
      </c>
      <c r="DD2403" t="s">
        <v>177</v>
      </c>
      <c r="DG2403">
        <v>5411389</v>
      </c>
      <c r="DI2403">
        <v>1</v>
      </c>
      <c r="DJ2403">
        <v>0</v>
      </c>
      <c r="DK2403">
        <v>1</v>
      </c>
      <c r="DL2403">
        <v>0</v>
      </c>
      <c r="DM2403">
        <v>0</v>
      </c>
      <c r="DN2403">
        <v>1</v>
      </c>
      <c r="DO2403">
        <v>0</v>
      </c>
      <c r="DP2403">
        <v>0</v>
      </c>
      <c r="DQ2403">
        <v>0</v>
      </c>
      <c r="DR2403">
        <v>0</v>
      </c>
      <c r="DS2403">
        <v>0</v>
      </c>
    </row>
    <row r="2404" spans="1:123" x14ac:dyDescent="0.3">
      <c r="A2404" t="str">
        <f>"10/04/2022 19:31:59.390"</f>
        <v>10/04/2022 19:31:59.390</v>
      </c>
      <c r="C2404" t="str">
        <f t="shared" si="841"/>
        <v>FFDDD3C0</v>
      </c>
      <c r="D2404" t="s">
        <v>143</v>
      </c>
      <c r="E2404">
        <v>20</v>
      </c>
      <c r="F2404">
        <v>1020</v>
      </c>
      <c r="G2404" t="s">
        <v>144</v>
      </c>
      <c r="J2404" t="s">
        <v>145</v>
      </c>
      <c r="K2404">
        <v>0</v>
      </c>
      <c r="L2404">
        <v>3</v>
      </c>
      <c r="M2404">
        <v>0</v>
      </c>
      <c r="N2404">
        <v>2</v>
      </c>
      <c r="O2404">
        <v>0</v>
      </c>
      <c r="P2404">
        <v>1</v>
      </c>
      <c r="Q2404">
        <v>0</v>
      </c>
      <c r="S2404" t="str">
        <f t="shared" si="865"/>
        <v>19:31:59.000</v>
      </c>
      <c r="T2404" t="str">
        <f t="shared" si="865"/>
        <v>19:31:59.000</v>
      </c>
      <c r="U2404" t="str">
        <f t="shared" si="853"/>
        <v>AC3944</v>
      </c>
      <c r="V2404">
        <v>0</v>
      </c>
      <c r="W2404">
        <v>0</v>
      </c>
      <c r="X2404">
        <v>2</v>
      </c>
      <c r="Y2404">
        <v>0</v>
      </c>
      <c r="AA2404">
        <v>1</v>
      </c>
      <c r="AB2404">
        <v>8</v>
      </c>
      <c r="AC2404">
        <v>3</v>
      </c>
      <c r="AD2404">
        <v>0</v>
      </c>
      <c r="AE2404">
        <v>9</v>
      </c>
      <c r="AF2404" t="s">
        <v>138</v>
      </c>
      <c r="AG2404">
        <v>0</v>
      </c>
      <c r="AH2404">
        <v>3</v>
      </c>
      <c r="AI2404">
        <v>1</v>
      </c>
      <c r="AJ2404">
        <v>0</v>
      </c>
      <c r="AK2404" t="s">
        <v>830</v>
      </c>
      <c r="AL2404">
        <v>32.759557000000001</v>
      </c>
      <c r="AM2404" t="s">
        <v>831</v>
      </c>
      <c r="AN2404">
        <v>-116.793187</v>
      </c>
      <c r="AO2404">
        <v>25</v>
      </c>
      <c r="AP2404">
        <v>3100</v>
      </c>
      <c r="AQ2404" t="s">
        <v>129</v>
      </c>
      <c r="AR2404">
        <v>111</v>
      </c>
      <c r="AS2404">
        <v>-65</v>
      </c>
      <c r="AT2404">
        <v>448</v>
      </c>
      <c r="BB2404">
        <v>1200</v>
      </c>
      <c r="BC2404">
        <v>1</v>
      </c>
      <c r="BD2404" t="str">
        <f t="shared" si="854"/>
        <v xml:space="preserve">N887QR  </v>
      </c>
      <c r="BE2404">
        <v>1</v>
      </c>
      <c r="BJ2404">
        <v>2875</v>
      </c>
      <c r="BK2404">
        <v>-225</v>
      </c>
      <c r="BL2404" t="s">
        <v>163</v>
      </c>
      <c r="BM2404">
        <v>1</v>
      </c>
      <c r="BN2404">
        <v>1</v>
      </c>
      <c r="BO2404">
        <v>1</v>
      </c>
      <c r="BP2404">
        <v>0</v>
      </c>
      <c r="BS2404">
        <v>0.08</v>
      </c>
      <c r="BT2404">
        <v>0</v>
      </c>
      <c r="BU2404">
        <v>0</v>
      </c>
      <c r="CE2404" t="str">
        <f t="shared" si="866"/>
        <v>19:31:59.198</v>
      </c>
      <c r="CF2404">
        <v>198198970</v>
      </c>
      <c r="CS2404">
        <v>0</v>
      </c>
      <c r="CT2404">
        <v>2</v>
      </c>
      <c r="CU2404">
        <v>0</v>
      </c>
      <c r="CV2404">
        <v>2</v>
      </c>
      <c r="CW2404">
        <v>0</v>
      </c>
      <c r="CX2404">
        <v>5</v>
      </c>
      <c r="CY2404">
        <v>7</v>
      </c>
      <c r="CZ2404" t="s">
        <v>131</v>
      </c>
      <c r="DA2404">
        <v>300</v>
      </c>
      <c r="DB2404">
        <v>0</v>
      </c>
      <c r="DC2404" t="s">
        <v>176</v>
      </c>
      <c r="DD2404" t="s">
        <v>177</v>
      </c>
      <c r="DG2404">
        <v>5411389</v>
      </c>
      <c r="DI2404">
        <v>1</v>
      </c>
      <c r="DJ2404">
        <v>0</v>
      </c>
      <c r="DK2404">
        <v>1</v>
      </c>
      <c r="DL2404">
        <v>0</v>
      </c>
      <c r="DM2404">
        <v>0</v>
      </c>
      <c r="DN2404">
        <v>1</v>
      </c>
      <c r="DO2404">
        <v>0</v>
      </c>
      <c r="DP2404">
        <v>0</v>
      </c>
      <c r="DQ2404">
        <v>0</v>
      </c>
      <c r="DR2404">
        <v>0</v>
      </c>
      <c r="DS2404">
        <v>0</v>
      </c>
    </row>
    <row r="2405" spans="1:123" x14ac:dyDescent="0.3">
      <c r="A2405" t="str">
        <f>"10/04/2022 19:31:59.405"</f>
        <v>10/04/2022 19:31:59.405</v>
      </c>
      <c r="C2405" t="str">
        <f t="shared" si="841"/>
        <v>FFDDD3C0</v>
      </c>
      <c r="D2405" t="s">
        <v>147</v>
      </c>
      <c r="E2405">
        <v>3</v>
      </c>
      <c r="H2405">
        <v>166</v>
      </c>
      <c r="I2405" t="s">
        <v>144</v>
      </c>
      <c r="J2405" t="s">
        <v>148</v>
      </c>
      <c r="K2405">
        <v>0</v>
      </c>
      <c r="L2405">
        <v>3</v>
      </c>
      <c r="M2405">
        <v>0</v>
      </c>
      <c r="N2405">
        <v>2</v>
      </c>
      <c r="O2405">
        <v>0</v>
      </c>
      <c r="P2405">
        <v>1</v>
      </c>
      <c r="Q2405">
        <v>0</v>
      </c>
      <c r="S2405" t="str">
        <f t="shared" si="865"/>
        <v>19:31:59.000</v>
      </c>
      <c r="T2405" t="str">
        <f t="shared" si="865"/>
        <v>19:31:59.000</v>
      </c>
      <c r="U2405" t="str">
        <f t="shared" si="853"/>
        <v>AC3944</v>
      </c>
      <c r="V2405">
        <v>0</v>
      </c>
      <c r="W2405">
        <v>0</v>
      </c>
      <c r="X2405">
        <v>2</v>
      </c>
      <c r="Y2405">
        <v>0</v>
      </c>
      <c r="AA2405">
        <v>1</v>
      </c>
      <c r="AB2405">
        <v>8</v>
      </c>
      <c r="AC2405">
        <v>3</v>
      </c>
      <c r="AD2405">
        <v>0</v>
      </c>
      <c r="AE2405">
        <v>9</v>
      </c>
      <c r="AF2405" t="s">
        <v>138</v>
      </c>
      <c r="AG2405">
        <v>0</v>
      </c>
      <c r="AH2405">
        <v>3</v>
      </c>
      <c r="AI2405">
        <v>1</v>
      </c>
      <c r="AJ2405">
        <v>0</v>
      </c>
      <c r="AK2405" t="s">
        <v>830</v>
      </c>
      <c r="AL2405">
        <v>32.759557000000001</v>
      </c>
      <c r="AM2405" t="s">
        <v>831</v>
      </c>
      <c r="AN2405">
        <v>-116.793187</v>
      </c>
      <c r="AO2405">
        <v>25</v>
      </c>
      <c r="AP2405">
        <v>3100</v>
      </c>
      <c r="AQ2405" t="s">
        <v>129</v>
      </c>
      <c r="AR2405">
        <v>111</v>
      </c>
      <c r="AS2405">
        <v>-65</v>
      </c>
      <c r="AT2405">
        <v>448</v>
      </c>
      <c r="BB2405">
        <v>1200</v>
      </c>
      <c r="BC2405">
        <v>1</v>
      </c>
      <c r="BD2405" t="str">
        <f t="shared" si="854"/>
        <v xml:space="preserve">N887QR  </v>
      </c>
      <c r="BE2405">
        <v>1</v>
      </c>
      <c r="BJ2405">
        <v>2875</v>
      </c>
      <c r="BK2405">
        <v>-225</v>
      </c>
      <c r="BL2405" t="s">
        <v>163</v>
      </c>
      <c r="BM2405">
        <v>1</v>
      </c>
      <c r="BN2405">
        <v>1</v>
      </c>
      <c r="BO2405">
        <v>1</v>
      </c>
      <c r="BP2405">
        <v>0</v>
      </c>
      <c r="BS2405">
        <v>0.08</v>
      </c>
      <c r="BT2405">
        <v>0</v>
      </c>
      <c r="BU2405">
        <v>0</v>
      </c>
      <c r="CE2405" t="str">
        <f t="shared" si="866"/>
        <v>19:31:59.198</v>
      </c>
      <c r="CF2405">
        <v>198198970</v>
      </c>
      <c r="CS2405">
        <v>0</v>
      </c>
      <c r="CT2405">
        <v>2</v>
      </c>
      <c r="CU2405">
        <v>0</v>
      </c>
      <c r="CV2405">
        <v>2</v>
      </c>
      <c r="CW2405">
        <v>0</v>
      </c>
      <c r="CX2405">
        <v>5</v>
      </c>
      <c r="CY2405">
        <v>7</v>
      </c>
      <c r="CZ2405" t="s">
        <v>131</v>
      </c>
      <c r="DA2405">
        <v>300</v>
      </c>
      <c r="DB2405">
        <v>0</v>
      </c>
      <c r="DC2405" t="s">
        <v>176</v>
      </c>
      <c r="DD2405" t="s">
        <v>177</v>
      </c>
      <c r="DG2405">
        <v>5411389</v>
      </c>
      <c r="DI2405">
        <v>1</v>
      </c>
      <c r="DJ2405">
        <v>0</v>
      </c>
      <c r="DK2405">
        <v>1</v>
      </c>
      <c r="DL2405">
        <v>0</v>
      </c>
      <c r="DM2405">
        <v>0</v>
      </c>
      <c r="DN2405">
        <v>1</v>
      </c>
      <c r="DO2405">
        <v>0</v>
      </c>
      <c r="DP2405">
        <v>0</v>
      </c>
      <c r="DQ2405">
        <v>0</v>
      </c>
      <c r="DR2405">
        <v>0</v>
      </c>
      <c r="DS2405">
        <v>0</v>
      </c>
    </row>
    <row r="2406" spans="1:123" x14ac:dyDescent="0.3">
      <c r="A2406" t="str">
        <f>"10/04/2022 19:31:59.405"</f>
        <v>10/04/2022 19:31:59.405</v>
      </c>
      <c r="C2406" t="str">
        <f t="shared" si="841"/>
        <v>FFDDD3C0</v>
      </c>
      <c r="D2406" t="s">
        <v>136</v>
      </c>
      <c r="E2406">
        <v>8</v>
      </c>
      <c r="H2406">
        <v>225</v>
      </c>
      <c r="I2406" t="s">
        <v>137</v>
      </c>
      <c r="J2406" t="s">
        <v>138</v>
      </c>
      <c r="K2406">
        <v>0</v>
      </c>
      <c r="L2406">
        <v>3</v>
      </c>
      <c r="M2406">
        <v>0</v>
      </c>
      <c r="N2406">
        <v>2</v>
      </c>
      <c r="O2406">
        <v>0</v>
      </c>
      <c r="P2406">
        <v>1</v>
      </c>
      <c r="Q2406">
        <v>0</v>
      </c>
      <c r="S2406" t="str">
        <f t="shared" si="865"/>
        <v>19:31:59.000</v>
      </c>
      <c r="T2406" t="str">
        <f t="shared" si="865"/>
        <v>19:31:59.000</v>
      </c>
      <c r="U2406" t="str">
        <f t="shared" si="853"/>
        <v>AC3944</v>
      </c>
      <c r="V2406">
        <v>0</v>
      </c>
      <c r="W2406">
        <v>0</v>
      </c>
      <c r="X2406">
        <v>2</v>
      </c>
      <c r="Y2406">
        <v>0</v>
      </c>
      <c r="AA2406">
        <v>1</v>
      </c>
      <c r="AB2406">
        <v>8</v>
      </c>
      <c r="AC2406">
        <v>3</v>
      </c>
      <c r="AD2406">
        <v>0</v>
      </c>
      <c r="AE2406">
        <v>9</v>
      </c>
      <c r="AF2406" t="s">
        <v>138</v>
      </c>
      <c r="AG2406">
        <v>0</v>
      </c>
      <c r="AH2406">
        <v>3</v>
      </c>
      <c r="AI2406">
        <v>1</v>
      </c>
      <c r="AJ2406">
        <v>0</v>
      </c>
      <c r="AK2406" t="s">
        <v>830</v>
      </c>
      <c r="AL2406">
        <v>32.759557000000001</v>
      </c>
      <c r="AM2406" t="s">
        <v>831</v>
      </c>
      <c r="AN2406">
        <v>-116.793187</v>
      </c>
      <c r="AO2406">
        <v>25</v>
      </c>
      <c r="AP2406">
        <v>3100</v>
      </c>
      <c r="AQ2406" t="s">
        <v>129</v>
      </c>
      <c r="AR2406">
        <v>111</v>
      </c>
      <c r="AS2406">
        <v>-65</v>
      </c>
      <c r="AT2406">
        <v>448</v>
      </c>
      <c r="BB2406">
        <v>1200</v>
      </c>
      <c r="BC2406">
        <v>1</v>
      </c>
      <c r="BD2406" t="str">
        <f t="shared" si="854"/>
        <v xml:space="preserve">N887QR  </v>
      </c>
      <c r="BE2406">
        <v>1</v>
      </c>
      <c r="BJ2406">
        <v>2875</v>
      </c>
      <c r="BK2406">
        <v>-225</v>
      </c>
      <c r="BL2406" t="s">
        <v>163</v>
      </c>
      <c r="BM2406">
        <v>1</v>
      </c>
      <c r="BN2406">
        <v>1</v>
      </c>
      <c r="BO2406">
        <v>1</v>
      </c>
      <c r="BP2406">
        <v>0</v>
      </c>
      <c r="BS2406">
        <v>0.08</v>
      </c>
      <c r="BT2406">
        <v>0</v>
      </c>
      <c r="BU2406">
        <v>0</v>
      </c>
      <c r="CE2406" t="str">
        <f t="shared" si="866"/>
        <v>19:31:59.198</v>
      </c>
      <c r="CF2406">
        <v>198198970</v>
      </c>
      <c r="CS2406">
        <v>0</v>
      </c>
      <c r="CT2406">
        <v>2</v>
      </c>
      <c r="CU2406">
        <v>0</v>
      </c>
      <c r="CV2406">
        <v>2</v>
      </c>
      <c r="CW2406">
        <v>0</v>
      </c>
      <c r="CX2406">
        <v>5</v>
      </c>
      <c r="CY2406">
        <v>7</v>
      </c>
      <c r="CZ2406" t="s">
        <v>131</v>
      </c>
      <c r="DA2406">
        <v>300</v>
      </c>
      <c r="DB2406">
        <v>0</v>
      </c>
      <c r="DC2406" t="s">
        <v>176</v>
      </c>
      <c r="DD2406" t="s">
        <v>177</v>
      </c>
      <c r="DG2406">
        <v>5411389</v>
      </c>
      <c r="DI2406">
        <v>1</v>
      </c>
      <c r="DJ2406">
        <v>0</v>
      </c>
      <c r="DK2406">
        <v>1</v>
      </c>
      <c r="DL2406">
        <v>0</v>
      </c>
      <c r="DM2406">
        <v>0</v>
      </c>
      <c r="DN2406">
        <v>1</v>
      </c>
      <c r="DO2406">
        <v>0</v>
      </c>
      <c r="DP2406">
        <v>0</v>
      </c>
      <c r="DQ2406">
        <v>0</v>
      </c>
      <c r="DR2406">
        <v>0</v>
      </c>
      <c r="DS2406">
        <v>0</v>
      </c>
    </row>
    <row r="2407" spans="1:123" x14ac:dyDescent="0.3">
      <c r="A2407" t="str">
        <f>"10/04/2022 19:31:59.436"</f>
        <v>10/04/2022 19:31:59.436</v>
      </c>
      <c r="C2407" t="str">
        <f t="shared" ref="C2407:C2470" si="867">"FFDDD3C0"</f>
        <v>FFDDD3C0</v>
      </c>
      <c r="D2407" t="s">
        <v>123</v>
      </c>
      <c r="E2407">
        <v>7</v>
      </c>
      <c r="F2407">
        <v>2007</v>
      </c>
      <c r="G2407" t="s">
        <v>124</v>
      </c>
      <c r="J2407" t="s">
        <v>125</v>
      </c>
      <c r="K2407">
        <v>0</v>
      </c>
      <c r="L2407">
        <v>3</v>
      </c>
      <c r="M2407">
        <v>0</v>
      </c>
      <c r="N2407">
        <v>2</v>
      </c>
      <c r="O2407">
        <v>0</v>
      </c>
      <c r="P2407">
        <v>1</v>
      </c>
      <c r="Q2407">
        <v>0</v>
      </c>
      <c r="S2407" t="str">
        <f t="shared" si="865"/>
        <v>19:31:59.000</v>
      </c>
      <c r="T2407" t="str">
        <f t="shared" si="865"/>
        <v>19:31:59.000</v>
      </c>
      <c r="U2407" t="str">
        <f t="shared" si="853"/>
        <v>AC3944</v>
      </c>
      <c r="V2407">
        <v>0</v>
      </c>
      <c r="W2407">
        <v>0</v>
      </c>
      <c r="X2407">
        <v>2</v>
      </c>
      <c r="Y2407">
        <v>0</v>
      </c>
      <c r="AA2407">
        <v>1</v>
      </c>
      <c r="AB2407">
        <v>8</v>
      </c>
      <c r="AC2407">
        <v>3</v>
      </c>
      <c r="AD2407">
        <v>0</v>
      </c>
      <c r="AE2407">
        <v>9</v>
      </c>
      <c r="AF2407" t="s">
        <v>138</v>
      </c>
      <c r="AG2407">
        <v>0</v>
      </c>
      <c r="AH2407">
        <v>3</v>
      </c>
      <c r="AI2407">
        <v>1</v>
      </c>
      <c r="AJ2407">
        <v>0</v>
      </c>
      <c r="AK2407" t="s">
        <v>830</v>
      </c>
      <c r="AL2407">
        <v>32.759557000000001</v>
      </c>
      <c r="AM2407" t="s">
        <v>831</v>
      </c>
      <c r="AN2407">
        <v>-116.793187</v>
      </c>
      <c r="AO2407">
        <v>25</v>
      </c>
      <c r="AP2407">
        <v>3100</v>
      </c>
      <c r="AQ2407" t="s">
        <v>129</v>
      </c>
      <c r="AR2407">
        <v>111</v>
      </c>
      <c r="AS2407">
        <v>-65</v>
      </c>
      <c r="AT2407">
        <v>448</v>
      </c>
      <c r="BB2407">
        <v>1200</v>
      </c>
      <c r="BC2407">
        <v>1</v>
      </c>
      <c r="BD2407" t="str">
        <f t="shared" si="854"/>
        <v xml:space="preserve">N887QR  </v>
      </c>
      <c r="BE2407">
        <v>1</v>
      </c>
      <c r="BJ2407">
        <v>2875</v>
      </c>
      <c r="BK2407">
        <v>-225</v>
      </c>
      <c r="BL2407" t="s">
        <v>163</v>
      </c>
      <c r="BM2407">
        <v>1</v>
      </c>
      <c r="BN2407">
        <v>1</v>
      </c>
      <c r="BO2407">
        <v>1</v>
      </c>
      <c r="BP2407">
        <v>0</v>
      </c>
      <c r="BS2407">
        <v>0.08</v>
      </c>
      <c r="BT2407">
        <v>0</v>
      </c>
      <c r="BU2407">
        <v>0</v>
      </c>
      <c r="CE2407" t="str">
        <f t="shared" si="866"/>
        <v>19:31:59.198</v>
      </c>
      <c r="CF2407">
        <v>198198970</v>
      </c>
      <c r="CS2407">
        <v>0</v>
      </c>
      <c r="CT2407">
        <v>2</v>
      </c>
      <c r="CU2407">
        <v>0</v>
      </c>
      <c r="CV2407">
        <v>2</v>
      </c>
      <c r="CW2407">
        <v>0</v>
      </c>
      <c r="CX2407">
        <v>5</v>
      </c>
      <c r="CY2407">
        <v>7</v>
      </c>
      <c r="CZ2407" t="s">
        <v>131</v>
      </c>
      <c r="DA2407">
        <v>300</v>
      </c>
      <c r="DB2407">
        <v>0</v>
      </c>
      <c r="DC2407" t="s">
        <v>176</v>
      </c>
      <c r="DD2407" t="s">
        <v>177</v>
      </c>
      <c r="DG2407">
        <v>5411389</v>
      </c>
      <c r="DI2407">
        <v>1</v>
      </c>
      <c r="DJ2407">
        <v>0</v>
      </c>
      <c r="DK2407">
        <v>1</v>
      </c>
      <c r="DL2407">
        <v>0</v>
      </c>
      <c r="DM2407">
        <v>0</v>
      </c>
      <c r="DN2407">
        <v>1</v>
      </c>
      <c r="DO2407">
        <v>0</v>
      </c>
      <c r="DP2407">
        <v>0</v>
      </c>
      <c r="DQ2407">
        <v>0</v>
      </c>
      <c r="DR2407">
        <v>0</v>
      </c>
      <c r="DS2407">
        <v>0</v>
      </c>
    </row>
    <row r="2408" spans="1:123" x14ac:dyDescent="0.3">
      <c r="A2408" t="str">
        <f t="shared" ref="A2408:A2414" si="868">"10/04/2022 19:32:00.047"</f>
        <v>10/04/2022 19:32:00.047</v>
      </c>
      <c r="C2408" t="str">
        <f t="shared" si="867"/>
        <v>FFDDD3C0</v>
      </c>
      <c r="D2408" t="s">
        <v>141</v>
      </c>
      <c r="E2408">
        <v>3</v>
      </c>
      <c r="H2408">
        <v>3</v>
      </c>
      <c r="I2408" t="s">
        <v>146</v>
      </c>
      <c r="J2408" t="s">
        <v>138</v>
      </c>
      <c r="K2408">
        <v>0</v>
      </c>
      <c r="L2408">
        <v>3</v>
      </c>
      <c r="M2408">
        <v>0</v>
      </c>
      <c r="N2408">
        <v>2</v>
      </c>
      <c r="O2408">
        <v>0</v>
      </c>
      <c r="P2408">
        <v>1</v>
      </c>
      <c r="Q2408">
        <v>0</v>
      </c>
      <c r="S2408" t="str">
        <f t="shared" si="865"/>
        <v>19:31:59.000</v>
      </c>
      <c r="T2408" t="str">
        <f t="shared" si="865"/>
        <v>19:31:59.000</v>
      </c>
      <c r="U2408" t="str">
        <f t="shared" si="853"/>
        <v>AC3944</v>
      </c>
      <c r="V2408">
        <v>0</v>
      </c>
      <c r="W2408">
        <v>0</v>
      </c>
      <c r="X2408">
        <v>2</v>
      </c>
      <c r="Y2408">
        <v>0</v>
      </c>
      <c r="AA2408">
        <v>1</v>
      </c>
      <c r="AB2408">
        <v>8</v>
      </c>
      <c r="AC2408">
        <v>3</v>
      </c>
      <c r="AD2408">
        <v>0</v>
      </c>
      <c r="AE2408">
        <v>9</v>
      </c>
      <c r="AF2408" t="s">
        <v>138</v>
      </c>
      <c r="AG2408">
        <v>0</v>
      </c>
      <c r="AH2408">
        <v>3</v>
      </c>
      <c r="AI2408">
        <v>1</v>
      </c>
      <c r="AJ2408">
        <v>0</v>
      </c>
      <c r="AK2408" t="s">
        <v>832</v>
      </c>
      <c r="AL2408">
        <v>32.759256000000001</v>
      </c>
      <c r="AM2408" t="s">
        <v>833</v>
      </c>
      <c r="AN2408">
        <v>-116.792564</v>
      </c>
      <c r="AO2408">
        <v>25</v>
      </c>
      <c r="AP2408">
        <v>3200</v>
      </c>
      <c r="AQ2408" t="s">
        <v>129</v>
      </c>
      <c r="AR2408">
        <v>111</v>
      </c>
      <c r="AS2408">
        <v>-65</v>
      </c>
      <c r="AT2408">
        <v>448</v>
      </c>
      <c r="BB2408">
        <v>1200</v>
      </c>
      <c r="BC2408">
        <v>1</v>
      </c>
      <c r="BD2408" t="str">
        <f t="shared" si="854"/>
        <v xml:space="preserve">N887QR  </v>
      </c>
      <c r="BE2408">
        <v>1</v>
      </c>
      <c r="BJ2408">
        <v>2875</v>
      </c>
      <c r="BK2408">
        <v>-325</v>
      </c>
      <c r="BL2408" t="s">
        <v>163</v>
      </c>
      <c r="BM2408">
        <v>1</v>
      </c>
      <c r="BN2408">
        <v>1</v>
      </c>
      <c r="BO2408">
        <v>1</v>
      </c>
      <c r="BP2408">
        <v>0</v>
      </c>
      <c r="BS2408">
        <v>0.08</v>
      </c>
      <c r="BT2408">
        <v>0</v>
      </c>
      <c r="BU2408">
        <v>0</v>
      </c>
      <c r="CE2408" t="str">
        <f t="shared" ref="CE2408:CE2414" si="869">"19:31:59.762"</f>
        <v>19:31:59.762</v>
      </c>
      <c r="CF2408">
        <v>762200824</v>
      </c>
      <c r="CS2408">
        <v>0</v>
      </c>
      <c r="CT2408">
        <v>2</v>
      </c>
      <c r="CU2408">
        <v>0</v>
      </c>
      <c r="CV2408">
        <v>2</v>
      </c>
      <c r="CW2408">
        <v>0</v>
      </c>
      <c r="CX2408">
        <v>5</v>
      </c>
      <c r="CY2408">
        <v>7</v>
      </c>
      <c r="CZ2408" t="s">
        <v>131</v>
      </c>
      <c r="DA2408">
        <v>300</v>
      </c>
      <c r="DB2408">
        <v>0</v>
      </c>
      <c r="DC2408" t="s">
        <v>176</v>
      </c>
      <c r="DD2408" t="s">
        <v>177</v>
      </c>
      <c r="DG2408">
        <v>5411487</v>
      </c>
      <c r="DI2408">
        <v>1</v>
      </c>
      <c r="DJ2408">
        <v>0</v>
      </c>
      <c r="DK2408">
        <v>0</v>
      </c>
      <c r="DL2408">
        <v>0</v>
      </c>
      <c r="DM2408">
        <v>0</v>
      </c>
      <c r="DN2408">
        <v>1</v>
      </c>
      <c r="DO2408">
        <v>0</v>
      </c>
      <c r="DP2408">
        <v>0</v>
      </c>
      <c r="DQ2408">
        <v>0</v>
      </c>
      <c r="DR2408">
        <v>0</v>
      </c>
      <c r="DS2408">
        <v>0</v>
      </c>
    </row>
    <row r="2409" spans="1:123" x14ac:dyDescent="0.3">
      <c r="A2409" t="str">
        <f t="shared" si="868"/>
        <v>10/04/2022 19:32:00.047</v>
      </c>
      <c r="C2409" t="str">
        <f t="shared" si="867"/>
        <v>FFDDD3C0</v>
      </c>
      <c r="D2409" t="s">
        <v>141</v>
      </c>
      <c r="E2409">
        <v>4</v>
      </c>
      <c r="H2409">
        <v>4</v>
      </c>
      <c r="I2409" t="s">
        <v>142</v>
      </c>
      <c r="J2409" t="s">
        <v>138</v>
      </c>
      <c r="K2409">
        <v>0</v>
      </c>
      <c r="L2409">
        <v>3</v>
      </c>
      <c r="M2409">
        <v>0</v>
      </c>
      <c r="N2409">
        <v>2</v>
      </c>
      <c r="O2409">
        <v>0</v>
      </c>
      <c r="P2409">
        <v>1</v>
      </c>
      <c r="Q2409">
        <v>0</v>
      </c>
      <c r="S2409" t="str">
        <f t="shared" si="865"/>
        <v>19:31:59.000</v>
      </c>
      <c r="T2409" t="str">
        <f t="shared" si="865"/>
        <v>19:31:59.000</v>
      </c>
      <c r="U2409" t="str">
        <f t="shared" si="853"/>
        <v>AC3944</v>
      </c>
      <c r="V2409">
        <v>0</v>
      </c>
      <c r="W2409">
        <v>0</v>
      </c>
      <c r="X2409">
        <v>2</v>
      </c>
      <c r="Y2409">
        <v>0</v>
      </c>
      <c r="AA2409">
        <v>1</v>
      </c>
      <c r="AB2409">
        <v>8</v>
      </c>
      <c r="AC2409">
        <v>3</v>
      </c>
      <c r="AD2409">
        <v>0</v>
      </c>
      <c r="AE2409">
        <v>9</v>
      </c>
      <c r="AF2409" t="s">
        <v>138</v>
      </c>
      <c r="AG2409">
        <v>0</v>
      </c>
      <c r="AH2409">
        <v>3</v>
      </c>
      <c r="AI2409">
        <v>1</v>
      </c>
      <c r="AJ2409">
        <v>0</v>
      </c>
      <c r="AK2409" t="s">
        <v>832</v>
      </c>
      <c r="AL2409">
        <v>32.759256000000001</v>
      </c>
      <c r="AM2409" t="s">
        <v>833</v>
      </c>
      <c r="AN2409">
        <v>-116.792564</v>
      </c>
      <c r="AO2409">
        <v>25</v>
      </c>
      <c r="AP2409">
        <v>3200</v>
      </c>
      <c r="AQ2409" t="s">
        <v>129</v>
      </c>
      <c r="AR2409">
        <v>111</v>
      </c>
      <c r="AS2409">
        <v>-65</v>
      </c>
      <c r="AT2409">
        <v>448</v>
      </c>
      <c r="BB2409">
        <v>1200</v>
      </c>
      <c r="BC2409">
        <v>1</v>
      </c>
      <c r="BD2409" t="str">
        <f t="shared" si="854"/>
        <v xml:space="preserve">N887QR  </v>
      </c>
      <c r="BE2409">
        <v>1</v>
      </c>
      <c r="BJ2409">
        <v>2875</v>
      </c>
      <c r="BK2409">
        <v>-325</v>
      </c>
      <c r="BL2409" t="s">
        <v>163</v>
      </c>
      <c r="BM2409">
        <v>1</v>
      </c>
      <c r="BN2409">
        <v>1</v>
      </c>
      <c r="BO2409">
        <v>1</v>
      </c>
      <c r="BP2409">
        <v>0</v>
      </c>
      <c r="BS2409">
        <v>0.08</v>
      </c>
      <c r="BT2409">
        <v>0</v>
      </c>
      <c r="BU2409">
        <v>0</v>
      </c>
      <c r="CE2409" t="str">
        <f t="shared" si="869"/>
        <v>19:31:59.762</v>
      </c>
      <c r="CF2409">
        <v>762200824</v>
      </c>
      <c r="CS2409">
        <v>0</v>
      </c>
      <c r="CT2409">
        <v>2</v>
      </c>
      <c r="CU2409">
        <v>0</v>
      </c>
      <c r="CV2409">
        <v>2</v>
      </c>
      <c r="CW2409">
        <v>0</v>
      </c>
      <c r="CX2409">
        <v>5</v>
      </c>
      <c r="CY2409">
        <v>7</v>
      </c>
      <c r="CZ2409" t="s">
        <v>131</v>
      </c>
      <c r="DA2409">
        <v>300</v>
      </c>
      <c r="DB2409">
        <v>0</v>
      </c>
      <c r="DC2409" t="s">
        <v>176</v>
      </c>
      <c r="DD2409" t="s">
        <v>177</v>
      </c>
      <c r="DG2409">
        <v>5411487</v>
      </c>
      <c r="DI2409">
        <v>1</v>
      </c>
      <c r="DJ2409">
        <v>0</v>
      </c>
      <c r="DK2409">
        <v>1</v>
      </c>
      <c r="DL2409">
        <v>0</v>
      </c>
      <c r="DM2409">
        <v>0</v>
      </c>
      <c r="DN2409">
        <v>1</v>
      </c>
      <c r="DO2409">
        <v>0</v>
      </c>
      <c r="DP2409">
        <v>0</v>
      </c>
      <c r="DQ2409">
        <v>0</v>
      </c>
      <c r="DR2409">
        <v>0</v>
      </c>
      <c r="DS2409">
        <v>0</v>
      </c>
    </row>
    <row r="2410" spans="1:123" x14ac:dyDescent="0.3">
      <c r="A2410" t="str">
        <f t="shared" si="868"/>
        <v>10/04/2022 19:32:00.047</v>
      </c>
      <c r="C2410" t="str">
        <f t="shared" si="867"/>
        <v>FFDDD3C0</v>
      </c>
      <c r="D2410" t="s">
        <v>134</v>
      </c>
      <c r="E2410">
        <v>15</v>
      </c>
      <c r="J2410" t="s">
        <v>135</v>
      </c>
      <c r="K2410">
        <v>0</v>
      </c>
      <c r="L2410">
        <v>3</v>
      </c>
      <c r="M2410">
        <v>0</v>
      </c>
      <c r="N2410">
        <v>2</v>
      </c>
      <c r="O2410">
        <v>0</v>
      </c>
      <c r="P2410">
        <v>1</v>
      </c>
      <c r="Q2410">
        <v>0</v>
      </c>
      <c r="S2410" t="str">
        <f t="shared" si="865"/>
        <v>19:31:59.000</v>
      </c>
      <c r="T2410" t="str">
        <f t="shared" si="865"/>
        <v>19:31:59.000</v>
      </c>
      <c r="U2410" t="str">
        <f t="shared" si="853"/>
        <v>AC3944</v>
      </c>
      <c r="V2410">
        <v>0</v>
      </c>
      <c r="W2410">
        <v>0</v>
      </c>
      <c r="X2410">
        <v>2</v>
      </c>
      <c r="Y2410">
        <v>0</v>
      </c>
      <c r="AA2410">
        <v>1</v>
      </c>
      <c r="AB2410">
        <v>8</v>
      </c>
      <c r="AC2410">
        <v>3</v>
      </c>
      <c r="AD2410">
        <v>0</v>
      </c>
      <c r="AE2410">
        <v>9</v>
      </c>
      <c r="AF2410" t="s">
        <v>138</v>
      </c>
      <c r="AG2410">
        <v>0</v>
      </c>
      <c r="AH2410">
        <v>3</v>
      </c>
      <c r="AI2410">
        <v>1</v>
      </c>
      <c r="AJ2410">
        <v>0</v>
      </c>
      <c r="AK2410" t="s">
        <v>832</v>
      </c>
      <c r="AL2410">
        <v>32.759256000000001</v>
      </c>
      <c r="AM2410" t="s">
        <v>833</v>
      </c>
      <c r="AN2410">
        <v>-116.792564</v>
      </c>
      <c r="AO2410">
        <v>25</v>
      </c>
      <c r="AP2410">
        <v>3200</v>
      </c>
      <c r="AQ2410" t="s">
        <v>129</v>
      </c>
      <c r="AR2410">
        <v>111</v>
      </c>
      <c r="AS2410">
        <v>-65</v>
      </c>
      <c r="AT2410">
        <v>448</v>
      </c>
      <c r="BB2410">
        <v>1200</v>
      </c>
      <c r="BC2410">
        <v>1</v>
      </c>
      <c r="BD2410" t="str">
        <f t="shared" si="854"/>
        <v xml:space="preserve">N887QR  </v>
      </c>
      <c r="BE2410">
        <v>1</v>
      </c>
      <c r="BJ2410">
        <v>2875</v>
      </c>
      <c r="BK2410">
        <v>-325</v>
      </c>
      <c r="BL2410" t="s">
        <v>163</v>
      </c>
      <c r="BM2410">
        <v>1</v>
      </c>
      <c r="BN2410">
        <v>1</v>
      </c>
      <c r="BO2410">
        <v>1</v>
      </c>
      <c r="BP2410">
        <v>0</v>
      </c>
      <c r="BS2410">
        <v>0.08</v>
      </c>
      <c r="BT2410">
        <v>0</v>
      </c>
      <c r="BU2410">
        <v>0</v>
      </c>
      <c r="CE2410" t="str">
        <f t="shared" si="869"/>
        <v>19:31:59.762</v>
      </c>
      <c r="CF2410">
        <v>762200824</v>
      </c>
      <c r="CS2410">
        <v>0</v>
      </c>
      <c r="CT2410">
        <v>2</v>
      </c>
      <c r="CU2410">
        <v>0</v>
      </c>
      <c r="CV2410">
        <v>2</v>
      </c>
      <c r="CW2410">
        <v>0</v>
      </c>
      <c r="CX2410">
        <v>5</v>
      </c>
      <c r="CY2410">
        <v>7</v>
      </c>
      <c r="CZ2410" t="s">
        <v>131</v>
      </c>
      <c r="DA2410">
        <v>300</v>
      </c>
      <c r="DB2410">
        <v>0</v>
      </c>
      <c r="DC2410" t="s">
        <v>176</v>
      </c>
      <c r="DD2410" t="s">
        <v>177</v>
      </c>
      <c r="DG2410">
        <v>5411487</v>
      </c>
      <c r="DI2410">
        <v>1</v>
      </c>
      <c r="DJ2410">
        <v>0</v>
      </c>
      <c r="DK2410">
        <v>1</v>
      </c>
      <c r="DL2410">
        <v>0</v>
      </c>
      <c r="DM2410">
        <v>0</v>
      </c>
      <c r="DN2410">
        <v>1</v>
      </c>
      <c r="DO2410">
        <v>0</v>
      </c>
      <c r="DP2410">
        <v>0</v>
      </c>
      <c r="DQ2410">
        <v>0</v>
      </c>
      <c r="DR2410">
        <v>0</v>
      </c>
      <c r="DS2410">
        <v>0</v>
      </c>
    </row>
    <row r="2411" spans="1:123" x14ac:dyDescent="0.3">
      <c r="A2411" t="str">
        <f t="shared" si="868"/>
        <v>10/04/2022 19:32:00.047</v>
      </c>
      <c r="C2411" t="str">
        <f t="shared" si="867"/>
        <v>FFDDD3C0</v>
      </c>
      <c r="D2411" t="s">
        <v>143</v>
      </c>
      <c r="E2411">
        <v>20</v>
      </c>
      <c r="F2411">
        <v>1020</v>
      </c>
      <c r="G2411" t="s">
        <v>144</v>
      </c>
      <c r="J2411" t="s">
        <v>145</v>
      </c>
      <c r="K2411">
        <v>0</v>
      </c>
      <c r="L2411">
        <v>3</v>
      </c>
      <c r="M2411">
        <v>0</v>
      </c>
      <c r="N2411">
        <v>2</v>
      </c>
      <c r="O2411">
        <v>0</v>
      </c>
      <c r="P2411">
        <v>1</v>
      </c>
      <c r="Q2411">
        <v>0</v>
      </c>
      <c r="S2411" t="str">
        <f t="shared" si="865"/>
        <v>19:31:59.000</v>
      </c>
      <c r="T2411" t="str">
        <f t="shared" si="865"/>
        <v>19:31:59.000</v>
      </c>
      <c r="U2411" t="str">
        <f t="shared" si="853"/>
        <v>AC3944</v>
      </c>
      <c r="V2411">
        <v>0</v>
      </c>
      <c r="W2411">
        <v>0</v>
      </c>
      <c r="X2411">
        <v>2</v>
      </c>
      <c r="Y2411">
        <v>0</v>
      </c>
      <c r="AA2411">
        <v>1</v>
      </c>
      <c r="AB2411">
        <v>8</v>
      </c>
      <c r="AC2411">
        <v>3</v>
      </c>
      <c r="AD2411">
        <v>0</v>
      </c>
      <c r="AE2411">
        <v>9</v>
      </c>
      <c r="AF2411" t="s">
        <v>138</v>
      </c>
      <c r="AG2411">
        <v>0</v>
      </c>
      <c r="AH2411">
        <v>3</v>
      </c>
      <c r="AI2411">
        <v>1</v>
      </c>
      <c r="AJ2411">
        <v>0</v>
      </c>
      <c r="AK2411" t="s">
        <v>832</v>
      </c>
      <c r="AL2411">
        <v>32.759256000000001</v>
      </c>
      <c r="AM2411" t="s">
        <v>833</v>
      </c>
      <c r="AN2411">
        <v>-116.792564</v>
      </c>
      <c r="AO2411">
        <v>25</v>
      </c>
      <c r="AP2411">
        <v>3200</v>
      </c>
      <c r="AQ2411" t="s">
        <v>129</v>
      </c>
      <c r="AR2411">
        <v>111</v>
      </c>
      <c r="AS2411">
        <v>-65</v>
      </c>
      <c r="AT2411">
        <v>448</v>
      </c>
      <c r="BB2411">
        <v>1200</v>
      </c>
      <c r="BC2411">
        <v>1</v>
      </c>
      <c r="BD2411" t="str">
        <f t="shared" si="854"/>
        <v xml:space="preserve">N887QR  </v>
      </c>
      <c r="BE2411">
        <v>1</v>
      </c>
      <c r="BJ2411">
        <v>2875</v>
      </c>
      <c r="BK2411">
        <v>-325</v>
      </c>
      <c r="BL2411" t="s">
        <v>163</v>
      </c>
      <c r="BM2411">
        <v>1</v>
      </c>
      <c r="BN2411">
        <v>1</v>
      </c>
      <c r="BO2411">
        <v>1</v>
      </c>
      <c r="BP2411">
        <v>0</v>
      </c>
      <c r="BS2411">
        <v>0.08</v>
      </c>
      <c r="BT2411">
        <v>0</v>
      </c>
      <c r="BU2411">
        <v>0</v>
      </c>
      <c r="CE2411" t="str">
        <f t="shared" si="869"/>
        <v>19:31:59.762</v>
      </c>
      <c r="CF2411">
        <v>762200824</v>
      </c>
      <c r="CS2411">
        <v>0</v>
      </c>
      <c r="CT2411">
        <v>2</v>
      </c>
      <c r="CU2411">
        <v>0</v>
      </c>
      <c r="CV2411">
        <v>2</v>
      </c>
      <c r="CW2411">
        <v>0</v>
      </c>
      <c r="CX2411">
        <v>5</v>
      </c>
      <c r="CY2411">
        <v>7</v>
      </c>
      <c r="CZ2411" t="s">
        <v>131</v>
      </c>
      <c r="DA2411">
        <v>300</v>
      </c>
      <c r="DB2411">
        <v>0</v>
      </c>
      <c r="DC2411" t="s">
        <v>176</v>
      </c>
      <c r="DD2411" t="s">
        <v>177</v>
      </c>
      <c r="DG2411">
        <v>5411487</v>
      </c>
      <c r="DI2411">
        <v>1</v>
      </c>
      <c r="DJ2411">
        <v>0</v>
      </c>
      <c r="DK2411">
        <v>1</v>
      </c>
      <c r="DL2411">
        <v>0</v>
      </c>
      <c r="DM2411">
        <v>0</v>
      </c>
      <c r="DN2411">
        <v>1</v>
      </c>
      <c r="DO2411">
        <v>0</v>
      </c>
      <c r="DP2411">
        <v>0</v>
      </c>
      <c r="DQ2411">
        <v>0</v>
      </c>
      <c r="DR2411">
        <v>0</v>
      </c>
      <c r="DS2411">
        <v>0</v>
      </c>
    </row>
    <row r="2412" spans="1:123" x14ac:dyDescent="0.3">
      <c r="A2412" t="str">
        <f t="shared" si="868"/>
        <v>10/04/2022 19:32:00.047</v>
      </c>
      <c r="C2412" t="str">
        <f t="shared" si="867"/>
        <v>FFDDD3C0</v>
      </c>
      <c r="D2412" t="s">
        <v>147</v>
      </c>
      <c r="E2412">
        <v>3</v>
      </c>
      <c r="H2412">
        <v>166</v>
      </c>
      <c r="I2412" t="s">
        <v>144</v>
      </c>
      <c r="J2412" t="s">
        <v>148</v>
      </c>
      <c r="K2412">
        <v>0</v>
      </c>
      <c r="L2412">
        <v>3</v>
      </c>
      <c r="M2412">
        <v>0</v>
      </c>
      <c r="N2412">
        <v>2</v>
      </c>
      <c r="O2412">
        <v>0</v>
      </c>
      <c r="P2412">
        <v>1</v>
      </c>
      <c r="Q2412">
        <v>0</v>
      </c>
      <c r="S2412" t="str">
        <f t="shared" si="865"/>
        <v>19:31:59.000</v>
      </c>
      <c r="T2412" t="str">
        <f t="shared" si="865"/>
        <v>19:31:59.000</v>
      </c>
      <c r="U2412" t="str">
        <f t="shared" si="853"/>
        <v>AC3944</v>
      </c>
      <c r="V2412">
        <v>0</v>
      </c>
      <c r="W2412">
        <v>0</v>
      </c>
      <c r="X2412">
        <v>2</v>
      </c>
      <c r="Y2412">
        <v>0</v>
      </c>
      <c r="AA2412">
        <v>1</v>
      </c>
      <c r="AB2412">
        <v>8</v>
      </c>
      <c r="AC2412">
        <v>3</v>
      </c>
      <c r="AD2412">
        <v>0</v>
      </c>
      <c r="AE2412">
        <v>9</v>
      </c>
      <c r="AF2412" t="s">
        <v>138</v>
      </c>
      <c r="AG2412">
        <v>0</v>
      </c>
      <c r="AH2412">
        <v>3</v>
      </c>
      <c r="AI2412">
        <v>1</v>
      </c>
      <c r="AJ2412">
        <v>0</v>
      </c>
      <c r="AK2412" t="s">
        <v>832</v>
      </c>
      <c r="AL2412">
        <v>32.759256000000001</v>
      </c>
      <c r="AM2412" t="s">
        <v>833</v>
      </c>
      <c r="AN2412">
        <v>-116.792564</v>
      </c>
      <c r="AO2412">
        <v>25</v>
      </c>
      <c r="AP2412">
        <v>3200</v>
      </c>
      <c r="AQ2412" t="s">
        <v>129</v>
      </c>
      <c r="AR2412">
        <v>111</v>
      </c>
      <c r="AS2412">
        <v>-65</v>
      </c>
      <c r="AT2412">
        <v>448</v>
      </c>
      <c r="BB2412">
        <v>1200</v>
      </c>
      <c r="BC2412">
        <v>1</v>
      </c>
      <c r="BD2412" t="str">
        <f t="shared" si="854"/>
        <v xml:space="preserve">N887QR  </v>
      </c>
      <c r="BE2412">
        <v>1</v>
      </c>
      <c r="BJ2412">
        <v>2875</v>
      </c>
      <c r="BK2412">
        <v>-325</v>
      </c>
      <c r="BL2412" t="s">
        <v>163</v>
      </c>
      <c r="BM2412">
        <v>1</v>
      </c>
      <c r="BN2412">
        <v>1</v>
      </c>
      <c r="BO2412">
        <v>1</v>
      </c>
      <c r="BP2412">
        <v>0</v>
      </c>
      <c r="BS2412">
        <v>0.08</v>
      </c>
      <c r="BT2412">
        <v>0</v>
      </c>
      <c r="BU2412">
        <v>0</v>
      </c>
      <c r="CE2412" t="str">
        <f t="shared" si="869"/>
        <v>19:31:59.762</v>
      </c>
      <c r="CF2412">
        <v>762200824</v>
      </c>
      <c r="CS2412">
        <v>0</v>
      </c>
      <c r="CT2412">
        <v>2</v>
      </c>
      <c r="CU2412">
        <v>0</v>
      </c>
      <c r="CV2412">
        <v>2</v>
      </c>
      <c r="CW2412">
        <v>0</v>
      </c>
      <c r="CX2412">
        <v>5</v>
      </c>
      <c r="CY2412">
        <v>7</v>
      </c>
      <c r="CZ2412" t="s">
        <v>131</v>
      </c>
      <c r="DA2412">
        <v>300</v>
      </c>
      <c r="DB2412">
        <v>0</v>
      </c>
      <c r="DC2412" t="s">
        <v>176</v>
      </c>
      <c r="DD2412" t="s">
        <v>177</v>
      </c>
      <c r="DG2412">
        <v>5411487</v>
      </c>
      <c r="DI2412">
        <v>1</v>
      </c>
      <c r="DJ2412">
        <v>0</v>
      </c>
      <c r="DK2412">
        <v>1</v>
      </c>
      <c r="DL2412">
        <v>0</v>
      </c>
      <c r="DM2412">
        <v>0</v>
      </c>
      <c r="DN2412">
        <v>1</v>
      </c>
      <c r="DO2412">
        <v>0</v>
      </c>
      <c r="DP2412">
        <v>0</v>
      </c>
      <c r="DQ2412">
        <v>0</v>
      </c>
      <c r="DR2412">
        <v>0</v>
      </c>
      <c r="DS2412">
        <v>0</v>
      </c>
    </row>
    <row r="2413" spans="1:123" x14ac:dyDescent="0.3">
      <c r="A2413" t="str">
        <f t="shared" si="868"/>
        <v>10/04/2022 19:32:00.047</v>
      </c>
      <c r="C2413" t="str">
        <f t="shared" si="867"/>
        <v>FFDDD3C0</v>
      </c>
      <c r="D2413" t="s">
        <v>136</v>
      </c>
      <c r="E2413">
        <v>8</v>
      </c>
      <c r="H2413">
        <v>225</v>
      </c>
      <c r="I2413" t="s">
        <v>137</v>
      </c>
      <c r="J2413" t="s">
        <v>138</v>
      </c>
      <c r="K2413">
        <v>0</v>
      </c>
      <c r="L2413">
        <v>3</v>
      </c>
      <c r="M2413">
        <v>0</v>
      </c>
      <c r="N2413">
        <v>2</v>
      </c>
      <c r="O2413">
        <v>0</v>
      </c>
      <c r="P2413">
        <v>1</v>
      </c>
      <c r="Q2413">
        <v>0</v>
      </c>
      <c r="S2413" t="str">
        <f t="shared" si="865"/>
        <v>19:31:59.000</v>
      </c>
      <c r="T2413" t="str">
        <f t="shared" si="865"/>
        <v>19:31:59.000</v>
      </c>
      <c r="U2413" t="str">
        <f t="shared" si="853"/>
        <v>AC3944</v>
      </c>
      <c r="V2413">
        <v>0</v>
      </c>
      <c r="W2413">
        <v>0</v>
      </c>
      <c r="X2413">
        <v>2</v>
      </c>
      <c r="Y2413">
        <v>0</v>
      </c>
      <c r="AA2413">
        <v>1</v>
      </c>
      <c r="AB2413">
        <v>8</v>
      </c>
      <c r="AC2413">
        <v>3</v>
      </c>
      <c r="AD2413">
        <v>0</v>
      </c>
      <c r="AE2413">
        <v>9</v>
      </c>
      <c r="AF2413" t="s">
        <v>138</v>
      </c>
      <c r="AG2413">
        <v>0</v>
      </c>
      <c r="AH2413">
        <v>3</v>
      </c>
      <c r="AI2413">
        <v>1</v>
      </c>
      <c r="AJ2413">
        <v>0</v>
      </c>
      <c r="AK2413" t="s">
        <v>832</v>
      </c>
      <c r="AL2413">
        <v>32.759256000000001</v>
      </c>
      <c r="AM2413" t="s">
        <v>833</v>
      </c>
      <c r="AN2413">
        <v>-116.792564</v>
      </c>
      <c r="AO2413">
        <v>25</v>
      </c>
      <c r="AP2413">
        <v>3200</v>
      </c>
      <c r="AQ2413" t="s">
        <v>129</v>
      </c>
      <c r="AR2413">
        <v>111</v>
      </c>
      <c r="AS2413">
        <v>-65</v>
      </c>
      <c r="AT2413">
        <v>448</v>
      </c>
      <c r="BB2413">
        <v>1200</v>
      </c>
      <c r="BC2413">
        <v>1</v>
      </c>
      <c r="BD2413" t="str">
        <f t="shared" si="854"/>
        <v xml:space="preserve">N887QR  </v>
      </c>
      <c r="BE2413">
        <v>1</v>
      </c>
      <c r="BJ2413">
        <v>2875</v>
      </c>
      <c r="BK2413">
        <v>-325</v>
      </c>
      <c r="BL2413" t="s">
        <v>163</v>
      </c>
      <c r="BM2413">
        <v>1</v>
      </c>
      <c r="BN2413">
        <v>1</v>
      </c>
      <c r="BO2413">
        <v>1</v>
      </c>
      <c r="BP2413">
        <v>0</v>
      </c>
      <c r="BS2413">
        <v>0.08</v>
      </c>
      <c r="BT2413">
        <v>0</v>
      </c>
      <c r="BU2413">
        <v>0</v>
      </c>
      <c r="CE2413" t="str">
        <f t="shared" si="869"/>
        <v>19:31:59.762</v>
      </c>
      <c r="CF2413">
        <v>762200824</v>
      </c>
      <c r="CS2413">
        <v>0</v>
      </c>
      <c r="CT2413">
        <v>2</v>
      </c>
      <c r="CU2413">
        <v>0</v>
      </c>
      <c r="CV2413">
        <v>2</v>
      </c>
      <c r="CW2413">
        <v>0</v>
      </c>
      <c r="CX2413">
        <v>5</v>
      </c>
      <c r="CY2413">
        <v>7</v>
      </c>
      <c r="CZ2413" t="s">
        <v>131</v>
      </c>
      <c r="DA2413">
        <v>300</v>
      </c>
      <c r="DB2413">
        <v>0</v>
      </c>
      <c r="DC2413" t="s">
        <v>176</v>
      </c>
      <c r="DD2413" t="s">
        <v>177</v>
      </c>
      <c r="DG2413">
        <v>5411487</v>
      </c>
      <c r="DI2413">
        <v>1</v>
      </c>
      <c r="DJ2413">
        <v>0</v>
      </c>
      <c r="DK2413">
        <v>1</v>
      </c>
      <c r="DL2413">
        <v>0</v>
      </c>
      <c r="DM2413">
        <v>0</v>
      </c>
      <c r="DN2413">
        <v>1</v>
      </c>
      <c r="DO2413">
        <v>0</v>
      </c>
      <c r="DP2413">
        <v>0</v>
      </c>
      <c r="DQ2413">
        <v>0</v>
      </c>
      <c r="DR2413">
        <v>0</v>
      </c>
      <c r="DS2413">
        <v>0</v>
      </c>
    </row>
    <row r="2414" spans="1:123" x14ac:dyDescent="0.3">
      <c r="A2414" t="str">
        <f t="shared" si="868"/>
        <v>10/04/2022 19:32:00.047</v>
      </c>
      <c r="C2414" t="str">
        <f t="shared" si="867"/>
        <v>FFDDD3C0</v>
      </c>
      <c r="D2414" t="s">
        <v>123</v>
      </c>
      <c r="E2414">
        <v>7</v>
      </c>
      <c r="F2414">
        <v>2007</v>
      </c>
      <c r="G2414" t="s">
        <v>124</v>
      </c>
      <c r="J2414" t="s">
        <v>125</v>
      </c>
      <c r="K2414">
        <v>0</v>
      </c>
      <c r="L2414">
        <v>3</v>
      </c>
      <c r="M2414">
        <v>0</v>
      </c>
      <c r="N2414">
        <v>2</v>
      </c>
      <c r="O2414">
        <v>0</v>
      </c>
      <c r="P2414">
        <v>1</v>
      </c>
      <c r="Q2414">
        <v>0</v>
      </c>
      <c r="S2414" t="str">
        <f t="shared" si="865"/>
        <v>19:31:59.000</v>
      </c>
      <c r="T2414" t="str">
        <f t="shared" si="865"/>
        <v>19:31:59.000</v>
      </c>
      <c r="U2414" t="str">
        <f t="shared" si="853"/>
        <v>AC3944</v>
      </c>
      <c r="V2414">
        <v>0</v>
      </c>
      <c r="W2414">
        <v>0</v>
      </c>
      <c r="X2414">
        <v>2</v>
      </c>
      <c r="Y2414">
        <v>0</v>
      </c>
      <c r="AA2414">
        <v>1</v>
      </c>
      <c r="AB2414">
        <v>8</v>
      </c>
      <c r="AC2414">
        <v>3</v>
      </c>
      <c r="AD2414">
        <v>0</v>
      </c>
      <c r="AE2414">
        <v>9</v>
      </c>
      <c r="AF2414" t="s">
        <v>138</v>
      </c>
      <c r="AG2414">
        <v>0</v>
      </c>
      <c r="AH2414">
        <v>3</v>
      </c>
      <c r="AI2414">
        <v>1</v>
      </c>
      <c r="AJ2414">
        <v>0</v>
      </c>
      <c r="AK2414" t="s">
        <v>832</v>
      </c>
      <c r="AL2414">
        <v>32.759256000000001</v>
      </c>
      <c r="AM2414" t="s">
        <v>833</v>
      </c>
      <c r="AN2414">
        <v>-116.792564</v>
      </c>
      <c r="AO2414">
        <v>25</v>
      </c>
      <c r="AP2414">
        <v>3200</v>
      </c>
      <c r="AQ2414" t="s">
        <v>129</v>
      </c>
      <c r="AR2414">
        <v>111</v>
      </c>
      <c r="AS2414">
        <v>-65</v>
      </c>
      <c r="AT2414">
        <v>448</v>
      </c>
      <c r="BB2414">
        <v>1200</v>
      </c>
      <c r="BC2414">
        <v>1</v>
      </c>
      <c r="BD2414" t="str">
        <f t="shared" si="854"/>
        <v xml:space="preserve">N887QR  </v>
      </c>
      <c r="BE2414">
        <v>1</v>
      </c>
      <c r="BJ2414">
        <v>2875</v>
      </c>
      <c r="BK2414">
        <v>-325</v>
      </c>
      <c r="BL2414" t="s">
        <v>163</v>
      </c>
      <c r="BM2414">
        <v>1</v>
      </c>
      <c r="BN2414">
        <v>1</v>
      </c>
      <c r="BO2414">
        <v>1</v>
      </c>
      <c r="BP2414">
        <v>0</v>
      </c>
      <c r="BS2414">
        <v>0.08</v>
      </c>
      <c r="BT2414">
        <v>0</v>
      </c>
      <c r="BU2414">
        <v>0</v>
      </c>
      <c r="CE2414" t="str">
        <f t="shared" si="869"/>
        <v>19:31:59.762</v>
      </c>
      <c r="CF2414">
        <v>762200824</v>
      </c>
      <c r="CS2414">
        <v>0</v>
      </c>
      <c r="CT2414">
        <v>2</v>
      </c>
      <c r="CU2414">
        <v>0</v>
      </c>
      <c r="CV2414">
        <v>2</v>
      </c>
      <c r="CW2414">
        <v>0</v>
      </c>
      <c r="CX2414">
        <v>5</v>
      </c>
      <c r="CY2414">
        <v>7</v>
      </c>
      <c r="CZ2414" t="s">
        <v>131</v>
      </c>
      <c r="DA2414">
        <v>300</v>
      </c>
      <c r="DB2414">
        <v>0</v>
      </c>
      <c r="DC2414" t="s">
        <v>176</v>
      </c>
      <c r="DD2414" t="s">
        <v>177</v>
      </c>
      <c r="DG2414">
        <v>5411487</v>
      </c>
      <c r="DI2414">
        <v>1</v>
      </c>
      <c r="DJ2414">
        <v>0</v>
      </c>
      <c r="DK2414">
        <v>1</v>
      </c>
      <c r="DL2414">
        <v>0</v>
      </c>
      <c r="DM2414">
        <v>0</v>
      </c>
      <c r="DN2414">
        <v>1</v>
      </c>
      <c r="DO2414">
        <v>0</v>
      </c>
      <c r="DP2414">
        <v>0</v>
      </c>
      <c r="DQ2414">
        <v>0</v>
      </c>
      <c r="DR2414">
        <v>0</v>
      </c>
      <c r="DS2414">
        <v>0</v>
      </c>
    </row>
    <row r="2415" spans="1:123" x14ac:dyDescent="0.3">
      <c r="A2415" t="str">
        <f>"10/04/2022 19:32:01.141"</f>
        <v>10/04/2022 19:32:01.141</v>
      </c>
      <c r="C2415" t="str">
        <f t="shared" si="867"/>
        <v>FFDDD3C0</v>
      </c>
      <c r="D2415" t="s">
        <v>123</v>
      </c>
      <c r="E2415">
        <v>7</v>
      </c>
      <c r="F2415">
        <v>2007</v>
      </c>
      <c r="G2415" t="s">
        <v>124</v>
      </c>
      <c r="J2415" t="s">
        <v>125</v>
      </c>
      <c r="K2415">
        <v>0</v>
      </c>
      <c r="L2415">
        <v>3</v>
      </c>
      <c r="M2415">
        <v>0</v>
      </c>
      <c r="N2415">
        <v>2</v>
      </c>
      <c r="O2415">
        <v>0</v>
      </c>
      <c r="P2415">
        <v>1</v>
      </c>
      <c r="Q2415">
        <v>0</v>
      </c>
      <c r="S2415" t="str">
        <f t="shared" ref="S2415:T2421" si="870">"19:32:00.000"</f>
        <v>19:32:00.000</v>
      </c>
      <c r="T2415" t="str">
        <f t="shared" si="870"/>
        <v>19:32:00.000</v>
      </c>
      <c r="U2415" t="str">
        <f t="shared" si="853"/>
        <v>AC3944</v>
      </c>
      <c r="V2415">
        <v>0</v>
      </c>
      <c r="W2415">
        <v>0</v>
      </c>
      <c r="X2415">
        <v>2</v>
      </c>
      <c r="Y2415">
        <v>0</v>
      </c>
      <c r="AA2415">
        <v>1</v>
      </c>
      <c r="AB2415">
        <v>8</v>
      </c>
      <c r="AC2415">
        <v>3</v>
      </c>
      <c r="AD2415">
        <v>0</v>
      </c>
      <c r="AE2415">
        <v>9</v>
      </c>
      <c r="AF2415" t="s">
        <v>138</v>
      </c>
      <c r="AG2415">
        <v>0</v>
      </c>
      <c r="AH2415">
        <v>3</v>
      </c>
      <c r="AI2415">
        <v>1</v>
      </c>
      <c r="AJ2415">
        <v>0</v>
      </c>
      <c r="AK2415" t="s">
        <v>834</v>
      </c>
      <c r="AL2415">
        <v>32.758892000000003</v>
      </c>
      <c r="AM2415" t="s">
        <v>835</v>
      </c>
      <c r="AN2415">
        <v>-116.79183500000001</v>
      </c>
      <c r="AO2415">
        <v>25</v>
      </c>
      <c r="AP2415">
        <v>3200</v>
      </c>
      <c r="AQ2415" t="s">
        <v>129</v>
      </c>
      <c r="AR2415">
        <v>109</v>
      </c>
      <c r="AS2415">
        <v>-66</v>
      </c>
      <c r="AT2415">
        <v>448</v>
      </c>
      <c r="BB2415">
        <v>1200</v>
      </c>
      <c r="BC2415">
        <v>1</v>
      </c>
      <c r="BD2415" t="str">
        <f t="shared" si="854"/>
        <v xml:space="preserve">N887QR  </v>
      </c>
      <c r="BE2415">
        <v>1</v>
      </c>
      <c r="BJ2415">
        <v>2875</v>
      </c>
      <c r="BK2415">
        <v>-325</v>
      </c>
      <c r="BL2415" t="s">
        <v>163</v>
      </c>
      <c r="BM2415">
        <v>1</v>
      </c>
      <c r="BN2415">
        <v>1</v>
      </c>
      <c r="BO2415">
        <v>1</v>
      </c>
      <c r="BP2415">
        <v>0</v>
      </c>
      <c r="BS2415">
        <v>0.08</v>
      </c>
      <c r="BT2415">
        <v>0</v>
      </c>
      <c r="BU2415">
        <v>0</v>
      </c>
      <c r="CE2415" t="str">
        <f t="shared" ref="CE2415:CE2421" si="871">"19:32:00.903"</f>
        <v>19:32:00.903</v>
      </c>
      <c r="CF2415">
        <v>902954694</v>
      </c>
      <c r="CS2415">
        <v>0</v>
      </c>
      <c r="CT2415">
        <v>2</v>
      </c>
      <c r="CU2415">
        <v>0</v>
      </c>
      <c r="CV2415">
        <v>2</v>
      </c>
      <c r="CW2415">
        <v>0</v>
      </c>
      <c r="CX2415">
        <v>5</v>
      </c>
      <c r="CY2415">
        <v>7</v>
      </c>
      <c r="CZ2415" t="s">
        <v>131</v>
      </c>
      <c r="DA2415">
        <v>300</v>
      </c>
      <c r="DB2415">
        <v>0</v>
      </c>
      <c r="DC2415" t="s">
        <v>176</v>
      </c>
      <c r="DD2415" t="s">
        <v>177</v>
      </c>
      <c r="DG2415">
        <v>5411667</v>
      </c>
      <c r="DI2415">
        <v>1</v>
      </c>
      <c r="DJ2415">
        <v>0</v>
      </c>
      <c r="DK2415">
        <v>0</v>
      </c>
      <c r="DL2415">
        <v>0</v>
      </c>
      <c r="DM2415">
        <v>0</v>
      </c>
      <c r="DN2415">
        <v>1</v>
      </c>
      <c r="DO2415">
        <v>0</v>
      </c>
      <c r="DP2415">
        <v>0</v>
      </c>
      <c r="DQ2415">
        <v>0</v>
      </c>
      <c r="DR2415">
        <v>0</v>
      </c>
      <c r="DS2415">
        <v>0</v>
      </c>
    </row>
    <row r="2416" spans="1:123" x14ac:dyDescent="0.3">
      <c r="A2416" t="str">
        <f>"10/04/2022 19:32:01.203"</f>
        <v>10/04/2022 19:32:01.203</v>
      </c>
      <c r="C2416" t="str">
        <f t="shared" si="867"/>
        <v>FFDDD3C0</v>
      </c>
      <c r="D2416" t="s">
        <v>141</v>
      </c>
      <c r="E2416">
        <v>3</v>
      </c>
      <c r="H2416">
        <v>3</v>
      </c>
      <c r="I2416" t="s">
        <v>146</v>
      </c>
      <c r="J2416" t="s">
        <v>138</v>
      </c>
      <c r="K2416">
        <v>0</v>
      </c>
      <c r="L2416">
        <v>3</v>
      </c>
      <c r="M2416">
        <v>0</v>
      </c>
      <c r="N2416">
        <v>2</v>
      </c>
      <c r="O2416">
        <v>0</v>
      </c>
      <c r="P2416">
        <v>1</v>
      </c>
      <c r="Q2416">
        <v>0</v>
      </c>
      <c r="S2416" t="str">
        <f t="shared" si="870"/>
        <v>19:32:00.000</v>
      </c>
      <c r="T2416" t="str">
        <f t="shared" si="870"/>
        <v>19:32:00.000</v>
      </c>
      <c r="U2416" t="str">
        <f t="shared" si="853"/>
        <v>AC3944</v>
      </c>
      <c r="V2416">
        <v>0</v>
      </c>
      <c r="W2416">
        <v>0</v>
      </c>
      <c r="X2416">
        <v>2</v>
      </c>
      <c r="Y2416">
        <v>0</v>
      </c>
      <c r="AA2416">
        <v>1</v>
      </c>
      <c r="AB2416">
        <v>8</v>
      </c>
      <c r="AC2416">
        <v>3</v>
      </c>
      <c r="AD2416">
        <v>0</v>
      </c>
      <c r="AE2416">
        <v>9</v>
      </c>
      <c r="AF2416" t="s">
        <v>138</v>
      </c>
      <c r="AG2416">
        <v>0</v>
      </c>
      <c r="AH2416">
        <v>3</v>
      </c>
      <c r="AI2416">
        <v>1</v>
      </c>
      <c r="AJ2416">
        <v>0</v>
      </c>
      <c r="AK2416" t="s">
        <v>834</v>
      </c>
      <c r="AL2416">
        <v>32.758892000000003</v>
      </c>
      <c r="AM2416" t="s">
        <v>835</v>
      </c>
      <c r="AN2416">
        <v>-116.79183500000001</v>
      </c>
      <c r="AO2416">
        <v>25</v>
      </c>
      <c r="AP2416">
        <v>3200</v>
      </c>
      <c r="AQ2416" t="s">
        <v>129</v>
      </c>
      <c r="AR2416">
        <v>109</v>
      </c>
      <c r="AS2416">
        <v>-66</v>
      </c>
      <c r="AT2416">
        <v>448</v>
      </c>
      <c r="BB2416">
        <v>1200</v>
      </c>
      <c r="BC2416">
        <v>1</v>
      </c>
      <c r="BD2416" t="str">
        <f t="shared" si="854"/>
        <v xml:space="preserve">N887QR  </v>
      </c>
      <c r="BE2416">
        <v>1</v>
      </c>
      <c r="BJ2416">
        <v>2875</v>
      </c>
      <c r="BK2416">
        <v>-325</v>
      </c>
      <c r="BL2416" t="s">
        <v>163</v>
      </c>
      <c r="BM2416">
        <v>1</v>
      </c>
      <c r="BN2416">
        <v>1</v>
      </c>
      <c r="BO2416">
        <v>1</v>
      </c>
      <c r="BP2416">
        <v>0</v>
      </c>
      <c r="BS2416">
        <v>0.08</v>
      </c>
      <c r="BT2416">
        <v>0</v>
      </c>
      <c r="BU2416">
        <v>0</v>
      </c>
      <c r="CE2416" t="str">
        <f t="shared" si="871"/>
        <v>19:32:00.903</v>
      </c>
      <c r="CF2416">
        <v>902954694</v>
      </c>
      <c r="CS2416">
        <v>0</v>
      </c>
      <c r="CT2416">
        <v>2</v>
      </c>
      <c r="CU2416">
        <v>0</v>
      </c>
      <c r="CV2416">
        <v>2</v>
      </c>
      <c r="CW2416">
        <v>0</v>
      </c>
      <c r="CX2416">
        <v>5</v>
      </c>
      <c r="CY2416">
        <v>7</v>
      </c>
      <c r="CZ2416" t="s">
        <v>131</v>
      </c>
      <c r="DA2416">
        <v>300</v>
      </c>
      <c r="DB2416">
        <v>0</v>
      </c>
      <c r="DC2416" t="s">
        <v>176</v>
      </c>
      <c r="DD2416" t="s">
        <v>177</v>
      </c>
      <c r="DG2416">
        <v>5411667</v>
      </c>
      <c r="DI2416">
        <v>1</v>
      </c>
      <c r="DJ2416">
        <v>0</v>
      </c>
      <c r="DK2416">
        <v>1</v>
      </c>
      <c r="DL2416">
        <v>0</v>
      </c>
      <c r="DM2416">
        <v>0</v>
      </c>
      <c r="DN2416">
        <v>1</v>
      </c>
      <c r="DO2416">
        <v>0</v>
      </c>
      <c r="DP2416">
        <v>0</v>
      </c>
      <c r="DQ2416">
        <v>0</v>
      </c>
      <c r="DR2416">
        <v>0</v>
      </c>
      <c r="DS2416">
        <v>0</v>
      </c>
    </row>
    <row r="2417" spans="1:123" x14ac:dyDescent="0.3">
      <c r="A2417" t="str">
        <f>"10/04/2022 19:32:01.219"</f>
        <v>10/04/2022 19:32:01.219</v>
      </c>
      <c r="C2417" t="str">
        <f t="shared" si="867"/>
        <v>FFDDD3C0</v>
      </c>
      <c r="D2417" t="s">
        <v>141</v>
      </c>
      <c r="E2417">
        <v>4</v>
      </c>
      <c r="H2417">
        <v>4</v>
      </c>
      <c r="I2417" t="s">
        <v>142</v>
      </c>
      <c r="J2417" t="s">
        <v>138</v>
      </c>
      <c r="K2417">
        <v>0</v>
      </c>
      <c r="L2417">
        <v>3</v>
      </c>
      <c r="M2417">
        <v>0</v>
      </c>
      <c r="N2417">
        <v>2</v>
      </c>
      <c r="O2417">
        <v>0</v>
      </c>
      <c r="P2417">
        <v>1</v>
      </c>
      <c r="Q2417">
        <v>0</v>
      </c>
      <c r="S2417" t="str">
        <f t="shared" si="870"/>
        <v>19:32:00.000</v>
      </c>
      <c r="T2417" t="str">
        <f t="shared" si="870"/>
        <v>19:32:00.000</v>
      </c>
      <c r="U2417" t="str">
        <f t="shared" si="853"/>
        <v>AC3944</v>
      </c>
      <c r="V2417">
        <v>0</v>
      </c>
      <c r="W2417">
        <v>0</v>
      </c>
      <c r="X2417">
        <v>2</v>
      </c>
      <c r="Y2417">
        <v>0</v>
      </c>
      <c r="AA2417">
        <v>1</v>
      </c>
      <c r="AB2417">
        <v>8</v>
      </c>
      <c r="AC2417">
        <v>3</v>
      </c>
      <c r="AD2417">
        <v>0</v>
      </c>
      <c r="AE2417">
        <v>9</v>
      </c>
      <c r="AF2417" t="s">
        <v>138</v>
      </c>
      <c r="AG2417">
        <v>0</v>
      </c>
      <c r="AH2417">
        <v>3</v>
      </c>
      <c r="AI2417">
        <v>1</v>
      </c>
      <c r="AJ2417">
        <v>0</v>
      </c>
      <c r="AK2417" t="s">
        <v>834</v>
      </c>
      <c r="AL2417">
        <v>32.758892000000003</v>
      </c>
      <c r="AM2417" t="s">
        <v>835</v>
      </c>
      <c r="AN2417">
        <v>-116.79183500000001</v>
      </c>
      <c r="AO2417">
        <v>25</v>
      </c>
      <c r="AP2417">
        <v>3200</v>
      </c>
      <c r="AQ2417" t="s">
        <v>129</v>
      </c>
      <c r="AR2417">
        <v>109</v>
      </c>
      <c r="AS2417">
        <v>-66</v>
      </c>
      <c r="AT2417">
        <v>448</v>
      </c>
      <c r="BB2417">
        <v>1200</v>
      </c>
      <c r="BC2417">
        <v>1</v>
      </c>
      <c r="BD2417" t="str">
        <f t="shared" si="854"/>
        <v xml:space="preserve">N887QR  </v>
      </c>
      <c r="BE2417">
        <v>1</v>
      </c>
      <c r="BJ2417">
        <v>2875</v>
      </c>
      <c r="BK2417">
        <v>-325</v>
      </c>
      <c r="BL2417" t="s">
        <v>163</v>
      </c>
      <c r="BM2417">
        <v>1</v>
      </c>
      <c r="BN2417">
        <v>1</v>
      </c>
      <c r="BO2417">
        <v>1</v>
      </c>
      <c r="BP2417">
        <v>0</v>
      </c>
      <c r="BS2417">
        <v>0.08</v>
      </c>
      <c r="BT2417">
        <v>0</v>
      </c>
      <c r="BU2417">
        <v>0</v>
      </c>
      <c r="CE2417" t="str">
        <f t="shared" si="871"/>
        <v>19:32:00.903</v>
      </c>
      <c r="CF2417">
        <v>902954694</v>
      </c>
      <c r="CS2417">
        <v>0</v>
      </c>
      <c r="CT2417">
        <v>2</v>
      </c>
      <c r="CU2417">
        <v>0</v>
      </c>
      <c r="CV2417">
        <v>2</v>
      </c>
      <c r="CW2417">
        <v>0</v>
      </c>
      <c r="CX2417">
        <v>5</v>
      </c>
      <c r="CY2417">
        <v>7</v>
      </c>
      <c r="CZ2417" t="s">
        <v>131</v>
      </c>
      <c r="DA2417">
        <v>300</v>
      </c>
      <c r="DB2417">
        <v>0</v>
      </c>
      <c r="DC2417" t="s">
        <v>176</v>
      </c>
      <c r="DD2417" t="s">
        <v>177</v>
      </c>
      <c r="DG2417">
        <v>5411667</v>
      </c>
      <c r="DI2417">
        <v>1</v>
      </c>
      <c r="DJ2417">
        <v>0</v>
      </c>
      <c r="DK2417">
        <v>1</v>
      </c>
      <c r="DL2417">
        <v>0</v>
      </c>
      <c r="DM2417">
        <v>0</v>
      </c>
      <c r="DN2417">
        <v>1</v>
      </c>
      <c r="DO2417">
        <v>0</v>
      </c>
      <c r="DP2417">
        <v>0</v>
      </c>
      <c r="DQ2417">
        <v>0</v>
      </c>
      <c r="DR2417">
        <v>0</v>
      </c>
      <c r="DS2417">
        <v>0</v>
      </c>
    </row>
    <row r="2418" spans="1:123" x14ac:dyDescent="0.3">
      <c r="A2418" t="str">
        <f>"10/04/2022 19:32:01.316"</f>
        <v>10/04/2022 19:32:01.316</v>
      </c>
      <c r="C2418" t="str">
        <f t="shared" si="867"/>
        <v>FFDDD3C0</v>
      </c>
      <c r="D2418" t="s">
        <v>147</v>
      </c>
      <c r="E2418">
        <v>3</v>
      </c>
      <c r="H2418">
        <v>166</v>
      </c>
      <c r="I2418" t="s">
        <v>144</v>
      </c>
      <c r="J2418" t="s">
        <v>148</v>
      </c>
      <c r="K2418">
        <v>0</v>
      </c>
      <c r="L2418">
        <v>3</v>
      </c>
      <c r="M2418">
        <v>0</v>
      </c>
      <c r="N2418">
        <v>2</v>
      </c>
      <c r="O2418">
        <v>0</v>
      </c>
      <c r="P2418">
        <v>1</v>
      </c>
      <c r="Q2418">
        <v>0</v>
      </c>
      <c r="S2418" t="str">
        <f t="shared" si="870"/>
        <v>19:32:00.000</v>
      </c>
      <c r="T2418" t="str">
        <f t="shared" si="870"/>
        <v>19:32:00.000</v>
      </c>
      <c r="U2418" t="str">
        <f t="shared" si="853"/>
        <v>AC3944</v>
      </c>
      <c r="V2418">
        <v>0</v>
      </c>
      <c r="W2418">
        <v>0</v>
      </c>
      <c r="X2418">
        <v>2</v>
      </c>
      <c r="Y2418">
        <v>0</v>
      </c>
      <c r="AA2418">
        <v>1</v>
      </c>
      <c r="AB2418">
        <v>8</v>
      </c>
      <c r="AC2418">
        <v>3</v>
      </c>
      <c r="AD2418">
        <v>0</v>
      </c>
      <c r="AE2418">
        <v>9</v>
      </c>
      <c r="AF2418" t="s">
        <v>138</v>
      </c>
      <c r="AG2418">
        <v>0</v>
      </c>
      <c r="AH2418">
        <v>3</v>
      </c>
      <c r="AI2418">
        <v>1</v>
      </c>
      <c r="AJ2418">
        <v>0</v>
      </c>
      <c r="AK2418" t="s">
        <v>834</v>
      </c>
      <c r="AL2418">
        <v>32.758892000000003</v>
      </c>
      <c r="AM2418" t="s">
        <v>835</v>
      </c>
      <c r="AN2418">
        <v>-116.79183500000001</v>
      </c>
      <c r="AO2418">
        <v>25</v>
      </c>
      <c r="AP2418">
        <v>3200</v>
      </c>
      <c r="AQ2418" t="s">
        <v>129</v>
      </c>
      <c r="AR2418">
        <v>109</v>
      </c>
      <c r="AS2418">
        <v>-66</v>
      </c>
      <c r="AT2418">
        <v>448</v>
      </c>
      <c r="BB2418">
        <v>1200</v>
      </c>
      <c r="BC2418">
        <v>1</v>
      </c>
      <c r="BD2418" t="str">
        <f t="shared" si="854"/>
        <v xml:space="preserve">N887QR  </v>
      </c>
      <c r="BE2418">
        <v>1</v>
      </c>
      <c r="BJ2418">
        <v>2875</v>
      </c>
      <c r="BK2418">
        <v>-325</v>
      </c>
      <c r="BL2418" t="s">
        <v>163</v>
      </c>
      <c r="BM2418">
        <v>1</v>
      </c>
      <c r="BN2418">
        <v>1</v>
      </c>
      <c r="BO2418">
        <v>1</v>
      </c>
      <c r="BP2418">
        <v>0</v>
      </c>
      <c r="BS2418">
        <v>0.08</v>
      </c>
      <c r="BT2418">
        <v>0</v>
      </c>
      <c r="BU2418">
        <v>0</v>
      </c>
      <c r="CE2418" t="str">
        <f t="shared" si="871"/>
        <v>19:32:00.903</v>
      </c>
      <c r="CF2418">
        <v>902954694</v>
      </c>
      <c r="CS2418">
        <v>0</v>
      </c>
      <c r="CT2418">
        <v>2</v>
      </c>
      <c r="CU2418">
        <v>0</v>
      </c>
      <c r="CV2418">
        <v>2</v>
      </c>
      <c r="CW2418">
        <v>0</v>
      </c>
      <c r="CX2418">
        <v>5</v>
      </c>
      <c r="CY2418">
        <v>7</v>
      </c>
      <c r="CZ2418" t="s">
        <v>131</v>
      </c>
      <c r="DA2418">
        <v>300</v>
      </c>
      <c r="DB2418">
        <v>0</v>
      </c>
      <c r="DC2418" t="s">
        <v>176</v>
      </c>
      <c r="DD2418" t="s">
        <v>177</v>
      </c>
      <c r="DG2418">
        <v>5411667</v>
      </c>
      <c r="DI2418">
        <v>1</v>
      </c>
      <c r="DJ2418">
        <v>0</v>
      </c>
      <c r="DK2418">
        <v>0</v>
      </c>
      <c r="DL2418">
        <v>0</v>
      </c>
      <c r="DM2418">
        <v>0</v>
      </c>
      <c r="DN2418">
        <v>1</v>
      </c>
      <c r="DO2418">
        <v>0</v>
      </c>
      <c r="DP2418">
        <v>0</v>
      </c>
      <c r="DQ2418">
        <v>0</v>
      </c>
      <c r="DR2418">
        <v>0</v>
      </c>
      <c r="DS2418">
        <v>0</v>
      </c>
    </row>
    <row r="2419" spans="1:123" x14ac:dyDescent="0.3">
      <c r="A2419" t="str">
        <f>"10/04/2022 19:32:01.316"</f>
        <v>10/04/2022 19:32:01.316</v>
      </c>
      <c r="C2419" t="str">
        <f t="shared" si="867"/>
        <v>FFDDD3C0</v>
      </c>
      <c r="D2419" t="s">
        <v>134</v>
      </c>
      <c r="E2419">
        <v>15</v>
      </c>
      <c r="J2419" t="s">
        <v>135</v>
      </c>
      <c r="K2419">
        <v>0</v>
      </c>
      <c r="L2419">
        <v>3</v>
      </c>
      <c r="M2419">
        <v>0</v>
      </c>
      <c r="N2419">
        <v>2</v>
      </c>
      <c r="O2419">
        <v>0</v>
      </c>
      <c r="P2419">
        <v>1</v>
      </c>
      <c r="Q2419">
        <v>0</v>
      </c>
      <c r="S2419" t="str">
        <f t="shared" si="870"/>
        <v>19:32:00.000</v>
      </c>
      <c r="T2419" t="str">
        <f t="shared" si="870"/>
        <v>19:32:00.000</v>
      </c>
      <c r="U2419" t="str">
        <f t="shared" si="853"/>
        <v>AC3944</v>
      </c>
      <c r="V2419">
        <v>0</v>
      </c>
      <c r="W2419">
        <v>0</v>
      </c>
      <c r="X2419">
        <v>2</v>
      </c>
      <c r="Y2419">
        <v>0</v>
      </c>
      <c r="AA2419">
        <v>1</v>
      </c>
      <c r="AB2419">
        <v>8</v>
      </c>
      <c r="AC2419">
        <v>3</v>
      </c>
      <c r="AD2419">
        <v>0</v>
      </c>
      <c r="AE2419">
        <v>9</v>
      </c>
      <c r="AF2419" t="s">
        <v>138</v>
      </c>
      <c r="AG2419">
        <v>0</v>
      </c>
      <c r="AH2419">
        <v>3</v>
      </c>
      <c r="AI2419">
        <v>1</v>
      </c>
      <c r="AJ2419">
        <v>0</v>
      </c>
      <c r="AK2419" t="s">
        <v>834</v>
      </c>
      <c r="AL2419">
        <v>32.758892000000003</v>
      </c>
      <c r="AM2419" t="s">
        <v>835</v>
      </c>
      <c r="AN2419">
        <v>-116.79183500000001</v>
      </c>
      <c r="AO2419">
        <v>25</v>
      </c>
      <c r="AP2419">
        <v>3200</v>
      </c>
      <c r="AQ2419" t="s">
        <v>129</v>
      </c>
      <c r="AR2419">
        <v>109</v>
      </c>
      <c r="AS2419">
        <v>-66</v>
      </c>
      <c r="AT2419">
        <v>448</v>
      </c>
      <c r="BB2419">
        <v>1200</v>
      </c>
      <c r="BC2419">
        <v>1</v>
      </c>
      <c r="BD2419" t="str">
        <f t="shared" si="854"/>
        <v xml:space="preserve">N887QR  </v>
      </c>
      <c r="BE2419">
        <v>1</v>
      </c>
      <c r="BJ2419">
        <v>2875</v>
      </c>
      <c r="BK2419">
        <v>-325</v>
      </c>
      <c r="BL2419" t="s">
        <v>163</v>
      </c>
      <c r="BM2419">
        <v>1</v>
      </c>
      <c r="BN2419">
        <v>1</v>
      </c>
      <c r="BO2419">
        <v>1</v>
      </c>
      <c r="BP2419">
        <v>0</v>
      </c>
      <c r="BS2419">
        <v>0.08</v>
      </c>
      <c r="BT2419">
        <v>0</v>
      </c>
      <c r="BU2419">
        <v>0</v>
      </c>
      <c r="CE2419" t="str">
        <f t="shared" si="871"/>
        <v>19:32:00.903</v>
      </c>
      <c r="CF2419">
        <v>902954694</v>
      </c>
      <c r="CS2419">
        <v>0</v>
      </c>
      <c r="CT2419">
        <v>2</v>
      </c>
      <c r="CU2419">
        <v>0</v>
      </c>
      <c r="CV2419">
        <v>2</v>
      </c>
      <c r="CW2419">
        <v>0</v>
      </c>
      <c r="CX2419">
        <v>5</v>
      </c>
      <c r="CY2419">
        <v>7</v>
      </c>
      <c r="CZ2419" t="s">
        <v>131</v>
      </c>
      <c r="DA2419">
        <v>300</v>
      </c>
      <c r="DB2419">
        <v>0</v>
      </c>
      <c r="DC2419" t="s">
        <v>176</v>
      </c>
      <c r="DD2419" t="s">
        <v>177</v>
      </c>
      <c r="DG2419">
        <v>5411667</v>
      </c>
      <c r="DI2419">
        <v>1</v>
      </c>
      <c r="DJ2419">
        <v>0</v>
      </c>
      <c r="DK2419">
        <v>1</v>
      </c>
      <c r="DL2419">
        <v>0</v>
      </c>
      <c r="DM2419">
        <v>0</v>
      </c>
      <c r="DN2419">
        <v>1</v>
      </c>
      <c r="DO2419">
        <v>0</v>
      </c>
      <c r="DP2419">
        <v>0</v>
      </c>
      <c r="DQ2419">
        <v>0</v>
      </c>
      <c r="DR2419">
        <v>0</v>
      </c>
      <c r="DS2419">
        <v>0</v>
      </c>
    </row>
    <row r="2420" spans="1:123" x14ac:dyDescent="0.3">
      <c r="A2420" t="str">
        <f>"10/04/2022 19:32:01.316"</f>
        <v>10/04/2022 19:32:01.316</v>
      </c>
      <c r="C2420" t="str">
        <f t="shared" si="867"/>
        <v>FFDDD3C0</v>
      </c>
      <c r="D2420" t="s">
        <v>143</v>
      </c>
      <c r="E2420">
        <v>20</v>
      </c>
      <c r="F2420">
        <v>1020</v>
      </c>
      <c r="G2420" t="s">
        <v>144</v>
      </c>
      <c r="J2420" t="s">
        <v>145</v>
      </c>
      <c r="K2420">
        <v>0</v>
      </c>
      <c r="L2420">
        <v>3</v>
      </c>
      <c r="M2420">
        <v>0</v>
      </c>
      <c r="N2420">
        <v>2</v>
      </c>
      <c r="O2420">
        <v>0</v>
      </c>
      <c r="P2420">
        <v>1</v>
      </c>
      <c r="Q2420">
        <v>0</v>
      </c>
      <c r="S2420" t="str">
        <f t="shared" si="870"/>
        <v>19:32:00.000</v>
      </c>
      <c r="T2420" t="str">
        <f t="shared" si="870"/>
        <v>19:32:00.000</v>
      </c>
      <c r="U2420" t="str">
        <f t="shared" si="853"/>
        <v>AC3944</v>
      </c>
      <c r="V2420">
        <v>0</v>
      </c>
      <c r="W2420">
        <v>0</v>
      </c>
      <c r="X2420">
        <v>2</v>
      </c>
      <c r="Y2420">
        <v>0</v>
      </c>
      <c r="AA2420">
        <v>1</v>
      </c>
      <c r="AB2420">
        <v>8</v>
      </c>
      <c r="AC2420">
        <v>3</v>
      </c>
      <c r="AD2420">
        <v>0</v>
      </c>
      <c r="AE2420">
        <v>9</v>
      </c>
      <c r="AF2420" t="s">
        <v>138</v>
      </c>
      <c r="AG2420">
        <v>0</v>
      </c>
      <c r="AH2420">
        <v>3</v>
      </c>
      <c r="AI2420">
        <v>1</v>
      </c>
      <c r="AJ2420">
        <v>0</v>
      </c>
      <c r="AK2420" t="s">
        <v>834</v>
      </c>
      <c r="AL2420">
        <v>32.758892000000003</v>
      </c>
      <c r="AM2420" t="s">
        <v>835</v>
      </c>
      <c r="AN2420">
        <v>-116.79183500000001</v>
      </c>
      <c r="AO2420">
        <v>25</v>
      </c>
      <c r="AP2420">
        <v>3200</v>
      </c>
      <c r="AQ2420" t="s">
        <v>129</v>
      </c>
      <c r="AR2420">
        <v>109</v>
      </c>
      <c r="AS2420">
        <v>-66</v>
      </c>
      <c r="AT2420">
        <v>448</v>
      </c>
      <c r="BB2420">
        <v>1200</v>
      </c>
      <c r="BC2420">
        <v>1</v>
      </c>
      <c r="BD2420" t="str">
        <f t="shared" si="854"/>
        <v xml:space="preserve">N887QR  </v>
      </c>
      <c r="BE2420">
        <v>1</v>
      </c>
      <c r="BJ2420">
        <v>2875</v>
      </c>
      <c r="BK2420">
        <v>-325</v>
      </c>
      <c r="BL2420" t="s">
        <v>163</v>
      </c>
      <c r="BM2420">
        <v>1</v>
      </c>
      <c r="BN2420">
        <v>1</v>
      </c>
      <c r="BO2420">
        <v>1</v>
      </c>
      <c r="BP2420">
        <v>0</v>
      </c>
      <c r="BS2420">
        <v>0.08</v>
      </c>
      <c r="BT2420">
        <v>0</v>
      </c>
      <c r="BU2420">
        <v>0</v>
      </c>
      <c r="CE2420" t="str">
        <f t="shared" si="871"/>
        <v>19:32:00.903</v>
      </c>
      <c r="CF2420">
        <v>902954694</v>
      </c>
      <c r="CS2420">
        <v>0</v>
      </c>
      <c r="CT2420">
        <v>2</v>
      </c>
      <c r="CU2420">
        <v>0</v>
      </c>
      <c r="CV2420">
        <v>2</v>
      </c>
      <c r="CW2420">
        <v>0</v>
      </c>
      <c r="CX2420">
        <v>5</v>
      </c>
      <c r="CY2420">
        <v>7</v>
      </c>
      <c r="CZ2420" t="s">
        <v>131</v>
      </c>
      <c r="DA2420">
        <v>300</v>
      </c>
      <c r="DB2420">
        <v>0</v>
      </c>
      <c r="DC2420" t="s">
        <v>176</v>
      </c>
      <c r="DD2420" t="s">
        <v>177</v>
      </c>
      <c r="DG2420">
        <v>5411667</v>
      </c>
      <c r="DI2420">
        <v>1</v>
      </c>
      <c r="DJ2420">
        <v>0</v>
      </c>
      <c r="DK2420">
        <v>1</v>
      </c>
      <c r="DL2420">
        <v>0</v>
      </c>
      <c r="DM2420">
        <v>0</v>
      </c>
      <c r="DN2420">
        <v>1</v>
      </c>
      <c r="DO2420">
        <v>0</v>
      </c>
      <c r="DP2420">
        <v>0</v>
      </c>
      <c r="DQ2420">
        <v>0</v>
      </c>
      <c r="DR2420">
        <v>0</v>
      </c>
      <c r="DS2420">
        <v>0</v>
      </c>
    </row>
    <row r="2421" spans="1:123" x14ac:dyDescent="0.3">
      <c r="A2421" t="str">
        <f>"10/04/2022 19:32:01.316"</f>
        <v>10/04/2022 19:32:01.316</v>
      </c>
      <c r="C2421" t="str">
        <f t="shared" si="867"/>
        <v>FFDDD3C0</v>
      </c>
      <c r="D2421" t="s">
        <v>136</v>
      </c>
      <c r="E2421">
        <v>8</v>
      </c>
      <c r="H2421">
        <v>225</v>
      </c>
      <c r="I2421" t="s">
        <v>137</v>
      </c>
      <c r="J2421" t="s">
        <v>138</v>
      </c>
      <c r="K2421">
        <v>0</v>
      </c>
      <c r="L2421">
        <v>3</v>
      </c>
      <c r="M2421">
        <v>0</v>
      </c>
      <c r="N2421">
        <v>2</v>
      </c>
      <c r="O2421">
        <v>0</v>
      </c>
      <c r="P2421">
        <v>1</v>
      </c>
      <c r="Q2421">
        <v>0</v>
      </c>
      <c r="S2421" t="str">
        <f t="shared" si="870"/>
        <v>19:32:00.000</v>
      </c>
      <c r="T2421" t="str">
        <f t="shared" si="870"/>
        <v>19:32:00.000</v>
      </c>
      <c r="U2421" t="str">
        <f t="shared" si="853"/>
        <v>AC3944</v>
      </c>
      <c r="V2421">
        <v>0</v>
      </c>
      <c r="W2421">
        <v>0</v>
      </c>
      <c r="X2421">
        <v>2</v>
      </c>
      <c r="Y2421">
        <v>0</v>
      </c>
      <c r="AA2421">
        <v>1</v>
      </c>
      <c r="AB2421">
        <v>8</v>
      </c>
      <c r="AC2421">
        <v>3</v>
      </c>
      <c r="AD2421">
        <v>0</v>
      </c>
      <c r="AE2421">
        <v>9</v>
      </c>
      <c r="AF2421" t="s">
        <v>138</v>
      </c>
      <c r="AG2421">
        <v>0</v>
      </c>
      <c r="AH2421">
        <v>3</v>
      </c>
      <c r="AI2421">
        <v>1</v>
      </c>
      <c r="AJ2421">
        <v>0</v>
      </c>
      <c r="AK2421" t="s">
        <v>834</v>
      </c>
      <c r="AL2421">
        <v>32.758892000000003</v>
      </c>
      <c r="AM2421" t="s">
        <v>835</v>
      </c>
      <c r="AN2421">
        <v>-116.79183500000001</v>
      </c>
      <c r="AO2421">
        <v>25</v>
      </c>
      <c r="AP2421">
        <v>3200</v>
      </c>
      <c r="AQ2421" t="s">
        <v>129</v>
      </c>
      <c r="AR2421">
        <v>109</v>
      </c>
      <c r="AS2421">
        <v>-66</v>
      </c>
      <c r="AT2421">
        <v>448</v>
      </c>
      <c r="BB2421">
        <v>1200</v>
      </c>
      <c r="BC2421">
        <v>1</v>
      </c>
      <c r="BD2421" t="str">
        <f t="shared" si="854"/>
        <v xml:space="preserve">N887QR  </v>
      </c>
      <c r="BE2421">
        <v>1</v>
      </c>
      <c r="BJ2421">
        <v>2875</v>
      </c>
      <c r="BK2421">
        <v>-325</v>
      </c>
      <c r="BL2421" t="s">
        <v>163</v>
      </c>
      <c r="BM2421">
        <v>1</v>
      </c>
      <c r="BN2421">
        <v>1</v>
      </c>
      <c r="BO2421">
        <v>1</v>
      </c>
      <c r="BP2421">
        <v>0</v>
      </c>
      <c r="BS2421">
        <v>0.08</v>
      </c>
      <c r="BT2421">
        <v>0</v>
      </c>
      <c r="BU2421">
        <v>0</v>
      </c>
      <c r="CE2421" t="str">
        <f t="shared" si="871"/>
        <v>19:32:00.903</v>
      </c>
      <c r="CF2421">
        <v>902954694</v>
      </c>
      <c r="CS2421">
        <v>0</v>
      </c>
      <c r="CT2421">
        <v>2</v>
      </c>
      <c r="CU2421">
        <v>0</v>
      </c>
      <c r="CV2421">
        <v>2</v>
      </c>
      <c r="CW2421">
        <v>0</v>
      </c>
      <c r="CX2421">
        <v>5</v>
      </c>
      <c r="CY2421">
        <v>7</v>
      </c>
      <c r="CZ2421" t="s">
        <v>131</v>
      </c>
      <c r="DA2421">
        <v>300</v>
      </c>
      <c r="DB2421">
        <v>0</v>
      </c>
      <c r="DC2421" t="s">
        <v>176</v>
      </c>
      <c r="DD2421" t="s">
        <v>177</v>
      </c>
      <c r="DG2421">
        <v>5411667</v>
      </c>
      <c r="DI2421">
        <v>1</v>
      </c>
      <c r="DJ2421">
        <v>0</v>
      </c>
      <c r="DK2421">
        <v>1</v>
      </c>
      <c r="DL2421">
        <v>0</v>
      </c>
      <c r="DM2421">
        <v>0</v>
      </c>
      <c r="DN2421">
        <v>1</v>
      </c>
      <c r="DO2421">
        <v>0</v>
      </c>
      <c r="DP2421">
        <v>0</v>
      </c>
      <c r="DQ2421">
        <v>0</v>
      </c>
      <c r="DR2421">
        <v>0</v>
      </c>
      <c r="DS2421">
        <v>0</v>
      </c>
    </row>
    <row r="2422" spans="1:123" x14ac:dyDescent="0.3">
      <c r="A2422" t="str">
        <f>"10/04/2022 19:32:02.391"</f>
        <v>10/04/2022 19:32:02.391</v>
      </c>
      <c r="C2422" t="str">
        <f t="shared" si="867"/>
        <v>FFDDD3C0</v>
      </c>
      <c r="D2422" t="s">
        <v>141</v>
      </c>
      <c r="E2422">
        <v>4</v>
      </c>
      <c r="H2422">
        <v>4</v>
      </c>
      <c r="I2422" t="s">
        <v>142</v>
      </c>
      <c r="J2422" t="s">
        <v>138</v>
      </c>
      <c r="K2422">
        <v>0</v>
      </c>
      <c r="L2422">
        <v>3</v>
      </c>
      <c r="M2422">
        <v>0</v>
      </c>
      <c r="N2422">
        <v>2</v>
      </c>
      <c r="O2422">
        <v>0</v>
      </c>
      <c r="P2422">
        <v>1</v>
      </c>
      <c r="Q2422">
        <v>0</v>
      </c>
      <c r="S2422" t="str">
        <f t="shared" ref="S2422:T2428" si="872">"19:32:02.000"</f>
        <v>19:32:02.000</v>
      </c>
      <c r="T2422" t="str">
        <f t="shared" si="872"/>
        <v>19:32:02.000</v>
      </c>
      <c r="U2422" t="str">
        <f t="shared" si="853"/>
        <v>AC3944</v>
      </c>
      <c r="V2422">
        <v>0</v>
      </c>
      <c r="W2422">
        <v>0</v>
      </c>
      <c r="X2422">
        <v>2</v>
      </c>
      <c r="Y2422">
        <v>0</v>
      </c>
      <c r="AA2422">
        <v>1</v>
      </c>
      <c r="AB2422">
        <v>8</v>
      </c>
      <c r="AC2422">
        <v>3</v>
      </c>
      <c r="AD2422">
        <v>0</v>
      </c>
      <c r="AE2422">
        <v>9</v>
      </c>
      <c r="AF2422" t="s">
        <v>138</v>
      </c>
      <c r="AG2422">
        <v>0</v>
      </c>
      <c r="AH2422">
        <v>3</v>
      </c>
      <c r="AI2422">
        <v>1</v>
      </c>
      <c r="AJ2422">
        <v>0</v>
      </c>
      <c r="AK2422" t="s">
        <v>836</v>
      </c>
      <c r="AL2422">
        <v>32.758591000000003</v>
      </c>
      <c r="AM2422" t="s">
        <v>837</v>
      </c>
      <c r="AN2422">
        <v>-116.791234</v>
      </c>
      <c r="AO2422">
        <v>25</v>
      </c>
      <c r="AP2422">
        <v>3200</v>
      </c>
      <c r="AQ2422" t="s">
        <v>129</v>
      </c>
      <c r="AR2422">
        <v>108</v>
      </c>
      <c r="AS2422">
        <v>-67</v>
      </c>
      <c r="AT2422">
        <v>448</v>
      </c>
      <c r="BB2422">
        <v>1200</v>
      </c>
      <c r="BC2422">
        <v>1</v>
      </c>
      <c r="BD2422" t="str">
        <f t="shared" si="854"/>
        <v xml:space="preserve">N887QR  </v>
      </c>
      <c r="BE2422">
        <v>1</v>
      </c>
      <c r="BJ2422">
        <v>2925</v>
      </c>
      <c r="BK2422">
        <v>-275</v>
      </c>
      <c r="BL2422" t="s">
        <v>163</v>
      </c>
      <c r="BM2422">
        <v>1</v>
      </c>
      <c r="BN2422">
        <v>1</v>
      </c>
      <c r="BO2422">
        <v>1</v>
      </c>
      <c r="BP2422">
        <v>0</v>
      </c>
      <c r="BS2422">
        <v>0</v>
      </c>
      <c r="BT2422">
        <v>0</v>
      </c>
      <c r="BU2422">
        <v>0</v>
      </c>
      <c r="CE2422" t="str">
        <f t="shared" ref="CE2422:CE2428" si="873">"19:32:02.082"</f>
        <v>19:32:02.082</v>
      </c>
      <c r="CF2422">
        <v>82458643</v>
      </c>
      <c r="CS2422">
        <v>0</v>
      </c>
      <c r="CT2422">
        <v>2</v>
      </c>
      <c r="CU2422">
        <v>0</v>
      </c>
      <c r="CV2422">
        <v>2</v>
      </c>
      <c r="CW2422">
        <v>0</v>
      </c>
      <c r="CX2422">
        <v>5</v>
      </c>
      <c r="CY2422">
        <v>7</v>
      </c>
      <c r="CZ2422" t="s">
        <v>131</v>
      </c>
      <c r="DA2422">
        <v>300</v>
      </c>
      <c r="DB2422">
        <v>0</v>
      </c>
      <c r="DC2422" t="s">
        <v>176</v>
      </c>
      <c r="DD2422" t="s">
        <v>177</v>
      </c>
      <c r="DG2422">
        <v>5411844</v>
      </c>
      <c r="DI2422">
        <v>1</v>
      </c>
      <c r="DJ2422">
        <v>0</v>
      </c>
      <c r="DK2422">
        <v>0</v>
      </c>
      <c r="DL2422">
        <v>0</v>
      </c>
      <c r="DM2422">
        <v>0</v>
      </c>
      <c r="DN2422">
        <v>1</v>
      </c>
      <c r="DO2422">
        <v>0</v>
      </c>
      <c r="DP2422">
        <v>0</v>
      </c>
      <c r="DQ2422">
        <v>0</v>
      </c>
      <c r="DR2422">
        <v>0</v>
      </c>
      <c r="DS2422">
        <v>0</v>
      </c>
    </row>
    <row r="2423" spans="1:123" x14ac:dyDescent="0.3">
      <c r="A2423" t="str">
        <f>"10/04/2022 19:32:02.391"</f>
        <v>10/04/2022 19:32:02.391</v>
      </c>
      <c r="C2423" t="str">
        <f t="shared" si="867"/>
        <v>FFDDD3C0</v>
      </c>
      <c r="D2423" t="s">
        <v>141</v>
      </c>
      <c r="E2423">
        <v>3</v>
      </c>
      <c r="H2423">
        <v>3</v>
      </c>
      <c r="I2423" t="s">
        <v>146</v>
      </c>
      <c r="J2423" t="s">
        <v>138</v>
      </c>
      <c r="K2423">
        <v>0</v>
      </c>
      <c r="L2423">
        <v>3</v>
      </c>
      <c r="M2423">
        <v>0</v>
      </c>
      <c r="N2423">
        <v>2</v>
      </c>
      <c r="O2423">
        <v>0</v>
      </c>
      <c r="P2423">
        <v>1</v>
      </c>
      <c r="Q2423">
        <v>0</v>
      </c>
      <c r="S2423" t="str">
        <f t="shared" si="872"/>
        <v>19:32:02.000</v>
      </c>
      <c r="T2423" t="str">
        <f t="shared" si="872"/>
        <v>19:32:02.000</v>
      </c>
      <c r="U2423" t="str">
        <f t="shared" si="853"/>
        <v>AC3944</v>
      </c>
      <c r="V2423">
        <v>0</v>
      </c>
      <c r="W2423">
        <v>0</v>
      </c>
      <c r="X2423">
        <v>2</v>
      </c>
      <c r="Y2423">
        <v>0</v>
      </c>
      <c r="AA2423">
        <v>1</v>
      </c>
      <c r="AB2423">
        <v>8</v>
      </c>
      <c r="AC2423">
        <v>3</v>
      </c>
      <c r="AD2423">
        <v>0</v>
      </c>
      <c r="AE2423">
        <v>9</v>
      </c>
      <c r="AF2423" t="s">
        <v>138</v>
      </c>
      <c r="AG2423">
        <v>0</v>
      </c>
      <c r="AH2423">
        <v>3</v>
      </c>
      <c r="AI2423">
        <v>1</v>
      </c>
      <c r="AJ2423">
        <v>0</v>
      </c>
      <c r="AK2423" t="s">
        <v>836</v>
      </c>
      <c r="AL2423">
        <v>32.758591000000003</v>
      </c>
      <c r="AM2423" t="s">
        <v>837</v>
      </c>
      <c r="AN2423">
        <v>-116.791234</v>
      </c>
      <c r="AO2423">
        <v>25</v>
      </c>
      <c r="AP2423">
        <v>3200</v>
      </c>
      <c r="AQ2423" t="s">
        <v>129</v>
      </c>
      <c r="AR2423">
        <v>108</v>
      </c>
      <c r="AS2423">
        <v>-67</v>
      </c>
      <c r="AT2423">
        <v>448</v>
      </c>
      <c r="BB2423">
        <v>1200</v>
      </c>
      <c r="BC2423">
        <v>1</v>
      </c>
      <c r="BD2423" t="str">
        <f t="shared" si="854"/>
        <v xml:space="preserve">N887QR  </v>
      </c>
      <c r="BE2423">
        <v>1</v>
      </c>
      <c r="BJ2423">
        <v>2925</v>
      </c>
      <c r="BK2423">
        <v>-275</v>
      </c>
      <c r="BL2423" t="s">
        <v>163</v>
      </c>
      <c r="BM2423">
        <v>1</v>
      </c>
      <c r="BN2423">
        <v>1</v>
      </c>
      <c r="BO2423">
        <v>1</v>
      </c>
      <c r="BP2423">
        <v>0</v>
      </c>
      <c r="BS2423">
        <v>0</v>
      </c>
      <c r="BT2423">
        <v>0</v>
      </c>
      <c r="BU2423">
        <v>0</v>
      </c>
      <c r="CE2423" t="str">
        <f t="shared" si="873"/>
        <v>19:32:02.082</v>
      </c>
      <c r="CF2423">
        <v>82458643</v>
      </c>
      <c r="CS2423">
        <v>0</v>
      </c>
      <c r="CT2423">
        <v>2</v>
      </c>
      <c r="CU2423">
        <v>0</v>
      </c>
      <c r="CV2423">
        <v>2</v>
      </c>
      <c r="CW2423">
        <v>0</v>
      </c>
      <c r="CX2423">
        <v>5</v>
      </c>
      <c r="CY2423">
        <v>7</v>
      </c>
      <c r="CZ2423" t="s">
        <v>131</v>
      </c>
      <c r="DA2423">
        <v>300</v>
      </c>
      <c r="DB2423">
        <v>0</v>
      </c>
      <c r="DC2423" t="s">
        <v>176</v>
      </c>
      <c r="DD2423" t="s">
        <v>177</v>
      </c>
      <c r="DG2423">
        <v>5411844</v>
      </c>
      <c r="DI2423">
        <v>1</v>
      </c>
      <c r="DJ2423">
        <v>0</v>
      </c>
      <c r="DK2423">
        <v>0</v>
      </c>
      <c r="DL2423">
        <v>0</v>
      </c>
      <c r="DM2423">
        <v>0</v>
      </c>
      <c r="DN2423">
        <v>1</v>
      </c>
      <c r="DO2423">
        <v>0</v>
      </c>
      <c r="DP2423">
        <v>0</v>
      </c>
      <c r="DQ2423">
        <v>0</v>
      </c>
      <c r="DR2423">
        <v>0</v>
      </c>
      <c r="DS2423">
        <v>0</v>
      </c>
    </row>
    <row r="2424" spans="1:123" x14ac:dyDescent="0.3">
      <c r="A2424" t="str">
        <f>"10/04/2022 19:32:02.422"</f>
        <v>10/04/2022 19:32:02.422</v>
      </c>
      <c r="C2424" t="str">
        <f t="shared" si="867"/>
        <v>FFDDD3C0</v>
      </c>
      <c r="D2424" t="s">
        <v>147</v>
      </c>
      <c r="E2424">
        <v>3</v>
      </c>
      <c r="H2424">
        <v>166</v>
      </c>
      <c r="I2424" t="s">
        <v>144</v>
      </c>
      <c r="J2424" t="s">
        <v>148</v>
      </c>
      <c r="K2424">
        <v>0</v>
      </c>
      <c r="L2424">
        <v>3</v>
      </c>
      <c r="M2424">
        <v>0</v>
      </c>
      <c r="N2424">
        <v>2</v>
      </c>
      <c r="O2424">
        <v>0</v>
      </c>
      <c r="P2424">
        <v>1</v>
      </c>
      <c r="Q2424">
        <v>0</v>
      </c>
      <c r="S2424" t="str">
        <f t="shared" si="872"/>
        <v>19:32:02.000</v>
      </c>
      <c r="T2424" t="str">
        <f t="shared" si="872"/>
        <v>19:32:02.000</v>
      </c>
      <c r="U2424" t="str">
        <f t="shared" si="853"/>
        <v>AC3944</v>
      </c>
      <c r="V2424">
        <v>0</v>
      </c>
      <c r="W2424">
        <v>0</v>
      </c>
      <c r="X2424">
        <v>2</v>
      </c>
      <c r="Y2424">
        <v>0</v>
      </c>
      <c r="AA2424">
        <v>1</v>
      </c>
      <c r="AB2424">
        <v>8</v>
      </c>
      <c r="AC2424">
        <v>3</v>
      </c>
      <c r="AD2424">
        <v>0</v>
      </c>
      <c r="AE2424">
        <v>9</v>
      </c>
      <c r="AF2424" t="s">
        <v>138</v>
      </c>
      <c r="AG2424">
        <v>0</v>
      </c>
      <c r="AH2424">
        <v>3</v>
      </c>
      <c r="AI2424">
        <v>1</v>
      </c>
      <c r="AJ2424">
        <v>0</v>
      </c>
      <c r="AK2424" t="s">
        <v>836</v>
      </c>
      <c r="AL2424">
        <v>32.758591000000003</v>
      </c>
      <c r="AM2424" t="s">
        <v>837</v>
      </c>
      <c r="AN2424">
        <v>-116.791234</v>
      </c>
      <c r="AO2424">
        <v>25</v>
      </c>
      <c r="AP2424">
        <v>3200</v>
      </c>
      <c r="AQ2424" t="s">
        <v>129</v>
      </c>
      <c r="AR2424">
        <v>108</v>
      </c>
      <c r="AS2424">
        <v>-67</v>
      </c>
      <c r="AT2424">
        <v>448</v>
      </c>
      <c r="BB2424">
        <v>1200</v>
      </c>
      <c r="BC2424">
        <v>1</v>
      </c>
      <c r="BD2424" t="str">
        <f t="shared" si="854"/>
        <v xml:space="preserve">N887QR  </v>
      </c>
      <c r="BE2424">
        <v>1</v>
      </c>
      <c r="BJ2424">
        <v>2925</v>
      </c>
      <c r="BK2424">
        <v>-275</v>
      </c>
      <c r="BL2424" t="s">
        <v>163</v>
      </c>
      <c r="BM2424">
        <v>1</v>
      </c>
      <c r="BN2424">
        <v>1</v>
      </c>
      <c r="BO2424">
        <v>1</v>
      </c>
      <c r="BP2424">
        <v>0</v>
      </c>
      <c r="BS2424">
        <v>0</v>
      </c>
      <c r="BT2424">
        <v>0</v>
      </c>
      <c r="BU2424">
        <v>0</v>
      </c>
      <c r="CE2424" t="str">
        <f t="shared" si="873"/>
        <v>19:32:02.082</v>
      </c>
      <c r="CF2424">
        <v>82458643</v>
      </c>
      <c r="CS2424">
        <v>0</v>
      </c>
      <c r="CT2424">
        <v>2</v>
      </c>
      <c r="CU2424">
        <v>0</v>
      </c>
      <c r="CV2424">
        <v>2</v>
      </c>
      <c r="CW2424">
        <v>0</v>
      </c>
      <c r="CX2424">
        <v>5</v>
      </c>
      <c r="CY2424">
        <v>7</v>
      </c>
      <c r="CZ2424" t="s">
        <v>131</v>
      </c>
      <c r="DA2424">
        <v>300</v>
      </c>
      <c r="DB2424">
        <v>0</v>
      </c>
      <c r="DC2424" t="s">
        <v>176</v>
      </c>
      <c r="DD2424" t="s">
        <v>177</v>
      </c>
      <c r="DG2424">
        <v>5411844</v>
      </c>
      <c r="DI2424">
        <v>1</v>
      </c>
      <c r="DJ2424">
        <v>0</v>
      </c>
      <c r="DK2424">
        <v>1</v>
      </c>
      <c r="DL2424">
        <v>0</v>
      </c>
      <c r="DM2424">
        <v>0</v>
      </c>
      <c r="DN2424">
        <v>1</v>
      </c>
      <c r="DO2424">
        <v>0</v>
      </c>
      <c r="DP2424">
        <v>0</v>
      </c>
      <c r="DQ2424">
        <v>0</v>
      </c>
      <c r="DR2424">
        <v>0</v>
      </c>
      <c r="DS2424">
        <v>0</v>
      </c>
    </row>
    <row r="2425" spans="1:123" x14ac:dyDescent="0.3">
      <c r="A2425" t="str">
        <f>"10/04/2022 19:32:02.422"</f>
        <v>10/04/2022 19:32:02.422</v>
      </c>
      <c r="C2425" t="str">
        <f t="shared" si="867"/>
        <v>FFDDD3C0</v>
      </c>
      <c r="D2425" t="s">
        <v>143</v>
      </c>
      <c r="E2425">
        <v>20</v>
      </c>
      <c r="F2425">
        <v>1020</v>
      </c>
      <c r="G2425" t="s">
        <v>144</v>
      </c>
      <c r="J2425" t="s">
        <v>145</v>
      </c>
      <c r="K2425">
        <v>0</v>
      </c>
      <c r="L2425">
        <v>3</v>
      </c>
      <c r="M2425">
        <v>0</v>
      </c>
      <c r="N2425">
        <v>2</v>
      </c>
      <c r="O2425">
        <v>0</v>
      </c>
      <c r="P2425">
        <v>1</v>
      </c>
      <c r="Q2425">
        <v>0</v>
      </c>
      <c r="S2425" t="str">
        <f t="shared" si="872"/>
        <v>19:32:02.000</v>
      </c>
      <c r="T2425" t="str">
        <f t="shared" si="872"/>
        <v>19:32:02.000</v>
      </c>
      <c r="U2425" t="str">
        <f t="shared" si="853"/>
        <v>AC3944</v>
      </c>
      <c r="V2425">
        <v>0</v>
      </c>
      <c r="W2425">
        <v>0</v>
      </c>
      <c r="X2425">
        <v>2</v>
      </c>
      <c r="Y2425">
        <v>0</v>
      </c>
      <c r="AA2425">
        <v>1</v>
      </c>
      <c r="AB2425">
        <v>8</v>
      </c>
      <c r="AC2425">
        <v>3</v>
      </c>
      <c r="AD2425">
        <v>0</v>
      </c>
      <c r="AE2425">
        <v>9</v>
      </c>
      <c r="AF2425" t="s">
        <v>138</v>
      </c>
      <c r="AG2425">
        <v>0</v>
      </c>
      <c r="AH2425">
        <v>3</v>
      </c>
      <c r="AI2425">
        <v>1</v>
      </c>
      <c r="AJ2425">
        <v>0</v>
      </c>
      <c r="AK2425" t="s">
        <v>836</v>
      </c>
      <c r="AL2425">
        <v>32.758591000000003</v>
      </c>
      <c r="AM2425" t="s">
        <v>837</v>
      </c>
      <c r="AN2425">
        <v>-116.791234</v>
      </c>
      <c r="AO2425">
        <v>25</v>
      </c>
      <c r="AP2425">
        <v>3200</v>
      </c>
      <c r="AQ2425" t="s">
        <v>129</v>
      </c>
      <c r="AR2425">
        <v>108</v>
      </c>
      <c r="AS2425">
        <v>-67</v>
      </c>
      <c r="AT2425">
        <v>448</v>
      </c>
      <c r="BB2425">
        <v>1200</v>
      </c>
      <c r="BC2425">
        <v>1</v>
      </c>
      <c r="BD2425" t="str">
        <f t="shared" si="854"/>
        <v xml:space="preserve">N887QR  </v>
      </c>
      <c r="BE2425">
        <v>1</v>
      </c>
      <c r="BJ2425">
        <v>2925</v>
      </c>
      <c r="BK2425">
        <v>-275</v>
      </c>
      <c r="BL2425" t="s">
        <v>163</v>
      </c>
      <c r="BM2425">
        <v>1</v>
      </c>
      <c r="BN2425">
        <v>1</v>
      </c>
      <c r="BO2425">
        <v>1</v>
      </c>
      <c r="BP2425">
        <v>0</v>
      </c>
      <c r="BS2425">
        <v>0</v>
      </c>
      <c r="BT2425">
        <v>0</v>
      </c>
      <c r="BU2425">
        <v>0</v>
      </c>
      <c r="CE2425" t="str">
        <f t="shared" si="873"/>
        <v>19:32:02.082</v>
      </c>
      <c r="CF2425">
        <v>82458643</v>
      </c>
      <c r="CS2425">
        <v>0</v>
      </c>
      <c r="CT2425">
        <v>2</v>
      </c>
      <c r="CU2425">
        <v>0</v>
      </c>
      <c r="CV2425">
        <v>2</v>
      </c>
      <c r="CW2425">
        <v>0</v>
      </c>
      <c r="CX2425">
        <v>5</v>
      </c>
      <c r="CY2425">
        <v>7</v>
      </c>
      <c r="CZ2425" t="s">
        <v>131</v>
      </c>
      <c r="DA2425">
        <v>300</v>
      </c>
      <c r="DB2425">
        <v>0</v>
      </c>
      <c r="DC2425" t="s">
        <v>176</v>
      </c>
      <c r="DD2425" t="s">
        <v>177</v>
      </c>
      <c r="DG2425">
        <v>5411844</v>
      </c>
      <c r="DI2425">
        <v>1</v>
      </c>
      <c r="DJ2425">
        <v>0</v>
      </c>
      <c r="DK2425">
        <v>1</v>
      </c>
      <c r="DL2425">
        <v>0</v>
      </c>
      <c r="DM2425">
        <v>0</v>
      </c>
      <c r="DN2425">
        <v>1</v>
      </c>
      <c r="DO2425">
        <v>0</v>
      </c>
      <c r="DP2425">
        <v>0</v>
      </c>
      <c r="DQ2425">
        <v>0</v>
      </c>
      <c r="DR2425">
        <v>0</v>
      </c>
      <c r="DS2425">
        <v>0</v>
      </c>
    </row>
    <row r="2426" spans="1:123" x14ac:dyDescent="0.3">
      <c r="A2426" t="str">
        <f>"10/04/2022 19:32:02.422"</f>
        <v>10/04/2022 19:32:02.422</v>
      </c>
      <c r="C2426" t="str">
        <f t="shared" si="867"/>
        <v>FFDDD3C0</v>
      </c>
      <c r="D2426" t="s">
        <v>134</v>
      </c>
      <c r="E2426">
        <v>15</v>
      </c>
      <c r="J2426" t="s">
        <v>135</v>
      </c>
      <c r="K2426">
        <v>0</v>
      </c>
      <c r="L2426">
        <v>3</v>
      </c>
      <c r="M2426">
        <v>0</v>
      </c>
      <c r="N2426">
        <v>2</v>
      </c>
      <c r="O2426">
        <v>0</v>
      </c>
      <c r="P2426">
        <v>1</v>
      </c>
      <c r="Q2426">
        <v>0</v>
      </c>
      <c r="S2426" t="str">
        <f t="shared" si="872"/>
        <v>19:32:02.000</v>
      </c>
      <c r="T2426" t="str">
        <f t="shared" si="872"/>
        <v>19:32:02.000</v>
      </c>
      <c r="U2426" t="str">
        <f t="shared" si="853"/>
        <v>AC3944</v>
      </c>
      <c r="V2426">
        <v>0</v>
      </c>
      <c r="W2426">
        <v>0</v>
      </c>
      <c r="X2426">
        <v>2</v>
      </c>
      <c r="Y2426">
        <v>0</v>
      </c>
      <c r="AA2426">
        <v>1</v>
      </c>
      <c r="AB2426">
        <v>8</v>
      </c>
      <c r="AC2426">
        <v>3</v>
      </c>
      <c r="AD2426">
        <v>0</v>
      </c>
      <c r="AE2426">
        <v>9</v>
      </c>
      <c r="AF2426" t="s">
        <v>138</v>
      </c>
      <c r="AG2426">
        <v>0</v>
      </c>
      <c r="AH2426">
        <v>3</v>
      </c>
      <c r="AI2426">
        <v>1</v>
      </c>
      <c r="AJ2426">
        <v>0</v>
      </c>
      <c r="AK2426" t="s">
        <v>836</v>
      </c>
      <c r="AL2426">
        <v>32.758591000000003</v>
      </c>
      <c r="AM2426" t="s">
        <v>837</v>
      </c>
      <c r="AN2426">
        <v>-116.791234</v>
      </c>
      <c r="AO2426">
        <v>25</v>
      </c>
      <c r="AP2426">
        <v>3200</v>
      </c>
      <c r="AQ2426" t="s">
        <v>129</v>
      </c>
      <c r="AR2426">
        <v>108</v>
      </c>
      <c r="AS2426">
        <v>-67</v>
      </c>
      <c r="AT2426">
        <v>448</v>
      </c>
      <c r="BB2426">
        <v>1200</v>
      </c>
      <c r="BC2426">
        <v>1</v>
      </c>
      <c r="BD2426" t="str">
        <f t="shared" si="854"/>
        <v xml:space="preserve">N887QR  </v>
      </c>
      <c r="BE2426">
        <v>1</v>
      </c>
      <c r="BJ2426">
        <v>2925</v>
      </c>
      <c r="BK2426">
        <v>-275</v>
      </c>
      <c r="BL2426" t="s">
        <v>163</v>
      </c>
      <c r="BM2426">
        <v>1</v>
      </c>
      <c r="BN2426">
        <v>1</v>
      </c>
      <c r="BO2426">
        <v>1</v>
      </c>
      <c r="BP2426">
        <v>0</v>
      </c>
      <c r="BS2426">
        <v>0</v>
      </c>
      <c r="BT2426">
        <v>0</v>
      </c>
      <c r="BU2426">
        <v>0</v>
      </c>
      <c r="CE2426" t="str">
        <f t="shared" si="873"/>
        <v>19:32:02.082</v>
      </c>
      <c r="CF2426">
        <v>82458643</v>
      </c>
      <c r="CS2426">
        <v>0</v>
      </c>
      <c r="CT2426">
        <v>2</v>
      </c>
      <c r="CU2426">
        <v>0</v>
      </c>
      <c r="CV2426">
        <v>2</v>
      </c>
      <c r="CW2426">
        <v>0</v>
      </c>
      <c r="CX2426">
        <v>5</v>
      </c>
      <c r="CY2426">
        <v>7</v>
      </c>
      <c r="CZ2426" t="s">
        <v>131</v>
      </c>
      <c r="DA2426">
        <v>300</v>
      </c>
      <c r="DB2426">
        <v>0</v>
      </c>
      <c r="DC2426" t="s">
        <v>176</v>
      </c>
      <c r="DD2426" t="s">
        <v>177</v>
      </c>
      <c r="DG2426">
        <v>5411844</v>
      </c>
      <c r="DI2426">
        <v>1</v>
      </c>
      <c r="DJ2426">
        <v>0</v>
      </c>
      <c r="DK2426">
        <v>1</v>
      </c>
      <c r="DL2426">
        <v>0</v>
      </c>
      <c r="DM2426">
        <v>0</v>
      </c>
      <c r="DN2426">
        <v>1</v>
      </c>
      <c r="DO2426">
        <v>0</v>
      </c>
      <c r="DP2426">
        <v>0</v>
      </c>
      <c r="DQ2426">
        <v>0</v>
      </c>
      <c r="DR2426">
        <v>0</v>
      </c>
      <c r="DS2426">
        <v>0</v>
      </c>
    </row>
    <row r="2427" spans="1:123" x14ac:dyDescent="0.3">
      <c r="A2427" t="str">
        <f>"10/04/2022 19:32:02.422"</f>
        <v>10/04/2022 19:32:02.422</v>
      </c>
      <c r="C2427" t="str">
        <f t="shared" si="867"/>
        <v>FFDDD3C0</v>
      </c>
      <c r="D2427" t="s">
        <v>136</v>
      </c>
      <c r="E2427">
        <v>8</v>
      </c>
      <c r="H2427">
        <v>225</v>
      </c>
      <c r="I2427" t="s">
        <v>137</v>
      </c>
      <c r="J2427" t="s">
        <v>138</v>
      </c>
      <c r="K2427">
        <v>0</v>
      </c>
      <c r="L2427">
        <v>3</v>
      </c>
      <c r="M2427">
        <v>0</v>
      </c>
      <c r="N2427">
        <v>2</v>
      </c>
      <c r="O2427">
        <v>0</v>
      </c>
      <c r="P2427">
        <v>1</v>
      </c>
      <c r="Q2427">
        <v>0</v>
      </c>
      <c r="S2427" t="str">
        <f t="shared" si="872"/>
        <v>19:32:02.000</v>
      </c>
      <c r="T2427" t="str">
        <f t="shared" si="872"/>
        <v>19:32:02.000</v>
      </c>
      <c r="U2427" t="str">
        <f t="shared" si="853"/>
        <v>AC3944</v>
      </c>
      <c r="V2427">
        <v>0</v>
      </c>
      <c r="W2427">
        <v>0</v>
      </c>
      <c r="X2427">
        <v>2</v>
      </c>
      <c r="Y2427">
        <v>0</v>
      </c>
      <c r="AA2427">
        <v>1</v>
      </c>
      <c r="AB2427">
        <v>8</v>
      </c>
      <c r="AC2427">
        <v>3</v>
      </c>
      <c r="AD2427">
        <v>0</v>
      </c>
      <c r="AE2427">
        <v>9</v>
      </c>
      <c r="AF2427" t="s">
        <v>138</v>
      </c>
      <c r="AG2427">
        <v>0</v>
      </c>
      <c r="AH2427">
        <v>3</v>
      </c>
      <c r="AI2427">
        <v>1</v>
      </c>
      <c r="AJ2427">
        <v>0</v>
      </c>
      <c r="AK2427" t="s">
        <v>836</v>
      </c>
      <c r="AL2427">
        <v>32.758591000000003</v>
      </c>
      <c r="AM2427" t="s">
        <v>837</v>
      </c>
      <c r="AN2427">
        <v>-116.791234</v>
      </c>
      <c r="AO2427">
        <v>25</v>
      </c>
      <c r="AP2427">
        <v>3200</v>
      </c>
      <c r="AQ2427" t="s">
        <v>129</v>
      </c>
      <c r="AR2427">
        <v>108</v>
      </c>
      <c r="AS2427">
        <v>-67</v>
      </c>
      <c r="AT2427">
        <v>448</v>
      </c>
      <c r="BB2427">
        <v>1200</v>
      </c>
      <c r="BC2427">
        <v>1</v>
      </c>
      <c r="BD2427" t="str">
        <f t="shared" si="854"/>
        <v xml:space="preserve">N887QR  </v>
      </c>
      <c r="BE2427">
        <v>1</v>
      </c>
      <c r="BJ2427">
        <v>2925</v>
      </c>
      <c r="BK2427">
        <v>-275</v>
      </c>
      <c r="BL2427" t="s">
        <v>163</v>
      </c>
      <c r="BM2427">
        <v>1</v>
      </c>
      <c r="BN2427">
        <v>1</v>
      </c>
      <c r="BO2427">
        <v>1</v>
      </c>
      <c r="BP2427">
        <v>0</v>
      </c>
      <c r="BS2427">
        <v>0</v>
      </c>
      <c r="BT2427">
        <v>0</v>
      </c>
      <c r="BU2427">
        <v>0</v>
      </c>
      <c r="CE2427" t="str">
        <f t="shared" si="873"/>
        <v>19:32:02.082</v>
      </c>
      <c r="CF2427">
        <v>82458643</v>
      </c>
      <c r="CS2427">
        <v>0</v>
      </c>
      <c r="CT2427">
        <v>2</v>
      </c>
      <c r="CU2427">
        <v>0</v>
      </c>
      <c r="CV2427">
        <v>2</v>
      </c>
      <c r="CW2427">
        <v>0</v>
      </c>
      <c r="CX2427">
        <v>5</v>
      </c>
      <c r="CY2427">
        <v>7</v>
      </c>
      <c r="CZ2427" t="s">
        <v>131</v>
      </c>
      <c r="DA2427">
        <v>300</v>
      </c>
      <c r="DB2427">
        <v>0</v>
      </c>
      <c r="DC2427" t="s">
        <v>176</v>
      </c>
      <c r="DD2427" t="s">
        <v>177</v>
      </c>
      <c r="DG2427">
        <v>5411844</v>
      </c>
      <c r="DI2427">
        <v>1</v>
      </c>
      <c r="DJ2427">
        <v>0</v>
      </c>
      <c r="DK2427">
        <v>1</v>
      </c>
      <c r="DL2427">
        <v>0</v>
      </c>
      <c r="DM2427">
        <v>0</v>
      </c>
      <c r="DN2427">
        <v>1</v>
      </c>
      <c r="DO2427">
        <v>0</v>
      </c>
      <c r="DP2427">
        <v>0</v>
      </c>
      <c r="DQ2427">
        <v>0</v>
      </c>
      <c r="DR2427">
        <v>0</v>
      </c>
      <c r="DS2427">
        <v>0</v>
      </c>
    </row>
    <row r="2428" spans="1:123" x14ac:dyDescent="0.3">
      <c r="A2428" t="str">
        <f>"10/04/2022 19:32:02.422"</f>
        <v>10/04/2022 19:32:02.422</v>
      </c>
      <c r="C2428" t="str">
        <f t="shared" si="867"/>
        <v>FFDDD3C0</v>
      </c>
      <c r="D2428" t="s">
        <v>123</v>
      </c>
      <c r="E2428">
        <v>7</v>
      </c>
      <c r="F2428">
        <v>2007</v>
      </c>
      <c r="G2428" t="s">
        <v>124</v>
      </c>
      <c r="J2428" t="s">
        <v>125</v>
      </c>
      <c r="K2428">
        <v>0</v>
      </c>
      <c r="L2428">
        <v>3</v>
      </c>
      <c r="M2428">
        <v>0</v>
      </c>
      <c r="N2428">
        <v>2</v>
      </c>
      <c r="O2428">
        <v>0</v>
      </c>
      <c r="P2428">
        <v>1</v>
      </c>
      <c r="Q2428">
        <v>0</v>
      </c>
      <c r="S2428" t="str">
        <f t="shared" si="872"/>
        <v>19:32:02.000</v>
      </c>
      <c r="T2428" t="str">
        <f t="shared" si="872"/>
        <v>19:32:02.000</v>
      </c>
      <c r="U2428" t="str">
        <f t="shared" si="853"/>
        <v>AC3944</v>
      </c>
      <c r="V2428">
        <v>0</v>
      </c>
      <c r="W2428">
        <v>0</v>
      </c>
      <c r="X2428">
        <v>2</v>
      </c>
      <c r="Y2428">
        <v>0</v>
      </c>
      <c r="AA2428">
        <v>1</v>
      </c>
      <c r="AB2428">
        <v>8</v>
      </c>
      <c r="AC2428">
        <v>3</v>
      </c>
      <c r="AD2428">
        <v>0</v>
      </c>
      <c r="AE2428">
        <v>9</v>
      </c>
      <c r="AF2428" t="s">
        <v>138</v>
      </c>
      <c r="AG2428">
        <v>0</v>
      </c>
      <c r="AH2428">
        <v>3</v>
      </c>
      <c r="AI2428">
        <v>1</v>
      </c>
      <c r="AJ2428">
        <v>0</v>
      </c>
      <c r="AK2428" t="s">
        <v>836</v>
      </c>
      <c r="AL2428">
        <v>32.758591000000003</v>
      </c>
      <c r="AM2428" t="s">
        <v>837</v>
      </c>
      <c r="AN2428">
        <v>-116.791234</v>
      </c>
      <c r="AO2428">
        <v>25</v>
      </c>
      <c r="AP2428">
        <v>3200</v>
      </c>
      <c r="AQ2428" t="s">
        <v>129</v>
      </c>
      <c r="AR2428">
        <v>108</v>
      </c>
      <c r="AS2428">
        <v>-67</v>
      </c>
      <c r="AT2428">
        <v>448</v>
      </c>
      <c r="BB2428">
        <v>1200</v>
      </c>
      <c r="BC2428">
        <v>1</v>
      </c>
      <c r="BD2428" t="str">
        <f t="shared" si="854"/>
        <v xml:space="preserve">N887QR  </v>
      </c>
      <c r="BE2428">
        <v>1</v>
      </c>
      <c r="BJ2428">
        <v>2925</v>
      </c>
      <c r="BK2428">
        <v>-275</v>
      </c>
      <c r="BL2428" t="s">
        <v>163</v>
      </c>
      <c r="BM2428">
        <v>1</v>
      </c>
      <c r="BN2428">
        <v>1</v>
      </c>
      <c r="BO2428">
        <v>1</v>
      </c>
      <c r="BP2428">
        <v>0</v>
      </c>
      <c r="BS2428">
        <v>0</v>
      </c>
      <c r="BT2428">
        <v>0</v>
      </c>
      <c r="BU2428">
        <v>0</v>
      </c>
      <c r="CE2428" t="str">
        <f t="shared" si="873"/>
        <v>19:32:02.082</v>
      </c>
      <c r="CF2428">
        <v>82458643</v>
      </c>
      <c r="CS2428">
        <v>0</v>
      </c>
      <c r="CT2428">
        <v>2</v>
      </c>
      <c r="CU2428">
        <v>0</v>
      </c>
      <c r="CV2428">
        <v>2</v>
      </c>
      <c r="CW2428">
        <v>0</v>
      </c>
      <c r="CX2428">
        <v>5</v>
      </c>
      <c r="CY2428">
        <v>7</v>
      </c>
      <c r="CZ2428" t="s">
        <v>131</v>
      </c>
      <c r="DA2428">
        <v>300</v>
      </c>
      <c r="DB2428">
        <v>0</v>
      </c>
      <c r="DC2428" t="s">
        <v>176</v>
      </c>
      <c r="DD2428" t="s">
        <v>177</v>
      </c>
      <c r="DG2428">
        <v>5411844</v>
      </c>
      <c r="DI2428">
        <v>1</v>
      </c>
      <c r="DJ2428">
        <v>0</v>
      </c>
      <c r="DK2428">
        <v>1</v>
      </c>
      <c r="DL2428">
        <v>0</v>
      </c>
      <c r="DM2428">
        <v>0</v>
      </c>
      <c r="DN2428">
        <v>1</v>
      </c>
      <c r="DO2428">
        <v>0</v>
      </c>
      <c r="DP2428">
        <v>0</v>
      </c>
      <c r="DQ2428">
        <v>0</v>
      </c>
      <c r="DR2428">
        <v>0</v>
      </c>
      <c r="DS2428">
        <v>0</v>
      </c>
    </row>
    <row r="2429" spans="1:123" x14ac:dyDescent="0.3">
      <c r="A2429" t="str">
        <f t="shared" ref="A2429:A2435" si="874">"10/04/2022 19:32:03.672"</f>
        <v>10/04/2022 19:32:03.672</v>
      </c>
      <c r="C2429" t="str">
        <f t="shared" si="867"/>
        <v>FFDDD3C0</v>
      </c>
      <c r="D2429" t="s">
        <v>141</v>
      </c>
      <c r="E2429">
        <v>4</v>
      </c>
      <c r="H2429">
        <v>4</v>
      </c>
      <c r="I2429" t="s">
        <v>142</v>
      </c>
      <c r="J2429" t="s">
        <v>138</v>
      </c>
      <c r="K2429">
        <v>0</v>
      </c>
      <c r="L2429">
        <v>3</v>
      </c>
      <c r="M2429">
        <v>0</v>
      </c>
      <c r="N2429">
        <v>2</v>
      </c>
      <c r="O2429">
        <v>0</v>
      </c>
      <c r="P2429">
        <v>1</v>
      </c>
      <c r="Q2429">
        <v>0</v>
      </c>
      <c r="S2429" t="str">
        <f t="shared" ref="S2429:T2435" si="875">"19:32:03.000"</f>
        <v>19:32:03.000</v>
      </c>
      <c r="T2429" t="str">
        <f t="shared" si="875"/>
        <v>19:32:03.000</v>
      </c>
      <c r="U2429" t="str">
        <f t="shared" si="853"/>
        <v>AC3944</v>
      </c>
      <c r="V2429">
        <v>0</v>
      </c>
      <c r="W2429">
        <v>0</v>
      </c>
      <c r="X2429">
        <v>2</v>
      </c>
      <c r="Y2429">
        <v>0</v>
      </c>
      <c r="AA2429">
        <v>1</v>
      </c>
      <c r="AB2429">
        <v>8</v>
      </c>
      <c r="AC2429">
        <v>3</v>
      </c>
      <c r="AD2429">
        <v>0</v>
      </c>
      <c r="AE2429">
        <v>9</v>
      </c>
      <c r="AF2429" t="s">
        <v>138</v>
      </c>
      <c r="AG2429">
        <v>0</v>
      </c>
      <c r="AH2429">
        <v>3</v>
      </c>
      <c r="AI2429">
        <v>1</v>
      </c>
      <c r="AJ2429">
        <v>0</v>
      </c>
      <c r="AK2429" t="s">
        <v>838</v>
      </c>
      <c r="AL2429">
        <v>32.758268999999999</v>
      </c>
      <c r="AM2429" t="s">
        <v>839</v>
      </c>
      <c r="AN2429">
        <v>-116.790633</v>
      </c>
      <c r="AO2429">
        <v>25</v>
      </c>
      <c r="AP2429">
        <v>3200</v>
      </c>
      <c r="AQ2429" t="s">
        <v>129</v>
      </c>
      <c r="AR2429">
        <v>107</v>
      </c>
      <c r="AS2429">
        <v>-67</v>
      </c>
      <c r="AT2429">
        <v>640</v>
      </c>
      <c r="BB2429">
        <v>1200</v>
      </c>
      <c r="BC2429">
        <v>1</v>
      </c>
      <c r="BD2429" t="str">
        <f t="shared" si="854"/>
        <v xml:space="preserve">N887QR  </v>
      </c>
      <c r="BE2429">
        <v>1</v>
      </c>
      <c r="BJ2429">
        <v>2925</v>
      </c>
      <c r="BK2429">
        <v>-275</v>
      </c>
      <c r="BL2429" t="s">
        <v>163</v>
      </c>
      <c r="BM2429">
        <v>1</v>
      </c>
      <c r="BN2429">
        <v>1</v>
      </c>
      <c r="BO2429">
        <v>1</v>
      </c>
      <c r="BP2429">
        <v>0</v>
      </c>
      <c r="BS2429">
        <v>0</v>
      </c>
      <c r="BT2429">
        <v>0</v>
      </c>
      <c r="BU2429">
        <v>0</v>
      </c>
      <c r="CE2429" t="str">
        <f t="shared" ref="CE2429:CE2435" si="876">"19:32:03.416"</f>
        <v>19:32:03.416</v>
      </c>
      <c r="CF2429">
        <v>415963138</v>
      </c>
      <c r="CS2429">
        <v>0</v>
      </c>
      <c r="CT2429">
        <v>2</v>
      </c>
      <c r="CU2429">
        <v>0</v>
      </c>
      <c r="CV2429">
        <v>2</v>
      </c>
      <c r="CW2429">
        <v>3</v>
      </c>
      <c r="CX2429">
        <v>5</v>
      </c>
      <c r="CY2429">
        <v>7</v>
      </c>
      <c r="CZ2429" t="s">
        <v>131</v>
      </c>
      <c r="DA2429">
        <v>300</v>
      </c>
      <c r="DB2429">
        <v>0</v>
      </c>
      <c r="DC2429" t="s">
        <v>176</v>
      </c>
      <c r="DD2429" t="s">
        <v>177</v>
      </c>
      <c r="DG2429">
        <v>5412056</v>
      </c>
      <c r="DI2429">
        <v>1</v>
      </c>
      <c r="DJ2429">
        <v>0</v>
      </c>
      <c r="DK2429">
        <v>0</v>
      </c>
      <c r="DL2429">
        <v>0</v>
      </c>
      <c r="DM2429">
        <v>0</v>
      </c>
      <c r="DN2429">
        <v>1</v>
      </c>
      <c r="DO2429">
        <v>0</v>
      </c>
      <c r="DP2429">
        <v>0</v>
      </c>
      <c r="DQ2429">
        <v>0</v>
      </c>
      <c r="DR2429">
        <v>0</v>
      </c>
      <c r="DS2429">
        <v>0</v>
      </c>
    </row>
    <row r="2430" spans="1:123" x14ac:dyDescent="0.3">
      <c r="A2430" t="str">
        <f t="shared" si="874"/>
        <v>10/04/2022 19:32:03.672</v>
      </c>
      <c r="C2430" t="str">
        <f t="shared" si="867"/>
        <v>FFDDD3C0</v>
      </c>
      <c r="D2430" t="s">
        <v>143</v>
      </c>
      <c r="E2430">
        <v>20</v>
      </c>
      <c r="F2430">
        <v>1020</v>
      </c>
      <c r="G2430" t="s">
        <v>144</v>
      </c>
      <c r="J2430" t="s">
        <v>145</v>
      </c>
      <c r="K2430">
        <v>0</v>
      </c>
      <c r="L2430">
        <v>3</v>
      </c>
      <c r="M2430">
        <v>0</v>
      </c>
      <c r="N2430">
        <v>2</v>
      </c>
      <c r="O2430">
        <v>0</v>
      </c>
      <c r="P2430">
        <v>1</v>
      </c>
      <c r="Q2430">
        <v>0</v>
      </c>
      <c r="S2430" t="str">
        <f t="shared" si="875"/>
        <v>19:32:03.000</v>
      </c>
      <c r="T2430" t="str">
        <f t="shared" si="875"/>
        <v>19:32:03.000</v>
      </c>
      <c r="U2430" t="str">
        <f t="shared" si="853"/>
        <v>AC3944</v>
      </c>
      <c r="V2430">
        <v>0</v>
      </c>
      <c r="W2430">
        <v>0</v>
      </c>
      <c r="X2430">
        <v>2</v>
      </c>
      <c r="Y2430">
        <v>0</v>
      </c>
      <c r="AA2430">
        <v>1</v>
      </c>
      <c r="AB2430">
        <v>8</v>
      </c>
      <c r="AC2430">
        <v>3</v>
      </c>
      <c r="AD2430">
        <v>0</v>
      </c>
      <c r="AE2430">
        <v>9</v>
      </c>
      <c r="AF2430" t="s">
        <v>138</v>
      </c>
      <c r="AG2430">
        <v>0</v>
      </c>
      <c r="AH2430">
        <v>3</v>
      </c>
      <c r="AI2430">
        <v>1</v>
      </c>
      <c r="AJ2430">
        <v>0</v>
      </c>
      <c r="AK2430" t="s">
        <v>838</v>
      </c>
      <c r="AL2430">
        <v>32.758268999999999</v>
      </c>
      <c r="AM2430" t="s">
        <v>839</v>
      </c>
      <c r="AN2430">
        <v>-116.790633</v>
      </c>
      <c r="AO2430">
        <v>25</v>
      </c>
      <c r="AP2430">
        <v>3200</v>
      </c>
      <c r="AQ2430" t="s">
        <v>129</v>
      </c>
      <c r="AR2430">
        <v>107</v>
      </c>
      <c r="AS2430">
        <v>-67</v>
      </c>
      <c r="AT2430">
        <v>640</v>
      </c>
      <c r="BB2430">
        <v>1200</v>
      </c>
      <c r="BC2430">
        <v>1</v>
      </c>
      <c r="BD2430" t="str">
        <f t="shared" si="854"/>
        <v xml:space="preserve">N887QR  </v>
      </c>
      <c r="BE2430">
        <v>1</v>
      </c>
      <c r="BJ2430">
        <v>2925</v>
      </c>
      <c r="BK2430">
        <v>-275</v>
      </c>
      <c r="BL2430" t="s">
        <v>163</v>
      </c>
      <c r="BM2430">
        <v>1</v>
      </c>
      <c r="BN2430">
        <v>1</v>
      </c>
      <c r="BO2430">
        <v>1</v>
      </c>
      <c r="BP2430">
        <v>0</v>
      </c>
      <c r="BS2430">
        <v>0</v>
      </c>
      <c r="BT2430">
        <v>0</v>
      </c>
      <c r="BU2430">
        <v>0</v>
      </c>
      <c r="CE2430" t="str">
        <f t="shared" si="876"/>
        <v>19:32:03.416</v>
      </c>
      <c r="CF2430">
        <v>415963138</v>
      </c>
      <c r="CS2430">
        <v>0</v>
      </c>
      <c r="CT2430">
        <v>2</v>
      </c>
      <c r="CU2430">
        <v>0</v>
      </c>
      <c r="CV2430">
        <v>2</v>
      </c>
      <c r="CW2430">
        <v>3</v>
      </c>
      <c r="CX2430">
        <v>5</v>
      </c>
      <c r="CY2430">
        <v>7</v>
      </c>
      <c r="CZ2430" t="s">
        <v>131</v>
      </c>
      <c r="DA2430">
        <v>300</v>
      </c>
      <c r="DB2430">
        <v>0</v>
      </c>
      <c r="DC2430" t="s">
        <v>176</v>
      </c>
      <c r="DD2430" t="s">
        <v>177</v>
      </c>
      <c r="DG2430">
        <v>5412056</v>
      </c>
      <c r="DI2430">
        <v>1</v>
      </c>
      <c r="DJ2430">
        <v>0</v>
      </c>
      <c r="DK2430">
        <v>1</v>
      </c>
      <c r="DL2430">
        <v>0</v>
      </c>
      <c r="DM2430">
        <v>0</v>
      </c>
      <c r="DN2430">
        <v>1</v>
      </c>
      <c r="DO2430">
        <v>0</v>
      </c>
      <c r="DP2430">
        <v>0</v>
      </c>
      <c r="DQ2430">
        <v>0</v>
      </c>
      <c r="DR2430">
        <v>0</v>
      </c>
      <c r="DS2430">
        <v>0</v>
      </c>
    </row>
    <row r="2431" spans="1:123" x14ac:dyDescent="0.3">
      <c r="A2431" t="str">
        <f t="shared" si="874"/>
        <v>10/04/2022 19:32:03.672</v>
      </c>
      <c r="C2431" t="str">
        <f t="shared" si="867"/>
        <v>FFDDD3C0</v>
      </c>
      <c r="D2431" t="s">
        <v>141</v>
      </c>
      <c r="E2431">
        <v>3</v>
      </c>
      <c r="H2431">
        <v>3</v>
      </c>
      <c r="I2431" t="s">
        <v>146</v>
      </c>
      <c r="J2431" t="s">
        <v>138</v>
      </c>
      <c r="K2431">
        <v>0</v>
      </c>
      <c r="L2431">
        <v>3</v>
      </c>
      <c r="M2431">
        <v>0</v>
      </c>
      <c r="N2431">
        <v>2</v>
      </c>
      <c r="O2431">
        <v>0</v>
      </c>
      <c r="P2431">
        <v>1</v>
      </c>
      <c r="Q2431">
        <v>0</v>
      </c>
      <c r="S2431" t="str">
        <f t="shared" si="875"/>
        <v>19:32:03.000</v>
      </c>
      <c r="T2431" t="str">
        <f t="shared" si="875"/>
        <v>19:32:03.000</v>
      </c>
      <c r="U2431" t="str">
        <f t="shared" si="853"/>
        <v>AC3944</v>
      </c>
      <c r="V2431">
        <v>0</v>
      </c>
      <c r="W2431">
        <v>0</v>
      </c>
      <c r="X2431">
        <v>2</v>
      </c>
      <c r="Y2431">
        <v>0</v>
      </c>
      <c r="AA2431">
        <v>1</v>
      </c>
      <c r="AB2431">
        <v>8</v>
      </c>
      <c r="AC2431">
        <v>3</v>
      </c>
      <c r="AD2431">
        <v>0</v>
      </c>
      <c r="AE2431">
        <v>9</v>
      </c>
      <c r="AF2431" t="s">
        <v>138</v>
      </c>
      <c r="AG2431">
        <v>0</v>
      </c>
      <c r="AH2431">
        <v>3</v>
      </c>
      <c r="AI2431">
        <v>1</v>
      </c>
      <c r="AJ2431">
        <v>0</v>
      </c>
      <c r="AK2431" t="s">
        <v>838</v>
      </c>
      <c r="AL2431">
        <v>32.758268999999999</v>
      </c>
      <c r="AM2431" t="s">
        <v>839</v>
      </c>
      <c r="AN2431">
        <v>-116.790633</v>
      </c>
      <c r="AO2431">
        <v>25</v>
      </c>
      <c r="AP2431">
        <v>3200</v>
      </c>
      <c r="AQ2431" t="s">
        <v>129</v>
      </c>
      <c r="AR2431">
        <v>107</v>
      </c>
      <c r="AS2431">
        <v>-67</v>
      </c>
      <c r="AT2431">
        <v>640</v>
      </c>
      <c r="BB2431">
        <v>1200</v>
      </c>
      <c r="BC2431">
        <v>1</v>
      </c>
      <c r="BD2431" t="str">
        <f t="shared" si="854"/>
        <v xml:space="preserve">N887QR  </v>
      </c>
      <c r="BE2431">
        <v>1</v>
      </c>
      <c r="BJ2431">
        <v>2925</v>
      </c>
      <c r="BK2431">
        <v>-275</v>
      </c>
      <c r="BL2431" t="s">
        <v>163</v>
      </c>
      <c r="BM2431">
        <v>1</v>
      </c>
      <c r="BN2431">
        <v>1</v>
      </c>
      <c r="BO2431">
        <v>1</v>
      </c>
      <c r="BP2431">
        <v>0</v>
      </c>
      <c r="BS2431">
        <v>0</v>
      </c>
      <c r="BT2431">
        <v>0</v>
      </c>
      <c r="BU2431">
        <v>0</v>
      </c>
      <c r="CE2431" t="str">
        <f t="shared" si="876"/>
        <v>19:32:03.416</v>
      </c>
      <c r="CF2431">
        <v>415963138</v>
      </c>
      <c r="CS2431">
        <v>0</v>
      </c>
      <c r="CT2431">
        <v>2</v>
      </c>
      <c r="CU2431">
        <v>0</v>
      </c>
      <c r="CV2431">
        <v>2</v>
      </c>
      <c r="CW2431">
        <v>3</v>
      </c>
      <c r="CX2431">
        <v>5</v>
      </c>
      <c r="CY2431">
        <v>7</v>
      </c>
      <c r="CZ2431" t="s">
        <v>131</v>
      </c>
      <c r="DA2431">
        <v>300</v>
      </c>
      <c r="DB2431">
        <v>0</v>
      </c>
      <c r="DC2431" t="s">
        <v>176</v>
      </c>
      <c r="DD2431" t="s">
        <v>177</v>
      </c>
      <c r="DG2431">
        <v>5412056</v>
      </c>
      <c r="DI2431">
        <v>1</v>
      </c>
      <c r="DJ2431">
        <v>0</v>
      </c>
      <c r="DK2431">
        <v>1</v>
      </c>
      <c r="DL2431">
        <v>0</v>
      </c>
      <c r="DM2431">
        <v>0</v>
      </c>
      <c r="DN2431">
        <v>1</v>
      </c>
      <c r="DO2431">
        <v>0</v>
      </c>
      <c r="DP2431">
        <v>0</v>
      </c>
      <c r="DQ2431">
        <v>0</v>
      </c>
      <c r="DR2431">
        <v>0</v>
      </c>
      <c r="DS2431">
        <v>0</v>
      </c>
    </row>
    <row r="2432" spans="1:123" x14ac:dyDescent="0.3">
      <c r="A2432" t="str">
        <f t="shared" si="874"/>
        <v>10/04/2022 19:32:03.672</v>
      </c>
      <c r="C2432" t="str">
        <f t="shared" si="867"/>
        <v>FFDDD3C0</v>
      </c>
      <c r="D2432" t="s">
        <v>147</v>
      </c>
      <c r="E2432">
        <v>3</v>
      </c>
      <c r="H2432">
        <v>166</v>
      </c>
      <c r="I2432" t="s">
        <v>144</v>
      </c>
      <c r="J2432" t="s">
        <v>148</v>
      </c>
      <c r="K2432">
        <v>0</v>
      </c>
      <c r="L2432">
        <v>3</v>
      </c>
      <c r="M2432">
        <v>0</v>
      </c>
      <c r="N2432">
        <v>2</v>
      </c>
      <c r="O2432">
        <v>0</v>
      </c>
      <c r="P2432">
        <v>1</v>
      </c>
      <c r="Q2432">
        <v>0</v>
      </c>
      <c r="S2432" t="str">
        <f t="shared" si="875"/>
        <v>19:32:03.000</v>
      </c>
      <c r="T2432" t="str">
        <f t="shared" si="875"/>
        <v>19:32:03.000</v>
      </c>
      <c r="U2432" t="str">
        <f t="shared" si="853"/>
        <v>AC3944</v>
      </c>
      <c r="V2432">
        <v>0</v>
      </c>
      <c r="W2432">
        <v>0</v>
      </c>
      <c r="X2432">
        <v>2</v>
      </c>
      <c r="Y2432">
        <v>0</v>
      </c>
      <c r="AA2432">
        <v>1</v>
      </c>
      <c r="AB2432">
        <v>8</v>
      </c>
      <c r="AC2432">
        <v>3</v>
      </c>
      <c r="AD2432">
        <v>0</v>
      </c>
      <c r="AE2432">
        <v>9</v>
      </c>
      <c r="AF2432" t="s">
        <v>138</v>
      </c>
      <c r="AG2432">
        <v>0</v>
      </c>
      <c r="AH2432">
        <v>3</v>
      </c>
      <c r="AI2432">
        <v>1</v>
      </c>
      <c r="AJ2432">
        <v>0</v>
      </c>
      <c r="AK2432" t="s">
        <v>838</v>
      </c>
      <c r="AL2432">
        <v>32.758268999999999</v>
      </c>
      <c r="AM2432" t="s">
        <v>839</v>
      </c>
      <c r="AN2432">
        <v>-116.790633</v>
      </c>
      <c r="AO2432">
        <v>25</v>
      </c>
      <c r="AP2432">
        <v>3200</v>
      </c>
      <c r="AQ2432" t="s">
        <v>129</v>
      </c>
      <c r="AR2432">
        <v>107</v>
      </c>
      <c r="AS2432">
        <v>-67</v>
      </c>
      <c r="AT2432">
        <v>640</v>
      </c>
      <c r="BB2432">
        <v>1200</v>
      </c>
      <c r="BC2432">
        <v>1</v>
      </c>
      <c r="BD2432" t="str">
        <f t="shared" si="854"/>
        <v xml:space="preserve">N887QR  </v>
      </c>
      <c r="BE2432">
        <v>1</v>
      </c>
      <c r="BJ2432">
        <v>2925</v>
      </c>
      <c r="BK2432">
        <v>-275</v>
      </c>
      <c r="BL2432" t="s">
        <v>163</v>
      </c>
      <c r="BM2432">
        <v>1</v>
      </c>
      <c r="BN2432">
        <v>1</v>
      </c>
      <c r="BO2432">
        <v>1</v>
      </c>
      <c r="BP2432">
        <v>0</v>
      </c>
      <c r="BS2432">
        <v>0</v>
      </c>
      <c r="BT2432">
        <v>0</v>
      </c>
      <c r="BU2432">
        <v>0</v>
      </c>
      <c r="CE2432" t="str">
        <f t="shared" si="876"/>
        <v>19:32:03.416</v>
      </c>
      <c r="CF2432">
        <v>415963138</v>
      </c>
      <c r="CS2432">
        <v>0</v>
      </c>
      <c r="CT2432">
        <v>2</v>
      </c>
      <c r="CU2432">
        <v>0</v>
      </c>
      <c r="CV2432">
        <v>2</v>
      </c>
      <c r="CW2432">
        <v>3</v>
      </c>
      <c r="CX2432">
        <v>5</v>
      </c>
      <c r="CY2432">
        <v>7</v>
      </c>
      <c r="CZ2432" t="s">
        <v>131</v>
      </c>
      <c r="DA2432">
        <v>300</v>
      </c>
      <c r="DB2432">
        <v>0</v>
      </c>
      <c r="DC2432" t="s">
        <v>176</v>
      </c>
      <c r="DD2432" t="s">
        <v>177</v>
      </c>
      <c r="DG2432">
        <v>5412056</v>
      </c>
      <c r="DI2432">
        <v>1</v>
      </c>
      <c r="DJ2432">
        <v>0</v>
      </c>
      <c r="DK2432">
        <v>1</v>
      </c>
      <c r="DL2432">
        <v>0</v>
      </c>
      <c r="DM2432">
        <v>0</v>
      </c>
      <c r="DN2432">
        <v>1</v>
      </c>
      <c r="DO2432">
        <v>0</v>
      </c>
      <c r="DP2432">
        <v>0</v>
      </c>
      <c r="DQ2432">
        <v>0</v>
      </c>
      <c r="DR2432">
        <v>0</v>
      </c>
      <c r="DS2432">
        <v>0</v>
      </c>
    </row>
    <row r="2433" spans="1:123" x14ac:dyDescent="0.3">
      <c r="A2433" t="str">
        <f t="shared" si="874"/>
        <v>10/04/2022 19:32:03.672</v>
      </c>
      <c r="C2433" t="str">
        <f t="shared" si="867"/>
        <v>FFDDD3C0</v>
      </c>
      <c r="D2433" t="s">
        <v>123</v>
      </c>
      <c r="E2433">
        <v>7</v>
      </c>
      <c r="F2433">
        <v>2007</v>
      </c>
      <c r="G2433" t="s">
        <v>124</v>
      </c>
      <c r="J2433" t="s">
        <v>125</v>
      </c>
      <c r="K2433">
        <v>0</v>
      </c>
      <c r="L2433">
        <v>3</v>
      </c>
      <c r="M2433">
        <v>0</v>
      </c>
      <c r="N2433">
        <v>2</v>
      </c>
      <c r="O2433">
        <v>0</v>
      </c>
      <c r="P2433">
        <v>1</v>
      </c>
      <c r="Q2433">
        <v>0</v>
      </c>
      <c r="S2433" t="str">
        <f t="shared" si="875"/>
        <v>19:32:03.000</v>
      </c>
      <c r="T2433" t="str">
        <f t="shared" si="875"/>
        <v>19:32:03.000</v>
      </c>
      <c r="U2433" t="str">
        <f t="shared" si="853"/>
        <v>AC3944</v>
      </c>
      <c r="V2433">
        <v>0</v>
      </c>
      <c r="W2433">
        <v>0</v>
      </c>
      <c r="X2433">
        <v>2</v>
      </c>
      <c r="Y2433">
        <v>0</v>
      </c>
      <c r="AA2433">
        <v>1</v>
      </c>
      <c r="AB2433">
        <v>8</v>
      </c>
      <c r="AC2433">
        <v>3</v>
      </c>
      <c r="AD2433">
        <v>0</v>
      </c>
      <c r="AE2433">
        <v>9</v>
      </c>
      <c r="AF2433" t="s">
        <v>138</v>
      </c>
      <c r="AG2433">
        <v>0</v>
      </c>
      <c r="AH2433">
        <v>3</v>
      </c>
      <c r="AI2433">
        <v>1</v>
      </c>
      <c r="AJ2433">
        <v>0</v>
      </c>
      <c r="AK2433" t="s">
        <v>838</v>
      </c>
      <c r="AL2433">
        <v>32.758268999999999</v>
      </c>
      <c r="AM2433" t="s">
        <v>839</v>
      </c>
      <c r="AN2433">
        <v>-116.790633</v>
      </c>
      <c r="AO2433">
        <v>25</v>
      </c>
      <c r="AP2433">
        <v>3200</v>
      </c>
      <c r="AQ2433" t="s">
        <v>129</v>
      </c>
      <c r="AR2433">
        <v>107</v>
      </c>
      <c r="AS2433">
        <v>-67</v>
      </c>
      <c r="AT2433">
        <v>640</v>
      </c>
      <c r="BB2433">
        <v>1200</v>
      </c>
      <c r="BC2433">
        <v>1</v>
      </c>
      <c r="BD2433" t="str">
        <f t="shared" si="854"/>
        <v xml:space="preserve">N887QR  </v>
      </c>
      <c r="BE2433">
        <v>1</v>
      </c>
      <c r="BJ2433">
        <v>2925</v>
      </c>
      <c r="BK2433">
        <v>-275</v>
      </c>
      <c r="BL2433" t="s">
        <v>163</v>
      </c>
      <c r="BM2433">
        <v>1</v>
      </c>
      <c r="BN2433">
        <v>1</v>
      </c>
      <c r="BO2433">
        <v>1</v>
      </c>
      <c r="BP2433">
        <v>0</v>
      </c>
      <c r="BS2433">
        <v>0</v>
      </c>
      <c r="BT2433">
        <v>0</v>
      </c>
      <c r="BU2433">
        <v>0</v>
      </c>
      <c r="CE2433" t="str">
        <f t="shared" si="876"/>
        <v>19:32:03.416</v>
      </c>
      <c r="CF2433">
        <v>415963138</v>
      </c>
      <c r="CS2433">
        <v>0</v>
      </c>
      <c r="CT2433">
        <v>2</v>
      </c>
      <c r="CU2433">
        <v>0</v>
      </c>
      <c r="CV2433">
        <v>2</v>
      </c>
      <c r="CW2433">
        <v>3</v>
      </c>
      <c r="CX2433">
        <v>5</v>
      </c>
      <c r="CY2433">
        <v>7</v>
      </c>
      <c r="CZ2433" t="s">
        <v>131</v>
      </c>
      <c r="DA2433">
        <v>300</v>
      </c>
      <c r="DB2433">
        <v>0</v>
      </c>
      <c r="DC2433" t="s">
        <v>176</v>
      </c>
      <c r="DD2433" t="s">
        <v>177</v>
      </c>
      <c r="DG2433">
        <v>5412056</v>
      </c>
      <c r="DI2433">
        <v>1</v>
      </c>
      <c r="DJ2433">
        <v>0</v>
      </c>
      <c r="DK2433">
        <v>1</v>
      </c>
      <c r="DL2433">
        <v>0</v>
      </c>
      <c r="DM2433">
        <v>0</v>
      </c>
      <c r="DN2433">
        <v>1</v>
      </c>
      <c r="DO2433">
        <v>0</v>
      </c>
      <c r="DP2433">
        <v>0</v>
      </c>
      <c r="DQ2433">
        <v>0</v>
      </c>
      <c r="DR2433">
        <v>0</v>
      </c>
      <c r="DS2433">
        <v>0</v>
      </c>
    </row>
    <row r="2434" spans="1:123" x14ac:dyDescent="0.3">
      <c r="A2434" t="str">
        <f t="shared" si="874"/>
        <v>10/04/2022 19:32:03.672</v>
      </c>
      <c r="C2434" t="str">
        <f t="shared" si="867"/>
        <v>FFDDD3C0</v>
      </c>
      <c r="D2434" t="s">
        <v>136</v>
      </c>
      <c r="E2434">
        <v>8</v>
      </c>
      <c r="H2434">
        <v>225</v>
      </c>
      <c r="I2434" t="s">
        <v>137</v>
      </c>
      <c r="J2434" t="s">
        <v>138</v>
      </c>
      <c r="K2434">
        <v>0</v>
      </c>
      <c r="L2434">
        <v>3</v>
      </c>
      <c r="M2434">
        <v>0</v>
      </c>
      <c r="N2434">
        <v>2</v>
      </c>
      <c r="O2434">
        <v>0</v>
      </c>
      <c r="P2434">
        <v>1</v>
      </c>
      <c r="Q2434">
        <v>0</v>
      </c>
      <c r="S2434" t="str">
        <f t="shared" si="875"/>
        <v>19:32:03.000</v>
      </c>
      <c r="T2434" t="str">
        <f t="shared" si="875"/>
        <v>19:32:03.000</v>
      </c>
      <c r="U2434" t="str">
        <f t="shared" ref="U2434:U2497" si="877">"AC3944"</f>
        <v>AC3944</v>
      </c>
      <c r="V2434">
        <v>0</v>
      </c>
      <c r="W2434">
        <v>0</v>
      </c>
      <c r="X2434">
        <v>2</v>
      </c>
      <c r="Y2434">
        <v>0</v>
      </c>
      <c r="AA2434">
        <v>1</v>
      </c>
      <c r="AB2434">
        <v>8</v>
      </c>
      <c r="AC2434">
        <v>3</v>
      </c>
      <c r="AD2434">
        <v>0</v>
      </c>
      <c r="AE2434">
        <v>9</v>
      </c>
      <c r="AF2434" t="s">
        <v>138</v>
      </c>
      <c r="AG2434">
        <v>0</v>
      </c>
      <c r="AH2434">
        <v>3</v>
      </c>
      <c r="AI2434">
        <v>1</v>
      </c>
      <c r="AJ2434">
        <v>0</v>
      </c>
      <c r="AK2434" t="s">
        <v>838</v>
      </c>
      <c r="AL2434">
        <v>32.758268999999999</v>
      </c>
      <c r="AM2434" t="s">
        <v>839</v>
      </c>
      <c r="AN2434">
        <v>-116.790633</v>
      </c>
      <c r="AO2434">
        <v>25</v>
      </c>
      <c r="AP2434">
        <v>3200</v>
      </c>
      <c r="AQ2434" t="s">
        <v>129</v>
      </c>
      <c r="AR2434">
        <v>107</v>
      </c>
      <c r="AS2434">
        <v>-67</v>
      </c>
      <c r="AT2434">
        <v>640</v>
      </c>
      <c r="BB2434">
        <v>1200</v>
      </c>
      <c r="BC2434">
        <v>1</v>
      </c>
      <c r="BD2434" t="str">
        <f t="shared" ref="BD2434:BD2497" si="878">"N887QR  "</f>
        <v xml:space="preserve">N887QR  </v>
      </c>
      <c r="BE2434">
        <v>1</v>
      </c>
      <c r="BJ2434">
        <v>2925</v>
      </c>
      <c r="BK2434">
        <v>-275</v>
      </c>
      <c r="BL2434" t="s">
        <v>163</v>
      </c>
      <c r="BM2434">
        <v>1</v>
      </c>
      <c r="BN2434">
        <v>1</v>
      </c>
      <c r="BO2434">
        <v>1</v>
      </c>
      <c r="BP2434">
        <v>0</v>
      </c>
      <c r="BS2434">
        <v>0</v>
      </c>
      <c r="BT2434">
        <v>0</v>
      </c>
      <c r="BU2434">
        <v>0</v>
      </c>
      <c r="CE2434" t="str">
        <f t="shared" si="876"/>
        <v>19:32:03.416</v>
      </c>
      <c r="CF2434">
        <v>415963138</v>
      </c>
      <c r="CS2434">
        <v>0</v>
      </c>
      <c r="CT2434">
        <v>2</v>
      </c>
      <c r="CU2434">
        <v>0</v>
      </c>
      <c r="CV2434">
        <v>2</v>
      </c>
      <c r="CW2434">
        <v>3</v>
      </c>
      <c r="CX2434">
        <v>5</v>
      </c>
      <c r="CY2434">
        <v>7</v>
      </c>
      <c r="CZ2434" t="s">
        <v>131</v>
      </c>
      <c r="DA2434">
        <v>300</v>
      </c>
      <c r="DB2434">
        <v>0</v>
      </c>
      <c r="DC2434" t="s">
        <v>176</v>
      </c>
      <c r="DD2434" t="s">
        <v>177</v>
      </c>
      <c r="DG2434">
        <v>5412056</v>
      </c>
      <c r="DI2434">
        <v>1</v>
      </c>
      <c r="DJ2434">
        <v>0</v>
      </c>
      <c r="DK2434">
        <v>1</v>
      </c>
      <c r="DL2434">
        <v>0</v>
      </c>
      <c r="DM2434">
        <v>0</v>
      </c>
      <c r="DN2434">
        <v>1</v>
      </c>
      <c r="DO2434">
        <v>0</v>
      </c>
      <c r="DP2434">
        <v>0</v>
      </c>
      <c r="DQ2434">
        <v>0</v>
      </c>
      <c r="DR2434">
        <v>0</v>
      </c>
      <c r="DS2434">
        <v>0</v>
      </c>
    </row>
    <row r="2435" spans="1:123" x14ac:dyDescent="0.3">
      <c r="A2435" t="str">
        <f t="shared" si="874"/>
        <v>10/04/2022 19:32:03.672</v>
      </c>
      <c r="C2435" t="str">
        <f t="shared" si="867"/>
        <v>FFDDD3C0</v>
      </c>
      <c r="D2435" t="s">
        <v>134</v>
      </c>
      <c r="E2435">
        <v>15</v>
      </c>
      <c r="J2435" t="s">
        <v>135</v>
      </c>
      <c r="K2435">
        <v>0</v>
      </c>
      <c r="L2435">
        <v>3</v>
      </c>
      <c r="M2435">
        <v>0</v>
      </c>
      <c r="N2435">
        <v>2</v>
      </c>
      <c r="O2435">
        <v>0</v>
      </c>
      <c r="P2435">
        <v>1</v>
      </c>
      <c r="Q2435">
        <v>0</v>
      </c>
      <c r="S2435" t="str">
        <f t="shared" si="875"/>
        <v>19:32:03.000</v>
      </c>
      <c r="T2435" t="str">
        <f t="shared" si="875"/>
        <v>19:32:03.000</v>
      </c>
      <c r="U2435" t="str">
        <f t="shared" si="877"/>
        <v>AC3944</v>
      </c>
      <c r="V2435">
        <v>0</v>
      </c>
      <c r="W2435">
        <v>0</v>
      </c>
      <c r="X2435">
        <v>2</v>
      </c>
      <c r="Y2435">
        <v>0</v>
      </c>
      <c r="AA2435">
        <v>1</v>
      </c>
      <c r="AB2435">
        <v>8</v>
      </c>
      <c r="AC2435">
        <v>3</v>
      </c>
      <c r="AD2435">
        <v>0</v>
      </c>
      <c r="AE2435">
        <v>9</v>
      </c>
      <c r="AF2435" t="s">
        <v>138</v>
      </c>
      <c r="AG2435">
        <v>0</v>
      </c>
      <c r="AH2435">
        <v>3</v>
      </c>
      <c r="AI2435">
        <v>1</v>
      </c>
      <c r="AJ2435">
        <v>0</v>
      </c>
      <c r="AK2435" t="s">
        <v>838</v>
      </c>
      <c r="AL2435">
        <v>32.758268999999999</v>
      </c>
      <c r="AM2435" t="s">
        <v>839</v>
      </c>
      <c r="AN2435">
        <v>-116.790633</v>
      </c>
      <c r="AO2435">
        <v>25</v>
      </c>
      <c r="AP2435">
        <v>3200</v>
      </c>
      <c r="AQ2435" t="s">
        <v>129</v>
      </c>
      <c r="AR2435">
        <v>107</v>
      </c>
      <c r="AS2435">
        <v>-67</v>
      </c>
      <c r="AT2435">
        <v>640</v>
      </c>
      <c r="BB2435">
        <v>1200</v>
      </c>
      <c r="BC2435">
        <v>1</v>
      </c>
      <c r="BD2435" t="str">
        <f t="shared" si="878"/>
        <v xml:space="preserve">N887QR  </v>
      </c>
      <c r="BE2435">
        <v>1</v>
      </c>
      <c r="BJ2435">
        <v>2925</v>
      </c>
      <c r="BK2435">
        <v>-275</v>
      </c>
      <c r="BL2435" t="s">
        <v>163</v>
      </c>
      <c r="BM2435">
        <v>1</v>
      </c>
      <c r="BN2435">
        <v>1</v>
      </c>
      <c r="BO2435">
        <v>1</v>
      </c>
      <c r="BP2435">
        <v>0</v>
      </c>
      <c r="BS2435">
        <v>0</v>
      </c>
      <c r="BT2435">
        <v>0</v>
      </c>
      <c r="BU2435">
        <v>0</v>
      </c>
      <c r="CE2435" t="str">
        <f t="shared" si="876"/>
        <v>19:32:03.416</v>
      </c>
      <c r="CF2435">
        <v>415963138</v>
      </c>
      <c r="CS2435">
        <v>0</v>
      </c>
      <c r="CT2435">
        <v>2</v>
      </c>
      <c r="CU2435">
        <v>0</v>
      </c>
      <c r="CV2435">
        <v>2</v>
      </c>
      <c r="CW2435">
        <v>3</v>
      </c>
      <c r="CX2435">
        <v>5</v>
      </c>
      <c r="CY2435">
        <v>7</v>
      </c>
      <c r="CZ2435" t="s">
        <v>131</v>
      </c>
      <c r="DA2435">
        <v>300</v>
      </c>
      <c r="DB2435">
        <v>0</v>
      </c>
      <c r="DC2435" t="s">
        <v>176</v>
      </c>
      <c r="DD2435" t="s">
        <v>177</v>
      </c>
      <c r="DG2435">
        <v>5412056</v>
      </c>
      <c r="DI2435">
        <v>1</v>
      </c>
      <c r="DJ2435">
        <v>0</v>
      </c>
      <c r="DK2435">
        <v>1</v>
      </c>
      <c r="DL2435">
        <v>0</v>
      </c>
      <c r="DM2435">
        <v>0</v>
      </c>
      <c r="DN2435">
        <v>1</v>
      </c>
      <c r="DO2435">
        <v>0</v>
      </c>
      <c r="DP2435">
        <v>0</v>
      </c>
      <c r="DQ2435">
        <v>0</v>
      </c>
      <c r="DR2435">
        <v>0</v>
      </c>
      <c r="DS2435">
        <v>0</v>
      </c>
    </row>
    <row r="2436" spans="1:123" x14ac:dyDescent="0.3">
      <c r="A2436" t="str">
        <f>"10/04/2022 19:32:05.343"</f>
        <v>10/04/2022 19:32:05.343</v>
      </c>
      <c r="C2436" t="str">
        <f t="shared" si="867"/>
        <v>FFDDD3C0</v>
      </c>
      <c r="D2436" t="s">
        <v>141</v>
      </c>
      <c r="E2436">
        <v>3</v>
      </c>
      <c r="H2436">
        <v>3</v>
      </c>
      <c r="I2436" t="s">
        <v>146</v>
      </c>
      <c r="J2436" t="s">
        <v>138</v>
      </c>
      <c r="K2436">
        <v>0</v>
      </c>
      <c r="L2436">
        <v>3</v>
      </c>
      <c r="M2436">
        <v>0</v>
      </c>
      <c r="N2436">
        <v>2</v>
      </c>
      <c r="O2436">
        <v>0</v>
      </c>
      <c r="P2436">
        <v>1</v>
      </c>
      <c r="Q2436">
        <v>0</v>
      </c>
      <c r="S2436" t="str">
        <f t="shared" ref="S2436:T2440" si="879">"19:32:04.000"</f>
        <v>19:32:04.000</v>
      </c>
      <c r="T2436" t="str">
        <f t="shared" si="879"/>
        <v>19:32:04.000</v>
      </c>
      <c r="U2436" t="str">
        <f t="shared" si="877"/>
        <v>AC3944</v>
      </c>
      <c r="V2436">
        <v>0</v>
      </c>
      <c r="W2436">
        <v>0</v>
      </c>
      <c r="X2436">
        <v>2</v>
      </c>
      <c r="Y2436">
        <v>0</v>
      </c>
      <c r="AA2436">
        <v>1</v>
      </c>
      <c r="AB2436">
        <v>8</v>
      </c>
      <c r="AC2436">
        <v>3</v>
      </c>
      <c r="AD2436">
        <v>0</v>
      </c>
      <c r="AE2436">
        <v>9</v>
      </c>
      <c r="AF2436" t="s">
        <v>138</v>
      </c>
      <c r="AG2436">
        <v>0</v>
      </c>
      <c r="AH2436">
        <v>3</v>
      </c>
      <c r="AI2436">
        <v>1</v>
      </c>
      <c r="AJ2436">
        <v>0</v>
      </c>
      <c r="AK2436" t="s">
        <v>840</v>
      </c>
      <c r="AL2436">
        <v>32.757646999999999</v>
      </c>
      <c r="AM2436" t="s">
        <v>841</v>
      </c>
      <c r="AN2436">
        <v>-116.789474</v>
      </c>
      <c r="AO2436">
        <v>25</v>
      </c>
      <c r="AP2436">
        <v>3200</v>
      </c>
      <c r="AQ2436" t="s">
        <v>129</v>
      </c>
      <c r="AR2436">
        <v>106</v>
      </c>
      <c r="AS2436">
        <v>-68</v>
      </c>
      <c r="AT2436">
        <v>768</v>
      </c>
      <c r="BB2436">
        <v>1200</v>
      </c>
      <c r="BC2436">
        <v>1</v>
      </c>
      <c r="BD2436" t="str">
        <f t="shared" si="878"/>
        <v xml:space="preserve">N887QR  </v>
      </c>
      <c r="BE2436">
        <v>1</v>
      </c>
      <c r="BJ2436">
        <v>2950</v>
      </c>
      <c r="BK2436">
        <v>-250</v>
      </c>
      <c r="BL2436" t="s">
        <v>163</v>
      </c>
      <c r="BM2436">
        <v>1</v>
      </c>
      <c r="BN2436">
        <v>1</v>
      </c>
      <c r="BO2436">
        <v>1</v>
      </c>
      <c r="BP2436">
        <v>0</v>
      </c>
      <c r="BS2436">
        <v>0</v>
      </c>
      <c r="BT2436">
        <v>0</v>
      </c>
      <c r="BU2436">
        <v>0</v>
      </c>
      <c r="CE2436" t="str">
        <f>"19:32:04.935"</f>
        <v>19:32:04.935</v>
      </c>
      <c r="CF2436">
        <v>935468275</v>
      </c>
      <c r="CS2436">
        <v>0</v>
      </c>
      <c r="CT2436">
        <v>2</v>
      </c>
      <c r="CU2436">
        <v>0</v>
      </c>
      <c r="CV2436">
        <v>2</v>
      </c>
      <c r="CW2436">
        <v>1</v>
      </c>
      <c r="CX2436">
        <v>4</v>
      </c>
      <c r="CY2436">
        <v>7</v>
      </c>
      <c r="CZ2436" t="s">
        <v>131</v>
      </c>
      <c r="DA2436">
        <v>300</v>
      </c>
      <c r="DB2436">
        <v>0</v>
      </c>
      <c r="DC2436" t="s">
        <v>176</v>
      </c>
      <c r="DD2436" t="s">
        <v>177</v>
      </c>
      <c r="DG2436">
        <v>5412300</v>
      </c>
      <c r="DI2436">
        <v>1</v>
      </c>
      <c r="DJ2436">
        <v>0</v>
      </c>
      <c r="DK2436">
        <v>0</v>
      </c>
      <c r="DL2436">
        <v>0</v>
      </c>
      <c r="DM2436">
        <v>0</v>
      </c>
      <c r="DN2436">
        <v>1</v>
      </c>
      <c r="DO2436">
        <v>0</v>
      </c>
      <c r="DP2436">
        <v>0</v>
      </c>
      <c r="DQ2436">
        <v>0</v>
      </c>
      <c r="DR2436">
        <v>0</v>
      </c>
      <c r="DS2436">
        <v>0</v>
      </c>
    </row>
    <row r="2437" spans="1:123" x14ac:dyDescent="0.3">
      <c r="A2437" t="str">
        <f>"10/04/2022 19:32:05.343"</f>
        <v>10/04/2022 19:32:05.343</v>
      </c>
      <c r="C2437" t="str">
        <f t="shared" si="867"/>
        <v>FFDDD3C0</v>
      </c>
      <c r="D2437" t="s">
        <v>147</v>
      </c>
      <c r="E2437">
        <v>3</v>
      </c>
      <c r="H2437">
        <v>166</v>
      </c>
      <c r="I2437" t="s">
        <v>144</v>
      </c>
      <c r="J2437" t="s">
        <v>148</v>
      </c>
      <c r="K2437">
        <v>0</v>
      </c>
      <c r="L2437">
        <v>3</v>
      </c>
      <c r="M2437">
        <v>0</v>
      </c>
      <c r="N2437">
        <v>2</v>
      </c>
      <c r="O2437">
        <v>0</v>
      </c>
      <c r="P2437">
        <v>1</v>
      </c>
      <c r="Q2437">
        <v>0</v>
      </c>
      <c r="S2437" t="str">
        <f t="shared" si="879"/>
        <v>19:32:04.000</v>
      </c>
      <c r="T2437" t="str">
        <f t="shared" si="879"/>
        <v>19:32:04.000</v>
      </c>
      <c r="U2437" t="str">
        <f t="shared" si="877"/>
        <v>AC3944</v>
      </c>
      <c r="V2437">
        <v>0</v>
      </c>
      <c r="W2437">
        <v>0</v>
      </c>
      <c r="X2437">
        <v>2</v>
      </c>
      <c r="Y2437">
        <v>0</v>
      </c>
      <c r="AA2437">
        <v>1</v>
      </c>
      <c r="AB2437">
        <v>8</v>
      </c>
      <c r="AC2437">
        <v>3</v>
      </c>
      <c r="AD2437">
        <v>0</v>
      </c>
      <c r="AE2437">
        <v>9</v>
      </c>
      <c r="AF2437" t="s">
        <v>138</v>
      </c>
      <c r="AG2437">
        <v>0</v>
      </c>
      <c r="AH2437">
        <v>3</v>
      </c>
      <c r="AI2437">
        <v>1</v>
      </c>
      <c r="AJ2437">
        <v>0</v>
      </c>
      <c r="AK2437" t="s">
        <v>840</v>
      </c>
      <c r="AL2437">
        <v>32.757646999999999</v>
      </c>
      <c r="AM2437" t="s">
        <v>841</v>
      </c>
      <c r="AN2437">
        <v>-116.789474</v>
      </c>
      <c r="AO2437">
        <v>25</v>
      </c>
      <c r="AP2437">
        <v>3200</v>
      </c>
      <c r="AQ2437" t="s">
        <v>129</v>
      </c>
      <c r="AR2437">
        <v>106</v>
      </c>
      <c r="AS2437">
        <v>-68</v>
      </c>
      <c r="AT2437">
        <v>768</v>
      </c>
      <c r="BB2437">
        <v>1200</v>
      </c>
      <c r="BC2437">
        <v>1</v>
      </c>
      <c r="BD2437" t="str">
        <f t="shared" si="878"/>
        <v xml:space="preserve">N887QR  </v>
      </c>
      <c r="BE2437">
        <v>1</v>
      </c>
      <c r="BJ2437">
        <v>2950</v>
      </c>
      <c r="BK2437">
        <v>-250</v>
      </c>
      <c r="BL2437" t="s">
        <v>163</v>
      </c>
      <c r="BM2437">
        <v>1</v>
      </c>
      <c r="BN2437">
        <v>1</v>
      </c>
      <c r="BO2437">
        <v>1</v>
      </c>
      <c r="BP2437">
        <v>0</v>
      </c>
      <c r="BS2437">
        <v>0</v>
      </c>
      <c r="BT2437">
        <v>0</v>
      </c>
      <c r="BU2437">
        <v>0</v>
      </c>
      <c r="CE2437" t="str">
        <f>"19:32:04.935"</f>
        <v>19:32:04.935</v>
      </c>
      <c r="CF2437">
        <v>935468275</v>
      </c>
      <c r="CS2437">
        <v>0</v>
      </c>
      <c r="CT2437">
        <v>2</v>
      </c>
      <c r="CU2437">
        <v>0</v>
      </c>
      <c r="CV2437">
        <v>2</v>
      </c>
      <c r="CW2437">
        <v>1</v>
      </c>
      <c r="CX2437">
        <v>4</v>
      </c>
      <c r="CY2437">
        <v>7</v>
      </c>
      <c r="CZ2437" t="s">
        <v>131</v>
      </c>
      <c r="DA2437">
        <v>300</v>
      </c>
      <c r="DB2437">
        <v>0</v>
      </c>
      <c r="DC2437" t="s">
        <v>176</v>
      </c>
      <c r="DD2437" t="s">
        <v>177</v>
      </c>
      <c r="DG2437">
        <v>5412300</v>
      </c>
      <c r="DI2437">
        <v>1</v>
      </c>
      <c r="DJ2437">
        <v>0</v>
      </c>
      <c r="DK2437">
        <v>1</v>
      </c>
      <c r="DL2437">
        <v>0</v>
      </c>
      <c r="DM2437">
        <v>0</v>
      </c>
      <c r="DN2437">
        <v>1</v>
      </c>
      <c r="DO2437">
        <v>0</v>
      </c>
      <c r="DP2437">
        <v>0</v>
      </c>
      <c r="DQ2437">
        <v>0</v>
      </c>
      <c r="DR2437">
        <v>0</v>
      </c>
      <c r="DS2437">
        <v>0</v>
      </c>
    </row>
    <row r="2438" spans="1:123" x14ac:dyDescent="0.3">
      <c r="A2438" t="str">
        <f>"10/04/2022 19:32:05.343"</f>
        <v>10/04/2022 19:32:05.343</v>
      </c>
      <c r="C2438" t="str">
        <f t="shared" si="867"/>
        <v>FFDDD3C0</v>
      </c>
      <c r="D2438" t="s">
        <v>134</v>
      </c>
      <c r="E2438">
        <v>15</v>
      </c>
      <c r="J2438" t="s">
        <v>135</v>
      </c>
      <c r="K2438">
        <v>0</v>
      </c>
      <c r="L2438">
        <v>3</v>
      </c>
      <c r="M2438">
        <v>0</v>
      </c>
      <c r="N2438">
        <v>2</v>
      </c>
      <c r="O2438">
        <v>0</v>
      </c>
      <c r="P2438">
        <v>1</v>
      </c>
      <c r="Q2438">
        <v>0</v>
      </c>
      <c r="S2438" t="str">
        <f t="shared" si="879"/>
        <v>19:32:04.000</v>
      </c>
      <c r="T2438" t="str">
        <f t="shared" si="879"/>
        <v>19:32:04.000</v>
      </c>
      <c r="U2438" t="str">
        <f t="shared" si="877"/>
        <v>AC3944</v>
      </c>
      <c r="V2438">
        <v>0</v>
      </c>
      <c r="W2438">
        <v>0</v>
      </c>
      <c r="X2438">
        <v>2</v>
      </c>
      <c r="Y2438">
        <v>0</v>
      </c>
      <c r="AA2438">
        <v>1</v>
      </c>
      <c r="AB2438">
        <v>8</v>
      </c>
      <c r="AC2438">
        <v>3</v>
      </c>
      <c r="AD2438">
        <v>0</v>
      </c>
      <c r="AE2438">
        <v>9</v>
      </c>
      <c r="AF2438" t="s">
        <v>138</v>
      </c>
      <c r="AG2438">
        <v>0</v>
      </c>
      <c r="AH2438">
        <v>3</v>
      </c>
      <c r="AI2438">
        <v>1</v>
      </c>
      <c r="AJ2438">
        <v>0</v>
      </c>
      <c r="AK2438" t="s">
        <v>840</v>
      </c>
      <c r="AL2438">
        <v>32.757646999999999</v>
      </c>
      <c r="AM2438" t="s">
        <v>841</v>
      </c>
      <c r="AN2438">
        <v>-116.789474</v>
      </c>
      <c r="AO2438">
        <v>25</v>
      </c>
      <c r="AP2438">
        <v>3200</v>
      </c>
      <c r="AQ2438" t="s">
        <v>129</v>
      </c>
      <c r="AR2438">
        <v>106</v>
      </c>
      <c r="AS2438">
        <v>-68</v>
      </c>
      <c r="AT2438">
        <v>768</v>
      </c>
      <c r="BB2438">
        <v>1200</v>
      </c>
      <c r="BC2438">
        <v>1</v>
      </c>
      <c r="BD2438" t="str">
        <f t="shared" si="878"/>
        <v xml:space="preserve">N887QR  </v>
      </c>
      <c r="BE2438">
        <v>1</v>
      </c>
      <c r="BJ2438">
        <v>2950</v>
      </c>
      <c r="BK2438">
        <v>-250</v>
      </c>
      <c r="BL2438" t="s">
        <v>163</v>
      </c>
      <c r="BM2438">
        <v>1</v>
      </c>
      <c r="BN2438">
        <v>1</v>
      </c>
      <c r="BO2438">
        <v>1</v>
      </c>
      <c r="BP2438">
        <v>0</v>
      </c>
      <c r="BS2438">
        <v>0</v>
      </c>
      <c r="BT2438">
        <v>0</v>
      </c>
      <c r="BU2438">
        <v>0</v>
      </c>
      <c r="CE2438" t="str">
        <f>"19:32:04.935"</f>
        <v>19:32:04.935</v>
      </c>
      <c r="CF2438">
        <v>935468275</v>
      </c>
      <c r="CS2438">
        <v>0</v>
      </c>
      <c r="CT2438">
        <v>2</v>
      </c>
      <c r="CU2438">
        <v>0</v>
      </c>
      <c r="CV2438">
        <v>2</v>
      </c>
      <c r="CW2438">
        <v>1</v>
      </c>
      <c r="CX2438">
        <v>4</v>
      </c>
      <c r="CY2438">
        <v>7</v>
      </c>
      <c r="CZ2438" t="s">
        <v>131</v>
      </c>
      <c r="DA2438">
        <v>300</v>
      </c>
      <c r="DB2438">
        <v>0</v>
      </c>
      <c r="DC2438" t="s">
        <v>176</v>
      </c>
      <c r="DD2438" t="s">
        <v>177</v>
      </c>
      <c r="DG2438">
        <v>5412300</v>
      </c>
      <c r="DI2438">
        <v>1</v>
      </c>
      <c r="DJ2438">
        <v>0</v>
      </c>
      <c r="DK2438">
        <v>1</v>
      </c>
      <c r="DL2438">
        <v>0</v>
      </c>
      <c r="DM2438">
        <v>0</v>
      </c>
      <c r="DN2438">
        <v>1</v>
      </c>
      <c r="DO2438">
        <v>0</v>
      </c>
      <c r="DP2438">
        <v>0</v>
      </c>
      <c r="DQ2438">
        <v>0</v>
      </c>
      <c r="DR2438">
        <v>0</v>
      </c>
      <c r="DS2438">
        <v>0</v>
      </c>
    </row>
    <row r="2439" spans="1:123" x14ac:dyDescent="0.3">
      <c r="A2439" t="str">
        <f>"10/04/2022 19:32:05.343"</f>
        <v>10/04/2022 19:32:05.343</v>
      </c>
      <c r="C2439" t="str">
        <f t="shared" si="867"/>
        <v>FFDDD3C0</v>
      </c>
      <c r="D2439" t="s">
        <v>141</v>
      </c>
      <c r="E2439">
        <v>4</v>
      </c>
      <c r="H2439">
        <v>4</v>
      </c>
      <c r="I2439" t="s">
        <v>142</v>
      </c>
      <c r="J2439" t="s">
        <v>138</v>
      </c>
      <c r="K2439">
        <v>0</v>
      </c>
      <c r="L2439">
        <v>3</v>
      </c>
      <c r="M2439">
        <v>0</v>
      </c>
      <c r="N2439">
        <v>2</v>
      </c>
      <c r="O2439">
        <v>0</v>
      </c>
      <c r="P2439">
        <v>1</v>
      </c>
      <c r="Q2439">
        <v>0</v>
      </c>
      <c r="S2439" t="str">
        <f t="shared" si="879"/>
        <v>19:32:04.000</v>
      </c>
      <c r="T2439" t="str">
        <f t="shared" si="879"/>
        <v>19:32:04.000</v>
      </c>
      <c r="U2439" t="str">
        <f t="shared" si="877"/>
        <v>AC3944</v>
      </c>
      <c r="V2439">
        <v>0</v>
      </c>
      <c r="W2439">
        <v>0</v>
      </c>
      <c r="X2439">
        <v>2</v>
      </c>
      <c r="Y2439">
        <v>0</v>
      </c>
      <c r="AA2439">
        <v>1</v>
      </c>
      <c r="AB2439">
        <v>8</v>
      </c>
      <c r="AC2439">
        <v>3</v>
      </c>
      <c r="AD2439">
        <v>0</v>
      </c>
      <c r="AE2439">
        <v>9</v>
      </c>
      <c r="AF2439" t="s">
        <v>138</v>
      </c>
      <c r="AG2439">
        <v>0</v>
      </c>
      <c r="AH2439">
        <v>3</v>
      </c>
      <c r="AI2439">
        <v>1</v>
      </c>
      <c r="AJ2439">
        <v>0</v>
      </c>
      <c r="AK2439" t="s">
        <v>840</v>
      </c>
      <c r="AL2439">
        <v>32.757646999999999</v>
      </c>
      <c r="AM2439" t="s">
        <v>841</v>
      </c>
      <c r="AN2439">
        <v>-116.789474</v>
      </c>
      <c r="AO2439">
        <v>25</v>
      </c>
      <c r="AP2439">
        <v>3200</v>
      </c>
      <c r="AQ2439" t="s">
        <v>129</v>
      </c>
      <c r="AR2439">
        <v>106</v>
      </c>
      <c r="AS2439">
        <v>-68</v>
      </c>
      <c r="AT2439">
        <v>768</v>
      </c>
      <c r="BB2439">
        <v>1200</v>
      </c>
      <c r="BC2439">
        <v>1</v>
      </c>
      <c r="BD2439" t="str">
        <f t="shared" si="878"/>
        <v xml:space="preserve">N887QR  </v>
      </c>
      <c r="BE2439">
        <v>1</v>
      </c>
      <c r="BJ2439">
        <v>2950</v>
      </c>
      <c r="BK2439">
        <v>-250</v>
      </c>
      <c r="BL2439" t="s">
        <v>163</v>
      </c>
      <c r="BM2439">
        <v>1</v>
      </c>
      <c r="BN2439">
        <v>1</v>
      </c>
      <c r="BO2439">
        <v>1</v>
      </c>
      <c r="BP2439">
        <v>0</v>
      </c>
      <c r="BS2439">
        <v>0</v>
      </c>
      <c r="BT2439">
        <v>0</v>
      </c>
      <c r="BU2439">
        <v>0</v>
      </c>
      <c r="CE2439" t="str">
        <f>"19:32:04.935"</f>
        <v>19:32:04.935</v>
      </c>
      <c r="CF2439">
        <v>935468275</v>
      </c>
      <c r="CS2439">
        <v>0</v>
      </c>
      <c r="CT2439">
        <v>2</v>
      </c>
      <c r="CU2439">
        <v>0</v>
      </c>
      <c r="CV2439">
        <v>2</v>
      </c>
      <c r="CW2439">
        <v>1</v>
      </c>
      <c r="CX2439">
        <v>4</v>
      </c>
      <c r="CY2439">
        <v>7</v>
      </c>
      <c r="CZ2439" t="s">
        <v>131</v>
      </c>
      <c r="DA2439">
        <v>300</v>
      </c>
      <c r="DB2439">
        <v>0</v>
      </c>
      <c r="DC2439" t="s">
        <v>176</v>
      </c>
      <c r="DD2439" t="s">
        <v>177</v>
      </c>
      <c r="DG2439">
        <v>5412300</v>
      </c>
      <c r="DI2439">
        <v>1</v>
      </c>
      <c r="DJ2439">
        <v>0</v>
      </c>
      <c r="DK2439">
        <v>1</v>
      </c>
      <c r="DL2439">
        <v>0</v>
      </c>
      <c r="DM2439">
        <v>0</v>
      </c>
      <c r="DN2439">
        <v>1</v>
      </c>
      <c r="DO2439">
        <v>0</v>
      </c>
      <c r="DP2439">
        <v>0</v>
      </c>
      <c r="DQ2439">
        <v>0</v>
      </c>
      <c r="DR2439">
        <v>0</v>
      </c>
      <c r="DS2439">
        <v>0</v>
      </c>
    </row>
    <row r="2440" spans="1:123" x14ac:dyDescent="0.3">
      <c r="A2440" t="str">
        <f>"10/04/2022 19:32:05.343"</f>
        <v>10/04/2022 19:32:05.343</v>
      </c>
      <c r="C2440" t="str">
        <f t="shared" si="867"/>
        <v>FFDDD3C0</v>
      </c>
      <c r="D2440" t="s">
        <v>143</v>
      </c>
      <c r="E2440">
        <v>20</v>
      </c>
      <c r="F2440">
        <v>1020</v>
      </c>
      <c r="G2440" t="s">
        <v>144</v>
      </c>
      <c r="J2440" t="s">
        <v>145</v>
      </c>
      <c r="K2440">
        <v>0</v>
      </c>
      <c r="L2440">
        <v>3</v>
      </c>
      <c r="M2440">
        <v>0</v>
      </c>
      <c r="N2440">
        <v>2</v>
      </c>
      <c r="O2440">
        <v>0</v>
      </c>
      <c r="P2440">
        <v>1</v>
      </c>
      <c r="Q2440">
        <v>0</v>
      </c>
      <c r="S2440" t="str">
        <f t="shared" si="879"/>
        <v>19:32:04.000</v>
      </c>
      <c r="T2440" t="str">
        <f t="shared" si="879"/>
        <v>19:32:04.000</v>
      </c>
      <c r="U2440" t="str">
        <f t="shared" si="877"/>
        <v>AC3944</v>
      </c>
      <c r="V2440">
        <v>0</v>
      </c>
      <c r="W2440">
        <v>0</v>
      </c>
      <c r="X2440">
        <v>2</v>
      </c>
      <c r="Y2440">
        <v>0</v>
      </c>
      <c r="AA2440">
        <v>1</v>
      </c>
      <c r="AB2440">
        <v>8</v>
      </c>
      <c r="AC2440">
        <v>3</v>
      </c>
      <c r="AD2440">
        <v>0</v>
      </c>
      <c r="AE2440">
        <v>9</v>
      </c>
      <c r="AF2440" t="s">
        <v>138</v>
      </c>
      <c r="AG2440">
        <v>0</v>
      </c>
      <c r="AH2440">
        <v>3</v>
      </c>
      <c r="AI2440">
        <v>1</v>
      </c>
      <c r="AJ2440">
        <v>0</v>
      </c>
      <c r="AK2440" t="s">
        <v>840</v>
      </c>
      <c r="AL2440">
        <v>32.757646999999999</v>
      </c>
      <c r="AM2440" t="s">
        <v>841</v>
      </c>
      <c r="AN2440">
        <v>-116.789474</v>
      </c>
      <c r="AO2440">
        <v>25</v>
      </c>
      <c r="AP2440">
        <v>3200</v>
      </c>
      <c r="AQ2440" t="s">
        <v>129</v>
      </c>
      <c r="AR2440">
        <v>106</v>
      </c>
      <c r="AS2440">
        <v>-68</v>
      </c>
      <c r="AT2440">
        <v>768</v>
      </c>
      <c r="BB2440">
        <v>1200</v>
      </c>
      <c r="BC2440">
        <v>1</v>
      </c>
      <c r="BD2440" t="str">
        <f t="shared" si="878"/>
        <v xml:space="preserve">N887QR  </v>
      </c>
      <c r="BE2440">
        <v>1</v>
      </c>
      <c r="BJ2440">
        <v>2950</v>
      </c>
      <c r="BK2440">
        <v>-250</v>
      </c>
      <c r="BL2440" t="s">
        <v>163</v>
      </c>
      <c r="BM2440">
        <v>1</v>
      </c>
      <c r="BN2440">
        <v>1</v>
      </c>
      <c r="BO2440">
        <v>1</v>
      </c>
      <c r="BP2440">
        <v>0</v>
      </c>
      <c r="BS2440">
        <v>0</v>
      </c>
      <c r="BT2440">
        <v>0</v>
      </c>
      <c r="BU2440">
        <v>0</v>
      </c>
      <c r="CE2440" t="str">
        <f>"19:32:04.935"</f>
        <v>19:32:04.935</v>
      </c>
      <c r="CF2440">
        <v>935468275</v>
      </c>
      <c r="CS2440">
        <v>0</v>
      </c>
      <c r="CT2440">
        <v>2</v>
      </c>
      <c r="CU2440">
        <v>0</v>
      </c>
      <c r="CV2440">
        <v>2</v>
      </c>
      <c r="CW2440">
        <v>1</v>
      </c>
      <c r="CX2440">
        <v>4</v>
      </c>
      <c r="CY2440">
        <v>7</v>
      </c>
      <c r="CZ2440" t="s">
        <v>131</v>
      </c>
      <c r="DA2440">
        <v>300</v>
      </c>
      <c r="DB2440">
        <v>0</v>
      </c>
      <c r="DC2440" t="s">
        <v>176</v>
      </c>
      <c r="DD2440" t="s">
        <v>177</v>
      </c>
      <c r="DG2440">
        <v>5412300</v>
      </c>
      <c r="DI2440">
        <v>1</v>
      </c>
      <c r="DJ2440">
        <v>0</v>
      </c>
      <c r="DK2440">
        <v>1</v>
      </c>
      <c r="DL2440">
        <v>0</v>
      </c>
      <c r="DM2440">
        <v>0</v>
      </c>
      <c r="DN2440">
        <v>1</v>
      </c>
      <c r="DO2440">
        <v>0</v>
      </c>
      <c r="DP2440">
        <v>0</v>
      </c>
      <c r="DQ2440">
        <v>0</v>
      </c>
      <c r="DR2440">
        <v>0</v>
      </c>
      <c r="DS2440">
        <v>0</v>
      </c>
    </row>
    <row r="2441" spans="1:123" x14ac:dyDescent="0.3">
      <c r="A2441" t="str">
        <f>"10/04/2022 19:32:05.984"</f>
        <v>10/04/2022 19:32:05.984</v>
      </c>
      <c r="C2441" t="str">
        <f t="shared" si="867"/>
        <v>FFDDD3C0</v>
      </c>
      <c r="D2441" t="s">
        <v>147</v>
      </c>
      <c r="E2441">
        <v>3</v>
      </c>
      <c r="H2441">
        <v>166</v>
      </c>
      <c r="I2441" t="s">
        <v>144</v>
      </c>
      <c r="J2441" t="s">
        <v>148</v>
      </c>
      <c r="K2441">
        <v>0</v>
      </c>
      <c r="L2441">
        <v>3</v>
      </c>
      <c r="M2441">
        <v>0</v>
      </c>
      <c r="N2441">
        <v>2</v>
      </c>
      <c r="O2441">
        <v>0</v>
      </c>
      <c r="P2441">
        <v>1</v>
      </c>
      <c r="Q2441">
        <v>0</v>
      </c>
      <c r="S2441" t="str">
        <f t="shared" ref="S2441:T2447" si="880">"19:32:05.000"</f>
        <v>19:32:05.000</v>
      </c>
      <c r="T2441" t="str">
        <f t="shared" si="880"/>
        <v>19:32:05.000</v>
      </c>
      <c r="U2441" t="str">
        <f t="shared" si="877"/>
        <v>AC3944</v>
      </c>
      <c r="V2441">
        <v>0</v>
      </c>
      <c r="W2441">
        <v>0</v>
      </c>
      <c r="X2441">
        <v>2</v>
      </c>
      <c r="Y2441">
        <v>0</v>
      </c>
      <c r="AA2441">
        <v>1</v>
      </c>
      <c r="AB2441">
        <v>8</v>
      </c>
      <c r="AC2441">
        <v>3</v>
      </c>
      <c r="AD2441">
        <v>0</v>
      </c>
      <c r="AE2441">
        <v>9</v>
      </c>
      <c r="AF2441" t="s">
        <v>138</v>
      </c>
      <c r="AG2441">
        <v>0</v>
      </c>
      <c r="AH2441">
        <v>3</v>
      </c>
      <c r="AI2441">
        <v>1</v>
      </c>
      <c r="AJ2441">
        <v>0</v>
      </c>
      <c r="AK2441" t="s">
        <v>842</v>
      </c>
      <c r="AL2441">
        <v>32.757347000000003</v>
      </c>
      <c r="AM2441" t="s">
        <v>843</v>
      </c>
      <c r="AN2441">
        <v>-116.788895</v>
      </c>
      <c r="AO2441">
        <v>25</v>
      </c>
      <c r="AP2441">
        <v>3200</v>
      </c>
      <c r="AQ2441" t="s">
        <v>129</v>
      </c>
      <c r="AR2441">
        <v>106</v>
      </c>
      <c r="AS2441">
        <v>-68</v>
      </c>
      <c r="AT2441">
        <v>768</v>
      </c>
      <c r="BB2441">
        <v>1200</v>
      </c>
      <c r="BC2441">
        <v>1</v>
      </c>
      <c r="BD2441" t="str">
        <f t="shared" si="878"/>
        <v xml:space="preserve">N887QR  </v>
      </c>
      <c r="BE2441">
        <v>1</v>
      </c>
      <c r="BJ2441">
        <v>2950</v>
      </c>
      <c r="BK2441">
        <v>-250</v>
      </c>
      <c r="BL2441" t="s">
        <v>163</v>
      </c>
      <c r="BM2441">
        <v>1</v>
      </c>
      <c r="BN2441">
        <v>1</v>
      </c>
      <c r="BO2441">
        <v>1</v>
      </c>
      <c r="BP2441">
        <v>0</v>
      </c>
      <c r="BS2441">
        <v>0</v>
      </c>
      <c r="BT2441">
        <v>0</v>
      </c>
      <c r="BU2441">
        <v>0</v>
      </c>
      <c r="CE2441" t="str">
        <f t="shared" ref="CE2441:CE2447" si="881">"19:32:05.742"</f>
        <v>19:32:05.742</v>
      </c>
      <c r="CF2441">
        <v>742221038</v>
      </c>
      <c r="CS2441">
        <v>0</v>
      </c>
      <c r="CT2441">
        <v>2</v>
      </c>
      <c r="CU2441">
        <v>0</v>
      </c>
      <c r="CV2441">
        <v>2</v>
      </c>
      <c r="CW2441">
        <v>0</v>
      </c>
      <c r="CX2441">
        <v>5</v>
      </c>
      <c r="CY2441">
        <v>7</v>
      </c>
      <c r="CZ2441" t="s">
        <v>131</v>
      </c>
      <c r="DA2441">
        <v>300</v>
      </c>
      <c r="DB2441">
        <v>0</v>
      </c>
      <c r="DC2441" t="s">
        <v>176</v>
      </c>
      <c r="DD2441" t="s">
        <v>177</v>
      </c>
      <c r="DG2441">
        <v>5412429</v>
      </c>
      <c r="DI2441">
        <v>1</v>
      </c>
      <c r="DJ2441">
        <v>0</v>
      </c>
      <c r="DK2441">
        <v>0</v>
      </c>
      <c r="DL2441">
        <v>0</v>
      </c>
      <c r="DM2441">
        <v>0</v>
      </c>
      <c r="DN2441">
        <v>1</v>
      </c>
      <c r="DO2441">
        <v>0</v>
      </c>
      <c r="DP2441">
        <v>0</v>
      </c>
      <c r="DQ2441">
        <v>0</v>
      </c>
      <c r="DR2441">
        <v>0</v>
      </c>
      <c r="DS2441">
        <v>0</v>
      </c>
    </row>
    <row r="2442" spans="1:123" x14ac:dyDescent="0.3">
      <c r="A2442" t="str">
        <f>"10/04/2022 19:32:05.984"</f>
        <v>10/04/2022 19:32:05.984</v>
      </c>
      <c r="C2442" t="str">
        <f t="shared" si="867"/>
        <v>FFDDD3C0</v>
      </c>
      <c r="D2442" t="s">
        <v>136</v>
      </c>
      <c r="E2442">
        <v>8</v>
      </c>
      <c r="H2442">
        <v>225</v>
      </c>
      <c r="I2442" t="s">
        <v>137</v>
      </c>
      <c r="J2442" t="s">
        <v>138</v>
      </c>
      <c r="K2442">
        <v>0</v>
      </c>
      <c r="L2442">
        <v>3</v>
      </c>
      <c r="M2442">
        <v>0</v>
      </c>
      <c r="N2442">
        <v>2</v>
      </c>
      <c r="O2442">
        <v>0</v>
      </c>
      <c r="P2442">
        <v>1</v>
      </c>
      <c r="Q2442">
        <v>0</v>
      </c>
      <c r="S2442" t="str">
        <f t="shared" si="880"/>
        <v>19:32:05.000</v>
      </c>
      <c r="T2442" t="str">
        <f t="shared" si="880"/>
        <v>19:32:05.000</v>
      </c>
      <c r="U2442" t="str">
        <f t="shared" si="877"/>
        <v>AC3944</v>
      </c>
      <c r="V2442">
        <v>0</v>
      </c>
      <c r="W2442">
        <v>0</v>
      </c>
      <c r="X2442">
        <v>2</v>
      </c>
      <c r="Y2442">
        <v>0</v>
      </c>
      <c r="AA2442">
        <v>1</v>
      </c>
      <c r="AB2442">
        <v>8</v>
      </c>
      <c r="AC2442">
        <v>3</v>
      </c>
      <c r="AD2442">
        <v>0</v>
      </c>
      <c r="AE2442">
        <v>9</v>
      </c>
      <c r="AF2442" t="s">
        <v>138</v>
      </c>
      <c r="AG2442">
        <v>0</v>
      </c>
      <c r="AH2442">
        <v>3</v>
      </c>
      <c r="AI2442">
        <v>1</v>
      </c>
      <c r="AJ2442">
        <v>0</v>
      </c>
      <c r="AK2442" t="s">
        <v>842</v>
      </c>
      <c r="AL2442">
        <v>32.757347000000003</v>
      </c>
      <c r="AM2442" t="s">
        <v>843</v>
      </c>
      <c r="AN2442">
        <v>-116.788895</v>
      </c>
      <c r="AO2442">
        <v>25</v>
      </c>
      <c r="AP2442">
        <v>3200</v>
      </c>
      <c r="AQ2442" t="s">
        <v>129</v>
      </c>
      <c r="AR2442">
        <v>106</v>
      </c>
      <c r="AS2442">
        <v>-68</v>
      </c>
      <c r="AT2442">
        <v>768</v>
      </c>
      <c r="BB2442">
        <v>1200</v>
      </c>
      <c r="BC2442">
        <v>1</v>
      </c>
      <c r="BD2442" t="str">
        <f t="shared" si="878"/>
        <v xml:space="preserve">N887QR  </v>
      </c>
      <c r="BE2442">
        <v>1</v>
      </c>
      <c r="BJ2442">
        <v>2950</v>
      </c>
      <c r="BK2442">
        <v>-250</v>
      </c>
      <c r="BL2442" t="s">
        <v>163</v>
      </c>
      <c r="BM2442">
        <v>1</v>
      </c>
      <c r="BN2442">
        <v>1</v>
      </c>
      <c r="BO2442">
        <v>1</v>
      </c>
      <c r="BP2442">
        <v>0</v>
      </c>
      <c r="BS2442">
        <v>0</v>
      </c>
      <c r="BT2442">
        <v>0</v>
      </c>
      <c r="BU2442">
        <v>0</v>
      </c>
      <c r="CE2442" t="str">
        <f t="shared" si="881"/>
        <v>19:32:05.742</v>
      </c>
      <c r="CF2442">
        <v>742221038</v>
      </c>
      <c r="CS2442">
        <v>0</v>
      </c>
      <c r="CT2442">
        <v>2</v>
      </c>
      <c r="CU2442">
        <v>0</v>
      </c>
      <c r="CV2442">
        <v>2</v>
      </c>
      <c r="CW2442">
        <v>0</v>
      </c>
      <c r="CX2442">
        <v>5</v>
      </c>
      <c r="CY2442">
        <v>7</v>
      </c>
      <c r="CZ2442" t="s">
        <v>131</v>
      </c>
      <c r="DA2442">
        <v>300</v>
      </c>
      <c r="DB2442">
        <v>0</v>
      </c>
      <c r="DC2442" t="s">
        <v>176</v>
      </c>
      <c r="DD2442" t="s">
        <v>177</v>
      </c>
      <c r="DG2442">
        <v>5412429</v>
      </c>
      <c r="DI2442">
        <v>1</v>
      </c>
      <c r="DJ2442">
        <v>0</v>
      </c>
      <c r="DK2442">
        <v>1</v>
      </c>
      <c r="DL2442">
        <v>0</v>
      </c>
      <c r="DM2442">
        <v>0</v>
      </c>
      <c r="DN2442">
        <v>1</v>
      </c>
      <c r="DO2442">
        <v>0</v>
      </c>
      <c r="DP2442">
        <v>0</v>
      </c>
      <c r="DQ2442">
        <v>0</v>
      </c>
      <c r="DR2442">
        <v>0</v>
      </c>
      <c r="DS2442">
        <v>0</v>
      </c>
    </row>
    <row r="2443" spans="1:123" x14ac:dyDescent="0.3">
      <c r="A2443" t="str">
        <f>"10/04/2022 19:32:05.984"</f>
        <v>10/04/2022 19:32:05.984</v>
      </c>
      <c r="C2443" t="str">
        <f t="shared" si="867"/>
        <v>FFDDD3C0</v>
      </c>
      <c r="D2443" t="s">
        <v>134</v>
      </c>
      <c r="E2443">
        <v>15</v>
      </c>
      <c r="J2443" t="s">
        <v>135</v>
      </c>
      <c r="K2443">
        <v>0</v>
      </c>
      <c r="L2443">
        <v>3</v>
      </c>
      <c r="M2443">
        <v>0</v>
      </c>
      <c r="N2443">
        <v>2</v>
      </c>
      <c r="O2443">
        <v>0</v>
      </c>
      <c r="P2443">
        <v>1</v>
      </c>
      <c r="Q2443">
        <v>0</v>
      </c>
      <c r="S2443" t="str">
        <f t="shared" si="880"/>
        <v>19:32:05.000</v>
      </c>
      <c r="T2443" t="str">
        <f t="shared" si="880"/>
        <v>19:32:05.000</v>
      </c>
      <c r="U2443" t="str">
        <f t="shared" si="877"/>
        <v>AC3944</v>
      </c>
      <c r="V2443">
        <v>0</v>
      </c>
      <c r="W2443">
        <v>0</v>
      </c>
      <c r="X2443">
        <v>2</v>
      </c>
      <c r="Y2443">
        <v>0</v>
      </c>
      <c r="AA2443">
        <v>1</v>
      </c>
      <c r="AB2443">
        <v>8</v>
      </c>
      <c r="AC2443">
        <v>3</v>
      </c>
      <c r="AD2443">
        <v>0</v>
      </c>
      <c r="AE2443">
        <v>9</v>
      </c>
      <c r="AF2443" t="s">
        <v>138</v>
      </c>
      <c r="AG2443">
        <v>0</v>
      </c>
      <c r="AH2443">
        <v>3</v>
      </c>
      <c r="AI2443">
        <v>1</v>
      </c>
      <c r="AJ2443">
        <v>0</v>
      </c>
      <c r="AK2443" t="s">
        <v>842</v>
      </c>
      <c r="AL2443">
        <v>32.757347000000003</v>
      </c>
      <c r="AM2443" t="s">
        <v>843</v>
      </c>
      <c r="AN2443">
        <v>-116.788895</v>
      </c>
      <c r="AO2443">
        <v>25</v>
      </c>
      <c r="AP2443">
        <v>3200</v>
      </c>
      <c r="AQ2443" t="s">
        <v>129</v>
      </c>
      <c r="AR2443">
        <v>106</v>
      </c>
      <c r="AS2443">
        <v>-68</v>
      </c>
      <c r="AT2443">
        <v>768</v>
      </c>
      <c r="BB2443">
        <v>1200</v>
      </c>
      <c r="BC2443">
        <v>1</v>
      </c>
      <c r="BD2443" t="str">
        <f t="shared" si="878"/>
        <v xml:space="preserve">N887QR  </v>
      </c>
      <c r="BE2443">
        <v>1</v>
      </c>
      <c r="BJ2443">
        <v>2950</v>
      </c>
      <c r="BK2443">
        <v>-250</v>
      </c>
      <c r="BL2443" t="s">
        <v>163</v>
      </c>
      <c r="BM2443">
        <v>1</v>
      </c>
      <c r="BN2443">
        <v>1</v>
      </c>
      <c r="BO2443">
        <v>1</v>
      </c>
      <c r="BP2443">
        <v>0</v>
      </c>
      <c r="BS2443">
        <v>0</v>
      </c>
      <c r="BT2443">
        <v>0</v>
      </c>
      <c r="BU2443">
        <v>0</v>
      </c>
      <c r="CE2443" t="str">
        <f t="shared" si="881"/>
        <v>19:32:05.742</v>
      </c>
      <c r="CF2443">
        <v>742221038</v>
      </c>
      <c r="CS2443">
        <v>0</v>
      </c>
      <c r="CT2443">
        <v>2</v>
      </c>
      <c r="CU2443">
        <v>0</v>
      </c>
      <c r="CV2443">
        <v>2</v>
      </c>
      <c r="CW2443">
        <v>0</v>
      </c>
      <c r="CX2443">
        <v>5</v>
      </c>
      <c r="CY2443">
        <v>7</v>
      </c>
      <c r="CZ2443" t="s">
        <v>131</v>
      </c>
      <c r="DA2443">
        <v>300</v>
      </c>
      <c r="DB2443">
        <v>0</v>
      </c>
      <c r="DC2443" t="s">
        <v>176</v>
      </c>
      <c r="DD2443" t="s">
        <v>177</v>
      </c>
      <c r="DG2443">
        <v>5412429</v>
      </c>
      <c r="DI2443">
        <v>1</v>
      </c>
      <c r="DJ2443">
        <v>0</v>
      </c>
      <c r="DK2443">
        <v>1</v>
      </c>
      <c r="DL2443">
        <v>0</v>
      </c>
      <c r="DM2443">
        <v>0</v>
      </c>
      <c r="DN2443">
        <v>1</v>
      </c>
      <c r="DO2443">
        <v>0</v>
      </c>
      <c r="DP2443">
        <v>0</v>
      </c>
      <c r="DQ2443">
        <v>0</v>
      </c>
      <c r="DR2443">
        <v>0</v>
      </c>
      <c r="DS2443">
        <v>0</v>
      </c>
    </row>
    <row r="2444" spans="1:123" x14ac:dyDescent="0.3">
      <c r="A2444" t="str">
        <f>"10/04/2022 19:32:06.062"</f>
        <v>10/04/2022 19:32:06.062</v>
      </c>
      <c r="C2444" t="str">
        <f t="shared" si="867"/>
        <v>FFDDD3C0</v>
      </c>
      <c r="D2444" t="s">
        <v>141</v>
      </c>
      <c r="E2444">
        <v>4</v>
      </c>
      <c r="H2444">
        <v>4</v>
      </c>
      <c r="I2444" t="s">
        <v>142</v>
      </c>
      <c r="J2444" t="s">
        <v>138</v>
      </c>
      <c r="K2444">
        <v>0</v>
      </c>
      <c r="L2444">
        <v>3</v>
      </c>
      <c r="M2444">
        <v>0</v>
      </c>
      <c r="N2444">
        <v>2</v>
      </c>
      <c r="O2444">
        <v>0</v>
      </c>
      <c r="P2444">
        <v>1</v>
      </c>
      <c r="Q2444">
        <v>0</v>
      </c>
      <c r="S2444" t="str">
        <f t="shared" si="880"/>
        <v>19:32:05.000</v>
      </c>
      <c r="T2444" t="str">
        <f t="shared" si="880"/>
        <v>19:32:05.000</v>
      </c>
      <c r="U2444" t="str">
        <f t="shared" si="877"/>
        <v>AC3944</v>
      </c>
      <c r="V2444">
        <v>0</v>
      </c>
      <c r="W2444">
        <v>0</v>
      </c>
      <c r="X2444">
        <v>2</v>
      </c>
      <c r="Y2444">
        <v>0</v>
      </c>
      <c r="AA2444">
        <v>1</v>
      </c>
      <c r="AB2444">
        <v>8</v>
      </c>
      <c r="AC2444">
        <v>3</v>
      </c>
      <c r="AD2444">
        <v>0</v>
      </c>
      <c r="AE2444">
        <v>9</v>
      </c>
      <c r="AF2444" t="s">
        <v>138</v>
      </c>
      <c r="AG2444">
        <v>0</v>
      </c>
      <c r="AH2444">
        <v>3</v>
      </c>
      <c r="AI2444">
        <v>1</v>
      </c>
      <c r="AJ2444">
        <v>0</v>
      </c>
      <c r="AK2444" t="s">
        <v>842</v>
      </c>
      <c r="AL2444">
        <v>32.757347000000003</v>
      </c>
      <c r="AM2444" t="s">
        <v>843</v>
      </c>
      <c r="AN2444">
        <v>-116.788895</v>
      </c>
      <c r="AO2444">
        <v>25</v>
      </c>
      <c r="AP2444">
        <v>3200</v>
      </c>
      <c r="AQ2444" t="s">
        <v>129</v>
      </c>
      <c r="AR2444">
        <v>106</v>
      </c>
      <c r="AS2444">
        <v>-68</v>
      </c>
      <c r="AT2444">
        <v>768</v>
      </c>
      <c r="BB2444">
        <v>1200</v>
      </c>
      <c r="BC2444">
        <v>1</v>
      </c>
      <c r="BD2444" t="str">
        <f t="shared" si="878"/>
        <v xml:space="preserve">N887QR  </v>
      </c>
      <c r="BE2444">
        <v>1</v>
      </c>
      <c r="BJ2444">
        <v>2950</v>
      </c>
      <c r="BK2444">
        <v>-250</v>
      </c>
      <c r="BL2444" t="s">
        <v>163</v>
      </c>
      <c r="BM2444">
        <v>1</v>
      </c>
      <c r="BN2444">
        <v>1</v>
      </c>
      <c r="BO2444">
        <v>1</v>
      </c>
      <c r="BP2444">
        <v>0</v>
      </c>
      <c r="BS2444">
        <v>0</v>
      </c>
      <c r="BT2444">
        <v>0</v>
      </c>
      <c r="BU2444">
        <v>0</v>
      </c>
      <c r="CE2444" t="str">
        <f t="shared" si="881"/>
        <v>19:32:05.742</v>
      </c>
      <c r="CF2444">
        <v>742221038</v>
      </c>
      <c r="CS2444">
        <v>0</v>
      </c>
      <c r="CT2444">
        <v>2</v>
      </c>
      <c r="CU2444">
        <v>0</v>
      </c>
      <c r="CV2444">
        <v>2</v>
      </c>
      <c r="CW2444">
        <v>0</v>
      </c>
      <c r="CX2444">
        <v>5</v>
      </c>
      <c r="CY2444">
        <v>7</v>
      </c>
      <c r="CZ2444" t="s">
        <v>131</v>
      </c>
      <c r="DA2444">
        <v>300</v>
      </c>
      <c r="DB2444">
        <v>0</v>
      </c>
      <c r="DC2444" t="s">
        <v>176</v>
      </c>
      <c r="DD2444" t="s">
        <v>177</v>
      </c>
      <c r="DG2444">
        <v>5412429</v>
      </c>
      <c r="DI2444">
        <v>1</v>
      </c>
      <c r="DJ2444">
        <v>0</v>
      </c>
      <c r="DK2444">
        <v>1</v>
      </c>
      <c r="DL2444">
        <v>0</v>
      </c>
      <c r="DM2444">
        <v>0</v>
      </c>
      <c r="DN2444">
        <v>1</v>
      </c>
      <c r="DO2444">
        <v>0</v>
      </c>
      <c r="DP2444">
        <v>0</v>
      </c>
      <c r="DQ2444">
        <v>0</v>
      </c>
      <c r="DR2444">
        <v>0</v>
      </c>
      <c r="DS2444">
        <v>0</v>
      </c>
    </row>
    <row r="2445" spans="1:123" x14ac:dyDescent="0.3">
      <c r="A2445" t="str">
        <f>"10/04/2022 19:32:06.062"</f>
        <v>10/04/2022 19:32:06.062</v>
      </c>
      <c r="C2445" t="str">
        <f t="shared" si="867"/>
        <v>FFDDD3C0</v>
      </c>
      <c r="D2445" t="s">
        <v>143</v>
      </c>
      <c r="E2445">
        <v>20</v>
      </c>
      <c r="F2445">
        <v>1020</v>
      </c>
      <c r="G2445" t="s">
        <v>144</v>
      </c>
      <c r="J2445" t="s">
        <v>145</v>
      </c>
      <c r="K2445">
        <v>0</v>
      </c>
      <c r="L2445">
        <v>3</v>
      </c>
      <c r="M2445">
        <v>0</v>
      </c>
      <c r="N2445">
        <v>2</v>
      </c>
      <c r="O2445">
        <v>0</v>
      </c>
      <c r="P2445">
        <v>1</v>
      </c>
      <c r="Q2445">
        <v>0</v>
      </c>
      <c r="S2445" t="str">
        <f t="shared" si="880"/>
        <v>19:32:05.000</v>
      </c>
      <c r="T2445" t="str">
        <f t="shared" si="880"/>
        <v>19:32:05.000</v>
      </c>
      <c r="U2445" t="str">
        <f t="shared" si="877"/>
        <v>AC3944</v>
      </c>
      <c r="V2445">
        <v>0</v>
      </c>
      <c r="W2445">
        <v>0</v>
      </c>
      <c r="X2445">
        <v>2</v>
      </c>
      <c r="Y2445">
        <v>0</v>
      </c>
      <c r="AA2445">
        <v>1</v>
      </c>
      <c r="AB2445">
        <v>8</v>
      </c>
      <c r="AC2445">
        <v>3</v>
      </c>
      <c r="AD2445">
        <v>0</v>
      </c>
      <c r="AE2445">
        <v>9</v>
      </c>
      <c r="AF2445" t="s">
        <v>138</v>
      </c>
      <c r="AG2445">
        <v>0</v>
      </c>
      <c r="AH2445">
        <v>3</v>
      </c>
      <c r="AI2445">
        <v>1</v>
      </c>
      <c r="AJ2445">
        <v>0</v>
      </c>
      <c r="AK2445" t="s">
        <v>842</v>
      </c>
      <c r="AL2445">
        <v>32.757347000000003</v>
      </c>
      <c r="AM2445" t="s">
        <v>843</v>
      </c>
      <c r="AN2445">
        <v>-116.788895</v>
      </c>
      <c r="AO2445">
        <v>25</v>
      </c>
      <c r="AP2445">
        <v>3200</v>
      </c>
      <c r="AQ2445" t="s">
        <v>129</v>
      </c>
      <c r="AR2445">
        <v>106</v>
      </c>
      <c r="AS2445">
        <v>-68</v>
      </c>
      <c r="AT2445">
        <v>768</v>
      </c>
      <c r="BB2445">
        <v>1200</v>
      </c>
      <c r="BC2445">
        <v>1</v>
      </c>
      <c r="BD2445" t="str">
        <f t="shared" si="878"/>
        <v xml:space="preserve">N887QR  </v>
      </c>
      <c r="BE2445">
        <v>1</v>
      </c>
      <c r="BJ2445">
        <v>2950</v>
      </c>
      <c r="BK2445">
        <v>-250</v>
      </c>
      <c r="BL2445" t="s">
        <v>163</v>
      </c>
      <c r="BM2445">
        <v>1</v>
      </c>
      <c r="BN2445">
        <v>1</v>
      </c>
      <c r="BO2445">
        <v>1</v>
      </c>
      <c r="BP2445">
        <v>0</v>
      </c>
      <c r="BS2445">
        <v>0</v>
      </c>
      <c r="BT2445">
        <v>0</v>
      </c>
      <c r="BU2445">
        <v>0</v>
      </c>
      <c r="CE2445" t="str">
        <f t="shared" si="881"/>
        <v>19:32:05.742</v>
      </c>
      <c r="CF2445">
        <v>742221038</v>
      </c>
      <c r="CS2445">
        <v>0</v>
      </c>
      <c r="CT2445">
        <v>2</v>
      </c>
      <c r="CU2445">
        <v>0</v>
      </c>
      <c r="CV2445">
        <v>2</v>
      </c>
      <c r="CW2445">
        <v>0</v>
      </c>
      <c r="CX2445">
        <v>5</v>
      </c>
      <c r="CY2445">
        <v>7</v>
      </c>
      <c r="CZ2445" t="s">
        <v>131</v>
      </c>
      <c r="DA2445">
        <v>300</v>
      </c>
      <c r="DB2445">
        <v>0</v>
      </c>
      <c r="DC2445" t="s">
        <v>176</v>
      </c>
      <c r="DD2445" t="s">
        <v>177</v>
      </c>
      <c r="DG2445">
        <v>5412429</v>
      </c>
      <c r="DI2445">
        <v>1</v>
      </c>
      <c r="DJ2445">
        <v>0</v>
      </c>
      <c r="DK2445">
        <v>1</v>
      </c>
      <c r="DL2445">
        <v>0</v>
      </c>
      <c r="DM2445">
        <v>0</v>
      </c>
      <c r="DN2445">
        <v>1</v>
      </c>
      <c r="DO2445">
        <v>0</v>
      </c>
      <c r="DP2445">
        <v>0</v>
      </c>
      <c r="DQ2445">
        <v>0</v>
      </c>
      <c r="DR2445">
        <v>0</v>
      </c>
      <c r="DS2445">
        <v>0</v>
      </c>
    </row>
    <row r="2446" spans="1:123" x14ac:dyDescent="0.3">
      <c r="A2446" t="str">
        <f>"10/04/2022 19:32:06.078"</f>
        <v>10/04/2022 19:32:06.078</v>
      </c>
      <c r="C2446" t="str">
        <f t="shared" si="867"/>
        <v>FFDDD3C0</v>
      </c>
      <c r="D2446" t="s">
        <v>123</v>
      </c>
      <c r="E2446">
        <v>7</v>
      </c>
      <c r="F2446">
        <v>2007</v>
      </c>
      <c r="G2446" t="s">
        <v>124</v>
      </c>
      <c r="J2446" t="s">
        <v>125</v>
      </c>
      <c r="K2446">
        <v>0</v>
      </c>
      <c r="L2446">
        <v>3</v>
      </c>
      <c r="M2446">
        <v>0</v>
      </c>
      <c r="N2446">
        <v>2</v>
      </c>
      <c r="O2446">
        <v>0</v>
      </c>
      <c r="P2446">
        <v>1</v>
      </c>
      <c r="Q2446">
        <v>0</v>
      </c>
      <c r="S2446" t="str">
        <f t="shared" si="880"/>
        <v>19:32:05.000</v>
      </c>
      <c r="T2446" t="str">
        <f t="shared" si="880"/>
        <v>19:32:05.000</v>
      </c>
      <c r="U2446" t="str">
        <f t="shared" si="877"/>
        <v>AC3944</v>
      </c>
      <c r="V2446">
        <v>0</v>
      </c>
      <c r="W2446">
        <v>0</v>
      </c>
      <c r="X2446">
        <v>2</v>
      </c>
      <c r="Y2446">
        <v>0</v>
      </c>
      <c r="AA2446">
        <v>1</v>
      </c>
      <c r="AB2446">
        <v>8</v>
      </c>
      <c r="AC2446">
        <v>3</v>
      </c>
      <c r="AD2446">
        <v>0</v>
      </c>
      <c r="AE2446">
        <v>9</v>
      </c>
      <c r="AF2446" t="s">
        <v>138</v>
      </c>
      <c r="AG2446">
        <v>0</v>
      </c>
      <c r="AH2446">
        <v>3</v>
      </c>
      <c r="AI2446">
        <v>1</v>
      </c>
      <c r="AJ2446">
        <v>0</v>
      </c>
      <c r="AK2446" t="s">
        <v>842</v>
      </c>
      <c r="AL2446">
        <v>32.757347000000003</v>
      </c>
      <c r="AM2446" t="s">
        <v>843</v>
      </c>
      <c r="AN2446">
        <v>-116.788895</v>
      </c>
      <c r="AO2446">
        <v>25</v>
      </c>
      <c r="AP2446">
        <v>3200</v>
      </c>
      <c r="AQ2446" t="s">
        <v>129</v>
      </c>
      <c r="AR2446">
        <v>106</v>
      </c>
      <c r="AS2446">
        <v>-68</v>
      </c>
      <c r="AT2446">
        <v>768</v>
      </c>
      <c r="BB2446">
        <v>1200</v>
      </c>
      <c r="BC2446">
        <v>1</v>
      </c>
      <c r="BD2446" t="str">
        <f t="shared" si="878"/>
        <v xml:space="preserve">N887QR  </v>
      </c>
      <c r="BE2446">
        <v>1</v>
      </c>
      <c r="BJ2446">
        <v>2950</v>
      </c>
      <c r="BK2446">
        <v>-250</v>
      </c>
      <c r="BL2446" t="s">
        <v>163</v>
      </c>
      <c r="BM2446">
        <v>1</v>
      </c>
      <c r="BN2446">
        <v>1</v>
      </c>
      <c r="BO2446">
        <v>1</v>
      </c>
      <c r="BP2446">
        <v>0</v>
      </c>
      <c r="BS2446">
        <v>0</v>
      </c>
      <c r="BT2446">
        <v>0</v>
      </c>
      <c r="BU2446">
        <v>0</v>
      </c>
      <c r="CE2446" t="str">
        <f t="shared" si="881"/>
        <v>19:32:05.742</v>
      </c>
      <c r="CF2446">
        <v>742221038</v>
      </c>
      <c r="CS2446">
        <v>0</v>
      </c>
      <c r="CT2446">
        <v>2</v>
      </c>
      <c r="CU2446">
        <v>0</v>
      </c>
      <c r="CV2446">
        <v>2</v>
      </c>
      <c r="CW2446">
        <v>0</v>
      </c>
      <c r="CX2446">
        <v>5</v>
      </c>
      <c r="CY2446">
        <v>7</v>
      </c>
      <c r="CZ2446" t="s">
        <v>131</v>
      </c>
      <c r="DA2446">
        <v>300</v>
      </c>
      <c r="DB2446">
        <v>0</v>
      </c>
      <c r="DC2446" t="s">
        <v>176</v>
      </c>
      <c r="DD2446" t="s">
        <v>177</v>
      </c>
      <c r="DG2446">
        <v>5412429</v>
      </c>
      <c r="DI2446">
        <v>1</v>
      </c>
      <c r="DJ2446">
        <v>0</v>
      </c>
      <c r="DK2446">
        <v>1</v>
      </c>
      <c r="DL2446">
        <v>0</v>
      </c>
      <c r="DM2446">
        <v>0</v>
      </c>
      <c r="DN2446">
        <v>1</v>
      </c>
      <c r="DO2446">
        <v>0</v>
      </c>
      <c r="DP2446">
        <v>0</v>
      </c>
      <c r="DQ2446">
        <v>0</v>
      </c>
      <c r="DR2446">
        <v>0</v>
      </c>
      <c r="DS2446">
        <v>0</v>
      </c>
    </row>
    <row r="2447" spans="1:123" x14ac:dyDescent="0.3">
      <c r="A2447" t="str">
        <f>"10/04/2022 19:32:06.078"</f>
        <v>10/04/2022 19:32:06.078</v>
      </c>
      <c r="C2447" t="str">
        <f t="shared" si="867"/>
        <v>FFDDD3C0</v>
      </c>
      <c r="D2447" t="s">
        <v>141</v>
      </c>
      <c r="E2447">
        <v>3</v>
      </c>
      <c r="H2447">
        <v>3</v>
      </c>
      <c r="I2447" t="s">
        <v>146</v>
      </c>
      <c r="J2447" t="s">
        <v>138</v>
      </c>
      <c r="K2447">
        <v>0</v>
      </c>
      <c r="L2447">
        <v>3</v>
      </c>
      <c r="M2447">
        <v>0</v>
      </c>
      <c r="N2447">
        <v>2</v>
      </c>
      <c r="O2447">
        <v>0</v>
      </c>
      <c r="P2447">
        <v>1</v>
      </c>
      <c r="Q2447">
        <v>0</v>
      </c>
      <c r="S2447" t="str">
        <f t="shared" si="880"/>
        <v>19:32:05.000</v>
      </c>
      <c r="T2447" t="str">
        <f t="shared" si="880"/>
        <v>19:32:05.000</v>
      </c>
      <c r="U2447" t="str">
        <f t="shared" si="877"/>
        <v>AC3944</v>
      </c>
      <c r="V2447">
        <v>0</v>
      </c>
      <c r="W2447">
        <v>0</v>
      </c>
      <c r="X2447">
        <v>2</v>
      </c>
      <c r="Y2447">
        <v>0</v>
      </c>
      <c r="AA2447">
        <v>1</v>
      </c>
      <c r="AB2447">
        <v>8</v>
      </c>
      <c r="AC2447">
        <v>3</v>
      </c>
      <c r="AD2447">
        <v>0</v>
      </c>
      <c r="AE2447">
        <v>9</v>
      </c>
      <c r="AF2447" t="s">
        <v>138</v>
      </c>
      <c r="AG2447">
        <v>0</v>
      </c>
      <c r="AH2447">
        <v>3</v>
      </c>
      <c r="AI2447">
        <v>1</v>
      </c>
      <c r="AJ2447">
        <v>0</v>
      </c>
      <c r="AK2447" t="s">
        <v>842</v>
      </c>
      <c r="AL2447">
        <v>32.757347000000003</v>
      </c>
      <c r="AM2447" t="s">
        <v>843</v>
      </c>
      <c r="AN2447">
        <v>-116.788895</v>
      </c>
      <c r="AO2447">
        <v>25</v>
      </c>
      <c r="AP2447">
        <v>3200</v>
      </c>
      <c r="AQ2447" t="s">
        <v>129</v>
      </c>
      <c r="AR2447">
        <v>106</v>
      </c>
      <c r="AS2447">
        <v>-68</v>
      </c>
      <c r="AT2447">
        <v>768</v>
      </c>
      <c r="BB2447">
        <v>1200</v>
      </c>
      <c r="BC2447">
        <v>1</v>
      </c>
      <c r="BD2447" t="str">
        <f t="shared" si="878"/>
        <v xml:space="preserve">N887QR  </v>
      </c>
      <c r="BE2447">
        <v>1</v>
      </c>
      <c r="BJ2447">
        <v>2950</v>
      </c>
      <c r="BK2447">
        <v>-250</v>
      </c>
      <c r="BL2447" t="s">
        <v>163</v>
      </c>
      <c r="BM2447">
        <v>1</v>
      </c>
      <c r="BN2447">
        <v>1</v>
      </c>
      <c r="BO2447">
        <v>1</v>
      </c>
      <c r="BP2447">
        <v>0</v>
      </c>
      <c r="BS2447">
        <v>0</v>
      </c>
      <c r="BT2447">
        <v>0</v>
      </c>
      <c r="BU2447">
        <v>0</v>
      </c>
      <c r="CE2447" t="str">
        <f t="shared" si="881"/>
        <v>19:32:05.742</v>
      </c>
      <c r="CF2447">
        <v>742221038</v>
      </c>
      <c r="CS2447">
        <v>0</v>
      </c>
      <c r="CT2447">
        <v>2</v>
      </c>
      <c r="CU2447">
        <v>0</v>
      </c>
      <c r="CV2447">
        <v>2</v>
      </c>
      <c r="CW2447">
        <v>0</v>
      </c>
      <c r="CX2447">
        <v>5</v>
      </c>
      <c r="CY2447">
        <v>7</v>
      </c>
      <c r="CZ2447" t="s">
        <v>131</v>
      </c>
      <c r="DA2447">
        <v>300</v>
      </c>
      <c r="DB2447">
        <v>0</v>
      </c>
      <c r="DC2447" t="s">
        <v>176</v>
      </c>
      <c r="DD2447" t="s">
        <v>177</v>
      </c>
      <c r="DG2447">
        <v>5412429</v>
      </c>
      <c r="DI2447">
        <v>1</v>
      </c>
      <c r="DJ2447">
        <v>0</v>
      </c>
      <c r="DK2447">
        <v>1</v>
      </c>
      <c r="DL2447">
        <v>0</v>
      </c>
      <c r="DM2447">
        <v>0</v>
      </c>
      <c r="DN2447">
        <v>1</v>
      </c>
      <c r="DO2447">
        <v>0</v>
      </c>
      <c r="DP2447">
        <v>0</v>
      </c>
      <c r="DQ2447">
        <v>0</v>
      </c>
      <c r="DR2447">
        <v>0</v>
      </c>
      <c r="DS2447">
        <v>0</v>
      </c>
    </row>
    <row r="2448" spans="1:123" x14ac:dyDescent="0.3">
      <c r="A2448" t="str">
        <f t="shared" ref="A2448:A2454" si="882">"10/04/2022 19:32:07.103"</f>
        <v>10/04/2022 19:32:07.103</v>
      </c>
      <c r="C2448" t="str">
        <f t="shared" si="867"/>
        <v>FFDDD3C0</v>
      </c>
      <c r="D2448" t="s">
        <v>134</v>
      </c>
      <c r="E2448">
        <v>15</v>
      </c>
      <c r="J2448" t="s">
        <v>135</v>
      </c>
      <c r="K2448">
        <v>0</v>
      </c>
      <c r="L2448">
        <v>3</v>
      </c>
      <c r="M2448">
        <v>0</v>
      </c>
      <c r="N2448">
        <v>2</v>
      </c>
      <c r="O2448">
        <v>0</v>
      </c>
      <c r="P2448">
        <v>1</v>
      </c>
      <c r="Q2448">
        <v>0</v>
      </c>
      <c r="S2448" t="str">
        <f t="shared" ref="S2448:T2454" si="883">"19:32:06.000"</f>
        <v>19:32:06.000</v>
      </c>
      <c r="T2448" t="str">
        <f t="shared" si="883"/>
        <v>19:32:06.000</v>
      </c>
      <c r="U2448" t="str">
        <f t="shared" si="877"/>
        <v>AC3944</v>
      </c>
      <c r="V2448">
        <v>0</v>
      </c>
      <c r="W2448">
        <v>0</v>
      </c>
      <c r="X2448">
        <v>2</v>
      </c>
      <c r="Y2448">
        <v>0</v>
      </c>
      <c r="AA2448">
        <v>1</v>
      </c>
      <c r="AB2448">
        <v>8</v>
      </c>
      <c r="AC2448">
        <v>3</v>
      </c>
      <c r="AD2448">
        <v>0</v>
      </c>
      <c r="AE2448">
        <v>9</v>
      </c>
      <c r="AF2448" t="s">
        <v>138</v>
      </c>
      <c r="AG2448">
        <v>0</v>
      </c>
      <c r="AH2448">
        <v>3</v>
      </c>
      <c r="AI2448">
        <v>1</v>
      </c>
      <c r="AJ2448">
        <v>0</v>
      </c>
      <c r="AK2448" t="s">
        <v>844</v>
      </c>
      <c r="AL2448">
        <v>32.757089000000001</v>
      </c>
      <c r="AM2448" t="s">
        <v>845</v>
      </c>
      <c r="AN2448">
        <v>-116.78842299999999</v>
      </c>
      <c r="AO2448">
        <v>25</v>
      </c>
      <c r="AP2448">
        <v>3200</v>
      </c>
      <c r="AQ2448" t="s">
        <v>129</v>
      </c>
      <c r="AR2448">
        <v>106</v>
      </c>
      <c r="AS2448">
        <v>-67</v>
      </c>
      <c r="AT2448">
        <v>832</v>
      </c>
      <c r="BB2448">
        <v>1200</v>
      </c>
      <c r="BC2448">
        <v>1</v>
      </c>
      <c r="BD2448" t="str">
        <f t="shared" si="878"/>
        <v xml:space="preserve">N887QR  </v>
      </c>
      <c r="BE2448">
        <v>1</v>
      </c>
      <c r="BJ2448">
        <v>2975</v>
      </c>
      <c r="BK2448">
        <v>-225</v>
      </c>
      <c r="BL2448" t="s">
        <v>163</v>
      </c>
      <c r="BM2448">
        <v>1</v>
      </c>
      <c r="BN2448">
        <v>1</v>
      </c>
      <c r="BO2448">
        <v>1</v>
      </c>
      <c r="BP2448">
        <v>0</v>
      </c>
      <c r="BS2448">
        <v>0</v>
      </c>
      <c r="BT2448">
        <v>0</v>
      </c>
      <c r="BU2448">
        <v>0</v>
      </c>
      <c r="CE2448" t="str">
        <f t="shared" ref="CE2448:CE2454" si="884">"19:32:06.862"</f>
        <v>19:32:06.862</v>
      </c>
      <c r="CF2448">
        <v>861974744</v>
      </c>
      <c r="CS2448">
        <v>0</v>
      </c>
      <c r="CT2448">
        <v>2</v>
      </c>
      <c r="CU2448">
        <v>0</v>
      </c>
      <c r="CV2448">
        <v>2</v>
      </c>
      <c r="CW2448">
        <v>0</v>
      </c>
      <c r="CX2448">
        <v>5</v>
      </c>
      <c r="CY2448">
        <v>7</v>
      </c>
      <c r="CZ2448" t="s">
        <v>131</v>
      </c>
      <c r="DA2448">
        <v>300</v>
      </c>
      <c r="DB2448">
        <v>0</v>
      </c>
      <c r="DC2448" t="s">
        <v>176</v>
      </c>
      <c r="DD2448" t="s">
        <v>177</v>
      </c>
      <c r="DG2448">
        <v>5412598</v>
      </c>
      <c r="DI2448">
        <v>1</v>
      </c>
      <c r="DJ2448">
        <v>0</v>
      </c>
      <c r="DK2448">
        <v>0</v>
      </c>
      <c r="DL2448">
        <v>0</v>
      </c>
      <c r="DM2448">
        <v>0</v>
      </c>
      <c r="DN2448">
        <v>1</v>
      </c>
      <c r="DO2448">
        <v>0</v>
      </c>
      <c r="DP2448">
        <v>0</v>
      </c>
      <c r="DQ2448">
        <v>0</v>
      </c>
      <c r="DR2448">
        <v>0</v>
      </c>
      <c r="DS2448">
        <v>0</v>
      </c>
    </row>
    <row r="2449" spans="1:123" x14ac:dyDescent="0.3">
      <c r="A2449" t="str">
        <f t="shared" si="882"/>
        <v>10/04/2022 19:32:07.103</v>
      </c>
      <c r="C2449" t="str">
        <f t="shared" si="867"/>
        <v>FFDDD3C0</v>
      </c>
      <c r="D2449" t="s">
        <v>141</v>
      </c>
      <c r="E2449">
        <v>4</v>
      </c>
      <c r="H2449">
        <v>4</v>
      </c>
      <c r="I2449" t="s">
        <v>142</v>
      </c>
      <c r="J2449" t="s">
        <v>138</v>
      </c>
      <c r="K2449">
        <v>0</v>
      </c>
      <c r="L2449">
        <v>3</v>
      </c>
      <c r="M2449">
        <v>0</v>
      </c>
      <c r="N2449">
        <v>2</v>
      </c>
      <c r="O2449">
        <v>0</v>
      </c>
      <c r="P2449">
        <v>1</v>
      </c>
      <c r="Q2449">
        <v>0</v>
      </c>
      <c r="S2449" t="str">
        <f t="shared" si="883"/>
        <v>19:32:06.000</v>
      </c>
      <c r="T2449" t="str">
        <f t="shared" si="883"/>
        <v>19:32:06.000</v>
      </c>
      <c r="U2449" t="str">
        <f t="shared" si="877"/>
        <v>AC3944</v>
      </c>
      <c r="V2449">
        <v>0</v>
      </c>
      <c r="W2449">
        <v>0</v>
      </c>
      <c r="X2449">
        <v>2</v>
      </c>
      <c r="Y2449">
        <v>0</v>
      </c>
      <c r="AA2449">
        <v>1</v>
      </c>
      <c r="AB2449">
        <v>8</v>
      </c>
      <c r="AC2449">
        <v>3</v>
      </c>
      <c r="AD2449">
        <v>0</v>
      </c>
      <c r="AE2449">
        <v>9</v>
      </c>
      <c r="AF2449" t="s">
        <v>138</v>
      </c>
      <c r="AG2449">
        <v>0</v>
      </c>
      <c r="AH2449">
        <v>3</v>
      </c>
      <c r="AI2449">
        <v>1</v>
      </c>
      <c r="AJ2449">
        <v>0</v>
      </c>
      <c r="AK2449" t="s">
        <v>844</v>
      </c>
      <c r="AL2449">
        <v>32.757089000000001</v>
      </c>
      <c r="AM2449" t="s">
        <v>845</v>
      </c>
      <c r="AN2449">
        <v>-116.78842299999999</v>
      </c>
      <c r="AO2449">
        <v>25</v>
      </c>
      <c r="AP2449">
        <v>3200</v>
      </c>
      <c r="AQ2449" t="s">
        <v>129</v>
      </c>
      <c r="AR2449">
        <v>106</v>
      </c>
      <c r="AS2449">
        <v>-67</v>
      </c>
      <c r="AT2449">
        <v>832</v>
      </c>
      <c r="BB2449">
        <v>1200</v>
      </c>
      <c r="BC2449">
        <v>1</v>
      </c>
      <c r="BD2449" t="str">
        <f t="shared" si="878"/>
        <v xml:space="preserve">N887QR  </v>
      </c>
      <c r="BE2449">
        <v>1</v>
      </c>
      <c r="BJ2449">
        <v>2975</v>
      </c>
      <c r="BK2449">
        <v>-225</v>
      </c>
      <c r="BL2449" t="s">
        <v>163</v>
      </c>
      <c r="BM2449">
        <v>1</v>
      </c>
      <c r="BN2449">
        <v>1</v>
      </c>
      <c r="BO2449">
        <v>1</v>
      </c>
      <c r="BP2449">
        <v>0</v>
      </c>
      <c r="BS2449">
        <v>0</v>
      </c>
      <c r="BT2449">
        <v>0</v>
      </c>
      <c r="BU2449">
        <v>0</v>
      </c>
      <c r="CE2449" t="str">
        <f t="shared" si="884"/>
        <v>19:32:06.862</v>
      </c>
      <c r="CF2449">
        <v>861974744</v>
      </c>
      <c r="CS2449">
        <v>0</v>
      </c>
      <c r="CT2449">
        <v>2</v>
      </c>
      <c r="CU2449">
        <v>0</v>
      </c>
      <c r="CV2449">
        <v>2</v>
      </c>
      <c r="CW2449">
        <v>0</v>
      </c>
      <c r="CX2449">
        <v>5</v>
      </c>
      <c r="CY2449">
        <v>7</v>
      </c>
      <c r="CZ2449" t="s">
        <v>131</v>
      </c>
      <c r="DA2449">
        <v>300</v>
      </c>
      <c r="DB2449">
        <v>0</v>
      </c>
      <c r="DC2449" t="s">
        <v>176</v>
      </c>
      <c r="DD2449" t="s">
        <v>177</v>
      </c>
      <c r="DG2449">
        <v>5412598</v>
      </c>
      <c r="DI2449">
        <v>1</v>
      </c>
      <c r="DJ2449">
        <v>0</v>
      </c>
      <c r="DK2449">
        <v>1</v>
      </c>
      <c r="DL2449">
        <v>0</v>
      </c>
      <c r="DM2449">
        <v>0</v>
      </c>
      <c r="DN2449">
        <v>1</v>
      </c>
      <c r="DO2449">
        <v>0</v>
      </c>
      <c r="DP2449">
        <v>0</v>
      </c>
      <c r="DQ2449">
        <v>0</v>
      </c>
      <c r="DR2449">
        <v>0</v>
      </c>
      <c r="DS2449">
        <v>0</v>
      </c>
    </row>
    <row r="2450" spans="1:123" x14ac:dyDescent="0.3">
      <c r="A2450" t="str">
        <f t="shared" si="882"/>
        <v>10/04/2022 19:32:07.103</v>
      </c>
      <c r="C2450" t="str">
        <f t="shared" si="867"/>
        <v>FFDDD3C0</v>
      </c>
      <c r="D2450" t="s">
        <v>143</v>
      </c>
      <c r="E2450">
        <v>20</v>
      </c>
      <c r="F2450">
        <v>1020</v>
      </c>
      <c r="G2450" t="s">
        <v>144</v>
      </c>
      <c r="J2450" t="s">
        <v>145</v>
      </c>
      <c r="K2450">
        <v>0</v>
      </c>
      <c r="L2450">
        <v>3</v>
      </c>
      <c r="M2450">
        <v>0</v>
      </c>
      <c r="N2450">
        <v>2</v>
      </c>
      <c r="O2450">
        <v>0</v>
      </c>
      <c r="P2450">
        <v>1</v>
      </c>
      <c r="Q2450">
        <v>0</v>
      </c>
      <c r="S2450" t="str">
        <f t="shared" si="883"/>
        <v>19:32:06.000</v>
      </c>
      <c r="T2450" t="str">
        <f t="shared" si="883"/>
        <v>19:32:06.000</v>
      </c>
      <c r="U2450" t="str">
        <f t="shared" si="877"/>
        <v>AC3944</v>
      </c>
      <c r="V2450">
        <v>0</v>
      </c>
      <c r="W2450">
        <v>0</v>
      </c>
      <c r="X2450">
        <v>2</v>
      </c>
      <c r="Y2450">
        <v>0</v>
      </c>
      <c r="AA2450">
        <v>1</v>
      </c>
      <c r="AB2450">
        <v>8</v>
      </c>
      <c r="AC2450">
        <v>3</v>
      </c>
      <c r="AD2450">
        <v>0</v>
      </c>
      <c r="AE2450">
        <v>9</v>
      </c>
      <c r="AF2450" t="s">
        <v>138</v>
      </c>
      <c r="AG2450">
        <v>0</v>
      </c>
      <c r="AH2450">
        <v>3</v>
      </c>
      <c r="AI2450">
        <v>1</v>
      </c>
      <c r="AJ2450">
        <v>0</v>
      </c>
      <c r="AK2450" t="s">
        <v>844</v>
      </c>
      <c r="AL2450">
        <v>32.757089000000001</v>
      </c>
      <c r="AM2450" t="s">
        <v>845</v>
      </c>
      <c r="AN2450">
        <v>-116.78842299999999</v>
      </c>
      <c r="AO2450">
        <v>25</v>
      </c>
      <c r="AP2450">
        <v>3200</v>
      </c>
      <c r="AQ2450" t="s">
        <v>129</v>
      </c>
      <c r="AR2450">
        <v>106</v>
      </c>
      <c r="AS2450">
        <v>-67</v>
      </c>
      <c r="AT2450">
        <v>832</v>
      </c>
      <c r="BB2450">
        <v>1200</v>
      </c>
      <c r="BC2450">
        <v>1</v>
      </c>
      <c r="BD2450" t="str">
        <f t="shared" si="878"/>
        <v xml:space="preserve">N887QR  </v>
      </c>
      <c r="BE2450">
        <v>1</v>
      </c>
      <c r="BJ2450">
        <v>2975</v>
      </c>
      <c r="BK2450">
        <v>-225</v>
      </c>
      <c r="BL2450" t="s">
        <v>163</v>
      </c>
      <c r="BM2450">
        <v>1</v>
      </c>
      <c r="BN2450">
        <v>1</v>
      </c>
      <c r="BO2450">
        <v>1</v>
      </c>
      <c r="BP2450">
        <v>0</v>
      </c>
      <c r="BS2450">
        <v>0</v>
      </c>
      <c r="BT2450">
        <v>0</v>
      </c>
      <c r="BU2450">
        <v>0</v>
      </c>
      <c r="CE2450" t="str">
        <f t="shared" si="884"/>
        <v>19:32:06.862</v>
      </c>
      <c r="CF2450">
        <v>861974744</v>
      </c>
      <c r="CS2450">
        <v>0</v>
      </c>
      <c r="CT2450">
        <v>2</v>
      </c>
      <c r="CU2450">
        <v>0</v>
      </c>
      <c r="CV2450">
        <v>2</v>
      </c>
      <c r="CW2450">
        <v>0</v>
      </c>
      <c r="CX2450">
        <v>5</v>
      </c>
      <c r="CY2450">
        <v>7</v>
      </c>
      <c r="CZ2450" t="s">
        <v>131</v>
      </c>
      <c r="DA2450">
        <v>300</v>
      </c>
      <c r="DB2450">
        <v>0</v>
      </c>
      <c r="DC2450" t="s">
        <v>176</v>
      </c>
      <c r="DD2450" t="s">
        <v>177</v>
      </c>
      <c r="DG2450">
        <v>5412598</v>
      </c>
      <c r="DI2450">
        <v>1</v>
      </c>
      <c r="DJ2450">
        <v>0</v>
      </c>
      <c r="DK2450">
        <v>1</v>
      </c>
      <c r="DL2450">
        <v>0</v>
      </c>
      <c r="DM2450">
        <v>0</v>
      </c>
      <c r="DN2450">
        <v>1</v>
      </c>
      <c r="DO2450">
        <v>0</v>
      </c>
      <c r="DP2450">
        <v>0</v>
      </c>
      <c r="DQ2450">
        <v>0</v>
      </c>
      <c r="DR2450">
        <v>0</v>
      </c>
      <c r="DS2450">
        <v>0</v>
      </c>
    </row>
    <row r="2451" spans="1:123" x14ac:dyDescent="0.3">
      <c r="A2451" t="str">
        <f t="shared" si="882"/>
        <v>10/04/2022 19:32:07.103</v>
      </c>
      <c r="C2451" t="str">
        <f t="shared" si="867"/>
        <v>FFDDD3C0</v>
      </c>
      <c r="D2451" t="s">
        <v>123</v>
      </c>
      <c r="E2451">
        <v>7</v>
      </c>
      <c r="F2451">
        <v>2007</v>
      </c>
      <c r="G2451" t="s">
        <v>124</v>
      </c>
      <c r="J2451" t="s">
        <v>125</v>
      </c>
      <c r="K2451">
        <v>0</v>
      </c>
      <c r="L2451">
        <v>3</v>
      </c>
      <c r="M2451">
        <v>0</v>
      </c>
      <c r="N2451">
        <v>2</v>
      </c>
      <c r="O2451">
        <v>0</v>
      </c>
      <c r="P2451">
        <v>1</v>
      </c>
      <c r="Q2451">
        <v>0</v>
      </c>
      <c r="S2451" t="str">
        <f t="shared" si="883"/>
        <v>19:32:06.000</v>
      </c>
      <c r="T2451" t="str">
        <f t="shared" si="883"/>
        <v>19:32:06.000</v>
      </c>
      <c r="U2451" t="str">
        <f t="shared" si="877"/>
        <v>AC3944</v>
      </c>
      <c r="V2451">
        <v>0</v>
      </c>
      <c r="W2451">
        <v>0</v>
      </c>
      <c r="X2451">
        <v>2</v>
      </c>
      <c r="Y2451">
        <v>0</v>
      </c>
      <c r="AA2451">
        <v>1</v>
      </c>
      <c r="AB2451">
        <v>8</v>
      </c>
      <c r="AC2451">
        <v>3</v>
      </c>
      <c r="AD2451">
        <v>0</v>
      </c>
      <c r="AE2451">
        <v>9</v>
      </c>
      <c r="AF2451" t="s">
        <v>138</v>
      </c>
      <c r="AG2451">
        <v>0</v>
      </c>
      <c r="AH2451">
        <v>3</v>
      </c>
      <c r="AI2451">
        <v>1</v>
      </c>
      <c r="AJ2451">
        <v>0</v>
      </c>
      <c r="AK2451" t="s">
        <v>844</v>
      </c>
      <c r="AL2451">
        <v>32.757089000000001</v>
      </c>
      <c r="AM2451" t="s">
        <v>845</v>
      </c>
      <c r="AN2451">
        <v>-116.78842299999999</v>
      </c>
      <c r="AO2451">
        <v>25</v>
      </c>
      <c r="AP2451">
        <v>3200</v>
      </c>
      <c r="AQ2451" t="s">
        <v>129</v>
      </c>
      <c r="AR2451">
        <v>106</v>
      </c>
      <c r="AS2451">
        <v>-67</v>
      </c>
      <c r="AT2451">
        <v>832</v>
      </c>
      <c r="BB2451">
        <v>1200</v>
      </c>
      <c r="BC2451">
        <v>1</v>
      </c>
      <c r="BD2451" t="str">
        <f t="shared" si="878"/>
        <v xml:space="preserve">N887QR  </v>
      </c>
      <c r="BE2451">
        <v>1</v>
      </c>
      <c r="BJ2451">
        <v>2975</v>
      </c>
      <c r="BK2451">
        <v>-225</v>
      </c>
      <c r="BL2451" t="s">
        <v>163</v>
      </c>
      <c r="BM2451">
        <v>1</v>
      </c>
      <c r="BN2451">
        <v>1</v>
      </c>
      <c r="BO2451">
        <v>1</v>
      </c>
      <c r="BP2451">
        <v>0</v>
      </c>
      <c r="BS2451">
        <v>0</v>
      </c>
      <c r="BT2451">
        <v>0</v>
      </c>
      <c r="BU2451">
        <v>0</v>
      </c>
      <c r="CE2451" t="str">
        <f t="shared" si="884"/>
        <v>19:32:06.862</v>
      </c>
      <c r="CF2451">
        <v>861974744</v>
      </c>
      <c r="CS2451">
        <v>0</v>
      </c>
      <c r="CT2451">
        <v>2</v>
      </c>
      <c r="CU2451">
        <v>0</v>
      </c>
      <c r="CV2451">
        <v>2</v>
      </c>
      <c r="CW2451">
        <v>0</v>
      </c>
      <c r="CX2451">
        <v>5</v>
      </c>
      <c r="CY2451">
        <v>7</v>
      </c>
      <c r="CZ2451" t="s">
        <v>131</v>
      </c>
      <c r="DA2451">
        <v>300</v>
      </c>
      <c r="DB2451">
        <v>0</v>
      </c>
      <c r="DC2451" t="s">
        <v>176</v>
      </c>
      <c r="DD2451" t="s">
        <v>177</v>
      </c>
      <c r="DG2451">
        <v>5412598</v>
      </c>
      <c r="DI2451">
        <v>1</v>
      </c>
      <c r="DJ2451">
        <v>0</v>
      </c>
      <c r="DK2451">
        <v>1</v>
      </c>
      <c r="DL2451">
        <v>0</v>
      </c>
      <c r="DM2451">
        <v>0</v>
      </c>
      <c r="DN2451">
        <v>1</v>
      </c>
      <c r="DO2451">
        <v>0</v>
      </c>
      <c r="DP2451">
        <v>0</v>
      </c>
      <c r="DQ2451">
        <v>0</v>
      </c>
      <c r="DR2451">
        <v>0</v>
      </c>
      <c r="DS2451">
        <v>0</v>
      </c>
    </row>
    <row r="2452" spans="1:123" x14ac:dyDescent="0.3">
      <c r="A2452" t="str">
        <f t="shared" si="882"/>
        <v>10/04/2022 19:32:07.103</v>
      </c>
      <c r="C2452" t="str">
        <f t="shared" si="867"/>
        <v>FFDDD3C0</v>
      </c>
      <c r="D2452" t="s">
        <v>141</v>
      </c>
      <c r="E2452">
        <v>3</v>
      </c>
      <c r="H2452">
        <v>3</v>
      </c>
      <c r="I2452" t="s">
        <v>146</v>
      </c>
      <c r="J2452" t="s">
        <v>138</v>
      </c>
      <c r="K2452">
        <v>0</v>
      </c>
      <c r="L2452">
        <v>3</v>
      </c>
      <c r="M2452">
        <v>0</v>
      </c>
      <c r="N2452">
        <v>2</v>
      </c>
      <c r="O2452">
        <v>0</v>
      </c>
      <c r="P2452">
        <v>1</v>
      </c>
      <c r="Q2452">
        <v>0</v>
      </c>
      <c r="S2452" t="str">
        <f t="shared" si="883"/>
        <v>19:32:06.000</v>
      </c>
      <c r="T2452" t="str">
        <f t="shared" si="883"/>
        <v>19:32:06.000</v>
      </c>
      <c r="U2452" t="str">
        <f t="shared" si="877"/>
        <v>AC3944</v>
      </c>
      <c r="V2452">
        <v>0</v>
      </c>
      <c r="W2452">
        <v>0</v>
      </c>
      <c r="X2452">
        <v>2</v>
      </c>
      <c r="Y2452">
        <v>0</v>
      </c>
      <c r="AA2452">
        <v>1</v>
      </c>
      <c r="AB2452">
        <v>8</v>
      </c>
      <c r="AC2452">
        <v>3</v>
      </c>
      <c r="AD2452">
        <v>0</v>
      </c>
      <c r="AE2452">
        <v>9</v>
      </c>
      <c r="AF2452" t="s">
        <v>138</v>
      </c>
      <c r="AG2452">
        <v>0</v>
      </c>
      <c r="AH2452">
        <v>3</v>
      </c>
      <c r="AI2452">
        <v>1</v>
      </c>
      <c r="AJ2452">
        <v>0</v>
      </c>
      <c r="AK2452" t="s">
        <v>844</v>
      </c>
      <c r="AL2452">
        <v>32.757089000000001</v>
      </c>
      <c r="AM2452" t="s">
        <v>845</v>
      </c>
      <c r="AN2452">
        <v>-116.78842299999999</v>
      </c>
      <c r="AO2452">
        <v>25</v>
      </c>
      <c r="AP2452">
        <v>3200</v>
      </c>
      <c r="AQ2452" t="s">
        <v>129</v>
      </c>
      <c r="AR2452">
        <v>106</v>
      </c>
      <c r="AS2452">
        <v>-67</v>
      </c>
      <c r="AT2452">
        <v>832</v>
      </c>
      <c r="BB2452">
        <v>1200</v>
      </c>
      <c r="BC2452">
        <v>1</v>
      </c>
      <c r="BD2452" t="str">
        <f t="shared" si="878"/>
        <v xml:space="preserve">N887QR  </v>
      </c>
      <c r="BE2452">
        <v>1</v>
      </c>
      <c r="BJ2452">
        <v>2975</v>
      </c>
      <c r="BK2452">
        <v>-225</v>
      </c>
      <c r="BL2452" t="s">
        <v>163</v>
      </c>
      <c r="BM2452">
        <v>1</v>
      </c>
      <c r="BN2452">
        <v>1</v>
      </c>
      <c r="BO2452">
        <v>1</v>
      </c>
      <c r="BP2452">
        <v>0</v>
      </c>
      <c r="BS2452">
        <v>0</v>
      </c>
      <c r="BT2452">
        <v>0</v>
      </c>
      <c r="BU2452">
        <v>0</v>
      </c>
      <c r="CE2452" t="str">
        <f t="shared" si="884"/>
        <v>19:32:06.862</v>
      </c>
      <c r="CF2452">
        <v>861974744</v>
      </c>
      <c r="CS2452">
        <v>0</v>
      </c>
      <c r="CT2452">
        <v>2</v>
      </c>
      <c r="CU2452">
        <v>0</v>
      </c>
      <c r="CV2452">
        <v>2</v>
      </c>
      <c r="CW2452">
        <v>0</v>
      </c>
      <c r="CX2452">
        <v>5</v>
      </c>
      <c r="CY2452">
        <v>7</v>
      </c>
      <c r="CZ2452" t="s">
        <v>131</v>
      </c>
      <c r="DA2452">
        <v>300</v>
      </c>
      <c r="DB2452">
        <v>0</v>
      </c>
      <c r="DC2452" t="s">
        <v>176</v>
      </c>
      <c r="DD2452" t="s">
        <v>177</v>
      </c>
      <c r="DG2452">
        <v>5412598</v>
      </c>
      <c r="DI2452">
        <v>1</v>
      </c>
      <c r="DJ2452">
        <v>0</v>
      </c>
      <c r="DK2452">
        <v>1</v>
      </c>
      <c r="DL2452">
        <v>0</v>
      </c>
      <c r="DM2452">
        <v>0</v>
      </c>
      <c r="DN2452">
        <v>1</v>
      </c>
      <c r="DO2452">
        <v>0</v>
      </c>
      <c r="DP2452">
        <v>0</v>
      </c>
      <c r="DQ2452">
        <v>0</v>
      </c>
      <c r="DR2452">
        <v>0</v>
      </c>
      <c r="DS2452">
        <v>0</v>
      </c>
    </row>
    <row r="2453" spans="1:123" x14ac:dyDescent="0.3">
      <c r="A2453" t="str">
        <f t="shared" si="882"/>
        <v>10/04/2022 19:32:07.103</v>
      </c>
      <c r="C2453" t="str">
        <f t="shared" si="867"/>
        <v>FFDDD3C0</v>
      </c>
      <c r="D2453" t="s">
        <v>136</v>
      </c>
      <c r="E2453">
        <v>8</v>
      </c>
      <c r="H2453">
        <v>225</v>
      </c>
      <c r="I2453" t="s">
        <v>137</v>
      </c>
      <c r="J2453" t="s">
        <v>138</v>
      </c>
      <c r="K2453">
        <v>0</v>
      </c>
      <c r="L2453">
        <v>3</v>
      </c>
      <c r="M2453">
        <v>0</v>
      </c>
      <c r="N2453">
        <v>2</v>
      </c>
      <c r="O2453">
        <v>0</v>
      </c>
      <c r="P2453">
        <v>1</v>
      </c>
      <c r="Q2453">
        <v>0</v>
      </c>
      <c r="S2453" t="str">
        <f t="shared" si="883"/>
        <v>19:32:06.000</v>
      </c>
      <c r="T2453" t="str">
        <f t="shared" si="883"/>
        <v>19:32:06.000</v>
      </c>
      <c r="U2453" t="str">
        <f t="shared" si="877"/>
        <v>AC3944</v>
      </c>
      <c r="V2453">
        <v>0</v>
      </c>
      <c r="W2453">
        <v>0</v>
      </c>
      <c r="X2453">
        <v>2</v>
      </c>
      <c r="Y2453">
        <v>0</v>
      </c>
      <c r="AA2453">
        <v>1</v>
      </c>
      <c r="AB2453">
        <v>8</v>
      </c>
      <c r="AC2453">
        <v>3</v>
      </c>
      <c r="AD2453">
        <v>0</v>
      </c>
      <c r="AE2453">
        <v>9</v>
      </c>
      <c r="AF2453" t="s">
        <v>138</v>
      </c>
      <c r="AG2453">
        <v>0</v>
      </c>
      <c r="AH2453">
        <v>3</v>
      </c>
      <c r="AI2453">
        <v>1</v>
      </c>
      <c r="AJ2453">
        <v>0</v>
      </c>
      <c r="AK2453" t="s">
        <v>844</v>
      </c>
      <c r="AL2453">
        <v>32.757089000000001</v>
      </c>
      <c r="AM2453" t="s">
        <v>845</v>
      </c>
      <c r="AN2453">
        <v>-116.78842299999999</v>
      </c>
      <c r="AO2453">
        <v>25</v>
      </c>
      <c r="AP2453">
        <v>3200</v>
      </c>
      <c r="AQ2453" t="s">
        <v>129</v>
      </c>
      <c r="AR2453">
        <v>106</v>
      </c>
      <c r="AS2453">
        <v>-67</v>
      </c>
      <c r="AT2453">
        <v>832</v>
      </c>
      <c r="BB2453">
        <v>1200</v>
      </c>
      <c r="BC2453">
        <v>1</v>
      </c>
      <c r="BD2453" t="str">
        <f t="shared" si="878"/>
        <v xml:space="preserve">N887QR  </v>
      </c>
      <c r="BE2453">
        <v>1</v>
      </c>
      <c r="BJ2453">
        <v>2975</v>
      </c>
      <c r="BK2453">
        <v>-225</v>
      </c>
      <c r="BL2453" t="s">
        <v>163</v>
      </c>
      <c r="BM2453">
        <v>1</v>
      </c>
      <c r="BN2453">
        <v>1</v>
      </c>
      <c r="BO2453">
        <v>1</v>
      </c>
      <c r="BP2453">
        <v>0</v>
      </c>
      <c r="BS2453">
        <v>0</v>
      </c>
      <c r="BT2453">
        <v>0</v>
      </c>
      <c r="BU2453">
        <v>0</v>
      </c>
      <c r="CE2453" t="str">
        <f t="shared" si="884"/>
        <v>19:32:06.862</v>
      </c>
      <c r="CF2453">
        <v>861974744</v>
      </c>
      <c r="CS2453">
        <v>0</v>
      </c>
      <c r="CT2453">
        <v>2</v>
      </c>
      <c r="CU2453">
        <v>0</v>
      </c>
      <c r="CV2453">
        <v>2</v>
      </c>
      <c r="CW2453">
        <v>0</v>
      </c>
      <c r="CX2453">
        <v>5</v>
      </c>
      <c r="CY2453">
        <v>7</v>
      </c>
      <c r="CZ2453" t="s">
        <v>131</v>
      </c>
      <c r="DA2453">
        <v>300</v>
      </c>
      <c r="DB2453">
        <v>0</v>
      </c>
      <c r="DC2453" t="s">
        <v>176</v>
      </c>
      <c r="DD2453" t="s">
        <v>177</v>
      </c>
      <c r="DG2453">
        <v>5412598</v>
      </c>
      <c r="DI2453">
        <v>1</v>
      </c>
      <c r="DJ2453">
        <v>0</v>
      </c>
      <c r="DK2453">
        <v>1</v>
      </c>
      <c r="DL2453">
        <v>0</v>
      </c>
      <c r="DM2453">
        <v>0</v>
      </c>
      <c r="DN2453">
        <v>1</v>
      </c>
      <c r="DO2453">
        <v>0</v>
      </c>
      <c r="DP2453">
        <v>0</v>
      </c>
      <c r="DQ2453">
        <v>0</v>
      </c>
      <c r="DR2453">
        <v>0</v>
      </c>
      <c r="DS2453">
        <v>0</v>
      </c>
    </row>
    <row r="2454" spans="1:123" x14ac:dyDescent="0.3">
      <c r="A2454" t="str">
        <f t="shared" si="882"/>
        <v>10/04/2022 19:32:07.103</v>
      </c>
      <c r="C2454" t="str">
        <f t="shared" si="867"/>
        <v>FFDDD3C0</v>
      </c>
      <c r="D2454" t="s">
        <v>147</v>
      </c>
      <c r="E2454">
        <v>3</v>
      </c>
      <c r="H2454">
        <v>166</v>
      </c>
      <c r="I2454" t="s">
        <v>144</v>
      </c>
      <c r="J2454" t="s">
        <v>148</v>
      </c>
      <c r="K2454">
        <v>0</v>
      </c>
      <c r="L2454">
        <v>3</v>
      </c>
      <c r="M2454">
        <v>0</v>
      </c>
      <c r="N2454">
        <v>2</v>
      </c>
      <c r="O2454">
        <v>0</v>
      </c>
      <c r="P2454">
        <v>1</v>
      </c>
      <c r="Q2454">
        <v>0</v>
      </c>
      <c r="S2454" t="str">
        <f t="shared" si="883"/>
        <v>19:32:06.000</v>
      </c>
      <c r="T2454" t="str">
        <f t="shared" si="883"/>
        <v>19:32:06.000</v>
      </c>
      <c r="U2454" t="str">
        <f t="shared" si="877"/>
        <v>AC3944</v>
      </c>
      <c r="V2454">
        <v>0</v>
      </c>
      <c r="W2454">
        <v>0</v>
      </c>
      <c r="X2454">
        <v>2</v>
      </c>
      <c r="Y2454">
        <v>0</v>
      </c>
      <c r="AA2454">
        <v>1</v>
      </c>
      <c r="AB2454">
        <v>8</v>
      </c>
      <c r="AC2454">
        <v>3</v>
      </c>
      <c r="AD2454">
        <v>0</v>
      </c>
      <c r="AE2454">
        <v>9</v>
      </c>
      <c r="AF2454" t="s">
        <v>138</v>
      </c>
      <c r="AG2454">
        <v>0</v>
      </c>
      <c r="AH2454">
        <v>3</v>
      </c>
      <c r="AI2454">
        <v>1</v>
      </c>
      <c r="AJ2454">
        <v>0</v>
      </c>
      <c r="AK2454" t="s">
        <v>844</v>
      </c>
      <c r="AL2454">
        <v>32.757089000000001</v>
      </c>
      <c r="AM2454" t="s">
        <v>845</v>
      </c>
      <c r="AN2454">
        <v>-116.78842299999999</v>
      </c>
      <c r="AO2454">
        <v>25</v>
      </c>
      <c r="AP2454">
        <v>3200</v>
      </c>
      <c r="AQ2454" t="s">
        <v>129</v>
      </c>
      <c r="AR2454">
        <v>106</v>
      </c>
      <c r="AS2454">
        <v>-67</v>
      </c>
      <c r="AT2454">
        <v>832</v>
      </c>
      <c r="BB2454">
        <v>1200</v>
      </c>
      <c r="BC2454">
        <v>1</v>
      </c>
      <c r="BD2454" t="str">
        <f t="shared" si="878"/>
        <v xml:space="preserve">N887QR  </v>
      </c>
      <c r="BE2454">
        <v>1</v>
      </c>
      <c r="BJ2454">
        <v>2975</v>
      </c>
      <c r="BK2454">
        <v>-225</v>
      </c>
      <c r="BL2454" t="s">
        <v>163</v>
      </c>
      <c r="BM2454">
        <v>1</v>
      </c>
      <c r="BN2454">
        <v>1</v>
      </c>
      <c r="BO2454">
        <v>1</v>
      </c>
      <c r="BP2454">
        <v>0</v>
      </c>
      <c r="BS2454">
        <v>0</v>
      </c>
      <c r="BT2454">
        <v>0</v>
      </c>
      <c r="BU2454">
        <v>0</v>
      </c>
      <c r="CE2454" t="str">
        <f t="shared" si="884"/>
        <v>19:32:06.862</v>
      </c>
      <c r="CF2454">
        <v>861974744</v>
      </c>
      <c r="CS2454">
        <v>0</v>
      </c>
      <c r="CT2454">
        <v>2</v>
      </c>
      <c r="CU2454">
        <v>0</v>
      </c>
      <c r="CV2454">
        <v>2</v>
      </c>
      <c r="CW2454">
        <v>0</v>
      </c>
      <c r="CX2454">
        <v>5</v>
      </c>
      <c r="CY2454">
        <v>7</v>
      </c>
      <c r="CZ2454" t="s">
        <v>131</v>
      </c>
      <c r="DA2454">
        <v>300</v>
      </c>
      <c r="DB2454">
        <v>0</v>
      </c>
      <c r="DC2454" t="s">
        <v>176</v>
      </c>
      <c r="DD2454" t="s">
        <v>177</v>
      </c>
      <c r="DG2454">
        <v>5412598</v>
      </c>
      <c r="DI2454">
        <v>1</v>
      </c>
      <c r="DJ2454">
        <v>0</v>
      </c>
      <c r="DK2454">
        <v>1</v>
      </c>
      <c r="DL2454">
        <v>0</v>
      </c>
      <c r="DM2454">
        <v>0</v>
      </c>
      <c r="DN2454">
        <v>1</v>
      </c>
      <c r="DO2454">
        <v>0</v>
      </c>
      <c r="DP2454">
        <v>0</v>
      </c>
      <c r="DQ2454">
        <v>0</v>
      </c>
      <c r="DR2454">
        <v>0</v>
      </c>
      <c r="DS2454">
        <v>0</v>
      </c>
    </row>
    <row r="2455" spans="1:123" x14ac:dyDescent="0.3">
      <c r="A2455" t="str">
        <f>"10/04/2022 19:32:09.259"</f>
        <v>10/04/2022 19:32:09.259</v>
      </c>
      <c r="C2455" t="str">
        <f t="shared" si="867"/>
        <v>FFDDD3C0</v>
      </c>
      <c r="D2455" t="s">
        <v>136</v>
      </c>
      <c r="E2455">
        <v>8</v>
      </c>
      <c r="H2455">
        <v>225</v>
      </c>
      <c r="I2455" t="s">
        <v>137</v>
      </c>
      <c r="J2455" t="s">
        <v>138</v>
      </c>
      <c r="K2455">
        <v>0</v>
      </c>
      <c r="L2455">
        <v>3</v>
      </c>
      <c r="M2455">
        <v>0</v>
      </c>
      <c r="N2455">
        <v>2</v>
      </c>
      <c r="O2455">
        <v>0</v>
      </c>
      <c r="P2455">
        <v>1</v>
      </c>
      <c r="Q2455">
        <v>0</v>
      </c>
      <c r="S2455" t="str">
        <f t="shared" ref="S2455:T2461" si="885">"19:32:08.000"</f>
        <v>19:32:08.000</v>
      </c>
      <c r="T2455" t="str">
        <f t="shared" si="885"/>
        <v>19:32:08.000</v>
      </c>
      <c r="U2455" t="str">
        <f t="shared" si="877"/>
        <v>AC3944</v>
      </c>
      <c r="V2455">
        <v>0</v>
      </c>
      <c r="W2455">
        <v>0</v>
      </c>
      <c r="X2455">
        <v>2</v>
      </c>
      <c r="Y2455">
        <v>0</v>
      </c>
      <c r="AA2455">
        <v>1</v>
      </c>
      <c r="AB2455">
        <v>8</v>
      </c>
      <c r="AC2455">
        <v>3</v>
      </c>
      <c r="AD2455">
        <v>0</v>
      </c>
      <c r="AE2455">
        <v>9</v>
      </c>
      <c r="AF2455" t="s">
        <v>138</v>
      </c>
      <c r="AG2455">
        <v>0</v>
      </c>
      <c r="AH2455">
        <v>3</v>
      </c>
      <c r="AI2455">
        <v>1</v>
      </c>
      <c r="AJ2455">
        <v>0</v>
      </c>
      <c r="AK2455" t="s">
        <v>846</v>
      </c>
      <c r="AL2455">
        <v>32.756402000000001</v>
      </c>
      <c r="AM2455" t="s">
        <v>847</v>
      </c>
      <c r="AN2455">
        <v>-116.787136</v>
      </c>
      <c r="AO2455">
        <v>25</v>
      </c>
      <c r="AP2455">
        <v>3300</v>
      </c>
      <c r="AQ2455" t="s">
        <v>129</v>
      </c>
      <c r="AR2455">
        <v>108</v>
      </c>
      <c r="AS2455">
        <v>-67</v>
      </c>
      <c r="AT2455">
        <v>704</v>
      </c>
      <c r="BB2455">
        <v>1200</v>
      </c>
      <c r="BC2455">
        <v>1</v>
      </c>
      <c r="BD2455" t="str">
        <f t="shared" si="878"/>
        <v xml:space="preserve">N887QR  </v>
      </c>
      <c r="BE2455">
        <v>1</v>
      </c>
      <c r="BJ2455">
        <v>2975</v>
      </c>
      <c r="BK2455">
        <v>-325</v>
      </c>
      <c r="BL2455" t="s">
        <v>163</v>
      </c>
      <c r="BM2455">
        <v>1</v>
      </c>
      <c r="BN2455">
        <v>1</v>
      </c>
      <c r="BO2455">
        <v>1</v>
      </c>
      <c r="BP2455">
        <v>0</v>
      </c>
      <c r="BS2455">
        <v>0</v>
      </c>
      <c r="BT2455">
        <v>0</v>
      </c>
      <c r="BU2455">
        <v>0</v>
      </c>
      <c r="CE2455" t="str">
        <f t="shared" ref="CE2455:CE2461" si="886">"19:32:08.993"</f>
        <v>19:32:08.993</v>
      </c>
      <c r="CF2455">
        <v>992731928</v>
      </c>
      <c r="CS2455">
        <v>0</v>
      </c>
      <c r="CT2455">
        <v>2</v>
      </c>
      <c r="CU2455">
        <v>0</v>
      </c>
      <c r="CV2455">
        <v>2</v>
      </c>
      <c r="CW2455">
        <v>0</v>
      </c>
      <c r="CX2455">
        <v>5</v>
      </c>
      <c r="CY2455">
        <v>7</v>
      </c>
      <c r="CZ2455" t="s">
        <v>131</v>
      </c>
      <c r="DA2455">
        <v>300</v>
      </c>
      <c r="DB2455">
        <v>0</v>
      </c>
      <c r="DC2455" t="s">
        <v>176</v>
      </c>
      <c r="DD2455" t="s">
        <v>177</v>
      </c>
      <c r="DG2455">
        <v>5412938</v>
      </c>
      <c r="DI2455">
        <v>1</v>
      </c>
      <c r="DJ2455">
        <v>0</v>
      </c>
      <c r="DK2455">
        <v>0</v>
      </c>
      <c r="DL2455">
        <v>0</v>
      </c>
      <c r="DM2455">
        <v>0</v>
      </c>
      <c r="DN2455">
        <v>1</v>
      </c>
      <c r="DO2455">
        <v>0</v>
      </c>
      <c r="DP2455">
        <v>0</v>
      </c>
      <c r="DQ2455">
        <v>0</v>
      </c>
      <c r="DR2455">
        <v>0</v>
      </c>
      <c r="DS2455">
        <v>0</v>
      </c>
    </row>
    <row r="2456" spans="1:123" x14ac:dyDescent="0.3">
      <c r="A2456" t="str">
        <f>"10/04/2022 19:32:09.259"</f>
        <v>10/04/2022 19:32:09.259</v>
      </c>
      <c r="C2456" t="str">
        <f t="shared" si="867"/>
        <v>FFDDD3C0</v>
      </c>
      <c r="D2456" t="s">
        <v>134</v>
      </c>
      <c r="E2456">
        <v>15</v>
      </c>
      <c r="J2456" t="s">
        <v>135</v>
      </c>
      <c r="K2456">
        <v>0</v>
      </c>
      <c r="L2456">
        <v>3</v>
      </c>
      <c r="M2456">
        <v>0</v>
      </c>
      <c r="N2456">
        <v>2</v>
      </c>
      <c r="O2456">
        <v>0</v>
      </c>
      <c r="P2456">
        <v>1</v>
      </c>
      <c r="Q2456">
        <v>0</v>
      </c>
      <c r="S2456" t="str">
        <f t="shared" si="885"/>
        <v>19:32:08.000</v>
      </c>
      <c r="T2456" t="str">
        <f t="shared" si="885"/>
        <v>19:32:08.000</v>
      </c>
      <c r="U2456" t="str">
        <f t="shared" si="877"/>
        <v>AC3944</v>
      </c>
      <c r="V2456">
        <v>0</v>
      </c>
      <c r="W2456">
        <v>0</v>
      </c>
      <c r="X2456">
        <v>2</v>
      </c>
      <c r="Y2456">
        <v>0</v>
      </c>
      <c r="AA2456">
        <v>1</v>
      </c>
      <c r="AB2456">
        <v>8</v>
      </c>
      <c r="AC2456">
        <v>3</v>
      </c>
      <c r="AD2456">
        <v>0</v>
      </c>
      <c r="AE2456">
        <v>9</v>
      </c>
      <c r="AF2456" t="s">
        <v>138</v>
      </c>
      <c r="AG2456">
        <v>0</v>
      </c>
      <c r="AH2456">
        <v>3</v>
      </c>
      <c r="AI2456">
        <v>1</v>
      </c>
      <c r="AJ2456">
        <v>0</v>
      </c>
      <c r="AK2456" t="s">
        <v>846</v>
      </c>
      <c r="AL2456">
        <v>32.756402000000001</v>
      </c>
      <c r="AM2456" t="s">
        <v>847</v>
      </c>
      <c r="AN2456">
        <v>-116.787136</v>
      </c>
      <c r="AO2456">
        <v>25</v>
      </c>
      <c r="AP2456">
        <v>3300</v>
      </c>
      <c r="AQ2456" t="s">
        <v>129</v>
      </c>
      <c r="AR2456">
        <v>108</v>
      </c>
      <c r="AS2456">
        <v>-67</v>
      </c>
      <c r="AT2456">
        <v>704</v>
      </c>
      <c r="BB2456">
        <v>1200</v>
      </c>
      <c r="BC2456">
        <v>1</v>
      </c>
      <c r="BD2456" t="str">
        <f t="shared" si="878"/>
        <v xml:space="preserve">N887QR  </v>
      </c>
      <c r="BE2456">
        <v>1</v>
      </c>
      <c r="BJ2456">
        <v>2975</v>
      </c>
      <c r="BK2456">
        <v>-325</v>
      </c>
      <c r="BL2456" t="s">
        <v>163</v>
      </c>
      <c r="BM2456">
        <v>1</v>
      </c>
      <c r="BN2456">
        <v>1</v>
      </c>
      <c r="BO2456">
        <v>1</v>
      </c>
      <c r="BP2456">
        <v>0</v>
      </c>
      <c r="BS2456">
        <v>0</v>
      </c>
      <c r="BT2456">
        <v>0</v>
      </c>
      <c r="BU2456">
        <v>0</v>
      </c>
      <c r="CE2456" t="str">
        <f t="shared" si="886"/>
        <v>19:32:08.993</v>
      </c>
      <c r="CF2456">
        <v>992731928</v>
      </c>
      <c r="CS2456">
        <v>0</v>
      </c>
      <c r="CT2456">
        <v>2</v>
      </c>
      <c r="CU2456">
        <v>0</v>
      </c>
      <c r="CV2456">
        <v>2</v>
      </c>
      <c r="CW2456">
        <v>0</v>
      </c>
      <c r="CX2456">
        <v>5</v>
      </c>
      <c r="CY2456">
        <v>7</v>
      </c>
      <c r="CZ2456" t="s">
        <v>131</v>
      </c>
      <c r="DA2456">
        <v>300</v>
      </c>
      <c r="DB2456">
        <v>0</v>
      </c>
      <c r="DC2456" t="s">
        <v>176</v>
      </c>
      <c r="DD2456" t="s">
        <v>177</v>
      </c>
      <c r="DG2456">
        <v>5412938</v>
      </c>
      <c r="DI2456">
        <v>1</v>
      </c>
      <c r="DJ2456">
        <v>0</v>
      </c>
      <c r="DK2456">
        <v>1</v>
      </c>
      <c r="DL2456">
        <v>0</v>
      </c>
      <c r="DM2456">
        <v>0</v>
      </c>
      <c r="DN2456">
        <v>1</v>
      </c>
      <c r="DO2456">
        <v>0</v>
      </c>
      <c r="DP2456">
        <v>0</v>
      </c>
      <c r="DQ2456">
        <v>0</v>
      </c>
      <c r="DR2456">
        <v>0</v>
      </c>
      <c r="DS2456">
        <v>0</v>
      </c>
    </row>
    <row r="2457" spans="1:123" x14ac:dyDescent="0.3">
      <c r="A2457" t="str">
        <f>"10/04/2022 19:32:09.306"</f>
        <v>10/04/2022 19:32:09.306</v>
      </c>
      <c r="C2457" t="str">
        <f t="shared" si="867"/>
        <v>FFDDD3C0</v>
      </c>
      <c r="D2457" t="s">
        <v>141</v>
      </c>
      <c r="E2457">
        <v>4</v>
      </c>
      <c r="H2457">
        <v>4</v>
      </c>
      <c r="I2457" t="s">
        <v>142</v>
      </c>
      <c r="J2457" t="s">
        <v>138</v>
      </c>
      <c r="K2457">
        <v>0</v>
      </c>
      <c r="L2457">
        <v>3</v>
      </c>
      <c r="M2457">
        <v>0</v>
      </c>
      <c r="N2457">
        <v>2</v>
      </c>
      <c r="O2457">
        <v>0</v>
      </c>
      <c r="P2457">
        <v>1</v>
      </c>
      <c r="Q2457">
        <v>0</v>
      </c>
      <c r="S2457" t="str">
        <f t="shared" si="885"/>
        <v>19:32:08.000</v>
      </c>
      <c r="T2457" t="str">
        <f t="shared" si="885"/>
        <v>19:32:08.000</v>
      </c>
      <c r="U2457" t="str">
        <f t="shared" si="877"/>
        <v>AC3944</v>
      </c>
      <c r="V2457">
        <v>0</v>
      </c>
      <c r="W2457">
        <v>0</v>
      </c>
      <c r="X2457">
        <v>2</v>
      </c>
      <c r="Y2457">
        <v>0</v>
      </c>
      <c r="AA2457">
        <v>1</v>
      </c>
      <c r="AB2457">
        <v>8</v>
      </c>
      <c r="AC2457">
        <v>3</v>
      </c>
      <c r="AD2457">
        <v>0</v>
      </c>
      <c r="AE2457">
        <v>9</v>
      </c>
      <c r="AF2457" t="s">
        <v>138</v>
      </c>
      <c r="AG2457">
        <v>0</v>
      </c>
      <c r="AH2457">
        <v>3</v>
      </c>
      <c r="AI2457">
        <v>1</v>
      </c>
      <c r="AJ2457">
        <v>0</v>
      </c>
      <c r="AK2457" t="s">
        <v>846</v>
      </c>
      <c r="AL2457">
        <v>32.756402000000001</v>
      </c>
      <c r="AM2457" t="s">
        <v>847</v>
      </c>
      <c r="AN2457">
        <v>-116.787136</v>
      </c>
      <c r="AO2457">
        <v>25</v>
      </c>
      <c r="AP2457">
        <v>3300</v>
      </c>
      <c r="AQ2457" t="s">
        <v>129</v>
      </c>
      <c r="AR2457">
        <v>108</v>
      </c>
      <c r="AS2457">
        <v>-67</v>
      </c>
      <c r="AT2457">
        <v>704</v>
      </c>
      <c r="BB2457">
        <v>1200</v>
      </c>
      <c r="BC2457">
        <v>1</v>
      </c>
      <c r="BD2457" t="str">
        <f t="shared" si="878"/>
        <v xml:space="preserve">N887QR  </v>
      </c>
      <c r="BE2457">
        <v>1</v>
      </c>
      <c r="BJ2457">
        <v>2975</v>
      </c>
      <c r="BK2457">
        <v>-325</v>
      </c>
      <c r="BL2457" t="s">
        <v>163</v>
      </c>
      <c r="BM2457">
        <v>1</v>
      </c>
      <c r="BN2457">
        <v>1</v>
      </c>
      <c r="BO2457">
        <v>1</v>
      </c>
      <c r="BP2457">
        <v>0</v>
      </c>
      <c r="BS2457">
        <v>0</v>
      </c>
      <c r="BT2457">
        <v>0</v>
      </c>
      <c r="BU2457">
        <v>0</v>
      </c>
      <c r="CE2457" t="str">
        <f t="shared" si="886"/>
        <v>19:32:08.993</v>
      </c>
      <c r="CF2457">
        <v>992731928</v>
      </c>
      <c r="CS2457">
        <v>0</v>
      </c>
      <c r="CT2457">
        <v>2</v>
      </c>
      <c r="CU2457">
        <v>0</v>
      </c>
      <c r="CV2457">
        <v>2</v>
      </c>
      <c r="CW2457">
        <v>0</v>
      </c>
      <c r="CX2457">
        <v>5</v>
      </c>
      <c r="CY2457">
        <v>7</v>
      </c>
      <c r="CZ2457" t="s">
        <v>131</v>
      </c>
      <c r="DA2457">
        <v>300</v>
      </c>
      <c r="DB2457">
        <v>0</v>
      </c>
      <c r="DC2457" t="s">
        <v>176</v>
      </c>
      <c r="DD2457" t="s">
        <v>177</v>
      </c>
      <c r="DG2457">
        <v>5412938</v>
      </c>
      <c r="DI2457">
        <v>1</v>
      </c>
      <c r="DJ2457">
        <v>0</v>
      </c>
      <c r="DK2457">
        <v>1</v>
      </c>
      <c r="DL2457">
        <v>0</v>
      </c>
      <c r="DM2457">
        <v>0</v>
      </c>
      <c r="DN2457">
        <v>1</v>
      </c>
      <c r="DO2457">
        <v>0</v>
      </c>
      <c r="DP2457">
        <v>0</v>
      </c>
      <c r="DQ2457">
        <v>0</v>
      </c>
      <c r="DR2457">
        <v>0</v>
      </c>
      <c r="DS2457">
        <v>0</v>
      </c>
    </row>
    <row r="2458" spans="1:123" x14ac:dyDescent="0.3">
      <c r="A2458" t="str">
        <f>"10/04/2022 19:32:09.306"</f>
        <v>10/04/2022 19:32:09.306</v>
      </c>
      <c r="C2458" t="str">
        <f t="shared" si="867"/>
        <v>FFDDD3C0</v>
      </c>
      <c r="D2458" t="s">
        <v>143</v>
      </c>
      <c r="E2458">
        <v>20</v>
      </c>
      <c r="F2458">
        <v>1020</v>
      </c>
      <c r="G2458" t="s">
        <v>144</v>
      </c>
      <c r="J2458" t="s">
        <v>145</v>
      </c>
      <c r="K2458">
        <v>0</v>
      </c>
      <c r="L2458">
        <v>3</v>
      </c>
      <c r="M2458">
        <v>0</v>
      </c>
      <c r="N2458">
        <v>2</v>
      </c>
      <c r="O2458">
        <v>0</v>
      </c>
      <c r="P2458">
        <v>1</v>
      </c>
      <c r="Q2458">
        <v>0</v>
      </c>
      <c r="S2458" t="str">
        <f t="shared" si="885"/>
        <v>19:32:08.000</v>
      </c>
      <c r="T2458" t="str">
        <f t="shared" si="885"/>
        <v>19:32:08.000</v>
      </c>
      <c r="U2458" t="str">
        <f t="shared" si="877"/>
        <v>AC3944</v>
      </c>
      <c r="V2458">
        <v>0</v>
      </c>
      <c r="W2458">
        <v>0</v>
      </c>
      <c r="X2458">
        <v>2</v>
      </c>
      <c r="Y2458">
        <v>0</v>
      </c>
      <c r="AA2458">
        <v>1</v>
      </c>
      <c r="AB2458">
        <v>8</v>
      </c>
      <c r="AC2458">
        <v>3</v>
      </c>
      <c r="AD2458">
        <v>0</v>
      </c>
      <c r="AE2458">
        <v>9</v>
      </c>
      <c r="AF2458" t="s">
        <v>138</v>
      </c>
      <c r="AG2458">
        <v>0</v>
      </c>
      <c r="AH2458">
        <v>3</v>
      </c>
      <c r="AI2458">
        <v>1</v>
      </c>
      <c r="AJ2458">
        <v>0</v>
      </c>
      <c r="AK2458" t="s">
        <v>846</v>
      </c>
      <c r="AL2458">
        <v>32.756402000000001</v>
      </c>
      <c r="AM2458" t="s">
        <v>847</v>
      </c>
      <c r="AN2458">
        <v>-116.787136</v>
      </c>
      <c r="AO2458">
        <v>25</v>
      </c>
      <c r="AP2458">
        <v>3300</v>
      </c>
      <c r="AQ2458" t="s">
        <v>129</v>
      </c>
      <c r="AR2458">
        <v>108</v>
      </c>
      <c r="AS2458">
        <v>-67</v>
      </c>
      <c r="AT2458">
        <v>704</v>
      </c>
      <c r="BB2458">
        <v>1200</v>
      </c>
      <c r="BC2458">
        <v>1</v>
      </c>
      <c r="BD2458" t="str">
        <f t="shared" si="878"/>
        <v xml:space="preserve">N887QR  </v>
      </c>
      <c r="BE2458">
        <v>1</v>
      </c>
      <c r="BJ2458">
        <v>2975</v>
      </c>
      <c r="BK2458">
        <v>-325</v>
      </c>
      <c r="BL2458" t="s">
        <v>163</v>
      </c>
      <c r="BM2458">
        <v>1</v>
      </c>
      <c r="BN2458">
        <v>1</v>
      </c>
      <c r="BO2458">
        <v>1</v>
      </c>
      <c r="BP2458">
        <v>0</v>
      </c>
      <c r="BS2458">
        <v>0</v>
      </c>
      <c r="BT2458">
        <v>0</v>
      </c>
      <c r="BU2458">
        <v>0</v>
      </c>
      <c r="CE2458" t="str">
        <f t="shared" si="886"/>
        <v>19:32:08.993</v>
      </c>
      <c r="CF2458">
        <v>992731928</v>
      </c>
      <c r="CS2458">
        <v>0</v>
      </c>
      <c r="CT2458">
        <v>2</v>
      </c>
      <c r="CU2458">
        <v>0</v>
      </c>
      <c r="CV2458">
        <v>2</v>
      </c>
      <c r="CW2458">
        <v>0</v>
      </c>
      <c r="CX2458">
        <v>5</v>
      </c>
      <c r="CY2458">
        <v>7</v>
      </c>
      <c r="CZ2458" t="s">
        <v>131</v>
      </c>
      <c r="DA2458">
        <v>300</v>
      </c>
      <c r="DB2458">
        <v>0</v>
      </c>
      <c r="DC2458" t="s">
        <v>176</v>
      </c>
      <c r="DD2458" t="s">
        <v>177</v>
      </c>
      <c r="DG2458">
        <v>5412938</v>
      </c>
      <c r="DI2458">
        <v>1</v>
      </c>
      <c r="DJ2458">
        <v>0</v>
      </c>
      <c r="DK2458">
        <v>1</v>
      </c>
      <c r="DL2458">
        <v>0</v>
      </c>
      <c r="DM2458">
        <v>0</v>
      </c>
      <c r="DN2458">
        <v>1</v>
      </c>
      <c r="DO2458">
        <v>0</v>
      </c>
      <c r="DP2458">
        <v>0</v>
      </c>
      <c r="DQ2458">
        <v>0</v>
      </c>
      <c r="DR2458">
        <v>0</v>
      </c>
      <c r="DS2458">
        <v>0</v>
      </c>
    </row>
    <row r="2459" spans="1:123" x14ac:dyDescent="0.3">
      <c r="A2459" t="str">
        <f>"10/04/2022 19:32:09.306"</f>
        <v>10/04/2022 19:32:09.306</v>
      </c>
      <c r="C2459" t="str">
        <f t="shared" si="867"/>
        <v>FFDDD3C0</v>
      </c>
      <c r="D2459" t="s">
        <v>123</v>
      </c>
      <c r="E2459">
        <v>7</v>
      </c>
      <c r="F2459">
        <v>2007</v>
      </c>
      <c r="G2459" t="s">
        <v>124</v>
      </c>
      <c r="J2459" t="s">
        <v>125</v>
      </c>
      <c r="K2459">
        <v>0</v>
      </c>
      <c r="L2459">
        <v>3</v>
      </c>
      <c r="M2459">
        <v>0</v>
      </c>
      <c r="N2459">
        <v>2</v>
      </c>
      <c r="O2459">
        <v>0</v>
      </c>
      <c r="P2459">
        <v>1</v>
      </c>
      <c r="Q2459">
        <v>0</v>
      </c>
      <c r="S2459" t="str">
        <f t="shared" si="885"/>
        <v>19:32:08.000</v>
      </c>
      <c r="T2459" t="str">
        <f t="shared" si="885"/>
        <v>19:32:08.000</v>
      </c>
      <c r="U2459" t="str">
        <f t="shared" si="877"/>
        <v>AC3944</v>
      </c>
      <c r="V2459">
        <v>0</v>
      </c>
      <c r="W2459">
        <v>0</v>
      </c>
      <c r="X2459">
        <v>2</v>
      </c>
      <c r="Y2459">
        <v>0</v>
      </c>
      <c r="AA2459">
        <v>1</v>
      </c>
      <c r="AB2459">
        <v>8</v>
      </c>
      <c r="AC2459">
        <v>3</v>
      </c>
      <c r="AD2459">
        <v>0</v>
      </c>
      <c r="AE2459">
        <v>9</v>
      </c>
      <c r="AF2459" t="s">
        <v>138</v>
      </c>
      <c r="AG2459">
        <v>0</v>
      </c>
      <c r="AH2459">
        <v>3</v>
      </c>
      <c r="AI2459">
        <v>1</v>
      </c>
      <c r="AJ2459">
        <v>0</v>
      </c>
      <c r="AK2459" t="s">
        <v>846</v>
      </c>
      <c r="AL2459">
        <v>32.756402000000001</v>
      </c>
      <c r="AM2459" t="s">
        <v>847</v>
      </c>
      <c r="AN2459">
        <v>-116.787136</v>
      </c>
      <c r="AO2459">
        <v>25</v>
      </c>
      <c r="AP2459">
        <v>3300</v>
      </c>
      <c r="AQ2459" t="s">
        <v>129</v>
      </c>
      <c r="AR2459">
        <v>108</v>
      </c>
      <c r="AS2459">
        <v>-67</v>
      </c>
      <c r="AT2459">
        <v>704</v>
      </c>
      <c r="BB2459">
        <v>1200</v>
      </c>
      <c r="BC2459">
        <v>1</v>
      </c>
      <c r="BD2459" t="str">
        <f t="shared" si="878"/>
        <v xml:space="preserve">N887QR  </v>
      </c>
      <c r="BE2459">
        <v>1</v>
      </c>
      <c r="BJ2459">
        <v>2975</v>
      </c>
      <c r="BK2459">
        <v>-325</v>
      </c>
      <c r="BL2459" t="s">
        <v>163</v>
      </c>
      <c r="BM2459">
        <v>1</v>
      </c>
      <c r="BN2459">
        <v>1</v>
      </c>
      <c r="BO2459">
        <v>1</v>
      </c>
      <c r="BP2459">
        <v>0</v>
      </c>
      <c r="BS2459">
        <v>0</v>
      </c>
      <c r="BT2459">
        <v>0</v>
      </c>
      <c r="BU2459">
        <v>0</v>
      </c>
      <c r="CE2459" t="str">
        <f t="shared" si="886"/>
        <v>19:32:08.993</v>
      </c>
      <c r="CF2459">
        <v>992731928</v>
      </c>
      <c r="CS2459">
        <v>0</v>
      </c>
      <c r="CT2459">
        <v>2</v>
      </c>
      <c r="CU2459">
        <v>0</v>
      </c>
      <c r="CV2459">
        <v>2</v>
      </c>
      <c r="CW2459">
        <v>0</v>
      </c>
      <c r="CX2459">
        <v>5</v>
      </c>
      <c r="CY2459">
        <v>7</v>
      </c>
      <c r="CZ2459" t="s">
        <v>131</v>
      </c>
      <c r="DA2459">
        <v>300</v>
      </c>
      <c r="DB2459">
        <v>0</v>
      </c>
      <c r="DC2459" t="s">
        <v>176</v>
      </c>
      <c r="DD2459" t="s">
        <v>177</v>
      </c>
      <c r="DG2459">
        <v>5412938</v>
      </c>
      <c r="DI2459">
        <v>1</v>
      </c>
      <c r="DJ2459">
        <v>0</v>
      </c>
      <c r="DK2459">
        <v>1</v>
      </c>
      <c r="DL2459">
        <v>0</v>
      </c>
      <c r="DM2459">
        <v>0</v>
      </c>
      <c r="DN2459">
        <v>1</v>
      </c>
      <c r="DO2459">
        <v>0</v>
      </c>
      <c r="DP2459">
        <v>0</v>
      </c>
      <c r="DQ2459">
        <v>0</v>
      </c>
      <c r="DR2459">
        <v>0</v>
      </c>
      <c r="DS2459">
        <v>0</v>
      </c>
    </row>
    <row r="2460" spans="1:123" x14ac:dyDescent="0.3">
      <c r="A2460" t="str">
        <f>"10/04/2022 19:32:09.306"</f>
        <v>10/04/2022 19:32:09.306</v>
      </c>
      <c r="C2460" t="str">
        <f t="shared" si="867"/>
        <v>FFDDD3C0</v>
      </c>
      <c r="D2460" t="s">
        <v>147</v>
      </c>
      <c r="E2460">
        <v>3</v>
      </c>
      <c r="H2460">
        <v>166</v>
      </c>
      <c r="I2460" t="s">
        <v>144</v>
      </c>
      <c r="J2460" t="s">
        <v>148</v>
      </c>
      <c r="K2460">
        <v>0</v>
      </c>
      <c r="L2460">
        <v>3</v>
      </c>
      <c r="M2460">
        <v>0</v>
      </c>
      <c r="N2460">
        <v>2</v>
      </c>
      <c r="O2460">
        <v>0</v>
      </c>
      <c r="P2460">
        <v>1</v>
      </c>
      <c r="Q2460">
        <v>0</v>
      </c>
      <c r="S2460" t="str">
        <f t="shared" si="885"/>
        <v>19:32:08.000</v>
      </c>
      <c r="T2460" t="str">
        <f t="shared" si="885"/>
        <v>19:32:08.000</v>
      </c>
      <c r="U2460" t="str">
        <f t="shared" si="877"/>
        <v>AC3944</v>
      </c>
      <c r="V2460">
        <v>0</v>
      </c>
      <c r="W2460">
        <v>0</v>
      </c>
      <c r="X2460">
        <v>2</v>
      </c>
      <c r="Y2460">
        <v>0</v>
      </c>
      <c r="AA2460">
        <v>1</v>
      </c>
      <c r="AB2460">
        <v>8</v>
      </c>
      <c r="AC2460">
        <v>3</v>
      </c>
      <c r="AD2460">
        <v>0</v>
      </c>
      <c r="AE2460">
        <v>9</v>
      </c>
      <c r="AF2460" t="s">
        <v>138</v>
      </c>
      <c r="AG2460">
        <v>0</v>
      </c>
      <c r="AH2460">
        <v>3</v>
      </c>
      <c r="AI2460">
        <v>1</v>
      </c>
      <c r="AJ2460">
        <v>0</v>
      </c>
      <c r="AK2460" t="s">
        <v>846</v>
      </c>
      <c r="AL2460">
        <v>32.756402000000001</v>
      </c>
      <c r="AM2460" t="s">
        <v>847</v>
      </c>
      <c r="AN2460">
        <v>-116.787136</v>
      </c>
      <c r="AO2460">
        <v>25</v>
      </c>
      <c r="AP2460">
        <v>3300</v>
      </c>
      <c r="AQ2460" t="s">
        <v>129</v>
      </c>
      <c r="AR2460">
        <v>108</v>
      </c>
      <c r="AS2460">
        <v>-67</v>
      </c>
      <c r="AT2460">
        <v>704</v>
      </c>
      <c r="BB2460">
        <v>1200</v>
      </c>
      <c r="BC2460">
        <v>1</v>
      </c>
      <c r="BD2460" t="str">
        <f t="shared" si="878"/>
        <v xml:space="preserve">N887QR  </v>
      </c>
      <c r="BE2460">
        <v>1</v>
      </c>
      <c r="BJ2460">
        <v>2975</v>
      </c>
      <c r="BK2460">
        <v>-325</v>
      </c>
      <c r="BL2460" t="s">
        <v>163</v>
      </c>
      <c r="BM2460">
        <v>1</v>
      </c>
      <c r="BN2460">
        <v>1</v>
      </c>
      <c r="BO2460">
        <v>1</v>
      </c>
      <c r="BP2460">
        <v>0</v>
      </c>
      <c r="BS2460">
        <v>0</v>
      </c>
      <c r="BT2460">
        <v>0</v>
      </c>
      <c r="BU2460">
        <v>0</v>
      </c>
      <c r="CE2460" t="str">
        <f t="shared" si="886"/>
        <v>19:32:08.993</v>
      </c>
      <c r="CF2460">
        <v>992731928</v>
      </c>
      <c r="CS2460">
        <v>0</v>
      </c>
      <c r="CT2460">
        <v>2</v>
      </c>
      <c r="CU2460">
        <v>0</v>
      </c>
      <c r="CV2460">
        <v>2</v>
      </c>
      <c r="CW2460">
        <v>0</v>
      </c>
      <c r="CX2460">
        <v>5</v>
      </c>
      <c r="CY2460">
        <v>7</v>
      </c>
      <c r="CZ2460" t="s">
        <v>131</v>
      </c>
      <c r="DA2460">
        <v>300</v>
      </c>
      <c r="DB2460">
        <v>0</v>
      </c>
      <c r="DC2460" t="s">
        <v>176</v>
      </c>
      <c r="DD2460" t="s">
        <v>177</v>
      </c>
      <c r="DG2460">
        <v>5412938</v>
      </c>
      <c r="DI2460">
        <v>1</v>
      </c>
      <c r="DJ2460">
        <v>0</v>
      </c>
      <c r="DK2460">
        <v>1</v>
      </c>
      <c r="DL2460">
        <v>0</v>
      </c>
      <c r="DM2460">
        <v>0</v>
      </c>
      <c r="DN2460">
        <v>1</v>
      </c>
      <c r="DO2460">
        <v>0</v>
      </c>
      <c r="DP2460">
        <v>0</v>
      </c>
      <c r="DQ2460">
        <v>0</v>
      </c>
      <c r="DR2460">
        <v>0</v>
      </c>
      <c r="DS2460">
        <v>0</v>
      </c>
    </row>
    <row r="2461" spans="1:123" x14ac:dyDescent="0.3">
      <c r="A2461" t="str">
        <f>"10/04/2022 19:32:09.306"</f>
        <v>10/04/2022 19:32:09.306</v>
      </c>
      <c r="C2461" t="str">
        <f t="shared" si="867"/>
        <v>FFDDD3C0</v>
      </c>
      <c r="D2461" t="s">
        <v>141</v>
      </c>
      <c r="E2461">
        <v>3</v>
      </c>
      <c r="H2461">
        <v>3</v>
      </c>
      <c r="I2461" t="s">
        <v>146</v>
      </c>
      <c r="J2461" t="s">
        <v>138</v>
      </c>
      <c r="K2461">
        <v>0</v>
      </c>
      <c r="L2461">
        <v>3</v>
      </c>
      <c r="M2461">
        <v>0</v>
      </c>
      <c r="N2461">
        <v>2</v>
      </c>
      <c r="O2461">
        <v>0</v>
      </c>
      <c r="P2461">
        <v>1</v>
      </c>
      <c r="Q2461">
        <v>0</v>
      </c>
      <c r="S2461" t="str">
        <f t="shared" si="885"/>
        <v>19:32:08.000</v>
      </c>
      <c r="T2461" t="str">
        <f t="shared" si="885"/>
        <v>19:32:08.000</v>
      </c>
      <c r="U2461" t="str">
        <f t="shared" si="877"/>
        <v>AC3944</v>
      </c>
      <c r="V2461">
        <v>0</v>
      </c>
      <c r="W2461">
        <v>0</v>
      </c>
      <c r="X2461">
        <v>2</v>
      </c>
      <c r="Y2461">
        <v>0</v>
      </c>
      <c r="AA2461">
        <v>1</v>
      </c>
      <c r="AB2461">
        <v>8</v>
      </c>
      <c r="AC2461">
        <v>3</v>
      </c>
      <c r="AD2461">
        <v>0</v>
      </c>
      <c r="AE2461">
        <v>9</v>
      </c>
      <c r="AF2461" t="s">
        <v>138</v>
      </c>
      <c r="AG2461">
        <v>0</v>
      </c>
      <c r="AH2461">
        <v>3</v>
      </c>
      <c r="AI2461">
        <v>1</v>
      </c>
      <c r="AJ2461">
        <v>0</v>
      </c>
      <c r="AK2461" t="s">
        <v>846</v>
      </c>
      <c r="AL2461">
        <v>32.756402000000001</v>
      </c>
      <c r="AM2461" t="s">
        <v>847</v>
      </c>
      <c r="AN2461">
        <v>-116.787136</v>
      </c>
      <c r="AO2461">
        <v>25</v>
      </c>
      <c r="AP2461">
        <v>3300</v>
      </c>
      <c r="AQ2461" t="s">
        <v>129</v>
      </c>
      <c r="AR2461">
        <v>108</v>
      </c>
      <c r="AS2461">
        <v>-67</v>
      </c>
      <c r="AT2461">
        <v>704</v>
      </c>
      <c r="BB2461">
        <v>1200</v>
      </c>
      <c r="BC2461">
        <v>1</v>
      </c>
      <c r="BD2461" t="str">
        <f t="shared" si="878"/>
        <v xml:space="preserve">N887QR  </v>
      </c>
      <c r="BE2461">
        <v>1</v>
      </c>
      <c r="BJ2461">
        <v>2975</v>
      </c>
      <c r="BK2461">
        <v>-325</v>
      </c>
      <c r="BL2461" t="s">
        <v>163</v>
      </c>
      <c r="BM2461">
        <v>1</v>
      </c>
      <c r="BN2461">
        <v>1</v>
      </c>
      <c r="BO2461">
        <v>1</v>
      </c>
      <c r="BP2461">
        <v>0</v>
      </c>
      <c r="BS2461">
        <v>0</v>
      </c>
      <c r="BT2461">
        <v>0</v>
      </c>
      <c r="BU2461">
        <v>0</v>
      </c>
      <c r="CE2461" t="str">
        <f t="shared" si="886"/>
        <v>19:32:08.993</v>
      </c>
      <c r="CF2461">
        <v>992731928</v>
      </c>
      <c r="CS2461">
        <v>0</v>
      </c>
      <c r="CT2461">
        <v>2</v>
      </c>
      <c r="CU2461">
        <v>0</v>
      </c>
      <c r="CV2461">
        <v>2</v>
      </c>
      <c r="CW2461">
        <v>0</v>
      </c>
      <c r="CX2461">
        <v>5</v>
      </c>
      <c r="CY2461">
        <v>7</v>
      </c>
      <c r="CZ2461" t="s">
        <v>131</v>
      </c>
      <c r="DA2461">
        <v>300</v>
      </c>
      <c r="DB2461">
        <v>0</v>
      </c>
      <c r="DC2461" t="s">
        <v>176</v>
      </c>
      <c r="DD2461" t="s">
        <v>177</v>
      </c>
      <c r="DG2461">
        <v>5412938</v>
      </c>
      <c r="DI2461">
        <v>1</v>
      </c>
      <c r="DJ2461">
        <v>0</v>
      </c>
      <c r="DK2461">
        <v>1</v>
      </c>
      <c r="DL2461">
        <v>0</v>
      </c>
      <c r="DM2461">
        <v>0</v>
      </c>
      <c r="DN2461">
        <v>1</v>
      </c>
      <c r="DO2461">
        <v>0</v>
      </c>
      <c r="DP2461">
        <v>0</v>
      </c>
      <c r="DQ2461">
        <v>0</v>
      </c>
      <c r="DR2461">
        <v>0</v>
      </c>
      <c r="DS2461">
        <v>0</v>
      </c>
    </row>
    <row r="2462" spans="1:123" x14ac:dyDescent="0.3">
      <c r="A2462" t="str">
        <f>"10/04/2022 19:32:10.480"</f>
        <v>10/04/2022 19:32:10.480</v>
      </c>
      <c r="C2462" t="str">
        <f t="shared" si="867"/>
        <v>FFDDD3C0</v>
      </c>
      <c r="D2462" t="s">
        <v>147</v>
      </c>
      <c r="E2462">
        <v>3</v>
      </c>
      <c r="H2462">
        <v>166</v>
      </c>
      <c r="I2462" t="s">
        <v>144</v>
      </c>
      <c r="J2462" t="s">
        <v>148</v>
      </c>
      <c r="K2462">
        <v>0</v>
      </c>
      <c r="L2462">
        <v>3</v>
      </c>
      <c r="M2462">
        <v>0</v>
      </c>
      <c r="N2462">
        <v>2</v>
      </c>
      <c r="O2462">
        <v>0</v>
      </c>
      <c r="P2462">
        <v>1</v>
      </c>
      <c r="Q2462">
        <v>0</v>
      </c>
      <c r="S2462" t="str">
        <f t="shared" ref="S2462:T2471" si="887">"19:32:10.000"</f>
        <v>19:32:10.000</v>
      </c>
      <c r="T2462" t="str">
        <f t="shared" si="887"/>
        <v>19:32:10.000</v>
      </c>
      <c r="U2462" t="str">
        <f t="shared" si="877"/>
        <v>AC3944</v>
      </c>
      <c r="V2462">
        <v>0</v>
      </c>
      <c r="W2462">
        <v>0</v>
      </c>
      <c r="X2462">
        <v>2</v>
      </c>
      <c r="Y2462">
        <v>0</v>
      </c>
      <c r="AA2462">
        <v>1</v>
      </c>
      <c r="AB2462">
        <v>8</v>
      </c>
      <c r="AC2462">
        <v>3</v>
      </c>
      <c r="AD2462">
        <v>0</v>
      </c>
      <c r="AE2462">
        <v>9</v>
      </c>
      <c r="AF2462" t="s">
        <v>138</v>
      </c>
      <c r="AG2462">
        <v>0</v>
      </c>
      <c r="AH2462">
        <v>3</v>
      </c>
      <c r="AI2462">
        <v>1</v>
      </c>
      <c r="AJ2462">
        <v>0</v>
      </c>
      <c r="AK2462" t="s">
        <v>848</v>
      </c>
      <c r="AL2462">
        <v>32.756081000000002</v>
      </c>
      <c r="AM2462" t="s">
        <v>849</v>
      </c>
      <c r="AN2462">
        <v>-116.786535</v>
      </c>
      <c r="AO2462">
        <v>25</v>
      </c>
      <c r="AP2462">
        <v>3300</v>
      </c>
      <c r="AQ2462" t="s">
        <v>129</v>
      </c>
      <c r="AR2462">
        <v>109</v>
      </c>
      <c r="AS2462">
        <v>-67</v>
      </c>
      <c r="AT2462">
        <v>704</v>
      </c>
      <c r="BB2462">
        <v>1200</v>
      </c>
      <c r="BC2462">
        <v>1</v>
      </c>
      <c r="BD2462" t="str">
        <f t="shared" si="878"/>
        <v xml:space="preserve">N887QR  </v>
      </c>
      <c r="BE2462">
        <v>1</v>
      </c>
      <c r="BJ2462">
        <v>3000</v>
      </c>
      <c r="BK2462">
        <v>-300</v>
      </c>
      <c r="BL2462" t="s">
        <v>163</v>
      </c>
      <c r="BM2462">
        <v>1</v>
      </c>
      <c r="BN2462">
        <v>1</v>
      </c>
      <c r="BO2462">
        <v>1</v>
      </c>
      <c r="BP2462">
        <v>0</v>
      </c>
      <c r="BS2462">
        <v>0</v>
      </c>
      <c r="BT2462">
        <v>0</v>
      </c>
      <c r="BU2462">
        <v>0</v>
      </c>
      <c r="CE2462" t="str">
        <f>"19:32:10.027"</f>
        <v>19:32:10.027</v>
      </c>
      <c r="CF2462">
        <v>26985446</v>
      </c>
      <c r="CS2462">
        <v>0</v>
      </c>
      <c r="CT2462">
        <v>2</v>
      </c>
      <c r="CU2462">
        <v>0</v>
      </c>
      <c r="CV2462">
        <v>2</v>
      </c>
      <c r="CW2462">
        <v>0</v>
      </c>
      <c r="CX2462">
        <v>5</v>
      </c>
      <c r="CY2462">
        <v>7</v>
      </c>
      <c r="CZ2462" t="s">
        <v>131</v>
      </c>
      <c r="DA2462">
        <v>300</v>
      </c>
      <c r="DB2462">
        <v>0</v>
      </c>
      <c r="DC2462" t="s">
        <v>176</v>
      </c>
      <c r="DD2462" t="s">
        <v>177</v>
      </c>
      <c r="DG2462">
        <v>5413117</v>
      </c>
      <c r="DI2462">
        <v>1</v>
      </c>
      <c r="DJ2462">
        <v>0</v>
      </c>
      <c r="DK2462">
        <v>0</v>
      </c>
      <c r="DL2462">
        <v>0</v>
      </c>
      <c r="DM2462">
        <v>0</v>
      </c>
      <c r="DN2462">
        <v>1</v>
      </c>
      <c r="DO2462">
        <v>0</v>
      </c>
      <c r="DP2462">
        <v>0</v>
      </c>
      <c r="DQ2462">
        <v>0</v>
      </c>
      <c r="DR2462">
        <v>0</v>
      </c>
      <c r="DS2462">
        <v>0</v>
      </c>
    </row>
    <row r="2463" spans="1:123" x14ac:dyDescent="0.3">
      <c r="A2463" t="str">
        <f>"10/04/2022 19:32:10.480"</f>
        <v>10/04/2022 19:32:10.480</v>
      </c>
      <c r="C2463" t="str">
        <f t="shared" si="867"/>
        <v>FFDDD3C0</v>
      </c>
      <c r="D2463" t="s">
        <v>141</v>
      </c>
      <c r="E2463">
        <v>3</v>
      </c>
      <c r="H2463">
        <v>3</v>
      </c>
      <c r="I2463" t="s">
        <v>146</v>
      </c>
      <c r="J2463" t="s">
        <v>138</v>
      </c>
      <c r="K2463">
        <v>0</v>
      </c>
      <c r="L2463">
        <v>3</v>
      </c>
      <c r="M2463">
        <v>0</v>
      </c>
      <c r="N2463">
        <v>2</v>
      </c>
      <c r="O2463">
        <v>0</v>
      </c>
      <c r="P2463">
        <v>1</v>
      </c>
      <c r="Q2463">
        <v>0</v>
      </c>
      <c r="S2463" t="str">
        <f t="shared" si="887"/>
        <v>19:32:10.000</v>
      </c>
      <c r="T2463" t="str">
        <f t="shared" si="887"/>
        <v>19:32:10.000</v>
      </c>
      <c r="U2463" t="str">
        <f t="shared" si="877"/>
        <v>AC3944</v>
      </c>
      <c r="V2463">
        <v>0</v>
      </c>
      <c r="W2463">
        <v>0</v>
      </c>
      <c r="X2463">
        <v>2</v>
      </c>
      <c r="Y2463">
        <v>0</v>
      </c>
      <c r="AA2463">
        <v>1</v>
      </c>
      <c r="AB2463">
        <v>8</v>
      </c>
      <c r="AC2463">
        <v>3</v>
      </c>
      <c r="AD2463">
        <v>0</v>
      </c>
      <c r="AE2463">
        <v>9</v>
      </c>
      <c r="AF2463" t="s">
        <v>138</v>
      </c>
      <c r="AG2463">
        <v>0</v>
      </c>
      <c r="AH2463">
        <v>3</v>
      </c>
      <c r="AI2463">
        <v>1</v>
      </c>
      <c r="AJ2463">
        <v>0</v>
      </c>
      <c r="AK2463" t="s">
        <v>848</v>
      </c>
      <c r="AL2463">
        <v>32.756081000000002</v>
      </c>
      <c r="AM2463" t="s">
        <v>849</v>
      </c>
      <c r="AN2463">
        <v>-116.786535</v>
      </c>
      <c r="AO2463">
        <v>25</v>
      </c>
      <c r="AP2463">
        <v>3300</v>
      </c>
      <c r="AQ2463" t="s">
        <v>129</v>
      </c>
      <c r="AR2463">
        <v>109</v>
      </c>
      <c r="AS2463">
        <v>-67</v>
      </c>
      <c r="AT2463">
        <v>704</v>
      </c>
      <c r="BB2463">
        <v>1200</v>
      </c>
      <c r="BC2463">
        <v>1</v>
      </c>
      <c r="BD2463" t="str">
        <f t="shared" si="878"/>
        <v xml:space="preserve">N887QR  </v>
      </c>
      <c r="BE2463">
        <v>1</v>
      </c>
      <c r="BJ2463">
        <v>3000</v>
      </c>
      <c r="BK2463">
        <v>-300</v>
      </c>
      <c r="BL2463" t="s">
        <v>163</v>
      </c>
      <c r="BM2463">
        <v>1</v>
      </c>
      <c r="BN2463">
        <v>1</v>
      </c>
      <c r="BO2463">
        <v>1</v>
      </c>
      <c r="BP2463">
        <v>0</v>
      </c>
      <c r="BS2463">
        <v>0</v>
      </c>
      <c r="BT2463">
        <v>0</v>
      </c>
      <c r="BU2463">
        <v>0</v>
      </c>
      <c r="CE2463" t="str">
        <f>"19:32:10.027"</f>
        <v>19:32:10.027</v>
      </c>
      <c r="CF2463">
        <v>26985446</v>
      </c>
      <c r="CS2463">
        <v>0</v>
      </c>
      <c r="CT2463">
        <v>2</v>
      </c>
      <c r="CU2463">
        <v>0</v>
      </c>
      <c r="CV2463">
        <v>2</v>
      </c>
      <c r="CW2463">
        <v>0</v>
      </c>
      <c r="CX2463">
        <v>5</v>
      </c>
      <c r="CY2463">
        <v>7</v>
      </c>
      <c r="CZ2463" t="s">
        <v>131</v>
      </c>
      <c r="DA2463">
        <v>300</v>
      </c>
      <c r="DB2463">
        <v>0</v>
      </c>
      <c r="DC2463" t="s">
        <v>176</v>
      </c>
      <c r="DD2463" t="s">
        <v>177</v>
      </c>
      <c r="DG2463">
        <v>5413117</v>
      </c>
      <c r="DI2463">
        <v>1</v>
      </c>
      <c r="DJ2463">
        <v>0</v>
      </c>
      <c r="DK2463">
        <v>1</v>
      </c>
      <c r="DL2463">
        <v>0</v>
      </c>
      <c r="DM2463">
        <v>0</v>
      </c>
      <c r="DN2463">
        <v>1</v>
      </c>
      <c r="DO2463">
        <v>0</v>
      </c>
      <c r="DP2463">
        <v>0</v>
      </c>
      <c r="DQ2463">
        <v>0</v>
      </c>
      <c r="DR2463">
        <v>0</v>
      </c>
      <c r="DS2463">
        <v>0</v>
      </c>
    </row>
    <row r="2464" spans="1:123" x14ac:dyDescent="0.3">
      <c r="A2464" t="str">
        <f>"10/04/2022 19:32:10.480"</f>
        <v>10/04/2022 19:32:10.480</v>
      </c>
      <c r="C2464" t="str">
        <f t="shared" si="867"/>
        <v>FFDDD3C0</v>
      </c>
      <c r="D2464" t="s">
        <v>143</v>
      </c>
      <c r="E2464">
        <v>20</v>
      </c>
      <c r="F2464">
        <v>1020</v>
      </c>
      <c r="G2464" t="s">
        <v>144</v>
      </c>
      <c r="J2464" t="s">
        <v>145</v>
      </c>
      <c r="K2464">
        <v>0</v>
      </c>
      <c r="L2464">
        <v>3</v>
      </c>
      <c r="M2464">
        <v>0</v>
      </c>
      <c r="N2464">
        <v>2</v>
      </c>
      <c r="O2464">
        <v>0</v>
      </c>
      <c r="P2464">
        <v>1</v>
      </c>
      <c r="Q2464">
        <v>0</v>
      </c>
      <c r="S2464" t="str">
        <f t="shared" si="887"/>
        <v>19:32:10.000</v>
      </c>
      <c r="T2464" t="str">
        <f t="shared" si="887"/>
        <v>19:32:10.000</v>
      </c>
      <c r="U2464" t="str">
        <f t="shared" si="877"/>
        <v>AC3944</v>
      </c>
      <c r="V2464">
        <v>0</v>
      </c>
      <c r="W2464">
        <v>0</v>
      </c>
      <c r="X2464">
        <v>2</v>
      </c>
      <c r="Y2464">
        <v>0</v>
      </c>
      <c r="AA2464">
        <v>1</v>
      </c>
      <c r="AB2464">
        <v>8</v>
      </c>
      <c r="AC2464">
        <v>3</v>
      </c>
      <c r="AD2464">
        <v>0</v>
      </c>
      <c r="AE2464">
        <v>9</v>
      </c>
      <c r="AF2464" t="s">
        <v>138</v>
      </c>
      <c r="AG2464">
        <v>0</v>
      </c>
      <c r="AH2464">
        <v>3</v>
      </c>
      <c r="AI2464">
        <v>1</v>
      </c>
      <c r="AJ2464">
        <v>0</v>
      </c>
      <c r="AK2464" t="s">
        <v>848</v>
      </c>
      <c r="AL2464">
        <v>32.756081000000002</v>
      </c>
      <c r="AM2464" t="s">
        <v>849</v>
      </c>
      <c r="AN2464">
        <v>-116.786535</v>
      </c>
      <c r="AO2464">
        <v>25</v>
      </c>
      <c r="AP2464">
        <v>3300</v>
      </c>
      <c r="AQ2464" t="s">
        <v>129</v>
      </c>
      <c r="AR2464">
        <v>109</v>
      </c>
      <c r="AS2464">
        <v>-67</v>
      </c>
      <c r="AT2464">
        <v>704</v>
      </c>
      <c r="BB2464">
        <v>1200</v>
      </c>
      <c r="BC2464">
        <v>1</v>
      </c>
      <c r="BD2464" t="str">
        <f t="shared" si="878"/>
        <v xml:space="preserve">N887QR  </v>
      </c>
      <c r="BE2464">
        <v>1</v>
      </c>
      <c r="BJ2464">
        <v>3000</v>
      </c>
      <c r="BK2464">
        <v>-300</v>
      </c>
      <c r="BL2464" t="s">
        <v>163</v>
      </c>
      <c r="BM2464">
        <v>1</v>
      </c>
      <c r="BN2464">
        <v>1</v>
      </c>
      <c r="BO2464">
        <v>1</v>
      </c>
      <c r="BP2464">
        <v>0</v>
      </c>
      <c r="BS2464">
        <v>0</v>
      </c>
      <c r="BT2464">
        <v>0</v>
      </c>
      <c r="BU2464">
        <v>0</v>
      </c>
      <c r="CE2464" t="str">
        <f>"19:32:10.027"</f>
        <v>19:32:10.027</v>
      </c>
      <c r="CF2464">
        <v>26985446</v>
      </c>
      <c r="CS2464">
        <v>0</v>
      </c>
      <c r="CT2464">
        <v>2</v>
      </c>
      <c r="CU2464">
        <v>0</v>
      </c>
      <c r="CV2464">
        <v>2</v>
      </c>
      <c r="CW2464">
        <v>0</v>
      </c>
      <c r="CX2464">
        <v>5</v>
      </c>
      <c r="CY2464">
        <v>7</v>
      </c>
      <c r="CZ2464" t="s">
        <v>131</v>
      </c>
      <c r="DA2464">
        <v>300</v>
      </c>
      <c r="DB2464">
        <v>0</v>
      </c>
      <c r="DC2464" t="s">
        <v>176</v>
      </c>
      <c r="DD2464" t="s">
        <v>177</v>
      </c>
      <c r="DG2464">
        <v>5413117</v>
      </c>
      <c r="DI2464">
        <v>1</v>
      </c>
      <c r="DJ2464">
        <v>0</v>
      </c>
      <c r="DK2464">
        <v>1</v>
      </c>
      <c r="DL2464">
        <v>0</v>
      </c>
      <c r="DM2464">
        <v>0</v>
      </c>
      <c r="DN2464">
        <v>1</v>
      </c>
      <c r="DO2464">
        <v>0</v>
      </c>
      <c r="DP2464">
        <v>0</v>
      </c>
      <c r="DQ2464">
        <v>0</v>
      </c>
      <c r="DR2464">
        <v>0</v>
      </c>
      <c r="DS2464">
        <v>0</v>
      </c>
    </row>
    <row r="2465" spans="1:123" x14ac:dyDescent="0.3">
      <c r="A2465" t="str">
        <f t="shared" ref="A2465:A2471" si="888">"10/04/2022 19:32:11.215"</f>
        <v>10/04/2022 19:32:11.215</v>
      </c>
      <c r="C2465" t="str">
        <f t="shared" si="867"/>
        <v>FFDDD3C0</v>
      </c>
      <c r="D2465" t="s">
        <v>141</v>
      </c>
      <c r="E2465">
        <v>4</v>
      </c>
      <c r="H2465">
        <v>4</v>
      </c>
      <c r="I2465" t="s">
        <v>142</v>
      </c>
      <c r="J2465" t="s">
        <v>138</v>
      </c>
      <c r="K2465">
        <v>0</v>
      </c>
      <c r="L2465">
        <v>3</v>
      </c>
      <c r="M2465">
        <v>0</v>
      </c>
      <c r="N2465">
        <v>2</v>
      </c>
      <c r="O2465">
        <v>0</v>
      </c>
      <c r="P2465">
        <v>1</v>
      </c>
      <c r="Q2465">
        <v>0</v>
      </c>
      <c r="S2465" t="str">
        <f t="shared" si="887"/>
        <v>19:32:10.000</v>
      </c>
      <c r="T2465" t="str">
        <f t="shared" si="887"/>
        <v>19:32:10.000</v>
      </c>
      <c r="U2465" t="str">
        <f t="shared" si="877"/>
        <v>AC3944</v>
      </c>
      <c r="V2465">
        <v>0</v>
      </c>
      <c r="W2465">
        <v>0</v>
      </c>
      <c r="X2465">
        <v>2</v>
      </c>
      <c r="Y2465">
        <v>0</v>
      </c>
      <c r="AA2465">
        <v>1</v>
      </c>
      <c r="AB2465">
        <v>8</v>
      </c>
      <c r="AC2465">
        <v>3</v>
      </c>
      <c r="AD2465">
        <v>0</v>
      </c>
      <c r="AE2465">
        <v>9</v>
      </c>
      <c r="AF2465" t="s">
        <v>138</v>
      </c>
      <c r="AG2465">
        <v>0</v>
      </c>
      <c r="AH2465">
        <v>3</v>
      </c>
      <c r="AI2465">
        <v>1</v>
      </c>
      <c r="AJ2465">
        <v>0</v>
      </c>
      <c r="AK2465" t="s">
        <v>850</v>
      </c>
      <c r="AL2465">
        <v>32.755758999999998</v>
      </c>
      <c r="AM2465" t="s">
        <v>851</v>
      </c>
      <c r="AN2465">
        <v>-116.785934</v>
      </c>
      <c r="AO2465">
        <v>25</v>
      </c>
      <c r="AP2465">
        <v>3300</v>
      </c>
      <c r="AQ2465" t="s">
        <v>129</v>
      </c>
      <c r="AR2465">
        <v>110</v>
      </c>
      <c r="AS2465">
        <v>-67</v>
      </c>
      <c r="AT2465">
        <v>512</v>
      </c>
      <c r="BB2465">
        <v>1200</v>
      </c>
      <c r="BC2465">
        <v>1</v>
      </c>
      <c r="BD2465" t="str">
        <f t="shared" si="878"/>
        <v xml:space="preserve">N887QR  </v>
      </c>
      <c r="BE2465">
        <v>1</v>
      </c>
      <c r="BJ2465">
        <v>3000</v>
      </c>
      <c r="BK2465">
        <v>-300</v>
      </c>
      <c r="BL2465" t="s">
        <v>163</v>
      </c>
      <c r="BM2465">
        <v>1</v>
      </c>
      <c r="BN2465">
        <v>1</v>
      </c>
      <c r="BO2465">
        <v>1</v>
      </c>
      <c r="BP2465">
        <v>0</v>
      </c>
      <c r="BS2465">
        <v>0</v>
      </c>
      <c r="BT2465">
        <v>0</v>
      </c>
      <c r="BU2465">
        <v>0</v>
      </c>
      <c r="CE2465" t="str">
        <f t="shared" ref="CE2465:CE2471" si="889">"19:32:10.931"</f>
        <v>19:32:10.931</v>
      </c>
      <c r="CF2465">
        <v>931238522</v>
      </c>
      <c r="CS2465">
        <v>0</v>
      </c>
      <c r="CT2465">
        <v>2</v>
      </c>
      <c r="CU2465">
        <v>0</v>
      </c>
      <c r="CV2465">
        <v>2</v>
      </c>
      <c r="CW2465">
        <v>0</v>
      </c>
      <c r="CX2465">
        <v>5</v>
      </c>
      <c r="CY2465">
        <v>7</v>
      </c>
      <c r="CZ2465" t="s">
        <v>131</v>
      </c>
      <c r="DA2465">
        <v>300</v>
      </c>
      <c r="DB2465">
        <v>0</v>
      </c>
      <c r="DC2465" t="s">
        <v>176</v>
      </c>
      <c r="DD2465" t="s">
        <v>177</v>
      </c>
      <c r="DG2465">
        <v>5413274</v>
      </c>
      <c r="DI2465">
        <v>1</v>
      </c>
      <c r="DJ2465">
        <v>0</v>
      </c>
      <c r="DK2465">
        <v>0</v>
      </c>
      <c r="DL2465">
        <v>0</v>
      </c>
      <c r="DM2465">
        <v>0</v>
      </c>
      <c r="DN2465">
        <v>1</v>
      </c>
      <c r="DO2465">
        <v>0</v>
      </c>
      <c r="DP2465">
        <v>0</v>
      </c>
      <c r="DQ2465">
        <v>0</v>
      </c>
      <c r="DR2465">
        <v>0</v>
      </c>
      <c r="DS2465">
        <v>0</v>
      </c>
    </row>
    <row r="2466" spans="1:123" x14ac:dyDescent="0.3">
      <c r="A2466" t="str">
        <f t="shared" si="888"/>
        <v>10/04/2022 19:32:11.215</v>
      </c>
      <c r="C2466" t="str">
        <f t="shared" si="867"/>
        <v>FFDDD3C0</v>
      </c>
      <c r="D2466" t="s">
        <v>143</v>
      </c>
      <c r="E2466">
        <v>20</v>
      </c>
      <c r="F2466">
        <v>1020</v>
      </c>
      <c r="G2466" t="s">
        <v>144</v>
      </c>
      <c r="J2466" t="s">
        <v>145</v>
      </c>
      <c r="K2466">
        <v>0</v>
      </c>
      <c r="L2466">
        <v>3</v>
      </c>
      <c r="M2466">
        <v>0</v>
      </c>
      <c r="N2466">
        <v>2</v>
      </c>
      <c r="O2466">
        <v>0</v>
      </c>
      <c r="P2466">
        <v>1</v>
      </c>
      <c r="Q2466">
        <v>0</v>
      </c>
      <c r="S2466" t="str">
        <f t="shared" si="887"/>
        <v>19:32:10.000</v>
      </c>
      <c r="T2466" t="str">
        <f t="shared" si="887"/>
        <v>19:32:10.000</v>
      </c>
      <c r="U2466" t="str">
        <f t="shared" si="877"/>
        <v>AC3944</v>
      </c>
      <c r="V2466">
        <v>0</v>
      </c>
      <c r="W2466">
        <v>0</v>
      </c>
      <c r="X2466">
        <v>2</v>
      </c>
      <c r="Y2466">
        <v>0</v>
      </c>
      <c r="AA2466">
        <v>1</v>
      </c>
      <c r="AB2466">
        <v>8</v>
      </c>
      <c r="AC2466">
        <v>3</v>
      </c>
      <c r="AD2466">
        <v>0</v>
      </c>
      <c r="AE2466">
        <v>9</v>
      </c>
      <c r="AF2466" t="s">
        <v>138</v>
      </c>
      <c r="AG2466">
        <v>0</v>
      </c>
      <c r="AH2466">
        <v>3</v>
      </c>
      <c r="AI2466">
        <v>1</v>
      </c>
      <c r="AJ2466">
        <v>0</v>
      </c>
      <c r="AK2466" t="s">
        <v>850</v>
      </c>
      <c r="AL2466">
        <v>32.755758999999998</v>
      </c>
      <c r="AM2466" t="s">
        <v>851</v>
      </c>
      <c r="AN2466">
        <v>-116.785934</v>
      </c>
      <c r="AO2466">
        <v>25</v>
      </c>
      <c r="AP2466">
        <v>3300</v>
      </c>
      <c r="AQ2466" t="s">
        <v>129</v>
      </c>
      <c r="AR2466">
        <v>110</v>
      </c>
      <c r="AS2466">
        <v>-67</v>
      </c>
      <c r="AT2466">
        <v>512</v>
      </c>
      <c r="BB2466">
        <v>1200</v>
      </c>
      <c r="BC2466">
        <v>1</v>
      </c>
      <c r="BD2466" t="str">
        <f t="shared" si="878"/>
        <v xml:space="preserve">N887QR  </v>
      </c>
      <c r="BE2466">
        <v>1</v>
      </c>
      <c r="BJ2466">
        <v>3000</v>
      </c>
      <c r="BK2466">
        <v>-300</v>
      </c>
      <c r="BL2466" t="s">
        <v>163</v>
      </c>
      <c r="BM2466">
        <v>1</v>
      </c>
      <c r="BN2466">
        <v>1</v>
      </c>
      <c r="BO2466">
        <v>1</v>
      </c>
      <c r="BP2466">
        <v>0</v>
      </c>
      <c r="BS2466">
        <v>0</v>
      </c>
      <c r="BT2466">
        <v>0</v>
      </c>
      <c r="BU2466">
        <v>0</v>
      </c>
      <c r="CE2466" t="str">
        <f t="shared" si="889"/>
        <v>19:32:10.931</v>
      </c>
      <c r="CF2466">
        <v>931238522</v>
      </c>
      <c r="CS2466">
        <v>0</v>
      </c>
      <c r="CT2466">
        <v>2</v>
      </c>
      <c r="CU2466">
        <v>0</v>
      </c>
      <c r="CV2466">
        <v>2</v>
      </c>
      <c r="CW2466">
        <v>0</v>
      </c>
      <c r="CX2466">
        <v>5</v>
      </c>
      <c r="CY2466">
        <v>7</v>
      </c>
      <c r="CZ2466" t="s">
        <v>131</v>
      </c>
      <c r="DA2466">
        <v>300</v>
      </c>
      <c r="DB2466">
        <v>0</v>
      </c>
      <c r="DC2466" t="s">
        <v>176</v>
      </c>
      <c r="DD2466" t="s">
        <v>177</v>
      </c>
      <c r="DG2466">
        <v>5413274</v>
      </c>
      <c r="DI2466">
        <v>1</v>
      </c>
      <c r="DJ2466">
        <v>0</v>
      </c>
      <c r="DK2466">
        <v>1</v>
      </c>
      <c r="DL2466">
        <v>0</v>
      </c>
      <c r="DM2466">
        <v>0</v>
      </c>
      <c r="DN2466">
        <v>1</v>
      </c>
      <c r="DO2466">
        <v>0</v>
      </c>
      <c r="DP2466">
        <v>0</v>
      </c>
      <c r="DQ2466">
        <v>0</v>
      </c>
      <c r="DR2466">
        <v>0</v>
      </c>
      <c r="DS2466">
        <v>0</v>
      </c>
    </row>
    <row r="2467" spans="1:123" x14ac:dyDescent="0.3">
      <c r="A2467" t="str">
        <f t="shared" si="888"/>
        <v>10/04/2022 19:32:11.215</v>
      </c>
      <c r="C2467" t="str">
        <f t="shared" si="867"/>
        <v>FFDDD3C0</v>
      </c>
      <c r="D2467" t="s">
        <v>134</v>
      </c>
      <c r="E2467">
        <v>15</v>
      </c>
      <c r="J2467" t="s">
        <v>135</v>
      </c>
      <c r="K2467">
        <v>0</v>
      </c>
      <c r="L2467">
        <v>3</v>
      </c>
      <c r="M2467">
        <v>0</v>
      </c>
      <c r="N2467">
        <v>2</v>
      </c>
      <c r="O2467">
        <v>0</v>
      </c>
      <c r="P2467">
        <v>1</v>
      </c>
      <c r="Q2467">
        <v>0</v>
      </c>
      <c r="S2467" t="str">
        <f t="shared" si="887"/>
        <v>19:32:10.000</v>
      </c>
      <c r="T2467" t="str">
        <f t="shared" si="887"/>
        <v>19:32:10.000</v>
      </c>
      <c r="U2467" t="str">
        <f t="shared" si="877"/>
        <v>AC3944</v>
      </c>
      <c r="V2467">
        <v>0</v>
      </c>
      <c r="W2467">
        <v>0</v>
      </c>
      <c r="X2467">
        <v>2</v>
      </c>
      <c r="Y2467">
        <v>0</v>
      </c>
      <c r="AA2467">
        <v>1</v>
      </c>
      <c r="AB2467">
        <v>8</v>
      </c>
      <c r="AC2467">
        <v>3</v>
      </c>
      <c r="AD2467">
        <v>0</v>
      </c>
      <c r="AE2467">
        <v>9</v>
      </c>
      <c r="AF2467" t="s">
        <v>138</v>
      </c>
      <c r="AG2467">
        <v>0</v>
      </c>
      <c r="AH2467">
        <v>3</v>
      </c>
      <c r="AI2467">
        <v>1</v>
      </c>
      <c r="AJ2467">
        <v>0</v>
      </c>
      <c r="AK2467" t="s">
        <v>850</v>
      </c>
      <c r="AL2467">
        <v>32.755758999999998</v>
      </c>
      <c r="AM2467" t="s">
        <v>851</v>
      </c>
      <c r="AN2467">
        <v>-116.785934</v>
      </c>
      <c r="AO2467">
        <v>25</v>
      </c>
      <c r="AP2467">
        <v>3300</v>
      </c>
      <c r="AQ2467" t="s">
        <v>129</v>
      </c>
      <c r="AR2467">
        <v>110</v>
      </c>
      <c r="AS2467">
        <v>-67</v>
      </c>
      <c r="AT2467">
        <v>512</v>
      </c>
      <c r="BB2467">
        <v>1200</v>
      </c>
      <c r="BC2467">
        <v>1</v>
      </c>
      <c r="BD2467" t="str">
        <f t="shared" si="878"/>
        <v xml:space="preserve">N887QR  </v>
      </c>
      <c r="BE2467">
        <v>1</v>
      </c>
      <c r="BJ2467">
        <v>3000</v>
      </c>
      <c r="BK2467">
        <v>-300</v>
      </c>
      <c r="BL2467" t="s">
        <v>163</v>
      </c>
      <c r="BM2467">
        <v>1</v>
      </c>
      <c r="BN2467">
        <v>1</v>
      </c>
      <c r="BO2467">
        <v>1</v>
      </c>
      <c r="BP2467">
        <v>0</v>
      </c>
      <c r="BS2467">
        <v>0</v>
      </c>
      <c r="BT2467">
        <v>0</v>
      </c>
      <c r="BU2467">
        <v>0</v>
      </c>
      <c r="CE2467" t="str">
        <f t="shared" si="889"/>
        <v>19:32:10.931</v>
      </c>
      <c r="CF2467">
        <v>931238522</v>
      </c>
      <c r="CS2467">
        <v>0</v>
      </c>
      <c r="CT2467">
        <v>2</v>
      </c>
      <c r="CU2467">
        <v>0</v>
      </c>
      <c r="CV2467">
        <v>2</v>
      </c>
      <c r="CW2467">
        <v>0</v>
      </c>
      <c r="CX2467">
        <v>5</v>
      </c>
      <c r="CY2467">
        <v>7</v>
      </c>
      <c r="CZ2467" t="s">
        <v>131</v>
      </c>
      <c r="DA2467">
        <v>300</v>
      </c>
      <c r="DB2467">
        <v>0</v>
      </c>
      <c r="DC2467" t="s">
        <v>176</v>
      </c>
      <c r="DD2467" t="s">
        <v>177</v>
      </c>
      <c r="DG2467">
        <v>5413274</v>
      </c>
      <c r="DI2467">
        <v>1</v>
      </c>
      <c r="DJ2467">
        <v>0</v>
      </c>
      <c r="DK2467">
        <v>1</v>
      </c>
      <c r="DL2467">
        <v>0</v>
      </c>
      <c r="DM2467">
        <v>0</v>
      </c>
      <c r="DN2467">
        <v>1</v>
      </c>
      <c r="DO2467">
        <v>0</v>
      </c>
      <c r="DP2467">
        <v>0</v>
      </c>
      <c r="DQ2467">
        <v>0</v>
      </c>
      <c r="DR2467">
        <v>0</v>
      </c>
      <c r="DS2467">
        <v>0</v>
      </c>
    </row>
    <row r="2468" spans="1:123" x14ac:dyDescent="0.3">
      <c r="A2468" t="str">
        <f t="shared" si="888"/>
        <v>10/04/2022 19:32:11.215</v>
      </c>
      <c r="C2468" t="str">
        <f t="shared" si="867"/>
        <v>FFDDD3C0</v>
      </c>
      <c r="D2468" t="s">
        <v>123</v>
      </c>
      <c r="E2468">
        <v>7</v>
      </c>
      <c r="F2468">
        <v>2007</v>
      </c>
      <c r="G2468" t="s">
        <v>124</v>
      </c>
      <c r="J2468" t="s">
        <v>125</v>
      </c>
      <c r="K2468">
        <v>0</v>
      </c>
      <c r="L2468">
        <v>3</v>
      </c>
      <c r="M2468">
        <v>0</v>
      </c>
      <c r="N2468">
        <v>2</v>
      </c>
      <c r="O2468">
        <v>0</v>
      </c>
      <c r="P2468">
        <v>1</v>
      </c>
      <c r="Q2468">
        <v>0</v>
      </c>
      <c r="S2468" t="str">
        <f t="shared" si="887"/>
        <v>19:32:10.000</v>
      </c>
      <c r="T2468" t="str">
        <f t="shared" si="887"/>
        <v>19:32:10.000</v>
      </c>
      <c r="U2468" t="str">
        <f t="shared" si="877"/>
        <v>AC3944</v>
      </c>
      <c r="V2468">
        <v>0</v>
      </c>
      <c r="W2468">
        <v>0</v>
      </c>
      <c r="X2468">
        <v>2</v>
      </c>
      <c r="Y2468">
        <v>0</v>
      </c>
      <c r="AA2468">
        <v>1</v>
      </c>
      <c r="AB2468">
        <v>8</v>
      </c>
      <c r="AC2468">
        <v>3</v>
      </c>
      <c r="AD2468">
        <v>0</v>
      </c>
      <c r="AE2468">
        <v>9</v>
      </c>
      <c r="AF2468" t="s">
        <v>138</v>
      </c>
      <c r="AG2468">
        <v>0</v>
      </c>
      <c r="AH2468">
        <v>3</v>
      </c>
      <c r="AI2468">
        <v>1</v>
      </c>
      <c r="AJ2468">
        <v>0</v>
      </c>
      <c r="AK2468" t="s">
        <v>850</v>
      </c>
      <c r="AL2468">
        <v>32.755758999999998</v>
      </c>
      <c r="AM2468" t="s">
        <v>851</v>
      </c>
      <c r="AN2468">
        <v>-116.785934</v>
      </c>
      <c r="AO2468">
        <v>25</v>
      </c>
      <c r="AP2468">
        <v>3300</v>
      </c>
      <c r="AQ2468" t="s">
        <v>129</v>
      </c>
      <c r="AR2468">
        <v>110</v>
      </c>
      <c r="AS2468">
        <v>-67</v>
      </c>
      <c r="AT2468">
        <v>512</v>
      </c>
      <c r="BB2468">
        <v>1200</v>
      </c>
      <c r="BC2468">
        <v>1</v>
      </c>
      <c r="BD2468" t="str">
        <f t="shared" si="878"/>
        <v xml:space="preserve">N887QR  </v>
      </c>
      <c r="BE2468">
        <v>1</v>
      </c>
      <c r="BJ2468">
        <v>3000</v>
      </c>
      <c r="BK2468">
        <v>-300</v>
      </c>
      <c r="BL2468" t="s">
        <v>163</v>
      </c>
      <c r="BM2468">
        <v>1</v>
      </c>
      <c r="BN2468">
        <v>1</v>
      </c>
      <c r="BO2468">
        <v>1</v>
      </c>
      <c r="BP2468">
        <v>0</v>
      </c>
      <c r="BS2468">
        <v>0</v>
      </c>
      <c r="BT2468">
        <v>0</v>
      </c>
      <c r="BU2468">
        <v>0</v>
      </c>
      <c r="CE2468" t="str">
        <f t="shared" si="889"/>
        <v>19:32:10.931</v>
      </c>
      <c r="CF2468">
        <v>931238522</v>
      </c>
      <c r="CS2468">
        <v>0</v>
      </c>
      <c r="CT2468">
        <v>2</v>
      </c>
      <c r="CU2468">
        <v>0</v>
      </c>
      <c r="CV2468">
        <v>2</v>
      </c>
      <c r="CW2468">
        <v>0</v>
      </c>
      <c r="CX2468">
        <v>5</v>
      </c>
      <c r="CY2468">
        <v>7</v>
      </c>
      <c r="CZ2468" t="s">
        <v>131</v>
      </c>
      <c r="DA2468">
        <v>300</v>
      </c>
      <c r="DB2468">
        <v>0</v>
      </c>
      <c r="DC2468" t="s">
        <v>176</v>
      </c>
      <c r="DD2468" t="s">
        <v>177</v>
      </c>
      <c r="DG2468">
        <v>5413274</v>
      </c>
      <c r="DI2468">
        <v>1</v>
      </c>
      <c r="DJ2468">
        <v>0</v>
      </c>
      <c r="DK2468">
        <v>0</v>
      </c>
      <c r="DL2468">
        <v>0</v>
      </c>
      <c r="DM2468">
        <v>0</v>
      </c>
      <c r="DN2468">
        <v>1</v>
      </c>
      <c r="DO2468">
        <v>0</v>
      </c>
      <c r="DP2468">
        <v>0</v>
      </c>
      <c r="DQ2468">
        <v>0</v>
      </c>
      <c r="DR2468">
        <v>0</v>
      </c>
      <c r="DS2468">
        <v>0</v>
      </c>
    </row>
    <row r="2469" spans="1:123" x14ac:dyDescent="0.3">
      <c r="A2469" t="str">
        <f t="shared" si="888"/>
        <v>10/04/2022 19:32:11.215</v>
      </c>
      <c r="C2469" t="str">
        <f t="shared" si="867"/>
        <v>FFDDD3C0</v>
      </c>
      <c r="D2469" t="s">
        <v>147</v>
      </c>
      <c r="E2469">
        <v>3</v>
      </c>
      <c r="H2469">
        <v>166</v>
      </c>
      <c r="I2469" t="s">
        <v>144</v>
      </c>
      <c r="J2469" t="s">
        <v>148</v>
      </c>
      <c r="K2469">
        <v>0</v>
      </c>
      <c r="L2469">
        <v>3</v>
      </c>
      <c r="M2469">
        <v>0</v>
      </c>
      <c r="N2469">
        <v>2</v>
      </c>
      <c r="O2469">
        <v>0</v>
      </c>
      <c r="P2469">
        <v>1</v>
      </c>
      <c r="Q2469">
        <v>0</v>
      </c>
      <c r="S2469" t="str">
        <f t="shared" si="887"/>
        <v>19:32:10.000</v>
      </c>
      <c r="T2469" t="str">
        <f t="shared" si="887"/>
        <v>19:32:10.000</v>
      </c>
      <c r="U2469" t="str">
        <f t="shared" si="877"/>
        <v>AC3944</v>
      </c>
      <c r="V2469">
        <v>0</v>
      </c>
      <c r="W2469">
        <v>0</v>
      </c>
      <c r="X2469">
        <v>2</v>
      </c>
      <c r="Y2469">
        <v>0</v>
      </c>
      <c r="AA2469">
        <v>1</v>
      </c>
      <c r="AB2469">
        <v>8</v>
      </c>
      <c r="AC2469">
        <v>3</v>
      </c>
      <c r="AD2469">
        <v>0</v>
      </c>
      <c r="AE2469">
        <v>9</v>
      </c>
      <c r="AF2469" t="s">
        <v>138</v>
      </c>
      <c r="AG2469">
        <v>0</v>
      </c>
      <c r="AH2469">
        <v>3</v>
      </c>
      <c r="AI2469">
        <v>1</v>
      </c>
      <c r="AJ2469">
        <v>0</v>
      </c>
      <c r="AK2469" t="s">
        <v>850</v>
      </c>
      <c r="AL2469">
        <v>32.755758999999998</v>
      </c>
      <c r="AM2469" t="s">
        <v>851</v>
      </c>
      <c r="AN2469">
        <v>-116.785934</v>
      </c>
      <c r="AO2469">
        <v>25</v>
      </c>
      <c r="AP2469">
        <v>3300</v>
      </c>
      <c r="AQ2469" t="s">
        <v>129</v>
      </c>
      <c r="AR2469">
        <v>110</v>
      </c>
      <c r="AS2469">
        <v>-67</v>
      </c>
      <c r="AT2469">
        <v>512</v>
      </c>
      <c r="BB2469">
        <v>1200</v>
      </c>
      <c r="BC2469">
        <v>1</v>
      </c>
      <c r="BD2469" t="str">
        <f t="shared" si="878"/>
        <v xml:space="preserve">N887QR  </v>
      </c>
      <c r="BE2469">
        <v>1</v>
      </c>
      <c r="BJ2469">
        <v>3000</v>
      </c>
      <c r="BK2469">
        <v>-300</v>
      </c>
      <c r="BL2469" t="s">
        <v>163</v>
      </c>
      <c r="BM2469">
        <v>1</v>
      </c>
      <c r="BN2469">
        <v>1</v>
      </c>
      <c r="BO2469">
        <v>1</v>
      </c>
      <c r="BP2469">
        <v>0</v>
      </c>
      <c r="BS2469">
        <v>0</v>
      </c>
      <c r="BT2469">
        <v>0</v>
      </c>
      <c r="BU2469">
        <v>0</v>
      </c>
      <c r="CE2469" t="str">
        <f t="shared" si="889"/>
        <v>19:32:10.931</v>
      </c>
      <c r="CF2469">
        <v>931238522</v>
      </c>
      <c r="CS2469">
        <v>0</v>
      </c>
      <c r="CT2469">
        <v>2</v>
      </c>
      <c r="CU2469">
        <v>0</v>
      </c>
      <c r="CV2469">
        <v>2</v>
      </c>
      <c r="CW2469">
        <v>0</v>
      </c>
      <c r="CX2469">
        <v>5</v>
      </c>
      <c r="CY2469">
        <v>7</v>
      </c>
      <c r="CZ2469" t="s">
        <v>131</v>
      </c>
      <c r="DA2469">
        <v>300</v>
      </c>
      <c r="DB2469">
        <v>0</v>
      </c>
      <c r="DC2469" t="s">
        <v>176</v>
      </c>
      <c r="DD2469" t="s">
        <v>177</v>
      </c>
      <c r="DG2469">
        <v>5413274</v>
      </c>
      <c r="DI2469">
        <v>1</v>
      </c>
      <c r="DJ2469">
        <v>0</v>
      </c>
      <c r="DK2469">
        <v>1</v>
      </c>
      <c r="DL2469">
        <v>0</v>
      </c>
      <c r="DM2469">
        <v>0</v>
      </c>
      <c r="DN2469">
        <v>1</v>
      </c>
      <c r="DO2469">
        <v>0</v>
      </c>
      <c r="DP2469">
        <v>0</v>
      </c>
      <c r="DQ2469">
        <v>0</v>
      </c>
      <c r="DR2469">
        <v>0</v>
      </c>
      <c r="DS2469">
        <v>0</v>
      </c>
    </row>
    <row r="2470" spans="1:123" x14ac:dyDescent="0.3">
      <c r="A2470" t="str">
        <f t="shared" si="888"/>
        <v>10/04/2022 19:32:11.215</v>
      </c>
      <c r="C2470" t="str">
        <f t="shared" si="867"/>
        <v>FFDDD3C0</v>
      </c>
      <c r="D2470" t="s">
        <v>141</v>
      </c>
      <c r="E2470">
        <v>3</v>
      </c>
      <c r="H2470">
        <v>3</v>
      </c>
      <c r="I2470" t="s">
        <v>146</v>
      </c>
      <c r="J2470" t="s">
        <v>138</v>
      </c>
      <c r="K2470">
        <v>0</v>
      </c>
      <c r="L2470">
        <v>3</v>
      </c>
      <c r="M2470">
        <v>0</v>
      </c>
      <c r="N2470">
        <v>2</v>
      </c>
      <c r="O2470">
        <v>0</v>
      </c>
      <c r="P2470">
        <v>1</v>
      </c>
      <c r="Q2470">
        <v>0</v>
      </c>
      <c r="S2470" t="str">
        <f t="shared" si="887"/>
        <v>19:32:10.000</v>
      </c>
      <c r="T2470" t="str">
        <f t="shared" si="887"/>
        <v>19:32:10.000</v>
      </c>
      <c r="U2470" t="str">
        <f t="shared" si="877"/>
        <v>AC3944</v>
      </c>
      <c r="V2470">
        <v>0</v>
      </c>
      <c r="W2470">
        <v>0</v>
      </c>
      <c r="X2470">
        <v>2</v>
      </c>
      <c r="Y2470">
        <v>0</v>
      </c>
      <c r="AA2470">
        <v>1</v>
      </c>
      <c r="AB2470">
        <v>8</v>
      </c>
      <c r="AC2470">
        <v>3</v>
      </c>
      <c r="AD2470">
        <v>0</v>
      </c>
      <c r="AE2470">
        <v>9</v>
      </c>
      <c r="AF2470" t="s">
        <v>138</v>
      </c>
      <c r="AG2470">
        <v>0</v>
      </c>
      <c r="AH2470">
        <v>3</v>
      </c>
      <c r="AI2470">
        <v>1</v>
      </c>
      <c r="AJ2470">
        <v>0</v>
      </c>
      <c r="AK2470" t="s">
        <v>850</v>
      </c>
      <c r="AL2470">
        <v>32.755758999999998</v>
      </c>
      <c r="AM2470" t="s">
        <v>851</v>
      </c>
      <c r="AN2470">
        <v>-116.785934</v>
      </c>
      <c r="AO2470">
        <v>25</v>
      </c>
      <c r="AP2470">
        <v>3300</v>
      </c>
      <c r="AQ2470" t="s">
        <v>129</v>
      </c>
      <c r="AR2470">
        <v>110</v>
      </c>
      <c r="AS2470">
        <v>-67</v>
      </c>
      <c r="AT2470">
        <v>512</v>
      </c>
      <c r="BB2470">
        <v>1200</v>
      </c>
      <c r="BC2470">
        <v>1</v>
      </c>
      <c r="BD2470" t="str">
        <f t="shared" si="878"/>
        <v xml:space="preserve">N887QR  </v>
      </c>
      <c r="BE2470">
        <v>1</v>
      </c>
      <c r="BJ2470">
        <v>3000</v>
      </c>
      <c r="BK2470">
        <v>-300</v>
      </c>
      <c r="BL2470" t="s">
        <v>163</v>
      </c>
      <c r="BM2470">
        <v>1</v>
      </c>
      <c r="BN2470">
        <v>1</v>
      </c>
      <c r="BO2470">
        <v>1</v>
      </c>
      <c r="BP2470">
        <v>0</v>
      </c>
      <c r="BS2470">
        <v>0</v>
      </c>
      <c r="BT2470">
        <v>0</v>
      </c>
      <c r="BU2470">
        <v>0</v>
      </c>
      <c r="CE2470" t="str">
        <f t="shared" si="889"/>
        <v>19:32:10.931</v>
      </c>
      <c r="CF2470">
        <v>931238522</v>
      </c>
      <c r="CS2470">
        <v>0</v>
      </c>
      <c r="CT2470">
        <v>2</v>
      </c>
      <c r="CU2470">
        <v>0</v>
      </c>
      <c r="CV2470">
        <v>2</v>
      </c>
      <c r="CW2470">
        <v>0</v>
      </c>
      <c r="CX2470">
        <v>5</v>
      </c>
      <c r="CY2470">
        <v>7</v>
      </c>
      <c r="CZ2470" t="s">
        <v>131</v>
      </c>
      <c r="DA2470">
        <v>300</v>
      </c>
      <c r="DB2470">
        <v>0</v>
      </c>
      <c r="DC2470" t="s">
        <v>176</v>
      </c>
      <c r="DD2470" t="s">
        <v>177</v>
      </c>
      <c r="DG2470">
        <v>5413274</v>
      </c>
      <c r="DI2470">
        <v>1</v>
      </c>
      <c r="DJ2470">
        <v>0</v>
      </c>
      <c r="DK2470">
        <v>1</v>
      </c>
      <c r="DL2470">
        <v>0</v>
      </c>
      <c r="DM2470">
        <v>0</v>
      </c>
      <c r="DN2470">
        <v>1</v>
      </c>
      <c r="DO2470">
        <v>0</v>
      </c>
      <c r="DP2470">
        <v>0</v>
      </c>
      <c r="DQ2470">
        <v>0</v>
      </c>
      <c r="DR2470">
        <v>0</v>
      </c>
      <c r="DS2470">
        <v>0</v>
      </c>
    </row>
    <row r="2471" spans="1:123" x14ac:dyDescent="0.3">
      <c r="A2471" t="str">
        <f t="shared" si="888"/>
        <v>10/04/2022 19:32:11.215</v>
      </c>
      <c r="C2471" t="str">
        <f t="shared" ref="C2471:C2534" si="890">"FFDDD3C0"</f>
        <v>FFDDD3C0</v>
      </c>
      <c r="D2471" t="s">
        <v>136</v>
      </c>
      <c r="E2471">
        <v>8</v>
      </c>
      <c r="H2471">
        <v>225</v>
      </c>
      <c r="I2471" t="s">
        <v>137</v>
      </c>
      <c r="J2471" t="s">
        <v>138</v>
      </c>
      <c r="K2471">
        <v>0</v>
      </c>
      <c r="L2471">
        <v>3</v>
      </c>
      <c r="M2471">
        <v>0</v>
      </c>
      <c r="N2471">
        <v>2</v>
      </c>
      <c r="O2471">
        <v>0</v>
      </c>
      <c r="P2471">
        <v>1</v>
      </c>
      <c r="Q2471">
        <v>0</v>
      </c>
      <c r="S2471" t="str">
        <f t="shared" si="887"/>
        <v>19:32:10.000</v>
      </c>
      <c r="T2471" t="str">
        <f t="shared" si="887"/>
        <v>19:32:10.000</v>
      </c>
      <c r="U2471" t="str">
        <f t="shared" si="877"/>
        <v>AC3944</v>
      </c>
      <c r="V2471">
        <v>0</v>
      </c>
      <c r="W2471">
        <v>0</v>
      </c>
      <c r="X2471">
        <v>2</v>
      </c>
      <c r="Y2471">
        <v>0</v>
      </c>
      <c r="AA2471">
        <v>1</v>
      </c>
      <c r="AB2471">
        <v>8</v>
      </c>
      <c r="AC2471">
        <v>3</v>
      </c>
      <c r="AD2471">
        <v>0</v>
      </c>
      <c r="AE2471">
        <v>9</v>
      </c>
      <c r="AF2471" t="s">
        <v>138</v>
      </c>
      <c r="AG2471">
        <v>0</v>
      </c>
      <c r="AH2471">
        <v>3</v>
      </c>
      <c r="AI2471">
        <v>1</v>
      </c>
      <c r="AJ2471">
        <v>0</v>
      </c>
      <c r="AK2471" t="s">
        <v>850</v>
      </c>
      <c r="AL2471">
        <v>32.755758999999998</v>
      </c>
      <c r="AM2471" t="s">
        <v>851</v>
      </c>
      <c r="AN2471">
        <v>-116.785934</v>
      </c>
      <c r="AO2471">
        <v>25</v>
      </c>
      <c r="AP2471">
        <v>3300</v>
      </c>
      <c r="AQ2471" t="s">
        <v>129</v>
      </c>
      <c r="AR2471">
        <v>110</v>
      </c>
      <c r="AS2471">
        <v>-67</v>
      </c>
      <c r="AT2471">
        <v>512</v>
      </c>
      <c r="BB2471">
        <v>1200</v>
      </c>
      <c r="BC2471">
        <v>1</v>
      </c>
      <c r="BD2471" t="str">
        <f t="shared" si="878"/>
        <v xml:space="preserve">N887QR  </v>
      </c>
      <c r="BE2471">
        <v>1</v>
      </c>
      <c r="BJ2471">
        <v>3000</v>
      </c>
      <c r="BK2471">
        <v>-300</v>
      </c>
      <c r="BL2471" t="s">
        <v>163</v>
      </c>
      <c r="BM2471">
        <v>1</v>
      </c>
      <c r="BN2471">
        <v>1</v>
      </c>
      <c r="BO2471">
        <v>1</v>
      </c>
      <c r="BP2471">
        <v>0</v>
      </c>
      <c r="BS2471">
        <v>0</v>
      </c>
      <c r="BT2471">
        <v>0</v>
      </c>
      <c r="BU2471">
        <v>0</v>
      </c>
      <c r="CE2471" t="str">
        <f t="shared" si="889"/>
        <v>19:32:10.931</v>
      </c>
      <c r="CF2471">
        <v>931238522</v>
      </c>
      <c r="CS2471">
        <v>0</v>
      </c>
      <c r="CT2471">
        <v>2</v>
      </c>
      <c r="CU2471">
        <v>0</v>
      </c>
      <c r="CV2471">
        <v>2</v>
      </c>
      <c r="CW2471">
        <v>0</v>
      </c>
      <c r="CX2471">
        <v>5</v>
      </c>
      <c r="CY2471">
        <v>7</v>
      </c>
      <c r="CZ2471" t="s">
        <v>131</v>
      </c>
      <c r="DA2471">
        <v>300</v>
      </c>
      <c r="DB2471">
        <v>0</v>
      </c>
      <c r="DC2471" t="s">
        <v>176</v>
      </c>
      <c r="DD2471" t="s">
        <v>177</v>
      </c>
      <c r="DG2471">
        <v>5413274</v>
      </c>
      <c r="DI2471">
        <v>1</v>
      </c>
      <c r="DJ2471">
        <v>0</v>
      </c>
      <c r="DK2471">
        <v>1</v>
      </c>
      <c r="DL2471">
        <v>0</v>
      </c>
      <c r="DM2471">
        <v>0</v>
      </c>
      <c r="DN2471">
        <v>1</v>
      </c>
      <c r="DO2471">
        <v>0</v>
      </c>
      <c r="DP2471">
        <v>0</v>
      </c>
      <c r="DQ2471">
        <v>0</v>
      </c>
      <c r="DR2471">
        <v>0</v>
      </c>
      <c r="DS2471">
        <v>0</v>
      </c>
    </row>
    <row r="2472" spans="1:123" x14ac:dyDescent="0.3">
      <c r="A2472" t="str">
        <f>"10/04/2022 19:32:12.557"</f>
        <v>10/04/2022 19:32:12.557</v>
      </c>
      <c r="C2472" t="str">
        <f t="shared" si="890"/>
        <v>FFDDD3C0</v>
      </c>
      <c r="D2472" t="s">
        <v>141</v>
      </c>
      <c r="E2472">
        <v>4</v>
      </c>
      <c r="H2472">
        <v>4</v>
      </c>
      <c r="I2472" t="s">
        <v>142</v>
      </c>
      <c r="J2472" t="s">
        <v>138</v>
      </c>
      <c r="K2472">
        <v>0</v>
      </c>
      <c r="L2472">
        <v>3</v>
      </c>
      <c r="M2472">
        <v>0</v>
      </c>
      <c r="N2472">
        <v>2</v>
      </c>
      <c r="O2472">
        <v>0</v>
      </c>
      <c r="P2472">
        <v>1</v>
      </c>
      <c r="Q2472">
        <v>0</v>
      </c>
      <c r="S2472" t="str">
        <f t="shared" ref="S2472:T2485" si="891">"19:32:12.000"</f>
        <v>19:32:12.000</v>
      </c>
      <c r="T2472" t="str">
        <f t="shared" si="891"/>
        <v>19:32:12.000</v>
      </c>
      <c r="U2472" t="str">
        <f t="shared" si="877"/>
        <v>AC3944</v>
      </c>
      <c r="V2472">
        <v>0</v>
      </c>
      <c r="W2472">
        <v>0</v>
      </c>
      <c r="X2472">
        <v>2</v>
      </c>
      <c r="Y2472">
        <v>0</v>
      </c>
      <c r="AA2472">
        <v>1</v>
      </c>
      <c r="AB2472">
        <v>8</v>
      </c>
      <c r="AC2472">
        <v>3</v>
      </c>
      <c r="AD2472">
        <v>0</v>
      </c>
      <c r="AE2472">
        <v>9</v>
      </c>
      <c r="AF2472" t="s">
        <v>138</v>
      </c>
      <c r="AG2472">
        <v>0</v>
      </c>
      <c r="AH2472">
        <v>3</v>
      </c>
      <c r="AI2472">
        <v>1</v>
      </c>
      <c r="AJ2472">
        <v>0</v>
      </c>
      <c r="AK2472" t="s">
        <v>852</v>
      </c>
      <c r="AL2472">
        <v>32.755457999999997</v>
      </c>
      <c r="AM2472" t="s">
        <v>853</v>
      </c>
      <c r="AN2472">
        <v>-116.78533299999999</v>
      </c>
      <c r="AO2472">
        <v>25</v>
      </c>
      <c r="AP2472">
        <v>3300</v>
      </c>
      <c r="AQ2472" t="s">
        <v>129</v>
      </c>
      <c r="AR2472">
        <v>112</v>
      </c>
      <c r="AS2472">
        <v>-68</v>
      </c>
      <c r="AT2472">
        <v>256</v>
      </c>
      <c r="BB2472">
        <v>1200</v>
      </c>
      <c r="BC2472">
        <v>1</v>
      </c>
      <c r="BD2472" t="str">
        <f t="shared" si="878"/>
        <v xml:space="preserve">N887QR  </v>
      </c>
      <c r="BE2472">
        <v>1</v>
      </c>
      <c r="BJ2472">
        <v>3000</v>
      </c>
      <c r="BK2472">
        <v>-300</v>
      </c>
      <c r="BL2472" t="s">
        <v>163</v>
      </c>
      <c r="BM2472">
        <v>1</v>
      </c>
      <c r="BN2472">
        <v>1</v>
      </c>
      <c r="BO2472">
        <v>1</v>
      </c>
      <c r="BP2472">
        <v>0</v>
      </c>
      <c r="BS2472">
        <v>0</v>
      </c>
      <c r="BT2472">
        <v>0</v>
      </c>
      <c r="BU2472">
        <v>0</v>
      </c>
      <c r="CE2472" t="str">
        <f t="shared" ref="CE2472:CE2478" si="892">"19:32:12.379"</f>
        <v>19:32:12.379</v>
      </c>
      <c r="CF2472">
        <v>379493339</v>
      </c>
      <c r="CS2472">
        <v>0</v>
      </c>
      <c r="CT2472">
        <v>2</v>
      </c>
      <c r="CU2472">
        <v>0</v>
      </c>
      <c r="CV2472">
        <v>2</v>
      </c>
      <c r="CW2472">
        <v>0</v>
      </c>
      <c r="CX2472">
        <v>5</v>
      </c>
      <c r="CY2472">
        <v>7</v>
      </c>
      <c r="CZ2472" t="s">
        <v>131</v>
      </c>
      <c r="DA2472">
        <v>300</v>
      </c>
      <c r="DB2472">
        <v>0</v>
      </c>
      <c r="DC2472" t="s">
        <v>176</v>
      </c>
      <c r="DD2472" t="s">
        <v>177</v>
      </c>
      <c r="DG2472">
        <v>5413506</v>
      </c>
      <c r="DI2472">
        <v>1</v>
      </c>
      <c r="DJ2472">
        <v>0</v>
      </c>
      <c r="DK2472">
        <v>0</v>
      </c>
      <c r="DL2472">
        <v>0</v>
      </c>
      <c r="DM2472">
        <v>0</v>
      </c>
      <c r="DN2472">
        <v>1</v>
      </c>
      <c r="DO2472">
        <v>0</v>
      </c>
      <c r="DP2472">
        <v>0</v>
      </c>
      <c r="DQ2472">
        <v>0</v>
      </c>
      <c r="DR2472">
        <v>0</v>
      </c>
      <c r="DS2472">
        <v>0</v>
      </c>
    </row>
    <row r="2473" spans="1:123" x14ac:dyDescent="0.3">
      <c r="A2473" t="str">
        <f>"10/04/2022 19:32:12.557"</f>
        <v>10/04/2022 19:32:12.557</v>
      </c>
      <c r="C2473" t="str">
        <f t="shared" si="890"/>
        <v>FFDDD3C0</v>
      </c>
      <c r="D2473" t="s">
        <v>123</v>
      </c>
      <c r="E2473">
        <v>7</v>
      </c>
      <c r="F2473">
        <v>2007</v>
      </c>
      <c r="G2473" t="s">
        <v>124</v>
      </c>
      <c r="J2473" t="s">
        <v>125</v>
      </c>
      <c r="K2473">
        <v>0</v>
      </c>
      <c r="L2473">
        <v>3</v>
      </c>
      <c r="M2473">
        <v>0</v>
      </c>
      <c r="N2473">
        <v>2</v>
      </c>
      <c r="O2473">
        <v>0</v>
      </c>
      <c r="P2473">
        <v>1</v>
      </c>
      <c r="Q2473">
        <v>0</v>
      </c>
      <c r="S2473" t="str">
        <f t="shared" si="891"/>
        <v>19:32:12.000</v>
      </c>
      <c r="T2473" t="str">
        <f t="shared" si="891"/>
        <v>19:32:12.000</v>
      </c>
      <c r="U2473" t="str">
        <f t="shared" si="877"/>
        <v>AC3944</v>
      </c>
      <c r="V2473">
        <v>0</v>
      </c>
      <c r="W2473">
        <v>0</v>
      </c>
      <c r="X2473">
        <v>2</v>
      </c>
      <c r="Y2473">
        <v>0</v>
      </c>
      <c r="AA2473">
        <v>1</v>
      </c>
      <c r="AB2473">
        <v>8</v>
      </c>
      <c r="AC2473">
        <v>3</v>
      </c>
      <c r="AD2473">
        <v>0</v>
      </c>
      <c r="AE2473">
        <v>9</v>
      </c>
      <c r="AF2473" t="s">
        <v>138</v>
      </c>
      <c r="AG2473">
        <v>0</v>
      </c>
      <c r="AH2473">
        <v>3</v>
      </c>
      <c r="AI2473">
        <v>1</v>
      </c>
      <c r="AJ2473">
        <v>0</v>
      </c>
      <c r="AK2473" t="s">
        <v>852</v>
      </c>
      <c r="AL2473">
        <v>32.755457999999997</v>
      </c>
      <c r="AM2473" t="s">
        <v>853</v>
      </c>
      <c r="AN2473">
        <v>-116.78533299999999</v>
      </c>
      <c r="AO2473">
        <v>25</v>
      </c>
      <c r="AP2473">
        <v>3300</v>
      </c>
      <c r="AQ2473" t="s">
        <v>129</v>
      </c>
      <c r="AR2473">
        <v>112</v>
      </c>
      <c r="AS2473">
        <v>-68</v>
      </c>
      <c r="AT2473">
        <v>256</v>
      </c>
      <c r="BB2473">
        <v>1200</v>
      </c>
      <c r="BC2473">
        <v>1</v>
      </c>
      <c r="BD2473" t="str">
        <f t="shared" si="878"/>
        <v xml:space="preserve">N887QR  </v>
      </c>
      <c r="BE2473">
        <v>1</v>
      </c>
      <c r="BJ2473">
        <v>3000</v>
      </c>
      <c r="BK2473">
        <v>-300</v>
      </c>
      <c r="BL2473" t="s">
        <v>163</v>
      </c>
      <c r="BM2473">
        <v>1</v>
      </c>
      <c r="BN2473">
        <v>1</v>
      </c>
      <c r="BO2473">
        <v>1</v>
      </c>
      <c r="BP2473">
        <v>0</v>
      </c>
      <c r="BS2473">
        <v>0</v>
      </c>
      <c r="BT2473">
        <v>0</v>
      </c>
      <c r="BU2473">
        <v>0</v>
      </c>
      <c r="CE2473" t="str">
        <f t="shared" si="892"/>
        <v>19:32:12.379</v>
      </c>
      <c r="CF2473">
        <v>379493339</v>
      </c>
      <c r="CS2473">
        <v>0</v>
      </c>
      <c r="CT2473">
        <v>2</v>
      </c>
      <c r="CU2473">
        <v>0</v>
      </c>
      <c r="CV2473">
        <v>2</v>
      </c>
      <c r="CW2473">
        <v>0</v>
      </c>
      <c r="CX2473">
        <v>5</v>
      </c>
      <c r="CY2473">
        <v>7</v>
      </c>
      <c r="CZ2473" t="s">
        <v>131</v>
      </c>
      <c r="DA2473">
        <v>300</v>
      </c>
      <c r="DB2473">
        <v>0</v>
      </c>
      <c r="DC2473" t="s">
        <v>176</v>
      </c>
      <c r="DD2473" t="s">
        <v>177</v>
      </c>
      <c r="DG2473">
        <v>5413506</v>
      </c>
      <c r="DI2473">
        <v>1</v>
      </c>
      <c r="DJ2473">
        <v>0</v>
      </c>
      <c r="DK2473">
        <v>1</v>
      </c>
      <c r="DL2473">
        <v>0</v>
      </c>
      <c r="DM2473">
        <v>0</v>
      </c>
      <c r="DN2473">
        <v>1</v>
      </c>
      <c r="DO2473">
        <v>0</v>
      </c>
      <c r="DP2473">
        <v>0</v>
      </c>
      <c r="DQ2473">
        <v>0</v>
      </c>
      <c r="DR2473">
        <v>0</v>
      </c>
      <c r="DS2473">
        <v>0</v>
      </c>
    </row>
    <row r="2474" spans="1:123" x14ac:dyDescent="0.3">
      <c r="A2474" t="str">
        <f>"10/04/2022 19:32:12.557"</f>
        <v>10/04/2022 19:32:12.557</v>
      </c>
      <c r="C2474" t="str">
        <f t="shared" si="890"/>
        <v>FFDDD3C0</v>
      </c>
      <c r="D2474" t="s">
        <v>134</v>
      </c>
      <c r="E2474">
        <v>15</v>
      </c>
      <c r="J2474" t="s">
        <v>135</v>
      </c>
      <c r="K2474">
        <v>0</v>
      </c>
      <c r="L2474">
        <v>3</v>
      </c>
      <c r="M2474">
        <v>0</v>
      </c>
      <c r="N2474">
        <v>2</v>
      </c>
      <c r="O2474">
        <v>0</v>
      </c>
      <c r="P2474">
        <v>1</v>
      </c>
      <c r="Q2474">
        <v>0</v>
      </c>
      <c r="S2474" t="str">
        <f t="shared" si="891"/>
        <v>19:32:12.000</v>
      </c>
      <c r="T2474" t="str">
        <f t="shared" si="891"/>
        <v>19:32:12.000</v>
      </c>
      <c r="U2474" t="str">
        <f t="shared" si="877"/>
        <v>AC3944</v>
      </c>
      <c r="V2474">
        <v>0</v>
      </c>
      <c r="W2474">
        <v>0</v>
      </c>
      <c r="X2474">
        <v>2</v>
      </c>
      <c r="Y2474">
        <v>0</v>
      </c>
      <c r="AA2474">
        <v>1</v>
      </c>
      <c r="AB2474">
        <v>8</v>
      </c>
      <c r="AC2474">
        <v>3</v>
      </c>
      <c r="AD2474">
        <v>0</v>
      </c>
      <c r="AE2474">
        <v>9</v>
      </c>
      <c r="AF2474" t="s">
        <v>138</v>
      </c>
      <c r="AG2474">
        <v>0</v>
      </c>
      <c r="AH2474">
        <v>3</v>
      </c>
      <c r="AI2474">
        <v>1</v>
      </c>
      <c r="AJ2474">
        <v>0</v>
      </c>
      <c r="AK2474" t="s">
        <v>852</v>
      </c>
      <c r="AL2474">
        <v>32.755457999999997</v>
      </c>
      <c r="AM2474" t="s">
        <v>853</v>
      </c>
      <c r="AN2474">
        <v>-116.78533299999999</v>
      </c>
      <c r="AO2474">
        <v>25</v>
      </c>
      <c r="AP2474">
        <v>3300</v>
      </c>
      <c r="AQ2474" t="s">
        <v>129</v>
      </c>
      <c r="AR2474">
        <v>112</v>
      </c>
      <c r="AS2474">
        <v>-68</v>
      </c>
      <c r="AT2474">
        <v>256</v>
      </c>
      <c r="BB2474">
        <v>1200</v>
      </c>
      <c r="BC2474">
        <v>1</v>
      </c>
      <c r="BD2474" t="str">
        <f t="shared" si="878"/>
        <v xml:space="preserve">N887QR  </v>
      </c>
      <c r="BE2474">
        <v>1</v>
      </c>
      <c r="BJ2474">
        <v>3000</v>
      </c>
      <c r="BK2474">
        <v>-300</v>
      </c>
      <c r="BL2474" t="s">
        <v>163</v>
      </c>
      <c r="BM2474">
        <v>1</v>
      </c>
      <c r="BN2474">
        <v>1</v>
      </c>
      <c r="BO2474">
        <v>1</v>
      </c>
      <c r="BP2474">
        <v>0</v>
      </c>
      <c r="BS2474">
        <v>0</v>
      </c>
      <c r="BT2474">
        <v>0</v>
      </c>
      <c r="BU2474">
        <v>0</v>
      </c>
      <c r="CE2474" t="str">
        <f t="shared" si="892"/>
        <v>19:32:12.379</v>
      </c>
      <c r="CF2474">
        <v>379493339</v>
      </c>
      <c r="CS2474">
        <v>0</v>
      </c>
      <c r="CT2474">
        <v>2</v>
      </c>
      <c r="CU2474">
        <v>0</v>
      </c>
      <c r="CV2474">
        <v>2</v>
      </c>
      <c r="CW2474">
        <v>0</v>
      </c>
      <c r="CX2474">
        <v>5</v>
      </c>
      <c r="CY2474">
        <v>7</v>
      </c>
      <c r="CZ2474" t="s">
        <v>131</v>
      </c>
      <c r="DA2474">
        <v>300</v>
      </c>
      <c r="DB2474">
        <v>0</v>
      </c>
      <c r="DC2474" t="s">
        <v>176</v>
      </c>
      <c r="DD2474" t="s">
        <v>177</v>
      </c>
      <c r="DG2474">
        <v>5413506</v>
      </c>
      <c r="DI2474">
        <v>1</v>
      </c>
      <c r="DJ2474">
        <v>0</v>
      </c>
      <c r="DK2474">
        <v>1</v>
      </c>
      <c r="DL2474">
        <v>0</v>
      </c>
      <c r="DM2474">
        <v>0</v>
      </c>
      <c r="DN2474">
        <v>1</v>
      </c>
      <c r="DO2474">
        <v>0</v>
      </c>
      <c r="DP2474">
        <v>0</v>
      </c>
      <c r="DQ2474">
        <v>0</v>
      </c>
      <c r="DR2474">
        <v>0</v>
      </c>
      <c r="DS2474">
        <v>0</v>
      </c>
    </row>
    <row r="2475" spans="1:123" x14ac:dyDescent="0.3">
      <c r="A2475" t="str">
        <f>"10/04/2022 19:32:12.619"</f>
        <v>10/04/2022 19:32:12.619</v>
      </c>
      <c r="C2475" t="str">
        <f t="shared" si="890"/>
        <v>FFDDD3C0</v>
      </c>
      <c r="D2475" t="s">
        <v>147</v>
      </c>
      <c r="E2475">
        <v>3</v>
      </c>
      <c r="H2475">
        <v>166</v>
      </c>
      <c r="I2475" t="s">
        <v>144</v>
      </c>
      <c r="J2475" t="s">
        <v>148</v>
      </c>
      <c r="K2475">
        <v>0</v>
      </c>
      <c r="L2475">
        <v>3</v>
      </c>
      <c r="M2475">
        <v>0</v>
      </c>
      <c r="N2475">
        <v>2</v>
      </c>
      <c r="O2475">
        <v>0</v>
      </c>
      <c r="P2475">
        <v>1</v>
      </c>
      <c r="Q2475">
        <v>0</v>
      </c>
      <c r="S2475" t="str">
        <f t="shared" si="891"/>
        <v>19:32:12.000</v>
      </c>
      <c r="T2475" t="str">
        <f t="shared" si="891"/>
        <v>19:32:12.000</v>
      </c>
      <c r="U2475" t="str">
        <f t="shared" si="877"/>
        <v>AC3944</v>
      </c>
      <c r="V2475">
        <v>0</v>
      </c>
      <c r="W2475">
        <v>0</v>
      </c>
      <c r="X2475">
        <v>2</v>
      </c>
      <c r="Y2475">
        <v>0</v>
      </c>
      <c r="AA2475">
        <v>1</v>
      </c>
      <c r="AB2475">
        <v>8</v>
      </c>
      <c r="AC2475">
        <v>3</v>
      </c>
      <c r="AD2475">
        <v>0</v>
      </c>
      <c r="AE2475">
        <v>9</v>
      </c>
      <c r="AF2475" t="s">
        <v>138</v>
      </c>
      <c r="AG2475">
        <v>0</v>
      </c>
      <c r="AH2475">
        <v>3</v>
      </c>
      <c r="AI2475">
        <v>1</v>
      </c>
      <c r="AJ2475">
        <v>0</v>
      </c>
      <c r="AK2475" t="s">
        <v>852</v>
      </c>
      <c r="AL2475">
        <v>32.755457999999997</v>
      </c>
      <c r="AM2475" t="s">
        <v>853</v>
      </c>
      <c r="AN2475">
        <v>-116.78533299999999</v>
      </c>
      <c r="AO2475">
        <v>25</v>
      </c>
      <c r="AP2475">
        <v>3300</v>
      </c>
      <c r="AQ2475" t="s">
        <v>129</v>
      </c>
      <c r="AR2475">
        <v>112</v>
      </c>
      <c r="AS2475">
        <v>-68</v>
      </c>
      <c r="AT2475">
        <v>256</v>
      </c>
      <c r="BB2475">
        <v>1200</v>
      </c>
      <c r="BC2475">
        <v>1</v>
      </c>
      <c r="BD2475" t="str">
        <f t="shared" si="878"/>
        <v xml:space="preserve">N887QR  </v>
      </c>
      <c r="BE2475">
        <v>1</v>
      </c>
      <c r="BJ2475">
        <v>3000</v>
      </c>
      <c r="BK2475">
        <v>-300</v>
      </c>
      <c r="BL2475" t="s">
        <v>163</v>
      </c>
      <c r="BM2475">
        <v>1</v>
      </c>
      <c r="BN2475">
        <v>1</v>
      </c>
      <c r="BO2475">
        <v>1</v>
      </c>
      <c r="BP2475">
        <v>0</v>
      </c>
      <c r="BS2475">
        <v>0</v>
      </c>
      <c r="BT2475">
        <v>0</v>
      </c>
      <c r="BU2475">
        <v>0</v>
      </c>
      <c r="CE2475" t="str">
        <f t="shared" si="892"/>
        <v>19:32:12.379</v>
      </c>
      <c r="CF2475">
        <v>379493339</v>
      </c>
      <c r="CS2475">
        <v>0</v>
      </c>
      <c r="CT2475">
        <v>2</v>
      </c>
      <c r="CU2475">
        <v>0</v>
      </c>
      <c r="CV2475">
        <v>2</v>
      </c>
      <c r="CW2475">
        <v>0</v>
      </c>
      <c r="CX2475">
        <v>5</v>
      </c>
      <c r="CY2475">
        <v>7</v>
      </c>
      <c r="CZ2475" t="s">
        <v>131</v>
      </c>
      <c r="DA2475">
        <v>300</v>
      </c>
      <c r="DB2475">
        <v>0</v>
      </c>
      <c r="DC2475" t="s">
        <v>176</v>
      </c>
      <c r="DD2475" t="s">
        <v>177</v>
      </c>
      <c r="DG2475">
        <v>5413506</v>
      </c>
      <c r="DI2475">
        <v>1</v>
      </c>
      <c r="DJ2475">
        <v>0</v>
      </c>
      <c r="DK2475">
        <v>1</v>
      </c>
      <c r="DL2475">
        <v>0</v>
      </c>
      <c r="DM2475">
        <v>0</v>
      </c>
      <c r="DN2475">
        <v>1</v>
      </c>
      <c r="DO2475">
        <v>0</v>
      </c>
      <c r="DP2475">
        <v>0</v>
      </c>
      <c r="DQ2475">
        <v>0</v>
      </c>
      <c r="DR2475">
        <v>0</v>
      </c>
      <c r="DS2475">
        <v>0</v>
      </c>
    </row>
    <row r="2476" spans="1:123" x14ac:dyDescent="0.3">
      <c r="A2476" t="str">
        <f>"10/04/2022 19:32:12.666"</f>
        <v>10/04/2022 19:32:12.666</v>
      </c>
      <c r="C2476" t="str">
        <f t="shared" si="890"/>
        <v>FFDDD3C0</v>
      </c>
      <c r="D2476" t="s">
        <v>141</v>
      </c>
      <c r="E2476">
        <v>3</v>
      </c>
      <c r="H2476">
        <v>3</v>
      </c>
      <c r="I2476" t="s">
        <v>146</v>
      </c>
      <c r="J2476" t="s">
        <v>138</v>
      </c>
      <c r="K2476">
        <v>0</v>
      </c>
      <c r="L2476">
        <v>3</v>
      </c>
      <c r="M2476">
        <v>0</v>
      </c>
      <c r="N2476">
        <v>2</v>
      </c>
      <c r="O2476">
        <v>0</v>
      </c>
      <c r="P2476">
        <v>1</v>
      </c>
      <c r="Q2476">
        <v>0</v>
      </c>
      <c r="S2476" t="str">
        <f t="shared" si="891"/>
        <v>19:32:12.000</v>
      </c>
      <c r="T2476" t="str">
        <f t="shared" si="891"/>
        <v>19:32:12.000</v>
      </c>
      <c r="U2476" t="str">
        <f t="shared" si="877"/>
        <v>AC3944</v>
      </c>
      <c r="V2476">
        <v>0</v>
      </c>
      <c r="W2476">
        <v>0</v>
      </c>
      <c r="X2476">
        <v>2</v>
      </c>
      <c r="Y2476">
        <v>0</v>
      </c>
      <c r="AA2476">
        <v>1</v>
      </c>
      <c r="AB2476">
        <v>8</v>
      </c>
      <c r="AC2476">
        <v>3</v>
      </c>
      <c r="AD2476">
        <v>0</v>
      </c>
      <c r="AE2476">
        <v>9</v>
      </c>
      <c r="AF2476" t="s">
        <v>138</v>
      </c>
      <c r="AG2476">
        <v>0</v>
      </c>
      <c r="AH2476">
        <v>3</v>
      </c>
      <c r="AI2476">
        <v>1</v>
      </c>
      <c r="AJ2476">
        <v>0</v>
      </c>
      <c r="AK2476" t="s">
        <v>852</v>
      </c>
      <c r="AL2476">
        <v>32.755457999999997</v>
      </c>
      <c r="AM2476" t="s">
        <v>853</v>
      </c>
      <c r="AN2476">
        <v>-116.78533299999999</v>
      </c>
      <c r="AO2476">
        <v>25</v>
      </c>
      <c r="AP2476">
        <v>3300</v>
      </c>
      <c r="AQ2476" t="s">
        <v>129</v>
      </c>
      <c r="AR2476">
        <v>112</v>
      </c>
      <c r="AS2476">
        <v>-68</v>
      </c>
      <c r="AT2476">
        <v>256</v>
      </c>
      <c r="BB2476">
        <v>1200</v>
      </c>
      <c r="BC2476">
        <v>1</v>
      </c>
      <c r="BD2476" t="str">
        <f t="shared" si="878"/>
        <v xml:space="preserve">N887QR  </v>
      </c>
      <c r="BE2476">
        <v>1</v>
      </c>
      <c r="BJ2476">
        <v>3000</v>
      </c>
      <c r="BK2476">
        <v>-300</v>
      </c>
      <c r="BL2476" t="s">
        <v>163</v>
      </c>
      <c r="BM2476">
        <v>1</v>
      </c>
      <c r="BN2476">
        <v>1</v>
      </c>
      <c r="BO2476">
        <v>1</v>
      </c>
      <c r="BP2476">
        <v>0</v>
      </c>
      <c r="BS2476">
        <v>0</v>
      </c>
      <c r="BT2476">
        <v>0</v>
      </c>
      <c r="BU2476">
        <v>0</v>
      </c>
      <c r="CE2476" t="str">
        <f t="shared" si="892"/>
        <v>19:32:12.379</v>
      </c>
      <c r="CF2476">
        <v>379493339</v>
      </c>
      <c r="CS2476">
        <v>0</v>
      </c>
      <c r="CT2476">
        <v>2</v>
      </c>
      <c r="CU2476">
        <v>0</v>
      </c>
      <c r="CV2476">
        <v>2</v>
      </c>
      <c r="CW2476">
        <v>0</v>
      </c>
      <c r="CX2476">
        <v>5</v>
      </c>
      <c r="CY2476">
        <v>7</v>
      </c>
      <c r="CZ2476" t="s">
        <v>131</v>
      </c>
      <c r="DA2476">
        <v>300</v>
      </c>
      <c r="DB2476">
        <v>0</v>
      </c>
      <c r="DC2476" t="s">
        <v>176</v>
      </c>
      <c r="DD2476" t="s">
        <v>177</v>
      </c>
      <c r="DG2476">
        <v>5413506</v>
      </c>
      <c r="DI2476">
        <v>1</v>
      </c>
      <c r="DJ2476">
        <v>0</v>
      </c>
      <c r="DK2476">
        <v>1</v>
      </c>
      <c r="DL2476">
        <v>0</v>
      </c>
      <c r="DM2476">
        <v>0</v>
      </c>
      <c r="DN2476">
        <v>1</v>
      </c>
      <c r="DO2476">
        <v>0</v>
      </c>
      <c r="DP2476">
        <v>0</v>
      </c>
      <c r="DQ2476">
        <v>0</v>
      </c>
      <c r="DR2476">
        <v>0</v>
      </c>
      <c r="DS2476">
        <v>0</v>
      </c>
    </row>
    <row r="2477" spans="1:123" x14ac:dyDescent="0.3">
      <c r="A2477" t="str">
        <f>"10/04/2022 19:32:12.666"</f>
        <v>10/04/2022 19:32:12.666</v>
      </c>
      <c r="C2477" t="str">
        <f t="shared" si="890"/>
        <v>FFDDD3C0</v>
      </c>
      <c r="D2477" t="s">
        <v>136</v>
      </c>
      <c r="E2477">
        <v>8</v>
      </c>
      <c r="H2477">
        <v>225</v>
      </c>
      <c r="I2477" t="s">
        <v>137</v>
      </c>
      <c r="J2477" t="s">
        <v>138</v>
      </c>
      <c r="K2477">
        <v>0</v>
      </c>
      <c r="L2477">
        <v>3</v>
      </c>
      <c r="M2477">
        <v>0</v>
      </c>
      <c r="N2477">
        <v>2</v>
      </c>
      <c r="O2477">
        <v>0</v>
      </c>
      <c r="P2477">
        <v>1</v>
      </c>
      <c r="Q2477">
        <v>0</v>
      </c>
      <c r="S2477" t="str">
        <f t="shared" si="891"/>
        <v>19:32:12.000</v>
      </c>
      <c r="T2477" t="str">
        <f t="shared" si="891"/>
        <v>19:32:12.000</v>
      </c>
      <c r="U2477" t="str">
        <f t="shared" si="877"/>
        <v>AC3944</v>
      </c>
      <c r="V2477">
        <v>0</v>
      </c>
      <c r="W2477">
        <v>0</v>
      </c>
      <c r="X2477">
        <v>2</v>
      </c>
      <c r="Y2477">
        <v>0</v>
      </c>
      <c r="AA2477">
        <v>1</v>
      </c>
      <c r="AB2477">
        <v>8</v>
      </c>
      <c r="AC2477">
        <v>3</v>
      </c>
      <c r="AD2477">
        <v>0</v>
      </c>
      <c r="AE2477">
        <v>9</v>
      </c>
      <c r="AF2477" t="s">
        <v>138</v>
      </c>
      <c r="AG2477">
        <v>0</v>
      </c>
      <c r="AH2477">
        <v>3</v>
      </c>
      <c r="AI2477">
        <v>1</v>
      </c>
      <c r="AJ2477">
        <v>0</v>
      </c>
      <c r="AK2477" t="s">
        <v>852</v>
      </c>
      <c r="AL2477">
        <v>32.755457999999997</v>
      </c>
      <c r="AM2477" t="s">
        <v>853</v>
      </c>
      <c r="AN2477">
        <v>-116.78533299999999</v>
      </c>
      <c r="AO2477">
        <v>25</v>
      </c>
      <c r="AP2477">
        <v>3300</v>
      </c>
      <c r="AQ2477" t="s">
        <v>129</v>
      </c>
      <c r="AR2477">
        <v>112</v>
      </c>
      <c r="AS2477">
        <v>-68</v>
      </c>
      <c r="AT2477">
        <v>256</v>
      </c>
      <c r="BB2477">
        <v>1200</v>
      </c>
      <c r="BC2477">
        <v>1</v>
      </c>
      <c r="BD2477" t="str">
        <f t="shared" si="878"/>
        <v xml:space="preserve">N887QR  </v>
      </c>
      <c r="BE2477">
        <v>1</v>
      </c>
      <c r="BJ2477">
        <v>3000</v>
      </c>
      <c r="BK2477">
        <v>-300</v>
      </c>
      <c r="BL2477" t="s">
        <v>163</v>
      </c>
      <c r="BM2477">
        <v>1</v>
      </c>
      <c r="BN2477">
        <v>1</v>
      </c>
      <c r="BO2477">
        <v>1</v>
      </c>
      <c r="BP2477">
        <v>0</v>
      </c>
      <c r="BS2477">
        <v>0</v>
      </c>
      <c r="BT2477">
        <v>0</v>
      </c>
      <c r="BU2477">
        <v>0</v>
      </c>
      <c r="CE2477" t="str">
        <f t="shared" si="892"/>
        <v>19:32:12.379</v>
      </c>
      <c r="CF2477">
        <v>379493339</v>
      </c>
      <c r="CS2477">
        <v>0</v>
      </c>
      <c r="CT2477">
        <v>2</v>
      </c>
      <c r="CU2477">
        <v>0</v>
      </c>
      <c r="CV2477">
        <v>2</v>
      </c>
      <c r="CW2477">
        <v>0</v>
      </c>
      <c r="CX2477">
        <v>5</v>
      </c>
      <c r="CY2477">
        <v>7</v>
      </c>
      <c r="CZ2477" t="s">
        <v>131</v>
      </c>
      <c r="DA2477">
        <v>300</v>
      </c>
      <c r="DB2477">
        <v>0</v>
      </c>
      <c r="DC2477" t="s">
        <v>176</v>
      </c>
      <c r="DD2477" t="s">
        <v>177</v>
      </c>
      <c r="DG2477">
        <v>5413506</v>
      </c>
      <c r="DI2477">
        <v>1</v>
      </c>
      <c r="DJ2477">
        <v>0</v>
      </c>
      <c r="DK2477">
        <v>1</v>
      </c>
      <c r="DL2477">
        <v>0</v>
      </c>
      <c r="DM2477">
        <v>0</v>
      </c>
      <c r="DN2477">
        <v>1</v>
      </c>
      <c r="DO2477">
        <v>0</v>
      </c>
      <c r="DP2477">
        <v>0</v>
      </c>
      <c r="DQ2477">
        <v>0</v>
      </c>
      <c r="DR2477">
        <v>0</v>
      </c>
      <c r="DS2477">
        <v>0</v>
      </c>
    </row>
    <row r="2478" spans="1:123" x14ac:dyDescent="0.3">
      <c r="A2478" t="str">
        <f>"10/04/2022 19:32:12.666"</f>
        <v>10/04/2022 19:32:12.666</v>
      </c>
      <c r="C2478" t="str">
        <f t="shared" si="890"/>
        <v>FFDDD3C0</v>
      </c>
      <c r="D2478" t="s">
        <v>143</v>
      </c>
      <c r="E2478">
        <v>20</v>
      </c>
      <c r="F2478">
        <v>1020</v>
      </c>
      <c r="G2478" t="s">
        <v>144</v>
      </c>
      <c r="J2478" t="s">
        <v>145</v>
      </c>
      <c r="K2478">
        <v>0</v>
      </c>
      <c r="L2478">
        <v>3</v>
      </c>
      <c r="M2478">
        <v>0</v>
      </c>
      <c r="N2478">
        <v>2</v>
      </c>
      <c r="O2478">
        <v>0</v>
      </c>
      <c r="P2478">
        <v>1</v>
      </c>
      <c r="Q2478">
        <v>0</v>
      </c>
      <c r="S2478" t="str">
        <f t="shared" si="891"/>
        <v>19:32:12.000</v>
      </c>
      <c r="T2478" t="str">
        <f t="shared" si="891"/>
        <v>19:32:12.000</v>
      </c>
      <c r="U2478" t="str">
        <f t="shared" si="877"/>
        <v>AC3944</v>
      </c>
      <c r="V2478">
        <v>0</v>
      </c>
      <c r="W2478">
        <v>0</v>
      </c>
      <c r="X2478">
        <v>2</v>
      </c>
      <c r="Y2478">
        <v>0</v>
      </c>
      <c r="AA2478">
        <v>1</v>
      </c>
      <c r="AB2478">
        <v>8</v>
      </c>
      <c r="AC2478">
        <v>3</v>
      </c>
      <c r="AD2478">
        <v>0</v>
      </c>
      <c r="AE2478">
        <v>9</v>
      </c>
      <c r="AF2478" t="s">
        <v>138</v>
      </c>
      <c r="AG2478">
        <v>0</v>
      </c>
      <c r="AH2478">
        <v>3</v>
      </c>
      <c r="AI2478">
        <v>1</v>
      </c>
      <c r="AJ2478">
        <v>0</v>
      </c>
      <c r="AK2478" t="s">
        <v>852</v>
      </c>
      <c r="AL2478">
        <v>32.755457999999997</v>
      </c>
      <c r="AM2478" t="s">
        <v>853</v>
      </c>
      <c r="AN2478">
        <v>-116.78533299999999</v>
      </c>
      <c r="AO2478">
        <v>25</v>
      </c>
      <c r="AP2478">
        <v>3300</v>
      </c>
      <c r="AQ2478" t="s">
        <v>129</v>
      </c>
      <c r="AR2478">
        <v>112</v>
      </c>
      <c r="AS2478">
        <v>-68</v>
      </c>
      <c r="AT2478">
        <v>256</v>
      </c>
      <c r="BB2478">
        <v>1200</v>
      </c>
      <c r="BC2478">
        <v>1</v>
      </c>
      <c r="BD2478" t="str">
        <f t="shared" si="878"/>
        <v xml:space="preserve">N887QR  </v>
      </c>
      <c r="BE2478">
        <v>1</v>
      </c>
      <c r="BJ2478">
        <v>3000</v>
      </c>
      <c r="BK2478">
        <v>-300</v>
      </c>
      <c r="BL2478" t="s">
        <v>163</v>
      </c>
      <c r="BM2478">
        <v>1</v>
      </c>
      <c r="BN2478">
        <v>1</v>
      </c>
      <c r="BO2478">
        <v>1</v>
      </c>
      <c r="BP2478">
        <v>0</v>
      </c>
      <c r="BS2478">
        <v>0</v>
      </c>
      <c r="BT2478">
        <v>0</v>
      </c>
      <c r="BU2478">
        <v>0</v>
      </c>
      <c r="CE2478" t="str">
        <f t="shared" si="892"/>
        <v>19:32:12.379</v>
      </c>
      <c r="CF2478">
        <v>379493339</v>
      </c>
      <c r="CS2478">
        <v>0</v>
      </c>
      <c r="CT2478">
        <v>2</v>
      </c>
      <c r="CU2478">
        <v>0</v>
      </c>
      <c r="CV2478">
        <v>2</v>
      </c>
      <c r="CW2478">
        <v>0</v>
      </c>
      <c r="CX2478">
        <v>5</v>
      </c>
      <c r="CY2478">
        <v>7</v>
      </c>
      <c r="CZ2478" t="s">
        <v>131</v>
      </c>
      <c r="DA2478">
        <v>300</v>
      </c>
      <c r="DB2478">
        <v>0</v>
      </c>
      <c r="DC2478" t="s">
        <v>176</v>
      </c>
      <c r="DD2478" t="s">
        <v>177</v>
      </c>
      <c r="DG2478">
        <v>5413506</v>
      </c>
      <c r="DI2478">
        <v>1</v>
      </c>
      <c r="DJ2478">
        <v>0</v>
      </c>
      <c r="DK2478">
        <v>1</v>
      </c>
      <c r="DL2478">
        <v>0</v>
      </c>
      <c r="DM2478">
        <v>0</v>
      </c>
      <c r="DN2478">
        <v>1</v>
      </c>
      <c r="DO2478">
        <v>0</v>
      </c>
      <c r="DP2478">
        <v>0</v>
      </c>
      <c r="DQ2478">
        <v>0</v>
      </c>
      <c r="DR2478">
        <v>0</v>
      </c>
      <c r="DS2478">
        <v>0</v>
      </c>
    </row>
    <row r="2479" spans="1:123" x14ac:dyDescent="0.3">
      <c r="A2479" t="str">
        <f>"10/04/2022 19:32:13.088"</f>
        <v>10/04/2022 19:32:13.088</v>
      </c>
      <c r="C2479" t="str">
        <f t="shared" si="890"/>
        <v>FFDDD3C0</v>
      </c>
      <c r="D2479" t="s">
        <v>147</v>
      </c>
      <c r="E2479">
        <v>3</v>
      </c>
      <c r="H2479">
        <v>166</v>
      </c>
      <c r="I2479" t="s">
        <v>144</v>
      </c>
      <c r="J2479" t="s">
        <v>148</v>
      </c>
      <c r="K2479">
        <v>0</v>
      </c>
      <c r="L2479">
        <v>3</v>
      </c>
      <c r="M2479">
        <v>0</v>
      </c>
      <c r="N2479">
        <v>2</v>
      </c>
      <c r="O2479">
        <v>0</v>
      </c>
      <c r="P2479">
        <v>1</v>
      </c>
      <c r="Q2479">
        <v>0</v>
      </c>
      <c r="S2479" t="str">
        <f t="shared" si="891"/>
        <v>19:32:12.000</v>
      </c>
      <c r="T2479" t="str">
        <f t="shared" si="891"/>
        <v>19:32:12.000</v>
      </c>
      <c r="U2479" t="str">
        <f t="shared" si="877"/>
        <v>AC3944</v>
      </c>
      <c r="V2479">
        <v>0</v>
      </c>
      <c r="W2479">
        <v>0</v>
      </c>
      <c r="X2479">
        <v>2</v>
      </c>
      <c r="Y2479">
        <v>0</v>
      </c>
      <c r="AA2479">
        <v>1</v>
      </c>
      <c r="AB2479">
        <v>8</v>
      </c>
      <c r="AC2479">
        <v>3</v>
      </c>
      <c r="AD2479">
        <v>0</v>
      </c>
      <c r="AE2479">
        <v>9</v>
      </c>
      <c r="AF2479" t="s">
        <v>138</v>
      </c>
      <c r="AG2479">
        <v>0</v>
      </c>
      <c r="AH2479">
        <v>3</v>
      </c>
      <c r="AI2479">
        <v>1</v>
      </c>
      <c r="AJ2479">
        <v>0</v>
      </c>
      <c r="AK2479" t="s">
        <v>854</v>
      </c>
      <c r="AL2479">
        <v>32.755136</v>
      </c>
      <c r="AM2479" t="s">
        <v>855</v>
      </c>
      <c r="AN2479">
        <v>-116.784711</v>
      </c>
      <c r="AO2479">
        <v>25</v>
      </c>
      <c r="AP2479">
        <v>3300</v>
      </c>
      <c r="AQ2479" t="s">
        <v>129</v>
      </c>
      <c r="AR2479">
        <v>112</v>
      </c>
      <c r="AS2479">
        <v>-68</v>
      </c>
      <c r="AT2479">
        <v>256</v>
      </c>
      <c r="BB2479">
        <v>1200</v>
      </c>
      <c r="BC2479">
        <v>1</v>
      </c>
      <c r="BD2479" t="str">
        <f t="shared" si="878"/>
        <v xml:space="preserve">N887QR  </v>
      </c>
      <c r="BE2479">
        <v>1</v>
      </c>
      <c r="BJ2479">
        <v>3000</v>
      </c>
      <c r="BK2479">
        <v>-300</v>
      </c>
      <c r="BL2479" t="s">
        <v>163</v>
      </c>
      <c r="BM2479">
        <v>1</v>
      </c>
      <c r="BN2479">
        <v>1</v>
      </c>
      <c r="BO2479">
        <v>1</v>
      </c>
      <c r="BP2479">
        <v>0</v>
      </c>
      <c r="BS2479">
        <v>0</v>
      </c>
      <c r="BT2479">
        <v>0</v>
      </c>
      <c r="BU2479">
        <v>0</v>
      </c>
      <c r="CE2479" t="str">
        <f t="shared" ref="CE2479:CE2485" si="893">"19:32:12.876"</f>
        <v>19:32:12.876</v>
      </c>
      <c r="CF2479">
        <v>876495037</v>
      </c>
      <c r="CS2479">
        <v>0</v>
      </c>
      <c r="CT2479">
        <v>2</v>
      </c>
      <c r="CU2479">
        <v>0</v>
      </c>
      <c r="CV2479">
        <v>2</v>
      </c>
      <c r="CW2479">
        <v>0</v>
      </c>
      <c r="CX2479">
        <v>5</v>
      </c>
      <c r="CY2479">
        <v>7</v>
      </c>
      <c r="CZ2479" t="s">
        <v>131</v>
      </c>
      <c r="DA2479">
        <v>300</v>
      </c>
      <c r="DB2479">
        <v>0</v>
      </c>
      <c r="DC2479" t="s">
        <v>176</v>
      </c>
      <c r="DD2479" t="s">
        <v>177</v>
      </c>
      <c r="DG2479">
        <v>5413601</v>
      </c>
      <c r="DI2479">
        <v>1</v>
      </c>
      <c r="DJ2479">
        <v>0</v>
      </c>
      <c r="DK2479">
        <v>0</v>
      </c>
      <c r="DL2479">
        <v>0</v>
      </c>
      <c r="DM2479">
        <v>0</v>
      </c>
      <c r="DN2479">
        <v>1</v>
      </c>
      <c r="DO2479">
        <v>0</v>
      </c>
      <c r="DP2479">
        <v>0</v>
      </c>
      <c r="DQ2479">
        <v>0</v>
      </c>
      <c r="DR2479">
        <v>0</v>
      </c>
      <c r="DS2479">
        <v>0</v>
      </c>
    </row>
    <row r="2480" spans="1:123" x14ac:dyDescent="0.3">
      <c r="A2480" t="str">
        <f>"10/04/2022 19:32:13.088"</f>
        <v>10/04/2022 19:32:13.088</v>
      </c>
      <c r="C2480" t="str">
        <f t="shared" si="890"/>
        <v>FFDDD3C0</v>
      </c>
      <c r="D2480" t="s">
        <v>136</v>
      </c>
      <c r="E2480">
        <v>8</v>
      </c>
      <c r="H2480">
        <v>225</v>
      </c>
      <c r="I2480" t="s">
        <v>137</v>
      </c>
      <c r="J2480" t="s">
        <v>138</v>
      </c>
      <c r="K2480">
        <v>0</v>
      </c>
      <c r="L2480">
        <v>3</v>
      </c>
      <c r="M2480">
        <v>0</v>
      </c>
      <c r="N2480">
        <v>2</v>
      </c>
      <c r="O2480">
        <v>0</v>
      </c>
      <c r="P2480">
        <v>1</v>
      </c>
      <c r="Q2480">
        <v>0</v>
      </c>
      <c r="S2480" t="str">
        <f t="shared" si="891"/>
        <v>19:32:12.000</v>
      </c>
      <c r="T2480" t="str">
        <f t="shared" si="891"/>
        <v>19:32:12.000</v>
      </c>
      <c r="U2480" t="str">
        <f t="shared" si="877"/>
        <v>AC3944</v>
      </c>
      <c r="V2480">
        <v>0</v>
      </c>
      <c r="W2480">
        <v>0</v>
      </c>
      <c r="X2480">
        <v>2</v>
      </c>
      <c r="Y2480">
        <v>0</v>
      </c>
      <c r="AA2480">
        <v>1</v>
      </c>
      <c r="AB2480">
        <v>8</v>
      </c>
      <c r="AC2480">
        <v>3</v>
      </c>
      <c r="AD2480">
        <v>0</v>
      </c>
      <c r="AE2480">
        <v>9</v>
      </c>
      <c r="AF2480" t="s">
        <v>138</v>
      </c>
      <c r="AG2480">
        <v>0</v>
      </c>
      <c r="AH2480">
        <v>3</v>
      </c>
      <c r="AI2480">
        <v>1</v>
      </c>
      <c r="AJ2480">
        <v>0</v>
      </c>
      <c r="AK2480" t="s">
        <v>854</v>
      </c>
      <c r="AL2480">
        <v>32.755136</v>
      </c>
      <c r="AM2480" t="s">
        <v>855</v>
      </c>
      <c r="AN2480">
        <v>-116.784711</v>
      </c>
      <c r="AO2480">
        <v>25</v>
      </c>
      <c r="AP2480">
        <v>3300</v>
      </c>
      <c r="AQ2480" t="s">
        <v>129</v>
      </c>
      <c r="AR2480">
        <v>112</v>
      </c>
      <c r="AS2480">
        <v>-68</v>
      </c>
      <c r="AT2480">
        <v>256</v>
      </c>
      <c r="BB2480">
        <v>1200</v>
      </c>
      <c r="BC2480">
        <v>1</v>
      </c>
      <c r="BD2480" t="str">
        <f t="shared" si="878"/>
        <v xml:space="preserve">N887QR  </v>
      </c>
      <c r="BE2480">
        <v>1</v>
      </c>
      <c r="BJ2480">
        <v>3000</v>
      </c>
      <c r="BK2480">
        <v>-300</v>
      </c>
      <c r="BL2480" t="s">
        <v>163</v>
      </c>
      <c r="BM2480">
        <v>1</v>
      </c>
      <c r="BN2480">
        <v>1</v>
      </c>
      <c r="BO2480">
        <v>1</v>
      </c>
      <c r="BP2480">
        <v>0</v>
      </c>
      <c r="BS2480">
        <v>0</v>
      </c>
      <c r="BT2480">
        <v>0</v>
      </c>
      <c r="BU2480">
        <v>0</v>
      </c>
      <c r="CE2480" t="str">
        <f t="shared" si="893"/>
        <v>19:32:12.876</v>
      </c>
      <c r="CF2480">
        <v>876495037</v>
      </c>
      <c r="CS2480">
        <v>0</v>
      </c>
      <c r="CT2480">
        <v>2</v>
      </c>
      <c r="CU2480">
        <v>0</v>
      </c>
      <c r="CV2480">
        <v>2</v>
      </c>
      <c r="CW2480">
        <v>0</v>
      </c>
      <c r="CX2480">
        <v>5</v>
      </c>
      <c r="CY2480">
        <v>7</v>
      </c>
      <c r="CZ2480" t="s">
        <v>131</v>
      </c>
      <c r="DA2480">
        <v>300</v>
      </c>
      <c r="DB2480">
        <v>0</v>
      </c>
      <c r="DC2480" t="s">
        <v>176</v>
      </c>
      <c r="DD2480" t="s">
        <v>177</v>
      </c>
      <c r="DG2480">
        <v>5413601</v>
      </c>
      <c r="DI2480">
        <v>1</v>
      </c>
      <c r="DJ2480">
        <v>0</v>
      </c>
      <c r="DK2480">
        <v>1</v>
      </c>
      <c r="DL2480">
        <v>0</v>
      </c>
      <c r="DM2480">
        <v>0</v>
      </c>
      <c r="DN2480">
        <v>1</v>
      </c>
      <c r="DO2480">
        <v>0</v>
      </c>
      <c r="DP2480">
        <v>0</v>
      </c>
      <c r="DQ2480">
        <v>0</v>
      </c>
      <c r="DR2480">
        <v>0</v>
      </c>
      <c r="DS2480">
        <v>0</v>
      </c>
    </row>
    <row r="2481" spans="1:123" x14ac:dyDescent="0.3">
      <c r="A2481" t="str">
        <f>"10/04/2022 19:32:13.088"</f>
        <v>10/04/2022 19:32:13.088</v>
      </c>
      <c r="C2481" t="str">
        <f t="shared" si="890"/>
        <v>FFDDD3C0</v>
      </c>
      <c r="D2481" t="s">
        <v>141</v>
      </c>
      <c r="E2481">
        <v>3</v>
      </c>
      <c r="H2481">
        <v>3</v>
      </c>
      <c r="I2481" t="s">
        <v>146</v>
      </c>
      <c r="J2481" t="s">
        <v>138</v>
      </c>
      <c r="K2481">
        <v>0</v>
      </c>
      <c r="L2481">
        <v>3</v>
      </c>
      <c r="M2481">
        <v>0</v>
      </c>
      <c r="N2481">
        <v>2</v>
      </c>
      <c r="O2481">
        <v>0</v>
      </c>
      <c r="P2481">
        <v>1</v>
      </c>
      <c r="Q2481">
        <v>0</v>
      </c>
      <c r="S2481" t="str">
        <f t="shared" si="891"/>
        <v>19:32:12.000</v>
      </c>
      <c r="T2481" t="str">
        <f t="shared" si="891"/>
        <v>19:32:12.000</v>
      </c>
      <c r="U2481" t="str">
        <f t="shared" si="877"/>
        <v>AC3944</v>
      </c>
      <c r="V2481">
        <v>0</v>
      </c>
      <c r="W2481">
        <v>0</v>
      </c>
      <c r="X2481">
        <v>2</v>
      </c>
      <c r="Y2481">
        <v>0</v>
      </c>
      <c r="AA2481">
        <v>1</v>
      </c>
      <c r="AB2481">
        <v>8</v>
      </c>
      <c r="AC2481">
        <v>3</v>
      </c>
      <c r="AD2481">
        <v>0</v>
      </c>
      <c r="AE2481">
        <v>9</v>
      </c>
      <c r="AF2481" t="s">
        <v>138</v>
      </c>
      <c r="AG2481">
        <v>0</v>
      </c>
      <c r="AH2481">
        <v>3</v>
      </c>
      <c r="AI2481">
        <v>1</v>
      </c>
      <c r="AJ2481">
        <v>0</v>
      </c>
      <c r="AK2481" t="s">
        <v>854</v>
      </c>
      <c r="AL2481">
        <v>32.755136</v>
      </c>
      <c r="AM2481" t="s">
        <v>855</v>
      </c>
      <c r="AN2481">
        <v>-116.784711</v>
      </c>
      <c r="AO2481">
        <v>25</v>
      </c>
      <c r="AP2481">
        <v>3300</v>
      </c>
      <c r="AQ2481" t="s">
        <v>129</v>
      </c>
      <c r="AR2481">
        <v>112</v>
      </c>
      <c r="AS2481">
        <v>-68</v>
      </c>
      <c r="AT2481">
        <v>256</v>
      </c>
      <c r="BB2481">
        <v>1200</v>
      </c>
      <c r="BC2481">
        <v>1</v>
      </c>
      <c r="BD2481" t="str">
        <f t="shared" si="878"/>
        <v xml:space="preserve">N887QR  </v>
      </c>
      <c r="BE2481">
        <v>1</v>
      </c>
      <c r="BJ2481">
        <v>3000</v>
      </c>
      <c r="BK2481">
        <v>-300</v>
      </c>
      <c r="BL2481" t="s">
        <v>163</v>
      </c>
      <c r="BM2481">
        <v>1</v>
      </c>
      <c r="BN2481">
        <v>1</v>
      </c>
      <c r="BO2481">
        <v>1</v>
      </c>
      <c r="BP2481">
        <v>0</v>
      </c>
      <c r="BS2481">
        <v>0</v>
      </c>
      <c r="BT2481">
        <v>0</v>
      </c>
      <c r="BU2481">
        <v>0</v>
      </c>
      <c r="CE2481" t="str">
        <f t="shared" si="893"/>
        <v>19:32:12.876</v>
      </c>
      <c r="CF2481">
        <v>876495037</v>
      </c>
      <c r="CS2481">
        <v>0</v>
      </c>
      <c r="CT2481">
        <v>2</v>
      </c>
      <c r="CU2481">
        <v>0</v>
      </c>
      <c r="CV2481">
        <v>2</v>
      </c>
      <c r="CW2481">
        <v>0</v>
      </c>
      <c r="CX2481">
        <v>5</v>
      </c>
      <c r="CY2481">
        <v>7</v>
      </c>
      <c r="CZ2481" t="s">
        <v>131</v>
      </c>
      <c r="DA2481">
        <v>300</v>
      </c>
      <c r="DB2481">
        <v>0</v>
      </c>
      <c r="DC2481" t="s">
        <v>176</v>
      </c>
      <c r="DD2481" t="s">
        <v>177</v>
      </c>
      <c r="DG2481">
        <v>5413601</v>
      </c>
      <c r="DI2481">
        <v>1</v>
      </c>
      <c r="DJ2481">
        <v>0</v>
      </c>
      <c r="DK2481">
        <v>1</v>
      </c>
      <c r="DL2481">
        <v>0</v>
      </c>
      <c r="DM2481">
        <v>0</v>
      </c>
      <c r="DN2481">
        <v>1</v>
      </c>
      <c r="DO2481">
        <v>0</v>
      </c>
      <c r="DP2481">
        <v>0</v>
      </c>
      <c r="DQ2481">
        <v>0</v>
      </c>
      <c r="DR2481">
        <v>0</v>
      </c>
      <c r="DS2481">
        <v>0</v>
      </c>
    </row>
    <row r="2482" spans="1:123" x14ac:dyDescent="0.3">
      <c r="A2482" t="str">
        <f>"10/04/2022 19:32:13.197"</f>
        <v>10/04/2022 19:32:13.197</v>
      </c>
      <c r="C2482" t="str">
        <f t="shared" si="890"/>
        <v>FFDDD3C0</v>
      </c>
      <c r="D2482" t="s">
        <v>143</v>
      </c>
      <c r="E2482">
        <v>20</v>
      </c>
      <c r="F2482">
        <v>1020</v>
      </c>
      <c r="G2482" t="s">
        <v>144</v>
      </c>
      <c r="J2482" t="s">
        <v>145</v>
      </c>
      <c r="K2482">
        <v>0</v>
      </c>
      <c r="L2482">
        <v>3</v>
      </c>
      <c r="M2482">
        <v>0</v>
      </c>
      <c r="N2482">
        <v>2</v>
      </c>
      <c r="O2482">
        <v>0</v>
      </c>
      <c r="P2482">
        <v>1</v>
      </c>
      <c r="Q2482">
        <v>0</v>
      </c>
      <c r="S2482" t="str">
        <f t="shared" si="891"/>
        <v>19:32:12.000</v>
      </c>
      <c r="T2482" t="str">
        <f t="shared" si="891"/>
        <v>19:32:12.000</v>
      </c>
      <c r="U2482" t="str">
        <f t="shared" si="877"/>
        <v>AC3944</v>
      </c>
      <c r="V2482">
        <v>0</v>
      </c>
      <c r="W2482">
        <v>0</v>
      </c>
      <c r="X2482">
        <v>2</v>
      </c>
      <c r="Y2482">
        <v>0</v>
      </c>
      <c r="AA2482">
        <v>1</v>
      </c>
      <c r="AB2482">
        <v>8</v>
      </c>
      <c r="AC2482">
        <v>3</v>
      </c>
      <c r="AD2482">
        <v>0</v>
      </c>
      <c r="AE2482">
        <v>9</v>
      </c>
      <c r="AF2482" t="s">
        <v>138</v>
      </c>
      <c r="AG2482">
        <v>0</v>
      </c>
      <c r="AH2482">
        <v>3</v>
      </c>
      <c r="AI2482">
        <v>1</v>
      </c>
      <c r="AJ2482">
        <v>0</v>
      </c>
      <c r="AK2482" t="s">
        <v>854</v>
      </c>
      <c r="AL2482">
        <v>32.755136</v>
      </c>
      <c r="AM2482" t="s">
        <v>855</v>
      </c>
      <c r="AN2482">
        <v>-116.784711</v>
      </c>
      <c r="AO2482">
        <v>25</v>
      </c>
      <c r="AP2482">
        <v>3300</v>
      </c>
      <c r="AQ2482" t="s">
        <v>129</v>
      </c>
      <c r="AR2482">
        <v>112</v>
      </c>
      <c r="AS2482">
        <v>-68</v>
      </c>
      <c r="AT2482">
        <v>256</v>
      </c>
      <c r="BB2482">
        <v>1200</v>
      </c>
      <c r="BC2482">
        <v>1</v>
      </c>
      <c r="BD2482" t="str">
        <f t="shared" si="878"/>
        <v xml:space="preserve">N887QR  </v>
      </c>
      <c r="BE2482">
        <v>1</v>
      </c>
      <c r="BJ2482">
        <v>3000</v>
      </c>
      <c r="BK2482">
        <v>-300</v>
      </c>
      <c r="BL2482" t="s">
        <v>163</v>
      </c>
      <c r="BM2482">
        <v>1</v>
      </c>
      <c r="BN2482">
        <v>1</v>
      </c>
      <c r="BO2482">
        <v>1</v>
      </c>
      <c r="BP2482">
        <v>0</v>
      </c>
      <c r="BS2482">
        <v>0</v>
      </c>
      <c r="BT2482">
        <v>0</v>
      </c>
      <c r="BU2482">
        <v>0</v>
      </c>
      <c r="CE2482" t="str">
        <f t="shared" si="893"/>
        <v>19:32:12.876</v>
      </c>
      <c r="CF2482">
        <v>876495037</v>
      </c>
      <c r="CS2482">
        <v>0</v>
      </c>
      <c r="CT2482">
        <v>2</v>
      </c>
      <c r="CU2482">
        <v>0</v>
      </c>
      <c r="CV2482">
        <v>2</v>
      </c>
      <c r="CW2482">
        <v>0</v>
      </c>
      <c r="CX2482">
        <v>5</v>
      </c>
      <c r="CY2482">
        <v>7</v>
      </c>
      <c r="CZ2482" t="s">
        <v>131</v>
      </c>
      <c r="DA2482">
        <v>300</v>
      </c>
      <c r="DB2482">
        <v>0</v>
      </c>
      <c r="DC2482" t="s">
        <v>176</v>
      </c>
      <c r="DD2482" t="s">
        <v>177</v>
      </c>
      <c r="DG2482">
        <v>5413601</v>
      </c>
      <c r="DI2482">
        <v>1</v>
      </c>
      <c r="DJ2482">
        <v>0</v>
      </c>
      <c r="DK2482">
        <v>1</v>
      </c>
      <c r="DL2482">
        <v>0</v>
      </c>
      <c r="DM2482">
        <v>0</v>
      </c>
      <c r="DN2482">
        <v>1</v>
      </c>
      <c r="DO2482">
        <v>0</v>
      </c>
      <c r="DP2482">
        <v>0</v>
      </c>
      <c r="DQ2482">
        <v>0</v>
      </c>
      <c r="DR2482">
        <v>0</v>
      </c>
      <c r="DS2482">
        <v>0</v>
      </c>
    </row>
    <row r="2483" spans="1:123" x14ac:dyDescent="0.3">
      <c r="A2483" t="str">
        <f>"10/04/2022 19:32:13.197"</f>
        <v>10/04/2022 19:32:13.197</v>
      </c>
      <c r="C2483" t="str">
        <f t="shared" si="890"/>
        <v>FFDDD3C0</v>
      </c>
      <c r="D2483" t="s">
        <v>141</v>
      </c>
      <c r="E2483">
        <v>4</v>
      </c>
      <c r="H2483">
        <v>4</v>
      </c>
      <c r="I2483" t="s">
        <v>142</v>
      </c>
      <c r="J2483" t="s">
        <v>138</v>
      </c>
      <c r="K2483">
        <v>0</v>
      </c>
      <c r="L2483">
        <v>3</v>
      </c>
      <c r="M2483">
        <v>0</v>
      </c>
      <c r="N2483">
        <v>2</v>
      </c>
      <c r="O2483">
        <v>0</v>
      </c>
      <c r="P2483">
        <v>1</v>
      </c>
      <c r="Q2483">
        <v>0</v>
      </c>
      <c r="S2483" t="str">
        <f t="shared" si="891"/>
        <v>19:32:12.000</v>
      </c>
      <c r="T2483" t="str">
        <f t="shared" si="891"/>
        <v>19:32:12.000</v>
      </c>
      <c r="U2483" t="str">
        <f t="shared" si="877"/>
        <v>AC3944</v>
      </c>
      <c r="V2483">
        <v>0</v>
      </c>
      <c r="W2483">
        <v>0</v>
      </c>
      <c r="X2483">
        <v>2</v>
      </c>
      <c r="Y2483">
        <v>0</v>
      </c>
      <c r="AA2483">
        <v>1</v>
      </c>
      <c r="AB2483">
        <v>8</v>
      </c>
      <c r="AC2483">
        <v>3</v>
      </c>
      <c r="AD2483">
        <v>0</v>
      </c>
      <c r="AE2483">
        <v>9</v>
      </c>
      <c r="AF2483" t="s">
        <v>138</v>
      </c>
      <c r="AG2483">
        <v>0</v>
      </c>
      <c r="AH2483">
        <v>3</v>
      </c>
      <c r="AI2483">
        <v>1</v>
      </c>
      <c r="AJ2483">
        <v>0</v>
      </c>
      <c r="AK2483" t="s">
        <v>854</v>
      </c>
      <c r="AL2483">
        <v>32.755136</v>
      </c>
      <c r="AM2483" t="s">
        <v>855</v>
      </c>
      <c r="AN2483">
        <v>-116.784711</v>
      </c>
      <c r="AO2483">
        <v>25</v>
      </c>
      <c r="AP2483">
        <v>3300</v>
      </c>
      <c r="AQ2483" t="s">
        <v>129</v>
      </c>
      <c r="AR2483">
        <v>112</v>
      </c>
      <c r="AS2483">
        <v>-68</v>
      </c>
      <c r="AT2483">
        <v>256</v>
      </c>
      <c r="BB2483">
        <v>1200</v>
      </c>
      <c r="BC2483">
        <v>1</v>
      </c>
      <c r="BD2483" t="str">
        <f t="shared" si="878"/>
        <v xml:space="preserve">N887QR  </v>
      </c>
      <c r="BE2483">
        <v>1</v>
      </c>
      <c r="BJ2483">
        <v>3000</v>
      </c>
      <c r="BK2483">
        <v>-300</v>
      </c>
      <c r="BL2483" t="s">
        <v>163</v>
      </c>
      <c r="BM2483">
        <v>1</v>
      </c>
      <c r="BN2483">
        <v>1</v>
      </c>
      <c r="BO2483">
        <v>1</v>
      </c>
      <c r="BP2483">
        <v>0</v>
      </c>
      <c r="BS2483">
        <v>0</v>
      </c>
      <c r="BT2483">
        <v>0</v>
      </c>
      <c r="BU2483">
        <v>0</v>
      </c>
      <c r="CE2483" t="str">
        <f t="shared" si="893"/>
        <v>19:32:12.876</v>
      </c>
      <c r="CF2483">
        <v>876495037</v>
      </c>
      <c r="CS2483">
        <v>0</v>
      </c>
      <c r="CT2483">
        <v>2</v>
      </c>
      <c r="CU2483">
        <v>0</v>
      </c>
      <c r="CV2483">
        <v>2</v>
      </c>
      <c r="CW2483">
        <v>0</v>
      </c>
      <c r="CX2483">
        <v>5</v>
      </c>
      <c r="CY2483">
        <v>7</v>
      </c>
      <c r="CZ2483" t="s">
        <v>131</v>
      </c>
      <c r="DA2483">
        <v>300</v>
      </c>
      <c r="DB2483">
        <v>0</v>
      </c>
      <c r="DC2483" t="s">
        <v>176</v>
      </c>
      <c r="DD2483" t="s">
        <v>177</v>
      </c>
      <c r="DG2483">
        <v>5413601</v>
      </c>
      <c r="DI2483">
        <v>1</v>
      </c>
      <c r="DJ2483">
        <v>0</v>
      </c>
      <c r="DK2483">
        <v>1</v>
      </c>
      <c r="DL2483">
        <v>0</v>
      </c>
      <c r="DM2483">
        <v>0</v>
      </c>
      <c r="DN2483">
        <v>1</v>
      </c>
      <c r="DO2483">
        <v>0</v>
      </c>
      <c r="DP2483">
        <v>0</v>
      </c>
      <c r="DQ2483">
        <v>0</v>
      </c>
      <c r="DR2483">
        <v>0</v>
      </c>
      <c r="DS2483">
        <v>0</v>
      </c>
    </row>
    <row r="2484" spans="1:123" x14ac:dyDescent="0.3">
      <c r="A2484" t="str">
        <f>"10/04/2022 19:32:13.197"</f>
        <v>10/04/2022 19:32:13.197</v>
      </c>
      <c r="C2484" t="str">
        <f t="shared" si="890"/>
        <v>FFDDD3C0</v>
      </c>
      <c r="D2484" t="s">
        <v>123</v>
      </c>
      <c r="E2484">
        <v>7</v>
      </c>
      <c r="F2484">
        <v>2007</v>
      </c>
      <c r="G2484" t="s">
        <v>124</v>
      </c>
      <c r="J2484" t="s">
        <v>125</v>
      </c>
      <c r="K2484">
        <v>0</v>
      </c>
      <c r="L2484">
        <v>3</v>
      </c>
      <c r="M2484">
        <v>0</v>
      </c>
      <c r="N2484">
        <v>2</v>
      </c>
      <c r="O2484">
        <v>0</v>
      </c>
      <c r="P2484">
        <v>1</v>
      </c>
      <c r="Q2484">
        <v>0</v>
      </c>
      <c r="S2484" t="str">
        <f t="shared" si="891"/>
        <v>19:32:12.000</v>
      </c>
      <c r="T2484" t="str">
        <f t="shared" si="891"/>
        <v>19:32:12.000</v>
      </c>
      <c r="U2484" t="str">
        <f t="shared" si="877"/>
        <v>AC3944</v>
      </c>
      <c r="V2484">
        <v>0</v>
      </c>
      <c r="W2484">
        <v>0</v>
      </c>
      <c r="X2484">
        <v>2</v>
      </c>
      <c r="Y2484">
        <v>0</v>
      </c>
      <c r="AA2484">
        <v>1</v>
      </c>
      <c r="AB2484">
        <v>8</v>
      </c>
      <c r="AC2484">
        <v>3</v>
      </c>
      <c r="AD2484">
        <v>0</v>
      </c>
      <c r="AE2484">
        <v>9</v>
      </c>
      <c r="AF2484" t="s">
        <v>138</v>
      </c>
      <c r="AG2484">
        <v>0</v>
      </c>
      <c r="AH2484">
        <v>3</v>
      </c>
      <c r="AI2484">
        <v>1</v>
      </c>
      <c r="AJ2484">
        <v>0</v>
      </c>
      <c r="AK2484" t="s">
        <v>854</v>
      </c>
      <c r="AL2484">
        <v>32.755136</v>
      </c>
      <c r="AM2484" t="s">
        <v>855</v>
      </c>
      <c r="AN2484">
        <v>-116.784711</v>
      </c>
      <c r="AO2484">
        <v>25</v>
      </c>
      <c r="AP2484">
        <v>3300</v>
      </c>
      <c r="AQ2484" t="s">
        <v>129</v>
      </c>
      <c r="AR2484">
        <v>112</v>
      </c>
      <c r="AS2484">
        <v>-68</v>
      </c>
      <c r="AT2484">
        <v>256</v>
      </c>
      <c r="BB2484">
        <v>1200</v>
      </c>
      <c r="BC2484">
        <v>1</v>
      </c>
      <c r="BD2484" t="str">
        <f t="shared" si="878"/>
        <v xml:space="preserve">N887QR  </v>
      </c>
      <c r="BE2484">
        <v>1</v>
      </c>
      <c r="BJ2484">
        <v>3000</v>
      </c>
      <c r="BK2484">
        <v>-300</v>
      </c>
      <c r="BL2484" t="s">
        <v>163</v>
      </c>
      <c r="BM2484">
        <v>1</v>
      </c>
      <c r="BN2484">
        <v>1</v>
      </c>
      <c r="BO2484">
        <v>1</v>
      </c>
      <c r="BP2484">
        <v>0</v>
      </c>
      <c r="BS2484">
        <v>0</v>
      </c>
      <c r="BT2484">
        <v>0</v>
      </c>
      <c r="BU2484">
        <v>0</v>
      </c>
      <c r="CE2484" t="str">
        <f t="shared" si="893"/>
        <v>19:32:12.876</v>
      </c>
      <c r="CF2484">
        <v>876495037</v>
      </c>
      <c r="CS2484">
        <v>0</v>
      </c>
      <c r="CT2484">
        <v>2</v>
      </c>
      <c r="CU2484">
        <v>0</v>
      </c>
      <c r="CV2484">
        <v>2</v>
      </c>
      <c r="CW2484">
        <v>0</v>
      </c>
      <c r="CX2484">
        <v>5</v>
      </c>
      <c r="CY2484">
        <v>7</v>
      </c>
      <c r="CZ2484" t="s">
        <v>131</v>
      </c>
      <c r="DA2484">
        <v>300</v>
      </c>
      <c r="DB2484">
        <v>0</v>
      </c>
      <c r="DC2484" t="s">
        <v>176</v>
      </c>
      <c r="DD2484" t="s">
        <v>177</v>
      </c>
      <c r="DG2484">
        <v>5413601</v>
      </c>
      <c r="DI2484">
        <v>1</v>
      </c>
      <c r="DJ2484">
        <v>0</v>
      </c>
      <c r="DK2484">
        <v>1</v>
      </c>
      <c r="DL2484">
        <v>0</v>
      </c>
      <c r="DM2484">
        <v>0</v>
      </c>
      <c r="DN2484">
        <v>1</v>
      </c>
      <c r="DO2484">
        <v>0</v>
      </c>
      <c r="DP2484">
        <v>0</v>
      </c>
      <c r="DQ2484">
        <v>0</v>
      </c>
      <c r="DR2484">
        <v>0</v>
      </c>
      <c r="DS2484">
        <v>0</v>
      </c>
    </row>
    <row r="2485" spans="1:123" x14ac:dyDescent="0.3">
      <c r="A2485" t="str">
        <f>"10/04/2022 19:32:13.213"</f>
        <v>10/04/2022 19:32:13.213</v>
      </c>
      <c r="C2485" t="str">
        <f t="shared" si="890"/>
        <v>FFDDD3C0</v>
      </c>
      <c r="D2485" t="s">
        <v>134</v>
      </c>
      <c r="E2485">
        <v>15</v>
      </c>
      <c r="J2485" t="s">
        <v>135</v>
      </c>
      <c r="K2485">
        <v>0</v>
      </c>
      <c r="L2485">
        <v>3</v>
      </c>
      <c r="M2485">
        <v>0</v>
      </c>
      <c r="N2485">
        <v>2</v>
      </c>
      <c r="O2485">
        <v>0</v>
      </c>
      <c r="P2485">
        <v>1</v>
      </c>
      <c r="Q2485">
        <v>0</v>
      </c>
      <c r="S2485" t="str">
        <f t="shared" si="891"/>
        <v>19:32:12.000</v>
      </c>
      <c r="T2485" t="str">
        <f t="shared" si="891"/>
        <v>19:32:12.000</v>
      </c>
      <c r="U2485" t="str">
        <f t="shared" si="877"/>
        <v>AC3944</v>
      </c>
      <c r="V2485">
        <v>0</v>
      </c>
      <c r="W2485">
        <v>0</v>
      </c>
      <c r="X2485">
        <v>2</v>
      </c>
      <c r="Y2485">
        <v>0</v>
      </c>
      <c r="AA2485">
        <v>1</v>
      </c>
      <c r="AB2485">
        <v>8</v>
      </c>
      <c r="AC2485">
        <v>3</v>
      </c>
      <c r="AD2485">
        <v>0</v>
      </c>
      <c r="AE2485">
        <v>9</v>
      </c>
      <c r="AF2485" t="s">
        <v>138</v>
      </c>
      <c r="AG2485">
        <v>0</v>
      </c>
      <c r="AH2485">
        <v>3</v>
      </c>
      <c r="AI2485">
        <v>1</v>
      </c>
      <c r="AJ2485">
        <v>0</v>
      </c>
      <c r="AK2485" t="s">
        <v>854</v>
      </c>
      <c r="AL2485">
        <v>32.755136</v>
      </c>
      <c r="AM2485" t="s">
        <v>855</v>
      </c>
      <c r="AN2485">
        <v>-116.784711</v>
      </c>
      <c r="AO2485">
        <v>25</v>
      </c>
      <c r="AP2485">
        <v>3300</v>
      </c>
      <c r="AQ2485" t="s">
        <v>129</v>
      </c>
      <c r="AR2485">
        <v>112</v>
      </c>
      <c r="AS2485">
        <v>-68</v>
      </c>
      <c r="AT2485">
        <v>256</v>
      </c>
      <c r="BB2485">
        <v>1200</v>
      </c>
      <c r="BC2485">
        <v>1</v>
      </c>
      <c r="BD2485" t="str">
        <f t="shared" si="878"/>
        <v xml:space="preserve">N887QR  </v>
      </c>
      <c r="BE2485">
        <v>1</v>
      </c>
      <c r="BJ2485">
        <v>3000</v>
      </c>
      <c r="BK2485">
        <v>-300</v>
      </c>
      <c r="BL2485" t="s">
        <v>163</v>
      </c>
      <c r="BM2485">
        <v>1</v>
      </c>
      <c r="BN2485">
        <v>1</v>
      </c>
      <c r="BO2485">
        <v>1</v>
      </c>
      <c r="BP2485">
        <v>0</v>
      </c>
      <c r="BS2485">
        <v>0</v>
      </c>
      <c r="BT2485">
        <v>0</v>
      </c>
      <c r="BU2485">
        <v>0</v>
      </c>
      <c r="CE2485" t="str">
        <f t="shared" si="893"/>
        <v>19:32:12.876</v>
      </c>
      <c r="CF2485">
        <v>876495037</v>
      </c>
      <c r="CS2485">
        <v>0</v>
      </c>
      <c r="CT2485">
        <v>2</v>
      </c>
      <c r="CU2485">
        <v>0</v>
      </c>
      <c r="CV2485">
        <v>2</v>
      </c>
      <c r="CW2485">
        <v>0</v>
      </c>
      <c r="CX2485">
        <v>5</v>
      </c>
      <c r="CY2485">
        <v>7</v>
      </c>
      <c r="CZ2485" t="s">
        <v>131</v>
      </c>
      <c r="DA2485">
        <v>300</v>
      </c>
      <c r="DB2485">
        <v>0</v>
      </c>
      <c r="DC2485" t="s">
        <v>176</v>
      </c>
      <c r="DD2485" t="s">
        <v>177</v>
      </c>
      <c r="DG2485">
        <v>5413601</v>
      </c>
      <c r="DI2485">
        <v>1</v>
      </c>
      <c r="DJ2485">
        <v>0</v>
      </c>
      <c r="DK2485">
        <v>1</v>
      </c>
      <c r="DL2485">
        <v>0</v>
      </c>
      <c r="DM2485">
        <v>0</v>
      </c>
      <c r="DN2485">
        <v>1</v>
      </c>
      <c r="DO2485">
        <v>0</v>
      </c>
      <c r="DP2485">
        <v>0</v>
      </c>
      <c r="DQ2485">
        <v>0</v>
      </c>
      <c r="DR2485">
        <v>0</v>
      </c>
      <c r="DS2485">
        <v>0</v>
      </c>
    </row>
    <row r="2486" spans="1:123" x14ac:dyDescent="0.3">
      <c r="A2486" t="str">
        <f t="shared" ref="A2486:A2492" si="894">"10/04/2022 19:32:14.072"</f>
        <v>10/04/2022 19:32:14.072</v>
      </c>
      <c r="C2486" t="str">
        <f t="shared" si="890"/>
        <v>FFDDD3C0</v>
      </c>
      <c r="D2486" t="s">
        <v>143</v>
      </c>
      <c r="E2486">
        <v>20</v>
      </c>
      <c r="F2486">
        <v>1020</v>
      </c>
      <c r="G2486" t="s">
        <v>144</v>
      </c>
      <c r="J2486" t="s">
        <v>145</v>
      </c>
      <c r="K2486">
        <v>0</v>
      </c>
      <c r="L2486">
        <v>3</v>
      </c>
      <c r="M2486">
        <v>0</v>
      </c>
      <c r="N2486">
        <v>2</v>
      </c>
      <c r="O2486">
        <v>0</v>
      </c>
      <c r="P2486">
        <v>1</v>
      </c>
      <c r="Q2486">
        <v>0</v>
      </c>
      <c r="S2486" t="str">
        <f t="shared" ref="S2486:T2492" si="895">"19:32:13.000"</f>
        <v>19:32:13.000</v>
      </c>
      <c r="T2486" t="str">
        <f t="shared" si="895"/>
        <v>19:32:13.000</v>
      </c>
      <c r="U2486" t="str">
        <f t="shared" si="877"/>
        <v>AC3944</v>
      </c>
      <c r="V2486">
        <v>0</v>
      </c>
      <c r="W2486">
        <v>0</v>
      </c>
      <c r="X2486">
        <v>2</v>
      </c>
      <c r="Y2486">
        <v>0</v>
      </c>
      <c r="AA2486">
        <v>1</v>
      </c>
      <c r="AB2486">
        <v>8</v>
      </c>
      <c r="AC2486">
        <v>3</v>
      </c>
      <c r="AD2486">
        <v>0</v>
      </c>
      <c r="AE2486">
        <v>9</v>
      </c>
      <c r="AF2486" t="s">
        <v>138</v>
      </c>
      <c r="AG2486">
        <v>0</v>
      </c>
      <c r="AH2486">
        <v>3</v>
      </c>
      <c r="AI2486">
        <v>1</v>
      </c>
      <c r="AJ2486">
        <v>0</v>
      </c>
      <c r="AK2486" t="s">
        <v>856</v>
      </c>
      <c r="AL2486">
        <v>32.754815000000001</v>
      </c>
      <c r="AM2486" t="s">
        <v>857</v>
      </c>
      <c r="AN2486">
        <v>-116.78408899999999</v>
      </c>
      <c r="AO2486">
        <v>25</v>
      </c>
      <c r="AP2486">
        <v>3300</v>
      </c>
      <c r="AQ2486" t="s">
        <v>129</v>
      </c>
      <c r="AR2486">
        <v>113</v>
      </c>
      <c r="AS2486">
        <v>-69</v>
      </c>
      <c r="AT2486">
        <v>256</v>
      </c>
      <c r="BB2486">
        <v>1200</v>
      </c>
      <c r="BC2486">
        <v>1</v>
      </c>
      <c r="BD2486" t="str">
        <f t="shared" si="878"/>
        <v xml:space="preserve">N887QR  </v>
      </c>
      <c r="BE2486">
        <v>1</v>
      </c>
      <c r="BJ2486">
        <v>3000</v>
      </c>
      <c r="BK2486">
        <v>-300</v>
      </c>
      <c r="BL2486" t="s">
        <v>163</v>
      </c>
      <c r="BM2486">
        <v>1</v>
      </c>
      <c r="BN2486">
        <v>1</v>
      </c>
      <c r="BO2486">
        <v>1</v>
      </c>
      <c r="BP2486">
        <v>0</v>
      </c>
      <c r="BS2486">
        <v>0</v>
      </c>
      <c r="BT2486">
        <v>0</v>
      </c>
      <c r="BU2486">
        <v>0</v>
      </c>
      <c r="CE2486" t="str">
        <f t="shared" ref="CE2486:CE2492" si="896">"19:32:13.739"</f>
        <v>19:32:13.739</v>
      </c>
      <c r="CF2486">
        <v>739247954</v>
      </c>
      <c r="CS2486">
        <v>0</v>
      </c>
      <c r="CT2486">
        <v>2</v>
      </c>
      <c r="CU2486">
        <v>0</v>
      </c>
      <c r="CV2486">
        <v>2</v>
      </c>
      <c r="CW2486">
        <v>0</v>
      </c>
      <c r="CX2486">
        <v>5</v>
      </c>
      <c r="CY2486">
        <v>7</v>
      </c>
      <c r="CZ2486" t="s">
        <v>131</v>
      </c>
      <c r="DA2486">
        <v>300</v>
      </c>
      <c r="DB2486">
        <v>0</v>
      </c>
      <c r="DC2486" t="s">
        <v>176</v>
      </c>
      <c r="DD2486" t="s">
        <v>177</v>
      </c>
      <c r="DG2486">
        <v>5413743</v>
      </c>
      <c r="DI2486">
        <v>1</v>
      </c>
      <c r="DJ2486">
        <v>0</v>
      </c>
      <c r="DK2486">
        <v>0</v>
      </c>
      <c r="DL2486">
        <v>0</v>
      </c>
      <c r="DM2486">
        <v>0</v>
      </c>
      <c r="DN2486">
        <v>1</v>
      </c>
      <c r="DO2486">
        <v>0</v>
      </c>
      <c r="DP2486">
        <v>0</v>
      </c>
      <c r="DQ2486">
        <v>0</v>
      </c>
      <c r="DR2486">
        <v>0</v>
      </c>
      <c r="DS2486">
        <v>0</v>
      </c>
    </row>
    <row r="2487" spans="1:123" x14ac:dyDescent="0.3">
      <c r="A2487" t="str">
        <f t="shared" si="894"/>
        <v>10/04/2022 19:32:14.072</v>
      </c>
      <c r="C2487" t="str">
        <f t="shared" si="890"/>
        <v>FFDDD3C0</v>
      </c>
      <c r="D2487" t="s">
        <v>141</v>
      </c>
      <c r="E2487">
        <v>4</v>
      </c>
      <c r="H2487">
        <v>4</v>
      </c>
      <c r="I2487" t="s">
        <v>142</v>
      </c>
      <c r="J2487" t="s">
        <v>138</v>
      </c>
      <c r="K2487">
        <v>0</v>
      </c>
      <c r="L2487">
        <v>3</v>
      </c>
      <c r="M2487">
        <v>0</v>
      </c>
      <c r="N2487">
        <v>2</v>
      </c>
      <c r="O2487">
        <v>0</v>
      </c>
      <c r="P2487">
        <v>1</v>
      </c>
      <c r="Q2487">
        <v>0</v>
      </c>
      <c r="S2487" t="str">
        <f t="shared" si="895"/>
        <v>19:32:13.000</v>
      </c>
      <c r="T2487" t="str">
        <f t="shared" si="895"/>
        <v>19:32:13.000</v>
      </c>
      <c r="U2487" t="str">
        <f t="shared" si="877"/>
        <v>AC3944</v>
      </c>
      <c r="V2487">
        <v>0</v>
      </c>
      <c r="W2487">
        <v>0</v>
      </c>
      <c r="X2487">
        <v>2</v>
      </c>
      <c r="Y2487">
        <v>0</v>
      </c>
      <c r="AA2487">
        <v>1</v>
      </c>
      <c r="AB2487">
        <v>8</v>
      </c>
      <c r="AC2487">
        <v>3</v>
      </c>
      <c r="AD2487">
        <v>0</v>
      </c>
      <c r="AE2487">
        <v>9</v>
      </c>
      <c r="AF2487" t="s">
        <v>138</v>
      </c>
      <c r="AG2487">
        <v>0</v>
      </c>
      <c r="AH2487">
        <v>3</v>
      </c>
      <c r="AI2487">
        <v>1</v>
      </c>
      <c r="AJ2487">
        <v>0</v>
      </c>
      <c r="AK2487" t="s">
        <v>856</v>
      </c>
      <c r="AL2487">
        <v>32.754815000000001</v>
      </c>
      <c r="AM2487" t="s">
        <v>857</v>
      </c>
      <c r="AN2487">
        <v>-116.78408899999999</v>
      </c>
      <c r="AO2487">
        <v>25</v>
      </c>
      <c r="AP2487">
        <v>3300</v>
      </c>
      <c r="AQ2487" t="s">
        <v>129</v>
      </c>
      <c r="AR2487">
        <v>113</v>
      </c>
      <c r="AS2487">
        <v>-69</v>
      </c>
      <c r="AT2487">
        <v>256</v>
      </c>
      <c r="BB2487">
        <v>1200</v>
      </c>
      <c r="BC2487">
        <v>1</v>
      </c>
      <c r="BD2487" t="str">
        <f t="shared" si="878"/>
        <v xml:space="preserve">N887QR  </v>
      </c>
      <c r="BE2487">
        <v>1</v>
      </c>
      <c r="BJ2487">
        <v>3000</v>
      </c>
      <c r="BK2487">
        <v>-300</v>
      </c>
      <c r="BL2487" t="s">
        <v>163</v>
      </c>
      <c r="BM2487">
        <v>1</v>
      </c>
      <c r="BN2487">
        <v>1</v>
      </c>
      <c r="BO2487">
        <v>1</v>
      </c>
      <c r="BP2487">
        <v>0</v>
      </c>
      <c r="BS2487">
        <v>0</v>
      </c>
      <c r="BT2487">
        <v>0</v>
      </c>
      <c r="BU2487">
        <v>0</v>
      </c>
      <c r="CE2487" t="str">
        <f t="shared" si="896"/>
        <v>19:32:13.739</v>
      </c>
      <c r="CF2487">
        <v>739247954</v>
      </c>
      <c r="CS2487">
        <v>0</v>
      </c>
      <c r="CT2487">
        <v>2</v>
      </c>
      <c r="CU2487">
        <v>0</v>
      </c>
      <c r="CV2487">
        <v>2</v>
      </c>
      <c r="CW2487">
        <v>0</v>
      </c>
      <c r="CX2487">
        <v>5</v>
      </c>
      <c r="CY2487">
        <v>7</v>
      </c>
      <c r="CZ2487" t="s">
        <v>131</v>
      </c>
      <c r="DA2487">
        <v>300</v>
      </c>
      <c r="DB2487">
        <v>0</v>
      </c>
      <c r="DC2487" t="s">
        <v>176</v>
      </c>
      <c r="DD2487" t="s">
        <v>177</v>
      </c>
      <c r="DG2487">
        <v>5413743</v>
      </c>
      <c r="DI2487">
        <v>1</v>
      </c>
      <c r="DJ2487">
        <v>0</v>
      </c>
      <c r="DK2487">
        <v>1</v>
      </c>
      <c r="DL2487">
        <v>0</v>
      </c>
      <c r="DM2487">
        <v>0</v>
      </c>
      <c r="DN2487">
        <v>1</v>
      </c>
      <c r="DO2487">
        <v>0</v>
      </c>
      <c r="DP2487">
        <v>0</v>
      </c>
      <c r="DQ2487">
        <v>0</v>
      </c>
      <c r="DR2487">
        <v>0</v>
      </c>
      <c r="DS2487">
        <v>0</v>
      </c>
    </row>
    <row r="2488" spans="1:123" x14ac:dyDescent="0.3">
      <c r="A2488" t="str">
        <f t="shared" si="894"/>
        <v>10/04/2022 19:32:14.072</v>
      </c>
      <c r="C2488" t="str">
        <f t="shared" si="890"/>
        <v>FFDDD3C0</v>
      </c>
      <c r="D2488" t="s">
        <v>123</v>
      </c>
      <c r="E2488">
        <v>7</v>
      </c>
      <c r="F2488">
        <v>2007</v>
      </c>
      <c r="G2488" t="s">
        <v>124</v>
      </c>
      <c r="J2488" t="s">
        <v>125</v>
      </c>
      <c r="K2488">
        <v>0</v>
      </c>
      <c r="L2488">
        <v>3</v>
      </c>
      <c r="M2488">
        <v>0</v>
      </c>
      <c r="N2488">
        <v>2</v>
      </c>
      <c r="O2488">
        <v>0</v>
      </c>
      <c r="P2488">
        <v>1</v>
      </c>
      <c r="Q2488">
        <v>0</v>
      </c>
      <c r="S2488" t="str">
        <f t="shared" si="895"/>
        <v>19:32:13.000</v>
      </c>
      <c r="T2488" t="str">
        <f t="shared" si="895"/>
        <v>19:32:13.000</v>
      </c>
      <c r="U2488" t="str">
        <f t="shared" si="877"/>
        <v>AC3944</v>
      </c>
      <c r="V2488">
        <v>0</v>
      </c>
      <c r="W2488">
        <v>0</v>
      </c>
      <c r="X2488">
        <v>2</v>
      </c>
      <c r="Y2488">
        <v>0</v>
      </c>
      <c r="AA2488">
        <v>1</v>
      </c>
      <c r="AB2488">
        <v>8</v>
      </c>
      <c r="AC2488">
        <v>3</v>
      </c>
      <c r="AD2488">
        <v>0</v>
      </c>
      <c r="AE2488">
        <v>9</v>
      </c>
      <c r="AF2488" t="s">
        <v>138</v>
      </c>
      <c r="AG2488">
        <v>0</v>
      </c>
      <c r="AH2488">
        <v>3</v>
      </c>
      <c r="AI2488">
        <v>1</v>
      </c>
      <c r="AJ2488">
        <v>0</v>
      </c>
      <c r="AK2488" t="s">
        <v>856</v>
      </c>
      <c r="AL2488">
        <v>32.754815000000001</v>
      </c>
      <c r="AM2488" t="s">
        <v>857</v>
      </c>
      <c r="AN2488">
        <v>-116.78408899999999</v>
      </c>
      <c r="AO2488">
        <v>25</v>
      </c>
      <c r="AP2488">
        <v>3300</v>
      </c>
      <c r="AQ2488" t="s">
        <v>129</v>
      </c>
      <c r="AR2488">
        <v>113</v>
      </c>
      <c r="AS2488">
        <v>-69</v>
      </c>
      <c r="AT2488">
        <v>256</v>
      </c>
      <c r="BB2488">
        <v>1200</v>
      </c>
      <c r="BC2488">
        <v>1</v>
      </c>
      <c r="BD2488" t="str">
        <f t="shared" si="878"/>
        <v xml:space="preserve">N887QR  </v>
      </c>
      <c r="BE2488">
        <v>1</v>
      </c>
      <c r="BJ2488">
        <v>3000</v>
      </c>
      <c r="BK2488">
        <v>-300</v>
      </c>
      <c r="BL2488" t="s">
        <v>163</v>
      </c>
      <c r="BM2488">
        <v>1</v>
      </c>
      <c r="BN2488">
        <v>1</v>
      </c>
      <c r="BO2488">
        <v>1</v>
      </c>
      <c r="BP2488">
        <v>0</v>
      </c>
      <c r="BS2488">
        <v>0</v>
      </c>
      <c r="BT2488">
        <v>0</v>
      </c>
      <c r="BU2488">
        <v>0</v>
      </c>
      <c r="CE2488" t="str">
        <f t="shared" si="896"/>
        <v>19:32:13.739</v>
      </c>
      <c r="CF2488">
        <v>739247954</v>
      </c>
      <c r="CS2488">
        <v>0</v>
      </c>
      <c r="CT2488">
        <v>2</v>
      </c>
      <c r="CU2488">
        <v>0</v>
      </c>
      <c r="CV2488">
        <v>2</v>
      </c>
      <c r="CW2488">
        <v>0</v>
      </c>
      <c r="CX2488">
        <v>5</v>
      </c>
      <c r="CY2488">
        <v>7</v>
      </c>
      <c r="CZ2488" t="s">
        <v>131</v>
      </c>
      <c r="DA2488">
        <v>300</v>
      </c>
      <c r="DB2488">
        <v>0</v>
      </c>
      <c r="DC2488" t="s">
        <v>176</v>
      </c>
      <c r="DD2488" t="s">
        <v>177</v>
      </c>
      <c r="DG2488">
        <v>5413743</v>
      </c>
      <c r="DI2488">
        <v>1</v>
      </c>
      <c r="DJ2488">
        <v>0</v>
      </c>
      <c r="DK2488">
        <v>1</v>
      </c>
      <c r="DL2488">
        <v>0</v>
      </c>
      <c r="DM2488">
        <v>0</v>
      </c>
      <c r="DN2488">
        <v>1</v>
      </c>
      <c r="DO2488">
        <v>0</v>
      </c>
      <c r="DP2488">
        <v>0</v>
      </c>
      <c r="DQ2488">
        <v>0</v>
      </c>
      <c r="DR2488">
        <v>0</v>
      </c>
      <c r="DS2488">
        <v>0</v>
      </c>
    </row>
    <row r="2489" spans="1:123" x14ac:dyDescent="0.3">
      <c r="A2489" t="str">
        <f t="shared" si="894"/>
        <v>10/04/2022 19:32:14.072</v>
      </c>
      <c r="C2489" t="str">
        <f t="shared" si="890"/>
        <v>FFDDD3C0</v>
      </c>
      <c r="D2489" t="s">
        <v>134</v>
      </c>
      <c r="E2489">
        <v>15</v>
      </c>
      <c r="J2489" t="s">
        <v>135</v>
      </c>
      <c r="K2489">
        <v>0</v>
      </c>
      <c r="L2489">
        <v>3</v>
      </c>
      <c r="M2489">
        <v>0</v>
      </c>
      <c r="N2489">
        <v>2</v>
      </c>
      <c r="O2489">
        <v>0</v>
      </c>
      <c r="P2489">
        <v>1</v>
      </c>
      <c r="Q2489">
        <v>0</v>
      </c>
      <c r="S2489" t="str">
        <f t="shared" si="895"/>
        <v>19:32:13.000</v>
      </c>
      <c r="T2489" t="str">
        <f t="shared" si="895"/>
        <v>19:32:13.000</v>
      </c>
      <c r="U2489" t="str">
        <f t="shared" si="877"/>
        <v>AC3944</v>
      </c>
      <c r="V2489">
        <v>0</v>
      </c>
      <c r="W2489">
        <v>0</v>
      </c>
      <c r="X2489">
        <v>2</v>
      </c>
      <c r="Y2489">
        <v>0</v>
      </c>
      <c r="AA2489">
        <v>1</v>
      </c>
      <c r="AB2489">
        <v>8</v>
      </c>
      <c r="AC2489">
        <v>3</v>
      </c>
      <c r="AD2489">
        <v>0</v>
      </c>
      <c r="AE2489">
        <v>9</v>
      </c>
      <c r="AF2489" t="s">
        <v>138</v>
      </c>
      <c r="AG2489">
        <v>0</v>
      </c>
      <c r="AH2489">
        <v>3</v>
      </c>
      <c r="AI2489">
        <v>1</v>
      </c>
      <c r="AJ2489">
        <v>0</v>
      </c>
      <c r="AK2489" t="s">
        <v>856</v>
      </c>
      <c r="AL2489">
        <v>32.754815000000001</v>
      </c>
      <c r="AM2489" t="s">
        <v>857</v>
      </c>
      <c r="AN2489">
        <v>-116.78408899999999</v>
      </c>
      <c r="AO2489">
        <v>25</v>
      </c>
      <c r="AP2489">
        <v>3300</v>
      </c>
      <c r="AQ2489" t="s">
        <v>129</v>
      </c>
      <c r="AR2489">
        <v>113</v>
      </c>
      <c r="AS2489">
        <v>-69</v>
      </c>
      <c r="AT2489">
        <v>256</v>
      </c>
      <c r="BB2489">
        <v>1200</v>
      </c>
      <c r="BC2489">
        <v>1</v>
      </c>
      <c r="BD2489" t="str">
        <f t="shared" si="878"/>
        <v xml:space="preserve">N887QR  </v>
      </c>
      <c r="BE2489">
        <v>1</v>
      </c>
      <c r="BJ2489">
        <v>3000</v>
      </c>
      <c r="BK2489">
        <v>-300</v>
      </c>
      <c r="BL2489" t="s">
        <v>163</v>
      </c>
      <c r="BM2489">
        <v>1</v>
      </c>
      <c r="BN2489">
        <v>1</v>
      </c>
      <c r="BO2489">
        <v>1</v>
      </c>
      <c r="BP2489">
        <v>0</v>
      </c>
      <c r="BS2489">
        <v>0</v>
      </c>
      <c r="BT2489">
        <v>0</v>
      </c>
      <c r="BU2489">
        <v>0</v>
      </c>
      <c r="CE2489" t="str">
        <f t="shared" si="896"/>
        <v>19:32:13.739</v>
      </c>
      <c r="CF2489">
        <v>739247954</v>
      </c>
      <c r="CS2489">
        <v>0</v>
      </c>
      <c r="CT2489">
        <v>2</v>
      </c>
      <c r="CU2489">
        <v>0</v>
      </c>
      <c r="CV2489">
        <v>2</v>
      </c>
      <c r="CW2489">
        <v>0</v>
      </c>
      <c r="CX2489">
        <v>5</v>
      </c>
      <c r="CY2489">
        <v>7</v>
      </c>
      <c r="CZ2489" t="s">
        <v>131</v>
      </c>
      <c r="DA2489">
        <v>300</v>
      </c>
      <c r="DB2489">
        <v>0</v>
      </c>
      <c r="DC2489" t="s">
        <v>176</v>
      </c>
      <c r="DD2489" t="s">
        <v>177</v>
      </c>
      <c r="DG2489">
        <v>5413743</v>
      </c>
      <c r="DI2489">
        <v>1</v>
      </c>
      <c r="DJ2489">
        <v>0</v>
      </c>
      <c r="DK2489">
        <v>1</v>
      </c>
      <c r="DL2489">
        <v>0</v>
      </c>
      <c r="DM2489">
        <v>0</v>
      </c>
      <c r="DN2489">
        <v>1</v>
      </c>
      <c r="DO2489">
        <v>0</v>
      </c>
      <c r="DP2489">
        <v>0</v>
      </c>
      <c r="DQ2489">
        <v>0</v>
      </c>
      <c r="DR2489">
        <v>0</v>
      </c>
      <c r="DS2489">
        <v>0</v>
      </c>
    </row>
    <row r="2490" spans="1:123" x14ac:dyDescent="0.3">
      <c r="A2490" t="str">
        <f t="shared" si="894"/>
        <v>10/04/2022 19:32:14.072</v>
      </c>
      <c r="C2490" t="str">
        <f t="shared" si="890"/>
        <v>FFDDD3C0</v>
      </c>
      <c r="D2490" t="s">
        <v>147</v>
      </c>
      <c r="E2490">
        <v>3</v>
      </c>
      <c r="H2490">
        <v>166</v>
      </c>
      <c r="I2490" t="s">
        <v>144</v>
      </c>
      <c r="J2490" t="s">
        <v>148</v>
      </c>
      <c r="K2490">
        <v>0</v>
      </c>
      <c r="L2490">
        <v>3</v>
      </c>
      <c r="M2490">
        <v>0</v>
      </c>
      <c r="N2490">
        <v>2</v>
      </c>
      <c r="O2490">
        <v>0</v>
      </c>
      <c r="P2490">
        <v>1</v>
      </c>
      <c r="Q2490">
        <v>0</v>
      </c>
      <c r="S2490" t="str">
        <f t="shared" si="895"/>
        <v>19:32:13.000</v>
      </c>
      <c r="T2490" t="str">
        <f t="shared" si="895"/>
        <v>19:32:13.000</v>
      </c>
      <c r="U2490" t="str">
        <f t="shared" si="877"/>
        <v>AC3944</v>
      </c>
      <c r="V2490">
        <v>0</v>
      </c>
      <c r="W2490">
        <v>0</v>
      </c>
      <c r="X2490">
        <v>2</v>
      </c>
      <c r="Y2490">
        <v>0</v>
      </c>
      <c r="AA2490">
        <v>1</v>
      </c>
      <c r="AB2490">
        <v>8</v>
      </c>
      <c r="AC2490">
        <v>3</v>
      </c>
      <c r="AD2490">
        <v>0</v>
      </c>
      <c r="AE2490">
        <v>9</v>
      </c>
      <c r="AF2490" t="s">
        <v>138</v>
      </c>
      <c r="AG2490">
        <v>0</v>
      </c>
      <c r="AH2490">
        <v>3</v>
      </c>
      <c r="AI2490">
        <v>1</v>
      </c>
      <c r="AJ2490">
        <v>0</v>
      </c>
      <c r="AK2490" t="s">
        <v>856</v>
      </c>
      <c r="AL2490">
        <v>32.754815000000001</v>
      </c>
      <c r="AM2490" t="s">
        <v>857</v>
      </c>
      <c r="AN2490">
        <v>-116.78408899999999</v>
      </c>
      <c r="AO2490">
        <v>25</v>
      </c>
      <c r="AP2490">
        <v>3300</v>
      </c>
      <c r="AQ2490" t="s">
        <v>129</v>
      </c>
      <c r="AR2490">
        <v>113</v>
      </c>
      <c r="AS2490">
        <v>-69</v>
      </c>
      <c r="AT2490">
        <v>256</v>
      </c>
      <c r="BB2490">
        <v>1200</v>
      </c>
      <c r="BC2490">
        <v>1</v>
      </c>
      <c r="BD2490" t="str">
        <f t="shared" si="878"/>
        <v xml:space="preserve">N887QR  </v>
      </c>
      <c r="BE2490">
        <v>1</v>
      </c>
      <c r="BJ2490">
        <v>3000</v>
      </c>
      <c r="BK2490">
        <v>-300</v>
      </c>
      <c r="BL2490" t="s">
        <v>163</v>
      </c>
      <c r="BM2490">
        <v>1</v>
      </c>
      <c r="BN2490">
        <v>1</v>
      </c>
      <c r="BO2490">
        <v>1</v>
      </c>
      <c r="BP2490">
        <v>0</v>
      </c>
      <c r="BS2490">
        <v>0</v>
      </c>
      <c r="BT2490">
        <v>0</v>
      </c>
      <c r="BU2490">
        <v>0</v>
      </c>
      <c r="CE2490" t="str">
        <f t="shared" si="896"/>
        <v>19:32:13.739</v>
      </c>
      <c r="CF2490">
        <v>739247954</v>
      </c>
      <c r="CS2490">
        <v>0</v>
      </c>
      <c r="CT2490">
        <v>2</v>
      </c>
      <c r="CU2490">
        <v>0</v>
      </c>
      <c r="CV2490">
        <v>2</v>
      </c>
      <c r="CW2490">
        <v>0</v>
      </c>
      <c r="CX2490">
        <v>5</v>
      </c>
      <c r="CY2490">
        <v>7</v>
      </c>
      <c r="CZ2490" t="s">
        <v>131</v>
      </c>
      <c r="DA2490">
        <v>300</v>
      </c>
      <c r="DB2490">
        <v>0</v>
      </c>
      <c r="DC2490" t="s">
        <v>176</v>
      </c>
      <c r="DD2490" t="s">
        <v>177</v>
      </c>
      <c r="DG2490">
        <v>5413743</v>
      </c>
      <c r="DI2490">
        <v>1</v>
      </c>
      <c r="DJ2490">
        <v>0</v>
      </c>
      <c r="DK2490">
        <v>1</v>
      </c>
      <c r="DL2490">
        <v>0</v>
      </c>
      <c r="DM2490">
        <v>0</v>
      </c>
      <c r="DN2490">
        <v>1</v>
      </c>
      <c r="DO2490">
        <v>0</v>
      </c>
      <c r="DP2490">
        <v>0</v>
      </c>
      <c r="DQ2490">
        <v>0</v>
      </c>
      <c r="DR2490">
        <v>0</v>
      </c>
      <c r="DS2490">
        <v>0</v>
      </c>
    </row>
    <row r="2491" spans="1:123" x14ac:dyDescent="0.3">
      <c r="A2491" t="str">
        <f t="shared" si="894"/>
        <v>10/04/2022 19:32:14.072</v>
      </c>
      <c r="C2491" t="str">
        <f t="shared" si="890"/>
        <v>FFDDD3C0</v>
      </c>
      <c r="D2491" t="s">
        <v>136</v>
      </c>
      <c r="E2491">
        <v>8</v>
      </c>
      <c r="H2491">
        <v>225</v>
      </c>
      <c r="I2491" t="s">
        <v>137</v>
      </c>
      <c r="J2491" t="s">
        <v>138</v>
      </c>
      <c r="K2491">
        <v>0</v>
      </c>
      <c r="L2491">
        <v>3</v>
      </c>
      <c r="M2491">
        <v>0</v>
      </c>
      <c r="N2491">
        <v>2</v>
      </c>
      <c r="O2491">
        <v>0</v>
      </c>
      <c r="P2491">
        <v>1</v>
      </c>
      <c r="Q2491">
        <v>0</v>
      </c>
      <c r="S2491" t="str">
        <f t="shared" si="895"/>
        <v>19:32:13.000</v>
      </c>
      <c r="T2491" t="str">
        <f t="shared" si="895"/>
        <v>19:32:13.000</v>
      </c>
      <c r="U2491" t="str">
        <f t="shared" si="877"/>
        <v>AC3944</v>
      </c>
      <c r="V2491">
        <v>0</v>
      </c>
      <c r="W2491">
        <v>0</v>
      </c>
      <c r="X2491">
        <v>2</v>
      </c>
      <c r="Y2491">
        <v>0</v>
      </c>
      <c r="AA2491">
        <v>1</v>
      </c>
      <c r="AB2491">
        <v>8</v>
      </c>
      <c r="AC2491">
        <v>3</v>
      </c>
      <c r="AD2491">
        <v>0</v>
      </c>
      <c r="AE2491">
        <v>9</v>
      </c>
      <c r="AF2491" t="s">
        <v>138</v>
      </c>
      <c r="AG2491">
        <v>0</v>
      </c>
      <c r="AH2491">
        <v>3</v>
      </c>
      <c r="AI2491">
        <v>1</v>
      </c>
      <c r="AJ2491">
        <v>0</v>
      </c>
      <c r="AK2491" t="s">
        <v>856</v>
      </c>
      <c r="AL2491">
        <v>32.754815000000001</v>
      </c>
      <c r="AM2491" t="s">
        <v>857</v>
      </c>
      <c r="AN2491">
        <v>-116.78408899999999</v>
      </c>
      <c r="AO2491">
        <v>25</v>
      </c>
      <c r="AP2491">
        <v>3300</v>
      </c>
      <c r="AQ2491" t="s">
        <v>129</v>
      </c>
      <c r="AR2491">
        <v>113</v>
      </c>
      <c r="AS2491">
        <v>-69</v>
      </c>
      <c r="AT2491">
        <v>256</v>
      </c>
      <c r="BB2491">
        <v>1200</v>
      </c>
      <c r="BC2491">
        <v>1</v>
      </c>
      <c r="BD2491" t="str">
        <f t="shared" si="878"/>
        <v xml:space="preserve">N887QR  </v>
      </c>
      <c r="BE2491">
        <v>1</v>
      </c>
      <c r="BJ2491">
        <v>3000</v>
      </c>
      <c r="BK2491">
        <v>-300</v>
      </c>
      <c r="BL2491" t="s">
        <v>163</v>
      </c>
      <c r="BM2491">
        <v>1</v>
      </c>
      <c r="BN2491">
        <v>1</v>
      </c>
      <c r="BO2491">
        <v>1</v>
      </c>
      <c r="BP2491">
        <v>0</v>
      </c>
      <c r="BS2491">
        <v>0</v>
      </c>
      <c r="BT2491">
        <v>0</v>
      </c>
      <c r="BU2491">
        <v>0</v>
      </c>
      <c r="CE2491" t="str">
        <f t="shared" si="896"/>
        <v>19:32:13.739</v>
      </c>
      <c r="CF2491">
        <v>739247954</v>
      </c>
      <c r="CS2491">
        <v>0</v>
      </c>
      <c r="CT2491">
        <v>2</v>
      </c>
      <c r="CU2491">
        <v>0</v>
      </c>
      <c r="CV2491">
        <v>2</v>
      </c>
      <c r="CW2491">
        <v>0</v>
      </c>
      <c r="CX2491">
        <v>5</v>
      </c>
      <c r="CY2491">
        <v>7</v>
      </c>
      <c r="CZ2491" t="s">
        <v>131</v>
      </c>
      <c r="DA2491">
        <v>300</v>
      </c>
      <c r="DB2491">
        <v>0</v>
      </c>
      <c r="DC2491" t="s">
        <v>176</v>
      </c>
      <c r="DD2491" t="s">
        <v>177</v>
      </c>
      <c r="DG2491">
        <v>5413743</v>
      </c>
      <c r="DI2491">
        <v>1</v>
      </c>
      <c r="DJ2491">
        <v>0</v>
      </c>
      <c r="DK2491">
        <v>1</v>
      </c>
      <c r="DL2491">
        <v>0</v>
      </c>
      <c r="DM2491">
        <v>0</v>
      </c>
      <c r="DN2491">
        <v>1</v>
      </c>
      <c r="DO2491">
        <v>0</v>
      </c>
      <c r="DP2491">
        <v>0</v>
      </c>
      <c r="DQ2491">
        <v>0</v>
      </c>
      <c r="DR2491">
        <v>0</v>
      </c>
      <c r="DS2491">
        <v>0</v>
      </c>
    </row>
    <row r="2492" spans="1:123" x14ac:dyDescent="0.3">
      <c r="A2492" t="str">
        <f t="shared" si="894"/>
        <v>10/04/2022 19:32:14.072</v>
      </c>
      <c r="C2492" t="str">
        <f t="shared" si="890"/>
        <v>FFDDD3C0</v>
      </c>
      <c r="D2492" t="s">
        <v>141</v>
      </c>
      <c r="E2492">
        <v>3</v>
      </c>
      <c r="H2492">
        <v>3</v>
      </c>
      <c r="I2492" t="s">
        <v>146</v>
      </c>
      <c r="J2492" t="s">
        <v>138</v>
      </c>
      <c r="K2492">
        <v>0</v>
      </c>
      <c r="L2492">
        <v>3</v>
      </c>
      <c r="M2492">
        <v>0</v>
      </c>
      <c r="N2492">
        <v>2</v>
      </c>
      <c r="O2492">
        <v>0</v>
      </c>
      <c r="P2492">
        <v>1</v>
      </c>
      <c r="Q2492">
        <v>0</v>
      </c>
      <c r="S2492" t="str">
        <f t="shared" si="895"/>
        <v>19:32:13.000</v>
      </c>
      <c r="T2492" t="str">
        <f t="shared" si="895"/>
        <v>19:32:13.000</v>
      </c>
      <c r="U2492" t="str">
        <f t="shared" si="877"/>
        <v>AC3944</v>
      </c>
      <c r="V2492">
        <v>0</v>
      </c>
      <c r="W2492">
        <v>0</v>
      </c>
      <c r="X2492">
        <v>2</v>
      </c>
      <c r="Y2492">
        <v>0</v>
      </c>
      <c r="AA2492">
        <v>1</v>
      </c>
      <c r="AB2492">
        <v>8</v>
      </c>
      <c r="AC2492">
        <v>3</v>
      </c>
      <c r="AD2492">
        <v>0</v>
      </c>
      <c r="AE2492">
        <v>9</v>
      </c>
      <c r="AF2492" t="s">
        <v>138</v>
      </c>
      <c r="AG2492">
        <v>0</v>
      </c>
      <c r="AH2492">
        <v>3</v>
      </c>
      <c r="AI2492">
        <v>1</v>
      </c>
      <c r="AJ2492">
        <v>0</v>
      </c>
      <c r="AK2492" t="s">
        <v>856</v>
      </c>
      <c r="AL2492">
        <v>32.754815000000001</v>
      </c>
      <c r="AM2492" t="s">
        <v>857</v>
      </c>
      <c r="AN2492">
        <v>-116.78408899999999</v>
      </c>
      <c r="AO2492">
        <v>25</v>
      </c>
      <c r="AP2492">
        <v>3300</v>
      </c>
      <c r="AQ2492" t="s">
        <v>129</v>
      </c>
      <c r="AR2492">
        <v>113</v>
      </c>
      <c r="AS2492">
        <v>-69</v>
      </c>
      <c r="AT2492">
        <v>256</v>
      </c>
      <c r="BB2492">
        <v>1200</v>
      </c>
      <c r="BC2492">
        <v>1</v>
      </c>
      <c r="BD2492" t="str">
        <f t="shared" si="878"/>
        <v xml:space="preserve">N887QR  </v>
      </c>
      <c r="BE2492">
        <v>1</v>
      </c>
      <c r="BJ2492">
        <v>3000</v>
      </c>
      <c r="BK2492">
        <v>-300</v>
      </c>
      <c r="BL2492" t="s">
        <v>163</v>
      </c>
      <c r="BM2492">
        <v>1</v>
      </c>
      <c r="BN2492">
        <v>1</v>
      </c>
      <c r="BO2492">
        <v>1</v>
      </c>
      <c r="BP2492">
        <v>0</v>
      </c>
      <c r="BS2492">
        <v>0</v>
      </c>
      <c r="BT2492">
        <v>0</v>
      </c>
      <c r="BU2492">
        <v>0</v>
      </c>
      <c r="CE2492" t="str">
        <f t="shared" si="896"/>
        <v>19:32:13.739</v>
      </c>
      <c r="CF2492">
        <v>739247954</v>
      </c>
      <c r="CS2492">
        <v>0</v>
      </c>
      <c r="CT2492">
        <v>2</v>
      </c>
      <c r="CU2492">
        <v>0</v>
      </c>
      <c r="CV2492">
        <v>2</v>
      </c>
      <c r="CW2492">
        <v>0</v>
      </c>
      <c r="CX2492">
        <v>5</v>
      </c>
      <c r="CY2492">
        <v>7</v>
      </c>
      <c r="CZ2492" t="s">
        <v>131</v>
      </c>
      <c r="DA2492">
        <v>300</v>
      </c>
      <c r="DB2492">
        <v>0</v>
      </c>
      <c r="DC2492" t="s">
        <v>176</v>
      </c>
      <c r="DD2492" t="s">
        <v>177</v>
      </c>
      <c r="DG2492">
        <v>5413743</v>
      </c>
      <c r="DI2492">
        <v>1</v>
      </c>
      <c r="DJ2492">
        <v>0</v>
      </c>
      <c r="DK2492">
        <v>1</v>
      </c>
      <c r="DL2492">
        <v>0</v>
      </c>
      <c r="DM2492">
        <v>0</v>
      </c>
      <c r="DN2492">
        <v>1</v>
      </c>
      <c r="DO2492">
        <v>0</v>
      </c>
      <c r="DP2492">
        <v>0</v>
      </c>
      <c r="DQ2492">
        <v>0</v>
      </c>
      <c r="DR2492">
        <v>0</v>
      </c>
      <c r="DS2492">
        <v>0</v>
      </c>
    </row>
    <row r="2493" spans="1:123" x14ac:dyDescent="0.3">
      <c r="A2493" t="str">
        <f t="shared" ref="A2493:A2499" si="897">"10/04/2022 19:32:15.058"</f>
        <v>10/04/2022 19:32:15.058</v>
      </c>
      <c r="C2493" t="str">
        <f t="shared" si="890"/>
        <v>FFDDD3C0</v>
      </c>
      <c r="D2493" t="s">
        <v>134</v>
      </c>
      <c r="E2493">
        <v>15</v>
      </c>
      <c r="J2493" t="s">
        <v>135</v>
      </c>
      <c r="K2493">
        <v>0</v>
      </c>
      <c r="L2493">
        <v>3</v>
      </c>
      <c r="M2493">
        <v>0</v>
      </c>
      <c r="N2493">
        <v>2</v>
      </c>
      <c r="O2493">
        <v>0</v>
      </c>
      <c r="P2493">
        <v>1</v>
      </c>
      <c r="Q2493">
        <v>0</v>
      </c>
      <c r="S2493" t="str">
        <f t="shared" ref="S2493:T2499" si="898">"19:32:14.000"</f>
        <v>19:32:14.000</v>
      </c>
      <c r="T2493" t="str">
        <f t="shared" si="898"/>
        <v>19:32:14.000</v>
      </c>
      <c r="U2493" t="str">
        <f t="shared" si="877"/>
        <v>AC3944</v>
      </c>
      <c r="V2493">
        <v>0</v>
      </c>
      <c r="W2493">
        <v>0</v>
      </c>
      <c r="X2493">
        <v>2</v>
      </c>
      <c r="Y2493">
        <v>0</v>
      </c>
      <c r="AA2493">
        <v>1</v>
      </c>
      <c r="AB2493">
        <v>8</v>
      </c>
      <c r="AC2493">
        <v>3</v>
      </c>
      <c r="AD2493">
        <v>0</v>
      </c>
      <c r="AE2493">
        <v>9</v>
      </c>
      <c r="AF2493" t="s">
        <v>138</v>
      </c>
      <c r="AG2493">
        <v>0</v>
      </c>
      <c r="AH2493">
        <v>3</v>
      </c>
      <c r="AI2493">
        <v>1</v>
      </c>
      <c r="AJ2493">
        <v>0</v>
      </c>
      <c r="AK2493" t="s">
        <v>858</v>
      </c>
      <c r="AL2493">
        <v>32.754556999999998</v>
      </c>
      <c r="AM2493" t="s">
        <v>859</v>
      </c>
      <c r="AN2493">
        <v>-116.78359500000001</v>
      </c>
      <c r="AO2493">
        <v>25</v>
      </c>
      <c r="AP2493">
        <v>3300</v>
      </c>
      <c r="AQ2493" t="s">
        <v>129</v>
      </c>
      <c r="AR2493">
        <v>114</v>
      </c>
      <c r="AS2493">
        <v>-71</v>
      </c>
      <c r="AT2493">
        <v>0</v>
      </c>
      <c r="BB2493">
        <v>1200</v>
      </c>
      <c r="BC2493">
        <v>1</v>
      </c>
      <c r="BD2493" t="str">
        <f t="shared" si="878"/>
        <v xml:space="preserve">N887QR  </v>
      </c>
      <c r="BE2493">
        <v>1</v>
      </c>
      <c r="BJ2493">
        <v>2975</v>
      </c>
      <c r="BK2493">
        <v>-325</v>
      </c>
      <c r="BL2493" t="s">
        <v>163</v>
      </c>
      <c r="BM2493">
        <v>1</v>
      </c>
      <c r="BN2493">
        <v>1</v>
      </c>
      <c r="BO2493">
        <v>1</v>
      </c>
      <c r="BP2493">
        <v>0</v>
      </c>
      <c r="BS2493">
        <v>0</v>
      </c>
      <c r="BT2493">
        <v>0</v>
      </c>
      <c r="BU2493">
        <v>0</v>
      </c>
      <c r="CE2493" t="str">
        <f t="shared" ref="CE2493:CE2499" si="899">"19:32:14.830"</f>
        <v>19:32:14.830</v>
      </c>
      <c r="CF2493">
        <v>829501622</v>
      </c>
      <c r="CS2493">
        <v>0</v>
      </c>
      <c r="CT2493">
        <v>2</v>
      </c>
      <c r="CU2493">
        <v>0</v>
      </c>
      <c r="CV2493">
        <v>2</v>
      </c>
      <c r="CW2493">
        <v>0</v>
      </c>
      <c r="CX2493">
        <v>5</v>
      </c>
      <c r="CY2493">
        <v>7</v>
      </c>
      <c r="CZ2493" t="s">
        <v>131</v>
      </c>
      <c r="DA2493">
        <v>300</v>
      </c>
      <c r="DB2493">
        <v>0</v>
      </c>
      <c r="DC2493" t="s">
        <v>176</v>
      </c>
      <c r="DD2493" t="s">
        <v>177</v>
      </c>
      <c r="DG2493">
        <v>5413935</v>
      </c>
      <c r="DI2493">
        <v>1</v>
      </c>
      <c r="DJ2493">
        <v>0</v>
      </c>
      <c r="DK2493">
        <v>0</v>
      </c>
      <c r="DL2493">
        <v>0</v>
      </c>
      <c r="DM2493">
        <v>0</v>
      </c>
      <c r="DN2493">
        <v>1</v>
      </c>
      <c r="DO2493">
        <v>0</v>
      </c>
      <c r="DP2493">
        <v>0</v>
      </c>
      <c r="DQ2493">
        <v>0</v>
      </c>
      <c r="DR2493">
        <v>0</v>
      </c>
      <c r="DS2493">
        <v>0</v>
      </c>
    </row>
    <row r="2494" spans="1:123" x14ac:dyDescent="0.3">
      <c r="A2494" t="str">
        <f t="shared" si="897"/>
        <v>10/04/2022 19:32:15.058</v>
      </c>
      <c r="C2494" t="str">
        <f t="shared" si="890"/>
        <v>FFDDD3C0</v>
      </c>
      <c r="D2494" t="s">
        <v>147</v>
      </c>
      <c r="E2494">
        <v>3</v>
      </c>
      <c r="H2494">
        <v>166</v>
      </c>
      <c r="I2494" t="s">
        <v>144</v>
      </c>
      <c r="J2494" t="s">
        <v>148</v>
      </c>
      <c r="K2494">
        <v>0</v>
      </c>
      <c r="L2494">
        <v>3</v>
      </c>
      <c r="M2494">
        <v>0</v>
      </c>
      <c r="N2494">
        <v>2</v>
      </c>
      <c r="O2494">
        <v>0</v>
      </c>
      <c r="P2494">
        <v>1</v>
      </c>
      <c r="Q2494">
        <v>0</v>
      </c>
      <c r="S2494" t="str">
        <f t="shared" si="898"/>
        <v>19:32:14.000</v>
      </c>
      <c r="T2494" t="str">
        <f t="shared" si="898"/>
        <v>19:32:14.000</v>
      </c>
      <c r="U2494" t="str">
        <f t="shared" si="877"/>
        <v>AC3944</v>
      </c>
      <c r="V2494">
        <v>0</v>
      </c>
      <c r="W2494">
        <v>0</v>
      </c>
      <c r="X2494">
        <v>2</v>
      </c>
      <c r="Y2494">
        <v>0</v>
      </c>
      <c r="AA2494">
        <v>1</v>
      </c>
      <c r="AB2494">
        <v>8</v>
      </c>
      <c r="AC2494">
        <v>3</v>
      </c>
      <c r="AD2494">
        <v>0</v>
      </c>
      <c r="AE2494">
        <v>9</v>
      </c>
      <c r="AF2494" t="s">
        <v>138</v>
      </c>
      <c r="AG2494">
        <v>0</v>
      </c>
      <c r="AH2494">
        <v>3</v>
      </c>
      <c r="AI2494">
        <v>1</v>
      </c>
      <c r="AJ2494">
        <v>0</v>
      </c>
      <c r="AK2494" t="s">
        <v>858</v>
      </c>
      <c r="AL2494">
        <v>32.754556999999998</v>
      </c>
      <c r="AM2494" t="s">
        <v>859</v>
      </c>
      <c r="AN2494">
        <v>-116.78359500000001</v>
      </c>
      <c r="AO2494">
        <v>25</v>
      </c>
      <c r="AP2494">
        <v>3300</v>
      </c>
      <c r="AQ2494" t="s">
        <v>129</v>
      </c>
      <c r="AR2494">
        <v>114</v>
      </c>
      <c r="AS2494">
        <v>-71</v>
      </c>
      <c r="AT2494">
        <v>0</v>
      </c>
      <c r="BB2494">
        <v>1200</v>
      </c>
      <c r="BC2494">
        <v>1</v>
      </c>
      <c r="BD2494" t="str">
        <f t="shared" si="878"/>
        <v xml:space="preserve">N887QR  </v>
      </c>
      <c r="BE2494">
        <v>1</v>
      </c>
      <c r="BJ2494">
        <v>2975</v>
      </c>
      <c r="BK2494">
        <v>-325</v>
      </c>
      <c r="BL2494" t="s">
        <v>163</v>
      </c>
      <c r="BM2494">
        <v>1</v>
      </c>
      <c r="BN2494">
        <v>1</v>
      </c>
      <c r="BO2494">
        <v>1</v>
      </c>
      <c r="BP2494">
        <v>0</v>
      </c>
      <c r="BS2494">
        <v>0</v>
      </c>
      <c r="BT2494">
        <v>0</v>
      </c>
      <c r="BU2494">
        <v>0</v>
      </c>
      <c r="CE2494" t="str">
        <f t="shared" si="899"/>
        <v>19:32:14.830</v>
      </c>
      <c r="CF2494">
        <v>829501622</v>
      </c>
      <c r="CS2494">
        <v>0</v>
      </c>
      <c r="CT2494">
        <v>2</v>
      </c>
      <c r="CU2494">
        <v>0</v>
      </c>
      <c r="CV2494">
        <v>2</v>
      </c>
      <c r="CW2494">
        <v>0</v>
      </c>
      <c r="CX2494">
        <v>5</v>
      </c>
      <c r="CY2494">
        <v>7</v>
      </c>
      <c r="CZ2494" t="s">
        <v>131</v>
      </c>
      <c r="DA2494">
        <v>300</v>
      </c>
      <c r="DB2494">
        <v>0</v>
      </c>
      <c r="DC2494" t="s">
        <v>176</v>
      </c>
      <c r="DD2494" t="s">
        <v>177</v>
      </c>
      <c r="DG2494">
        <v>5413935</v>
      </c>
      <c r="DI2494">
        <v>1</v>
      </c>
      <c r="DJ2494">
        <v>0</v>
      </c>
      <c r="DK2494">
        <v>1</v>
      </c>
      <c r="DL2494">
        <v>0</v>
      </c>
      <c r="DM2494">
        <v>0</v>
      </c>
      <c r="DN2494">
        <v>1</v>
      </c>
      <c r="DO2494">
        <v>0</v>
      </c>
      <c r="DP2494">
        <v>0</v>
      </c>
      <c r="DQ2494">
        <v>0</v>
      </c>
      <c r="DR2494">
        <v>0</v>
      </c>
      <c r="DS2494">
        <v>0</v>
      </c>
    </row>
    <row r="2495" spans="1:123" x14ac:dyDescent="0.3">
      <c r="A2495" t="str">
        <f t="shared" si="897"/>
        <v>10/04/2022 19:32:15.058</v>
      </c>
      <c r="C2495" t="str">
        <f t="shared" si="890"/>
        <v>FFDDD3C0</v>
      </c>
      <c r="D2495" t="s">
        <v>136</v>
      </c>
      <c r="E2495">
        <v>8</v>
      </c>
      <c r="H2495">
        <v>225</v>
      </c>
      <c r="I2495" t="s">
        <v>137</v>
      </c>
      <c r="J2495" t="s">
        <v>138</v>
      </c>
      <c r="K2495">
        <v>0</v>
      </c>
      <c r="L2495">
        <v>3</v>
      </c>
      <c r="M2495">
        <v>0</v>
      </c>
      <c r="N2495">
        <v>2</v>
      </c>
      <c r="O2495">
        <v>0</v>
      </c>
      <c r="P2495">
        <v>1</v>
      </c>
      <c r="Q2495">
        <v>0</v>
      </c>
      <c r="S2495" t="str">
        <f t="shared" si="898"/>
        <v>19:32:14.000</v>
      </c>
      <c r="T2495" t="str">
        <f t="shared" si="898"/>
        <v>19:32:14.000</v>
      </c>
      <c r="U2495" t="str">
        <f t="shared" si="877"/>
        <v>AC3944</v>
      </c>
      <c r="V2495">
        <v>0</v>
      </c>
      <c r="W2495">
        <v>0</v>
      </c>
      <c r="X2495">
        <v>2</v>
      </c>
      <c r="Y2495">
        <v>0</v>
      </c>
      <c r="AA2495">
        <v>1</v>
      </c>
      <c r="AB2495">
        <v>8</v>
      </c>
      <c r="AC2495">
        <v>3</v>
      </c>
      <c r="AD2495">
        <v>0</v>
      </c>
      <c r="AE2495">
        <v>9</v>
      </c>
      <c r="AF2495" t="s">
        <v>138</v>
      </c>
      <c r="AG2495">
        <v>0</v>
      </c>
      <c r="AH2495">
        <v>3</v>
      </c>
      <c r="AI2495">
        <v>1</v>
      </c>
      <c r="AJ2495">
        <v>0</v>
      </c>
      <c r="AK2495" t="s">
        <v>858</v>
      </c>
      <c r="AL2495">
        <v>32.754556999999998</v>
      </c>
      <c r="AM2495" t="s">
        <v>859</v>
      </c>
      <c r="AN2495">
        <v>-116.78359500000001</v>
      </c>
      <c r="AO2495">
        <v>25</v>
      </c>
      <c r="AP2495">
        <v>3300</v>
      </c>
      <c r="AQ2495" t="s">
        <v>129</v>
      </c>
      <c r="AR2495">
        <v>114</v>
      </c>
      <c r="AS2495">
        <v>-71</v>
      </c>
      <c r="AT2495">
        <v>0</v>
      </c>
      <c r="BB2495">
        <v>1200</v>
      </c>
      <c r="BC2495">
        <v>1</v>
      </c>
      <c r="BD2495" t="str">
        <f t="shared" si="878"/>
        <v xml:space="preserve">N887QR  </v>
      </c>
      <c r="BE2495">
        <v>1</v>
      </c>
      <c r="BJ2495">
        <v>2975</v>
      </c>
      <c r="BK2495">
        <v>-325</v>
      </c>
      <c r="BL2495" t="s">
        <v>163</v>
      </c>
      <c r="BM2495">
        <v>1</v>
      </c>
      <c r="BN2495">
        <v>1</v>
      </c>
      <c r="BO2495">
        <v>1</v>
      </c>
      <c r="BP2495">
        <v>0</v>
      </c>
      <c r="BS2495">
        <v>0</v>
      </c>
      <c r="BT2495">
        <v>0</v>
      </c>
      <c r="BU2495">
        <v>0</v>
      </c>
      <c r="CE2495" t="str">
        <f t="shared" si="899"/>
        <v>19:32:14.830</v>
      </c>
      <c r="CF2495">
        <v>829501622</v>
      </c>
      <c r="CS2495">
        <v>0</v>
      </c>
      <c r="CT2495">
        <v>2</v>
      </c>
      <c r="CU2495">
        <v>0</v>
      </c>
      <c r="CV2495">
        <v>2</v>
      </c>
      <c r="CW2495">
        <v>0</v>
      </c>
      <c r="CX2495">
        <v>5</v>
      </c>
      <c r="CY2495">
        <v>7</v>
      </c>
      <c r="CZ2495" t="s">
        <v>131</v>
      </c>
      <c r="DA2495">
        <v>300</v>
      </c>
      <c r="DB2495">
        <v>0</v>
      </c>
      <c r="DC2495" t="s">
        <v>176</v>
      </c>
      <c r="DD2495" t="s">
        <v>177</v>
      </c>
      <c r="DG2495">
        <v>5413935</v>
      </c>
      <c r="DI2495">
        <v>1</v>
      </c>
      <c r="DJ2495">
        <v>0</v>
      </c>
      <c r="DK2495">
        <v>1</v>
      </c>
      <c r="DL2495">
        <v>0</v>
      </c>
      <c r="DM2495">
        <v>0</v>
      </c>
      <c r="DN2495">
        <v>1</v>
      </c>
      <c r="DO2495">
        <v>0</v>
      </c>
      <c r="DP2495">
        <v>0</v>
      </c>
      <c r="DQ2495">
        <v>0</v>
      </c>
      <c r="DR2495">
        <v>0</v>
      </c>
      <c r="DS2495">
        <v>0</v>
      </c>
    </row>
    <row r="2496" spans="1:123" x14ac:dyDescent="0.3">
      <c r="A2496" t="str">
        <f t="shared" si="897"/>
        <v>10/04/2022 19:32:15.058</v>
      </c>
      <c r="C2496" t="str">
        <f t="shared" si="890"/>
        <v>FFDDD3C0</v>
      </c>
      <c r="D2496" t="s">
        <v>141</v>
      </c>
      <c r="E2496">
        <v>3</v>
      </c>
      <c r="H2496">
        <v>3</v>
      </c>
      <c r="I2496" t="s">
        <v>146</v>
      </c>
      <c r="J2496" t="s">
        <v>138</v>
      </c>
      <c r="K2496">
        <v>0</v>
      </c>
      <c r="L2496">
        <v>3</v>
      </c>
      <c r="M2496">
        <v>0</v>
      </c>
      <c r="N2496">
        <v>2</v>
      </c>
      <c r="O2496">
        <v>0</v>
      </c>
      <c r="P2496">
        <v>1</v>
      </c>
      <c r="Q2496">
        <v>0</v>
      </c>
      <c r="S2496" t="str">
        <f t="shared" si="898"/>
        <v>19:32:14.000</v>
      </c>
      <c r="T2496" t="str">
        <f t="shared" si="898"/>
        <v>19:32:14.000</v>
      </c>
      <c r="U2496" t="str">
        <f t="shared" si="877"/>
        <v>AC3944</v>
      </c>
      <c r="V2496">
        <v>0</v>
      </c>
      <c r="W2496">
        <v>0</v>
      </c>
      <c r="X2496">
        <v>2</v>
      </c>
      <c r="Y2496">
        <v>0</v>
      </c>
      <c r="AA2496">
        <v>1</v>
      </c>
      <c r="AB2496">
        <v>8</v>
      </c>
      <c r="AC2496">
        <v>3</v>
      </c>
      <c r="AD2496">
        <v>0</v>
      </c>
      <c r="AE2496">
        <v>9</v>
      </c>
      <c r="AF2496" t="s">
        <v>138</v>
      </c>
      <c r="AG2496">
        <v>0</v>
      </c>
      <c r="AH2496">
        <v>3</v>
      </c>
      <c r="AI2496">
        <v>1</v>
      </c>
      <c r="AJ2496">
        <v>0</v>
      </c>
      <c r="AK2496" t="s">
        <v>858</v>
      </c>
      <c r="AL2496">
        <v>32.754556999999998</v>
      </c>
      <c r="AM2496" t="s">
        <v>859</v>
      </c>
      <c r="AN2496">
        <v>-116.78359500000001</v>
      </c>
      <c r="AO2496">
        <v>25</v>
      </c>
      <c r="AP2496">
        <v>3300</v>
      </c>
      <c r="AQ2496" t="s">
        <v>129</v>
      </c>
      <c r="AR2496">
        <v>114</v>
      </c>
      <c r="AS2496">
        <v>-71</v>
      </c>
      <c r="AT2496">
        <v>0</v>
      </c>
      <c r="BB2496">
        <v>1200</v>
      </c>
      <c r="BC2496">
        <v>1</v>
      </c>
      <c r="BD2496" t="str">
        <f t="shared" si="878"/>
        <v xml:space="preserve">N887QR  </v>
      </c>
      <c r="BE2496">
        <v>1</v>
      </c>
      <c r="BJ2496">
        <v>2975</v>
      </c>
      <c r="BK2496">
        <v>-325</v>
      </c>
      <c r="BL2496" t="s">
        <v>163</v>
      </c>
      <c r="BM2496">
        <v>1</v>
      </c>
      <c r="BN2496">
        <v>1</v>
      </c>
      <c r="BO2496">
        <v>1</v>
      </c>
      <c r="BP2496">
        <v>0</v>
      </c>
      <c r="BS2496">
        <v>0</v>
      </c>
      <c r="BT2496">
        <v>0</v>
      </c>
      <c r="BU2496">
        <v>0</v>
      </c>
      <c r="CE2496" t="str">
        <f t="shared" si="899"/>
        <v>19:32:14.830</v>
      </c>
      <c r="CF2496">
        <v>829501622</v>
      </c>
      <c r="CS2496">
        <v>0</v>
      </c>
      <c r="CT2496">
        <v>2</v>
      </c>
      <c r="CU2496">
        <v>0</v>
      </c>
      <c r="CV2496">
        <v>2</v>
      </c>
      <c r="CW2496">
        <v>0</v>
      </c>
      <c r="CX2496">
        <v>5</v>
      </c>
      <c r="CY2496">
        <v>7</v>
      </c>
      <c r="CZ2496" t="s">
        <v>131</v>
      </c>
      <c r="DA2496">
        <v>300</v>
      </c>
      <c r="DB2496">
        <v>0</v>
      </c>
      <c r="DC2496" t="s">
        <v>176</v>
      </c>
      <c r="DD2496" t="s">
        <v>177</v>
      </c>
      <c r="DG2496">
        <v>5413935</v>
      </c>
      <c r="DI2496">
        <v>1</v>
      </c>
      <c r="DJ2496">
        <v>0</v>
      </c>
      <c r="DK2496">
        <v>1</v>
      </c>
      <c r="DL2496">
        <v>0</v>
      </c>
      <c r="DM2496">
        <v>0</v>
      </c>
      <c r="DN2496">
        <v>1</v>
      </c>
      <c r="DO2496">
        <v>0</v>
      </c>
      <c r="DP2496">
        <v>0</v>
      </c>
      <c r="DQ2496">
        <v>0</v>
      </c>
      <c r="DR2496">
        <v>0</v>
      </c>
      <c r="DS2496">
        <v>0</v>
      </c>
    </row>
    <row r="2497" spans="1:123" x14ac:dyDescent="0.3">
      <c r="A2497" t="str">
        <f t="shared" si="897"/>
        <v>10/04/2022 19:32:15.058</v>
      </c>
      <c r="C2497" t="str">
        <f t="shared" si="890"/>
        <v>FFDDD3C0</v>
      </c>
      <c r="D2497" t="s">
        <v>143</v>
      </c>
      <c r="E2497">
        <v>20</v>
      </c>
      <c r="F2497">
        <v>1020</v>
      </c>
      <c r="G2497" t="s">
        <v>144</v>
      </c>
      <c r="J2497" t="s">
        <v>145</v>
      </c>
      <c r="K2497">
        <v>0</v>
      </c>
      <c r="L2497">
        <v>3</v>
      </c>
      <c r="M2497">
        <v>0</v>
      </c>
      <c r="N2497">
        <v>2</v>
      </c>
      <c r="O2497">
        <v>0</v>
      </c>
      <c r="P2497">
        <v>1</v>
      </c>
      <c r="Q2497">
        <v>0</v>
      </c>
      <c r="S2497" t="str">
        <f t="shared" si="898"/>
        <v>19:32:14.000</v>
      </c>
      <c r="T2497" t="str">
        <f t="shared" si="898"/>
        <v>19:32:14.000</v>
      </c>
      <c r="U2497" t="str">
        <f t="shared" si="877"/>
        <v>AC3944</v>
      </c>
      <c r="V2497">
        <v>0</v>
      </c>
      <c r="W2497">
        <v>0</v>
      </c>
      <c r="X2497">
        <v>2</v>
      </c>
      <c r="Y2497">
        <v>0</v>
      </c>
      <c r="AA2497">
        <v>1</v>
      </c>
      <c r="AB2497">
        <v>8</v>
      </c>
      <c r="AC2497">
        <v>3</v>
      </c>
      <c r="AD2497">
        <v>0</v>
      </c>
      <c r="AE2497">
        <v>9</v>
      </c>
      <c r="AF2497" t="s">
        <v>138</v>
      </c>
      <c r="AG2497">
        <v>0</v>
      </c>
      <c r="AH2497">
        <v>3</v>
      </c>
      <c r="AI2497">
        <v>1</v>
      </c>
      <c r="AJ2497">
        <v>0</v>
      </c>
      <c r="AK2497" t="s">
        <v>858</v>
      </c>
      <c r="AL2497">
        <v>32.754556999999998</v>
      </c>
      <c r="AM2497" t="s">
        <v>859</v>
      </c>
      <c r="AN2497">
        <v>-116.78359500000001</v>
      </c>
      <c r="AO2497">
        <v>25</v>
      </c>
      <c r="AP2497">
        <v>3300</v>
      </c>
      <c r="AQ2497" t="s">
        <v>129</v>
      </c>
      <c r="AR2497">
        <v>114</v>
      </c>
      <c r="AS2497">
        <v>-71</v>
      </c>
      <c r="AT2497">
        <v>0</v>
      </c>
      <c r="BB2497">
        <v>1200</v>
      </c>
      <c r="BC2497">
        <v>1</v>
      </c>
      <c r="BD2497" t="str">
        <f t="shared" si="878"/>
        <v xml:space="preserve">N887QR  </v>
      </c>
      <c r="BE2497">
        <v>1</v>
      </c>
      <c r="BJ2497">
        <v>2975</v>
      </c>
      <c r="BK2497">
        <v>-325</v>
      </c>
      <c r="BL2497" t="s">
        <v>163</v>
      </c>
      <c r="BM2497">
        <v>1</v>
      </c>
      <c r="BN2497">
        <v>1</v>
      </c>
      <c r="BO2497">
        <v>1</v>
      </c>
      <c r="BP2497">
        <v>0</v>
      </c>
      <c r="BS2497">
        <v>0</v>
      </c>
      <c r="BT2497">
        <v>0</v>
      </c>
      <c r="BU2497">
        <v>0</v>
      </c>
      <c r="CE2497" t="str">
        <f t="shared" si="899"/>
        <v>19:32:14.830</v>
      </c>
      <c r="CF2497">
        <v>829501622</v>
      </c>
      <c r="CS2497">
        <v>0</v>
      </c>
      <c r="CT2497">
        <v>2</v>
      </c>
      <c r="CU2497">
        <v>0</v>
      </c>
      <c r="CV2497">
        <v>2</v>
      </c>
      <c r="CW2497">
        <v>0</v>
      </c>
      <c r="CX2497">
        <v>5</v>
      </c>
      <c r="CY2497">
        <v>7</v>
      </c>
      <c r="CZ2497" t="s">
        <v>131</v>
      </c>
      <c r="DA2497">
        <v>300</v>
      </c>
      <c r="DB2497">
        <v>0</v>
      </c>
      <c r="DC2497" t="s">
        <v>176</v>
      </c>
      <c r="DD2497" t="s">
        <v>177</v>
      </c>
      <c r="DG2497">
        <v>5413935</v>
      </c>
      <c r="DI2497">
        <v>1</v>
      </c>
      <c r="DJ2497">
        <v>0</v>
      </c>
      <c r="DK2497">
        <v>1</v>
      </c>
      <c r="DL2497">
        <v>0</v>
      </c>
      <c r="DM2497">
        <v>0</v>
      </c>
      <c r="DN2497">
        <v>1</v>
      </c>
      <c r="DO2497">
        <v>0</v>
      </c>
      <c r="DP2497">
        <v>0</v>
      </c>
      <c r="DQ2497">
        <v>0</v>
      </c>
      <c r="DR2497">
        <v>0</v>
      </c>
      <c r="DS2497">
        <v>0</v>
      </c>
    </row>
    <row r="2498" spans="1:123" x14ac:dyDescent="0.3">
      <c r="A2498" t="str">
        <f t="shared" si="897"/>
        <v>10/04/2022 19:32:15.058</v>
      </c>
      <c r="C2498" t="str">
        <f t="shared" si="890"/>
        <v>FFDDD3C0</v>
      </c>
      <c r="D2498" t="s">
        <v>123</v>
      </c>
      <c r="E2498">
        <v>7</v>
      </c>
      <c r="F2498">
        <v>2007</v>
      </c>
      <c r="G2498" t="s">
        <v>124</v>
      </c>
      <c r="J2498" t="s">
        <v>125</v>
      </c>
      <c r="K2498">
        <v>0</v>
      </c>
      <c r="L2498">
        <v>3</v>
      </c>
      <c r="M2498">
        <v>0</v>
      </c>
      <c r="N2498">
        <v>2</v>
      </c>
      <c r="O2498">
        <v>0</v>
      </c>
      <c r="P2498">
        <v>1</v>
      </c>
      <c r="Q2498">
        <v>0</v>
      </c>
      <c r="S2498" t="str">
        <f t="shared" si="898"/>
        <v>19:32:14.000</v>
      </c>
      <c r="T2498" t="str">
        <f t="shared" si="898"/>
        <v>19:32:14.000</v>
      </c>
      <c r="U2498" t="str">
        <f t="shared" ref="U2498:U2561" si="900">"AC3944"</f>
        <v>AC3944</v>
      </c>
      <c r="V2498">
        <v>0</v>
      </c>
      <c r="W2498">
        <v>0</v>
      </c>
      <c r="X2498">
        <v>2</v>
      </c>
      <c r="Y2498">
        <v>0</v>
      </c>
      <c r="AA2498">
        <v>1</v>
      </c>
      <c r="AB2498">
        <v>8</v>
      </c>
      <c r="AC2498">
        <v>3</v>
      </c>
      <c r="AD2498">
        <v>0</v>
      </c>
      <c r="AE2498">
        <v>9</v>
      </c>
      <c r="AF2498" t="s">
        <v>138</v>
      </c>
      <c r="AG2498">
        <v>0</v>
      </c>
      <c r="AH2498">
        <v>3</v>
      </c>
      <c r="AI2498">
        <v>1</v>
      </c>
      <c r="AJ2498">
        <v>0</v>
      </c>
      <c r="AK2498" t="s">
        <v>858</v>
      </c>
      <c r="AL2498">
        <v>32.754556999999998</v>
      </c>
      <c r="AM2498" t="s">
        <v>859</v>
      </c>
      <c r="AN2498">
        <v>-116.78359500000001</v>
      </c>
      <c r="AO2498">
        <v>25</v>
      </c>
      <c r="AP2498">
        <v>3300</v>
      </c>
      <c r="AQ2498" t="s">
        <v>129</v>
      </c>
      <c r="AR2498">
        <v>114</v>
      </c>
      <c r="AS2498">
        <v>-71</v>
      </c>
      <c r="AT2498">
        <v>0</v>
      </c>
      <c r="BB2498">
        <v>1200</v>
      </c>
      <c r="BC2498">
        <v>1</v>
      </c>
      <c r="BD2498" t="str">
        <f t="shared" ref="BD2498:BD2561" si="901">"N887QR  "</f>
        <v xml:space="preserve">N887QR  </v>
      </c>
      <c r="BE2498">
        <v>1</v>
      </c>
      <c r="BJ2498">
        <v>2975</v>
      </c>
      <c r="BK2498">
        <v>-325</v>
      </c>
      <c r="BL2498" t="s">
        <v>163</v>
      </c>
      <c r="BM2498">
        <v>1</v>
      </c>
      <c r="BN2498">
        <v>1</v>
      </c>
      <c r="BO2498">
        <v>1</v>
      </c>
      <c r="BP2498">
        <v>0</v>
      </c>
      <c r="BS2498">
        <v>0</v>
      </c>
      <c r="BT2498">
        <v>0</v>
      </c>
      <c r="BU2498">
        <v>0</v>
      </c>
      <c r="CE2498" t="str">
        <f t="shared" si="899"/>
        <v>19:32:14.830</v>
      </c>
      <c r="CF2498">
        <v>829501622</v>
      </c>
      <c r="CS2498">
        <v>0</v>
      </c>
      <c r="CT2498">
        <v>2</v>
      </c>
      <c r="CU2498">
        <v>0</v>
      </c>
      <c r="CV2498">
        <v>2</v>
      </c>
      <c r="CW2498">
        <v>0</v>
      </c>
      <c r="CX2498">
        <v>5</v>
      </c>
      <c r="CY2498">
        <v>7</v>
      </c>
      <c r="CZ2498" t="s">
        <v>131</v>
      </c>
      <c r="DA2498">
        <v>300</v>
      </c>
      <c r="DB2498">
        <v>0</v>
      </c>
      <c r="DC2498" t="s">
        <v>176</v>
      </c>
      <c r="DD2498" t="s">
        <v>177</v>
      </c>
      <c r="DG2498">
        <v>5413935</v>
      </c>
      <c r="DI2498">
        <v>1</v>
      </c>
      <c r="DJ2498">
        <v>0</v>
      </c>
      <c r="DK2498">
        <v>1</v>
      </c>
      <c r="DL2498">
        <v>0</v>
      </c>
      <c r="DM2498">
        <v>0</v>
      </c>
      <c r="DN2498">
        <v>1</v>
      </c>
      <c r="DO2498">
        <v>0</v>
      </c>
      <c r="DP2498">
        <v>0</v>
      </c>
      <c r="DQ2498">
        <v>0</v>
      </c>
      <c r="DR2498">
        <v>0</v>
      </c>
      <c r="DS2498">
        <v>0</v>
      </c>
    </row>
    <row r="2499" spans="1:123" x14ac:dyDescent="0.3">
      <c r="A2499" t="str">
        <f t="shared" si="897"/>
        <v>10/04/2022 19:32:15.058</v>
      </c>
      <c r="C2499" t="str">
        <f t="shared" si="890"/>
        <v>FFDDD3C0</v>
      </c>
      <c r="D2499" t="s">
        <v>141</v>
      </c>
      <c r="E2499">
        <v>4</v>
      </c>
      <c r="H2499">
        <v>4</v>
      </c>
      <c r="I2499" t="s">
        <v>142</v>
      </c>
      <c r="J2499" t="s">
        <v>138</v>
      </c>
      <c r="K2499">
        <v>0</v>
      </c>
      <c r="L2499">
        <v>3</v>
      </c>
      <c r="M2499">
        <v>0</v>
      </c>
      <c r="N2499">
        <v>2</v>
      </c>
      <c r="O2499">
        <v>0</v>
      </c>
      <c r="P2499">
        <v>1</v>
      </c>
      <c r="Q2499">
        <v>0</v>
      </c>
      <c r="S2499" t="str">
        <f t="shared" si="898"/>
        <v>19:32:14.000</v>
      </c>
      <c r="T2499" t="str">
        <f t="shared" si="898"/>
        <v>19:32:14.000</v>
      </c>
      <c r="U2499" t="str">
        <f t="shared" si="900"/>
        <v>AC3944</v>
      </c>
      <c r="V2499">
        <v>0</v>
      </c>
      <c r="W2499">
        <v>0</v>
      </c>
      <c r="X2499">
        <v>2</v>
      </c>
      <c r="Y2499">
        <v>0</v>
      </c>
      <c r="AA2499">
        <v>1</v>
      </c>
      <c r="AB2499">
        <v>8</v>
      </c>
      <c r="AC2499">
        <v>3</v>
      </c>
      <c r="AD2499">
        <v>0</v>
      </c>
      <c r="AE2499">
        <v>9</v>
      </c>
      <c r="AF2499" t="s">
        <v>138</v>
      </c>
      <c r="AG2499">
        <v>0</v>
      </c>
      <c r="AH2499">
        <v>3</v>
      </c>
      <c r="AI2499">
        <v>1</v>
      </c>
      <c r="AJ2499">
        <v>0</v>
      </c>
      <c r="AK2499" t="s">
        <v>858</v>
      </c>
      <c r="AL2499">
        <v>32.754556999999998</v>
      </c>
      <c r="AM2499" t="s">
        <v>859</v>
      </c>
      <c r="AN2499">
        <v>-116.78359500000001</v>
      </c>
      <c r="AO2499">
        <v>25</v>
      </c>
      <c r="AP2499">
        <v>3300</v>
      </c>
      <c r="AQ2499" t="s">
        <v>129</v>
      </c>
      <c r="AR2499">
        <v>114</v>
      </c>
      <c r="AS2499">
        <v>-71</v>
      </c>
      <c r="AT2499">
        <v>0</v>
      </c>
      <c r="BB2499">
        <v>1200</v>
      </c>
      <c r="BC2499">
        <v>1</v>
      </c>
      <c r="BD2499" t="str">
        <f t="shared" si="901"/>
        <v xml:space="preserve">N887QR  </v>
      </c>
      <c r="BE2499">
        <v>1</v>
      </c>
      <c r="BJ2499">
        <v>2975</v>
      </c>
      <c r="BK2499">
        <v>-325</v>
      </c>
      <c r="BL2499" t="s">
        <v>163</v>
      </c>
      <c r="BM2499">
        <v>1</v>
      </c>
      <c r="BN2499">
        <v>1</v>
      </c>
      <c r="BO2499">
        <v>1</v>
      </c>
      <c r="BP2499">
        <v>0</v>
      </c>
      <c r="BS2499">
        <v>0</v>
      </c>
      <c r="BT2499">
        <v>0</v>
      </c>
      <c r="BU2499">
        <v>0</v>
      </c>
      <c r="CE2499" t="str">
        <f t="shared" si="899"/>
        <v>19:32:14.830</v>
      </c>
      <c r="CF2499">
        <v>829501622</v>
      </c>
      <c r="CS2499">
        <v>0</v>
      </c>
      <c r="CT2499">
        <v>2</v>
      </c>
      <c r="CU2499">
        <v>0</v>
      </c>
      <c r="CV2499">
        <v>2</v>
      </c>
      <c r="CW2499">
        <v>0</v>
      </c>
      <c r="CX2499">
        <v>5</v>
      </c>
      <c r="CY2499">
        <v>7</v>
      </c>
      <c r="CZ2499" t="s">
        <v>131</v>
      </c>
      <c r="DA2499">
        <v>300</v>
      </c>
      <c r="DB2499">
        <v>0</v>
      </c>
      <c r="DC2499" t="s">
        <v>176</v>
      </c>
      <c r="DD2499" t="s">
        <v>177</v>
      </c>
      <c r="DG2499">
        <v>5413935</v>
      </c>
      <c r="DI2499">
        <v>1</v>
      </c>
      <c r="DJ2499">
        <v>0</v>
      </c>
      <c r="DK2499">
        <v>1</v>
      </c>
      <c r="DL2499">
        <v>0</v>
      </c>
      <c r="DM2499">
        <v>0</v>
      </c>
      <c r="DN2499">
        <v>1</v>
      </c>
      <c r="DO2499">
        <v>0</v>
      </c>
      <c r="DP2499">
        <v>0</v>
      </c>
      <c r="DQ2499">
        <v>0</v>
      </c>
      <c r="DR2499">
        <v>0</v>
      </c>
      <c r="DS2499">
        <v>0</v>
      </c>
    </row>
    <row r="2500" spans="1:123" x14ac:dyDescent="0.3">
      <c r="A2500" t="str">
        <f>"10/04/2022 19:32:16.713"</f>
        <v>10/04/2022 19:32:16.713</v>
      </c>
      <c r="C2500" t="str">
        <f t="shared" si="890"/>
        <v>FFDDD3C0</v>
      </c>
      <c r="D2500" t="s">
        <v>147</v>
      </c>
      <c r="E2500">
        <v>3</v>
      </c>
      <c r="H2500">
        <v>166</v>
      </c>
      <c r="I2500" t="s">
        <v>144</v>
      </c>
      <c r="J2500" t="s">
        <v>148</v>
      </c>
      <c r="K2500">
        <v>0</v>
      </c>
      <c r="L2500">
        <v>3</v>
      </c>
      <c r="M2500">
        <v>0</v>
      </c>
      <c r="N2500">
        <v>2</v>
      </c>
      <c r="O2500">
        <v>0</v>
      </c>
      <c r="P2500">
        <v>1</v>
      </c>
      <c r="Q2500">
        <v>0</v>
      </c>
      <c r="S2500" t="str">
        <f t="shared" ref="S2500:T2513" si="902">"19:32:16.000"</f>
        <v>19:32:16.000</v>
      </c>
      <c r="T2500" t="str">
        <f t="shared" si="902"/>
        <v>19:32:16.000</v>
      </c>
      <c r="U2500" t="str">
        <f t="shared" si="900"/>
        <v>AC3944</v>
      </c>
      <c r="V2500">
        <v>0</v>
      </c>
      <c r="W2500">
        <v>0</v>
      </c>
      <c r="X2500">
        <v>2</v>
      </c>
      <c r="Y2500">
        <v>0</v>
      </c>
      <c r="AA2500">
        <v>1</v>
      </c>
      <c r="AB2500">
        <v>8</v>
      </c>
      <c r="AC2500">
        <v>3</v>
      </c>
      <c r="AD2500">
        <v>0</v>
      </c>
      <c r="AE2500">
        <v>9</v>
      </c>
      <c r="AF2500" t="s">
        <v>138</v>
      </c>
      <c r="AG2500">
        <v>0</v>
      </c>
      <c r="AH2500">
        <v>3</v>
      </c>
      <c r="AI2500">
        <v>1</v>
      </c>
      <c r="AJ2500">
        <v>0</v>
      </c>
      <c r="AK2500" t="s">
        <v>860</v>
      </c>
      <c r="AL2500">
        <v>32.754235000000001</v>
      </c>
      <c r="AM2500" t="s">
        <v>861</v>
      </c>
      <c r="AN2500">
        <v>-116.782951</v>
      </c>
      <c r="AO2500">
        <v>25</v>
      </c>
      <c r="AP2500">
        <v>3200</v>
      </c>
      <c r="AQ2500" t="s">
        <v>129</v>
      </c>
      <c r="AR2500">
        <v>116</v>
      </c>
      <c r="AS2500">
        <v>-73</v>
      </c>
      <c r="AT2500">
        <v>-320</v>
      </c>
      <c r="BB2500">
        <v>1200</v>
      </c>
      <c r="BC2500">
        <v>1</v>
      </c>
      <c r="BD2500" t="str">
        <f t="shared" si="901"/>
        <v xml:space="preserve">N887QR  </v>
      </c>
      <c r="BE2500">
        <v>1</v>
      </c>
      <c r="BJ2500">
        <v>2975</v>
      </c>
      <c r="BK2500">
        <v>-225</v>
      </c>
      <c r="BL2500" t="s">
        <v>163</v>
      </c>
      <c r="BM2500">
        <v>1</v>
      </c>
      <c r="BN2500">
        <v>1</v>
      </c>
      <c r="BO2500">
        <v>1</v>
      </c>
      <c r="BP2500">
        <v>0</v>
      </c>
      <c r="BS2500">
        <v>0</v>
      </c>
      <c r="BT2500">
        <v>0</v>
      </c>
      <c r="BU2500">
        <v>0</v>
      </c>
      <c r="CE2500" t="str">
        <f t="shared" ref="CE2500:CE2506" si="903">"19:32:16.506"</f>
        <v>19:32:16.506</v>
      </c>
      <c r="CF2500">
        <v>505507347</v>
      </c>
      <c r="CS2500">
        <v>0</v>
      </c>
      <c r="CT2500">
        <v>2</v>
      </c>
      <c r="CU2500">
        <v>0</v>
      </c>
      <c r="CV2500">
        <v>2</v>
      </c>
      <c r="CW2500">
        <v>0</v>
      </c>
      <c r="CX2500">
        <v>5</v>
      </c>
      <c r="CY2500">
        <v>7</v>
      </c>
      <c r="CZ2500" t="s">
        <v>131</v>
      </c>
      <c r="DA2500">
        <v>300</v>
      </c>
      <c r="DB2500">
        <v>0</v>
      </c>
      <c r="DC2500" t="s">
        <v>176</v>
      </c>
      <c r="DD2500" t="s">
        <v>177</v>
      </c>
      <c r="DG2500">
        <v>5414198</v>
      </c>
      <c r="DI2500">
        <v>1</v>
      </c>
      <c r="DJ2500">
        <v>0</v>
      </c>
      <c r="DK2500">
        <v>0</v>
      </c>
      <c r="DL2500">
        <v>0</v>
      </c>
      <c r="DM2500">
        <v>0</v>
      </c>
      <c r="DN2500">
        <v>1</v>
      </c>
      <c r="DO2500">
        <v>0</v>
      </c>
      <c r="DP2500">
        <v>0</v>
      </c>
      <c r="DQ2500">
        <v>0</v>
      </c>
      <c r="DR2500">
        <v>0</v>
      </c>
      <c r="DS2500">
        <v>0</v>
      </c>
    </row>
    <row r="2501" spans="1:123" x14ac:dyDescent="0.3">
      <c r="A2501" t="str">
        <f>"10/04/2022 19:32:16.713"</f>
        <v>10/04/2022 19:32:16.713</v>
      </c>
      <c r="C2501" t="str">
        <f t="shared" si="890"/>
        <v>FFDDD3C0</v>
      </c>
      <c r="D2501" t="s">
        <v>134</v>
      </c>
      <c r="E2501">
        <v>15</v>
      </c>
      <c r="J2501" t="s">
        <v>135</v>
      </c>
      <c r="K2501">
        <v>0</v>
      </c>
      <c r="L2501">
        <v>3</v>
      </c>
      <c r="M2501">
        <v>0</v>
      </c>
      <c r="N2501">
        <v>2</v>
      </c>
      <c r="O2501">
        <v>0</v>
      </c>
      <c r="P2501">
        <v>1</v>
      </c>
      <c r="Q2501">
        <v>0</v>
      </c>
      <c r="S2501" t="str">
        <f t="shared" si="902"/>
        <v>19:32:16.000</v>
      </c>
      <c r="T2501" t="str">
        <f t="shared" si="902"/>
        <v>19:32:16.000</v>
      </c>
      <c r="U2501" t="str">
        <f t="shared" si="900"/>
        <v>AC3944</v>
      </c>
      <c r="V2501">
        <v>0</v>
      </c>
      <c r="W2501">
        <v>0</v>
      </c>
      <c r="X2501">
        <v>2</v>
      </c>
      <c r="Y2501">
        <v>0</v>
      </c>
      <c r="AA2501">
        <v>1</v>
      </c>
      <c r="AB2501">
        <v>8</v>
      </c>
      <c r="AC2501">
        <v>3</v>
      </c>
      <c r="AD2501">
        <v>0</v>
      </c>
      <c r="AE2501">
        <v>9</v>
      </c>
      <c r="AF2501" t="s">
        <v>138</v>
      </c>
      <c r="AG2501">
        <v>0</v>
      </c>
      <c r="AH2501">
        <v>3</v>
      </c>
      <c r="AI2501">
        <v>1</v>
      </c>
      <c r="AJ2501">
        <v>0</v>
      </c>
      <c r="AK2501" t="s">
        <v>860</v>
      </c>
      <c r="AL2501">
        <v>32.754235000000001</v>
      </c>
      <c r="AM2501" t="s">
        <v>861</v>
      </c>
      <c r="AN2501">
        <v>-116.782951</v>
      </c>
      <c r="AO2501">
        <v>25</v>
      </c>
      <c r="AP2501">
        <v>3200</v>
      </c>
      <c r="AQ2501" t="s">
        <v>129</v>
      </c>
      <c r="AR2501">
        <v>116</v>
      </c>
      <c r="AS2501">
        <v>-73</v>
      </c>
      <c r="AT2501">
        <v>-320</v>
      </c>
      <c r="BB2501">
        <v>1200</v>
      </c>
      <c r="BC2501">
        <v>1</v>
      </c>
      <c r="BD2501" t="str">
        <f t="shared" si="901"/>
        <v xml:space="preserve">N887QR  </v>
      </c>
      <c r="BE2501">
        <v>1</v>
      </c>
      <c r="BJ2501">
        <v>2975</v>
      </c>
      <c r="BK2501">
        <v>-225</v>
      </c>
      <c r="BL2501" t="s">
        <v>163</v>
      </c>
      <c r="BM2501">
        <v>1</v>
      </c>
      <c r="BN2501">
        <v>1</v>
      </c>
      <c r="BO2501">
        <v>1</v>
      </c>
      <c r="BP2501">
        <v>0</v>
      </c>
      <c r="BS2501">
        <v>0</v>
      </c>
      <c r="BT2501">
        <v>0</v>
      </c>
      <c r="BU2501">
        <v>0</v>
      </c>
      <c r="CE2501" t="str">
        <f t="shared" si="903"/>
        <v>19:32:16.506</v>
      </c>
      <c r="CF2501">
        <v>505507347</v>
      </c>
      <c r="CS2501">
        <v>0</v>
      </c>
      <c r="CT2501">
        <v>2</v>
      </c>
      <c r="CU2501">
        <v>0</v>
      </c>
      <c r="CV2501">
        <v>2</v>
      </c>
      <c r="CW2501">
        <v>0</v>
      </c>
      <c r="CX2501">
        <v>5</v>
      </c>
      <c r="CY2501">
        <v>7</v>
      </c>
      <c r="CZ2501" t="s">
        <v>131</v>
      </c>
      <c r="DA2501">
        <v>300</v>
      </c>
      <c r="DB2501">
        <v>0</v>
      </c>
      <c r="DC2501" t="s">
        <v>176</v>
      </c>
      <c r="DD2501" t="s">
        <v>177</v>
      </c>
      <c r="DG2501">
        <v>5414198</v>
      </c>
      <c r="DI2501">
        <v>1</v>
      </c>
      <c r="DJ2501">
        <v>0</v>
      </c>
      <c r="DK2501">
        <v>1</v>
      </c>
      <c r="DL2501">
        <v>0</v>
      </c>
      <c r="DM2501">
        <v>0</v>
      </c>
      <c r="DN2501">
        <v>1</v>
      </c>
      <c r="DO2501">
        <v>0</v>
      </c>
      <c r="DP2501">
        <v>0</v>
      </c>
      <c r="DQ2501">
        <v>0</v>
      </c>
      <c r="DR2501">
        <v>0</v>
      </c>
      <c r="DS2501">
        <v>0</v>
      </c>
    </row>
    <row r="2502" spans="1:123" x14ac:dyDescent="0.3">
      <c r="A2502" t="str">
        <f>"10/04/2022 19:32:16.776"</f>
        <v>10/04/2022 19:32:16.776</v>
      </c>
      <c r="C2502" t="str">
        <f t="shared" si="890"/>
        <v>FFDDD3C0</v>
      </c>
      <c r="D2502" t="s">
        <v>136</v>
      </c>
      <c r="E2502">
        <v>8</v>
      </c>
      <c r="H2502">
        <v>225</v>
      </c>
      <c r="I2502" t="s">
        <v>137</v>
      </c>
      <c r="J2502" t="s">
        <v>138</v>
      </c>
      <c r="K2502">
        <v>0</v>
      </c>
      <c r="L2502">
        <v>3</v>
      </c>
      <c r="M2502">
        <v>0</v>
      </c>
      <c r="N2502">
        <v>2</v>
      </c>
      <c r="O2502">
        <v>0</v>
      </c>
      <c r="P2502">
        <v>1</v>
      </c>
      <c r="Q2502">
        <v>0</v>
      </c>
      <c r="S2502" t="str">
        <f t="shared" si="902"/>
        <v>19:32:16.000</v>
      </c>
      <c r="T2502" t="str">
        <f t="shared" si="902"/>
        <v>19:32:16.000</v>
      </c>
      <c r="U2502" t="str">
        <f t="shared" si="900"/>
        <v>AC3944</v>
      </c>
      <c r="V2502">
        <v>0</v>
      </c>
      <c r="W2502">
        <v>0</v>
      </c>
      <c r="X2502">
        <v>2</v>
      </c>
      <c r="Y2502">
        <v>0</v>
      </c>
      <c r="AA2502">
        <v>1</v>
      </c>
      <c r="AB2502">
        <v>8</v>
      </c>
      <c r="AC2502">
        <v>3</v>
      </c>
      <c r="AD2502">
        <v>0</v>
      </c>
      <c r="AE2502">
        <v>9</v>
      </c>
      <c r="AF2502" t="s">
        <v>138</v>
      </c>
      <c r="AG2502">
        <v>0</v>
      </c>
      <c r="AH2502">
        <v>3</v>
      </c>
      <c r="AI2502">
        <v>1</v>
      </c>
      <c r="AJ2502">
        <v>0</v>
      </c>
      <c r="AK2502" t="s">
        <v>860</v>
      </c>
      <c r="AL2502">
        <v>32.754235000000001</v>
      </c>
      <c r="AM2502" t="s">
        <v>861</v>
      </c>
      <c r="AN2502">
        <v>-116.782951</v>
      </c>
      <c r="AO2502">
        <v>25</v>
      </c>
      <c r="AP2502">
        <v>3200</v>
      </c>
      <c r="AQ2502" t="s">
        <v>129</v>
      </c>
      <c r="AR2502">
        <v>116</v>
      </c>
      <c r="AS2502">
        <v>-73</v>
      </c>
      <c r="AT2502">
        <v>-320</v>
      </c>
      <c r="BB2502">
        <v>1200</v>
      </c>
      <c r="BC2502">
        <v>1</v>
      </c>
      <c r="BD2502" t="str">
        <f t="shared" si="901"/>
        <v xml:space="preserve">N887QR  </v>
      </c>
      <c r="BE2502">
        <v>1</v>
      </c>
      <c r="BJ2502">
        <v>2975</v>
      </c>
      <c r="BK2502">
        <v>-225</v>
      </c>
      <c r="BL2502" t="s">
        <v>163</v>
      </c>
      <c r="BM2502">
        <v>1</v>
      </c>
      <c r="BN2502">
        <v>1</v>
      </c>
      <c r="BO2502">
        <v>1</v>
      </c>
      <c r="BP2502">
        <v>0</v>
      </c>
      <c r="BS2502">
        <v>0</v>
      </c>
      <c r="BT2502">
        <v>0</v>
      </c>
      <c r="BU2502">
        <v>0</v>
      </c>
      <c r="CE2502" t="str">
        <f t="shared" si="903"/>
        <v>19:32:16.506</v>
      </c>
      <c r="CF2502">
        <v>505507347</v>
      </c>
      <c r="CS2502">
        <v>0</v>
      </c>
      <c r="CT2502">
        <v>2</v>
      </c>
      <c r="CU2502">
        <v>0</v>
      </c>
      <c r="CV2502">
        <v>2</v>
      </c>
      <c r="CW2502">
        <v>0</v>
      </c>
      <c r="CX2502">
        <v>5</v>
      </c>
      <c r="CY2502">
        <v>7</v>
      </c>
      <c r="CZ2502" t="s">
        <v>131</v>
      </c>
      <c r="DA2502">
        <v>300</v>
      </c>
      <c r="DB2502">
        <v>0</v>
      </c>
      <c r="DC2502" t="s">
        <v>176</v>
      </c>
      <c r="DD2502" t="s">
        <v>177</v>
      </c>
      <c r="DG2502">
        <v>5414198</v>
      </c>
      <c r="DI2502">
        <v>1</v>
      </c>
      <c r="DJ2502">
        <v>0</v>
      </c>
      <c r="DK2502">
        <v>0</v>
      </c>
      <c r="DL2502">
        <v>0</v>
      </c>
      <c r="DM2502">
        <v>0</v>
      </c>
      <c r="DN2502">
        <v>1</v>
      </c>
      <c r="DO2502">
        <v>0</v>
      </c>
      <c r="DP2502">
        <v>0</v>
      </c>
      <c r="DQ2502">
        <v>0</v>
      </c>
      <c r="DR2502">
        <v>0</v>
      </c>
      <c r="DS2502">
        <v>0</v>
      </c>
    </row>
    <row r="2503" spans="1:123" x14ac:dyDescent="0.3">
      <c r="A2503" t="str">
        <f>"10/04/2022 19:32:16.791"</f>
        <v>10/04/2022 19:32:16.791</v>
      </c>
      <c r="C2503" t="str">
        <f t="shared" si="890"/>
        <v>FFDDD3C0</v>
      </c>
      <c r="D2503" t="s">
        <v>141</v>
      </c>
      <c r="E2503">
        <v>3</v>
      </c>
      <c r="H2503">
        <v>3</v>
      </c>
      <c r="I2503" t="s">
        <v>146</v>
      </c>
      <c r="J2503" t="s">
        <v>138</v>
      </c>
      <c r="K2503">
        <v>0</v>
      </c>
      <c r="L2503">
        <v>3</v>
      </c>
      <c r="M2503">
        <v>0</v>
      </c>
      <c r="N2503">
        <v>2</v>
      </c>
      <c r="O2503">
        <v>0</v>
      </c>
      <c r="P2503">
        <v>1</v>
      </c>
      <c r="Q2503">
        <v>0</v>
      </c>
      <c r="S2503" t="str">
        <f t="shared" si="902"/>
        <v>19:32:16.000</v>
      </c>
      <c r="T2503" t="str">
        <f t="shared" si="902"/>
        <v>19:32:16.000</v>
      </c>
      <c r="U2503" t="str">
        <f t="shared" si="900"/>
        <v>AC3944</v>
      </c>
      <c r="V2503">
        <v>0</v>
      </c>
      <c r="W2503">
        <v>0</v>
      </c>
      <c r="X2503">
        <v>2</v>
      </c>
      <c r="Y2503">
        <v>0</v>
      </c>
      <c r="AA2503">
        <v>1</v>
      </c>
      <c r="AB2503">
        <v>8</v>
      </c>
      <c r="AC2503">
        <v>3</v>
      </c>
      <c r="AD2503">
        <v>0</v>
      </c>
      <c r="AE2503">
        <v>9</v>
      </c>
      <c r="AF2503" t="s">
        <v>138</v>
      </c>
      <c r="AG2503">
        <v>0</v>
      </c>
      <c r="AH2503">
        <v>3</v>
      </c>
      <c r="AI2503">
        <v>1</v>
      </c>
      <c r="AJ2503">
        <v>0</v>
      </c>
      <c r="AK2503" t="s">
        <v>860</v>
      </c>
      <c r="AL2503">
        <v>32.754235000000001</v>
      </c>
      <c r="AM2503" t="s">
        <v>861</v>
      </c>
      <c r="AN2503">
        <v>-116.782951</v>
      </c>
      <c r="AO2503">
        <v>25</v>
      </c>
      <c r="AP2503">
        <v>3200</v>
      </c>
      <c r="AQ2503" t="s">
        <v>129</v>
      </c>
      <c r="AR2503">
        <v>116</v>
      </c>
      <c r="AS2503">
        <v>-73</v>
      </c>
      <c r="AT2503">
        <v>-320</v>
      </c>
      <c r="BB2503">
        <v>1200</v>
      </c>
      <c r="BC2503">
        <v>1</v>
      </c>
      <c r="BD2503" t="str">
        <f t="shared" si="901"/>
        <v xml:space="preserve">N887QR  </v>
      </c>
      <c r="BE2503">
        <v>1</v>
      </c>
      <c r="BJ2503">
        <v>2975</v>
      </c>
      <c r="BK2503">
        <v>-225</v>
      </c>
      <c r="BL2503" t="s">
        <v>163</v>
      </c>
      <c r="BM2503">
        <v>1</v>
      </c>
      <c r="BN2503">
        <v>1</v>
      </c>
      <c r="BO2503">
        <v>1</v>
      </c>
      <c r="BP2503">
        <v>0</v>
      </c>
      <c r="BS2503">
        <v>0</v>
      </c>
      <c r="BT2503">
        <v>0</v>
      </c>
      <c r="BU2503">
        <v>0</v>
      </c>
      <c r="CE2503" t="str">
        <f t="shared" si="903"/>
        <v>19:32:16.506</v>
      </c>
      <c r="CF2503">
        <v>505507347</v>
      </c>
      <c r="CS2503">
        <v>0</v>
      </c>
      <c r="CT2503">
        <v>2</v>
      </c>
      <c r="CU2503">
        <v>0</v>
      </c>
      <c r="CV2503">
        <v>2</v>
      </c>
      <c r="CW2503">
        <v>0</v>
      </c>
      <c r="CX2503">
        <v>5</v>
      </c>
      <c r="CY2503">
        <v>7</v>
      </c>
      <c r="CZ2503" t="s">
        <v>131</v>
      </c>
      <c r="DA2503">
        <v>300</v>
      </c>
      <c r="DB2503">
        <v>0</v>
      </c>
      <c r="DC2503" t="s">
        <v>176</v>
      </c>
      <c r="DD2503" t="s">
        <v>177</v>
      </c>
      <c r="DG2503">
        <v>5414198</v>
      </c>
      <c r="DI2503">
        <v>1</v>
      </c>
      <c r="DJ2503">
        <v>0</v>
      </c>
      <c r="DK2503">
        <v>1</v>
      </c>
      <c r="DL2503">
        <v>0</v>
      </c>
      <c r="DM2503">
        <v>0</v>
      </c>
      <c r="DN2503">
        <v>1</v>
      </c>
      <c r="DO2503">
        <v>0</v>
      </c>
      <c r="DP2503">
        <v>0</v>
      </c>
      <c r="DQ2503">
        <v>0</v>
      </c>
      <c r="DR2503">
        <v>0</v>
      </c>
      <c r="DS2503">
        <v>0</v>
      </c>
    </row>
    <row r="2504" spans="1:123" x14ac:dyDescent="0.3">
      <c r="A2504" t="str">
        <f>"10/04/2022 19:32:16.791"</f>
        <v>10/04/2022 19:32:16.791</v>
      </c>
      <c r="C2504" t="str">
        <f t="shared" si="890"/>
        <v>FFDDD3C0</v>
      </c>
      <c r="D2504" t="s">
        <v>143</v>
      </c>
      <c r="E2504">
        <v>20</v>
      </c>
      <c r="F2504">
        <v>1020</v>
      </c>
      <c r="G2504" t="s">
        <v>144</v>
      </c>
      <c r="J2504" t="s">
        <v>145</v>
      </c>
      <c r="K2504">
        <v>0</v>
      </c>
      <c r="L2504">
        <v>3</v>
      </c>
      <c r="M2504">
        <v>0</v>
      </c>
      <c r="N2504">
        <v>2</v>
      </c>
      <c r="O2504">
        <v>0</v>
      </c>
      <c r="P2504">
        <v>1</v>
      </c>
      <c r="Q2504">
        <v>0</v>
      </c>
      <c r="S2504" t="str">
        <f t="shared" si="902"/>
        <v>19:32:16.000</v>
      </c>
      <c r="T2504" t="str">
        <f t="shared" si="902"/>
        <v>19:32:16.000</v>
      </c>
      <c r="U2504" t="str">
        <f t="shared" si="900"/>
        <v>AC3944</v>
      </c>
      <c r="V2504">
        <v>0</v>
      </c>
      <c r="W2504">
        <v>0</v>
      </c>
      <c r="X2504">
        <v>2</v>
      </c>
      <c r="Y2504">
        <v>0</v>
      </c>
      <c r="AA2504">
        <v>1</v>
      </c>
      <c r="AB2504">
        <v>8</v>
      </c>
      <c r="AC2504">
        <v>3</v>
      </c>
      <c r="AD2504">
        <v>0</v>
      </c>
      <c r="AE2504">
        <v>9</v>
      </c>
      <c r="AF2504" t="s">
        <v>138</v>
      </c>
      <c r="AG2504">
        <v>0</v>
      </c>
      <c r="AH2504">
        <v>3</v>
      </c>
      <c r="AI2504">
        <v>1</v>
      </c>
      <c r="AJ2504">
        <v>0</v>
      </c>
      <c r="AK2504" t="s">
        <v>860</v>
      </c>
      <c r="AL2504">
        <v>32.754235000000001</v>
      </c>
      <c r="AM2504" t="s">
        <v>861</v>
      </c>
      <c r="AN2504">
        <v>-116.782951</v>
      </c>
      <c r="AO2504">
        <v>25</v>
      </c>
      <c r="AP2504">
        <v>3200</v>
      </c>
      <c r="AQ2504" t="s">
        <v>129</v>
      </c>
      <c r="AR2504">
        <v>116</v>
      </c>
      <c r="AS2504">
        <v>-73</v>
      </c>
      <c r="AT2504">
        <v>-320</v>
      </c>
      <c r="BB2504">
        <v>1200</v>
      </c>
      <c r="BC2504">
        <v>1</v>
      </c>
      <c r="BD2504" t="str">
        <f t="shared" si="901"/>
        <v xml:space="preserve">N887QR  </v>
      </c>
      <c r="BE2504">
        <v>1</v>
      </c>
      <c r="BJ2504">
        <v>2975</v>
      </c>
      <c r="BK2504">
        <v>-225</v>
      </c>
      <c r="BL2504" t="s">
        <v>163</v>
      </c>
      <c r="BM2504">
        <v>1</v>
      </c>
      <c r="BN2504">
        <v>1</v>
      </c>
      <c r="BO2504">
        <v>1</v>
      </c>
      <c r="BP2504">
        <v>0</v>
      </c>
      <c r="BS2504">
        <v>0</v>
      </c>
      <c r="BT2504">
        <v>0</v>
      </c>
      <c r="BU2504">
        <v>0</v>
      </c>
      <c r="CE2504" t="str">
        <f t="shared" si="903"/>
        <v>19:32:16.506</v>
      </c>
      <c r="CF2504">
        <v>505507347</v>
      </c>
      <c r="CS2504">
        <v>0</v>
      </c>
      <c r="CT2504">
        <v>2</v>
      </c>
      <c r="CU2504">
        <v>0</v>
      </c>
      <c r="CV2504">
        <v>2</v>
      </c>
      <c r="CW2504">
        <v>0</v>
      </c>
      <c r="CX2504">
        <v>5</v>
      </c>
      <c r="CY2504">
        <v>7</v>
      </c>
      <c r="CZ2504" t="s">
        <v>131</v>
      </c>
      <c r="DA2504">
        <v>300</v>
      </c>
      <c r="DB2504">
        <v>0</v>
      </c>
      <c r="DC2504" t="s">
        <v>176</v>
      </c>
      <c r="DD2504" t="s">
        <v>177</v>
      </c>
      <c r="DG2504">
        <v>5414198</v>
      </c>
      <c r="DI2504">
        <v>1</v>
      </c>
      <c r="DJ2504">
        <v>0</v>
      </c>
      <c r="DK2504">
        <v>1</v>
      </c>
      <c r="DL2504">
        <v>0</v>
      </c>
      <c r="DM2504">
        <v>0</v>
      </c>
      <c r="DN2504">
        <v>1</v>
      </c>
      <c r="DO2504">
        <v>0</v>
      </c>
      <c r="DP2504">
        <v>0</v>
      </c>
      <c r="DQ2504">
        <v>0</v>
      </c>
      <c r="DR2504">
        <v>0</v>
      </c>
      <c r="DS2504">
        <v>0</v>
      </c>
    </row>
    <row r="2505" spans="1:123" x14ac:dyDescent="0.3">
      <c r="A2505" t="str">
        <f>"10/04/2022 19:32:16.791"</f>
        <v>10/04/2022 19:32:16.791</v>
      </c>
      <c r="C2505" t="str">
        <f t="shared" si="890"/>
        <v>FFDDD3C0</v>
      </c>
      <c r="D2505" t="s">
        <v>141</v>
      </c>
      <c r="E2505">
        <v>4</v>
      </c>
      <c r="H2505">
        <v>4</v>
      </c>
      <c r="I2505" t="s">
        <v>142</v>
      </c>
      <c r="J2505" t="s">
        <v>138</v>
      </c>
      <c r="K2505">
        <v>0</v>
      </c>
      <c r="L2505">
        <v>3</v>
      </c>
      <c r="M2505">
        <v>0</v>
      </c>
      <c r="N2505">
        <v>2</v>
      </c>
      <c r="O2505">
        <v>0</v>
      </c>
      <c r="P2505">
        <v>1</v>
      </c>
      <c r="Q2505">
        <v>0</v>
      </c>
      <c r="S2505" t="str">
        <f t="shared" si="902"/>
        <v>19:32:16.000</v>
      </c>
      <c r="T2505" t="str">
        <f t="shared" si="902"/>
        <v>19:32:16.000</v>
      </c>
      <c r="U2505" t="str">
        <f t="shared" si="900"/>
        <v>AC3944</v>
      </c>
      <c r="V2505">
        <v>0</v>
      </c>
      <c r="W2505">
        <v>0</v>
      </c>
      <c r="X2505">
        <v>2</v>
      </c>
      <c r="Y2505">
        <v>0</v>
      </c>
      <c r="AA2505">
        <v>1</v>
      </c>
      <c r="AB2505">
        <v>8</v>
      </c>
      <c r="AC2505">
        <v>3</v>
      </c>
      <c r="AD2505">
        <v>0</v>
      </c>
      <c r="AE2505">
        <v>9</v>
      </c>
      <c r="AF2505" t="s">
        <v>138</v>
      </c>
      <c r="AG2505">
        <v>0</v>
      </c>
      <c r="AH2505">
        <v>3</v>
      </c>
      <c r="AI2505">
        <v>1</v>
      </c>
      <c r="AJ2505">
        <v>0</v>
      </c>
      <c r="AK2505" t="s">
        <v>860</v>
      </c>
      <c r="AL2505">
        <v>32.754235000000001</v>
      </c>
      <c r="AM2505" t="s">
        <v>861</v>
      </c>
      <c r="AN2505">
        <v>-116.782951</v>
      </c>
      <c r="AO2505">
        <v>25</v>
      </c>
      <c r="AP2505">
        <v>3200</v>
      </c>
      <c r="AQ2505" t="s">
        <v>129</v>
      </c>
      <c r="AR2505">
        <v>116</v>
      </c>
      <c r="AS2505">
        <v>-73</v>
      </c>
      <c r="AT2505">
        <v>-320</v>
      </c>
      <c r="BB2505">
        <v>1200</v>
      </c>
      <c r="BC2505">
        <v>1</v>
      </c>
      <c r="BD2505" t="str">
        <f t="shared" si="901"/>
        <v xml:space="preserve">N887QR  </v>
      </c>
      <c r="BE2505">
        <v>1</v>
      </c>
      <c r="BJ2505">
        <v>2975</v>
      </c>
      <c r="BK2505">
        <v>-225</v>
      </c>
      <c r="BL2505" t="s">
        <v>163</v>
      </c>
      <c r="BM2505">
        <v>1</v>
      </c>
      <c r="BN2505">
        <v>1</v>
      </c>
      <c r="BO2505">
        <v>1</v>
      </c>
      <c r="BP2505">
        <v>0</v>
      </c>
      <c r="BS2505">
        <v>0</v>
      </c>
      <c r="BT2505">
        <v>0</v>
      </c>
      <c r="BU2505">
        <v>0</v>
      </c>
      <c r="CE2505" t="str">
        <f t="shared" si="903"/>
        <v>19:32:16.506</v>
      </c>
      <c r="CF2505">
        <v>505507347</v>
      </c>
      <c r="CS2505">
        <v>0</v>
      </c>
      <c r="CT2505">
        <v>2</v>
      </c>
      <c r="CU2505">
        <v>0</v>
      </c>
      <c r="CV2505">
        <v>2</v>
      </c>
      <c r="CW2505">
        <v>0</v>
      </c>
      <c r="CX2505">
        <v>5</v>
      </c>
      <c r="CY2505">
        <v>7</v>
      </c>
      <c r="CZ2505" t="s">
        <v>131</v>
      </c>
      <c r="DA2505">
        <v>300</v>
      </c>
      <c r="DB2505">
        <v>0</v>
      </c>
      <c r="DC2505" t="s">
        <v>176</v>
      </c>
      <c r="DD2505" t="s">
        <v>177</v>
      </c>
      <c r="DG2505">
        <v>5414198</v>
      </c>
      <c r="DI2505">
        <v>1</v>
      </c>
      <c r="DJ2505">
        <v>0</v>
      </c>
      <c r="DK2505">
        <v>1</v>
      </c>
      <c r="DL2505">
        <v>0</v>
      </c>
      <c r="DM2505">
        <v>0</v>
      </c>
      <c r="DN2505">
        <v>1</v>
      </c>
      <c r="DO2505">
        <v>0</v>
      </c>
      <c r="DP2505">
        <v>0</v>
      </c>
      <c r="DQ2505">
        <v>0</v>
      </c>
      <c r="DR2505">
        <v>0</v>
      </c>
      <c r="DS2505">
        <v>0</v>
      </c>
    </row>
    <row r="2506" spans="1:123" x14ac:dyDescent="0.3">
      <c r="A2506" t="str">
        <f>"10/04/2022 19:32:16.791"</f>
        <v>10/04/2022 19:32:16.791</v>
      </c>
      <c r="C2506" t="str">
        <f t="shared" si="890"/>
        <v>FFDDD3C0</v>
      </c>
      <c r="D2506" t="s">
        <v>123</v>
      </c>
      <c r="E2506">
        <v>7</v>
      </c>
      <c r="F2506">
        <v>2007</v>
      </c>
      <c r="G2506" t="s">
        <v>124</v>
      </c>
      <c r="J2506" t="s">
        <v>125</v>
      </c>
      <c r="K2506">
        <v>0</v>
      </c>
      <c r="L2506">
        <v>3</v>
      </c>
      <c r="M2506">
        <v>0</v>
      </c>
      <c r="N2506">
        <v>2</v>
      </c>
      <c r="O2506">
        <v>0</v>
      </c>
      <c r="P2506">
        <v>1</v>
      </c>
      <c r="Q2506">
        <v>0</v>
      </c>
      <c r="S2506" t="str">
        <f t="shared" si="902"/>
        <v>19:32:16.000</v>
      </c>
      <c r="T2506" t="str">
        <f t="shared" si="902"/>
        <v>19:32:16.000</v>
      </c>
      <c r="U2506" t="str">
        <f t="shared" si="900"/>
        <v>AC3944</v>
      </c>
      <c r="V2506">
        <v>0</v>
      </c>
      <c r="W2506">
        <v>0</v>
      </c>
      <c r="X2506">
        <v>2</v>
      </c>
      <c r="Y2506">
        <v>0</v>
      </c>
      <c r="AA2506">
        <v>1</v>
      </c>
      <c r="AB2506">
        <v>8</v>
      </c>
      <c r="AC2506">
        <v>3</v>
      </c>
      <c r="AD2506">
        <v>0</v>
      </c>
      <c r="AE2506">
        <v>9</v>
      </c>
      <c r="AF2506" t="s">
        <v>138</v>
      </c>
      <c r="AG2506">
        <v>0</v>
      </c>
      <c r="AH2506">
        <v>3</v>
      </c>
      <c r="AI2506">
        <v>1</v>
      </c>
      <c r="AJ2506">
        <v>0</v>
      </c>
      <c r="AK2506" t="s">
        <v>860</v>
      </c>
      <c r="AL2506">
        <v>32.754235000000001</v>
      </c>
      <c r="AM2506" t="s">
        <v>861</v>
      </c>
      <c r="AN2506">
        <v>-116.782951</v>
      </c>
      <c r="AO2506">
        <v>25</v>
      </c>
      <c r="AP2506">
        <v>3200</v>
      </c>
      <c r="AQ2506" t="s">
        <v>129</v>
      </c>
      <c r="AR2506">
        <v>116</v>
      </c>
      <c r="AS2506">
        <v>-73</v>
      </c>
      <c r="AT2506">
        <v>-320</v>
      </c>
      <c r="BB2506">
        <v>1200</v>
      </c>
      <c r="BC2506">
        <v>1</v>
      </c>
      <c r="BD2506" t="str">
        <f t="shared" si="901"/>
        <v xml:space="preserve">N887QR  </v>
      </c>
      <c r="BE2506">
        <v>1</v>
      </c>
      <c r="BJ2506">
        <v>2975</v>
      </c>
      <c r="BK2506">
        <v>-225</v>
      </c>
      <c r="BL2506" t="s">
        <v>163</v>
      </c>
      <c r="BM2506">
        <v>1</v>
      </c>
      <c r="BN2506">
        <v>1</v>
      </c>
      <c r="BO2506">
        <v>1</v>
      </c>
      <c r="BP2506">
        <v>0</v>
      </c>
      <c r="BS2506">
        <v>0</v>
      </c>
      <c r="BT2506">
        <v>0</v>
      </c>
      <c r="BU2506">
        <v>0</v>
      </c>
      <c r="CE2506" t="str">
        <f t="shared" si="903"/>
        <v>19:32:16.506</v>
      </c>
      <c r="CF2506">
        <v>505507347</v>
      </c>
      <c r="CS2506">
        <v>0</v>
      </c>
      <c r="CT2506">
        <v>2</v>
      </c>
      <c r="CU2506">
        <v>0</v>
      </c>
      <c r="CV2506">
        <v>2</v>
      </c>
      <c r="CW2506">
        <v>0</v>
      </c>
      <c r="CX2506">
        <v>5</v>
      </c>
      <c r="CY2506">
        <v>7</v>
      </c>
      <c r="CZ2506" t="s">
        <v>131</v>
      </c>
      <c r="DA2506">
        <v>300</v>
      </c>
      <c r="DB2506">
        <v>0</v>
      </c>
      <c r="DC2506" t="s">
        <v>176</v>
      </c>
      <c r="DD2506" t="s">
        <v>177</v>
      </c>
      <c r="DG2506">
        <v>5414198</v>
      </c>
      <c r="DI2506">
        <v>1</v>
      </c>
      <c r="DJ2506">
        <v>0</v>
      </c>
      <c r="DK2506">
        <v>1</v>
      </c>
      <c r="DL2506">
        <v>0</v>
      </c>
      <c r="DM2506">
        <v>0</v>
      </c>
      <c r="DN2506">
        <v>1</v>
      </c>
      <c r="DO2506">
        <v>0</v>
      </c>
      <c r="DP2506">
        <v>0</v>
      </c>
      <c r="DQ2506">
        <v>0</v>
      </c>
      <c r="DR2506">
        <v>0</v>
      </c>
      <c r="DS2506">
        <v>0</v>
      </c>
    </row>
    <row r="2507" spans="1:123" x14ac:dyDescent="0.3">
      <c r="A2507" t="str">
        <f>"10/04/2022 19:32:17.291"</f>
        <v>10/04/2022 19:32:17.291</v>
      </c>
      <c r="C2507" t="str">
        <f t="shared" si="890"/>
        <v>FFDDD3C0</v>
      </c>
      <c r="D2507" t="s">
        <v>147</v>
      </c>
      <c r="E2507">
        <v>3</v>
      </c>
      <c r="H2507">
        <v>166</v>
      </c>
      <c r="I2507" t="s">
        <v>144</v>
      </c>
      <c r="J2507" t="s">
        <v>148</v>
      </c>
      <c r="K2507">
        <v>0</v>
      </c>
      <c r="L2507">
        <v>3</v>
      </c>
      <c r="M2507">
        <v>0</v>
      </c>
      <c r="N2507">
        <v>2</v>
      </c>
      <c r="O2507">
        <v>0</v>
      </c>
      <c r="P2507">
        <v>1</v>
      </c>
      <c r="Q2507">
        <v>0</v>
      </c>
      <c r="S2507" t="str">
        <f t="shared" si="902"/>
        <v>19:32:16.000</v>
      </c>
      <c r="T2507" t="str">
        <f t="shared" si="902"/>
        <v>19:32:16.000</v>
      </c>
      <c r="U2507" t="str">
        <f t="shared" si="900"/>
        <v>AC3944</v>
      </c>
      <c r="V2507">
        <v>0</v>
      </c>
      <c r="W2507">
        <v>0</v>
      </c>
      <c r="X2507">
        <v>2</v>
      </c>
      <c r="Y2507">
        <v>0</v>
      </c>
      <c r="AA2507">
        <v>1</v>
      </c>
      <c r="AB2507">
        <v>8</v>
      </c>
      <c r="AC2507">
        <v>3</v>
      </c>
      <c r="AD2507">
        <v>0</v>
      </c>
      <c r="AE2507">
        <v>9</v>
      </c>
      <c r="AF2507" t="s">
        <v>138</v>
      </c>
      <c r="AG2507">
        <v>0</v>
      </c>
      <c r="AH2507">
        <v>3</v>
      </c>
      <c r="AI2507">
        <v>1</v>
      </c>
      <c r="AJ2507">
        <v>0</v>
      </c>
      <c r="AK2507" t="s">
        <v>862</v>
      </c>
      <c r="AL2507">
        <v>32.753892</v>
      </c>
      <c r="AM2507" t="s">
        <v>863</v>
      </c>
      <c r="AN2507">
        <v>-116.782329</v>
      </c>
      <c r="AO2507">
        <v>25</v>
      </c>
      <c r="AP2507">
        <v>3200</v>
      </c>
      <c r="AQ2507" t="s">
        <v>129</v>
      </c>
      <c r="AR2507">
        <v>116</v>
      </c>
      <c r="AS2507">
        <v>-74</v>
      </c>
      <c r="AT2507">
        <v>-320</v>
      </c>
      <c r="BB2507">
        <v>1200</v>
      </c>
      <c r="BC2507">
        <v>1</v>
      </c>
      <c r="BD2507" t="str">
        <f t="shared" si="901"/>
        <v xml:space="preserve">N887QR  </v>
      </c>
      <c r="BE2507">
        <v>1</v>
      </c>
      <c r="BJ2507">
        <v>2975</v>
      </c>
      <c r="BK2507">
        <v>-225</v>
      </c>
      <c r="BL2507" t="s">
        <v>163</v>
      </c>
      <c r="BM2507">
        <v>1</v>
      </c>
      <c r="BN2507">
        <v>1</v>
      </c>
      <c r="BO2507">
        <v>1</v>
      </c>
      <c r="BP2507">
        <v>0</v>
      </c>
      <c r="BS2507">
        <v>0</v>
      </c>
      <c r="BT2507">
        <v>0</v>
      </c>
      <c r="BU2507">
        <v>0</v>
      </c>
      <c r="CE2507" t="str">
        <f t="shared" ref="CE2507:CE2513" si="904">"19:32:16.988"</f>
        <v>19:32:16.988</v>
      </c>
      <c r="CF2507">
        <v>987959666</v>
      </c>
      <c r="CS2507">
        <v>0</v>
      </c>
      <c r="CT2507">
        <v>2</v>
      </c>
      <c r="CU2507">
        <v>0</v>
      </c>
      <c r="CV2507">
        <v>2</v>
      </c>
      <c r="CW2507">
        <v>0</v>
      </c>
      <c r="CX2507">
        <v>0</v>
      </c>
      <c r="CY2507">
        <v>7</v>
      </c>
      <c r="CZ2507" t="s">
        <v>131</v>
      </c>
      <c r="DA2507">
        <v>286</v>
      </c>
      <c r="DB2507">
        <v>0</v>
      </c>
      <c r="DC2507" t="s">
        <v>132</v>
      </c>
      <c r="DD2507" t="s">
        <v>133</v>
      </c>
      <c r="DG2507">
        <v>847142</v>
      </c>
      <c r="DI2507">
        <v>1</v>
      </c>
      <c r="DJ2507">
        <v>0</v>
      </c>
      <c r="DK2507">
        <v>0</v>
      </c>
      <c r="DL2507">
        <v>0</v>
      </c>
      <c r="DM2507">
        <v>0</v>
      </c>
      <c r="DN2507">
        <v>1</v>
      </c>
      <c r="DO2507">
        <v>0</v>
      </c>
      <c r="DP2507">
        <v>0</v>
      </c>
      <c r="DQ2507">
        <v>0</v>
      </c>
      <c r="DR2507">
        <v>0</v>
      </c>
      <c r="DS2507">
        <v>0</v>
      </c>
    </row>
    <row r="2508" spans="1:123" x14ac:dyDescent="0.3">
      <c r="A2508" t="str">
        <f>"10/04/2022 19:32:17.291"</f>
        <v>10/04/2022 19:32:17.291</v>
      </c>
      <c r="C2508" t="str">
        <f t="shared" si="890"/>
        <v>FFDDD3C0</v>
      </c>
      <c r="D2508" t="s">
        <v>134</v>
      </c>
      <c r="E2508">
        <v>15</v>
      </c>
      <c r="J2508" t="s">
        <v>135</v>
      </c>
      <c r="K2508">
        <v>0</v>
      </c>
      <c r="L2508">
        <v>3</v>
      </c>
      <c r="M2508">
        <v>0</v>
      </c>
      <c r="N2508">
        <v>2</v>
      </c>
      <c r="O2508">
        <v>0</v>
      </c>
      <c r="P2508">
        <v>1</v>
      </c>
      <c r="Q2508">
        <v>0</v>
      </c>
      <c r="S2508" t="str">
        <f t="shared" si="902"/>
        <v>19:32:16.000</v>
      </c>
      <c r="T2508" t="str">
        <f t="shared" si="902"/>
        <v>19:32:16.000</v>
      </c>
      <c r="U2508" t="str">
        <f t="shared" si="900"/>
        <v>AC3944</v>
      </c>
      <c r="V2508">
        <v>0</v>
      </c>
      <c r="W2508">
        <v>0</v>
      </c>
      <c r="X2508">
        <v>2</v>
      </c>
      <c r="Y2508">
        <v>0</v>
      </c>
      <c r="AA2508">
        <v>1</v>
      </c>
      <c r="AB2508">
        <v>8</v>
      </c>
      <c r="AC2508">
        <v>3</v>
      </c>
      <c r="AD2508">
        <v>0</v>
      </c>
      <c r="AE2508">
        <v>9</v>
      </c>
      <c r="AF2508" t="s">
        <v>138</v>
      </c>
      <c r="AG2508">
        <v>0</v>
      </c>
      <c r="AH2508">
        <v>3</v>
      </c>
      <c r="AI2508">
        <v>1</v>
      </c>
      <c r="AJ2508">
        <v>0</v>
      </c>
      <c r="AK2508" t="s">
        <v>862</v>
      </c>
      <c r="AL2508">
        <v>32.753892</v>
      </c>
      <c r="AM2508" t="s">
        <v>863</v>
      </c>
      <c r="AN2508">
        <v>-116.782329</v>
      </c>
      <c r="AO2508">
        <v>25</v>
      </c>
      <c r="AP2508">
        <v>3200</v>
      </c>
      <c r="AQ2508" t="s">
        <v>129</v>
      </c>
      <c r="AR2508">
        <v>116</v>
      </c>
      <c r="AS2508">
        <v>-74</v>
      </c>
      <c r="AT2508">
        <v>-320</v>
      </c>
      <c r="BB2508">
        <v>1200</v>
      </c>
      <c r="BC2508">
        <v>1</v>
      </c>
      <c r="BD2508" t="str">
        <f t="shared" si="901"/>
        <v xml:space="preserve">N887QR  </v>
      </c>
      <c r="BE2508">
        <v>1</v>
      </c>
      <c r="BJ2508">
        <v>2975</v>
      </c>
      <c r="BK2508">
        <v>-225</v>
      </c>
      <c r="BL2508" t="s">
        <v>163</v>
      </c>
      <c r="BM2508">
        <v>1</v>
      </c>
      <c r="BN2508">
        <v>1</v>
      </c>
      <c r="BO2508">
        <v>1</v>
      </c>
      <c r="BP2508">
        <v>0</v>
      </c>
      <c r="BS2508">
        <v>0</v>
      </c>
      <c r="BT2508">
        <v>0</v>
      </c>
      <c r="BU2508">
        <v>0</v>
      </c>
      <c r="CE2508" t="str">
        <f t="shared" si="904"/>
        <v>19:32:16.988</v>
      </c>
      <c r="CF2508">
        <v>987959666</v>
      </c>
      <c r="CS2508">
        <v>0</v>
      </c>
      <c r="CT2508">
        <v>2</v>
      </c>
      <c r="CU2508">
        <v>0</v>
      </c>
      <c r="CV2508">
        <v>2</v>
      </c>
      <c r="CW2508">
        <v>0</v>
      </c>
      <c r="CX2508">
        <v>0</v>
      </c>
      <c r="CY2508">
        <v>7</v>
      </c>
      <c r="CZ2508" t="s">
        <v>131</v>
      </c>
      <c r="DA2508">
        <v>286</v>
      </c>
      <c r="DB2508">
        <v>0</v>
      </c>
      <c r="DC2508" t="s">
        <v>132</v>
      </c>
      <c r="DD2508" t="s">
        <v>133</v>
      </c>
      <c r="DG2508">
        <v>847142</v>
      </c>
      <c r="DI2508">
        <v>1</v>
      </c>
      <c r="DJ2508">
        <v>0</v>
      </c>
      <c r="DK2508">
        <v>1</v>
      </c>
      <c r="DL2508">
        <v>0</v>
      </c>
      <c r="DM2508">
        <v>0</v>
      </c>
      <c r="DN2508">
        <v>1</v>
      </c>
      <c r="DO2508">
        <v>0</v>
      </c>
      <c r="DP2508">
        <v>0</v>
      </c>
      <c r="DQ2508">
        <v>0</v>
      </c>
      <c r="DR2508">
        <v>0</v>
      </c>
      <c r="DS2508">
        <v>0</v>
      </c>
    </row>
    <row r="2509" spans="1:123" x14ac:dyDescent="0.3">
      <c r="A2509" t="str">
        <f>"10/04/2022 19:32:17.401"</f>
        <v>10/04/2022 19:32:17.401</v>
      </c>
      <c r="C2509" t="str">
        <f t="shared" si="890"/>
        <v>FFDDD3C0</v>
      </c>
      <c r="D2509" t="s">
        <v>136</v>
      </c>
      <c r="E2509">
        <v>8</v>
      </c>
      <c r="H2509">
        <v>225</v>
      </c>
      <c r="I2509" t="s">
        <v>137</v>
      </c>
      <c r="J2509" t="s">
        <v>138</v>
      </c>
      <c r="K2509">
        <v>0</v>
      </c>
      <c r="L2509">
        <v>3</v>
      </c>
      <c r="M2509">
        <v>0</v>
      </c>
      <c r="N2509">
        <v>2</v>
      </c>
      <c r="O2509">
        <v>0</v>
      </c>
      <c r="P2509">
        <v>1</v>
      </c>
      <c r="Q2509">
        <v>0</v>
      </c>
      <c r="S2509" t="str">
        <f t="shared" si="902"/>
        <v>19:32:16.000</v>
      </c>
      <c r="T2509" t="str">
        <f t="shared" si="902"/>
        <v>19:32:16.000</v>
      </c>
      <c r="U2509" t="str">
        <f t="shared" si="900"/>
        <v>AC3944</v>
      </c>
      <c r="V2509">
        <v>0</v>
      </c>
      <c r="W2509">
        <v>0</v>
      </c>
      <c r="X2509">
        <v>2</v>
      </c>
      <c r="Y2509">
        <v>0</v>
      </c>
      <c r="AA2509">
        <v>1</v>
      </c>
      <c r="AB2509">
        <v>8</v>
      </c>
      <c r="AC2509">
        <v>3</v>
      </c>
      <c r="AD2509">
        <v>0</v>
      </c>
      <c r="AE2509">
        <v>9</v>
      </c>
      <c r="AF2509" t="s">
        <v>138</v>
      </c>
      <c r="AG2509">
        <v>0</v>
      </c>
      <c r="AH2509">
        <v>3</v>
      </c>
      <c r="AI2509">
        <v>1</v>
      </c>
      <c r="AJ2509">
        <v>0</v>
      </c>
      <c r="AK2509" t="s">
        <v>862</v>
      </c>
      <c r="AL2509">
        <v>32.753892</v>
      </c>
      <c r="AM2509" t="s">
        <v>863</v>
      </c>
      <c r="AN2509">
        <v>-116.782329</v>
      </c>
      <c r="AO2509">
        <v>25</v>
      </c>
      <c r="AP2509">
        <v>3200</v>
      </c>
      <c r="AQ2509" t="s">
        <v>129</v>
      </c>
      <c r="AR2509">
        <v>116</v>
      </c>
      <c r="AS2509">
        <v>-74</v>
      </c>
      <c r="AT2509">
        <v>-320</v>
      </c>
      <c r="BB2509">
        <v>1200</v>
      </c>
      <c r="BC2509">
        <v>1</v>
      </c>
      <c r="BD2509" t="str">
        <f t="shared" si="901"/>
        <v xml:space="preserve">N887QR  </v>
      </c>
      <c r="BE2509">
        <v>1</v>
      </c>
      <c r="BJ2509">
        <v>2975</v>
      </c>
      <c r="BK2509">
        <v>-225</v>
      </c>
      <c r="BL2509" t="s">
        <v>163</v>
      </c>
      <c r="BM2509">
        <v>1</v>
      </c>
      <c r="BN2509">
        <v>1</v>
      </c>
      <c r="BO2509">
        <v>1</v>
      </c>
      <c r="BP2509">
        <v>0</v>
      </c>
      <c r="BS2509">
        <v>0</v>
      </c>
      <c r="BT2509">
        <v>0</v>
      </c>
      <c r="BU2509">
        <v>0</v>
      </c>
      <c r="CE2509" t="str">
        <f t="shared" si="904"/>
        <v>19:32:16.988</v>
      </c>
      <c r="CF2509">
        <v>987959666</v>
      </c>
      <c r="CS2509">
        <v>0</v>
      </c>
      <c r="CT2509">
        <v>2</v>
      </c>
      <c r="CU2509">
        <v>0</v>
      </c>
      <c r="CV2509">
        <v>2</v>
      </c>
      <c r="CW2509">
        <v>0</v>
      </c>
      <c r="CX2509">
        <v>0</v>
      </c>
      <c r="CY2509">
        <v>7</v>
      </c>
      <c r="CZ2509" t="s">
        <v>131</v>
      </c>
      <c r="DA2509">
        <v>286</v>
      </c>
      <c r="DB2509">
        <v>0</v>
      </c>
      <c r="DC2509" t="s">
        <v>132</v>
      </c>
      <c r="DD2509" t="s">
        <v>133</v>
      </c>
      <c r="DG2509">
        <v>847142</v>
      </c>
      <c r="DI2509">
        <v>1</v>
      </c>
      <c r="DJ2509">
        <v>0</v>
      </c>
      <c r="DK2509">
        <v>1</v>
      </c>
      <c r="DL2509">
        <v>0</v>
      </c>
      <c r="DM2509">
        <v>0</v>
      </c>
      <c r="DN2509">
        <v>1</v>
      </c>
      <c r="DO2509">
        <v>0</v>
      </c>
      <c r="DP2509">
        <v>0</v>
      </c>
      <c r="DQ2509">
        <v>0</v>
      </c>
      <c r="DR2509">
        <v>0</v>
      </c>
      <c r="DS2509">
        <v>0</v>
      </c>
    </row>
    <row r="2510" spans="1:123" x14ac:dyDescent="0.3">
      <c r="A2510" t="str">
        <f>"10/04/2022 19:32:17.401"</f>
        <v>10/04/2022 19:32:17.401</v>
      </c>
      <c r="C2510" t="str">
        <f t="shared" si="890"/>
        <v>FFDDD3C0</v>
      </c>
      <c r="D2510" t="s">
        <v>141</v>
      </c>
      <c r="E2510">
        <v>3</v>
      </c>
      <c r="H2510">
        <v>3</v>
      </c>
      <c r="I2510" t="s">
        <v>146</v>
      </c>
      <c r="J2510" t="s">
        <v>138</v>
      </c>
      <c r="K2510">
        <v>0</v>
      </c>
      <c r="L2510">
        <v>3</v>
      </c>
      <c r="M2510">
        <v>0</v>
      </c>
      <c r="N2510">
        <v>2</v>
      </c>
      <c r="O2510">
        <v>0</v>
      </c>
      <c r="P2510">
        <v>1</v>
      </c>
      <c r="Q2510">
        <v>0</v>
      </c>
      <c r="S2510" t="str">
        <f t="shared" si="902"/>
        <v>19:32:16.000</v>
      </c>
      <c r="T2510" t="str">
        <f t="shared" si="902"/>
        <v>19:32:16.000</v>
      </c>
      <c r="U2510" t="str">
        <f t="shared" si="900"/>
        <v>AC3944</v>
      </c>
      <c r="V2510">
        <v>0</v>
      </c>
      <c r="W2510">
        <v>0</v>
      </c>
      <c r="X2510">
        <v>2</v>
      </c>
      <c r="Y2510">
        <v>0</v>
      </c>
      <c r="AA2510">
        <v>1</v>
      </c>
      <c r="AB2510">
        <v>8</v>
      </c>
      <c r="AC2510">
        <v>3</v>
      </c>
      <c r="AD2510">
        <v>0</v>
      </c>
      <c r="AE2510">
        <v>9</v>
      </c>
      <c r="AF2510" t="s">
        <v>138</v>
      </c>
      <c r="AG2510">
        <v>0</v>
      </c>
      <c r="AH2510">
        <v>3</v>
      </c>
      <c r="AI2510">
        <v>1</v>
      </c>
      <c r="AJ2510">
        <v>0</v>
      </c>
      <c r="AK2510" t="s">
        <v>862</v>
      </c>
      <c r="AL2510">
        <v>32.753892</v>
      </c>
      <c r="AM2510" t="s">
        <v>863</v>
      </c>
      <c r="AN2510">
        <v>-116.782329</v>
      </c>
      <c r="AO2510">
        <v>25</v>
      </c>
      <c r="AP2510">
        <v>3200</v>
      </c>
      <c r="AQ2510" t="s">
        <v>129</v>
      </c>
      <c r="AR2510">
        <v>116</v>
      </c>
      <c r="AS2510">
        <v>-74</v>
      </c>
      <c r="AT2510">
        <v>-320</v>
      </c>
      <c r="BB2510">
        <v>1200</v>
      </c>
      <c r="BC2510">
        <v>1</v>
      </c>
      <c r="BD2510" t="str">
        <f t="shared" si="901"/>
        <v xml:space="preserve">N887QR  </v>
      </c>
      <c r="BE2510">
        <v>1</v>
      </c>
      <c r="BJ2510">
        <v>2975</v>
      </c>
      <c r="BK2510">
        <v>-225</v>
      </c>
      <c r="BL2510" t="s">
        <v>163</v>
      </c>
      <c r="BM2510">
        <v>1</v>
      </c>
      <c r="BN2510">
        <v>1</v>
      </c>
      <c r="BO2510">
        <v>1</v>
      </c>
      <c r="BP2510">
        <v>0</v>
      </c>
      <c r="BS2510">
        <v>0</v>
      </c>
      <c r="BT2510">
        <v>0</v>
      </c>
      <c r="BU2510">
        <v>0</v>
      </c>
      <c r="CE2510" t="str">
        <f t="shared" si="904"/>
        <v>19:32:16.988</v>
      </c>
      <c r="CF2510">
        <v>987959666</v>
      </c>
      <c r="CS2510">
        <v>0</v>
      </c>
      <c r="CT2510">
        <v>2</v>
      </c>
      <c r="CU2510">
        <v>0</v>
      </c>
      <c r="CV2510">
        <v>2</v>
      </c>
      <c r="CW2510">
        <v>0</v>
      </c>
      <c r="CX2510">
        <v>0</v>
      </c>
      <c r="CY2510">
        <v>7</v>
      </c>
      <c r="CZ2510" t="s">
        <v>131</v>
      </c>
      <c r="DA2510">
        <v>286</v>
      </c>
      <c r="DB2510">
        <v>0</v>
      </c>
      <c r="DC2510" t="s">
        <v>132</v>
      </c>
      <c r="DD2510" t="s">
        <v>133</v>
      </c>
      <c r="DG2510">
        <v>847142</v>
      </c>
      <c r="DI2510">
        <v>1</v>
      </c>
      <c r="DJ2510">
        <v>0</v>
      </c>
      <c r="DK2510">
        <v>1</v>
      </c>
      <c r="DL2510">
        <v>0</v>
      </c>
      <c r="DM2510">
        <v>0</v>
      </c>
      <c r="DN2510">
        <v>1</v>
      </c>
      <c r="DO2510">
        <v>0</v>
      </c>
      <c r="DP2510">
        <v>0</v>
      </c>
      <c r="DQ2510">
        <v>0</v>
      </c>
      <c r="DR2510">
        <v>0</v>
      </c>
      <c r="DS2510">
        <v>0</v>
      </c>
    </row>
    <row r="2511" spans="1:123" x14ac:dyDescent="0.3">
      <c r="A2511" t="str">
        <f>"10/04/2022 19:32:17.401"</f>
        <v>10/04/2022 19:32:17.401</v>
      </c>
      <c r="C2511" t="str">
        <f t="shared" si="890"/>
        <v>FFDDD3C0</v>
      </c>
      <c r="D2511" t="s">
        <v>143</v>
      </c>
      <c r="E2511">
        <v>20</v>
      </c>
      <c r="F2511">
        <v>1020</v>
      </c>
      <c r="G2511" t="s">
        <v>144</v>
      </c>
      <c r="J2511" t="s">
        <v>145</v>
      </c>
      <c r="K2511">
        <v>0</v>
      </c>
      <c r="L2511">
        <v>3</v>
      </c>
      <c r="M2511">
        <v>0</v>
      </c>
      <c r="N2511">
        <v>2</v>
      </c>
      <c r="O2511">
        <v>0</v>
      </c>
      <c r="P2511">
        <v>1</v>
      </c>
      <c r="Q2511">
        <v>0</v>
      </c>
      <c r="S2511" t="str">
        <f t="shared" si="902"/>
        <v>19:32:16.000</v>
      </c>
      <c r="T2511" t="str">
        <f t="shared" si="902"/>
        <v>19:32:16.000</v>
      </c>
      <c r="U2511" t="str">
        <f t="shared" si="900"/>
        <v>AC3944</v>
      </c>
      <c r="V2511">
        <v>0</v>
      </c>
      <c r="W2511">
        <v>0</v>
      </c>
      <c r="X2511">
        <v>2</v>
      </c>
      <c r="Y2511">
        <v>0</v>
      </c>
      <c r="AA2511">
        <v>1</v>
      </c>
      <c r="AB2511">
        <v>8</v>
      </c>
      <c r="AC2511">
        <v>3</v>
      </c>
      <c r="AD2511">
        <v>0</v>
      </c>
      <c r="AE2511">
        <v>9</v>
      </c>
      <c r="AF2511" t="s">
        <v>138</v>
      </c>
      <c r="AG2511">
        <v>0</v>
      </c>
      <c r="AH2511">
        <v>3</v>
      </c>
      <c r="AI2511">
        <v>1</v>
      </c>
      <c r="AJ2511">
        <v>0</v>
      </c>
      <c r="AK2511" t="s">
        <v>862</v>
      </c>
      <c r="AL2511">
        <v>32.753892</v>
      </c>
      <c r="AM2511" t="s">
        <v>863</v>
      </c>
      <c r="AN2511">
        <v>-116.782329</v>
      </c>
      <c r="AO2511">
        <v>25</v>
      </c>
      <c r="AP2511">
        <v>3200</v>
      </c>
      <c r="AQ2511" t="s">
        <v>129</v>
      </c>
      <c r="AR2511">
        <v>116</v>
      </c>
      <c r="AS2511">
        <v>-74</v>
      </c>
      <c r="AT2511">
        <v>-320</v>
      </c>
      <c r="BB2511">
        <v>1200</v>
      </c>
      <c r="BC2511">
        <v>1</v>
      </c>
      <c r="BD2511" t="str">
        <f t="shared" si="901"/>
        <v xml:space="preserve">N887QR  </v>
      </c>
      <c r="BE2511">
        <v>1</v>
      </c>
      <c r="BJ2511">
        <v>2975</v>
      </c>
      <c r="BK2511">
        <v>-225</v>
      </c>
      <c r="BL2511" t="s">
        <v>163</v>
      </c>
      <c r="BM2511">
        <v>1</v>
      </c>
      <c r="BN2511">
        <v>1</v>
      </c>
      <c r="BO2511">
        <v>1</v>
      </c>
      <c r="BP2511">
        <v>0</v>
      </c>
      <c r="BS2511">
        <v>0</v>
      </c>
      <c r="BT2511">
        <v>0</v>
      </c>
      <c r="BU2511">
        <v>0</v>
      </c>
      <c r="CE2511" t="str">
        <f t="shared" si="904"/>
        <v>19:32:16.988</v>
      </c>
      <c r="CF2511">
        <v>987959666</v>
      </c>
      <c r="CS2511">
        <v>0</v>
      </c>
      <c r="CT2511">
        <v>2</v>
      </c>
      <c r="CU2511">
        <v>0</v>
      </c>
      <c r="CV2511">
        <v>2</v>
      </c>
      <c r="CW2511">
        <v>0</v>
      </c>
      <c r="CX2511">
        <v>0</v>
      </c>
      <c r="CY2511">
        <v>7</v>
      </c>
      <c r="CZ2511" t="s">
        <v>131</v>
      </c>
      <c r="DA2511">
        <v>286</v>
      </c>
      <c r="DB2511">
        <v>0</v>
      </c>
      <c r="DC2511" t="s">
        <v>132</v>
      </c>
      <c r="DD2511" t="s">
        <v>133</v>
      </c>
      <c r="DG2511">
        <v>847142</v>
      </c>
      <c r="DI2511">
        <v>1</v>
      </c>
      <c r="DJ2511">
        <v>0</v>
      </c>
      <c r="DK2511">
        <v>1</v>
      </c>
      <c r="DL2511">
        <v>0</v>
      </c>
      <c r="DM2511">
        <v>0</v>
      </c>
      <c r="DN2511">
        <v>1</v>
      </c>
      <c r="DO2511">
        <v>0</v>
      </c>
      <c r="DP2511">
        <v>0</v>
      </c>
      <c r="DQ2511">
        <v>0</v>
      </c>
      <c r="DR2511">
        <v>0</v>
      </c>
      <c r="DS2511">
        <v>0</v>
      </c>
    </row>
    <row r="2512" spans="1:123" x14ac:dyDescent="0.3">
      <c r="A2512" t="str">
        <f>"10/04/2022 19:32:17.401"</f>
        <v>10/04/2022 19:32:17.401</v>
      </c>
      <c r="C2512" t="str">
        <f t="shared" si="890"/>
        <v>FFDDD3C0</v>
      </c>
      <c r="D2512" t="s">
        <v>141</v>
      </c>
      <c r="E2512">
        <v>4</v>
      </c>
      <c r="H2512">
        <v>4</v>
      </c>
      <c r="I2512" t="s">
        <v>142</v>
      </c>
      <c r="J2512" t="s">
        <v>138</v>
      </c>
      <c r="K2512">
        <v>0</v>
      </c>
      <c r="L2512">
        <v>3</v>
      </c>
      <c r="M2512">
        <v>0</v>
      </c>
      <c r="N2512">
        <v>2</v>
      </c>
      <c r="O2512">
        <v>0</v>
      </c>
      <c r="P2512">
        <v>1</v>
      </c>
      <c r="Q2512">
        <v>0</v>
      </c>
      <c r="S2512" t="str">
        <f t="shared" si="902"/>
        <v>19:32:16.000</v>
      </c>
      <c r="T2512" t="str">
        <f t="shared" si="902"/>
        <v>19:32:16.000</v>
      </c>
      <c r="U2512" t="str">
        <f t="shared" si="900"/>
        <v>AC3944</v>
      </c>
      <c r="V2512">
        <v>0</v>
      </c>
      <c r="W2512">
        <v>0</v>
      </c>
      <c r="X2512">
        <v>2</v>
      </c>
      <c r="Y2512">
        <v>0</v>
      </c>
      <c r="AA2512">
        <v>1</v>
      </c>
      <c r="AB2512">
        <v>8</v>
      </c>
      <c r="AC2512">
        <v>3</v>
      </c>
      <c r="AD2512">
        <v>0</v>
      </c>
      <c r="AE2512">
        <v>9</v>
      </c>
      <c r="AF2512" t="s">
        <v>138</v>
      </c>
      <c r="AG2512">
        <v>0</v>
      </c>
      <c r="AH2512">
        <v>3</v>
      </c>
      <c r="AI2512">
        <v>1</v>
      </c>
      <c r="AJ2512">
        <v>0</v>
      </c>
      <c r="AK2512" t="s">
        <v>862</v>
      </c>
      <c r="AL2512">
        <v>32.753892</v>
      </c>
      <c r="AM2512" t="s">
        <v>863</v>
      </c>
      <c r="AN2512">
        <v>-116.782329</v>
      </c>
      <c r="AO2512">
        <v>25</v>
      </c>
      <c r="AP2512">
        <v>3200</v>
      </c>
      <c r="AQ2512" t="s">
        <v>129</v>
      </c>
      <c r="AR2512">
        <v>116</v>
      </c>
      <c r="AS2512">
        <v>-74</v>
      </c>
      <c r="AT2512">
        <v>-320</v>
      </c>
      <c r="BB2512">
        <v>1200</v>
      </c>
      <c r="BC2512">
        <v>1</v>
      </c>
      <c r="BD2512" t="str">
        <f t="shared" si="901"/>
        <v xml:space="preserve">N887QR  </v>
      </c>
      <c r="BE2512">
        <v>1</v>
      </c>
      <c r="BJ2512">
        <v>2975</v>
      </c>
      <c r="BK2512">
        <v>-225</v>
      </c>
      <c r="BL2512" t="s">
        <v>163</v>
      </c>
      <c r="BM2512">
        <v>1</v>
      </c>
      <c r="BN2512">
        <v>1</v>
      </c>
      <c r="BO2512">
        <v>1</v>
      </c>
      <c r="BP2512">
        <v>0</v>
      </c>
      <c r="BS2512">
        <v>0</v>
      </c>
      <c r="BT2512">
        <v>0</v>
      </c>
      <c r="BU2512">
        <v>0</v>
      </c>
      <c r="CE2512" t="str">
        <f t="shared" si="904"/>
        <v>19:32:16.988</v>
      </c>
      <c r="CF2512">
        <v>987959666</v>
      </c>
      <c r="CS2512">
        <v>0</v>
      </c>
      <c r="CT2512">
        <v>2</v>
      </c>
      <c r="CU2512">
        <v>0</v>
      </c>
      <c r="CV2512">
        <v>2</v>
      </c>
      <c r="CW2512">
        <v>0</v>
      </c>
      <c r="CX2512">
        <v>0</v>
      </c>
      <c r="CY2512">
        <v>7</v>
      </c>
      <c r="CZ2512" t="s">
        <v>131</v>
      </c>
      <c r="DA2512">
        <v>286</v>
      </c>
      <c r="DB2512">
        <v>0</v>
      </c>
      <c r="DC2512" t="s">
        <v>132</v>
      </c>
      <c r="DD2512" t="s">
        <v>133</v>
      </c>
      <c r="DG2512">
        <v>847142</v>
      </c>
      <c r="DI2512">
        <v>1</v>
      </c>
      <c r="DJ2512">
        <v>0</v>
      </c>
      <c r="DK2512">
        <v>1</v>
      </c>
      <c r="DL2512">
        <v>0</v>
      </c>
      <c r="DM2512">
        <v>0</v>
      </c>
      <c r="DN2512">
        <v>1</v>
      </c>
      <c r="DO2512">
        <v>0</v>
      </c>
      <c r="DP2512">
        <v>0</v>
      </c>
      <c r="DQ2512">
        <v>0</v>
      </c>
      <c r="DR2512">
        <v>0</v>
      </c>
      <c r="DS2512">
        <v>0</v>
      </c>
    </row>
    <row r="2513" spans="1:123" x14ac:dyDescent="0.3">
      <c r="A2513" t="str">
        <f>"10/04/2022 19:32:17.401"</f>
        <v>10/04/2022 19:32:17.401</v>
      </c>
      <c r="C2513" t="str">
        <f t="shared" si="890"/>
        <v>FFDDD3C0</v>
      </c>
      <c r="D2513" t="s">
        <v>123</v>
      </c>
      <c r="E2513">
        <v>7</v>
      </c>
      <c r="F2513">
        <v>2007</v>
      </c>
      <c r="G2513" t="s">
        <v>124</v>
      </c>
      <c r="J2513" t="s">
        <v>125</v>
      </c>
      <c r="K2513">
        <v>0</v>
      </c>
      <c r="L2513">
        <v>3</v>
      </c>
      <c r="M2513">
        <v>0</v>
      </c>
      <c r="N2513">
        <v>2</v>
      </c>
      <c r="O2513">
        <v>0</v>
      </c>
      <c r="P2513">
        <v>1</v>
      </c>
      <c r="Q2513">
        <v>0</v>
      </c>
      <c r="S2513" t="str">
        <f t="shared" si="902"/>
        <v>19:32:16.000</v>
      </c>
      <c r="T2513" t="str">
        <f t="shared" si="902"/>
        <v>19:32:16.000</v>
      </c>
      <c r="U2513" t="str">
        <f t="shared" si="900"/>
        <v>AC3944</v>
      </c>
      <c r="V2513">
        <v>0</v>
      </c>
      <c r="W2513">
        <v>0</v>
      </c>
      <c r="X2513">
        <v>2</v>
      </c>
      <c r="Y2513">
        <v>0</v>
      </c>
      <c r="AA2513">
        <v>1</v>
      </c>
      <c r="AB2513">
        <v>8</v>
      </c>
      <c r="AC2513">
        <v>3</v>
      </c>
      <c r="AD2513">
        <v>0</v>
      </c>
      <c r="AE2513">
        <v>9</v>
      </c>
      <c r="AF2513" t="s">
        <v>138</v>
      </c>
      <c r="AG2513">
        <v>0</v>
      </c>
      <c r="AH2513">
        <v>3</v>
      </c>
      <c r="AI2513">
        <v>1</v>
      </c>
      <c r="AJ2513">
        <v>0</v>
      </c>
      <c r="AK2513" t="s">
        <v>862</v>
      </c>
      <c r="AL2513">
        <v>32.753892</v>
      </c>
      <c r="AM2513" t="s">
        <v>863</v>
      </c>
      <c r="AN2513">
        <v>-116.782329</v>
      </c>
      <c r="AO2513">
        <v>25</v>
      </c>
      <c r="AP2513">
        <v>3200</v>
      </c>
      <c r="AQ2513" t="s">
        <v>129</v>
      </c>
      <c r="AR2513">
        <v>116</v>
      </c>
      <c r="AS2513">
        <v>-74</v>
      </c>
      <c r="AT2513">
        <v>-320</v>
      </c>
      <c r="BB2513">
        <v>1200</v>
      </c>
      <c r="BC2513">
        <v>1</v>
      </c>
      <c r="BD2513" t="str">
        <f t="shared" si="901"/>
        <v xml:space="preserve">N887QR  </v>
      </c>
      <c r="BE2513">
        <v>1</v>
      </c>
      <c r="BJ2513">
        <v>2975</v>
      </c>
      <c r="BK2513">
        <v>-225</v>
      </c>
      <c r="BL2513" t="s">
        <v>163</v>
      </c>
      <c r="BM2513">
        <v>1</v>
      </c>
      <c r="BN2513">
        <v>1</v>
      </c>
      <c r="BO2513">
        <v>1</v>
      </c>
      <c r="BP2513">
        <v>0</v>
      </c>
      <c r="BS2513">
        <v>0</v>
      </c>
      <c r="BT2513">
        <v>0</v>
      </c>
      <c r="BU2513">
        <v>0</v>
      </c>
      <c r="CE2513" t="str">
        <f t="shared" si="904"/>
        <v>19:32:16.988</v>
      </c>
      <c r="CF2513">
        <v>987959666</v>
      </c>
      <c r="CS2513">
        <v>0</v>
      </c>
      <c r="CT2513">
        <v>2</v>
      </c>
      <c r="CU2513">
        <v>0</v>
      </c>
      <c r="CV2513">
        <v>2</v>
      </c>
      <c r="CW2513">
        <v>0</v>
      </c>
      <c r="CX2513">
        <v>0</v>
      </c>
      <c r="CY2513">
        <v>7</v>
      </c>
      <c r="CZ2513" t="s">
        <v>131</v>
      </c>
      <c r="DA2513">
        <v>286</v>
      </c>
      <c r="DB2513">
        <v>0</v>
      </c>
      <c r="DC2513" t="s">
        <v>132</v>
      </c>
      <c r="DD2513" t="s">
        <v>133</v>
      </c>
      <c r="DG2513">
        <v>847142</v>
      </c>
      <c r="DI2513">
        <v>1</v>
      </c>
      <c r="DJ2513">
        <v>0</v>
      </c>
      <c r="DK2513">
        <v>1</v>
      </c>
      <c r="DL2513">
        <v>0</v>
      </c>
      <c r="DM2513">
        <v>0</v>
      </c>
      <c r="DN2513">
        <v>1</v>
      </c>
      <c r="DO2513">
        <v>0</v>
      </c>
      <c r="DP2513">
        <v>0</v>
      </c>
      <c r="DQ2513">
        <v>0</v>
      </c>
      <c r="DR2513">
        <v>0</v>
      </c>
      <c r="DS2513">
        <v>0</v>
      </c>
    </row>
    <row r="2514" spans="1:123" x14ac:dyDescent="0.3">
      <c r="A2514" t="str">
        <f>"10/04/2022 19:32:18.588"</f>
        <v>10/04/2022 19:32:18.588</v>
      </c>
      <c r="C2514" t="str">
        <f t="shared" si="890"/>
        <v>FFDDD3C0</v>
      </c>
      <c r="D2514" t="s">
        <v>147</v>
      </c>
      <c r="E2514">
        <v>3</v>
      </c>
      <c r="H2514">
        <v>166</v>
      </c>
      <c r="I2514" t="s">
        <v>144</v>
      </c>
      <c r="J2514" t="s">
        <v>148</v>
      </c>
      <c r="K2514">
        <v>0</v>
      </c>
      <c r="L2514">
        <v>3</v>
      </c>
      <c r="M2514">
        <v>0</v>
      </c>
      <c r="N2514">
        <v>2</v>
      </c>
      <c r="O2514">
        <v>0</v>
      </c>
      <c r="P2514">
        <v>1</v>
      </c>
      <c r="Q2514">
        <v>0</v>
      </c>
      <c r="S2514" t="str">
        <f t="shared" ref="S2514:T2520" si="905">"19:32:18.000"</f>
        <v>19:32:18.000</v>
      </c>
      <c r="T2514" t="str">
        <f t="shared" si="905"/>
        <v>19:32:18.000</v>
      </c>
      <c r="U2514" t="str">
        <f t="shared" si="900"/>
        <v>AC3944</v>
      </c>
      <c r="V2514">
        <v>0</v>
      </c>
      <c r="W2514">
        <v>0</v>
      </c>
      <c r="X2514">
        <v>2</v>
      </c>
      <c r="Y2514">
        <v>0</v>
      </c>
      <c r="AA2514">
        <v>1</v>
      </c>
      <c r="AB2514">
        <v>8</v>
      </c>
      <c r="AC2514">
        <v>3</v>
      </c>
      <c r="AD2514">
        <v>0</v>
      </c>
      <c r="AE2514">
        <v>9</v>
      </c>
      <c r="AF2514" t="s">
        <v>138</v>
      </c>
      <c r="AG2514">
        <v>0</v>
      </c>
      <c r="AH2514">
        <v>3</v>
      </c>
      <c r="AI2514">
        <v>1</v>
      </c>
      <c r="AJ2514">
        <v>0</v>
      </c>
      <c r="AK2514" t="s">
        <v>864</v>
      </c>
      <c r="AL2514">
        <v>32.753484</v>
      </c>
      <c r="AM2514" t="s">
        <v>865</v>
      </c>
      <c r="AN2514">
        <v>-116.78155700000001</v>
      </c>
      <c r="AO2514">
        <v>25</v>
      </c>
      <c r="AP2514">
        <v>3200</v>
      </c>
      <c r="AQ2514" t="s">
        <v>129</v>
      </c>
      <c r="AR2514">
        <v>117</v>
      </c>
      <c r="AS2514">
        <v>-75</v>
      </c>
      <c r="AT2514">
        <v>-448</v>
      </c>
      <c r="BB2514">
        <v>1200</v>
      </c>
      <c r="BC2514">
        <v>1</v>
      </c>
      <c r="BD2514" t="str">
        <f t="shared" si="901"/>
        <v xml:space="preserve">N887QR  </v>
      </c>
      <c r="BE2514">
        <v>1</v>
      </c>
      <c r="BJ2514">
        <v>2950</v>
      </c>
      <c r="BK2514">
        <v>-250</v>
      </c>
      <c r="BL2514" t="s">
        <v>163</v>
      </c>
      <c r="BM2514">
        <v>1</v>
      </c>
      <c r="BN2514">
        <v>1</v>
      </c>
      <c r="BO2514">
        <v>1</v>
      </c>
      <c r="BP2514">
        <v>0</v>
      </c>
      <c r="BS2514">
        <v>0</v>
      </c>
      <c r="BT2514">
        <v>0</v>
      </c>
      <c r="BU2514">
        <v>0</v>
      </c>
      <c r="CE2514" t="str">
        <f t="shared" ref="CE2514:CE2520" si="906">"19:32:18.280"</f>
        <v>19:32:18.280</v>
      </c>
      <c r="CF2514">
        <v>280263390</v>
      </c>
      <c r="CS2514">
        <v>0</v>
      </c>
      <c r="CT2514">
        <v>2</v>
      </c>
      <c r="CU2514">
        <v>0</v>
      </c>
      <c r="CV2514">
        <v>2</v>
      </c>
      <c r="CW2514">
        <v>0</v>
      </c>
      <c r="CX2514">
        <v>5</v>
      </c>
      <c r="CY2514">
        <v>7</v>
      </c>
      <c r="CZ2514" t="s">
        <v>131</v>
      </c>
      <c r="DA2514">
        <v>300</v>
      </c>
      <c r="DB2514">
        <v>0</v>
      </c>
      <c r="DC2514" t="s">
        <v>176</v>
      </c>
      <c r="DD2514" t="s">
        <v>177</v>
      </c>
      <c r="DG2514">
        <v>5414494</v>
      </c>
      <c r="DI2514">
        <v>1</v>
      </c>
      <c r="DJ2514">
        <v>0</v>
      </c>
      <c r="DK2514">
        <v>0</v>
      </c>
      <c r="DL2514">
        <v>0</v>
      </c>
      <c r="DM2514">
        <v>0</v>
      </c>
      <c r="DN2514">
        <v>1</v>
      </c>
      <c r="DO2514">
        <v>0</v>
      </c>
      <c r="DP2514">
        <v>0</v>
      </c>
      <c r="DQ2514">
        <v>0</v>
      </c>
      <c r="DR2514">
        <v>0</v>
      </c>
      <c r="DS2514">
        <v>0</v>
      </c>
    </row>
    <row r="2515" spans="1:123" x14ac:dyDescent="0.3">
      <c r="A2515" t="str">
        <f>"10/04/2022 19:32:18.604"</f>
        <v>10/04/2022 19:32:18.604</v>
      </c>
      <c r="C2515" t="str">
        <f t="shared" si="890"/>
        <v>FFDDD3C0</v>
      </c>
      <c r="D2515" t="s">
        <v>134</v>
      </c>
      <c r="E2515">
        <v>15</v>
      </c>
      <c r="J2515" t="s">
        <v>135</v>
      </c>
      <c r="K2515">
        <v>0</v>
      </c>
      <c r="L2515">
        <v>3</v>
      </c>
      <c r="M2515">
        <v>0</v>
      </c>
      <c r="N2515">
        <v>2</v>
      </c>
      <c r="O2515">
        <v>0</v>
      </c>
      <c r="P2515">
        <v>1</v>
      </c>
      <c r="Q2515">
        <v>0</v>
      </c>
      <c r="S2515" t="str">
        <f t="shared" si="905"/>
        <v>19:32:18.000</v>
      </c>
      <c r="T2515" t="str">
        <f t="shared" si="905"/>
        <v>19:32:18.000</v>
      </c>
      <c r="U2515" t="str">
        <f t="shared" si="900"/>
        <v>AC3944</v>
      </c>
      <c r="V2515">
        <v>0</v>
      </c>
      <c r="W2515">
        <v>0</v>
      </c>
      <c r="X2515">
        <v>2</v>
      </c>
      <c r="Y2515">
        <v>0</v>
      </c>
      <c r="AA2515">
        <v>1</v>
      </c>
      <c r="AB2515">
        <v>8</v>
      </c>
      <c r="AC2515">
        <v>3</v>
      </c>
      <c r="AD2515">
        <v>0</v>
      </c>
      <c r="AE2515">
        <v>9</v>
      </c>
      <c r="AF2515" t="s">
        <v>138</v>
      </c>
      <c r="AG2515">
        <v>0</v>
      </c>
      <c r="AH2515">
        <v>3</v>
      </c>
      <c r="AI2515">
        <v>1</v>
      </c>
      <c r="AJ2515">
        <v>0</v>
      </c>
      <c r="AK2515" t="s">
        <v>864</v>
      </c>
      <c r="AL2515">
        <v>32.753484</v>
      </c>
      <c r="AM2515" t="s">
        <v>865</v>
      </c>
      <c r="AN2515">
        <v>-116.78155700000001</v>
      </c>
      <c r="AO2515">
        <v>25</v>
      </c>
      <c r="AP2515">
        <v>3200</v>
      </c>
      <c r="AQ2515" t="s">
        <v>129</v>
      </c>
      <c r="AR2515">
        <v>117</v>
      </c>
      <c r="AS2515">
        <v>-75</v>
      </c>
      <c r="AT2515">
        <v>-448</v>
      </c>
      <c r="BB2515">
        <v>1200</v>
      </c>
      <c r="BC2515">
        <v>1</v>
      </c>
      <c r="BD2515" t="str">
        <f t="shared" si="901"/>
        <v xml:space="preserve">N887QR  </v>
      </c>
      <c r="BE2515">
        <v>1</v>
      </c>
      <c r="BJ2515">
        <v>2950</v>
      </c>
      <c r="BK2515">
        <v>-250</v>
      </c>
      <c r="BL2515" t="s">
        <v>163</v>
      </c>
      <c r="BM2515">
        <v>1</v>
      </c>
      <c r="BN2515">
        <v>1</v>
      </c>
      <c r="BO2515">
        <v>1</v>
      </c>
      <c r="BP2515">
        <v>0</v>
      </c>
      <c r="BS2515">
        <v>0</v>
      </c>
      <c r="BT2515">
        <v>0</v>
      </c>
      <c r="BU2515">
        <v>0</v>
      </c>
      <c r="CE2515" t="str">
        <f t="shared" si="906"/>
        <v>19:32:18.280</v>
      </c>
      <c r="CF2515">
        <v>280263390</v>
      </c>
      <c r="CS2515">
        <v>0</v>
      </c>
      <c r="CT2515">
        <v>2</v>
      </c>
      <c r="CU2515">
        <v>0</v>
      </c>
      <c r="CV2515">
        <v>2</v>
      </c>
      <c r="CW2515">
        <v>0</v>
      </c>
      <c r="CX2515">
        <v>5</v>
      </c>
      <c r="CY2515">
        <v>7</v>
      </c>
      <c r="CZ2515" t="s">
        <v>131</v>
      </c>
      <c r="DA2515">
        <v>300</v>
      </c>
      <c r="DB2515">
        <v>0</v>
      </c>
      <c r="DC2515" t="s">
        <v>176</v>
      </c>
      <c r="DD2515" t="s">
        <v>177</v>
      </c>
      <c r="DG2515">
        <v>5414494</v>
      </c>
      <c r="DI2515">
        <v>1</v>
      </c>
      <c r="DJ2515">
        <v>0</v>
      </c>
      <c r="DK2515">
        <v>1</v>
      </c>
      <c r="DL2515">
        <v>0</v>
      </c>
      <c r="DM2515">
        <v>0</v>
      </c>
      <c r="DN2515">
        <v>1</v>
      </c>
      <c r="DO2515">
        <v>0</v>
      </c>
      <c r="DP2515">
        <v>0</v>
      </c>
      <c r="DQ2515">
        <v>0</v>
      </c>
      <c r="DR2515">
        <v>0</v>
      </c>
      <c r="DS2515">
        <v>0</v>
      </c>
    </row>
    <row r="2516" spans="1:123" x14ac:dyDescent="0.3">
      <c r="A2516" t="str">
        <f>"10/04/2022 19:32:18.651"</f>
        <v>10/04/2022 19:32:18.651</v>
      </c>
      <c r="C2516" t="str">
        <f t="shared" si="890"/>
        <v>FFDDD3C0</v>
      </c>
      <c r="D2516" t="s">
        <v>136</v>
      </c>
      <c r="E2516">
        <v>8</v>
      </c>
      <c r="H2516">
        <v>225</v>
      </c>
      <c r="I2516" t="s">
        <v>137</v>
      </c>
      <c r="J2516" t="s">
        <v>138</v>
      </c>
      <c r="K2516">
        <v>0</v>
      </c>
      <c r="L2516">
        <v>3</v>
      </c>
      <c r="M2516">
        <v>0</v>
      </c>
      <c r="N2516">
        <v>2</v>
      </c>
      <c r="O2516">
        <v>0</v>
      </c>
      <c r="P2516">
        <v>1</v>
      </c>
      <c r="Q2516">
        <v>0</v>
      </c>
      <c r="S2516" t="str">
        <f t="shared" si="905"/>
        <v>19:32:18.000</v>
      </c>
      <c r="T2516" t="str">
        <f t="shared" si="905"/>
        <v>19:32:18.000</v>
      </c>
      <c r="U2516" t="str">
        <f t="shared" si="900"/>
        <v>AC3944</v>
      </c>
      <c r="V2516">
        <v>0</v>
      </c>
      <c r="W2516">
        <v>0</v>
      </c>
      <c r="X2516">
        <v>2</v>
      </c>
      <c r="Y2516">
        <v>0</v>
      </c>
      <c r="AA2516">
        <v>1</v>
      </c>
      <c r="AB2516">
        <v>8</v>
      </c>
      <c r="AC2516">
        <v>3</v>
      </c>
      <c r="AD2516">
        <v>0</v>
      </c>
      <c r="AE2516">
        <v>9</v>
      </c>
      <c r="AF2516" t="s">
        <v>138</v>
      </c>
      <c r="AG2516">
        <v>0</v>
      </c>
      <c r="AH2516">
        <v>3</v>
      </c>
      <c r="AI2516">
        <v>1</v>
      </c>
      <c r="AJ2516">
        <v>0</v>
      </c>
      <c r="AK2516" t="s">
        <v>864</v>
      </c>
      <c r="AL2516">
        <v>32.753484</v>
      </c>
      <c r="AM2516" t="s">
        <v>865</v>
      </c>
      <c r="AN2516">
        <v>-116.78155700000001</v>
      </c>
      <c r="AO2516">
        <v>25</v>
      </c>
      <c r="AP2516">
        <v>3200</v>
      </c>
      <c r="AQ2516" t="s">
        <v>129</v>
      </c>
      <c r="AR2516">
        <v>117</v>
      </c>
      <c r="AS2516">
        <v>-75</v>
      </c>
      <c r="AT2516">
        <v>-448</v>
      </c>
      <c r="BB2516">
        <v>1200</v>
      </c>
      <c r="BC2516">
        <v>1</v>
      </c>
      <c r="BD2516" t="str">
        <f t="shared" si="901"/>
        <v xml:space="preserve">N887QR  </v>
      </c>
      <c r="BE2516">
        <v>1</v>
      </c>
      <c r="BJ2516">
        <v>2950</v>
      </c>
      <c r="BK2516">
        <v>-250</v>
      </c>
      <c r="BL2516" t="s">
        <v>163</v>
      </c>
      <c r="BM2516">
        <v>1</v>
      </c>
      <c r="BN2516">
        <v>1</v>
      </c>
      <c r="BO2516">
        <v>1</v>
      </c>
      <c r="BP2516">
        <v>0</v>
      </c>
      <c r="BS2516">
        <v>0</v>
      </c>
      <c r="BT2516">
        <v>0</v>
      </c>
      <c r="BU2516">
        <v>0</v>
      </c>
      <c r="CE2516" t="str">
        <f t="shared" si="906"/>
        <v>19:32:18.280</v>
      </c>
      <c r="CF2516">
        <v>280263390</v>
      </c>
      <c r="CS2516">
        <v>0</v>
      </c>
      <c r="CT2516">
        <v>2</v>
      </c>
      <c r="CU2516">
        <v>0</v>
      </c>
      <c r="CV2516">
        <v>2</v>
      </c>
      <c r="CW2516">
        <v>0</v>
      </c>
      <c r="CX2516">
        <v>5</v>
      </c>
      <c r="CY2516">
        <v>7</v>
      </c>
      <c r="CZ2516" t="s">
        <v>131</v>
      </c>
      <c r="DA2516">
        <v>300</v>
      </c>
      <c r="DB2516">
        <v>0</v>
      </c>
      <c r="DC2516" t="s">
        <v>176</v>
      </c>
      <c r="DD2516" t="s">
        <v>177</v>
      </c>
      <c r="DG2516">
        <v>5414494</v>
      </c>
      <c r="DI2516">
        <v>1</v>
      </c>
      <c r="DJ2516">
        <v>0</v>
      </c>
      <c r="DK2516">
        <v>1</v>
      </c>
      <c r="DL2516">
        <v>0</v>
      </c>
      <c r="DM2516">
        <v>0</v>
      </c>
      <c r="DN2516">
        <v>1</v>
      </c>
      <c r="DO2516">
        <v>0</v>
      </c>
      <c r="DP2516">
        <v>0</v>
      </c>
      <c r="DQ2516">
        <v>0</v>
      </c>
      <c r="DR2516">
        <v>0</v>
      </c>
      <c r="DS2516">
        <v>0</v>
      </c>
    </row>
    <row r="2517" spans="1:123" x14ac:dyDescent="0.3">
      <c r="A2517" t="str">
        <f>"10/04/2022 19:32:18.651"</f>
        <v>10/04/2022 19:32:18.651</v>
      </c>
      <c r="C2517" t="str">
        <f t="shared" si="890"/>
        <v>FFDDD3C0</v>
      </c>
      <c r="D2517" t="s">
        <v>143</v>
      </c>
      <c r="E2517">
        <v>20</v>
      </c>
      <c r="F2517">
        <v>1020</v>
      </c>
      <c r="G2517" t="s">
        <v>144</v>
      </c>
      <c r="J2517" t="s">
        <v>145</v>
      </c>
      <c r="K2517">
        <v>0</v>
      </c>
      <c r="L2517">
        <v>3</v>
      </c>
      <c r="M2517">
        <v>0</v>
      </c>
      <c r="N2517">
        <v>2</v>
      </c>
      <c r="O2517">
        <v>0</v>
      </c>
      <c r="P2517">
        <v>1</v>
      </c>
      <c r="Q2517">
        <v>0</v>
      </c>
      <c r="S2517" t="str">
        <f t="shared" si="905"/>
        <v>19:32:18.000</v>
      </c>
      <c r="T2517" t="str">
        <f t="shared" si="905"/>
        <v>19:32:18.000</v>
      </c>
      <c r="U2517" t="str">
        <f t="shared" si="900"/>
        <v>AC3944</v>
      </c>
      <c r="V2517">
        <v>0</v>
      </c>
      <c r="W2517">
        <v>0</v>
      </c>
      <c r="X2517">
        <v>2</v>
      </c>
      <c r="Y2517">
        <v>0</v>
      </c>
      <c r="AA2517">
        <v>1</v>
      </c>
      <c r="AB2517">
        <v>8</v>
      </c>
      <c r="AC2517">
        <v>3</v>
      </c>
      <c r="AD2517">
        <v>0</v>
      </c>
      <c r="AE2517">
        <v>9</v>
      </c>
      <c r="AF2517" t="s">
        <v>138</v>
      </c>
      <c r="AG2517">
        <v>0</v>
      </c>
      <c r="AH2517">
        <v>3</v>
      </c>
      <c r="AI2517">
        <v>1</v>
      </c>
      <c r="AJ2517">
        <v>0</v>
      </c>
      <c r="AK2517" t="s">
        <v>864</v>
      </c>
      <c r="AL2517">
        <v>32.753484</v>
      </c>
      <c r="AM2517" t="s">
        <v>865</v>
      </c>
      <c r="AN2517">
        <v>-116.78155700000001</v>
      </c>
      <c r="AO2517">
        <v>25</v>
      </c>
      <c r="AP2517">
        <v>3200</v>
      </c>
      <c r="AQ2517" t="s">
        <v>129</v>
      </c>
      <c r="AR2517">
        <v>117</v>
      </c>
      <c r="AS2517">
        <v>-75</v>
      </c>
      <c r="AT2517">
        <v>-448</v>
      </c>
      <c r="BB2517">
        <v>1200</v>
      </c>
      <c r="BC2517">
        <v>1</v>
      </c>
      <c r="BD2517" t="str">
        <f t="shared" si="901"/>
        <v xml:space="preserve">N887QR  </v>
      </c>
      <c r="BE2517">
        <v>1</v>
      </c>
      <c r="BJ2517">
        <v>2950</v>
      </c>
      <c r="BK2517">
        <v>-250</v>
      </c>
      <c r="BL2517" t="s">
        <v>163</v>
      </c>
      <c r="BM2517">
        <v>1</v>
      </c>
      <c r="BN2517">
        <v>1</v>
      </c>
      <c r="BO2517">
        <v>1</v>
      </c>
      <c r="BP2517">
        <v>0</v>
      </c>
      <c r="BS2517">
        <v>0</v>
      </c>
      <c r="BT2517">
        <v>0</v>
      </c>
      <c r="BU2517">
        <v>0</v>
      </c>
      <c r="CE2517" t="str">
        <f t="shared" si="906"/>
        <v>19:32:18.280</v>
      </c>
      <c r="CF2517">
        <v>280263390</v>
      </c>
      <c r="CS2517">
        <v>0</v>
      </c>
      <c r="CT2517">
        <v>2</v>
      </c>
      <c r="CU2517">
        <v>0</v>
      </c>
      <c r="CV2517">
        <v>2</v>
      </c>
      <c r="CW2517">
        <v>0</v>
      </c>
      <c r="CX2517">
        <v>5</v>
      </c>
      <c r="CY2517">
        <v>7</v>
      </c>
      <c r="CZ2517" t="s">
        <v>131</v>
      </c>
      <c r="DA2517">
        <v>300</v>
      </c>
      <c r="DB2517">
        <v>0</v>
      </c>
      <c r="DC2517" t="s">
        <v>176</v>
      </c>
      <c r="DD2517" t="s">
        <v>177</v>
      </c>
      <c r="DG2517">
        <v>5414494</v>
      </c>
      <c r="DI2517">
        <v>1</v>
      </c>
      <c r="DJ2517">
        <v>0</v>
      </c>
      <c r="DK2517">
        <v>1</v>
      </c>
      <c r="DL2517">
        <v>0</v>
      </c>
      <c r="DM2517">
        <v>0</v>
      </c>
      <c r="DN2517">
        <v>1</v>
      </c>
      <c r="DO2517">
        <v>0</v>
      </c>
      <c r="DP2517">
        <v>0</v>
      </c>
      <c r="DQ2517">
        <v>0</v>
      </c>
      <c r="DR2517">
        <v>0</v>
      </c>
      <c r="DS2517">
        <v>0</v>
      </c>
    </row>
    <row r="2518" spans="1:123" x14ac:dyDescent="0.3">
      <c r="A2518" t="str">
        <f>"10/04/2022 19:32:18.651"</f>
        <v>10/04/2022 19:32:18.651</v>
      </c>
      <c r="C2518" t="str">
        <f t="shared" si="890"/>
        <v>FFDDD3C0</v>
      </c>
      <c r="D2518" t="s">
        <v>141</v>
      </c>
      <c r="E2518">
        <v>3</v>
      </c>
      <c r="H2518">
        <v>3</v>
      </c>
      <c r="I2518" t="s">
        <v>146</v>
      </c>
      <c r="J2518" t="s">
        <v>138</v>
      </c>
      <c r="K2518">
        <v>0</v>
      </c>
      <c r="L2518">
        <v>3</v>
      </c>
      <c r="M2518">
        <v>0</v>
      </c>
      <c r="N2518">
        <v>2</v>
      </c>
      <c r="O2518">
        <v>0</v>
      </c>
      <c r="P2518">
        <v>1</v>
      </c>
      <c r="Q2518">
        <v>0</v>
      </c>
      <c r="S2518" t="str">
        <f t="shared" si="905"/>
        <v>19:32:18.000</v>
      </c>
      <c r="T2518" t="str">
        <f t="shared" si="905"/>
        <v>19:32:18.000</v>
      </c>
      <c r="U2518" t="str">
        <f t="shared" si="900"/>
        <v>AC3944</v>
      </c>
      <c r="V2518">
        <v>0</v>
      </c>
      <c r="W2518">
        <v>0</v>
      </c>
      <c r="X2518">
        <v>2</v>
      </c>
      <c r="Y2518">
        <v>0</v>
      </c>
      <c r="AA2518">
        <v>1</v>
      </c>
      <c r="AB2518">
        <v>8</v>
      </c>
      <c r="AC2518">
        <v>3</v>
      </c>
      <c r="AD2518">
        <v>0</v>
      </c>
      <c r="AE2518">
        <v>9</v>
      </c>
      <c r="AF2518" t="s">
        <v>138</v>
      </c>
      <c r="AG2518">
        <v>0</v>
      </c>
      <c r="AH2518">
        <v>3</v>
      </c>
      <c r="AI2518">
        <v>1</v>
      </c>
      <c r="AJ2518">
        <v>0</v>
      </c>
      <c r="AK2518" t="s">
        <v>864</v>
      </c>
      <c r="AL2518">
        <v>32.753484</v>
      </c>
      <c r="AM2518" t="s">
        <v>865</v>
      </c>
      <c r="AN2518">
        <v>-116.78155700000001</v>
      </c>
      <c r="AO2518">
        <v>25</v>
      </c>
      <c r="AP2518">
        <v>3200</v>
      </c>
      <c r="AQ2518" t="s">
        <v>129</v>
      </c>
      <c r="AR2518">
        <v>117</v>
      </c>
      <c r="AS2518">
        <v>-75</v>
      </c>
      <c r="AT2518">
        <v>-448</v>
      </c>
      <c r="BB2518">
        <v>1200</v>
      </c>
      <c r="BC2518">
        <v>1</v>
      </c>
      <c r="BD2518" t="str">
        <f t="shared" si="901"/>
        <v xml:space="preserve">N887QR  </v>
      </c>
      <c r="BE2518">
        <v>1</v>
      </c>
      <c r="BJ2518">
        <v>2950</v>
      </c>
      <c r="BK2518">
        <v>-250</v>
      </c>
      <c r="BL2518" t="s">
        <v>163</v>
      </c>
      <c r="BM2518">
        <v>1</v>
      </c>
      <c r="BN2518">
        <v>1</v>
      </c>
      <c r="BO2518">
        <v>1</v>
      </c>
      <c r="BP2518">
        <v>0</v>
      </c>
      <c r="BS2518">
        <v>0</v>
      </c>
      <c r="BT2518">
        <v>0</v>
      </c>
      <c r="BU2518">
        <v>0</v>
      </c>
      <c r="CE2518" t="str">
        <f t="shared" si="906"/>
        <v>19:32:18.280</v>
      </c>
      <c r="CF2518">
        <v>280263390</v>
      </c>
      <c r="CS2518">
        <v>0</v>
      </c>
      <c r="CT2518">
        <v>2</v>
      </c>
      <c r="CU2518">
        <v>0</v>
      </c>
      <c r="CV2518">
        <v>2</v>
      </c>
      <c r="CW2518">
        <v>0</v>
      </c>
      <c r="CX2518">
        <v>5</v>
      </c>
      <c r="CY2518">
        <v>7</v>
      </c>
      <c r="CZ2518" t="s">
        <v>131</v>
      </c>
      <c r="DA2518">
        <v>300</v>
      </c>
      <c r="DB2518">
        <v>0</v>
      </c>
      <c r="DC2518" t="s">
        <v>176</v>
      </c>
      <c r="DD2518" t="s">
        <v>177</v>
      </c>
      <c r="DG2518">
        <v>5414494</v>
      </c>
      <c r="DI2518">
        <v>1</v>
      </c>
      <c r="DJ2518">
        <v>0</v>
      </c>
      <c r="DK2518">
        <v>1</v>
      </c>
      <c r="DL2518">
        <v>0</v>
      </c>
      <c r="DM2518">
        <v>0</v>
      </c>
      <c r="DN2518">
        <v>1</v>
      </c>
      <c r="DO2518">
        <v>0</v>
      </c>
      <c r="DP2518">
        <v>0</v>
      </c>
      <c r="DQ2518">
        <v>0</v>
      </c>
      <c r="DR2518">
        <v>0</v>
      </c>
      <c r="DS2518">
        <v>0</v>
      </c>
    </row>
    <row r="2519" spans="1:123" x14ac:dyDescent="0.3">
      <c r="A2519" t="str">
        <f>"10/04/2022 19:32:18.651"</f>
        <v>10/04/2022 19:32:18.651</v>
      </c>
      <c r="C2519" t="str">
        <f t="shared" si="890"/>
        <v>FFDDD3C0</v>
      </c>
      <c r="D2519" t="s">
        <v>141</v>
      </c>
      <c r="E2519">
        <v>4</v>
      </c>
      <c r="H2519">
        <v>4</v>
      </c>
      <c r="I2519" t="s">
        <v>142</v>
      </c>
      <c r="J2519" t="s">
        <v>138</v>
      </c>
      <c r="K2519">
        <v>0</v>
      </c>
      <c r="L2519">
        <v>3</v>
      </c>
      <c r="M2519">
        <v>0</v>
      </c>
      <c r="N2519">
        <v>2</v>
      </c>
      <c r="O2519">
        <v>0</v>
      </c>
      <c r="P2519">
        <v>1</v>
      </c>
      <c r="Q2519">
        <v>0</v>
      </c>
      <c r="S2519" t="str">
        <f t="shared" si="905"/>
        <v>19:32:18.000</v>
      </c>
      <c r="T2519" t="str">
        <f t="shared" si="905"/>
        <v>19:32:18.000</v>
      </c>
      <c r="U2519" t="str">
        <f t="shared" si="900"/>
        <v>AC3944</v>
      </c>
      <c r="V2519">
        <v>0</v>
      </c>
      <c r="W2519">
        <v>0</v>
      </c>
      <c r="X2519">
        <v>2</v>
      </c>
      <c r="Y2519">
        <v>0</v>
      </c>
      <c r="AA2519">
        <v>1</v>
      </c>
      <c r="AB2519">
        <v>8</v>
      </c>
      <c r="AC2519">
        <v>3</v>
      </c>
      <c r="AD2519">
        <v>0</v>
      </c>
      <c r="AE2519">
        <v>9</v>
      </c>
      <c r="AF2519" t="s">
        <v>138</v>
      </c>
      <c r="AG2519">
        <v>0</v>
      </c>
      <c r="AH2519">
        <v>3</v>
      </c>
      <c r="AI2519">
        <v>1</v>
      </c>
      <c r="AJ2519">
        <v>0</v>
      </c>
      <c r="AK2519" t="s">
        <v>864</v>
      </c>
      <c r="AL2519">
        <v>32.753484</v>
      </c>
      <c r="AM2519" t="s">
        <v>865</v>
      </c>
      <c r="AN2519">
        <v>-116.78155700000001</v>
      </c>
      <c r="AO2519">
        <v>25</v>
      </c>
      <c r="AP2519">
        <v>3200</v>
      </c>
      <c r="AQ2519" t="s">
        <v>129</v>
      </c>
      <c r="AR2519">
        <v>117</v>
      </c>
      <c r="AS2519">
        <v>-75</v>
      </c>
      <c r="AT2519">
        <v>-448</v>
      </c>
      <c r="BB2519">
        <v>1200</v>
      </c>
      <c r="BC2519">
        <v>1</v>
      </c>
      <c r="BD2519" t="str">
        <f t="shared" si="901"/>
        <v xml:space="preserve">N887QR  </v>
      </c>
      <c r="BE2519">
        <v>1</v>
      </c>
      <c r="BJ2519">
        <v>2950</v>
      </c>
      <c r="BK2519">
        <v>-250</v>
      </c>
      <c r="BL2519" t="s">
        <v>163</v>
      </c>
      <c r="BM2519">
        <v>1</v>
      </c>
      <c r="BN2519">
        <v>1</v>
      </c>
      <c r="BO2519">
        <v>1</v>
      </c>
      <c r="BP2519">
        <v>0</v>
      </c>
      <c r="BS2519">
        <v>0</v>
      </c>
      <c r="BT2519">
        <v>0</v>
      </c>
      <c r="BU2519">
        <v>0</v>
      </c>
      <c r="CE2519" t="str">
        <f t="shared" si="906"/>
        <v>19:32:18.280</v>
      </c>
      <c r="CF2519">
        <v>280263390</v>
      </c>
      <c r="CS2519">
        <v>0</v>
      </c>
      <c r="CT2519">
        <v>2</v>
      </c>
      <c r="CU2519">
        <v>0</v>
      </c>
      <c r="CV2519">
        <v>2</v>
      </c>
      <c r="CW2519">
        <v>0</v>
      </c>
      <c r="CX2519">
        <v>5</v>
      </c>
      <c r="CY2519">
        <v>7</v>
      </c>
      <c r="CZ2519" t="s">
        <v>131</v>
      </c>
      <c r="DA2519">
        <v>300</v>
      </c>
      <c r="DB2519">
        <v>0</v>
      </c>
      <c r="DC2519" t="s">
        <v>176</v>
      </c>
      <c r="DD2519" t="s">
        <v>177</v>
      </c>
      <c r="DG2519">
        <v>5414494</v>
      </c>
      <c r="DI2519">
        <v>1</v>
      </c>
      <c r="DJ2519">
        <v>0</v>
      </c>
      <c r="DK2519">
        <v>1</v>
      </c>
      <c r="DL2519">
        <v>0</v>
      </c>
      <c r="DM2519">
        <v>0</v>
      </c>
      <c r="DN2519">
        <v>1</v>
      </c>
      <c r="DO2519">
        <v>0</v>
      </c>
      <c r="DP2519">
        <v>0</v>
      </c>
      <c r="DQ2519">
        <v>0</v>
      </c>
      <c r="DR2519">
        <v>0</v>
      </c>
      <c r="DS2519">
        <v>0</v>
      </c>
    </row>
    <row r="2520" spans="1:123" x14ac:dyDescent="0.3">
      <c r="A2520" t="str">
        <f>"10/04/2022 19:32:18.651"</f>
        <v>10/04/2022 19:32:18.651</v>
      </c>
      <c r="C2520" t="str">
        <f t="shared" si="890"/>
        <v>FFDDD3C0</v>
      </c>
      <c r="D2520" t="s">
        <v>123</v>
      </c>
      <c r="E2520">
        <v>7</v>
      </c>
      <c r="F2520">
        <v>2007</v>
      </c>
      <c r="G2520" t="s">
        <v>124</v>
      </c>
      <c r="J2520" t="s">
        <v>125</v>
      </c>
      <c r="K2520">
        <v>0</v>
      </c>
      <c r="L2520">
        <v>3</v>
      </c>
      <c r="M2520">
        <v>0</v>
      </c>
      <c r="N2520">
        <v>2</v>
      </c>
      <c r="O2520">
        <v>0</v>
      </c>
      <c r="P2520">
        <v>1</v>
      </c>
      <c r="Q2520">
        <v>0</v>
      </c>
      <c r="S2520" t="str">
        <f t="shared" si="905"/>
        <v>19:32:18.000</v>
      </c>
      <c r="T2520" t="str">
        <f t="shared" si="905"/>
        <v>19:32:18.000</v>
      </c>
      <c r="U2520" t="str">
        <f t="shared" si="900"/>
        <v>AC3944</v>
      </c>
      <c r="V2520">
        <v>0</v>
      </c>
      <c r="W2520">
        <v>0</v>
      </c>
      <c r="X2520">
        <v>2</v>
      </c>
      <c r="Y2520">
        <v>0</v>
      </c>
      <c r="AA2520">
        <v>1</v>
      </c>
      <c r="AB2520">
        <v>8</v>
      </c>
      <c r="AC2520">
        <v>3</v>
      </c>
      <c r="AD2520">
        <v>0</v>
      </c>
      <c r="AE2520">
        <v>9</v>
      </c>
      <c r="AF2520" t="s">
        <v>138</v>
      </c>
      <c r="AG2520">
        <v>0</v>
      </c>
      <c r="AH2520">
        <v>3</v>
      </c>
      <c r="AI2520">
        <v>1</v>
      </c>
      <c r="AJ2520">
        <v>0</v>
      </c>
      <c r="AK2520" t="s">
        <v>864</v>
      </c>
      <c r="AL2520">
        <v>32.753484</v>
      </c>
      <c r="AM2520" t="s">
        <v>865</v>
      </c>
      <c r="AN2520">
        <v>-116.78155700000001</v>
      </c>
      <c r="AO2520">
        <v>25</v>
      </c>
      <c r="AP2520">
        <v>3200</v>
      </c>
      <c r="AQ2520" t="s">
        <v>129</v>
      </c>
      <c r="AR2520">
        <v>117</v>
      </c>
      <c r="AS2520">
        <v>-75</v>
      </c>
      <c r="AT2520">
        <v>-448</v>
      </c>
      <c r="BB2520">
        <v>1200</v>
      </c>
      <c r="BC2520">
        <v>1</v>
      </c>
      <c r="BD2520" t="str">
        <f t="shared" si="901"/>
        <v xml:space="preserve">N887QR  </v>
      </c>
      <c r="BE2520">
        <v>1</v>
      </c>
      <c r="BJ2520">
        <v>2950</v>
      </c>
      <c r="BK2520">
        <v>-250</v>
      </c>
      <c r="BL2520" t="s">
        <v>163</v>
      </c>
      <c r="BM2520">
        <v>1</v>
      </c>
      <c r="BN2520">
        <v>1</v>
      </c>
      <c r="BO2520">
        <v>1</v>
      </c>
      <c r="BP2520">
        <v>0</v>
      </c>
      <c r="BS2520">
        <v>0</v>
      </c>
      <c r="BT2520">
        <v>0</v>
      </c>
      <c r="BU2520">
        <v>0</v>
      </c>
      <c r="CE2520" t="str">
        <f t="shared" si="906"/>
        <v>19:32:18.280</v>
      </c>
      <c r="CF2520">
        <v>280263390</v>
      </c>
      <c r="CS2520">
        <v>0</v>
      </c>
      <c r="CT2520">
        <v>2</v>
      </c>
      <c r="CU2520">
        <v>0</v>
      </c>
      <c r="CV2520">
        <v>2</v>
      </c>
      <c r="CW2520">
        <v>0</v>
      </c>
      <c r="CX2520">
        <v>5</v>
      </c>
      <c r="CY2520">
        <v>7</v>
      </c>
      <c r="CZ2520" t="s">
        <v>131</v>
      </c>
      <c r="DA2520">
        <v>300</v>
      </c>
      <c r="DB2520">
        <v>0</v>
      </c>
      <c r="DC2520" t="s">
        <v>176</v>
      </c>
      <c r="DD2520" t="s">
        <v>177</v>
      </c>
      <c r="DG2520">
        <v>5414494</v>
      </c>
      <c r="DI2520">
        <v>1</v>
      </c>
      <c r="DJ2520">
        <v>0</v>
      </c>
      <c r="DK2520">
        <v>1</v>
      </c>
      <c r="DL2520">
        <v>0</v>
      </c>
      <c r="DM2520">
        <v>0</v>
      </c>
      <c r="DN2520">
        <v>1</v>
      </c>
      <c r="DO2520">
        <v>0</v>
      </c>
      <c r="DP2520">
        <v>0</v>
      </c>
      <c r="DQ2520">
        <v>0</v>
      </c>
      <c r="DR2520">
        <v>0</v>
      </c>
      <c r="DS2520">
        <v>0</v>
      </c>
    </row>
    <row r="2521" spans="1:123" x14ac:dyDescent="0.3">
      <c r="A2521" t="str">
        <f t="shared" ref="A2521:A2527" si="907">"10/04/2022 19:32:19.604"</f>
        <v>10/04/2022 19:32:19.604</v>
      </c>
      <c r="C2521" t="str">
        <f t="shared" si="890"/>
        <v>FFDDD3C0</v>
      </c>
      <c r="D2521" t="s">
        <v>134</v>
      </c>
      <c r="E2521">
        <v>15</v>
      </c>
      <c r="J2521" t="s">
        <v>135</v>
      </c>
      <c r="K2521">
        <v>0</v>
      </c>
      <c r="L2521">
        <v>3</v>
      </c>
      <c r="M2521">
        <v>0</v>
      </c>
      <c r="N2521">
        <v>2</v>
      </c>
      <c r="O2521">
        <v>0</v>
      </c>
      <c r="P2521">
        <v>1</v>
      </c>
      <c r="Q2521">
        <v>0</v>
      </c>
      <c r="S2521" t="str">
        <f t="shared" ref="S2521:T2534" si="908">"19:32:19.000"</f>
        <v>19:32:19.000</v>
      </c>
      <c r="T2521" t="str">
        <f t="shared" si="908"/>
        <v>19:32:19.000</v>
      </c>
      <c r="U2521" t="str">
        <f t="shared" si="900"/>
        <v>AC3944</v>
      </c>
      <c r="V2521">
        <v>0</v>
      </c>
      <c r="W2521">
        <v>0</v>
      </c>
      <c r="X2521">
        <v>2</v>
      </c>
      <c r="Y2521">
        <v>0</v>
      </c>
      <c r="AA2521">
        <v>1</v>
      </c>
      <c r="AB2521">
        <v>8</v>
      </c>
      <c r="AC2521">
        <v>3</v>
      </c>
      <c r="AD2521">
        <v>0</v>
      </c>
      <c r="AE2521">
        <v>9</v>
      </c>
      <c r="AF2521" t="s">
        <v>138</v>
      </c>
      <c r="AG2521">
        <v>0</v>
      </c>
      <c r="AH2521">
        <v>3</v>
      </c>
      <c r="AI2521">
        <v>1</v>
      </c>
      <c r="AJ2521">
        <v>0</v>
      </c>
      <c r="AK2521" t="s">
        <v>866</v>
      </c>
      <c r="AL2521">
        <v>32.753140999999999</v>
      </c>
      <c r="AM2521" t="s">
        <v>867</v>
      </c>
      <c r="AN2521">
        <v>-116.780913</v>
      </c>
      <c r="AO2521">
        <v>25</v>
      </c>
      <c r="AP2521">
        <v>3200</v>
      </c>
      <c r="AQ2521" t="s">
        <v>129</v>
      </c>
      <c r="AR2521">
        <v>118</v>
      </c>
      <c r="AS2521">
        <v>-76</v>
      </c>
      <c r="AT2521">
        <v>-448</v>
      </c>
      <c r="BB2521">
        <v>1200</v>
      </c>
      <c r="BC2521">
        <v>1</v>
      </c>
      <c r="BD2521" t="str">
        <f t="shared" si="901"/>
        <v xml:space="preserve">N887QR  </v>
      </c>
      <c r="BE2521">
        <v>1</v>
      </c>
      <c r="BJ2521">
        <v>2950</v>
      </c>
      <c r="BK2521">
        <v>-250</v>
      </c>
      <c r="BL2521" t="s">
        <v>163</v>
      </c>
      <c r="BM2521">
        <v>1</v>
      </c>
      <c r="BN2521">
        <v>1</v>
      </c>
      <c r="BO2521">
        <v>1</v>
      </c>
      <c r="BP2521">
        <v>0</v>
      </c>
      <c r="BS2521">
        <v>0</v>
      </c>
      <c r="BT2521">
        <v>0</v>
      </c>
      <c r="BU2521">
        <v>0</v>
      </c>
      <c r="CE2521" t="str">
        <f t="shared" ref="CE2521:CE2527" si="909">"19:32:19.354"</f>
        <v>19:32:19.354</v>
      </c>
      <c r="CF2521">
        <v>354016981</v>
      </c>
      <c r="CS2521">
        <v>0</v>
      </c>
      <c r="CT2521">
        <v>2</v>
      </c>
      <c r="CU2521">
        <v>0</v>
      </c>
      <c r="CV2521">
        <v>2</v>
      </c>
      <c r="CW2521">
        <v>0</v>
      </c>
      <c r="CX2521">
        <v>5</v>
      </c>
      <c r="CY2521">
        <v>7</v>
      </c>
      <c r="CZ2521" t="s">
        <v>131</v>
      </c>
      <c r="DA2521">
        <v>300</v>
      </c>
      <c r="DB2521">
        <v>0</v>
      </c>
      <c r="DC2521" t="s">
        <v>176</v>
      </c>
      <c r="DD2521" t="s">
        <v>177</v>
      </c>
      <c r="DG2521">
        <v>5414674</v>
      </c>
      <c r="DI2521">
        <v>1</v>
      </c>
      <c r="DJ2521">
        <v>0</v>
      </c>
      <c r="DK2521">
        <v>0</v>
      </c>
      <c r="DL2521">
        <v>0</v>
      </c>
      <c r="DM2521">
        <v>0</v>
      </c>
      <c r="DN2521">
        <v>1</v>
      </c>
      <c r="DO2521">
        <v>0</v>
      </c>
      <c r="DP2521">
        <v>0</v>
      </c>
      <c r="DQ2521">
        <v>0</v>
      </c>
      <c r="DR2521">
        <v>0</v>
      </c>
      <c r="DS2521">
        <v>0</v>
      </c>
    </row>
    <row r="2522" spans="1:123" x14ac:dyDescent="0.3">
      <c r="A2522" t="str">
        <f t="shared" si="907"/>
        <v>10/04/2022 19:32:19.604</v>
      </c>
      <c r="C2522" t="str">
        <f t="shared" si="890"/>
        <v>FFDDD3C0</v>
      </c>
      <c r="D2522" t="s">
        <v>136</v>
      </c>
      <c r="E2522">
        <v>8</v>
      </c>
      <c r="H2522">
        <v>225</v>
      </c>
      <c r="I2522" t="s">
        <v>137</v>
      </c>
      <c r="J2522" t="s">
        <v>138</v>
      </c>
      <c r="K2522">
        <v>0</v>
      </c>
      <c r="L2522">
        <v>3</v>
      </c>
      <c r="M2522">
        <v>0</v>
      </c>
      <c r="N2522">
        <v>2</v>
      </c>
      <c r="O2522">
        <v>0</v>
      </c>
      <c r="P2522">
        <v>1</v>
      </c>
      <c r="Q2522">
        <v>0</v>
      </c>
      <c r="S2522" t="str">
        <f t="shared" si="908"/>
        <v>19:32:19.000</v>
      </c>
      <c r="T2522" t="str">
        <f t="shared" si="908"/>
        <v>19:32:19.000</v>
      </c>
      <c r="U2522" t="str">
        <f t="shared" si="900"/>
        <v>AC3944</v>
      </c>
      <c r="V2522">
        <v>0</v>
      </c>
      <c r="W2522">
        <v>0</v>
      </c>
      <c r="X2522">
        <v>2</v>
      </c>
      <c r="Y2522">
        <v>0</v>
      </c>
      <c r="AA2522">
        <v>1</v>
      </c>
      <c r="AB2522">
        <v>8</v>
      </c>
      <c r="AC2522">
        <v>3</v>
      </c>
      <c r="AD2522">
        <v>0</v>
      </c>
      <c r="AE2522">
        <v>9</v>
      </c>
      <c r="AF2522" t="s">
        <v>138</v>
      </c>
      <c r="AG2522">
        <v>0</v>
      </c>
      <c r="AH2522">
        <v>3</v>
      </c>
      <c r="AI2522">
        <v>1</v>
      </c>
      <c r="AJ2522">
        <v>0</v>
      </c>
      <c r="AK2522" t="s">
        <v>866</v>
      </c>
      <c r="AL2522">
        <v>32.753140999999999</v>
      </c>
      <c r="AM2522" t="s">
        <v>867</v>
      </c>
      <c r="AN2522">
        <v>-116.780913</v>
      </c>
      <c r="AO2522">
        <v>25</v>
      </c>
      <c r="AP2522">
        <v>3200</v>
      </c>
      <c r="AQ2522" t="s">
        <v>129</v>
      </c>
      <c r="AR2522">
        <v>118</v>
      </c>
      <c r="AS2522">
        <v>-76</v>
      </c>
      <c r="AT2522">
        <v>-448</v>
      </c>
      <c r="BB2522">
        <v>1200</v>
      </c>
      <c r="BC2522">
        <v>1</v>
      </c>
      <c r="BD2522" t="str">
        <f t="shared" si="901"/>
        <v xml:space="preserve">N887QR  </v>
      </c>
      <c r="BE2522">
        <v>1</v>
      </c>
      <c r="BJ2522">
        <v>2950</v>
      </c>
      <c r="BK2522">
        <v>-250</v>
      </c>
      <c r="BL2522" t="s">
        <v>163</v>
      </c>
      <c r="BM2522">
        <v>1</v>
      </c>
      <c r="BN2522">
        <v>1</v>
      </c>
      <c r="BO2522">
        <v>1</v>
      </c>
      <c r="BP2522">
        <v>0</v>
      </c>
      <c r="BS2522">
        <v>0</v>
      </c>
      <c r="BT2522">
        <v>0</v>
      </c>
      <c r="BU2522">
        <v>0</v>
      </c>
      <c r="CE2522" t="str">
        <f t="shared" si="909"/>
        <v>19:32:19.354</v>
      </c>
      <c r="CF2522">
        <v>354016981</v>
      </c>
      <c r="CS2522">
        <v>0</v>
      </c>
      <c r="CT2522">
        <v>2</v>
      </c>
      <c r="CU2522">
        <v>0</v>
      </c>
      <c r="CV2522">
        <v>2</v>
      </c>
      <c r="CW2522">
        <v>0</v>
      </c>
      <c r="CX2522">
        <v>5</v>
      </c>
      <c r="CY2522">
        <v>7</v>
      </c>
      <c r="CZ2522" t="s">
        <v>131</v>
      </c>
      <c r="DA2522">
        <v>300</v>
      </c>
      <c r="DB2522">
        <v>0</v>
      </c>
      <c r="DC2522" t="s">
        <v>176</v>
      </c>
      <c r="DD2522" t="s">
        <v>177</v>
      </c>
      <c r="DG2522">
        <v>5414674</v>
      </c>
      <c r="DI2522">
        <v>1</v>
      </c>
      <c r="DJ2522">
        <v>0</v>
      </c>
      <c r="DK2522">
        <v>1</v>
      </c>
      <c r="DL2522">
        <v>0</v>
      </c>
      <c r="DM2522">
        <v>0</v>
      </c>
      <c r="DN2522">
        <v>1</v>
      </c>
      <c r="DO2522">
        <v>0</v>
      </c>
      <c r="DP2522">
        <v>0</v>
      </c>
      <c r="DQ2522">
        <v>0</v>
      </c>
      <c r="DR2522">
        <v>0</v>
      </c>
      <c r="DS2522">
        <v>0</v>
      </c>
    </row>
    <row r="2523" spans="1:123" x14ac:dyDescent="0.3">
      <c r="A2523" t="str">
        <f t="shared" si="907"/>
        <v>10/04/2022 19:32:19.604</v>
      </c>
      <c r="C2523" t="str">
        <f t="shared" si="890"/>
        <v>FFDDD3C0</v>
      </c>
      <c r="D2523" t="s">
        <v>141</v>
      </c>
      <c r="E2523">
        <v>3</v>
      </c>
      <c r="H2523">
        <v>3</v>
      </c>
      <c r="I2523" t="s">
        <v>146</v>
      </c>
      <c r="J2523" t="s">
        <v>138</v>
      </c>
      <c r="K2523">
        <v>0</v>
      </c>
      <c r="L2523">
        <v>3</v>
      </c>
      <c r="M2523">
        <v>0</v>
      </c>
      <c r="N2523">
        <v>2</v>
      </c>
      <c r="O2523">
        <v>0</v>
      </c>
      <c r="P2523">
        <v>1</v>
      </c>
      <c r="Q2523">
        <v>0</v>
      </c>
      <c r="S2523" t="str">
        <f t="shared" si="908"/>
        <v>19:32:19.000</v>
      </c>
      <c r="T2523" t="str">
        <f t="shared" si="908"/>
        <v>19:32:19.000</v>
      </c>
      <c r="U2523" t="str">
        <f t="shared" si="900"/>
        <v>AC3944</v>
      </c>
      <c r="V2523">
        <v>0</v>
      </c>
      <c r="W2523">
        <v>0</v>
      </c>
      <c r="X2523">
        <v>2</v>
      </c>
      <c r="Y2523">
        <v>0</v>
      </c>
      <c r="AA2523">
        <v>1</v>
      </c>
      <c r="AB2523">
        <v>8</v>
      </c>
      <c r="AC2523">
        <v>3</v>
      </c>
      <c r="AD2523">
        <v>0</v>
      </c>
      <c r="AE2523">
        <v>9</v>
      </c>
      <c r="AF2523" t="s">
        <v>138</v>
      </c>
      <c r="AG2523">
        <v>0</v>
      </c>
      <c r="AH2523">
        <v>3</v>
      </c>
      <c r="AI2523">
        <v>1</v>
      </c>
      <c r="AJ2523">
        <v>0</v>
      </c>
      <c r="AK2523" t="s">
        <v>866</v>
      </c>
      <c r="AL2523">
        <v>32.753140999999999</v>
      </c>
      <c r="AM2523" t="s">
        <v>867</v>
      </c>
      <c r="AN2523">
        <v>-116.780913</v>
      </c>
      <c r="AO2523">
        <v>25</v>
      </c>
      <c r="AP2523">
        <v>3200</v>
      </c>
      <c r="AQ2523" t="s">
        <v>129</v>
      </c>
      <c r="AR2523">
        <v>118</v>
      </c>
      <c r="AS2523">
        <v>-76</v>
      </c>
      <c r="AT2523">
        <v>-448</v>
      </c>
      <c r="BB2523">
        <v>1200</v>
      </c>
      <c r="BC2523">
        <v>1</v>
      </c>
      <c r="BD2523" t="str">
        <f t="shared" si="901"/>
        <v xml:space="preserve">N887QR  </v>
      </c>
      <c r="BE2523">
        <v>1</v>
      </c>
      <c r="BJ2523">
        <v>2950</v>
      </c>
      <c r="BK2523">
        <v>-250</v>
      </c>
      <c r="BL2523" t="s">
        <v>163</v>
      </c>
      <c r="BM2523">
        <v>1</v>
      </c>
      <c r="BN2523">
        <v>1</v>
      </c>
      <c r="BO2523">
        <v>1</v>
      </c>
      <c r="BP2523">
        <v>0</v>
      </c>
      <c r="BS2523">
        <v>0</v>
      </c>
      <c r="BT2523">
        <v>0</v>
      </c>
      <c r="BU2523">
        <v>0</v>
      </c>
      <c r="CE2523" t="str">
        <f t="shared" si="909"/>
        <v>19:32:19.354</v>
      </c>
      <c r="CF2523">
        <v>354016981</v>
      </c>
      <c r="CS2523">
        <v>0</v>
      </c>
      <c r="CT2523">
        <v>2</v>
      </c>
      <c r="CU2523">
        <v>0</v>
      </c>
      <c r="CV2523">
        <v>2</v>
      </c>
      <c r="CW2523">
        <v>0</v>
      </c>
      <c r="CX2523">
        <v>5</v>
      </c>
      <c r="CY2523">
        <v>7</v>
      </c>
      <c r="CZ2523" t="s">
        <v>131</v>
      </c>
      <c r="DA2523">
        <v>300</v>
      </c>
      <c r="DB2523">
        <v>0</v>
      </c>
      <c r="DC2523" t="s">
        <v>176</v>
      </c>
      <c r="DD2523" t="s">
        <v>177</v>
      </c>
      <c r="DG2523">
        <v>5414674</v>
      </c>
      <c r="DI2523">
        <v>1</v>
      </c>
      <c r="DJ2523">
        <v>0</v>
      </c>
      <c r="DK2523">
        <v>1</v>
      </c>
      <c r="DL2523">
        <v>0</v>
      </c>
      <c r="DM2523">
        <v>0</v>
      </c>
      <c r="DN2523">
        <v>1</v>
      </c>
      <c r="DO2523">
        <v>0</v>
      </c>
      <c r="DP2523">
        <v>0</v>
      </c>
      <c r="DQ2523">
        <v>0</v>
      </c>
      <c r="DR2523">
        <v>0</v>
      </c>
      <c r="DS2523">
        <v>0</v>
      </c>
    </row>
    <row r="2524" spans="1:123" x14ac:dyDescent="0.3">
      <c r="A2524" t="str">
        <f t="shared" si="907"/>
        <v>10/04/2022 19:32:19.604</v>
      </c>
      <c r="C2524" t="str">
        <f t="shared" si="890"/>
        <v>FFDDD3C0</v>
      </c>
      <c r="D2524" t="s">
        <v>143</v>
      </c>
      <c r="E2524">
        <v>20</v>
      </c>
      <c r="F2524">
        <v>1020</v>
      </c>
      <c r="G2524" t="s">
        <v>144</v>
      </c>
      <c r="J2524" t="s">
        <v>145</v>
      </c>
      <c r="K2524">
        <v>0</v>
      </c>
      <c r="L2524">
        <v>3</v>
      </c>
      <c r="M2524">
        <v>0</v>
      </c>
      <c r="N2524">
        <v>2</v>
      </c>
      <c r="O2524">
        <v>0</v>
      </c>
      <c r="P2524">
        <v>1</v>
      </c>
      <c r="Q2524">
        <v>0</v>
      </c>
      <c r="S2524" t="str">
        <f t="shared" si="908"/>
        <v>19:32:19.000</v>
      </c>
      <c r="T2524" t="str">
        <f t="shared" si="908"/>
        <v>19:32:19.000</v>
      </c>
      <c r="U2524" t="str">
        <f t="shared" si="900"/>
        <v>AC3944</v>
      </c>
      <c r="V2524">
        <v>0</v>
      </c>
      <c r="W2524">
        <v>0</v>
      </c>
      <c r="X2524">
        <v>2</v>
      </c>
      <c r="Y2524">
        <v>0</v>
      </c>
      <c r="AA2524">
        <v>1</v>
      </c>
      <c r="AB2524">
        <v>8</v>
      </c>
      <c r="AC2524">
        <v>3</v>
      </c>
      <c r="AD2524">
        <v>0</v>
      </c>
      <c r="AE2524">
        <v>9</v>
      </c>
      <c r="AF2524" t="s">
        <v>138</v>
      </c>
      <c r="AG2524">
        <v>0</v>
      </c>
      <c r="AH2524">
        <v>3</v>
      </c>
      <c r="AI2524">
        <v>1</v>
      </c>
      <c r="AJ2524">
        <v>0</v>
      </c>
      <c r="AK2524" t="s">
        <v>866</v>
      </c>
      <c r="AL2524">
        <v>32.753140999999999</v>
      </c>
      <c r="AM2524" t="s">
        <v>867</v>
      </c>
      <c r="AN2524">
        <v>-116.780913</v>
      </c>
      <c r="AO2524">
        <v>25</v>
      </c>
      <c r="AP2524">
        <v>3200</v>
      </c>
      <c r="AQ2524" t="s">
        <v>129</v>
      </c>
      <c r="AR2524">
        <v>118</v>
      </c>
      <c r="AS2524">
        <v>-76</v>
      </c>
      <c r="AT2524">
        <v>-448</v>
      </c>
      <c r="BB2524">
        <v>1200</v>
      </c>
      <c r="BC2524">
        <v>1</v>
      </c>
      <c r="BD2524" t="str">
        <f t="shared" si="901"/>
        <v xml:space="preserve">N887QR  </v>
      </c>
      <c r="BE2524">
        <v>1</v>
      </c>
      <c r="BJ2524">
        <v>2950</v>
      </c>
      <c r="BK2524">
        <v>-250</v>
      </c>
      <c r="BL2524" t="s">
        <v>163</v>
      </c>
      <c r="BM2524">
        <v>1</v>
      </c>
      <c r="BN2524">
        <v>1</v>
      </c>
      <c r="BO2524">
        <v>1</v>
      </c>
      <c r="BP2524">
        <v>0</v>
      </c>
      <c r="BS2524">
        <v>0</v>
      </c>
      <c r="BT2524">
        <v>0</v>
      </c>
      <c r="BU2524">
        <v>0</v>
      </c>
      <c r="CE2524" t="str">
        <f t="shared" si="909"/>
        <v>19:32:19.354</v>
      </c>
      <c r="CF2524">
        <v>354016981</v>
      </c>
      <c r="CS2524">
        <v>0</v>
      </c>
      <c r="CT2524">
        <v>2</v>
      </c>
      <c r="CU2524">
        <v>0</v>
      </c>
      <c r="CV2524">
        <v>2</v>
      </c>
      <c r="CW2524">
        <v>0</v>
      </c>
      <c r="CX2524">
        <v>5</v>
      </c>
      <c r="CY2524">
        <v>7</v>
      </c>
      <c r="CZ2524" t="s">
        <v>131</v>
      </c>
      <c r="DA2524">
        <v>300</v>
      </c>
      <c r="DB2524">
        <v>0</v>
      </c>
      <c r="DC2524" t="s">
        <v>176</v>
      </c>
      <c r="DD2524" t="s">
        <v>177</v>
      </c>
      <c r="DG2524">
        <v>5414674</v>
      </c>
      <c r="DI2524">
        <v>1</v>
      </c>
      <c r="DJ2524">
        <v>0</v>
      </c>
      <c r="DK2524">
        <v>1</v>
      </c>
      <c r="DL2524">
        <v>0</v>
      </c>
      <c r="DM2524">
        <v>0</v>
      </c>
      <c r="DN2524">
        <v>1</v>
      </c>
      <c r="DO2524">
        <v>0</v>
      </c>
      <c r="DP2524">
        <v>0</v>
      </c>
      <c r="DQ2524">
        <v>0</v>
      </c>
      <c r="DR2524">
        <v>0</v>
      </c>
      <c r="DS2524">
        <v>0</v>
      </c>
    </row>
    <row r="2525" spans="1:123" x14ac:dyDescent="0.3">
      <c r="A2525" t="str">
        <f t="shared" si="907"/>
        <v>10/04/2022 19:32:19.604</v>
      </c>
      <c r="C2525" t="str">
        <f t="shared" si="890"/>
        <v>FFDDD3C0</v>
      </c>
      <c r="D2525" t="s">
        <v>141</v>
      </c>
      <c r="E2525">
        <v>4</v>
      </c>
      <c r="H2525">
        <v>4</v>
      </c>
      <c r="I2525" t="s">
        <v>142</v>
      </c>
      <c r="J2525" t="s">
        <v>138</v>
      </c>
      <c r="K2525">
        <v>0</v>
      </c>
      <c r="L2525">
        <v>3</v>
      </c>
      <c r="M2525">
        <v>0</v>
      </c>
      <c r="N2525">
        <v>2</v>
      </c>
      <c r="O2525">
        <v>0</v>
      </c>
      <c r="P2525">
        <v>1</v>
      </c>
      <c r="Q2525">
        <v>0</v>
      </c>
      <c r="S2525" t="str">
        <f t="shared" si="908"/>
        <v>19:32:19.000</v>
      </c>
      <c r="T2525" t="str">
        <f t="shared" si="908"/>
        <v>19:32:19.000</v>
      </c>
      <c r="U2525" t="str">
        <f t="shared" si="900"/>
        <v>AC3944</v>
      </c>
      <c r="V2525">
        <v>0</v>
      </c>
      <c r="W2525">
        <v>0</v>
      </c>
      <c r="X2525">
        <v>2</v>
      </c>
      <c r="Y2525">
        <v>0</v>
      </c>
      <c r="AA2525">
        <v>1</v>
      </c>
      <c r="AB2525">
        <v>8</v>
      </c>
      <c r="AC2525">
        <v>3</v>
      </c>
      <c r="AD2525">
        <v>0</v>
      </c>
      <c r="AE2525">
        <v>9</v>
      </c>
      <c r="AF2525" t="s">
        <v>138</v>
      </c>
      <c r="AG2525">
        <v>0</v>
      </c>
      <c r="AH2525">
        <v>3</v>
      </c>
      <c r="AI2525">
        <v>1</v>
      </c>
      <c r="AJ2525">
        <v>0</v>
      </c>
      <c r="AK2525" t="s">
        <v>866</v>
      </c>
      <c r="AL2525">
        <v>32.753140999999999</v>
      </c>
      <c r="AM2525" t="s">
        <v>867</v>
      </c>
      <c r="AN2525">
        <v>-116.780913</v>
      </c>
      <c r="AO2525">
        <v>25</v>
      </c>
      <c r="AP2525">
        <v>3200</v>
      </c>
      <c r="AQ2525" t="s">
        <v>129</v>
      </c>
      <c r="AR2525">
        <v>118</v>
      </c>
      <c r="AS2525">
        <v>-76</v>
      </c>
      <c r="AT2525">
        <v>-448</v>
      </c>
      <c r="BB2525">
        <v>1200</v>
      </c>
      <c r="BC2525">
        <v>1</v>
      </c>
      <c r="BD2525" t="str">
        <f t="shared" si="901"/>
        <v xml:space="preserve">N887QR  </v>
      </c>
      <c r="BE2525">
        <v>1</v>
      </c>
      <c r="BJ2525">
        <v>2950</v>
      </c>
      <c r="BK2525">
        <v>-250</v>
      </c>
      <c r="BL2525" t="s">
        <v>163</v>
      </c>
      <c r="BM2525">
        <v>1</v>
      </c>
      <c r="BN2525">
        <v>1</v>
      </c>
      <c r="BO2525">
        <v>1</v>
      </c>
      <c r="BP2525">
        <v>0</v>
      </c>
      <c r="BS2525">
        <v>0</v>
      </c>
      <c r="BT2525">
        <v>0</v>
      </c>
      <c r="BU2525">
        <v>0</v>
      </c>
      <c r="CE2525" t="str">
        <f t="shared" si="909"/>
        <v>19:32:19.354</v>
      </c>
      <c r="CF2525">
        <v>354016981</v>
      </c>
      <c r="CS2525">
        <v>0</v>
      </c>
      <c r="CT2525">
        <v>2</v>
      </c>
      <c r="CU2525">
        <v>0</v>
      </c>
      <c r="CV2525">
        <v>2</v>
      </c>
      <c r="CW2525">
        <v>0</v>
      </c>
      <c r="CX2525">
        <v>5</v>
      </c>
      <c r="CY2525">
        <v>7</v>
      </c>
      <c r="CZ2525" t="s">
        <v>131</v>
      </c>
      <c r="DA2525">
        <v>300</v>
      </c>
      <c r="DB2525">
        <v>0</v>
      </c>
      <c r="DC2525" t="s">
        <v>176</v>
      </c>
      <c r="DD2525" t="s">
        <v>177</v>
      </c>
      <c r="DG2525">
        <v>5414674</v>
      </c>
      <c r="DI2525">
        <v>1</v>
      </c>
      <c r="DJ2525">
        <v>0</v>
      </c>
      <c r="DK2525">
        <v>1</v>
      </c>
      <c r="DL2525">
        <v>0</v>
      </c>
      <c r="DM2525">
        <v>0</v>
      </c>
      <c r="DN2525">
        <v>1</v>
      </c>
      <c r="DO2525">
        <v>0</v>
      </c>
      <c r="DP2525">
        <v>0</v>
      </c>
      <c r="DQ2525">
        <v>0</v>
      </c>
      <c r="DR2525">
        <v>0</v>
      </c>
      <c r="DS2525">
        <v>0</v>
      </c>
    </row>
    <row r="2526" spans="1:123" x14ac:dyDescent="0.3">
      <c r="A2526" t="str">
        <f t="shared" si="907"/>
        <v>10/04/2022 19:32:19.604</v>
      </c>
      <c r="C2526" t="str">
        <f t="shared" si="890"/>
        <v>FFDDD3C0</v>
      </c>
      <c r="D2526" t="s">
        <v>123</v>
      </c>
      <c r="E2526">
        <v>7</v>
      </c>
      <c r="F2526">
        <v>2007</v>
      </c>
      <c r="G2526" t="s">
        <v>124</v>
      </c>
      <c r="J2526" t="s">
        <v>125</v>
      </c>
      <c r="K2526">
        <v>0</v>
      </c>
      <c r="L2526">
        <v>3</v>
      </c>
      <c r="M2526">
        <v>0</v>
      </c>
      <c r="N2526">
        <v>2</v>
      </c>
      <c r="O2526">
        <v>0</v>
      </c>
      <c r="P2526">
        <v>1</v>
      </c>
      <c r="Q2526">
        <v>0</v>
      </c>
      <c r="S2526" t="str">
        <f t="shared" si="908"/>
        <v>19:32:19.000</v>
      </c>
      <c r="T2526" t="str">
        <f t="shared" si="908"/>
        <v>19:32:19.000</v>
      </c>
      <c r="U2526" t="str">
        <f t="shared" si="900"/>
        <v>AC3944</v>
      </c>
      <c r="V2526">
        <v>0</v>
      </c>
      <c r="W2526">
        <v>0</v>
      </c>
      <c r="X2526">
        <v>2</v>
      </c>
      <c r="Y2526">
        <v>0</v>
      </c>
      <c r="AA2526">
        <v>1</v>
      </c>
      <c r="AB2526">
        <v>8</v>
      </c>
      <c r="AC2526">
        <v>3</v>
      </c>
      <c r="AD2526">
        <v>0</v>
      </c>
      <c r="AE2526">
        <v>9</v>
      </c>
      <c r="AF2526" t="s">
        <v>138</v>
      </c>
      <c r="AG2526">
        <v>0</v>
      </c>
      <c r="AH2526">
        <v>3</v>
      </c>
      <c r="AI2526">
        <v>1</v>
      </c>
      <c r="AJ2526">
        <v>0</v>
      </c>
      <c r="AK2526" t="s">
        <v>866</v>
      </c>
      <c r="AL2526">
        <v>32.753140999999999</v>
      </c>
      <c r="AM2526" t="s">
        <v>867</v>
      </c>
      <c r="AN2526">
        <v>-116.780913</v>
      </c>
      <c r="AO2526">
        <v>25</v>
      </c>
      <c r="AP2526">
        <v>3200</v>
      </c>
      <c r="AQ2526" t="s">
        <v>129</v>
      </c>
      <c r="AR2526">
        <v>118</v>
      </c>
      <c r="AS2526">
        <v>-76</v>
      </c>
      <c r="AT2526">
        <v>-448</v>
      </c>
      <c r="BB2526">
        <v>1200</v>
      </c>
      <c r="BC2526">
        <v>1</v>
      </c>
      <c r="BD2526" t="str">
        <f t="shared" si="901"/>
        <v xml:space="preserve">N887QR  </v>
      </c>
      <c r="BE2526">
        <v>1</v>
      </c>
      <c r="BJ2526">
        <v>2950</v>
      </c>
      <c r="BK2526">
        <v>-250</v>
      </c>
      <c r="BL2526" t="s">
        <v>163</v>
      </c>
      <c r="BM2526">
        <v>1</v>
      </c>
      <c r="BN2526">
        <v>1</v>
      </c>
      <c r="BO2526">
        <v>1</v>
      </c>
      <c r="BP2526">
        <v>0</v>
      </c>
      <c r="BS2526">
        <v>0</v>
      </c>
      <c r="BT2526">
        <v>0</v>
      </c>
      <c r="BU2526">
        <v>0</v>
      </c>
      <c r="CE2526" t="str">
        <f t="shared" si="909"/>
        <v>19:32:19.354</v>
      </c>
      <c r="CF2526">
        <v>354016981</v>
      </c>
      <c r="CS2526">
        <v>0</v>
      </c>
      <c r="CT2526">
        <v>2</v>
      </c>
      <c r="CU2526">
        <v>0</v>
      </c>
      <c r="CV2526">
        <v>2</v>
      </c>
      <c r="CW2526">
        <v>0</v>
      </c>
      <c r="CX2526">
        <v>5</v>
      </c>
      <c r="CY2526">
        <v>7</v>
      </c>
      <c r="CZ2526" t="s">
        <v>131</v>
      </c>
      <c r="DA2526">
        <v>300</v>
      </c>
      <c r="DB2526">
        <v>0</v>
      </c>
      <c r="DC2526" t="s">
        <v>176</v>
      </c>
      <c r="DD2526" t="s">
        <v>177</v>
      </c>
      <c r="DG2526">
        <v>5414674</v>
      </c>
      <c r="DI2526">
        <v>1</v>
      </c>
      <c r="DJ2526">
        <v>0</v>
      </c>
      <c r="DK2526">
        <v>0</v>
      </c>
      <c r="DL2526">
        <v>0</v>
      </c>
      <c r="DM2526">
        <v>0</v>
      </c>
      <c r="DN2526">
        <v>1</v>
      </c>
      <c r="DO2526">
        <v>0</v>
      </c>
      <c r="DP2526">
        <v>0</v>
      </c>
      <c r="DQ2526">
        <v>0</v>
      </c>
      <c r="DR2526">
        <v>0</v>
      </c>
      <c r="DS2526">
        <v>0</v>
      </c>
    </row>
    <row r="2527" spans="1:123" x14ac:dyDescent="0.3">
      <c r="A2527" t="str">
        <f t="shared" si="907"/>
        <v>10/04/2022 19:32:19.604</v>
      </c>
      <c r="C2527" t="str">
        <f t="shared" si="890"/>
        <v>FFDDD3C0</v>
      </c>
      <c r="D2527" t="s">
        <v>147</v>
      </c>
      <c r="E2527">
        <v>3</v>
      </c>
      <c r="H2527">
        <v>166</v>
      </c>
      <c r="I2527" t="s">
        <v>144</v>
      </c>
      <c r="J2527" t="s">
        <v>148</v>
      </c>
      <c r="K2527">
        <v>0</v>
      </c>
      <c r="L2527">
        <v>3</v>
      </c>
      <c r="M2527">
        <v>0</v>
      </c>
      <c r="N2527">
        <v>2</v>
      </c>
      <c r="O2527">
        <v>0</v>
      </c>
      <c r="P2527">
        <v>1</v>
      </c>
      <c r="Q2527">
        <v>0</v>
      </c>
      <c r="S2527" t="str">
        <f t="shared" si="908"/>
        <v>19:32:19.000</v>
      </c>
      <c r="T2527" t="str">
        <f t="shared" si="908"/>
        <v>19:32:19.000</v>
      </c>
      <c r="U2527" t="str">
        <f t="shared" si="900"/>
        <v>AC3944</v>
      </c>
      <c r="V2527">
        <v>0</v>
      </c>
      <c r="W2527">
        <v>0</v>
      </c>
      <c r="X2527">
        <v>2</v>
      </c>
      <c r="Y2527">
        <v>0</v>
      </c>
      <c r="AA2527">
        <v>1</v>
      </c>
      <c r="AB2527">
        <v>8</v>
      </c>
      <c r="AC2527">
        <v>3</v>
      </c>
      <c r="AD2527">
        <v>0</v>
      </c>
      <c r="AE2527">
        <v>9</v>
      </c>
      <c r="AF2527" t="s">
        <v>138</v>
      </c>
      <c r="AG2527">
        <v>0</v>
      </c>
      <c r="AH2527">
        <v>3</v>
      </c>
      <c r="AI2527">
        <v>1</v>
      </c>
      <c r="AJ2527">
        <v>0</v>
      </c>
      <c r="AK2527" t="s">
        <v>866</v>
      </c>
      <c r="AL2527">
        <v>32.753140999999999</v>
      </c>
      <c r="AM2527" t="s">
        <v>867</v>
      </c>
      <c r="AN2527">
        <v>-116.780913</v>
      </c>
      <c r="AO2527">
        <v>25</v>
      </c>
      <c r="AP2527">
        <v>3200</v>
      </c>
      <c r="AQ2527" t="s">
        <v>129</v>
      </c>
      <c r="AR2527">
        <v>118</v>
      </c>
      <c r="AS2527">
        <v>-76</v>
      </c>
      <c r="AT2527">
        <v>-448</v>
      </c>
      <c r="BB2527">
        <v>1200</v>
      </c>
      <c r="BC2527">
        <v>1</v>
      </c>
      <c r="BD2527" t="str">
        <f t="shared" si="901"/>
        <v xml:space="preserve">N887QR  </v>
      </c>
      <c r="BE2527">
        <v>1</v>
      </c>
      <c r="BJ2527">
        <v>2950</v>
      </c>
      <c r="BK2527">
        <v>-250</v>
      </c>
      <c r="BL2527" t="s">
        <v>163</v>
      </c>
      <c r="BM2527">
        <v>1</v>
      </c>
      <c r="BN2527">
        <v>1</v>
      </c>
      <c r="BO2527">
        <v>1</v>
      </c>
      <c r="BP2527">
        <v>0</v>
      </c>
      <c r="BS2527">
        <v>0</v>
      </c>
      <c r="BT2527">
        <v>0</v>
      </c>
      <c r="BU2527">
        <v>0</v>
      </c>
      <c r="CE2527" t="str">
        <f t="shared" si="909"/>
        <v>19:32:19.354</v>
      </c>
      <c r="CF2527">
        <v>354016981</v>
      </c>
      <c r="CS2527">
        <v>0</v>
      </c>
      <c r="CT2527">
        <v>2</v>
      </c>
      <c r="CU2527">
        <v>0</v>
      </c>
      <c r="CV2527">
        <v>2</v>
      </c>
      <c r="CW2527">
        <v>0</v>
      </c>
      <c r="CX2527">
        <v>5</v>
      </c>
      <c r="CY2527">
        <v>7</v>
      </c>
      <c r="CZ2527" t="s">
        <v>131</v>
      </c>
      <c r="DA2527">
        <v>300</v>
      </c>
      <c r="DB2527">
        <v>0</v>
      </c>
      <c r="DC2527" t="s">
        <v>176</v>
      </c>
      <c r="DD2527" t="s">
        <v>177</v>
      </c>
      <c r="DG2527">
        <v>5414674</v>
      </c>
      <c r="DI2527">
        <v>1</v>
      </c>
      <c r="DJ2527">
        <v>0</v>
      </c>
      <c r="DK2527">
        <v>1</v>
      </c>
      <c r="DL2527">
        <v>0</v>
      </c>
      <c r="DM2527">
        <v>0</v>
      </c>
      <c r="DN2527">
        <v>1</v>
      </c>
      <c r="DO2527">
        <v>0</v>
      </c>
      <c r="DP2527">
        <v>0</v>
      </c>
      <c r="DQ2527">
        <v>0</v>
      </c>
      <c r="DR2527">
        <v>0</v>
      </c>
      <c r="DS2527">
        <v>0</v>
      </c>
    </row>
    <row r="2528" spans="1:123" x14ac:dyDescent="0.3">
      <c r="A2528" t="str">
        <f t="shared" ref="A2528:A2534" si="910">"10/04/2022 19:32:20.183"</f>
        <v>10/04/2022 19:32:20.183</v>
      </c>
      <c r="C2528" t="str">
        <f t="shared" si="890"/>
        <v>FFDDD3C0</v>
      </c>
      <c r="D2528" t="s">
        <v>147</v>
      </c>
      <c r="E2528">
        <v>3</v>
      </c>
      <c r="H2528">
        <v>166</v>
      </c>
      <c r="I2528" t="s">
        <v>144</v>
      </c>
      <c r="J2528" t="s">
        <v>148</v>
      </c>
      <c r="K2528">
        <v>0</v>
      </c>
      <c r="L2528">
        <v>3</v>
      </c>
      <c r="M2528">
        <v>0</v>
      </c>
      <c r="N2528">
        <v>2</v>
      </c>
      <c r="O2528">
        <v>0</v>
      </c>
      <c r="P2528">
        <v>1</v>
      </c>
      <c r="Q2528">
        <v>0</v>
      </c>
      <c r="S2528" t="str">
        <f t="shared" si="908"/>
        <v>19:32:19.000</v>
      </c>
      <c r="T2528" t="str">
        <f t="shared" si="908"/>
        <v>19:32:19.000</v>
      </c>
      <c r="U2528" t="str">
        <f t="shared" si="900"/>
        <v>AC3944</v>
      </c>
      <c r="V2528">
        <v>0</v>
      </c>
      <c r="W2528">
        <v>0</v>
      </c>
      <c r="X2528">
        <v>2</v>
      </c>
      <c r="Y2528">
        <v>0</v>
      </c>
      <c r="AA2528">
        <v>1</v>
      </c>
      <c r="AB2528">
        <v>8</v>
      </c>
      <c r="AC2528">
        <v>3</v>
      </c>
      <c r="AD2528">
        <v>0</v>
      </c>
      <c r="AE2528">
        <v>9</v>
      </c>
      <c r="AF2528" t="s">
        <v>138</v>
      </c>
      <c r="AG2528">
        <v>0</v>
      </c>
      <c r="AH2528">
        <v>3</v>
      </c>
      <c r="AI2528">
        <v>1</v>
      </c>
      <c r="AJ2528">
        <v>0</v>
      </c>
      <c r="AK2528" t="s">
        <v>868</v>
      </c>
      <c r="AL2528">
        <v>32.752775999999997</v>
      </c>
      <c r="AM2528" t="s">
        <v>869</v>
      </c>
      <c r="AN2528">
        <v>-116.780269</v>
      </c>
      <c r="AO2528">
        <v>25</v>
      </c>
      <c r="AP2528">
        <v>3200</v>
      </c>
      <c r="AQ2528" t="s">
        <v>129</v>
      </c>
      <c r="AR2528">
        <v>119</v>
      </c>
      <c r="AS2528">
        <v>-76</v>
      </c>
      <c r="AT2528">
        <v>-448</v>
      </c>
      <c r="BB2528">
        <v>1200</v>
      </c>
      <c r="BC2528">
        <v>1</v>
      </c>
      <c r="BD2528" t="str">
        <f t="shared" si="901"/>
        <v xml:space="preserve">N887QR  </v>
      </c>
      <c r="BE2528">
        <v>1</v>
      </c>
      <c r="BJ2528">
        <v>2975</v>
      </c>
      <c r="BK2528">
        <v>-225</v>
      </c>
      <c r="BL2528" t="s">
        <v>163</v>
      </c>
      <c r="BM2528">
        <v>1</v>
      </c>
      <c r="BN2528">
        <v>1</v>
      </c>
      <c r="BO2528">
        <v>1</v>
      </c>
      <c r="BP2528">
        <v>0</v>
      </c>
      <c r="BS2528">
        <v>0</v>
      </c>
      <c r="BT2528">
        <v>0</v>
      </c>
      <c r="BU2528">
        <v>0</v>
      </c>
      <c r="CE2528" t="str">
        <f t="shared" ref="CE2528:CE2534" si="911">"19:32:19.862"</f>
        <v>19:32:19.862</v>
      </c>
      <c r="CF2528">
        <v>861678137</v>
      </c>
      <c r="CS2528">
        <v>0</v>
      </c>
      <c r="CT2528">
        <v>2</v>
      </c>
      <c r="CU2528">
        <v>0</v>
      </c>
      <c r="CV2528">
        <v>2</v>
      </c>
      <c r="CW2528">
        <v>0</v>
      </c>
      <c r="CX2528">
        <v>0</v>
      </c>
      <c r="CY2528">
        <v>7</v>
      </c>
      <c r="CZ2528" t="s">
        <v>131</v>
      </c>
      <c r="DA2528">
        <v>296</v>
      </c>
      <c r="DB2528">
        <v>0</v>
      </c>
      <c r="DC2528" t="s">
        <v>816</v>
      </c>
      <c r="DD2528" t="s">
        <v>817</v>
      </c>
      <c r="DG2528">
        <v>11096301</v>
      </c>
      <c r="DI2528">
        <v>1</v>
      </c>
      <c r="DJ2528">
        <v>0</v>
      </c>
      <c r="DK2528">
        <v>0</v>
      </c>
      <c r="DL2528">
        <v>0</v>
      </c>
      <c r="DM2528">
        <v>0</v>
      </c>
      <c r="DN2528">
        <v>1</v>
      </c>
      <c r="DO2528">
        <v>0</v>
      </c>
      <c r="DP2528">
        <v>0</v>
      </c>
      <c r="DQ2528">
        <v>0</v>
      </c>
      <c r="DR2528">
        <v>0</v>
      </c>
      <c r="DS2528">
        <v>0</v>
      </c>
    </row>
    <row r="2529" spans="1:123" x14ac:dyDescent="0.3">
      <c r="A2529" t="str">
        <f t="shared" si="910"/>
        <v>10/04/2022 19:32:20.183</v>
      </c>
      <c r="C2529" t="str">
        <f t="shared" si="890"/>
        <v>FFDDD3C0</v>
      </c>
      <c r="D2529" t="s">
        <v>134</v>
      </c>
      <c r="E2529">
        <v>15</v>
      </c>
      <c r="J2529" t="s">
        <v>135</v>
      </c>
      <c r="K2529">
        <v>0</v>
      </c>
      <c r="L2529">
        <v>3</v>
      </c>
      <c r="M2529">
        <v>0</v>
      </c>
      <c r="N2529">
        <v>2</v>
      </c>
      <c r="O2529">
        <v>0</v>
      </c>
      <c r="P2529">
        <v>1</v>
      </c>
      <c r="Q2529">
        <v>0</v>
      </c>
      <c r="S2529" t="str">
        <f t="shared" si="908"/>
        <v>19:32:19.000</v>
      </c>
      <c r="T2529" t="str">
        <f t="shared" si="908"/>
        <v>19:32:19.000</v>
      </c>
      <c r="U2529" t="str">
        <f t="shared" si="900"/>
        <v>AC3944</v>
      </c>
      <c r="V2529">
        <v>0</v>
      </c>
      <c r="W2529">
        <v>0</v>
      </c>
      <c r="X2529">
        <v>2</v>
      </c>
      <c r="Y2529">
        <v>0</v>
      </c>
      <c r="AA2529">
        <v>1</v>
      </c>
      <c r="AB2529">
        <v>8</v>
      </c>
      <c r="AC2529">
        <v>3</v>
      </c>
      <c r="AD2529">
        <v>0</v>
      </c>
      <c r="AE2529">
        <v>9</v>
      </c>
      <c r="AF2529" t="s">
        <v>138</v>
      </c>
      <c r="AG2529">
        <v>0</v>
      </c>
      <c r="AH2529">
        <v>3</v>
      </c>
      <c r="AI2529">
        <v>1</v>
      </c>
      <c r="AJ2529">
        <v>0</v>
      </c>
      <c r="AK2529" t="s">
        <v>868</v>
      </c>
      <c r="AL2529">
        <v>32.752775999999997</v>
      </c>
      <c r="AM2529" t="s">
        <v>869</v>
      </c>
      <c r="AN2529">
        <v>-116.780269</v>
      </c>
      <c r="AO2529">
        <v>25</v>
      </c>
      <c r="AP2529">
        <v>3200</v>
      </c>
      <c r="AQ2529" t="s">
        <v>129</v>
      </c>
      <c r="AR2529">
        <v>119</v>
      </c>
      <c r="AS2529">
        <v>-76</v>
      </c>
      <c r="AT2529">
        <v>-448</v>
      </c>
      <c r="BB2529">
        <v>1200</v>
      </c>
      <c r="BC2529">
        <v>1</v>
      </c>
      <c r="BD2529" t="str">
        <f t="shared" si="901"/>
        <v xml:space="preserve">N887QR  </v>
      </c>
      <c r="BE2529">
        <v>1</v>
      </c>
      <c r="BJ2529">
        <v>2975</v>
      </c>
      <c r="BK2529">
        <v>-225</v>
      </c>
      <c r="BL2529" t="s">
        <v>163</v>
      </c>
      <c r="BM2529">
        <v>1</v>
      </c>
      <c r="BN2529">
        <v>1</v>
      </c>
      <c r="BO2529">
        <v>1</v>
      </c>
      <c r="BP2529">
        <v>0</v>
      </c>
      <c r="BS2529">
        <v>0</v>
      </c>
      <c r="BT2529">
        <v>0</v>
      </c>
      <c r="BU2529">
        <v>0</v>
      </c>
      <c r="CE2529" t="str">
        <f t="shared" si="911"/>
        <v>19:32:19.862</v>
      </c>
      <c r="CF2529">
        <v>861678137</v>
      </c>
      <c r="CS2529">
        <v>0</v>
      </c>
      <c r="CT2529">
        <v>2</v>
      </c>
      <c r="CU2529">
        <v>0</v>
      </c>
      <c r="CV2529">
        <v>2</v>
      </c>
      <c r="CW2529">
        <v>0</v>
      </c>
      <c r="CX2529">
        <v>0</v>
      </c>
      <c r="CY2529">
        <v>7</v>
      </c>
      <c r="CZ2529" t="s">
        <v>131</v>
      </c>
      <c r="DA2529">
        <v>296</v>
      </c>
      <c r="DB2529">
        <v>0</v>
      </c>
      <c r="DC2529" t="s">
        <v>816</v>
      </c>
      <c r="DD2529" t="s">
        <v>817</v>
      </c>
      <c r="DG2529">
        <v>11096301</v>
      </c>
      <c r="DI2529">
        <v>1</v>
      </c>
      <c r="DJ2529">
        <v>0</v>
      </c>
      <c r="DK2529">
        <v>1</v>
      </c>
      <c r="DL2529">
        <v>0</v>
      </c>
      <c r="DM2529">
        <v>0</v>
      </c>
      <c r="DN2529">
        <v>1</v>
      </c>
      <c r="DO2529">
        <v>0</v>
      </c>
      <c r="DP2529">
        <v>0</v>
      </c>
      <c r="DQ2529">
        <v>0</v>
      </c>
      <c r="DR2529">
        <v>0</v>
      </c>
      <c r="DS2529">
        <v>0</v>
      </c>
    </row>
    <row r="2530" spans="1:123" x14ac:dyDescent="0.3">
      <c r="A2530" t="str">
        <f t="shared" si="910"/>
        <v>10/04/2022 19:32:20.183</v>
      </c>
      <c r="C2530" t="str">
        <f t="shared" si="890"/>
        <v>FFDDD3C0</v>
      </c>
      <c r="D2530" t="s">
        <v>143</v>
      </c>
      <c r="E2530">
        <v>20</v>
      </c>
      <c r="F2530">
        <v>1020</v>
      </c>
      <c r="G2530" t="s">
        <v>144</v>
      </c>
      <c r="J2530" t="s">
        <v>145</v>
      </c>
      <c r="K2530">
        <v>0</v>
      </c>
      <c r="L2530">
        <v>3</v>
      </c>
      <c r="M2530">
        <v>0</v>
      </c>
      <c r="N2530">
        <v>2</v>
      </c>
      <c r="O2530">
        <v>0</v>
      </c>
      <c r="P2530">
        <v>1</v>
      </c>
      <c r="Q2530">
        <v>0</v>
      </c>
      <c r="S2530" t="str">
        <f t="shared" si="908"/>
        <v>19:32:19.000</v>
      </c>
      <c r="T2530" t="str">
        <f t="shared" si="908"/>
        <v>19:32:19.000</v>
      </c>
      <c r="U2530" t="str">
        <f t="shared" si="900"/>
        <v>AC3944</v>
      </c>
      <c r="V2530">
        <v>0</v>
      </c>
      <c r="W2530">
        <v>0</v>
      </c>
      <c r="X2530">
        <v>2</v>
      </c>
      <c r="Y2530">
        <v>0</v>
      </c>
      <c r="AA2530">
        <v>1</v>
      </c>
      <c r="AB2530">
        <v>8</v>
      </c>
      <c r="AC2530">
        <v>3</v>
      </c>
      <c r="AD2530">
        <v>0</v>
      </c>
      <c r="AE2530">
        <v>9</v>
      </c>
      <c r="AF2530" t="s">
        <v>138</v>
      </c>
      <c r="AG2530">
        <v>0</v>
      </c>
      <c r="AH2530">
        <v>3</v>
      </c>
      <c r="AI2530">
        <v>1</v>
      </c>
      <c r="AJ2530">
        <v>0</v>
      </c>
      <c r="AK2530" t="s">
        <v>868</v>
      </c>
      <c r="AL2530">
        <v>32.752775999999997</v>
      </c>
      <c r="AM2530" t="s">
        <v>869</v>
      </c>
      <c r="AN2530">
        <v>-116.780269</v>
      </c>
      <c r="AO2530">
        <v>25</v>
      </c>
      <c r="AP2530">
        <v>3200</v>
      </c>
      <c r="AQ2530" t="s">
        <v>129</v>
      </c>
      <c r="AR2530">
        <v>119</v>
      </c>
      <c r="AS2530">
        <v>-76</v>
      </c>
      <c r="AT2530">
        <v>-448</v>
      </c>
      <c r="BB2530">
        <v>1200</v>
      </c>
      <c r="BC2530">
        <v>1</v>
      </c>
      <c r="BD2530" t="str">
        <f t="shared" si="901"/>
        <v xml:space="preserve">N887QR  </v>
      </c>
      <c r="BE2530">
        <v>1</v>
      </c>
      <c r="BJ2530">
        <v>2975</v>
      </c>
      <c r="BK2530">
        <v>-225</v>
      </c>
      <c r="BL2530" t="s">
        <v>163</v>
      </c>
      <c r="BM2530">
        <v>1</v>
      </c>
      <c r="BN2530">
        <v>1</v>
      </c>
      <c r="BO2530">
        <v>1</v>
      </c>
      <c r="BP2530">
        <v>0</v>
      </c>
      <c r="BS2530">
        <v>0</v>
      </c>
      <c r="BT2530">
        <v>0</v>
      </c>
      <c r="BU2530">
        <v>0</v>
      </c>
      <c r="CE2530" t="str">
        <f t="shared" si="911"/>
        <v>19:32:19.862</v>
      </c>
      <c r="CF2530">
        <v>861678137</v>
      </c>
      <c r="CS2530">
        <v>0</v>
      </c>
      <c r="CT2530">
        <v>2</v>
      </c>
      <c r="CU2530">
        <v>0</v>
      </c>
      <c r="CV2530">
        <v>2</v>
      </c>
      <c r="CW2530">
        <v>0</v>
      </c>
      <c r="CX2530">
        <v>0</v>
      </c>
      <c r="CY2530">
        <v>7</v>
      </c>
      <c r="CZ2530" t="s">
        <v>131</v>
      </c>
      <c r="DA2530">
        <v>296</v>
      </c>
      <c r="DB2530">
        <v>0</v>
      </c>
      <c r="DC2530" t="s">
        <v>816</v>
      </c>
      <c r="DD2530" t="s">
        <v>817</v>
      </c>
      <c r="DG2530">
        <v>11096301</v>
      </c>
      <c r="DI2530">
        <v>1</v>
      </c>
      <c r="DJ2530">
        <v>0</v>
      </c>
      <c r="DK2530">
        <v>1</v>
      </c>
      <c r="DL2530">
        <v>0</v>
      </c>
      <c r="DM2530">
        <v>0</v>
      </c>
      <c r="DN2530">
        <v>1</v>
      </c>
      <c r="DO2530">
        <v>0</v>
      </c>
      <c r="DP2530">
        <v>0</v>
      </c>
      <c r="DQ2530">
        <v>0</v>
      </c>
      <c r="DR2530">
        <v>0</v>
      </c>
      <c r="DS2530">
        <v>0</v>
      </c>
    </row>
    <row r="2531" spans="1:123" x14ac:dyDescent="0.3">
      <c r="A2531" t="str">
        <f t="shared" si="910"/>
        <v>10/04/2022 19:32:20.183</v>
      </c>
      <c r="C2531" t="str">
        <f t="shared" si="890"/>
        <v>FFDDD3C0</v>
      </c>
      <c r="D2531" t="s">
        <v>136</v>
      </c>
      <c r="E2531">
        <v>8</v>
      </c>
      <c r="H2531">
        <v>225</v>
      </c>
      <c r="I2531" t="s">
        <v>137</v>
      </c>
      <c r="J2531" t="s">
        <v>138</v>
      </c>
      <c r="K2531">
        <v>0</v>
      </c>
      <c r="L2531">
        <v>3</v>
      </c>
      <c r="M2531">
        <v>0</v>
      </c>
      <c r="N2531">
        <v>2</v>
      </c>
      <c r="O2531">
        <v>0</v>
      </c>
      <c r="P2531">
        <v>1</v>
      </c>
      <c r="Q2531">
        <v>0</v>
      </c>
      <c r="S2531" t="str">
        <f t="shared" si="908"/>
        <v>19:32:19.000</v>
      </c>
      <c r="T2531" t="str">
        <f t="shared" si="908"/>
        <v>19:32:19.000</v>
      </c>
      <c r="U2531" t="str">
        <f t="shared" si="900"/>
        <v>AC3944</v>
      </c>
      <c r="V2531">
        <v>0</v>
      </c>
      <c r="W2531">
        <v>0</v>
      </c>
      <c r="X2531">
        <v>2</v>
      </c>
      <c r="Y2531">
        <v>0</v>
      </c>
      <c r="AA2531">
        <v>1</v>
      </c>
      <c r="AB2531">
        <v>8</v>
      </c>
      <c r="AC2531">
        <v>3</v>
      </c>
      <c r="AD2531">
        <v>0</v>
      </c>
      <c r="AE2531">
        <v>9</v>
      </c>
      <c r="AF2531" t="s">
        <v>138</v>
      </c>
      <c r="AG2531">
        <v>0</v>
      </c>
      <c r="AH2531">
        <v>3</v>
      </c>
      <c r="AI2531">
        <v>1</v>
      </c>
      <c r="AJ2531">
        <v>0</v>
      </c>
      <c r="AK2531" t="s">
        <v>868</v>
      </c>
      <c r="AL2531">
        <v>32.752775999999997</v>
      </c>
      <c r="AM2531" t="s">
        <v>869</v>
      </c>
      <c r="AN2531">
        <v>-116.780269</v>
      </c>
      <c r="AO2531">
        <v>25</v>
      </c>
      <c r="AP2531">
        <v>3200</v>
      </c>
      <c r="AQ2531" t="s">
        <v>129</v>
      </c>
      <c r="AR2531">
        <v>119</v>
      </c>
      <c r="AS2531">
        <v>-76</v>
      </c>
      <c r="AT2531">
        <v>-448</v>
      </c>
      <c r="BB2531">
        <v>1200</v>
      </c>
      <c r="BC2531">
        <v>1</v>
      </c>
      <c r="BD2531" t="str">
        <f t="shared" si="901"/>
        <v xml:space="preserve">N887QR  </v>
      </c>
      <c r="BE2531">
        <v>1</v>
      </c>
      <c r="BJ2531">
        <v>2975</v>
      </c>
      <c r="BK2531">
        <v>-225</v>
      </c>
      <c r="BL2531" t="s">
        <v>163</v>
      </c>
      <c r="BM2531">
        <v>1</v>
      </c>
      <c r="BN2531">
        <v>1</v>
      </c>
      <c r="BO2531">
        <v>1</v>
      </c>
      <c r="BP2531">
        <v>0</v>
      </c>
      <c r="BS2531">
        <v>0</v>
      </c>
      <c r="BT2531">
        <v>0</v>
      </c>
      <c r="BU2531">
        <v>0</v>
      </c>
      <c r="CE2531" t="str">
        <f t="shared" si="911"/>
        <v>19:32:19.862</v>
      </c>
      <c r="CF2531">
        <v>861678137</v>
      </c>
      <c r="CS2531">
        <v>0</v>
      </c>
      <c r="CT2531">
        <v>2</v>
      </c>
      <c r="CU2531">
        <v>0</v>
      </c>
      <c r="CV2531">
        <v>2</v>
      </c>
      <c r="CW2531">
        <v>0</v>
      </c>
      <c r="CX2531">
        <v>0</v>
      </c>
      <c r="CY2531">
        <v>7</v>
      </c>
      <c r="CZ2531" t="s">
        <v>131</v>
      </c>
      <c r="DA2531">
        <v>296</v>
      </c>
      <c r="DB2531">
        <v>0</v>
      </c>
      <c r="DC2531" t="s">
        <v>816</v>
      </c>
      <c r="DD2531" t="s">
        <v>817</v>
      </c>
      <c r="DG2531">
        <v>11096301</v>
      </c>
      <c r="DI2531">
        <v>1</v>
      </c>
      <c r="DJ2531">
        <v>0</v>
      </c>
      <c r="DK2531">
        <v>1</v>
      </c>
      <c r="DL2531">
        <v>0</v>
      </c>
      <c r="DM2531">
        <v>0</v>
      </c>
      <c r="DN2531">
        <v>1</v>
      </c>
      <c r="DO2531">
        <v>0</v>
      </c>
      <c r="DP2531">
        <v>0</v>
      </c>
      <c r="DQ2531">
        <v>0</v>
      </c>
      <c r="DR2531">
        <v>0</v>
      </c>
      <c r="DS2531">
        <v>0</v>
      </c>
    </row>
    <row r="2532" spans="1:123" x14ac:dyDescent="0.3">
      <c r="A2532" t="str">
        <f t="shared" si="910"/>
        <v>10/04/2022 19:32:20.183</v>
      </c>
      <c r="C2532" t="str">
        <f t="shared" si="890"/>
        <v>FFDDD3C0</v>
      </c>
      <c r="D2532" t="s">
        <v>141</v>
      </c>
      <c r="E2532">
        <v>3</v>
      </c>
      <c r="H2532">
        <v>3</v>
      </c>
      <c r="I2532" t="s">
        <v>146</v>
      </c>
      <c r="J2532" t="s">
        <v>138</v>
      </c>
      <c r="K2532">
        <v>0</v>
      </c>
      <c r="L2532">
        <v>3</v>
      </c>
      <c r="M2532">
        <v>0</v>
      </c>
      <c r="N2532">
        <v>2</v>
      </c>
      <c r="O2532">
        <v>0</v>
      </c>
      <c r="P2532">
        <v>1</v>
      </c>
      <c r="Q2532">
        <v>0</v>
      </c>
      <c r="S2532" t="str">
        <f t="shared" si="908"/>
        <v>19:32:19.000</v>
      </c>
      <c r="T2532" t="str">
        <f t="shared" si="908"/>
        <v>19:32:19.000</v>
      </c>
      <c r="U2532" t="str">
        <f t="shared" si="900"/>
        <v>AC3944</v>
      </c>
      <c r="V2532">
        <v>0</v>
      </c>
      <c r="W2532">
        <v>0</v>
      </c>
      <c r="X2532">
        <v>2</v>
      </c>
      <c r="Y2532">
        <v>0</v>
      </c>
      <c r="AA2532">
        <v>1</v>
      </c>
      <c r="AB2532">
        <v>8</v>
      </c>
      <c r="AC2532">
        <v>3</v>
      </c>
      <c r="AD2532">
        <v>0</v>
      </c>
      <c r="AE2532">
        <v>9</v>
      </c>
      <c r="AF2532" t="s">
        <v>138</v>
      </c>
      <c r="AG2532">
        <v>0</v>
      </c>
      <c r="AH2532">
        <v>3</v>
      </c>
      <c r="AI2532">
        <v>1</v>
      </c>
      <c r="AJ2532">
        <v>0</v>
      </c>
      <c r="AK2532" t="s">
        <v>868</v>
      </c>
      <c r="AL2532">
        <v>32.752775999999997</v>
      </c>
      <c r="AM2532" t="s">
        <v>869</v>
      </c>
      <c r="AN2532">
        <v>-116.780269</v>
      </c>
      <c r="AO2532">
        <v>25</v>
      </c>
      <c r="AP2532">
        <v>3200</v>
      </c>
      <c r="AQ2532" t="s">
        <v>129</v>
      </c>
      <c r="AR2532">
        <v>119</v>
      </c>
      <c r="AS2532">
        <v>-76</v>
      </c>
      <c r="AT2532">
        <v>-448</v>
      </c>
      <c r="BB2532">
        <v>1200</v>
      </c>
      <c r="BC2532">
        <v>1</v>
      </c>
      <c r="BD2532" t="str">
        <f t="shared" si="901"/>
        <v xml:space="preserve">N887QR  </v>
      </c>
      <c r="BE2532">
        <v>1</v>
      </c>
      <c r="BJ2532">
        <v>2975</v>
      </c>
      <c r="BK2532">
        <v>-225</v>
      </c>
      <c r="BL2532" t="s">
        <v>163</v>
      </c>
      <c r="BM2532">
        <v>1</v>
      </c>
      <c r="BN2532">
        <v>1</v>
      </c>
      <c r="BO2532">
        <v>1</v>
      </c>
      <c r="BP2532">
        <v>0</v>
      </c>
      <c r="BS2532">
        <v>0</v>
      </c>
      <c r="BT2532">
        <v>0</v>
      </c>
      <c r="BU2532">
        <v>0</v>
      </c>
      <c r="CE2532" t="str">
        <f t="shared" si="911"/>
        <v>19:32:19.862</v>
      </c>
      <c r="CF2532">
        <v>861678137</v>
      </c>
      <c r="CS2532">
        <v>0</v>
      </c>
      <c r="CT2532">
        <v>2</v>
      </c>
      <c r="CU2532">
        <v>0</v>
      </c>
      <c r="CV2532">
        <v>2</v>
      </c>
      <c r="CW2532">
        <v>0</v>
      </c>
      <c r="CX2532">
        <v>0</v>
      </c>
      <c r="CY2532">
        <v>7</v>
      </c>
      <c r="CZ2532" t="s">
        <v>131</v>
      </c>
      <c r="DA2532">
        <v>296</v>
      </c>
      <c r="DB2532">
        <v>0</v>
      </c>
      <c r="DC2532" t="s">
        <v>816</v>
      </c>
      <c r="DD2532" t="s">
        <v>817</v>
      </c>
      <c r="DG2532">
        <v>11096301</v>
      </c>
      <c r="DI2532">
        <v>1</v>
      </c>
      <c r="DJ2532">
        <v>0</v>
      </c>
      <c r="DK2532">
        <v>1</v>
      </c>
      <c r="DL2532">
        <v>0</v>
      </c>
      <c r="DM2532">
        <v>0</v>
      </c>
      <c r="DN2532">
        <v>1</v>
      </c>
      <c r="DO2532">
        <v>0</v>
      </c>
      <c r="DP2532">
        <v>0</v>
      </c>
      <c r="DQ2532">
        <v>0</v>
      </c>
      <c r="DR2532">
        <v>0</v>
      </c>
      <c r="DS2532">
        <v>0</v>
      </c>
    </row>
    <row r="2533" spans="1:123" x14ac:dyDescent="0.3">
      <c r="A2533" t="str">
        <f t="shared" si="910"/>
        <v>10/04/2022 19:32:20.183</v>
      </c>
      <c r="C2533" t="str">
        <f t="shared" si="890"/>
        <v>FFDDD3C0</v>
      </c>
      <c r="D2533" t="s">
        <v>141</v>
      </c>
      <c r="E2533">
        <v>4</v>
      </c>
      <c r="H2533">
        <v>4</v>
      </c>
      <c r="I2533" t="s">
        <v>142</v>
      </c>
      <c r="J2533" t="s">
        <v>138</v>
      </c>
      <c r="K2533">
        <v>0</v>
      </c>
      <c r="L2533">
        <v>3</v>
      </c>
      <c r="M2533">
        <v>0</v>
      </c>
      <c r="N2533">
        <v>2</v>
      </c>
      <c r="O2533">
        <v>0</v>
      </c>
      <c r="P2533">
        <v>1</v>
      </c>
      <c r="Q2533">
        <v>0</v>
      </c>
      <c r="S2533" t="str">
        <f t="shared" si="908"/>
        <v>19:32:19.000</v>
      </c>
      <c r="T2533" t="str">
        <f t="shared" si="908"/>
        <v>19:32:19.000</v>
      </c>
      <c r="U2533" t="str">
        <f t="shared" si="900"/>
        <v>AC3944</v>
      </c>
      <c r="V2533">
        <v>0</v>
      </c>
      <c r="W2533">
        <v>0</v>
      </c>
      <c r="X2533">
        <v>2</v>
      </c>
      <c r="Y2533">
        <v>0</v>
      </c>
      <c r="AA2533">
        <v>1</v>
      </c>
      <c r="AB2533">
        <v>8</v>
      </c>
      <c r="AC2533">
        <v>3</v>
      </c>
      <c r="AD2533">
        <v>0</v>
      </c>
      <c r="AE2533">
        <v>9</v>
      </c>
      <c r="AF2533" t="s">
        <v>138</v>
      </c>
      <c r="AG2533">
        <v>0</v>
      </c>
      <c r="AH2533">
        <v>3</v>
      </c>
      <c r="AI2533">
        <v>1</v>
      </c>
      <c r="AJ2533">
        <v>0</v>
      </c>
      <c r="AK2533" t="s">
        <v>868</v>
      </c>
      <c r="AL2533">
        <v>32.752775999999997</v>
      </c>
      <c r="AM2533" t="s">
        <v>869</v>
      </c>
      <c r="AN2533">
        <v>-116.780269</v>
      </c>
      <c r="AO2533">
        <v>25</v>
      </c>
      <c r="AP2533">
        <v>3200</v>
      </c>
      <c r="AQ2533" t="s">
        <v>129</v>
      </c>
      <c r="AR2533">
        <v>119</v>
      </c>
      <c r="AS2533">
        <v>-76</v>
      </c>
      <c r="AT2533">
        <v>-448</v>
      </c>
      <c r="BB2533">
        <v>1200</v>
      </c>
      <c r="BC2533">
        <v>1</v>
      </c>
      <c r="BD2533" t="str">
        <f t="shared" si="901"/>
        <v xml:space="preserve">N887QR  </v>
      </c>
      <c r="BE2533">
        <v>1</v>
      </c>
      <c r="BJ2533">
        <v>2975</v>
      </c>
      <c r="BK2533">
        <v>-225</v>
      </c>
      <c r="BL2533" t="s">
        <v>163</v>
      </c>
      <c r="BM2533">
        <v>1</v>
      </c>
      <c r="BN2533">
        <v>1</v>
      </c>
      <c r="BO2533">
        <v>1</v>
      </c>
      <c r="BP2533">
        <v>0</v>
      </c>
      <c r="BS2533">
        <v>0</v>
      </c>
      <c r="BT2533">
        <v>0</v>
      </c>
      <c r="BU2533">
        <v>0</v>
      </c>
      <c r="CE2533" t="str">
        <f t="shared" si="911"/>
        <v>19:32:19.862</v>
      </c>
      <c r="CF2533">
        <v>861678137</v>
      </c>
      <c r="CS2533">
        <v>0</v>
      </c>
      <c r="CT2533">
        <v>2</v>
      </c>
      <c r="CU2533">
        <v>0</v>
      </c>
      <c r="CV2533">
        <v>2</v>
      </c>
      <c r="CW2533">
        <v>0</v>
      </c>
      <c r="CX2533">
        <v>0</v>
      </c>
      <c r="CY2533">
        <v>7</v>
      </c>
      <c r="CZ2533" t="s">
        <v>131</v>
      </c>
      <c r="DA2533">
        <v>296</v>
      </c>
      <c r="DB2533">
        <v>0</v>
      </c>
      <c r="DC2533" t="s">
        <v>816</v>
      </c>
      <c r="DD2533" t="s">
        <v>817</v>
      </c>
      <c r="DG2533">
        <v>11096301</v>
      </c>
      <c r="DI2533">
        <v>1</v>
      </c>
      <c r="DJ2533">
        <v>0</v>
      </c>
      <c r="DK2533">
        <v>1</v>
      </c>
      <c r="DL2533">
        <v>0</v>
      </c>
      <c r="DM2533">
        <v>0</v>
      </c>
      <c r="DN2533">
        <v>1</v>
      </c>
      <c r="DO2533">
        <v>0</v>
      </c>
      <c r="DP2533">
        <v>0</v>
      </c>
      <c r="DQ2533">
        <v>0</v>
      </c>
      <c r="DR2533">
        <v>0</v>
      </c>
      <c r="DS2533">
        <v>0</v>
      </c>
    </row>
    <row r="2534" spans="1:123" x14ac:dyDescent="0.3">
      <c r="A2534" t="str">
        <f t="shared" si="910"/>
        <v>10/04/2022 19:32:20.183</v>
      </c>
      <c r="C2534" t="str">
        <f t="shared" si="890"/>
        <v>FFDDD3C0</v>
      </c>
      <c r="D2534" t="s">
        <v>123</v>
      </c>
      <c r="E2534">
        <v>7</v>
      </c>
      <c r="F2534">
        <v>2007</v>
      </c>
      <c r="G2534" t="s">
        <v>124</v>
      </c>
      <c r="J2534" t="s">
        <v>125</v>
      </c>
      <c r="K2534">
        <v>0</v>
      </c>
      <c r="L2534">
        <v>3</v>
      </c>
      <c r="M2534">
        <v>0</v>
      </c>
      <c r="N2534">
        <v>2</v>
      </c>
      <c r="O2534">
        <v>0</v>
      </c>
      <c r="P2534">
        <v>1</v>
      </c>
      <c r="Q2534">
        <v>0</v>
      </c>
      <c r="S2534" t="str">
        <f t="shared" si="908"/>
        <v>19:32:19.000</v>
      </c>
      <c r="T2534" t="str">
        <f t="shared" si="908"/>
        <v>19:32:19.000</v>
      </c>
      <c r="U2534" t="str">
        <f t="shared" si="900"/>
        <v>AC3944</v>
      </c>
      <c r="V2534">
        <v>0</v>
      </c>
      <c r="W2534">
        <v>0</v>
      </c>
      <c r="X2534">
        <v>2</v>
      </c>
      <c r="Y2534">
        <v>0</v>
      </c>
      <c r="AA2534">
        <v>1</v>
      </c>
      <c r="AB2534">
        <v>8</v>
      </c>
      <c r="AC2534">
        <v>3</v>
      </c>
      <c r="AD2534">
        <v>0</v>
      </c>
      <c r="AE2534">
        <v>9</v>
      </c>
      <c r="AF2534" t="s">
        <v>138</v>
      </c>
      <c r="AG2534">
        <v>0</v>
      </c>
      <c r="AH2534">
        <v>3</v>
      </c>
      <c r="AI2534">
        <v>1</v>
      </c>
      <c r="AJ2534">
        <v>0</v>
      </c>
      <c r="AK2534" t="s">
        <v>868</v>
      </c>
      <c r="AL2534">
        <v>32.752775999999997</v>
      </c>
      <c r="AM2534" t="s">
        <v>869</v>
      </c>
      <c r="AN2534">
        <v>-116.780269</v>
      </c>
      <c r="AO2534">
        <v>25</v>
      </c>
      <c r="AP2534">
        <v>3200</v>
      </c>
      <c r="AQ2534" t="s">
        <v>129</v>
      </c>
      <c r="AR2534">
        <v>119</v>
      </c>
      <c r="AS2534">
        <v>-76</v>
      </c>
      <c r="AT2534">
        <v>-448</v>
      </c>
      <c r="BB2534">
        <v>1200</v>
      </c>
      <c r="BC2534">
        <v>1</v>
      </c>
      <c r="BD2534" t="str">
        <f t="shared" si="901"/>
        <v xml:space="preserve">N887QR  </v>
      </c>
      <c r="BE2534">
        <v>1</v>
      </c>
      <c r="BJ2534">
        <v>2975</v>
      </c>
      <c r="BK2534">
        <v>-225</v>
      </c>
      <c r="BL2534" t="s">
        <v>163</v>
      </c>
      <c r="BM2534">
        <v>1</v>
      </c>
      <c r="BN2534">
        <v>1</v>
      </c>
      <c r="BO2534">
        <v>1</v>
      </c>
      <c r="BP2534">
        <v>0</v>
      </c>
      <c r="BS2534">
        <v>0</v>
      </c>
      <c r="BT2534">
        <v>0</v>
      </c>
      <c r="BU2534">
        <v>0</v>
      </c>
      <c r="CE2534" t="str">
        <f t="shared" si="911"/>
        <v>19:32:19.862</v>
      </c>
      <c r="CF2534">
        <v>861678137</v>
      </c>
      <c r="CS2534">
        <v>0</v>
      </c>
      <c r="CT2534">
        <v>2</v>
      </c>
      <c r="CU2534">
        <v>0</v>
      </c>
      <c r="CV2534">
        <v>2</v>
      </c>
      <c r="CW2534">
        <v>0</v>
      </c>
      <c r="CX2534">
        <v>0</v>
      </c>
      <c r="CY2534">
        <v>7</v>
      </c>
      <c r="CZ2534" t="s">
        <v>131</v>
      </c>
      <c r="DA2534">
        <v>296</v>
      </c>
      <c r="DB2534">
        <v>0</v>
      </c>
      <c r="DC2534" t="s">
        <v>816</v>
      </c>
      <c r="DD2534" t="s">
        <v>817</v>
      </c>
      <c r="DG2534">
        <v>11096301</v>
      </c>
      <c r="DI2534">
        <v>1</v>
      </c>
      <c r="DJ2534">
        <v>0</v>
      </c>
      <c r="DK2534">
        <v>1</v>
      </c>
      <c r="DL2534">
        <v>0</v>
      </c>
      <c r="DM2534">
        <v>0</v>
      </c>
      <c r="DN2534">
        <v>1</v>
      </c>
      <c r="DO2534">
        <v>0</v>
      </c>
      <c r="DP2534">
        <v>0</v>
      </c>
      <c r="DQ2534">
        <v>0</v>
      </c>
      <c r="DR2534">
        <v>0</v>
      </c>
      <c r="DS2534">
        <v>0</v>
      </c>
    </row>
    <row r="2535" spans="1:123" x14ac:dyDescent="0.3">
      <c r="A2535" t="str">
        <f t="shared" ref="A2535:A2540" si="912">"10/04/2022 19:32:21.136"</f>
        <v>10/04/2022 19:32:21.136</v>
      </c>
      <c r="C2535" t="str">
        <f t="shared" ref="C2535:C2598" si="913">"FFDDD3C0"</f>
        <v>FFDDD3C0</v>
      </c>
      <c r="D2535" t="s">
        <v>147</v>
      </c>
      <c r="E2535">
        <v>3</v>
      </c>
      <c r="H2535">
        <v>166</v>
      </c>
      <c r="I2535" t="s">
        <v>144</v>
      </c>
      <c r="J2535" t="s">
        <v>148</v>
      </c>
      <c r="K2535">
        <v>0</v>
      </c>
      <c r="L2535">
        <v>3</v>
      </c>
      <c r="M2535">
        <v>0</v>
      </c>
      <c r="N2535">
        <v>2</v>
      </c>
      <c r="O2535">
        <v>0</v>
      </c>
      <c r="P2535">
        <v>1</v>
      </c>
      <c r="Q2535">
        <v>0</v>
      </c>
      <c r="S2535" t="str">
        <f t="shared" ref="S2535:T2541" si="914">"19:32:20.000"</f>
        <v>19:32:20.000</v>
      </c>
      <c r="T2535" t="str">
        <f t="shared" si="914"/>
        <v>19:32:20.000</v>
      </c>
      <c r="U2535" t="str">
        <f t="shared" si="900"/>
        <v>AC3944</v>
      </c>
      <c r="V2535">
        <v>0</v>
      </c>
      <c r="W2535">
        <v>0</v>
      </c>
      <c r="X2535">
        <v>2</v>
      </c>
      <c r="Y2535">
        <v>0</v>
      </c>
      <c r="AA2535">
        <v>1</v>
      </c>
      <c r="AB2535">
        <v>8</v>
      </c>
      <c r="AC2535">
        <v>3</v>
      </c>
      <c r="AD2535">
        <v>0</v>
      </c>
      <c r="AE2535">
        <v>9</v>
      </c>
      <c r="AF2535" t="s">
        <v>138</v>
      </c>
      <c r="AG2535">
        <v>0</v>
      </c>
      <c r="AH2535">
        <v>3</v>
      </c>
      <c r="AI2535">
        <v>1</v>
      </c>
      <c r="AJ2535">
        <v>0</v>
      </c>
      <c r="AK2535" t="s">
        <v>870</v>
      </c>
      <c r="AL2535">
        <v>32.752433000000003</v>
      </c>
      <c r="AM2535" t="s">
        <v>871</v>
      </c>
      <c r="AN2535">
        <v>-116.77960400000001</v>
      </c>
      <c r="AO2535">
        <v>25</v>
      </c>
      <c r="AP2535">
        <v>3200</v>
      </c>
      <c r="AQ2535" t="s">
        <v>129</v>
      </c>
      <c r="AR2535">
        <v>119</v>
      </c>
      <c r="AS2535">
        <v>-77</v>
      </c>
      <c r="AT2535">
        <v>-512</v>
      </c>
      <c r="BB2535">
        <v>1200</v>
      </c>
      <c r="BC2535">
        <v>1</v>
      </c>
      <c r="BD2535" t="str">
        <f t="shared" si="901"/>
        <v xml:space="preserve">N887QR  </v>
      </c>
      <c r="BE2535">
        <v>1</v>
      </c>
      <c r="BJ2535">
        <v>2925</v>
      </c>
      <c r="BK2535">
        <v>-275</v>
      </c>
      <c r="BL2535" t="s">
        <v>163</v>
      </c>
      <c r="BM2535">
        <v>1</v>
      </c>
      <c r="BN2535">
        <v>1</v>
      </c>
      <c r="BO2535">
        <v>1</v>
      </c>
      <c r="BP2535">
        <v>0</v>
      </c>
      <c r="BS2535">
        <v>0</v>
      </c>
      <c r="BT2535">
        <v>0</v>
      </c>
      <c r="BU2535">
        <v>0</v>
      </c>
      <c r="CE2535" t="str">
        <f t="shared" ref="CE2535:CE2541" si="915">"19:32:20.927"</f>
        <v>19:32:20.927</v>
      </c>
      <c r="CF2535">
        <v>926772268</v>
      </c>
      <c r="CS2535">
        <v>0</v>
      </c>
      <c r="CT2535">
        <v>2</v>
      </c>
      <c r="CU2535">
        <v>0</v>
      </c>
      <c r="CV2535">
        <v>2</v>
      </c>
      <c r="CW2535">
        <v>0</v>
      </c>
      <c r="CX2535">
        <v>5</v>
      </c>
      <c r="CY2535">
        <v>7</v>
      </c>
      <c r="CZ2535" t="s">
        <v>131</v>
      </c>
      <c r="DA2535">
        <v>300</v>
      </c>
      <c r="DB2535">
        <v>0</v>
      </c>
      <c r="DC2535" t="s">
        <v>176</v>
      </c>
      <c r="DD2535" t="s">
        <v>177</v>
      </c>
      <c r="DG2535">
        <v>5414965</v>
      </c>
      <c r="DI2535">
        <v>1</v>
      </c>
      <c r="DJ2535">
        <v>0</v>
      </c>
      <c r="DK2535">
        <v>0</v>
      </c>
      <c r="DL2535">
        <v>0</v>
      </c>
      <c r="DM2535">
        <v>0</v>
      </c>
      <c r="DN2535">
        <v>1</v>
      </c>
      <c r="DO2535">
        <v>0</v>
      </c>
      <c r="DP2535">
        <v>0</v>
      </c>
      <c r="DQ2535">
        <v>0</v>
      </c>
      <c r="DR2535">
        <v>0</v>
      </c>
      <c r="DS2535">
        <v>0</v>
      </c>
    </row>
    <row r="2536" spans="1:123" x14ac:dyDescent="0.3">
      <c r="A2536" t="str">
        <f t="shared" si="912"/>
        <v>10/04/2022 19:32:21.136</v>
      </c>
      <c r="C2536" t="str">
        <f t="shared" si="913"/>
        <v>FFDDD3C0</v>
      </c>
      <c r="D2536" t="s">
        <v>143</v>
      </c>
      <c r="E2536">
        <v>20</v>
      </c>
      <c r="F2536">
        <v>1020</v>
      </c>
      <c r="G2536" t="s">
        <v>144</v>
      </c>
      <c r="J2536" t="s">
        <v>145</v>
      </c>
      <c r="K2536">
        <v>0</v>
      </c>
      <c r="L2536">
        <v>3</v>
      </c>
      <c r="M2536">
        <v>0</v>
      </c>
      <c r="N2536">
        <v>2</v>
      </c>
      <c r="O2536">
        <v>0</v>
      </c>
      <c r="P2536">
        <v>1</v>
      </c>
      <c r="Q2536">
        <v>0</v>
      </c>
      <c r="S2536" t="str">
        <f t="shared" si="914"/>
        <v>19:32:20.000</v>
      </c>
      <c r="T2536" t="str">
        <f t="shared" si="914"/>
        <v>19:32:20.000</v>
      </c>
      <c r="U2536" t="str">
        <f t="shared" si="900"/>
        <v>AC3944</v>
      </c>
      <c r="V2536">
        <v>0</v>
      </c>
      <c r="W2536">
        <v>0</v>
      </c>
      <c r="X2536">
        <v>2</v>
      </c>
      <c r="Y2536">
        <v>0</v>
      </c>
      <c r="AA2536">
        <v>1</v>
      </c>
      <c r="AB2536">
        <v>8</v>
      </c>
      <c r="AC2536">
        <v>3</v>
      </c>
      <c r="AD2536">
        <v>0</v>
      </c>
      <c r="AE2536">
        <v>9</v>
      </c>
      <c r="AF2536" t="s">
        <v>138</v>
      </c>
      <c r="AG2536">
        <v>0</v>
      </c>
      <c r="AH2536">
        <v>3</v>
      </c>
      <c r="AI2536">
        <v>1</v>
      </c>
      <c r="AJ2536">
        <v>0</v>
      </c>
      <c r="AK2536" t="s">
        <v>870</v>
      </c>
      <c r="AL2536">
        <v>32.752433000000003</v>
      </c>
      <c r="AM2536" t="s">
        <v>871</v>
      </c>
      <c r="AN2536">
        <v>-116.77960400000001</v>
      </c>
      <c r="AO2536">
        <v>25</v>
      </c>
      <c r="AP2536">
        <v>3200</v>
      </c>
      <c r="AQ2536" t="s">
        <v>129</v>
      </c>
      <c r="AR2536">
        <v>119</v>
      </c>
      <c r="AS2536">
        <v>-77</v>
      </c>
      <c r="AT2536">
        <v>-512</v>
      </c>
      <c r="BB2536">
        <v>1200</v>
      </c>
      <c r="BC2536">
        <v>1</v>
      </c>
      <c r="BD2536" t="str">
        <f t="shared" si="901"/>
        <v xml:space="preserve">N887QR  </v>
      </c>
      <c r="BE2536">
        <v>1</v>
      </c>
      <c r="BJ2536">
        <v>2925</v>
      </c>
      <c r="BK2536">
        <v>-275</v>
      </c>
      <c r="BL2536" t="s">
        <v>163</v>
      </c>
      <c r="BM2536">
        <v>1</v>
      </c>
      <c r="BN2536">
        <v>1</v>
      </c>
      <c r="BO2536">
        <v>1</v>
      </c>
      <c r="BP2536">
        <v>0</v>
      </c>
      <c r="BS2536">
        <v>0</v>
      </c>
      <c r="BT2536">
        <v>0</v>
      </c>
      <c r="BU2536">
        <v>0</v>
      </c>
      <c r="CE2536" t="str">
        <f t="shared" si="915"/>
        <v>19:32:20.927</v>
      </c>
      <c r="CF2536">
        <v>926772268</v>
      </c>
      <c r="CS2536">
        <v>0</v>
      </c>
      <c r="CT2536">
        <v>2</v>
      </c>
      <c r="CU2536">
        <v>0</v>
      </c>
      <c r="CV2536">
        <v>2</v>
      </c>
      <c r="CW2536">
        <v>0</v>
      </c>
      <c r="CX2536">
        <v>5</v>
      </c>
      <c r="CY2536">
        <v>7</v>
      </c>
      <c r="CZ2536" t="s">
        <v>131</v>
      </c>
      <c r="DA2536">
        <v>300</v>
      </c>
      <c r="DB2536">
        <v>0</v>
      </c>
      <c r="DC2536" t="s">
        <v>176</v>
      </c>
      <c r="DD2536" t="s">
        <v>177</v>
      </c>
      <c r="DG2536">
        <v>5414965</v>
      </c>
      <c r="DI2536">
        <v>1</v>
      </c>
      <c r="DJ2536">
        <v>0</v>
      </c>
      <c r="DK2536">
        <v>1</v>
      </c>
      <c r="DL2536">
        <v>0</v>
      </c>
      <c r="DM2536">
        <v>0</v>
      </c>
      <c r="DN2536">
        <v>1</v>
      </c>
      <c r="DO2536">
        <v>0</v>
      </c>
      <c r="DP2536">
        <v>0</v>
      </c>
      <c r="DQ2536">
        <v>0</v>
      </c>
      <c r="DR2536">
        <v>0</v>
      </c>
      <c r="DS2536">
        <v>0</v>
      </c>
    </row>
    <row r="2537" spans="1:123" x14ac:dyDescent="0.3">
      <c r="A2537" t="str">
        <f t="shared" si="912"/>
        <v>10/04/2022 19:32:21.136</v>
      </c>
      <c r="C2537" t="str">
        <f t="shared" si="913"/>
        <v>FFDDD3C0</v>
      </c>
      <c r="D2537" t="s">
        <v>134</v>
      </c>
      <c r="E2537">
        <v>15</v>
      </c>
      <c r="J2537" t="s">
        <v>135</v>
      </c>
      <c r="K2537">
        <v>0</v>
      </c>
      <c r="L2537">
        <v>3</v>
      </c>
      <c r="M2537">
        <v>0</v>
      </c>
      <c r="N2537">
        <v>2</v>
      </c>
      <c r="O2537">
        <v>0</v>
      </c>
      <c r="P2537">
        <v>1</v>
      </c>
      <c r="Q2537">
        <v>0</v>
      </c>
      <c r="S2537" t="str">
        <f t="shared" si="914"/>
        <v>19:32:20.000</v>
      </c>
      <c r="T2537" t="str">
        <f t="shared" si="914"/>
        <v>19:32:20.000</v>
      </c>
      <c r="U2537" t="str">
        <f t="shared" si="900"/>
        <v>AC3944</v>
      </c>
      <c r="V2537">
        <v>0</v>
      </c>
      <c r="W2537">
        <v>0</v>
      </c>
      <c r="X2537">
        <v>2</v>
      </c>
      <c r="Y2537">
        <v>0</v>
      </c>
      <c r="AA2537">
        <v>1</v>
      </c>
      <c r="AB2537">
        <v>8</v>
      </c>
      <c r="AC2537">
        <v>3</v>
      </c>
      <c r="AD2537">
        <v>0</v>
      </c>
      <c r="AE2537">
        <v>9</v>
      </c>
      <c r="AF2537" t="s">
        <v>138</v>
      </c>
      <c r="AG2537">
        <v>0</v>
      </c>
      <c r="AH2537">
        <v>3</v>
      </c>
      <c r="AI2537">
        <v>1</v>
      </c>
      <c r="AJ2537">
        <v>0</v>
      </c>
      <c r="AK2537" t="s">
        <v>870</v>
      </c>
      <c r="AL2537">
        <v>32.752433000000003</v>
      </c>
      <c r="AM2537" t="s">
        <v>871</v>
      </c>
      <c r="AN2537">
        <v>-116.77960400000001</v>
      </c>
      <c r="AO2537">
        <v>25</v>
      </c>
      <c r="AP2537">
        <v>3200</v>
      </c>
      <c r="AQ2537" t="s">
        <v>129</v>
      </c>
      <c r="AR2537">
        <v>119</v>
      </c>
      <c r="AS2537">
        <v>-77</v>
      </c>
      <c r="AT2537">
        <v>-512</v>
      </c>
      <c r="BB2537">
        <v>1200</v>
      </c>
      <c r="BC2537">
        <v>1</v>
      </c>
      <c r="BD2537" t="str">
        <f t="shared" si="901"/>
        <v xml:space="preserve">N887QR  </v>
      </c>
      <c r="BE2537">
        <v>1</v>
      </c>
      <c r="BJ2537">
        <v>2925</v>
      </c>
      <c r="BK2537">
        <v>-275</v>
      </c>
      <c r="BL2537" t="s">
        <v>163</v>
      </c>
      <c r="BM2537">
        <v>1</v>
      </c>
      <c r="BN2537">
        <v>1</v>
      </c>
      <c r="BO2537">
        <v>1</v>
      </c>
      <c r="BP2537">
        <v>0</v>
      </c>
      <c r="BS2537">
        <v>0</v>
      </c>
      <c r="BT2537">
        <v>0</v>
      </c>
      <c r="BU2537">
        <v>0</v>
      </c>
      <c r="CE2537" t="str">
        <f t="shared" si="915"/>
        <v>19:32:20.927</v>
      </c>
      <c r="CF2537">
        <v>926772268</v>
      </c>
      <c r="CS2537">
        <v>0</v>
      </c>
      <c r="CT2537">
        <v>2</v>
      </c>
      <c r="CU2537">
        <v>0</v>
      </c>
      <c r="CV2537">
        <v>2</v>
      </c>
      <c r="CW2537">
        <v>0</v>
      </c>
      <c r="CX2537">
        <v>5</v>
      </c>
      <c r="CY2537">
        <v>7</v>
      </c>
      <c r="CZ2537" t="s">
        <v>131</v>
      </c>
      <c r="DA2537">
        <v>300</v>
      </c>
      <c r="DB2537">
        <v>0</v>
      </c>
      <c r="DC2537" t="s">
        <v>176</v>
      </c>
      <c r="DD2537" t="s">
        <v>177</v>
      </c>
      <c r="DG2537">
        <v>5414965</v>
      </c>
      <c r="DI2537">
        <v>1</v>
      </c>
      <c r="DJ2537">
        <v>0</v>
      </c>
      <c r="DK2537">
        <v>1</v>
      </c>
      <c r="DL2537">
        <v>0</v>
      </c>
      <c r="DM2537">
        <v>0</v>
      </c>
      <c r="DN2537">
        <v>1</v>
      </c>
      <c r="DO2537">
        <v>0</v>
      </c>
      <c r="DP2537">
        <v>0</v>
      </c>
      <c r="DQ2537">
        <v>0</v>
      </c>
      <c r="DR2537">
        <v>0</v>
      </c>
      <c r="DS2537">
        <v>0</v>
      </c>
    </row>
    <row r="2538" spans="1:123" x14ac:dyDescent="0.3">
      <c r="A2538" t="str">
        <f t="shared" si="912"/>
        <v>10/04/2022 19:32:21.136</v>
      </c>
      <c r="C2538" t="str">
        <f t="shared" si="913"/>
        <v>FFDDD3C0</v>
      </c>
      <c r="D2538" t="s">
        <v>136</v>
      </c>
      <c r="E2538">
        <v>8</v>
      </c>
      <c r="H2538">
        <v>225</v>
      </c>
      <c r="I2538" t="s">
        <v>137</v>
      </c>
      <c r="J2538" t="s">
        <v>138</v>
      </c>
      <c r="K2538">
        <v>0</v>
      </c>
      <c r="L2538">
        <v>3</v>
      </c>
      <c r="M2538">
        <v>0</v>
      </c>
      <c r="N2538">
        <v>2</v>
      </c>
      <c r="O2538">
        <v>0</v>
      </c>
      <c r="P2538">
        <v>1</v>
      </c>
      <c r="Q2538">
        <v>0</v>
      </c>
      <c r="S2538" t="str">
        <f t="shared" si="914"/>
        <v>19:32:20.000</v>
      </c>
      <c r="T2538" t="str">
        <f t="shared" si="914"/>
        <v>19:32:20.000</v>
      </c>
      <c r="U2538" t="str">
        <f t="shared" si="900"/>
        <v>AC3944</v>
      </c>
      <c r="V2538">
        <v>0</v>
      </c>
      <c r="W2538">
        <v>0</v>
      </c>
      <c r="X2538">
        <v>2</v>
      </c>
      <c r="Y2538">
        <v>0</v>
      </c>
      <c r="AA2538">
        <v>1</v>
      </c>
      <c r="AB2538">
        <v>8</v>
      </c>
      <c r="AC2538">
        <v>3</v>
      </c>
      <c r="AD2538">
        <v>0</v>
      </c>
      <c r="AE2538">
        <v>9</v>
      </c>
      <c r="AF2538" t="s">
        <v>138</v>
      </c>
      <c r="AG2538">
        <v>0</v>
      </c>
      <c r="AH2538">
        <v>3</v>
      </c>
      <c r="AI2538">
        <v>1</v>
      </c>
      <c r="AJ2538">
        <v>0</v>
      </c>
      <c r="AK2538" t="s">
        <v>870</v>
      </c>
      <c r="AL2538">
        <v>32.752433000000003</v>
      </c>
      <c r="AM2538" t="s">
        <v>871</v>
      </c>
      <c r="AN2538">
        <v>-116.77960400000001</v>
      </c>
      <c r="AO2538">
        <v>25</v>
      </c>
      <c r="AP2538">
        <v>3200</v>
      </c>
      <c r="AQ2538" t="s">
        <v>129</v>
      </c>
      <c r="AR2538">
        <v>119</v>
      </c>
      <c r="AS2538">
        <v>-77</v>
      </c>
      <c r="AT2538">
        <v>-512</v>
      </c>
      <c r="BB2538">
        <v>1200</v>
      </c>
      <c r="BC2538">
        <v>1</v>
      </c>
      <c r="BD2538" t="str">
        <f t="shared" si="901"/>
        <v xml:space="preserve">N887QR  </v>
      </c>
      <c r="BE2538">
        <v>1</v>
      </c>
      <c r="BJ2538">
        <v>2925</v>
      </c>
      <c r="BK2538">
        <v>-275</v>
      </c>
      <c r="BL2538" t="s">
        <v>163</v>
      </c>
      <c r="BM2538">
        <v>1</v>
      </c>
      <c r="BN2538">
        <v>1</v>
      </c>
      <c r="BO2538">
        <v>1</v>
      </c>
      <c r="BP2538">
        <v>0</v>
      </c>
      <c r="BS2538">
        <v>0</v>
      </c>
      <c r="BT2538">
        <v>0</v>
      </c>
      <c r="BU2538">
        <v>0</v>
      </c>
      <c r="CE2538" t="str">
        <f t="shared" si="915"/>
        <v>19:32:20.927</v>
      </c>
      <c r="CF2538">
        <v>926772268</v>
      </c>
      <c r="CS2538">
        <v>0</v>
      </c>
      <c r="CT2538">
        <v>2</v>
      </c>
      <c r="CU2538">
        <v>0</v>
      </c>
      <c r="CV2538">
        <v>2</v>
      </c>
      <c r="CW2538">
        <v>0</v>
      </c>
      <c r="CX2538">
        <v>5</v>
      </c>
      <c r="CY2538">
        <v>7</v>
      </c>
      <c r="CZ2538" t="s">
        <v>131</v>
      </c>
      <c r="DA2538">
        <v>300</v>
      </c>
      <c r="DB2538">
        <v>0</v>
      </c>
      <c r="DC2538" t="s">
        <v>176</v>
      </c>
      <c r="DD2538" t="s">
        <v>177</v>
      </c>
      <c r="DG2538">
        <v>5414965</v>
      </c>
      <c r="DI2538">
        <v>1</v>
      </c>
      <c r="DJ2538">
        <v>0</v>
      </c>
      <c r="DK2538">
        <v>1</v>
      </c>
      <c r="DL2538">
        <v>0</v>
      </c>
      <c r="DM2538">
        <v>0</v>
      </c>
      <c r="DN2538">
        <v>1</v>
      </c>
      <c r="DO2538">
        <v>0</v>
      </c>
      <c r="DP2538">
        <v>0</v>
      </c>
      <c r="DQ2538">
        <v>0</v>
      </c>
      <c r="DR2538">
        <v>0</v>
      </c>
      <c r="DS2538">
        <v>0</v>
      </c>
    </row>
    <row r="2539" spans="1:123" x14ac:dyDescent="0.3">
      <c r="A2539" t="str">
        <f t="shared" si="912"/>
        <v>10/04/2022 19:32:21.136</v>
      </c>
      <c r="C2539" t="str">
        <f t="shared" si="913"/>
        <v>FFDDD3C0</v>
      </c>
      <c r="D2539" t="s">
        <v>141</v>
      </c>
      <c r="E2539">
        <v>4</v>
      </c>
      <c r="H2539">
        <v>4</v>
      </c>
      <c r="I2539" t="s">
        <v>142</v>
      </c>
      <c r="J2539" t="s">
        <v>138</v>
      </c>
      <c r="K2539">
        <v>0</v>
      </c>
      <c r="L2539">
        <v>3</v>
      </c>
      <c r="M2539">
        <v>0</v>
      </c>
      <c r="N2539">
        <v>2</v>
      </c>
      <c r="O2539">
        <v>0</v>
      </c>
      <c r="P2539">
        <v>1</v>
      </c>
      <c r="Q2539">
        <v>0</v>
      </c>
      <c r="S2539" t="str">
        <f t="shared" si="914"/>
        <v>19:32:20.000</v>
      </c>
      <c r="T2539" t="str">
        <f t="shared" si="914"/>
        <v>19:32:20.000</v>
      </c>
      <c r="U2539" t="str">
        <f t="shared" si="900"/>
        <v>AC3944</v>
      </c>
      <c r="V2539">
        <v>0</v>
      </c>
      <c r="W2539">
        <v>0</v>
      </c>
      <c r="X2539">
        <v>2</v>
      </c>
      <c r="Y2539">
        <v>0</v>
      </c>
      <c r="AA2539">
        <v>1</v>
      </c>
      <c r="AB2539">
        <v>8</v>
      </c>
      <c r="AC2539">
        <v>3</v>
      </c>
      <c r="AD2539">
        <v>0</v>
      </c>
      <c r="AE2539">
        <v>9</v>
      </c>
      <c r="AF2539" t="s">
        <v>138</v>
      </c>
      <c r="AG2539">
        <v>0</v>
      </c>
      <c r="AH2539">
        <v>3</v>
      </c>
      <c r="AI2539">
        <v>1</v>
      </c>
      <c r="AJ2539">
        <v>0</v>
      </c>
      <c r="AK2539" t="s">
        <v>870</v>
      </c>
      <c r="AL2539">
        <v>32.752433000000003</v>
      </c>
      <c r="AM2539" t="s">
        <v>871</v>
      </c>
      <c r="AN2539">
        <v>-116.77960400000001</v>
      </c>
      <c r="AO2539">
        <v>25</v>
      </c>
      <c r="AP2539">
        <v>3200</v>
      </c>
      <c r="AQ2539" t="s">
        <v>129</v>
      </c>
      <c r="AR2539">
        <v>119</v>
      </c>
      <c r="AS2539">
        <v>-77</v>
      </c>
      <c r="AT2539">
        <v>-512</v>
      </c>
      <c r="BB2539">
        <v>1200</v>
      </c>
      <c r="BC2539">
        <v>1</v>
      </c>
      <c r="BD2539" t="str">
        <f t="shared" si="901"/>
        <v xml:space="preserve">N887QR  </v>
      </c>
      <c r="BE2539">
        <v>1</v>
      </c>
      <c r="BJ2539">
        <v>2925</v>
      </c>
      <c r="BK2539">
        <v>-275</v>
      </c>
      <c r="BL2539" t="s">
        <v>163</v>
      </c>
      <c r="BM2539">
        <v>1</v>
      </c>
      <c r="BN2539">
        <v>1</v>
      </c>
      <c r="BO2539">
        <v>1</v>
      </c>
      <c r="BP2539">
        <v>0</v>
      </c>
      <c r="BS2539">
        <v>0</v>
      </c>
      <c r="BT2539">
        <v>0</v>
      </c>
      <c r="BU2539">
        <v>0</v>
      </c>
      <c r="CE2539" t="str">
        <f t="shared" si="915"/>
        <v>19:32:20.927</v>
      </c>
      <c r="CF2539">
        <v>926772268</v>
      </c>
      <c r="CS2539">
        <v>0</v>
      </c>
      <c r="CT2539">
        <v>2</v>
      </c>
      <c r="CU2539">
        <v>0</v>
      </c>
      <c r="CV2539">
        <v>2</v>
      </c>
      <c r="CW2539">
        <v>0</v>
      </c>
      <c r="CX2539">
        <v>5</v>
      </c>
      <c r="CY2539">
        <v>7</v>
      </c>
      <c r="CZ2539" t="s">
        <v>131</v>
      </c>
      <c r="DA2539">
        <v>300</v>
      </c>
      <c r="DB2539">
        <v>0</v>
      </c>
      <c r="DC2539" t="s">
        <v>176</v>
      </c>
      <c r="DD2539" t="s">
        <v>177</v>
      </c>
      <c r="DG2539">
        <v>5414965</v>
      </c>
      <c r="DI2539">
        <v>1</v>
      </c>
      <c r="DJ2539">
        <v>0</v>
      </c>
      <c r="DK2539">
        <v>1</v>
      </c>
      <c r="DL2539">
        <v>0</v>
      </c>
      <c r="DM2539">
        <v>0</v>
      </c>
      <c r="DN2539">
        <v>1</v>
      </c>
      <c r="DO2539">
        <v>0</v>
      </c>
      <c r="DP2539">
        <v>0</v>
      </c>
      <c r="DQ2539">
        <v>0</v>
      </c>
      <c r="DR2539">
        <v>0</v>
      </c>
      <c r="DS2539">
        <v>0</v>
      </c>
    </row>
    <row r="2540" spans="1:123" x14ac:dyDescent="0.3">
      <c r="A2540" t="str">
        <f t="shared" si="912"/>
        <v>10/04/2022 19:32:21.136</v>
      </c>
      <c r="C2540" t="str">
        <f t="shared" si="913"/>
        <v>FFDDD3C0</v>
      </c>
      <c r="D2540" t="s">
        <v>141</v>
      </c>
      <c r="E2540">
        <v>3</v>
      </c>
      <c r="H2540">
        <v>3</v>
      </c>
      <c r="I2540" t="s">
        <v>146</v>
      </c>
      <c r="J2540" t="s">
        <v>138</v>
      </c>
      <c r="K2540">
        <v>0</v>
      </c>
      <c r="L2540">
        <v>3</v>
      </c>
      <c r="M2540">
        <v>0</v>
      </c>
      <c r="N2540">
        <v>2</v>
      </c>
      <c r="O2540">
        <v>0</v>
      </c>
      <c r="P2540">
        <v>1</v>
      </c>
      <c r="Q2540">
        <v>0</v>
      </c>
      <c r="S2540" t="str">
        <f t="shared" si="914"/>
        <v>19:32:20.000</v>
      </c>
      <c r="T2540" t="str">
        <f t="shared" si="914"/>
        <v>19:32:20.000</v>
      </c>
      <c r="U2540" t="str">
        <f t="shared" si="900"/>
        <v>AC3944</v>
      </c>
      <c r="V2540">
        <v>0</v>
      </c>
      <c r="W2540">
        <v>0</v>
      </c>
      <c r="X2540">
        <v>2</v>
      </c>
      <c r="Y2540">
        <v>0</v>
      </c>
      <c r="AA2540">
        <v>1</v>
      </c>
      <c r="AB2540">
        <v>8</v>
      </c>
      <c r="AC2540">
        <v>3</v>
      </c>
      <c r="AD2540">
        <v>0</v>
      </c>
      <c r="AE2540">
        <v>9</v>
      </c>
      <c r="AF2540" t="s">
        <v>138</v>
      </c>
      <c r="AG2540">
        <v>0</v>
      </c>
      <c r="AH2540">
        <v>3</v>
      </c>
      <c r="AI2540">
        <v>1</v>
      </c>
      <c r="AJ2540">
        <v>0</v>
      </c>
      <c r="AK2540" t="s">
        <v>870</v>
      </c>
      <c r="AL2540">
        <v>32.752433000000003</v>
      </c>
      <c r="AM2540" t="s">
        <v>871</v>
      </c>
      <c r="AN2540">
        <v>-116.77960400000001</v>
      </c>
      <c r="AO2540">
        <v>25</v>
      </c>
      <c r="AP2540">
        <v>3200</v>
      </c>
      <c r="AQ2540" t="s">
        <v>129</v>
      </c>
      <c r="AR2540">
        <v>119</v>
      </c>
      <c r="AS2540">
        <v>-77</v>
      </c>
      <c r="AT2540">
        <v>-512</v>
      </c>
      <c r="BB2540">
        <v>1200</v>
      </c>
      <c r="BC2540">
        <v>1</v>
      </c>
      <c r="BD2540" t="str">
        <f t="shared" si="901"/>
        <v xml:space="preserve">N887QR  </v>
      </c>
      <c r="BE2540">
        <v>1</v>
      </c>
      <c r="BJ2540">
        <v>2925</v>
      </c>
      <c r="BK2540">
        <v>-275</v>
      </c>
      <c r="BL2540" t="s">
        <v>163</v>
      </c>
      <c r="BM2540">
        <v>1</v>
      </c>
      <c r="BN2540">
        <v>1</v>
      </c>
      <c r="BO2540">
        <v>1</v>
      </c>
      <c r="BP2540">
        <v>0</v>
      </c>
      <c r="BS2540">
        <v>0</v>
      </c>
      <c r="BT2540">
        <v>0</v>
      </c>
      <c r="BU2540">
        <v>0</v>
      </c>
      <c r="CE2540" t="str">
        <f t="shared" si="915"/>
        <v>19:32:20.927</v>
      </c>
      <c r="CF2540">
        <v>926772268</v>
      </c>
      <c r="CS2540">
        <v>0</v>
      </c>
      <c r="CT2540">
        <v>2</v>
      </c>
      <c r="CU2540">
        <v>0</v>
      </c>
      <c r="CV2540">
        <v>2</v>
      </c>
      <c r="CW2540">
        <v>0</v>
      </c>
      <c r="CX2540">
        <v>5</v>
      </c>
      <c r="CY2540">
        <v>7</v>
      </c>
      <c r="CZ2540" t="s">
        <v>131</v>
      </c>
      <c r="DA2540">
        <v>300</v>
      </c>
      <c r="DB2540">
        <v>0</v>
      </c>
      <c r="DC2540" t="s">
        <v>176</v>
      </c>
      <c r="DD2540" t="s">
        <v>177</v>
      </c>
      <c r="DG2540">
        <v>5414965</v>
      </c>
      <c r="DI2540">
        <v>1</v>
      </c>
      <c r="DJ2540">
        <v>0</v>
      </c>
      <c r="DK2540">
        <v>1</v>
      </c>
      <c r="DL2540">
        <v>0</v>
      </c>
      <c r="DM2540">
        <v>0</v>
      </c>
      <c r="DN2540">
        <v>1</v>
      </c>
      <c r="DO2540">
        <v>0</v>
      </c>
      <c r="DP2540">
        <v>0</v>
      </c>
      <c r="DQ2540">
        <v>0</v>
      </c>
      <c r="DR2540">
        <v>0</v>
      </c>
      <c r="DS2540">
        <v>0</v>
      </c>
    </row>
    <row r="2541" spans="1:123" x14ac:dyDescent="0.3">
      <c r="A2541" t="str">
        <f>"10/04/2022 19:32:21.183"</f>
        <v>10/04/2022 19:32:21.183</v>
      </c>
      <c r="C2541" t="str">
        <f t="shared" si="913"/>
        <v>FFDDD3C0</v>
      </c>
      <c r="D2541" t="s">
        <v>123</v>
      </c>
      <c r="E2541">
        <v>7</v>
      </c>
      <c r="F2541">
        <v>2007</v>
      </c>
      <c r="G2541" t="s">
        <v>124</v>
      </c>
      <c r="J2541" t="s">
        <v>125</v>
      </c>
      <c r="K2541">
        <v>0</v>
      </c>
      <c r="L2541">
        <v>3</v>
      </c>
      <c r="M2541">
        <v>0</v>
      </c>
      <c r="N2541">
        <v>2</v>
      </c>
      <c r="O2541">
        <v>0</v>
      </c>
      <c r="P2541">
        <v>1</v>
      </c>
      <c r="Q2541">
        <v>0</v>
      </c>
      <c r="S2541" t="str">
        <f t="shared" si="914"/>
        <v>19:32:20.000</v>
      </c>
      <c r="T2541" t="str">
        <f t="shared" si="914"/>
        <v>19:32:20.000</v>
      </c>
      <c r="U2541" t="str">
        <f t="shared" si="900"/>
        <v>AC3944</v>
      </c>
      <c r="V2541">
        <v>0</v>
      </c>
      <c r="W2541">
        <v>0</v>
      </c>
      <c r="X2541">
        <v>2</v>
      </c>
      <c r="Y2541">
        <v>0</v>
      </c>
      <c r="AA2541">
        <v>1</v>
      </c>
      <c r="AB2541">
        <v>8</v>
      </c>
      <c r="AC2541">
        <v>3</v>
      </c>
      <c r="AD2541">
        <v>0</v>
      </c>
      <c r="AE2541">
        <v>9</v>
      </c>
      <c r="AF2541" t="s">
        <v>138</v>
      </c>
      <c r="AG2541">
        <v>0</v>
      </c>
      <c r="AH2541">
        <v>3</v>
      </c>
      <c r="AI2541">
        <v>1</v>
      </c>
      <c r="AJ2541">
        <v>0</v>
      </c>
      <c r="AK2541" t="s">
        <v>870</v>
      </c>
      <c r="AL2541">
        <v>32.752433000000003</v>
      </c>
      <c r="AM2541" t="s">
        <v>871</v>
      </c>
      <c r="AN2541">
        <v>-116.77960400000001</v>
      </c>
      <c r="AO2541">
        <v>25</v>
      </c>
      <c r="AP2541">
        <v>3200</v>
      </c>
      <c r="AQ2541" t="s">
        <v>129</v>
      </c>
      <c r="AR2541">
        <v>119</v>
      </c>
      <c r="AS2541">
        <v>-77</v>
      </c>
      <c r="AT2541">
        <v>-512</v>
      </c>
      <c r="BB2541">
        <v>1200</v>
      </c>
      <c r="BC2541">
        <v>1</v>
      </c>
      <c r="BD2541" t="str">
        <f t="shared" si="901"/>
        <v xml:space="preserve">N887QR  </v>
      </c>
      <c r="BE2541">
        <v>1</v>
      </c>
      <c r="BJ2541">
        <v>2925</v>
      </c>
      <c r="BK2541">
        <v>-275</v>
      </c>
      <c r="BL2541" t="s">
        <v>163</v>
      </c>
      <c r="BM2541">
        <v>1</v>
      </c>
      <c r="BN2541">
        <v>1</v>
      </c>
      <c r="BO2541">
        <v>1</v>
      </c>
      <c r="BP2541">
        <v>0</v>
      </c>
      <c r="BS2541">
        <v>0</v>
      </c>
      <c r="BT2541">
        <v>0</v>
      </c>
      <c r="BU2541">
        <v>0</v>
      </c>
      <c r="CE2541" t="str">
        <f t="shared" si="915"/>
        <v>19:32:20.927</v>
      </c>
      <c r="CF2541">
        <v>926772268</v>
      </c>
      <c r="CS2541">
        <v>0</v>
      </c>
      <c r="CT2541">
        <v>2</v>
      </c>
      <c r="CU2541">
        <v>0</v>
      </c>
      <c r="CV2541">
        <v>2</v>
      </c>
      <c r="CW2541">
        <v>0</v>
      </c>
      <c r="CX2541">
        <v>5</v>
      </c>
      <c r="CY2541">
        <v>7</v>
      </c>
      <c r="CZ2541" t="s">
        <v>131</v>
      </c>
      <c r="DA2541">
        <v>300</v>
      </c>
      <c r="DB2541">
        <v>0</v>
      </c>
      <c r="DC2541" t="s">
        <v>176</v>
      </c>
      <c r="DD2541" t="s">
        <v>177</v>
      </c>
      <c r="DG2541">
        <v>5414965</v>
      </c>
      <c r="DI2541">
        <v>1</v>
      </c>
      <c r="DJ2541">
        <v>0</v>
      </c>
      <c r="DK2541">
        <v>1</v>
      </c>
      <c r="DL2541">
        <v>0</v>
      </c>
      <c r="DM2541">
        <v>0</v>
      </c>
      <c r="DN2541">
        <v>1</v>
      </c>
      <c r="DO2541">
        <v>0</v>
      </c>
      <c r="DP2541">
        <v>0</v>
      </c>
      <c r="DQ2541">
        <v>0</v>
      </c>
      <c r="DR2541">
        <v>0</v>
      </c>
      <c r="DS2541">
        <v>0</v>
      </c>
    </row>
    <row r="2542" spans="1:123" x14ac:dyDescent="0.3">
      <c r="A2542" t="str">
        <f t="shared" ref="A2542:A2548" si="916">"10/04/2022 19:32:22.323"</f>
        <v>10/04/2022 19:32:22.323</v>
      </c>
      <c r="C2542" t="str">
        <f t="shared" si="913"/>
        <v>FFDDD3C0</v>
      </c>
      <c r="D2542" t="s">
        <v>147</v>
      </c>
      <c r="E2542">
        <v>3</v>
      </c>
      <c r="H2542">
        <v>166</v>
      </c>
      <c r="I2542" t="s">
        <v>144</v>
      </c>
      <c r="J2542" t="s">
        <v>148</v>
      </c>
      <c r="K2542">
        <v>0</v>
      </c>
      <c r="L2542">
        <v>3</v>
      </c>
      <c r="M2542">
        <v>0</v>
      </c>
      <c r="N2542">
        <v>2</v>
      </c>
      <c r="O2542">
        <v>0</v>
      </c>
      <c r="P2542">
        <v>1</v>
      </c>
      <c r="Q2542">
        <v>0</v>
      </c>
      <c r="S2542" t="str">
        <f t="shared" ref="S2542:T2548" si="917">"19:32:22.000"</f>
        <v>19:32:22.000</v>
      </c>
      <c r="T2542" t="str">
        <f t="shared" si="917"/>
        <v>19:32:22.000</v>
      </c>
      <c r="U2542" t="str">
        <f t="shared" si="900"/>
        <v>AC3944</v>
      </c>
      <c r="V2542">
        <v>0</v>
      </c>
      <c r="W2542">
        <v>0</v>
      </c>
      <c r="X2542">
        <v>2</v>
      </c>
      <c r="Y2542">
        <v>0</v>
      </c>
      <c r="AA2542">
        <v>1</v>
      </c>
      <c r="AB2542">
        <v>8</v>
      </c>
      <c r="AC2542">
        <v>3</v>
      </c>
      <c r="AD2542">
        <v>0</v>
      </c>
      <c r="AE2542">
        <v>9</v>
      </c>
      <c r="AF2542" t="s">
        <v>138</v>
      </c>
      <c r="AG2542">
        <v>0</v>
      </c>
      <c r="AH2542">
        <v>3</v>
      </c>
      <c r="AI2542">
        <v>1</v>
      </c>
      <c r="AJ2542">
        <v>0</v>
      </c>
      <c r="AK2542" t="s">
        <v>872</v>
      </c>
      <c r="AL2542">
        <v>32.752068000000001</v>
      </c>
      <c r="AM2542" t="s">
        <v>873</v>
      </c>
      <c r="AN2542">
        <v>-116.77896</v>
      </c>
      <c r="AO2542">
        <v>25</v>
      </c>
      <c r="AP2542">
        <v>3200</v>
      </c>
      <c r="AQ2542" t="s">
        <v>129</v>
      </c>
      <c r="AR2542">
        <v>118</v>
      </c>
      <c r="AS2542">
        <v>-78</v>
      </c>
      <c r="AT2542">
        <v>-512</v>
      </c>
      <c r="BB2542">
        <v>1200</v>
      </c>
      <c r="BC2542">
        <v>1</v>
      </c>
      <c r="BD2542" t="str">
        <f t="shared" si="901"/>
        <v xml:space="preserve">N887QR  </v>
      </c>
      <c r="BE2542">
        <v>1</v>
      </c>
      <c r="BJ2542">
        <v>2925</v>
      </c>
      <c r="BK2542">
        <v>-275</v>
      </c>
      <c r="BL2542" t="s">
        <v>163</v>
      </c>
      <c r="BM2542">
        <v>1</v>
      </c>
      <c r="BN2542">
        <v>1</v>
      </c>
      <c r="BO2542">
        <v>1</v>
      </c>
      <c r="BP2542">
        <v>0</v>
      </c>
      <c r="BS2542">
        <v>0</v>
      </c>
      <c r="BT2542">
        <v>0</v>
      </c>
      <c r="BU2542">
        <v>0</v>
      </c>
      <c r="CE2542" t="str">
        <f t="shared" ref="CE2542:CE2548" si="918">"19:32:22.049"</f>
        <v>19:32:22.049</v>
      </c>
      <c r="CF2542">
        <v>49276179</v>
      </c>
      <c r="CS2542">
        <v>0</v>
      </c>
      <c r="CT2542">
        <v>2</v>
      </c>
      <c r="CU2542">
        <v>0</v>
      </c>
      <c r="CV2542">
        <v>2</v>
      </c>
      <c r="CW2542">
        <v>0</v>
      </c>
      <c r="CX2542">
        <v>5</v>
      </c>
      <c r="CY2542">
        <v>7</v>
      </c>
      <c r="CZ2542" t="s">
        <v>131</v>
      </c>
      <c r="DA2542">
        <v>300</v>
      </c>
      <c r="DB2542">
        <v>0</v>
      </c>
      <c r="DC2542" t="s">
        <v>176</v>
      </c>
      <c r="DD2542" t="s">
        <v>177</v>
      </c>
      <c r="DG2542">
        <v>5415151</v>
      </c>
      <c r="DI2542">
        <v>1</v>
      </c>
      <c r="DJ2542">
        <v>0</v>
      </c>
      <c r="DK2542">
        <v>0</v>
      </c>
      <c r="DL2542">
        <v>0</v>
      </c>
      <c r="DM2542">
        <v>0</v>
      </c>
      <c r="DN2542">
        <v>1</v>
      </c>
      <c r="DO2542">
        <v>0</v>
      </c>
      <c r="DP2542">
        <v>0</v>
      </c>
      <c r="DQ2542">
        <v>0</v>
      </c>
      <c r="DR2542">
        <v>0</v>
      </c>
      <c r="DS2542">
        <v>0</v>
      </c>
    </row>
    <row r="2543" spans="1:123" x14ac:dyDescent="0.3">
      <c r="A2543" t="str">
        <f t="shared" si="916"/>
        <v>10/04/2022 19:32:22.323</v>
      </c>
      <c r="C2543" t="str">
        <f t="shared" si="913"/>
        <v>FFDDD3C0</v>
      </c>
      <c r="D2543" t="s">
        <v>143</v>
      </c>
      <c r="E2543">
        <v>20</v>
      </c>
      <c r="F2543">
        <v>1020</v>
      </c>
      <c r="G2543" t="s">
        <v>144</v>
      </c>
      <c r="J2543" t="s">
        <v>145</v>
      </c>
      <c r="K2543">
        <v>0</v>
      </c>
      <c r="L2543">
        <v>3</v>
      </c>
      <c r="M2543">
        <v>0</v>
      </c>
      <c r="N2543">
        <v>2</v>
      </c>
      <c r="O2543">
        <v>0</v>
      </c>
      <c r="P2543">
        <v>1</v>
      </c>
      <c r="Q2543">
        <v>0</v>
      </c>
      <c r="S2543" t="str">
        <f t="shared" si="917"/>
        <v>19:32:22.000</v>
      </c>
      <c r="T2543" t="str">
        <f t="shared" si="917"/>
        <v>19:32:22.000</v>
      </c>
      <c r="U2543" t="str">
        <f t="shared" si="900"/>
        <v>AC3944</v>
      </c>
      <c r="V2543">
        <v>0</v>
      </c>
      <c r="W2543">
        <v>0</v>
      </c>
      <c r="X2543">
        <v>2</v>
      </c>
      <c r="Y2543">
        <v>0</v>
      </c>
      <c r="AA2543">
        <v>1</v>
      </c>
      <c r="AB2543">
        <v>8</v>
      </c>
      <c r="AC2543">
        <v>3</v>
      </c>
      <c r="AD2543">
        <v>0</v>
      </c>
      <c r="AE2543">
        <v>9</v>
      </c>
      <c r="AF2543" t="s">
        <v>138</v>
      </c>
      <c r="AG2543">
        <v>0</v>
      </c>
      <c r="AH2543">
        <v>3</v>
      </c>
      <c r="AI2543">
        <v>1</v>
      </c>
      <c r="AJ2543">
        <v>0</v>
      </c>
      <c r="AK2543" t="s">
        <v>872</v>
      </c>
      <c r="AL2543">
        <v>32.752068000000001</v>
      </c>
      <c r="AM2543" t="s">
        <v>873</v>
      </c>
      <c r="AN2543">
        <v>-116.77896</v>
      </c>
      <c r="AO2543">
        <v>25</v>
      </c>
      <c r="AP2543">
        <v>3200</v>
      </c>
      <c r="AQ2543" t="s">
        <v>129</v>
      </c>
      <c r="AR2543">
        <v>118</v>
      </c>
      <c r="AS2543">
        <v>-78</v>
      </c>
      <c r="AT2543">
        <v>-512</v>
      </c>
      <c r="BB2543">
        <v>1200</v>
      </c>
      <c r="BC2543">
        <v>1</v>
      </c>
      <c r="BD2543" t="str">
        <f t="shared" si="901"/>
        <v xml:space="preserve">N887QR  </v>
      </c>
      <c r="BE2543">
        <v>1</v>
      </c>
      <c r="BJ2543">
        <v>2925</v>
      </c>
      <c r="BK2543">
        <v>-275</v>
      </c>
      <c r="BL2543" t="s">
        <v>163</v>
      </c>
      <c r="BM2543">
        <v>1</v>
      </c>
      <c r="BN2543">
        <v>1</v>
      </c>
      <c r="BO2543">
        <v>1</v>
      </c>
      <c r="BP2543">
        <v>0</v>
      </c>
      <c r="BS2543">
        <v>0</v>
      </c>
      <c r="BT2543">
        <v>0</v>
      </c>
      <c r="BU2543">
        <v>0</v>
      </c>
      <c r="CE2543" t="str">
        <f t="shared" si="918"/>
        <v>19:32:22.049</v>
      </c>
      <c r="CF2543">
        <v>49276179</v>
      </c>
      <c r="CS2543">
        <v>0</v>
      </c>
      <c r="CT2543">
        <v>2</v>
      </c>
      <c r="CU2543">
        <v>0</v>
      </c>
      <c r="CV2543">
        <v>2</v>
      </c>
      <c r="CW2543">
        <v>0</v>
      </c>
      <c r="CX2543">
        <v>5</v>
      </c>
      <c r="CY2543">
        <v>7</v>
      </c>
      <c r="CZ2543" t="s">
        <v>131</v>
      </c>
      <c r="DA2543">
        <v>300</v>
      </c>
      <c r="DB2543">
        <v>0</v>
      </c>
      <c r="DC2543" t="s">
        <v>176</v>
      </c>
      <c r="DD2543" t="s">
        <v>177</v>
      </c>
      <c r="DG2543">
        <v>5415151</v>
      </c>
      <c r="DI2543">
        <v>1</v>
      </c>
      <c r="DJ2543">
        <v>0</v>
      </c>
      <c r="DK2543">
        <v>1</v>
      </c>
      <c r="DL2543">
        <v>0</v>
      </c>
      <c r="DM2543">
        <v>0</v>
      </c>
      <c r="DN2543">
        <v>1</v>
      </c>
      <c r="DO2543">
        <v>0</v>
      </c>
      <c r="DP2543">
        <v>0</v>
      </c>
      <c r="DQ2543">
        <v>0</v>
      </c>
      <c r="DR2543">
        <v>0</v>
      </c>
      <c r="DS2543">
        <v>0</v>
      </c>
    </row>
    <row r="2544" spans="1:123" x14ac:dyDescent="0.3">
      <c r="A2544" t="str">
        <f t="shared" si="916"/>
        <v>10/04/2022 19:32:22.323</v>
      </c>
      <c r="C2544" t="str">
        <f t="shared" si="913"/>
        <v>FFDDD3C0</v>
      </c>
      <c r="D2544" t="s">
        <v>141</v>
      </c>
      <c r="E2544">
        <v>4</v>
      </c>
      <c r="H2544">
        <v>4</v>
      </c>
      <c r="I2544" t="s">
        <v>142</v>
      </c>
      <c r="J2544" t="s">
        <v>138</v>
      </c>
      <c r="K2544">
        <v>0</v>
      </c>
      <c r="L2544">
        <v>3</v>
      </c>
      <c r="M2544">
        <v>0</v>
      </c>
      <c r="N2544">
        <v>2</v>
      </c>
      <c r="O2544">
        <v>0</v>
      </c>
      <c r="P2544">
        <v>1</v>
      </c>
      <c r="Q2544">
        <v>0</v>
      </c>
      <c r="S2544" t="str">
        <f t="shared" si="917"/>
        <v>19:32:22.000</v>
      </c>
      <c r="T2544" t="str">
        <f t="shared" si="917"/>
        <v>19:32:22.000</v>
      </c>
      <c r="U2544" t="str">
        <f t="shared" si="900"/>
        <v>AC3944</v>
      </c>
      <c r="V2544">
        <v>0</v>
      </c>
      <c r="W2544">
        <v>0</v>
      </c>
      <c r="X2544">
        <v>2</v>
      </c>
      <c r="Y2544">
        <v>0</v>
      </c>
      <c r="AA2544">
        <v>1</v>
      </c>
      <c r="AB2544">
        <v>8</v>
      </c>
      <c r="AC2544">
        <v>3</v>
      </c>
      <c r="AD2544">
        <v>0</v>
      </c>
      <c r="AE2544">
        <v>9</v>
      </c>
      <c r="AF2544" t="s">
        <v>138</v>
      </c>
      <c r="AG2544">
        <v>0</v>
      </c>
      <c r="AH2544">
        <v>3</v>
      </c>
      <c r="AI2544">
        <v>1</v>
      </c>
      <c r="AJ2544">
        <v>0</v>
      </c>
      <c r="AK2544" t="s">
        <v>872</v>
      </c>
      <c r="AL2544">
        <v>32.752068000000001</v>
      </c>
      <c r="AM2544" t="s">
        <v>873</v>
      </c>
      <c r="AN2544">
        <v>-116.77896</v>
      </c>
      <c r="AO2544">
        <v>25</v>
      </c>
      <c r="AP2544">
        <v>3200</v>
      </c>
      <c r="AQ2544" t="s">
        <v>129</v>
      </c>
      <c r="AR2544">
        <v>118</v>
      </c>
      <c r="AS2544">
        <v>-78</v>
      </c>
      <c r="AT2544">
        <v>-512</v>
      </c>
      <c r="BB2544">
        <v>1200</v>
      </c>
      <c r="BC2544">
        <v>1</v>
      </c>
      <c r="BD2544" t="str">
        <f t="shared" si="901"/>
        <v xml:space="preserve">N887QR  </v>
      </c>
      <c r="BE2544">
        <v>1</v>
      </c>
      <c r="BJ2544">
        <v>2925</v>
      </c>
      <c r="BK2544">
        <v>-275</v>
      </c>
      <c r="BL2544" t="s">
        <v>163</v>
      </c>
      <c r="BM2544">
        <v>1</v>
      </c>
      <c r="BN2544">
        <v>1</v>
      </c>
      <c r="BO2544">
        <v>1</v>
      </c>
      <c r="BP2544">
        <v>0</v>
      </c>
      <c r="BS2544">
        <v>0</v>
      </c>
      <c r="BT2544">
        <v>0</v>
      </c>
      <c r="BU2544">
        <v>0</v>
      </c>
      <c r="CE2544" t="str">
        <f t="shared" si="918"/>
        <v>19:32:22.049</v>
      </c>
      <c r="CF2544">
        <v>49276179</v>
      </c>
      <c r="CS2544">
        <v>0</v>
      </c>
      <c r="CT2544">
        <v>2</v>
      </c>
      <c r="CU2544">
        <v>0</v>
      </c>
      <c r="CV2544">
        <v>2</v>
      </c>
      <c r="CW2544">
        <v>0</v>
      </c>
      <c r="CX2544">
        <v>5</v>
      </c>
      <c r="CY2544">
        <v>7</v>
      </c>
      <c r="CZ2544" t="s">
        <v>131</v>
      </c>
      <c r="DA2544">
        <v>300</v>
      </c>
      <c r="DB2544">
        <v>0</v>
      </c>
      <c r="DC2544" t="s">
        <v>176</v>
      </c>
      <c r="DD2544" t="s">
        <v>177</v>
      </c>
      <c r="DG2544">
        <v>5415151</v>
      </c>
      <c r="DI2544">
        <v>1</v>
      </c>
      <c r="DJ2544">
        <v>0</v>
      </c>
      <c r="DK2544">
        <v>1</v>
      </c>
      <c r="DL2544">
        <v>0</v>
      </c>
      <c r="DM2544">
        <v>0</v>
      </c>
      <c r="DN2544">
        <v>1</v>
      </c>
      <c r="DO2544">
        <v>0</v>
      </c>
      <c r="DP2544">
        <v>0</v>
      </c>
      <c r="DQ2544">
        <v>0</v>
      </c>
      <c r="DR2544">
        <v>0</v>
      </c>
      <c r="DS2544">
        <v>0</v>
      </c>
    </row>
    <row r="2545" spans="1:123" x14ac:dyDescent="0.3">
      <c r="A2545" t="str">
        <f t="shared" si="916"/>
        <v>10/04/2022 19:32:22.323</v>
      </c>
      <c r="C2545" t="str">
        <f t="shared" si="913"/>
        <v>FFDDD3C0</v>
      </c>
      <c r="D2545" t="s">
        <v>136</v>
      </c>
      <c r="E2545">
        <v>8</v>
      </c>
      <c r="H2545">
        <v>225</v>
      </c>
      <c r="I2545" t="s">
        <v>137</v>
      </c>
      <c r="J2545" t="s">
        <v>138</v>
      </c>
      <c r="K2545">
        <v>0</v>
      </c>
      <c r="L2545">
        <v>3</v>
      </c>
      <c r="M2545">
        <v>0</v>
      </c>
      <c r="N2545">
        <v>2</v>
      </c>
      <c r="O2545">
        <v>0</v>
      </c>
      <c r="P2545">
        <v>1</v>
      </c>
      <c r="Q2545">
        <v>0</v>
      </c>
      <c r="S2545" t="str">
        <f t="shared" si="917"/>
        <v>19:32:22.000</v>
      </c>
      <c r="T2545" t="str">
        <f t="shared" si="917"/>
        <v>19:32:22.000</v>
      </c>
      <c r="U2545" t="str">
        <f t="shared" si="900"/>
        <v>AC3944</v>
      </c>
      <c r="V2545">
        <v>0</v>
      </c>
      <c r="W2545">
        <v>0</v>
      </c>
      <c r="X2545">
        <v>2</v>
      </c>
      <c r="Y2545">
        <v>0</v>
      </c>
      <c r="AA2545">
        <v>1</v>
      </c>
      <c r="AB2545">
        <v>8</v>
      </c>
      <c r="AC2545">
        <v>3</v>
      </c>
      <c r="AD2545">
        <v>0</v>
      </c>
      <c r="AE2545">
        <v>9</v>
      </c>
      <c r="AF2545" t="s">
        <v>138</v>
      </c>
      <c r="AG2545">
        <v>0</v>
      </c>
      <c r="AH2545">
        <v>3</v>
      </c>
      <c r="AI2545">
        <v>1</v>
      </c>
      <c r="AJ2545">
        <v>0</v>
      </c>
      <c r="AK2545" t="s">
        <v>872</v>
      </c>
      <c r="AL2545">
        <v>32.752068000000001</v>
      </c>
      <c r="AM2545" t="s">
        <v>873</v>
      </c>
      <c r="AN2545">
        <v>-116.77896</v>
      </c>
      <c r="AO2545">
        <v>25</v>
      </c>
      <c r="AP2545">
        <v>3200</v>
      </c>
      <c r="AQ2545" t="s">
        <v>129</v>
      </c>
      <c r="AR2545">
        <v>118</v>
      </c>
      <c r="AS2545">
        <v>-78</v>
      </c>
      <c r="AT2545">
        <v>-512</v>
      </c>
      <c r="BB2545">
        <v>1200</v>
      </c>
      <c r="BC2545">
        <v>1</v>
      </c>
      <c r="BD2545" t="str">
        <f t="shared" si="901"/>
        <v xml:space="preserve">N887QR  </v>
      </c>
      <c r="BE2545">
        <v>1</v>
      </c>
      <c r="BJ2545">
        <v>2925</v>
      </c>
      <c r="BK2545">
        <v>-275</v>
      </c>
      <c r="BL2545" t="s">
        <v>163</v>
      </c>
      <c r="BM2545">
        <v>1</v>
      </c>
      <c r="BN2545">
        <v>1</v>
      </c>
      <c r="BO2545">
        <v>1</v>
      </c>
      <c r="BP2545">
        <v>0</v>
      </c>
      <c r="BS2545">
        <v>0</v>
      </c>
      <c r="BT2545">
        <v>0</v>
      </c>
      <c r="BU2545">
        <v>0</v>
      </c>
      <c r="CE2545" t="str">
        <f t="shared" si="918"/>
        <v>19:32:22.049</v>
      </c>
      <c r="CF2545">
        <v>49276179</v>
      </c>
      <c r="CS2545">
        <v>0</v>
      </c>
      <c r="CT2545">
        <v>2</v>
      </c>
      <c r="CU2545">
        <v>0</v>
      </c>
      <c r="CV2545">
        <v>2</v>
      </c>
      <c r="CW2545">
        <v>0</v>
      </c>
      <c r="CX2545">
        <v>5</v>
      </c>
      <c r="CY2545">
        <v>7</v>
      </c>
      <c r="CZ2545" t="s">
        <v>131</v>
      </c>
      <c r="DA2545">
        <v>300</v>
      </c>
      <c r="DB2545">
        <v>0</v>
      </c>
      <c r="DC2545" t="s">
        <v>176</v>
      </c>
      <c r="DD2545" t="s">
        <v>177</v>
      </c>
      <c r="DG2545">
        <v>5415151</v>
      </c>
      <c r="DI2545">
        <v>1</v>
      </c>
      <c r="DJ2545">
        <v>0</v>
      </c>
      <c r="DK2545">
        <v>1</v>
      </c>
      <c r="DL2545">
        <v>0</v>
      </c>
      <c r="DM2545">
        <v>0</v>
      </c>
      <c r="DN2545">
        <v>1</v>
      </c>
      <c r="DO2545">
        <v>0</v>
      </c>
      <c r="DP2545">
        <v>0</v>
      </c>
      <c r="DQ2545">
        <v>0</v>
      </c>
      <c r="DR2545">
        <v>0</v>
      </c>
      <c r="DS2545">
        <v>0</v>
      </c>
    </row>
    <row r="2546" spans="1:123" x14ac:dyDescent="0.3">
      <c r="A2546" t="str">
        <f t="shared" si="916"/>
        <v>10/04/2022 19:32:22.323</v>
      </c>
      <c r="C2546" t="str">
        <f t="shared" si="913"/>
        <v>FFDDD3C0</v>
      </c>
      <c r="D2546" t="s">
        <v>134</v>
      </c>
      <c r="E2546">
        <v>15</v>
      </c>
      <c r="J2546" t="s">
        <v>135</v>
      </c>
      <c r="K2546">
        <v>0</v>
      </c>
      <c r="L2546">
        <v>3</v>
      </c>
      <c r="M2546">
        <v>0</v>
      </c>
      <c r="N2546">
        <v>2</v>
      </c>
      <c r="O2546">
        <v>0</v>
      </c>
      <c r="P2546">
        <v>1</v>
      </c>
      <c r="Q2546">
        <v>0</v>
      </c>
      <c r="S2546" t="str">
        <f t="shared" si="917"/>
        <v>19:32:22.000</v>
      </c>
      <c r="T2546" t="str">
        <f t="shared" si="917"/>
        <v>19:32:22.000</v>
      </c>
      <c r="U2546" t="str">
        <f t="shared" si="900"/>
        <v>AC3944</v>
      </c>
      <c r="V2546">
        <v>0</v>
      </c>
      <c r="W2546">
        <v>0</v>
      </c>
      <c r="X2546">
        <v>2</v>
      </c>
      <c r="Y2546">
        <v>0</v>
      </c>
      <c r="AA2546">
        <v>1</v>
      </c>
      <c r="AB2546">
        <v>8</v>
      </c>
      <c r="AC2546">
        <v>3</v>
      </c>
      <c r="AD2546">
        <v>0</v>
      </c>
      <c r="AE2546">
        <v>9</v>
      </c>
      <c r="AF2546" t="s">
        <v>138</v>
      </c>
      <c r="AG2546">
        <v>0</v>
      </c>
      <c r="AH2546">
        <v>3</v>
      </c>
      <c r="AI2546">
        <v>1</v>
      </c>
      <c r="AJ2546">
        <v>0</v>
      </c>
      <c r="AK2546" t="s">
        <v>872</v>
      </c>
      <c r="AL2546">
        <v>32.752068000000001</v>
      </c>
      <c r="AM2546" t="s">
        <v>873</v>
      </c>
      <c r="AN2546">
        <v>-116.77896</v>
      </c>
      <c r="AO2546">
        <v>25</v>
      </c>
      <c r="AP2546">
        <v>3200</v>
      </c>
      <c r="AQ2546" t="s">
        <v>129</v>
      </c>
      <c r="AR2546">
        <v>118</v>
      </c>
      <c r="AS2546">
        <v>-78</v>
      </c>
      <c r="AT2546">
        <v>-512</v>
      </c>
      <c r="BB2546">
        <v>1200</v>
      </c>
      <c r="BC2546">
        <v>1</v>
      </c>
      <c r="BD2546" t="str">
        <f t="shared" si="901"/>
        <v xml:space="preserve">N887QR  </v>
      </c>
      <c r="BE2546">
        <v>1</v>
      </c>
      <c r="BJ2546">
        <v>2925</v>
      </c>
      <c r="BK2546">
        <v>-275</v>
      </c>
      <c r="BL2546" t="s">
        <v>163</v>
      </c>
      <c r="BM2546">
        <v>1</v>
      </c>
      <c r="BN2546">
        <v>1</v>
      </c>
      <c r="BO2546">
        <v>1</v>
      </c>
      <c r="BP2546">
        <v>0</v>
      </c>
      <c r="BS2546">
        <v>0</v>
      </c>
      <c r="BT2546">
        <v>0</v>
      </c>
      <c r="BU2546">
        <v>0</v>
      </c>
      <c r="CE2546" t="str">
        <f t="shared" si="918"/>
        <v>19:32:22.049</v>
      </c>
      <c r="CF2546">
        <v>49276179</v>
      </c>
      <c r="CS2546">
        <v>0</v>
      </c>
      <c r="CT2546">
        <v>2</v>
      </c>
      <c r="CU2546">
        <v>0</v>
      </c>
      <c r="CV2546">
        <v>2</v>
      </c>
      <c r="CW2546">
        <v>0</v>
      </c>
      <c r="CX2546">
        <v>5</v>
      </c>
      <c r="CY2546">
        <v>7</v>
      </c>
      <c r="CZ2546" t="s">
        <v>131</v>
      </c>
      <c r="DA2546">
        <v>300</v>
      </c>
      <c r="DB2546">
        <v>0</v>
      </c>
      <c r="DC2546" t="s">
        <v>176</v>
      </c>
      <c r="DD2546" t="s">
        <v>177</v>
      </c>
      <c r="DG2546">
        <v>5415151</v>
      </c>
      <c r="DI2546">
        <v>1</v>
      </c>
      <c r="DJ2546">
        <v>0</v>
      </c>
      <c r="DK2546">
        <v>1</v>
      </c>
      <c r="DL2546">
        <v>0</v>
      </c>
      <c r="DM2546">
        <v>0</v>
      </c>
      <c r="DN2546">
        <v>1</v>
      </c>
      <c r="DO2546">
        <v>0</v>
      </c>
      <c r="DP2546">
        <v>0</v>
      </c>
      <c r="DQ2546">
        <v>0</v>
      </c>
      <c r="DR2546">
        <v>0</v>
      </c>
      <c r="DS2546">
        <v>0</v>
      </c>
    </row>
    <row r="2547" spans="1:123" x14ac:dyDescent="0.3">
      <c r="A2547" t="str">
        <f t="shared" si="916"/>
        <v>10/04/2022 19:32:22.323</v>
      </c>
      <c r="C2547" t="str">
        <f t="shared" si="913"/>
        <v>FFDDD3C0</v>
      </c>
      <c r="D2547" t="s">
        <v>123</v>
      </c>
      <c r="E2547">
        <v>7</v>
      </c>
      <c r="F2547">
        <v>2007</v>
      </c>
      <c r="G2547" t="s">
        <v>124</v>
      </c>
      <c r="J2547" t="s">
        <v>125</v>
      </c>
      <c r="K2547">
        <v>0</v>
      </c>
      <c r="L2547">
        <v>3</v>
      </c>
      <c r="M2547">
        <v>0</v>
      </c>
      <c r="N2547">
        <v>2</v>
      </c>
      <c r="O2547">
        <v>0</v>
      </c>
      <c r="P2547">
        <v>1</v>
      </c>
      <c r="Q2547">
        <v>0</v>
      </c>
      <c r="S2547" t="str">
        <f t="shared" si="917"/>
        <v>19:32:22.000</v>
      </c>
      <c r="T2547" t="str">
        <f t="shared" si="917"/>
        <v>19:32:22.000</v>
      </c>
      <c r="U2547" t="str">
        <f t="shared" si="900"/>
        <v>AC3944</v>
      </c>
      <c r="V2547">
        <v>0</v>
      </c>
      <c r="W2547">
        <v>0</v>
      </c>
      <c r="X2547">
        <v>2</v>
      </c>
      <c r="Y2547">
        <v>0</v>
      </c>
      <c r="AA2547">
        <v>1</v>
      </c>
      <c r="AB2547">
        <v>8</v>
      </c>
      <c r="AC2547">
        <v>3</v>
      </c>
      <c r="AD2547">
        <v>0</v>
      </c>
      <c r="AE2547">
        <v>9</v>
      </c>
      <c r="AF2547" t="s">
        <v>138</v>
      </c>
      <c r="AG2547">
        <v>0</v>
      </c>
      <c r="AH2547">
        <v>3</v>
      </c>
      <c r="AI2547">
        <v>1</v>
      </c>
      <c r="AJ2547">
        <v>0</v>
      </c>
      <c r="AK2547" t="s">
        <v>872</v>
      </c>
      <c r="AL2547">
        <v>32.752068000000001</v>
      </c>
      <c r="AM2547" t="s">
        <v>873</v>
      </c>
      <c r="AN2547">
        <v>-116.77896</v>
      </c>
      <c r="AO2547">
        <v>25</v>
      </c>
      <c r="AP2547">
        <v>3200</v>
      </c>
      <c r="AQ2547" t="s">
        <v>129</v>
      </c>
      <c r="AR2547">
        <v>118</v>
      </c>
      <c r="AS2547">
        <v>-78</v>
      </c>
      <c r="AT2547">
        <v>-512</v>
      </c>
      <c r="BB2547">
        <v>1200</v>
      </c>
      <c r="BC2547">
        <v>1</v>
      </c>
      <c r="BD2547" t="str">
        <f t="shared" si="901"/>
        <v xml:space="preserve">N887QR  </v>
      </c>
      <c r="BE2547">
        <v>1</v>
      </c>
      <c r="BJ2547">
        <v>2925</v>
      </c>
      <c r="BK2547">
        <v>-275</v>
      </c>
      <c r="BL2547" t="s">
        <v>163</v>
      </c>
      <c r="BM2547">
        <v>1</v>
      </c>
      <c r="BN2547">
        <v>1</v>
      </c>
      <c r="BO2547">
        <v>1</v>
      </c>
      <c r="BP2547">
        <v>0</v>
      </c>
      <c r="BS2547">
        <v>0</v>
      </c>
      <c r="BT2547">
        <v>0</v>
      </c>
      <c r="BU2547">
        <v>0</v>
      </c>
      <c r="CE2547" t="str">
        <f t="shared" si="918"/>
        <v>19:32:22.049</v>
      </c>
      <c r="CF2547">
        <v>49276179</v>
      </c>
      <c r="CS2547">
        <v>0</v>
      </c>
      <c r="CT2547">
        <v>2</v>
      </c>
      <c r="CU2547">
        <v>0</v>
      </c>
      <c r="CV2547">
        <v>2</v>
      </c>
      <c r="CW2547">
        <v>0</v>
      </c>
      <c r="CX2547">
        <v>5</v>
      </c>
      <c r="CY2547">
        <v>7</v>
      </c>
      <c r="CZ2547" t="s">
        <v>131</v>
      </c>
      <c r="DA2547">
        <v>300</v>
      </c>
      <c r="DB2547">
        <v>0</v>
      </c>
      <c r="DC2547" t="s">
        <v>176</v>
      </c>
      <c r="DD2547" t="s">
        <v>177</v>
      </c>
      <c r="DG2547">
        <v>5415151</v>
      </c>
      <c r="DI2547">
        <v>1</v>
      </c>
      <c r="DJ2547">
        <v>0</v>
      </c>
      <c r="DK2547">
        <v>1</v>
      </c>
      <c r="DL2547">
        <v>0</v>
      </c>
      <c r="DM2547">
        <v>0</v>
      </c>
      <c r="DN2547">
        <v>1</v>
      </c>
      <c r="DO2547">
        <v>0</v>
      </c>
      <c r="DP2547">
        <v>0</v>
      </c>
      <c r="DQ2547">
        <v>0</v>
      </c>
      <c r="DR2547">
        <v>0</v>
      </c>
      <c r="DS2547">
        <v>0</v>
      </c>
    </row>
    <row r="2548" spans="1:123" x14ac:dyDescent="0.3">
      <c r="A2548" t="str">
        <f t="shared" si="916"/>
        <v>10/04/2022 19:32:22.323</v>
      </c>
      <c r="C2548" t="str">
        <f t="shared" si="913"/>
        <v>FFDDD3C0</v>
      </c>
      <c r="D2548" t="s">
        <v>141</v>
      </c>
      <c r="E2548">
        <v>3</v>
      </c>
      <c r="H2548">
        <v>3</v>
      </c>
      <c r="I2548" t="s">
        <v>146</v>
      </c>
      <c r="J2548" t="s">
        <v>138</v>
      </c>
      <c r="K2548">
        <v>0</v>
      </c>
      <c r="L2548">
        <v>3</v>
      </c>
      <c r="M2548">
        <v>0</v>
      </c>
      <c r="N2548">
        <v>2</v>
      </c>
      <c r="O2548">
        <v>0</v>
      </c>
      <c r="P2548">
        <v>1</v>
      </c>
      <c r="Q2548">
        <v>0</v>
      </c>
      <c r="S2548" t="str">
        <f t="shared" si="917"/>
        <v>19:32:22.000</v>
      </c>
      <c r="T2548" t="str">
        <f t="shared" si="917"/>
        <v>19:32:22.000</v>
      </c>
      <c r="U2548" t="str">
        <f t="shared" si="900"/>
        <v>AC3944</v>
      </c>
      <c r="V2548">
        <v>0</v>
      </c>
      <c r="W2548">
        <v>0</v>
      </c>
      <c r="X2548">
        <v>2</v>
      </c>
      <c r="Y2548">
        <v>0</v>
      </c>
      <c r="AA2548">
        <v>1</v>
      </c>
      <c r="AB2548">
        <v>8</v>
      </c>
      <c r="AC2548">
        <v>3</v>
      </c>
      <c r="AD2548">
        <v>0</v>
      </c>
      <c r="AE2548">
        <v>9</v>
      </c>
      <c r="AF2548" t="s">
        <v>138</v>
      </c>
      <c r="AG2548">
        <v>0</v>
      </c>
      <c r="AH2548">
        <v>3</v>
      </c>
      <c r="AI2548">
        <v>1</v>
      </c>
      <c r="AJ2548">
        <v>0</v>
      </c>
      <c r="AK2548" t="s">
        <v>872</v>
      </c>
      <c r="AL2548">
        <v>32.752068000000001</v>
      </c>
      <c r="AM2548" t="s">
        <v>873</v>
      </c>
      <c r="AN2548">
        <v>-116.77896</v>
      </c>
      <c r="AO2548">
        <v>25</v>
      </c>
      <c r="AP2548">
        <v>3200</v>
      </c>
      <c r="AQ2548" t="s">
        <v>129</v>
      </c>
      <c r="AR2548">
        <v>118</v>
      </c>
      <c r="AS2548">
        <v>-78</v>
      </c>
      <c r="AT2548">
        <v>-512</v>
      </c>
      <c r="BB2548">
        <v>1200</v>
      </c>
      <c r="BC2548">
        <v>1</v>
      </c>
      <c r="BD2548" t="str">
        <f t="shared" si="901"/>
        <v xml:space="preserve">N887QR  </v>
      </c>
      <c r="BE2548">
        <v>1</v>
      </c>
      <c r="BJ2548">
        <v>2925</v>
      </c>
      <c r="BK2548">
        <v>-275</v>
      </c>
      <c r="BL2548" t="s">
        <v>163</v>
      </c>
      <c r="BM2548">
        <v>1</v>
      </c>
      <c r="BN2548">
        <v>1</v>
      </c>
      <c r="BO2548">
        <v>1</v>
      </c>
      <c r="BP2548">
        <v>0</v>
      </c>
      <c r="BS2548">
        <v>0</v>
      </c>
      <c r="BT2548">
        <v>0</v>
      </c>
      <c r="BU2548">
        <v>0</v>
      </c>
      <c r="CE2548" t="str">
        <f t="shared" si="918"/>
        <v>19:32:22.049</v>
      </c>
      <c r="CF2548">
        <v>49276179</v>
      </c>
      <c r="CS2548">
        <v>0</v>
      </c>
      <c r="CT2548">
        <v>2</v>
      </c>
      <c r="CU2548">
        <v>0</v>
      </c>
      <c r="CV2548">
        <v>2</v>
      </c>
      <c r="CW2548">
        <v>0</v>
      </c>
      <c r="CX2548">
        <v>5</v>
      </c>
      <c r="CY2548">
        <v>7</v>
      </c>
      <c r="CZ2548" t="s">
        <v>131</v>
      </c>
      <c r="DA2548">
        <v>300</v>
      </c>
      <c r="DB2548">
        <v>0</v>
      </c>
      <c r="DC2548" t="s">
        <v>176</v>
      </c>
      <c r="DD2548" t="s">
        <v>177</v>
      </c>
      <c r="DG2548">
        <v>5415151</v>
      </c>
      <c r="DI2548">
        <v>1</v>
      </c>
      <c r="DJ2548">
        <v>0</v>
      </c>
      <c r="DK2548">
        <v>1</v>
      </c>
      <c r="DL2548">
        <v>0</v>
      </c>
      <c r="DM2548">
        <v>0</v>
      </c>
      <c r="DN2548">
        <v>1</v>
      </c>
      <c r="DO2548">
        <v>0</v>
      </c>
      <c r="DP2548">
        <v>0</v>
      </c>
      <c r="DQ2548">
        <v>0</v>
      </c>
      <c r="DR2548">
        <v>0</v>
      </c>
      <c r="DS2548">
        <v>0</v>
      </c>
    </row>
    <row r="2549" spans="1:123" x14ac:dyDescent="0.3">
      <c r="A2549" t="str">
        <f t="shared" ref="A2549:A2555" si="919">"10/04/2022 19:32:24.792"</f>
        <v>10/04/2022 19:32:24.792</v>
      </c>
      <c r="C2549" t="str">
        <f t="shared" si="913"/>
        <v>FFDDD3C0</v>
      </c>
      <c r="D2549" t="s">
        <v>143</v>
      </c>
      <c r="E2549">
        <v>20</v>
      </c>
      <c r="F2549">
        <v>1020</v>
      </c>
      <c r="G2549" t="s">
        <v>144</v>
      </c>
      <c r="J2549" t="s">
        <v>145</v>
      </c>
      <c r="K2549">
        <v>0</v>
      </c>
      <c r="L2549">
        <v>3</v>
      </c>
      <c r="M2549">
        <v>0</v>
      </c>
      <c r="N2549">
        <v>2</v>
      </c>
      <c r="O2549">
        <v>0</v>
      </c>
      <c r="P2549">
        <v>1</v>
      </c>
      <c r="Q2549">
        <v>0</v>
      </c>
      <c r="S2549" t="str">
        <f t="shared" ref="S2549:T2555" si="920">"19:32:24.000"</f>
        <v>19:32:24.000</v>
      </c>
      <c r="T2549" t="str">
        <f t="shared" si="920"/>
        <v>19:32:24.000</v>
      </c>
      <c r="U2549" t="str">
        <f t="shared" si="900"/>
        <v>AC3944</v>
      </c>
      <c r="V2549">
        <v>0</v>
      </c>
      <c r="W2549">
        <v>0</v>
      </c>
      <c r="X2549">
        <v>2</v>
      </c>
      <c r="Y2549">
        <v>0</v>
      </c>
      <c r="AA2549">
        <v>1</v>
      </c>
      <c r="AB2549">
        <v>8</v>
      </c>
      <c r="AC2549">
        <v>3</v>
      </c>
      <c r="AD2549">
        <v>0</v>
      </c>
      <c r="AE2549">
        <v>9</v>
      </c>
      <c r="AF2549" t="s">
        <v>138</v>
      </c>
      <c r="AG2549">
        <v>0</v>
      </c>
      <c r="AH2549">
        <v>3</v>
      </c>
      <c r="AI2549">
        <v>1</v>
      </c>
      <c r="AJ2549">
        <v>0</v>
      </c>
      <c r="AK2549" t="s">
        <v>874</v>
      </c>
      <c r="AL2549">
        <v>32.751403000000003</v>
      </c>
      <c r="AM2549" t="s">
        <v>875</v>
      </c>
      <c r="AN2549">
        <v>-116.77778000000001</v>
      </c>
      <c r="AO2549">
        <v>25</v>
      </c>
      <c r="AP2549">
        <v>3200</v>
      </c>
      <c r="AQ2549" t="s">
        <v>129</v>
      </c>
      <c r="AR2549">
        <v>115</v>
      </c>
      <c r="AS2549">
        <v>-79</v>
      </c>
      <c r="AT2549">
        <v>-64</v>
      </c>
      <c r="BB2549">
        <v>1200</v>
      </c>
      <c r="BC2549">
        <v>1</v>
      </c>
      <c r="BD2549" t="str">
        <f t="shared" si="901"/>
        <v xml:space="preserve">N887QR  </v>
      </c>
      <c r="BE2549">
        <v>1</v>
      </c>
      <c r="BJ2549">
        <v>2925</v>
      </c>
      <c r="BK2549">
        <v>-275</v>
      </c>
      <c r="BL2549" t="s">
        <v>163</v>
      </c>
      <c r="BM2549">
        <v>1</v>
      </c>
      <c r="BN2549">
        <v>1</v>
      </c>
      <c r="BO2549">
        <v>1</v>
      </c>
      <c r="BP2549">
        <v>0</v>
      </c>
      <c r="BS2549">
        <v>0</v>
      </c>
      <c r="BT2549">
        <v>0</v>
      </c>
      <c r="BU2549">
        <v>0</v>
      </c>
      <c r="CE2549" t="str">
        <f t="shared" ref="CE2549:CE2555" si="921">"19:32:24.443"</f>
        <v>19:32:24.443</v>
      </c>
      <c r="CF2549">
        <v>443284268</v>
      </c>
      <c r="CS2549">
        <v>0</v>
      </c>
      <c r="CT2549">
        <v>2</v>
      </c>
      <c r="CU2549">
        <v>0</v>
      </c>
      <c r="CV2549">
        <v>2</v>
      </c>
      <c r="CW2549">
        <v>0</v>
      </c>
      <c r="CX2549">
        <v>5</v>
      </c>
      <c r="CY2549">
        <v>7</v>
      </c>
      <c r="CZ2549" t="s">
        <v>131</v>
      </c>
      <c r="DA2549">
        <v>300</v>
      </c>
      <c r="DB2549">
        <v>0</v>
      </c>
      <c r="DC2549" t="s">
        <v>176</v>
      </c>
      <c r="DD2549" t="s">
        <v>177</v>
      </c>
      <c r="DG2549">
        <v>5415539</v>
      </c>
      <c r="DI2549">
        <v>1</v>
      </c>
      <c r="DJ2549">
        <v>0</v>
      </c>
      <c r="DK2549">
        <v>0</v>
      </c>
      <c r="DL2549">
        <v>0</v>
      </c>
      <c r="DM2549">
        <v>0</v>
      </c>
      <c r="DN2549">
        <v>1</v>
      </c>
      <c r="DO2549">
        <v>0</v>
      </c>
      <c r="DP2549">
        <v>0</v>
      </c>
      <c r="DQ2549">
        <v>0</v>
      </c>
      <c r="DR2549">
        <v>0</v>
      </c>
      <c r="DS2549">
        <v>0</v>
      </c>
    </row>
    <row r="2550" spans="1:123" x14ac:dyDescent="0.3">
      <c r="A2550" t="str">
        <f t="shared" si="919"/>
        <v>10/04/2022 19:32:24.792</v>
      </c>
      <c r="C2550" t="str">
        <f t="shared" si="913"/>
        <v>FFDDD3C0</v>
      </c>
      <c r="D2550" t="s">
        <v>141</v>
      </c>
      <c r="E2550">
        <v>4</v>
      </c>
      <c r="H2550">
        <v>4</v>
      </c>
      <c r="I2550" t="s">
        <v>142</v>
      </c>
      <c r="J2550" t="s">
        <v>138</v>
      </c>
      <c r="K2550">
        <v>0</v>
      </c>
      <c r="L2550">
        <v>3</v>
      </c>
      <c r="M2550">
        <v>0</v>
      </c>
      <c r="N2550">
        <v>2</v>
      </c>
      <c r="O2550">
        <v>0</v>
      </c>
      <c r="P2550">
        <v>1</v>
      </c>
      <c r="Q2550">
        <v>0</v>
      </c>
      <c r="S2550" t="str">
        <f t="shared" si="920"/>
        <v>19:32:24.000</v>
      </c>
      <c r="T2550" t="str">
        <f t="shared" si="920"/>
        <v>19:32:24.000</v>
      </c>
      <c r="U2550" t="str">
        <f t="shared" si="900"/>
        <v>AC3944</v>
      </c>
      <c r="V2550">
        <v>0</v>
      </c>
      <c r="W2550">
        <v>0</v>
      </c>
      <c r="X2550">
        <v>2</v>
      </c>
      <c r="Y2550">
        <v>0</v>
      </c>
      <c r="AA2550">
        <v>1</v>
      </c>
      <c r="AB2550">
        <v>8</v>
      </c>
      <c r="AC2550">
        <v>3</v>
      </c>
      <c r="AD2550">
        <v>0</v>
      </c>
      <c r="AE2550">
        <v>9</v>
      </c>
      <c r="AF2550" t="s">
        <v>138</v>
      </c>
      <c r="AG2550">
        <v>0</v>
      </c>
      <c r="AH2550">
        <v>3</v>
      </c>
      <c r="AI2550">
        <v>1</v>
      </c>
      <c r="AJ2550">
        <v>0</v>
      </c>
      <c r="AK2550" t="s">
        <v>874</v>
      </c>
      <c r="AL2550">
        <v>32.751403000000003</v>
      </c>
      <c r="AM2550" t="s">
        <v>875</v>
      </c>
      <c r="AN2550">
        <v>-116.77778000000001</v>
      </c>
      <c r="AO2550">
        <v>25</v>
      </c>
      <c r="AP2550">
        <v>3200</v>
      </c>
      <c r="AQ2550" t="s">
        <v>129</v>
      </c>
      <c r="AR2550">
        <v>115</v>
      </c>
      <c r="AS2550">
        <v>-79</v>
      </c>
      <c r="AT2550">
        <v>-64</v>
      </c>
      <c r="BB2550">
        <v>1200</v>
      </c>
      <c r="BC2550">
        <v>1</v>
      </c>
      <c r="BD2550" t="str">
        <f t="shared" si="901"/>
        <v xml:space="preserve">N887QR  </v>
      </c>
      <c r="BE2550">
        <v>1</v>
      </c>
      <c r="BJ2550">
        <v>2925</v>
      </c>
      <c r="BK2550">
        <v>-275</v>
      </c>
      <c r="BL2550" t="s">
        <v>163</v>
      </c>
      <c r="BM2550">
        <v>1</v>
      </c>
      <c r="BN2550">
        <v>1</v>
      </c>
      <c r="BO2550">
        <v>1</v>
      </c>
      <c r="BP2550">
        <v>0</v>
      </c>
      <c r="BS2550">
        <v>0</v>
      </c>
      <c r="BT2550">
        <v>0</v>
      </c>
      <c r="BU2550">
        <v>0</v>
      </c>
      <c r="CE2550" t="str">
        <f t="shared" si="921"/>
        <v>19:32:24.443</v>
      </c>
      <c r="CF2550">
        <v>443284268</v>
      </c>
      <c r="CS2550">
        <v>0</v>
      </c>
      <c r="CT2550">
        <v>2</v>
      </c>
      <c r="CU2550">
        <v>0</v>
      </c>
      <c r="CV2550">
        <v>2</v>
      </c>
      <c r="CW2550">
        <v>0</v>
      </c>
      <c r="CX2550">
        <v>5</v>
      </c>
      <c r="CY2550">
        <v>7</v>
      </c>
      <c r="CZ2550" t="s">
        <v>131</v>
      </c>
      <c r="DA2550">
        <v>300</v>
      </c>
      <c r="DB2550">
        <v>0</v>
      </c>
      <c r="DC2550" t="s">
        <v>176</v>
      </c>
      <c r="DD2550" t="s">
        <v>177</v>
      </c>
      <c r="DG2550">
        <v>5415539</v>
      </c>
      <c r="DI2550">
        <v>1</v>
      </c>
      <c r="DJ2550">
        <v>0</v>
      </c>
      <c r="DK2550">
        <v>0</v>
      </c>
      <c r="DL2550">
        <v>0</v>
      </c>
      <c r="DM2550">
        <v>0</v>
      </c>
      <c r="DN2550">
        <v>1</v>
      </c>
      <c r="DO2550">
        <v>0</v>
      </c>
      <c r="DP2550">
        <v>0</v>
      </c>
      <c r="DQ2550">
        <v>0</v>
      </c>
      <c r="DR2550">
        <v>0</v>
      </c>
      <c r="DS2550">
        <v>0</v>
      </c>
    </row>
    <row r="2551" spans="1:123" x14ac:dyDescent="0.3">
      <c r="A2551" t="str">
        <f t="shared" si="919"/>
        <v>10/04/2022 19:32:24.792</v>
      </c>
      <c r="C2551" t="str">
        <f t="shared" si="913"/>
        <v>FFDDD3C0</v>
      </c>
      <c r="D2551" t="s">
        <v>123</v>
      </c>
      <c r="E2551">
        <v>7</v>
      </c>
      <c r="F2551">
        <v>2007</v>
      </c>
      <c r="G2551" t="s">
        <v>124</v>
      </c>
      <c r="J2551" t="s">
        <v>125</v>
      </c>
      <c r="K2551">
        <v>0</v>
      </c>
      <c r="L2551">
        <v>3</v>
      </c>
      <c r="M2551">
        <v>0</v>
      </c>
      <c r="N2551">
        <v>2</v>
      </c>
      <c r="O2551">
        <v>0</v>
      </c>
      <c r="P2551">
        <v>1</v>
      </c>
      <c r="Q2551">
        <v>0</v>
      </c>
      <c r="S2551" t="str">
        <f t="shared" si="920"/>
        <v>19:32:24.000</v>
      </c>
      <c r="T2551" t="str">
        <f t="shared" si="920"/>
        <v>19:32:24.000</v>
      </c>
      <c r="U2551" t="str">
        <f t="shared" si="900"/>
        <v>AC3944</v>
      </c>
      <c r="V2551">
        <v>0</v>
      </c>
      <c r="W2551">
        <v>0</v>
      </c>
      <c r="X2551">
        <v>2</v>
      </c>
      <c r="Y2551">
        <v>0</v>
      </c>
      <c r="AA2551">
        <v>1</v>
      </c>
      <c r="AB2551">
        <v>8</v>
      </c>
      <c r="AC2551">
        <v>3</v>
      </c>
      <c r="AD2551">
        <v>0</v>
      </c>
      <c r="AE2551">
        <v>9</v>
      </c>
      <c r="AF2551" t="s">
        <v>138</v>
      </c>
      <c r="AG2551">
        <v>0</v>
      </c>
      <c r="AH2551">
        <v>3</v>
      </c>
      <c r="AI2551">
        <v>1</v>
      </c>
      <c r="AJ2551">
        <v>0</v>
      </c>
      <c r="AK2551" t="s">
        <v>874</v>
      </c>
      <c r="AL2551">
        <v>32.751403000000003</v>
      </c>
      <c r="AM2551" t="s">
        <v>875</v>
      </c>
      <c r="AN2551">
        <v>-116.77778000000001</v>
      </c>
      <c r="AO2551">
        <v>25</v>
      </c>
      <c r="AP2551">
        <v>3200</v>
      </c>
      <c r="AQ2551" t="s">
        <v>129</v>
      </c>
      <c r="AR2551">
        <v>115</v>
      </c>
      <c r="AS2551">
        <v>-79</v>
      </c>
      <c r="AT2551">
        <v>-64</v>
      </c>
      <c r="BB2551">
        <v>1200</v>
      </c>
      <c r="BC2551">
        <v>1</v>
      </c>
      <c r="BD2551" t="str">
        <f t="shared" si="901"/>
        <v xml:space="preserve">N887QR  </v>
      </c>
      <c r="BE2551">
        <v>1</v>
      </c>
      <c r="BJ2551">
        <v>2925</v>
      </c>
      <c r="BK2551">
        <v>-275</v>
      </c>
      <c r="BL2551" t="s">
        <v>163</v>
      </c>
      <c r="BM2551">
        <v>1</v>
      </c>
      <c r="BN2551">
        <v>1</v>
      </c>
      <c r="BO2551">
        <v>1</v>
      </c>
      <c r="BP2551">
        <v>0</v>
      </c>
      <c r="BS2551">
        <v>0</v>
      </c>
      <c r="BT2551">
        <v>0</v>
      </c>
      <c r="BU2551">
        <v>0</v>
      </c>
      <c r="CE2551" t="str">
        <f t="shared" si="921"/>
        <v>19:32:24.443</v>
      </c>
      <c r="CF2551">
        <v>443284268</v>
      </c>
      <c r="CS2551">
        <v>0</v>
      </c>
      <c r="CT2551">
        <v>2</v>
      </c>
      <c r="CU2551">
        <v>0</v>
      </c>
      <c r="CV2551">
        <v>2</v>
      </c>
      <c r="CW2551">
        <v>0</v>
      </c>
      <c r="CX2551">
        <v>5</v>
      </c>
      <c r="CY2551">
        <v>7</v>
      </c>
      <c r="CZ2551" t="s">
        <v>131</v>
      </c>
      <c r="DA2551">
        <v>300</v>
      </c>
      <c r="DB2551">
        <v>0</v>
      </c>
      <c r="DC2551" t="s">
        <v>176</v>
      </c>
      <c r="DD2551" t="s">
        <v>177</v>
      </c>
      <c r="DG2551">
        <v>5415539</v>
      </c>
      <c r="DI2551">
        <v>1</v>
      </c>
      <c r="DJ2551">
        <v>0</v>
      </c>
      <c r="DK2551">
        <v>0</v>
      </c>
      <c r="DL2551">
        <v>0</v>
      </c>
      <c r="DM2551">
        <v>0</v>
      </c>
      <c r="DN2551">
        <v>1</v>
      </c>
      <c r="DO2551">
        <v>0</v>
      </c>
      <c r="DP2551">
        <v>0</v>
      </c>
      <c r="DQ2551">
        <v>0</v>
      </c>
      <c r="DR2551">
        <v>0</v>
      </c>
      <c r="DS2551">
        <v>0</v>
      </c>
    </row>
    <row r="2552" spans="1:123" x14ac:dyDescent="0.3">
      <c r="A2552" t="str">
        <f t="shared" si="919"/>
        <v>10/04/2022 19:32:24.792</v>
      </c>
      <c r="C2552" t="str">
        <f t="shared" si="913"/>
        <v>FFDDD3C0</v>
      </c>
      <c r="D2552" t="s">
        <v>136</v>
      </c>
      <c r="E2552">
        <v>8</v>
      </c>
      <c r="H2552">
        <v>225</v>
      </c>
      <c r="I2552" t="s">
        <v>137</v>
      </c>
      <c r="J2552" t="s">
        <v>138</v>
      </c>
      <c r="K2552">
        <v>0</v>
      </c>
      <c r="L2552">
        <v>3</v>
      </c>
      <c r="M2552">
        <v>0</v>
      </c>
      <c r="N2552">
        <v>2</v>
      </c>
      <c r="O2552">
        <v>0</v>
      </c>
      <c r="P2552">
        <v>1</v>
      </c>
      <c r="Q2552">
        <v>0</v>
      </c>
      <c r="S2552" t="str">
        <f t="shared" si="920"/>
        <v>19:32:24.000</v>
      </c>
      <c r="T2552" t="str">
        <f t="shared" si="920"/>
        <v>19:32:24.000</v>
      </c>
      <c r="U2552" t="str">
        <f t="shared" si="900"/>
        <v>AC3944</v>
      </c>
      <c r="V2552">
        <v>0</v>
      </c>
      <c r="W2552">
        <v>0</v>
      </c>
      <c r="X2552">
        <v>2</v>
      </c>
      <c r="Y2552">
        <v>0</v>
      </c>
      <c r="AA2552">
        <v>1</v>
      </c>
      <c r="AB2552">
        <v>8</v>
      </c>
      <c r="AC2552">
        <v>3</v>
      </c>
      <c r="AD2552">
        <v>0</v>
      </c>
      <c r="AE2552">
        <v>9</v>
      </c>
      <c r="AF2552" t="s">
        <v>138</v>
      </c>
      <c r="AG2552">
        <v>0</v>
      </c>
      <c r="AH2552">
        <v>3</v>
      </c>
      <c r="AI2552">
        <v>1</v>
      </c>
      <c r="AJ2552">
        <v>0</v>
      </c>
      <c r="AK2552" t="s">
        <v>874</v>
      </c>
      <c r="AL2552">
        <v>32.751403000000003</v>
      </c>
      <c r="AM2552" t="s">
        <v>875</v>
      </c>
      <c r="AN2552">
        <v>-116.77778000000001</v>
      </c>
      <c r="AO2552">
        <v>25</v>
      </c>
      <c r="AP2552">
        <v>3200</v>
      </c>
      <c r="AQ2552" t="s">
        <v>129</v>
      </c>
      <c r="AR2552">
        <v>115</v>
      </c>
      <c r="AS2552">
        <v>-79</v>
      </c>
      <c r="AT2552">
        <v>-64</v>
      </c>
      <c r="BB2552">
        <v>1200</v>
      </c>
      <c r="BC2552">
        <v>1</v>
      </c>
      <c r="BD2552" t="str">
        <f t="shared" si="901"/>
        <v xml:space="preserve">N887QR  </v>
      </c>
      <c r="BE2552">
        <v>1</v>
      </c>
      <c r="BJ2552">
        <v>2925</v>
      </c>
      <c r="BK2552">
        <v>-275</v>
      </c>
      <c r="BL2552" t="s">
        <v>163</v>
      </c>
      <c r="BM2552">
        <v>1</v>
      </c>
      <c r="BN2552">
        <v>1</v>
      </c>
      <c r="BO2552">
        <v>1</v>
      </c>
      <c r="BP2552">
        <v>0</v>
      </c>
      <c r="BS2552">
        <v>0</v>
      </c>
      <c r="BT2552">
        <v>0</v>
      </c>
      <c r="BU2552">
        <v>0</v>
      </c>
      <c r="CE2552" t="str">
        <f t="shared" si="921"/>
        <v>19:32:24.443</v>
      </c>
      <c r="CF2552">
        <v>443284268</v>
      </c>
      <c r="CS2552">
        <v>0</v>
      </c>
      <c r="CT2552">
        <v>2</v>
      </c>
      <c r="CU2552">
        <v>0</v>
      </c>
      <c r="CV2552">
        <v>2</v>
      </c>
      <c r="CW2552">
        <v>0</v>
      </c>
      <c r="CX2552">
        <v>5</v>
      </c>
      <c r="CY2552">
        <v>7</v>
      </c>
      <c r="CZ2552" t="s">
        <v>131</v>
      </c>
      <c r="DA2552">
        <v>300</v>
      </c>
      <c r="DB2552">
        <v>0</v>
      </c>
      <c r="DC2552" t="s">
        <v>176</v>
      </c>
      <c r="DD2552" t="s">
        <v>177</v>
      </c>
      <c r="DG2552">
        <v>5415539</v>
      </c>
      <c r="DI2552">
        <v>1</v>
      </c>
      <c r="DJ2552">
        <v>0</v>
      </c>
      <c r="DK2552">
        <v>1</v>
      </c>
      <c r="DL2552">
        <v>0</v>
      </c>
      <c r="DM2552">
        <v>0</v>
      </c>
      <c r="DN2552">
        <v>1</v>
      </c>
      <c r="DO2552">
        <v>0</v>
      </c>
      <c r="DP2552">
        <v>0</v>
      </c>
      <c r="DQ2552">
        <v>0</v>
      </c>
      <c r="DR2552">
        <v>0</v>
      </c>
      <c r="DS2552">
        <v>0</v>
      </c>
    </row>
    <row r="2553" spans="1:123" x14ac:dyDescent="0.3">
      <c r="A2553" t="str">
        <f t="shared" si="919"/>
        <v>10/04/2022 19:32:24.792</v>
      </c>
      <c r="C2553" t="str">
        <f t="shared" si="913"/>
        <v>FFDDD3C0</v>
      </c>
      <c r="D2553" t="s">
        <v>141</v>
      </c>
      <c r="E2553">
        <v>3</v>
      </c>
      <c r="H2553">
        <v>3</v>
      </c>
      <c r="I2553" t="s">
        <v>146</v>
      </c>
      <c r="J2553" t="s">
        <v>138</v>
      </c>
      <c r="K2553">
        <v>0</v>
      </c>
      <c r="L2553">
        <v>3</v>
      </c>
      <c r="M2553">
        <v>0</v>
      </c>
      <c r="N2553">
        <v>2</v>
      </c>
      <c r="O2553">
        <v>0</v>
      </c>
      <c r="P2553">
        <v>1</v>
      </c>
      <c r="Q2553">
        <v>0</v>
      </c>
      <c r="S2553" t="str">
        <f t="shared" si="920"/>
        <v>19:32:24.000</v>
      </c>
      <c r="T2553" t="str">
        <f t="shared" si="920"/>
        <v>19:32:24.000</v>
      </c>
      <c r="U2553" t="str">
        <f t="shared" si="900"/>
        <v>AC3944</v>
      </c>
      <c r="V2553">
        <v>0</v>
      </c>
      <c r="W2553">
        <v>0</v>
      </c>
      <c r="X2553">
        <v>2</v>
      </c>
      <c r="Y2553">
        <v>0</v>
      </c>
      <c r="AA2553">
        <v>1</v>
      </c>
      <c r="AB2553">
        <v>8</v>
      </c>
      <c r="AC2553">
        <v>3</v>
      </c>
      <c r="AD2553">
        <v>0</v>
      </c>
      <c r="AE2553">
        <v>9</v>
      </c>
      <c r="AF2553" t="s">
        <v>138</v>
      </c>
      <c r="AG2553">
        <v>0</v>
      </c>
      <c r="AH2553">
        <v>3</v>
      </c>
      <c r="AI2553">
        <v>1</v>
      </c>
      <c r="AJ2553">
        <v>0</v>
      </c>
      <c r="AK2553" t="s">
        <v>874</v>
      </c>
      <c r="AL2553">
        <v>32.751403000000003</v>
      </c>
      <c r="AM2553" t="s">
        <v>875</v>
      </c>
      <c r="AN2553">
        <v>-116.77778000000001</v>
      </c>
      <c r="AO2553">
        <v>25</v>
      </c>
      <c r="AP2553">
        <v>3200</v>
      </c>
      <c r="AQ2553" t="s">
        <v>129</v>
      </c>
      <c r="AR2553">
        <v>115</v>
      </c>
      <c r="AS2553">
        <v>-79</v>
      </c>
      <c r="AT2553">
        <v>-64</v>
      </c>
      <c r="BB2553">
        <v>1200</v>
      </c>
      <c r="BC2553">
        <v>1</v>
      </c>
      <c r="BD2553" t="str">
        <f t="shared" si="901"/>
        <v xml:space="preserve">N887QR  </v>
      </c>
      <c r="BE2553">
        <v>1</v>
      </c>
      <c r="BJ2553">
        <v>2925</v>
      </c>
      <c r="BK2553">
        <v>-275</v>
      </c>
      <c r="BL2553" t="s">
        <v>163</v>
      </c>
      <c r="BM2553">
        <v>1</v>
      </c>
      <c r="BN2553">
        <v>1</v>
      </c>
      <c r="BO2553">
        <v>1</v>
      </c>
      <c r="BP2553">
        <v>0</v>
      </c>
      <c r="BS2553">
        <v>0</v>
      </c>
      <c r="BT2553">
        <v>0</v>
      </c>
      <c r="BU2553">
        <v>0</v>
      </c>
      <c r="CE2553" t="str">
        <f t="shared" si="921"/>
        <v>19:32:24.443</v>
      </c>
      <c r="CF2553">
        <v>443284268</v>
      </c>
      <c r="CS2553">
        <v>0</v>
      </c>
      <c r="CT2553">
        <v>2</v>
      </c>
      <c r="CU2553">
        <v>0</v>
      </c>
      <c r="CV2553">
        <v>2</v>
      </c>
      <c r="CW2553">
        <v>0</v>
      </c>
      <c r="CX2553">
        <v>5</v>
      </c>
      <c r="CY2553">
        <v>7</v>
      </c>
      <c r="CZ2553" t="s">
        <v>131</v>
      </c>
      <c r="DA2553">
        <v>300</v>
      </c>
      <c r="DB2553">
        <v>0</v>
      </c>
      <c r="DC2553" t="s">
        <v>176</v>
      </c>
      <c r="DD2553" t="s">
        <v>177</v>
      </c>
      <c r="DG2553">
        <v>5415539</v>
      </c>
      <c r="DI2553">
        <v>1</v>
      </c>
      <c r="DJ2553">
        <v>0</v>
      </c>
      <c r="DK2553">
        <v>1</v>
      </c>
      <c r="DL2553">
        <v>0</v>
      </c>
      <c r="DM2553">
        <v>0</v>
      </c>
      <c r="DN2553">
        <v>1</v>
      </c>
      <c r="DO2553">
        <v>0</v>
      </c>
      <c r="DP2553">
        <v>0</v>
      </c>
      <c r="DQ2553">
        <v>0</v>
      </c>
      <c r="DR2553">
        <v>0</v>
      </c>
      <c r="DS2553">
        <v>0</v>
      </c>
    </row>
    <row r="2554" spans="1:123" x14ac:dyDescent="0.3">
      <c r="A2554" t="str">
        <f t="shared" si="919"/>
        <v>10/04/2022 19:32:24.792</v>
      </c>
      <c r="C2554" t="str">
        <f t="shared" si="913"/>
        <v>FFDDD3C0</v>
      </c>
      <c r="D2554" t="s">
        <v>134</v>
      </c>
      <c r="E2554">
        <v>15</v>
      </c>
      <c r="J2554" t="s">
        <v>135</v>
      </c>
      <c r="K2554">
        <v>0</v>
      </c>
      <c r="L2554">
        <v>3</v>
      </c>
      <c r="M2554">
        <v>0</v>
      </c>
      <c r="N2554">
        <v>2</v>
      </c>
      <c r="O2554">
        <v>0</v>
      </c>
      <c r="P2554">
        <v>1</v>
      </c>
      <c r="Q2554">
        <v>0</v>
      </c>
      <c r="S2554" t="str">
        <f t="shared" si="920"/>
        <v>19:32:24.000</v>
      </c>
      <c r="T2554" t="str">
        <f t="shared" si="920"/>
        <v>19:32:24.000</v>
      </c>
      <c r="U2554" t="str">
        <f t="shared" si="900"/>
        <v>AC3944</v>
      </c>
      <c r="V2554">
        <v>0</v>
      </c>
      <c r="W2554">
        <v>0</v>
      </c>
      <c r="X2554">
        <v>2</v>
      </c>
      <c r="Y2554">
        <v>0</v>
      </c>
      <c r="AA2554">
        <v>1</v>
      </c>
      <c r="AB2554">
        <v>8</v>
      </c>
      <c r="AC2554">
        <v>3</v>
      </c>
      <c r="AD2554">
        <v>0</v>
      </c>
      <c r="AE2554">
        <v>9</v>
      </c>
      <c r="AF2554" t="s">
        <v>138</v>
      </c>
      <c r="AG2554">
        <v>0</v>
      </c>
      <c r="AH2554">
        <v>3</v>
      </c>
      <c r="AI2554">
        <v>1</v>
      </c>
      <c r="AJ2554">
        <v>0</v>
      </c>
      <c r="AK2554" t="s">
        <v>874</v>
      </c>
      <c r="AL2554">
        <v>32.751403000000003</v>
      </c>
      <c r="AM2554" t="s">
        <v>875</v>
      </c>
      <c r="AN2554">
        <v>-116.77778000000001</v>
      </c>
      <c r="AO2554">
        <v>25</v>
      </c>
      <c r="AP2554">
        <v>3200</v>
      </c>
      <c r="AQ2554" t="s">
        <v>129</v>
      </c>
      <c r="AR2554">
        <v>115</v>
      </c>
      <c r="AS2554">
        <v>-79</v>
      </c>
      <c r="AT2554">
        <v>-64</v>
      </c>
      <c r="BB2554">
        <v>1200</v>
      </c>
      <c r="BC2554">
        <v>1</v>
      </c>
      <c r="BD2554" t="str">
        <f t="shared" si="901"/>
        <v xml:space="preserve">N887QR  </v>
      </c>
      <c r="BE2554">
        <v>1</v>
      </c>
      <c r="BJ2554">
        <v>2925</v>
      </c>
      <c r="BK2554">
        <v>-275</v>
      </c>
      <c r="BL2554" t="s">
        <v>163</v>
      </c>
      <c r="BM2554">
        <v>1</v>
      </c>
      <c r="BN2554">
        <v>1</v>
      </c>
      <c r="BO2554">
        <v>1</v>
      </c>
      <c r="BP2554">
        <v>0</v>
      </c>
      <c r="BS2554">
        <v>0</v>
      </c>
      <c r="BT2554">
        <v>0</v>
      </c>
      <c r="BU2554">
        <v>0</v>
      </c>
      <c r="CE2554" t="str">
        <f t="shared" si="921"/>
        <v>19:32:24.443</v>
      </c>
      <c r="CF2554">
        <v>443284268</v>
      </c>
      <c r="CS2554">
        <v>0</v>
      </c>
      <c r="CT2554">
        <v>2</v>
      </c>
      <c r="CU2554">
        <v>0</v>
      </c>
      <c r="CV2554">
        <v>2</v>
      </c>
      <c r="CW2554">
        <v>0</v>
      </c>
      <c r="CX2554">
        <v>5</v>
      </c>
      <c r="CY2554">
        <v>7</v>
      </c>
      <c r="CZ2554" t="s">
        <v>131</v>
      </c>
      <c r="DA2554">
        <v>300</v>
      </c>
      <c r="DB2554">
        <v>0</v>
      </c>
      <c r="DC2554" t="s">
        <v>176</v>
      </c>
      <c r="DD2554" t="s">
        <v>177</v>
      </c>
      <c r="DG2554">
        <v>5415539</v>
      </c>
      <c r="DI2554">
        <v>1</v>
      </c>
      <c r="DJ2554">
        <v>0</v>
      </c>
      <c r="DK2554">
        <v>1</v>
      </c>
      <c r="DL2554">
        <v>0</v>
      </c>
      <c r="DM2554">
        <v>0</v>
      </c>
      <c r="DN2554">
        <v>1</v>
      </c>
      <c r="DO2554">
        <v>0</v>
      </c>
      <c r="DP2554">
        <v>0</v>
      </c>
      <c r="DQ2554">
        <v>0</v>
      </c>
      <c r="DR2554">
        <v>0</v>
      </c>
      <c r="DS2554">
        <v>0</v>
      </c>
    </row>
    <row r="2555" spans="1:123" x14ac:dyDescent="0.3">
      <c r="A2555" t="str">
        <f t="shared" si="919"/>
        <v>10/04/2022 19:32:24.792</v>
      </c>
      <c r="C2555" t="str">
        <f t="shared" si="913"/>
        <v>FFDDD3C0</v>
      </c>
      <c r="D2555" t="s">
        <v>147</v>
      </c>
      <c r="E2555">
        <v>3</v>
      </c>
      <c r="H2555">
        <v>166</v>
      </c>
      <c r="I2555" t="s">
        <v>144</v>
      </c>
      <c r="J2555" t="s">
        <v>148</v>
      </c>
      <c r="K2555">
        <v>0</v>
      </c>
      <c r="L2555">
        <v>3</v>
      </c>
      <c r="M2555">
        <v>0</v>
      </c>
      <c r="N2555">
        <v>2</v>
      </c>
      <c r="O2555">
        <v>0</v>
      </c>
      <c r="P2555">
        <v>1</v>
      </c>
      <c r="Q2555">
        <v>0</v>
      </c>
      <c r="S2555" t="str">
        <f t="shared" si="920"/>
        <v>19:32:24.000</v>
      </c>
      <c r="T2555" t="str">
        <f t="shared" si="920"/>
        <v>19:32:24.000</v>
      </c>
      <c r="U2555" t="str">
        <f t="shared" si="900"/>
        <v>AC3944</v>
      </c>
      <c r="V2555">
        <v>0</v>
      </c>
      <c r="W2555">
        <v>0</v>
      </c>
      <c r="X2555">
        <v>2</v>
      </c>
      <c r="Y2555">
        <v>0</v>
      </c>
      <c r="AA2555">
        <v>1</v>
      </c>
      <c r="AB2555">
        <v>8</v>
      </c>
      <c r="AC2555">
        <v>3</v>
      </c>
      <c r="AD2555">
        <v>0</v>
      </c>
      <c r="AE2555">
        <v>9</v>
      </c>
      <c r="AF2555" t="s">
        <v>138</v>
      </c>
      <c r="AG2555">
        <v>0</v>
      </c>
      <c r="AH2555">
        <v>3</v>
      </c>
      <c r="AI2555">
        <v>1</v>
      </c>
      <c r="AJ2555">
        <v>0</v>
      </c>
      <c r="AK2555" t="s">
        <v>874</v>
      </c>
      <c r="AL2555">
        <v>32.751403000000003</v>
      </c>
      <c r="AM2555" t="s">
        <v>875</v>
      </c>
      <c r="AN2555">
        <v>-116.77778000000001</v>
      </c>
      <c r="AO2555">
        <v>25</v>
      </c>
      <c r="AP2555">
        <v>3200</v>
      </c>
      <c r="AQ2555" t="s">
        <v>129</v>
      </c>
      <c r="AR2555">
        <v>115</v>
      </c>
      <c r="AS2555">
        <v>-79</v>
      </c>
      <c r="AT2555">
        <v>-64</v>
      </c>
      <c r="BB2555">
        <v>1200</v>
      </c>
      <c r="BC2555">
        <v>1</v>
      </c>
      <c r="BD2555" t="str">
        <f t="shared" si="901"/>
        <v xml:space="preserve">N887QR  </v>
      </c>
      <c r="BE2555">
        <v>1</v>
      </c>
      <c r="BJ2555">
        <v>2925</v>
      </c>
      <c r="BK2555">
        <v>-275</v>
      </c>
      <c r="BL2555" t="s">
        <v>163</v>
      </c>
      <c r="BM2555">
        <v>1</v>
      </c>
      <c r="BN2555">
        <v>1</v>
      </c>
      <c r="BO2555">
        <v>1</v>
      </c>
      <c r="BP2555">
        <v>0</v>
      </c>
      <c r="BS2555">
        <v>0</v>
      </c>
      <c r="BT2555">
        <v>0</v>
      </c>
      <c r="BU2555">
        <v>0</v>
      </c>
      <c r="CE2555" t="str">
        <f t="shared" si="921"/>
        <v>19:32:24.443</v>
      </c>
      <c r="CF2555">
        <v>443284268</v>
      </c>
      <c r="CS2555">
        <v>0</v>
      </c>
      <c r="CT2555">
        <v>2</v>
      </c>
      <c r="CU2555">
        <v>0</v>
      </c>
      <c r="CV2555">
        <v>2</v>
      </c>
      <c r="CW2555">
        <v>0</v>
      </c>
      <c r="CX2555">
        <v>5</v>
      </c>
      <c r="CY2555">
        <v>7</v>
      </c>
      <c r="CZ2555" t="s">
        <v>131</v>
      </c>
      <c r="DA2555">
        <v>300</v>
      </c>
      <c r="DB2555">
        <v>0</v>
      </c>
      <c r="DC2555" t="s">
        <v>176</v>
      </c>
      <c r="DD2555" t="s">
        <v>177</v>
      </c>
      <c r="DG2555">
        <v>5415539</v>
      </c>
      <c r="DI2555">
        <v>1</v>
      </c>
      <c r="DJ2555">
        <v>0</v>
      </c>
      <c r="DK2555">
        <v>1</v>
      </c>
      <c r="DL2555">
        <v>0</v>
      </c>
      <c r="DM2555">
        <v>0</v>
      </c>
      <c r="DN2555">
        <v>1</v>
      </c>
      <c r="DO2555">
        <v>0</v>
      </c>
      <c r="DP2555">
        <v>0</v>
      </c>
      <c r="DQ2555">
        <v>0</v>
      </c>
      <c r="DR2555">
        <v>0</v>
      </c>
      <c r="DS2555">
        <v>0</v>
      </c>
    </row>
    <row r="2556" spans="1:123" x14ac:dyDescent="0.3">
      <c r="A2556" t="str">
        <f t="shared" ref="A2556:A2562" si="922">"10/04/2022 19:32:25.840"</f>
        <v>10/04/2022 19:32:25.840</v>
      </c>
      <c r="C2556" t="str">
        <f t="shared" si="913"/>
        <v>FFDDD3C0</v>
      </c>
      <c r="D2556" t="s">
        <v>134</v>
      </c>
      <c r="E2556">
        <v>15</v>
      </c>
      <c r="J2556" t="s">
        <v>135</v>
      </c>
      <c r="K2556">
        <v>0</v>
      </c>
      <c r="L2556">
        <v>3</v>
      </c>
      <c r="M2556">
        <v>0</v>
      </c>
      <c r="N2556">
        <v>2</v>
      </c>
      <c r="O2556">
        <v>0</v>
      </c>
      <c r="P2556">
        <v>1</v>
      </c>
      <c r="Q2556">
        <v>0</v>
      </c>
      <c r="S2556" t="str">
        <f t="shared" ref="S2556:T2562" si="923">"19:32:25.000"</f>
        <v>19:32:25.000</v>
      </c>
      <c r="T2556" t="str">
        <f t="shared" si="923"/>
        <v>19:32:25.000</v>
      </c>
      <c r="U2556" t="str">
        <f t="shared" si="900"/>
        <v>AC3944</v>
      </c>
      <c r="V2556">
        <v>0</v>
      </c>
      <c r="W2556">
        <v>0</v>
      </c>
      <c r="X2556">
        <v>2</v>
      </c>
      <c r="Y2556">
        <v>0</v>
      </c>
      <c r="AA2556">
        <v>1</v>
      </c>
      <c r="AB2556">
        <v>8</v>
      </c>
      <c r="AC2556">
        <v>3</v>
      </c>
      <c r="AD2556">
        <v>0</v>
      </c>
      <c r="AE2556">
        <v>9</v>
      </c>
      <c r="AF2556" t="s">
        <v>138</v>
      </c>
      <c r="AG2556">
        <v>0</v>
      </c>
      <c r="AH2556">
        <v>3</v>
      </c>
      <c r="AI2556">
        <v>1</v>
      </c>
      <c r="AJ2556">
        <v>0</v>
      </c>
      <c r="AK2556" t="s">
        <v>876</v>
      </c>
      <c r="AL2556">
        <v>32.751038000000001</v>
      </c>
      <c r="AM2556" t="s">
        <v>877</v>
      </c>
      <c r="AN2556">
        <v>-116.777158</v>
      </c>
      <c r="AO2556">
        <v>25</v>
      </c>
      <c r="AP2556">
        <v>3200</v>
      </c>
      <c r="AQ2556" t="s">
        <v>129</v>
      </c>
      <c r="AR2556">
        <v>113</v>
      </c>
      <c r="AS2556">
        <v>-81</v>
      </c>
      <c r="AT2556">
        <v>-64</v>
      </c>
      <c r="BB2556">
        <v>1200</v>
      </c>
      <c r="BC2556">
        <v>1</v>
      </c>
      <c r="BD2556" t="str">
        <f t="shared" si="901"/>
        <v xml:space="preserve">N887QR  </v>
      </c>
      <c r="BE2556">
        <v>1</v>
      </c>
      <c r="BJ2556">
        <v>2925</v>
      </c>
      <c r="BK2556">
        <v>-275</v>
      </c>
      <c r="BL2556" t="s">
        <v>163</v>
      </c>
      <c r="BM2556">
        <v>1</v>
      </c>
      <c r="BN2556">
        <v>1</v>
      </c>
      <c r="BO2556">
        <v>1</v>
      </c>
      <c r="BP2556">
        <v>0</v>
      </c>
      <c r="BS2556">
        <v>0</v>
      </c>
      <c r="BT2556">
        <v>0</v>
      </c>
      <c r="BU2556">
        <v>0</v>
      </c>
      <c r="CE2556" t="str">
        <f t="shared" ref="CE2556:CE2562" si="924">"19:32:25.493"</f>
        <v>19:32:25.493</v>
      </c>
      <c r="CF2556">
        <v>492537822</v>
      </c>
      <c r="CS2556">
        <v>0</v>
      </c>
      <c r="CT2556">
        <v>2</v>
      </c>
      <c r="CU2556">
        <v>0</v>
      </c>
      <c r="CV2556">
        <v>2</v>
      </c>
      <c r="CW2556">
        <v>0</v>
      </c>
      <c r="CX2556">
        <v>5</v>
      </c>
      <c r="CY2556">
        <v>7</v>
      </c>
      <c r="CZ2556" t="s">
        <v>131</v>
      </c>
      <c r="DA2556">
        <v>300</v>
      </c>
      <c r="DB2556">
        <v>0</v>
      </c>
      <c r="DC2556" t="s">
        <v>176</v>
      </c>
      <c r="DD2556" t="s">
        <v>177</v>
      </c>
      <c r="DG2556">
        <v>5415733</v>
      </c>
      <c r="DI2556">
        <v>1</v>
      </c>
      <c r="DJ2556">
        <v>0</v>
      </c>
      <c r="DK2556">
        <v>0</v>
      </c>
      <c r="DL2556">
        <v>0</v>
      </c>
      <c r="DM2556">
        <v>0</v>
      </c>
      <c r="DN2556">
        <v>1</v>
      </c>
      <c r="DO2556">
        <v>0</v>
      </c>
      <c r="DP2556">
        <v>0</v>
      </c>
      <c r="DQ2556">
        <v>0</v>
      </c>
      <c r="DR2556">
        <v>0</v>
      </c>
      <c r="DS2556">
        <v>0</v>
      </c>
    </row>
    <row r="2557" spans="1:123" x14ac:dyDescent="0.3">
      <c r="A2557" t="str">
        <f t="shared" si="922"/>
        <v>10/04/2022 19:32:25.840</v>
      </c>
      <c r="C2557" t="str">
        <f t="shared" si="913"/>
        <v>FFDDD3C0</v>
      </c>
      <c r="D2557" t="s">
        <v>143</v>
      </c>
      <c r="E2557">
        <v>20</v>
      </c>
      <c r="F2557">
        <v>1020</v>
      </c>
      <c r="G2557" t="s">
        <v>144</v>
      </c>
      <c r="J2557" t="s">
        <v>145</v>
      </c>
      <c r="K2557">
        <v>0</v>
      </c>
      <c r="L2557">
        <v>3</v>
      </c>
      <c r="M2557">
        <v>0</v>
      </c>
      <c r="N2557">
        <v>2</v>
      </c>
      <c r="O2557">
        <v>0</v>
      </c>
      <c r="P2557">
        <v>1</v>
      </c>
      <c r="Q2557">
        <v>0</v>
      </c>
      <c r="S2557" t="str">
        <f t="shared" si="923"/>
        <v>19:32:25.000</v>
      </c>
      <c r="T2557" t="str">
        <f t="shared" si="923"/>
        <v>19:32:25.000</v>
      </c>
      <c r="U2557" t="str">
        <f t="shared" si="900"/>
        <v>AC3944</v>
      </c>
      <c r="V2557">
        <v>0</v>
      </c>
      <c r="W2557">
        <v>0</v>
      </c>
      <c r="X2557">
        <v>2</v>
      </c>
      <c r="Y2557">
        <v>0</v>
      </c>
      <c r="AA2557">
        <v>1</v>
      </c>
      <c r="AB2557">
        <v>8</v>
      </c>
      <c r="AC2557">
        <v>3</v>
      </c>
      <c r="AD2557">
        <v>0</v>
      </c>
      <c r="AE2557">
        <v>9</v>
      </c>
      <c r="AF2557" t="s">
        <v>138</v>
      </c>
      <c r="AG2557">
        <v>0</v>
      </c>
      <c r="AH2557">
        <v>3</v>
      </c>
      <c r="AI2557">
        <v>1</v>
      </c>
      <c r="AJ2557">
        <v>0</v>
      </c>
      <c r="AK2557" t="s">
        <v>876</v>
      </c>
      <c r="AL2557">
        <v>32.751038000000001</v>
      </c>
      <c r="AM2557" t="s">
        <v>877</v>
      </c>
      <c r="AN2557">
        <v>-116.777158</v>
      </c>
      <c r="AO2557">
        <v>25</v>
      </c>
      <c r="AP2557">
        <v>3200</v>
      </c>
      <c r="AQ2557" t="s">
        <v>129</v>
      </c>
      <c r="AR2557">
        <v>113</v>
      </c>
      <c r="AS2557">
        <v>-81</v>
      </c>
      <c r="AT2557">
        <v>-64</v>
      </c>
      <c r="BB2557">
        <v>1200</v>
      </c>
      <c r="BC2557">
        <v>1</v>
      </c>
      <c r="BD2557" t="str">
        <f t="shared" si="901"/>
        <v xml:space="preserve">N887QR  </v>
      </c>
      <c r="BE2557">
        <v>1</v>
      </c>
      <c r="BJ2557">
        <v>2925</v>
      </c>
      <c r="BK2557">
        <v>-275</v>
      </c>
      <c r="BL2557" t="s">
        <v>163</v>
      </c>
      <c r="BM2557">
        <v>1</v>
      </c>
      <c r="BN2557">
        <v>1</v>
      </c>
      <c r="BO2557">
        <v>1</v>
      </c>
      <c r="BP2557">
        <v>0</v>
      </c>
      <c r="BS2557">
        <v>0</v>
      </c>
      <c r="BT2557">
        <v>0</v>
      </c>
      <c r="BU2557">
        <v>0</v>
      </c>
      <c r="CE2557" t="str">
        <f t="shared" si="924"/>
        <v>19:32:25.493</v>
      </c>
      <c r="CF2557">
        <v>492537822</v>
      </c>
      <c r="CS2557">
        <v>0</v>
      </c>
      <c r="CT2557">
        <v>2</v>
      </c>
      <c r="CU2557">
        <v>0</v>
      </c>
      <c r="CV2557">
        <v>2</v>
      </c>
      <c r="CW2557">
        <v>0</v>
      </c>
      <c r="CX2557">
        <v>5</v>
      </c>
      <c r="CY2557">
        <v>7</v>
      </c>
      <c r="CZ2557" t="s">
        <v>131</v>
      </c>
      <c r="DA2557">
        <v>300</v>
      </c>
      <c r="DB2557">
        <v>0</v>
      </c>
      <c r="DC2557" t="s">
        <v>176</v>
      </c>
      <c r="DD2557" t="s">
        <v>177</v>
      </c>
      <c r="DG2557">
        <v>5415733</v>
      </c>
      <c r="DI2557">
        <v>1</v>
      </c>
      <c r="DJ2557">
        <v>0</v>
      </c>
      <c r="DK2557">
        <v>1</v>
      </c>
      <c r="DL2557">
        <v>0</v>
      </c>
      <c r="DM2557">
        <v>0</v>
      </c>
      <c r="DN2557">
        <v>1</v>
      </c>
      <c r="DO2557">
        <v>0</v>
      </c>
      <c r="DP2557">
        <v>0</v>
      </c>
      <c r="DQ2557">
        <v>0</v>
      </c>
      <c r="DR2557">
        <v>0</v>
      </c>
      <c r="DS2557">
        <v>0</v>
      </c>
    </row>
    <row r="2558" spans="1:123" x14ac:dyDescent="0.3">
      <c r="A2558" t="str">
        <f t="shared" si="922"/>
        <v>10/04/2022 19:32:25.840</v>
      </c>
      <c r="C2558" t="str">
        <f t="shared" si="913"/>
        <v>FFDDD3C0</v>
      </c>
      <c r="D2558" t="s">
        <v>147</v>
      </c>
      <c r="E2558">
        <v>3</v>
      </c>
      <c r="H2558">
        <v>166</v>
      </c>
      <c r="I2558" t="s">
        <v>144</v>
      </c>
      <c r="J2558" t="s">
        <v>148</v>
      </c>
      <c r="K2558">
        <v>0</v>
      </c>
      <c r="L2558">
        <v>3</v>
      </c>
      <c r="M2558">
        <v>0</v>
      </c>
      <c r="N2558">
        <v>2</v>
      </c>
      <c r="O2558">
        <v>0</v>
      </c>
      <c r="P2558">
        <v>1</v>
      </c>
      <c r="Q2558">
        <v>0</v>
      </c>
      <c r="S2558" t="str">
        <f t="shared" si="923"/>
        <v>19:32:25.000</v>
      </c>
      <c r="T2558" t="str">
        <f t="shared" si="923"/>
        <v>19:32:25.000</v>
      </c>
      <c r="U2558" t="str">
        <f t="shared" si="900"/>
        <v>AC3944</v>
      </c>
      <c r="V2558">
        <v>0</v>
      </c>
      <c r="W2558">
        <v>0</v>
      </c>
      <c r="X2558">
        <v>2</v>
      </c>
      <c r="Y2558">
        <v>0</v>
      </c>
      <c r="AA2558">
        <v>1</v>
      </c>
      <c r="AB2558">
        <v>8</v>
      </c>
      <c r="AC2558">
        <v>3</v>
      </c>
      <c r="AD2558">
        <v>0</v>
      </c>
      <c r="AE2558">
        <v>9</v>
      </c>
      <c r="AF2558" t="s">
        <v>138</v>
      </c>
      <c r="AG2558">
        <v>0</v>
      </c>
      <c r="AH2558">
        <v>3</v>
      </c>
      <c r="AI2558">
        <v>1</v>
      </c>
      <c r="AJ2558">
        <v>0</v>
      </c>
      <c r="AK2558" t="s">
        <v>876</v>
      </c>
      <c r="AL2558">
        <v>32.751038000000001</v>
      </c>
      <c r="AM2558" t="s">
        <v>877</v>
      </c>
      <c r="AN2558">
        <v>-116.777158</v>
      </c>
      <c r="AO2558">
        <v>25</v>
      </c>
      <c r="AP2558">
        <v>3200</v>
      </c>
      <c r="AQ2558" t="s">
        <v>129</v>
      </c>
      <c r="AR2558">
        <v>113</v>
      </c>
      <c r="AS2558">
        <v>-81</v>
      </c>
      <c r="AT2558">
        <v>-64</v>
      </c>
      <c r="BB2558">
        <v>1200</v>
      </c>
      <c r="BC2558">
        <v>1</v>
      </c>
      <c r="BD2558" t="str">
        <f t="shared" si="901"/>
        <v xml:space="preserve">N887QR  </v>
      </c>
      <c r="BE2558">
        <v>1</v>
      </c>
      <c r="BJ2558">
        <v>2925</v>
      </c>
      <c r="BK2558">
        <v>-275</v>
      </c>
      <c r="BL2558" t="s">
        <v>163</v>
      </c>
      <c r="BM2558">
        <v>1</v>
      </c>
      <c r="BN2558">
        <v>1</v>
      </c>
      <c r="BO2558">
        <v>1</v>
      </c>
      <c r="BP2558">
        <v>0</v>
      </c>
      <c r="BS2558">
        <v>0</v>
      </c>
      <c r="BT2558">
        <v>0</v>
      </c>
      <c r="BU2558">
        <v>0</v>
      </c>
      <c r="CE2558" t="str">
        <f t="shared" si="924"/>
        <v>19:32:25.493</v>
      </c>
      <c r="CF2558">
        <v>492537822</v>
      </c>
      <c r="CS2558">
        <v>0</v>
      </c>
      <c r="CT2558">
        <v>2</v>
      </c>
      <c r="CU2558">
        <v>0</v>
      </c>
      <c r="CV2558">
        <v>2</v>
      </c>
      <c r="CW2558">
        <v>0</v>
      </c>
      <c r="CX2558">
        <v>5</v>
      </c>
      <c r="CY2558">
        <v>7</v>
      </c>
      <c r="CZ2558" t="s">
        <v>131</v>
      </c>
      <c r="DA2558">
        <v>300</v>
      </c>
      <c r="DB2558">
        <v>0</v>
      </c>
      <c r="DC2558" t="s">
        <v>176</v>
      </c>
      <c r="DD2558" t="s">
        <v>177</v>
      </c>
      <c r="DG2558">
        <v>5415733</v>
      </c>
      <c r="DI2558">
        <v>1</v>
      </c>
      <c r="DJ2558">
        <v>0</v>
      </c>
      <c r="DK2558">
        <v>1</v>
      </c>
      <c r="DL2558">
        <v>0</v>
      </c>
      <c r="DM2558">
        <v>0</v>
      </c>
      <c r="DN2558">
        <v>1</v>
      </c>
      <c r="DO2558">
        <v>0</v>
      </c>
      <c r="DP2558">
        <v>0</v>
      </c>
      <c r="DQ2558">
        <v>0</v>
      </c>
      <c r="DR2558">
        <v>0</v>
      </c>
      <c r="DS2558">
        <v>0</v>
      </c>
    </row>
    <row r="2559" spans="1:123" x14ac:dyDescent="0.3">
      <c r="A2559" t="str">
        <f t="shared" si="922"/>
        <v>10/04/2022 19:32:25.840</v>
      </c>
      <c r="C2559" t="str">
        <f t="shared" si="913"/>
        <v>FFDDD3C0</v>
      </c>
      <c r="D2559" t="s">
        <v>141</v>
      </c>
      <c r="E2559">
        <v>4</v>
      </c>
      <c r="H2559">
        <v>4</v>
      </c>
      <c r="I2559" t="s">
        <v>142</v>
      </c>
      <c r="J2559" t="s">
        <v>138</v>
      </c>
      <c r="K2559">
        <v>0</v>
      </c>
      <c r="L2559">
        <v>3</v>
      </c>
      <c r="M2559">
        <v>0</v>
      </c>
      <c r="N2559">
        <v>2</v>
      </c>
      <c r="O2559">
        <v>0</v>
      </c>
      <c r="P2559">
        <v>1</v>
      </c>
      <c r="Q2559">
        <v>0</v>
      </c>
      <c r="S2559" t="str">
        <f t="shared" si="923"/>
        <v>19:32:25.000</v>
      </c>
      <c r="T2559" t="str">
        <f t="shared" si="923"/>
        <v>19:32:25.000</v>
      </c>
      <c r="U2559" t="str">
        <f t="shared" si="900"/>
        <v>AC3944</v>
      </c>
      <c r="V2559">
        <v>0</v>
      </c>
      <c r="W2559">
        <v>0</v>
      </c>
      <c r="X2559">
        <v>2</v>
      </c>
      <c r="Y2559">
        <v>0</v>
      </c>
      <c r="AA2559">
        <v>1</v>
      </c>
      <c r="AB2559">
        <v>8</v>
      </c>
      <c r="AC2559">
        <v>3</v>
      </c>
      <c r="AD2559">
        <v>0</v>
      </c>
      <c r="AE2559">
        <v>9</v>
      </c>
      <c r="AF2559" t="s">
        <v>138</v>
      </c>
      <c r="AG2559">
        <v>0</v>
      </c>
      <c r="AH2559">
        <v>3</v>
      </c>
      <c r="AI2559">
        <v>1</v>
      </c>
      <c r="AJ2559">
        <v>0</v>
      </c>
      <c r="AK2559" t="s">
        <v>876</v>
      </c>
      <c r="AL2559">
        <v>32.751038000000001</v>
      </c>
      <c r="AM2559" t="s">
        <v>877</v>
      </c>
      <c r="AN2559">
        <v>-116.777158</v>
      </c>
      <c r="AO2559">
        <v>25</v>
      </c>
      <c r="AP2559">
        <v>3200</v>
      </c>
      <c r="AQ2559" t="s">
        <v>129</v>
      </c>
      <c r="AR2559">
        <v>113</v>
      </c>
      <c r="AS2559">
        <v>-81</v>
      </c>
      <c r="AT2559">
        <v>-64</v>
      </c>
      <c r="BB2559">
        <v>1200</v>
      </c>
      <c r="BC2559">
        <v>1</v>
      </c>
      <c r="BD2559" t="str">
        <f t="shared" si="901"/>
        <v xml:space="preserve">N887QR  </v>
      </c>
      <c r="BE2559">
        <v>1</v>
      </c>
      <c r="BJ2559">
        <v>2925</v>
      </c>
      <c r="BK2559">
        <v>-275</v>
      </c>
      <c r="BL2559" t="s">
        <v>163</v>
      </c>
      <c r="BM2559">
        <v>1</v>
      </c>
      <c r="BN2559">
        <v>1</v>
      </c>
      <c r="BO2559">
        <v>1</v>
      </c>
      <c r="BP2559">
        <v>0</v>
      </c>
      <c r="BS2559">
        <v>0</v>
      </c>
      <c r="BT2559">
        <v>0</v>
      </c>
      <c r="BU2559">
        <v>0</v>
      </c>
      <c r="CE2559" t="str">
        <f t="shared" si="924"/>
        <v>19:32:25.493</v>
      </c>
      <c r="CF2559">
        <v>492537822</v>
      </c>
      <c r="CS2559">
        <v>0</v>
      </c>
      <c r="CT2559">
        <v>2</v>
      </c>
      <c r="CU2559">
        <v>0</v>
      </c>
      <c r="CV2559">
        <v>2</v>
      </c>
      <c r="CW2559">
        <v>0</v>
      </c>
      <c r="CX2559">
        <v>5</v>
      </c>
      <c r="CY2559">
        <v>7</v>
      </c>
      <c r="CZ2559" t="s">
        <v>131</v>
      </c>
      <c r="DA2559">
        <v>300</v>
      </c>
      <c r="DB2559">
        <v>0</v>
      </c>
      <c r="DC2559" t="s">
        <v>176</v>
      </c>
      <c r="DD2559" t="s">
        <v>177</v>
      </c>
      <c r="DG2559">
        <v>5415733</v>
      </c>
      <c r="DI2559">
        <v>1</v>
      </c>
      <c r="DJ2559">
        <v>0</v>
      </c>
      <c r="DK2559">
        <v>0</v>
      </c>
      <c r="DL2559">
        <v>0</v>
      </c>
      <c r="DM2559">
        <v>0</v>
      </c>
      <c r="DN2559">
        <v>1</v>
      </c>
      <c r="DO2559">
        <v>0</v>
      </c>
      <c r="DP2559">
        <v>0</v>
      </c>
      <c r="DQ2559">
        <v>0</v>
      </c>
      <c r="DR2559">
        <v>0</v>
      </c>
      <c r="DS2559">
        <v>0</v>
      </c>
    </row>
    <row r="2560" spans="1:123" x14ac:dyDescent="0.3">
      <c r="A2560" t="str">
        <f t="shared" si="922"/>
        <v>10/04/2022 19:32:25.840</v>
      </c>
      <c r="C2560" t="str">
        <f t="shared" si="913"/>
        <v>FFDDD3C0</v>
      </c>
      <c r="D2560" t="s">
        <v>123</v>
      </c>
      <c r="E2560">
        <v>7</v>
      </c>
      <c r="F2560">
        <v>2007</v>
      </c>
      <c r="G2560" t="s">
        <v>124</v>
      </c>
      <c r="J2560" t="s">
        <v>125</v>
      </c>
      <c r="K2560">
        <v>0</v>
      </c>
      <c r="L2560">
        <v>3</v>
      </c>
      <c r="M2560">
        <v>0</v>
      </c>
      <c r="N2560">
        <v>2</v>
      </c>
      <c r="O2560">
        <v>0</v>
      </c>
      <c r="P2560">
        <v>1</v>
      </c>
      <c r="Q2560">
        <v>0</v>
      </c>
      <c r="S2560" t="str">
        <f t="shared" si="923"/>
        <v>19:32:25.000</v>
      </c>
      <c r="T2560" t="str">
        <f t="shared" si="923"/>
        <v>19:32:25.000</v>
      </c>
      <c r="U2560" t="str">
        <f t="shared" si="900"/>
        <v>AC3944</v>
      </c>
      <c r="V2560">
        <v>0</v>
      </c>
      <c r="W2560">
        <v>0</v>
      </c>
      <c r="X2560">
        <v>2</v>
      </c>
      <c r="Y2560">
        <v>0</v>
      </c>
      <c r="AA2560">
        <v>1</v>
      </c>
      <c r="AB2560">
        <v>8</v>
      </c>
      <c r="AC2560">
        <v>3</v>
      </c>
      <c r="AD2560">
        <v>0</v>
      </c>
      <c r="AE2560">
        <v>9</v>
      </c>
      <c r="AF2560" t="s">
        <v>138</v>
      </c>
      <c r="AG2560">
        <v>0</v>
      </c>
      <c r="AH2560">
        <v>3</v>
      </c>
      <c r="AI2560">
        <v>1</v>
      </c>
      <c r="AJ2560">
        <v>0</v>
      </c>
      <c r="AK2560" t="s">
        <v>876</v>
      </c>
      <c r="AL2560">
        <v>32.751038000000001</v>
      </c>
      <c r="AM2560" t="s">
        <v>877</v>
      </c>
      <c r="AN2560">
        <v>-116.777158</v>
      </c>
      <c r="AO2560">
        <v>25</v>
      </c>
      <c r="AP2560">
        <v>3200</v>
      </c>
      <c r="AQ2560" t="s">
        <v>129</v>
      </c>
      <c r="AR2560">
        <v>113</v>
      </c>
      <c r="AS2560">
        <v>-81</v>
      </c>
      <c r="AT2560">
        <v>-64</v>
      </c>
      <c r="BB2560">
        <v>1200</v>
      </c>
      <c r="BC2560">
        <v>1</v>
      </c>
      <c r="BD2560" t="str">
        <f t="shared" si="901"/>
        <v xml:space="preserve">N887QR  </v>
      </c>
      <c r="BE2560">
        <v>1</v>
      </c>
      <c r="BJ2560">
        <v>2925</v>
      </c>
      <c r="BK2560">
        <v>-275</v>
      </c>
      <c r="BL2560" t="s">
        <v>163</v>
      </c>
      <c r="BM2560">
        <v>1</v>
      </c>
      <c r="BN2560">
        <v>1</v>
      </c>
      <c r="BO2560">
        <v>1</v>
      </c>
      <c r="BP2560">
        <v>0</v>
      </c>
      <c r="BS2560">
        <v>0</v>
      </c>
      <c r="BT2560">
        <v>0</v>
      </c>
      <c r="BU2560">
        <v>0</v>
      </c>
      <c r="CE2560" t="str">
        <f t="shared" si="924"/>
        <v>19:32:25.493</v>
      </c>
      <c r="CF2560">
        <v>492537822</v>
      </c>
      <c r="CS2560">
        <v>0</v>
      </c>
      <c r="CT2560">
        <v>2</v>
      </c>
      <c r="CU2560">
        <v>0</v>
      </c>
      <c r="CV2560">
        <v>2</v>
      </c>
      <c r="CW2560">
        <v>0</v>
      </c>
      <c r="CX2560">
        <v>5</v>
      </c>
      <c r="CY2560">
        <v>7</v>
      </c>
      <c r="CZ2560" t="s">
        <v>131</v>
      </c>
      <c r="DA2560">
        <v>300</v>
      </c>
      <c r="DB2560">
        <v>0</v>
      </c>
      <c r="DC2560" t="s">
        <v>176</v>
      </c>
      <c r="DD2560" t="s">
        <v>177</v>
      </c>
      <c r="DG2560">
        <v>5415733</v>
      </c>
      <c r="DI2560">
        <v>1</v>
      </c>
      <c r="DJ2560">
        <v>0</v>
      </c>
      <c r="DK2560">
        <v>1</v>
      </c>
      <c r="DL2560">
        <v>0</v>
      </c>
      <c r="DM2560">
        <v>0</v>
      </c>
      <c r="DN2560">
        <v>1</v>
      </c>
      <c r="DO2560">
        <v>0</v>
      </c>
      <c r="DP2560">
        <v>0</v>
      </c>
      <c r="DQ2560">
        <v>0</v>
      </c>
      <c r="DR2560">
        <v>0</v>
      </c>
      <c r="DS2560">
        <v>0</v>
      </c>
    </row>
    <row r="2561" spans="1:123" x14ac:dyDescent="0.3">
      <c r="A2561" t="str">
        <f t="shared" si="922"/>
        <v>10/04/2022 19:32:25.840</v>
      </c>
      <c r="C2561" t="str">
        <f t="shared" si="913"/>
        <v>FFDDD3C0</v>
      </c>
      <c r="D2561" t="s">
        <v>136</v>
      </c>
      <c r="E2561">
        <v>8</v>
      </c>
      <c r="H2561">
        <v>225</v>
      </c>
      <c r="I2561" t="s">
        <v>137</v>
      </c>
      <c r="J2561" t="s">
        <v>138</v>
      </c>
      <c r="K2561">
        <v>0</v>
      </c>
      <c r="L2561">
        <v>3</v>
      </c>
      <c r="M2561">
        <v>0</v>
      </c>
      <c r="N2561">
        <v>2</v>
      </c>
      <c r="O2561">
        <v>0</v>
      </c>
      <c r="P2561">
        <v>1</v>
      </c>
      <c r="Q2561">
        <v>0</v>
      </c>
      <c r="S2561" t="str">
        <f t="shared" si="923"/>
        <v>19:32:25.000</v>
      </c>
      <c r="T2561" t="str">
        <f t="shared" si="923"/>
        <v>19:32:25.000</v>
      </c>
      <c r="U2561" t="str">
        <f t="shared" si="900"/>
        <v>AC3944</v>
      </c>
      <c r="V2561">
        <v>0</v>
      </c>
      <c r="W2561">
        <v>0</v>
      </c>
      <c r="X2561">
        <v>2</v>
      </c>
      <c r="Y2561">
        <v>0</v>
      </c>
      <c r="AA2561">
        <v>1</v>
      </c>
      <c r="AB2561">
        <v>8</v>
      </c>
      <c r="AC2561">
        <v>3</v>
      </c>
      <c r="AD2561">
        <v>0</v>
      </c>
      <c r="AE2561">
        <v>9</v>
      </c>
      <c r="AF2561" t="s">
        <v>138</v>
      </c>
      <c r="AG2561">
        <v>0</v>
      </c>
      <c r="AH2561">
        <v>3</v>
      </c>
      <c r="AI2561">
        <v>1</v>
      </c>
      <c r="AJ2561">
        <v>0</v>
      </c>
      <c r="AK2561" t="s">
        <v>876</v>
      </c>
      <c r="AL2561">
        <v>32.751038000000001</v>
      </c>
      <c r="AM2561" t="s">
        <v>877</v>
      </c>
      <c r="AN2561">
        <v>-116.777158</v>
      </c>
      <c r="AO2561">
        <v>25</v>
      </c>
      <c r="AP2561">
        <v>3200</v>
      </c>
      <c r="AQ2561" t="s">
        <v>129</v>
      </c>
      <c r="AR2561">
        <v>113</v>
      </c>
      <c r="AS2561">
        <v>-81</v>
      </c>
      <c r="AT2561">
        <v>-64</v>
      </c>
      <c r="BB2561">
        <v>1200</v>
      </c>
      <c r="BC2561">
        <v>1</v>
      </c>
      <c r="BD2561" t="str">
        <f t="shared" si="901"/>
        <v xml:space="preserve">N887QR  </v>
      </c>
      <c r="BE2561">
        <v>1</v>
      </c>
      <c r="BJ2561">
        <v>2925</v>
      </c>
      <c r="BK2561">
        <v>-275</v>
      </c>
      <c r="BL2561" t="s">
        <v>163</v>
      </c>
      <c r="BM2561">
        <v>1</v>
      </c>
      <c r="BN2561">
        <v>1</v>
      </c>
      <c r="BO2561">
        <v>1</v>
      </c>
      <c r="BP2561">
        <v>0</v>
      </c>
      <c r="BS2561">
        <v>0</v>
      </c>
      <c r="BT2561">
        <v>0</v>
      </c>
      <c r="BU2561">
        <v>0</v>
      </c>
      <c r="CE2561" t="str">
        <f t="shared" si="924"/>
        <v>19:32:25.493</v>
      </c>
      <c r="CF2561">
        <v>492537822</v>
      </c>
      <c r="CS2561">
        <v>0</v>
      </c>
      <c r="CT2561">
        <v>2</v>
      </c>
      <c r="CU2561">
        <v>0</v>
      </c>
      <c r="CV2561">
        <v>2</v>
      </c>
      <c r="CW2561">
        <v>0</v>
      </c>
      <c r="CX2561">
        <v>5</v>
      </c>
      <c r="CY2561">
        <v>7</v>
      </c>
      <c r="CZ2561" t="s">
        <v>131</v>
      </c>
      <c r="DA2561">
        <v>300</v>
      </c>
      <c r="DB2561">
        <v>0</v>
      </c>
      <c r="DC2561" t="s">
        <v>176</v>
      </c>
      <c r="DD2561" t="s">
        <v>177</v>
      </c>
      <c r="DG2561">
        <v>5415733</v>
      </c>
      <c r="DI2561">
        <v>1</v>
      </c>
      <c r="DJ2561">
        <v>0</v>
      </c>
      <c r="DK2561">
        <v>1</v>
      </c>
      <c r="DL2561">
        <v>0</v>
      </c>
      <c r="DM2561">
        <v>0</v>
      </c>
      <c r="DN2561">
        <v>1</v>
      </c>
      <c r="DO2561">
        <v>0</v>
      </c>
      <c r="DP2561">
        <v>0</v>
      </c>
      <c r="DQ2561">
        <v>0</v>
      </c>
      <c r="DR2561">
        <v>0</v>
      </c>
      <c r="DS2561">
        <v>0</v>
      </c>
    </row>
    <row r="2562" spans="1:123" x14ac:dyDescent="0.3">
      <c r="A2562" t="str">
        <f t="shared" si="922"/>
        <v>10/04/2022 19:32:25.840</v>
      </c>
      <c r="C2562" t="str">
        <f t="shared" si="913"/>
        <v>FFDDD3C0</v>
      </c>
      <c r="D2562" t="s">
        <v>141</v>
      </c>
      <c r="E2562">
        <v>3</v>
      </c>
      <c r="H2562">
        <v>3</v>
      </c>
      <c r="I2562" t="s">
        <v>146</v>
      </c>
      <c r="J2562" t="s">
        <v>138</v>
      </c>
      <c r="K2562">
        <v>0</v>
      </c>
      <c r="L2562">
        <v>3</v>
      </c>
      <c r="M2562">
        <v>0</v>
      </c>
      <c r="N2562">
        <v>2</v>
      </c>
      <c r="O2562">
        <v>0</v>
      </c>
      <c r="P2562">
        <v>1</v>
      </c>
      <c r="Q2562">
        <v>0</v>
      </c>
      <c r="S2562" t="str">
        <f t="shared" si="923"/>
        <v>19:32:25.000</v>
      </c>
      <c r="T2562" t="str">
        <f t="shared" si="923"/>
        <v>19:32:25.000</v>
      </c>
      <c r="U2562" t="str">
        <f t="shared" ref="U2562:U2625" si="925">"AC3944"</f>
        <v>AC3944</v>
      </c>
      <c r="V2562">
        <v>0</v>
      </c>
      <c r="W2562">
        <v>0</v>
      </c>
      <c r="X2562">
        <v>2</v>
      </c>
      <c r="Y2562">
        <v>0</v>
      </c>
      <c r="AA2562">
        <v>1</v>
      </c>
      <c r="AB2562">
        <v>8</v>
      </c>
      <c r="AC2562">
        <v>3</v>
      </c>
      <c r="AD2562">
        <v>0</v>
      </c>
      <c r="AE2562">
        <v>9</v>
      </c>
      <c r="AF2562" t="s">
        <v>138</v>
      </c>
      <c r="AG2562">
        <v>0</v>
      </c>
      <c r="AH2562">
        <v>3</v>
      </c>
      <c r="AI2562">
        <v>1</v>
      </c>
      <c r="AJ2562">
        <v>0</v>
      </c>
      <c r="AK2562" t="s">
        <v>876</v>
      </c>
      <c r="AL2562">
        <v>32.751038000000001</v>
      </c>
      <c r="AM2562" t="s">
        <v>877</v>
      </c>
      <c r="AN2562">
        <v>-116.777158</v>
      </c>
      <c r="AO2562">
        <v>25</v>
      </c>
      <c r="AP2562">
        <v>3200</v>
      </c>
      <c r="AQ2562" t="s">
        <v>129</v>
      </c>
      <c r="AR2562">
        <v>113</v>
      </c>
      <c r="AS2562">
        <v>-81</v>
      </c>
      <c r="AT2562">
        <v>-64</v>
      </c>
      <c r="BB2562">
        <v>1200</v>
      </c>
      <c r="BC2562">
        <v>1</v>
      </c>
      <c r="BD2562" t="str">
        <f t="shared" ref="BD2562:BD2625" si="926">"N887QR  "</f>
        <v xml:space="preserve">N887QR  </v>
      </c>
      <c r="BE2562">
        <v>1</v>
      </c>
      <c r="BJ2562">
        <v>2925</v>
      </c>
      <c r="BK2562">
        <v>-275</v>
      </c>
      <c r="BL2562" t="s">
        <v>163</v>
      </c>
      <c r="BM2562">
        <v>1</v>
      </c>
      <c r="BN2562">
        <v>1</v>
      </c>
      <c r="BO2562">
        <v>1</v>
      </c>
      <c r="BP2562">
        <v>0</v>
      </c>
      <c r="BS2562">
        <v>0</v>
      </c>
      <c r="BT2562">
        <v>0</v>
      </c>
      <c r="BU2562">
        <v>0</v>
      </c>
      <c r="CE2562" t="str">
        <f t="shared" si="924"/>
        <v>19:32:25.493</v>
      </c>
      <c r="CF2562">
        <v>492537822</v>
      </c>
      <c r="CS2562">
        <v>0</v>
      </c>
      <c r="CT2562">
        <v>2</v>
      </c>
      <c r="CU2562">
        <v>0</v>
      </c>
      <c r="CV2562">
        <v>2</v>
      </c>
      <c r="CW2562">
        <v>0</v>
      </c>
      <c r="CX2562">
        <v>5</v>
      </c>
      <c r="CY2562">
        <v>7</v>
      </c>
      <c r="CZ2562" t="s">
        <v>131</v>
      </c>
      <c r="DA2562">
        <v>300</v>
      </c>
      <c r="DB2562">
        <v>0</v>
      </c>
      <c r="DC2562" t="s">
        <v>176</v>
      </c>
      <c r="DD2562" t="s">
        <v>177</v>
      </c>
      <c r="DG2562">
        <v>5415733</v>
      </c>
      <c r="DI2562">
        <v>1</v>
      </c>
      <c r="DJ2562">
        <v>0</v>
      </c>
      <c r="DK2562">
        <v>1</v>
      </c>
      <c r="DL2562">
        <v>0</v>
      </c>
      <c r="DM2562">
        <v>0</v>
      </c>
      <c r="DN2562">
        <v>1</v>
      </c>
      <c r="DO2562">
        <v>0</v>
      </c>
      <c r="DP2562">
        <v>0</v>
      </c>
      <c r="DQ2562">
        <v>0</v>
      </c>
      <c r="DR2562">
        <v>0</v>
      </c>
      <c r="DS2562">
        <v>0</v>
      </c>
    </row>
    <row r="2563" spans="1:123" x14ac:dyDescent="0.3">
      <c r="A2563" t="str">
        <f>"10/04/2022 19:32:26.728"</f>
        <v>10/04/2022 19:32:26.728</v>
      </c>
      <c r="C2563" t="str">
        <f t="shared" si="913"/>
        <v>FFDDD3C0</v>
      </c>
      <c r="D2563" t="s">
        <v>143</v>
      </c>
      <c r="E2563">
        <v>20</v>
      </c>
      <c r="F2563">
        <v>1020</v>
      </c>
      <c r="G2563" t="s">
        <v>144</v>
      </c>
      <c r="J2563" t="s">
        <v>145</v>
      </c>
      <c r="K2563">
        <v>0</v>
      </c>
      <c r="L2563">
        <v>3</v>
      </c>
      <c r="M2563">
        <v>0</v>
      </c>
      <c r="N2563">
        <v>2</v>
      </c>
      <c r="O2563">
        <v>0</v>
      </c>
      <c r="P2563">
        <v>1</v>
      </c>
      <c r="Q2563">
        <v>0</v>
      </c>
      <c r="S2563" t="str">
        <f t="shared" ref="S2563:T2569" si="927">"19:32:26.000"</f>
        <v>19:32:26.000</v>
      </c>
      <c r="T2563" t="str">
        <f t="shared" si="927"/>
        <v>19:32:26.000</v>
      </c>
      <c r="U2563" t="str">
        <f t="shared" si="925"/>
        <v>AC3944</v>
      </c>
      <c r="V2563">
        <v>0</v>
      </c>
      <c r="W2563">
        <v>0</v>
      </c>
      <c r="X2563">
        <v>2</v>
      </c>
      <c r="Y2563">
        <v>0</v>
      </c>
      <c r="AA2563">
        <v>1</v>
      </c>
      <c r="AB2563">
        <v>8</v>
      </c>
      <c r="AC2563">
        <v>3</v>
      </c>
      <c r="AD2563">
        <v>0</v>
      </c>
      <c r="AE2563">
        <v>9</v>
      </c>
      <c r="AF2563" t="s">
        <v>138</v>
      </c>
      <c r="AG2563">
        <v>0</v>
      </c>
      <c r="AH2563">
        <v>3</v>
      </c>
      <c r="AI2563">
        <v>1</v>
      </c>
      <c r="AJ2563">
        <v>0</v>
      </c>
      <c r="AK2563" t="s">
        <v>878</v>
      </c>
      <c r="AL2563">
        <v>32.750608999999997</v>
      </c>
      <c r="AM2563" t="s">
        <v>879</v>
      </c>
      <c r="AN2563">
        <v>-116.776385</v>
      </c>
      <c r="AO2563">
        <v>25</v>
      </c>
      <c r="AP2563">
        <v>3300</v>
      </c>
      <c r="AQ2563" t="s">
        <v>129</v>
      </c>
      <c r="AR2563">
        <v>111</v>
      </c>
      <c r="AS2563">
        <v>-81</v>
      </c>
      <c r="AT2563">
        <v>320</v>
      </c>
      <c r="BB2563">
        <v>1200</v>
      </c>
      <c r="BC2563">
        <v>1</v>
      </c>
      <c r="BD2563" t="str">
        <f t="shared" si="926"/>
        <v xml:space="preserve">N887QR  </v>
      </c>
      <c r="BE2563">
        <v>1</v>
      </c>
      <c r="BJ2563">
        <v>2950</v>
      </c>
      <c r="BK2563">
        <v>-350</v>
      </c>
      <c r="BL2563" t="s">
        <v>163</v>
      </c>
      <c r="BM2563">
        <v>1</v>
      </c>
      <c r="BN2563">
        <v>1</v>
      </c>
      <c r="BO2563">
        <v>1</v>
      </c>
      <c r="BP2563">
        <v>0</v>
      </c>
      <c r="BS2563">
        <v>0</v>
      </c>
      <c r="BT2563">
        <v>0</v>
      </c>
      <c r="BU2563">
        <v>0</v>
      </c>
      <c r="CE2563" t="str">
        <f t="shared" ref="CE2563:CE2569" si="928">"19:32:26.445"</f>
        <v>19:32:26.445</v>
      </c>
      <c r="CF2563">
        <v>445041058</v>
      </c>
      <c r="CS2563">
        <v>0</v>
      </c>
      <c r="CT2563">
        <v>2</v>
      </c>
      <c r="CU2563">
        <v>0</v>
      </c>
      <c r="CV2563">
        <v>2</v>
      </c>
      <c r="CW2563">
        <v>0</v>
      </c>
      <c r="CX2563">
        <v>5</v>
      </c>
      <c r="CY2563">
        <v>7</v>
      </c>
      <c r="CZ2563" t="s">
        <v>131</v>
      </c>
      <c r="DA2563">
        <v>300</v>
      </c>
      <c r="DB2563">
        <v>0</v>
      </c>
      <c r="DC2563" t="s">
        <v>176</v>
      </c>
      <c r="DD2563" t="s">
        <v>177</v>
      </c>
      <c r="DG2563">
        <v>5415884</v>
      </c>
      <c r="DI2563">
        <v>1</v>
      </c>
      <c r="DJ2563">
        <v>0</v>
      </c>
      <c r="DK2563">
        <v>0</v>
      </c>
      <c r="DL2563">
        <v>0</v>
      </c>
      <c r="DM2563">
        <v>0</v>
      </c>
      <c r="DN2563">
        <v>1</v>
      </c>
      <c r="DO2563">
        <v>0</v>
      </c>
      <c r="DP2563">
        <v>0</v>
      </c>
      <c r="DQ2563">
        <v>0</v>
      </c>
      <c r="DR2563">
        <v>0</v>
      </c>
      <c r="DS2563">
        <v>0</v>
      </c>
    </row>
    <row r="2564" spans="1:123" x14ac:dyDescent="0.3">
      <c r="A2564" t="str">
        <f>"10/04/2022 19:32:26.728"</f>
        <v>10/04/2022 19:32:26.728</v>
      </c>
      <c r="C2564" t="str">
        <f t="shared" si="913"/>
        <v>FFDDD3C0</v>
      </c>
      <c r="D2564" t="s">
        <v>147</v>
      </c>
      <c r="E2564">
        <v>3</v>
      </c>
      <c r="H2564">
        <v>166</v>
      </c>
      <c r="I2564" t="s">
        <v>144</v>
      </c>
      <c r="J2564" t="s">
        <v>148</v>
      </c>
      <c r="K2564">
        <v>0</v>
      </c>
      <c r="L2564">
        <v>3</v>
      </c>
      <c r="M2564">
        <v>0</v>
      </c>
      <c r="N2564">
        <v>2</v>
      </c>
      <c r="O2564">
        <v>0</v>
      </c>
      <c r="P2564">
        <v>1</v>
      </c>
      <c r="Q2564">
        <v>0</v>
      </c>
      <c r="S2564" t="str">
        <f t="shared" si="927"/>
        <v>19:32:26.000</v>
      </c>
      <c r="T2564" t="str">
        <f t="shared" si="927"/>
        <v>19:32:26.000</v>
      </c>
      <c r="U2564" t="str">
        <f t="shared" si="925"/>
        <v>AC3944</v>
      </c>
      <c r="V2564">
        <v>0</v>
      </c>
      <c r="W2564">
        <v>0</v>
      </c>
      <c r="X2564">
        <v>2</v>
      </c>
      <c r="Y2564">
        <v>0</v>
      </c>
      <c r="AA2564">
        <v>1</v>
      </c>
      <c r="AB2564">
        <v>8</v>
      </c>
      <c r="AC2564">
        <v>3</v>
      </c>
      <c r="AD2564">
        <v>0</v>
      </c>
      <c r="AE2564">
        <v>9</v>
      </c>
      <c r="AF2564" t="s">
        <v>138</v>
      </c>
      <c r="AG2564">
        <v>0</v>
      </c>
      <c r="AH2564">
        <v>3</v>
      </c>
      <c r="AI2564">
        <v>1</v>
      </c>
      <c r="AJ2564">
        <v>0</v>
      </c>
      <c r="AK2564" t="s">
        <v>878</v>
      </c>
      <c r="AL2564">
        <v>32.750608999999997</v>
      </c>
      <c r="AM2564" t="s">
        <v>879</v>
      </c>
      <c r="AN2564">
        <v>-116.776385</v>
      </c>
      <c r="AO2564">
        <v>25</v>
      </c>
      <c r="AP2564">
        <v>3300</v>
      </c>
      <c r="AQ2564" t="s">
        <v>129</v>
      </c>
      <c r="AR2564">
        <v>111</v>
      </c>
      <c r="AS2564">
        <v>-81</v>
      </c>
      <c r="AT2564">
        <v>320</v>
      </c>
      <c r="BB2564">
        <v>1200</v>
      </c>
      <c r="BC2564">
        <v>1</v>
      </c>
      <c r="BD2564" t="str">
        <f t="shared" si="926"/>
        <v xml:space="preserve">N887QR  </v>
      </c>
      <c r="BE2564">
        <v>1</v>
      </c>
      <c r="BJ2564">
        <v>2950</v>
      </c>
      <c r="BK2564">
        <v>-350</v>
      </c>
      <c r="BL2564" t="s">
        <v>163</v>
      </c>
      <c r="BM2564">
        <v>1</v>
      </c>
      <c r="BN2564">
        <v>1</v>
      </c>
      <c r="BO2564">
        <v>1</v>
      </c>
      <c r="BP2564">
        <v>0</v>
      </c>
      <c r="BS2564">
        <v>0</v>
      </c>
      <c r="BT2564">
        <v>0</v>
      </c>
      <c r="BU2564">
        <v>0</v>
      </c>
      <c r="CE2564" t="str">
        <f t="shared" si="928"/>
        <v>19:32:26.445</v>
      </c>
      <c r="CF2564">
        <v>445041058</v>
      </c>
      <c r="CS2564">
        <v>0</v>
      </c>
      <c r="CT2564">
        <v>2</v>
      </c>
      <c r="CU2564">
        <v>0</v>
      </c>
      <c r="CV2564">
        <v>2</v>
      </c>
      <c r="CW2564">
        <v>0</v>
      </c>
      <c r="CX2564">
        <v>5</v>
      </c>
      <c r="CY2564">
        <v>7</v>
      </c>
      <c r="CZ2564" t="s">
        <v>131</v>
      </c>
      <c r="DA2564">
        <v>300</v>
      </c>
      <c r="DB2564">
        <v>0</v>
      </c>
      <c r="DC2564" t="s">
        <v>176</v>
      </c>
      <c r="DD2564" t="s">
        <v>177</v>
      </c>
      <c r="DG2564">
        <v>5415884</v>
      </c>
      <c r="DI2564">
        <v>1</v>
      </c>
      <c r="DJ2564">
        <v>0</v>
      </c>
      <c r="DK2564">
        <v>1</v>
      </c>
      <c r="DL2564">
        <v>0</v>
      </c>
      <c r="DM2564">
        <v>0</v>
      </c>
      <c r="DN2564">
        <v>1</v>
      </c>
      <c r="DO2564">
        <v>0</v>
      </c>
      <c r="DP2564">
        <v>0</v>
      </c>
      <c r="DQ2564">
        <v>0</v>
      </c>
      <c r="DR2564">
        <v>0</v>
      </c>
      <c r="DS2564">
        <v>0</v>
      </c>
    </row>
    <row r="2565" spans="1:123" x14ac:dyDescent="0.3">
      <c r="A2565" t="str">
        <f>"10/04/2022 19:32:26.744"</f>
        <v>10/04/2022 19:32:26.744</v>
      </c>
      <c r="C2565" t="str">
        <f t="shared" si="913"/>
        <v>FFDDD3C0</v>
      </c>
      <c r="D2565" t="s">
        <v>141</v>
      </c>
      <c r="E2565">
        <v>4</v>
      </c>
      <c r="H2565">
        <v>4</v>
      </c>
      <c r="I2565" t="s">
        <v>142</v>
      </c>
      <c r="J2565" t="s">
        <v>138</v>
      </c>
      <c r="K2565">
        <v>0</v>
      </c>
      <c r="L2565">
        <v>3</v>
      </c>
      <c r="M2565">
        <v>0</v>
      </c>
      <c r="N2565">
        <v>2</v>
      </c>
      <c r="O2565">
        <v>0</v>
      </c>
      <c r="P2565">
        <v>1</v>
      </c>
      <c r="Q2565">
        <v>0</v>
      </c>
      <c r="S2565" t="str">
        <f t="shared" si="927"/>
        <v>19:32:26.000</v>
      </c>
      <c r="T2565" t="str">
        <f t="shared" si="927"/>
        <v>19:32:26.000</v>
      </c>
      <c r="U2565" t="str">
        <f t="shared" si="925"/>
        <v>AC3944</v>
      </c>
      <c r="V2565">
        <v>0</v>
      </c>
      <c r="W2565">
        <v>0</v>
      </c>
      <c r="X2565">
        <v>2</v>
      </c>
      <c r="Y2565">
        <v>0</v>
      </c>
      <c r="AA2565">
        <v>1</v>
      </c>
      <c r="AB2565">
        <v>8</v>
      </c>
      <c r="AC2565">
        <v>3</v>
      </c>
      <c r="AD2565">
        <v>0</v>
      </c>
      <c r="AE2565">
        <v>9</v>
      </c>
      <c r="AF2565" t="s">
        <v>138</v>
      </c>
      <c r="AG2565">
        <v>0</v>
      </c>
      <c r="AH2565">
        <v>3</v>
      </c>
      <c r="AI2565">
        <v>1</v>
      </c>
      <c r="AJ2565">
        <v>0</v>
      </c>
      <c r="AK2565" t="s">
        <v>878</v>
      </c>
      <c r="AL2565">
        <v>32.750608999999997</v>
      </c>
      <c r="AM2565" t="s">
        <v>879</v>
      </c>
      <c r="AN2565">
        <v>-116.776385</v>
      </c>
      <c r="AO2565">
        <v>25</v>
      </c>
      <c r="AP2565">
        <v>3300</v>
      </c>
      <c r="AQ2565" t="s">
        <v>129</v>
      </c>
      <c r="AR2565">
        <v>111</v>
      </c>
      <c r="AS2565">
        <v>-81</v>
      </c>
      <c r="AT2565">
        <v>320</v>
      </c>
      <c r="BB2565">
        <v>1200</v>
      </c>
      <c r="BC2565">
        <v>1</v>
      </c>
      <c r="BD2565" t="str">
        <f t="shared" si="926"/>
        <v xml:space="preserve">N887QR  </v>
      </c>
      <c r="BE2565">
        <v>1</v>
      </c>
      <c r="BJ2565">
        <v>2950</v>
      </c>
      <c r="BK2565">
        <v>-350</v>
      </c>
      <c r="BL2565" t="s">
        <v>163</v>
      </c>
      <c r="BM2565">
        <v>1</v>
      </c>
      <c r="BN2565">
        <v>1</v>
      </c>
      <c r="BO2565">
        <v>1</v>
      </c>
      <c r="BP2565">
        <v>0</v>
      </c>
      <c r="BS2565">
        <v>0</v>
      </c>
      <c r="BT2565">
        <v>0</v>
      </c>
      <c r="BU2565">
        <v>0</v>
      </c>
      <c r="CE2565" t="str">
        <f t="shared" si="928"/>
        <v>19:32:26.445</v>
      </c>
      <c r="CF2565">
        <v>445041058</v>
      </c>
      <c r="CS2565">
        <v>0</v>
      </c>
      <c r="CT2565">
        <v>2</v>
      </c>
      <c r="CU2565">
        <v>0</v>
      </c>
      <c r="CV2565">
        <v>2</v>
      </c>
      <c r="CW2565">
        <v>0</v>
      </c>
      <c r="CX2565">
        <v>5</v>
      </c>
      <c r="CY2565">
        <v>7</v>
      </c>
      <c r="CZ2565" t="s">
        <v>131</v>
      </c>
      <c r="DA2565">
        <v>300</v>
      </c>
      <c r="DB2565">
        <v>0</v>
      </c>
      <c r="DC2565" t="s">
        <v>176</v>
      </c>
      <c r="DD2565" t="s">
        <v>177</v>
      </c>
      <c r="DG2565">
        <v>5415884</v>
      </c>
      <c r="DI2565">
        <v>1</v>
      </c>
      <c r="DJ2565">
        <v>0</v>
      </c>
      <c r="DK2565">
        <v>1</v>
      </c>
      <c r="DL2565">
        <v>0</v>
      </c>
      <c r="DM2565">
        <v>0</v>
      </c>
      <c r="DN2565">
        <v>1</v>
      </c>
      <c r="DO2565">
        <v>0</v>
      </c>
      <c r="DP2565">
        <v>0</v>
      </c>
      <c r="DQ2565">
        <v>0</v>
      </c>
      <c r="DR2565">
        <v>0</v>
      </c>
      <c r="DS2565">
        <v>0</v>
      </c>
    </row>
    <row r="2566" spans="1:123" x14ac:dyDescent="0.3">
      <c r="A2566" t="str">
        <f>"10/04/2022 19:32:26.744"</f>
        <v>10/04/2022 19:32:26.744</v>
      </c>
      <c r="C2566" t="str">
        <f t="shared" si="913"/>
        <v>FFDDD3C0</v>
      </c>
      <c r="D2566" t="s">
        <v>136</v>
      </c>
      <c r="E2566">
        <v>8</v>
      </c>
      <c r="H2566">
        <v>225</v>
      </c>
      <c r="I2566" t="s">
        <v>137</v>
      </c>
      <c r="J2566" t="s">
        <v>138</v>
      </c>
      <c r="K2566">
        <v>0</v>
      </c>
      <c r="L2566">
        <v>3</v>
      </c>
      <c r="M2566">
        <v>0</v>
      </c>
      <c r="N2566">
        <v>2</v>
      </c>
      <c r="O2566">
        <v>0</v>
      </c>
      <c r="P2566">
        <v>1</v>
      </c>
      <c r="Q2566">
        <v>0</v>
      </c>
      <c r="S2566" t="str">
        <f t="shared" si="927"/>
        <v>19:32:26.000</v>
      </c>
      <c r="T2566" t="str">
        <f t="shared" si="927"/>
        <v>19:32:26.000</v>
      </c>
      <c r="U2566" t="str">
        <f t="shared" si="925"/>
        <v>AC3944</v>
      </c>
      <c r="V2566">
        <v>0</v>
      </c>
      <c r="W2566">
        <v>0</v>
      </c>
      <c r="X2566">
        <v>2</v>
      </c>
      <c r="Y2566">
        <v>0</v>
      </c>
      <c r="AA2566">
        <v>1</v>
      </c>
      <c r="AB2566">
        <v>8</v>
      </c>
      <c r="AC2566">
        <v>3</v>
      </c>
      <c r="AD2566">
        <v>0</v>
      </c>
      <c r="AE2566">
        <v>9</v>
      </c>
      <c r="AF2566" t="s">
        <v>138</v>
      </c>
      <c r="AG2566">
        <v>0</v>
      </c>
      <c r="AH2566">
        <v>3</v>
      </c>
      <c r="AI2566">
        <v>1</v>
      </c>
      <c r="AJ2566">
        <v>0</v>
      </c>
      <c r="AK2566" t="s">
        <v>878</v>
      </c>
      <c r="AL2566">
        <v>32.750608999999997</v>
      </c>
      <c r="AM2566" t="s">
        <v>879</v>
      </c>
      <c r="AN2566">
        <v>-116.776385</v>
      </c>
      <c r="AO2566">
        <v>25</v>
      </c>
      <c r="AP2566">
        <v>3300</v>
      </c>
      <c r="AQ2566" t="s">
        <v>129</v>
      </c>
      <c r="AR2566">
        <v>111</v>
      </c>
      <c r="AS2566">
        <v>-81</v>
      </c>
      <c r="AT2566">
        <v>320</v>
      </c>
      <c r="BB2566">
        <v>1200</v>
      </c>
      <c r="BC2566">
        <v>1</v>
      </c>
      <c r="BD2566" t="str">
        <f t="shared" si="926"/>
        <v xml:space="preserve">N887QR  </v>
      </c>
      <c r="BE2566">
        <v>1</v>
      </c>
      <c r="BJ2566">
        <v>2950</v>
      </c>
      <c r="BK2566">
        <v>-350</v>
      </c>
      <c r="BL2566" t="s">
        <v>163</v>
      </c>
      <c r="BM2566">
        <v>1</v>
      </c>
      <c r="BN2566">
        <v>1</v>
      </c>
      <c r="BO2566">
        <v>1</v>
      </c>
      <c r="BP2566">
        <v>0</v>
      </c>
      <c r="BS2566">
        <v>0</v>
      </c>
      <c r="BT2566">
        <v>0</v>
      </c>
      <c r="BU2566">
        <v>0</v>
      </c>
      <c r="CE2566" t="str">
        <f t="shared" si="928"/>
        <v>19:32:26.445</v>
      </c>
      <c r="CF2566">
        <v>445041058</v>
      </c>
      <c r="CS2566">
        <v>0</v>
      </c>
      <c r="CT2566">
        <v>2</v>
      </c>
      <c r="CU2566">
        <v>0</v>
      </c>
      <c r="CV2566">
        <v>2</v>
      </c>
      <c r="CW2566">
        <v>0</v>
      </c>
      <c r="CX2566">
        <v>5</v>
      </c>
      <c r="CY2566">
        <v>7</v>
      </c>
      <c r="CZ2566" t="s">
        <v>131</v>
      </c>
      <c r="DA2566">
        <v>300</v>
      </c>
      <c r="DB2566">
        <v>0</v>
      </c>
      <c r="DC2566" t="s">
        <v>176</v>
      </c>
      <c r="DD2566" t="s">
        <v>177</v>
      </c>
      <c r="DG2566">
        <v>5415884</v>
      </c>
      <c r="DI2566">
        <v>1</v>
      </c>
      <c r="DJ2566">
        <v>0</v>
      </c>
      <c r="DK2566">
        <v>1</v>
      </c>
      <c r="DL2566">
        <v>0</v>
      </c>
      <c r="DM2566">
        <v>0</v>
      </c>
      <c r="DN2566">
        <v>1</v>
      </c>
      <c r="DO2566">
        <v>0</v>
      </c>
      <c r="DP2566">
        <v>0</v>
      </c>
      <c r="DQ2566">
        <v>0</v>
      </c>
      <c r="DR2566">
        <v>0</v>
      </c>
      <c r="DS2566">
        <v>0</v>
      </c>
    </row>
    <row r="2567" spans="1:123" x14ac:dyDescent="0.3">
      <c r="A2567" t="str">
        <f>"10/04/2022 19:32:26.744"</f>
        <v>10/04/2022 19:32:26.744</v>
      </c>
      <c r="C2567" t="str">
        <f t="shared" si="913"/>
        <v>FFDDD3C0</v>
      </c>
      <c r="D2567" t="s">
        <v>141</v>
      </c>
      <c r="E2567">
        <v>3</v>
      </c>
      <c r="H2567">
        <v>3</v>
      </c>
      <c r="I2567" t="s">
        <v>146</v>
      </c>
      <c r="J2567" t="s">
        <v>138</v>
      </c>
      <c r="K2567">
        <v>0</v>
      </c>
      <c r="L2567">
        <v>3</v>
      </c>
      <c r="M2567">
        <v>0</v>
      </c>
      <c r="N2567">
        <v>2</v>
      </c>
      <c r="O2567">
        <v>0</v>
      </c>
      <c r="P2567">
        <v>1</v>
      </c>
      <c r="Q2567">
        <v>0</v>
      </c>
      <c r="S2567" t="str">
        <f t="shared" si="927"/>
        <v>19:32:26.000</v>
      </c>
      <c r="T2567" t="str">
        <f t="shared" si="927"/>
        <v>19:32:26.000</v>
      </c>
      <c r="U2567" t="str">
        <f t="shared" si="925"/>
        <v>AC3944</v>
      </c>
      <c r="V2567">
        <v>0</v>
      </c>
      <c r="W2567">
        <v>0</v>
      </c>
      <c r="X2567">
        <v>2</v>
      </c>
      <c r="Y2567">
        <v>0</v>
      </c>
      <c r="AA2567">
        <v>1</v>
      </c>
      <c r="AB2567">
        <v>8</v>
      </c>
      <c r="AC2567">
        <v>3</v>
      </c>
      <c r="AD2567">
        <v>0</v>
      </c>
      <c r="AE2567">
        <v>9</v>
      </c>
      <c r="AF2567" t="s">
        <v>138</v>
      </c>
      <c r="AG2567">
        <v>0</v>
      </c>
      <c r="AH2567">
        <v>3</v>
      </c>
      <c r="AI2567">
        <v>1</v>
      </c>
      <c r="AJ2567">
        <v>0</v>
      </c>
      <c r="AK2567" t="s">
        <v>878</v>
      </c>
      <c r="AL2567">
        <v>32.750608999999997</v>
      </c>
      <c r="AM2567" t="s">
        <v>879</v>
      </c>
      <c r="AN2567">
        <v>-116.776385</v>
      </c>
      <c r="AO2567">
        <v>25</v>
      </c>
      <c r="AP2567">
        <v>3300</v>
      </c>
      <c r="AQ2567" t="s">
        <v>129</v>
      </c>
      <c r="AR2567">
        <v>111</v>
      </c>
      <c r="AS2567">
        <v>-81</v>
      </c>
      <c r="AT2567">
        <v>320</v>
      </c>
      <c r="BB2567">
        <v>1200</v>
      </c>
      <c r="BC2567">
        <v>1</v>
      </c>
      <c r="BD2567" t="str">
        <f t="shared" si="926"/>
        <v xml:space="preserve">N887QR  </v>
      </c>
      <c r="BE2567">
        <v>1</v>
      </c>
      <c r="BJ2567">
        <v>2950</v>
      </c>
      <c r="BK2567">
        <v>-350</v>
      </c>
      <c r="BL2567" t="s">
        <v>163</v>
      </c>
      <c r="BM2567">
        <v>1</v>
      </c>
      <c r="BN2567">
        <v>1</v>
      </c>
      <c r="BO2567">
        <v>1</v>
      </c>
      <c r="BP2567">
        <v>0</v>
      </c>
      <c r="BS2567">
        <v>0</v>
      </c>
      <c r="BT2567">
        <v>0</v>
      </c>
      <c r="BU2567">
        <v>0</v>
      </c>
      <c r="CE2567" t="str">
        <f t="shared" si="928"/>
        <v>19:32:26.445</v>
      </c>
      <c r="CF2567">
        <v>445041058</v>
      </c>
      <c r="CS2567">
        <v>0</v>
      </c>
      <c r="CT2567">
        <v>2</v>
      </c>
      <c r="CU2567">
        <v>0</v>
      </c>
      <c r="CV2567">
        <v>2</v>
      </c>
      <c r="CW2567">
        <v>0</v>
      </c>
      <c r="CX2567">
        <v>5</v>
      </c>
      <c r="CY2567">
        <v>7</v>
      </c>
      <c r="CZ2567" t="s">
        <v>131</v>
      </c>
      <c r="DA2567">
        <v>300</v>
      </c>
      <c r="DB2567">
        <v>0</v>
      </c>
      <c r="DC2567" t="s">
        <v>176</v>
      </c>
      <c r="DD2567" t="s">
        <v>177</v>
      </c>
      <c r="DG2567">
        <v>5415884</v>
      </c>
      <c r="DI2567">
        <v>1</v>
      </c>
      <c r="DJ2567">
        <v>0</v>
      </c>
      <c r="DK2567">
        <v>1</v>
      </c>
      <c r="DL2567">
        <v>0</v>
      </c>
      <c r="DM2567">
        <v>0</v>
      </c>
      <c r="DN2567">
        <v>1</v>
      </c>
      <c r="DO2567">
        <v>0</v>
      </c>
      <c r="DP2567">
        <v>0</v>
      </c>
      <c r="DQ2567">
        <v>0</v>
      </c>
      <c r="DR2567">
        <v>0</v>
      </c>
      <c r="DS2567">
        <v>0</v>
      </c>
    </row>
    <row r="2568" spans="1:123" x14ac:dyDescent="0.3">
      <c r="A2568" t="str">
        <f>"10/04/2022 19:32:26.744"</f>
        <v>10/04/2022 19:32:26.744</v>
      </c>
      <c r="C2568" t="str">
        <f t="shared" si="913"/>
        <v>FFDDD3C0</v>
      </c>
      <c r="D2568" t="s">
        <v>134</v>
      </c>
      <c r="E2568">
        <v>15</v>
      </c>
      <c r="J2568" t="s">
        <v>135</v>
      </c>
      <c r="K2568">
        <v>0</v>
      </c>
      <c r="L2568">
        <v>3</v>
      </c>
      <c r="M2568">
        <v>0</v>
      </c>
      <c r="N2568">
        <v>2</v>
      </c>
      <c r="O2568">
        <v>0</v>
      </c>
      <c r="P2568">
        <v>1</v>
      </c>
      <c r="Q2568">
        <v>0</v>
      </c>
      <c r="S2568" t="str">
        <f t="shared" si="927"/>
        <v>19:32:26.000</v>
      </c>
      <c r="T2568" t="str">
        <f t="shared" si="927"/>
        <v>19:32:26.000</v>
      </c>
      <c r="U2568" t="str">
        <f t="shared" si="925"/>
        <v>AC3944</v>
      </c>
      <c r="V2568">
        <v>0</v>
      </c>
      <c r="W2568">
        <v>0</v>
      </c>
      <c r="X2568">
        <v>2</v>
      </c>
      <c r="Y2568">
        <v>0</v>
      </c>
      <c r="AA2568">
        <v>1</v>
      </c>
      <c r="AB2568">
        <v>8</v>
      </c>
      <c r="AC2568">
        <v>3</v>
      </c>
      <c r="AD2568">
        <v>0</v>
      </c>
      <c r="AE2568">
        <v>9</v>
      </c>
      <c r="AF2568" t="s">
        <v>138</v>
      </c>
      <c r="AG2568">
        <v>0</v>
      </c>
      <c r="AH2568">
        <v>3</v>
      </c>
      <c r="AI2568">
        <v>1</v>
      </c>
      <c r="AJ2568">
        <v>0</v>
      </c>
      <c r="AK2568" t="s">
        <v>878</v>
      </c>
      <c r="AL2568">
        <v>32.750608999999997</v>
      </c>
      <c r="AM2568" t="s">
        <v>879</v>
      </c>
      <c r="AN2568">
        <v>-116.776385</v>
      </c>
      <c r="AO2568">
        <v>25</v>
      </c>
      <c r="AP2568">
        <v>3300</v>
      </c>
      <c r="AQ2568" t="s">
        <v>129</v>
      </c>
      <c r="AR2568">
        <v>111</v>
      </c>
      <c r="AS2568">
        <v>-81</v>
      </c>
      <c r="AT2568">
        <v>320</v>
      </c>
      <c r="BB2568">
        <v>1200</v>
      </c>
      <c r="BC2568">
        <v>1</v>
      </c>
      <c r="BD2568" t="str">
        <f t="shared" si="926"/>
        <v xml:space="preserve">N887QR  </v>
      </c>
      <c r="BE2568">
        <v>1</v>
      </c>
      <c r="BJ2568">
        <v>2950</v>
      </c>
      <c r="BK2568">
        <v>-350</v>
      </c>
      <c r="BL2568" t="s">
        <v>163</v>
      </c>
      <c r="BM2568">
        <v>1</v>
      </c>
      <c r="BN2568">
        <v>1</v>
      </c>
      <c r="BO2568">
        <v>1</v>
      </c>
      <c r="BP2568">
        <v>0</v>
      </c>
      <c r="BS2568">
        <v>0</v>
      </c>
      <c r="BT2568">
        <v>0</v>
      </c>
      <c r="BU2568">
        <v>0</v>
      </c>
      <c r="CE2568" t="str">
        <f t="shared" si="928"/>
        <v>19:32:26.445</v>
      </c>
      <c r="CF2568">
        <v>445041058</v>
      </c>
      <c r="CS2568">
        <v>0</v>
      </c>
      <c r="CT2568">
        <v>2</v>
      </c>
      <c r="CU2568">
        <v>0</v>
      </c>
      <c r="CV2568">
        <v>2</v>
      </c>
      <c r="CW2568">
        <v>0</v>
      </c>
      <c r="CX2568">
        <v>5</v>
      </c>
      <c r="CY2568">
        <v>7</v>
      </c>
      <c r="CZ2568" t="s">
        <v>131</v>
      </c>
      <c r="DA2568">
        <v>300</v>
      </c>
      <c r="DB2568">
        <v>0</v>
      </c>
      <c r="DC2568" t="s">
        <v>176</v>
      </c>
      <c r="DD2568" t="s">
        <v>177</v>
      </c>
      <c r="DG2568">
        <v>5415884</v>
      </c>
      <c r="DI2568">
        <v>1</v>
      </c>
      <c r="DJ2568">
        <v>0</v>
      </c>
      <c r="DK2568">
        <v>1</v>
      </c>
      <c r="DL2568">
        <v>0</v>
      </c>
      <c r="DM2568">
        <v>0</v>
      </c>
      <c r="DN2568">
        <v>1</v>
      </c>
      <c r="DO2568">
        <v>0</v>
      </c>
      <c r="DP2568">
        <v>0</v>
      </c>
      <c r="DQ2568">
        <v>0</v>
      </c>
      <c r="DR2568">
        <v>0</v>
      </c>
      <c r="DS2568">
        <v>0</v>
      </c>
    </row>
    <row r="2569" spans="1:123" x14ac:dyDescent="0.3">
      <c r="A2569" t="str">
        <f>"10/04/2022 19:32:26.744"</f>
        <v>10/04/2022 19:32:26.744</v>
      </c>
      <c r="C2569" t="str">
        <f t="shared" si="913"/>
        <v>FFDDD3C0</v>
      </c>
      <c r="D2569" t="s">
        <v>123</v>
      </c>
      <c r="E2569">
        <v>7</v>
      </c>
      <c r="F2569">
        <v>2007</v>
      </c>
      <c r="G2569" t="s">
        <v>124</v>
      </c>
      <c r="J2569" t="s">
        <v>125</v>
      </c>
      <c r="K2569">
        <v>0</v>
      </c>
      <c r="L2569">
        <v>3</v>
      </c>
      <c r="M2569">
        <v>0</v>
      </c>
      <c r="N2569">
        <v>2</v>
      </c>
      <c r="O2569">
        <v>0</v>
      </c>
      <c r="P2569">
        <v>1</v>
      </c>
      <c r="Q2569">
        <v>0</v>
      </c>
      <c r="S2569" t="str">
        <f t="shared" si="927"/>
        <v>19:32:26.000</v>
      </c>
      <c r="T2569" t="str">
        <f t="shared" si="927"/>
        <v>19:32:26.000</v>
      </c>
      <c r="U2569" t="str">
        <f t="shared" si="925"/>
        <v>AC3944</v>
      </c>
      <c r="V2569">
        <v>0</v>
      </c>
      <c r="W2569">
        <v>0</v>
      </c>
      <c r="X2569">
        <v>2</v>
      </c>
      <c r="Y2569">
        <v>0</v>
      </c>
      <c r="AA2569">
        <v>1</v>
      </c>
      <c r="AB2569">
        <v>8</v>
      </c>
      <c r="AC2569">
        <v>3</v>
      </c>
      <c r="AD2569">
        <v>0</v>
      </c>
      <c r="AE2569">
        <v>9</v>
      </c>
      <c r="AF2569" t="s">
        <v>138</v>
      </c>
      <c r="AG2569">
        <v>0</v>
      </c>
      <c r="AH2569">
        <v>3</v>
      </c>
      <c r="AI2569">
        <v>1</v>
      </c>
      <c r="AJ2569">
        <v>0</v>
      </c>
      <c r="AK2569" t="s">
        <v>878</v>
      </c>
      <c r="AL2569">
        <v>32.750608999999997</v>
      </c>
      <c r="AM2569" t="s">
        <v>879</v>
      </c>
      <c r="AN2569">
        <v>-116.776385</v>
      </c>
      <c r="AO2569">
        <v>25</v>
      </c>
      <c r="AP2569">
        <v>3300</v>
      </c>
      <c r="AQ2569" t="s">
        <v>129</v>
      </c>
      <c r="AR2569">
        <v>111</v>
      </c>
      <c r="AS2569">
        <v>-81</v>
      </c>
      <c r="AT2569">
        <v>320</v>
      </c>
      <c r="BB2569">
        <v>1200</v>
      </c>
      <c r="BC2569">
        <v>1</v>
      </c>
      <c r="BD2569" t="str">
        <f t="shared" si="926"/>
        <v xml:space="preserve">N887QR  </v>
      </c>
      <c r="BE2569">
        <v>1</v>
      </c>
      <c r="BJ2569">
        <v>2950</v>
      </c>
      <c r="BK2569">
        <v>-350</v>
      </c>
      <c r="BL2569" t="s">
        <v>163</v>
      </c>
      <c r="BM2569">
        <v>1</v>
      </c>
      <c r="BN2569">
        <v>1</v>
      </c>
      <c r="BO2569">
        <v>1</v>
      </c>
      <c r="BP2569">
        <v>0</v>
      </c>
      <c r="BS2569">
        <v>0</v>
      </c>
      <c r="BT2569">
        <v>0</v>
      </c>
      <c r="BU2569">
        <v>0</v>
      </c>
      <c r="CE2569" t="str">
        <f t="shared" si="928"/>
        <v>19:32:26.445</v>
      </c>
      <c r="CF2569">
        <v>445041058</v>
      </c>
      <c r="CS2569">
        <v>0</v>
      </c>
      <c r="CT2569">
        <v>2</v>
      </c>
      <c r="CU2569">
        <v>0</v>
      </c>
      <c r="CV2569">
        <v>2</v>
      </c>
      <c r="CW2569">
        <v>0</v>
      </c>
      <c r="CX2569">
        <v>5</v>
      </c>
      <c r="CY2569">
        <v>7</v>
      </c>
      <c r="CZ2569" t="s">
        <v>131</v>
      </c>
      <c r="DA2569">
        <v>300</v>
      </c>
      <c r="DB2569">
        <v>0</v>
      </c>
      <c r="DC2569" t="s">
        <v>176</v>
      </c>
      <c r="DD2569" t="s">
        <v>177</v>
      </c>
      <c r="DG2569">
        <v>5415884</v>
      </c>
      <c r="DI2569">
        <v>1</v>
      </c>
      <c r="DJ2569">
        <v>0</v>
      </c>
      <c r="DK2569">
        <v>1</v>
      </c>
      <c r="DL2569">
        <v>0</v>
      </c>
      <c r="DM2569">
        <v>0</v>
      </c>
      <c r="DN2569">
        <v>1</v>
      </c>
      <c r="DO2569">
        <v>0</v>
      </c>
      <c r="DP2569">
        <v>0</v>
      </c>
      <c r="DQ2569">
        <v>0</v>
      </c>
      <c r="DR2569">
        <v>0</v>
      </c>
      <c r="DS2569">
        <v>0</v>
      </c>
    </row>
    <row r="2570" spans="1:123" x14ac:dyDescent="0.3">
      <c r="A2570" t="str">
        <f t="shared" ref="A2570:A2576" si="929">"10/04/2022 19:32:27.556"</f>
        <v>10/04/2022 19:32:27.556</v>
      </c>
      <c r="C2570" t="str">
        <f t="shared" si="913"/>
        <v>FFDDD3C0</v>
      </c>
      <c r="D2570" t="s">
        <v>134</v>
      </c>
      <c r="E2570">
        <v>15</v>
      </c>
      <c r="J2570" t="s">
        <v>135</v>
      </c>
      <c r="K2570">
        <v>0</v>
      </c>
      <c r="L2570">
        <v>3</v>
      </c>
      <c r="M2570">
        <v>0</v>
      </c>
      <c r="N2570">
        <v>2</v>
      </c>
      <c r="O2570">
        <v>0</v>
      </c>
      <c r="P2570">
        <v>1</v>
      </c>
      <c r="Q2570">
        <v>0</v>
      </c>
      <c r="S2570" t="str">
        <f t="shared" ref="S2570:T2576" si="930">"19:32:27.000"</f>
        <v>19:32:27.000</v>
      </c>
      <c r="T2570" t="str">
        <f t="shared" si="930"/>
        <v>19:32:27.000</v>
      </c>
      <c r="U2570" t="str">
        <f t="shared" si="925"/>
        <v>AC3944</v>
      </c>
      <c r="V2570">
        <v>0</v>
      </c>
      <c r="W2570">
        <v>0</v>
      </c>
      <c r="X2570">
        <v>2</v>
      </c>
      <c r="Y2570">
        <v>0</v>
      </c>
      <c r="AA2570">
        <v>1</v>
      </c>
      <c r="AB2570">
        <v>8</v>
      </c>
      <c r="AC2570">
        <v>3</v>
      </c>
      <c r="AD2570">
        <v>0</v>
      </c>
      <c r="AE2570">
        <v>9</v>
      </c>
      <c r="AF2570" t="s">
        <v>138</v>
      </c>
      <c r="AG2570">
        <v>0</v>
      </c>
      <c r="AH2570">
        <v>3</v>
      </c>
      <c r="AI2570">
        <v>1</v>
      </c>
      <c r="AJ2570">
        <v>0</v>
      </c>
      <c r="AK2570" t="s">
        <v>880</v>
      </c>
      <c r="AL2570">
        <v>32.750222999999998</v>
      </c>
      <c r="AM2570" t="s">
        <v>881</v>
      </c>
      <c r="AN2570">
        <v>-116.775784</v>
      </c>
      <c r="AO2570">
        <v>25</v>
      </c>
      <c r="AP2570">
        <v>3300</v>
      </c>
      <c r="AQ2570" t="s">
        <v>129</v>
      </c>
      <c r="AR2570">
        <v>110</v>
      </c>
      <c r="AS2570">
        <v>-82</v>
      </c>
      <c r="AT2570">
        <v>320</v>
      </c>
      <c r="BB2570">
        <v>1200</v>
      </c>
      <c r="BC2570">
        <v>1</v>
      </c>
      <c r="BD2570" t="str">
        <f t="shared" si="926"/>
        <v xml:space="preserve">N887QR  </v>
      </c>
      <c r="BE2570">
        <v>1</v>
      </c>
      <c r="BJ2570">
        <v>2950</v>
      </c>
      <c r="BK2570">
        <v>-350</v>
      </c>
      <c r="BL2570" t="s">
        <v>163</v>
      </c>
      <c r="BM2570">
        <v>1</v>
      </c>
      <c r="BN2570">
        <v>1</v>
      </c>
      <c r="BO2570">
        <v>1</v>
      </c>
      <c r="BP2570">
        <v>0</v>
      </c>
      <c r="BS2570">
        <v>0</v>
      </c>
      <c r="BT2570">
        <v>0</v>
      </c>
      <c r="BU2570">
        <v>0</v>
      </c>
      <c r="CE2570" t="str">
        <f t="shared" ref="CE2570:CE2576" si="931">"19:32:27.285"</f>
        <v>19:32:27.285</v>
      </c>
      <c r="CF2570">
        <v>284793941</v>
      </c>
      <c r="CS2570">
        <v>0</v>
      </c>
      <c r="CT2570">
        <v>2</v>
      </c>
      <c r="CU2570">
        <v>0</v>
      </c>
      <c r="CV2570">
        <v>2</v>
      </c>
      <c r="CW2570">
        <v>0</v>
      </c>
      <c r="CX2570">
        <v>5</v>
      </c>
      <c r="CY2570">
        <v>7</v>
      </c>
      <c r="CZ2570" t="s">
        <v>131</v>
      </c>
      <c r="DA2570">
        <v>300</v>
      </c>
      <c r="DB2570">
        <v>0</v>
      </c>
      <c r="DC2570" t="s">
        <v>176</v>
      </c>
      <c r="DD2570" t="s">
        <v>177</v>
      </c>
      <c r="DG2570">
        <v>5416015</v>
      </c>
      <c r="DI2570">
        <v>1</v>
      </c>
      <c r="DJ2570">
        <v>0</v>
      </c>
      <c r="DK2570">
        <v>0</v>
      </c>
      <c r="DL2570">
        <v>0</v>
      </c>
      <c r="DM2570">
        <v>0</v>
      </c>
      <c r="DN2570">
        <v>1</v>
      </c>
      <c r="DO2570">
        <v>0</v>
      </c>
      <c r="DP2570">
        <v>0</v>
      </c>
      <c r="DQ2570">
        <v>0</v>
      </c>
      <c r="DR2570">
        <v>0</v>
      </c>
      <c r="DS2570">
        <v>0</v>
      </c>
    </row>
    <row r="2571" spans="1:123" x14ac:dyDescent="0.3">
      <c r="A2571" t="str">
        <f t="shared" si="929"/>
        <v>10/04/2022 19:32:27.556</v>
      </c>
      <c r="C2571" t="str">
        <f t="shared" si="913"/>
        <v>FFDDD3C0</v>
      </c>
      <c r="D2571" t="s">
        <v>143</v>
      </c>
      <c r="E2571">
        <v>20</v>
      </c>
      <c r="F2571">
        <v>1020</v>
      </c>
      <c r="G2571" t="s">
        <v>144</v>
      </c>
      <c r="J2571" t="s">
        <v>145</v>
      </c>
      <c r="K2571">
        <v>0</v>
      </c>
      <c r="L2571">
        <v>3</v>
      </c>
      <c r="M2571">
        <v>0</v>
      </c>
      <c r="N2571">
        <v>2</v>
      </c>
      <c r="O2571">
        <v>0</v>
      </c>
      <c r="P2571">
        <v>1</v>
      </c>
      <c r="Q2571">
        <v>0</v>
      </c>
      <c r="S2571" t="str">
        <f t="shared" si="930"/>
        <v>19:32:27.000</v>
      </c>
      <c r="T2571" t="str">
        <f t="shared" si="930"/>
        <v>19:32:27.000</v>
      </c>
      <c r="U2571" t="str">
        <f t="shared" si="925"/>
        <v>AC3944</v>
      </c>
      <c r="V2571">
        <v>0</v>
      </c>
      <c r="W2571">
        <v>0</v>
      </c>
      <c r="X2571">
        <v>2</v>
      </c>
      <c r="Y2571">
        <v>0</v>
      </c>
      <c r="AA2571">
        <v>1</v>
      </c>
      <c r="AB2571">
        <v>8</v>
      </c>
      <c r="AC2571">
        <v>3</v>
      </c>
      <c r="AD2571">
        <v>0</v>
      </c>
      <c r="AE2571">
        <v>9</v>
      </c>
      <c r="AF2571" t="s">
        <v>138</v>
      </c>
      <c r="AG2571">
        <v>0</v>
      </c>
      <c r="AH2571">
        <v>3</v>
      </c>
      <c r="AI2571">
        <v>1</v>
      </c>
      <c r="AJ2571">
        <v>0</v>
      </c>
      <c r="AK2571" t="s">
        <v>880</v>
      </c>
      <c r="AL2571">
        <v>32.750222999999998</v>
      </c>
      <c r="AM2571" t="s">
        <v>881</v>
      </c>
      <c r="AN2571">
        <v>-116.775784</v>
      </c>
      <c r="AO2571">
        <v>25</v>
      </c>
      <c r="AP2571">
        <v>3300</v>
      </c>
      <c r="AQ2571" t="s">
        <v>129</v>
      </c>
      <c r="AR2571">
        <v>110</v>
      </c>
      <c r="AS2571">
        <v>-82</v>
      </c>
      <c r="AT2571">
        <v>320</v>
      </c>
      <c r="BB2571">
        <v>1200</v>
      </c>
      <c r="BC2571">
        <v>1</v>
      </c>
      <c r="BD2571" t="str">
        <f t="shared" si="926"/>
        <v xml:space="preserve">N887QR  </v>
      </c>
      <c r="BE2571">
        <v>1</v>
      </c>
      <c r="BJ2571">
        <v>2950</v>
      </c>
      <c r="BK2571">
        <v>-350</v>
      </c>
      <c r="BL2571" t="s">
        <v>163</v>
      </c>
      <c r="BM2571">
        <v>1</v>
      </c>
      <c r="BN2571">
        <v>1</v>
      </c>
      <c r="BO2571">
        <v>1</v>
      </c>
      <c r="BP2571">
        <v>0</v>
      </c>
      <c r="BS2571">
        <v>0</v>
      </c>
      <c r="BT2571">
        <v>0</v>
      </c>
      <c r="BU2571">
        <v>0</v>
      </c>
      <c r="CE2571" t="str">
        <f t="shared" si="931"/>
        <v>19:32:27.285</v>
      </c>
      <c r="CF2571">
        <v>284793941</v>
      </c>
      <c r="CS2571">
        <v>0</v>
      </c>
      <c r="CT2571">
        <v>2</v>
      </c>
      <c r="CU2571">
        <v>0</v>
      </c>
      <c r="CV2571">
        <v>2</v>
      </c>
      <c r="CW2571">
        <v>0</v>
      </c>
      <c r="CX2571">
        <v>5</v>
      </c>
      <c r="CY2571">
        <v>7</v>
      </c>
      <c r="CZ2571" t="s">
        <v>131</v>
      </c>
      <c r="DA2571">
        <v>300</v>
      </c>
      <c r="DB2571">
        <v>0</v>
      </c>
      <c r="DC2571" t="s">
        <v>176</v>
      </c>
      <c r="DD2571" t="s">
        <v>177</v>
      </c>
      <c r="DG2571">
        <v>5416015</v>
      </c>
      <c r="DI2571">
        <v>1</v>
      </c>
      <c r="DJ2571">
        <v>0</v>
      </c>
      <c r="DK2571">
        <v>1</v>
      </c>
      <c r="DL2571">
        <v>0</v>
      </c>
      <c r="DM2571">
        <v>0</v>
      </c>
      <c r="DN2571">
        <v>1</v>
      </c>
      <c r="DO2571">
        <v>0</v>
      </c>
      <c r="DP2571">
        <v>0</v>
      </c>
      <c r="DQ2571">
        <v>0</v>
      </c>
      <c r="DR2571">
        <v>0</v>
      </c>
      <c r="DS2571">
        <v>0</v>
      </c>
    </row>
    <row r="2572" spans="1:123" x14ac:dyDescent="0.3">
      <c r="A2572" t="str">
        <f t="shared" si="929"/>
        <v>10/04/2022 19:32:27.556</v>
      </c>
      <c r="C2572" t="str">
        <f t="shared" si="913"/>
        <v>FFDDD3C0</v>
      </c>
      <c r="D2572" t="s">
        <v>147</v>
      </c>
      <c r="E2572">
        <v>3</v>
      </c>
      <c r="H2572">
        <v>166</v>
      </c>
      <c r="I2572" t="s">
        <v>144</v>
      </c>
      <c r="J2572" t="s">
        <v>148</v>
      </c>
      <c r="K2572">
        <v>0</v>
      </c>
      <c r="L2572">
        <v>3</v>
      </c>
      <c r="M2572">
        <v>0</v>
      </c>
      <c r="N2572">
        <v>2</v>
      </c>
      <c r="O2572">
        <v>0</v>
      </c>
      <c r="P2572">
        <v>1</v>
      </c>
      <c r="Q2572">
        <v>0</v>
      </c>
      <c r="S2572" t="str">
        <f t="shared" si="930"/>
        <v>19:32:27.000</v>
      </c>
      <c r="T2572" t="str">
        <f t="shared" si="930"/>
        <v>19:32:27.000</v>
      </c>
      <c r="U2572" t="str">
        <f t="shared" si="925"/>
        <v>AC3944</v>
      </c>
      <c r="V2572">
        <v>0</v>
      </c>
      <c r="W2572">
        <v>0</v>
      </c>
      <c r="X2572">
        <v>2</v>
      </c>
      <c r="Y2572">
        <v>0</v>
      </c>
      <c r="AA2572">
        <v>1</v>
      </c>
      <c r="AB2572">
        <v>8</v>
      </c>
      <c r="AC2572">
        <v>3</v>
      </c>
      <c r="AD2572">
        <v>0</v>
      </c>
      <c r="AE2572">
        <v>9</v>
      </c>
      <c r="AF2572" t="s">
        <v>138</v>
      </c>
      <c r="AG2572">
        <v>0</v>
      </c>
      <c r="AH2572">
        <v>3</v>
      </c>
      <c r="AI2572">
        <v>1</v>
      </c>
      <c r="AJ2572">
        <v>0</v>
      </c>
      <c r="AK2572" t="s">
        <v>880</v>
      </c>
      <c r="AL2572">
        <v>32.750222999999998</v>
      </c>
      <c r="AM2572" t="s">
        <v>881</v>
      </c>
      <c r="AN2572">
        <v>-116.775784</v>
      </c>
      <c r="AO2572">
        <v>25</v>
      </c>
      <c r="AP2572">
        <v>3300</v>
      </c>
      <c r="AQ2572" t="s">
        <v>129</v>
      </c>
      <c r="AR2572">
        <v>110</v>
      </c>
      <c r="AS2572">
        <v>-82</v>
      </c>
      <c r="AT2572">
        <v>320</v>
      </c>
      <c r="BB2572">
        <v>1200</v>
      </c>
      <c r="BC2572">
        <v>1</v>
      </c>
      <c r="BD2572" t="str">
        <f t="shared" si="926"/>
        <v xml:space="preserve">N887QR  </v>
      </c>
      <c r="BE2572">
        <v>1</v>
      </c>
      <c r="BJ2572">
        <v>2950</v>
      </c>
      <c r="BK2572">
        <v>-350</v>
      </c>
      <c r="BL2572" t="s">
        <v>163</v>
      </c>
      <c r="BM2572">
        <v>1</v>
      </c>
      <c r="BN2572">
        <v>1</v>
      </c>
      <c r="BO2572">
        <v>1</v>
      </c>
      <c r="BP2572">
        <v>0</v>
      </c>
      <c r="BS2572">
        <v>0</v>
      </c>
      <c r="BT2572">
        <v>0</v>
      </c>
      <c r="BU2572">
        <v>0</v>
      </c>
      <c r="CE2572" t="str">
        <f t="shared" si="931"/>
        <v>19:32:27.285</v>
      </c>
      <c r="CF2572">
        <v>284793941</v>
      </c>
      <c r="CS2572">
        <v>0</v>
      </c>
      <c r="CT2572">
        <v>2</v>
      </c>
      <c r="CU2572">
        <v>0</v>
      </c>
      <c r="CV2572">
        <v>2</v>
      </c>
      <c r="CW2572">
        <v>0</v>
      </c>
      <c r="CX2572">
        <v>5</v>
      </c>
      <c r="CY2572">
        <v>7</v>
      </c>
      <c r="CZ2572" t="s">
        <v>131</v>
      </c>
      <c r="DA2572">
        <v>300</v>
      </c>
      <c r="DB2572">
        <v>0</v>
      </c>
      <c r="DC2572" t="s">
        <v>176</v>
      </c>
      <c r="DD2572" t="s">
        <v>177</v>
      </c>
      <c r="DG2572">
        <v>5416015</v>
      </c>
      <c r="DI2572">
        <v>1</v>
      </c>
      <c r="DJ2572">
        <v>0</v>
      </c>
      <c r="DK2572">
        <v>1</v>
      </c>
      <c r="DL2572">
        <v>0</v>
      </c>
      <c r="DM2572">
        <v>0</v>
      </c>
      <c r="DN2572">
        <v>1</v>
      </c>
      <c r="DO2572">
        <v>0</v>
      </c>
      <c r="DP2572">
        <v>0</v>
      </c>
      <c r="DQ2572">
        <v>0</v>
      </c>
      <c r="DR2572">
        <v>0</v>
      </c>
      <c r="DS2572">
        <v>0</v>
      </c>
    </row>
    <row r="2573" spans="1:123" x14ac:dyDescent="0.3">
      <c r="A2573" t="str">
        <f t="shared" si="929"/>
        <v>10/04/2022 19:32:27.556</v>
      </c>
      <c r="C2573" t="str">
        <f t="shared" si="913"/>
        <v>FFDDD3C0</v>
      </c>
      <c r="D2573" t="s">
        <v>141</v>
      </c>
      <c r="E2573">
        <v>4</v>
      </c>
      <c r="H2573">
        <v>4</v>
      </c>
      <c r="I2573" t="s">
        <v>142</v>
      </c>
      <c r="J2573" t="s">
        <v>138</v>
      </c>
      <c r="K2573">
        <v>0</v>
      </c>
      <c r="L2573">
        <v>3</v>
      </c>
      <c r="M2573">
        <v>0</v>
      </c>
      <c r="N2573">
        <v>2</v>
      </c>
      <c r="O2573">
        <v>0</v>
      </c>
      <c r="P2573">
        <v>1</v>
      </c>
      <c r="Q2573">
        <v>0</v>
      </c>
      <c r="S2573" t="str">
        <f t="shared" si="930"/>
        <v>19:32:27.000</v>
      </c>
      <c r="T2573" t="str">
        <f t="shared" si="930"/>
        <v>19:32:27.000</v>
      </c>
      <c r="U2573" t="str">
        <f t="shared" si="925"/>
        <v>AC3944</v>
      </c>
      <c r="V2573">
        <v>0</v>
      </c>
      <c r="W2573">
        <v>0</v>
      </c>
      <c r="X2573">
        <v>2</v>
      </c>
      <c r="Y2573">
        <v>0</v>
      </c>
      <c r="AA2573">
        <v>1</v>
      </c>
      <c r="AB2573">
        <v>8</v>
      </c>
      <c r="AC2573">
        <v>3</v>
      </c>
      <c r="AD2573">
        <v>0</v>
      </c>
      <c r="AE2573">
        <v>9</v>
      </c>
      <c r="AF2573" t="s">
        <v>138</v>
      </c>
      <c r="AG2573">
        <v>0</v>
      </c>
      <c r="AH2573">
        <v>3</v>
      </c>
      <c r="AI2573">
        <v>1</v>
      </c>
      <c r="AJ2573">
        <v>0</v>
      </c>
      <c r="AK2573" t="s">
        <v>880</v>
      </c>
      <c r="AL2573">
        <v>32.750222999999998</v>
      </c>
      <c r="AM2573" t="s">
        <v>881</v>
      </c>
      <c r="AN2573">
        <v>-116.775784</v>
      </c>
      <c r="AO2573">
        <v>25</v>
      </c>
      <c r="AP2573">
        <v>3300</v>
      </c>
      <c r="AQ2573" t="s">
        <v>129</v>
      </c>
      <c r="AR2573">
        <v>110</v>
      </c>
      <c r="AS2573">
        <v>-82</v>
      </c>
      <c r="AT2573">
        <v>320</v>
      </c>
      <c r="BB2573">
        <v>1200</v>
      </c>
      <c r="BC2573">
        <v>1</v>
      </c>
      <c r="BD2573" t="str">
        <f t="shared" si="926"/>
        <v xml:space="preserve">N887QR  </v>
      </c>
      <c r="BE2573">
        <v>1</v>
      </c>
      <c r="BJ2573">
        <v>2950</v>
      </c>
      <c r="BK2573">
        <v>-350</v>
      </c>
      <c r="BL2573" t="s">
        <v>163</v>
      </c>
      <c r="BM2573">
        <v>1</v>
      </c>
      <c r="BN2573">
        <v>1</v>
      </c>
      <c r="BO2573">
        <v>1</v>
      </c>
      <c r="BP2573">
        <v>0</v>
      </c>
      <c r="BS2573">
        <v>0</v>
      </c>
      <c r="BT2573">
        <v>0</v>
      </c>
      <c r="BU2573">
        <v>0</v>
      </c>
      <c r="CE2573" t="str">
        <f t="shared" si="931"/>
        <v>19:32:27.285</v>
      </c>
      <c r="CF2573">
        <v>284793941</v>
      </c>
      <c r="CS2573">
        <v>0</v>
      </c>
      <c r="CT2573">
        <v>2</v>
      </c>
      <c r="CU2573">
        <v>0</v>
      </c>
      <c r="CV2573">
        <v>2</v>
      </c>
      <c r="CW2573">
        <v>0</v>
      </c>
      <c r="CX2573">
        <v>5</v>
      </c>
      <c r="CY2573">
        <v>7</v>
      </c>
      <c r="CZ2573" t="s">
        <v>131</v>
      </c>
      <c r="DA2573">
        <v>300</v>
      </c>
      <c r="DB2573">
        <v>0</v>
      </c>
      <c r="DC2573" t="s">
        <v>176</v>
      </c>
      <c r="DD2573" t="s">
        <v>177</v>
      </c>
      <c r="DG2573">
        <v>5416015</v>
      </c>
      <c r="DI2573">
        <v>1</v>
      </c>
      <c r="DJ2573">
        <v>0</v>
      </c>
      <c r="DK2573">
        <v>1</v>
      </c>
      <c r="DL2573">
        <v>0</v>
      </c>
      <c r="DM2573">
        <v>0</v>
      </c>
      <c r="DN2573">
        <v>1</v>
      </c>
      <c r="DO2573">
        <v>0</v>
      </c>
      <c r="DP2573">
        <v>0</v>
      </c>
      <c r="DQ2573">
        <v>0</v>
      </c>
      <c r="DR2573">
        <v>0</v>
      </c>
      <c r="DS2573">
        <v>0</v>
      </c>
    </row>
    <row r="2574" spans="1:123" x14ac:dyDescent="0.3">
      <c r="A2574" t="str">
        <f t="shared" si="929"/>
        <v>10/04/2022 19:32:27.556</v>
      </c>
      <c r="C2574" t="str">
        <f t="shared" si="913"/>
        <v>FFDDD3C0</v>
      </c>
      <c r="D2574" t="s">
        <v>123</v>
      </c>
      <c r="E2574">
        <v>7</v>
      </c>
      <c r="F2574">
        <v>2007</v>
      </c>
      <c r="G2574" t="s">
        <v>124</v>
      </c>
      <c r="J2574" t="s">
        <v>125</v>
      </c>
      <c r="K2574">
        <v>0</v>
      </c>
      <c r="L2574">
        <v>3</v>
      </c>
      <c r="M2574">
        <v>0</v>
      </c>
      <c r="N2574">
        <v>2</v>
      </c>
      <c r="O2574">
        <v>0</v>
      </c>
      <c r="P2574">
        <v>1</v>
      </c>
      <c r="Q2574">
        <v>0</v>
      </c>
      <c r="S2574" t="str">
        <f t="shared" si="930"/>
        <v>19:32:27.000</v>
      </c>
      <c r="T2574" t="str">
        <f t="shared" si="930"/>
        <v>19:32:27.000</v>
      </c>
      <c r="U2574" t="str">
        <f t="shared" si="925"/>
        <v>AC3944</v>
      </c>
      <c r="V2574">
        <v>0</v>
      </c>
      <c r="W2574">
        <v>0</v>
      </c>
      <c r="X2574">
        <v>2</v>
      </c>
      <c r="Y2574">
        <v>0</v>
      </c>
      <c r="AA2574">
        <v>1</v>
      </c>
      <c r="AB2574">
        <v>8</v>
      </c>
      <c r="AC2574">
        <v>3</v>
      </c>
      <c r="AD2574">
        <v>0</v>
      </c>
      <c r="AE2574">
        <v>9</v>
      </c>
      <c r="AF2574" t="s">
        <v>138</v>
      </c>
      <c r="AG2574">
        <v>0</v>
      </c>
      <c r="AH2574">
        <v>3</v>
      </c>
      <c r="AI2574">
        <v>1</v>
      </c>
      <c r="AJ2574">
        <v>0</v>
      </c>
      <c r="AK2574" t="s">
        <v>880</v>
      </c>
      <c r="AL2574">
        <v>32.750222999999998</v>
      </c>
      <c r="AM2574" t="s">
        <v>881</v>
      </c>
      <c r="AN2574">
        <v>-116.775784</v>
      </c>
      <c r="AO2574">
        <v>25</v>
      </c>
      <c r="AP2574">
        <v>3300</v>
      </c>
      <c r="AQ2574" t="s">
        <v>129</v>
      </c>
      <c r="AR2574">
        <v>110</v>
      </c>
      <c r="AS2574">
        <v>-82</v>
      </c>
      <c r="AT2574">
        <v>320</v>
      </c>
      <c r="BB2574">
        <v>1200</v>
      </c>
      <c r="BC2574">
        <v>1</v>
      </c>
      <c r="BD2574" t="str">
        <f t="shared" si="926"/>
        <v xml:space="preserve">N887QR  </v>
      </c>
      <c r="BE2574">
        <v>1</v>
      </c>
      <c r="BJ2574">
        <v>2950</v>
      </c>
      <c r="BK2574">
        <v>-350</v>
      </c>
      <c r="BL2574" t="s">
        <v>163</v>
      </c>
      <c r="BM2574">
        <v>1</v>
      </c>
      <c r="BN2574">
        <v>1</v>
      </c>
      <c r="BO2574">
        <v>1</v>
      </c>
      <c r="BP2574">
        <v>0</v>
      </c>
      <c r="BS2574">
        <v>0</v>
      </c>
      <c r="BT2574">
        <v>0</v>
      </c>
      <c r="BU2574">
        <v>0</v>
      </c>
      <c r="CE2574" t="str">
        <f t="shared" si="931"/>
        <v>19:32:27.285</v>
      </c>
      <c r="CF2574">
        <v>284793941</v>
      </c>
      <c r="CS2574">
        <v>0</v>
      </c>
      <c r="CT2574">
        <v>2</v>
      </c>
      <c r="CU2574">
        <v>0</v>
      </c>
      <c r="CV2574">
        <v>2</v>
      </c>
      <c r="CW2574">
        <v>0</v>
      </c>
      <c r="CX2574">
        <v>5</v>
      </c>
      <c r="CY2574">
        <v>7</v>
      </c>
      <c r="CZ2574" t="s">
        <v>131</v>
      </c>
      <c r="DA2574">
        <v>300</v>
      </c>
      <c r="DB2574">
        <v>0</v>
      </c>
      <c r="DC2574" t="s">
        <v>176</v>
      </c>
      <c r="DD2574" t="s">
        <v>177</v>
      </c>
      <c r="DG2574">
        <v>5416015</v>
      </c>
      <c r="DI2574">
        <v>1</v>
      </c>
      <c r="DJ2574">
        <v>0</v>
      </c>
      <c r="DK2574">
        <v>1</v>
      </c>
      <c r="DL2574">
        <v>0</v>
      </c>
      <c r="DM2574">
        <v>0</v>
      </c>
      <c r="DN2574">
        <v>1</v>
      </c>
      <c r="DO2574">
        <v>0</v>
      </c>
      <c r="DP2574">
        <v>0</v>
      </c>
      <c r="DQ2574">
        <v>0</v>
      </c>
      <c r="DR2574">
        <v>0</v>
      </c>
      <c r="DS2574">
        <v>0</v>
      </c>
    </row>
    <row r="2575" spans="1:123" x14ac:dyDescent="0.3">
      <c r="A2575" t="str">
        <f t="shared" si="929"/>
        <v>10/04/2022 19:32:27.556</v>
      </c>
      <c r="C2575" t="str">
        <f t="shared" si="913"/>
        <v>FFDDD3C0</v>
      </c>
      <c r="D2575" t="s">
        <v>136</v>
      </c>
      <c r="E2575">
        <v>8</v>
      </c>
      <c r="H2575">
        <v>225</v>
      </c>
      <c r="I2575" t="s">
        <v>137</v>
      </c>
      <c r="J2575" t="s">
        <v>138</v>
      </c>
      <c r="K2575">
        <v>0</v>
      </c>
      <c r="L2575">
        <v>3</v>
      </c>
      <c r="M2575">
        <v>0</v>
      </c>
      <c r="N2575">
        <v>2</v>
      </c>
      <c r="O2575">
        <v>0</v>
      </c>
      <c r="P2575">
        <v>1</v>
      </c>
      <c r="Q2575">
        <v>0</v>
      </c>
      <c r="S2575" t="str">
        <f t="shared" si="930"/>
        <v>19:32:27.000</v>
      </c>
      <c r="T2575" t="str">
        <f t="shared" si="930"/>
        <v>19:32:27.000</v>
      </c>
      <c r="U2575" t="str">
        <f t="shared" si="925"/>
        <v>AC3944</v>
      </c>
      <c r="V2575">
        <v>0</v>
      </c>
      <c r="W2575">
        <v>0</v>
      </c>
      <c r="X2575">
        <v>2</v>
      </c>
      <c r="Y2575">
        <v>0</v>
      </c>
      <c r="AA2575">
        <v>1</v>
      </c>
      <c r="AB2575">
        <v>8</v>
      </c>
      <c r="AC2575">
        <v>3</v>
      </c>
      <c r="AD2575">
        <v>0</v>
      </c>
      <c r="AE2575">
        <v>9</v>
      </c>
      <c r="AF2575" t="s">
        <v>138</v>
      </c>
      <c r="AG2575">
        <v>0</v>
      </c>
      <c r="AH2575">
        <v>3</v>
      </c>
      <c r="AI2575">
        <v>1</v>
      </c>
      <c r="AJ2575">
        <v>0</v>
      </c>
      <c r="AK2575" t="s">
        <v>880</v>
      </c>
      <c r="AL2575">
        <v>32.750222999999998</v>
      </c>
      <c r="AM2575" t="s">
        <v>881</v>
      </c>
      <c r="AN2575">
        <v>-116.775784</v>
      </c>
      <c r="AO2575">
        <v>25</v>
      </c>
      <c r="AP2575">
        <v>3300</v>
      </c>
      <c r="AQ2575" t="s">
        <v>129</v>
      </c>
      <c r="AR2575">
        <v>110</v>
      </c>
      <c r="AS2575">
        <v>-82</v>
      </c>
      <c r="AT2575">
        <v>320</v>
      </c>
      <c r="BB2575">
        <v>1200</v>
      </c>
      <c r="BC2575">
        <v>1</v>
      </c>
      <c r="BD2575" t="str">
        <f t="shared" si="926"/>
        <v xml:space="preserve">N887QR  </v>
      </c>
      <c r="BE2575">
        <v>1</v>
      </c>
      <c r="BJ2575">
        <v>2950</v>
      </c>
      <c r="BK2575">
        <v>-350</v>
      </c>
      <c r="BL2575" t="s">
        <v>163</v>
      </c>
      <c r="BM2575">
        <v>1</v>
      </c>
      <c r="BN2575">
        <v>1</v>
      </c>
      <c r="BO2575">
        <v>1</v>
      </c>
      <c r="BP2575">
        <v>0</v>
      </c>
      <c r="BS2575">
        <v>0</v>
      </c>
      <c r="BT2575">
        <v>0</v>
      </c>
      <c r="BU2575">
        <v>0</v>
      </c>
      <c r="CE2575" t="str">
        <f t="shared" si="931"/>
        <v>19:32:27.285</v>
      </c>
      <c r="CF2575">
        <v>284793941</v>
      </c>
      <c r="CS2575">
        <v>0</v>
      </c>
      <c r="CT2575">
        <v>2</v>
      </c>
      <c r="CU2575">
        <v>0</v>
      </c>
      <c r="CV2575">
        <v>2</v>
      </c>
      <c r="CW2575">
        <v>0</v>
      </c>
      <c r="CX2575">
        <v>5</v>
      </c>
      <c r="CY2575">
        <v>7</v>
      </c>
      <c r="CZ2575" t="s">
        <v>131</v>
      </c>
      <c r="DA2575">
        <v>300</v>
      </c>
      <c r="DB2575">
        <v>0</v>
      </c>
      <c r="DC2575" t="s">
        <v>176</v>
      </c>
      <c r="DD2575" t="s">
        <v>177</v>
      </c>
      <c r="DG2575">
        <v>5416015</v>
      </c>
      <c r="DI2575">
        <v>1</v>
      </c>
      <c r="DJ2575">
        <v>0</v>
      </c>
      <c r="DK2575">
        <v>1</v>
      </c>
      <c r="DL2575">
        <v>0</v>
      </c>
      <c r="DM2575">
        <v>0</v>
      </c>
      <c r="DN2575">
        <v>1</v>
      </c>
      <c r="DO2575">
        <v>0</v>
      </c>
      <c r="DP2575">
        <v>0</v>
      </c>
      <c r="DQ2575">
        <v>0</v>
      </c>
      <c r="DR2575">
        <v>0</v>
      </c>
      <c r="DS2575">
        <v>0</v>
      </c>
    </row>
    <row r="2576" spans="1:123" x14ac:dyDescent="0.3">
      <c r="A2576" t="str">
        <f t="shared" si="929"/>
        <v>10/04/2022 19:32:27.556</v>
      </c>
      <c r="C2576" t="str">
        <f t="shared" si="913"/>
        <v>FFDDD3C0</v>
      </c>
      <c r="D2576" t="s">
        <v>141</v>
      </c>
      <c r="E2576">
        <v>3</v>
      </c>
      <c r="H2576">
        <v>3</v>
      </c>
      <c r="I2576" t="s">
        <v>146</v>
      </c>
      <c r="J2576" t="s">
        <v>138</v>
      </c>
      <c r="K2576">
        <v>0</v>
      </c>
      <c r="L2576">
        <v>3</v>
      </c>
      <c r="M2576">
        <v>0</v>
      </c>
      <c r="N2576">
        <v>2</v>
      </c>
      <c r="O2576">
        <v>0</v>
      </c>
      <c r="P2576">
        <v>1</v>
      </c>
      <c r="Q2576">
        <v>0</v>
      </c>
      <c r="S2576" t="str">
        <f t="shared" si="930"/>
        <v>19:32:27.000</v>
      </c>
      <c r="T2576" t="str">
        <f t="shared" si="930"/>
        <v>19:32:27.000</v>
      </c>
      <c r="U2576" t="str">
        <f t="shared" si="925"/>
        <v>AC3944</v>
      </c>
      <c r="V2576">
        <v>0</v>
      </c>
      <c r="W2576">
        <v>0</v>
      </c>
      <c r="X2576">
        <v>2</v>
      </c>
      <c r="Y2576">
        <v>0</v>
      </c>
      <c r="AA2576">
        <v>1</v>
      </c>
      <c r="AB2576">
        <v>8</v>
      </c>
      <c r="AC2576">
        <v>3</v>
      </c>
      <c r="AD2576">
        <v>0</v>
      </c>
      <c r="AE2576">
        <v>9</v>
      </c>
      <c r="AF2576" t="s">
        <v>138</v>
      </c>
      <c r="AG2576">
        <v>0</v>
      </c>
      <c r="AH2576">
        <v>3</v>
      </c>
      <c r="AI2576">
        <v>1</v>
      </c>
      <c r="AJ2576">
        <v>0</v>
      </c>
      <c r="AK2576" t="s">
        <v>880</v>
      </c>
      <c r="AL2576">
        <v>32.750222999999998</v>
      </c>
      <c r="AM2576" t="s">
        <v>881</v>
      </c>
      <c r="AN2576">
        <v>-116.775784</v>
      </c>
      <c r="AO2576">
        <v>25</v>
      </c>
      <c r="AP2576">
        <v>3300</v>
      </c>
      <c r="AQ2576" t="s">
        <v>129</v>
      </c>
      <c r="AR2576">
        <v>110</v>
      </c>
      <c r="AS2576">
        <v>-82</v>
      </c>
      <c r="AT2576">
        <v>320</v>
      </c>
      <c r="BB2576">
        <v>1200</v>
      </c>
      <c r="BC2576">
        <v>1</v>
      </c>
      <c r="BD2576" t="str">
        <f t="shared" si="926"/>
        <v xml:space="preserve">N887QR  </v>
      </c>
      <c r="BE2576">
        <v>1</v>
      </c>
      <c r="BJ2576">
        <v>2950</v>
      </c>
      <c r="BK2576">
        <v>-350</v>
      </c>
      <c r="BL2576" t="s">
        <v>163</v>
      </c>
      <c r="BM2576">
        <v>1</v>
      </c>
      <c r="BN2576">
        <v>1</v>
      </c>
      <c r="BO2576">
        <v>1</v>
      </c>
      <c r="BP2576">
        <v>0</v>
      </c>
      <c r="BS2576">
        <v>0</v>
      </c>
      <c r="BT2576">
        <v>0</v>
      </c>
      <c r="BU2576">
        <v>0</v>
      </c>
      <c r="CE2576" t="str">
        <f t="shared" si="931"/>
        <v>19:32:27.285</v>
      </c>
      <c r="CF2576">
        <v>284793941</v>
      </c>
      <c r="CS2576">
        <v>0</v>
      </c>
      <c r="CT2576">
        <v>2</v>
      </c>
      <c r="CU2576">
        <v>0</v>
      </c>
      <c r="CV2576">
        <v>2</v>
      </c>
      <c r="CW2576">
        <v>0</v>
      </c>
      <c r="CX2576">
        <v>5</v>
      </c>
      <c r="CY2576">
        <v>7</v>
      </c>
      <c r="CZ2576" t="s">
        <v>131</v>
      </c>
      <c r="DA2576">
        <v>300</v>
      </c>
      <c r="DB2576">
        <v>0</v>
      </c>
      <c r="DC2576" t="s">
        <v>176</v>
      </c>
      <c r="DD2576" t="s">
        <v>177</v>
      </c>
      <c r="DG2576">
        <v>5416015</v>
      </c>
      <c r="DI2576">
        <v>1</v>
      </c>
      <c r="DJ2576">
        <v>0</v>
      </c>
      <c r="DK2576">
        <v>1</v>
      </c>
      <c r="DL2576">
        <v>0</v>
      </c>
      <c r="DM2576">
        <v>0</v>
      </c>
      <c r="DN2576">
        <v>1</v>
      </c>
      <c r="DO2576">
        <v>0</v>
      </c>
      <c r="DP2576">
        <v>0</v>
      </c>
      <c r="DQ2576">
        <v>0</v>
      </c>
      <c r="DR2576">
        <v>0</v>
      </c>
      <c r="DS2576">
        <v>0</v>
      </c>
    </row>
    <row r="2577" spans="1:123" x14ac:dyDescent="0.3">
      <c r="A2577" t="str">
        <f t="shared" ref="A2577:A2583" si="932">"10/04/2022 19:32:28.743"</f>
        <v>10/04/2022 19:32:28.743</v>
      </c>
      <c r="C2577" t="str">
        <f t="shared" si="913"/>
        <v>FFDDD3C0</v>
      </c>
      <c r="D2577" t="s">
        <v>134</v>
      </c>
      <c r="E2577">
        <v>15</v>
      </c>
      <c r="J2577" t="s">
        <v>135</v>
      </c>
      <c r="K2577">
        <v>0</v>
      </c>
      <c r="L2577">
        <v>3</v>
      </c>
      <c r="M2577">
        <v>0</v>
      </c>
      <c r="N2577">
        <v>2</v>
      </c>
      <c r="O2577">
        <v>0</v>
      </c>
      <c r="P2577">
        <v>1</v>
      </c>
      <c r="Q2577">
        <v>0</v>
      </c>
      <c r="S2577" t="str">
        <f t="shared" ref="S2577:T2583" si="933">"19:32:28.000"</f>
        <v>19:32:28.000</v>
      </c>
      <c r="T2577" t="str">
        <f t="shared" si="933"/>
        <v>19:32:28.000</v>
      </c>
      <c r="U2577" t="str">
        <f t="shared" si="925"/>
        <v>AC3944</v>
      </c>
      <c r="V2577">
        <v>0</v>
      </c>
      <c r="W2577">
        <v>0</v>
      </c>
      <c r="X2577">
        <v>2</v>
      </c>
      <c r="Y2577">
        <v>0</v>
      </c>
      <c r="AA2577">
        <v>1</v>
      </c>
      <c r="AB2577">
        <v>8</v>
      </c>
      <c r="AC2577">
        <v>3</v>
      </c>
      <c r="AD2577">
        <v>0</v>
      </c>
      <c r="AE2577">
        <v>9</v>
      </c>
      <c r="AF2577" t="s">
        <v>138</v>
      </c>
      <c r="AG2577">
        <v>0</v>
      </c>
      <c r="AH2577">
        <v>3</v>
      </c>
      <c r="AI2577">
        <v>1</v>
      </c>
      <c r="AJ2577">
        <v>0</v>
      </c>
      <c r="AK2577" t="s">
        <v>882</v>
      </c>
      <c r="AL2577">
        <v>32.749836000000002</v>
      </c>
      <c r="AM2577" t="s">
        <v>883</v>
      </c>
      <c r="AN2577">
        <v>-116.775184</v>
      </c>
      <c r="AO2577">
        <v>25</v>
      </c>
      <c r="AP2577">
        <v>3300</v>
      </c>
      <c r="AQ2577" t="s">
        <v>129</v>
      </c>
      <c r="AR2577">
        <v>108</v>
      </c>
      <c r="AS2577">
        <v>-82</v>
      </c>
      <c r="AT2577">
        <v>640</v>
      </c>
      <c r="BB2577">
        <v>1200</v>
      </c>
      <c r="BC2577">
        <v>1</v>
      </c>
      <c r="BD2577" t="str">
        <f t="shared" si="926"/>
        <v xml:space="preserve">N887QR  </v>
      </c>
      <c r="BE2577">
        <v>1</v>
      </c>
      <c r="BJ2577">
        <v>2950</v>
      </c>
      <c r="BK2577">
        <v>-350</v>
      </c>
      <c r="BL2577" t="s">
        <v>163</v>
      </c>
      <c r="BM2577">
        <v>1</v>
      </c>
      <c r="BN2577">
        <v>1</v>
      </c>
      <c r="BO2577">
        <v>1</v>
      </c>
      <c r="BP2577">
        <v>0</v>
      </c>
      <c r="BS2577">
        <v>0</v>
      </c>
      <c r="BT2577">
        <v>0</v>
      </c>
      <c r="BU2577">
        <v>0</v>
      </c>
      <c r="CE2577" t="str">
        <f t="shared" ref="CE2577:CE2583" si="934">"19:32:28.451"</f>
        <v>19:32:28.451</v>
      </c>
      <c r="CF2577">
        <v>451297887</v>
      </c>
      <c r="CS2577">
        <v>0</v>
      </c>
      <c r="CT2577">
        <v>2</v>
      </c>
      <c r="CU2577">
        <v>0</v>
      </c>
      <c r="CV2577">
        <v>2</v>
      </c>
      <c r="CW2577">
        <v>0</v>
      </c>
      <c r="CX2577">
        <v>5</v>
      </c>
      <c r="CY2577">
        <v>7</v>
      </c>
      <c r="CZ2577" t="s">
        <v>131</v>
      </c>
      <c r="DA2577">
        <v>300</v>
      </c>
      <c r="DB2577">
        <v>0</v>
      </c>
      <c r="DC2577" t="s">
        <v>176</v>
      </c>
      <c r="DD2577" t="s">
        <v>177</v>
      </c>
      <c r="DG2577">
        <v>5416200</v>
      </c>
      <c r="DI2577">
        <v>1</v>
      </c>
      <c r="DJ2577">
        <v>0</v>
      </c>
      <c r="DK2577">
        <v>0</v>
      </c>
      <c r="DL2577">
        <v>0</v>
      </c>
      <c r="DM2577">
        <v>0</v>
      </c>
      <c r="DN2577">
        <v>1</v>
      </c>
      <c r="DO2577">
        <v>0</v>
      </c>
      <c r="DP2577">
        <v>0</v>
      </c>
      <c r="DQ2577">
        <v>0</v>
      </c>
      <c r="DR2577">
        <v>0</v>
      </c>
      <c r="DS2577">
        <v>0</v>
      </c>
    </row>
    <row r="2578" spans="1:123" x14ac:dyDescent="0.3">
      <c r="A2578" t="str">
        <f t="shared" si="932"/>
        <v>10/04/2022 19:32:28.743</v>
      </c>
      <c r="C2578" t="str">
        <f t="shared" si="913"/>
        <v>FFDDD3C0</v>
      </c>
      <c r="D2578" t="s">
        <v>143</v>
      </c>
      <c r="E2578">
        <v>20</v>
      </c>
      <c r="F2578">
        <v>1020</v>
      </c>
      <c r="G2578" t="s">
        <v>144</v>
      </c>
      <c r="J2578" t="s">
        <v>145</v>
      </c>
      <c r="K2578">
        <v>0</v>
      </c>
      <c r="L2578">
        <v>3</v>
      </c>
      <c r="M2578">
        <v>0</v>
      </c>
      <c r="N2578">
        <v>2</v>
      </c>
      <c r="O2578">
        <v>0</v>
      </c>
      <c r="P2578">
        <v>1</v>
      </c>
      <c r="Q2578">
        <v>0</v>
      </c>
      <c r="S2578" t="str">
        <f t="shared" si="933"/>
        <v>19:32:28.000</v>
      </c>
      <c r="T2578" t="str">
        <f t="shared" si="933"/>
        <v>19:32:28.000</v>
      </c>
      <c r="U2578" t="str">
        <f t="shared" si="925"/>
        <v>AC3944</v>
      </c>
      <c r="V2578">
        <v>0</v>
      </c>
      <c r="W2578">
        <v>0</v>
      </c>
      <c r="X2578">
        <v>2</v>
      </c>
      <c r="Y2578">
        <v>0</v>
      </c>
      <c r="AA2578">
        <v>1</v>
      </c>
      <c r="AB2578">
        <v>8</v>
      </c>
      <c r="AC2578">
        <v>3</v>
      </c>
      <c r="AD2578">
        <v>0</v>
      </c>
      <c r="AE2578">
        <v>9</v>
      </c>
      <c r="AF2578" t="s">
        <v>138</v>
      </c>
      <c r="AG2578">
        <v>0</v>
      </c>
      <c r="AH2578">
        <v>3</v>
      </c>
      <c r="AI2578">
        <v>1</v>
      </c>
      <c r="AJ2578">
        <v>0</v>
      </c>
      <c r="AK2578" t="s">
        <v>882</v>
      </c>
      <c r="AL2578">
        <v>32.749836000000002</v>
      </c>
      <c r="AM2578" t="s">
        <v>883</v>
      </c>
      <c r="AN2578">
        <v>-116.775184</v>
      </c>
      <c r="AO2578">
        <v>25</v>
      </c>
      <c r="AP2578">
        <v>3300</v>
      </c>
      <c r="AQ2578" t="s">
        <v>129</v>
      </c>
      <c r="AR2578">
        <v>108</v>
      </c>
      <c r="AS2578">
        <v>-82</v>
      </c>
      <c r="AT2578">
        <v>640</v>
      </c>
      <c r="BB2578">
        <v>1200</v>
      </c>
      <c r="BC2578">
        <v>1</v>
      </c>
      <c r="BD2578" t="str">
        <f t="shared" si="926"/>
        <v xml:space="preserve">N887QR  </v>
      </c>
      <c r="BE2578">
        <v>1</v>
      </c>
      <c r="BJ2578">
        <v>2950</v>
      </c>
      <c r="BK2578">
        <v>-350</v>
      </c>
      <c r="BL2578" t="s">
        <v>163</v>
      </c>
      <c r="BM2578">
        <v>1</v>
      </c>
      <c r="BN2578">
        <v>1</v>
      </c>
      <c r="BO2578">
        <v>1</v>
      </c>
      <c r="BP2578">
        <v>0</v>
      </c>
      <c r="BS2578">
        <v>0</v>
      </c>
      <c r="BT2578">
        <v>0</v>
      </c>
      <c r="BU2578">
        <v>0</v>
      </c>
      <c r="CE2578" t="str">
        <f t="shared" si="934"/>
        <v>19:32:28.451</v>
      </c>
      <c r="CF2578">
        <v>451297887</v>
      </c>
      <c r="CS2578">
        <v>0</v>
      </c>
      <c r="CT2578">
        <v>2</v>
      </c>
      <c r="CU2578">
        <v>0</v>
      </c>
      <c r="CV2578">
        <v>2</v>
      </c>
      <c r="CW2578">
        <v>0</v>
      </c>
      <c r="CX2578">
        <v>5</v>
      </c>
      <c r="CY2578">
        <v>7</v>
      </c>
      <c r="CZ2578" t="s">
        <v>131</v>
      </c>
      <c r="DA2578">
        <v>300</v>
      </c>
      <c r="DB2578">
        <v>0</v>
      </c>
      <c r="DC2578" t="s">
        <v>176</v>
      </c>
      <c r="DD2578" t="s">
        <v>177</v>
      </c>
      <c r="DG2578">
        <v>5416200</v>
      </c>
      <c r="DI2578">
        <v>1</v>
      </c>
      <c r="DJ2578">
        <v>0</v>
      </c>
      <c r="DK2578">
        <v>1</v>
      </c>
      <c r="DL2578">
        <v>0</v>
      </c>
      <c r="DM2578">
        <v>0</v>
      </c>
      <c r="DN2578">
        <v>1</v>
      </c>
      <c r="DO2578">
        <v>0</v>
      </c>
      <c r="DP2578">
        <v>0</v>
      </c>
      <c r="DQ2578">
        <v>0</v>
      </c>
      <c r="DR2578">
        <v>0</v>
      </c>
      <c r="DS2578">
        <v>0</v>
      </c>
    </row>
    <row r="2579" spans="1:123" x14ac:dyDescent="0.3">
      <c r="A2579" t="str">
        <f t="shared" si="932"/>
        <v>10/04/2022 19:32:28.743</v>
      </c>
      <c r="C2579" t="str">
        <f t="shared" si="913"/>
        <v>FFDDD3C0</v>
      </c>
      <c r="D2579" t="s">
        <v>147</v>
      </c>
      <c r="E2579">
        <v>3</v>
      </c>
      <c r="H2579">
        <v>166</v>
      </c>
      <c r="I2579" t="s">
        <v>144</v>
      </c>
      <c r="J2579" t="s">
        <v>148</v>
      </c>
      <c r="K2579">
        <v>0</v>
      </c>
      <c r="L2579">
        <v>3</v>
      </c>
      <c r="M2579">
        <v>0</v>
      </c>
      <c r="N2579">
        <v>2</v>
      </c>
      <c r="O2579">
        <v>0</v>
      </c>
      <c r="P2579">
        <v>1</v>
      </c>
      <c r="Q2579">
        <v>0</v>
      </c>
      <c r="S2579" t="str">
        <f t="shared" si="933"/>
        <v>19:32:28.000</v>
      </c>
      <c r="T2579" t="str">
        <f t="shared" si="933"/>
        <v>19:32:28.000</v>
      </c>
      <c r="U2579" t="str">
        <f t="shared" si="925"/>
        <v>AC3944</v>
      </c>
      <c r="V2579">
        <v>0</v>
      </c>
      <c r="W2579">
        <v>0</v>
      </c>
      <c r="X2579">
        <v>2</v>
      </c>
      <c r="Y2579">
        <v>0</v>
      </c>
      <c r="AA2579">
        <v>1</v>
      </c>
      <c r="AB2579">
        <v>8</v>
      </c>
      <c r="AC2579">
        <v>3</v>
      </c>
      <c r="AD2579">
        <v>0</v>
      </c>
      <c r="AE2579">
        <v>9</v>
      </c>
      <c r="AF2579" t="s">
        <v>138</v>
      </c>
      <c r="AG2579">
        <v>0</v>
      </c>
      <c r="AH2579">
        <v>3</v>
      </c>
      <c r="AI2579">
        <v>1</v>
      </c>
      <c r="AJ2579">
        <v>0</v>
      </c>
      <c r="AK2579" t="s">
        <v>882</v>
      </c>
      <c r="AL2579">
        <v>32.749836000000002</v>
      </c>
      <c r="AM2579" t="s">
        <v>883</v>
      </c>
      <c r="AN2579">
        <v>-116.775184</v>
      </c>
      <c r="AO2579">
        <v>25</v>
      </c>
      <c r="AP2579">
        <v>3300</v>
      </c>
      <c r="AQ2579" t="s">
        <v>129</v>
      </c>
      <c r="AR2579">
        <v>108</v>
      </c>
      <c r="AS2579">
        <v>-82</v>
      </c>
      <c r="AT2579">
        <v>640</v>
      </c>
      <c r="BB2579">
        <v>1200</v>
      </c>
      <c r="BC2579">
        <v>1</v>
      </c>
      <c r="BD2579" t="str">
        <f t="shared" si="926"/>
        <v xml:space="preserve">N887QR  </v>
      </c>
      <c r="BE2579">
        <v>1</v>
      </c>
      <c r="BJ2579">
        <v>2950</v>
      </c>
      <c r="BK2579">
        <v>-350</v>
      </c>
      <c r="BL2579" t="s">
        <v>163</v>
      </c>
      <c r="BM2579">
        <v>1</v>
      </c>
      <c r="BN2579">
        <v>1</v>
      </c>
      <c r="BO2579">
        <v>1</v>
      </c>
      <c r="BP2579">
        <v>0</v>
      </c>
      <c r="BS2579">
        <v>0</v>
      </c>
      <c r="BT2579">
        <v>0</v>
      </c>
      <c r="BU2579">
        <v>0</v>
      </c>
      <c r="CE2579" t="str">
        <f t="shared" si="934"/>
        <v>19:32:28.451</v>
      </c>
      <c r="CF2579">
        <v>451297887</v>
      </c>
      <c r="CS2579">
        <v>0</v>
      </c>
      <c r="CT2579">
        <v>2</v>
      </c>
      <c r="CU2579">
        <v>0</v>
      </c>
      <c r="CV2579">
        <v>2</v>
      </c>
      <c r="CW2579">
        <v>0</v>
      </c>
      <c r="CX2579">
        <v>5</v>
      </c>
      <c r="CY2579">
        <v>7</v>
      </c>
      <c r="CZ2579" t="s">
        <v>131</v>
      </c>
      <c r="DA2579">
        <v>300</v>
      </c>
      <c r="DB2579">
        <v>0</v>
      </c>
      <c r="DC2579" t="s">
        <v>176</v>
      </c>
      <c r="DD2579" t="s">
        <v>177</v>
      </c>
      <c r="DG2579">
        <v>5416200</v>
      </c>
      <c r="DI2579">
        <v>1</v>
      </c>
      <c r="DJ2579">
        <v>0</v>
      </c>
      <c r="DK2579">
        <v>1</v>
      </c>
      <c r="DL2579">
        <v>0</v>
      </c>
      <c r="DM2579">
        <v>0</v>
      </c>
      <c r="DN2579">
        <v>1</v>
      </c>
      <c r="DO2579">
        <v>0</v>
      </c>
      <c r="DP2579">
        <v>0</v>
      </c>
      <c r="DQ2579">
        <v>0</v>
      </c>
      <c r="DR2579">
        <v>0</v>
      </c>
      <c r="DS2579">
        <v>0</v>
      </c>
    </row>
    <row r="2580" spans="1:123" x14ac:dyDescent="0.3">
      <c r="A2580" t="str">
        <f t="shared" si="932"/>
        <v>10/04/2022 19:32:28.743</v>
      </c>
      <c r="C2580" t="str">
        <f t="shared" si="913"/>
        <v>FFDDD3C0</v>
      </c>
      <c r="D2580" t="s">
        <v>141</v>
      </c>
      <c r="E2580">
        <v>4</v>
      </c>
      <c r="H2580">
        <v>4</v>
      </c>
      <c r="I2580" t="s">
        <v>142</v>
      </c>
      <c r="J2580" t="s">
        <v>138</v>
      </c>
      <c r="K2580">
        <v>0</v>
      </c>
      <c r="L2580">
        <v>3</v>
      </c>
      <c r="M2580">
        <v>0</v>
      </c>
      <c r="N2580">
        <v>2</v>
      </c>
      <c r="O2580">
        <v>0</v>
      </c>
      <c r="P2580">
        <v>1</v>
      </c>
      <c r="Q2580">
        <v>0</v>
      </c>
      <c r="S2580" t="str">
        <f t="shared" si="933"/>
        <v>19:32:28.000</v>
      </c>
      <c r="T2580" t="str">
        <f t="shared" si="933"/>
        <v>19:32:28.000</v>
      </c>
      <c r="U2580" t="str">
        <f t="shared" si="925"/>
        <v>AC3944</v>
      </c>
      <c r="V2580">
        <v>0</v>
      </c>
      <c r="W2580">
        <v>0</v>
      </c>
      <c r="X2580">
        <v>2</v>
      </c>
      <c r="Y2580">
        <v>0</v>
      </c>
      <c r="AA2580">
        <v>1</v>
      </c>
      <c r="AB2580">
        <v>8</v>
      </c>
      <c r="AC2580">
        <v>3</v>
      </c>
      <c r="AD2580">
        <v>0</v>
      </c>
      <c r="AE2580">
        <v>9</v>
      </c>
      <c r="AF2580" t="s">
        <v>138</v>
      </c>
      <c r="AG2580">
        <v>0</v>
      </c>
      <c r="AH2580">
        <v>3</v>
      </c>
      <c r="AI2580">
        <v>1</v>
      </c>
      <c r="AJ2580">
        <v>0</v>
      </c>
      <c r="AK2580" t="s">
        <v>882</v>
      </c>
      <c r="AL2580">
        <v>32.749836000000002</v>
      </c>
      <c r="AM2580" t="s">
        <v>883</v>
      </c>
      <c r="AN2580">
        <v>-116.775184</v>
      </c>
      <c r="AO2580">
        <v>25</v>
      </c>
      <c r="AP2580">
        <v>3300</v>
      </c>
      <c r="AQ2580" t="s">
        <v>129</v>
      </c>
      <c r="AR2580">
        <v>108</v>
      </c>
      <c r="AS2580">
        <v>-82</v>
      </c>
      <c r="AT2580">
        <v>640</v>
      </c>
      <c r="BB2580">
        <v>1200</v>
      </c>
      <c r="BC2580">
        <v>1</v>
      </c>
      <c r="BD2580" t="str">
        <f t="shared" si="926"/>
        <v xml:space="preserve">N887QR  </v>
      </c>
      <c r="BE2580">
        <v>1</v>
      </c>
      <c r="BJ2580">
        <v>2950</v>
      </c>
      <c r="BK2580">
        <v>-350</v>
      </c>
      <c r="BL2580" t="s">
        <v>163</v>
      </c>
      <c r="BM2580">
        <v>1</v>
      </c>
      <c r="BN2580">
        <v>1</v>
      </c>
      <c r="BO2580">
        <v>1</v>
      </c>
      <c r="BP2580">
        <v>0</v>
      </c>
      <c r="BS2580">
        <v>0</v>
      </c>
      <c r="BT2580">
        <v>0</v>
      </c>
      <c r="BU2580">
        <v>0</v>
      </c>
      <c r="CE2580" t="str">
        <f t="shared" si="934"/>
        <v>19:32:28.451</v>
      </c>
      <c r="CF2580">
        <v>451297887</v>
      </c>
      <c r="CS2580">
        <v>0</v>
      </c>
      <c r="CT2580">
        <v>2</v>
      </c>
      <c r="CU2580">
        <v>0</v>
      </c>
      <c r="CV2580">
        <v>2</v>
      </c>
      <c r="CW2580">
        <v>0</v>
      </c>
      <c r="CX2580">
        <v>5</v>
      </c>
      <c r="CY2580">
        <v>7</v>
      </c>
      <c r="CZ2580" t="s">
        <v>131</v>
      </c>
      <c r="DA2580">
        <v>300</v>
      </c>
      <c r="DB2580">
        <v>0</v>
      </c>
      <c r="DC2580" t="s">
        <v>176</v>
      </c>
      <c r="DD2580" t="s">
        <v>177</v>
      </c>
      <c r="DG2580">
        <v>5416200</v>
      </c>
      <c r="DI2580">
        <v>1</v>
      </c>
      <c r="DJ2580">
        <v>0</v>
      </c>
      <c r="DK2580">
        <v>1</v>
      </c>
      <c r="DL2580">
        <v>0</v>
      </c>
      <c r="DM2580">
        <v>0</v>
      </c>
      <c r="DN2580">
        <v>1</v>
      </c>
      <c r="DO2580">
        <v>0</v>
      </c>
      <c r="DP2580">
        <v>0</v>
      </c>
      <c r="DQ2580">
        <v>0</v>
      </c>
      <c r="DR2580">
        <v>0</v>
      </c>
      <c r="DS2580">
        <v>0</v>
      </c>
    </row>
    <row r="2581" spans="1:123" x14ac:dyDescent="0.3">
      <c r="A2581" t="str">
        <f t="shared" si="932"/>
        <v>10/04/2022 19:32:28.743</v>
      </c>
      <c r="C2581" t="str">
        <f t="shared" si="913"/>
        <v>FFDDD3C0</v>
      </c>
      <c r="D2581" t="s">
        <v>123</v>
      </c>
      <c r="E2581">
        <v>7</v>
      </c>
      <c r="F2581">
        <v>2007</v>
      </c>
      <c r="G2581" t="s">
        <v>124</v>
      </c>
      <c r="J2581" t="s">
        <v>125</v>
      </c>
      <c r="K2581">
        <v>0</v>
      </c>
      <c r="L2581">
        <v>3</v>
      </c>
      <c r="M2581">
        <v>0</v>
      </c>
      <c r="N2581">
        <v>2</v>
      </c>
      <c r="O2581">
        <v>0</v>
      </c>
      <c r="P2581">
        <v>1</v>
      </c>
      <c r="Q2581">
        <v>0</v>
      </c>
      <c r="S2581" t="str">
        <f t="shared" si="933"/>
        <v>19:32:28.000</v>
      </c>
      <c r="T2581" t="str">
        <f t="shared" si="933"/>
        <v>19:32:28.000</v>
      </c>
      <c r="U2581" t="str">
        <f t="shared" si="925"/>
        <v>AC3944</v>
      </c>
      <c r="V2581">
        <v>0</v>
      </c>
      <c r="W2581">
        <v>0</v>
      </c>
      <c r="X2581">
        <v>2</v>
      </c>
      <c r="Y2581">
        <v>0</v>
      </c>
      <c r="AA2581">
        <v>1</v>
      </c>
      <c r="AB2581">
        <v>8</v>
      </c>
      <c r="AC2581">
        <v>3</v>
      </c>
      <c r="AD2581">
        <v>0</v>
      </c>
      <c r="AE2581">
        <v>9</v>
      </c>
      <c r="AF2581" t="s">
        <v>138</v>
      </c>
      <c r="AG2581">
        <v>0</v>
      </c>
      <c r="AH2581">
        <v>3</v>
      </c>
      <c r="AI2581">
        <v>1</v>
      </c>
      <c r="AJ2581">
        <v>0</v>
      </c>
      <c r="AK2581" t="s">
        <v>882</v>
      </c>
      <c r="AL2581">
        <v>32.749836000000002</v>
      </c>
      <c r="AM2581" t="s">
        <v>883</v>
      </c>
      <c r="AN2581">
        <v>-116.775184</v>
      </c>
      <c r="AO2581">
        <v>25</v>
      </c>
      <c r="AP2581">
        <v>3300</v>
      </c>
      <c r="AQ2581" t="s">
        <v>129</v>
      </c>
      <c r="AR2581">
        <v>108</v>
      </c>
      <c r="AS2581">
        <v>-82</v>
      </c>
      <c r="AT2581">
        <v>640</v>
      </c>
      <c r="BB2581">
        <v>1200</v>
      </c>
      <c r="BC2581">
        <v>1</v>
      </c>
      <c r="BD2581" t="str">
        <f t="shared" si="926"/>
        <v xml:space="preserve">N887QR  </v>
      </c>
      <c r="BE2581">
        <v>1</v>
      </c>
      <c r="BJ2581">
        <v>2950</v>
      </c>
      <c r="BK2581">
        <v>-350</v>
      </c>
      <c r="BL2581" t="s">
        <v>163</v>
      </c>
      <c r="BM2581">
        <v>1</v>
      </c>
      <c r="BN2581">
        <v>1</v>
      </c>
      <c r="BO2581">
        <v>1</v>
      </c>
      <c r="BP2581">
        <v>0</v>
      </c>
      <c r="BS2581">
        <v>0</v>
      </c>
      <c r="BT2581">
        <v>0</v>
      </c>
      <c r="BU2581">
        <v>0</v>
      </c>
      <c r="CE2581" t="str">
        <f t="shared" si="934"/>
        <v>19:32:28.451</v>
      </c>
      <c r="CF2581">
        <v>451297887</v>
      </c>
      <c r="CS2581">
        <v>0</v>
      </c>
      <c r="CT2581">
        <v>2</v>
      </c>
      <c r="CU2581">
        <v>0</v>
      </c>
      <c r="CV2581">
        <v>2</v>
      </c>
      <c r="CW2581">
        <v>0</v>
      </c>
      <c r="CX2581">
        <v>5</v>
      </c>
      <c r="CY2581">
        <v>7</v>
      </c>
      <c r="CZ2581" t="s">
        <v>131</v>
      </c>
      <c r="DA2581">
        <v>300</v>
      </c>
      <c r="DB2581">
        <v>0</v>
      </c>
      <c r="DC2581" t="s">
        <v>176</v>
      </c>
      <c r="DD2581" t="s">
        <v>177</v>
      </c>
      <c r="DG2581">
        <v>5416200</v>
      </c>
      <c r="DI2581">
        <v>1</v>
      </c>
      <c r="DJ2581">
        <v>0</v>
      </c>
      <c r="DK2581">
        <v>1</v>
      </c>
      <c r="DL2581">
        <v>0</v>
      </c>
      <c r="DM2581">
        <v>0</v>
      </c>
      <c r="DN2581">
        <v>1</v>
      </c>
      <c r="DO2581">
        <v>0</v>
      </c>
      <c r="DP2581">
        <v>0</v>
      </c>
      <c r="DQ2581">
        <v>0</v>
      </c>
      <c r="DR2581">
        <v>0</v>
      </c>
      <c r="DS2581">
        <v>0</v>
      </c>
    </row>
    <row r="2582" spans="1:123" x14ac:dyDescent="0.3">
      <c r="A2582" t="str">
        <f t="shared" si="932"/>
        <v>10/04/2022 19:32:28.743</v>
      </c>
      <c r="C2582" t="str">
        <f t="shared" si="913"/>
        <v>FFDDD3C0</v>
      </c>
      <c r="D2582" t="s">
        <v>136</v>
      </c>
      <c r="E2582">
        <v>8</v>
      </c>
      <c r="H2582">
        <v>225</v>
      </c>
      <c r="I2582" t="s">
        <v>137</v>
      </c>
      <c r="J2582" t="s">
        <v>138</v>
      </c>
      <c r="K2582">
        <v>0</v>
      </c>
      <c r="L2582">
        <v>3</v>
      </c>
      <c r="M2582">
        <v>0</v>
      </c>
      <c r="N2582">
        <v>2</v>
      </c>
      <c r="O2582">
        <v>0</v>
      </c>
      <c r="P2582">
        <v>1</v>
      </c>
      <c r="Q2582">
        <v>0</v>
      </c>
      <c r="S2582" t="str">
        <f t="shared" si="933"/>
        <v>19:32:28.000</v>
      </c>
      <c r="T2582" t="str">
        <f t="shared" si="933"/>
        <v>19:32:28.000</v>
      </c>
      <c r="U2582" t="str">
        <f t="shared" si="925"/>
        <v>AC3944</v>
      </c>
      <c r="V2582">
        <v>0</v>
      </c>
      <c r="W2582">
        <v>0</v>
      </c>
      <c r="X2582">
        <v>2</v>
      </c>
      <c r="Y2582">
        <v>0</v>
      </c>
      <c r="AA2582">
        <v>1</v>
      </c>
      <c r="AB2582">
        <v>8</v>
      </c>
      <c r="AC2582">
        <v>3</v>
      </c>
      <c r="AD2582">
        <v>0</v>
      </c>
      <c r="AE2582">
        <v>9</v>
      </c>
      <c r="AF2582" t="s">
        <v>138</v>
      </c>
      <c r="AG2582">
        <v>0</v>
      </c>
      <c r="AH2582">
        <v>3</v>
      </c>
      <c r="AI2582">
        <v>1</v>
      </c>
      <c r="AJ2582">
        <v>0</v>
      </c>
      <c r="AK2582" t="s">
        <v>882</v>
      </c>
      <c r="AL2582">
        <v>32.749836000000002</v>
      </c>
      <c r="AM2582" t="s">
        <v>883</v>
      </c>
      <c r="AN2582">
        <v>-116.775184</v>
      </c>
      <c r="AO2582">
        <v>25</v>
      </c>
      <c r="AP2582">
        <v>3300</v>
      </c>
      <c r="AQ2582" t="s">
        <v>129</v>
      </c>
      <c r="AR2582">
        <v>108</v>
      </c>
      <c r="AS2582">
        <v>-82</v>
      </c>
      <c r="AT2582">
        <v>640</v>
      </c>
      <c r="BB2582">
        <v>1200</v>
      </c>
      <c r="BC2582">
        <v>1</v>
      </c>
      <c r="BD2582" t="str">
        <f t="shared" si="926"/>
        <v xml:space="preserve">N887QR  </v>
      </c>
      <c r="BE2582">
        <v>1</v>
      </c>
      <c r="BJ2582">
        <v>2950</v>
      </c>
      <c r="BK2582">
        <v>-350</v>
      </c>
      <c r="BL2582" t="s">
        <v>163</v>
      </c>
      <c r="BM2582">
        <v>1</v>
      </c>
      <c r="BN2582">
        <v>1</v>
      </c>
      <c r="BO2582">
        <v>1</v>
      </c>
      <c r="BP2582">
        <v>0</v>
      </c>
      <c r="BS2582">
        <v>0</v>
      </c>
      <c r="BT2582">
        <v>0</v>
      </c>
      <c r="BU2582">
        <v>0</v>
      </c>
      <c r="CE2582" t="str">
        <f t="shared" si="934"/>
        <v>19:32:28.451</v>
      </c>
      <c r="CF2582">
        <v>451297887</v>
      </c>
      <c r="CS2582">
        <v>0</v>
      </c>
      <c r="CT2582">
        <v>2</v>
      </c>
      <c r="CU2582">
        <v>0</v>
      </c>
      <c r="CV2582">
        <v>2</v>
      </c>
      <c r="CW2582">
        <v>0</v>
      </c>
      <c r="CX2582">
        <v>5</v>
      </c>
      <c r="CY2582">
        <v>7</v>
      </c>
      <c r="CZ2582" t="s">
        <v>131</v>
      </c>
      <c r="DA2582">
        <v>300</v>
      </c>
      <c r="DB2582">
        <v>0</v>
      </c>
      <c r="DC2582" t="s">
        <v>176</v>
      </c>
      <c r="DD2582" t="s">
        <v>177</v>
      </c>
      <c r="DG2582">
        <v>5416200</v>
      </c>
      <c r="DI2582">
        <v>1</v>
      </c>
      <c r="DJ2582">
        <v>0</v>
      </c>
      <c r="DK2582">
        <v>1</v>
      </c>
      <c r="DL2582">
        <v>0</v>
      </c>
      <c r="DM2582">
        <v>0</v>
      </c>
      <c r="DN2582">
        <v>1</v>
      </c>
      <c r="DO2582">
        <v>0</v>
      </c>
      <c r="DP2582">
        <v>0</v>
      </c>
      <c r="DQ2582">
        <v>0</v>
      </c>
      <c r="DR2582">
        <v>0</v>
      </c>
      <c r="DS2582">
        <v>0</v>
      </c>
    </row>
    <row r="2583" spans="1:123" x14ac:dyDescent="0.3">
      <c r="A2583" t="str">
        <f t="shared" si="932"/>
        <v>10/04/2022 19:32:28.743</v>
      </c>
      <c r="C2583" t="str">
        <f t="shared" si="913"/>
        <v>FFDDD3C0</v>
      </c>
      <c r="D2583" t="s">
        <v>141</v>
      </c>
      <c r="E2583">
        <v>3</v>
      </c>
      <c r="H2583">
        <v>3</v>
      </c>
      <c r="I2583" t="s">
        <v>146</v>
      </c>
      <c r="J2583" t="s">
        <v>138</v>
      </c>
      <c r="K2583">
        <v>0</v>
      </c>
      <c r="L2583">
        <v>3</v>
      </c>
      <c r="M2583">
        <v>0</v>
      </c>
      <c r="N2583">
        <v>2</v>
      </c>
      <c r="O2583">
        <v>0</v>
      </c>
      <c r="P2583">
        <v>1</v>
      </c>
      <c r="Q2583">
        <v>0</v>
      </c>
      <c r="S2583" t="str">
        <f t="shared" si="933"/>
        <v>19:32:28.000</v>
      </c>
      <c r="T2583" t="str">
        <f t="shared" si="933"/>
        <v>19:32:28.000</v>
      </c>
      <c r="U2583" t="str">
        <f t="shared" si="925"/>
        <v>AC3944</v>
      </c>
      <c r="V2583">
        <v>0</v>
      </c>
      <c r="W2583">
        <v>0</v>
      </c>
      <c r="X2583">
        <v>2</v>
      </c>
      <c r="Y2583">
        <v>0</v>
      </c>
      <c r="AA2583">
        <v>1</v>
      </c>
      <c r="AB2583">
        <v>8</v>
      </c>
      <c r="AC2583">
        <v>3</v>
      </c>
      <c r="AD2583">
        <v>0</v>
      </c>
      <c r="AE2583">
        <v>9</v>
      </c>
      <c r="AF2583" t="s">
        <v>138</v>
      </c>
      <c r="AG2583">
        <v>0</v>
      </c>
      <c r="AH2583">
        <v>3</v>
      </c>
      <c r="AI2583">
        <v>1</v>
      </c>
      <c r="AJ2583">
        <v>0</v>
      </c>
      <c r="AK2583" t="s">
        <v>882</v>
      </c>
      <c r="AL2583">
        <v>32.749836000000002</v>
      </c>
      <c r="AM2583" t="s">
        <v>883</v>
      </c>
      <c r="AN2583">
        <v>-116.775184</v>
      </c>
      <c r="AO2583">
        <v>25</v>
      </c>
      <c r="AP2583">
        <v>3300</v>
      </c>
      <c r="AQ2583" t="s">
        <v>129</v>
      </c>
      <c r="AR2583">
        <v>108</v>
      </c>
      <c r="AS2583">
        <v>-82</v>
      </c>
      <c r="AT2583">
        <v>640</v>
      </c>
      <c r="BB2583">
        <v>1200</v>
      </c>
      <c r="BC2583">
        <v>1</v>
      </c>
      <c r="BD2583" t="str">
        <f t="shared" si="926"/>
        <v xml:space="preserve">N887QR  </v>
      </c>
      <c r="BE2583">
        <v>1</v>
      </c>
      <c r="BJ2583">
        <v>2950</v>
      </c>
      <c r="BK2583">
        <v>-350</v>
      </c>
      <c r="BL2583" t="s">
        <v>163</v>
      </c>
      <c r="BM2583">
        <v>1</v>
      </c>
      <c r="BN2583">
        <v>1</v>
      </c>
      <c r="BO2583">
        <v>1</v>
      </c>
      <c r="BP2583">
        <v>0</v>
      </c>
      <c r="BS2583">
        <v>0</v>
      </c>
      <c r="BT2583">
        <v>0</v>
      </c>
      <c r="BU2583">
        <v>0</v>
      </c>
      <c r="CE2583" t="str">
        <f t="shared" si="934"/>
        <v>19:32:28.451</v>
      </c>
      <c r="CF2583">
        <v>451297887</v>
      </c>
      <c r="CS2583">
        <v>0</v>
      </c>
      <c r="CT2583">
        <v>2</v>
      </c>
      <c r="CU2583">
        <v>0</v>
      </c>
      <c r="CV2583">
        <v>2</v>
      </c>
      <c r="CW2583">
        <v>0</v>
      </c>
      <c r="CX2583">
        <v>5</v>
      </c>
      <c r="CY2583">
        <v>7</v>
      </c>
      <c r="CZ2583" t="s">
        <v>131</v>
      </c>
      <c r="DA2583">
        <v>300</v>
      </c>
      <c r="DB2583">
        <v>0</v>
      </c>
      <c r="DC2583" t="s">
        <v>176</v>
      </c>
      <c r="DD2583" t="s">
        <v>177</v>
      </c>
      <c r="DG2583">
        <v>5416200</v>
      </c>
      <c r="DI2583">
        <v>1</v>
      </c>
      <c r="DJ2583">
        <v>0</v>
      </c>
      <c r="DK2583">
        <v>1</v>
      </c>
      <c r="DL2583">
        <v>0</v>
      </c>
      <c r="DM2583">
        <v>0</v>
      </c>
      <c r="DN2583">
        <v>1</v>
      </c>
      <c r="DO2583">
        <v>0</v>
      </c>
      <c r="DP2583">
        <v>0</v>
      </c>
      <c r="DQ2583">
        <v>0</v>
      </c>
      <c r="DR2583">
        <v>0</v>
      </c>
      <c r="DS2583">
        <v>0</v>
      </c>
    </row>
    <row r="2584" spans="1:123" x14ac:dyDescent="0.3">
      <c r="A2584" t="str">
        <f>"10/04/2022 19:32:29.744"</f>
        <v>10/04/2022 19:32:29.744</v>
      </c>
      <c r="C2584" t="str">
        <f t="shared" si="913"/>
        <v>FFDDD3C0</v>
      </c>
      <c r="D2584" t="s">
        <v>123</v>
      </c>
      <c r="E2584">
        <v>7</v>
      </c>
      <c r="F2584">
        <v>2007</v>
      </c>
      <c r="G2584" t="s">
        <v>124</v>
      </c>
      <c r="J2584" t="s">
        <v>125</v>
      </c>
      <c r="K2584">
        <v>0</v>
      </c>
      <c r="L2584">
        <v>3</v>
      </c>
      <c r="M2584">
        <v>0</v>
      </c>
      <c r="N2584">
        <v>2</v>
      </c>
      <c r="O2584">
        <v>0</v>
      </c>
      <c r="P2584">
        <v>1</v>
      </c>
      <c r="Q2584">
        <v>0</v>
      </c>
      <c r="S2584" t="str">
        <f t="shared" ref="S2584:T2590" si="935">"19:32:29.000"</f>
        <v>19:32:29.000</v>
      </c>
      <c r="T2584" t="str">
        <f t="shared" si="935"/>
        <v>19:32:29.000</v>
      </c>
      <c r="U2584" t="str">
        <f t="shared" si="925"/>
        <v>AC3944</v>
      </c>
      <c r="V2584">
        <v>0</v>
      </c>
      <c r="W2584">
        <v>0</v>
      </c>
      <c r="X2584">
        <v>2</v>
      </c>
      <c r="Y2584">
        <v>0</v>
      </c>
      <c r="AA2584">
        <v>1</v>
      </c>
      <c r="AB2584">
        <v>8</v>
      </c>
      <c r="AC2584">
        <v>3</v>
      </c>
      <c r="AD2584">
        <v>0</v>
      </c>
      <c r="AE2584">
        <v>9</v>
      </c>
      <c r="AF2584" t="s">
        <v>138</v>
      </c>
      <c r="AG2584">
        <v>0</v>
      </c>
      <c r="AH2584">
        <v>3</v>
      </c>
      <c r="AI2584">
        <v>1</v>
      </c>
      <c r="AJ2584">
        <v>0</v>
      </c>
      <c r="AK2584" t="s">
        <v>884</v>
      </c>
      <c r="AL2584">
        <v>32.749450000000003</v>
      </c>
      <c r="AM2584" t="s">
        <v>885</v>
      </c>
      <c r="AN2584">
        <v>-116.77458300000001</v>
      </c>
      <c r="AO2584">
        <v>25</v>
      </c>
      <c r="AP2584">
        <v>3300</v>
      </c>
      <c r="AQ2584" t="s">
        <v>129</v>
      </c>
      <c r="AR2584">
        <v>106</v>
      </c>
      <c r="AS2584">
        <v>-83</v>
      </c>
      <c r="AT2584">
        <v>640</v>
      </c>
      <c r="BB2584">
        <v>1200</v>
      </c>
      <c r="BC2584">
        <v>1</v>
      </c>
      <c r="BD2584" t="str">
        <f t="shared" si="926"/>
        <v xml:space="preserve">N887QR  </v>
      </c>
      <c r="BE2584">
        <v>1</v>
      </c>
      <c r="BJ2584">
        <v>3000</v>
      </c>
      <c r="BK2584">
        <v>-300</v>
      </c>
      <c r="BL2584" t="s">
        <v>163</v>
      </c>
      <c r="BM2584">
        <v>1</v>
      </c>
      <c r="BN2584">
        <v>1</v>
      </c>
      <c r="BO2584">
        <v>1</v>
      </c>
      <c r="BP2584">
        <v>0</v>
      </c>
      <c r="BS2584">
        <v>0.08</v>
      </c>
      <c r="BT2584">
        <v>0</v>
      </c>
      <c r="BU2584">
        <v>0</v>
      </c>
      <c r="CE2584" t="str">
        <f t="shared" ref="CE2584:CE2590" si="936">"19:32:29.482"</f>
        <v>19:32:29.482</v>
      </c>
      <c r="CF2584">
        <v>482051360</v>
      </c>
      <c r="CS2584">
        <v>0</v>
      </c>
      <c r="CT2584">
        <v>2</v>
      </c>
      <c r="CU2584">
        <v>0</v>
      </c>
      <c r="CV2584">
        <v>2</v>
      </c>
      <c r="CW2584">
        <v>0</v>
      </c>
      <c r="CX2584">
        <v>5</v>
      </c>
      <c r="CY2584">
        <v>7</v>
      </c>
      <c r="CZ2584" t="s">
        <v>131</v>
      </c>
      <c r="DA2584">
        <v>300</v>
      </c>
      <c r="DB2584">
        <v>0</v>
      </c>
      <c r="DC2584" t="s">
        <v>176</v>
      </c>
      <c r="DD2584" t="s">
        <v>177</v>
      </c>
      <c r="DG2584">
        <v>5416376</v>
      </c>
      <c r="DI2584">
        <v>1</v>
      </c>
      <c r="DJ2584">
        <v>0</v>
      </c>
      <c r="DK2584">
        <v>0</v>
      </c>
      <c r="DL2584">
        <v>0</v>
      </c>
      <c r="DM2584">
        <v>0</v>
      </c>
      <c r="DN2584">
        <v>1</v>
      </c>
      <c r="DO2584">
        <v>0</v>
      </c>
      <c r="DP2584">
        <v>0</v>
      </c>
      <c r="DQ2584">
        <v>0</v>
      </c>
      <c r="DR2584">
        <v>0</v>
      </c>
      <c r="DS2584">
        <v>0</v>
      </c>
    </row>
    <row r="2585" spans="1:123" x14ac:dyDescent="0.3">
      <c r="A2585" t="str">
        <f>"10/04/2022 19:32:29.744"</f>
        <v>10/04/2022 19:32:29.744</v>
      </c>
      <c r="C2585" t="str">
        <f t="shared" si="913"/>
        <v>FFDDD3C0</v>
      </c>
      <c r="D2585" t="s">
        <v>147</v>
      </c>
      <c r="E2585">
        <v>3</v>
      </c>
      <c r="H2585">
        <v>166</v>
      </c>
      <c r="I2585" t="s">
        <v>144</v>
      </c>
      <c r="J2585" t="s">
        <v>148</v>
      </c>
      <c r="K2585">
        <v>0</v>
      </c>
      <c r="L2585">
        <v>3</v>
      </c>
      <c r="M2585">
        <v>0</v>
      </c>
      <c r="N2585">
        <v>2</v>
      </c>
      <c r="O2585">
        <v>0</v>
      </c>
      <c r="P2585">
        <v>1</v>
      </c>
      <c r="Q2585">
        <v>0</v>
      </c>
      <c r="S2585" t="str">
        <f t="shared" si="935"/>
        <v>19:32:29.000</v>
      </c>
      <c r="T2585" t="str">
        <f t="shared" si="935"/>
        <v>19:32:29.000</v>
      </c>
      <c r="U2585" t="str">
        <f t="shared" si="925"/>
        <v>AC3944</v>
      </c>
      <c r="V2585">
        <v>0</v>
      </c>
      <c r="W2585">
        <v>0</v>
      </c>
      <c r="X2585">
        <v>2</v>
      </c>
      <c r="Y2585">
        <v>0</v>
      </c>
      <c r="AA2585">
        <v>1</v>
      </c>
      <c r="AB2585">
        <v>8</v>
      </c>
      <c r="AC2585">
        <v>3</v>
      </c>
      <c r="AD2585">
        <v>0</v>
      </c>
      <c r="AE2585">
        <v>9</v>
      </c>
      <c r="AF2585" t="s">
        <v>138</v>
      </c>
      <c r="AG2585">
        <v>0</v>
      </c>
      <c r="AH2585">
        <v>3</v>
      </c>
      <c r="AI2585">
        <v>1</v>
      </c>
      <c r="AJ2585">
        <v>0</v>
      </c>
      <c r="AK2585" t="s">
        <v>884</v>
      </c>
      <c r="AL2585">
        <v>32.749450000000003</v>
      </c>
      <c r="AM2585" t="s">
        <v>885</v>
      </c>
      <c r="AN2585">
        <v>-116.77458300000001</v>
      </c>
      <c r="AO2585">
        <v>25</v>
      </c>
      <c r="AP2585">
        <v>3300</v>
      </c>
      <c r="AQ2585" t="s">
        <v>129</v>
      </c>
      <c r="AR2585">
        <v>106</v>
      </c>
      <c r="AS2585">
        <v>-83</v>
      </c>
      <c r="AT2585">
        <v>640</v>
      </c>
      <c r="BB2585">
        <v>1200</v>
      </c>
      <c r="BC2585">
        <v>1</v>
      </c>
      <c r="BD2585" t="str">
        <f t="shared" si="926"/>
        <v xml:space="preserve">N887QR  </v>
      </c>
      <c r="BE2585">
        <v>1</v>
      </c>
      <c r="BJ2585">
        <v>3000</v>
      </c>
      <c r="BK2585">
        <v>-300</v>
      </c>
      <c r="BL2585" t="s">
        <v>163</v>
      </c>
      <c r="BM2585">
        <v>1</v>
      </c>
      <c r="BN2585">
        <v>1</v>
      </c>
      <c r="BO2585">
        <v>1</v>
      </c>
      <c r="BP2585">
        <v>0</v>
      </c>
      <c r="BS2585">
        <v>0.08</v>
      </c>
      <c r="BT2585">
        <v>0</v>
      </c>
      <c r="BU2585">
        <v>0</v>
      </c>
      <c r="CE2585" t="str">
        <f t="shared" si="936"/>
        <v>19:32:29.482</v>
      </c>
      <c r="CF2585">
        <v>482051360</v>
      </c>
      <c r="CS2585">
        <v>0</v>
      </c>
      <c r="CT2585">
        <v>2</v>
      </c>
      <c r="CU2585">
        <v>0</v>
      </c>
      <c r="CV2585">
        <v>2</v>
      </c>
      <c r="CW2585">
        <v>0</v>
      </c>
      <c r="CX2585">
        <v>5</v>
      </c>
      <c r="CY2585">
        <v>7</v>
      </c>
      <c r="CZ2585" t="s">
        <v>131</v>
      </c>
      <c r="DA2585">
        <v>300</v>
      </c>
      <c r="DB2585">
        <v>0</v>
      </c>
      <c r="DC2585" t="s">
        <v>176</v>
      </c>
      <c r="DD2585" t="s">
        <v>177</v>
      </c>
      <c r="DG2585">
        <v>5416376</v>
      </c>
      <c r="DI2585">
        <v>1</v>
      </c>
      <c r="DJ2585">
        <v>0</v>
      </c>
      <c r="DK2585">
        <v>1</v>
      </c>
      <c r="DL2585">
        <v>0</v>
      </c>
      <c r="DM2585">
        <v>0</v>
      </c>
      <c r="DN2585">
        <v>1</v>
      </c>
      <c r="DO2585">
        <v>0</v>
      </c>
      <c r="DP2585">
        <v>0</v>
      </c>
      <c r="DQ2585">
        <v>0</v>
      </c>
      <c r="DR2585">
        <v>0</v>
      </c>
      <c r="DS2585">
        <v>0</v>
      </c>
    </row>
    <row r="2586" spans="1:123" x14ac:dyDescent="0.3">
      <c r="A2586" t="str">
        <f>"10/04/2022 19:32:29.744"</f>
        <v>10/04/2022 19:32:29.744</v>
      </c>
      <c r="C2586" t="str">
        <f t="shared" si="913"/>
        <v>FFDDD3C0</v>
      </c>
      <c r="D2586" t="s">
        <v>141</v>
      </c>
      <c r="E2586">
        <v>4</v>
      </c>
      <c r="H2586">
        <v>4</v>
      </c>
      <c r="I2586" t="s">
        <v>142</v>
      </c>
      <c r="J2586" t="s">
        <v>138</v>
      </c>
      <c r="K2586">
        <v>0</v>
      </c>
      <c r="L2586">
        <v>3</v>
      </c>
      <c r="M2586">
        <v>0</v>
      </c>
      <c r="N2586">
        <v>2</v>
      </c>
      <c r="O2586">
        <v>0</v>
      </c>
      <c r="P2586">
        <v>1</v>
      </c>
      <c r="Q2586">
        <v>0</v>
      </c>
      <c r="S2586" t="str">
        <f t="shared" si="935"/>
        <v>19:32:29.000</v>
      </c>
      <c r="T2586" t="str">
        <f t="shared" si="935"/>
        <v>19:32:29.000</v>
      </c>
      <c r="U2586" t="str">
        <f t="shared" si="925"/>
        <v>AC3944</v>
      </c>
      <c r="V2586">
        <v>0</v>
      </c>
      <c r="W2586">
        <v>0</v>
      </c>
      <c r="X2586">
        <v>2</v>
      </c>
      <c r="Y2586">
        <v>0</v>
      </c>
      <c r="AA2586">
        <v>1</v>
      </c>
      <c r="AB2586">
        <v>8</v>
      </c>
      <c r="AC2586">
        <v>3</v>
      </c>
      <c r="AD2586">
        <v>0</v>
      </c>
      <c r="AE2586">
        <v>9</v>
      </c>
      <c r="AF2586" t="s">
        <v>138</v>
      </c>
      <c r="AG2586">
        <v>0</v>
      </c>
      <c r="AH2586">
        <v>3</v>
      </c>
      <c r="AI2586">
        <v>1</v>
      </c>
      <c r="AJ2586">
        <v>0</v>
      </c>
      <c r="AK2586" t="s">
        <v>884</v>
      </c>
      <c r="AL2586">
        <v>32.749450000000003</v>
      </c>
      <c r="AM2586" t="s">
        <v>885</v>
      </c>
      <c r="AN2586">
        <v>-116.77458300000001</v>
      </c>
      <c r="AO2586">
        <v>25</v>
      </c>
      <c r="AP2586">
        <v>3300</v>
      </c>
      <c r="AQ2586" t="s">
        <v>129</v>
      </c>
      <c r="AR2586">
        <v>106</v>
      </c>
      <c r="AS2586">
        <v>-83</v>
      </c>
      <c r="AT2586">
        <v>640</v>
      </c>
      <c r="BB2586">
        <v>1200</v>
      </c>
      <c r="BC2586">
        <v>1</v>
      </c>
      <c r="BD2586" t="str">
        <f t="shared" si="926"/>
        <v xml:space="preserve">N887QR  </v>
      </c>
      <c r="BE2586">
        <v>1</v>
      </c>
      <c r="BJ2586">
        <v>3000</v>
      </c>
      <c r="BK2586">
        <v>-300</v>
      </c>
      <c r="BL2586" t="s">
        <v>163</v>
      </c>
      <c r="BM2586">
        <v>1</v>
      </c>
      <c r="BN2586">
        <v>1</v>
      </c>
      <c r="BO2586">
        <v>1</v>
      </c>
      <c r="BP2586">
        <v>0</v>
      </c>
      <c r="BS2586">
        <v>0.08</v>
      </c>
      <c r="BT2586">
        <v>0</v>
      </c>
      <c r="BU2586">
        <v>0</v>
      </c>
      <c r="CE2586" t="str">
        <f t="shared" si="936"/>
        <v>19:32:29.482</v>
      </c>
      <c r="CF2586">
        <v>482051360</v>
      </c>
      <c r="CS2586">
        <v>0</v>
      </c>
      <c r="CT2586">
        <v>2</v>
      </c>
      <c r="CU2586">
        <v>0</v>
      </c>
      <c r="CV2586">
        <v>2</v>
      </c>
      <c r="CW2586">
        <v>0</v>
      </c>
      <c r="CX2586">
        <v>5</v>
      </c>
      <c r="CY2586">
        <v>7</v>
      </c>
      <c r="CZ2586" t="s">
        <v>131</v>
      </c>
      <c r="DA2586">
        <v>300</v>
      </c>
      <c r="DB2586">
        <v>0</v>
      </c>
      <c r="DC2586" t="s">
        <v>176</v>
      </c>
      <c r="DD2586" t="s">
        <v>177</v>
      </c>
      <c r="DG2586">
        <v>5416376</v>
      </c>
      <c r="DI2586">
        <v>1</v>
      </c>
      <c r="DJ2586">
        <v>0</v>
      </c>
      <c r="DK2586">
        <v>1</v>
      </c>
      <c r="DL2586">
        <v>0</v>
      </c>
      <c r="DM2586">
        <v>0</v>
      </c>
      <c r="DN2586">
        <v>1</v>
      </c>
      <c r="DO2586">
        <v>0</v>
      </c>
      <c r="DP2586">
        <v>0</v>
      </c>
      <c r="DQ2586">
        <v>0</v>
      </c>
      <c r="DR2586">
        <v>0</v>
      </c>
      <c r="DS2586">
        <v>0</v>
      </c>
    </row>
    <row r="2587" spans="1:123" x14ac:dyDescent="0.3">
      <c r="A2587" t="str">
        <f>"10/04/2022 19:32:29.744"</f>
        <v>10/04/2022 19:32:29.744</v>
      </c>
      <c r="C2587" t="str">
        <f t="shared" si="913"/>
        <v>FFDDD3C0</v>
      </c>
      <c r="D2587" t="s">
        <v>136</v>
      </c>
      <c r="E2587">
        <v>8</v>
      </c>
      <c r="H2587">
        <v>225</v>
      </c>
      <c r="I2587" t="s">
        <v>137</v>
      </c>
      <c r="J2587" t="s">
        <v>138</v>
      </c>
      <c r="K2587">
        <v>0</v>
      </c>
      <c r="L2587">
        <v>3</v>
      </c>
      <c r="M2587">
        <v>0</v>
      </c>
      <c r="N2587">
        <v>2</v>
      </c>
      <c r="O2587">
        <v>0</v>
      </c>
      <c r="P2587">
        <v>1</v>
      </c>
      <c r="Q2587">
        <v>0</v>
      </c>
      <c r="S2587" t="str">
        <f t="shared" si="935"/>
        <v>19:32:29.000</v>
      </c>
      <c r="T2587" t="str">
        <f t="shared" si="935"/>
        <v>19:32:29.000</v>
      </c>
      <c r="U2587" t="str">
        <f t="shared" si="925"/>
        <v>AC3944</v>
      </c>
      <c r="V2587">
        <v>0</v>
      </c>
      <c r="W2587">
        <v>0</v>
      </c>
      <c r="X2587">
        <v>2</v>
      </c>
      <c r="Y2587">
        <v>0</v>
      </c>
      <c r="AA2587">
        <v>1</v>
      </c>
      <c r="AB2587">
        <v>8</v>
      </c>
      <c r="AC2587">
        <v>3</v>
      </c>
      <c r="AD2587">
        <v>0</v>
      </c>
      <c r="AE2587">
        <v>9</v>
      </c>
      <c r="AF2587" t="s">
        <v>138</v>
      </c>
      <c r="AG2587">
        <v>0</v>
      </c>
      <c r="AH2587">
        <v>3</v>
      </c>
      <c r="AI2587">
        <v>1</v>
      </c>
      <c r="AJ2587">
        <v>0</v>
      </c>
      <c r="AK2587" t="s">
        <v>884</v>
      </c>
      <c r="AL2587">
        <v>32.749450000000003</v>
      </c>
      <c r="AM2587" t="s">
        <v>885</v>
      </c>
      <c r="AN2587">
        <v>-116.77458300000001</v>
      </c>
      <c r="AO2587">
        <v>25</v>
      </c>
      <c r="AP2587">
        <v>3300</v>
      </c>
      <c r="AQ2587" t="s">
        <v>129</v>
      </c>
      <c r="AR2587">
        <v>106</v>
      </c>
      <c r="AS2587">
        <v>-83</v>
      </c>
      <c r="AT2587">
        <v>640</v>
      </c>
      <c r="BB2587">
        <v>1200</v>
      </c>
      <c r="BC2587">
        <v>1</v>
      </c>
      <c r="BD2587" t="str">
        <f t="shared" si="926"/>
        <v xml:space="preserve">N887QR  </v>
      </c>
      <c r="BE2587">
        <v>1</v>
      </c>
      <c r="BJ2587">
        <v>3000</v>
      </c>
      <c r="BK2587">
        <v>-300</v>
      </c>
      <c r="BL2587" t="s">
        <v>163</v>
      </c>
      <c r="BM2587">
        <v>1</v>
      </c>
      <c r="BN2587">
        <v>1</v>
      </c>
      <c r="BO2587">
        <v>1</v>
      </c>
      <c r="BP2587">
        <v>0</v>
      </c>
      <c r="BS2587">
        <v>0.08</v>
      </c>
      <c r="BT2587">
        <v>0</v>
      </c>
      <c r="BU2587">
        <v>0</v>
      </c>
      <c r="CE2587" t="str">
        <f t="shared" si="936"/>
        <v>19:32:29.482</v>
      </c>
      <c r="CF2587">
        <v>482051360</v>
      </c>
      <c r="CS2587">
        <v>0</v>
      </c>
      <c r="CT2587">
        <v>2</v>
      </c>
      <c r="CU2587">
        <v>0</v>
      </c>
      <c r="CV2587">
        <v>2</v>
      </c>
      <c r="CW2587">
        <v>0</v>
      </c>
      <c r="CX2587">
        <v>5</v>
      </c>
      <c r="CY2587">
        <v>7</v>
      </c>
      <c r="CZ2587" t="s">
        <v>131</v>
      </c>
      <c r="DA2587">
        <v>300</v>
      </c>
      <c r="DB2587">
        <v>0</v>
      </c>
      <c r="DC2587" t="s">
        <v>176</v>
      </c>
      <c r="DD2587" t="s">
        <v>177</v>
      </c>
      <c r="DG2587">
        <v>5416376</v>
      </c>
      <c r="DI2587">
        <v>1</v>
      </c>
      <c r="DJ2587">
        <v>0</v>
      </c>
      <c r="DK2587">
        <v>1</v>
      </c>
      <c r="DL2587">
        <v>0</v>
      </c>
      <c r="DM2587">
        <v>0</v>
      </c>
      <c r="DN2587">
        <v>1</v>
      </c>
      <c r="DO2587">
        <v>0</v>
      </c>
      <c r="DP2587">
        <v>0</v>
      </c>
      <c r="DQ2587">
        <v>0</v>
      </c>
      <c r="DR2587">
        <v>0</v>
      </c>
      <c r="DS2587">
        <v>0</v>
      </c>
    </row>
    <row r="2588" spans="1:123" x14ac:dyDescent="0.3">
      <c r="A2588" t="str">
        <f>"10/04/2022 19:32:29.744"</f>
        <v>10/04/2022 19:32:29.744</v>
      </c>
      <c r="C2588" t="str">
        <f t="shared" si="913"/>
        <v>FFDDD3C0</v>
      </c>
      <c r="D2588" t="s">
        <v>141</v>
      </c>
      <c r="E2588">
        <v>3</v>
      </c>
      <c r="H2588">
        <v>3</v>
      </c>
      <c r="I2588" t="s">
        <v>146</v>
      </c>
      <c r="J2588" t="s">
        <v>138</v>
      </c>
      <c r="K2588">
        <v>0</v>
      </c>
      <c r="L2588">
        <v>3</v>
      </c>
      <c r="M2588">
        <v>0</v>
      </c>
      <c r="N2588">
        <v>2</v>
      </c>
      <c r="O2588">
        <v>0</v>
      </c>
      <c r="P2588">
        <v>1</v>
      </c>
      <c r="Q2588">
        <v>0</v>
      </c>
      <c r="S2588" t="str">
        <f t="shared" si="935"/>
        <v>19:32:29.000</v>
      </c>
      <c r="T2588" t="str">
        <f t="shared" si="935"/>
        <v>19:32:29.000</v>
      </c>
      <c r="U2588" t="str">
        <f t="shared" si="925"/>
        <v>AC3944</v>
      </c>
      <c r="V2588">
        <v>0</v>
      </c>
      <c r="W2588">
        <v>0</v>
      </c>
      <c r="X2588">
        <v>2</v>
      </c>
      <c r="Y2588">
        <v>0</v>
      </c>
      <c r="AA2588">
        <v>1</v>
      </c>
      <c r="AB2588">
        <v>8</v>
      </c>
      <c r="AC2588">
        <v>3</v>
      </c>
      <c r="AD2588">
        <v>0</v>
      </c>
      <c r="AE2588">
        <v>9</v>
      </c>
      <c r="AF2588" t="s">
        <v>138</v>
      </c>
      <c r="AG2588">
        <v>0</v>
      </c>
      <c r="AH2588">
        <v>3</v>
      </c>
      <c r="AI2588">
        <v>1</v>
      </c>
      <c r="AJ2588">
        <v>0</v>
      </c>
      <c r="AK2588" t="s">
        <v>884</v>
      </c>
      <c r="AL2588">
        <v>32.749450000000003</v>
      </c>
      <c r="AM2588" t="s">
        <v>885</v>
      </c>
      <c r="AN2588">
        <v>-116.77458300000001</v>
      </c>
      <c r="AO2588">
        <v>25</v>
      </c>
      <c r="AP2588">
        <v>3300</v>
      </c>
      <c r="AQ2588" t="s">
        <v>129</v>
      </c>
      <c r="AR2588">
        <v>106</v>
      </c>
      <c r="AS2588">
        <v>-83</v>
      </c>
      <c r="AT2588">
        <v>640</v>
      </c>
      <c r="BB2588">
        <v>1200</v>
      </c>
      <c r="BC2588">
        <v>1</v>
      </c>
      <c r="BD2588" t="str">
        <f t="shared" si="926"/>
        <v xml:space="preserve">N887QR  </v>
      </c>
      <c r="BE2588">
        <v>1</v>
      </c>
      <c r="BJ2588">
        <v>3000</v>
      </c>
      <c r="BK2588">
        <v>-300</v>
      </c>
      <c r="BL2588" t="s">
        <v>163</v>
      </c>
      <c r="BM2588">
        <v>1</v>
      </c>
      <c r="BN2588">
        <v>1</v>
      </c>
      <c r="BO2588">
        <v>1</v>
      </c>
      <c r="BP2588">
        <v>0</v>
      </c>
      <c r="BS2588">
        <v>0.08</v>
      </c>
      <c r="BT2588">
        <v>0</v>
      </c>
      <c r="BU2588">
        <v>0</v>
      </c>
      <c r="CE2588" t="str">
        <f t="shared" si="936"/>
        <v>19:32:29.482</v>
      </c>
      <c r="CF2588">
        <v>482051360</v>
      </c>
      <c r="CS2588">
        <v>0</v>
      </c>
      <c r="CT2588">
        <v>2</v>
      </c>
      <c r="CU2588">
        <v>0</v>
      </c>
      <c r="CV2588">
        <v>2</v>
      </c>
      <c r="CW2588">
        <v>0</v>
      </c>
      <c r="CX2588">
        <v>5</v>
      </c>
      <c r="CY2588">
        <v>7</v>
      </c>
      <c r="CZ2588" t="s">
        <v>131</v>
      </c>
      <c r="DA2588">
        <v>300</v>
      </c>
      <c r="DB2588">
        <v>0</v>
      </c>
      <c r="DC2588" t="s">
        <v>176</v>
      </c>
      <c r="DD2588" t="s">
        <v>177</v>
      </c>
      <c r="DG2588">
        <v>5416376</v>
      </c>
      <c r="DI2588">
        <v>1</v>
      </c>
      <c r="DJ2588">
        <v>0</v>
      </c>
      <c r="DK2588">
        <v>1</v>
      </c>
      <c r="DL2588">
        <v>0</v>
      </c>
      <c r="DM2588">
        <v>0</v>
      </c>
      <c r="DN2588">
        <v>1</v>
      </c>
      <c r="DO2588">
        <v>0</v>
      </c>
      <c r="DP2588">
        <v>0</v>
      </c>
      <c r="DQ2588">
        <v>0</v>
      </c>
      <c r="DR2588">
        <v>0</v>
      </c>
      <c r="DS2588">
        <v>0</v>
      </c>
    </row>
    <row r="2589" spans="1:123" x14ac:dyDescent="0.3">
      <c r="A2589" t="str">
        <f>"10/04/2022 19:32:29.759"</f>
        <v>10/04/2022 19:32:29.759</v>
      </c>
      <c r="C2589" t="str">
        <f t="shared" si="913"/>
        <v>FFDDD3C0</v>
      </c>
      <c r="D2589" t="s">
        <v>143</v>
      </c>
      <c r="E2589">
        <v>20</v>
      </c>
      <c r="F2589">
        <v>1020</v>
      </c>
      <c r="G2589" t="s">
        <v>144</v>
      </c>
      <c r="J2589" t="s">
        <v>145</v>
      </c>
      <c r="K2589">
        <v>0</v>
      </c>
      <c r="L2589">
        <v>3</v>
      </c>
      <c r="M2589">
        <v>0</v>
      </c>
      <c r="N2589">
        <v>2</v>
      </c>
      <c r="O2589">
        <v>0</v>
      </c>
      <c r="P2589">
        <v>1</v>
      </c>
      <c r="Q2589">
        <v>0</v>
      </c>
      <c r="S2589" t="str">
        <f t="shared" si="935"/>
        <v>19:32:29.000</v>
      </c>
      <c r="T2589" t="str">
        <f t="shared" si="935"/>
        <v>19:32:29.000</v>
      </c>
      <c r="U2589" t="str">
        <f t="shared" si="925"/>
        <v>AC3944</v>
      </c>
      <c r="V2589">
        <v>0</v>
      </c>
      <c r="W2589">
        <v>0</v>
      </c>
      <c r="X2589">
        <v>2</v>
      </c>
      <c r="Y2589">
        <v>0</v>
      </c>
      <c r="AA2589">
        <v>1</v>
      </c>
      <c r="AB2589">
        <v>8</v>
      </c>
      <c r="AC2589">
        <v>3</v>
      </c>
      <c r="AD2589">
        <v>0</v>
      </c>
      <c r="AE2589">
        <v>9</v>
      </c>
      <c r="AF2589" t="s">
        <v>138</v>
      </c>
      <c r="AG2589">
        <v>0</v>
      </c>
      <c r="AH2589">
        <v>3</v>
      </c>
      <c r="AI2589">
        <v>1</v>
      </c>
      <c r="AJ2589">
        <v>0</v>
      </c>
      <c r="AK2589" t="s">
        <v>884</v>
      </c>
      <c r="AL2589">
        <v>32.749450000000003</v>
      </c>
      <c r="AM2589" t="s">
        <v>885</v>
      </c>
      <c r="AN2589">
        <v>-116.77458300000001</v>
      </c>
      <c r="AO2589">
        <v>25</v>
      </c>
      <c r="AP2589">
        <v>3300</v>
      </c>
      <c r="AQ2589" t="s">
        <v>129</v>
      </c>
      <c r="AR2589">
        <v>106</v>
      </c>
      <c r="AS2589">
        <v>-83</v>
      </c>
      <c r="AT2589">
        <v>640</v>
      </c>
      <c r="BB2589">
        <v>1200</v>
      </c>
      <c r="BC2589">
        <v>1</v>
      </c>
      <c r="BD2589" t="str">
        <f t="shared" si="926"/>
        <v xml:space="preserve">N887QR  </v>
      </c>
      <c r="BE2589">
        <v>1</v>
      </c>
      <c r="BJ2589">
        <v>3000</v>
      </c>
      <c r="BK2589">
        <v>-300</v>
      </c>
      <c r="BL2589" t="s">
        <v>163</v>
      </c>
      <c r="BM2589">
        <v>1</v>
      </c>
      <c r="BN2589">
        <v>1</v>
      </c>
      <c r="BO2589">
        <v>1</v>
      </c>
      <c r="BP2589">
        <v>0</v>
      </c>
      <c r="BS2589">
        <v>0.08</v>
      </c>
      <c r="BT2589">
        <v>0</v>
      </c>
      <c r="BU2589">
        <v>0</v>
      </c>
      <c r="CE2589" t="str">
        <f t="shared" si="936"/>
        <v>19:32:29.482</v>
      </c>
      <c r="CF2589">
        <v>482051360</v>
      </c>
      <c r="CS2589">
        <v>0</v>
      </c>
      <c r="CT2589">
        <v>2</v>
      </c>
      <c r="CU2589">
        <v>0</v>
      </c>
      <c r="CV2589">
        <v>2</v>
      </c>
      <c r="CW2589">
        <v>0</v>
      </c>
      <c r="CX2589">
        <v>5</v>
      </c>
      <c r="CY2589">
        <v>7</v>
      </c>
      <c r="CZ2589" t="s">
        <v>131</v>
      </c>
      <c r="DA2589">
        <v>300</v>
      </c>
      <c r="DB2589">
        <v>0</v>
      </c>
      <c r="DC2589" t="s">
        <v>176</v>
      </c>
      <c r="DD2589" t="s">
        <v>177</v>
      </c>
      <c r="DG2589">
        <v>5416376</v>
      </c>
      <c r="DI2589">
        <v>1</v>
      </c>
      <c r="DJ2589">
        <v>0</v>
      </c>
      <c r="DK2589">
        <v>1</v>
      </c>
      <c r="DL2589">
        <v>0</v>
      </c>
      <c r="DM2589">
        <v>0</v>
      </c>
      <c r="DN2589">
        <v>1</v>
      </c>
      <c r="DO2589">
        <v>0</v>
      </c>
      <c r="DP2589">
        <v>0</v>
      </c>
      <c r="DQ2589">
        <v>0</v>
      </c>
      <c r="DR2589">
        <v>0</v>
      </c>
      <c r="DS2589">
        <v>0</v>
      </c>
    </row>
    <row r="2590" spans="1:123" x14ac:dyDescent="0.3">
      <c r="A2590" t="str">
        <f>"10/04/2022 19:32:29.759"</f>
        <v>10/04/2022 19:32:29.759</v>
      </c>
      <c r="C2590" t="str">
        <f t="shared" si="913"/>
        <v>FFDDD3C0</v>
      </c>
      <c r="D2590" t="s">
        <v>134</v>
      </c>
      <c r="E2590">
        <v>15</v>
      </c>
      <c r="J2590" t="s">
        <v>135</v>
      </c>
      <c r="K2590">
        <v>0</v>
      </c>
      <c r="L2590">
        <v>3</v>
      </c>
      <c r="M2590">
        <v>0</v>
      </c>
      <c r="N2590">
        <v>2</v>
      </c>
      <c r="O2590">
        <v>0</v>
      </c>
      <c r="P2590">
        <v>1</v>
      </c>
      <c r="Q2590">
        <v>0</v>
      </c>
      <c r="S2590" t="str">
        <f t="shared" si="935"/>
        <v>19:32:29.000</v>
      </c>
      <c r="T2590" t="str">
        <f t="shared" si="935"/>
        <v>19:32:29.000</v>
      </c>
      <c r="U2590" t="str">
        <f t="shared" si="925"/>
        <v>AC3944</v>
      </c>
      <c r="V2590">
        <v>0</v>
      </c>
      <c r="W2590">
        <v>0</v>
      </c>
      <c r="X2590">
        <v>2</v>
      </c>
      <c r="Y2590">
        <v>0</v>
      </c>
      <c r="AA2590">
        <v>1</v>
      </c>
      <c r="AB2590">
        <v>8</v>
      </c>
      <c r="AC2590">
        <v>3</v>
      </c>
      <c r="AD2590">
        <v>0</v>
      </c>
      <c r="AE2590">
        <v>9</v>
      </c>
      <c r="AF2590" t="s">
        <v>138</v>
      </c>
      <c r="AG2590">
        <v>0</v>
      </c>
      <c r="AH2590">
        <v>3</v>
      </c>
      <c r="AI2590">
        <v>1</v>
      </c>
      <c r="AJ2590">
        <v>0</v>
      </c>
      <c r="AK2590" t="s">
        <v>884</v>
      </c>
      <c r="AL2590">
        <v>32.749450000000003</v>
      </c>
      <c r="AM2590" t="s">
        <v>885</v>
      </c>
      <c r="AN2590">
        <v>-116.77458300000001</v>
      </c>
      <c r="AO2590">
        <v>25</v>
      </c>
      <c r="AP2590">
        <v>3300</v>
      </c>
      <c r="AQ2590" t="s">
        <v>129</v>
      </c>
      <c r="AR2590">
        <v>106</v>
      </c>
      <c r="AS2590">
        <v>-83</v>
      </c>
      <c r="AT2590">
        <v>640</v>
      </c>
      <c r="BB2590">
        <v>1200</v>
      </c>
      <c r="BC2590">
        <v>1</v>
      </c>
      <c r="BD2590" t="str">
        <f t="shared" si="926"/>
        <v xml:space="preserve">N887QR  </v>
      </c>
      <c r="BE2590">
        <v>1</v>
      </c>
      <c r="BJ2590">
        <v>3000</v>
      </c>
      <c r="BK2590">
        <v>-300</v>
      </c>
      <c r="BL2590" t="s">
        <v>163</v>
      </c>
      <c r="BM2590">
        <v>1</v>
      </c>
      <c r="BN2590">
        <v>1</v>
      </c>
      <c r="BO2590">
        <v>1</v>
      </c>
      <c r="BP2590">
        <v>0</v>
      </c>
      <c r="BS2590">
        <v>0.08</v>
      </c>
      <c r="BT2590">
        <v>0</v>
      </c>
      <c r="BU2590">
        <v>0</v>
      </c>
      <c r="CE2590" t="str">
        <f t="shared" si="936"/>
        <v>19:32:29.482</v>
      </c>
      <c r="CF2590">
        <v>482051360</v>
      </c>
      <c r="CS2590">
        <v>0</v>
      </c>
      <c r="CT2590">
        <v>2</v>
      </c>
      <c r="CU2590">
        <v>0</v>
      </c>
      <c r="CV2590">
        <v>2</v>
      </c>
      <c r="CW2590">
        <v>0</v>
      </c>
      <c r="CX2590">
        <v>5</v>
      </c>
      <c r="CY2590">
        <v>7</v>
      </c>
      <c r="CZ2590" t="s">
        <v>131</v>
      </c>
      <c r="DA2590">
        <v>300</v>
      </c>
      <c r="DB2590">
        <v>0</v>
      </c>
      <c r="DC2590" t="s">
        <v>176</v>
      </c>
      <c r="DD2590" t="s">
        <v>177</v>
      </c>
      <c r="DG2590">
        <v>5416376</v>
      </c>
      <c r="DI2590">
        <v>1</v>
      </c>
      <c r="DJ2590">
        <v>0</v>
      </c>
      <c r="DK2590">
        <v>1</v>
      </c>
      <c r="DL2590">
        <v>0</v>
      </c>
      <c r="DM2590">
        <v>0</v>
      </c>
      <c r="DN2590">
        <v>1</v>
      </c>
      <c r="DO2590">
        <v>0</v>
      </c>
      <c r="DP2590">
        <v>0</v>
      </c>
      <c r="DQ2590">
        <v>0</v>
      </c>
      <c r="DR2590">
        <v>0</v>
      </c>
      <c r="DS2590">
        <v>0</v>
      </c>
    </row>
    <row r="2591" spans="1:123" x14ac:dyDescent="0.3">
      <c r="A2591" t="str">
        <f>"10/04/2022 19:32:30.385"</f>
        <v>10/04/2022 19:32:30.385</v>
      </c>
      <c r="C2591" t="str">
        <f t="shared" si="913"/>
        <v>FFDDD3C0</v>
      </c>
      <c r="D2591" t="s">
        <v>143</v>
      </c>
      <c r="E2591">
        <v>20</v>
      </c>
      <c r="F2591">
        <v>1020</v>
      </c>
      <c r="G2591" t="s">
        <v>144</v>
      </c>
      <c r="J2591" t="s">
        <v>145</v>
      </c>
      <c r="K2591">
        <v>0</v>
      </c>
      <c r="L2591">
        <v>3</v>
      </c>
      <c r="M2591">
        <v>0</v>
      </c>
      <c r="N2591">
        <v>2</v>
      </c>
      <c r="O2591">
        <v>0</v>
      </c>
      <c r="P2591">
        <v>1</v>
      </c>
      <c r="Q2591">
        <v>0</v>
      </c>
      <c r="S2591" t="str">
        <f t="shared" ref="S2591:T2597" si="937">"19:32:30.000"</f>
        <v>19:32:30.000</v>
      </c>
      <c r="T2591" t="str">
        <f t="shared" si="937"/>
        <v>19:32:30.000</v>
      </c>
      <c r="U2591" t="str">
        <f t="shared" si="925"/>
        <v>AC3944</v>
      </c>
      <c r="V2591">
        <v>0</v>
      </c>
      <c r="W2591">
        <v>0</v>
      </c>
      <c r="X2591">
        <v>2</v>
      </c>
      <c r="Y2591">
        <v>0</v>
      </c>
      <c r="AA2591">
        <v>1</v>
      </c>
      <c r="AB2591">
        <v>8</v>
      </c>
      <c r="AC2591">
        <v>3</v>
      </c>
      <c r="AD2591">
        <v>0</v>
      </c>
      <c r="AE2591">
        <v>9</v>
      </c>
      <c r="AF2591" t="s">
        <v>138</v>
      </c>
      <c r="AG2591">
        <v>0</v>
      </c>
      <c r="AH2591">
        <v>3</v>
      </c>
      <c r="AI2591">
        <v>1</v>
      </c>
      <c r="AJ2591">
        <v>0</v>
      </c>
      <c r="AK2591" t="s">
        <v>886</v>
      </c>
      <c r="AL2591">
        <v>32.749063999999997</v>
      </c>
      <c r="AM2591" t="s">
        <v>887</v>
      </c>
      <c r="AN2591">
        <v>-116.773982</v>
      </c>
      <c r="AO2591">
        <v>25</v>
      </c>
      <c r="AP2591">
        <v>3300</v>
      </c>
      <c r="AQ2591" t="s">
        <v>129</v>
      </c>
      <c r="AR2591">
        <v>105</v>
      </c>
      <c r="AS2591">
        <v>-84</v>
      </c>
      <c r="AT2591">
        <v>640</v>
      </c>
      <c r="BB2591">
        <v>1200</v>
      </c>
      <c r="BC2591">
        <v>1</v>
      </c>
      <c r="BD2591" t="str">
        <f t="shared" si="926"/>
        <v xml:space="preserve">N887QR  </v>
      </c>
      <c r="BE2591">
        <v>1</v>
      </c>
      <c r="BJ2591">
        <v>3000</v>
      </c>
      <c r="BK2591">
        <v>-300</v>
      </c>
      <c r="BL2591" t="s">
        <v>163</v>
      </c>
      <c r="BM2591">
        <v>1</v>
      </c>
      <c r="BN2591">
        <v>1</v>
      </c>
      <c r="BO2591">
        <v>1</v>
      </c>
      <c r="BP2591">
        <v>0</v>
      </c>
      <c r="BS2591">
        <v>0.08</v>
      </c>
      <c r="BT2591">
        <v>0</v>
      </c>
      <c r="BU2591">
        <v>0</v>
      </c>
      <c r="CE2591" t="str">
        <f t="shared" ref="CE2591:CE2597" si="938">"19:32:30.063"</f>
        <v>19:32:30.063</v>
      </c>
      <c r="CF2591">
        <v>62553374</v>
      </c>
      <c r="CS2591">
        <v>0</v>
      </c>
      <c r="CT2591">
        <v>2</v>
      </c>
      <c r="CU2591">
        <v>0</v>
      </c>
      <c r="CV2591">
        <v>2</v>
      </c>
      <c r="CW2591">
        <v>0</v>
      </c>
      <c r="CX2591">
        <v>5</v>
      </c>
      <c r="CY2591">
        <v>7</v>
      </c>
      <c r="CZ2591" t="s">
        <v>131</v>
      </c>
      <c r="DA2591">
        <v>300</v>
      </c>
      <c r="DB2591">
        <v>0</v>
      </c>
      <c r="DC2591" t="s">
        <v>176</v>
      </c>
      <c r="DD2591" t="s">
        <v>177</v>
      </c>
      <c r="DG2591">
        <v>5416493</v>
      </c>
      <c r="DI2591">
        <v>1</v>
      </c>
      <c r="DJ2591">
        <v>0</v>
      </c>
      <c r="DK2591">
        <v>0</v>
      </c>
      <c r="DL2591">
        <v>0</v>
      </c>
      <c r="DM2591">
        <v>0</v>
      </c>
      <c r="DN2591">
        <v>1</v>
      </c>
      <c r="DO2591">
        <v>0</v>
      </c>
      <c r="DP2591">
        <v>0</v>
      </c>
      <c r="DQ2591">
        <v>0</v>
      </c>
      <c r="DR2591">
        <v>0</v>
      </c>
      <c r="DS2591">
        <v>0</v>
      </c>
    </row>
    <row r="2592" spans="1:123" x14ac:dyDescent="0.3">
      <c r="A2592" t="str">
        <f>"10/04/2022 19:32:30.417"</f>
        <v>10/04/2022 19:32:30.417</v>
      </c>
      <c r="C2592" t="str">
        <f t="shared" si="913"/>
        <v>FFDDD3C0</v>
      </c>
      <c r="D2592" t="s">
        <v>134</v>
      </c>
      <c r="E2592">
        <v>15</v>
      </c>
      <c r="J2592" t="s">
        <v>135</v>
      </c>
      <c r="K2592">
        <v>0</v>
      </c>
      <c r="L2592">
        <v>3</v>
      </c>
      <c r="M2592">
        <v>0</v>
      </c>
      <c r="N2592">
        <v>2</v>
      </c>
      <c r="O2592">
        <v>0</v>
      </c>
      <c r="P2592">
        <v>1</v>
      </c>
      <c r="Q2592">
        <v>0</v>
      </c>
      <c r="S2592" t="str">
        <f t="shared" si="937"/>
        <v>19:32:30.000</v>
      </c>
      <c r="T2592" t="str">
        <f t="shared" si="937"/>
        <v>19:32:30.000</v>
      </c>
      <c r="U2592" t="str">
        <f t="shared" si="925"/>
        <v>AC3944</v>
      </c>
      <c r="V2592">
        <v>0</v>
      </c>
      <c r="W2592">
        <v>0</v>
      </c>
      <c r="X2592">
        <v>2</v>
      </c>
      <c r="Y2592">
        <v>0</v>
      </c>
      <c r="AA2592">
        <v>1</v>
      </c>
      <c r="AB2592">
        <v>8</v>
      </c>
      <c r="AC2592">
        <v>3</v>
      </c>
      <c r="AD2592">
        <v>0</v>
      </c>
      <c r="AE2592">
        <v>9</v>
      </c>
      <c r="AF2592" t="s">
        <v>138</v>
      </c>
      <c r="AG2592">
        <v>0</v>
      </c>
      <c r="AH2592">
        <v>3</v>
      </c>
      <c r="AI2592">
        <v>1</v>
      </c>
      <c r="AJ2592">
        <v>0</v>
      </c>
      <c r="AK2592" t="s">
        <v>886</v>
      </c>
      <c r="AL2592">
        <v>32.749063999999997</v>
      </c>
      <c r="AM2592" t="s">
        <v>887</v>
      </c>
      <c r="AN2592">
        <v>-116.773982</v>
      </c>
      <c r="AO2592">
        <v>25</v>
      </c>
      <c r="AP2592">
        <v>3300</v>
      </c>
      <c r="AQ2592" t="s">
        <v>129</v>
      </c>
      <c r="AR2592">
        <v>105</v>
      </c>
      <c r="AS2592">
        <v>-84</v>
      </c>
      <c r="AT2592">
        <v>640</v>
      </c>
      <c r="BB2592">
        <v>1200</v>
      </c>
      <c r="BC2592">
        <v>1</v>
      </c>
      <c r="BD2592" t="str">
        <f t="shared" si="926"/>
        <v xml:space="preserve">N887QR  </v>
      </c>
      <c r="BE2592">
        <v>1</v>
      </c>
      <c r="BJ2592">
        <v>3000</v>
      </c>
      <c r="BK2592">
        <v>-300</v>
      </c>
      <c r="BL2592" t="s">
        <v>163</v>
      </c>
      <c r="BM2592">
        <v>1</v>
      </c>
      <c r="BN2592">
        <v>1</v>
      </c>
      <c r="BO2592">
        <v>1</v>
      </c>
      <c r="BP2592">
        <v>0</v>
      </c>
      <c r="BS2592">
        <v>0.08</v>
      </c>
      <c r="BT2592">
        <v>0</v>
      </c>
      <c r="BU2592">
        <v>0</v>
      </c>
      <c r="CE2592" t="str">
        <f t="shared" si="938"/>
        <v>19:32:30.063</v>
      </c>
      <c r="CF2592">
        <v>62553374</v>
      </c>
      <c r="CS2592">
        <v>0</v>
      </c>
      <c r="CT2592">
        <v>2</v>
      </c>
      <c r="CU2592">
        <v>0</v>
      </c>
      <c r="CV2592">
        <v>2</v>
      </c>
      <c r="CW2592">
        <v>0</v>
      </c>
      <c r="CX2592">
        <v>5</v>
      </c>
      <c r="CY2592">
        <v>7</v>
      </c>
      <c r="CZ2592" t="s">
        <v>131</v>
      </c>
      <c r="DA2592">
        <v>300</v>
      </c>
      <c r="DB2592">
        <v>0</v>
      </c>
      <c r="DC2592" t="s">
        <v>176</v>
      </c>
      <c r="DD2592" t="s">
        <v>177</v>
      </c>
      <c r="DG2592">
        <v>5416493</v>
      </c>
      <c r="DI2592">
        <v>1</v>
      </c>
      <c r="DJ2592">
        <v>0</v>
      </c>
      <c r="DK2592">
        <v>1</v>
      </c>
      <c r="DL2592">
        <v>0</v>
      </c>
      <c r="DM2592">
        <v>0</v>
      </c>
      <c r="DN2592">
        <v>1</v>
      </c>
      <c r="DO2592">
        <v>0</v>
      </c>
      <c r="DP2592">
        <v>0</v>
      </c>
      <c r="DQ2592">
        <v>0</v>
      </c>
      <c r="DR2592">
        <v>0</v>
      </c>
      <c r="DS2592">
        <v>0</v>
      </c>
    </row>
    <row r="2593" spans="1:123" x14ac:dyDescent="0.3">
      <c r="A2593" t="str">
        <f>"10/04/2022 19:32:30.495"</f>
        <v>10/04/2022 19:32:30.495</v>
      </c>
      <c r="C2593" t="str">
        <f t="shared" si="913"/>
        <v>FFDDD3C0</v>
      </c>
      <c r="D2593" t="s">
        <v>147</v>
      </c>
      <c r="E2593">
        <v>3</v>
      </c>
      <c r="H2593">
        <v>166</v>
      </c>
      <c r="I2593" t="s">
        <v>144</v>
      </c>
      <c r="J2593" t="s">
        <v>148</v>
      </c>
      <c r="K2593">
        <v>0</v>
      </c>
      <c r="L2593">
        <v>3</v>
      </c>
      <c r="M2593">
        <v>0</v>
      </c>
      <c r="N2593">
        <v>2</v>
      </c>
      <c r="O2593">
        <v>0</v>
      </c>
      <c r="P2593">
        <v>1</v>
      </c>
      <c r="Q2593">
        <v>0</v>
      </c>
      <c r="S2593" t="str">
        <f t="shared" si="937"/>
        <v>19:32:30.000</v>
      </c>
      <c r="T2593" t="str">
        <f t="shared" si="937"/>
        <v>19:32:30.000</v>
      </c>
      <c r="U2593" t="str">
        <f t="shared" si="925"/>
        <v>AC3944</v>
      </c>
      <c r="V2593">
        <v>0</v>
      </c>
      <c r="W2593">
        <v>0</v>
      </c>
      <c r="X2593">
        <v>2</v>
      </c>
      <c r="Y2593">
        <v>0</v>
      </c>
      <c r="AA2593">
        <v>1</v>
      </c>
      <c r="AB2593">
        <v>8</v>
      </c>
      <c r="AC2593">
        <v>3</v>
      </c>
      <c r="AD2593">
        <v>0</v>
      </c>
      <c r="AE2593">
        <v>9</v>
      </c>
      <c r="AF2593" t="s">
        <v>138</v>
      </c>
      <c r="AG2593">
        <v>0</v>
      </c>
      <c r="AH2593">
        <v>3</v>
      </c>
      <c r="AI2593">
        <v>1</v>
      </c>
      <c r="AJ2593">
        <v>0</v>
      </c>
      <c r="AK2593" t="s">
        <v>886</v>
      </c>
      <c r="AL2593">
        <v>32.749063999999997</v>
      </c>
      <c r="AM2593" t="s">
        <v>887</v>
      </c>
      <c r="AN2593">
        <v>-116.773982</v>
      </c>
      <c r="AO2593">
        <v>25</v>
      </c>
      <c r="AP2593">
        <v>3300</v>
      </c>
      <c r="AQ2593" t="s">
        <v>129</v>
      </c>
      <c r="AR2593">
        <v>105</v>
      </c>
      <c r="AS2593">
        <v>-84</v>
      </c>
      <c r="AT2593">
        <v>640</v>
      </c>
      <c r="BB2593">
        <v>1200</v>
      </c>
      <c r="BC2593">
        <v>1</v>
      </c>
      <c r="BD2593" t="str">
        <f t="shared" si="926"/>
        <v xml:space="preserve">N887QR  </v>
      </c>
      <c r="BE2593">
        <v>1</v>
      </c>
      <c r="BJ2593">
        <v>3000</v>
      </c>
      <c r="BK2593">
        <v>-300</v>
      </c>
      <c r="BL2593" t="s">
        <v>163</v>
      </c>
      <c r="BM2593">
        <v>1</v>
      </c>
      <c r="BN2593">
        <v>1</v>
      </c>
      <c r="BO2593">
        <v>1</v>
      </c>
      <c r="BP2593">
        <v>0</v>
      </c>
      <c r="BS2593">
        <v>0.08</v>
      </c>
      <c r="BT2593">
        <v>0</v>
      </c>
      <c r="BU2593">
        <v>0</v>
      </c>
      <c r="CE2593" t="str">
        <f t="shared" si="938"/>
        <v>19:32:30.063</v>
      </c>
      <c r="CF2593">
        <v>62553374</v>
      </c>
      <c r="CS2593">
        <v>0</v>
      </c>
      <c r="CT2593">
        <v>2</v>
      </c>
      <c r="CU2593">
        <v>0</v>
      </c>
      <c r="CV2593">
        <v>2</v>
      </c>
      <c r="CW2593">
        <v>0</v>
      </c>
      <c r="CX2593">
        <v>5</v>
      </c>
      <c r="CY2593">
        <v>7</v>
      </c>
      <c r="CZ2593" t="s">
        <v>131</v>
      </c>
      <c r="DA2593">
        <v>300</v>
      </c>
      <c r="DB2593">
        <v>0</v>
      </c>
      <c r="DC2593" t="s">
        <v>176</v>
      </c>
      <c r="DD2593" t="s">
        <v>177</v>
      </c>
      <c r="DG2593">
        <v>5416493</v>
      </c>
      <c r="DI2593">
        <v>1</v>
      </c>
      <c r="DJ2593">
        <v>0</v>
      </c>
      <c r="DK2593">
        <v>1</v>
      </c>
      <c r="DL2593">
        <v>0</v>
      </c>
      <c r="DM2593">
        <v>0</v>
      </c>
      <c r="DN2593">
        <v>1</v>
      </c>
      <c r="DO2593">
        <v>0</v>
      </c>
      <c r="DP2593">
        <v>0</v>
      </c>
      <c r="DQ2593">
        <v>0</v>
      </c>
      <c r="DR2593">
        <v>0</v>
      </c>
      <c r="DS2593">
        <v>0</v>
      </c>
    </row>
    <row r="2594" spans="1:123" x14ac:dyDescent="0.3">
      <c r="A2594" t="str">
        <f>"10/04/2022 19:32:30.495"</f>
        <v>10/04/2022 19:32:30.495</v>
      </c>
      <c r="C2594" t="str">
        <f t="shared" si="913"/>
        <v>FFDDD3C0</v>
      </c>
      <c r="D2594" t="s">
        <v>123</v>
      </c>
      <c r="E2594">
        <v>7</v>
      </c>
      <c r="F2594">
        <v>2007</v>
      </c>
      <c r="G2594" t="s">
        <v>124</v>
      </c>
      <c r="J2594" t="s">
        <v>125</v>
      </c>
      <c r="K2594">
        <v>0</v>
      </c>
      <c r="L2594">
        <v>3</v>
      </c>
      <c r="M2594">
        <v>0</v>
      </c>
      <c r="N2594">
        <v>2</v>
      </c>
      <c r="O2594">
        <v>0</v>
      </c>
      <c r="P2594">
        <v>1</v>
      </c>
      <c r="Q2594">
        <v>0</v>
      </c>
      <c r="S2594" t="str">
        <f t="shared" si="937"/>
        <v>19:32:30.000</v>
      </c>
      <c r="T2594" t="str">
        <f t="shared" si="937"/>
        <v>19:32:30.000</v>
      </c>
      <c r="U2594" t="str">
        <f t="shared" si="925"/>
        <v>AC3944</v>
      </c>
      <c r="V2594">
        <v>0</v>
      </c>
      <c r="W2594">
        <v>0</v>
      </c>
      <c r="X2594">
        <v>2</v>
      </c>
      <c r="Y2594">
        <v>0</v>
      </c>
      <c r="AA2594">
        <v>1</v>
      </c>
      <c r="AB2594">
        <v>8</v>
      </c>
      <c r="AC2594">
        <v>3</v>
      </c>
      <c r="AD2594">
        <v>0</v>
      </c>
      <c r="AE2594">
        <v>9</v>
      </c>
      <c r="AF2594" t="s">
        <v>138</v>
      </c>
      <c r="AG2594">
        <v>0</v>
      </c>
      <c r="AH2594">
        <v>3</v>
      </c>
      <c r="AI2594">
        <v>1</v>
      </c>
      <c r="AJ2594">
        <v>0</v>
      </c>
      <c r="AK2594" t="s">
        <v>886</v>
      </c>
      <c r="AL2594">
        <v>32.749063999999997</v>
      </c>
      <c r="AM2594" t="s">
        <v>887</v>
      </c>
      <c r="AN2594">
        <v>-116.773982</v>
      </c>
      <c r="AO2594">
        <v>25</v>
      </c>
      <c r="AP2594">
        <v>3300</v>
      </c>
      <c r="AQ2594" t="s">
        <v>129</v>
      </c>
      <c r="AR2594">
        <v>105</v>
      </c>
      <c r="AS2594">
        <v>-84</v>
      </c>
      <c r="AT2594">
        <v>640</v>
      </c>
      <c r="BB2594">
        <v>1200</v>
      </c>
      <c r="BC2594">
        <v>1</v>
      </c>
      <c r="BD2594" t="str">
        <f t="shared" si="926"/>
        <v xml:space="preserve">N887QR  </v>
      </c>
      <c r="BE2594">
        <v>1</v>
      </c>
      <c r="BJ2594">
        <v>3000</v>
      </c>
      <c r="BK2594">
        <v>-300</v>
      </c>
      <c r="BL2594" t="s">
        <v>163</v>
      </c>
      <c r="BM2594">
        <v>1</v>
      </c>
      <c r="BN2594">
        <v>1</v>
      </c>
      <c r="BO2594">
        <v>1</v>
      </c>
      <c r="BP2594">
        <v>0</v>
      </c>
      <c r="BS2594">
        <v>0.08</v>
      </c>
      <c r="BT2594">
        <v>0</v>
      </c>
      <c r="BU2594">
        <v>0</v>
      </c>
      <c r="CE2594" t="str">
        <f t="shared" si="938"/>
        <v>19:32:30.063</v>
      </c>
      <c r="CF2594">
        <v>62553374</v>
      </c>
      <c r="CS2594">
        <v>0</v>
      </c>
      <c r="CT2594">
        <v>2</v>
      </c>
      <c r="CU2594">
        <v>0</v>
      </c>
      <c r="CV2594">
        <v>2</v>
      </c>
      <c r="CW2594">
        <v>0</v>
      </c>
      <c r="CX2594">
        <v>5</v>
      </c>
      <c r="CY2594">
        <v>7</v>
      </c>
      <c r="CZ2594" t="s">
        <v>131</v>
      </c>
      <c r="DA2594">
        <v>300</v>
      </c>
      <c r="DB2594">
        <v>0</v>
      </c>
      <c r="DC2594" t="s">
        <v>176</v>
      </c>
      <c r="DD2594" t="s">
        <v>177</v>
      </c>
      <c r="DG2594">
        <v>5416493</v>
      </c>
      <c r="DI2594">
        <v>1</v>
      </c>
      <c r="DJ2594">
        <v>0</v>
      </c>
      <c r="DK2594">
        <v>1</v>
      </c>
      <c r="DL2594">
        <v>0</v>
      </c>
      <c r="DM2594">
        <v>0</v>
      </c>
      <c r="DN2594">
        <v>1</v>
      </c>
      <c r="DO2594">
        <v>0</v>
      </c>
      <c r="DP2594">
        <v>0</v>
      </c>
      <c r="DQ2594">
        <v>0</v>
      </c>
      <c r="DR2594">
        <v>0</v>
      </c>
      <c r="DS2594">
        <v>0</v>
      </c>
    </row>
    <row r="2595" spans="1:123" x14ac:dyDescent="0.3">
      <c r="A2595" t="str">
        <f>"10/04/2022 19:32:30.495"</f>
        <v>10/04/2022 19:32:30.495</v>
      </c>
      <c r="C2595" t="str">
        <f t="shared" si="913"/>
        <v>FFDDD3C0</v>
      </c>
      <c r="D2595" t="s">
        <v>141</v>
      </c>
      <c r="E2595">
        <v>4</v>
      </c>
      <c r="H2595">
        <v>4</v>
      </c>
      <c r="I2595" t="s">
        <v>142</v>
      </c>
      <c r="J2595" t="s">
        <v>138</v>
      </c>
      <c r="K2595">
        <v>0</v>
      </c>
      <c r="L2595">
        <v>3</v>
      </c>
      <c r="M2595">
        <v>0</v>
      </c>
      <c r="N2595">
        <v>2</v>
      </c>
      <c r="O2595">
        <v>0</v>
      </c>
      <c r="P2595">
        <v>1</v>
      </c>
      <c r="Q2595">
        <v>0</v>
      </c>
      <c r="S2595" t="str">
        <f t="shared" si="937"/>
        <v>19:32:30.000</v>
      </c>
      <c r="T2595" t="str">
        <f t="shared" si="937"/>
        <v>19:32:30.000</v>
      </c>
      <c r="U2595" t="str">
        <f t="shared" si="925"/>
        <v>AC3944</v>
      </c>
      <c r="V2595">
        <v>0</v>
      </c>
      <c r="W2595">
        <v>0</v>
      </c>
      <c r="X2595">
        <v>2</v>
      </c>
      <c r="Y2595">
        <v>0</v>
      </c>
      <c r="AA2595">
        <v>1</v>
      </c>
      <c r="AB2595">
        <v>8</v>
      </c>
      <c r="AC2595">
        <v>3</v>
      </c>
      <c r="AD2595">
        <v>0</v>
      </c>
      <c r="AE2595">
        <v>9</v>
      </c>
      <c r="AF2595" t="s">
        <v>138</v>
      </c>
      <c r="AG2595">
        <v>0</v>
      </c>
      <c r="AH2595">
        <v>3</v>
      </c>
      <c r="AI2595">
        <v>1</v>
      </c>
      <c r="AJ2595">
        <v>0</v>
      </c>
      <c r="AK2595" t="s">
        <v>886</v>
      </c>
      <c r="AL2595">
        <v>32.749063999999997</v>
      </c>
      <c r="AM2595" t="s">
        <v>887</v>
      </c>
      <c r="AN2595">
        <v>-116.773982</v>
      </c>
      <c r="AO2595">
        <v>25</v>
      </c>
      <c r="AP2595">
        <v>3300</v>
      </c>
      <c r="AQ2595" t="s">
        <v>129</v>
      </c>
      <c r="AR2595">
        <v>105</v>
      </c>
      <c r="AS2595">
        <v>-84</v>
      </c>
      <c r="AT2595">
        <v>640</v>
      </c>
      <c r="BB2595">
        <v>1200</v>
      </c>
      <c r="BC2595">
        <v>1</v>
      </c>
      <c r="BD2595" t="str">
        <f t="shared" si="926"/>
        <v xml:space="preserve">N887QR  </v>
      </c>
      <c r="BE2595">
        <v>1</v>
      </c>
      <c r="BJ2595">
        <v>3000</v>
      </c>
      <c r="BK2595">
        <v>-300</v>
      </c>
      <c r="BL2595" t="s">
        <v>163</v>
      </c>
      <c r="BM2595">
        <v>1</v>
      </c>
      <c r="BN2595">
        <v>1</v>
      </c>
      <c r="BO2595">
        <v>1</v>
      </c>
      <c r="BP2595">
        <v>0</v>
      </c>
      <c r="BS2595">
        <v>0.08</v>
      </c>
      <c r="BT2595">
        <v>0</v>
      </c>
      <c r="BU2595">
        <v>0</v>
      </c>
      <c r="CE2595" t="str">
        <f t="shared" si="938"/>
        <v>19:32:30.063</v>
      </c>
      <c r="CF2595">
        <v>62553374</v>
      </c>
      <c r="CS2595">
        <v>0</v>
      </c>
      <c r="CT2595">
        <v>2</v>
      </c>
      <c r="CU2595">
        <v>0</v>
      </c>
      <c r="CV2595">
        <v>2</v>
      </c>
      <c r="CW2595">
        <v>0</v>
      </c>
      <c r="CX2595">
        <v>5</v>
      </c>
      <c r="CY2595">
        <v>7</v>
      </c>
      <c r="CZ2595" t="s">
        <v>131</v>
      </c>
      <c r="DA2595">
        <v>300</v>
      </c>
      <c r="DB2595">
        <v>0</v>
      </c>
      <c r="DC2595" t="s">
        <v>176</v>
      </c>
      <c r="DD2595" t="s">
        <v>177</v>
      </c>
      <c r="DG2595">
        <v>5416493</v>
      </c>
      <c r="DI2595">
        <v>1</v>
      </c>
      <c r="DJ2595">
        <v>0</v>
      </c>
      <c r="DK2595">
        <v>1</v>
      </c>
      <c r="DL2595">
        <v>0</v>
      </c>
      <c r="DM2595">
        <v>0</v>
      </c>
      <c r="DN2595">
        <v>1</v>
      </c>
      <c r="DO2595">
        <v>0</v>
      </c>
      <c r="DP2595">
        <v>0</v>
      </c>
      <c r="DQ2595">
        <v>0</v>
      </c>
      <c r="DR2595">
        <v>0</v>
      </c>
      <c r="DS2595">
        <v>0</v>
      </c>
    </row>
    <row r="2596" spans="1:123" x14ac:dyDescent="0.3">
      <c r="A2596" t="str">
        <f>"10/04/2022 19:32:30.542"</f>
        <v>10/04/2022 19:32:30.542</v>
      </c>
      <c r="C2596" t="str">
        <f t="shared" si="913"/>
        <v>FFDDD3C0</v>
      </c>
      <c r="D2596" t="s">
        <v>136</v>
      </c>
      <c r="E2596">
        <v>8</v>
      </c>
      <c r="H2596">
        <v>225</v>
      </c>
      <c r="I2596" t="s">
        <v>137</v>
      </c>
      <c r="J2596" t="s">
        <v>138</v>
      </c>
      <c r="K2596">
        <v>0</v>
      </c>
      <c r="L2596">
        <v>3</v>
      </c>
      <c r="M2596">
        <v>0</v>
      </c>
      <c r="N2596">
        <v>2</v>
      </c>
      <c r="O2596">
        <v>0</v>
      </c>
      <c r="P2596">
        <v>1</v>
      </c>
      <c r="Q2596">
        <v>0</v>
      </c>
      <c r="S2596" t="str">
        <f t="shared" si="937"/>
        <v>19:32:30.000</v>
      </c>
      <c r="T2596" t="str">
        <f t="shared" si="937"/>
        <v>19:32:30.000</v>
      </c>
      <c r="U2596" t="str">
        <f t="shared" si="925"/>
        <v>AC3944</v>
      </c>
      <c r="V2596">
        <v>0</v>
      </c>
      <c r="W2596">
        <v>0</v>
      </c>
      <c r="X2596">
        <v>2</v>
      </c>
      <c r="Y2596">
        <v>0</v>
      </c>
      <c r="AA2596">
        <v>1</v>
      </c>
      <c r="AB2596">
        <v>8</v>
      </c>
      <c r="AC2596">
        <v>3</v>
      </c>
      <c r="AD2596">
        <v>0</v>
      </c>
      <c r="AE2596">
        <v>9</v>
      </c>
      <c r="AF2596" t="s">
        <v>138</v>
      </c>
      <c r="AG2596">
        <v>0</v>
      </c>
      <c r="AH2596">
        <v>3</v>
      </c>
      <c r="AI2596">
        <v>1</v>
      </c>
      <c r="AJ2596">
        <v>0</v>
      </c>
      <c r="AK2596" t="s">
        <v>886</v>
      </c>
      <c r="AL2596">
        <v>32.749063999999997</v>
      </c>
      <c r="AM2596" t="s">
        <v>887</v>
      </c>
      <c r="AN2596">
        <v>-116.773982</v>
      </c>
      <c r="AO2596">
        <v>25</v>
      </c>
      <c r="AP2596">
        <v>3300</v>
      </c>
      <c r="AQ2596" t="s">
        <v>129</v>
      </c>
      <c r="AR2596">
        <v>105</v>
      </c>
      <c r="AS2596">
        <v>-84</v>
      </c>
      <c r="AT2596">
        <v>640</v>
      </c>
      <c r="BB2596">
        <v>1200</v>
      </c>
      <c r="BC2596">
        <v>1</v>
      </c>
      <c r="BD2596" t="str">
        <f t="shared" si="926"/>
        <v xml:space="preserve">N887QR  </v>
      </c>
      <c r="BE2596">
        <v>1</v>
      </c>
      <c r="BJ2596">
        <v>3000</v>
      </c>
      <c r="BK2596">
        <v>-300</v>
      </c>
      <c r="BL2596" t="s">
        <v>163</v>
      </c>
      <c r="BM2596">
        <v>1</v>
      </c>
      <c r="BN2596">
        <v>1</v>
      </c>
      <c r="BO2596">
        <v>1</v>
      </c>
      <c r="BP2596">
        <v>0</v>
      </c>
      <c r="BS2596">
        <v>0.08</v>
      </c>
      <c r="BT2596">
        <v>0</v>
      </c>
      <c r="BU2596">
        <v>0</v>
      </c>
      <c r="CE2596" t="str">
        <f t="shared" si="938"/>
        <v>19:32:30.063</v>
      </c>
      <c r="CF2596">
        <v>62553374</v>
      </c>
      <c r="CS2596">
        <v>0</v>
      </c>
      <c r="CT2596">
        <v>2</v>
      </c>
      <c r="CU2596">
        <v>0</v>
      </c>
      <c r="CV2596">
        <v>2</v>
      </c>
      <c r="CW2596">
        <v>0</v>
      </c>
      <c r="CX2596">
        <v>5</v>
      </c>
      <c r="CY2596">
        <v>7</v>
      </c>
      <c r="CZ2596" t="s">
        <v>131</v>
      </c>
      <c r="DA2596">
        <v>300</v>
      </c>
      <c r="DB2596">
        <v>0</v>
      </c>
      <c r="DC2596" t="s">
        <v>176</v>
      </c>
      <c r="DD2596" t="s">
        <v>177</v>
      </c>
      <c r="DG2596">
        <v>5416493</v>
      </c>
      <c r="DI2596">
        <v>1</v>
      </c>
      <c r="DJ2596">
        <v>0</v>
      </c>
      <c r="DK2596">
        <v>1</v>
      </c>
      <c r="DL2596">
        <v>0</v>
      </c>
      <c r="DM2596">
        <v>0</v>
      </c>
      <c r="DN2596">
        <v>1</v>
      </c>
      <c r="DO2596">
        <v>0</v>
      </c>
      <c r="DP2596">
        <v>0</v>
      </c>
      <c r="DQ2596">
        <v>0</v>
      </c>
      <c r="DR2596">
        <v>0</v>
      </c>
      <c r="DS2596">
        <v>0</v>
      </c>
    </row>
    <row r="2597" spans="1:123" x14ac:dyDescent="0.3">
      <c r="A2597" t="str">
        <f>"10/04/2022 19:32:30.542"</f>
        <v>10/04/2022 19:32:30.542</v>
      </c>
      <c r="C2597" t="str">
        <f t="shared" si="913"/>
        <v>FFDDD3C0</v>
      </c>
      <c r="D2597" t="s">
        <v>141</v>
      </c>
      <c r="E2597">
        <v>3</v>
      </c>
      <c r="H2597">
        <v>3</v>
      </c>
      <c r="I2597" t="s">
        <v>146</v>
      </c>
      <c r="J2597" t="s">
        <v>138</v>
      </c>
      <c r="K2597">
        <v>0</v>
      </c>
      <c r="L2597">
        <v>3</v>
      </c>
      <c r="M2597">
        <v>0</v>
      </c>
      <c r="N2597">
        <v>2</v>
      </c>
      <c r="O2597">
        <v>0</v>
      </c>
      <c r="P2597">
        <v>1</v>
      </c>
      <c r="Q2597">
        <v>0</v>
      </c>
      <c r="S2597" t="str">
        <f t="shared" si="937"/>
        <v>19:32:30.000</v>
      </c>
      <c r="T2597" t="str">
        <f t="shared" si="937"/>
        <v>19:32:30.000</v>
      </c>
      <c r="U2597" t="str">
        <f t="shared" si="925"/>
        <v>AC3944</v>
      </c>
      <c r="V2597">
        <v>0</v>
      </c>
      <c r="W2597">
        <v>0</v>
      </c>
      <c r="X2597">
        <v>2</v>
      </c>
      <c r="Y2597">
        <v>0</v>
      </c>
      <c r="AA2597">
        <v>1</v>
      </c>
      <c r="AB2597">
        <v>8</v>
      </c>
      <c r="AC2597">
        <v>3</v>
      </c>
      <c r="AD2597">
        <v>0</v>
      </c>
      <c r="AE2597">
        <v>9</v>
      </c>
      <c r="AF2597" t="s">
        <v>138</v>
      </c>
      <c r="AG2597">
        <v>0</v>
      </c>
      <c r="AH2597">
        <v>3</v>
      </c>
      <c r="AI2597">
        <v>1</v>
      </c>
      <c r="AJ2597">
        <v>0</v>
      </c>
      <c r="AK2597" t="s">
        <v>886</v>
      </c>
      <c r="AL2597">
        <v>32.749063999999997</v>
      </c>
      <c r="AM2597" t="s">
        <v>887</v>
      </c>
      <c r="AN2597">
        <v>-116.773982</v>
      </c>
      <c r="AO2597">
        <v>25</v>
      </c>
      <c r="AP2597">
        <v>3300</v>
      </c>
      <c r="AQ2597" t="s">
        <v>129</v>
      </c>
      <c r="AR2597">
        <v>105</v>
      </c>
      <c r="AS2597">
        <v>-84</v>
      </c>
      <c r="AT2597">
        <v>640</v>
      </c>
      <c r="BB2597">
        <v>1200</v>
      </c>
      <c r="BC2597">
        <v>1</v>
      </c>
      <c r="BD2597" t="str">
        <f t="shared" si="926"/>
        <v xml:space="preserve">N887QR  </v>
      </c>
      <c r="BE2597">
        <v>1</v>
      </c>
      <c r="BJ2597">
        <v>3000</v>
      </c>
      <c r="BK2597">
        <v>-300</v>
      </c>
      <c r="BL2597" t="s">
        <v>163</v>
      </c>
      <c r="BM2597">
        <v>1</v>
      </c>
      <c r="BN2597">
        <v>1</v>
      </c>
      <c r="BO2597">
        <v>1</v>
      </c>
      <c r="BP2597">
        <v>0</v>
      </c>
      <c r="BS2597">
        <v>0.08</v>
      </c>
      <c r="BT2597">
        <v>0</v>
      </c>
      <c r="BU2597">
        <v>0</v>
      </c>
      <c r="CE2597" t="str">
        <f t="shared" si="938"/>
        <v>19:32:30.063</v>
      </c>
      <c r="CF2597">
        <v>62553374</v>
      </c>
      <c r="CS2597">
        <v>0</v>
      </c>
      <c r="CT2597">
        <v>2</v>
      </c>
      <c r="CU2597">
        <v>0</v>
      </c>
      <c r="CV2597">
        <v>2</v>
      </c>
      <c r="CW2597">
        <v>0</v>
      </c>
      <c r="CX2597">
        <v>5</v>
      </c>
      <c r="CY2597">
        <v>7</v>
      </c>
      <c r="CZ2597" t="s">
        <v>131</v>
      </c>
      <c r="DA2597">
        <v>300</v>
      </c>
      <c r="DB2597">
        <v>0</v>
      </c>
      <c r="DC2597" t="s">
        <v>176</v>
      </c>
      <c r="DD2597" t="s">
        <v>177</v>
      </c>
      <c r="DG2597">
        <v>5416493</v>
      </c>
      <c r="DI2597">
        <v>1</v>
      </c>
      <c r="DJ2597">
        <v>0</v>
      </c>
      <c r="DK2597">
        <v>1</v>
      </c>
      <c r="DL2597">
        <v>0</v>
      </c>
      <c r="DM2597">
        <v>0</v>
      </c>
      <c r="DN2597">
        <v>1</v>
      </c>
      <c r="DO2597">
        <v>0</v>
      </c>
      <c r="DP2597">
        <v>0</v>
      </c>
      <c r="DQ2597">
        <v>0</v>
      </c>
      <c r="DR2597">
        <v>0</v>
      </c>
      <c r="DS2597">
        <v>0</v>
      </c>
    </row>
    <row r="2598" spans="1:123" x14ac:dyDescent="0.3">
      <c r="A2598" t="str">
        <f>"10/04/2022 19:32:31.542"</f>
        <v>10/04/2022 19:32:31.542</v>
      </c>
      <c r="C2598" t="str">
        <f t="shared" si="913"/>
        <v>FFDDD3C0</v>
      </c>
      <c r="D2598" t="s">
        <v>141</v>
      </c>
      <c r="E2598">
        <v>3</v>
      </c>
      <c r="H2598">
        <v>3</v>
      </c>
      <c r="I2598" t="s">
        <v>146</v>
      </c>
      <c r="J2598" t="s">
        <v>138</v>
      </c>
      <c r="K2598">
        <v>0</v>
      </c>
      <c r="L2598">
        <v>3</v>
      </c>
      <c r="M2598">
        <v>0</v>
      </c>
      <c r="N2598">
        <v>2</v>
      </c>
      <c r="O2598">
        <v>0</v>
      </c>
      <c r="P2598">
        <v>1</v>
      </c>
      <c r="Q2598">
        <v>0</v>
      </c>
      <c r="S2598" t="str">
        <f t="shared" ref="S2598:T2604" si="939">"19:32:31.000"</f>
        <v>19:32:31.000</v>
      </c>
      <c r="T2598" t="str">
        <f t="shared" si="939"/>
        <v>19:32:31.000</v>
      </c>
      <c r="U2598" t="str">
        <f t="shared" si="925"/>
        <v>AC3944</v>
      </c>
      <c r="V2598">
        <v>0</v>
      </c>
      <c r="W2598">
        <v>0</v>
      </c>
      <c r="X2598">
        <v>2</v>
      </c>
      <c r="Y2598">
        <v>0</v>
      </c>
      <c r="AA2598">
        <v>1</v>
      </c>
      <c r="AB2598">
        <v>8</v>
      </c>
      <c r="AC2598">
        <v>3</v>
      </c>
      <c r="AD2598">
        <v>0</v>
      </c>
      <c r="AE2598">
        <v>9</v>
      </c>
      <c r="AF2598" t="s">
        <v>138</v>
      </c>
      <c r="AG2598">
        <v>0</v>
      </c>
      <c r="AH2598">
        <v>3</v>
      </c>
      <c r="AI2598">
        <v>1</v>
      </c>
      <c r="AJ2598">
        <v>0</v>
      </c>
      <c r="AK2598" t="s">
        <v>888</v>
      </c>
      <c r="AL2598">
        <v>32.748677999999998</v>
      </c>
      <c r="AM2598" t="s">
        <v>889</v>
      </c>
      <c r="AN2598">
        <v>-116.773403</v>
      </c>
      <c r="AO2598">
        <v>25</v>
      </c>
      <c r="AP2598">
        <v>3300</v>
      </c>
      <c r="AQ2598" t="s">
        <v>129</v>
      </c>
      <c r="AR2598">
        <v>103</v>
      </c>
      <c r="AS2598">
        <v>-86</v>
      </c>
      <c r="AT2598">
        <v>832</v>
      </c>
      <c r="BB2598">
        <v>1200</v>
      </c>
      <c r="BC2598">
        <v>1</v>
      </c>
      <c r="BD2598" t="str">
        <f t="shared" si="926"/>
        <v xml:space="preserve">N887QR  </v>
      </c>
      <c r="BE2598">
        <v>1</v>
      </c>
      <c r="BJ2598">
        <v>3050</v>
      </c>
      <c r="BK2598">
        <v>-250</v>
      </c>
      <c r="BL2598" t="s">
        <v>163</v>
      </c>
      <c r="BM2598">
        <v>1</v>
      </c>
      <c r="BN2598">
        <v>1</v>
      </c>
      <c r="BO2598">
        <v>1</v>
      </c>
      <c r="BP2598">
        <v>0</v>
      </c>
      <c r="BS2598">
        <v>0.08</v>
      </c>
      <c r="BT2598">
        <v>0</v>
      </c>
      <c r="BU2598">
        <v>0</v>
      </c>
      <c r="CE2598" t="str">
        <f t="shared" ref="CE2598:CE2604" si="940">"19:32:31.284"</f>
        <v>19:32:31.284</v>
      </c>
      <c r="CF2598">
        <v>284307434</v>
      </c>
      <c r="CS2598">
        <v>0</v>
      </c>
      <c r="CT2598">
        <v>2</v>
      </c>
      <c r="CU2598">
        <v>0</v>
      </c>
      <c r="CV2598">
        <v>2</v>
      </c>
      <c r="CW2598">
        <v>0</v>
      </c>
      <c r="CX2598">
        <v>5</v>
      </c>
      <c r="CY2598">
        <v>7</v>
      </c>
      <c r="CZ2598" t="s">
        <v>131</v>
      </c>
      <c r="DA2598">
        <v>300</v>
      </c>
      <c r="DB2598">
        <v>0</v>
      </c>
      <c r="DC2598" t="s">
        <v>176</v>
      </c>
      <c r="DD2598" t="s">
        <v>177</v>
      </c>
      <c r="DG2598">
        <v>5416697</v>
      </c>
      <c r="DI2598">
        <v>1</v>
      </c>
      <c r="DJ2598">
        <v>0</v>
      </c>
      <c r="DK2598">
        <v>0</v>
      </c>
      <c r="DL2598">
        <v>0</v>
      </c>
      <c r="DM2598">
        <v>0</v>
      </c>
      <c r="DN2598">
        <v>1</v>
      </c>
      <c r="DO2598">
        <v>0</v>
      </c>
      <c r="DP2598">
        <v>0</v>
      </c>
      <c r="DQ2598">
        <v>0</v>
      </c>
      <c r="DR2598">
        <v>0</v>
      </c>
      <c r="DS2598">
        <v>0</v>
      </c>
    </row>
    <row r="2599" spans="1:123" x14ac:dyDescent="0.3">
      <c r="A2599" t="str">
        <f t="shared" ref="A2599:A2604" si="941">"10/04/2022 19:32:31.667"</f>
        <v>10/04/2022 19:32:31.667</v>
      </c>
      <c r="C2599" t="str">
        <f t="shared" ref="C2599:C2662" si="942">"FFDDD3C0"</f>
        <v>FFDDD3C0</v>
      </c>
      <c r="D2599" t="s">
        <v>143</v>
      </c>
      <c r="E2599">
        <v>20</v>
      </c>
      <c r="F2599">
        <v>1020</v>
      </c>
      <c r="G2599" t="s">
        <v>144</v>
      </c>
      <c r="J2599" t="s">
        <v>145</v>
      </c>
      <c r="K2599">
        <v>0</v>
      </c>
      <c r="L2599">
        <v>3</v>
      </c>
      <c r="M2599">
        <v>0</v>
      </c>
      <c r="N2599">
        <v>2</v>
      </c>
      <c r="O2599">
        <v>0</v>
      </c>
      <c r="P2599">
        <v>1</v>
      </c>
      <c r="Q2599">
        <v>0</v>
      </c>
      <c r="S2599" t="str">
        <f t="shared" si="939"/>
        <v>19:32:31.000</v>
      </c>
      <c r="T2599" t="str">
        <f t="shared" si="939"/>
        <v>19:32:31.000</v>
      </c>
      <c r="U2599" t="str">
        <f t="shared" si="925"/>
        <v>AC3944</v>
      </c>
      <c r="V2599">
        <v>0</v>
      </c>
      <c r="W2599">
        <v>0</v>
      </c>
      <c r="X2599">
        <v>2</v>
      </c>
      <c r="Y2599">
        <v>0</v>
      </c>
      <c r="AA2599">
        <v>1</v>
      </c>
      <c r="AB2599">
        <v>8</v>
      </c>
      <c r="AC2599">
        <v>3</v>
      </c>
      <c r="AD2599">
        <v>0</v>
      </c>
      <c r="AE2599">
        <v>9</v>
      </c>
      <c r="AF2599" t="s">
        <v>138</v>
      </c>
      <c r="AG2599">
        <v>0</v>
      </c>
      <c r="AH2599">
        <v>3</v>
      </c>
      <c r="AI2599">
        <v>1</v>
      </c>
      <c r="AJ2599">
        <v>0</v>
      </c>
      <c r="AK2599" t="s">
        <v>888</v>
      </c>
      <c r="AL2599">
        <v>32.748677999999998</v>
      </c>
      <c r="AM2599" t="s">
        <v>889</v>
      </c>
      <c r="AN2599">
        <v>-116.773403</v>
      </c>
      <c r="AO2599">
        <v>25</v>
      </c>
      <c r="AP2599">
        <v>3300</v>
      </c>
      <c r="AQ2599" t="s">
        <v>129</v>
      </c>
      <c r="AR2599">
        <v>103</v>
      </c>
      <c r="AS2599">
        <v>-86</v>
      </c>
      <c r="AT2599">
        <v>832</v>
      </c>
      <c r="BB2599">
        <v>1200</v>
      </c>
      <c r="BC2599">
        <v>1</v>
      </c>
      <c r="BD2599" t="str">
        <f t="shared" si="926"/>
        <v xml:space="preserve">N887QR  </v>
      </c>
      <c r="BE2599">
        <v>1</v>
      </c>
      <c r="BJ2599">
        <v>3050</v>
      </c>
      <c r="BK2599">
        <v>-250</v>
      </c>
      <c r="BL2599" t="s">
        <v>163</v>
      </c>
      <c r="BM2599">
        <v>1</v>
      </c>
      <c r="BN2599">
        <v>1</v>
      </c>
      <c r="BO2599">
        <v>1</v>
      </c>
      <c r="BP2599">
        <v>0</v>
      </c>
      <c r="BS2599">
        <v>0.08</v>
      </c>
      <c r="BT2599">
        <v>0</v>
      </c>
      <c r="BU2599">
        <v>0</v>
      </c>
      <c r="CE2599" t="str">
        <f t="shared" si="940"/>
        <v>19:32:31.284</v>
      </c>
      <c r="CF2599">
        <v>284307434</v>
      </c>
      <c r="CS2599">
        <v>0</v>
      </c>
      <c r="CT2599">
        <v>2</v>
      </c>
      <c r="CU2599">
        <v>0</v>
      </c>
      <c r="CV2599">
        <v>2</v>
      </c>
      <c r="CW2599">
        <v>0</v>
      </c>
      <c r="CX2599">
        <v>5</v>
      </c>
      <c r="CY2599">
        <v>7</v>
      </c>
      <c r="CZ2599" t="s">
        <v>131</v>
      </c>
      <c r="DA2599">
        <v>300</v>
      </c>
      <c r="DB2599">
        <v>0</v>
      </c>
      <c r="DC2599" t="s">
        <v>176</v>
      </c>
      <c r="DD2599" t="s">
        <v>177</v>
      </c>
      <c r="DG2599">
        <v>5416697</v>
      </c>
      <c r="DI2599">
        <v>1</v>
      </c>
      <c r="DJ2599">
        <v>0</v>
      </c>
      <c r="DK2599">
        <v>1</v>
      </c>
      <c r="DL2599">
        <v>0</v>
      </c>
      <c r="DM2599">
        <v>0</v>
      </c>
      <c r="DN2599">
        <v>1</v>
      </c>
      <c r="DO2599">
        <v>0</v>
      </c>
      <c r="DP2599">
        <v>0</v>
      </c>
      <c r="DQ2599">
        <v>0</v>
      </c>
      <c r="DR2599">
        <v>0</v>
      </c>
      <c r="DS2599">
        <v>0</v>
      </c>
    </row>
    <row r="2600" spans="1:123" x14ac:dyDescent="0.3">
      <c r="A2600" t="str">
        <f t="shared" si="941"/>
        <v>10/04/2022 19:32:31.667</v>
      </c>
      <c r="C2600" t="str">
        <f t="shared" si="942"/>
        <v>FFDDD3C0</v>
      </c>
      <c r="D2600" t="s">
        <v>141</v>
      </c>
      <c r="E2600">
        <v>4</v>
      </c>
      <c r="H2600">
        <v>4</v>
      </c>
      <c r="I2600" t="s">
        <v>142</v>
      </c>
      <c r="J2600" t="s">
        <v>138</v>
      </c>
      <c r="K2600">
        <v>0</v>
      </c>
      <c r="L2600">
        <v>3</v>
      </c>
      <c r="M2600">
        <v>0</v>
      </c>
      <c r="N2600">
        <v>2</v>
      </c>
      <c r="O2600">
        <v>0</v>
      </c>
      <c r="P2600">
        <v>1</v>
      </c>
      <c r="Q2600">
        <v>0</v>
      </c>
      <c r="S2600" t="str">
        <f t="shared" si="939"/>
        <v>19:32:31.000</v>
      </c>
      <c r="T2600" t="str">
        <f t="shared" si="939"/>
        <v>19:32:31.000</v>
      </c>
      <c r="U2600" t="str">
        <f t="shared" si="925"/>
        <v>AC3944</v>
      </c>
      <c r="V2600">
        <v>0</v>
      </c>
      <c r="W2600">
        <v>0</v>
      </c>
      <c r="X2600">
        <v>2</v>
      </c>
      <c r="Y2600">
        <v>0</v>
      </c>
      <c r="AA2600">
        <v>1</v>
      </c>
      <c r="AB2600">
        <v>8</v>
      </c>
      <c r="AC2600">
        <v>3</v>
      </c>
      <c r="AD2600">
        <v>0</v>
      </c>
      <c r="AE2600">
        <v>9</v>
      </c>
      <c r="AF2600" t="s">
        <v>138</v>
      </c>
      <c r="AG2600">
        <v>0</v>
      </c>
      <c r="AH2600">
        <v>3</v>
      </c>
      <c r="AI2600">
        <v>1</v>
      </c>
      <c r="AJ2600">
        <v>0</v>
      </c>
      <c r="AK2600" t="s">
        <v>888</v>
      </c>
      <c r="AL2600">
        <v>32.748677999999998</v>
      </c>
      <c r="AM2600" t="s">
        <v>889</v>
      </c>
      <c r="AN2600">
        <v>-116.773403</v>
      </c>
      <c r="AO2600">
        <v>25</v>
      </c>
      <c r="AP2600">
        <v>3300</v>
      </c>
      <c r="AQ2600" t="s">
        <v>129</v>
      </c>
      <c r="AR2600">
        <v>103</v>
      </c>
      <c r="AS2600">
        <v>-86</v>
      </c>
      <c r="AT2600">
        <v>832</v>
      </c>
      <c r="BB2600">
        <v>1200</v>
      </c>
      <c r="BC2600">
        <v>1</v>
      </c>
      <c r="BD2600" t="str">
        <f t="shared" si="926"/>
        <v xml:space="preserve">N887QR  </v>
      </c>
      <c r="BE2600">
        <v>1</v>
      </c>
      <c r="BJ2600">
        <v>3050</v>
      </c>
      <c r="BK2600">
        <v>-250</v>
      </c>
      <c r="BL2600" t="s">
        <v>163</v>
      </c>
      <c r="BM2600">
        <v>1</v>
      </c>
      <c r="BN2600">
        <v>1</v>
      </c>
      <c r="BO2600">
        <v>1</v>
      </c>
      <c r="BP2600">
        <v>0</v>
      </c>
      <c r="BS2600">
        <v>0.08</v>
      </c>
      <c r="BT2600">
        <v>0</v>
      </c>
      <c r="BU2600">
        <v>0</v>
      </c>
      <c r="CE2600" t="str">
        <f t="shared" si="940"/>
        <v>19:32:31.284</v>
      </c>
      <c r="CF2600">
        <v>284307434</v>
      </c>
      <c r="CS2600">
        <v>0</v>
      </c>
      <c r="CT2600">
        <v>2</v>
      </c>
      <c r="CU2600">
        <v>0</v>
      </c>
      <c r="CV2600">
        <v>2</v>
      </c>
      <c r="CW2600">
        <v>0</v>
      </c>
      <c r="CX2600">
        <v>5</v>
      </c>
      <c r="CY2600">
        <v>7</v>
      </c>
      <c r="CZ2600" t="s">
        <v>131</v>
      </c>
      <c r="DA2600">
        <v>300</v>
      </c>
      <c r="DB2600">
        <v>0</v>
      </c>
      <c r="DC2600" t="s">
        <v>176</v>
      </c>
      <c r="DD2600" t="s">
        <v>177</v>
      </c>
      <c r="DG2600">
        <v>5416697</v>
      </c>
      <c r="DI2600">
        <v>1</v>
      </c>
      <c r="DJ2600">
        <v>0</v>
      </c>
      <c r="DK2600">
        <v>0</v>
      </c>
      <c r="DL2600">
        <v>0</v>
      </c>
      <c r="DM2600">
        <v>0</v>
      </c>
      <c r="DN2600">
        <v>1</v>
      </c>
      <c r="DO2600">
        <v>0</v>
      </c>
      <c r="DP2600">
        <v>0</v>
      </c>
      <c r="DQ2600">
        <v>0</v>
      </c>
      <c r="DR2600">
        <v>0</v>
      </c>
      <c r="DS2600">
        <v>0</v>
      </c>
    </row>
    <row r="2601" spans="1:123" x14ac:dyDescent="0.3">
      <c r="A2601" t="str">
        <f t="shared" si="941"/>
        <v>10/04/2022 19:32:31.667</v>
      </c>
      <c r="C2601" t="str">
        <f t="shared" si="942"/>
        <v>FFDDD3C0</v>
      </c>
      <c r="D2601" t="s">
        <v>123</v>
      </c>
      <c r="E2601">
        <v>7</v>
      </c>
      <c r="F2601">
        <v>2007</v>
      </c>
      <c r="G2601" t="s">
        <v>124</v>
      </c>
      <c r="J2601" t="s">
        <v>125</v>
      </c>
      <c r="K2601">
        <v>0</v>
      </c>
      <c r="L2601">
        <v>3</v>
      </c>
      <c r="M2601">
        <v>0</v>
      </c>
      <c r="N2601">
        <v>2</v>
      </c>
      <c r="O2601">
        <v>0</v>
      </c>
      <c r="P2601">
        <v>1</v>
      </c>
      <c r="Q2601">
        <v>0</v>
      </c>
      <c r="S2601" t="str">
        <f t="shared" si="939"/>
        <v>19:32:31.000</v>
      </c>
      <c r="T2601" t="str">
        <f t="shared" si="939"/>
        <v>19:32:31.000</v>
      </c>
      <c r="U2601" t="str">
        <f t="shared" si="925"/>
        <v>AC3944</v>
      </c>
      <c r="V2601">
        <v>0</v>
      </c>
      <c r="W2601">
        <v>0</v>
      </c>
      <c r="X2601">
        <v>2</v>
      </c>
      <c r="Y2601">
        <v>0</v>
      </c>
      <c r="AA2601">
        <v>1</v>
      </c>
      <c r="AB2601">
        <v>8</v>
      </c>
      <c r="AC2601">
        <v>3</v>
      </c>
      <c r="AD2601">
        <v>0</v>
      </c>
      <c r="AE2601">
        <v>9</v>
      </c>
      <c r="AF2601" t="s">
        <v>138</v>
      </c>
      <c r="AG2601">
        <v>0</v>
      </c>
      <c r="AH2601">
        <v>3</v>
      </c>
      <c r="AI2601">
        <v>1</v>
      </c>
      <c r="AJ2601">
        <v>0</v>
      </c>
      <c r="AK2601" t="s">
        <v>888</v>
      </c>
      <c r="AL2601">
        <v>32.748677999999998</v>
      </c>
      <c r="AM2601" t="s">
        <v>889</v>
      </c>
      <c r="AN2601">
        <v>-116.773403</v>
      </c>
      <c r="AO2601">
        <v>25</v>
      </c>
      <c r="AP2601">
        <v>3300</v>
      </c>
      <c r="AQ2601" t="s">
        <v>129</v>
      </c>
      <c r="AR2601">
        <v>103</v>
      </c>
      <c r="AS2601">
        <v>-86</v>
      </c>
      <c r="AT2601">
        <v>832</v>
      </c>
      <c r="BB2601">
        <v>1200</v>
      </c>
      <c r="BC2601">
        <v>1</v>
      </c>
      <c r="BD2601" t="str">
        <f t="shared" si="926"/>
        <v xml:space="preserve">N887QR  </v>
      </c>
      <c r="BE2601">
        <v>1</v>
      </c>
      <c r="BJ2601">
        <v>3050</v>
      </c>
      <c r="BK2601">
        <v>-250</v>
      </c>
      <c r="BL2601" t="s">
        <v>163</v>
      </c>
      <c r="BM2601">
        <v>1</v>
      </c>
      <c r="BN2601">
        <v>1</v>
      </c>
      <c r="BO2601">
        <v>1</v>
      </c>
      <c r="BP2601">
        <v>0</v>
      </c>
      <c r="BS2601">
        <v>0.08</v>
      </c>
      <c r="BT2601">
        <v>0</v>
      </c>
      <c r="BU2601">
        <v>0</v>
      </c>
      <c r="CE2601" t="str">
        <f t="shared" si="940"/>
        <v>19:32:31.284</v>
      </c>
      <c r="CF2601">
        <v>284307434</v>
      </c>
      <c r="CS2601">
        <v>0</v>
      </c>
      <c r="CT2601">
        <v>2</v>
      </c>
      <c r="CU2601">
        <v>0</v>
      </c>
      <c r="CV2601">
        <v>2</v>
      </c>
      <c r="CW2601">
        <v>0</v>
      </c>
      <c r="CX2601">
        <v>5</v>
      </c>
      <c r="CY2601">
        <v>7</v>
      </c>
      <c r="CZ2601" t="s">
        <v>131</v>
      </c>
      <c r="DA2601">
        <v>300</v>
      </c>
      <c r="DB2601">
        <v>0</v>
      </c>
      <c r="DC2601" t="s">
        <v>176</v>
      </c>
      <c r="DD2601" t="s">
        <v>177</v>
      </c>
      <c r="DG2601">
        <v>5416697</v>
      </c>
      <c r="DI2601">
        <v>1</v>
      </c>
      <c r="DJ2601">
        <v>0</v>
      </c>
      <c r="DK2601">
        <v>1</v>
      </c>
      <c r="DL2601">
        <v>0</v>
      </c>
      <c r="DM2601">
        <v>0</v>
      </c>
      <c r="DN2601">
        <v>1</v>
      </c>
      <c r="DO2601">
        <v>0</v>
      </c>
      <c r="DP2601">
        <v>0</v>
      </c>
      <c r="DQ2601">
        <v>0</v>
      </c>
      <c r="DR2601">
        <v>0</v>
      </c>
      <c r="DS2601">
        <v>0</v>
      </c>
    </row>
    <row r="2602" spans="1:123" x14ac:dyDescent="0.3">
      <c r="A2602" t="str">
        <f t="shared" si="941"/>
        <v>10/04/2022 19:32:31.667</v>
      </c>
      <c r="C2602" t="str">
        <f t="shared" si="942"/>
        <v>FFDDD3C0</v>
      </c>
      <c r="D2602" t="s">
        <v>147</v>
      </c>
      <c r="E2602">
        <v>3</v>
      </c>
      <c r="H2602">
        <v>166</v>
      </c>
      <c r="I2602" t="s">
        <v>144</v>
      </c>
      <c r="J2602" t="s">
        <v>148</v>
      </c>
      <c r="K2602">
        <v>0</v>
      </c>
      <c r="L2602">
        <v>3</v>
      </c>
      <c r="M2602">
        <v>0</v>
      </c>
      <c r="N2602">
        <v>2</v>
      </c>
      <c r="O2602">
        <v>0</v>
      </c>
      <c r="P2602">
        <v>1</v>
      </c>
      <c r="Q2602">
        <v>0</v>
      </c>
      <c r="S2602" t="str">
        <f t="shared" si="939"/>
        <v>19:32:31.000</v>
      </c>
      <c r="T2602" t="str">
        <f t="shared" si="939"/>
        <v>19:32:31.000</v>
      </c>
      <c r="U2602" t="str">
        <f t="shared" si="925"/>
        <v>AC3944</v>
      </c>
      <c r="V2602">
        <v>0</v>
      </c>
      <c r="W2602">
        <v>0</v>
      </c>
      <c r="X2602">
        <v>2</v>
      </c>
      <c r="Y2602">
        <v>0</v>
      </c>
      <c r="AA2602">
        <v>1</v>
      </c>
      <c r="AB2602">
        <v>8</v>
      </c>
      <c r="AC2602">
        <v>3</v>
      </c>
      <c r="AD2602">
        <v>0</v>
      </c>
      <c r="AE2602">
        <v>9</v>
      </c>
      <c r="AF2602" t="s">
        <v>138</v>
      </c>
      <c r="AG2602">
        <v>0</v>
      </c>
      <c r="AH2602">
        <v>3</v>
      </c>
      <c r="AI2602">
        <v>1</v>
      </c>
      <c r="AJ2602">
        <v>0</v>
      </c>
      <c r="AK2602" t="s">
        <v>888</v>
      </c>
      <c r="AL2602">
        <v>32.748677999999998</v>
      </c>
      <c r="AM2602" t="s">
        <v>889</v>
      </c>
      <c r="AN2602">
        <v>-116.773403</v>
      </c>
      <c r="AO2602">
        <v>25</v>
      </c>
      <c r="AP2602">
        <v>3300</v>
      </c>
      <c r="AQ2602" t="s">
        <v>129</v>
      </c>
      <c r="AR2602">
        <v>103</v>
      </c>
      <c r="AS2602">
        <v>-86</v>
      </c>
      <c r="AT2602">
        <v>832</v>
      </c>
      <c r="BB2602">
        <v>1200</v>
      </c>
      <c r="BC2602">
        <v>1</v>
      </c>
      <c r="BD2602" t="str">
        <f t="shared" si="926"/>
        <v xml:space="preserve">N887QR  </v>
      </c>
      <c r="BE2602">
        <v>1</v>
      </c>
      <c r="BJ2602">
        <v>3050</v>
      </c>
      <c r="BK2602">
        <v>-250</v>
      </c>
      <c r="BL2602" t="s">
        <v>163</v>
      </c>
      <c r="BM2602">
        <v>1</v>
      </c>
      <c r="BN2602">
        <v>1</v>
      </c>
      <c r="BO2602">
        <v>1</v>
      </c>
      <c r="BP2602">
        <v>0</v>
      </c>
      <c r="BS2602">
        <v>0.08</v>
      </c>
      <c r="BT2602">
        <v>0</v>
      </c>
      <c r="BU2602">
        <v>0</v>
      </c>
      <c r="CE2602" t="str">
        <f t="shared" si="940"/>
        <v>19:32:31.284</v>
      </c>
      <c r="CF2602">
        <v>284307434</v>
      </c>
      <c r="CS2602">
        <v>0</v>
      </c>
      <c r="CT2602">
        <v>2</v>
      </c>
      <c r="CU2602">
        <v>0</v>
      </c>
      <c r="CV2602">
        <v>2</v>
      </c>
      <c r="CW2602">
        <v>0</v>
      </c>
      <c r="CX2602">
        <v>5</v>
      </c>
      <c r="CY2602">
        <v>7</v>
      </c>
      <c r="CZ2602" t="s">
        <v>131</v>
      </c>
      <c r="DA2602">
        <v>300</v>
      </c>
      <c r="DB2602">
        <v>0</v>
      </c>
      <c r="DC2602" t="s">
        <v>176</v>
      </c>
      <c r="DD2602" t="s">
        <v>177</v>
      </c>
      <c r="DG2602">
        <v>5416697</v>
      </c>
      <c r="DI2602">
        <v>1</v>
      </c>
      <c r="DJ2602">
        <v>0</v>
      </c>
      <c r="DK2602">
        <v>1</v>
      </c>
      <c r="DL2602">
        <v>0</v>
      </c>
      <c r="DM2602">
        <v>0</v>
      </c>
      <c r="DN2602">
        <v>1</v>
      </c>
      <c r="DO2602">
        <v>0</v>
      </c>
      <c r="DP2602">
        <v>0</v>
      </c>
      <c r="DQ2602">
        <v>0</v>
      </c>
      <c r="DR2602">
        <v>0</v>
      </c>
      <c r="DS2602">
        <v>0</v>
      </c>
    </row>
    <row r="2603" spans="1:123" x14ac:dyDescent="0.3">
      <c r="A2603" t="str">
        <f t="shared" si="941"/>
        <v>10/04/2022 19:32:31.667</v>
      </c>
      <c r="C2603" t="str">
        <f t="shared" si="942"/>
        <v>FFDDD3C0</v>
      </c>
      <c r="D2603" t="s">
        <v>134</v>
      </c>
      <c r="E2603">
        <v>15</v>
      </c>
      <c r="J2603" t="s">
        <v>135</v>
      </c>
      <c r="K2603">
        <v>0</v>
      </c>
      <c r="L2603">
        <v>3</v>
      </c>
      <c r="M2603">
        <v>0</v>
      </c>
      <c r="N2603">
        <v>2</v>
      </c>
      <c r="O2603">
        <v>0</v>
      </c>
      <c r="P2603">
        <v>1</v>
      </c>
      <c r="Q2603">
        <v>0</v>
      </c>
      <c r="S2603" t="str">
        <f t="shared" si="939"/>
        <v>19:32:31.000</v>
      </c>
      <c r="T2603" t="str">
        <f t="shared" si="939"/>
        <v>19:32:31.000</v>
      </c>
      <c r="U2603" t="str">
        <f t="shared" si="925"/>
        <v>AC3944</v>
      </c>
      <c r="V2603">
        <v>0</v>
      </c>
      <c r="W2603">
        <v>0</v>
      </c>
      <c r="X2603">
        <v>2</v>
      </c>
      <c r="Y2603">
        <v>0</v>
      </c>
      <c r="AA2603">
        <v>1</v>
      </c>
      <c r="AB2603">
        <v>8</v>
      </c>
      <c r="AC2603">
        <v>3</v>
      </c>
      <c r="AD2603">
        <v>0</v>
      </c>
      <c r="AE2603">
        <v>9</v>
      </c>
      <c r="AF2603" t="s">
        <v>138</v>
      </c>
      <c r="AG2603">
        <v>0</v>
      </c>
      <c r="AH2603">
        <v>3</v>
      </c>
      <c r="AI2603">
        <v>1</v>
      </c>
      <c r="AJ2603">
        <v>0</v>
      </c>
      <c r="AK2603" t="s">
        <v>888</v>
      </c>
      <c r="AL2603">
        <v>32.748677999999998</v>
      </c>
      <c r="AM2603" t="s">
        <v>889</v>
      </c>
      <c r="AN2603">
        <v>-116.773403</v>
      </c>
      <c r="AO2603">
        <v>25</v>
      </c>
      <c r="AP2603">
        <v>3300</v>
      </c>
      <c r="AQ2603" t="s">
        <v>129</v>
      </c>
      <c r="AR2603">
        <v>103</v>
      </c>
      <c r="AS2603">
        <v>-86</v>
      </c>
      <c r="AT2603">
        <v>832</v>
      </c>
      <c r="BB2603">
        <v>1200</v>
      </c>
      <c r="BC2603">
        <v>1</v>
      </c>
      <c r="BD2603" t="str">
        <f t="shared" si="926"/>
        <v xml:space="preserve">N887QR  </v>
      </c>
      <c r="BE2603">
        <v>1</v>
      </c>
      <c r="BJ2603">
        <v>3050</v>
      </c>
      <c r="BK2603">
        <v>-250</v>
      </c>
      <c r="BL2603" t="s">
        <v>163</v>
      </c>
      <c r="BM2603">
        <v>1</v>
      </c>
      <c r="BN2603">
        <v>1</v>
      </c>
      <c r="BO2603">
        <v>1</v>
      </c>
      <c r="BP2603">
        <v>0</v>
      </c>
      <c r="BS2603">
        <v>0.08</v>
      </c>
      <c r="BT2603">
        <v>0</v>
      </c>
      <c r="BU2603">
        <v>0</v>
      </c>
      <c r="CE2603" t="str">
        <f t="shared" si="940"/>
        <v>19:32:31.284</v>
      </c>
      <c r="CF2603">
        <v>284307434</v>
      </c>
      <c r="CS2603">
        <v>0</v>
      </c>
      <c r="CT2603">
        <v>2</v>
      </c>
      <c r="CU2603">
        <v>0</v>
      </c>
      <c r="CV2603">
        <v>2</v>
      </c>
      <c r="CW2603">
        <v>0</v>
      </c>
      <c r="CX2603">
        <v>5</v>
      </c>
      <c r="CY2603">
        <v>7</v>
      </c>
      <c r="CZ2603" t="s">
        <v>131</v>
      </c>
      <c r="DA2603">
        <v>300</v>
      </c>
      <c r="DB2603">
        <v>0</v>
      </c>
      <c r="DC2603" t="s">
        <v>176</v>
      </c>
      <c r="DD2603" t="s">
        <v>177</v>
      </c>
      <c r="DG2603">
        <v>5416697</v>
      </c>
      <c r="DI2603">
        <v>1</v>
      </c>
      <c r="DJ2603">
        <v>0</v>
      </c>
      <c r="DK2603">
        <v>1</v>
      </c>
      <c r="DL2603">
        <v>0</v>
      </c>
      <c r="DM2603">
        <v>0</v>
      </c>
      <c r="DN2603">
        <v>1</v>
      </c>
      <c r="DO2603">
        <v>0</v>
      </c>
      <c r="DP2603">
        <v>0</v>
      </c>
      <c r="DQ2603">
        <v>0</v>
      </c>
      <c r="DR2603">
        <v>0</v>
      </c>
      <c r="DS2603">
        <v>0</v>
      </c>
    </row>
    <row r="2604" spans="1:123" x14ac:dyDescent="0.3">
      <c r="A2604" t="str">
        <f t="shared" si="941"/>
        <v>10/04/2022 19:32:31.667</v>
      </c>
      <c r="C2604" t="str">
        <f t="shared" si="942"/>
        <v>FFDDD3C0</v>
      </c>
      <c r="D2604" t="s">
        <v>136</v>
      </c>
      <c r="E2604">
        <v>8</v>
      </c>
      <c r="H2604">
        <v>225</v>
      </c>
      <c r="I2604" t="s">
        <v>137</v>
      </c>
      <c r="J2604" t="s">
        <v>138</v>
      </c>
      <c r="K2604">
        <v>0</v>
      </c>
      <c r="L2604">
        <v>3</v>
      </c>
      <c r="M2604">
        <v>0</v>
      </c>
      <c r="N2604">
        <v>2</v>
      </c>
      <c r="O2604">
        <v>0</v>
      </c>
      <c r="P2604">
        <v>1</v>
      </c>
      <c r="Q2604">
        <v>0</v>
      </c>
      <c r="S2604" t="str">
        <f t="shared" si="939"/>
        <v>19:32:31.000</v>
      </c>
      <c r="T2604" t="str">
        <f t="shared" si="939"/>
        <v>19:32:31.000</v>
      </c>
      <c r="U2604" t="str">
        <f t="shared" si="925"/>
        <v>AC3944</v>
      </c>
      <c r="V2604">
        <v>0</v>
      </c>
      <c r="W2604">
        <v>0</v>
      </c>
      <c r="X2604">
        <v>2</v>
      </c>
      <c r="Y2604">
        <v>0</v>
      </c>
      <c r="AA2604">
        <v>1</v>
      </c>
      <c r="AB2604">
        <v>8</v>
      </c>
      <c r="AC2604">
        <v>3</v>
      </c>
      <c r="AD2604">
        <v>0</v>
      </c>
      <c r="AE2604">
        <v>9</v>
      </c>
      <c r="AF2604" t="s">
        <v>138</v>
      </c>
      <c r="AG2604">
        <v>0</v>
      </c>
      <c r="AH2604">
        <v>3</v>
      </c>
      <c r="AI2604">
        <v>1</v>
      </c>
      <c r="AJ2604">
        <v>0</v>
      </c>
      <c r="AK2604" t="s">
        <v>888</v>
      </c>
      <c r="AL2604">
        <v>32.748677999999998</v>
      </c>
      <c r="AM2604" t="s">
        <v>889</v>
      </c>
      <c r="AN2604">
        <v>-116.773403</v>
      </c>
      <c r="AO2604">
        <v>25</v>
      </c>
      <c r="AP2604">
        <v>3300</v>
      </c>
      <c r="AQ2604" t="s">
        <v>129</v>
      </c>
      <c r="AR2604">
        <v>103</v>
      </c>
      <c r="AS2604">
        <v>-86</v>
      </c>
      <c r="AT2604">
        <v>832</v>
      </c>
      <c r="BB2604">
        <v>1200</v>
      </c>
      <c r="BC2604">
        <v>1</v>
      </c>
      <c r="BD2604" t="str">
        <f t="shared" si="926"/>
        <v xml:space="preserve">N887QR  </v>
      </c>
      <c r="BE2604">
        <v>1</v>
      </c>
      <c r="BJ2604">
        <v>3050</v>
      </c>
      <c r="BK2604">
        <v>-250</v>
      </c>
      <c r="BL2604" t="s">
        <v>163</v>
      </c>
      <c r="BM2604">
        <v>1</v>
      </c>
      <c r="BN2604">
        <v>1</v>
      </c>
      <c r="BO2604">
        <v>1</v>
      </c>
      <c r="BP2604">
        <v>0</v>
      </c>
      <c r="BS2604">
        <v>0.08</v>
      </c>
      <c r="BT2604">
        <v>0</v>
      </c>
      <c r="BU2604">
        <v>0</v>
      </c>
      <c r="CE2604" t="str">
        <f t="shared" si="940"/>
        <v>19:32:31.284</v>
      </c>
      <c r="CF2604">
        <v>284307434</v>
      </c>
      <c r="CS2604">
        <v>0</v>
      </c>
      <c r="CT2604">
        <v>2</v>
      </c>
      <c r="CU2604">
        <v>0</v>
      </c>
      <c r="CV2604">
        <v>2</v>
      </c>
      <c r="CW2604">
        <v>0</v>
      </c>
      <c r="CX2604">
        <v>5</v>
      </c>
      <c r="CY2604">
        <v>7</v>
      </c>
      <c r="CZ2604" t="s">
        <v>131</v>
      </c>
      <c r="DA2604">
        <v>300</v>
      </c>
      <c r="DB2604">
        <v>0</v>
      </c>
      <c r="DC2604" t="s">
        <v>176</v>
      </c>
      <c r="DD2604" t="s">
        <v>177</v>
      </c>
      <c r="DG2604">
        <v>5416697</v>
      </c>
      <c r="DI2604">
        <v>1</v>
      </c>
      <c r="DJ2604">
        <v>0</v>
      </c>
      <c r="DK2604">
        <v>1</v>
      </c>
      <c r="DL2604">
        <v>0</v>
      </c>
      <c r="DM2604">
        <v>0</v>
      </c>
      <c r="DN2604">
        <v>1</v>
      </c>
      <c r="DO2604">
        <v>0</v>
      </c>
      <c r="DP2604">
        <v>0</v>
      </c>
      <c r="DQ2604">
        <v>0</v>
      </c>
      <c r="DR2604">
        <v>0</v>
      </c>
      <c r="DS2604">
        <v>0</v>
      </c>
    </row>
    <row r="2605" spans="1:123" x14ac:dyDescent="0.3">
      <c r="A2605" t="str">
        <f>"10/04/2022 19:32:32.338"</f>
        <v>10/04/2022 19:32:32.338</v>
      </c>
      <c r="C2605" t="str">
        <f t="shared" si="942"/>
        <v>FFDDD3C0</v>
      </c>
      <c r="D2605" t="s">
        <v>136</v>
      </c>
      <c r="E2605">
        <v>8</v>
      </c>
      <c r="H2605">
        <v>225</v>
      </c>
      <c r="I2605" t="s">
        <v>137</v>
      </c>
      <c r="J2605" t="s">
        <v>138</v>
      </c>
      <c r="K2605">
        <v>0</v>
      </c>
      <c r="L2605">
        <v>3</v>
      </c>
      <c r="M2605">
        <v>0</v>
      </c>
      <c r="N2605">
        <v>2</v>
      </c>
      <c r="O2605">
        <v>0</v>
      </c>
      <c r="P2605">
        <v>1</v>
      </c>
      <c r="Q2605">
        <v>0</v>
      </c>
      <c r="S2605" t="str">
        <f t="shared" ref="S2605:T2611" si="943">"19:32:32.000"</f>
        <v>19:32:32.000</v>
      </c>
      <c r="T2605" t="str">
        <f t="shared" si="943"/>
        <v>19:32:32.000</v>
      </c>
      <c r="U2605" t="str">
        <f t="shared" si="925"/>
        <v>AC3944</v>
      </c>
      <c r="V2605">
        <v>0</v>
      </c>
      <c r="W2605">
        <v>0</v>
      </c>
      <c r="X2605">
        <v>2</v>
      </c>
      <c r="Y2605">
        <v>0</v>
      </c>
      <c r="AA2605">
        <v>1</v>
      </c>
      <c r="AB2605">
        <v>8</v>
      </c>
      <c r="AC2605">
        <v>3</v>
      </c>
      <c r="AD2605">
        <v>0</v>
      </c>
      <c r="AE2605">
        <v>9</v>
      </c>
      <c r="AF2605" t="s">
        <v>138</v>
      </c>
      <c r="AG2605">
        <v>0</v>
      </c>
      <c r="AH2605">
        <v>3</v>
      </c>
      <c r="AI2605">
        <v>1</v>
      </c>
      <c r="AJ2605">
        <v>0</v>
      </c>
      <c r="AK2605" t="s">
        <v>890</v>
      </c>
      <c r="AL2605">
        <v>32.748356000000001</v>
      </c>
      <c r="AM2605" t="s">
        <v>891</v>
      </c>
      <c r="AN2605">
        <v>-116.772974</v>
      </c>
      <c r="AO2605">
        <v>25</v>
      </c>
      <c r="AP2605">
        <v>3300</v>
      </c>
      <c r="AQ2605" t="s">
        <v>129</v>
      </c>
      <c r="AR2605">
        <v>101</v>
      </c>
      <c r="AS2605">
        <v>-86</v>
      </c>
      <c r="AT2605">
        <v>832</v>
      </c>
      <c r="BB2605">
        <v>1200</v>
      </c>
      <c r="BC2605">
        <v>1</v>
      </c>
      <c r="BD2605" t="str">
        <f t="shared" si="926"/>
        <v xml:space="preserve">N887QR  </v>
      </c>
      <c r="BE2605">
        <v>1</v>
      </c>
      <c r="BJ2605">
        <v>3050</v>
      </c>
      <c r="BK2605">
        <v>-250</v>
      </c>
      <c r="BL2605" t="s">
        <v>163</v>
      </c>
      <c r="BM2605">
        <v>1</v>
      </c>
      <c r="BN2605">
        <v>1</v>
      </c>
      <c r="BO2605">
        <v>1</v>
      </c>
      <c r="BP2605">
        <v>0</v>
      </c>
      <c r="BS2605">
        <v>0.08</v>
      </c>
      <c r="BT2605">
        <v>0</v>
      </c>
      <c r="BU2605">
        <v>0</v>
      </c>
      <c r="CE2605" t="str">
        <f t="shared" ref="CE2605:CE2611" si="944">"19:32:32.077"</f>
        <v>19:32:32.077</v>
      </c>
      <c r="CF2605">
        <v>76560238</v>
      </c>
      <c r="CS2605">
        <v>0</v>
      </c>
      <c r="CT2605">
        <v>2</v>
      </c>
      <c r="CU2605">
        <v>0</v>
      </c>
      <c r="CV2605">
        <v>2</v>
      </c>
      <c r="CW2605">
        <v>0</v>
      </c>
      <c r="CX2605">
        <v>5</v>
      </c>
      <c r="CY2605">
        <v>7</v>
      </c>
      <c r="CZ2605" t="s">
        <v>131</v>
      </c>
      <c r="DA2605">
        <v>300</v>
      </c>
      <c r="DB2605">
        <v>0</v>
      </c>
      <c r="DC2605" t="s">
        <v>176</v>
      </c>
      <c r="DD2605" t="s">
        <v>177</v>
      </c>
      <c r="DG2605">
        <v>5416833</v>
      </c>
      <c r="DI2605">
        <v>1</v>
      </c>
      <c r="DJ2605">
        <v>0</v>
      </c>
      <c r="DK2605">
        <v>0</v>
      </c>
      <c r="DL2605">
        <v>0</v>
      </c>
      <c r="DM2605">
        <v>0</v>
      </c>
      <c r="DN2605">
        <v>1</v>
      </c>
      <c r="DO2605">
        <v>0</v>
      </c>
      <c r="DP2605">
        <v>0</v>
      </c>
      <c r="DQ2605">
        <v>0</v>
      </c>
      <c r="DR2605">
        <v>0</v>
      </c>
      <c r="DS2605">
        <v>0</v>
      </c>
    </row>
    <row r="2606" spans="1:123" x14ac:dyDescent="0.3">
      <c r="A2606" t="str">
        <f>"10/04/2022 19:32:32.338"</f>
        <v>10/04/2022 19:32:32.338</v>
      </c>
      <c r="C2606" t="str">
        <f t="shared" si="942"/>
        <v>FFDDD3C0</v>
      </c>
      <c r="D2606" t="s">
        <v>141</v>
      </c>
      <c r="E2606">
        <v>3</v>
      </c>
      <c r="H2606">
        <v>3</v>
      </c>
      <c r="I2606" t="s">
        <v>146</v>
      </c>
      <c r="J2606" t="s">
        <v>138</v>
      </c>
      <c r="K2606">
        <v>0</v>
      </c>
      <c r="L2606">
        <v>3</v>
      </c>
      <c r="M2606">
        <v>0</v>
      </c>
      <c r="N2606">
        <v>2</v>
      </c>
      <c r="O2606">
        <v>0</v>
      </c>
      <c r="P2606">
        <v>1</v>
      </c>
      <c r="Q2606">
        <v>0</v>
      </c>
      <c r="S2606" t="str">
        <f t="shared" si="943"/>
        <v>19:32:32.000</v>
      </c>
      <c r="T2606" t="str">
        <f t="shared" si="943"/>
        <v>19:32:32.000</v>
      </c>
      <c r="U2606" t="str">
        <f t="shared" si="925"/>
        <v>AC3944</v>
      </c>
      <c r="V2606">
        <v>0</v>
      </c>
      <c r="W2606">
        <v>0</v>
      </c>
      <c r="X2606">
        <v>2</v>
      </c>
      <c r="Y2606">
        <v>0</v>
      </c>
      <c r="AA2606">
        <v>1</v>
      </c>
      <c r="AB2606">
        <v>8</v>
      </c>
      <c r="AC2606">
        <v>3</v>
      </c>
      <c r="AD2606">
        <v>0</v>
      </c>
      <c r="AE2606">
        <v>9</v>
      </c>
      <c r="AF2606" t="s">
        <v>138</v>
      </c>
      <c r="AG2606">
        <v>0</v>
      </c>
      <c r="AH2606">
        <v>3</v>
      </c>
      <c r="AI2606">
        <v>1</v>
      </c>
      <c r="AJ2606">
        <v>0</v>
      </c>
      <c r="AK2606" t="s">
        <v>890</v>
      </c>
      <c r="AL2606">
        <v>32.748356000000001</v>
      </c>
      <c r="AM2606" t="s">
        <v>891</v>
      </c>
      <c r="AN2606">
        <v>-116.772974</v>
      </c>
      <c r="AO2606">
        <v>25</v>
      </c>
      <c r="AP2606">
        <v>3300</v>
      </c>
      <c r="AQ2606" t="s">
        <v>129</v>
      </c>
      <c r="AR2606">
        <v>101</v>
      </c>
      <c r="AS2606">
        <v>-86</v>
      </c>
      <c r="AT2606">
        <v>832</v>
      </c>
      <c r="BB2606">
        <v>1200</v>
      </c>
      <c r="BC2606">
        <v>1</v>
      </c>
      <c r="BD2606" t="str">
        <f t="shared" si="926"/>
        <v xml:space="preserve">N887QR  </v>
      </c>
      <c r="BE2606">
        <v>1</v>
      </c>
      <c r="BJ2606">
        <v>3050</v>
      </c>
      <c r="BK2606">
        <v>-250</v>
      </c>
      <c r="BL2606" t="s">
        <v>163</v>
      </c>
      <c r="BM2606">
        <v>1</v>
      </c>
      <c r="BN2606">
        <v>1</v>
      </c>
      <c r="BO2606">
        <v>1</v>
      </c>
      <c r="BP2606">
        <v>0</v>
      </c>
      <c r="BS2606">
        <v>0.08</v>
      </c>
      <c r="BT2606">
        <v>0</v>
      </c>
      <c r="BU2606">
        <v>0</v>
      </c>
      <c r="CE2606" t="str">
        <f t="shared" si="944"/>
        <v>19:32:32.077</v>
      </c>
      <c r="CF2606">
        <v>76560238</v>
      </c>
      <c r="CS2606">
        <v>0</v>
      </c>
      <c r="CT2606">
        <v>2</v>
      </c>
      <c r="CU2606">
        <v>0</v>
      </c>
      <c r="CV2606">
        <v>2</v>
      </c>
      <c r="CW2606">
        <v>0</v>
      </c>
      <c r="CX2606">
        <v>5</v>
      </c>
      <c r="CY2606">
        <v>7</v>
      </c>
      <c r="CZ2606" t="s">
        <v>131</v>
      </c>
      <c r="DA2606">
        <v>300</v>
      </c>
      <c r="DB2606">
        <v>0</v>
      </c>
      <c r="DC2606" t="s">
        <v>176</v>
      </c>
      <c r="DD2606" t="s">
        <v>177</v>
      </c>
      <c r="DG2606">
        <v>5416833</v>
      </c>
      <c r="DI2606">
        <v>1</v>
      </c>
      <c r="DJ2606">
        <v>0</v>
      </c>
      <c r="DK2606">
        <v>1</v>
      </c>
      <c r="DL2606">
        <v>0</v>
      </c>
      <c r="DM2606">
        <v>0</v>
      </c>
      <c r="DN2606">
        <v>1</v>
      </c>
      <c r="DO2606">
        <v>0</v>
      </c>
      <c r="DP2606">
        <v>0</v>
      </c>
      <c r="DQ2606">
        <v>0</v>
      </c>
      <c r="DR2606">
        <v>0</v>
      </c>
      <c r="DS2606">
        <v>0</v>
      </c>
    </row>
    <row r="2607" spans="1:123" x14ac:dyDescent="0.3">
      <c r="A2607" t="str">
        <f>"10/04/2022 19:32:32.401"</f>
        <v>10/04/2022 19:32:32.401</v>
      </c>
      <c r="C2607" t="str">
        <f t="shared" si="942"/>
        <v>FFDDD3C0</v>
      </c>
      <c r="D2607" t="s">
        <v>143</v>
      </c>
      <c r="E2607">
        <v>20</v>
      </c>
      <c r="F2607">
        <v>1020</v>
      </c>
      <c r="G2607" t="s">
        <v>144</v>
      </c>
      <c r="J2607" t="s">
        <v>145</v>
      </c>
      <c r="K2607">
        <v>0</v>
      </c>
      <c r="L2607">
        <v>3</v>
      </c>
      <c r="M2607">
        <v>0</v>
      </c>
      <c r="N2607">
        <v>2</v>
      </c>
      <c r="O2607">
        <v>0</v>
      </c>
      <c r="P2607">
        <v>1</v>
      </c>
      <c r="Q2607">
        <v>0</v>
      </c>
      <c r="S2607" t="str">
        <f t="shared" si="943"/>
        <v>19:32:32.000</v>
      </c>
      <c r="T2607" t="str">
        <f t="shared" si="943"/>
        <v>19:32:32.000</v>
      </c>
      <c r="U2607" t="str">
        <f t="shared" si="925"/>
        <v>AC3944</v>
      </c>
      <c r="V2607">
        <v>0</v>
      </c>
      <c r="W2607">
        <v>0</v>
      </c>
      <c r="X2607">
        <v>2</v>
      </c>
      <c r="Y2607">
        <v>0</v>
      </c>
      <c r="AA2607">
        <v>1</v>
      </c>
      <c r="AB2607">
        <v>8</v>
      </c>
      <c r="AC2607">
        <v>3</v>
      </c>
      <c r="AD2607">
        <v>0</v>
      </c>
      <c r="AE2607">
        <v>9</v>
      </c>
      <c r="AF2607" t="s">
        <v>138</v>
      </c>
      <c r="AG2607">
        <v>0</v>
      </c>
      <c r="AH2607">
        <v>3</v>
      </c>
      <c r="AI2607">
        <v>1</v>
      </c>
      <c r="AJ2607">
        <v>0</v>
      </c>
      <c r="AK2607" t="s">
        <v>890</v>
      </c>
      <c r="AL2607">
        <v>32.748356000000001</v>
      </c>
      <c r="AM2607" t="s">
        <v>891</v>
      </c>
      <c r="AN2607">
        <v>-116.772974</v>
      </c>
      <c r="AO2607">
        <v>25</v>
      </c>
      <c r="AP2607">
        <v>3300</v>
      </c>
      <c r="AQ2607" t="s">
        <v>129</v>
      </c>
      <c r="AR2607">
        <v>101</v>
      </c>
      <c r="AS2607">
        <v>-86</v>
      </c>
      <c r="AT2607">
        <v>832</v>
      </c>
      <c r="BB2607">
        <v>1200</v>
      </c>
      <c r="BC2607">
        <v>1</v>
      </c>
      <c r="BD2607" t="str">
        <f t="shared" si="926"/>
        <v xml:space="preserve">N887QR  </v>
      </c>
      <c r="BE2607">
        <v>1</v>
      </c>
      <c r="BJ2607">
        <v>3050</v>
      </c>
      <c r="BK2607">
        <v>-250</v>
      </c>
      <c r="BL2607" t="s">
        <v>163</v>
      </c>
      <c r="BM2607">
        <v>1</v>
      </c>
      <c r="BN2607">
        <v>1</v>
      </c>
      <c r="BO2607">
        <v>1</v>
      </c>
      <c r="BP2607">
        <v>0</v>
      </c>
      <c r="BS2607">
        <v>0.08</v>
      </c>
      <c r="BT2607">
        <v>0</v>
      </c>
      <c r="BU2607">
        <v>0</v>
      </c>
      <c r="CE2607" t="str">
        <f t="shared" si="944"/>
        <v>19:32:32.077</v>
      </c>
      <c r="CF2607">
        <v>76560238</v>
      </c>
      <c r="CS2607">
        <v>0</v>
      </c>
      <c r="CT2607">
        <v>2</v>
      </c>
      <c r="CU2607">
        <v>0</v>
      </c>
      <c r="CV2607">
        <v>2</v>
      </c>
      <c r="CW2607">
        <v>0</v>
      </c>
      <c r="CX2607">
        <v>5</v>
      </c>
      <c r="CY2607">
        <v>7</v>
      </c>
      <c r="CZ2607" t="s">
        <v>131</v>
      </c>
      <c r="DA2607">
        <v>300</v>
      </c>
      <c r="DB2607">
        <v>0</v>
      </c>
      <c r="DC2607" t="s">
        <v>176</v>
      </c>
      <c r="DD2607" t="s">
        <v>177</v>
      </c>
      <c r="DG2607">
        <v>5416833</v>
      </c>
      <c r="DI2607">
        <v>1</v>
      </c>
      <c r="DJ2607">
        <v>0</v>
      </c>
      <c r="DK2607">
        <v>1</v>
      </c>
      <c r="DL2607">
        <v>0</v>
      </c>
      <c r="DM2607">
        <v>0</v>
      </c>
      <c r="DN2607">
        <v>1</v>
      </c>
      <c r="DO2607">
        <v>0</v>
      </c>
      <c r="DP2607">
        <v>0</v>
      </c>
      <c r="DQ2607">
        <v>0</v>
      </c>
      <c r="DR2607">
        <v>0</v>
      </c>
      <c r="DS2607">
        <v>0</v>
      </c>
    </row>
    <row r="2608" spans="1:123" x14ac:dyDescent="0.3">
      <c r="A2608" t="str">
        <f>"10/04/2022 19:32:32.401"</f>
        <v>10/04/2022 19:32:32.401</v>
      </c>
      <c r="C2608" t="str">
        <f t="shared" si="942"/>
        <v>FFDDD3C0</v>
      </c>
      <c r="D2608" t="s">
        <v>141</v>
      </c>
      <c r="E2608">
        <v>4</v>
      </c>
      <c r="H2608">
        <v>4</v>
      </c>
      <c r="I2608" t="s">
        <v>142</v>
      </c>
      <c r="J2608" t="s">
        <v>138</v>
      </c>
      <c r="K2608">
        <v>0</v>
      </c>
      <c r="L2608">
        <v>3</v>
      </c>
      <c r="M2608">
        <v>0</v>
      </c>
      <c r="N2608">
        <v>2</v>
      </c>
      <c r="O2608">
        <v>0</v>
      </c>
      <c r="P2608">
        <v>1</v>
      </c>
      <c r="Q2608">
        <v>0</v>
      </c>
      <c r="S2608" t="str">
        <f t="shared" si="943"/>
        <v>19:32:32.000</v>
      </c>
      <c r="T2608" t="str">
        <f t="shared" si="943"/>
        <v>19:32:32.000</v>
      </c>
      <c r="U2608" t="str">
        <f t="shared" si="925"/>
        <v>AC3944</v>
      </c>
      <c r="V2608">
        <v>0</v>
      </c>
      <c r="W2608">
        <v>0</v>
      </c>
      <c r="X2608">
        <v>2</v>
      </c>
      <c r="Y2608">
        <v>0</v>
      </c>
      <c r="AA2608">
        <v>1</v>
      </c>
      <c r="AB2608">
        <v>8</v>
      </c>
      <c r="AC2608">
        <v>3</v>
      </c>
      <c r="AD2608">
        <v>0</v>
      </c>
      <c r="AE2608">
        <v>9</v>
      </c>
      <c r="AF2608" t="s">
        <v>138</v>
      </c>
      <c r="AG2608">
        <v>0</v>
      </c>
      <c r="AH2608">
        <v>3</v>
      </c>
      <c r="AI2608">
        <v>1</v>
      </c>
      <c r="AJ2608">
        <v>0</v>
      </c>
      <c r="AK2608" t="s">
        <v>890</v>
      </c>
      <c r="AL2608">
        <v>32.748356000000001</v>
      </c>
      <c r="AM2608" t="s">
        <v>891</v>
      </c>
      <c r="AN2608">
        <v>-116.772974</v>
      </c>
      <c r="AO2608">
        <v>25</v>
      </c>
      <c r="AP2608">
        <v>3300</v>
      </c>
      <c r="AQ2608" t="s">
        <v>129</v>
      </c>
      <c r="AR2608">
        <v>101</v>
      </c>
      <c r="AS2608">
        <v>-86</v>
      </c>
      <c r="AT2608">
        <v>832</v>
      </c>
      <c r="BB2608">
        <v>1200</v>
      </c>
      <c r="BC2608">
        <v>1</v>
      </c>
      <c r="BD2608" t="str">
        <f t="shared" si="926"/>
        <v xml:space="preserve">N887QR  </v>
      </c>
      <c r="BE2608">
        <v>1</v>
      </c>
      <c r="BJ2608">
        <v>3050</v>
      </c>
      <c r="BK2608">
        <v>-250</v>
      </c>
      <c r="BL2608" t="s">
        <v>163</v>
      </c>
      <c r="BM2608">
        <v>1</v>
      </c>
      <c r="BN2608">
        <v>1</v>
      </c>
      <c r="BO2608">
        <v>1</v>
      </c>
      <c r="BP2608">
        <v>0</v>
      </c>
      <c r="BS2608">
        <v>0.08</v>
      </c>
      <c r="BT2608">
        <v>0</v>
      </c>
      <c r="BU2608">
        <v>0</v>
      </c>
      <c r="CE2608" t="str">
        <f t="shared" si="944"/>
        <v>19:32:32.077</v>
      </c>
      <c r="CF2608">
        <v>76560238</v>
      </c>
      <c r="CS2608">
        <v>0</v>
      </c>
      <c r="CT2608">
        <v>2</v>
      </c>
      <c r="CU2608">
        <v>0</v>
      </c>
      <c r="CV2608">
        <v>2</v>
      </c>
      <c r="CW2608">
        <v>0</v>
      </c>
      <c r="CX2608">
        <v>5</v>
      </c>
      <c r="CY2608">
        <v>7</v>
      </c>
      <c r="CZ2608" t="s">
        <v>131</v>
      </c>
      <c r="DA2608">
        <v>300</v>
      </c>
      <c r="DB2608">
        <v>0</v>
      </c>
      <c r="DC2608" t="s">
        <v>176</v>
      </c>
      <c r="DD2608" t="s">
        <v>177</v>
      </c>
      <c r="DG2608">
        <v>5416833</v>
      </c>
      <c r="DI2608">
        <v>1</v>
      </c>
      <c r="DJ2608">
        <v>0</v>
      </c>
      <c r="DK2608">
        <v>1</v>
      </c>
      <c r="DL2608">
        <v>0</v>
      </c>
      <c r="DM2608">
        <v>0</v>
      </c>
      <c r="DN2608">
        <v>1</v>
      </c>
      <c r="DO2608">
        <v>0</v>
      </c>
      <c r="DP2608">
        <v>0</v>
      </c>
      <c r="DQ2608">
        <v>0</v>
      </c>
      <c r="DR2608">
        <v>0</v>
      </c>
      <c r="DS2608">
        <v>0</v>
      </c>
    </row>
    <row r="2609" spans="1:123" x14ac:dyDescent="0.3">
      <c r="A2609" t="str">
        <f>"10/04/2022 19:32:32.401"</f>
        <v>10/04/2022 19:32:32.401</v>
      </c>
      <c r="C2609" t="str">
        <f t="shared" si="942"/>
        <v>FFDDD3C0</v>
      </c>
      <c r="D2609" t="s">
        <v>123</v>
      </c>
      <c r="E2609">
        <v>7</v>
      </c>
      <c r="F2609">
        <v>2007</v>
      </c>
      <c r="G2609" t="s">
        <v>124</v>
      </c>
      <c r="J2609" t="s">
        <v>125</v>
      </c>
      <c r="K2609">
        <v>0</v>
      </c>
      <c r="L2609">
        <v>3</v>
      </c>
      <c r="M2609">
        <v>0</v>
      </c>
      <c r="N2609">
        <v>2</v>
      </c>
      <c r="O2609">
        <v>0</v>
      </c>
      <c r="P2609">
        <v>1</v>
      </c>
      <c r="Q2609">
        <v>0</v>
      </c>
      <c r="S2609" t="str">
        <f t="shared" si="943"/>
        <v>19:32:32.000</v>
      </c>
      <c r="T2609" t="str">
        <f t="shared" si="943"/>
        <v>19:32:32.000</v>
      </c>
      <c r="U2609" t="str">
        <f t="shared" si="925"/>
        <v>AC3944</v>
      </c>
      <c r="V2609">
        <v>0</v>
      </c>
      <c r="W2609">
        <v>0</v>
      </c>
      <c r="X2609">
        <v>2</v>
      </c>
      <c r="Y2609">
        <v>0</v>
      </c>
      <c r="AA2609">
        <v>1</v>
      </c>
      <c r="AB2609">
        <v>8</v>
      </c>
      <c r="AC2609">
        <v>3</v>
      </c>
      <c r="AD2609">
        <v>0</v>
      </c>
      <c r="AE2609">
        <v>9</v>
      </c>
      <c r="AF2609" t="s">
        <v>138</v>
      </c>
      <c r="AG2609">
        <v>0</v>
      </c>
      <c r="AH2609">
        <v>3</v>
      </c>
      <c r="AI2609">
        <v>1</v>
      </c>
      <c r="AJ2609">
        <v>0</v>
      </c>
      <c r="AK2609" t="s">
        <v>890</v>
      </c>
      <c r="AL2609">
        <v>32.748356000000001</v>
      </c>
      <c r="AM2609" t="s">
        <v>891</v>
      </c>
      <c r="AN2609">
        <v>-116.772974</v>
      </c>
      <c r="AO2609">
        <v>25</v>
      </c>
      <c r="AP2609">
        <v>3300</v>
      </c>
      <c r="AQ2609" t="s">
        <v>129</v>
      </c>
      <c r="AR2609">
        <v>101</v>
      </c>
      <c r="AS2609">
        <v>-86</v>
      </c>
      <c r="AT2609">
        <v>832</v>
      </c>
      <c r="BB2609">
        <v>1200</v>
      </c>
      <c r="BC2609">
        <v>1</v>
      </c>
      <c r="BD2609" t="str">
        <f t="shared" si="926"/>
        <v xml:space="preserve">N887QR  </v>
      </c>
      <c r="BE2609">
        <v>1</v>
      </c>
      <c r="BJ2609">
        <v>3050</v>
      </c>
      <c r="BK2609">
        <v>-250</v>
      </c>
      <c r="BL2609" t="s">
        <v>163</v>
      </c>
      <c r="BM2609">
        <v>1</v>
      </c>
      <c r="BN2609">
        <v>1</v>
      </c>
      <c r="BO2609">
        <v>1</v>
      </c>
      <c r="BP2609">
        <v>0</v>
      </c>
      <c r="BS2609">
        <v>0.08</v>
      </c>
      <c r="BT2609">
        <v>0</v>
      </c>
      <c r="BU2609">
        <v>0</v>
      </c>
      <c r="CE2609" t="str">
        <f t="shared" si="944"/>
        <v>19:32:32.077</v>
      </c>
      <c r="CF2609">
        <v>76560238</v>
      </c>
      <c r="CS2609">
        <v>0</v>
      </c>
      <c r="CT2609">
        <v>2</v>
      </c>
      <c r="CU2609">
        <v>0</v>
      </c>
      <c r="CV2609">
        <v>2</v>
      </c>
      <c r="CW2609">
        <v>0</v>
      </c>
      <c r="CX2609">
        <v>5</v>
      </c>
      <c r="CY2609">
        <v>7</v>
      </c>
      <c r="CZ2609" t="s">
        <v>131</v>
      </c>
      <c r="DA2609">
        <v>300</v>
      </c>
      <c r="DB2609">
        <v>0</v>
      </c>
      <c r="DC2609" t="s">
        <v>176</v>
      </c>
      <c r="DD2609" t="s">
        <v>177</v>
      </c>
      <c r="DG2609">
        <v>5416833</v>
      </c>
      <c r="DI2609">
        <v>1</v>
      </c>
      <c r="DJ2609">
        <v>0</v>
      </c>
      <c r="DK2609">
        <v>1</v>
      </c>
      <c r="DL2609">
        <v>0</v>
      </c>
      <c r="DM2609">
        <v>0</v>
      </c>
      <c r="DN2609">
        <v>1</v>
      </c>
      <c r="DO2609">
        <v>0</v>
      </c>
      <c r="DP2609">
        <v>0</v>
      </c>
      <c r="DQ2609">
        <v>0</v>
      </c>
      <c r="DR2609">
        <v>0</v>
      </c>
      <c r="DS2609">
        <v>0</v>
      </c>
    </row>
    <row r="2610" spans="1:123" x14ac:dyDescent="0.3">
      <c r="A2610" t="str">
        <f>"10/04/2022 19:32:32.401"</f>
        <v>10/04/2022 19:32:32.401</v>
      </c>
      <c r="C2610" t="str">
        <f t="shared" si="942"/>
        <v>FFDDD3C0</v>
      </c>
      <c r="D2610" t="s">
        <v>147</v>
      </c>
      <c r="E2610">
        <v>3</v>
      </c>
      <c r="H2610">
        <v>166</v>
      </c>
      <c r="I2610" t="s">
        <v>144</v>
      </c>
      <c r="J2610" t="s">
        <v>148</v>
      </c>
      <c r="K2610">
        <v>0</v>
      </c>
      <c r="L2610">
        <v>3</v>
      </c>
      <c r="M2610">
        <v>0</v>
      </c>
      <c r="N2610">
        <v>2</v>
      </c>
      <c r="O2610">
        <v>0</v>
      </c>
      <c r="P2610">
        <v>1</v>
      </c>
      <c r="Q2610">
        <v>0</v>
      </c>
      <c r="S2610" t="str">
        <f t="shared" si="943"/>
        <v>19:32:32.000</v>
      </c>
      <c r="T2610" t="str">
        <f t="shared" si="943"/>
        <v>19:32:32.000</v>
      </c>
      <c r="U2610" t="str">
        <f t="shared" si="925"/>
        <v>AC3944</v>
      </c>
      <c r="V2610">
        <v>0</v>
      </c>
      <c r="W2610">
        <v>0</v>
      </c>
      <c r="X2610">
        <v>2</v>
      </c>
      <c r="Y2610">
        <v>0</v>
      </c>
      <c r="AA2610">
        <v>1</v>
      </c>
      <c r="AB2610">
        <v>8</v>
      </c>
      <c r="AC2610">
        <v>3</v>
      </c>
      <c r="AD2610">
        <v>0</v>
      </c>
      <c r="AE2610">
        <v>9</v>
      </c>
      <c r="AF2610" t="s">
        <v>138</v>
      </c>
      <c r="AG2610">
        <v>0</v>
      </c>
      <c r="AH2610">
        <v>3</v>
      </c>
      <c r="AI2610">
        <v>1</v>
      </c>
      <c r="AJ2610">
        <v>0</v>
      </c>
      <c r="AK2610" t="s">
        <v>890</v>
      </c>
      <c r="AL2610">
        <v>32.748356000000001</v>
      </c>
      <c r="AM2610" t="s">
        <v>891</v>
      </c>
      <c r="AN2610">
        <v>-116.772974</v>
      </c>
      <c r="AO2610">
        <v>25</v>
      </c>
      <c r="AP2610">
        <v>3300</v>
      </c>
      <c r="AQ2610" t="s">
        <v>129</v>
      </c>
      <c r="AR2610">
        <v>101</v>
      </c>
      <c r="AS2610">
        <v>-86</v>
      </c>
      <c r="AT2610">
        <v>832</v>
      </c>
      <c r="BB2610">
        <v>1200</v>
      </c>
      <c r="BC2610">
        <v>1</v>
      </c>
      <c r="BD2610" t="str">
        <f t="shared" si="926"/>
        <v xml:space="preserve">N887QR  </v>
      </c>
      <c r="BE2610">
        <v>1</v>
      </c>
      <c r="BJ2610">
        <v>3050</v>
      </c>
      <c r="BK2610">
        <v>-250</v>
      </c>
      <c r="BL2610" t="s">
        <v>163</v>
      </c>
      <c r="BM2610">
        <v>1</v>
      </c>
      <c r="BN2610">
        <v>1</v>
      </c>
      <c r="BO2610">
        <v>1</v>
      </c>
      <c r="BP2610">
        <v>0</v>
      </c>
      <c r="BS2610">
        <v>0.08</v>
      </c>
      <c r="BT2610">
        <v>0</v>
      </c>
      <c r="BU2610">
        <v>0</v>
      </c>
      <c r="CE2610" t="str">
        <f t="shared" si="944"/>
        <v>19:32:32.077</v>
      </c>
      <c r="CF2610">
        <v>76560238</v>
      </c>
      <c r="CS2610">
        <v>0</v>
      </c>
      <c r="CT2610">
        <v>2</v>
      </c>
      <c r="CU2610">
        <v>0</v>
      </c>
      <c r="CV2610">
        <v>2</v>
      </c>
      <c r="CW2610">
        <v>0</v>
      </c>
      <c r="CX2610">
        <v>5</v>
      </c>
      <c r="CY2610">
        <v>7</v>
      </c>
      <c r="CZ2610" t="s">
        <v>131</v>
      </c>
      <c r="DA2610">
        <v>300</v>
      </c>
      <c r="DB2610">
        <v>0</v>
      </c>
      <c r="DC2610" t="s">
        <v>176</v>
      </c>
      <c r="DD2610" t="s">
        <v>177</v>
      </c>
      <c r="DG2610">
        <v>5416833</v>
      </c>
      <c r="DI2610">
        <v>1</v>
      </c>
      <c r="DJ2610">
        <v>0</v>
      </c>
      <c r="DK2610">
        <v>1</v>
      </c>
      <c r="DL2610">
        <v>0</v>
      </c>
      <c r="DM2610">
        <v>0</v>
      </c>
      <c r="DN2610">
        <v>1</v>
      </c>
      <c r="DO2610">
        <v>0</v>
      </c>
      <c r="DP2610">
        <v>0</v>
      </c>
      <c r="DQ2610">
        <v>0</v>
      </c>
      <c r="DR2610">
        <v>0</v>
      </c>
      <c r="DS2610">
        <v>0</v>
      </c>
    </row>
    <row r="2611" spans="1:123" x14ac:dyDescent="0.3">
      <c r="A2611" t="str">
        <f>"10/04/2022 19:32:32.401"</f>
        <v>10/04/2022 19:32:32.401</v>
      </c>
      <c r="C2611" t="str">
        <f t="shared" si="942"/>
        <v>FFDDD3C0</v>
      </c>
      <c r="D2611" t="s">
        <v>134</v>
      </c>
      <c r="E2611">
        <v>15</v>
      </c>
      <c r="J2611" t="s">
        <v>135</v>
      </c>
      <c r="K2611">
        <v>0</v>
      </c>
      <c r="L2611">
        <v>3</v>
      </c>
      <c r="M2611">
        <v>0</v>
      </c>
      <c r="N2611">
        <v>2</v>
      </c>
      <c r="O2611">
        <v>0</v>
      </c>
      <c r="P2611">
        <v>1</v>
      </c>
      <c r="Q2611">
        <v>0</v>
      </c>
      <c r="S2611" t="str">
        <f t="shared" si="943"/>
        <v>19:32:32.000</v>
      </c>
      <c r="T2611" t="str">
        <f t="shared" si="943"/>
        <v>19:32:32.000</v>
      </c>
      <c r="U2611" t="str">
        <f t="shared" si="925"/>
        <v>AC3944</v>
      </c>
      <c r="V2611">
        <v>0</v>
      </c>
      <c r="W2611">
        <v>0</v>
      </c>
      <c r="X2611">
        <v>2</v>
      </c>
      <c r="Y2611">
        <v>0</v>
      </c>
      <c r="AA2611">
        <v>1</v>
      </c>
      <c r="AB2611">
        <v>8</v>
      </c>
      <c r="AC2611">
        <v>3</v>
      </c>
      <c r="AD2611">
        <v>0</v>
      </c>
      <c r="AE2611">
        <v>9</v>
      </c>
      <c r="AF2611" t="s">
        <v>138</v>
      </c>
      <c r="AG2611">
        <v>0</v>
      </c>
      <c r="AH2611">
        <v>3</v>
      </c>
      <c r="AI2611">
        <v>1</v>
      </c>
      <c r="AJ2611">
        <v>0</v>
      </c>
      <c r="AK2611" t="s">
        <v>890</v>
      </c>
      <c r="AL2611">
        <v>32.748356000000001</v>
      </c>
      <c r="AM2611" t="s">
        <v>891</v>
      </c>
      <c r="AN2611">
        <v>-116.772974</v>
      </c>
      <c r="AO2611">
        <v>25</v>
      </c>
      <c r="AP2611">
        <v>3300</v>
      </c>
      <c r="AQ2611" t="s">
        <v>129</v>
      </c>
      <c r="AR2611">
        <v>101</v>
      </c>
      <c r="AS2611">
        <v>-86</v>
      </c>
      <c r="AT2611">
        <v>832</v>
      </c>
      <c r="BB2611">
        <v>1200</v>
      </c>
      <c r="BC2611">
        <v>1</v>
      </c>
      <c r="BD2611" t="str">
        <f t="shared" si="926"/>
        <v xml:space="preserve">N887QR  </v>
      </c>
      <c r="BE2611">
        <v>1</v>
      </c>
      <c r="BJ2611">
        <v>3050</v>
      </c>
      <c r="BK2611">
        <v>-250</v>
      </c>
      <c r="BL2611" t="s">
        <v>163</v>
      </c>
      <c r="BM2611">
        <v>1</v>
      </c>
      <c r="BN2611">
        <v>1</v>
      </c>
      <c r="BO2611">
        <v>1</v>
      </c>
      <c r="BP2611">
        <v>0</v>
      </c>
      <c r="BS2611">
        <v>0.08</v>
      </c>
      <c r="BT2611">
        <v>0</v>
      </c>
      <c r="BU2611">
        <v>0</v>
      </c>
      <c r="CE2611" t="str">
        <f t="shared" si="944"/>
        <v>19:32:32.077</v>
      </c>
      <c r="CF2611">
        <v>76560238</v>
      </c>
      <c r="CS2611">
        <v>0</v>
      </c>
      <c r="CT2611">
        <v>2</v>
      </c>
      <c r="CU2611">
        <v>0</v>
      </c>
      <c r="CV2611">
        <v>2</v>
      </c>
      <c r="CW2611">
        <v>0</v>
      </c>
      <c r="CX2611">
        <v>5</v>
      </c>
      <c r="CY2611">
        <v>7</v>
      </c>
      <c r="CZ2611" t="s">
        <v>131</v>
      </c>
      <c r="DA2611">
        <v>300</v>
      </c>
      <c r="DB2611">
        <v>0</v>
      </c>
      <c r="DC2611" t="s">
        <v>176</v>
      </c>
      <c r="DD2611" t="s">
        <v>177</v>
      </c>
      <c r="DG2611">
        <v>5416833</v>
      </c>
      <c r="DI2611">
        <v>1</v>
      </c>
      <c r="DJ2611">
        <v>0</v>
      </c>
      <c r="DK2611">
        <v>1</v>
      </c>
      <c r="DL2611">
        <v>0</v>
      </c>
      <c r="DM2611">
        <v>0</v>
      </c>
      <c r="DN2611">
        <v>1</v>
      </c>
      <c r="DO2611">
        <v>0</v>
      </c>
      <c r="DP2611">
        <v>0</v>
      </c>
      <c r="DQ2611">
        <v>0</v>
      </c>
      <c r="DR2611">
        <v>0</v>
      </c>
      <c r="DS2611">
        <v>0</v>
      </c>
    </row>
    <row r="2612" spans="1:123" x14ac:dyDescent="0.3">
      <c r="A2612" t="str">
        <f>"10/04/2022 19:32:33.495"</f>
        <v>10/04/2022 19:32:33.495</v>
      </c>
      <c r="C2612" t="str">
        <f t="shared" si="942"/>
        <v>FFDDD3C0</v>
      </c>
      <c r="D2612" t="s">
        <v>134</v>
      </c>
      <c r="E2612">
        <v>15</v>
      </c>
      <c r="J2612" t="s">
        <v>135</v>
      </c>
      <c r="K2612">
        <v>0</v>
      </c>
      <c r="L2612">
        <v>3</v>
      </c>
      <c r="M2612">
        <v>0</v>
      </c>
      <c r="N2612">
        <v>2</v>
      </c>
      <c r="O2612">
        <v>0</v>
      </c>
      <c r="P2612">
        <v>1</v>
      </c>
      <c r="Q2612">
        <v>0</v>
      </c>
      <c r="S2612" t="str">
        <f t="shared" ref="S2612:T2618" si="945">"19:32:33.000"</f>
        <v>19:32:33.000</v>
      </c>
      <c r="T2612" t="str">
        <f t="shared" si="945"/>
        <v>19:32:33.000</v>
      </c>
      <c r="U2612" t="str">
        <f t="shared" si="925"/>
        <v>AC3944</v>
      </c>
      <c r="V2612">
        <v>0</v>
      </c>
      <c r="W2612">
        <v>0</v>
      </c>
      <c r="X2612">
        <v>2</v>
      </c>
      <c r="Y2612">
        <v>0</v>
      </c>
      <c r="AA2612">
        <v>1</v>
      </c>
      <c r="AB2612">
        <v>8</v>
      </c>
      <c r="AC2612">
        <v>3</v>
      </c>
      <c r="AD2612">
        <v>0</v>
      </c>
      <c r="AE2612">
        <v>9</v>
      </c>
      <c r="AF2612" t="s">
        <v>138</v>
      </c>
      <c r="AG2612">
        <v>0</v>
      </c>
      <c r="AH2612">
        <v>3</v>
      </c>
      <c r="AI2612">
        <v>1</v>
      </c>
      <c r="AJ2612">
        <v>0</v>
      </c>
      <c r="AK2612" t="s">
        <v>892</v>
      </c>
      <c r="AL2612">
        <v>32.747948000000001</v>
      </c>
      <c r="AM2612" t="s">
        <v>893</v>
      </c>
      <c r="AN2612">
        <v>-116.77239400000001</v>
      </c>
      <c r="AO2612">
        <v>25</v>
      </c>
      <c r="AP2612">
        <v>3400</v>
      </c>
      <c r="AQ2612" t="s">
        <v>129</v>
      </c>
      <c r="AR2612">
        <v>98</v>
      </c>
      <c r="AS2612">
        <v>-88</v>
      </c>
      <c r="AT2612">
        <v>896</v>
      </c>
      <c r="BB2612">
        <v>1200</v>
      </c>
      <c r="BC2612">
        <v>1</v>
      </c>
      <c r="BD2612" t="str">
        <f t="shared" si="926"/>
        <v xml:space="preserve">N887QR  </v>
      </c>
      <c r="BE2612">
        <v>1</v>
      </c>
      <c r="BJ2612">
        <v>3050</v>
      </c>
      <c r="BK2612">
        <v>-350</v>
      </c>
      <c r="BL2612" t="s">
        <v>163</v>
      </c>
      <c r="BM2612">
        <v>1</v>
      </c>
      <c r="BN2612">
        <v>1</v>
      </c>
      <c r="BO2612">
        <v>1</v>
      </c>
      <c r="BP2612">
        <v>0</v>
      </c>
      <c r="BS2612">
        <v>0.08</v>
      </c>
      <c r="BT2612">
        <v>0</v>
      </c>
      <c r="BU2612">
        <v>0</v>
      </c>
      <c r="CE2612" t="str">
        <f t="shared" ref="CE2612:CE2618" si="946">"19:32:33.290"</f>
        <v>19:32:33.290</v>
      </c>
      <c r="CF2612">
        <v>289814309</v>
      </c>
      <c r="CS2612">
        <v>0</v>
      </c>
      <c r="CT2612">
        <v>2</v>
      </c>
      <c r="CU2612">
        <v>0</v>
      </c>
      <c r="CV2612">
        <v>2</v>
      </c>
      <c r="CW2612">
        <v>0</v>
      </c>
      <c r="CX2612">
        <v>5</v>
      </c>
      <c r="CY2612">
        <v>7</v>
      </c>
      <c r="CZ2612" t="s">
        <v>131</v>
      </c>
      <c r="DA2612">
        <v>300</v>
      </c>
      <c r="DB2612">
        <v>0</v>
      </c>
      <c r="DC2612" t="s">
        <v>176</v>
      </c>
      <c r="DD2612" t="s">
        <v>177</v>
      </c>
      <c r="DG2612">
        <v>5417004</v>
      </c>
      <c r="DI2612">
        <v>1</v>
      </c>
      <c r="DJ2612">
        <v>0</v>
      </c>
      <c r="DK2612">
        <v>0</v>
      </c>
      <c r="DL2612">
        <v>0</v>
      </c>
      <c r="DM2612">
        <v>0</v>
      </c>
      <c r="DN2612">
        <v>1</v>
      </c>
      <c r="DO2612">
        <v>0</v>
      </c>
      <c r="DP2612">
        <v>0</v>
      </c>
      <c r="DQ2612">
        <v>0</v>
      </c>
      <c r="DR2612">
        <v>0</v>
      </c>
      <c r="DS2612">
        <v>0</v>
      </c>
    </row>
    <row r="2613" spans="1:123" x14ac:dyDescent="0.3">
      <c r="A2613" t="str">
        <f>"10/04/2022 19:32:33.495"</f>
        <v>10/04/2022 19:32:33.495</v>
      </c>
      <c r="C2613" t="str">
        <f t="shared" si="942"/>
        <v>FFDDD3C0</v>
      </c>
      <c r="D2613" t="s">
        <v>141</v>
      </c>
      <c r="E2613">
        <v>3</v>
      </c>
      <c r="H2613">
        <v>3</v>
      </c>
      <c r="I2613" t="s">
        <v>146</v>
      </c>
      <c r="J2613" t="s">
        <v>138</v>
      </c>
      <c r="K2613">
        <v>0</v>
      </c>
      <c r="L2613">
        <v>3</v>
      </c>
      <c r="M2613">
        <v>0</v>
      </c>
      <c r="N2613">
        <v>2</v>
      </c>
      <c r="O2613">
        <v>0</v>
      </c>
      <c r="P2613">
        <v>1</v>
      </c>
      <c r="Q2613">
        <v>0</v>
      </c>
      <c r="S2613" t="str">
        <f t="shared" si="945"/>
        <v>19:32:33.000</v>
      </c>
      <c r="T2613" t="str">
        <f t="shared" si="945"/>
        <v>19:32:33.000</v>
      </c>
      <c r="U2613" t="str">
        <f t="shared" si="925"/>
        <v>AC3944</v>
      </c>
      <c r="V2613">
        <v>0</v>
      </c>
      <c r="W2613">
        <v>0</v>
      </c>
      <c r="X2613">
        <v>2</v>
      </c>
      <c r="Y2613">
        <v>0</v>
      </c>
      <c r="AA2613">
        <v>1</v>
      </c>
      <c r="AB2613">
        <v>8</v>
      </c>
      <c r="AC2613">
        <v>3</v>
      </c>
      <c r="AD2613">
        <v>0</v>
      </c>
      <c r="AE2613">
        <v>9</v>
      </c>
      <c r="AF2613" t="s">
        <v>138</v>
      </c>
      <c r="AG2613">
        <v>0</v>
      </c>
      <c r="AH2613">
        <v>3</v>
      </c>
      <c r="AI2613">
        <v>1</v>
      </c>
      <c r="AJ2613">
        <v>0</v>
      </c>
      <c r="AK2613" t="s">
        <v>892</v>
      </c>
      <c r="AL2613">
        <v>32.747948000000001</v>
      </c>
      <c r="AM2613" t="s">
        <v>893</v>
      </c>
      <c r="AN2613">
        <v>-116.77239400000001</v>
      </c>
      <c r="AO2613">
        <v>25</v>
      </c>
      <c r="AP2613">
        <v>3400</v>
      </c>
      <c r="AQ2613" t="s">
        <v>129</v>
      </c>
      <c r="AR2613">
        <v>98</v>
      </c>
      <c r="AS2613">
        <v>-88</v>
      </c>
      <c r="AT2613">
        <v>896</v>
      </c>
      <c r="BB2613">
        <v>1200</v>
      </c>
      <c r="BC2613">
        <v>1</v>
      </c>
      <c r="BD2613" t="str">
        <f t="shared" si="926"/>
        <v xml:space="preserve">N887QR  </v>
      </c>
      <c r="BE2613">
        <v>1</v>
      </c>
      <c r="BJ2613">
        <v>3050</v>
      </c>
      <c r="BK2613">
        <v>-350</v>
      </c>
      <c r="BL2613" t="s">
        <v>163</v>
      </c>
      <c r="BM2613">
        <v>1</v>
      </c>
      <c r="BN2613">
        <v>1</v>
      </c>
      <c r="BO2613">
        <v>1</v>
      </c>
      <c r="BP2613">
        <v>0</v>
      </c>
      <c r="BS2613">
        <v>0.08</v>
      </c>
      <c r="BT2613">
        <v>0</v>
      </c>
      <c r="BU2613">
        <v>0</v>
      </c>
      <c r="CE2613" t="str">
        <f t="shared" si="946"/>
        <v>19:32:33.290</v>
      </c>
      <c r="CF2613">
        <v>289814309</v>
      </c>
      <c r="CS2613">
        <v>0</v>
      </c>
      <c r="CT2613">
        <v>2</v>
      </c>
      <c r="CU2613">
        <v>0</v>
      </c>
      <c r="CV2613">
        <v>2</v>
      </c>
      <c r="CW2613">
        <v>0</v>
      </c>
      <c r="CX2613">
        <v>5</v>
      </c>
      <c r="CY2613">
        <v>7</v>
      </c>
      <c r="CZ2613" t="s">
        <v>131</v>
      </c>
      <c r="DA2613">
        <v>300</v>
      </c>
      <c r="DB2613">
        <v>0</v>
      </c>
      <c r="DC2613" t="s">
        <v>176</v>
      </c>
      <c r="DD2613" t="s">
        <v>177</v>
      </c>
      <c r="DG2613">
        <v>5417004</v>
      </c>
      <c r="DI2613">
        <v>1</v>
      </c>
      <c r="DJ2613">
        <v>0</v>
      </c>
      <c r="DK2613">
        <v>1</v>
      </c>
      <c r="DL2613">
        <v>0</v>
      </c>
      <c r="DM2613">
        <v>0</v>
      </c>
      <c r="DN2613">
        <v>1</v>
      </c>
      <c r="DO2613">
        <v>0</v>
      </c>
      <c r="DP2613">
        <v>0</v>
      </c>
      <c r="DQ2613">
        <v>0</v>
      </c>
      <c r="DR2613">
        <v>0</v>
      </c>
      <c r="DS2613">
        <v>0</v>
      </c>
    </row>
    <row r="2614" spans="1:123" x14ac:dyDescent="0.3">
      <c r="A2614" t="str">
        <f>"10/04/2022 19:32:33.495"</f>
        <v>10/04/2022 19:32:33.495</v>
      </c>
      <c r="C2614" t="str">
        <f t="shared" si="942"/>
        <v>FFDDD3C0</v>
      </c>
      <c r="D2614" t="s">
        <v>136</v>
      </c>
      <c r="E2614">
        <v>8</v>
      </c>
      <c r="H2614">
        <v>225</v>
      </c>
      <c r="I2614" t="s">
        <v>137</v>
      </c>
      <c r="J2614" t="s">
        <v>138</v>
      </c>
      <c r="K2614">
        <v>0</v>
      </c>
      <c r="L2614">
        <v>3</v>
      </c>
      <c r="M2614">
        <v>0</v>
      </c>
      <c r="N2614">
        <v>2</v>
      </c>
      <c r="O2614">
        <v>0</v>
      </c>
      <c r="P2614">
        <v>1</v>
      </c>
      <c r="Q2614">
        <v>0</v>
      </c>
      <c r="S2614" t="str">
        <f t="shared" si="945"/>
        <v>19:32:33.000</v>
      </c>
      <c r="T2614" t="str">
        <f t="shared" si="945"/>
        <v>19:32:33.000</v>
      </c>
      <c r="U2614" t="str">
        <f t="shared" si="925"/>
        <v>AC3944</v>
      </c>
      <c r="V2614">
        <v>0</v>
      </c>
      <c r="W2614">
        <v>0</v>
      </c>
      <c r="X2614">
        <v>2</v>
      </c>
      <c r="Y2614">
        <v>0</v>
      </c>
      <c r="AA2614">
        <v>1</v>
      </c>
      <c r="AB2614">
        <v>8</v>
      </c>
      <c r="AC2614">
        <v>3</v>
      </c>
      <c r="AD2614">
        <v>0</v>
      </c>
      <c r="AE2614">
        <v>9</v>
      </c>
      <c r="AF2614" t="s">
        <v>138</v>
      </c>
      <c r="AG2614">
        <v>0</v>
      </c>
      <c r="AH2614">
        <v>3</v>
      </c>
      <c r="AI2614">
        <v>1</v>
      </c>
      <c r="AJ2614">
        <v>0</v>
      </c>
      <c r="AK2614" t="s">
        <v>892</v>
      </c>
      <c r="AL2614">
        <v>32.747948000000001</v>
      </c>
      <c r="AM2614" t="s">
        <v>893</v>
      </c>
      <c r="AN2614">
        <v>-116.77239400000001</v>
      </c>
      <c r="AO2614">
        <v>25</v>
      </c>
      <c r="AP2614">
        <v>3400</v>
      </c>
      <c r="AQ2614" t="s">
        <v>129</v>
      </c>
      <c r="AR2614">
        <v>98</v>
      </c>
      <c r="AS2614">
        <v>-88</v>
      </c>
      <c r="AT2614">
        <v>896</v>
      </c>
      <c r="BB2614">
        <v>1200</v>
      </c>
      <c r="BC2614">
        <v>1</v>
      </c>
      <c r="BD2614" t="str">
        <f t="shared" si="926"/>
        <v xml:space="preserve">N887QR  </v>
      </c>
      <c r="BE2614">
        <v>1</v>
      </c>
      <c r="BJ2614">
        <v>3050</v>
      </c>
      <c r="BK2614">
        <v>-350</v>
      </c>
      <c r="BL2614" t="s">
        <v>163</v>
      </c>
      <c r="BM2614">
        <v>1</v>
      </c>
      <c r="BN2614">
        <v>1</v>
      </c>
      <c r="BO2614">
        <v>1</v>
      </c>
      <c r="BP2614">
        <v>0</v>
      </c>
      <c r="BS2614">
        <v>0.08</v>
      </c>
      <c r="BT2614">
        <v>0</v>
      </c>
      <c r="BU2614">
        <v>0</v>
      </c>
      <c r="CE2614" t="str">
        <f t="shared" si="946"/>
        <v>19:32:33.290</v>
      </c>
      <c r="CF2614">
        <v>289814309</v>
      </c>
      <c r="CS2614">
        <v>0</v>
      </c>
      <c r="CT2614">
        <v>2</v>
      </c>
      <c r="CU2614">
        <v>0</v>
      </c>
      <c r="CV2614">
        <v>2</v>
      </c>
      <c r="CW2614">
        <v>0</v>
      </c>
      <c r="CX2614">
        <v>5</v>
      </c>
      <c r="CY2614">
        <v>7</v>
      </c>
      <c r="CZ2614" t="s">
        <v>131</v>
      </c>
      <c r="DA2614">
        <v>300</v>
      </c>
      <c r="DB2614">
        <v>0</v>
      </c>
      <c r="DC2614" t="s">
        <v>176</v>
      </c>
      <c r="DD2614" t="s">
        <v>177</v>
      </c>
      <c r="DG2614">
        <v>5417004</v>
      </c>
      <c r="DI2614">
        <v>1</v>
      </c>
      <c r="DJ2614">
        <v>0</v>
      </c>
      <c r="DK2614">
        <v>1</v>
      </c>
      <c r="DL2614">
        <v>0</v>
      </c>
      <c r="DM2614">
        <v>0</v>
      </c>
      <c r="DN2614">
        <v>1</v>
      </c>
      <c r="DO2614">
        <v>0</v>
      </c>
      <c r="DP2614">
        <v>0</v>
      </c>
      <c r="DQ2614">
        <v>0</v>
      </c>
      <c r="DR2614">
        <v>0</v>
      </c>
      <c r="DS2614">
        <v>0</v>
      </c>
    </row>
    <row r="2615" spans="1:123" x14ac:dyDescent="0.3">
      <c r="A2615" t="str">
        <f>"10/04/2022 19:32:33.526"</f>
        <v>10/04/2022 19:32:33.526</v>
      </c>
      <c r="C2615" t="str">
        <f t="shared" si="942"/>
        <v>FFDDD3C0</v>
      </c>
      <c r="D2615" t="s">
        <v>143</v>
      </c>
      <c r="E2615">
        <v>20</v>
      </c>
      <c r="F2615">
        <v>1020</v>
      </c>
      <c r="G2615" t="s">
        <v>144</v>
      </c>
      <c r="J2615" t="s">
        <v>145</v>
      </c>
      <c r="K2615">
        <v>0</v>
      </c>
      <c r="L2615">
        <v>3</v>
      </c>
      <c r="M2615">
        <v>0</v>
      </c>
      <c r="N2615">
        <v>2</v>
      </c>
      <c r="O2615">
        <v>0</v>
      </c>
      <c r="P2615">
        <v>1</v>
      </c>
      <c r="Q2615">
        <v>0</v>
      </c>
      <c r="S2615" t="str">
        <f t="shared" si="945"/>
        <v>19:32:33.000</v>
      </c>
      <c r="T2615" t="str">
        <f t="shared" si="945"/>
        <v>19:32:33.000</v>
      </c>
      <c r="U2615" t="str">
        <f t="shared" si="925"/>
        <v>AC3944</v>
      </c>
      <c r="V2615">
        <v>0</v>
      </c>
      <c r="W2615">
        <v>0</v>
      </c>
      <c r="X2615">
        <v>2</v>
      </c>
      <c r="Y2615">
        <v>0</v>
      </c>
      <c r="AA2615">
        <v>1</v>
      </c>
      <c r="AB2615">
        <v>8</v>
      </c>
      <c r="AC2615">
        <v>3</v>
      </c>
      <c r="AD2615">
        <v>0</v>
      </c>
      <c r="AE2615">
        <v>9</v>
      </c>
      <c r="AF2615" t="s">
        <v>138</v>
      </c>
      <c r="AG2615">
        <v>0</v>
      </c>
      <c r="AH2615">
        <v>3</v>
      </c>
      <c r="AI2615">
        <v>1</v>
      </c>
      <c r="AJ2615">
        <v>0</v>
      </c>
      <c r="AK2615" t="s">
        <v>892</v>
      </c>
      <c r="AL2615">
        <v>32.747948000000001</v>
      </c>
      <c r="AM2615" t="s">
        <v>893</v>
      </c>
      <c r="AN2615">
        <v>-116.77239400000001</v>
      </c>
      <c r="AO2615">
        <v>25</v>
      </c>
      <c r="AP2615">
        <v>3400</v>
      </c>
      <c r="AQ2615" t="s">
        <v>129</v>
      </c>
      <c r="AR2615">
        <v>98</v>
      </c>
      <c r="AS2615">
        <v>-88</v>
      </c>
      <c r="AT2615">
        <v>896</v>
      </c>
      <c r="BB2615">
        <v>1200</v>
      </c>
      <c r="BC2615">
        <v>1</v>
      </c>
      <c r="BD2615" t="str">
        <f t="shared" si="926"/>
        <v xml:space="preserve">N887QR  </v>
      </c>
      <c r="BE2615">
        <v>1</v>
      </c>
      <c r="BJ2615">
        <v>3050</v>
      </c>
      <c r="BK2615">
        <v>-350</v>
      </c>
      <c r="BL2615" t="s">
        <v>163</v>
      </c>
      <c r="BM2615">
        <v>1</v>
      </c>
      <c r="BN2615">
        <v>1</v>
      </c>
      <c r="BO2615">
        <v>1</v>
      </c>
      <c r="BP2615">
        <v>0</v>
      </c>
      <c r="BS2615">
        <v>0.08</v>
      </c>
      <c r="BT2615">
        <v>0</v>
      </c>
      <c r="BU2615">
        <v>0</v>
      </c>
      <c r="CE2615" t="str">
        <f t="shared" si="946"/>
        <v>19:32:33.290</v>
      </c>
      <c r="CF2615">
        <v>289814309</v>
      </c>
      <c r="CS2615">
        <v>0</v>
      </c>
      <c r="CT2615">
        <v>2</v>
      </c>
      <c r="CU2615">
        <v>0</v>
      </c>
      <c r="CV2615">
        <v>2</v>
      </c>
      <c r="CW2615">
        <v>0</v>
      </c>
      <c r="CX2615">
        <v>5</v>
      </c>
      <c r="CY2615">
        <v>7</v>
      </c>
      <c r="CZ2615" t="s">
        <v>131</v>
      </c>
      <c r="DA2615">
        <v>300</v>
      </c>
      <c r="DB2615">
        <v>0</v>
      </c>
      <c r="DC2615" t="s">
        <v>176</v>
      </c>
      <c r="DD2615" t="s">
        <v>177</v>
      </c>
      <c r="DG2615">
        <v>5417004</v>
      </c>
      <c r="DI2615">
        <v>1</v>
      </c>
      <c r="DJ2615">
        <v>0</v>
      </c>
      <c r="DK2615">
        <v>1</v>
      </c>
      <c r="DL2615">
        <v>0</v>
      </c>
      <c r="DM2615">
        <v>0</v>
      </c>
      <c r="DN2615">
        <v>1</v>
      </c>
      <c r="DO2615">
        <v>0</v>
      </c>
      <c r="DP2615">
        <v>0</v>
      </c>
      <c r="DQ2615">
        <v>0</v>
      </c>
      <c r="DR2615">
        <v>0</v>
      </c>
      <c r="DS2615">
        <v>0</v>
      </c>
    </row>
    <row r="2616" spans="1:123" x14ac:dyDescent="0.3">
      <c r="A2616" t="str">
        <f>"10/04/2022 19:32:33.526"</f>
        <v>10/04/2022 19:32:33.526</v>
      </c>
      <c r="C2616" t="str">
        <f t="shared" si="942"/>
        <v>FFDDD3C0</v>
      </c>
      <c r="D2616" t="s">
        <v>123</v>
      </c>
      <c r="E2616">
        <v>7</v>
      </c>
      <c r="F2616">
        <v>2007</v>
      </c>
      <c r="G2616" t="s">
        <v>124</v>
      </c>
      <c r="J2616" t="s">
        <v>125</v>
      </c>
      <c r="K2616">
        <v>0</v>
      </c>
      <c r="L2616">
        <v>3</v>
      </c>
      <c r="M2616">
        <v>0</v>
      </c>
      <c r="N2616">
        <v>2</v>
      </c>
      <c r="O2616">
        <v>0</v>
      </c>
      <c r="P2616">
        <v>1</v>
      </c>
      <c r="Q2616">
        <v>0</v>
      </c>
      <c r="S2616" t="str">
        <f t="shared" si="945"/>
        <v>19:32:33.000</v>
      </c>
      <c r="T2616" t="str">
        <f t="shared" si="945"/>
        <v>19:32:33.000</v>
      </c>
      <c r="U2616" t="str">
        <f t="shared" si="925"/>
        <v>AC3944</v>
      </c>
      <c r="V2616">
        <v>0</v>
      </c>
      <c r="W2616">
        <v>0</v>
      </c>
      <c r="X2616">
        <v>2</v>
      </c>
      <c r="Y2616">
        <v>0</v>
      </c>
      <c r="AA2616">
        <v>1</v>
      </c>
      <c r="AB2616">
        <v>8</v>
      </c>
      <c r="AC2616">
        <v>3</v>
      </c>
      <c r="AD2616">
        <v>0</v>
      </c>
      <c r="AE2616">
        <v>9</v>
      </c>
      <c r="AF2616" t="s">
        <v>138</v>
      </c>
      <c r="AG2616">
        <v>0</v>
      </c>
      <c r="AH2616">
        <v>3</v>
      </c>
      <c r="AI2616">
        <v>1</v>
      </c>
      <c r="AJ2616">
        <v>0</v>
      </c>
      <c r="AK2616" t="s">
        <v>892</v>
      </c>
      <c r="AL2616">
        <v>32.747948000000001</v>
      </c>
      <c r="AM2616" t="s">
        <v>893</v>
      </c>
      <c r="AN2616">
        <v>-116.77239400000001</v>
      </c>
      <c r="AO2616">
        <v>25</v>
      </c>
      <c r="AP2616">
        <v>3400</v>
      </c>
      <c r="AQ2616" t="s">
        <v>129</v>
      </c>
      <c r="AR2616">
        <v>98</v>
      </c>
      <c r="AS2616">
        <v>-88</v>
      </c>
      <c r="AT2616">
        <v>896</v>
      </c>
      <c r="BB2616">
        <v>1200</v>
      </c>
      <c r="BC2616">
        <v>1</v>
      </c>
      <c r="BD2616" t="str">
        <f t="shared" si="926"/>
        <v xml:space="preserve">N887QR  </v>
      </c>
      <c r="BE2616">
        <v>1</v>
      </c>
      <c r="BJ2616">
        <v>3050</v>
      </c>
      <c r="BK2616">
        <v>-350</v>
      </c>
      <c r="BL2616" t="s">
        <v>163</v>
      </c>
      <c r="BM2616">
        <v>1</v>
      </c>
      <c r="BN2616">
        <v>1</v>
      </c>
      <c r="BO2616">
        <v>1</v>
      </c>
      <c r="BP2616">
        <v>0</v>
      </c>
      <c r="BS2616">
        <v>0.08</v>
      </c>
      <c r="BT2616">
        <v>0</v>
      </c>
      <c r="BU2616">
        <v>0</v>
      </c>
      <c r="CE2616" t="str">
        <f t="shared" si="946"/>
        <v>19:32:33.290</v>
      </c>
      <c r="CF2616">
        <v>289814309</v>
      </c>
      <c r="CS2616">
        <v>0</v>
      </c>
      <c r="CT2616">
        <v>2</v>
      </c>
      <c r="CU2616">
        <v>0</v>
      </c>
      <c r="CV2616">
        <v>2</v>
      </c>
      <c r="CW2616">
        <v>0</v>
      </c>
      <c r="CX2616">
        <v>5</v>
      </c>
      <c r="CY2616">
        <v>7</v>
      </c>
      <c r="CZ2616" t="s">
        <v>131</v>
      </c>
      <c r="DA2616">
        <v>300</v>
      </c>
      <c r="DB2616">
        <v>0</v>
      </c>
      <c r="DC2616" t="s">
        <v>176</v>
      </c>
      <c r="DD2616" t="s">
        <v>177</v>
      </c>
      <c r="DG2616">
        <v>5417004</v>
      </c>
      <c r="DI2616">
        <v>1</v>
      </c>
      <c r="DJ2616">
        <v>0</v>
      </c>
      <c r="DK2616">
        <v>1</v>
      </c>
      <c r="DL2616">
        <v>0</v>
      </c>
      <c r="DM2616">
        <v>0</v>
      </c>
      <c r="DN2616">
        <v>1</v>
      </c>
      <c r="DO2616">
        <v>0</v>
      </c>
      <c r="DP2616">
        <v>0</v>
      </c>
      <c r="DQ2616">
        <v>0</v>
      </c>
      <c r="DR2616">
        <v>0</v>
      </c>
      <c r="DS2616">
        <v>0</v>
      </c>
    </row>
    <row r="2617" spans="1:123" x14ac:dyDescent="0.3">
      <c r="A2617" t="str">
        <f>"10/04/2022 19:32:33.526"</f>
        <v>10/04/2022 19:32:33.526</v>
      </c>
      <c r="C2617" t="str">
        <f t="shared" si="942"/>
        <v>FFDDD3C0</v>
      </c>
      <c r="D2617" t="s">
        <v>141</v>
      </c>
      <c r="E2617">
        <v>4</v>
      </c>
      <c r="H2617">
        <v>4</v>
      </c>
      <c r="I2617" t="s">
        <v>142</v>
      </c>
      <c r="J2617" t="s">
        <v>138</v>
      </c>
      <c r="K2617">
        <v>0</v>
      </c>
      <c r="L2617">
        <v>3</v>
      </c>
      <c r="M2617">
        <v>0</v>
      </c>
      <c r="N2617">
        <v>2</v>
      </c>
      <c r="O2617">
        <v>0</v>
      </c>
      <c r="P2617">
        <v>1</v>
      </c>
      <c r="Q2617">
        <v>0</v>
      </c>
      <c r="S2617" t="str">
        <f t="shared" si="945"/>
        <v>19:32:33.000</v>
      </c>
      <c r="T2617" t="str">
        <f t="shared" si="945"/>
        <v>19:32:33.000</v>
      </c>
      <c r="U2617" t="str">
        <f t="shared" si="925"/>
        <v>AC3944</v>
      </c>
      <c r="V2617">
        <v>0</v>
      </c>
      <c r="W2617">
        <v>0</v>
      </c>
      <c r="X2617">
        <v>2</v>
      </c>
      <c r="Y2617">
        <v>0</v>
      </c>
      <c r="AA2617">
        <v>1</v>
      </c>
      <c r="AB2617">
        <v>8</v>
      </c>
      <c r="AC2617">
        <v>3</v>
      </c>
      <c r="AD2617">
        <v>0</v>
      </c>
      <c r="AE2617">
        <v>9</v>
      </c>
      <c r="AF2617" t="s">
        <v>138</v>
      </c>
      <c r="AG2617">
        <v>0</v>
      </c>
      <c r="AH2617">
        <v>3</v>
      </c>
      <c r="AI2617">
        <v>1</v>
      </c>
      <c r="AJ2617">
        <v>0</v>
      </c>
      <c r="AK2617" t="s">
        <v>892</v>
      </c>
      <c r="AL2617">
        <v>32.747948000000001</v>
      </c>
      <c r="AM2617" t="s">
        <v>893</v>
      </c>
      <c r="AN2617">
        <v>-116.77239400000001</v>
      </c>
      <c r="AO2617">
        <v>25</v>
      </c>
      <c r="AP2617">
        <v>3400</v>
      </c>
      <c r="AQ2617" t="s">
        <v>129</v>
      </c>
      <c r="AR2617">
        <v>98</v>
      </c>
      <c r="AS2617">
        <v>-88</v>
      </c>
      <c r="AT2617">
        <v>896</v>
      </c>
      <c r="BB2617">
        <v>1200</v>
      </c>
      <c r="BC2617">
        <v>1</v>
      </c>
      <c r="BD2617" t="str">
        <f t="shared" si="926"/>
        <v xml:space="preserve">N887QR  </v>
      </c>
      <c r="BE2617">
        <v>1</v>
      </c>
      <c r="BJ2617">
        <v>3050</v>
      </c>
      <c r="BK2617">
        <v>-350</v>
      </c>
      <c r="BL2617" t="s">
        <v>163</v>
      </c>
      <c r="BM2617">
        <v>1</v>
      </c>
      <c r="BN2617">
        <v>1</v>
      </c>
      <c r="BO2617">
        <v>1</v>
      </c>
      <c r="BP2617">
        <v>0</v>
      </c>
      <c r="BS2617">
        <v>0.08</v>
      </c>
      <c r="BT2617">
        <v>0</v>
      </c>
      <c r="BU2617">
        <v>0</v>
      </c>
      <c r="CE2617" t="str">
        <f t="shared" si="946"/>
        <v>19:32:33.290</v>
      </c>
      <c r="CF2617">
        <v>289814309</v>
      </c>
      <c r="CS2617">
        <v>0</v>
      </c>
      <c r="CT2617">
        <v>2</v>
      </c>
      <c r="CU2617">
        <v>0</v>
      </c>
      <c r="CV2617">
        <v>2</v>
      </c>
      <c r="CW2617">
        <v>0</v>
      </c>
      <c r="CX2617">
        <v>5</v>
      </c>
      <c r="CY2617">
        <v>7</v>
      </c>
      <c r="CZ2617" t="s">
        <v>131</v>
      </c>
      <c r="DA2617">
        <v>300</v>
      </c>
      <c r="DB2617">
        <v>0</v>
      </c>
      <c r="DC2617" t="s">
        <v>176</v>
      </c>
      <c r="DD2617" t="s">
        <v>177</v>
      </c>
      <c r="DG2617">
        <v>5417004</v>
      </c>
      <c r="DI2617">
        <v>1</v>
      </c>
      <c r="DJ2617">
        <v>0</v>
      </c>
      <c r="DK2617">
        <v>1</v>
      </c>
      <c r="DL2617">
        <v>0</v>
      </c>
      <c r="DM2617">
        <v>0</v>
      </c>
      <c r="DN2617">
        <v>1</v>
      </c>
      <c r="DO2617">
        <v>0</v>
      </c>
      <c r="DP2617">
        <v>0</v>
      </c>
      <c r="DQ2617">
        <v>0</v>
      </c>
      <c r="DR2617">
        <v>0</v>
      </c>
      <c r="DS2617">
        <v>0</v>
      </c>
    </row>
    <row r="2618" spans="1:123" x14ac:dyDescent="0.3">
      <c r="A2618" t="str">
        <f>"10/04/2022 19:32:33.526"</f>
        <v>10/04/2022 19:32:33.526</v>
      </c>
      <c r="C2618" t="str">
        <f t="shared" si="942"/>
        <v>FFDDD3C0</v>
      </c>
      <c r="D2618" t="s">
        <v>147</v>
      </c>
      <c r="E2618">
        <v>3</v>
      </c>
      <c r="H2618">
        <v>166</v>
      </c>
      <c r="I2618" t="s">
        <v>144</v>
      </c>
      <c r="J2618" t="s">
        <v>148</v>
      </c>
      <c r="K2618">
        <v>0</v>
      </c>
      <c r="L2618">
        <v>3</v>
      </c>
      <c r="M2618">
        <v>0</v>
      </c>
      <c r="N2618">
        <v>2</v>
      </c>
      <c r="O2618">
        <v>0</v>
      </c>
      <c r="P2618">
        <v>1</v>
      </c>
      <c r="Q2618">
        <v>0</v>
      </c>
      <c r="S2618" t="str">
        <f t="shared" si="945"/>
        <v>19:32:33.000</v>
      </c>
      <c r="T2618" t="str">
        <f t="shared" si="945"/>
        <v>19:32:33.000</v>
      </c>
      <c r="U2618" t="str">
        <f t="shared" si="925"/>
        <v>AC3944</v>
      </c>
      <c r="V2618">
        <v>0</v>
      </c>
      <c r="W2618">
        <v>0</v>
      </c>
      <c r="X2618">
        <v>2</v>
      </c>
      <c r="Y2618">
        <v>0</v>
      </c>
      <c r="AA2618">
        <v>1</v>
      </c>
      <c r="AB2618">
        <v>8</v>
      </c>
      <c r="AC2618">
        <v>3</v>
      </c>
      <c r="AD2618">
        <v>0</v>
      </c>
      <c r="AE2618">
        <v>9</v>
      </c>
      <c r="AF2618" t="s">
        <v>138</v>
      </c>
      <c r="AG2618">
        <v>0</v>
      </c>
      <c r="AH2618">
        <v>3</v>
      </c>
      <c r="AI2618">
        <v>1</v>
      </c>
      <c r="AJ2618">
        <v>0</v>
      </c>
      <c r="AK2618" t="s">
        <v>892</v>
      </c>
      <c r="AL2618">
        <v>32.747948000000001</v>
      </c>
      <c r="AM2618" t="s">
        <v>893</v>
      </c>
      <c r="AN2618">
        <v>-116.77239400000001</v>
      </c>
      <c r="AO2618">
        <v>25</v>
      </c>
      <c r="AP2618">
        <v>3400</v>
      </c>
      <c r="AQ2618" t="s">
        <v>129</v>
      </c>
      <c r="AR2618">
        <v>98</v>
      </c>
      <c r="AS2618">
        <v>-88</v>
      </c>
      <c r="AT2618">
        <v>896</v>
      </c>
      <c r="BB2618">
        <v>1200</v>
      </c>
      <c r="BC2618">
        <v>1</v>
      </c>
      <c r="BD2618" t="str">
        <f t="shared" si="926"/>
        <v xml:space="preserve">N887QR  </v>
      </c>
      <c r="BE2618">
        <v>1</v>
      </c>
      <c r="BJ2618">
        <v>3050</v>
      </c>
      <c r="BK2618">
        <v>-350</v>
      </c>
      <c r="BL2618" t="s">
        <v>163</v>
      </c>
      <c r="BM2618">
        <v>1</v>
      </c>
      <c r="BN2618">
        <v>1</v>
      </c>
      <c r="BO2618">
        <v>1</v>
      </c>
      <c r="BP2618">
        <v>0</v>
      </c>
      <c r="BS2618">
        <v>0.08</v>
      </c>
      <c r="BT2618">
        <v>0</v>
      </c>
      <c r="BU2618">
        <v>0</v>
      </c>
      <c r="CE2618" t="str">
        <f t="shared" si="946"/>
        <v>19:32:33.290</v>
      </c>
      <c r="CF2618">
        <v>289814309</v>
      </c>
      <c r="CS2618">
        <v>0</v>
      </c>
      <c r="CT2618">
        <v>2</v>
      </c>
      <c r="CU2618">
        <v>0</v>
      </c>
      <c r="CV2618">
        <v>2</v>
      </c>
      <c r="CW2618">
        <v>0</v>
      </c>
      <c r="CX2618">
        <v>5</v>
      </c>
      <c r="CY2618">
        <v>7</v>
      </c>
      <c r="CZ2618" t="s">
        <v>131</v>
      </c>
      <c r="DA2618">
        <v>300</v>
      </c>
      <c r="DB2618">
        <v>0</v>
      </c>
      <c r="DC2618" t="s">
        <v>176</v>
      </c>
      <c r="DD2618" t="s">
        <v>177</v>
      </c>
      <c r="DG2618">
        <v>5417004</v>
      </c>
      <c r="DI2618">
        <v>1</v>
      </c>
      <c r="DJ2618">
        <v>0</v>
      </c>
      <c r="DK2618">
        <v>0</v>
      </c>
      <c r="DL2618">
        <v>0</v>
      </c>
      <c r="DM2618">
        <v>0</v>
      </c>
      <c r="DN2618">
        <v>1</v>
      </c>
      <c r="DO2618">
        <v>0</v>
      </c>
      <c r="DP2618">
        <v>0</v>
      </c>
      <c r="DQ2618">
        <v>0</v>
      </c>
      <c r="DR2618">
        <v>0</v>
      </c>
      <c r="DS2618">
        <v>0</v>
      </c>
    </row>
    <row r="2619" spans="1:123" x14ac:dyDescent="0.3">
      <c r="A2619" t="str">
        <f t="shared" ref="A2619:A2625" si="947">"10/04/2022 19:32:34.823"</f>
        <v>10/04/2022 19:32:34.823</v>
      </c>
      <c r="C2619" t="str">
        <f t="shared" si="942"/>
        <v>FFDDD3C0</v>
      </c>
      <c r="D2619" t="s">
        <v>147</v>
      </c>
      <c r="E2619">
        <v>3</v>
      </c>
      <c r="H2619">
        <v>166</v>
      </c>
      <c r="I2619" t="s">
        <v>144</v>
      </c>
      <c r="J2619" t="s">
        <v>148</v>
      </c>
      <c r="K2619">
        <v>0</v>
      </c>
      <c r="L2619">
        <v>3</v>
      </c>
      <c r="M2619">
        <v>0</v>
      </c>
      <c r="N2619">
        <v>2</v>
      </c>
      <c r="O2619">
        <v>0</v>
      </c>
      <c r="P2619">
        <v>1</v>
      </c>
      <c r="Q2619">
        <v>0</v>
      </c>
      <c r="S2619" t="str">
        <f t="shared" ref="S2619:T2625" si="948">"19:32:34.000"</f>
        <v>19:32:34.000</v>
      </c>
      <c r="T2619" t="str">
        <f t="shared" si="948"/>
        <v>19:32:34.000</v>
      </c>
      <c r="U2619" t="str">
        <f t="shared" si="925"/>
        <v>AC3944</v>
      </c>
      <c r="V2619">
        <v>0</v>
      </c>
      <c r="W2619">
        <v>0</v>
      </c>
      <c r="X2619">
        <v>2</v>
      </c>
      <c r="Y2619">
        <v>0</v>
      </c>
      <c r="AA2619">
        <v>1</v>
      </c>
      <c r="AB2619">
        <v>8</v>
      </c>
      <c r="AC2619">
        <v>3</v>
      </c>
      <c r="AD2619">
        <v>0</v>
      </c>
      <c r="AE2619">
        <v>9</v>
      </c>
      <c r="AF2619" t="s">
        <v>138</v>
      </c>
      <c r="AG2619">
        <v>0</v>
      </c>
      <c r="AH2619">
        <v>3</v>
      </c>
      <c r="AI2619">
        <v>1</v>
      </c>
      <c r="AJ2619">
        <v>0</v>
      </c>
      <c r="AK2619" t="s">
        <v>894</v>
      </c>
      <c r="AL2619">
        <v>32.747475999999999</v>
      </c>
      <c r="AM2619" t="s">
        <v>895</v>
      </c>
      <c r="AN2619">
        <v>-116.77175</v>
      </c>
      <c r="AO2619">
        <v>25</v>
      </c>
      <c r="AP2619">
        <v>3400</v>
      </c>
      <c r="AQ2619" t="s">
        <v>129</v>
      </c>
      <c r="AR2619">
        <v>96</v>
      </c>
      <c r="AS2619">
        <v>-89</v>
      </c>
      <c r="AT2619">
        <v>960</v>
      </c>
      <c r="BB2619">
        <v>1200</v>
      </c>
      <c r="BC2619">
        <v>1</v>
      </c>
      <c r="BD2619" t="str">
        <f t="shared" si="926"/>
        <v xml:space="preserve">N887QR  </v>
      </c>
      <c r="BE2619">
        <v>1</v>
      </c>
      <c r="BJ2619">
        <v>3100</v>
      </c>
      <c r="BK2619">
        <v>-300</v>
      </c>
      <c r="BL2619" t="s">
        <v>163</v>
      </c>
      <c r="BM2619">
        <v>1</v>
      </c>
      <c r="BN2619">
        <v>1</v>
      </c>
      <c r="BO2619">
        <v>1</v>
      </c>
      <c r="BP2619">
        <v>0</v>
      </c>
      <c r="BS2619">
        <v>0.08</v>
      </c>
      <c r="BT2619">
        <v>0</v>
      </c>
      <c r="BU2619">
        <v>0</v>
      </c>
      <c r="CE2619" t="str">
        <f t="shared" ref="CE2619:CE2625" si="949">"19:32:34.496"</f>
        <v>19:32:34.496</v>
      </c>
      <c r="CF2619">
        <v>496318451</v>
      </c>
      <c r="CS2619">
        <v>0</v>
      </c>
      <c r="CT2619">
        <v>2</v>
      </c>
      <c r="CU2619">
        <v>0</v>
      </c>
      <c r="CV2619">
        <v>2</v>
      </c>
      <c r="CW2619">
        <v>0</v>
      </c>
      <c r="CX2619">
        <v>5</v>
      </c>
      <c r="CY2619">
        <v>7</v>
      </c>
      <c r="CZ2619" t="s">
        <v>131</v>
      </c>
      <c r="DA2619">
        <v>300</v>
      </c>
      <c r="DB2619">
        <v>0</v>
      </c>
      <c r="DC2619" t="s">
        <v>176</v>
      </c>
      <c r="DD2619" t="s">
        <v>177</v>
      </c>
      <c r="DG2619">
        <v>5417195</v>
      </c>
      <c r="DI2619">
        <v>1</v>
      </c>
      <c r="DJ2619">
        <v>0</v>
      </c>
      <c r="DK2619">
        <v>0</v>
      </c>
      <c r="DL2619">
        <v>0</v>
      </c>
      <c r="DM2619">
        <v>0</v>
      </c>
      <c r="DN2619">
        <v>1</v>
      </c>
      <c r="DO2619">
        <v>0</v>
      </c>
      <c r="DP2619">
        <v>0</v>
      </c>
      <c r="DQ2619">
        <v>0</v>
      </c>
      <c r="DR2619">
        <v>0</v>
      </c>
      <c r="DS2619">
        <v>0</v>
      </c>
    </row>
    <row r="2620" spans="1:123" x14ac:dyDescent="0.3">
      <c r="A2620" t="str">
        <f t="shared" si="947"/>
        <v>10/04/2022 19:32:34.823</v>
      </c>
      <c r="C2620" t="str">
        <f t="shared" si="942"/>
        <v>FFDDD3C0</v>
      </c>
      <c r="D2620" t="s">
        <v>134</v>
      </c>
      <c r="E2620">
        <v>15</v>
      </c>
      <c r="J2620" t="s">
        <v>135</v>
      </c>
      <c r="K2620">
        <v>0</v>
      </c>
      <c r="L2620">
        <v>3</v>
      </c>
      <c r="M2620">
        <v>0</v>
      </c>
      <c r="N2620">
        <v>2</v>
      </c>
      <c r="O2620">
        <v>0</v>
      </c>
      <c r="P2620">
        <v>1</v>
      </c>
      <c r="Q2620">
        <v>0</v>
      </c>
      <c r="S2620" t="str">
        <f t="shared" si="948"/>
        <v>19:32:34.000</v>
      </c>
      <c r="T2620" t="str">
        <f t="shared" si="948"/>
        <v>19:32:34.000</v>
      </c>
      <c r="U2620" t="str">
        <f t="shared" si="925"/>
        <v>AC3944</v>
      </c>
      <c r="V2620">
        <v>0</v>
      </c>
      <c r="W2620">
        <v>0</v>
      </c>
      <c r="X2620">
        <v>2</v>
      </c>
      <c r="Y2620">
        <v>0</v>
      </c>
      <c r="AA2620">
        <v>1</v>
      </c>
      <c r="AB2620">
        <v>8</v>
      </c>
      <c r="AC2620">
        <v>3</v>
      </c>
      <c r="AD2620">
        <v>0</v>
      </c>
      <c r="AE2620">
        <v>9</v>
      </c>
      <c r="AF2620" t="s">
        <v>138</v>
      </c>
      <c r="AG2620">
        <v>0</v>
      </c>
      <c r="AH2620">
        <v>3</v>
      </c>
      <c r="AI2620">
        <v>1</v>
      </c>
      <c r="AJ2620">
        <v>0</v>
      </c>
      <c r="AK2620" t="s">
        <v>894</v>
      </c>
      <c r="AL2620">
        <v>32.747475999999999</v>
      </c>
      <c r="AM2620" t="s">
        <v>895</v>
      </c>
      <c r="AN2620">
        <v>-116.77175</v>
      </c>
      <c r="AO2620">
        <v>25</v>
      </c>
      <c r="AP2620">
        <v>3400</v>
      </c>
      <c r="AQ2620" t="s">
        <v>129</v>
      </c>
      <c r="AR2620">
        <v>96</v>
      </c>
      <c r="AS2620">
        <v>-89</v>
      </c>
      <c r="AT2620">
        <v>960</v>
      </c>
      <c r="BB2620">
        <v>1200</v>
      </c>
      <c r="BC2620">
        <v>1</v>
      </c>
      <c r="BD2620" t="str">
        <f t="shared" si="926"/>
        <v xml:space="preserve">N887QR  </v>
      </c>
      <c r="BE2620">
        <v>1</v>
      </c>
      <c r="BJ2620">
        <v>3100</v>
      </c>
      <c r="BK2620">
        <v>-300</v>
      </c>
      <c r="BL2620" t="s">
        <v>163</v>
      </c>
      <c r="BM2620">
        <v>1</v>
      </c>
      <c r="BN2620">
        <v>1</v>
      </c>
      <c r="BO2620">
        <v>1</v>
      </c>
      <c r="BP2620">
        <v>0</v>
      </c>
      <c r="BS2620">
        <v>0.08</v>
      </c>
      <c r="BT2620">
        <v>0</v>
      </c>
      <c r="BU2620">
        <v>0</v>
      </c>
      <c r="CE2620" t="str">
        <f t="shared" si="949"/>
        <v>19:32:34.496</v>
      </c>
      <c r="CF2620">
        <v>496318451</v>
      </c>
      <c r="CS2620">
        <v>0</v>
      </c>
      <c r="CT2620">
        <v>2</v>
      </c>
      <c r="CU2620">
        <v>0</v>
      </c>
      <c r="CV2620">
        <v>2</v>
      </c>
      <c r="CW2620">
        <v>0</v>
      </c>
      <c r="CX2620">
        <v>5</v>
      </c>
      <c r="CY2620">
        <v>7</v>
      </c>
      <c r="CZ2620" t="s">
        <v>131</v>
      </c>
      <c r="DA2620">
        <v>300</v>
      </c>
      <c r="DB2620">
        <v>0</v>
      </c>
      <c r="DC2620" t="s">
        <v>176</v>
      </c>
      <c r="DD2620" t="s">
        <v>177</v>
      </c>
      <c r="DG2620">
        <v>5417195</v>
      </c>
      <c r="DI2620">
        <v>1</v>
      </c>
      <c r="DJ2620">
        <v>0</v>
      </c>
      <c r="DK2620">
        <v>1</v>
      </c>
      <c r="DL2620">
        <v>0</v>
      </c>
      <c r="DM2620">
        <v>0</v>
      </c>
      <c r="DN2620">
        <v>1</v>
      </c>
      <c r="DO2620">
        <v>0</v>
      </c>
      <c r="DP2620">
        <v>0</v>
      </c>
      <c r="DQ2620">
        <v>0</v>
      </c>
      <c r="DR2620">
        <v>0</v>
      </c>
      <c r="DS2620">
        <v>0</v>
      </c>
    </row>
    <row r="2621" spans="1:123" x14ac:dyDescent="0.3">
      <c r="A2621" t="str">
        <f t="shared" si="947"/>
        <v>10/04/2022 19:32:34.823</v>
      </c>
      <c r="C2621" t="str">
        <f t="shared" si="942"/>
        <v>FFDDD3C0</v>
      </c>
      <c r="D2621" t="s">
        <v>141</v>
      </c>
      <c r="E2621">
        <v>3</v>
      </c>
      <c r="H2621">
        <v>3</v>
      </c>
      <c r="I2621" t="s">
        <v>146</v>
      </c>
      <c r="J2621" t="s">
        <v>138</v>
      </c>
      <c r="K2621">
        <v>0</v>
      </c>
      <c r="L2621">
        <v>3</v>
      </c>
      <c r="M2621">
        <v>0</v>
      </c>
      <c r="N2621">
        <v>2</v>
      </c>
      <c r="O2621">
        <v>0</v>
      </c>
      <c r="P2621">
        <v>1</v>
      </c>
      <c r="Q2621">
        <v>0</v>
      </c>
      <c r="S2621" t="str">
        <f t="shared" si="948"/>
        <v>19:32:34.000</v>
      </c>
      <c r="T2621" t="str">
        <f t="shared" si="948"/>
        <v>19:32:34.000</v>
      </c>
      <c r="U2621" t="str">
        <f t="shared" si="925"/>
        <v>AC3944</v>
      </c>
      <c r="V2621">
        <v>0</v>
      </c>
      <c r="W2621">
        <v>0</v>
      </c>
      <c r="X2621">
        <v>2</v>
      </c>
      <c r="Y2621">
        <v>0</v>
      </c>
      <c r="AA2621">
        <v>1</v>
      </c>
      <c r="AB2621">
        <v>8</v>
      </c>
      <c r="AC2621">
        <v>3</v>
      </c>
      <c r="AD2621">
        <v>0</v>
      </c>
      <c r="AE2621">
        <v>9</v>
      </c>
      <c r="AF2621" t="s">
        <v>138</v>
      </c>
      <c r="AG2621">
        <v>0</v>
      </c>
      <c r="AH2621">
        <v>3</v>
      </c>
      <c r="AI2621">
        <v>1</v>
      </c>
      <c r="AJ2621">
        <v>0</v>
      </c>
      <c r="AK2621" t="s">
        <v>894</v>
      </c>
      <c r="AL2621">
        <v>32.747475999999999</v>
      </c>
      <c r="AM2621" t="s">
        <v>895</v>
      </c>
      <c r="AN2621">
        <v>-116.77175</v>
      </c>
      <c r="AO2621">
        <v>25</v>
      </c>
      <c r="AP2621">
        <v>3400</v>
      </c>
      <c r="AQ2621" t="s">
        <v>129</v>
      </c>
      <c r="AR2621">
        <v>96</v>
      </c>
      <c r="AS2621">
        <v>-89</v>
      </c>
      <c r="AT2621">
        <v>960</v>
      </c>
      <c r="BB2621">
        <v>1200</v>
      </c>
      <c r="BC2621">
        <v>1</v>
      </c>
      <c r="BD2621" t="str">
        <f t="shared" si="926"/>
        <v xml:space="preserve">N887QR  </v>
      </c>
      <c r="BE2621">
        <v>1</v>
      </c>
      <c r="BJ2621">
        <v>3100</v>
      </c>
      <c r="BK2621">
        <v>-300</v>
      </c>
      <c r="BL2621" t="s">
        <v>163</v>
      </c>
      <c r="BM2621">
        <v>1</v>
      </c>
      <c r="BN2621">
        <v>1</v>
      </c>
      <c r="BO2621">
        <v>1</v>
      </c>
      <c r="BP2621">
        <v>0</v>
      </c>
      <c r="BS2621">
        <v>0.08</v>
      </c>
      <c r="BT2621">
        <v>0</v>
      </c>
      <c r="BU2621">
        <v>0</v>
      </c>
      <c r="CE2621" t="str">
        <f t="shared" si="949"/>
        <v>19:32:34.496</v>
      </c>
      <c r="CF2621">
        <v>496318451</v>
      </c>
      <c r="CS2621">
        <v>0</v>
      </c>
      <c r="CT2621">
        <v>2</v>
      </c>
      <c r="CU2621">
        <v>0</v>
      </c>
      <c r="CV2621">
        <v>2</v>
      </c>
      <c r="CW2621">
        <v>0</v>
      </c>
      <c r="CX2621">
        <v>5</v>
      </c>
      <c r="CY2621">
        <v>7</v>
      </c>
      <c r="CZ2621" t="s">
        <v>131</v>
      </c>
      <c r="DA2621">
        <v>300</v>
      </c>
      <c r="DB2621">
        <v>0</v>
      </c>
      <c r="DC2621" t="s">
        <v>176</v>
      </c>
      <c r="DD2621" t="s">
        <v>177</v>
      </c>
      <c r="DG2621">
        <v>5417195</v>
      </c>
      <c r="DI2621">
        <v>1</v>
      </c>
      <c r="DJ2621">
        <v>0</v>
      </c>
      <c r="DK2621">
        <v>1</v>
      </c>
      <c r="DL2621">
        <v>0</v>
      </c>
      <c r="DM2621">
        <v>0</v>
      </c>
      <c r="DN2621">
        <v>1</v>
      </c>
      <c r="DO2621">
        <v>0</v>
      </c>
      <c r="DP2621">
        <v>0</v>
      </c>
      <c r="DQ2621">
        <v>0</v>
      </c>
      <c r="DR2621">
        <v>0</v>
      </c>
      <c r="DS2621">
        <v>0</v>
      </c>
    </row>
    <row r="2622" spans="1:123" x14ac:dyDescent="0.3">
      <c r="A2622" t="str">
        <f t="shared" si="947"/>
        <v>10/04/2022 19:32:34.823</v>
      </c>
      <c r="C2622" t="str">
        <f t="shared" si="942"/>
        <v>FFDDD3C0</v>
      </c>
      <c r="D2622" t="s">
        <v>136</v>
      </c>
      <c r="E2622">
        <v>8</v>
      </c>
      <c r="H2622">
        <v>225</v>
      </c>
      <c r="I2622" t="s">
        <v>137</v>
      </c>
      <c r="J2622" t="s">
        <v>138</v>
      </c>
      <c r="K2622">
        <v>0</v>
      </c>
      <c r="L2622">
        <v>3</v>
      </c>
      <c r="M2622">
        <v>0</v>
      </c>
      <c r="N2622">
        <v>2</v>
      </c>
      <c r="O2622">
        <v>0</v>
      </c>
      <c r="P2622">
        <v>1</v>
      </c>
      <c r="Q2622">
        <v>0</v>
      </c>
      <c r="S2622" t="str">
        <f t="shared" si="948"/>
        <v>19:32:34.000</v>
      </c>
      <c r="T2622" t="str">
        <f t="shared" si="948"/>
        <v>19:32:34.000</v>
      </c>
      <c r="U2622" t="str">
        <f t="shared" si="925"/>
        <v>AC3944</v>
      </c>
      <c r="V2622">
        <v>0</v>
      </c>
      <c r="W2622">
        <v>0</v>
      </c>
      <c r="X2622">
        <v>2</v>
      </c>
      <c r="Y2622">
        <v>0</v>
      </c>
      <c r="AA2622">
        <v>1</v>
      </c>
      <c r="AB2622">
        <v>8</v>
      </c>
      <c r="AC2622">
        <v>3</v>
      </c>
      <c r="AD2622">
        <v>0</v>
      </c>
      <c r="AE2622">
        <v>9</v>
      </c>
      <c r="AF2622" t="s">
        <v>138</v>
      </c>
      <c r="AG2622">
        <v>0</v>
      </c>
      <c r="AH2622">
        <v>3</v>
      </c>
      <c r="AI2622">
        <v>1</v>
      </c>
      <c r="AJ2622">
        <v>0</v>
      </c>
      <c r="AK2622" t="s">
        <v>894</v>
      </c>
      <c r="AL2622">
        <v>32.747475999999999</v>
      </c>
      <c r="AM2622" t="s">
        <v>895</v>
      </c>
      <c r="AN2622">
        <v>-116.77175</v>
      </c>
      <c r="AO2622">
        <v>25</v>
      </c>
      <c r="AP2622">
        <v>3400</v>
      </c>
      <c r="AQ2622" t="s">
        <v>129</v>
      </c>
      <c r="AR2622">
        <v>96</v>
      </c>
      <c r="AS2622">
        <v>-89</v>
      </c>
      <c r="AT2622">
        <v>960</v>
      </c>
      <c r="BB2622">
        <v>1200</v>
      </c>
      <c r="BC2622">
        <v>1</v>
      </c>
      <c r="BD2622" t="str">
        <f t="shared" si="926"/>
        <v xml:space="preserve">N887QR  </v>
      </c>
      <c r="BE2622">
        <v>1</v>
      </c>
      <c r="BJ2622">
        <v>3100</v>
      </c>
      <c r="BK2622">
        <v>-300</v>
      </c>
      <c r="BL2622" t="s">
        <v>163</v>
      </c>
      <c r="BM2622">
        <v>1</v>
      </c>
      <c r="BN2622">
        <v>1</v>
      </c>
      <c r="BO2622">
        <v>1</v>
      </c>
      <c r="BP2622">
        <v>0</v>
      </c>
      <c r="BS2622">
        <v>0.08</v>
      </c>
      <c r="BT2622">
        <v>0</v>
      </c>
      <c r="BU2622">
        <v>0</v>
      </c>
      <c r="CE2622" t="str">
        <f t="shared" si="949"/>
        <v>19:32:34.496</v>
      </c>
      <c r="CF2622">
        <v>496318451</v>
      </c>
      <c r="CS2622">
        <v>0</v>
      </c>
      <c r="CT2622">
        <v>2</v>
      </c>
      <c r="CU2622">
        <v>0</v>
      </c>
      <c r="CV2622">
        <v>2</v>
      </c>
      <c r="CW2622">
        <v>0</v>
      </c>
      <c r="CX2622">
        <v>5</v>
      </c>
      <c r="CY2622">
        <v>7</v>
      </c>
      <c r="CZ2622" t="s">
        <v>131</v>
      </c>
      <c r="DA2622">
        <v>300</v>
      </c>
      <c r="DB2622">
        <v>0</v>
      </c>
      <c r="DC2622" t="s">
        <v>176</v>
      </c>
      <c r="DD2622" t="s">
        <v>177</v>
      </c>
      <c r="DG2622">
        <v>5417195</v>
      </c>
      <c r="DI2622">
        <v>1</v>
      </c>
      <c r="DJ2622">
        <v>0</v>
      </c>
      <c r="DK2622">
        <v>1</v>
      </c>
      <c r="DL2622">
        <v>0</v>
      </c>
      <c r="DM2622">
        <v>0</v>
      </c>
      <c r="DN2622">
        <v>1</v>
      </c>
      <c r="DO2622">
        <v>0</v>
      </c>
      <c r="DP2622">
        <v>0</v>
      </c>
      <c r="DQ2622">
        <v>0</v>
      </c>
      <c r="DR2622">
        <v>0</v>
      </c>
      <c r="DS2622">
        <v>0</v>
      </c>
    </row>
    <row r="2623" spans="1:123" x14ac:dyDescent="0.3">
      <c r="A2623" t="str">
        <f t="shared" si="947"/>
        <v>10/04/2022 19:32:34.823</v>
      </c>
      <c r="C2623" t="str">
        <f t="shared" si="942"/>
        <v>FFDDD3C0</v>
      </c>
      <c r="D2623" t="s">
        <v>143</v>
      </c>
      <c r="E2623">
        <v>20</v>
      </c>
      <c r="F2623">
        <v>1020</v>
      </c>
      <c r="G2623" t="s">
        <v>144</v>
      </c>
      <c r="J2623" t="s">
        <v>145</v>
      </c>
      <c r="K2623">
        <v>0</v>
      </c>
      <c r="L2623">
        <v>3</v>
      </c>
      <c r="M2623">
        <v>0</v>
      </c>
      <c r="N2623">
        <v>2</v>
      </c>
      <c r="O2623">
        <v>0</v>
      </c>
      <c r="P2623">
        <v>1</v>
      </c>
      <c r="Q2623">
        <v>0</v>
      </c>
      <c r="S2623" t="str">
        <f t="shared" si="948"/>
        <v>19:32:34.000</v>
      </c>
      <c r="T2623" t="str">
        <f t="shared" si="948"/>
        <v>19:32:34.000</v>
      </c>
      <c r="U2623" t="str">
        <f t="shared" si="925"/>
        <v>AC3944</v>
      </c>
      <c r="V2623">
        <v>0</v>
      </c>
      <c r="W2623">
        <v>0</v>
      </c>
      <c r="X2623">
        <v>2</v>
      </c>
      <c r="Y2623">
        <v>0</v>
      </c>
      <c r="AA2623">
        <v>1</v>
      </c>
      <c r="AB2623">
        <v>8</v>
      </c>
      <c r="AC2623">
        <v>3</v>
      </c>
      <c r="AD2623">
        <v>0</v>
      </c>
      <c r="AE2623">
        <v>9</v>
      </c>
      <c r="AF2623" t="s">
        <v>138</v>
      </c>
      <c r="AG2623">
        <v>0</v>
      </c>
      <c r="AH2623">
        <v>3</v>
      </c>
      <c r="AI2623">
        <v>1</v>
      </c>
      <c r="AJ2623">
        <v>0</v>
      </c>
      <c r="AK2623" t="s">
        <v>894</v>
      </c>
      <c r="AL2623">
        <v>32.747475999999999</v>
      </c>
      <c r="AM2623" t="s">
        <v>895</v>
      </c>
      <c r="AN2623">
        <v>-116.77175</v>
      </c>
      <c r="AO2623">
        <v>25</v>
      </c>
      <c r="AP2623">
        <v>3400</v>
      </c>
      <c r="AQ2623" t="s">
        <v>129</v>
      </c>
      <c r="AR2623">
        <v>96</v>
      </c>
      <c r="AS2623">
        <v>-89</v>
      </c>
      <c r="AT2623">
        <v>960</v>
      </c>
      <c r="BB2623">
        <v>1200</v>
      </c>
      <c r="BC2623">
        <v>1</v>
      </c>
      <c r="BD2623" t="str">
        <f t="shared" si="926"/>
        <v xml:space="preserve">N887QR  </v>
      </c>
      <c r="BE2623">
        <v>1</v>
      </c>
      <c r="BJ2623">
        <v>3100</v>
      </c>
      <c r="BK2623">
        <v>-300</v>
      </c>
      <c r="BL2623" t="s">
        <v>163</v>
      </c>
      <c r="BM2623">
        <v>1</v>
      </c>
      <c r="BN2623">
        <v>1</v>
      </c>
      <c r="BO2623">
        <v>1</v>
      </c>
      <c r="BP2623">
        <v>0</v>
      </c>
      <c r="BS2623">
        <v>0.08</v>
      </c>
      <c r="BT2623">
        <v>0</v>
      </c>
      <c r="BU2623">
        <v>0</v>
      </c>
      <c r="CE2623" t="str">
        <f t="shared" si="949"/>
        <v>19:32:34.496</v>
      </c>
      <c r="CF2623">
        <v>496318451</v>
      </c>
      <c r="CS2623">
        <v>0</v>
      </c>
      <c r="CT2623">
        <v>2</v>
      </c>
      <c r="CU2623">
        <v>0</v>
      </c>
      <c r="CV2623">
        <v>2</v>
      </c>
      <c r="CW2623">
        <v>0</v>
      </c>
      <c r="CX2623">
        <v>5</v>
      </c>
      <c r="CY2623">
        <v>7</v>
      </c>
      <c r="CZ2623" t="s">
        <v>131</v>
      </c>
      <c r="DA2623">
        <v>300</v>
      </c>
      <c r="DB2623">
        <v>0</v>
      </c>
      <c r="DC2623" t="s">
        <v>176</v>
      </c>
      <c r="DD2623" t="s">
        <v>177</v>
      </c>
      <c r="DG2623">
        <v>5417195</v>
      </c>
      <c r="DI2623">
        <v>1</v>
      </c>
      <c r="DJ2623">
        <v>0</v>
      </c>
      <c r="DK2623">
        <v>1</v>
      </c>
      <c r="DL2623">
        <v>0</v>
      </c>
      <c r="DM2623">
        <v>0</v>
      </c>
      <c r="DN2623">
        <v>1</v>
      </c>
      <c r="DO2623">
        <v>0</v>
      </c>
      <c r="DP2623">
        <v>0</v>
      </c>
      <c r="DQ2623">
        <v>0</v>
      </c>
      <c r="DR2623">
        <v>0</v>
      </c>
      <c r="DS2623">
        <v>0</v>
      </c>
    </row>
    <row r="2624" spans="1:123" x14ac:dyDescent="0.3">
      <c r="A2624" t="str">
        <f t="shared" si="947"/>
        <v>10/04/2022 19:32:34.823</v>
      </c>
      <c r="C2624" t="str">
        <f t="shared" si="942"/>
        <v>FFDDD3C0</v>
      </c>
      <c r="D2624" t="s">
        <v>141</v>
      </c>
      <c r="E2624">
        <v>4</v>
      </c>
      <c r="H2624">
        <v>4</v>
      </c>
      <c r="I2624" t="s">
        <v>142</v>
      </c>
      <c r="J2624" t="s">
        <v>138</v>
      </c>
      <c r="K2624">
        <v>0</v>
      </c>
      <c r="L2624">
        <v>3</v>
      </c>
      <c r="M2624">
        <v>0</v>
      </c>
      <c r="N2624">
        <v>2</v>
      </c>
      <c r="O2624">
        <v>0</v>
      </c>
      <c r="P2624">
        <v>1</v>
      </c>
      <c r="Q2624">
        <v>0</v>
      </c>
      <c r="S2624" t="str">
        <f t="shared" si="948"/>
        <v>19:32:34.000</v>
      </c>
      <c r="T2624" t="str">
        <f t="shared" si="948"/>
        <v>19:32:34.000</v>
      </c>
      <c r="U2624" t="str">
        <f t="shared" si="925"/>
        <v>AC3944</v>
      </c>
      <c r="V2624">
        <v>0</v>
      </c>
      <c r="W2624">
        <v>0</v>
      </c>
      <c r="X2624">
        <v>2</v>
      </c>
      <c r="Y2624">
        <v>0</v>
      </c>
      <c r="AA2624">
        <v>1</v>
      </c>
      <c r="AB2624">
        <v>8</v>
      </c>
      <c r="AC2624">
        <v>3</v>
      </c>
      <c r="AD2624">
        <v>0</v>
      </c>
      <c r="AE2624">
        <v>9</v>
      </c>
      <c r="AF2624" t="s">
        <v>138</v>
      </c>
      <c r="AG2624">
        <v>0</v>
      </c>
      <c r="AH2624">
        <v>3</v>
      </c>
      <c r="AI2624">
        <v>1</v>
      </c>
      <c r="AJ2624">
        <v>0</v>
      </c>
      <c r="AK2624" t="s">
        <v>894</v>
      </c>
      <c r="AL2624">
        <v>32.747475999999999</v>
      </c>
      <c r="AM2624" t="s">
        <v>895</v>
      </c>
      <c r="AN2624">
        <v>-116.77175</v>
      </c>
      <c r="AO2624">
        <v>25</v>
      </c>
      <c r="AP2624">
        <v>3400</v>
      </c>
      <c r="AQ2624" t="s">
        <v>129</v>
      </c>
      <c r="AR2624">
        <v>96</v>
      </c>
      <c r="AS2624">
        <v>-89</v>
      </c>
      <c r="AT2624">
        <v>960</v>
      </c>
      <c r="BB2624">
        <v>1200</v>
      </c>
      <c r="BC2624">
        <v>1</v>
      </c>
      <c r="BD2624" t="str">
        <f t="shared" si="926"/>
        <v xml:space="preserve">N887QR  </v>
      </c>
      <c r="BE2624">
        <v>1</v>
      </c>
      <c r="BJ2624">
        <v>3100</v>
      </c>
      <c r="BK2624">
        <v>-300</v>
      </c>
      <c r="BL2624" t="s">
        <v>163</v>
      </c>
      <c r="BM2624">
        <v>1</v>
      </c>
      <c r="BN2624">
        <v>1</v>
      </c>
      <c r="BO2624">
        <v>1</v>
      </c>
      <c r="BP2624">
        <v>0</v>
      </c>
      <c r="BS2624">
        <v>0.08</v>
      </c>
      <c r="BT2624">
        <v>0</v>
      </c>
      <c r="BU2624">
        <v>0</v>
      </c>
      <c r="CE2624" t="str">
        <f t="shared" si="949"/>
        <v>19:32:34.496</v>
      </c>
      <c r="CF2624">
        <v>496318451</v>
      </c>
      <c r="CS2624">
        <v>0</v>
      </c>
      <c r="CT2624">
        <v>2</v>
      </c>
      <c r="CU2624">
        <v>0</v>
      </c>
      <c r="CV2624">
        <v>2</v>
      </c>
      <c r="CW2624">
        <v>0</v>
      </c>
      <c r="CX2624">
        <v>5</v>
      </c>
      <c r="CY2624">
        <v>7</v>
      </c>
      <c r="CZ2624" t="s">
        <v>131</v>
      </c>
      <c r="DA2624">
        <v>300</v>
      </c>
      <c r="DB2624">
        <v>0</v>
      </c>
      <c r="DC2624" t="s">
        <v>176</v>
      </c>
      <c r="DD2624" t="s">
        <v>177</v>
      </c>
      <c r="DG2624">
        <v>5417195</v>
      </c>
      <c r="DI2624">
        <v>1</v>
      </c>
      <c r="DJ2624">
        <v>0</v>
      </c>
      <c r="DK2624">
        <v>1</v>
      </c>
      <c r="DL2624">
        <v>0</v>
      </c>
      <c r="DM2624">
        <v>0</v>
      </c>
      <c r="DN2624">
        <v>1</v>
      </c>
      <c r="DO2624">
        <v>0</v>
      </c>
      <c r="DP2624">
        <v>0</v>
      </c>
      <c r="DQ2624">
        <v>0</v>
      </c>
      <c r="DR2624">
        <v>0</v>
      </c>
      <c r="DS2624">
        <v>0</v>
      </c>
    </row>
    <row r="2625" spans="1:123" x14ac:dyDescent="0.3">
      <c r="A2625" t="str">
        <f t="shared" si="947"/>
        <v>10/04/2022 19:32:34.823</v>
      </c>
      <c r="C2625" t="str">
        <f t="shared" si="942"/>
        <v>FFDDD3C0</v>
      </c>
      <c r="D2625" t="s">
        <v>123</v>
      </c>
      <c r="E2625">
        <v>7</v>
      </c>
      <c r="F2625">
        <v>2007</v>
      </c>
      <c r="G2625" t="s">
        <v>124</v>
      </c>
      <c r="J2625" t="s">
        <v>125</v>
      </c>
      <c r="K2625">
        <v>0</v>
      </c>
      <c r="L2625">
        <v>3</v>
      </c>
      <c r="M2625">
        <v>0</v>
      </c>
      <c r="N2625">
        <v>2</v>
      </c>
      <c r="O2625">
        <v>0</v>
      </c>
      <c r="P2625">
        <v>1</v>
      </c>
      <c r="Q2625">
        <v>0</v>
      </c>
      <c r="S2625" t="str">
        <f t="shared" si="948"/>
        <v>19:32:34.000</v>
      </c>
      <c r="T2625" t="str">
        <f t="shared" si="948"/>
        <v>19:32:34.000</v>
      </c>
      <c r="U2625" t="str">
        <f t="shared" si="925"/>
        <v>AC3944</v>
      </c>
      <c r="V2625">
        <v>0</v>
      </c>
      <c r="W2625">
        <v>0</v>
      </c>
      <c r="X2625">
        <v>2</v>
      </c>
      <c r="Y2625">
        <v>0</v>
      </c>
      <c r="AA2625">
        <v>1</v>
      </c>
      <c r="AB2625">
        <v>8</v>
      </c>
      <c r="AC2625">
        <v>3</v>
      </c>
      <c r="AD2625">
        <v>0</v>
      </c>
      <c r="AE2625">
        <v>9</v>
      </c>
      <c r="AF2625" t="s">
        <v>138</v>
      </c>
      <c r="AG2625">
        <v>0</v>
      </c>
      <c r="AH2625">
        <v>3</v>
      </c>
      <c r="AI2625">
        <v>1</v>
      </c>
      <c r="AJ2625">
        <v>0</v>
      </c>
      <c r="AK2625" t="s">
        <v>894</v>
      </c>
      <c r="AL2625">
        <v>32.747475999999999</v>
      </c>
      <c r="AM2625" t="s">
        <v>895</v>
      </c>
      <c r="AN2625">
        <v>-116.77175</v>
      </c>
      <c r="AO2625">
        <v>25</v>
      </c>
      <c r="AP2625">
        <v>3400</v>
      </c>
      <c r="AQ2625" t="s">
        <v>129</v>
      </c>
      <c r="AR2625">
        <v>96</v>
      </c>
      <c r="AS2625">
        <v>-89</v>
      </c>
      <c r="AT2625">
        <v>960</v>
      </c>
      <c r="BB2625">
        <v>1200</v>
      </c>
      <c r="BC2625">
        <v>1</v>
      </c>
      <c r="BD2625" t="str">
        <f t="shared" si="926"/>
        <v xml:space="preserve">N887QR  </v>
      </c>
      <c r="BE2625">
        <v>1</v>
      </c>
      <c r="BJ2625">
        <v>3100</v>
      </c>
      <c r="BK2625">
        <v>-300</v>
      </c>
      <c r="BL2625" t="s">
        <v>163</v>
      </c>
      <c r="BM2625">
        <v>1</v>
      </c>
      <c r="BN2625">
        <v>1</v>
      </c>
      <c r="BO2625">
        <v>1</v>
      </c>
      <c r="BP2625">
        <v>0</v>
      </c>
      <c r="BS2625">
        <v>0.08</v>
      </c>
      <c r="BT2625">
        <v>0</v>
      </c>
      <c r="BU2625">
        <v>0</v>
      </c>
      <c r="CE2625" t="str">
        <f t="shared" si="949"/>
        <v>19:32:34.496</v>
      </c>
      <c r="CF2625">
        <v>496318451</v>
      </c>
      <c r="CS2625">
        <v>0</v>
      </c>
      <c r="CT2625">
        <v>2</v>
      </c>
      <c r="CU2625">
        <v>0</v>
      </c>
      <c r="CV2625">
        <v>2</v>
      </c>
      <c r="CW2625">
        <v>0</v>
      </c>
      <c r="CX2625">
        <v>5</v>
      </c>
      <c r="CY2625">
        <v>7</v>
      </c>
      <c r="CZ2625" t="s">
        <v>131</v>
      </c>
      <c r="DA2625">
        <v>300</v>
      </c>
      <c r="DB2625">
        <v>0</v>
      </c>
      <c r="DC2625" t="s">
        <v>176</v>
      </c>
      <c r="DD2625" t="s">
        <v>177</v>
      </c>
      <c r="DG2625">
        <v>5417195</v>
      </c>
      <c r="DI2625">
        <v>1</v>
      </c>
      <c r="DJ2625">
        <v>0</v>
      </c>
      <c r="DK2625">
        <v>1</v>
      </c>
      <c r="DL2625">
        <v>0</v>
      </c>
      <c r="DM2625">
        <v>0</v>
      </c>
      <c r="DN2625">
        <v>1</v>
      </c>
      <c r="DO2625">
        <v>0</v>
      </c>
      <c r="DP2625">
        <v>0</v>
      </c>
      <c r="DQ2625">
        <v>0</v>
      </c>
      <c r="DR2625">
        <v>0</v>
      </c>
      <c r="DS2625">
        <v>0</v>
      </c>
    </row>
    <row r="2626" spans="1:123" x14ac:dyDescent="0.3">
      <c r="A2626" t="str">
        <f t="shared" ref="A2626:A2631" si="950">"10/04/2022 19:32:35.715"</f>
        <v>10/04/2022 19:32:35.715</v>
      </c>
      <c r="C2626" t="str">
        <f t="shared" si="942"/>
        <v>FFDDD3C0</v>
      </c>
      <c r="D2626" t="s">
        <v>141</v>
      </c>
      <c r="E2626">
        <v>4</v>
      </c>
      <c r="H2626">
        <v>4</v>
      </c>
      <c r="I2626" t="s">
        <v>142</v>
      </c>
      <c r="J2626" t="s">
        <v>138</v>
      </c>
      <c r="K2626">
        <v>0</v>
      </c>
      <c r="L2626">
        <v>3</v>
      </c>
      <c r="M2626">
        <v>0</v>
      </c>
      <c r="N2626">
        <v>2</v>
      </c>
      <c r="O2626">
        <v>0</v>
      </c>
      <c r="P2626">
        <v>1</v>
      </c>
      <c r="Q2626">
        <v>0</v>
      </c>
      <c r="S2626" t="str">
        <f t="shared" ref="S2626:T2632" si="951">"19:32:35.000"</f>
        <v>19:32:35.000</v>
      </c>
      <c r="T2626" t="str">
        <f t="shared" si="951"/>
        <v>19:32:35.000</v>
      </c>
      <c r="U2626" t="str">
        <f t="shared" ref="U2626:U2689" si="952">"AC3944"</f>
        <v>AC3944</v>
      </c>
      <c r="V2626">
        <v>0</v>
      </c>
      <c r="W2626">
        <v>0</v>
      </c>
      <c r="X2626">
        <v>2</v>
      </c>
      <c r="Y2626">
        <v>0</v>
      </c>
      <c r="AA2626">
        <v>1</v>
      </c>
      <c r="AB2626">
        <v>8</v>
      </c>
      <c r="AC2626">
        <v>3</v>
      </c>
      <c r="AD2626">
        <v>0</v>
      </c>
      <c r="AE2626">
        <v>9</v>
      </c>
      <c r="AF2626" t="s">
        <v>138</v>
      </c>
      <c r="AG2626">
        <v>0</v>
      </c>
      <c r="AH2626">
        <v>3</v>
      </c>
      <c r="AI2626">
        <v>1</v>
      </c>
      <c r="AJ2626">
        <v>0</v>
      </c>
      <c r="AK2626" t="s">
        <v>896</v>
      </c>
      <c r="AL2626">
        <v>32.747047000000002</v>
      </c>
      <c r="AM2626" t="s">
        <v>897</v>
      </c>
      <c r="AN2626">
        <v>-116.771214</v>
      </c>
      <c r="AO2626">
        <v>25</v>
      </c>
      <c r="AP2626">
        <v>3400</v>
      </c>
      <c r="AQ2626" t="s">
        <v>129</v>
      </c>
      <c r="AR2626">
        <v>94</v>
      </c>
      <c r="AS2626">
        <v>-90</v>
      </c>
      <c r="AT2626">
        <v>960</v>
      </c>
      <c r="BB2626">
        <v>1200</v>
      </c>
      <c r="BC2626">
        <v>1</v>
      </c>
      <c r="BD2626" t="str">
        <f t="shared" ref="BD2626:BD2689" si="953">"N887QR  "</f>
        <v xml:space="preserve">N887QR  </v>
      </c>
      <c r="BE2626">
        <v>1</v>
      </c>
      <c r="BJ2626">
        <v>3100</v>
      </c>
      <c r="BK2626">
        <v>-300</v>
      </c>
      <c r="BL2626" t="s">
        <v>163</v>
      </c>
      <c r="BM2626">
        <v>1</v>
      </c>
      <c r="BN2626">
        <v>1</v>
      </c>
      <c r="BO2626">
        <v>1</v>
      </c>
      <c r="BP2626">
        <v>0</v>
      </c>
      <c r="BS2626">
        <v>0.08</v>
      </c>
      <c r="BT2626">
        <v>0</v>
      </c>
      <c r="BU2626">
        <v>0</v>
      </c>
      <c r="CE2626" t="str">
        <f t="shared" ref="CE2626:CE2632" si="954">"19:32:35.499"</f>
        <v>19:32:35.499</v>
      </c>
      <c r="CF2626">
        <v>499071803</v>
      </c>
      <c r="CS2626">
        <v>0</v>
      </c>
      <c r="CT2626">
        <v>2</v>
      </c>
      <c r="CU2626">
        <v>0</v>
      </c>
      <c r="CV2626">
        <v>2</v>
      </c>
      <c r="CW2626">
        <v>3</v>
      </c>
      <c r="CX2626">
        <v>4</v>
      </c>
      <c r="CY2626">
        <v>7</v>
      </c>
      <c r="CZ2626" t="s">
        <v>131</v>
      </c>
      <c r="DA2626">
        <v>300</v>
      </c>
      <c r="DB2626">
        <v>0</v>
      </c>
      <c r="DC2626" t="s">
        <v>176</v>
      </c>
      <c r="DD2626" t="s">
        <v>177</v>
      </c>
      <c r="DG2626">
        <v>5417372</v>
      </c>
      <c r="DI2626">
        <v>1</v>
      </c>
      <c r="DJ2626">
        <v>0</v>
      </c>
      <c r="DK2626">
        <v>0</v>
      </c>
      <c r="DL2626">
        <v>0</v>
      </c>
      <c r="DM2626">
        <v>0</v>
      </c>
      <c r="DN2626">
        <v>1</v>
      </c>
      <c r="DO2626">
        <v>0</v>
      </c>
      <c r="DP2626">
        <v>0</v>
      </c>
      <c r="DQ2626">
        <v>0</v>
      </c>
      <c r="DR2626">
        <v>0</v>
      </c>
      <c r="DS2626">
        <v>0</v>
      </c>
    </row>
    <row r="2627" spans="1:123" x14ac:dyDescent="0.3">
      <c r="A2627" t="str">
        <f t="shared" si="950"/>
        <v>10/04/2022 19:32:35.715</v>
      </c>
      <c r="C2627" t="str">
        <f t="shared" si="942"/>
        <v>FFDDD3C0</v>
      </c>
      <c r="D2627" t="s">
        <v>123</v>
      </c>
      <c r="E2627">
        <v>7</v>
      </c>
      <c r="F2627">
        <v>2007</v>
      </c>
      <c r="G2627" t="s">
        <v>124</v>
      </c>
      <c r="J2627" t="s">
        <v>125</v>
      </c>
      <c r="K2627">
        <v>0</v>
      </c>
      <c r="L2627">
        <v>3</v>
      </c>
      <c r="M2627">
        <v>0</v>
      </c>
      <c r="N2627">
        <v>2</v>
      </c>
      <c r="O2627">
        <v>0</v>
      </c>
      <c r="P2627">
        <v>1</v>
      </c>
      <c r="Q2627">
        <v>0</v>
      </c>
      <c r="S2627" t="str">
        <f t="shared" si="951"/>
        <v>19:32:35.000</v>
      </c>
      <c r="T2627" t="str">
        <f t="shared" si="951"/>
        <v>19:32:35.000</v>
      </c>
      <c r="U2627" t="str">
        <f t="shared" si="952"/>
        <v>AC3944</v>
      </c>
      <c r="V2627">
        <v>0</v>
      </c>
      <c r="W2627">
        <v>0</v>
      </c>
      <c r="X2627">
        <v>2</v>
      </c>
      <c r="Y2627">
        <v>0</v>
      </c>
      <c r="AA2627">
        <v>1</v>
      </c>
      <c r="AB2627">
        <v>8</v>
      </c>
      <c r="AC2627">
        <v>3</v>
      </c>
      <c r="AD2627">
        <v>0</v>
      </c>
      <c r="AE2627">
        <v>9</v>
      </c>
      <c r="AF2627" t="s">
        <v>138</v>
      </c>
      <c r="AG2627">
        <v>0</v>
      </c>
      <c r="AH2627">
        <v>3</v>
      </c>
      <c r="AI2627">
        <v>1</v>
      </c>
      <c r="AJ2627">
        <v>0</v>
      </c>
      <c r="AK2627" t="s">
        <v>896</v>
      </c>
      <c r="AL2627">
        <v>32.747047000000002</v>
      </c>
      <c r="AM2627" t="s">
        <v>897</v>
      </c>
      <c r="AN2627">
        <v>-116.771214</v>
      </c>
      <c r="AO2627">
        <v>25</v>
      </c>
      <c r="AP2627">
        <v>3400</v>
      </c>
      <c r="AQ2627" t="s">
        <v>129</v>
      </c>
      <c r="AR2627">
        <v>94</v>
      </c>
      <c r="AS2627">
        <v>-90</v>
      </c>
      <c r="AT2627">
        <v>960</v>
      </c>
      <c r="BB2627">
        <v>1200</v>
      </c>
      <c r="BC2627">
        <v>1</v>
      </c>
      <c r="BD2627" t="str">
        <f t="shared" si="953"/>
        <v xml:space="preserve">N887QR  </v>
      </c>
      <c r="BE2627">
        <v>1</v>
      </c>
      <c r="BJ2627">
        <v>3100</v>
      </c>
      <c r="BK2627">
        <v>-300</v>
      </c>
      <c r="BL2627" t="s">
        <v>163</v>
      </c>
      <c r="BM2627">
        <v>1</v>
      </c>
      <c r="BN2627">
        <v>1</v>
      </c>
      <c r="BO2627">
        <v>1</v>
      </c>
      <c r="BP2627">
        <v>0</v>
      </c>
      <c r="BS2627">
        <v>0.08</v>
      </c>
      <c r="BT2627">
        <v>0</v>
      </c>
      <c r="BU2627">
        <v>0</v>
      </c>
      <c r="CE2627" t="str">
        <f t="shared" si="954"/>
        <v>19:32:35.499</v>
      </c>
      <c r="CF2627">
        <v>499071803</v>
      </c>
      <c r="CS2627">
        <v>0</v>
      </c>
      <c r="CT2627">
        <v>2</v>
      </c>
      <c r="CU2627">
        <v>0</v>
      </c>
      <c r="CV2627">
        <v>2</v>
      </c>
      <c r="CW2627">
        <v>3</v>
      </c>
      <c r="CX2627">
        <v>4</v>
      </c>
      <c r="CY2627">
        <v>7</v>
      </c>
      <c r="CZ2627" t="s">
        <v>131</v>
      </c>
      <c r="DA2627">
        <v>300</v>
      </c>
      <c r="DB2627">
        <v>0</v>
      </c>
      <c r="DC2627" t="s">
        <v>176</v>
      </c>
      <c r="DD2627" t="s">
        <v>177</v>
      </c>
      <c r="DG2627">
        <v>5417372</v>
      </c>
      <c r="DI2627">
        <v>1</v>
      </c>
      <c r="DJ2627">
        <v>0</v>
      </c>
      <c r="DK2627">
        <v>1</v>
      </c>
      <c r="DL2627">
        <v>0</v>
      </c>
      <c r="DM2627">
        <v>0</v>
      </c>
      <c r="DN2627">
        <v>1</v>
      </c>
      <c r="DO2627">
        <v>0</v>
      </c>
      <c r="DP2627">
        <v>0</v>
      </c>
      <c r="DQ2627">
        <v>0</v>
      </c>
      <c r="DR2627">
        <v>0</v>
      </c>
      <c r="DS2627">
        <v>0</v>
      </c>
    </row>
    <row r="2628" spans="1:123" x14ac:dyDescent="0.3">
      <c r="A2628" t="str">
        <f t="shared" si="950"/>
        <v>10/04/2022 19:32:35.715</v>
      </c>
      <c r="C2628" t="str">
        <f t="shared" si="942"/>
        <v>FFDDD3C0</v>
      </c>
      <c r="D2628" t="s">
        <v>147</v>
      </c>
      <c r="E2628">
        <v>3</v>
      </c>
      <c r="H2628">
        <v>166</v>
      </c>
      <c r="I2628" t="s">
        <v>144</v>
      </c>
      <c r="J2628" t="s">
        <v>148</v>
      </c>
      <c r="K2628">
        <v>0</v>
      </c>
      <c r="L2628">
        <v>3</v>
      </c>
      <c r="M2628">
        <v>0</v>
      </c>
      <c r="N2628">
        <v>2</v>
      </c>
      <c r="O2628">
        <v>0</v>
      </c>
      <c r="P2628">
        <v>1</v>
      </c>
      <c r="Q2628">
        <v>0</v>
      </c>
      <c r="S2628" t="str">
        <f t="shared" si="951"/>
        <v>19:32:35.000</v>
      </c>
      <c r="T2628" t="str">
        <f t="shared" si="951"/>
        <v>19:32:35.000</v>
      </c>
      <c r="U2628" t="str">
        <f t="shared" si="952"/>
        <v>AC3944</v>
      </c>
      <c r="V2628">
        <v>0</v>
      </c>
      <c r="W2628">
        <v>0</v>
      </c>
      <c r="X2628">
        <v>2</v>
      </c>
      <c r="Y2628">
        <v>0</v>
      </c>
      <c r="AA2628">
        <v>1</v>
      </c>
      <c r="AB2628">
        <v>8</v>
      </c>
      <c r="AC2628">
        <v>3</v>
      </c>
      <c r="AD2628">
        <v>0</v>
      </c>
      <c r="AE2628">
        <v>9</v>
      </c>
      <c r="AF2628" t="s">
        <v>138</v>
      </c>
      <c r="AG2628">
        <v>0</v>
      </c>
      <c r="AH2628">
        <v>3</v>
      </c>
      <c r="AI2628">
        <v>1</v>
      </c>
      <c r="AJ2628">
        <v>0</v>
      </c>
      <c r="AK2628" t="s">
        <v>896</v>
      </c>
      <c r="AL2628">
        <v>32.747047000000002</v>
      </c>
      <c r="AM2628" t="s">
        <v>897</v>
      </c>
      <c r="AN2628">
        <v>-116.771214</v>
      </c>
      <c r="AO2628">
        <v>25</v>
      </c>
      <c r="AP2628">
        <v>3400</v>
      </c>
      <c r="AQ2628" t="s">
        <v>129</v>
      </c>
      <c r="AR2628">
        <v>94</v>
      </c>
      <c r="AS2628">
        <v>-90</v>
      </c>
      <c r="AT2628">
        <v>960</v>
      </c>
      <c r="BB2628">
        <v>1200</v>
      </c>
      <c r="BC2628">
        <v>1</v>
      </c>
      <c r="BD2628" t="str">
        <f t="shared" si="953"/>
        <v xml:space="preserve">N887QR  </v>
      </c>
      <c r="BE2628">
        <v>1</v>
      </c>
      <c r="BJ2628">
        <v>3100</v>
      </c>
      <c r="BK2628">
        <v>-300</v>
      </c>
      <c r="BL2628" t="s">
        <v>163</v>
      </c>
      <c r="BM2628">
        <v>1</v>
      </c>
      <c r="BN2628">
        <v>1</v>
      </c>
      <c r="BO2628">
        <v>1</v>
      </c>
      <c r="BP2628">
        <v>0</v>
      </c>
      <c r="BS2628">
        <v>0.08</v>
      </c>
      <c r="BT2628">
        <v>0</v>
      </c>
      <c r="BU2628">
        <v>0</v>
      </c>
      <c r="CE2628" t="str">
        <f t="shared" si="954"/>
        <v>19:32:35.499</v>
      </c>
      <c r="CF2628">
        <v>499071803</v>
      </c>
      <c r="CS2628">
        <v>0</v>
      </c>
      <c r="CT2628">
        <v>2</v>
      </c>
      <c r="CU2628">
        <v>0</v>
      </c>
      <c r="CV2628">
        <v>2</v>
      </c>
      <c r="CW2628">
        <v>3</v>
      </c>
      <c r="CX2628">
        <v>4</v>
      </c>
      <c r="CY2628">
        <v>7</v>
      </c>
      <c r="CZ2628" t="s">
        <v>131</v>
      </c>
      <c r="DA2628">
        <v>300</v>
      </c>
      <c r="DB2628">
        <v>0</v>
      </c>
      <c r="DC2628" t="s">
        <v>176</v>
      </c>
      <c r="DD2628" t="s">
        <v>177</v>
      </c>
      <c r="DG2628">
        <v>5417372</v>
      </c>
      <c r="DI2628">
        <v>1</v>
      </c>
      <c r="DJ2628">
        <v>0</v>
      </c>
      <c r="DK2628">
        <v>1</v>
      </c>
      <c r="DL2628">
        <v>0</v>
      </c>
      <c r="DM2628">
        <v>0</v>
      </c>
      <c r="DN2628">
        <v>1</v>
      </c>
      <c r="DO2628">
        <v>0</v>
      </c>
      <c r="DP2628">
        <v>0</v>
      </c>
      <c r="DQ2628">
        <v>0</v>
      </c>
      <c r="DR2628">
        <v>0</v>
      </c>
      <c r="DS2628">
        <v>0</v>
      </c>
    </row>
    <row r="2629" spans="1:123" x14ac:dyDescent="0.3">
      <c r="A2629" t="str">
        <f t="shared" si="950"/>
        <v>10/04/2022 19:32:35.715</v>
      </c>
      <c r="C2629" t="str">
        <f t="shared" si="942"/>
        <v>FFDDD3C0</v>
      </c>
      <c r="D2629" t="s">
        <v>134</v>
      </c>
      <c r="E2629">
        <v>15</v>
      </c>
      <c r="J2629" t="s">
        <v>135</v>
      </c>
      <c r="K2629">
        <v>0</v>
      </c>
      <c r="L2629">
        <v>3</v>
      </c>
      <c r="M2629">
        <v>0</v>
      </c>
      <c r="N2629">
        <v>2</v>
      </c>
      <c r="O2629">
        <v>0</v>
      </c>
      <c r="P2629">
        <v>1</v>
      </c>
      <c r="Q2629">
        <v>0</v>
      </c>
      <c r="S2629" t="str">
        <f t="shared" si="951"/>
        <v>19:32:35.000</v>
      </c>
      <c r="T2629" t="str">
        <f t="shared" si="951"/>
        <v>19:32:35.000</v>
      </c>
      <c r="U2629" t="str">
        <f t="shared" si="952"/>
        <v>AC3944</v>
      </c>
      <c r="V2629">
        <v>0</v>
      </c>
      <c r="W2629">
        <v>0</v>
      </c>
      <c r="X2629">
        <v>2</v>
      </c>
      <c r="Y2629">
        <v>0</v>
      </c>
      <c r="AA2629">
        <v>1</v>
      </c>
      <c r="AB2629">
        <v>8</v>
      </c>
      <c r="AC2629">
        <v>3</v>
      </c>
      <c r="AD2629">
        <v>0</v>
      </c>
      <c r="AE2629">
        <v>9</v>
      </c>
      <c r="AF2629" t="s">
        <v>138</v>
      </c>
      <c r="AG2629">
        <v>0</v>
      </c>
      <c r="AH2629">
        <v>3</v>
      </c>
      <c r="AI2629">
        <v>1</v>
      </c>
      <c r="AJ2629">
        <v>0</v>
      </c>
      <c r="AK2629" t="s">
        <v>896</v>
      </c>
      <c r="AL2629">
        <v>32.747047000000002</v>
      </c>
      <c r="AM2629" t="s">
        <v>897</v>
      </c>
      <c r="AN2629">
        <v>-116.771214</v>
      </c>
      <c r="AO2629">
        <v>25</v>
      </c>
      <c r="AP2629">
        <v>3400</v>
      </c>
      <c r="AQ2629" t="s">
        <v>129</v>
      </c>
      <c r="AR2629">
        <v>94</v>
      </c>
      <c r="AS2629">
        <v>-90</v>
      </c>
      <c r="AT2629">
        <v>960</v>
      </c>
      <c r="BB2629">
        <v>1200</v>
      </c>
      <c r="BC2629">
        <v>1</v>
      </c>
      <c r="BD2629" t="str">
        <f t="shared" si="953"/>
        <v xml:space="preserve">N887QR  </v>
      </c>
      <c r="BE2629">
        <v>1</v>
      </c>
      <c r="BJ2629">
        <v>3100</v>
      </c>
      <c r="BK2629">
        <v>-300</v>
      </c>
      <c r="BL2629" t="s">
        <v>163</v>
      </c>
      <c r="BM2629">
        <v>1</v>
      </c>
      <c r="BN2629">
        <v>1</v>
      </c>
      <c r="BO2629">
        <v>1</v>
      </c>
      <c r="BP2629">
        <v>0</v>
      </c>
      <c r="BS2629">
        <v>0.08</v>
      </c>
      <c r="BT2629">
        <v>0</v>
      </c>
      <c r="BU2629">
        <v>0</v>
      </c>
      <c r="CE2629" t="str">
        <f t="shared" si="954"/>
        <v>19:32:35.499</v>
      </c>
      <c r="CF2629">
        <v>499071803</v>
      </c>
      <c r="CS2629">
        <v>0</v>
      </c>
      <c r="CT2629">
        <v>2</v>
      </c>
      <c r="CU2629">
        <v>0</v>
      </c>
      <c r="CV2629">
        <v>2</v>
      </c>
      <c r="CW2629">
        <v>3</v>
      </c>
      <c r="CX2629">
        <v>4</v>
      </c>
      <c r="CY2629">
        <v>7</v>
      </c>
      <c r="CZ2629" t="s">
        <v>131</v>
      </c>
      <c r="DA2629">
        <v>300</v>
      </c>
      <c r="DB2629">
        <v>0</v>
      </c>
      <c r="DC2629" t="s">
        <v>176</v>
      </c>
      <c r="DD2629" t="s">
        <v>177</v>
      </c>
      <c r="DG2629">
        <v>5417372</v>
      </c>
      <c r="DI2629">
        <v>1</v>
      </c>
      <c r="DJ2629">
        <v>0</v>
      </c>
      <c r="DK2629">
        <v>1</v>
      </c>
      <c r="DL2629">
        <v>0</v>
      </c>
      <c r="DM2629">
        <v>0</v>
      </c>
      <c r="DN2629">
        <v>1</v>
      </c>
      <c r="DO2629">
        <v>0</v>
      </c>
      <c r="DP2629">
        <v>0</v>
      </c>
      <c r="DQ2629">
        <v>0</v>
      </c>
      <c r="DR2629">
        <v>0</v>
      </c>
      <c r="DS2629">
        <v>0</v>
      </c>
    </row>
    <row r="2630" spans="1:123" x14ac:dyDescent="0.3">
      <c r="A2630" t="str">
        <f t="shared" si="950"/>
        <v>10/04/2022 19:32:35.715</v>
      </c>
      <c r="C2630" t="str">
        <f t="shared" si="942"/>
        <v>FFDDD3C0</v>
      </c>
      <c r="D2630" t="s">
        <v>136</v>
      </c>
      <c r="E2630">
        <v>8</v>
      </c>
      <c r="H2630">
        <v>225</v>
      </c>
      <c r="I2630" t="s">
        <v>137</v>
      </c>
      <c r="J2630" t="s">
        <v>138</v>
      </c>
      <c r="K2630">
        <v>0</v>
      </c>
      <c r="L2630">
        <v>3</v>
      </c>
      <c r="M2630">
        <v>0</v>
      </c>
      <c r="N2630">
        <v>2</v>
      </c>
      <c r="O2630">
        <v>0</v>
      </c>
      <c r="P2630">
        <v>1</v>
      </c>
      <c r="Q2630">
        <v>0</v>
      </c>
      <c r="S2630" t="str">
        <f t="shared" si="951"/>
        <v>19:32:35.000</v>
      </c>
      <c r="T2630" t="str">
        <f t="shared" si="951"/>
        <v>19:32:35.000</v>
      </c>
      <c r="U2630" t="str">
        <f t="shared" si="952"/>
        <v>AC3944</v>
      </c>
      <c r="V2630">
        <v>0</v>
      </c>
      <c r="W2630">
        <v>0</v>
      </c>
      <c r="X2630">
        <v>2</v>
      </c>
      <c r="Y2630">
        <v>0</v>
      </c>
      <c r="AA2630">
        <v>1</v>
      </c>
      <c r="AB2630">
        <v>8</v>
      </c>
      <c r="AC2630">
        <v>3</v>
      </c>
      <c r="AD2630">
        <v>0</v>
      </c>
      <c r="AE2630">
        <v>9</v>
      </c>
      <c r="AF2630" t="s">
        <v>138</v>
      </c>
      <c r="AG2630">
        <v>0</v>
      </c>
      <c r="AH2630">
        <v>3</v>
      </c>
      <c r="AI2630">
        <v>1</v>
      </c>
      <c r="AJ2630">
        <v>0</v>
      </c>
      <c r="AK2630" t="s">
        <v>896</v>
      </c>
      <c r="AL2630">
        <v>32.747047000000002</v>
      </c>
      <c r="AM2630" t="s">
        <v>897</v>
      </c>
      <c r="AN2630">
        <v>-116.771214</v>
      </c>
      <c r="AO2630">
        <v>25</v>
      </c>
      <c r="AP2630">
        <v>3400</v>
      </c>
      <c r="AQ2630" t="s">
        <v>129</v>
      </c>
      <c r="AR2630">
        <v>94</v>
      </c>
      <c r="AS2630">
        <v>-90</v>
      </c>
      <c r="AT2630">
        <v>960</v>
      </c>
      <c r="BB2630">
        <v>1200</v>
      </c>
      <c r="BC2630">
        <v>1</v>
      </c>
      <c r="BD2630" t="str">
        <f t="shared" si="953"/>
        <v xml:space="preserve">N887QR  </v>
      </c>
      <c r="BE2630">
        <v>1</v>
      </c>
      <c r="BJ2630">
        <v>3100</v>
      </c>
      <c r="BK2630">
        <v>-300</v>
      </c>
      <c r="BL2630" t="s">
        <v>163</v>
      </c>
      <c r="BM2630">
        <v>1</v>
      </c>
      <c r="BN2630">
        <v>1</v>
      </c>
      <c r="BO2630">
        <v>1</v>
      </c>
      <c r="BP2630">
        <v>0</v>
      </c>
      <c r="BS2630">
        <v>0.08</v>
      </c>
      <c r="BT2630">
        <v>0</v>
      </c>
      <c r="BU2630">
        <v>0</v>
      </c>
      <c r="CE2630" t="str">
        <f t="shared" si="954"/>
        <v>19:32:35.499</v>
      </c>
      <c r="CF2630">
        <v>499071803</v>
      </c>
      <c r="CS2630">
        <v>0</v>
      </c>
      <c r="CT2630">
        <v>2</v>
      </c>
      <c r="CU2630">
        <v>0</v>
      </c>
      <c r="CV2630">
        <v>2</v>
      </c>
      <c r="CW2630">
        <v>3</v>
      </c>
      <c r="CX2630">
        <v>4</v>
      </c>
      <c r="CY2630">
        <v>7</v>
      </c>
      <c r="CZ2630" t="s">
        <v>131</v>
      </c>
      <c r="DA2630">
        <v>300</v>
      </c>
      <c r="DB2630">
        <v>0</v>
      </c>
      <c r="DC2630" t="s">
        <v>176</v>
      </c>
      <c r="DD2630" t="s">
        <v>177</v>
      </c>
      <c r="DG2630">
        <v>5417372</v>
      </c>
      <c r="DI2630">
        <v>1</v>
      </c>
      <c r="DJ2630">
        <v>0</v>
      </c>
      <c r="DK2630">
        <v>1</v>
      </c>
      <c r="DL2630">
        <v>0</v>
      </c>
      <c r="DM2630">
        <v>0</v>
      </c>
      <c r="DN2630">
        <v>1</v>
      </c>
      <c r="DO2630">
        <v>0</v>
      </c>
      <c r="DP2630">
        <v>0</v>
      </c>
      <c r="DQ2630">
        <v>0</v>
      </c>
      <c r="DR2630">
        <v>0</v>
      </c>
      <c r="DS2630">
        <v>0</v>
      </c>
    </row>
    <row r="2631" spans="1:123" x14ac:dyDescent="0.3">
      <c r="A2631" t="str">
        <f t="shared" si="950"/>
        <v>10/04/2022 19:32:35.715</v>
      </c>
      <c r="C2631" t="str">
        <f t="shared" si="942"/>
        <v>FFDDD3C0</v>
      </c>
      <c r="D2631" t="s">
        <v>141</v>
      </c>
      <c r="E2631">
        <v>3</v>
      </c>
      <c r="H2631">
        <v>3</v>
      </c>
      <c r="I2631" t="s">
        <v>146</v>
      </c>
      <c r="J2631" t="s">
        <v>138</v>
      </c>
      <c r="K2631">
        <v>0</v>
      </c>
      <c r="L2631">
        <v>3</v>
      </c>
      <c r="M2631">
        <v>0</v>
      </c>
      <c r="N2631">
        <v>2</v>
      </c>
      <c r="O2631">
        <v>0</v>
      </c>
      <c r="P2631">
        <v>1</v>
      </c>
      <c r="Q2631">
        <v>0</v>
      </c>
      <c r="S2631" t="str">
        <f t="shared" si="951"/>
        <v>19:32:35.000</v>
      </c>
      <c r="T2631" t="str">
        <f t="shared" si="951"/>
        <v>19:32:35.000</v>
      </c>
      <c r="U2631" t="str">
        <f t="shared" si="952"/>
        <v>AC3944</v>
      </c>
      <c r="V2631">
        <v>0</v>
      </c>
      <c r="W2631">
        <v>0</v>
      </c>
      <c r="X2631">
        <v>2</v>
      </c>
      <c r="Y2631">
        <v>0</v>
      </c>
      <c r="AA2631">
        <v>1</v>
      </c>
      <c r="AB2631">
        <v>8</v>
      </c>
      <c r="AC2631">
        <v>3</v>
      </c>
      <c r="AD2631">
        <v>0</v>
      </c>
      <c r="AE2631">
        <v>9</v>
      </c>
      <c r="AF2631" t="s">
        <v>138</v>
      </c>
      <c r="AG2631">
        <v>0</v>
      </c>
      <c r="AH2631">
        <v>3</v>
      </c>
      <c r="AI2631">
        <v>1</v>
      </c>
      <c r="AJ2631">
        <v>0</v>
      </c>
      <c r="AK2631" t="s">
        <v>896</v>
      </c>
      <c r="AL2631">
        <v>32.747047000000002</v>
      </c>
      <c r="AM2631" t="s">
        <v>897</v>
      </c>
      <c r="AN2631">
        <v>-116.771214</v>
      </c>
      <c r="AO2631">
        <v>25</v>
      </c>
      <c r="AP2631">
        <v>3400</v>
      </c>
      <c r="AQ2631" t="s">
        <v>129</v>
      </c>
      <c r="AR2631">
        <v>94</v>
      </c>
      <c r="AS2631">
        <v>-90</v>
      </c>
      <c r="AT2631">
        <v>960</v>
      </c>
      <c r="BB2631">
        <v>1200</v>
      </c>
      <c r="BC2631">
        <v>1</v>
      </c>
      <c r="BD2631" t="str">
        <f t="shared" si="953"/>
        <v xml:space="preserve">N887QR  </v>
      </c>
      <c r="BE2631">
        <v>1</v>
      </c>
      <c r="BJ2631">
        <v>3100</v>
      </c>
      <c r="BK2631">
        <v>-300</v>
      </c>
      <c r="BL2631" t="s">
        <v>163</v>
      </c>
      <c r="BM2631">
        <v>1</v>
      </c>
      <c r="BN2631">
        <v>1</v>
      </c>
      <c r="BO2631">
        <v>1</v>
      </c>
      <c r="BP2631">
        <v>0</v>
      </c>
      <c r="BS2631">
        <v>0.08</v>
      </c>
      <c r="BT2631">
        <v>0</v>
      </c>
      <c r="BU2631">
        <v>0</v>
      </c>
      <c r="CE2631" t="str">
        <f t="shared" si="954"/>
        <v>19:32:35.499</v>
      </c>
      <c r="CF2631">
        <v>499071803</v>
      </c>
      <c r="CS2631">
        <v>0</v>
      </c>
      <c r="CT2631">
        <v>2</v>
      </c>
      <c r="CU2631">
        <v>0</v>
      </c>
      <c r="CV2631">
        <v>2</v>
      </c>
      <c r="CW2631">
        <v>3</v>
      </c>
      <c r="CX2631">
        <v>4</v>
      </c>
      <c r="CY2631">
        <v>7</v>
      </c>
      <c r="CZ2631" t="s">
        <v>131</v>
      </c>
      <c r="DA2631">
        <v>300</v>
      </c>
      <c r="DB2631">
        <v>0</v>
      </c>
      <c r="DC2631" t="s">
        <v>176</v>
      </c>
      <c r="DD2631" t="s">
        <v>177</v>
      </c>
      <c r="DG2631">
        <v>5417372</v>
      </c>
      <c r="DI2631">
        <v>1</v>
      </c>
      <c r="DJ2631">
        <v>0</v>
      </c>
      <c r="DK2631">
        <v>1</v>
      </c>
      <c r="DL2631">
        <v>0</v>
      </c>
      <c r="DM2631">
        <v>0</v>
      </c>
      <c r="DN2631">
        <v>1</v>
      </c>
      <c r="DO2631">
        <v>0</v>
      </c>
      <c r="DP2631">
        <v>0</v>
      </c>
      <c r="DQ2631">
        <v>0</v>
      </c>
      <c r="DR2631">
        <v>0</v>
      </c>
      <c r="DS2631">
        <v>0</v>
      </c>
    </row>
    <row r="2632" spans="1:123" x14ac:dyDescent="0.3">
      <c r="A2632" t="str">
        <f>"10/04/2022 19:32:35.777"</f>
        <v>10/04/2022 19:32:35.777</v>
      </c>
      <c r="C2632" t="str">
        <f t="shared" si="942"/>
        <v>FFDDD3C0</v>
      </c>
      <c r="D2632" t="s">
        <v>143</v>
      </c>
      <c r="E2632">
        <v>20</v>
      </c>
      <c r="F2632">
        <v>1020</v>
      </c>
      <c r="G2632" t="s">
        <v>144</v>
      </c>
      <c r="J2632" t="s">
        <v>145</v>
      </c>
      <c r="K2632">
        <v>0</v>
      </c>
      <c r="L2632">
        <v>3</v>
      </c>
      <c r="M2632">
        <v>0</v>
      </c>
      <c r="N2632">
        <v>2</v>
      </c>
      <c r="O2632">
        <v>0</v>
      </c>
      <c r="P2632">
        <v>1</v>
      </c>
      <c r="Q2632">
        <v>0</v>
      </c>
      <c r="S2632" t="str">
        <f t="shared" si="951"/>
        <v>19:32:35.000</v>
      </c>
      <c r="T2632" t="str">
        <f t="shared" si="951"/>
        <v>19:32:35.000</v>
      </c>
      <c r="U2632" t="str">
        <f t="shared" si="952"/>
        <v>AC3944</v>
      </c>
      <c r="V2632">
        <v>0</v>
      </c>
      <c r="W2632">
        <v>0</v>
      </c>
      <c r="X2632">
        <v>2</v>
      </c>
      <c r="Y2632">
        <v>0</v>
      </c>
      <c r="AA2632">
        <v>1</v>
      </c>
      <c r="AB2632">
        <v>8</v>
      </c>
      <c r="AC2632">
        <v>3</v>
      </c>
      <c r="AD2632">
        <v>0</v>
      </c>
      <c r="AE2632">
        <v>9</v>
      </c>
      <c r="AF2632" t="s">
        <v>138</v>
      </c>
      <c r="AG2632">
        <v>0</v>
      </c>
      <c r="AH2632">
        <v>3</v>
      </c>
      <c r="AI2632">
        <v>1</v>
      </c>
      <c r="AJ2632">
        <v>0</v>
      </c>
      <c r="AK2632" t="s">
        <v>896</v>
      </c>
      <c r="AL2632">
        <v>32.747047000000002</v>
      </c>
      <c r="AM2632" t="s">
        <v>897</v>
      </c>
      <c r="AN2632">
        <v>-116.771214</v>
      </c>
      <c r="AO2632">
        <v>25</v>
      </c>
      <c r="AP2632">
        <v>3400</v>
      </c>
      <c r="AQ2632" t="s">
        <v>129</v>
      </c>
      <c r="AR2632">
        <v>94</v>
      </c>
      <c r="AS2632">
        <v>-90</v>
      </c>
      <c r="AT2632">
        <v>960</v>
      </c>
      <c r="BB2632">
        <v>1200</v>
      </c>
      <c r="BC2632">
        <v>1</v>
      </c>
      <c r="BD2632" t="str">
        <f t="shared" si="953"/>
        <v xml:space="preserve">N887QR  </v>
      </c>
      <c r="BE2632">
        <v>1</v>
      </c>
      <c r="BJ2632">
        <v>3100</v>
      </c>
      <c r="BK2632">
        <v>-300</v>
      </c>
      <c r="BL2632" t="s">
        <v>163</v>
      </c>
      <c r="BM2632">
        <v>1</v>
      </c>
      <c r="BN2632">
        <v>1</v>
      </c>
      <c r="BO2632">
        <v>1</v>
      </c>
      <c r="BP2632">
        <v>0</v>
      </c>
      <c r="BS2632">
        <v>0.08</v>
      </c>
      <c r="BT2632">
        <v>0</v>
      </c>
      <c r="BU2632">
        <v>0</v>
      </c>
      <c r="CE2632" t="str">
        <f t="shared" si="954"/>
        <v>19:32:35.499</v>
      </c>
      <c r="CF2632">
        <v>499071803</v>
      </c>
      <c r="CS2632">
        <v>0</v>
      </c>
      <c r="CT2632">
        <v>2</v>
      </c>
      <c r="CU2632">
        <v>0</v>
      </c>
      <c r="CV2632">
        <v>2</v>
      </c>
      <c r="CW2632">
        <v>3</v>
      </c>
      <c r="CX2632">
        <v>4</v>
      </c>
      <c r="CY2632">
        <v>7</v>
      </c>
      <c r="CZ2632" t="s">
        <v>131</v>
      </c>
      <c r="DA2632">
        <v>300</v>
      </c>
      <c r="DB2632">
        <v>0</v>
      </c>
      <c r="DC2632" t="s">
        <v>176</v>
      </c>
      <c r="DD2632" t="s">
        <v>177</v>
      </c>
      <c r="DG2632">
        <v>5417372</v>
      </c>
      <c r="DI2632">
        <v>1</v>
      </c>
      <c r="DJ2632">
        <v>0</v>
      </c>
      <c r="DK2632">
        <v>1</v>
      </c>
      <c r="DL2632">
        <v>0</v>
      </c>
      <c r="DM2632">
        <v>0</v>
      </c>
      <c r="DN2632">
        <v>1</v>
      </c>
      <c r="DO2632">
        <v>0</v>
      </c>
      <c r="DP2632">
        <v>0</v>
      </c>
      <c r="DQ2632">
        <v>0</v>
      </c>
      <c r="DR2632">
        <v>0</v>
      </c>
      <c r="DS2632">
        <v>0</v>
      </c>
    </row>
    <row r="2633" spans="1:123" x14ac:dyDescent="0.3">
      <c r="A2633" t="str">
        <f>"10/04/2022 19:32:36.306"</f>
        <v>10/04/2022 19:32:36.306</v>
      </c>
      <c r="C2633" t="str">
        <f t="shared" si="942"/>
        <v>FFDDD3C0</v>
      </c>
      <c r="D2633" t="s">
        <v>147</v>
      </c>
      <c r="E2633">
        <v>3</v>
      </c>
      <c r="H2633">
        <v>166</v>
      </c>
      <c r="I2633" t="s">
        <v>144</v>
      </c>
      <c r="J2633" t="s">
        <v>148</v>
      </c>
      <c r="K2633">
        <v>0</v>
      </c>
      <c r="L2633">
        <v>3</v>
      </c>
      <c r="M2633">
        <v>0</v>
      </c>
      <c r="N2633">
        <v>2</v>
      </c>
      <c r="O2633">
        <v>0</v>
      </c>
      <c r="P2633">
        <v>1</v>
      </c>
      <c r="Q2633">
        <v>0</v>
      </c>
      <c r="S2633" t="str">
        <f t="shared" ref="S2633:T2639" si="955">"19:32:36.000"</f>
        <v>19:32:36.000</v>
      </c>
      <c r="T2633" t="str">
        <f t="shared" si="955"/>
        <v>19:32:36.000</v>
      </c>
      <c r="U2633" t="str">
        <f t="shared" si="952"/>
        <v>AC3944</v>
      </c>
      <c r="V2633">
        <v>0</v>
      </c>
      <c r="W2633">
        <v>0</v>
      </c>
      <c r="X2633">
        <v>2</v>
      </c>
      <c r="Y2633">
        <v>0</v>
      </c>
      <c r="AA2633">
        <v>1</v>
      </c>
      <c r="AB2633">
        <v>8</v>
      </c>
      <c r="AC2633">
        <v>3</v>
      </c>
      <c r="AD2633">
        <v>0</v>
      </c>
      <c r="AE2633">
        <v>9</v>
      </c>
      <c r="AF2633" t="s">
        <v>138</v>
      </c>
      <c r="AG2633">
        <v>0</v>
      </c>
      <c r="AH2633">
        <v>3</v>
      </c>
      <c r="AI2633">
        <v>1</v>
      </c>
      <c r="AJ2633">
        <v>0</v>
      </c>
      <c r="AK2633" t="s">
        <v>898</v>
      </c>
      <c r="AL2633">
        <v>32.746639000000002</v>
      </c>
      <c r="AM2633" t="s">
        <v>899</v>
      </c>
      <c r="AN2633">
        <v>-116.77069899999999</v>
      </c>
      <c r="AO2633">
        <v>25</v>
      </c>
      <c r="AP2633">
        <v>3400</v>
      </c>
      <c r="AQ2633" t="s">
        <v>129</v>
      </c>
      <c r="AR2633">
        <v>93</v>
      </c>
      <c r="AS2633">
        <v>-90</v>
      </c>
      <c r="AT2633">
        <v>960</v>
      </c>
      <c r="BB2633">
        <v>1200</v>
      </c>
      <c r="BC2633">
        <v>1</v>
      </c>
      <c r="BD2633" t="str">
        <f t="shared" si="953"/>
        <v xml:space="preserve">N887QR  </v>
      </c>
      <c r="BE2633">
        <v>1</v>
      </c>
      <c r="BJ2633">
        <v>3100</v>
      </c>
      <c r="BK2633">
        <v>-300</v>
      </c>
      <c r="BL2633" t="s">
        <v>163</v>
      </c>
      <c r="BM2633">
        <v>1</v>
      </c>
      <c r="BN2633">
        <v>1</v>
      </c>
      <c r="BO2633">
        <v>1</v>
      </c>
      <c r="BP2633">
        <v>0</v>
      </c>
      <c r="BS2633">
        <v>0.08</v>
      </c>
      <c r="BT2633">
        <v>0</v>
      </c>
      <c r="BU2633">
        <v>0</v>
      </c>
      <c r="CE2633" t="str">
        <f t="shared" ref="CE2633:CE2639" si="956">"19:32:36.118"</f>
        <v>19:32:36.118</v>
      </c>
      <c r="CF2633">
        <v>117823896</v>
      </c>
      <c r="CS2633">
        <v>0</v>
      </c>
      <c r="CT2633">
        <v>2</v>
      </c>
      <c r="CU2633">
        <v>0</v>
      </c>
      <c r="CV2633">
        <v>2</v>
      </c>
      <c r="CW2633">
        <v>1</v>
      </c>
      <c r="CX2633">
        <v>5</v>
      </c>
      <c r="CY2633">
        <v>7</v>
      </c>
      <c r="CZ2633" t="s">
        <v>131</v>
      </c>
      <c r="DA2633">
        <v>300</v>
      </c>
      <c r="DB2633">
        <v>0</v>
      </c>
      <c r="DC2633" t="s">
        <v>176</v>
      </c>
      <c r="DD2633" t="s">
        <v>177</v>
      </c>
      <c r="DG2633">
        <v>5417478</v>
      </c>
      <c r="DI2633">
        <v>1</v>
      </c>
      <c r="DJ2633">
        <v>0</v>
      </c>
      <c r="DK2633">
        <v>0</v>
      </c>
      <c r="DL2633">
        <v>0</v>
      </c>
      <c r="DM2633">
        <v>0</v>
      </c>
      <c r="DN2633">
        <v>1</v>
      </c>
      <c r="DO2633">
        <v>0</v>
      </c>
      <c r="DP2633">
        <v>0</v>
      </c>
      <c r="DQ2633">
        <v>0</v>
      </c>
      <c r="DR2633">
        <v>0</v>
      </c>
      <c r="DS2633">
        <v>0</v>
      </c>
    </row>
    <row r="2634" spans="1:123" x14ac:dyDescent="0.3">
      <c r="A2634" t="str">
        <f t="shared" ref="A2634:A2639" si="957">"10/04/2022 19:32:36.338"</f>
        <v>10/04/2022 19:32:36.338</v>
      </c>
      <c r="C2634" t="str">
        <f t="shared" si="942"/>
        <v>FFDDD3C0</v>
      </c>
      <c r="D2634" t="s">
        <v>134</v>
      </c>
      <c r="E2634">
        <v>15</v>
      </c>
      <c r="J2634" t="s">
        <v>135</v>
      </c>
      <c r="K2634">
        <v>0</v>
      </c>
      <c r="L2634">
        <v>3</v>
      </c>
      <c r="M2634">
        <v>0</v>
      </c>
      <c r="N2634">
        <v>2</v>
      </c>
      <c r="O2634">
        <v>0</v>
      </c>
      <c r="P2634">
        <v>1</v>
      </c>
      <c r="Q2634">
        <v>0</v>
      </c>
      <c r="S2634" t="str">
        <f t="shared" si="955"/>
        <v>19:32:36.000</v>
      </c>
      <c r="T2634" t="str">
        <f t="shared" si="955"/>
        <v>19:32:36.000</v>
      </c>
      <c r="U2634" t="str">
        <f t="shared" si="952"/>
        <v>AC3944</v>
      </c>
      <c r="V2634">
        <v>0</v>
      </c>
      <c r="W2634">
        <v>0</v>
      </c>
      <c r="X2634">
        <v>2</v>
      </c>
      <c r="Y2634">
        <v>0</v>
      </c>
      <c r="AA2634">
        <v>1</v>
      </c>
      <c r="AB2634">
        <v>8</v>
      </c>
      <c r="AC2634">
        <v>3</v>
      </c>
      <c r="AD2634">
        <v>0</v>
      </c>
      <c r="AE2634">
        <v>9</v>
      </c>
      <c r="AF2634" t="s">
        <v>138</v>
      </c>
      <c r="AG2634">
        <v>0</v>
      </c>
      <c r="AH2634">
        <v>3</v>
      </c>
      <c r="AI2634">
        <v>1</v>
      </c>
      <c r="AJ2634">
        <v>0</v>
      </c>
      <c r="AK2634" t="s">
        <v>898</v>
      </c>
      <c r="AL2634">
        <v>32.746639000000002</v>
      </c>
      <c r="AM2634" t="s">
        <v>899</v>
      </c>
      <c r="AN2634">
        <v>-116.77069899999999</v>
      </c>
      <c r="AO2634">
        <v>25</v>
      </c>
      <c r="AP2634">
        <v>3400</v>
      </c>
      <c r="AQ2634" t="s">
        <v>129</v>
      </c>
      <c r="AR2634">
        <v>93</v>
      </c>
      <c r="AS2634">
        <v>-90</v>
      </c>
      <c r="AT2634">
        <v>960</v>
      </c>
      <c r="BB2634">
        <v>1200</v>
      </c>
      <c r="BC2634">
        <v>1</v>
      </c>
      <c r="BD2634" t="str">
        <f t="shared" si="953"/>
        <v xml:space="preserve">N887QR  </v>
      </c>
      <c r="BE2634">
        <v>1</v>
      </c>
      <c r="BJ2634">
        <v>3100</v>
      </c>
      <c r="BK2634">
        <v>-300</v>
      </c>
      <c r="BL2634" t="s">
        <v>163</v>
      </c>
      <c r="BM2634">
        <v>1</v>
      </c>
      <c r="BN2634">
        <v>1</v>
      </c>
      <c r="BO2634">
        <v>1</v>
      </c>
      <c r="BP2634">
        <v>0</v>
      </c>
      <c r="BS2634">
        <v>0.08</v>
      </c>
      <c r="BT2634">
        <v>0</v>
      </c>
      <c r="BU2634">
        <v>0</v>
      </c>
      <c r="CE2634" t="str">
        <f t="shared" si="956"/>
        <v>19:32:36.118</v>
      </c>
      <c r="CF2634">
        <v>117823896</v>
      </c>
      <c r="CS2634">
        <v>0</v>
      </c>
      <c r="CT2634">
        <v>2</v>
      </c>
      <c r="CU2634">
        <v>0</v>
      </c>
      <c r="CV2634">
        <v>2</v>
      </c>
      <c r="CW2634">
        <v>1</v>
      </c>
      <c r="CX2634">
        <v>5</v>
      </c>
      <c r="CY2634">
        <v>7</v>
      </c>
      <c r="CZ2634" t="s">
        <v>131</v>
      </c>
      <c r="DA2634">
        <v>300</v>
      </c>
      <c r="DB2634">
        <v>0</v>
      </c>
      <c r="DC2634" t="s">
        <v>176</v>
      </c>
      <c r="DD2634" t="s">
        <v>177</v>
      </c>
      <c r="DG2634">
        <v>5417478</v>
      </c>
      <c r="DI2634">
        <v>1</v>
      </c>
      <c r="DJ2634">
        <v>0</v>
      </c>
      <c r="DK2634">
        <v>1</v>
      </c>
      <c r="DL2634">
        <v>0</v>
      </c>
      <c r="DM2634">
        <v>0</v>
      </c>
      <c r="DN2634">
        <v>1</v>
      </c>
      <c r="DO2634">
        <v>0</v>
      </c>
      <c r="DP2634">
        <v>0</v>
      </c>
      <c r="DQ2634">
        <v>0</v>
      </c>
      <c r="DR2634">
        <v>0</v>
      </c>
      <c r="DS2634">
        <v>0</v>
      </c>
    </row>
    <row r="2635" spans="1:123" x14ac:dyDescent="0.3">
      <c r="A2635" t="str">
        <f t="shared" si="957"/>
        <v>10/04/2022 19:32:36.338</v>
      </c>
      <c r="C2635" t="str">
        <f t="shared" si="942"/>
        <v>FFDDD3C0</v>
      </c>
      <c r="D2635" t="s">
        <v>136</v>
      </c>
      <c r="E2635">
        <v>8</v>
      </c>
      <c r="H2635">
        <v>225</v>
      </c>
      <c r="I2635" t="s">
        <v>137</v>
      </c>
      <c r="J2635" t="s">
        <v>138</v>
      </c>
      <c r="K2635">
        <v>0</v>
      </c>
      <c r="L2635">
        <v>3</v>
      </c>
      <c r="M2635">
        <v>0</v>
      </c>
      <c r="N2635">
        <v>2</v>
      </c>
      <c r="O2635">
        <v>0</v>
      </c>
      <c r="P2635">
        <v>1</v>
      </c>
      <c r="Q2635">
        <v>0</v>
      </c>
      <c r="S2635" t="str">
        <f t="shared" si="955"/>
        <v>19:32:36.000</v>
      </c>
      <c r="T2635" t="str">
        <f t="shared" si="955"/>
        <v>19:32:36.000</v>
      </c>
      <c r="U2635" t="str">
        <f t="shared" si="952"/>
        <v>AC3944</v>
      </c>
      <c r="V2635">
        <v>0</v>
      </c>
      <c r="W2635">
        <v>0</v>
      </c>
      <c r="X2635">
        <v>2</v>
      </c>
      <c r="Y2635">
        <v>0</v>
      </c>
      <c r="AA2635">
        <v>1</v>
      </c>
      <c r="AB2635">
        <v>8</v>
      </c>
      <c r="AC2635">
        <v>3</v>
      </c>
      <c r="AD2635">
        <v>0</v>
      </c>
      <c r="AE2635">
        <v>9</v>
      </c>
      <c r="AF2635" t="s">
        <v>138</v>
      </c>
      <c r="AG2635">
        <v>0</v>
      </c>
      <c r="AH2635">
        <v>3</v>
      </c>
      <c r="AI2635">
        <v>1</v>
      </c>
      <c r="AJ2635">
        <v>0</v>
      </c>
      <c r="AK2635" t="s">
        <v>898</v>
      </c>
      <c r="AL2635">
        <v>32.746639000000002</v>
      </c>
      <c r="AM2635" t="s">
        <v>899</v>
      </c>
      <c r="AN2635">
        <v>-116.77069899999999</v>
      </c>
      <c r="AO2635">
        <v>25</v>
      </c>
      <c r="AP2635">
        <v>3400</v>
      </c>
      <c r="AQ2635" t="s">
        <v>129</v>
      </c>
      <c r="AR2635">
        <v>93</v>
      </c>
      <c r="AS2635">
        <v>-90</v>
      </c>
      <c r="AT2635">
        <v>960</v>
      </c>
      <c r="BB2635">
        <v>1200</v>
      </c>
      <c r="BC2635">
        <v>1</v>
      </c>
      <c r="BD2635" t="str">
        <f t="shared" si="953"/>
        <v xml:space="preserve">N887QR  </v>
      </c>
      <c r="BE2635">
        <v>1</v>
      </c>
      <c r="BJ2635">
        <v>3100</v>
      </c>
      <c r="BK2635">
        <v>-300</v>
      </c>
      <c r="BL2635" t="s">
        <v>163</v>
      </c>
      <c r="BM2635">
        <v>1</v>
      </c>
      <c r="BN2635">
        <v>1</v>
      </c>
      <c r="BO2635">
        <v>1</v>
      </c>
      <c r="BP2635">
        <v>0</v>
      </c>
      <c r="BS2635">
        <v>0.08</v>
      </c>
      <c r="BT2635">
        <v>0</v>
      </c>
      <c r="BU2635">
        <v>0</v>
      </c>
      <c r="CE2635" t="str">
        <f t="shared" si="956"/>
        <v>19:32:36.118</v>
      </c>
      <c r="CF2635">
        <v>117823896</v>
      </c>
      <c r="CS2635">
        <v>0</v>
      </c>
      <c r="CT2635">
        <v>2</v>
      </c>
      <c r="CU2635">
        <v>0</v>
      </c>
      <c r="CV2635">
        <v>2</v>
      </c>
      <c r="CW2635">
        <v>1</v>
      </c>
      <c r="CX2635">
        <v>5</v>
      </c>
      <c r="CY2635">
        <v>7</v>
      </c>
      <c r="CZ2635" t="s">
        <v>131</v>
      </c>
      <c r="DA2635">
        <v>300</v>
      </c>
      <c r="DB2635">
        <v>0</v>
      </c>
      <c r="DC2635" t="s">
        <v>176</v>
      </c>
      <c r="DD2635" t="s">
        <v>177</v>
      </c>
      <c r="DG2635">
        <v>5417478</v>
      </c>
      <c r="DI2635">
        <v>1</v>
      </c>
      <c r="DJ2635">
        <v>0</v>
      </c>
      <c r="DK2635">
        <v>0</v>
      </c>
      <c r="DL2635">
        <v>0</v>
      </c>
      <c r="DM2635">
        <v>0</v>
      </c>
      <c r="DN2635">
        <v>1</v>
      </c>
      <c r="DO2635">
        <v>0</v>
      </c>
      <c r="DP2635">
        <v>0</v>
      </c>
      <c r="DQ2635">
        <v>0</v>
      </c>
      <c r="DR2635">
        <v>0</v>
      </c>
      <c r="DS2635">
        <v>0</v>
      </c>
    </row>
    <row r="2636" spans="1:123" x14ac:dyDescent="0.3">
      <c r="A2636" t="str">
        <f t="shared" si="957"/>
        <v>10/04/2022 19:32:36.338</v>
      </c>
      <c r="C2636" t="str">
        <f t="shared" si="942"/>
        <v>FFDDD3C0</v>
      </c>
      <c r="D2636" t="s">
        <v>141</v>
      </c>
      <c r="E2636">
        <v>3</v>
      </c>
      <c r="H2636">
        <v>3</v>
      </c>
      <c r="I2636" t="s">
        <v>146</v>
      </c>
      <c r="J2636" t="s">
        <v>138</v>
      </c>
      <c r="K2636">
        <v>0</v>
      </c>
      <c r="L2636">
        <v>3</v>
      </c>
      <c r="M2636">
        <v>0</v>
      </c>
      <c r="N2636">
        <v>2</v>
      </c>
      <c r="O2636">
        <v>0</v>
      </c>
      <c r="P2636">
        <v>1</v>
      </c>
      <c r="Q2636">
        <v>0</v>
      </c>
      <c r="S2636" t="str">
        <f t="shared" si="955"/>
        <v>19:32:36.000</v>
      </c>
      <c r="T2636" t="str">
        <f t="shared" si="955"/>
        <v>19:32:36.000</v>
      </c>
      <c r="U2636" t="str">
        <f t="shared" si="952"/>
        <v>AC3944</v>
      </c>
      <c r="V2636">
        <v>0</v>
      </c>
      <c r="W2636">
        <v>0</v>
      </c>
      <c r="X2636">
        <v>2</v>
      </c>
      <c r="Y2636">
        <v>0</v>
      </c>
      <c r="AA2636">
        <v>1</v>
      </c>
      <c r="AB2636">
        <v>8</v>
      </c>
      <c r="AC2636">
        <v>3</v>
      </c>
      <c r="AD2636">
        <v>0</v>
      </c>
      <c r="AE2636">
        <v>9</v>
      </c>
      <c r="AF2636" t="s">
        <v>138</v>
      </c>
      <c r="AG2636">
        <v>0</v>
      </c>
      <c r="AH2636">
        <v>3</v>
      </c>
      <c r="AI2636">
        <v>1</v>
      </c>
      <c r="AJ2636">
        <v>0</v>
      </c>
      <c r="AK2636" t="s">
        <v>898</v>
      </c>
      <c r="AL2636">
        <v>32.746639000000002</v>
      </c>
      <c r="AM2636" t="s">
        <v>899</v>
      </c>
      <c r="AN2636">
        <v>-116.77069899999999</v>
      </c>
      <c r="AO2636">
        <v>25</v>
      </c>
      <c r="AP2636">
        <v>3400</v>
      </c>
      <c r="AQ2636" t="s">
        <v>129</v>
      </c>
      <c r="AR2636">
        <v>93</v>
      </c>
      <c r="AS2636">
        <v>-90</v>
      </c>
      <c r="AT2636">
        <v>960</v>
      </c>
      <c r="BB2636">
        <v>1200</v>
      </c>
      <c r="BC2636">
        <v>1</v>
      </c>
      <c r="BD2636" t="str">
        <f t="shared" si="953"/>
        <v xml:space="preserve">N887QR  </v>
      </c>
      <c r="BE2636">
        <v>1</v>
      </c>
      <c r="BJ2636">
        <v>3100</v>
      </c>
      <c r="BK2636">
        <v>-300</v>
      </c>
      <c r="BL2636" t="s">
        <v>163</v>
      </c>
      <c r="BM2636">
        <v>1</v>
      </c>
      <c r="BN2636">
        <v>1</v>
      </c>
      <c r="BO2636">
        <v>1</v>
      </c>
      <c r="BP2636">
        <v>0</v>
      </c>
      <c r="BS2636">
        <v>0.08</v>
      </c>
      <c r="BT2636">
        <v>0</v>
      </c>
      <c r="BU2636">
        <v>0</v>
      </c>
      <c r="CE2636" t="str">
        <f t="shared" si="956"/>
        <v>19:32:36.118</v>
      </c>
      <c r="CF2636">
        <v>117823896</v>
      </c>
      <c r="CS2636">
        <v>0</v>
      </c>
      <c r="CT2636">
        <v>2</v>
      </c>
      <c r="CU2636">
        <v>0</v>
      </c>
      <c r="CV2636">
        <v>2</v>
      </c>
      <c r="CW2636">
        <v>1</v>
      </c>
      <c r="CX2636">
        <v>5</v>
      </c>
      <c r="CY2636">
        <v>7</v>
      </c>
      <c r="CZ2636" t="s">
        <v>131</v>
      </c>
      <c r="DA2636">
        <v>300</v>
      </c>
      <c r="DB2636">
        <v>0</v>
      </c>
      <c r="DC2636" t="s">
        <v>176</v>
      </c>
      <c r="DD2636" t="s">
        <v>177</v>
      </c>
      <c r="DG2636">
        <v>5417478</v>
      </c>
      <c r="DI2636">
        <v>1</v>
      </c>
      <c r="DJ2636">
        <v>0</v>
      </c>
      <c r="DK2636">
        <v>1</v>
      </c>
      <c r="DL2636">
        <v>0</v>
      </c>
      <c r="DM2636">
        <v>0</v>
      </c>
      <c r="DN2636">
        <v>1</v>
      </c>
      <c r="DO2636">
        <v>0</v>
      </c>
      <c r="DP2636">
        <v>0</v>
      </c>
      <c r="DQ2636">
        <v>0</v>
      </c>
      <c r="DR2636">
        <v>0</v>
      </c>
      <c r="DS2636">
        <v>0</v>
      </c>
    </row>
    <row r="2637" spans="1:123" x14ac:dyDescent="0.3">
      <c r="A2637" t="str">
        <f t="shared" si="957"/>
        <v>10/04/2022 19:32:36.338</v>
      </c>
      <c r="C2637" t="str">
        <f t="shared" si="942"/>
        <v>FFDDD3C0</v>
      </c>
      <c r="D2637" t="s">
        <v>143</v>
      </c>
      <c r="E2637">
        <v>20</v>
      </c>
      <c r="F2637">
        <v>1020</v>
      </c>
      <c r="G2637" t="s">
        <v>144</v>
      </c>
      <c r="J2637" t="s">
        <v>145</v>
      </c>
      <c r="K2637">
        <v>0</v>
      </c>
      <c r="L2637">
        <v>3</v>
      </c>
      <c r="M2637">
        <v>0</v>
      </c>
      <c r="N2637">
        <v>2</v>
      </c>
      <c r="O2637">
        <v>0</v>
      </c>
      <c r="P2637">
        <v>1</v>
      </c>
      <c r="Q2637">
        <v>0</v>
      </c>
      <c r="S2637" t="str">
        <f t="shared" si="955"/>
        <v>19:32:36.000</v>
      </c>
      <c r="T2637" t="str">
        <f t="shared" si="955"/>
        <v>19:32:36.000</v>
      </c>
      <c r="U2637" t="str">
        <f t="shared" si="952"/>
        <v>AC3944</v>
      </c>
      <c r="V2637">
        <v>0</v>
      </c>
      <c r="W2637">
        <v>0</v>
      </c>
      <c r="X2637">
        <v>2</v>
      </c>
      <c r="Y2637">
        <v>0</v>
      </c>
      <c r="AA2637">
        <v>1</v>
      </c>
      <c r="AB2637">
        <v>8</v>
      </c>
      <c r="AC2637">
        <v>3</v>
      </c>
      <c r="AD2637">
        <v>0</v>
      </c>
      <c r="AE2637">
        <v>9</v>
      </c>
      <c r="AF2637" t="s">
        <v>138</v>
      </c>
      <c r="AG2637">
        <v>0</v>
      </c>
      <c r="AH2637">
        <v>3</v>
      </c>
      <c r="AI2637">
        <v>1</v>
      </c>
      <c r="AJ2637">
        <v>0</v>
      </c>
      <c r="AK2637" t="s">
        <v>898</v>
      </c>
      <c r="AL2637">
        <v>32.746639000000002</v>
      </c>
      <c r="AM2637" t="s">
        <v>899</v>
      </c>
      <c r="AN2637">
        <v>-116.77069899999999</v>
      </c>
      <c r="AO2637">
        <v>25</v>
      </c>
      <c r="AP2637">
        <v>3400</v>
      </c>
      <c r="AQ2637" t="s">
        <v>129</v>
      </c>
      <c r="AR2637">
        <v>93</v>
      </c>
      <c r="AS2637">
        <v>-90</v>
      </c>
      <c r="AT2637">
        <v>960</v>
      </c>
      <c r="BB2637">
        <v>1200</v>
      </c>
      <c r="BC2637">
        <v>1</v>
      </c>
      <c r="BD2637" t="str">
        <f t="shared" si="953"/>
        <v xml:space="preserve">N887QR  </v>
      </c>
      <c r="BE2637">
        <v>1</v>
      </c>
      <c r="BJ2637">
        <v>3100</v>
      </c>
      <c r="BK2637">
        <v>-300</v>
      </c>
      <c r="BL2637" t="s">
        <v>163</v>
      </c>
      <c r="BM2637">
        <v>1</v>
      </c>
      <c r="BN2637">
        <v>1</v>
      </c>
      <c r="BO2637">
        <v>1</v>
      </c>
      <c r="BP2637">
        <v>0</v>
      </c>
      <c r="BS2637">
        <v>0.08</v>
      </c>
      <c r="BT2637">
        <v>0</v>
      </c>
      <c r="BU2637">
        <v>0</v>
      </c>
      <c r="CE2637" t="str">
        <f t="shared" si="956"/>
        <v>19:32:36.118</v>
      </c>
      <c r="CF2637">
        <v>117823896</v>
      </c>
      <c r="CS2637">
        <v>0</v>
      </c>
      <c r="CT2637">
        <v>2</v>
      </c>
      <c r="CU2637">
        <v>0</v>
      </c>
      <c r="CV2637">
        <v>2</v>
      </c>
      <c r="CW2637">
        <v>1</v>
      </c>
      <c r="CX2637">
        <v>5</v>
      </c>
      <c r="CY2637">
        <v>7</v>
      </c>
      <c r="CZ2637" t="s">
        <v>131</v>
      </c>
      <c r="DA2637">
        <v>300</v>
      </c>
      <c r="DB2637">
        <v>0</v>
      </c>
      <c r="DC2637" t="s">
        <v>176</v>
      </c>
      <c r="DD2637" t="s">
        <v>177</v>
      </c>
      <c r="DG2637">
        <v>5417478</v>
      </c>
      <c r="DI2637">
        <v>1</v>
      </c>
      <c r="DJ2637">
        <v>0</v>
      </c>
      <c r="DK2637">
        <v>1</v>
      </c>
      <c r="DL2637">
        <v>0</v>
      </c>
      <c r="DM2637">
        <v>0</v>
      </c>
      <c r="DN2637">
        <v>1</v>
      </c>
      <c r="DO2637">
        <v>0</v>
      </c>
      <c r="DP2637">
        <v>0</v>
      </c>
      <c r="DQ2637">
        <v>0</v>
      </c>
      <c r="DR2637">
        <v>0</v>
      </c>
      <c r="DS2637">
        <v>0</v>
      </c>
    </row>
    <row r="2638" spans="1:123" x14ac:dyDescent="0.3">
      <c r="A2638" t="str">
        <f t="shared" si="957"/>
        <v>10/04/2022 19:32:36.338</v>
      </c>
      <c r="C2638" t="str">
        <f t="shared" si="942"/>
        <v>FFDDD3C0</v>
      </c>
      <c r="D2638" t="s">
        <v>141</v>
      </c>
      <c r="E2638">
        <v>4</v>
      </c>
      <c r="H2638">
        <v>4</v>
      </c>
      <c r="I2638" t="s">
        <v>142</v>
      </c>
      <c r="J2638" t="s">
        <v>138</v>
      </c>
      <c r="K2638">
        <v>0</v>
      </c>
      <c r="L2638">
        <v>3</v>
      </c>
      <c r="M2638">
        <v>0</v>
      </c>
      <c r="N2638">
        <v>2</v>
      </c>
      <c r="O2638">
        <v>0</v>
      </c>
      <c r="P2638">
        <v>1</v>
      </c>
      <c r="Q2638">
        <v>0</v>
      </c>
      <c r="S2638" t="str">
        <f t="shared" si="955"/>
        <v>19:32:36.000</v>
      </c>
      <c r="T2638" t="str">
        <f t="shared" si="955"/>
        <v>19:32:36.000</v>
      </c>
      <c r="U2638" t="str">
        <f t="shared" si="952"/>
        <v>AC3944</v>
      </c>
      <c r="V2638">
        <v>0</v>
      </c>
      <c r="W2638">
        <v>0</v>
      </c>
      <c r="X2638">
        <v>2</v>
      </c>
      <c r="Y2638">
        <v>0</v>
      </c>
      <c r="AA2638">
        <v>1</v>
      </c>
      <c r="AB2638">
        <v>8</v>
      </c>
      <c r="AC2638">
        <v>3</v>
      </c>
      <c r="AD2638">
        <v>0</v>
      </c>
      <c r="AE2638">
        <v>9</v>
      </c>
      <c r="AF2638" t="s">
        <v>138</v>
      </c>
      <c r="AG2638">
        <v>0</v>
      </c>
      <c r="AH2638">
        <v>3</v>
      </c>
      <c r="AI2638">
        <v>1</v>
      </c>
      <c r="AJ2638">
        <v>0</v>
      </c>
      <c r="AK2638" t="s">
        <v>898</v>
      </c>
      <c r="AL2638">
        <v>32.746639000000002</v>
      </c>
      <c r="AM2638" t="s">
        <v>899</v>
      </c>
      <c r="AN2638">
        <v>-116.77069899999999</v>
      </c>
      <c r="AO2638">
        <v>25</v>
      </c>
      <c r="AP2638">
        <v>3400</v>
      </c>
      <c r="AQ2638" t="s">
        <v>129</v>
      </c>
      <c r="AR2638">
        <v>93</v>
      </c>
      <c r="AS2638">
        <v>-90</v>
      </c>
      <c r="AT2638">
        <v>960</v>
      </c>
      <c r="BB2638">
        <v>1200</v>
      </c>
      <c r="BC2638">
        <v>1</v>
      </c>
      <c r="BD2638" t="str">
        <f t="shared" si="953"/>
        <v xml:space="preserve">N887QR  </v>
      </c>
      <c r="BE2638">
        <v>1</v>
      </c>
      <c r="BJ2638">
        <v>3100</v>
      </c>
      <c r="BK2638">
        <v>-300</v>
      </c>
      <c r="BL2638" t="s">
        <v>163</v>
      </c>
      <c r="BM2638">
        <v>1</v>
      </c>
      <c r="BN2638">
        <v>1</v>
      </c>
      <c r="BO2638">
        <v>1</v>
      </c>
      <c r="BP2638">
        <v>0</v>
      </c>
      <c r="BS2638">
        <v>0.08</v>
      </c>
      <c r="BT2638">
        <v>0</v>
      </c>
      <c r="BU2638">
        <v>0</v>
      </c>
      <c r="CE2638" t="str">
        <f t="shared" si="956"/>
        <v>19:32:36.118</v>
      </c>
      <c r="CF2638">
        <v>117823896</v>
      </c>
      <c r="CS2638">
        <v>0</v>
      </c>
      <c r="CT2638">
        <v>2</v>
      </c>
      <c r="CU2638">
        <v>0</v>
      </c>
      <c r="CV2638">
        <v>2</v>
      </c>
      <c r="CW2638">
        <v>1</v>
      </c>
      <c r="CX2638">
        <v>5</v>
      </c>
      <c r="CY2638">
        <v>7</v>
      </c>
      <c r="CZ2638" t="s">
        <v>131</v>
      </c>
      <c r="DA2638">
        <v>300</v>
      </c>
      <c r="DB2638">
        <v>0</v>
      </c>
      <c r="DC2638" t="s">
        <v>176</v>
      </c>
      <c r="DD2638" t="s">
        <v>177</v>
      </c>
      <c r="DG2638">
        <v>5417478</v>
      </c>
      <c r="DI2638">
        <v>1</v>
      </c>
      <c r="DJ2638">
        <v>0</v>
      </c>
      <c r="DK2638">
        <v>1</v>
      </c>
      <c r="DL2638">
        <v>0</v>
      </c>
      <c r="DM2638">
        <v>0</v>
      </c>
      <c r="DN2638">
        <v>1</v>
      </c>
      <c r="DO2638">
        <v>0</v>
      </c>
      <c r="DP2638">
        <v>0</v>
      </c>
      <c r="DQ2638">
        <v>0</v>
      </c>
      <c r="DR2638">
        <v>0</v>
      </c>
      <c r="DS2638">
        <v>0</v>
      </c>
    </row>
    <row r="2639" spans="1:123" x14ac:dyDescent="0.3">
      <c r="A2639" t="str">
        <f t="shared" si="957"/>
        <v>10/04/2022 19:32:36.338</v>
      </c>
      <c r="C2639" t="str">
        <f t="shared" si="942"/>
        <v>FFDDD3C0</v>
      </c>
      <c r="D2639" t="s">
        <v>123</v>
      </c>
      <c r="E2639">
        <v>7</v>
      </c>
      <c r="F2639">
        <v>2007</v>
      </c>
      <c r="G2639" t="s">
        <v>124</v>
      </c>
      <c r="J2639" t="s">
        <v>125</v>
      </c>
      <c r="K2639">
        <v>0</v>
      </c>
      <c r="L2639">
        <v>3</v>
      </c>
      <c r="M2639">
        <v>0</v>
      </c>
      <c r="N2639">
        <v>2</v>
      </c>
      <c r="O2639">
        <v>0</v>
      </c>
      <c r="P2639">
        <v>1</v>
      </c>
      <c r="Q2639">
        <v>0</v>
      </c>
      <c r="S2639" t="str">
        <f t="shared" si="955"/>
        <v>19:32:36.000</v>
      </c>
      <c r="T2639" t="str">
        <f t="shared" si="955"/>
        <v>19:32:36.000</v>
      </c>
      <c r="U2639" t="str">
        <f t="shared" si="952"/>
        <v>AC3944</v>
      </c>
      <c r="V2639">
        <v>0</v>
      </c>
      <c r="W2639">
        <v>0</v>
      </c>
      <c r="X2639">
        <v>2</v>
      </c>
      <c r="Y2639">
        <v>0</v>
      </c>
      <c r="AA2639">
        <v>1</v>
      </c>
      <c r="AB2639">
        <v>8</v>
      </c>
      <c r="AC2639">
        <v>3</v>
      </c>
      <c r="AD2639">
        <v>0</v>
      </c>
      <c r="AE2639">
        <v>9</v>
      </c>
      <c r="AF2639" t="s">
        <v>138</v>
      </c>
      <c r="AG2639">
        <v>0</v>
      </c>
      <c r="AH2639">
        <v>3</v>
      </c>
      <c r="AI2639">
        <v>1</v>
      </c>
      <c r="AJ2639">
        <v>0</v>
      </c>
      <c r="AK2639" t="s">
        <v>898</v>
      </c>
      <c r="AL2639">
        <v>32.746639000000002</v>
      </c>
      <c r="AM2639" t="s">
        <v>899</v>
      </c>
      <c r="AN2639">
        <v>-116.77069899999999</v>
      </c>
      <c r="AO2639">
        <v>25</v>
      </c>
      <c r="AP2639">
        <v>3400</v>
      </c>
      <c r="AQ2639" t="s">
        <v>129</v>
      </c>
      <c r="AR2639">
        <v>93</v>
      </c>
      <c r="AS2639">
        <v>-90</v>
      </c>
      <c r="AT2639">
        <v>960</v>
      </c>
      <c r="BB2639">
        <v>1200</v>
      </c>
      <c r="BC2639">
        <v>1</v>
      </c>
      <c r="BD2639" t="str">
        <f t="shared" si="953"/>
        <v xml:space="preserve">N887QR  </v>
      </c>
      <c r="BE2639">
        <v>1</v>
      </c>
      <c r="BJ2639">
        <v>3100</v>
      </c>
      <c r="BK2639">
        <v>-300</v>
      </c>
      <c r="BL2639" t="s">
        <v>163</v>
      </c>
      <c r="BM2639">
        <v>1</v>
      </c>
      <c r="BN2639">
        <v>1</v>
      </c>
      <c r="BO2639">
        <v>1</v>
      </c>
      <c r="BP2639">
        <v>0</v>
      </c>
      <c r="BS2639">
        <v>0.08</v>
      </c>
      <c r="BT2639">
        <v>0</v>
      </c>
      <c r="BU2639">
        <v>0</v>
      </c>
      <c r="CE2639" t="str">
        <f t="shared" si="956"/>
        <v>19:32:36.118</v>
      </c>
      <c r="CF2639">
        <v>117823896</v>
      </c>
      <c r="CS2639">
        <v>0</v>
      </c>
      <c r="CT2639">
        <v>2</v>
      </c>
      <c r="CU2639">
        <v>0</v>
      </c>
      <c r="CV2639">
        <v>2</v>
      </c>
      <c r="CW2639">
        <v>1</v>
      </c>
      <c r="CX2639">
        <v>5</v>
      </c>
      <c r="CY2639">
        <v>7</v>
      </c>
      <c r="CZ2639" t="s">
        <v>131</v>
      </c>
      <c r="DA2639">
        <v>300</v>
      </c>
      <c r="DB2639">
        <v>0</v>
      </c>
      <c r="DC2639" t="s">
        <v>176</v>
      </c>
      <c r="DD2639" t="s">
        <v>177</v>
      </c>
      <c r="DG2639">
        <v>5417478</v>
      </c>
      <c r="DI2639">
        <v>1</v>
      </c>
      <c r="DJ2639">
        <v>0</v>
      </c>
      <c r="DK2639">
        <v>1</v>
      </c>
      <c r="DL2639">
        <v>0</v>
      </c>
      <c r="DM2639">
        <v>0</v>
      </c>
      <c r="DN2639">
        <v>1</v>
      </c>
      <c r="DO2639">
        <v>0</v>
      </c>
      <c r="DP2639">
        <v>0</v>
      </c>
      <c r="DQ2639">
        <v>0</v>
      </c>
      <c r="DR2639">
        <v>0</v>
      </c>
      <c r="DS2639">
        <v>0</v>
      </c>
    </row>
    <row r="2640" spans="1:123" x14ac:dyDescent="0.3">
      <c r="A2640" t="str">
        <f t="shared" ref="A2640:A2646" si="958">"10/04/2022 19:32:37.744"</f>
        <v>10/04/2022 19:32:37.744</v>
      </c>
      <c r="C2640" t="str">
        <f t="shared" si="942"/>
        <v>FFDDD3C0</v>
      </c>
      <c r="D2640" t="s">
        <v>143</v>
      </c>
      <c r="E2640">
        <v>20</v>
      </c>
      <c r="F2640">
        <v>1020</v>
      </c>
      <c r="G2640" t="s">
        <v>144</v>
      </c>
      <c r="J2640" t="s">
        <v>145</v>
      </c>
      <c r="K2640">
        <v>0</v>
      </c>
      <c r="L2640">
        <v>3</v>
      </c>
      <c r="M2640">
        <v>0</v>
      </c>
      <c r="N2640">
        <v>2</v>
      </c>
      <c r="O2640">
        <v>0</v>
      </c>
      <c r="P2640">
        <v>1</v>
      </c>
      <c r="Q2640">
        <v>0</v>
      </c>
      <c r="S2640" t="str">
        <f t="shared" ref="S2640:T2653" si="959">"19:32:37.000"</f>
        <v>19:32:37.000</v>
      </c>
      <c r="T2640" t="str">
        <f t="shared" si="959"/>
        <v>19:32:37.000</v>
      </c>
      <c r="U2640" t="str">
        <f t="shared" si="952"/>
        <v>AC3944</v>
      </c>
      <c r="V2640">
        <v>0</v>
      </c>
      <c r="W2640">
        <v>0</v>
      </c>
      <c r="X2640">
        <v>2</v>
      </c>
      <c r="Y2640">
        <v>0</v>
      </c>
      <c r="AA2640">
        <v>1</v>
      </c>
      <c r="AB2640">
        <v>8</v>
      </c>
      <c r="AC2640">
        <v>3</v>
      </c>
      <c r="AD2640">
        <v>0</v>
      </c>
      <c r="AE2640">
        <v>9</v>
      </c>
      <c r="AF2640" t="s">
        <v>138</v>
      </c>
      <c r="AG2640">
        <v>0</v>
      </c>
      <c r="AH2640">
        <v>3</v>
      </c>
      <c r="AI2640">
        <v>1</v>
      </c>
      <c r="AJ2640">
        <v>0</v>
      </c>
      <c r="AK2640" t="s">
        <v>900</v>
      </c>
      <c r="AL2640">
        <v>32.746209999999998</v>
      </c>
      <c r="AM2640" t="s">
        <v>901</v>
      </c>
      <c r="AN2640">
        <v>-116.770184</v>
      </c>
      <c r="AO2640">
        <v>25</v>
      </c>
      <c r="AP2640">
        <v>3400</v>
      </c>
      <c r="AQ2640" t="s">
        <v>129</v>
      </c>
      <c r="AR2640">
        <v>91</v>
      </c>
      <c r="AS2640">
        <v>-92</v>
      </c>
      <c r="AT2640">
        <v>960</v>
      </c>
      <c r="BB2640">
        <v>1200</v>
      </c>
      <c r="BC2640">
        <v>1</v>
      </c>
      <c r="BD2640" t="str">
        <f t="shared" si="953"/>
        <v xml:space="preserve">N887QR  </v>
      </c>
      <c r="BE2640">
        <v>1</v>
      </c>
      <c r="BJ2640">
        <v>3150</v>
      </c>
      <c r="BK2640">
        <v>-250</v>
      </c>
      <c r="BL2640" t="s">
        <v>163</v>
      </c>
      <c r="BM2640">
        <v>1</v>
      </c>
      <c r="BN2640">
        <v>1</v>
      </c>
      <c r="BO2640">
        <v>1</v>
      </c>
      <c r="BP2640">
        <v>0</v>
      </c>
      <c r="BS2640">
        <v>0.08</v>
      </c>
      <c r="BT2640">
        <v>0</v>
      </c>
      <c r="BU2640">
        <v>0</v>
      </c>
      <c r="CE2640" t="str">
        <f t="shared" ref="CE2640:CE2646" si="960">"19:32:37.511"</f>
        <v>19:32:37.511</v>
      </c>
      <c r="CF2640">
        <v>510828593</v>
      </c>
      <c r="CS2640">
        <v>0</v>
      </c>
      <c r="CT2640">
        <v>2</v>
      </c>
      <c r="CU2640">
        <v>0</v>
      </c>
      <c r="CV2640">
        <v>2</v>
      </c>
      <c r="CW2640">
        <v>0</v>
      </c>
      <c r="CX2640">
        <v>4</v>
      </c>
      <c r="CY2640">
        <v>7</v>
      </c>
      <c r="CZ2640" t="s">
        <v>131</v>
      </c>
      <c r="DA2640">
        <v>300</v>
      </c>
      <c r="DB2640">
        <v>0</v>
      </c>
      <c r="DC2640" t="s">
        <v>176</v>
      </c>
      <c r="DD2640" t="s">
        <v>177</v>
      </c>
      <c r="DG2640">
        <v>5417677</v>
      </c>
      <c r="DI2640">
        <v>1</v>
      </c>
      <c r="DJ2640">
        <v>0</v>
      </c>
      <c r="DK2640">
        <v>0</v>
      </c>
      <c r="DL2640">
        <v>0</v>
      </c>
      <c r="DM2640">
        <v>0</v>
      </c>
      <c r="DN2640">
        <v>1</v>
      </c>
      <c r="DO2640">
        <v>0</v>
      </c>
      <c r="DP2640">
        <v>0</v>
      </c>
      <c r="DQ2640">
        <v>0</v>
      </c>
      <c r="DR2640">
        <v>0</v>
      </c>
      <c r="DS2640">
        <v>0</v>
      </c>
    </row>
    <row r="2641" spans="1:123" x14ac:dyDescent="0.3">
      <c r="A2641" t="str">
        <f t="shared" si="958"/>
        <v>10/04/2022 19:32:37.744</v>
      </c>
      <c r="C2641" t="str">
        <f t="shared" si="942"/>
        <v>FFDDD3C0</v>
      </c>
      <c r="D2641" t="s">
        <v>136</v>
      </c>
      <c r="E2641">
        <v>8</v>
      </c>
      <c r="H2641">
        <v>225</v>
      </c>
      <c r="I2641" t="s">
        <v>137</v>
      </c>
      <c r="J2641" t="s">
        <v>138</v>
      </c>
      <c r="K2641">
        <v>0</v>
      </c>
      <c r="L2641">
        <v>3</v>
      </c>
      <c r="M2641">
        <v>0</v>
      </c>
      <c r="N2641">
        <v>2</v>
      </c>
      <c r="O2641">
        <v>0</v>
      </c>
      <c r="P2641">
        <v>1</v>
      </c>
      <c r="Q2641">
        <v>0</v>
      </c>
      <c r="S2641" t="str">
        <f t="shared" si="959"/>
        <v>19:32:37.000</v>
      </c>
      <c r="T2641" t="str">
        <f t="shared" si="959"/>
        <v>19:32:37.000</v>
      </c>
      <c r="U2641" t="str">
        <f t="shared" si="952"/>
        <v>AC3944</v>
      </c>
      <c r="V2641">
        <v>0</v>
      </c>
      <c r="W2641">
        <v>0</v>
      </c>
      <c r="X2641">
        <v>2</v>
      </c>
      <c r="Y2641">
        <v>0</v>
      </c>
      <c r="AA2641">
        <v>1</v>
      </c>
      <c r="AB2641">
        <v>8</v>
      </c>
      <c r="AC2641">
        <v>3</v>
      </c>
      <c r="AD2641">
        <v>0</v>
      </c>
      <c r="AE2641">
        <v>9</v>
      </c>
      <c r="AF2641" t="s">
        <v>138</v>
      </c>
      <c r="AG2641">
        <v>0</v>
      </c>
      <c r="AH2641">
        <v>3</v>
      </c>
      <c r="AI2641">
        <v>1</v>
      </c>
      <c r="AJ2641">
        <v>0</v>
      </c>
      <c r="AK2641" t="s">
        <v>900</v>
      </c>
      <c r="AL2641">
        <v>32.746209999999998</v>
      </c>
      <c r="AM2641" t="s">
        <v>901</v>
      </c>
      <c r="AN2641">
        <v>-116.770184</v>
      </c>
      <c r="AO2641">
        <v>25</v>
      </c>
      <c r="AP2641">
        <v>3400</v>
      </c>
      <c r="AQ2641" t="s">
        <v>129</v>
      </c>
      <c r="AR2641">
        <v>91</v>
      </c>
      <c r="AS2641">
        <v>-92</v>
      </c>
      <c r="AT2641">
        <v>960</v>
      </c>
      <c r="BB2641">
        <v>1200</v>
      </c>
      <c r="BC2641">
        <v>1</v>
      </c>
      <c r="BD2641" t="str">
        <f t="shared" si="953"/>
        <v xml:space="preserve">N887QR  </v>
      </c>
      <c r="BE2641">
        <v>1</v>
      </c>
      <c r="BJ2641">
        <v>3150</v>
      </c>
      <c r="BK2641">
        <v>-250</v>
      </c>
      <c r="BL2641" t="s">
        <v>163</v>
      </c>
      <c r="BM2641">
        <v>1</v>
      </c>
      <c r="BN2641">
        <v>1</v>
      </c>
      <c r="BO2641">
        <v>1</v>
      </c>
      <c r="BP2641">
        <v>0</v>
      </c>
      <c r="BS2641">
        <v>0.08</v>
      </c>
      <c r="BT2641">
        <v>0</v>
      </c>
      <c r="BU2641">
        <v>0</v>
      </c>
      <c r="CE2641" t="str">
        <f t="shared" si="960"/>
        <v>19:32:37.511</v>
      </c>
      <c r="CF2641">
        <v>510828593</v>
      </c>
      <c r="CS2641">
        <v>0</v>
      </c>
      <c r="CT2641">
        <v>2</v>
      </c>
      <c r="CU2641">
        <v>0</v>
      </c>
      <c r="CV2641">
        <v>2</v>
      </c>
      <c r="CW2641">
        <v>0</v>
      </c>
      <c r="CX2641">
        <v>4</v>
      </c>
      <c r="CY2641">
        <v>7</v>
      </c>
      <c r="CZ2641" t="s">
        <v>131</v>
      </c>
      <c r="DA2641">
        <v>300</v>
      </c>
      <c r="DB2641">
        <v>0</v>
      </c>
      <c r="DC2641" t="s">
        <v>176</v>
      </c>
      <c r="DD2641" t="s">
        <v>177</v>
      </c>
      <c r="DG2641">
        <v>5417677</v>
      </c>
      <c r="DI2641">
        <v>1</v>
      </c>
      <c r="DJ2641">
        <v>0</v>
      </c>
      <c r="DK2641">
        <v>1</v>
      </c>
      <c r="DL2641">
        <v>0</v>
      </c>
      <c r="DM2641">
        <v>0</v>
      </c>
      <c r="DN2641">
        <v>1</v>
      </c>
      <c r="DO2641">
        <v>0</v>
      </c>
      <c r="DP2641">
        <v>0</v>
      </c>
      <c r="DQ2641">
        <v>0</v>
      </c>
      <c r="DR2641">
        <v>0</v>
      </c>
      <c r="DS2641">
        <v>0</v>
      </c>
    </row>
    <row r="2642" spans="1:123" x14ac:dyDescent="0.3">
      <c r="A2642" t="str">
        <f t="shared" si="958"/>
        <v>10/04/2022 19:32:37.744</v>
      </c>
      <c r="C2642" t="str">
        <f t="shared" si="942"/>
        <v>FFDDD3C0</v>
      </c>
      <c r="D2642" t="s">
        <v>141</v>
      </c>
      <c r="E2642">
        <v>3</v>
      </c>
      <c r="H2642">
        <v>3</v>
      </c>
      <c r="I2642" t="s">
        <v>146</v>
      </c>
      <c r="J2642" t="s">
        <v>138</v>
      </c>
      <c r="K2642">
        <v>0</v>
      </c>
      <c r="L2642">
        <v>3</v>
      </c>
      <c r="M2642">
        <v>0</v>
      </c>
      <c r="N2642">
        <v>2</v>
      </c>
      <c r="O2642">
        <v>0</v>
      </c>
      <c r="P2642">
        <v>1</v>
      </c>
      <c r="Q2642">
        <v>0</v>
      </c>
      <c r="S2642" t="str">
        <f t="shared" si="959"/>
        <v>19:32:37.000</v>
      </c>
      <c r="T2642" t="str">
        <f t="shared" si="959"/>
        <v>19:32:37.000</v>
      </c>
      <c r="U2642" t="str">
        <f t="shared" si="952"/>
        <v>AC3944</v>
      </c>
      <c r="V2642">
        <v>0</v>
      </c>
      <c r="W2642">
        <v>0</v>
      </c>
      <c r="X2642">
        <v>2</v>
      </c>
      <c r="Y2642">
        <v>0</v>
      </c>
      <c r="AA2642">
        <v>1</v>
      </c>
      <c r="AB2642">
        <v>8</v>
      </c>
      <c r="AC2642">
        <v>3</v>
      </c>
      <c r="AD2642">
        <v>0</v>
      </c>
      <c r="AE2642">
        <v>9</v>
      </c>
      <c r="AF2642" t="s">
        <v>138</v>
      </c>
      <c r="AG2642">
        <v>0</v>
      </c>
      <c r="AH2642">
        <v>3</v>
      </c>
      <c r="AI2642">
        <v>1</v>
      </c>
      <c r="AJ2642">
        <v>0</v>
      </c>
      <c r="AK2642" t="s">
        <v>900</v>
      </c>
      <c r="AL2642">
        <v>32.746209999999998</v>
      </c>
      <c r="AM2642" t="s">
        <v>901</v>
      </c>
      <c r="AN2642">
        <v>-116.770184</v>
      </c>
      <c r="AO2642">
        <v>25</v>
      </c>
      <c r="AP2642">
        <v>3400</v>
      </c>
      <c r="AQ2642" t="s">
        <v>129</v>
      </c>
      <c r="AR2642">
        <v>91</v>
      </c>
      <c r="AS2642">
        <v>-92</v>
      </c>
      <c r="AT2642">
        <v>960</v>
      </c>
      <c r="BB2642">
        <v>1200</v>
      </c>
      <c r="BC2642">
        <v>1</v>
      </c>
      <c r="BD2642" t="str">
        <f t="shared" si="953"/>
        <v xml:space="preserve">N887QR  </v>
      </c>
      <c r="BE2642">
        <v>1</v>
      </c>
      <c r="BJ2642">
        <v>3150</v>
      </c>
      <c r="BK2642">
        <v>-250</v>
      </c>
      <c r="BL2642" t="s">
        <v>163</v>
      </c>
      <c r="BM2642">
        <v>1</v>
      </c>
      <c r="BN2642">
        <v>1</v>
      </c>
      <c r="BO2642">
        <v>1</v>
      </c>
      <c r="BP2642">
        <v>0</v>
      </c>
      <c r="BS2642">
        <v>0.08</v>
      </c>
      <c r="BT2642">
        <v>0</v>
      </c>
      <c r="BU2642">
        <v>0</v>
      </c>
      <c r="CE2642" t="str">
        <f t="shared" si="960"/>
        <v>19:32:37.511</v>
      </c>
      <c r="CF2642">
        <v>510828593</v>
      </c>
      <c r="CS2642">
        <v>0</v>
      </c>
      <c r="CT2642">
        <v>2</v>
      </c>
      <c r="CU2642">
        <v>0</v>
      </c>
      <c r="CV2642">
        <v>2</v>
      </c>
      <c r="CW2642">
        <v>0</v>
      </c>
      <c r="CX2642">
        <v>4</v>
      </c>
      <c r="CY2642">
        <v>7</v>
      </c>
      <c r="CZ2642" t="s">
        <v>131</v>
      </c>
      <c r="DA2642">
        <v>300</v>
      </c>
      <c r="DB2642">
        <v>0</v>
      </c>
      <c r="DC2642" t="s">
        <v>176</v>
      </c>
      <c r="DD2642" t="s">
        <v>177</v>
      </c>
      <c r="DG2642">
        <v>5417677</v>
      </c>
      <c r="DI2642">
        <v>1</v>
      </c>
      <c r="DJ2642">
        <v>0</v>
      </c>
      <c r="DK2642">
        <v>1</v>
      </c>
      <c r="DL2642">
        <v>0</v>
      </c>
      <c r="DM2642">
        <v>0</v>
      </c>
      <c r="DN2642">
        <v>1</v>
      </c>
      <c r="DO2642">
        <v>0</v>
      </c>
      <c r="DP2642">
        <v>0</v>
      </c>
      <c r="DQ2642">
        <v>0</v>
      </c>
      <c r="DR2642">
        <v>0</v>
      </c>
      <c r="DS2642">
        <v>0</v>
      </c>
    </row>
    <row r="2643" spans="1:123" x14ac:dyDescent="0.3">
      <c r="A2643" t="str">
        <f t="shared" si="958"/>
        <v>10/04/2022 19:32:37.744</v>
      </c>
      <c r="C2643" t="str">
        <f t="shared" si="942"/>
        <v>FFDDD3C0</v>
      </c>
      <c r="D2643" t="s">
        <v>134</v>
      </c>
      <c r="E2643">
        <v>15</v>
      </c>
      <c r="J2643" t="s">
        <v>135</v>
      </c>
      <c r="K2643">
        <v>0</v>
      </c>
      <c r="L2643">
        <v>3</v>
      </c>
      <c r="M2643">
        <v>0</v>
      </c>
      <c r="N2643">
        <v>2</v>
      </c>
      <c r="O2643">
        <v>0</v>
      </c>
      <c r="P2643">
        <v>1</v>
      </c>
      <c r="Q2643">
        <v>0</v>
      </c>
      <c r="S2643" t="str">
        <f t="shared" si="959"/>
        <v>19:32:37.000</v>
      </c>
      <c r="T2643" t="str">
        <f t="shared" si="959"/>
        <v>19:32:37.000</v>
      </c>
      <c r="U2643" t="str">
        <f t="shared" si="952"/>
        <v>AC3944</v>
      </c>
      <c r="V2643">
        <v>0</v>
      </c>
      <c r="W2643">
        <v>0</v>
      </c>
      <c r="X2643">
        <v>2</v>
      </c>
      <c r="Y2643">
        <v>0</v>
      </c>
      <c r="AA2643">
        <v>1</v>
      </c>
      <c r="AB2643">
        <v>8</v>
      </c>
      <c r="AC2643">
        <v>3</v>
      </c>
      <c r="AD2643">
        <v>0</v>
      </c>
      <c r="AE2643">
        <v>9</v>
      </c>
      <c r="AF2643" t="s">
        <v>138</v>
      </c>
      <c r="AG2643">
        <v>0</v>
      </c>
      <c r="AH2643">
        <v>3</v>
      </c>
      <c r="AI2643">
        <v>1</v>
      </c>
      <c r="AJ2643">
        <v>0</v>
      </c>
      <c r="AK2643" t="s">
        <v>900</v>
      </c>
      <c r="AL2643">
        <v>32.746209999999998</v>
      </c>
      <c r="AM2643" t="s">
        <v>901</v>
      </c>
      <c r="AN2643">
        <v>-116.770184</v>
      </c>
      <c r="AO2643">
        <v>25</v>
      </c>
      <c r="AP2643">
        <v>3400</v>
      </c>
      <c r="AQ2643" t="s">
        <v>129</v>
      </c>
      <c r="AR2643">
        <v>91</v>
      </c>
      <c r="AS2643">
        <v>-92</v>
      </c>
      <c r="AT2643">
        <v>960</v>
      </c>
      <c r="BB2643">
        <v>1200</v>
      </c>
      <c r="BC2643">
        <v>1</v>
      </c>
      <c r="BD2643" t="str">
        <f t="shared" si="953"/>
        <v xml:space="preserve">N887QR  </v>
      </c>
      <c r="BE2643">
        <v>1</v>
      </c>
      <c r="BJ2643">
        <v>3150</v>
      </c>
      <c r="BK2643">
        <v>-250</v>
      </c>
      <c r="BL2643" t="s">
        <v>163</v>
      </c>
      <c r="BM2643">
        <v>1</v>
      </c>
      <c r="BN2643">
        <v>1</v>
      </c>
      <c r="BO2643">
        <v>1</v>
      </c>
      <c r="BP2643">
        <v>0</v>
      </c>
      <c r="BS2643">
        <v>0.08</v>
      </c>
      <c r="BT2643">
        <v>0</v>
      </c>
      <c r="BU2643">
        <v>0</v>
      </c>
      <c r="CE2643" t="str">
        <f t="shared" si="960"/>
        <v>19:32:37.511</v>
      </c>
      <c r="CF2643">
        <v>510828593</v>
      </c>
      <c r="CS2643">
        <v>0</v>
      </c>
      <c r="CT2643">
        <v>2</v>
      </c>
      <c r="CU2643">
        <v>0</v>
      </c>
      <c r="CV2643">
        <v>2</v>
      </c>
      <c r="CW2643">
        <v>0</v>
      </c>
      <c r="CX2643">
        <v>4</v>
      </c>
      <c r="CY2643">
        <v>7</v>
      </c>
      <c r="CZ2643" t="s">
        <v>131</v>
      </c>
      <c r="DA2643">
        <v>300</v>
      </c>
      <c r="DB2643">
        <v>0</v>
      </c>
      <c r="DC2643" t="s">
        <v>176</v>
      </c>
      <c r="DD2643" t="s">
        <v>177</v>
      </c>
      <c r="DG2643">
        <v>5417677</v>
      </c>
      <c r="DI2643">
        <v>1</v>
      </c>
      <c r="DJ2643">
        <v>0</v>
      </c>
      <c r="DK2643">
        <v>1</v>
      </c>
      <c r="DL2643">
        <v>0</v>
      </c>
      <c r="DM2643">
        <v>0</v>
      </c>
      <c r="DN2643">
        <v>1</v>
      </c>
      <c r="DO2643">
        <v>0</v>
      </c>
      <c r="DP2643">
        <v>0</v>
      </c>
      <c r="DQ2643">
        <v>0</v>
      </c>
      <c r="DR2643">
        <v>0</v>
      </c>
      <c r="DS2643">
        <v>0</v>
      </c>
    </row>
    <row r="2644" spans="1:123" x14ac:dyDescent="0.3">
      <c r="A2644" t="str">
        <f t="shared" si="958"/>
        <v>10/04/2022 19:32:37.744</v>
      </c>
      <c r="C2644" t="str">
        <f t="shared" si="942"/>
        <v>FFDDD3C0</v>
      </c>
      <c r="D2644" t="s">
        <v>141</v>
      </c>
      <c r="E2644">
        <v>4</v>
      </c>
      <c r="H2644">
        <v>4</v>
      </c>
      <c r="I2644" t="s">
        <v>142</v>
      </c>
      <c r="J2644" t="s">
        <v>138</v>
      </c>
      <c r="K2644">
        <v>0</v>
      </c>
      <c r="L2644">
        <v>3</v>
      </c>
      <c r="M2644">
        <v>0</v>
      </c>
      <c r="N2644">
        <v>2</v>
      </c>
      <c r="O2644">
        <v>0</v>
      </c>
      <c r="P2644">
        <v>1</v>
      </c>
      <c r="Q2644">
        <v>0</v>
      </c>
      <c r="S2644" t="str">
        <f t="shared" si="959"/>
        <v>19:32:37.000</v>
      </c>
      <c r="T2644" t="str">
        <f t="shared" si="959"/>
        <v>19:32:37.000</v>
      </c>
      <c r="U2644" t="str">
        <f t="shared" si="952"/>
        <v>AC3944</v>
      </c>
      <c r="V2644">
        <v>0</v>
      </c>
      <c r="W2644">
        <v>0</v>
      </c>
      <c r="X2644">
        <v>2</v>
      </c>
      <c r="Y2644">
        <v>0</v>
      </c>
      <c r="AA2644">
        <v>1</v>
      </c>
      <c r="AB2644">
        <v>8</v>
      </c>
      <c r="AC2644">
        <v>3</v>
      </c>
      <c r="AD2644">
        <v>0</v>
      </c>
      <c r="AE2644">
        <v>9</v>
      </c>
      <c r="AF2644" t="s">
        <v>138</v>
      </c>
      <c r="AG2644">
        <v>0</v>
      </c>
      <c r="AH2644">
        <v>3</v>
      </c>
      <c r="AI2644">
        <v>1</v>
      </c>
      <c r="AJ2644">
        <v>0</v>
      </c>
      <c r="AK2644" t="s">
        <v>900</v>
      </c>
      <c r="AL2644">
        <v>32.746209999999998</v>
      </c>
      <c r="AM2644" t="s">
        <v>901</v>
      </c>
      <c r="AN2644">
        <v>-116.770184</v>
      </c>
      <c r="AO2644">
        <v>25</v>
      </c>
      <c r="AP2644">
        <v>3400</v>
      </c>
      <c r="AQ2644" t="s">
        <v>129</v>
      </c>
      <c r="AR2644">
        <v>91</v>
      </c>
      <c r="AS2644">
        <v>-92</v>
      </c>
      <c r="AT2644">
        <v>960</v>
      </c>
      <c r="BB2644">
        <v>1200</v>
      </c>
      <c r="BC2644">
        <v>1</v>
      </c>
      <c r="BD2644" t="str">
        <f t="shared" si="953"/>
        <v xml:space="preserve">N887QR  </v>
      </c>
      <c r="BE2644">
        <v>1</v>
      </c>
      <c r="BJ2644">
        <v>3150</v>
      </c>
      <c r="BK2644">
        <v>-250</v>
      </c>
      <c r="BL2644" t="s">
        <v>163</v>
      </c>
      <c r="BM2644">
        <v>1</v>
      </c>
      <c r="BN2644">
        <v>1</v>
      </c>
      <c r="BO2644">
        <v>1</v>
      </c>
      <c r="BP2644">
        <v>0</v>
      </c>
      <c r="BS2644">
        <v>0.08</v>
      </c>
      <c r="BT2644">
        <v>0</v>
      </c>
      <c r="BU2644">
        <v>0</v>
      </c>
      <c r="CE2644" t="str">
        <f t="shared" si="960"/>
        <v>19:32:37.511</v>
      </c>
      <c r="CF2644">
        <v>510828593</v>
      </c>
      <c r="CS2644">
        <v>0</v>
      </c>
      <c r="CT2644">
        <v>2</v>
      </c>
      <c r="CU2644">
        <v>0</v>
      </c>
      <c r="CV2644">
        <v>2</v>
      </c>
      <c r="CW2644">
        <v>0</v>
      </c>
      <c r="CX2644">
        <v>4</v>
      </c>
      <c r="CY2644">
        <v>7</v>
      </c>
      <c r="CZ2644" t="s">
        <v>131</v>
      </c>
      <c r="DA2644">
        <v>300</v>
      </c>
      <c r="DB2644">
        <v>0</v>
      </c>
      <c r="DC2644" t="s">
        <v>176</v>
      </c>
      <c r="DD2644" t="s">
        <v>177</v>
      </c>
      <c r="DG2644">
        <v>5417677</v>
      </c>
      <c r="DI2644">
        <v>1</v>
      </c>
      <c r="DJ2644">
        <v>0</v>
      </c>
      <c r="DK2644">
        <v>1</v>
      </c>
      <c r="DL2644">
        <v>0</v>
      </c>
      <c r="DM2644">
        <v>0</v>
      </c>
      <c r="DN2644">
        <v>1</v>
      </c>
      <c r="DO2644">
        <v>0</v>
      </c>
      <c r="DP2644">
        <v>0</v>
      </c>
      <c r="DQ2644">
        <v>0</v>
      </c>
      <c r="DR2644">
        <v>0</v>
      </c>
      <c r="DS2644">
        <v>0</v>
      </c>
    </row>
    <row r="2645" spans="1:123" x14ac:dyDescent="0.3">
      <c r="A2645" t="str">
        <f t="shared" si="958"/>
        <v>10/04/2022 19:32:37.744</v>
      </c>
      <c r="C2645" t="str">
        <f t="shared" si="942"/>
        <v>FFDDD3C0</v>
      </c>
      <c r="D2645" t="s">
        <v>123</v>
      </c>
      <c r="E2645">
        <v>7</v>
      </c>
      <c r="F2645">
        <v>2007</v>
      </c>
      <c r="G2645" t="s">
        <v>124</v>
      </c>
      <c r="J2645" t="s">
        <v>125</v>
      </c>
      <c r="K2645">
        <v>0</v>
      </c>
      <c r="L2645">
        <v>3</v>
      </c>
      <c r="M2645">
        <v>0</v>
      </c>
      <c r="N2645">
        <v>2</v>
      </c>
      <c r="O2645">
        <v>0</v>
      </c>
      <c r="P2645">
        <v>1</v>
      </c>
      <c r="Q2645">
        <v>0</v>
      </c>
      <c r="S2645" t="str">
        <f t="shared" si="959"/>
        <v>19:32:37.000</v>
      </c>
      <c r="T2645" t="str">
        <f t="shared" si="959"/>
        <v>19:32:37.000</v>
      </c>
      <c r="U2645" t="str">
        <f t="shared" si="952"/>
        <v>AC3944</v>
      </c>
      <c r="V2645">
        <v>0</v>
      </c>
      <c r="W2645">
        <v>0</v>
      </c>
      <c r="X2645">
        <v>2</v>
      </c>
      <c r="Y2645">
        <v>0</v>
      </c>
      <c r="AA2645">
        <v>1</v>
      </c>
      <c r="AB2645">
        <v>8</v>
      </c>
      <c r="AC2645">
        <v>3</v>
      </c>
      <c r="AD2645">
        <v>0</v>
      </c>
      <c r="AE2645">
        <v>9</v>
      </c>
      <c r="AF2645" t="s">
        <v>138</v>
      </c>
      <c r="AG2645">
        <v>0</v>
      </c>
      <c r="AH2645">
        <v>3</v>
      </c>
      <c r="AI2645">
        <v>1</v>
      </c>
      <c r="AJ2645">
        <v>0</v>
      </c>
      <c r="AK2645" t="s">
        <v>900</v>
      </c>
      <c r="AL2645">
        <v>32.746209999999998</v>
      </c>
      <c r="AM2645" t="s">
        <v>901</v>
      </c>
      <c r="AN2645">
        <v>-116.770184</v>
      </c>
      <c r="AO2645">
        <v>25</v>
      </c>
      <c r="AP2645">
        <v>3400</v>
      </c>
      <c r="AQ2645" t="s">
        <v>129</v>
      </c>
      <c r="AR2645">
        <v>91</v>
      </c>
      <c r="AS2645">
        <v>-92</v>
      </c>
      <c r="AT2645">
        <v>960</v>
      </c>
      <c r="BB2645">
        <v>1200</v>
      </c>
      <c r="BC2645">
        <v>1</v>
      </c>
      <c r="BD2645" t="str">
        <f t="shared" si="953"/>
        <v xml:space="preserve">N887QR  </v>
      </c>
      <c r="BE2645">
        <v>1</v>
      </c>
      <c r="BJ2645">
        <v>3150</v>
      </c>
      <c r="BK2645">
        <v>-250</v>
      </c>
      <c r="BL2645" t="s">
        <v>163</v>
      </c>
      <c r="BM2645">
        <v>1</v>
      </c>
      <c r="BN2645">
        <v>1</v>
      </c>
      <c r="BO2645">
        <v>1</v>
      </c>
      <c r="BP2645">
        <v>0</v>
      </c>
      <c r="BS2645">
        <v>0.08</v>
      </c>
      <c r="BT2645">
        <v>0</v>
      </c>
      <c r="BU2645">
        <v>0</v>
      </c>
      <c r="CE2645" t="str">
        <f t="shared" si="960"/>
        <v>19:32:37.511</v>
      </c>
      <c r="CF2645">
        <v>510828593</v>
      </c>
      <c r="CS2645">
        <v>0</v>
      </c>
      <c r="CT2645">
        <v>2</v>
      </c>
      <c r="CU2645">
        <v>0</v>
      </c>
      <c r="CV2645">
        <v>2</v>
      </c>
      <c r="CW2645">
        <v>0</v>
      </c>
      <c r="CX2645">
        <v>4</v>
      </c>
      <c r="CY2645">
        <v>7</v>
      </c>
      <c r="CZ2645" t="s">
        <v>131</v>
      </c>
      <c r="DA2645">
        <v>300</v>
      </c>
      <c r="DB2645">
        <v>0</v>
      </c>
      <c r="DC2645" t="s">
        <v>176</v>
      </c>
      <c r="DD2645" t="s">
        <v>177</v>
      </c>
      <c r="DG2645">
        <v>5417677</v>
      </c>
      <c r="DI2645">
        <v>1</v>
      </c>
      <c r="DJ2645">
        <v>0</v>
      </c>
      <c r="DK2645">
        <v>1</v>
      </c>
      <c r="DL2645">
        <v>0</v>
      </c>
      <c r="DM2645">
        <v>0</v>
      </c>
      <c r="DN2645">
        <v>1</v>
      </c>
      <c r="DO2645">
        <v>0</v>
      </c>
      <c r="DP2645">
        <v>0</v>
      </c>
      <c r="DQ2645">
        <v>0</v>
      </c>
      <c r="DR2645">
        <v>0</v>
      </c>
      <c r="DS2645">
        <v>0</v>
      </c>
    </row>
    <row r="2646" spans="1:123" x14ac:dyDescent="0.3">
      <c r="A2646" t="str">
        <f t="shared" si="958"/>
        <v>10/04/2022 19:32:37.744</v>
      </c>
      <c r="C2646" t="str">
        <f t="shared" si="942"/>
        <v>FFDDD3C0</v>
      </c>
      <c r="D2646" t="s">
        <v>147</v>
      </c>
      <c r="E2646">
        <v>3</v>
      </c>
      <c r="H2646">
        <v>166</v>
      </c>
      <c r="I2646" t="s">
        <v>144</v>
      </c>
      <c r="J2646" t="s">
        <v>148</v>
      </c>
      <c r="K2646">
        <v>0</v>
      </c>
      <c r="L2646">
        <v>3</v>
      </c>
      <c r="M2646">
        <v>0</v>
      </c>
      <c r="N2646">
        <v>2</v>
      </c>
      <c r="O2646">
        <v>0</v>
      </c>
      <c r="P2646">
        <v>1</v>
      </c>
      <c r="Q2646">
        <v>0</v>
      </c>
      <c r="S2646" t="str">
        <f t="shared" si="959"/>
        <v>19:32:37.000</v>
      </c>
      <c r="T2646" t="str">
        <f t="shared" si="959"/>
        <v>19:32:37.000</v>
      </c>
      <c r="U2646" t="str">
        <f t="shared" si="952"/>
        <v>AC3944</v>
      </c>
      <c r="V2646">
        <v>0</v>
      </c>
      <c r="W2646">
        <v>0</v>
      </c>
      <c r="X2646">
        <v>2</v>
      </c>
      <c r="Y2646">
        <v>0</v>
      </c>
      <c r="AA2646">
        <v>1</v>
      </c>
      <c r="AB2646">
        <v>8</v>
      </c>
      <c r="AC2646">
        <v>3</v>
      </c>
      <c r="AD2646">
        <v>0</v>
      </c>
      <c r="AE2646">
        <v>9</v>
      </c>
      <c r="AF2646" t="s">
        <v>138</v>
      </c>
      <c r="AG2646">
        <v>0</v>
      </c>
      <c r="AH2646">
        <v>3</v>
      </c>
      <c r="AI2646">
        <v>1</v>
      </c>
      <c r="AJ2646">
        <v>0</v>
      </c>
      <c r="AK2646" t="s">
        <v>900</v>
      </c>
      <c r="AL2646">
        <v>32.746209999999998</v>
      </c>
      <c r="AM2646" t="s">
        <v>901</v>
      </c>
      <c r="AN2646">
        <v>-116.770184</v>
      </c>
      <c r="AO2646">
        <v>25</v>
      </c>
      <c r="AP2646">
        <v>3400</v>
      </c>
      <c r="AQ2646" t="s">
        <v>129</v>
      </c>
      <c r="AR2646">
        <v>91</v>
      </c>
      <c r="AS2646">
        <v>-92</v>
      </c>
      <c r="AT2646">
        <v>960</v>
      </c>
      <c r="BB2646">
        <v>1200</v>
      </c>
      <c r="BC2646">
        <v>1</v>
      </c>
      <c r="BD2646" t="str">
        <f t="shared" si="953"/>
        <v xml:space="preserve">N887QR  </v>
      </c>
      <c r="BE2646">
        <v>1</v>
      </c>
      <c r="BJ2646">
        <v>3150</v>
      </c>
      <c r="BK2646">
        <v>-250</v>
      </c>
      <c r="BL2646" t="s">
        <v>163</v>
      </c>
      <c r="BM2646">
        <v>1</v>
      </c>
      <c r="BN2646">
        <v>1</v>
      </c>
      <c r="BO2646">
        <v>1</v>
      </c>
      <c r="BP2646">
        <v>0</v>
      </c>
      <c r="BS2646">
        <v>0.08</v>
      </c>
      <c r="BT2646">
        <v>0</v>
      </c>
      <c r="BU2646">
        <v>0</v>
      </c>
      <c r="CE2646" t="str">
        <f t="shared" si="960"/>
        <v>19:32:37.511</v>
      </c>
      <c r="CF2646">
        <v>510828593</v>
      </c>
      <c r="CS2646">
        <v>0</v>
      </c>
      <c r="CT2646">
        <v>2</v>
      </c>
      <c r="CU2646">
        <v>0</v>
      </c>
      <c r="CV2646">
        <v>2</v>
      </c>
      <c r="CW2646">
        <v>0</v>
      </c>
      <c r="CX2646">
        <v>4</v>
      </c>
      <c r="CY2646">
        <v>7</v>
      </c>
      <c r="CZ2646" t="s">
        <v>131</v>
      </c>
      <c r="DA2646">
        <v>300</v>
      </c>
      <c r="DB2646">
        <v>0</v>
      </c>
      <c r="DC2646" t="s">
        <v>176</v>
      </c>
      <c r="DD2646" t="s">
        <v>177</v>
      </c>
      <c r="DG2646">
        <v>5417677</v>
      </c>
      <c r="DI2646">
        <v>1</v>
      </c>
      <c r="DJ2646">
        <v>0</v>
      </c>
      <c r="DK2646">
        <v>1</v>
      </c>
      <c r="DL2646">
        <v>0</v>
      </c>
      <c r="DM2646">
        <v>0</v>
      </c>
      <c r="DN2646">
        <v>1</v>
      </c>
      <c r="DO2646">
        <v>0</v>
      </c>
      <c r="DP2646">
        <v>0</v>
      </c>
      <c r="DQ2646">
        <v>0</v>
      </c>
      <c r="DR2646">
        <v>0</v>
      </c>
      <c r="DS2646">
        <v>0</v>
      </c>
    </row>
    <row r="2647" spans="1:123" x14ac:dyDescent="0.3">
      <c r="A2647" t="str">
        <f t="shared" ref="A2647:A2653" si="961">"10/04/2022 19:32:38.182"</f>
        <v>10/04/2022 19:32:38.182</v>
      </c>
      <c r="C2647" t="str">
        <f t="shared" si="942"/>
        <v>FFDDD3C0</v>
      </c>
      <c r="D2647" t="s">
        <v>147</v>
      </c>
      <c r="E2647">
        <v>3</v>
      </c>
      <c r="H2647">
        <v>166</v>
      </c>
      <c r="I2647" t="s">
        <v>144</v>
      </c>
      <c r="J2647" t="s">
        <v>148</v>
      </c>
      <c r="K2647">
        <v>0</v>
      </c>
      <c r="L2647">
        <v>3</v>
      </c>
      <c r="M2647">
        <v>0</v>
      </c>
      <c r="N2647">
        <v>2</v>
      </c>
      <c r="O2647">
        <v>0</v>
      </c>
      <c r="P2647">
        <v>1</v>
      </c>
      <c r="Q2647">
        <v>0</v>
      </c>
      <c r="S2647" t="str">
        <f t="shared" si="959"/>
        <v>19:32:37.000</v>
      </c>
      <c r="T2647" t="str">
        <f t="shared" si="959"/>
        <v>19:32:37.000</v>
      </c>
      <c r="U2647" t="str">
        <f t="shared" si="952"/>
        <v>AC3944</v>
      </c>
      <c r="V2647">
        <v>0</v>
      </c>
      <c r="W2647">
        <v>0</v>
      </c>
      <c r="X2647">
        <v>2</v>
      </c>
      <c r="Y2647">
        <v>0</v>
      </c>
      <c r="AA2647">
        <v>1</v>
      </c>
      <c r="AB2647">
        <v>8</v>
      </c>
      <c r="AC2647">
        <v>3</v>
      </c>
      <c r="AD2647">
        <v>0</v>
      </c>
      <c r="AE2647">
        <v>9</v>
      </c>
      <c r="AF2647" t="s">
        <v>138</v>
      </c>
      <c r="AG2647">
        <v>0</v>
      </c>
      <c r="AH2647">
        <v>3</v>
      </c>
      <c r="AI2647">
        <v>1</v>
      </c>
      <c r="AJ2647">
        <v>0</v>
      </c>
      <c r="AK2647" t="s">
        <v>902</v>
      </c>
      <c r="AL2647">
        <v>32.745781000000001</v>
      </c>
      <c r="AM2647" t="s">
        <v>903</v>
      </c>
      <c r="AN2647">
        <v>-116.76966899999999</v>
      </c>
      <c r="AO2647">
        <v>25</v>
      </c>
      <c r="AP2647">
        <v>3400</v>
      </c>
      <c r="AQ2647" t="s">
        <v>129</v>
      </c>
      <c r="AR2647">
        <v>91</v>
      </c>
      <c r="AS2647">
        <v>-92</v>
      </c>
      <c r="AT2647">
        <v>960</v>
      </c>
      <c r="BB2647">
        <v>1200</v>
      </c>
      <c r="BC2647">
        <v>1</v>
      </c>
      <c r="BD2647" t="str">
        <f t="shared" si="953"/>
        <v xml:space="preserve">N887QR  </v>
      </c>
      <c r="BE2647">
        <v>1</v>
      </c>
      <c r="BJ2647">
        <v>3150</v>
      </c>
      <c r="BK2647">
        <v>-250</v>
      </c>
      <c r="BL2647" t="s">
        <v>163</v>
      </c>
      <c r="BM2647">
        <v>1</v>
      </c>
      <c r="BN2647">
        <v>1</v>
      </c>
      <c r="BO2647">
        <v>1</v>
      </c>
      <c r="BP2647">
        <v>0</v>
      </c>
      <c r="BS2647">
        <v>0.08</v>
      </c>
      <c r="BT2647">
        <v>0</v>
      </c>
      <c r="BU2647">
        <v>0</v>
      </c>
      <c r="CE2647" t="str">
        <f t="shared" ref="CE2647:CE2653" si="962">"19:32:37.942"</f>
        <v>19:32:37.942</v>
      </c>
      <c r="CF2647">
        <v>941918267</v>
      </c>
      <c r="CS2647">
        <v>0</v>
      </c>
      <c r="CT2647">
        <v>2</v>
      </c>
      <c r="CU2647">
        <v>0</v>
      </c>
      <c r="CV2647">
        <v>2</v>
      </c>
      <c r="CW2647">
        <v>0</v>
      </c>
      <c r="CX2647">
        <v>0</v>
      </c>
      <c r="CY2647">
        <v>7</v>
      </c>
      <c r="CZ2647" t="s">
        <v>131</v>
      </c>
      <c r="DA2647">
        <v>297</v>
      </c>
      <c r="DB2647">
        <v>0</v>
      </c>
      <c r="DC2647" t="s">
        <v>258</v>
      </c>
      <c r="DD2647" t="s">
        <v>259</v>
      </c>
      <c r="DG2647">
        <v>16761942</v>
      </c>
      <c r="DI2647">
        <v>1</v>
      </c>
      <c r="DJ2647">
        <v>0</v>
      </c>
      <c r="DK2647">
        <v>0</v>
      </c>
      <c r="DL2647">
        <v>0</v>
      </c>
      <c r="DM2647">
        <v>0</v>
      </c>
      <c r="DN2647">
        <v>1</v>
      </c>
      <c r="DO2647">
        <v>0</v>
      </c>
      <c r="DP2647">
        <v>0</v>
      </c>
      <c r="DQ2647">
        <v>0</v>
      </c>
      <c r="DR2647">
        <v>0</v>
      </c>
      <c r="DS2647">
        <v>0</v>
      </c>
    </row>
    <row r="2648" spans="1:123" x14ac:dyDescent="0.3">
      <c r="A2648" t="str">
        <f t="shared" si="961"/>
        <v>10/04/2022 19:32:38.182</v>
      </c>
      <c r="C2648" t="str">
        <f t="shared" si="942"/>
        <v>FFDDD3C0</v>
      </c>
      <c r="D2648" t="s">
        <v>143</v>
      </c>
      <c r="E2648">
        <v>20</v>
      </c>
      <c r="F2648">
        <v>1020</v>
      </c>
      <c r="G2648" t="s">
        <v>144</v>
      </c>
      <c r="J2648" t="s">
        <v>145</v>
      </c>
      <c r="K2648">
        <v>0</v>
      </c>
      <c r="L2648">
        <v>3</v>
      </c>
      <c r="M2648">
        <v>0</v>
      </c>
      <c r="N2648">
        <v>2</v>
      </c>
      <c r="O2648">
        <v>0</v>
      </c>
      <c r="P2648">
        <v>1</v>
      </c>
      <c r="Q2648">
        <v>0</v>
      </c>
      <c r="S2648" t="str">
        <f t="shared" si="959"/>
        <v>19:32:37.000</v>
      </c>
      <c r="T2648" t="str">
        <f t="shared" si="959"/>
        <v>19:32:37.000</v>
      </c>
      <c r="U2648" t="str">
        <f t="shared" si="952"/>
        <v>AC3944</v>
      </c>
      <c r="V2648">
        <v>0</v>
      </c>
      <c r="W2648">
        <v>0</v>
      </c>
      <c r="X2648">
        <v>2</v>
      </c>
      <c r="Y2648">
        <v>0</v>
      </c>
      <c r="AA2648">
        <v>1</v>
      </c>
      <c r="AB2648">
        <v>8</v>
      </c>
      <c r="AC2648">
        <v>3</v>
      </c>
      <c r="AD2648">
        <v>0</v>
      </c>
      <c r="AE2648">
        <v>9</v>
      </c>
      <c r="AF2648" t="s">
        <v>138</v>
      </c>
      <c r="AG2648">
        <v>0</v>
      </c>
      <c r="AH2648">
        <v>3</v>
      </c>
      <c r="AI2648">
        <v>1</v>
      </c>
      <c r="AJ2648">
        <v>0</v>
      </c>
      <c r="AK2648" t="s">
        <v>902</v>
      </c>
      <c r="AL2648">
        <v>32.745781000000001</v>
      </c>
      <c r="AM2648" t="s">
        <v>903</v>
      </c>
      <c r="AN2648">
        <v>-116.76966899999999</v>
      </c>
      <c r="AO2648">
        <v>25</v>
      </c>
      <c r="AP2648">
        <v>3400</v>
      </c>
      <c r="AQ2648" t="s">
        <v>129</v>
      </c>
      <c r="AR2648">
        <v>91</v>
      </c>
      <c r="AS2648">
        <v>-92</v>
      </c>
      <c r="AT2648">
        <v>960</v>
      </c>
      <c r="BB2648">
        <v>1200</v>
      </c>
      <c r="BC2648">
        <v>1</v>
      </c>
      <c r="BD2648" t="str">
        <f t="shared" si="953"/>
        <v xml:space="preserve">N887QR  </v>
      </c>
      <c r="BE2648">
        <v>1</v>
      </c>
      <c r="BJ2648">
        <v>3150</v>
      </c>
      <c r="BK2648">
        <v>-250</v>
      </c>
      <c r="BL2648" t="s">
        <v>163</v>
      </c>
      <c r="BM2648">
        <v>1</v>
      </c>
      <c r="BN2648">
        <v>1</v>
      </c>
      <c r="BO2648">
        <v>1</v>
      </c>
      <c r="BP2648">
        <v>0</v>
      </c>
      <c r="BS2648">
        <v>0.08</v>
      </c>
      <c r="BT2648">
        <v>0</v>
      </c>
      <c r="BU2648">
        <v>0</v>
      </c>
      <c r="CE2648" t="str">
        <f t="shared" si="962"/>
        <v>19:32:37.942</v>
      </c>
      <c r="CF2648">
        <v>941918267</v>
      </c>
      <c r="CS2648">
        <v>0</v>
      </c>
      <c r="CT2648">
        <v>2</v>
      </c>
      <c r="CU2648">
        <v>0</v>
      </c>
      <c r="CV2648">
        <v>2</v>
      </c>
      <c r="CW2648">
        <v>0</v>
      </c>
      <c r="CX2648">
        <v>0</v>
      </c>
      <c r="CY2648">
        <v>7</v>
      </c>
      <c r="CZ2648" t="s">
        <v>131</v>
      </c>
      <c r="DA2648">
        <v>297</v>
      </c>
      <c r="DB2648">
        <v>0</v>
      </c>
      <c r="DC2648" t="s">
        <v>258</v>
      </c>
      <c r="DD2648" t="s">
        <v>259</v>
      </c>
      <c r="DG2648">
        <v>16761942</v>
      </c>
      <c r="DI2648">
        <v>1</v>
      </c>
      <c r="DJ2648">
        <v>0</v>
      </c>
      <c r="DK2648">
        <v>1</v>
      </c>
      <c r="DL2648">
        <v>0</v>
      </c>
      <c r="DM2648">
        <v>0</v>
      </c>
      <c r="DN2648">
        <v>1</v>
      </c>
      <c r="DO2648">
        <v>0</v>
      </c>
      <c r="DP2648">
        <v>0</v>
      </c>
      <c r="DQ2648">
        <v>0</v>
      </c>
      <c r="DR2648">
        <v>0</v>
      </c>
      <c r="DS2648">
        <v>0</v>
      </c>
    </row>
    <row r="2649" spans="1:123" x14ac:dyDescent="0.3">
      <c r="A2649" t="str">
        <f t="shared" si="961"/>
        <v>10/04/2022 19:32:38.182</v>
      </c>
      <c r="C2649" t="str">
        <f t="shared" si="942"/>
        <v>FFDDD3C0</v>
      </c>
      <c r="D2649" t="s">
        <v>136</v>
      </c>
      <c r="E2649">
        <v>8</v>
      </c>
      <c r="H2649">
        <v>225</v>
      </c>
      <c r="I2649" t="s">
        <v>137</v>
      </c>
      <c r="J2649" t="s">
        <v>138</v>
      </c>
      <c r="K2649">
        <v>0</v>
      </c>
      <c r="L2649">
        <v>3</v>
      </c>
      <c r="M2649">
        <v>0</v>
      </c>
      <c r="N2649">
        <v>2</v>
      </c>
      <c r="O2649">
        <v>0</v>
      </c>
      <c r="P2649">
        <v>1</v>
      </c>
      <c r="Q2649">
        <v>0</v>
      </c>
      <c r="S2649" t="str">
        <f t="shared" si="959"/>
        <v>19:32:37.000</v>
      </c>
      <c r="T2649" t="str">
        <f t="shared" si="959"/>
        <v>19:32:37.000</v>
      </c>
      <c r="U2649" t="str">
        <f t="shared" si="952"/>
        <v>AC3944</v>
      </c>
      <c r="V2649">
        <v>0</v>
      </c>
      <c r="W2649">
        <v>0</v>
      </c>
      <c r="X2649">
        <v>2</v>
      </c>
      <c r="Y2649">
        <v>0</v>
      </c>
      <c r="AA2649">
        <v>1</v>
      </c>
      <c r="AB2649">
        <v>8</v>
      </c>
      <c r="AC2649">
        <v>3</v>
      </c>
      <c r="AD2649">
        <v>0</v>
      </c>
      <c r="AE2649">
        <v>9</v>
      </c>
      <c r="AF2649" t="s">
        <v>138</v>
      </c>
      <c r="AG2649">
        <v>0</v>
      </c>
      <c r="AH2649">
        <v>3</v>
      </c>
      <c r="AI2649">
        <v>1</v>
      </c>
      <c r="AJ2649">
        <v>0</v>
      </c>
      <c r="AK2649" t="s">
        <v>902</v>
      </c>
      <c r="AL2649">
        <v>32.745781000000001</v>
      </c>
      <c r="AM2649" t="s">
        <v>903</v>
      </c>
      <c r="AN2649">
        <v>-116.76966899999999</v>
      </c>
      <c r="AO2649">
        <v>25</v>
      </c>
      <c r="AP2649">
        <v>3400</v>
      </c>
      <c r="AQ2649" t="s">
        <v>129</v>
      </c>
      <c r="AR2649">
        <v>91</v>
      </c>
      <c r="AS2649">
        <v>-92</v>
      </c>
      <c r="AT2649">
        <v>960</v>
      </c>
      <c r="BB2649">
        <v>1200</v>
      </c>
      <c r="BC2649">
        <v>1</v>
      </c>
      <c r="BD2649" t="str">
        <f t="shared" si="953"/>
        <v xml:space="preserve">N887QR  </v>
      </c>
      <c r="BE2649">
        <v>1</v>
      </c>
      <c r="BJ2649">
        <v>3150</v>
      </c>
      <c r="BK2649">
        <v>-250</v>
      </c>
      <c r="BL2649" t="s">
        <v>163</v>
      </c>
      <c r="BM2649">
        <v>1</v>
      </c>
      <c r="BN2649">
        <v>1</v>
      </c>
      <c r="BO2649">
        <v>1</v>
      </c>
      <c r="BP2649">
        <v>0</v>
      </c>
      <c r="BS2649">
        <v>0.08</v>
      </c>
      <c r="BT2649">
        <v>0</v>
      </c>
      <c r="BU2649">
        <v>0</v>
      </c>
      <c r="CE2649" t="str">
        <f t="shared" si="962"/>
        <v>19:32:37.942</v>
      </c>
      <c r="CF2649">
        <v>941918267</v>
      </c>
      <c r="CS2649">
        <v>0</v>
      </c>
      <c r="CT2649">
        <v>2</v>
      </c>
      <c r="CU2649">
        <v>0</v>
      </c>
      <c r="CV2649">
        <v>2</v>
      </c>
      <c r="CW2649">
        <v>0</v>
      </c>
      <c r="CX2649">
        <v>0</v>
      </c>
      <c r="CY2649">
        <v>7</v>
      </c>
      <c r="CZ2649" t="s">
        <v>131</v>
      </c>
      <c r="DA2649">
        <v>297</v>
      </c>
      <c r="DB2649">
        <v>0</v>
      </c>
      <c r="DC2649" t="s">
        <v>258</v>
      </c>
      <c r="DD2649" t="s">
        <v>259</v>
      </c>
      <c r="DG2649">
        <v>16761942</v>
      </c>
      <c r="DI2649">
        <v>1</v>
      </c>
      <c r="DJ2649">
        <v>0</v>
      </c>
      <c r="DK2649">
        <v>1</v>
      </c>
      <c r="DL2649">
        <v>0</v>
      </c>
      <c r="DM2649">
        <v>0</v>
      </c>
      <c r="DN2649">
        <v>1</v>
      </c>
      <c r="DO2649">
        <v>0</v>
      </c>
      <c r="DP2649">
        <v>0</v>
      </c>
      <c r="DQ2649">
        <v>0</v>
      </c>
      <c r="DR2649">
        <v>0</v>
      </c>
      <c r="DS2649">
        <v>0</v>
      </c>
    </row>
    <row r="2650" spans="1:123" x14ac:dyDescent="0.3">
      <c r="A2650" t="str">
        <f t="shared" si="961"/>
        <v>10/04/2022 19:32:38.182</v>
      </c>
      <c r="C2650" t="str">
        <f t="shared" si="942"/>
        <v>FFDDD3C0</v>
      </c>
      <c r="D2650" t="s">
        <v>141</v>
      </c>
      <c r="E2650">
        <v>3</v>
      </c>
      <c r="H2650">
        <v>3</v>
      </c>
      <c r="I2650" t="s">
        <v>146</v>
      </c>
      <c r="J2650" t="s">
        <v>138</v>
      </c>
      <c r="K2650">
        <v>0</v>
      </c>
      <c r="L2650">
        <v>3</v>
      </c>
      <c r="M2650">
        <v>0</v>
      </c>
      <c r="N2650">
        <v>2</v>
      </c>
      <c r="O2650">
        <v>0</v>
      </c>
      <c r="P2650">
        <v>1</v>
      </c>
      <c r="Q2650">
        <v>0</v>
      </c>
      <c r="S2650" t="str">
        <f t="shared" si="959"/>
        <v>19:32:37.000</v>
      </c>
      <c r="T2650" t="str">
        <f t="shared" si="959"/>
        <v>19:32:37.000</v>
      </c>
      <c r="U2650" t="str">
        <f t="shared" si="952"/>
        <v>AC3944</v>
      </c>
      <c r="V2650">
        <v>0</v>
      </c>
      <c r="W2650">
        <v>0</v>
      </c>
      <c r="X2650">
        <v>2</v>
      </c>
      <c r="Y2650">
        <v>0</v>
      </c>
      <c r="AA2650">
        <v>1</v>
      </c>
      <c r="AB2650">
        <v>8</v>
      </c>
      <c r="AC2650">
        <v>3</v>
      </c>
      <c r="AD2650">
        <v>0</v>
      </c>
      <c r="AE2650">
        <v>9</v>
      </c>
      <c r="AF2650" t="s">
        <v>138</v>
      </c>
      <c r="AG2650">
        <v>0</v>
      </c>
      <c r="AH2650">
        <v>3</v>
      </c>
      <c r="AI2650">
        <v>1</v>
      </c>
      <c r="AJ2650">
        <v>0</v>
      </c>
      <c r="AK2650" t="s">
        <v>902</v>
      </c>
      <c r="AL2650">
        <v>32.745781000000001</v>
      </c>
      <c r="AM2650" t="s">
        <v>903</v>
      </c>
      <c r="AN2650">
        <v>-116.76966899999999</v>
      </c>
      <c r="AO2650">
        <v>25</v>
      </c>
      <c r="AP2650">
        <v>3400</v>
      </c>
      <c r="AQ2650" t="s">
        <v>129</v>
      </c>
      <c r="AR2650">
        <v>91</v>
      </c>
      <c r="AS2650">
        <v>-92</v>
      </c>
      <c r="AT2650">
        <v>960</v>
      </c>
      <c r="BB2650">
        <v>1200</v>
      </c>
      <c r="BC2650">
        <v>1</v>
      </c>
      <c r="BD2650" t="str">
        <f t="shared" si="953"/>
        <v xml:space="preserve">N887QR  </v>
      </c>
      <c r="BE2650">
        <v>1</v>
      </c>
      <c r="BJ2650">
        <v>3150</v>
      </c>
      <c r="BK2650">
        <v>-250</v>
      </c>
      <c r="BL2650" t="s">
        <v>163</v>
      </c>
      <c r="BM2650">
        <v>1</v>
      </c>
      <c r="BN2650">
        <v>1</v>
      </c>
      <c r="BO2650">
        <v>1</v>
      </c>
      <c r="BP2650">
        <v>0</v>
      </c>
      <c r="BS2650">
        <v>0.08</v>
      </c>
      <c r="BT2650">
        <v>0</v>
      </c>
      <c r="BU2650">
        <v>0</v>
      </c>
      <c r="CE2650" t="str">
        <f t="shared" si="962"/>
        <v>19:32:37.942</v>
      </c>
      <c r="CF2650">
        <v>941918267</v>
      </c>
      <c r="CS2650">
        <v>0</v>
      </c>
      <c r="CT2650">
        <v>2</v>
      </c>
      <c r="CU2650">
        <v>0</v>
      </c>
      <c r="CV2650">
        <v>2</v>
      </c>
      <c r="CW2650">
        <v>0</v>
      </c>
      <c r="CX2650">
        <v>0</v>
      </c>
      <c r="CY2650">
        <v>7</v>
      </c>
      <c r="CZ2650" t="s">
        <v>131</v>
      </c>
      <c r="DA2650">
        <v>297</v>
      </c>
      <c r="DB2650">
        <v>0</v>
      </c>
      <c r="DC2650" t="s">
        <v>258</v>
      </c>
      <c r="DD2650" t="s">
        <v>259</v>
      </c>
      <c r="DG2650">
        <v>16761942</v>
      </c>
      <c r="DI2650">
        <v>1</v>
      </c>
      <c r="DJ2650">
        <v>0</v>
      </c>
      <c r="DK2650">
        <v>1</v>
      </c>
      <c r="DL2650">
        <v>0</v>
      </c>
      <c r="DM2650">
        <v>0</v>
      </c>
      <c r="DN2650">
        <v>1</v>
      </c>
      <c r="DO2650">
        <v>0</v>
      </c>
      <c r="DP2650">
        <v>0</v>
      </c>
      <c r="DQ2650">
        <v>0</v>
      </c>
      <c r="DR2650">
        <v>0</v>
      </c>
      <c r="DS2650">
        <v>0</v>
      </c>
    </row>
    <row r="2651" spans="1:123" x14ac:dyDescent="0.3">
      <c r="A2651" t="str">
        <f t="shared" si="961"/>
        <v>10/04/2022 19:32:38.182</v>
      </c>
      <c r="C2651" t="str">
        <f t="shared" si="942"/>
        <v>FFDDD3C0</v>
      </c>
      <c r="D2651" t="s">
        <v>134</v>
      </c>
      <c r="E2651">
        <v>15</v>
      </c>
      <c r="J2651" t="s">
        <v>135</v>
      </c>
      <c r="K2651">
        <v>0</v>
      </c>
      <c r="L2651">
        <v>3</v>
      </c>
      <c r="M2651">
        <v>0</v>
      </c>
      <c r="N2651">
        <v>2</v>
      </c>
      <c r="O2651">
        <v>0</v>
      </c>
      <c r="P2651">
        <v>1</v>
      </c>
      <c r="Q2651">
        <v>0</v>
      </c>
      <c r="S2651" t="str">
        <f t="shared" si="959"/>
        <v>19:32:37.000</v>
      </c>
      <c r="T2651" t="str">
        <f t="shared" si="959"/>
        <v>19:32:37.000</v>
      </c>
      <c r="U2651" t="str">
        <f t="shared" si="952"/>
        <v>AC3944</v>
      </c>
      <c r="V2651">
        <v>0</v>
      </c>
      <c r="W2651">
        <v>0</v>
      </c>
      <c r="X2651">
        <v>2</v>
      </c>
      <c r="Y2651">
        <v>0</v>
      </c>
      <c r="AA2651">
        <v>1</v>
      </c>
      <c r="AB2651">
        <v>8</v>
      </c>
      <c r="AC2651">
        <v>3</v>
      </c>
      <c r="AD2651">
        <v>0</v>
      </c>
      <c r="AE2651">
        <v>9</v>
      </c>
      <c r="AF2651" t="s">
        <v>138</v>
      </c>
      <c r="AG2651">
        <v>0</v>
      </c>
      <c r="AH2651">
        <v>3</v>
      </c>
      <c r="AI2651">
        <v>1</v>
      </c>
      <c r="AJ2651">
        <v>0</v>
      </c>
      <c r="AK2651" t="s">
        <v>902</v>
      </c>
      <c r="AL2651">
        <v>32.745781000000001</v>
      </c>
      <c r="AM2651" t="s">
        <v>903</v>
      </c>
      <c r="AN2651">
        <v>-116.76966899999999</v>
      </c>
      <c r="AO2651">
        <v>25</v>
      </c>
      <c r="AP2651">
        <v>3400</v>
      </c>
      <c r="AQ2651" t="s">
        <v>129</v>
      </c>
      <c r="AR2651">
        <v>91</v>
      </c>
      <c r="AS2651">
        <v>-92</v>
      </c>
      <c r="AT2651">
        <v>960</v>
      </c>
      <c r="BB2651">
        <v>1200</v>
      </c>
      <c r="BC2651">
        <v>1</v>
      </c>
      <c r="BD2651" t="str">
        <f t="shared" si="953"/>
        <v xml:space="preserve">N887QR  </v>
      </c>
      <c r="BE2651">
        <v>1</v>
      </c>
      <c r="BJ2651">
        <v>3150</v>
      </c>
      <c r="BK2651">
        <v>-250</v>
      </c>
      <c r="BL2651" t="s">
        <v>163</v>
      </c>
      <c r="BM2651">
        <v>1</v>
      </c>
      <c r="BN2651">
        <v>1</v>
      </c>
      <c r="BO2651">
        <v>1</v>
      </c>
      <c r="BP2651">
        <v>0</v>
      </c>
      <c r="BS2651">
        <v>0.08</v>
      </c>
      <c r="BT2651">
        <v>0</v>
      </c>
      <c r="BU2651">
        <v>0</v>
      </c>
      <c r="CE2651" t="str">
        <f t="shared" si="962"/>
        <v>19:32:37.942</v>
      </c>
      <c r="CF2651">
        <v>941918267</v>
      </c>
      <c r="CS2651">
        <v>0</v>
      </c>
      <c r="CT2651">
        <v>2</v>
      </c>
      <c r="CU2651">
        <v>0</v>
      </c>
      <c r="CV2651">
        <v>2</v>
      </c>
      <c r="CW2651">
        <v>0</v>
      </c>
      <c r="CX2651">
        <v>0</v>
      </c>
      <c r="CY2651">
        <v>7</v>
      </c>
      <c r="CZ2651" t="s">
        <v>131</v>
      </c>
      <c r="DA2651">
        <v>297</v>
      </c>
      <c r="DB2651">
        <v>0</v>
      </c>
      <c r="DC2651" t="s">
        <v>258</v>
      </c>
      <c r="DD2651" t="s">
        <v>259</v>
      </c>
      <c r="DG2651">
        <v>16761942</v>
      </c>
      <c r="DI2651">
        <v>1</v>
      </c>
      <c r="DJ2651">
        <v>0</v>
      </c>
      <c r="DK2651">
        <v>1</v>
      </c>
      <c r="DL2651">
        <v>0</v>
      </c>
      <c r="DM2651">
        <v>0</v>
      </c>
      <c r="DN2651">
        <v>1</v>
      </c>
      <c r="DO2651">
        <v>0</v>
      </c>
      <c r="DP2651">
        <v>0</v>
      </c>
      <c r="DQ2651">
        <v>0</v>
      </c>
      <c r="DR2651">
        <v>0</v>
      </c>
      <c r="DS2651">
        <v>0</v>
      </c>
    </row>
    <row r="2652" spans="1:123" x14ac:dyDescent="0.3">
      <c r="A2652" t="str">
        <f t="shared" si="961"/>
        <v>10/04/2022 19:32:38.182</v>
      </c>
      <c r="C2652" t="str">
        <f t="shared" si="942"/>
        <v>FFDDD3C0</v>
      </c>
      <c r="D2652" t="s">
        <v>123</v>
      </c>
      <c r="E2652">
        <v>7</v>
      </c>
      <c r="F2652">
        <v>2007</v>
      </c>
      <c r="G2652" t="s">
        <v>124</v>
      </c>
      <c r="J2652" t="s">
        <v>125</v>
      </c>
      <c r="K2652">
        <v>0</v>
      </c>
      <c r="L2652">
        <v>3</v>
      </c>
      <c r="M2652">
        <v>0</v>
      </c>
      <c r="N2652">
        <v>2</v>
      </c>
      <c r="O2652">
        <v>0</v>
      </c>
      <c r="P2652">
        <v>1</v>
      </c>
      <c r="Q2652">
        <v>0</v>
      </c>
      <c r="S2652" t="str">
        <f t="shared" si="959"/>
        <v>19:32:37.000</v>
      </c>
      <c r="T2652" t="str">
        <f t="shared" si="959"/>
        <v>19:32:37.000</v>
      </c>
      <c r="U2652" t="str">
        <f t="shared" si="952"/>
        <v>AC3944</v>
      </c>
      <c r="V2652">
        <v>0</v>
      </c>
      <c r="W2652">
        <v>0</v>
      </c>
      <c r="X2652">
        <v>2</v>
      </c>
      <c r="Y2652">
        <v>0</v>
      </c>
      <c r="AA2652">
        <v>1</v>
      </c>
      <c r="AB2652">
        <v>8</v>
      </c>
      <c r="AC2652">
        <v>3</v>
      </c>
      <c r="AD2652">
        <v>0</v>
      </c>
      <c r="AE2652">
        <v>9</v>
      </c>
      <c r="AF2652" t="s">
        <v>138</v>
      </c>
      <c r="AG2652">
        <v>0</v>
      </c>
      <c r="AH2652">
        <v>3</v>
      </c>
      <c r="AI2652">
        <v>1</v>
      </c>
      <c r="AJ2652">
        <v>0</v>
      </c>
      <c r="AK2652" t="s">
        <v>902</v>
      </c>
      <c r="AL2652">
        <v>32.745781000000001</v>
      </c>
      <c r="AM2652" t="s">
        <v>903</v>
      </c>
      <c r="AN2652">
        <v>-116.76966899999999</v>
      </c>
      <c r="AO2652">
        <v>25</v>
      </c>
      <c r="AP2652">
        <v>3400</v>
      </c>
      <c r="AQ2652" t="s">
        <v>129</v>
      </c>
      <c r="AR2652">
        <v>91</v>
      </c>
      <c r="AS2652">
        <v>-92</v>
      </c>
      <c r="AT2652">
        <v>960</v>
      </c>
      <c r="BB2652">
        <v>1200</v>
      </c>
      <c r="BC2652">
        <v>1</v>
      </c>
      <c r="BD2652" t="str">
        <f t="shared" si="953"/>
        <v xml:space="preserve">N887QR  </v>
      </c>
      <c r="BE2652">
        <v>1</v>
      </c>
      <c r="BJ2652">
        <v>3150</v>
      </c>
      <c r="BK2652">
        <v>-250</v>
      </c>
      <c r="BL2652" t="s">
        <v>163</v>
      </c>
      <c r="BM2652">
        <v>1</v>
      </c>
      <c r="BN2652">
        <v>1</v>
      </c>
      <c r="BO2652">
        <v>1</v>
      </c>
      <c r="BP2652">
        <v>0</v>
      </c>
      <c r="BS2652">
        <v>0.08</v>
      </c>
      <c r="BT2652">
        <v>0</v>
      </c>
      <c r="BU2652">
        <v>0</v>
      </c>
      <c r="CE2652" t="str">
        <f t="shared" si="962"/>
        <v>19:32:37.942</v>
      </c>
      <c r="CF2652">
        <v>941918267</v>
      </c>
      <c r="CS2652">
        <v>0</v>
      </c>
      <c r="CT2652">
        <v>2</v>
      </c>
      <c r="CU2652">
        <v>0</v>
      </c>
      <c r="CV2652">
        <v>2</v>
      </c>
      <c r="CW2652">
        <v>0</v>
      </c>
      <c r="CX2652">
        <v>0</v>
      </c>
      <c r="CY2652">
        <v>7</v>
      </c>
      <c r="CZ2652" t="s">
        <v>131</v>
      </c>
      <c r="DA2652">
        <v>297</v>
      </c>
      <c r="DB2652">
        <v>0</v>
      </c>
      <c r="DC2652" t="s">
        <v>258</v>
      </c>
      <c r="DD2652" t="s">
        <v>259</v>
      </c>
      <c r="DG2652">
        <v>16761942</v>
      </c>
      <c r="DI2652">
        <v>1</v>
      </c>
      <c r="DJ2652">
        <v>0</v>
      </c>
      <c r="DK2652">
        <v>1</v>
      </c>
      <c r="DL2652">
        <v>0</v>
      </c>
      <c r="DM2652">
        <v>0</v>
      </c>
      <c r="DN2652">
        <v>1</v>
      </c>
      <c r="DO2652">
        <v>0</v>
      </c>
      <c r="DP2652">
        <v>0</v>
      </c>
      <c r="DQ2652">
        <v>0</v>
      </c>
      <c r="DR2652">
        <v>0</v>
      </c>
      <c r="DS2652">
        <v>0</v>
      </c>
    </row>
    <row r="2653" spans="1:123" x14ac:dyDescent="0.3">
      <c r="A2653" t="str">
        <f t="shared" si="961"/>
        <v>10/04/2022 19:32:38.182</v>
      </c>
      <c r="C2653" t="str">
        <f t="shared" si="942"/>
        <v>FFDDD3C0</v>
      </c>
      <c r="D2653" t="s">
        <v>141</v>
      </c>
      <c r="E2653">
        <v>4</v>
      </c>
      <c r="H2653">
        <v>4</v>
      </c>
      <c r="I2653" t="s">
        <v>142</v>
      </c>
      <c r="J2653" t="s">
        <v>138</v>
      </c>
      <c r="K2653">
        <v>0</v>
      </c>
      <c r="L2653">
        <v>3</v>
      </c>
      <c r="M2653">
        <v>0</v>
      </c>
      <c r="N2653">
        <v>2</v>
      </c>
      <c r="O2653">
        <v>0</v>
      </c>
      <c r="P2653">
        <v>1</v>
      </c>
      <c r="Q2653">
        <v>0</v>
      </c>
      <c r="S2653" t="str">
        <f t="shared" si="959"/>
        <v>19:32:37.000</v>
      </c>
      <c r="T2653" t="str">
        <f t="shared" si="959"/>
        <v>19:32:37.000</v>
      </c>
      <c r="U2653" t="str">
        <f t="shared" si="952"/>
        <v>AC3944</v>
      </c>
      <c r="V2653">
        <v>0</v>
      </c>
      <c r="W2653">
        <v>0</v>
      </c>
      <c r="X2653">
        <v>2</v>
      </c>
      <c r="Y2653">
        <v>0</v>
      </c>
      <c r="AA2653">
        <v>1</v>
      </c>
      <c r="AB2653">
        <v>8</v>
      </c>
      <c r="AC2653">
        <v>3</v>
      </c>
      <c r="AD2653">
        <v>0</v>
      </c>
      <c r="AE2653">
        <v>9</v>
      </c>
      <c r="AF2653" t="s">
        <v>138</v>
      </c>
      <c r="AG2653">
        <v>0</v>
      </c>
      <c r="AH2653">
        <v>3</v>
      </c>
      <c r="AI2653">
        <v>1</v>
      </c>
      <c r="AJ2653">
        <v>0</v>
      </c>
      <c r="AK2653" t="s">
        <v>902</v>
      </c>
      <c r="AL2653">
        <v>32.745781000000001</v>
      </c>
      <c r="AM2653" t="s">
        <v>903</v>
      </c>
      <c r="AN2653">
        <v>-116.76966899999999</v>
      </c>
      <c r="AO2653">
        <v>25</v>
      </c>
      <c r="AP2653">
        <v>3400</v>
      </c>
      <c r="AQ2653" t="s">
        <v>129</v>
      </c>
      <c r="AR2653">
        <v>91</v>
      </c>
      <c r="AS2653">
        <v>-92</v>
      </c>
      <c r="AT2653">
        <v>960</v>
      </c>
      <c r="BB2653">
        <v>1200</v>
      </c>
      <c r="BC2653">
        <v>1</v>
      </c>
      <c r="BD2653" t="str">
        <f t="shared" si="953"/>
        <v xml:space="preserve">N887QR  </v>
      </c>
      <c r="BE2653">
        <v>1</v>
      </c>
      <c r="BJ2653">
        <v>3150</v>
      </c>
      <c r="BK2653">
        <v>-250</v>
      </c>
      <c r="BL2653" t="s">
        <v>163</v>
      </c>
      <c r="BM2653">
        <v>1</v>
      </c>
      <c r="BN2653">
        <v>1</v>
      </c>
      <c r="BO2653">
        <v>1</v>
      </c>
      <c r="BP2653">
        <v>0</v>
      </c>
      <c r="BS2653">
        <v>0.08</v>
      </c>
      <c r="BT2653">
        <v>0</v>
      </c>
      <c r="BU2653">
        <v>0</v>
      </c>
      <c r="CE2653" t="str">
        <f t="shared" si="962"/>
        <v>19:32:37.942</v>
      </c>
      <c r="CF2653">
        <v>941918267</v>
      </c>
      <c r="CS2653">
        <v>0</v>
      </c>
      <c r="CT2653">
        <v>2</v>
      </c>
      <c r="CU2653">
        <v>0</v>
      </c>
      <c r="CV2653">
        <v>2</v>
      </c>
      <c r="CW2653">
        <v>0</v>
      </c>
      <c r="CX2653">
        <v>0</v>
      </c>
      <c r="CY2653">
        <v>7</v>
      </c>
      <c r="CZ2653" t="s">
        <v>131</v>
      </c>
      <c r="DA2653">
        <v>297</v>
      </c>
      <c r="DB2653">
        <v>0</v>
      </c>
      <c r="DC2653" t="s">
        <v>258</v>
      </c>
      <c r="DD2653" t="s">
        <v>259</v>
      </c>
      <c r="DG2653">
        <v>16761942</v>
      </c>
      <c r="DI2653">
        <v>1</v>
      </c>
      <c r="DJ2653">
        <v>0</v>
      </c>
      <c r="DK2653">
        <v>1</v>
      </c>
      <c r="DL2653">
        <v>0</v>
      </c>
      <c r="DM2653">
        <v>0</v>
      </c>
      <c r="DN2653">
        <v>1</v>
      </c>
      <c r="DO2653">
        <v>0</v>
      </c>
      <c r="DP2653">
        <v>0</v>
      </c>
      <c r="DQ2653">
        <v>0</v>
      </c>
      <c r="DR2653">
        <v>0</v>
      </c>
      <c r="DS2653">
        <v>0</v>
      </c>
    </row>
    <row r="2654" spans="1:123" x14ac:dyDescent="0.3">
      <c r="A2654" t="str">
        <f t="shared" ref="A2654:A2660" si="963">"10/04/2022 19:32:39.354"</f>
        <v>10/04/2022 19:32:39.354</v>
      </c>
      <c r="C2654" t="str">
        <f t="shared" si="942"/>
        <v>FFDDD3C0</v>
      </c>
      <c r="D2654" t="s">
        <v>141</v>
      </c>
      <c r="E2654">
        <v>3</v>
      </c>
      <c r="H2654">
        <v>3</v>
      </c>
      <c r="I2654" t="s">
        <v>146</v>
      </c>
      <c r="J2654" t="s">
        <v>138</v>
      </c>
      <c r="K2654">
        <v>0</v>
      </c>
      <c r="L2654">
        <v>3</v>
      </c>
      <c r="M2654">
        <v>0</v>
      </c>
      <c r="N2654">
        <v>2</v>
      </c>
      <c r="O2654">
        <v>0</v>
      </c>
      <c r="P2654">
        <v>1</v>
      </c>
      <c r="Q2654">
        <v>0</v>
      </c>
      <c r="S2654" t="str">
        <f t="shared" ref="S2654:T2660" si="964">"19:32:39.000"</f>
        <v>19:32:39.000</v>
      </c>
      <c r="T2654" t="str">
        <f t="shared" si="964"/>
        <v>19:32:39.000</v>
      </c>
      <c r="U2654" t="str">
        <f t="shared" si="952"/>
        <v>AC3944</v>
      </c>
      <c r="V2654">
        <v>0</v>
      </c>
      <c r="W2654">
        <v>0</v>
      </c>
      <c r="X2654">
        <v>2</v>
      </c>
      <c r="Y2654">
        <v>0</v>
      </c>
      <c r="AA2654">
        <v>1</v>
      </c>
      <c r="AB2654">
        <v>8</v>
      </c>
      <c r="AC2654">
        <v>3</v>
      </c>
      <c r="AD2654">
        <v>0</v>
      </c>
      <c r="AE2654">
        <v>9</v>
      </c>
      <c r="AF2654" t="s">
        <v>138</v>
      </c>
      <c r="AG2654">
        <v>0</v>
      </c>
      <c r="AH2654">
        <v>3</v>
      </c>
      <c r="AI2654">
        <v>1</v>
      </c>
      <c r="AJ2654">
        <v>0</v>
      </c>
      <c r="AK2654" t="s">
        <v>904</v>
      </c>
      <c r="AL2654">
        <v>32.745351999999997</v>
      </c>
      <c r="AM2654" t="s">
        <v>905</v>
      </c>
      <c r="AN2654">
        <v>-116.76919700000001</v>
      </c>
      <c r="AO2654">
        <v>25</v>
      </c>
      <c r="AP2654">
        <v>3400</v>
      </c>
      <c r="AQ2654" t="s">
        <v>129</v>
      </c>
      <c r="AR2654">
        <v>89</v>
      </c>
      <c r="AS2654">
        <v>-92</v>
      </c>
      <c r="AT2654">
        <v>896</v>
      </c>
      <c r="BB2654">
        <v>1200</v>
      </c>
      <c r="BC2654">
        <v>1</v>
      </c>
      <c r="BD2654" t="str">
        <f t="shared" si="953"/>
        <v xml:space="preserve">N887QR  </v>
      </c>
      <c r="BE2654">
        <v>1</v>
      </c>
      <c r="BJ2654">
        <v>3175</v>
      </c>
      <c r="BK2654">
        <v>-225</v>
      </c>
      <c r="BL2654" t="s">
        <v>163</v>
      </c>
      <c r="BM2654">
        <v>1</v>
      </c>
      <c r="BN2654">
        <v>1</v>
      </c>
      <c r="BO2654">
        <v>1</v>
      </c>
      <c r="BP2654">
        <v>0</v>
      </c>
      <c r="BS2654">
        <v>0</v>
      </c>
      <c r="BT2654">
        <v>0</v>
      </c>
      <c r="BU2654">
        <v>0</v>
      </c>
      <c r="CE2654" t="str">
        <f t="shared" ref="CE2654:CE2660" si="965">"19:32:39.125"</f>
        <v>19:32:39.125</v>
      </c>
      <c r="CF2654">
        <v>124584079</v>
      </c>
      <c r="CS2654">
        <v>0</v>
      </c>
      <c r="CT2654">
        <v>2</v>
      </c>
      <c r="CU2654">
        <v>0</v>
      </c>
      <c r="CV2654">
        <v>2</v>
      </c>
      <c r="CW2654">
        <v>1</v>
      </c>
      <c r="CX2654">
        <v>5</v>
      </c>
      <c r="CY2654">
        <v>7</v>
      </c>
      <c r="CZ2654" t="s">
        <v>131</v>
      </c>
      <c r="DA2654">
        <v>300</v>
      </c>
      <c r="DB2654">
        <v>0</v>
      </c>
      <c r="DC2654" t="s">
        <v>176</v>
      </c>
      <c r="DD2654" t="s">
        <v>177</v>
      </c>
      <c r="DG2654">
        <v>5417940</v>
      </c>
      <c r="DI2654">
        <v>1</v>
      </c>
      <c r="DJ2654">
        <v>0</v>
      </c>
      <c r="DK2654">
        <v>0</v>
      </c>
      <c r="DL2654">
        <v>0</v>
      </c>
      <c r="DM2654">
        <v>0</v>
      </c>
      <c r="DN2654">
        <v>1</v>
      </c>
      <c r="DO2654">
        <v>0</v>
      </c>
      <c r="DP2654">
        <v>0</v>
      </c>
      <c r="DQ2654">
        <v>0</v>
      </c>
      <c r="DR2654">
        <v>0</v>
      </c>
      <c r="DS2654">
        <v>0</v>
      </c>
    </row>
    <row r="2655" spans="1:123" x14ac:dyDescent="0.3">
      <c r="A2655" t="str">
        <f t="shared" si="963"/>
        <v>10/04/2022 19:32:39.354</v>
      </c>
      <c r="C2655" t="str">
        <f t="shared" si="942"/>
        <v>FFDDD3C0</v>
      </c>
      <c r="D2655" t="s">
        <v>136</v>
      </c>
      <c r="E2655">
        <v>8</v>
      </c>
      <c r="H2655">
        <v>225</v>
      </c>
      <c r="I2655" t="s">
        <v>137</v>
      </c>
      <c r="J2655" t="s">
        <v>138</v>
      </c>
      <c r="K2655">
        <v>0</v>
      </c>
      <c r="L2655">
        <v>3</v>
      </c>
      <c r="M2655">
        <v>0</v>
      </c>
      <c r="N2655">
        <v>2</v>
      </c>
      <c r="O2655">
        <v>0</v>
      </c>
      <c r="P2655">
        <v>1</v>
      </c>
      <c r="Q2655">
        <v>0</v>
      </c>
      <c r="S2655" t="str">
        <f t="shared" si="964"/>
        <v>19:32:39.000</v>
      </c>
      <c r="T2655" t="str">
        <f t="shared" si="964"/>
        <v>19:32:39.000</v>
      </c>
      <c r="U2655" t="str">
        <f t="shared" si="952"/>
        <v>AC3944</v>
      </c>
      <c r="V2655">
        <v>0</v>
      </c>
      <c r="W2655">
        <v>0</v>
      </c>
      <c r="X2655">
        <v>2</v>
      </c>
      <c r="Y2655">
        <v>0</v>
      </c>
      <c r="AA2655">
        <v>1</v>
      </c>
      <c r="AB2655">
        <v>8</v>
      </c>
      <c r="AC2655">
        <v>3</v>
      </c>
      <c r="AD2655">
        <v>0</v>
      </c>
      <c r="AE2655">
        <v>9</v>
      </c>
      <c r="AF2655" t="s">
        <v>138</v>
      </c>
      <c r="AG2655">
        <v>0</v>
      </c>
      <c r="AH2655">
        <v>3</v>
      </c>
      <c r="AI2655">
        <v>1</v>
      </c>
      <c r="AJ2655">
        <v>0</v>
      </c>
      <c r="AK2655" t="s">
        <v>904</v>
      </c>
      <c r="AL2655">
        <v>32.745351999999997</v>
      </c>
      <c r="AM2655" t="s">
        <v>905</v>
      </c>
      <c r="AN2655">
        <v>-116.76919700000001</v>
      </c>
      <c r="AO2655">
        <v>25</v>
      </c>
      <c r="AP2655">
        <v>3400</v>
      </c>
      <c r="AQ2655" t="s">
        <v>129</v>
      </c>
      <c r="AR2655">
        <v>89</v>
      </c>
      <c r="AS2655">
        <v>-92</v>
      </c>
      <c r="AT2655">
        <v>896</v>
      </c>
      <c r="BB2655">
        <v>1200</v>
      </c>
      <c r="BC2655">
        <v>1</v>
      </c>
      <c r="BD2655" t="str">
        <f t="shared" si="953"/>
        <v xml:space="preserve">N887QR  </v>
      </c>
      <c r="BE2655">
        <v>1</v>
      </c>
      <c r="BJ2655">
        <v>3175</v>
      </c>
      <c r="BK2655">
        <v>-225</v>
      </c>
      <c r="BL2655" t="s">
        <v>163</v>
      </c>
      <c r="BM2655">
        <v>1</v>
      </c>
      <c r="BN2655">
        <v>1</v>
      </c>
      <c r="BO2655">
        <v>1</v>
      </c>
      <c r="BP2655">
        <v>0</v>
      </c>
      <c r="BS2655">
        <v>0</v>
      </c>
      <c r="BT2655">
        <v>0</v>
      </c>
      <c r="BU2655">
        <v>0</v>
      </c>
      <c r="CE2655" t="str">
        <f t="shared" si="965"/>
        <v>19:32:39.125</v>
      </c>
      <c r="CF2655">
        <v>124584079</v>
      </c>
      <c r="CS2655">
        <v>0</v>
      </c>
      <c r="CT2655">
        <v>2</v>
      </c>
      <c r="CU2655">
        <v>0</v>
      </c>
      <c r="CV2655">
        <v>2</v>
      </c>
      <c r="CW2655">
        <v>1</v>
      </c>
      <c r="CX2655">
        <v>5</v>
      </c>
      <c r="CY2655">
        <v>7</v>
      </c>
      <c r="CZ2655" t="s">
        <v>131</v>
      </c>
      <c r="DA2655">
        <v>300</v>
      </c>
      <c r="DB2655">
        <v>0</v>
      </c>
      <c r="DC2655" t="s">
        <v>176</v>
      </c>
      <c r="DD2655" t="s">
        <v>177</v>
      </c>
      <c r="DG2655">
        <v>5417940</v>
      </c>
      <c r="DI2655">
        <v>1</v>
      </c>
      <c r="DJ2655">
        <v>0</v>
      </c>
      <c r="DK2655">
        <v>1</v>
      </c>
      <c r="DL2655">
        <v>0</v>
      </c>
      <c r="DM2655">
        <v>0</v>
      </c>
      <c r="DN2655">
        <v>1</v>
      </c>
      <c r="DO2655">
        <v>0</v>
      </c>
      <c r="DP2655">
        <v>0</v>
      </c>
      <c r="DQ2655">
        <v>0</v>
      </c>
      <c r="DR2655">
        <v>0</v>
      </c>
      <c r="DS2655">
        <v>0</v>
      </c>
    </row>
    <row r="2656" spans="1:123" x14ac:dyDescent="0.3">
      <c r="A2656" t="str">
        <f t="shared" si="963"/>
        <v>10/04/2022 19:32:39.354</v>
      </c>
      <c r="C2656" t="str">
        <f t="shared" si="942"/>
        <v>FFDDD3C0</v>
      </c>
      <c r="D2656" t="s">
        <v>123</v>
      </c>
      <c r="E2656">
        <v>7</v>
      </c>
      <c r="F2656">
        <v>2007</v>
      </c>
      <c r="G2656" t="s">
        <v>124</v>
      </c>
      <c r="J2656" t="s">
        <v>125</v>
      </c>
      <c r="K2656">
        <v>0</v>
      </c>
      <c r="L2656">
        <v>3</v>
      </c>
      <c r="M2656">
        <v>0</v>
      </c>
      <c r="N2656">
        <v>2</v>
      </c>
      <c r="O2656">
        <v>0</v>
      </c>
      <c r="P2656">
        <v>1</v>
      </c>
      <c r="Q2656">
        <v>0</v>
      </c>
      <c r="S2656" t="str">
        <f t="shared" si="964"/>
        <v>19:32:39.000</v>
      </c>
      <c r="T2656" t="str">
        <f t="shared" si="964"/>
        <v>19:32:39.000</v>
      </c>
      <c r="U2656" t="str">
        <f t="shared" si="952"/>
        <v>AC3944</v>
      </c>
      <c r="V2656">
        <v>0</v>
      </c>
      <c r="W2656">
        <v>0</v>
      </c>
      <c r="X2656">
        <v>2</v>
      </c>
      <c r="Y2656">
        <v>0</v>
      </c>
      <c r="AA2656">
        <v>1</v>
      </c>
      <c r="AB2656">
        <v>8</v>
      </c>
      <c r="AC2656">
        <v>3</v>
      </c>
      <c r="AD2656">
        <v>0</v>
      </c>
      <c r="AE2656">
        <v>9</v>
      </c>
      <c r="AF2656" t="s">
        <v>138</v>
      </c>
      <c r="AG2656">
        <v>0</v>
      </c>
      <c r="AH2656">
        <v>3</v>
      </c>
      <c r="AI2656">
        <v>1</v>
      </c>
      <c r="AJ2656">
        <v>0</v>
      </c>
      <c r="AK2656" t="s">
        <v>904</v>
      </c>
      <c r="AL2656">
        <v>32.745351999999997</v>
      </c>
      <c r="AM2656" t="s">
        <v>905</v>
      </c>
      <c r="AN2656">
        <v>-116.76919700000001</v>
      </c>
      <c r="AO2656">
        <v>25</v>
      </c>
      <c r="AP2656">
        <v>3400</v>
      </c>
      <c r="AQ2656" t="s">
        <v>129</v>
      </c>
      <c r="AR2656">
        <v>89</v>
      </c>
      <c r="AS2656">
        <v>-92</v>
      </c>
      <c r="AT2656">
        <v>896</v>
      </c>
      <c r="BB2656">
        <v>1200</v>
      </c>
      <c r="BC2656">
        <v>1</v>
      </c>
      <c r="BD2656" t="str">
        <f t="shared" si="953"/>
        <v xml:space="preserve">N887QR  </v>
      </c>
      <c r="BE2656">
        <v>1</v>
      </c>
      <c r="BJ2656">
        <v>3175</v>
      </c>
      <c r="BK2656">
        <v>-225</v>
      </c>
      <c r="BL2656" t="s">
        <v>163</v>
      </c>
      <c r="BM2656">
        <v>1</v>
      </c>
      <c r="BN2656">
        <v>1</v>
      </c>
      <c r="BO2656">
        <v>1</v>
      </c>
      <c r="BP2656">
        <v>0</v>
      </c>
      <c r="BS2656">
        <v>0</v>
      </c>
      <c r="BT2656">
        <v>0</v>
      </c>
      <c r="BU2656">
        <v>0</v>
      </c>
      <c r="CE2656" t="str">
        <f t="shared" si="965"/>
        <v>19:32:39.125</v>
      </c>
      <c r="CF2656">
        <v>124584079</v>
      </c>
      <c r="CS2656">
        <v>0</v>
      </c>
      <c r="CT2656">
        <v>2</v>
      </c>
      <c r="CU2656">
        <v>0</v>
      </c>
      <c r="CV2656">
        <v>2</v>
      </c>
      <c r="CW2656">
        <v>1</v>
      </c>
      <c r="CX2656">
        <v>5</v>
      </c>
      <c r="CY2656">
        <v>7</v>
      </c>
      <c r="CZ2656" t="s">
        <v>131</v>
      </c>
      <c r="DA2656">
        <v>300</v>
      </c>
      <c r="DB2656">
        <v>0</v>
      </c>
      <c r="DC2656" t="s">
        <v>176</v>
      </c>
      <c r="DD2656" t="s">
        <v>177</v>
      </c>
      <c r="DG2656">
        <v>5417940</v>
      </c>
      <c r="DI2656">
        <v>1</v>
      </c>
      <c r="DJ2656">
        <v>0</v>
      </c>
      <c r="DK2656">
        <v>1</v>
      </c>
      <c r="DL2656">
        <v>0</v>
      </c>
      <c r="DM2656">
        <v>0</v>
      </c>
      <c r="DN2656">
        <v>1</v>
      </c>
      <c r="DO2656">
        <v>0</v>
      </c>
      <c r="DP2656">
        <v>0</v>
      </c>
      <c r="DQ2656">
        <v>0</v>
      </c>
      <c r="DR2656">
        <v>0</v>
      </c>
      <c r="DS2656">
        <v>0</v>
      </c>
    </row>
    <row r="2657" spans="1:123" x14ac:dyDescent="0.3">
      <c r="A2657" t="str">
        <f t="shared" si="963"/>
        <v>10/04/2022 19:32:39.354</v>
      </c>
      <c r="C2657" t="str">
        <f t="shared" si="942"/>
        <v>FFDDD3C0</v>
      </c>
      <c r="D2657" t="s">
        <v>141</v>
      </c>
      <c r="E2657">
        <v>4</v>
      </c>
      <c r="H2657">
        <v>4</v>
      </c>
      <c r="I2657" t="s">
        <v>142</v>
      </c>
      <c r="J2657" t="s">
        <v>138</v>
      </c>
      <c r="K2657">
        <v>0</v>
      </c>
      <c r="L2657">
        <v>3</v>
      </c>
      <c r="M2657">
        <v>0</v>
      </c>
      <c r="N2657">
        <v>2</v>
      </c>
      <c r="O2657">
        <v>0</v>
      </c>
      <c r="P2657">
        <v>1</v>
      </c>
      <c r="Q2657">
        <v>0</v>
      </c>
      <c r="S2657" t="str">
        <f t="shared" si="964"/>
        <v>19:32:39.000</v>
      </c>
      <c r="T2657" t="str">
        <f t="shared" si="964"/>
        <v>19:32:39.000</v>
      </c>
      <c r="U2657" t="str">
        <f t="shared" si="952"/>
        <v>AC3944</v>
      </c>
      <c r="V2657">
        <v>0</v>
      </c>
      <c r="W2657">
        <v>0</v>
      </c>
      <c r="X2657">
        <v>2</v>
      </c>
      <c r="Y2657">
        <v>0</v>
      </c>
      <c r="AA2657">
        <v>1</v>
      </c>
      <c r="AB2657">
        <v>8</v>
      </c>
      <c r="AC2657">
        <v>3</v>
      </c>
      <c r="AD2657">
        <v>0</v>
      </c>
      <c r="AE2657">
        <v>9</v>
      </c>
      <c r="AF2657" t="s">
        <v>138</v>
      </c>
      <c r="AG2657">
        <v>0</v>
      </c>
      <c r="AH2657">
        <v>3</v>
      </c>
      <c r="AI2657">
        <v>1</v>
      </c>
      <c r="AJ2657">
        <v>0</v>
      </c>
      <c r="AK2657" t="s">
        <v>904</v>
      </c>
      <c r="AL2657">
        <v>32.745351999999997</v>
      </c>
      <c r="AM2657" t="s">
        <v>905</v>
      </c>
      <c r="AN2657">
        <v>-116.76919700000001</v>
      </c>
      <c r="AO2657">
        <v>25</v>
      </c>
      <c r="AP2657">
        <v>3400</v>
      </c>
      <c r="AQ2657" t="s">
        <v>129</v>
      </c>
      <c r="AR2657">
        <v>89</v>
      </c>
      <c r="AS2657">
        <v>-92</v>
      </c>
      <c r="AT2657">
        <v>896</v>
      </c>
      <c r="BB2657">
        <v>1200</v>
      </c>
      <c r="BC2657">
        <v>1</v>
      </c>
      <c r="BD2657" t="str">
        <f t="shared" si="953"/>
        <v xml:space="preserve">N887QR  </v>
      </c>
      <c r="BE2657">
        <v>1</v>
      </c>
      <c r="BJ2657">
        <v>3175</v>
      </c>
      <c r="BK2657">
        <v>-225</v>
      </c>
      <c r="BL2657" t="s">
        <v>163</v>
      </c>
      <c r="BM2657">
        <v>1</v>
      </c>
      <c r="BN2657">
        <v>1</v>
      </c>
      <c r="BO2657">
        <v>1</v>
      </c>
      <c r="BP2657">
        <v>0</v>
      </c>
      <c r="BS2657">
        <v>0</v>
      </c>
      <c r="BT2657">
        <v>0</v>
      </c>
      <c r="BU2657">
        <v>0</v>
      </c>
      <c r="CE2657" t="str">
        <f t="shared" si="965"/>
        <v>19:32:39.125</v>
      </c>
      <c r="CF2657">
        <v>124584079</v>
      </c>
      <c r="CS2657">
        <v>0</v>
      </c>
      <c r="CT2657">
        <v>2</v>
      </c>
      <c r="CU2657">
        <v>0</v>
      </c>
      <c r="CV2657">
        <v>2</v>
      </c>
      <c r="CW2657">
        <v>1</v>
      </c>
      <c r="CX2657">
        <v>5</v>
      </c>
      <c r="CY2657">
        <v>7</v>
      </c>
      <c r="CZ2657" t="s">
        <v>131</v>
      </c>
      <c r="DA2657">
        <v>300</v>
      </c>
      <c r="DB2657">
        <v>0</v>
      </c>
      <c r="DC2657" t="s">
        <v>176</v>
      </c>
      <c r="DD2657" t="s">
        <v>177</v>
      </c>
      <c r="DG2657">
        <v>5417940</v>
      </c>
      <c r="DI2657">
        <v>1</v>
      </c>
      <c r="DJ2657">
        <v>0</v>
      </c>
      <c r="DK2657">
        <v>1</v>
      </c>
      <c r="DL2657">
        <v>0</v>
      </c>
      <c r="DM2657">
        <v>0</v>
      </c>
      <c r="DN2657">
        <v>1</v>
      </c>
      <c r="DO2657">
        <v>0</v>
      </c>
      <c r="DP2657">
        <v>0</v>
      </c>
      <c r="DQ2657">
        <v>0</v>
      </c>
      <c r="DR2657">
        <v>0</v>
      </c>
      <c r="DS2657">
        <v>0</v>
      </c>
    </row>
    <row r="2658" spans="1:123" x14ac:dyDescent="0.3">
      <c r="A2658" t="str">
        <f t="shared" si="963"/>
        <v>10/04/2022 19:32:39.354</v>
      </c>
      <c r="C2658" t="str">
        <f t="shared" si="942"/>
        <v>FFDDD3C0</v>
      </c>
      <c r="D2658" t="s">
        <v>134</v>
      </c>
      <c r="E2658">
        <v>15</v>
      </c>
      <c r="J2658" t="s">
        <v>135</v>
      </c>
      <c r="K2658">
        <v>0</v>
      </c>
      <c r="L2658">
        <v>3</v>
      </c>
      <c r="M2658">
        <v>0</v>
      </c>
      <c r="N2658">
        <v>2</v>
      </c>
      <c r="O2658">
        <v>0</v>
      </c>
      <c r="P2658">
        <v>1</v>
      </c>
      <c r="Q2658">
        <v>0</v>
      </c>
      <c r="S2658" t="str">
        <f t="shared" si="964"/>
        <v>19:32:39.000</v>
      </c>
      <c r="T2658" t="str">
        <f t="shared" si="964"/>
        <v>19:32:39.000</v>
      </c>
      <c r="U2658" t="str">
        <f t="shared" si="952"/>
        <v>AC3944</v>
      </c>
      <c r="V2658">
        <v>0</v>
      </c>
      <c r="W2658">
        <v>0</v>
      </c>
      <c r="X2658">
        <v>2</v>
      </c>
      <c r="Y2658">
        <v>0</v>
      </c>
      <c r="AA2658">
        <v>1</v>
      </c>
      <c r="AB2658">
        <v>8</v>
      </c>
      <c r="AC2658">
        <v>3</v>
      </c>
      <c r="AD2658">
        <v>0</v>
      </c>
      <c r="AE2658">
        <v>9</v>
      </c>
      <c r="AF2658" t="s">
        <v>138</v>
      </c>
      <c r="AG2658">
        <v>0</v>
      </c>
      <c r="AH2658">
        <v>3</v>
      </c>
      <c r="AI2658">
        <v>1</v>
      </c>
      <c r="AJ2658">
        <v>0</v>
      </c>
      <c r="AK2658" t="s">
        <v>904</v>
      </c>
      <c r="AL2658">
        <v>32.745351999999997</v>
      </c>
      <c r="AM2658" t="s">
        <v>905</v>
      </c>
      <c r="AN2658">
        <v>-116.76919700000001</v>
      </c>
      <c r="AO2658">
        <v>25</v>
      </c>
      <c r="AP2658">
        <v>3400</v>
      </c>
      <c r="AQ2658" t="s">
        <v>129</v>
      </c>
      <c r="AR2658">
        <v>89</v>
      </c>
      <c r="AS2658">
        <v>-92</v>
      </c>
      <c r="AT2658">
        <v>896</v>
      </c>
      <c r="BB2658">
        <v>1200</v>
      </c>
      <c r="BC2658">
        <v>1</v>
      </c>
      <c r="BD2658" t="str">
        <f t="shared" si="953"/>
        <v xml:space="preserve">N887QR  </v>
      </c>
      <c r="BE2658">
        <v>1</v>
      </c>
      <c r="BJ2658">
        <v>3175</v>
      </c>
      <c r="BK2658">
        <v>-225</v>
      </c>
      <c r="BL2658" t="s">
        <v>163</v>
      </c>
      <c r="BM2658">
        <v>1</v>
      </c>
      <c r="BN2658">
        <v>1</v>
      </c>
      <c r="BO2658">
        <v>1</v>
      </c>
      <c r="BP2658">
        <v>0</v>
      </c>
      <c r="BS2658">
        <v>0</v>
      </c>
      <c r="BT2658">
        <v>0</v>
      </c>
      <c r="BU2658">
        <v>0</v>
      </c>
      <c r="CE2658" t="str">
        <f t="shared" si="965"/>
        <v>19:32:39.125</v>
      </c>
      <c r="CF2658">
        <v>124584079</v>
      </c>
      <c r="CS2658">
        <v>0</v>
      </c>
      <c r="CT2658">
        <v>2</v>
      </c>
      <c r="CU2658">
        <v>0</v>
      </c>
      <c r="CV2658">
        <v>2</v>
      </c>
      <c r="CW2658">
        <v>1</v>
      </c>
      <c r="CX2658">
        <v>5</v>
      </c>
      <c r="CY2658">
        <v>7</v>
      </c>
      <c r="CZ2658" t="s">
        <v>131</v>
      </c>
      <c r="DA2658">
        <v>300</v>
      </c>
      <c r="DB2658">
        <v>0</v>
      </c>
      <c r="DC2658" t="s">
        <v>176</v>
      </c>
      <c r="DD2658" t="s">
        <v>177</v>
      </c>
      <c r="DG2658">
        <v>5417940</v>
      </c>
      <c r="DI2658">
        <v>1</v>
      </c>
      <c r="DJ2658">
        <v>0</v>
      </c>
      <c r="DK2658">
        <v>1</v>
      </c>
      <c r="DL2658">
        <v>0</v>
      </c>
      <c r="DM2658">
        <v>0</v>
      </c>
      <c r="DN2658">
        <v>1</v>
      </c>
      <c r="DO2658">
        <v>0</v>
      </c>
      <c r="DP2658">
        <v>0</v>
      </c>
      <c r="DQ2658">
        <v>0</v>
      </c>
      <c r="DR2658">
        <v>0</v>
      </c>
      <c r="DS2658">
        <v>0</v>
      </c>
    </row>
    <row r="2659" spans="1:123" x14ac:dyDescent="0.3">
      <c r="A2659" t="str">
        <f t="shared" si="963"/>
        <v>10/04/2022 19:32:39.354</v>
      </c>
      <c r="C2659" t="str">
        <f t="shared" si="942"/>
        <v>FFDDD3C0</v>
      </c>
      <c r="D2659" t="s">
        <v>147</v>
      </c>
      <c r="E2659">
        <v>3</v>
      </c>
      <c r="H2659">
        <v>166</v>
      </c>
      <c r="I2659" t="s">
        <v>144</v>
      </c>
      <c r="J2659" t="s">
        <v>148</v>
      </c>
      <c r="K2659">
        <v>0</v>
      </c>
      <c r="L2659">
        <v>3</v>
      </c>
      <c r="M2659">
        <v>0</v>
      </c>
      <c r="N2659">
        <v>2</v>
      </c>
      <c r="O2659">
        <v>0</v>
      </c>
      <c r="P2659">
        <v>1</v>
      </c>
      <c r="Q2659">
        <v>0</v>
      </c>
      <c r="S2659" t="str">
        <f t="shared" si="964"/>
        <v>19:32:39.000</v>
      </c>
      <c r="T2659" t="str">
        <f t="shared" si="964"/>
        <v>19:32:39.000</v>
      </c>
      <c r="U2659" t="str">
        <f t="shared" si="952"/>
        <v>AC3944</v>
      </c>
      <c r="V2659">
        <v>0</v>
      </c>
      <c r="W2659">
        <v>0</v>
      </c>
      <c r="X2659">
        <v>2</v>
      </c>
      <c r="Y2659">
        <v>0</v>
      </c>
      <c r="AA2659">
        <v>1</v>
      </c>
      <c r="AB2659">
        <v>8</v>
      </c>
      <c r="AC2659">
        <v>3</v>
      </c>
      <c r="AD2659">
        <v>0</v>
      </c>
      <c r="AE2659">
        <v>9</v>
      </c>
      <c r="AF2659" t="s">
        <v>138</v>
      </c>
      <c r="AG2659">
        <v>0</v>
      </c>
      <c r="AH2659">
        <v>3</v>
      </c>
      <c r="AI2659">
        <v>1</v>
      </c>
      <c r="AJ2659">
        <v>0</v>
      </c>
      <c r="AK2659" t="s">
        <v>904</v>
      </c>
      <c r="AL2659">
        <v>32.745351999999997</v>
      </c>
      <c r="AM2659" t="s">
        <v>905</v>
      </c>
      <c r="AN2659">
        <v>-116.76919700000001</v>
      </c>
      <c r="AO2659">
        <v>25</v>
      </c>
      <c r="AP2659">
        <v>3400</v>
      </c>
      <c r="AQ2659" t="s">
        <v>129</v>
      </c>
      <c r="AR2659">
        <v>89</v>
      </c>
      <c r="AS2659">
        <v>-92</v>
      </c>
      <c r="AT2659">
        <v>896</v>
      </c>
      <c r="BB2659">
        <v>1200</v>
      </c>
      <c r="BC2659">
        <v>1</v>
      </c>
      <c r="BD2659" t="str">
        <f t="shared" si="953"/>
        <v xml:space="preserve">N887QR  </v>
      </c>
      <c r="BE2659">
        <v>1</v>
      </c>
      <c r="BJ2659">
        <v>3175</v>
      </c>
      <c r="BK2659">
        <v>-225</v>
      </c>
      <c r="BL2659" t="s">
        <v>163</v>
      </c>
      <c r="BM2659">
        <v>1</v>
      </c>
      <c r="BN2659">
        <v>1</v>
      </c>
      <c r="BO2659">
        <v>1</v>
      </c>
      <c r="BP2659">
        <v>0</v>
      </c>
      <c r="BS2659">
        <v>0</v>
      </c>
      <c r="BT2659">
        <v>0</v>
      </c>
      <c r="BU2659">
        <v>0</v>
      </c>
      <c r="CE2659" t="str">
        <f t="shared" si="965"/>
        <v>19:32:39.125</v>
      </c>
      <c r="CF2659">
        <v>124584079</v>
      </c>
      <c r="CS2659">
        <v>0</v>
      </c>
      <c r="CT2659">
        <v>2</v>
      </c>
      <c r="CU2659">
        <v>0</v>
      </c>
      <c r="CV2659">
        <v>2</v>
      </c>
      <c r="CW2659">
        <v>1</v>
      </c>
      <c r="CX2659">
        <v>5</v>
      </c>
      <c r="CY2659">
        <v>7</v>
      </c>
      <c r="CZ2659" t="s">
        <v>131</v>
      </c>
      <c r="DA2659">
        <v>300</v>
      </c>
      <c r="DB2659">
        <v>0</v>
      </c>
      <c r="DC2659" t="s">
        <v>176</v>
      </c>
      <c r="DD2659" t="s">
        <v>177</v>
      </c>
      <c r="DG2659">
        <v>5417940</v>
      </c>
      <c r="DI2659">
        <v>1</v>
      </c>
      <c r="DJ2659">
        <v>0</v>
      </c>
      <c r="DK2659">
        <v>1</v>
      </c>
      <c r="DL2659">
        <v>0</v>
      </c>
      <c r="DM2659">
        <v>0</v>
      </c>
      <c r="DN2659">
        <v>1</v>
      </c>
      <c r="DO2659">
        <v>0</v>
      </c>
      <c r="DP2659">
        <v>0</v>
      </c>
      <c r="DQ2659">
        <v>0</v>
      </c>
      <c r="DR2659">
        <v>0</v>
      </c>
      <c r="DS2659">
        <v>0</v>
      </c>
    </row>
    <row r="2660" spans="1:123" x14ac:dyDescent="0.3">
      <c r="A2660" t="str">
        <f t="shared" si="963"/>
        <v>10/04/2022 19:32:39.354</v>
      </c>
      <c r="C2660" t="str">
        <f t="shared" si="942"/>
        <v>FFDDD3C0</v>
      </c>
      <c r="D2660" t="s">
        <v>143</v>
      </c>
      <c r="E2660">
        <v>20</v>
      </c>
      <c r="F2660">
        <v>1020</v>
      </c>
      <c r="G2660" t="s">
        <v>144</v>
      </c>
      <c r="J2660" t="s">
        <v>145</v>
      </c>
      <c r="K2660">
        <v>0</v>
      </c>
      <c r="L2660">
        <v>3</v>
      </c>
      <c r="M2660">
        <v>0</v>
      </c>
      <c r="N2660">
        <v>2</v>
      </c>
      <c r="O2660">
        <v>0</v>
      </c>
      <c r="P2660">
        <v>1</v>
      </c>
      <c r="Q2660">
        <v>0</v>
      </c>
      <c r="S2660" t="str">
        <f t="shared" si="964"/>
        <v>19:32:39.000</v>
      </c>
      <c r="T2660" t="str">
        <f t="shared" si="964"/>
        <v>19:32:39.000</v>
      </c>
      <c r="U2660" t="str">
        <f t="shared" si="952"/>
        <v>AC3944</v>
      </c>
      <c r="V2660">
        <v>0</v>
      </c>
      <c r="W2660">
        <v>0</v>
      </c>
      <c r="X2660">
        <v>2</v>
      </c>
      <c r="Y2660">
        <v>0</v>
      </c>
      <c r="AA2660">
        <v>1</v>
      </c>
      <c r="AB2660">
        <v>8</v>
      </c>
      <c r="AC2660">
        <v>3</v>
      </c>
      <c r="AD2660">
        <v>0</v>
      </c>
      <c r="AE2660">
        <v>9</v>
      </c>
      <c r="AF2660" t="s">
        <v>138</v>
      </c>
      <c r="AG2660">
        <v>0</v>
      </c>
      <c r="AH2660">
        <v>3</v>
      </c>
      <c r="AI2660">
        <v>1</v>
      </c>
      <c r="AJ2660">
        <v>0</v>
      </c>
      <c r="AK2660" t="s">
        <v>904</v>
      </c>
      <c r="AL2660">
        <v>32.745351999999997</v>
      </c>
      <c r="AM2660" t="s">
        <v>905</v>
      </c>
      <c r="AN2660">
        <v>-116.76919700000001</v>
      </c>
      <c r="AO2660">
        <v>25</v>
      </c>
      <c r="AP2660">
        <v>3400</v>
      </c>
      <c r="AQ2660" t="s">
        <v>129</v>
      </c>
      <c r="AR2660">
        <v>89</v>
      </c>
      <c r="AS2660">
        <v>-92</v>
      </c>
      <c r="AT2660">
        <v>896</v>
      </c>
      <c r="BB2660">
        <v>1200</v>
      </c>
      <c r="BC2660">
        <v>1</v>
      </c>
      <c r="BD2660" t="str">
        <f t="shared" si="953"/>
        <v xml:space="preserve">N887QR  </v>
      </c>
      <c r="BE2660">
        <v>1</v>
      </c>
      <c r="BJ2660">
        <v>3175</v>
      </c>
      <c r="BK2660">
        <v>-225</v>
      </c>
      <c r="BL2660" t="s">
        <v>163</v>
      </c>
      <c r="BM2660">
        <v>1</v>
      </c>
      <c r="BN2660">
        <v>1</v>
      </c>
      <c r="BO2660">
        <v>1</v>
      </c>
      <c r="BP2660">
        <v>0</v>
      </c>
      <c r="BS2660">
        <v>0</v>
      </c>
      <c r="BT2660">
        <v>0</v>
      </c>
      <c r="BU2660">
        <v>0</v>
      </c>
      <c r="CE2660" t="str">
        <f t="shared" si="965"/>
        <v>19:32:39.125</v>
      </c>
      <c r="CF2660">
        <v>124584079</v>
      </c>
      <c r="CS2660">
        <v>0</v>
      </c>
      <c r="CT2660">
        <v>2</v>
      </c>
      <c r="CU2660">
        <v>0</v>
      </c>
      <c r="CV2660">
        <v>2</v>
      </c>
      <c r="CW2660">
        <v>1</v>
      </c>
      <c r="CX2660">
        <v>5</v>
      </c>
      <c r="CY2660">
        <v>7</v>
      </c>
      <c r="CZ2660" t="s">
        <v>131</v>
      </c>
      <c r="DA2660">
        <v>300</v>
      </c>
      <c r="DB2660">
        <v>0</v>
      </c>
      <c r="DC2660" t="s">
        <v>176</v>
      </c>
      <c r="DD2660" t="s">
        <v>177</v>
      </c>
      <c r="DG2660">
        <v>5417940</v>
      </c>
      <c r="DI2660">
        <v>1</v>
      </c>
      <c r="DJ2660">
        <v>0</v>
      </c>
      <c r="DK2660">
        <v>1</v>
      </c>
      <c r="DL2660">
        <v>0</v>
      </c>
      <c r="DM2660">
        <v>0</v>
      </c>
      <c r="DN2660">
        <v>1</v>
      </c>
      <c r="DO2660">
        <v>0</v>
      </c>
      <c r="DP2660">
        <v>0</v>
      </c>
      <c r="DQ2660">
        <v>0</v>
      </c>
      <c r="DR2660">
        <v>0</v>
      </c>
      <c r="DS2660">
        <v>0</v>
      </c>
    </row>
    <row r="2661" spans="1:123" x14ac:dyDescent="0.3">
      <c r="A2661" t="str">
        <f>"10/04/2022 19:32:40.422"</f>
        <v>10/04/2022 19:32:40.422</v>
      </c>
      <c r="C2661" t="str">
        <f t="shared" si="942"/>
        <v>FFDDD3C0</v>
      </c>
      <c r="D2661" t="s">
        <v>147</v>
      </c>
      <c r="E2661">
        <v>3</v>
      </c>
      <c r="H2661">
        <v>166</v>
      </c>
      <c r="I2661" t="s">
        <v>144</v>
      </c>
      <c r="J2661" t="s">
        <v>148</v>
      </c>
      <c r="K2661">
        <v>0</v>
      </c>
      <c r="L2661">
        <v>3</v>
      </c>
      <c r="M2661">
        <v>0</v>
      </c>
      <c r="N2661">
        <v>2</v>
      </c>
      <c r="O2661">
        <v>0</v>
      </c>
      <c r="P2661">
        <v>1</v>
      </c>
      <c r="Q2661">
        <v>0</v>
      </c>
      <c r="S2661" t="str">
        <f t="shared" ref="S2661:T2667" si="966">"19:32:40.000"</f>
        <v>19:32:40.000</v>
      </c>
      <c r="T2661" t="str">
        <f t="shared" si="966"/>
        <v>19:32:40.000</v>
      </c>
      <c r="U2661" t="str">
        <f t="shared" si="952"/>
        <v>AC3944</v>
      </c>
      <c r="V2661">
        <v>0</v>
      </c>
      <c r="W2661">
        <v>0</v>
      </c>
      <c r="X2661">
        <v>2</v>
      </c>
      <c r="Y2661">
        <v>0</v>
      </c>
      <c r="AA2661">
        <v>1</v>
      </c>
      <c r="AB2661">
        <v>8</v>
      </c>
      <c r="AC2661">
        <v>3</v>
      </c>
      <c r="AD2661">
        <v>0</v>
      </c>
      <c r="AE2661">
        <v>9</v>
      </c>
      <c r="AF2661" t="s">
        <v>138</v>
      </c>
      <c r="AG2661">
        <v>0</v>
      </c>
      <c r="AH2661">
        <v>3</v>
      </c>
      <c r="AI2661">
        <v>1</v>
      </c>
      <c r="AJ2661">
        <v>0</v>
      </c>
      <c r="AK2661" t="s">
        <v>906</v>
      </c>
      <c r="AL2661">
        <v>32.745007999999999</v>
      </c>
      <c r="AM2661" t="s">
        <v>907</v>
      </c>
      <c r="AN2661">
        <v>-116.768789</v>
      </c>
      <c r="AO2661">
        <v>25</v>
      </c>
      <c r="AP2661">
        <v>3400</v>
      </c>
      <c r="AQ2661" t="s">
        <v>129</v>
      </c>
      <c r="AR2661">
        <v>89</v>
      </c>
      <c r="AS2661">
        <v>-92</v>
      </c>
      <c r="AT2661">
        <v>896</v>
      </c>
      <c r="BB2661">
        <v>1200</v>
      </c>
      <c r="BC2661">
        <v>1</v>
      </c>
      <c r="BD2661" t="str">
        <f t="shared" si="953"/>
        <v xml:space="preserve">N887QR  </v>
      </c>
      <c r="BE2661">
        <v>1</v>
      </c>
      <c r="BJ2661">
        <v>3175</v>
      </c>
      <c r="BK2661">
        <v>-225</v>
      </c>
      <c r="BL2661" t="s">
        <v>163</v>
      </c>
      <c r="BM2661">
        <v>1</v>
      </c>
      <c r="BN2661">
        <v>1</v>
      </c>
      <c r="BO2661">
        <v>1</v>
      </c>
      <c r="BP2661">
        <v>0</v>
      </c>
      <c r="BS2661">
        <v>0</v>
      </c>
      <c r="BT2661">
        <v>0</v>
      </c>
      <c r="BU2661">
        <v>0</v>
      </c>
      <c r="CE2661" t="str">
        <f t="shared" ref="CE2661:CE2667" si="967">"19:32:40.166"</f>
        <v>19:32:40.166</v>
      </c>
      <c r="CF2661">
        <v>165587514</v>
      </c>
      <c r="CS2661">
        <v>0</v>
      </c>
      <c r="CT2661">
        <v>2</v>
      </c>
      <c r="CU2661">
        <v>0</v>
      </c>
      <c r="CV2661">
        <v>2</v>
      </c>
      <c r="CW2661">
        <v>0</v>
      </c>
      <c r="CX2661">
        <v>4</v>
      </c>
      <c r="CY2661">
        <v>7</v>
      </c>
      <c r="CZ2661" t="s">
        <v>131</v>
      </c>
      <c r="DA2661">
        <v>300</v>
      </c>
      <c r="DB2661">
        <v>0</v>
      </c>
      <c r="DC2661" t="s">
        <v>176</v>
      </c>
      <c r="DD2661" t="s">
        <v>177</v>
      </c>
      <c r="DG2661">
        <v>5418110</v>
      </c>
      <c r="DI2661">
        <v>1</v>
      </c>
      <c r="DJ2661">
        <v>0</v>
      </c>
      <c r="DK2661">
        <v>0</v>
      </c>
      <c r="DL2661">
        <v>0</v>
      </c>
      <c r="DM2661">
        <v>0</v>
      </c>
      <c r="DN2661">
        <v>1</v>
      </c>
      <c r="DO2661">
        <v>0</v>
      </c>
      <c r="DP2661">
        <v>0</v>
      </c>
      <c r="DQ2661">
        <v>0</v>
      </c>
      <c r="DR2661">
        <v>0</v>
      </c>
      <c r="DS2661">
        <v>0</v>
      </c>
    </row>
    <row r="2662" spans="1:123" x14ac:dyDescent="0.3">
      <c r="A2662" t="str">
        <f>"10/04/2022 19:32:40.422"</f>
        <v>10/04/2022 19:32:40.422</v>
      </c>
      <c r="C2662" t="str">
        <f t="shared" si="942"/>
        <v>FFDDD3C0</v>
      </c>
      <c r="D2662" t="s">
        <v>143</v>
      </c>
      <c r="E2662">
        <v>20</v>
      </c>
      <c r="F2662">
        <v>1020</v>
      </c>
      <c r="G2662" t="s">
        <v>144</v>
      </c>
      <c r="J2662" t="s">
        <v>145</v>
      </c>
      <c r="K2662">
        <v>0</v>
      </c>
      <c r="L2662">
        <v>3</v>
      </c>
      <c r="M2662">
        <v>0</v>
      </c>
      <c r="N2662">
        <v>2</v>
      </c>
      <c r="O2662">
        <v>0</v>
      </c>
      <c r="P2662">
        <v>1</v>
      </c>
      <c r="Q2662">
        <v>0</v>
      </c>
      <c r="S2662" t="str">
        <f t="shared" si="966"/>
        <v>19:32:40.000</v>
      </c>
      <c r="T2662" t="str">
        <f t="shared" si="966"/>
        <v>19:32:40.000</v>
      </c>
      <c r="U2662" t="str">
        <f t="shared" si="952"/>
        <v>AC3944</v>
      </c>
      <c r="V2662">
        <v>0</v>
      </c>
      <c r="W2662">
        <v>0</v>
      </c>
      <c r="X2662">
        <v>2</v>
      </c>
      <c r="Y2662">
        <v>0</v>
      </c>
      <c r="AA2662">
        <v>1</v>
      </c>
      <c r="AB2662">
        <v>8</v>
      </c>
      <c r="AC2662">
        <v>3</v>
      </c>
      <c r="AD2662">
        <v>0</v>
      </c>
      <c r="AE2662">
        <v>9</v>
      </c>
      <c r="AF2662" t="s">
        <v>138</v>
      </c>
      <c r="AG2662">
        <v>0</v>
      </c>
      <c r="AH2662">
        <v>3</v>
      </c>
      <c r="AI2662">
        <v>1</v>
      </c>
      <c r="AJ2662">
        <v>0</v>
      </c>
      <c r="AK2662" t="s">
        <v>906</v>
      </c>
      <c r="AL2662">
        <v>32.745007999999999</v>
      </c>
      <c r="AM2662" t="s">
        <v>907</v>
      </c>
      <c r="AN2662">
        <v>-116.768789</v>
      </c>
      <c r="AO2662">
        <v>25</v>
      </c>
      <c r="AP2662">
        <v>3400</v>
      </c>
      <c r="AQ2662" t="s">
        <v>129</v>
      </c>
      <c r="AR2662">
        <v>89</v>
      </c>
      <c r="AS2662">
        <v>-92</v>
      </c>
      <c r="AT2662">
        <v>896</v>
      </c>
      <c r="BB2662">
        <v>1200</v>
      </c>
      <c r="BC2662">
        <v>1</v>
      </c>
      <c r="BD2662" t="str">
        <f t="shared" si="953"/>
        <v xml:space="preserve">N887QR  </v>
      </c>
      <c r="BE2662">
        <v>1</v>
      </c>
      <c r="BJ2662">
        <v>3175</v>
      </c>
      <c r="BK2662">
        <v>-225</v>
      </c>
      <c r="BL2662" t="s">
        <v>163</v>
      </c>
      <c r="BM2662">
        <v>1</v>
      </c>
      <c r="BN2662">
        <v>1</v>
      </c>
      <c r="BO2662">
        <v>1</v>
      </c>
      <c r="BP2662">
        <v>0</v>
      </c>
      <c r="BS2662">
        <v>0</v>
      </c>
      <c r="BT2662">
        <v>0</v>
      </c>
      <c r="BU2662">
        <v>0</v>
      </c>
      <c r="CE2662" t="str">
        <f t="shared" si="967"/>
        <v>19:32:40.166</v>
      </c>
      <c r="CF2662">
        <v>165587514</v>
      </c>
      <c r="CS2662">
        <v>0</v>
      </c>
      <c r="CT2662">
        <v>2</v>
      </c>
      <c r="CU2662">
        <v>0</v>
      </c>
      <c r="CV2662">
        <v>2</v>
      </c>
      <c r="CW2662">
        <v>0</v>
      </c>
      <c r="CX2662">
        <v>4</v>
      </c>
      <c r="CY2662">
        <v>7</v>
      </c>
      <c r="CZ2662" t="s">
        <v>131</v>
      </c>
      <c r="DA2662">
        <v>300</v>
      </c>
      <c r="DB2662">
        <v>0</v>
      </c>
      <c r="DC2662" t="s">
        <v>176</v>
      </c>
      <c r="DD2662" t="s">
        <v>177</v>
      </c>
      <c r="DG2662">
        <v>5418110</v>
      </c>
      <c r="DI2662">
        <v>1</v>
      </c>
      <c r="DJ2662">
        <v>0</v>
      </c>
      <c r="DK2662">
        <v>1</v>
      </c>
      <c r="DL2662">
        <v>0</v>
      </c>
      <c r="DM2662">
        <v>0</v>
      </c>
      <c r="DN2662">
        <v>1</v>
      </c>
      <c r="DO2662">
        <v>0</v>
      </c>
      <c r="DP2662">
        <v>0</v>
      </c>
      <c r="DQ2662">
        <v>0</v>
      </c>
      <c r="DR2662">
        <v>0</v>
      </c>
      <c r="DS2662">
        <v>0</v>
      </c>
    </row>
    <row r="2663" spans="1:123" x14ac:dyDescent="0.3">
      <c r="A2663" t="str">
        <f>"10/04/2022 19:32:40.454"</f>
        <v>10/04/2022 19:32:40.454</v>
      </c>
      <c r="C2663" t="str">
        <f t="shared" ref="C2663:C2726" si="968">"FFDDD3C0"</f>
        <v>FFDDD3C0</v>
      </c>
      <c r="D2663" t="s">
        <v>123</v>
      </c>
      <c r="E2663">
        <v>7</v>
      </c>
      <c r="F2663">
        <v>2007</v>
      </c>
      <c r="G2663" t="s">
        <v>124</v>
      </c>
      <c r="J2663" t="s">
        <v>125</v>
      </c>
      <c r="K2663">
        <v>0</v>
      </c>
      <c r="L2663">
        <v>3</v>
      </c>
      <c r="M2663">
        <v>0</v>
      </c>
      <c r="N2663">
        <v>2</v>
      </c>
      <c r="O2663">
        <v>0</v>
      </c>
      <c r="P2663">
        <v>1</v>
      </c>
      <c r="Q2663">
        <v>0</v>
      </c>
      <c r="S2663" t="str">
        <f t="shared" si="966"/>
        <v>19:32:40.000</v>
      </c>
      <c r="T2663" t="str">
        <f t="shared" si="966"/>
        <v>19:32:40.000</v>
      </c>
      <c r="U2663" t="str">
        <f t="shared" si="952"/>
        <v>AC3944</v>
      </c>
      <c r="V2663">
        <v>0</v>
      </c>
      <c r="W2663">
        <v>0</v>
      </c>
      <c r="X2663">
        <v>2</v>
      </c>
      <c r="Y2663">
        <v>0</v>
      </c>
      <c r="AA2663">
        <v>1</v>
      </c>
      <c r="AB2663">
        <v>8</v>
      </c>
      <c r="AC2663">
        <v>3</v>
      </c>
      <c r="AD2663">
        <v>0</v>
      </c>
      <c r="AE2663">
        <v>9</v>
      </c>
      <c r="AF2663" t="s">
        <v>138</v>
      </c>
      <c r="AG2663">
        <v>0</v>
      </c>
      <c r="AH2663">
        <v>3</v>
      </c>
      <c r="AI2663">
        <v>1</v>
      </c>
      <c r="AJ2663">
        <v>0</v>
      </c>
      <c r="AK2663" t="s">
        <v>906</v>
      </c>
      <c r="AL2663">
        <v>32.745007999999999</v>
      </c>
      <c r="AM2663" t="s">
        <v>907</v>
      </c>
      <c r="AN2663">
        <v>-116.768789</v>
      </c>
      <c r="AO2663">
        <v>25</v>
      </c>
      <c r="AP2663">
        <v>3400</v>
      </c>
      <c r="AQ2663" t="s">
        <v>129</v>
      </c>
      <c r="AR2663">
        <v>89</v>
      </c>
      <c r="AS2663">
        <v>-92</v>
      </c>
      <c r="AT2663">
        <v>896</v>
      </c>
      <c r="BB2663">
        <v>1200</v>
      </c>
      <c r="BC2663">
        <v>1</v>
      </c>
      <c r="BD2663" t="str">
        <f t="shared" si="953"/>
        <v xml:space="preserve">N887QR  </v>
      </c>
      <c r="BE2663">
        <v>1</v>
      </c>
      <c r="BJ2663">
        <v>3175</v>
      </c>
      <c r="BK2663">
        <v>-225</v>
      </c>
      <c r="BL2663" t="s">
        <v>163</v>
      </c>
      <c r="BM2663">
        <v>1</v>
      </c>
      <c r="BN2663">
        <v>1</v>
      </c>
      <c r="BO2663">
        <v>1</v>
      </c>
      <c r="BP2663">
        <v>0</v>
      </c>
      <c r="BS2663">
        <v>0</v>
      </c>
      <c r="BT2663">
        <v>0</v>
      </c>
      <c r="BU2663">
        <v>0</v>
      </c>
      <c r="CE2663" t="str">
        <f t="shared" si="967"/>
        <v>19:32:40.166</v>
      </c>
      <c r="CF2663">
        <v>165587514</v>
      </c>
      <c r="CS2663">
        <v>0</v>
      </c>
      <c r="CT2663">
        <v>2</v>
      </c>
      <c r="CU2663">
        <v>0</v>
      </c>
      <c r="CV2663">
        <v>2</v>
      </c>
      <c r="CW2663">
        <v>0</v>
      </c>
      <c r="CX2663">
        <v>4</v>
      </c>
      <c r="CY2663">
        <v>7</v>
      </c>
      <c r="CZ2663" t="s">
        <v>131</v>
      </c>
      <c r="DA2663">
        <v>300</v>
      </c>
      <c r="DB2663">
        <v>0</v>
      </c>
      <c r="DC2663" t="s">
        <v>176</v>
      </c>
      <c r="DD2663" t="s">
        <v>177</v>
      </c>
      <c r="DG2663">
        <v>5418110</v>
      </c>
      <c r="DI2663">
        <v>1</v>
      </c>
      <c r="DJ2663">
        <v>0</v>
      </c>
      <c r="DK2663">
        <v>1</v>
      </c>
      <c r="DL2663">
        <v>0</v>
      </c>
      <c r="DM2663">
        <v>0</v>
      </c>
      <c r="DN2663">
        <v>1</v>
      </c>
      <c r="DO2663">
        <v>0</v>
      </c>
      <c r="DP2663">
        <v>0</v>
      </c>
      <c r="DQ2663">
        <v>0</v>
      </c>
      <c r="DR2663">
        <v>0</v>
      </c>
      <c r="DS2663">
        <v>0</v>
      </c>
    </row>
    <row r="2664" spans="1:123" x14ac:dyDescent="0.3">
      <c r="A2664" t="str">
        <f>"10/04/2022 19:32:40.454"</f>
        <v>10/04/2022 19:32:40.454</v>
      </c>
      <c r="C2664" t="str">
        <f t="shared" si="968"/>
        <v>FFDDD3C0</v>
      </c>
      <c r="D2664" t="s">
        <v>141</v>
      </c>
      <c r="E2664">
        <v>4</v>
      </c>
      <c r="H2664">
        <v>4</v>
      </c>
      <c r="I2664" t="s">
        <v>142</v>
      </c>
      <c r="J2664" t="s">
        <v>138</v>
      </c>
      <c r="K2664">
        <v>0</v>
      </c>
      <c r="L2664">
        <v>3</v>
      </c>
      <c r="M2664">
        <v>0</v>
      </c>
      <c r="N2664">
        <v>2</v>
      </c>
      <c r="O2664">
        <v>0</v>
      </c>
      <c r="P2664">
        <v>1</v>
      </c>
      <c r="Q2664">
        <v>0</v>
      </c>
      <c r="S2664" t="str">
        <f t="shared" si="966"/>
        <v>19:32:40.000</v>
      </c>
      <c r="T2664" t="str">
        <f t="shared" si="966"/>
        <v>19:32:40.000</v>
      </c>
      <c r="U2664" t="str">
        <f t="shared" si="952"/>
        <v>AC3944</v>
      </c>
      <c r="V2664">
        <v>0</v>
      </c>
      <c r="W2664">
        <v>0</v>
      </c>
      <c r="X2664">
        <v>2</v>
      </c>
      <c r="Y2664">
        <v>0</v>
      </c>
      <c r="AA2664">
        <v>1</v>
      </c>
      <c r="AB2664">
        <v>8</v>
      </c>
      <c r="AC2664">
        <v>3</v>
      </c>
      <c r="AD2664">
        <v>0</v>
      </c>
      <c r="AE2664">
        <v>9</v>
      </c>
      <c r="AF2664" t="s">
        <v>138</v>
      </c>
      <c r="AG2664">
        <v>0</v>
      </c>
      <c r="AH2664">
        <v>3</v>
      </c>
      <c r="AI2664">
        <v>1</v>
      </c>
      <c r="AJ2664">
        <v>0</v>
      </c>
      <c r="AK2664" t="s">
        <v>906</v>
      </c>
      <c r="AL2664">
        <v>32.745007999999999</v>
      </c>
      <c r="AM2664" t="s">
        <v>907</v>
      </c>
      <c r="AN2664">
        <v>-116.768789</v>
      </c>
      <c r="AO2664">
        <v>25</v>
      </c>
      <c r="AP2664">
        <v>3400</v>
      </c>
      <c r="AQ2664" t="s">
        <v>129</v>
      </c>
      <c r="AR2664">
        <v>89</v>
      </c>
      <c r="AS2664">
        <v>-92</v>
      </c>
      <c r="AT2664">
        <v>896</v>
      </c>
      <c r="BB2664">
        <v>1200</v>
      </c>
      <c r="BC2664">
        <v>1</v>
      </c>
      <c r="BD2664" t="str">
        <f t="shared" si="953"/>
        <v xml:space="preserve">N887QR  </v>
      </c>
      <c r="BE2664">
        <v>1</v>
      </c>
      <c r="BJ2664">
        <v>3175</v>
      </c>
      <c r="BK2664">
        <v>-225</v>
      </c>
      <c r="BL2664" t="s">
        <v>163</v>
      </c>
      <c r="BM2664">
        <v>1</v>
      </c>
      <c r="BN2664">
        <v>1</v>
      </c>
      <c r="BO2664">
        <v>1</v>
      </c>
      <c r="BP2664">
        <v>0</v>
      </c>
      <c r="BS2664">
        <v>0</v>
      </c>
      <c r="BT2664">
        <v>0</v>
      </c>
      <c r="BU2664">
        <v>0</v>
      </c>
      <c r="CE2664" t="str">
        <f t="shared" si="967"/>
        <v>19:32:40.166</v>
      </c>
      <c r="CF2664">
        <v>165587514</v>
      </c>
      <c r="CS2664">
        <v>0</v>
      </c>
      <c r="CT2664">
        <v>2</v>
      </c>
      <c r="CU2664">
        <v>0</v>
      </c>
      <c r="CV2664">
        <v>2</v>
      </c>
      <c r="CW2664">
        <v>0</v>
      </c>
      <c r="CX2664">
        <v>4</v>
      </c>
      <c r="CY2664">
        <v>7</v>
      </c>
      <c r="CZ2664" t="s">
        <v>131</v>
      </c>
      <c r="DA2664">
        <v>300</v>
      </c>
      <c r="DB2664">
        <v>0</v>
      </c>
      <c r="DC2664" t="s">
        <v>176</v>
      </c>
      <c r="DD2664" t="s">
        <v>177</v>
      </c>
      <c r="DG2664">
        <v>5418110</v>
      </c>
      <c r="DI2664">
        <v>1</v>
      </c>
      <c r="DJ2664">
        <v>0</v>
      </c>
      <c r="DK2664">
        <v>1</v>
      </c>
      <c r="DL2664">
        <v>0</v>
      </c>
      <c r="DM2664">
        <v>0</v>
      </c>
      <c r="DN2664">
        <v>1</v>
      </c>
      <c r="DO2664">
        <v>0</v>
      </c>
      <c r="DP2664">
        <v>0</v>
      </c>
      <c r="DQ2664">
        <v>0</v>
      </c>
      <c r="DR2664">
        <v>0</v>
      </c>
      <c r="DS2664">
        <v>0</v>
      </c>
    </row>
    <row r="2665" spans="1:123" x14ac:dyDescent="0.3">
      <c r="A2665" t="str">
        <f>"10/04/2022 19:32:40.454"</f>
        <v>10/04/2022 19:32:40.454</v>
      </c>
      <c r="C2665" t="str">
        <f t="shared" si="968"/>
        <v>FFDDD3C0</v>
      </c>
      <c r="D2665" t="s">
        <v>136</v>
      </c>
      <c r="E2665">
        <v>8</v>
      </c>
      <c r="H2665">
        <v>225</v>
      </c>
      <c r="I2665" t="s">
        <v>137</v>
      </c>
      <c r="J2665" t="s">
        <v>138</v>
      </c>
      <c r="K2665">
        <v>0</v>
      </c>
      <c r="L2665">
        <v>3</v>
      </c>
      <c r="M2665">
        <v>0</v>
      </c>
      <c r="N2665">
        <v>2</v>
      </c>
      <c r="O2665">
        <v>0</v>
      </c>
      <c r="P2665">
        <v>1</v>
      </c>
      <c r="Q2665">
        <v>0</v>
      </c>
      <c r="S2665" t="str">
        <f t="shared" si="966"/>
        <v>19:32:40.000</v>
      </c>
      <c r="T2665" t="str">
        <f t="shared" si="966"/>
        <v>19:32:40.000</v>
      </c>
      <c r="U2665" t="str">
        <f t="shared" si="952"/>
        <v>AC3944</v>
      </c>
      <c r="V2665">
        <v>0</v>
      </c>
      <c r="W2665">
        <v>0</v>
      </c>
      <c r="X2665">
        <v>2</v>
      </c>
      <c r="Y2665">
        <v>0</v>
      </c>
      <c r="AA2665">
        <v>1</v>
      </c>
      <c r="AB2665">
        <v>8</v>
      </c>
      <c r="AC2665">
        <v>3</v>
      </c>
      <c r="AD2665">
        <v>0</v>
      </c>
      <c r="AE2665">
        <v>9</v>
      </c>
      <c r="AF2665" t="s">
        <v>138</v>
      </c>
      <c r="AG2665">
        <v>0</v>
      </c>
      <c r="AH2665">
        <v>3</v>
      </c>
      <c r="AI2665">
        <v>1</v>
      </c>
      <c r="AJ2665">
        <v>0</v>
      </c>
      <c r="AK2665" t="s">
        <v>906</v>
      </c>
      <c r="AL2665">
        <v>32.745007999999999</v>
      </c>
      <c r="AM2665" t="s">
        <v>907</v>
      </c>
      <c r="AN2665">
        <v>-116.768789</v>
      </c>
      <c r="AO2665">
        <v>25</v>
      </c>
      <c r="AP2665">
        <v>3400</v>
      </c>
      <c r="AQ2665" t="s">
        <v>129</v>
      </c>
      <c r="AR2665">
        <v>89</v>
      </c>
      <c r="AS2665">
        <v>-92</v>
      </c>
      <c r="AT2665">
        <v>896</v>
      </c>
      <c r="BB2665">
        <v>1200</v>
      </c>
      <c r="BC2665">
        <v>1</v>
      </c>
      <c r="BD2665" t="str">
        <f t="shared" si="953"/>
        <v xml:space="preserve">N887QR  </v>
      </c>
      <c r="BE2665">
        <v>1</v>
      </c>
      <c r="BJ2665">
        <v>3175</v>
      </c>
      <c r="BK2665">
        <v>-225</v>
      </c>
      <c r="BL2665" t="s">
        <v>163</v>
      </c>
      <c r="BM2665">
        <v>1</v>
      </c>
      <c r="BN2665">
        <v>1</v>
      </c>
      <c r="BO2665">
        <v>1</v>
      </c>
      <c r="BP2665">
        <v>0</v>
      </c>
      <c r="BS2665">
        <v>0</v>
      </c>
      <c r="BT2665">
        <v>0</v>
      </c>
      <c r="BU2665">
        <v>0</v>
      </c>
      <c r="CE2665" t="str">
        <f t="shared" si="967"/>
        <v>19:32:40.166</v>
      </c>
      <c r="CF2665">
        <v>165587514</v>
      </c>
      <c r="CS2665">
        <v>0</v>
      </c>
      <c r="CT2665">
        <v>2</v>
      </c>
      <c r="CU2665">
        <v>0</v>
      </c>
      <c r="CV2665">
        <v>2</v>
      </c>
      <c r="CW2665">
        <v>0</v>
      </c>
      <c r="CX2665">
        <v>4</v>
      </c>
      <c r="CY2665">
        <v>7</v>
      </c>
      <c r="CZ2665" t="s">
        <v>131</v>
      </c>
      <c r="DA2665">
        <v>300</v>
      </c>
      <c r="DB2665">
        <v>0</v>
      </c>
      <c r="DC2665" t="s">
        <v>176</v>
      </c>
      <c r="DD2665" t="s">
        <v>177</v>
      </c>
      <c r="DG2665">
        <v>5418110</v>
      </c>
      <c r="DI2665">
        <v>1</v>
      </c>
      <c r="DJ2665">
        <v>0</v>
      </c>
      <c r="DK2665">
        <v>1</v>
      </c>
      <c r="DL2665">
        <v>0</v>
      </c>
      <c r="DM2665">
        <v>0</v>
      </c>
      <c r="DN2665">
        <v>1</v>
      </c>
      <c r="DO2665">
        <v>0</v>
      </c>
      <c r="DP2665">
        <v>0</v>
      </c>
      <c r="DQ2665">
        <v>0</v>
      </c>
      <c r="DR2665">
        <v>0</v>
      </c>
      <c r="DS2665">
        <v>0</v>
      </c>
    </row>
    <row r="2666" spans="1:123" x14ac:dyDescent="0.3">
      <c r="A2666" t="str">
        <f>"10/04/2022 19:32:40.454"</f>
        <v>10/04/2022 19:32:40.454</v>
      </c>
      <c r="C2666" t="str">
        <f t="shared" si="968"/>
        <v>FFDDD3C0</v>
      </c>
      <c r="D2666" t="s">
        <v>141</v>
      </c>
      <c r="E2666">
        <v>3</v>
      </c>
      <c r="H2666">
        <v>3</v>
      </c>
      <c r="I2666" t="s">
        <v>146</v>
      </c>
      <c r="J2666" t="s">
        <v>138</v>
      </c>
      <c r="K2666">
        <v>0</v>
      </c>
      <c r="L2666">
        <v>3</v>
      </c>
      <c r="M2666">
        <v>0</v>
      </c>
      <c r="N2666">
        <v>2</v>
      </c>
      <c r="O2666">
        <v>0</v>
      </c>
      <c r="P2666">
        <v>1</v>
      </c>
      <c r="Q2666">
        <v>0</v>
      </c>
      <c r="S2666" t="str">
        <f t="shared" si="966"/>
        <v>19:32:40.000</v>
      </c>
      <c r="T2666" t="str">
        <f t="shared" si="966"/>
        <v>19:32:40.000</v>
      </c>
      <c r="U2666" t="str">
        <f t="shared" si="952"/>
        <v>AC3944</v>
      </c>
      <c r="V2666">
        <v>0</v>
      </c>
      <c r="W2666">
        <v>0</v>
      </c>
      <c r="X2666">
        <v>2</v>
      </c>
      <c r="Y2666">
        <v>0</v>
      </c>
      <c r="AA2666">
        <v>1</v>
      </c>
      <c r="AB2666">
        <v>8</v>
      </c>
      <c r="AC2666">
        <v>3</v>
      </c>
      <c r="AD2666">
        <v>0</v>
      </c>
      <c r="AE2666">
        <v>9</v>
      </c>
      <c r="AF2666" t="s">
        <v>138</v>
      </c>
      <c r="AG2666">
        <v>0</v>
      </c>
      <c r="AH2666">
        <v>3</v>
      </c>
      <c r="AI2666">
        <v>1</v>
      </c>
      <c r="AJ2666">
        <v>0</v>
      </c>
      <c r="AK2666" t="s">
        <v>906</v>
      </c>
      <c r="AL2666">
        <v>32.745007999999999</v>
      </c>
      <c r="AM2666" t="s">
        <v>907</v>
      </c>
      <c r="AN2666">
        <v>-116.768789</v>
      </c>
      <c r="AO2666">
        <v>25</v>
      </c>
      <c r="AP2666">
        <v>3400</v>
      </c>
      <c r="AQ2666" t="s">
        <v>129</v>
      </c>
      <c r="AR2666">
        <v>89</v>
      </c>
      <c r="AS2666">
        <v>-92</v>
      </c>
      <c r="AT2666">
        <v>896</v>
      </c>
      <c r="BB2666">
        <v>1200</v>
      </c>
      <c r="BC2666">
        <v>1</v>
      </c>
      <c r="BD2666" t="str">
        <f t="shared" si="953"/>
        <v xml:space="preserve">N887QR  </v>
      </c>
      <c r="BE2666">
        <v>1</v>
      </c>
      <c r="BJ2666">
        <v>3175</v>
      </c>
      <c r="BK2666">
        <v>-225</v>
      </c>
      <c r="BL2666" t="s">
        <v>163</v>
      </c>
      <c r="BM2666">
        <v>1</v>
      </c>
      <c r="BN2666">
        <v>1</v>
      </c>
      <c r="BO2666">
        <v>1</v>
      </c>
      <c r="BP2666">
        <v>0</v>
      </c>
      <c r="BS2666">
        <v>0</v>
      </c>
      <c r="BT2666">
        <v>0</v>
      </c>
      <c r="BU2666">
        <v>0</v>
      </c>
      <c r="CE2666" t="str">
        <f t="shared" si="967"/>
        <v>19:32:40.166</v>
      </c>
      <c r="CF2666">
        <v>165587514</v>
      </c>
      <c r="CS2666">
        <v>0</v>
      </c>
      <c r="CT2666">
        <v>2</v>
      </c>
      <c r="CU2666">
        <v>0</v>
      </c>
      <c r="CV2666">
        <v>2</v>
      </c>
      <c r="CW2666">
        <v>0</v>
      </c>
      <c r="CX2666">
        <v>4</v>
      </c>
      <c r="CY2666">
        <v>7</v>
      </c>
      <c r="CZ2666" t="s">
        <v>131</v>
      </c>
      <c r="DA2666">
        <v>300</v>
      </c>
      <c r="DB2666">
        <v>0</v>
      </c>
      <c r="DC2666" t="s">
        <v>176</v>
      </c>
      <c r="DD2666" t="s">
        <v>177</v>
      </c>
      <c r="DG2666">
        <v>5418110</v>
      </c>
      <c r="DI2666">
        <v>1</v>
      </c>
      <c r="DJ2666">
        <v>0</v>
      </c>
      <c r="DK2666">
        <v>1</v>
      </c>
      <c r="DL2666">
        <v>0</v>
      </c>
      <c r="DM2666">
        <v>0</v>
      </c>
      <c r="DN2666">
        <v>1</v>
      </c>
      <c r="DO2666">
        <v>0</v>
      </c>
      <c r="DP2666">
        <v>0</v>
      </c>
      <c r="DQ2666">
        <v>0</v>
      </c>
      <c r="DR2666">
        <v>0</v>
      </c>
      <c r="DS2666">
        <v>0</v>
      </c>
    </row>
    <row r="2667" spans="1:123" x14ac:dyDescent="0.3">
      <c r="A2667" t="str">
        <f>"10/04/2022 19:32:40.500"</f>
        <v>10/04/2022 19:32:40.500</v>
      </c>
      <c r="C2667" t="str">
        <f t="shared" si="968"/>
        <v>FFDDD3C0</v>
      </c>
      <c r="D2667" t="s">
        <v>134</v>
      </c>
      <c r="E2667">
        <v>15</v>
      </c>
      <c r="J2667" t="s">
        <v>135</v>
      </c>
      <c r="K2667">
        <v>0</v>
      </c>
      <c r="L2667">
        <v>3</v>
      </c>
      <c r="M2667">
        <v>0</v>
      </c>
      <c r="N2667">
        <v>2</v>
      </c>
      <c r="O2667">
        <v>0</v>
      </c>
      <c r="P2667">
        <v>1</v>
      </c>
      <c r="Q2667">
        <v>0</v>
      </c>
      <c r="S2667" t="str">
        <f t="shared" si="966"/>
        <v>19:32:40.000</v>
      </c>
      <c r="T2667" t="str">
        <f t="shared" si="966"/>
        <v>19:32:40.000</v>
      </c>
      <c r="U2667" t="str">
        <f t="shared" si="952"/>
        <v>AC3944</v>
      </c>
      <c r="V2667">
        <v>0</v>
      </c>
      <c r="W2667">
        <v>0</v>
      </c>
      <c r="X2667">
        <v>2</v>
      </c>
      <c r="Y2667">
        <v>0</v>
      </c>
      <c r="AA2667">
        <v>1</v>
      </c>
      <c r="AB2667">
        <v>8</v>
      </c>
      <c r="AC2667">
        <v>3</v>
      </c>
      <c r="AD2667">
        <v>0</v>
      </c>
      <c r="AE2667">
        <v>9</v>
      </c>
      <c r="AF2667" t="s">
        <v>138</v>
      </c>
      <c r="AG2667">
        <v>0</v>
      </c>
      <c r="AH2667">
        <v>3</v>
      </c>
      <c r="AI2667">
        <v>1</v>
      </c>
      <c r="AJ2667">
        <v>0</v>
      </c>
      <c r="AK2667" t="s">
        <v>906</v>
      </c>
      <c r="AL2667">
        <v>32.745007999999999</v>
      </c>
      <c r="AM2667" t="s">
        <v>907</v>
      </c>
      <c r="AN2667">
        <v>-116.768789</v>
      </c>
      <c r="AO2667">
        <v>25</v>
      </c>
      <c r="AP2667">
        <v>3400</v>
      </c>
      <c r="AQ2667" t="s">
        <v>129</v>
      </c>
      <c r="AR2667">
        <v>89</v>
      </c>
      <c r="AS2667">
        <v>-92</v>
      </c>
      <c r="AT2667">
        <v>896</v>
      </c>
      <c r="BB2667">
        <v>1200</v>
      </c>
      <c r="BC2667">
        <v>1</v>
      </c>
      <c r="BD2667" t="str">
        <f t="shared" si="953"/>
        <v xml:space="preserve">N887QR  </v>
      </c>
      <c r="BE2667">
        <v>1</v>
      </c>
      <c r="BJ2667">
        <v>3175</v>
      </c>
      <c r="BK2667">
        <v>-225</v>
      </c>
      <c r="BL2667" t="s">
        <v>163</v>
      </c>
      <c r="BM2667">
        <v>1</v>
      </c>
      <c r="BN2667">
        <v>1</v>
      </c>
      <c r="BO2667">
        <v>1</v>
      </c>
      <c r="BP2667">
        <v>0</v>
      </c>
      <c r="BS2667">
        <v>0</v>
      </c>
      <c r="BT2667">
        <v>0</v>
      </c>
      <c r="BU2667">
        <v>0</v>
      </c>
      <c r="CE2667" t="str">
        <f t="shared" si="967"/>
        <v>19:32:40.166</v>
      </c>
      <c r="CF2667">
        <v>165587514</v>
      </c>
      <c r="CS2667">
        <v>0</v>
      </c>
      <c r="CT2667">
        <v>2</v>
      </c>
      <c r="CU2667">
        <v>0</v>
      </c>
      <c r="CV2667">
        <v>2</v>
      </c>
      <c r="CW2667">
        <v>0</v>
      </c>
      <c r="CX2667">
        <v>4</v>
      </c>
      <c r="CY2667">
        <v>7</v>
      </c>
      <c r="CZ2667" t="s">
        <v>131</v>
      </c>
      <c r="DA2667">
        <v>300</v>
      </c>
      <c r="DB2667">
        <v>0</v>
      </c>
      <c r="DC2667" t="s">
        <v>176</v>
      </c>
      <c r="DD2667" t="s">
        <v>177</v>
      </c>
      <c r="DG2667">
        <v>5418110</v>
      </c>
      <c r="DI2667">
        <v>1</v>
      </c>
      <c r="DJ2667">
        <v>0</v>
      </c>
      <c r="DK2667">
        <v>1</v>
      </c>
      <c r="DL2667">
        <v>0</v>
      </c>
      <c r="DM2667">
        <v>0</v>
      </c>
      <c r="DN2667">
        <v>1</v>
      </c>
      <c r="DO2667">
        <v>0</v>
      </c>
      <c r="DP2667">
        <v>0</v>
      </c>
      <c r="DQ2667">
        <v>0</v>
      </c>
      <c r="DR2667">
        <v>0</v>
      </c>
      <c r="DS2667">
        <v>0</v>
      </c>
    </row>
    <row r="2668" spans="1:123" x14ac:dyDescent="0.3">
      <c r="A2668" t="str">
        <f>"10/04/2022 19:32:41.619"</f>
        <v>10/04/2022 19:32:41.619</v>
      </c>
      <c r="C2668" t="str">
        <f t="shared" si="968"/>
        <v>FFDDD3C0</v>
      </c>
      <c r="D2668" t="s">
        <v>141</v>
      </c>
      <c r="E2668">
        <v>4</v>
      </c>
      <c r="H2668">
        <v>4</v>
      </c>
      <c r="I2668" t="s">
        <v>142</v>
      </c>
      <c r="J2668" t="s">
        <v>138</v>
      </c>
      <c r="K2668">
        <v>0</v>
      </c>
      <c r="L2668">
        <v>3</v>
      </c>
      <c r="M2668">
        <v>0</v>
      </c>
      <c r="N2668">
        <v>2</v>
      </c>
      <c r="O2668">
        <v>0</v>
      </c>
      <c r="P2668">
        <v>1</v>
      </c>
      <c r="Q2668">
        <v>0</v>
      </c>
      <c r="S2668" t="str">
        <f t="shared" ref="S2668:T2674" si="969">"19:32:41.000"</f>
        <v>19:32:41.000</v>
      </c>
      <c r="T2668" t="str">
        <f t="shared" si="969"/>
        <v>19:32:41.000</v>
      </c>
      <c r="U2668" t="str">
        <f t="shared" si="952"/>
        <v>AC3944</v>
      </c>
      <c r="V2668">
        <v>0</v>
      </c>
      <c r="W2668">
        <v>0</v>
      </c>
      <c r="X2668">
        <v>2</v>
      </c>
      <c r="Y2668">
        <v>0</v>
      </c>
      <c r="AA2668">
        <v>1</v>
      </c>
      <c r="AB2668">
        <v>8</v>
      </c>
      <c r="AC2668">
        <v>3</v>
      </c>
      <c r="AD2668">
        <v>0</v>
      </c>
      <c r="AE2668">
        <v>9</v>
      </c>
      <c r="AF2668" t="s">
        <v>138</v>
      </c>
      <c r="AG2668">
        <v>0</v>
      </c>
      <c r="AH2668">
        <v>3</v>
      </c>
      <c r="AI2668">
        <v>1</v>
      </c>
      <c r="AJ2668">
        <v>0</v>
      </c>
      <c r="AK2668" t="s">
        <v>908</v>
      </c>
      <c r="AL2668">
        <v>32.744579000000002</v>
      </c>
      <c r="AM2668" t="s">
        <v>909</v>
      </c>
      <c r="AN2668">
        <v>-116.76829600000001</v>
      </c>
      <c r="AO2668">
        <v>25</v>
      </c>
      <c r="AP2668">
        <v>3500</v>
      </c>
      <c r="AQ2668" t="s">
        <v>129</v>
      </c>
      <c r="AR2668">
        <v>89</v>
      </c>
      <c r="AS2668">
        <v>-93</v>
      </c>
      <c r="AT2668">
        <v>896</v>
      </c>
      <c r="BB2668">
        <v>1200</v>
      </c>
      <c r="BC2668">
        <v>1</v>
      </c>
      <c r="BD2668" t="str">
        <f t="shared" si="953"/>
        <v xml:space="preserve">N887QR  </v>
      </c>
      <c r="BE2668">
        <v>1</v>
      </c>
      <c r="BJ2668">
        <v>3175</v>
      </c>
      <c r="BK2668">
        <v>-325</v>
      </c>
      <c r="BL2668" t="s">
        <v>163</v>
      </c>
      <c r="BM2668">
        <v>1</v>
      </c>
      <c r="BN2668">
        <v>1</v>
      </c>
      <c r="BO2668">
        <v>1</v>
      </c>
      <c r="BP2668">
        <v>0</v>
      </c>
      <c r="BS2668">
        <v>0</v>
      </c>
      <c r="BT2668">
        <v>0</v>
      </c>
      <c r="BU2668">
        <v>0</v>
      </c>
      <c r="CE2668" t="str">
        <f t="shared" ref="CE2668:CE2674" si="970">"19:32:41.340"</f>
        <v>19:32:41.340</v>
      </c>
      <c r="CF2668">
        <v>339591582</v>
      </c>
      <c r="CS2668">
        <v>0</v>
      </c>
      <c r="CT2668">
        <v>2</v>
      </c>
      <c r="CU2668">
        <v>0</v>
      </c>
      <c r="CV2668">
        <v>2</v>
      </c>
      <c r="CW2668">
        <v>0</v>
      </c>
      <c r="CX2668">
        <v>5</v>
      </c>
      <c r="CY2668">
        <v>7</v>
      </c>
      <c r="CZ2668" t="s">
        <v>131</v>
      </c>
      <c r="DA2668">
        <v>300</v>
      </c>
      <c r="DB2668">
        <v>0</v>
      </c>
      <c r="DC2668" t="s">
        <v>176</v>
      </c>
      <c r="DD2668" t="s">
        <v>177</v>
      </c>
      <c r="DG2668">
        <v>5418290</v>
      </c>
      <c r="DI2668">
        <v>1</v>
      </c>
      <c r="DJ2668">
        <v>0</v>
      </c>
      <c r="DK2668">
        <v>0</v>
      </c>
      <c r="DL2668">
        <v>0</v>
      </c>
      <c r="DM2668">
        <v>0</v>
      </c>
      <c r="DN2668">
        <v>1</v>
      </c>
      <c r="DO2668">
        <v>0</v>
      </c>
      <c r="DP2668">
        <v>0</v>
      </c>
      <c r="DQ2668">
        <v>0</v>
      </c>
      <c r="DR2668">
        <v>0</v>
      </c>
      <c r="DS2668">
        <v>0</v>
      </c>
    </row>
    <row r="2669" spans="1:123" x14ac:dyDescent="0.3">
      <c r="A2669" t="str">
        <f>"10/04/2022 19:32:41.619"</f>
        <v>10/04/2022 19:32:41.619</v>
      </c>
      <c r="C2669" t="str">
        <f t="shared" si="968"/>
        <v>FFDDD3C0</v>
      </c>
      <c r="D2669" t="s">
        <v>141</v>
      </c>
      <c r="E2669">
        <v>3</v>
      </c>
      <c r="H2669">
        <v>3</v>
      </c>
      <c r="I2669" t="s">
        <v>146</v>
      </c>
      <c r="J2669" t="s">
        <v>138</v>
      </c>
      <c r="K2669">
        <v>0</v>
      </c>
      <c r="L2669">
        <v>3</v>
      </c>
      <c r="M2669">
        <v>0</v>
      </c>
      <c r="N2669">
        <v>2</v>
      </c>
      <c r="O2669">
        <v>0</v>
      </c>
      <c r="P2669">
        <v>1</v>
      </c>
      <c r="Q2669">
        <v>0</v>
      </c>
      <c r="S2669" t="str">
        <f t="shared" si="969"/>
        <v>19:32:41.000</v>
      </c>
      <c r="T2669" t="str">
        <f t="shared" si="969"/>
        <v>19:32:41.000</v>
      </c>
      <c r="U2669" t="str">
        <f t="shared" si="952"/>
        <v>AC3944</v>
      </c>
      <c r="V2669">
        <v>0</v>
      </c>
      <c r="W2669">
        <v>0</v>
      </c>
      <c r="X2669">
        <v>2</v>
      </c>
      <c r="Y2669">
        <v>0</v>
      </c>
      <c r="AA2669">
        <v>1</v>
      </c>
      <c r="AB2669">
        <v>8</v>
      </c>
      <c r="AC2669">
        <v>3</v>
      </c>
      <c r="AD2669">
        <v>0</v>
      </c>
      <c r="AE2669">
        <v>9</v>
      </c>
      <c r="AF2669" t="s">
        <v>138</v>
      </c>
      <c r="AG2669">
        <v>0</v>
      </c>
      <c r="AH2669">
        <v>3</v>
      </c>
      <c r="AI2669">
        <v>1</v>
      </c>
      <c r="AJ2669">
        <v>0</v>
      </c>
      <c r="AK2669" t="s">
        <v>908</v>
      </c>
      <c r="AL2669">
        <v>32.744579000000002</v>
      </c>
      <c r="AM2669" t="s">
        <v>909</v>
      </c>
      <c r="AN2669">
        <v>-116.76829600000001</v>
      </c>
      <c r="AO2669">
        <v>25</v>
      </c>
      <c r="AP2669">
        <v>3500</v>
      </c>
      <c r="AQ2669" t="s">
        <v>129</v>
      </c>
      <c r="AR2669">
        <v>89</v>
      </c>
      <c r="AS2669">
        <v>-93</v>
      </c>
      <c r="AT2669">
        <v>896</v>
      </c>
      <c r="BB2669">
        <v>1200</v>
      </c>
      <c r="BC2669">
        <v>1</v>
      </c>
      <c r="BD2669" t="str">
        <f t="shared" si="953"/>
        <v xml:space="preserve">N887QR  </v>
      </c>
      <c r="BE2669">
        <v>1</v>
      </c>
      <c r="BJ2669">
        <v>3175</v>
      </c>
      <c r="BK2669">
        <v>-325</v>
      </c>
      <c r="BL2669" t="s">
        <v>163</v>
      </c>
      <c r="BM2669">
        <v>1</v>
      </c>
      <c r="BN2669">
        <v>1</v>
      </c>
      <c r="BO2669">
        <v>1</v>
      </c>
      <c r="BP2669">
        <v>0</v>
      </c>
      <c r="BS2669">
        <v>0</v>
      </c>
      <c r="BT2669">
        <v>0</v>
      </c>
      <c r="BU2669">
        <v>0</v>
      </c>
      <c r="CE2669" t="str">
        <f t="shared" si="970"/>
        <v>19:32:41.340</v>
      </c>
      <c r="CF2669">
        <v>339591582</v>
      </c>
      <c r="CS2669">
        <v>0</v>
      </c>
      <c r="CT2669">
        <v>2</v>
      </c>
      <c r="CU2669">
        <v>0</v>
      </c>
      <c r="CV2669">
        <v>2</v>
      </c>
      <c r="CW2669">
        <v>0</v>
      </c>
      <c r="CX2669">
        <v>5</v>
      </c>
      <c r="CY2669">
        <v>7</v>
      </c>
      <c r="CZ2669" t="s">
        <v>131</v>
      </c>
      <c r="DA2669">
        <v>300</v>
      </c>
      <c r="DB2669">
        <v>0</v>
      </c>
      <c r="DC2669" t="s">
        <v>176</v>
      </c>
      <c r="DD2669" t="s">
        <v>177</v>
      </c>
      <c r="DG2669">
        <v>5418290</v>
      </c>
      <c r="DI2669">
        <v>1</v>
      </c>
      <c r="DJ2669">
        <v>0</v>
      </c>
      <c r="DK2669">
        <v>1</v>
      </c>
      <c r="DL2669">
        <v>0</v>
      </c>
      <c r="DM2669">
        <v>0</v>
      </c>
      <c r="DN2669">
        <v>1</v>
      </c>
      <c r="DO2669">
        <v>0</v>
      </c>
      <c r="DP2669">
        <v>0</v>
      </c>
      <c r="DQ2669">
        <v>0</v>
      </c>
      <c r="DR2669">
        <v>0</v>
      </c>
      <c r="DS2669">
        <v>0</v>
      </c>
    </row>
    <row r="2670" spans="1:123" x14ac:dyDescent="0.3">
      <c r="A2670" t="str">
        <f>"10/04/2022 19:32:41.619"</f>
        <v>10/04/2022 19:32:41.619</v>
      </c>
      <c r="C2670" t="str">
        <f t="shared" si="968"/>
        <v>FFDDD3C0</v>
      </c>
      <c r="D2670" t="s">
        <v>136</v>
      </c>
      <c r="E2670">
        <v>8</v>
      </c>
      <c r="H2670">
        <v>225</v>
      </c>
      <c r="I2670" t="s">
        <v>137</v>
      </c>
      <c r="J2670" t="s">
        <v>138</v>
      </c>
      <c r="K2670">
        <v>0</v>
      </c>
      <c r="L2670">
        <v>3</v>
      </c>
      <c r="M2670">
        <v>0</v>
      </c>
      <c r="N2670">
        <v>2</v>
      </c>
      <c r="O2670">
        <v>0</v>
      </c>
      <c r="P2670">
        <v>1</v>
      </c>
      <c r="Q2670">
        <v>0</v>
      </c>
      <c r="S2670" t="str">
        <f t="shared" si="969"/>
        <v>19:32:41.000</v>
      </c>
      <c r="T2670" t="str">
        <f t="shared" si="969"/>
        <v>19:32:41.000</v>
      </c>
      <c r="U2670" t="str">
        <f t="shared" si="952"/>
        <v>AC3944</v>
      </c>
      <c r="V2670">
        <v>0</v>
      </c>
      <c r="W2670">
        <v>0</v>
      </c>
      <c r="X2670">
        <v>2</v>
      </c>
      <c r="Y2670">
        <v>0</v>
      </c>
      <c r="AA2670">
        <v>1</v>
      </c>
      <c r="AB2670">
        <v>8</v>
      </c>
      <c r="AC2670">
        <v>3</v>
      </c>
      <c r="AD2670">
        <v>0</v>
      </c>
      <c r="AE2670">
        <v>9</v>
      </c>
      <c r="AF2670" t="s">
        <v>138</v>
      </c>
      <c r="AG2670">
        <v>0</v>
      </c>
      <c r="AH2670">
        <v>3</v>
      </c>
      <c r="AI2670">
        <v>1</v>
      </c>
      <c r="AJ2670">
        <v>0</v>
      </c>
      <c r="AK2670" t="s">
        <v>908</v>
      </c>
      <c r="AL2670">
        <v>32.744579000000002</v>
      </c>
      <c r="AM2670" t="s">
        <v>909</v>
      </c>
      <c r="AN2670">
        <v>-116.76829600000001</v>
      </c>
      <c r="AO2670">
        <v>25</v>
      </c>
      <c r="AP2670">
        <v>3500</v>
      </c>
      <c r="AQ2670" t="s">
        <v>129</v>
      </c>
      <c r="AR2670">
        <v>89</v>
      </c>
      <c r="AS2670">
        <v>-93</v>
      </c>
      <c r="AT2670">
        <v>896</v>
      </c>
      <c r="BB2670">
        <v>1200</v>
      </c>
      <c r="BC2670">
        <v>1</v>
      </c>
      <c r="BD2670" t="str">
        <f t="shared" si="953"/>
        <v xml:space="preserve">N887QR  </v>
      </c>
      <c r="BE2670">
        <v>1</v>
      </c>
      <c r="BJ2670">
        <v>3175</v>
      </c>
      <c r="BK2670">
        <v>-325</v>
      </c>
      <c r="BL2670" t="s">
        <v>163</v>
      </c>
      <c r="BM2670">
        <v>1</v>
      </c>
      <c r="BN2670">
        <v>1</v>
      </c>
      <c r="BO2670">
        <v>1</v>
      </c>
      <c r="BP2670">
        <v>0</v>
      </c>
      <c r="BS2670">
        <v>0</v>
      </c>
      <c r="BT2670">
        <v>0</v>
      </c>
      <c r="BU2670">
        <v>0</v>
      </c>
      <c r="CE2670" t="str">
        <f t="shared" si="970"/>
        <v>19:32:41.340</v>
      </c>
      <c r="CF2670">
        <v>339591582</v>
      </c>
      <c r="CS2670">
        <v>0</v>
      </c>
      <c r="CT2670">
        <v>2</v>
      </c>
      <c r="CU2670">
        <v>0</v>
      </c>
      <c r="CV2670">
        <v>2</v>
      </c>
      <c r="CW2670">
        <v>0</v>
      </c>
      <c r="CX2670">
        <v>5</v>
      </c>
      <c r="CY2670">
        <v>7</v>
      </c>
      <c r="CZ2670" t="s">
        <v>131</v>
      </c>
      <c r="DA2670">
        <v>300</v>
      </c>
      <c r="DB2670">
        <v>0</v>
      </c>
      <c r="DC2670" t="s">
        <v>176</v>
      </c>
      <c r="DD2670" t="s">
        <v>177</v>
      </c>
      <c r="DG2670">
        <v>5418290</v>
      </c>
      <c r="DI2670">
        <v>1</v>
      </c>
      <c r="DJ2670">
        <v>0</v>
      </c>
      <c r="DK2670">
        <v>1</v>
      </c>
      <c r="DL2670">
        <v>0</v>
      </c>
      <c r="DM2670">
        <v>0</v>
      </c>
      <c r="DN2670">
        <v>1</v>
      </c>
      <c r="DO2670">
        <v>0</v>
      </c>
      <c r="DP2670">
        <v>0</v>
      </c>
      <c r="DQ2670">
        <v>0</v>
      </c>
      <c r="DR2670">
        <v>0</v>
      </c>
      <c r="DS2670">
        <v>0</v>
      </c>
    </row>
    <row r="2671" spans="1:123" x14ac:dyDescent="0.3">
      <c r="A2671" t="str">
        <f>"10/04/2022 19:32:41.619"</f>
        <v>10/04/2022 19:32:41.619</v>
      </c>
      <c r="C2671" t="str">
        <f t="shared" si="968"/>
        <v>FFDDD3C0</v>
      </c>
      <c r="D2671" t="s">
        <v>134</v>
      </c>
      <c r="E2671">
        <v>15</v>
      </c>
      <c r="J2671" t="s">
        <v>135</v>
      </c>
      <c r="K2671">
        <v>0</v>
      </c>
      <c r="L2671">
        <v>3</v>
      </c>
      <c r="M2671">
        <v>0</v>
      </c>
      <c r="N2671">
        <v>2</v>
      </c>
      <c r="O2671">
        <v>0</v>
      </c>
      <c r="P2671">
        <v>1</v>
      </c>
      <c r="Q2671">
        <v>0</v>
      </c>
      <c r="S2671" t="str">
        <f t="shared" si="969"/>
        <v>19:32:41.000</v>
      </c>
      <c r="T2671" t="str">
        <f t="shared" si="969"/>
        <v>19:32:41.000</v>
      </c>
      <c r="U2671" t="str">
        <f t="shared" si="952"/>
        <v>AC3944</v>
      </c>
      <c r="V2671">
        <v>0</v>
      </c>
      <c r="W2671">
        <v>0</v>
      </c>
      <c r="X2671">
        <v>2</v>
      </c>
      <c r="Y2671">
        <v>0</v>
      </c>
      <c r="AA2671">
        <v>1</v>
      </c>
      <c r="AB2671">
        <v>8</v>
      </c>
      <c r="AC2671">
        <v>3</v>
      </c>
      <c r="AD2671">
        <v>0</v>
      </c>
      <c r="AE2671">
        <v>9</v>
      </c>
      <c r="AF2671" t="s">
        <v>138</v>
      </c>
      <c r="AG2671">
        <v>0</v>
      </c>
      <c r="AH2671">
        <v>3</v>
      </c>
      <c r="AI2671">
        <v>1</v>
      </c>
      <c r="AJ2671">
        <v>0</v>
      </c>
      <c r="AK2671" t="s">
        <v>908</v>
      </c>
      <c r="AL2671">
        <v>32.744579000000002</v>
      </c>
      <c r="AM2671" t="s">
        <v>909</v>
      </c>
      <c r="AN2671">
        <v>-116.76829600000001</v>
      </c>
      <c r="AO2671">
        <v>25</v>
      </c>
      <c r="AP2671">
        <v>3500</v>
      </c>
      <c r="AQ2671" t="s">
        <v>129</v>
      </c>
      <c r="AR2671">
        <v>89</v>
      </c>
      <c r="AS2671">
        <v>-93</v>
      </c>
      <c r="AT2671">
        <v>896</v>
      </c>
      <c r="BB2671">
        <v>1200</v>
      </c>
      <c r="BC2671">
        <v>1</v>
      </c>
      <c r="BD2671" t="str">
        <f t="shared" si="953"/>
        <v xml:space="preserve">N887QR  </v>
      </c>
      <c r="BE2671">
        <v>1</v>
      </c>
      <c r="BJ2671">
        <v>3175</v>
      </c>
      <c r="BK2671">
        <v>-325</v>
      </c>
      <c r="BL2671" t="s">
        <v>163</v>
      </c>
      <c r="BM2671">
        <v>1</v>
      </c>
      <c r="BN2671">
        <v>1</v>
      </c>
      <c r="BO2671">
        <v>1</v>
      </c>
      <c r="BP2671">
        <v>0</v>
      </c>
      <c r="BS2671">
        <v>0</v>
      </c>
      <c r="BT2671">
        <v>0</v>
      </c>
      <c r="BU2671">
        <v>0</v>
      </c>
      <c r="CE2671" t="str">
        <f t="shared" si="970"/>
        <v>19:32:41.340</v>
      </c>
      <c r="CF2671">
        <v>339591582</v>
      </c>
      <c r="CS2671">
        <v>0</v>
      </c>
      <c r="CT2671">
        <v>2</v>
      </c>
      <c r="CU2671">
        <v>0</v>
      </c>
      <c r="CV2671">
        <v>2</v>
      </c>
      <c r="CW2671">
        <v>0</v>
      </c>
      <c r="CX2671">
        <v>5</v>
      </c>
      <c r="CY2671">
        <v>7</v>
      </c>
      <c r="CZ2671" t="s">
        <v>131</v>
      </c>
      <c r="DA2671">
        <v>300</v>
      </c>
      <c r="DB2671">
        <v>0</v>
      </c>
      <c r="DC2671" t="s">
        <v>176</v>
      </c>
      <c r="DD2671" t="s">
        <v>177</v>
      </c>
      <c r="DG2671">
        <v>5418290</v>
      </c>
      <c r="DI2671">
        <v>1</v>
      </c>
      <c r="DJ2671">
        <v>0</v>
      </c>
      <c r="DK2671">
        <v>1</v>
      </c>
      <c r="DL2671">
        <v>0</v>
      </c>
      <c r="DM2671">
        <v>0</v>
      </c>
      <c r="DN2671">
        <v>1</v>
      </c>
      <c r="DO2671">
        <v>0</v>
      </c>
      <c r="DP2671">
        <v>0</v>
      </c>
      <c r="DQ2671">
        <v>0</v>
      </c>
      <c r="DR2671">
        <v>0</v>
      </c>
      <c r="DS2671">
        <v>0</v>
      </c>
    </row>
    <row r="2672" spans="1:123" x14ac:dyDescent="0.3">
      <c r="A2672" t="str">
        <f>"10/04/2022 19:32:41.635"</f>
        <v>10/04/2022 19:32:41.635</v>
      </c>
      <c r="C2672" t="str">
        <f t="shared" si="968"/>
        <v>FFDDD3C0</v>
      </c>
      <c r="D2672" t="s">
        <v>147</v>
      </c>
      <c r="E2672">
        <v>3</v>
      </c>
      <c r="H2672">
        <v>166</v>
      </c>
      <c r="I2672" t="s">
        <v>144</v>
      </c>
      <c r="J2672" t="s">
        <v>148</v>
      </c>
      <c r="K2672">
        <v>0</v>
      </c>
      <c r="L2672">
        <v>3</v>
      </c>
      <c r="M2672">
        <v>0</v>
      </c>
      <c r="N2672">
        <v>2</v>
      </c>
      <c r="O2672">
        <v>0</v>
      </c>
      <c r="P2672">
        <v>1</v>
      </c>
      <c r="Q2672">
        <v>0</v>
      </c>
      <c r="S2672" t="str">
        <f t="shared" si="969"/>
        <v>19:32:41.000</v>
      </c>
      <c r="T2672" t="str">
        <f t="shared" si="969"/>
        <v>19:32:41.000</v>
      </c>
      <c r="U2672" t="str">
        <f t="shared" si="952"/>
        <v>AC3944</v>
      </c>
      <c r="V2672">
        <v>0</v>
      </c>
      <c r="W2672">
        <v>0</v>
      </c>
      <c r="X2672">
        <v>2</v>
      </c>
      <c r="Y2672">
        <v>0</v>
      </c>
      <c r="AA2672">
        <v>1</v>
      </c>
      <c r="AB2672">
        <v>8</v>
      </c>
      <c r="AC2672">
        <v>3</v>
      </c>
      <c r="AD2672">
        <v>0</v>
      </c>
      <c r="AE2672">
        <v>9</v>
      </c>
      <c r="AF2672" t="s">
        <v>138</v>
      </c>
      <c r="AG2672">
        <v>0</v>
      </c>
      <c r="AH2672">
        <v>3</v>
      </c>
      <c r="AI2672">
        <v>1</v>
      </c>
      <c r="AJ2672">
        <v>0</v>
      </c>
      <c r="AK2672" t="s">
        <v>908</v>
      </c>
      <c r="AL2672">
        <v>32.744579000000002</v>
      </c>
      <c r="AM2672" t="s">
        <v>909</v>
      </c>
      <c r="AN2672">
        <v>-116.76829600000001</v>
      </c>
      <c r="AO2672">
        <v>25</v>
      </c>
      <c r="AP2672">
        <v>3500</v>
      </c>
      <c r="AQ2672" t="s">
        <v>129</v>
      </c>
      <c r="AR2672">
        <v>89</v>
      </c>
      <c r="AS2672">
        <v>-93</v>
      </c>
      <c r="AT2672">
        <v>896</v>
      </c>
      <c r="BB2672">
        <v>1200</v>
      </c>
      <c r="BC2672">
        <v>1</v>
      </c>
      <c r="BD2672" t="str">
        <f t="shared" si="953"/>
        <v xml:space="preserve">N887QR  </v>
      </c>
      <c r="BE2672">
        <v>1</v>
      </c>
      <c r="BJ2672">
        <v>3175</v>
      </c>
      <c r="BK2672">
        <v>-325</v>
      </c>
      <c r="BL2672" t="s">
        <v>163</v>
      </c>
      <c r="BM2672">
        <v>1</v>
      </c>
      <c r="BN2672">
        <v>1</v>
      </c>
      <c r="BO2672">
        <v>1</v>
      </c>
      <c r="BP2672">
        <v>0</v>
      </c>
      <c r="BS2672">
        <v>0</v>
      </c>
      <c r="BT2672">
        <v>0</v>
      </c>
      <c r="BU2672">
        <v>0</v>
      </c>
      <c r="CE2672" t="str">
        <f t="shared" si="970"/>
        <v>19:32:41.340</v>
      </c>
      <c r="CF2672">
        <v>339591582</v>
      </c>
      <c r="CS2672">
        <v>0</v>
      </c>
      <c r="CT2672">
        <v>2</v>
      </c>
      <c r="CU2672">
        <v>0</v>
      </c>
      <c r="CV2672">
        <v>2</v>
      </c>
      <c r="CW2672">
        <v>0</v>
      </c>
      <c r="CX2672">
        <v>5</v>
      </c>
      <c r="CY2672">
        <v>7</v>
      </c>
      <c r="CZ2672" t="s">
        <v>131</v>
      </c>
      <c r="DA2672">
        <v>300</v>
      </c>
      <c r="DB2672">
        <v>0</v>
      </c>
      <c r="DC2672" t="s">
        <v>176</v>
      </c>
      <c r="DD2672" t="s">
        <v>177</v>
      </c>
      <c r="DG2672">
        <v>5418290</v>
      </c>
      <c r="DI2672">
        <v>1</v>
      </c>
      <c r="DJ2672">
        <v>0</v>
      </c>
      <c r="DK2672">
        <v>0</v>
      </c>
      <c r="DL2672">
        <v>0</v>
      </c>
      <c r="DM2672">
        <v>0</v>
      </c>
      <c r="DN2672">
        <v>1</v>
      </c>
      <c r="DO2672">
        <v>0</v>
      </c>
      <c r="DP2672">
        <v>0</v>
      </c>
      <c r="DQ2672">
        <v>0</v>
      </c>
      <c r="DR2672">
        <v>0</v>
      </c>
      <c r="DS2672">
        <v>0</v>
      </c>
    </row>
    <row r="2673" spans="1:123" x14ac:dyDescent="0.3">
      <c r="A2673" t="str">
        <f>"10/04/2022 19:32:41.635"</f>
        <v>10/04/2022 19:32:41.635</v>
      </c>
      <c r="C2673" t="str">
        <f t="shared" si="968"/>
        <v>FFDDD3C0</v>
      </c>
      <c r="D2673" t="s">
        <v>123</v>
      </c>
      <c r="E2673">
        <v>7</v>
      </c>
      <c r="F2673">
        <v>2007</v>
      </c>
      <c r="G2673" t="s">
        <v>124</v>
      </c>
      <c r="J2673" t="s">
        <v>125</v>
      </c>
      <c r="K2673">
        <v>0</v>
      </c>
      <c r="L2673">
        <v>3</v>
      </c>
      <c r="M2673">
        <v>0</v>
      </c>
      <c r="N2673">
        <v>2</v>
      </c>
      <c r="O2673">
        <v>0</v>
      </c>
      <c r="P2673">
        <v>1</v>
      </c>
      <c r="Q2673">
        <v>0</v>
      </c>
      <c r="S2673" t="str">
        <f t="shared" si="969"/>
        <v>19:32:41.000</v>
      </c>
      <c r="T2673" t="str">
        <f t="shared" si="969"/>
        <v>19:32:41.000</v>
      </c>
      <c r="U2673" t="str">
        <f t="shared" si="952"/>
        <v>AC3944</v>
      </c>
      <c r="V2673">
        <v>0</v>
      </c>
      <c r="W2673">
        <v>0</v>
      </c>
      <c r="X2673">
        <v>2</v>
      </c>
      <c r="Y2673">
        <v>0</v>
      </c>
      <c r="AA2673">
        <v>1</v>
      </c>
      <c r="AB2673">
        <v>8</v>
      </c>
      <c r="AC2673">
        <v>3</v>
      </c>
      <c r="AD2673">
        <v>0</v>
      </c>
      <c r="AE2673">
        <v>9</v>
      </c>
      <c r="AF2673" t="s">
        <v>138</v>
      </c>
      <c r="AG2673">
        <v>0</v>
      </c>
      <c r="AH2673">
        <v>3</v>
      </c>
      <c r="AI2673">
        <v>1</v>
      </c>
      <c r="AJ2673">
        <v>0</v>
      </c>
      <c r="AK2673" t="s">
        <v>908</v>
      </c>
      <c r="AL2673">
        <v>32.744579000000002</v>
      </c>
      <c r="AM2673" t="s">
        <v>909</v>
      </c>
      <c r="AN2673">
        <v>-116.76829600000001</v>
      </c>
      <c r="AO2673">
        <v>25</v>
      </c>
      <c r="AP2673">
        <v>3500</v>
      </c>
      <c r="AQ2673" t="s">
        <v>129</v>
      </c>
      <c r="AR2673">
        <v>89</v>
      </c>
      <c r="AS2673">
        <v>-93</v>
      </c>
      <c r="AT2673">
        <v>896</v>
      </c>
      <c r="BB2673">
        <v>1200</v>
      </c>
      <c r="BC2673">
        <v>1</v>
      </c>
      <c r="BD2673" t="str">
        <f t="shared" si="953"/>
        <v xml:space="preserve">N887QR  </v>
      </c>
      <c r="BE2673">
        <v>1</v>
      </c>
      <c r="BJ2673">
        <v>3175</v>
      </c>
      <c r="BK2673">
        <v>-325</v>
      </c>
      <c r="BL2673" t="s">
        <v>163</v>
      </c>
      <c r="BM2673">
        <v>1</v>
      </c>
      <c r="BN2673">
        <v>1</v>
      </c>
      <c r="BO2673">
        <v>1</v>
      </c>
      <c r="BP2673">
        <v>0</v>
      </c>
      <c r="BS2673">
        <v>0</v>
      </c>
      <c r="BT2673">
        <v>0</v>
      </c>
      <c r="BU2673">
        <v>0</v>
      </c>
      <c r="CE2673" t="str">
        <f t="shared" si="970"/>
        <v>19:32:41.340</v>
      </c>
      <c r="CF2673">
        <v>339591582</v>
      </c>
      <c r="CS2673">
        <v>0</v>
      </c>
      <c r="CT2673">
        <v>2</v>
      </c>
      <c r="CU2673">
        <v>0</v>
      </c>
      <c r="CV2673">
        <v>2</v>
      </c>
      <c r="CW2673">
        <v>0</v>
      </c>
      <c r="CX2673">
        <v>5</v>
      </c>
      <c r="CY2673">
        <v>7</v>
      </c>
      <c r="CZ2673" t="s">
        <v>131</v>
      </c>
      <c r="DA2673">
        <v>300</v>
      </c>
      <c r="DB2673">
        <v>0</v>
      </c>
      <c r="DC2673" t="s">
        <v>176</v>
      </c>
      <c r="DD2673" t="s">
        <v>177</v>
      </c>
      <c r="DG2673">
        <v>5418290</v>
      </c>
      <c r="DI2673">
        <v>1</v>
      </c>
      <c r="DJ2673">
        <v>0</v>
      </c>
      <c r="DK2673">
        <v>1</v>
      </c>
      <c r="DL2673">
        <v>0</v>
      </c>
      <c r="DM2673">
        <v>0</v>
      </c>
      <c r="DN2673">
        <v>1</v>
      </c>
      <c r="DO2673">
        <v>0</v>
      </c>
      <c r="DP2673">
        <v>0</v>
      </c>
      <c r="DQ2673">
        <v>0</v>
      </c>
      <c r="DR2673">
        <v>0</v>
      </c>
      <c r="DS2673">
        <v>0</v>
      </c>
    </row>
    <row r="2674" spans="1:123" x14ac:dyDescent="0.3">
      <c r="A2674" t="str">
        <f>"10/04/2022 19:32:41.635"</f>
        <v>10/04/2022 19:32:41.635</v>
      </c>
      <c r="C2674" t="str">
        <f t="shared" si="968"/>
        <v>FFDDD3C0</v>
      </c>
      <c r="D2674" t="s">
        <v>143</v>
      </c>
      <c r="E2674">
        <v>20</v>
      </c>
      <c r="F2674">
        <v>1020</v>
      </c>
      <c r="G2674" t="s">
        <v>144</v>
      </c>
      <c r="J2674" t="s">
        <v>145</v>
      </c>
      <c r="K2674">
        <v>0</v>
      </c>
      <c r="L2674">
        <v>3</v>
      </c>
      <c r="M2674">
        <v>0</v>
      </c>
      <c r="N2674">
        <v>2</v>
      </c>
      <c r="O2674">
        <v>0</v>
      </c>
      <c r="P2674">
        <v>1</v>
      </c>
      <c r="Q2674">
        <v>0</v>
      </c>
      <c r="S2674" t="str">
        <f t="shared" si="969"/>
        <v>19:32:41.000</v>
      </c>
      <c r="T2674" t="str">
        <f t="shared" si="969"/>
        <v>19:32:41.000</v>
      </c>
      <c r="U2674" t="str">
        <f t="shared" si="952"/>
        <v>AC3944</v>
      </c>
      <c r="V2674">
        <v>0</v>
      </c>
      <c r="W2674">
        <v>0</v>
      </c>
      <c r="X2674">
        <v>2</v>
      </c>
      <c r="Y2674">
        <v>0</v>
      </c>
      <c r="AA2674">
        <v>1</v>
      </c>
      <c r="AB2674">
        <v>8</v>
      </c>
      <c r="AC2674">
        <v>3</v>
      </c>
      <c r="AD2674">
        <v>0</v>
      </c>
      <c r="AE2674">
        <v>9</v>
      </c>
      <c r="AF2674" t="s">
        <v>138</v>
      </c>
      <c r="AG2674">
        <v>0</v>
      </c>
      <c r="AH2674">
        <v>3</v>
      </c>
      <c r="AI2674">
        <v>1</v>
      </c>
      <c r="AJ2674">
        <v>0</v>
      </c>
      <c r="AK2674" t="s">
        <v>908</v>
      </c>
      <c r="AL2674">
        <v>32.744579000000002</v>
      </c>
      <c r="AM2674" t="s">
        <v>909</v>
      </c>
      <c r="AN2674">
        <v>-116.76829600000001</v>
      </c>
      <c r="AO2674">
        <v>25</v>
      </c>
      <c r="AP2674">
        <v>3500</v>
      </c>
      <c r="AQ2674" t="s">
        <v>129</v>
      </c>
      <c r="AR2674">
        <v>89</v>
      </c>
      <c r="AS2674">
        <v>-93</v>
      </c>
      <c r="AT2674">
        <v>896</v>
      </c>
      <c r="BB2674">
        <v>1200</v>
      </c>
      <c r="BC2674">
        <v>1</v>
      </c>
      <c r="BD2674" t="str">
        <f t="shared" si="953"/>
        <v xml:space="preserve">N887QR  </v>
      </c>
      <c r="BE2674">
        <v>1</v>
      </c>
      <c r="BJ2674">
        <v>3175</v>
      </c>
      <c r="BK2674">
        <v>-325</v>
      </c>
      <c r="BL2674" t="s">
        <v>163</v>
      </c>
      <c r="BM2674">
        <v>1</v>
      </c>
      <c r="BN2674">
        <v>1</v>
      </c>
      <c r="BO2674">
        <v>1</v>
      </c>
      <c r="BP2674">
        <v>0</v>
      </c>
      <c r="BS2674">
        <v>0</v>
      </c>
      <c r="BT2674">
        <v>0</v>
      </c>
      <c r="BU2674">
        <v>0</v>
      </c>
      <c r="CE2674" t="str">
        <f t="shared" si="970"/>
        <v>19:32:41.340</v>
      </c>
      <c r="CF2674">
        <v>339591582</v>
      </c>
      <c r="CS2674">
        <v>0</v>
      </c>
      <c r="CT2674">
        <v>2</v>
      </c>
      <c r="CU2674">
        <v>0</v>
      </c>
      <c r="CV2674">
        <v>2</v>
      </c>
      <c r="CW2674">
        <v>0</v>
      </c>
      <c r="CX2674">
        <v>5</v>
      </c>
      <c r="CY2674">
        <v>7</v>
      </c>
      <c r="CZ2674" t="s">
        <v>131</v>
      </c>
      <c r="DA2674">
        <v>300</v>
      </c>
      <c r="DB2674">
        <v>0</v>
      </c>
      <c r="DC2674" t="s">
        <v>176</v>
      </c>
      <c r="DD2674" t="s">
        <v>177</v>
      </c>
      <c r="DG2674">
        <v>5418290</v>
      </c>
      <c r="DI2674">
        <v>1</v>
      </c>
      <c r="DJ2674">
        <v>0</v>
      </c>
      <c r="DK2674">
        <v>1</v>
      </c>
      <c r="DL2674">
        <v>0</v>
      </c>
      <c r="DM2674">
        <v>0</v>
      </c>
      <c r="DN2674">
        <v>1</v>
      </c>
      <c r="DO2674">
        <v>0</v>
      </c>
      <c r="DP2674">
        <v>0</v>
      </c>
      <c r="DQ2674">
        <v>0</v>
      </c>
      <c r="DR2674">
        <v>0</v>
      </c>
      <c r="DS2674">
        <v>0</v>
      </c>
    </row>
    <row r="2675" spans="1:123" x14ac:dyDescent="0.3">
      <c r="A2675" t="str">
        <f t="shared" ref="A2675:A2681" si="971">"10/04/2022 19:32:42.885"</f>
        <v>10/04/2022 19:32:42.885</v>
      </c>
      <c r="C2675" t="str">
        <f t="shared" si="968"/>
        <v>FFDDD3C0</v>
      </c>
      <c r="D2675" t="s">
        <v>143</v>
      </c>
      <c r="E2675">
        <v>20</v>
      </c>
      <c r="F2675">
        <v>1020</v>
      </c>
      <c r="G2675" t="s">
        <v>144</v>
      </c>
      <c r="J2675" t="s">
        <v>145</v>
      </c>
      <c r="K2675">
        <v>0</v>
      </c>
      <c r="L2675">
        <v>3</v>
      </c>
      <c r="M2675">
        <v>0</v>
      </c>
      <c r="N2675">
        <v>2</v>
      </c>
      <c r="O2675">
        <v>0</v>
      </c>
      <c r="P2675">
        <v>1</v>
      </c>
      <c r="Q2675">
        <v>0</v>
      </c>
      <c r="S2675" t="str">
        <f t="shared" ref="S2675:T2681" si="972">"19:32:42.000"</f>
        <v>19:32:42.000</v>
      </c>
      <c r="T2675" t="str">
        <f t="shared" si="972"/>
        <v>19:32:42.000</v>
      </c>
      <c r="U2675" t="str">
        <f t="shared" si="952"/>
        <v>AC3944</v>
      </c>
      <c r="V2675">
        <v>0</v>
      </c>
      <c r="W2675">
        <v>0</v>
      </c>
      <c r="X2675">
        <v>2</v>
      </c>
      <c r="Y2675">
        <v>0</v>
      </c>
      <c r="AA2675">
        <v>1</v>
      </c>
      <c r="AB2675">
        <v>8</v>
      </c>
      <c r="AC2675">
        <v>3</v>
      </c>
      <c r="AD2675">
        <v>0</v>
      </c>
      <c r="AE2675">
        <v>9</v>
      </c>
      <c r="AF2675" t="s">
        <v>138</v>
      </c>
      <c r="AG2675">
        <v>0</v>
      </c>
      <c r="AH2675">
        <v>3</v>
      </c>
      <c r="AI2675">
        <v>1</v>
      </c>
      <c r="AJ2675">
        <v>0</v>
      </c>
      <c r="AK2675" t="s">
        <v>910</v>
      </c>
      <c r="AL2675">
        <v>32.744149999999998</v>
      </c>
      <c r="AM2675" t="s">
        <v>911</v>
      </c>
      <c r="AN2675">
        <v>-116.767802</v>
      </c>
      <c r="AO2675">
        <v>25</v>
      </c>
      <c r="AP2675">
        <v>3500</v>
      </c>
      <c r="AQ2675" t="s">
        <v>129</v>
      </c>
      <c r="AR2675">
        <v>88</v>
      </c>
      <c r="AS2675">
        <v>-92</v>
      </c>
      <c r="AT2675">
        <v>896</v>
      </c>
      <c r="BB2675">
        <v>1200</v>
      </c>
      <c r="BC2675">
        <v>1</v>
      </c>
      <c r="BD2675" t="str">
        <f t="shared" si="953"/>
        <v xml:space="preserve">N887QR  </v>
      </c>
      <c r="BE2675">
        <v>1</v>
      </c>
      <c r="BJ2675">
        <v>3200</v>
      </c>
      <c r="BK2675">
        <v>-300</v>
      </c>
      <c r="BL2675" t="s">
        <v>163</v>
      </c>
      <c r="BM2675">
        <v>1</v>
      </c>
      <c r="BN2675">
        <v>1</v>
      </c>
      <c r="BO2675">
        <v>1</v>
      </c>
      <c r="BP2675">
        <v>0</v>
      </c>
      <c r="BS2675">
        <v>0</v>
      </c>
      <c r="BT2675">
        <v>0</v>
      </c>
      <c r="BU2675">
        <v>0</v>
      </c>
      <c r="CE2675" t="str">
        <f t="shared" ref="CE2675:CE2681" si="973">"19:32:42.392"</f>
        <v>19:32:42.392</v>
      </c>
      <c r="CF2675">
        <v>392095128</v>
      </c>
      <c r="CS2675">
        <v>0</v>
      </c>
      <c r="CT2675">
        <v>2</v>
      </c>
      <c r="CU2675">
        <v>0</v>
      </c>
      <c r="CV2675">
        <v>2</v>
      </c>
      <c r="CW2675">
        <v>0</v>
      </c>
      <c r="CX2675">
        <v>4</v>
      </c>
      <c r="CY2675">
        <v>7</v>
      </c>
      <c r="CZ2675" t="s">
        <v>131</v>
      </c>
      <c r="DA2675">
        <v>300</v>
      </c>
      <c r="DB2675">
        <v>0</v>
      </c>
      <c r="DC2675" t="s">
        <v>176</v>
      </c>
      <c r="DD2675" t="s">
        <v>177</v>
      </c>
      <c r="DG2675">
        <v>5418462</v>
      </c>
      <c r="DI2675">
        <v>1</v>
      </c>
      <c r="DJ2675">
        <v>0</v>
      </c>
      <c r="DK2675">
        <v>0</v>
      </c>
      <c r="DL2675">
        <v>0</v>
      </c>
      <c r="DM2675">
        <v>0</v>
      </c>
      <c r="DN2675">
        <v>1</v>
      </c>
      <c r="DO2675">
        <v>0</v>
      </c>
      <c r="DP2675">
        <v>0</v>
      </c>
      <c r="DQ2675">
        <v>0</v>
      </c>
      <c r="DR2675">
        <v>0</v>
      </c>
      <c r="DS2675">
        <v>0</v>
      </c>
    </row>
    <row r="2676" spans="1:123" x14ac:dyDescent="0.3">
      <c r="A2676" t="str">
        <f t="shared" si="971"/>
        <v>10/04/2022 19:32:42.885</v>
      </c>
      <c r="C2676" t="str">
        <f t="shared" si="968"/>
        <v>FFDDD3C0</v>
      </c>
      <c r="D2676" t="s">
        <v>147</v>
      </c>
      <c r="E2676">
        <v>3</v>
      </c>
      <c r="H2676">
        <v>166</v>
      </c>
      <c r="I2676" t="s">
        <v>144</v>
      </c>
      <c r="J2676" t="s">
        <v>148</v>
      </c>
      <c r="K2676">
        <v>0</v>
      </c>
      <c r="L2676">
        <v>3</v>
      </c>
      <c r="M2676">
        <v>0</v>
      </c>
      <c r="N2676">
        <v>2</v>
      </c>
      <c r="O2676">
        <v>0</v>
      </c>
      <c r="P2676">
        <v>1</v>
      </c>
      <c r="Q2676">
        <v>0</v>
      </c>
      <c r="S2676" t="str">
        <f t="shared" si="972"/>
        <v>19:32:42.000</v>
      </c>
      <c r="T2676" t="str">
        <f t="shared" si="972"/>
        <v>19:32:42.000</v>
      </c>
      <c r="U2676" t="str">
        <f t="shared" si="952"/>
        <v>AC3944</v>
      </c>
      <c r="V2676">
        <v>0</v>
      </c>
      <c r="W2676">
        <v>0</v>
      </c>
      <c r="X2676">
        <v>2</v>
      </c>
      <c r="Y2676">
        <v>0</v>
      </c>
      <c r="AA2676">
        <v>1</v>
      </c>
      <c r="AB2676">
        <v>8</v>
      </c>
      <c r="AC2676">
        <v>3</v>
      </c>
      <c r="AD2676">
        <v>0</v>
      </c>
      <c r="AE2676">
        <v>9</v>
      </c>
      <c r="AF2676" t="s">
        <v>138</v>
      </c>
      <c r="AG2676">
        <v>0</v>
      </c>
      <c r="AH2676">
        <v>3</v>
      </c>
      <c r="AI2676">
        <v>1</v>
      </c>
      <c r="AJ2676">
        <v>0</v>
      </c>
      <c r="AK2676" t="s">
        <v>910</v>
      </c>
      <c r="AL2676">
        <v>32.744149999999998</v>
      </c>
      <c r="AM2676" t="s">
        <v>911</v>
      </c>
      <c r="AN2676">
        <v>-116.767802</v>
      </c>
      <c r="AO2676">
        <v>25</v>
      </c>
      <c r="AP2676">
        <v>3500</v>
      </c>
      <c r="AQ2676" t="s">
        <v>129</v>
      </c>
      <c r="AR2676">
        <v>88</v>
      </c>
      <c r="AS2676">
        <v>-92</v>
      </c>
      <c r="AT2676">
        <v>896</v>
      </c>
      <c r="BB2676">
        <v>1200</v>
      </c>
      <c r="BC2676">
        <v>1</v>
      </c>
      <c r="BD2676" t="str">
        <f t="shared" si="953"/>
        <v xml:space="preserve">N887QR  </v>
      </c>
      <c r="BE2676">
        <v>1</v>
      </c>
      <c r="BJ2676">
        <v>3200</v>
      </c>
      <c r="BK2676">
        <v>-300</v>
      </c>
      <c r="BL2676" t="s">
        <v>163</v>
      </c>
      <c r="BM2676">
        <v>1</v>
      </c>
      <c r="BN2676">
        <v>1</v>
      </c>
      <c r="BO2676">
        <v>1</v>
      </c>
      <c r="BP2676">
        <v>0</v>
      </c>
      <c r="BS2676">
        <v>0</v>
      </c>
      <c r="BT2676">
        <v>0</v>
      </c>
      <c r="BU2676">
        <v>0</v>
      </c>
      <c r="CE2676" t="str">
        <f t="shared" si="973"/>
        <v>19:32:42.392</v>
      </c>
      <c r="CF2676">
        <v>392095128</v>
      </c>
      <c r="CS2676">
        <v>0</v>
      </c>
      <c r="CT2676">
        <v>2</v>
      </c>
      <c r="CU2676">
        <v>0</v>
      </c>
      <c r="CV2676">
        <v>2</v>
      </c>
      <c r="CW2676">
        <v>0</v>
      </c>
      <c r="CX2676">
        <v>4</v>
      </c>
      <c r="CY2676">
        <v>7</v>
      </c>
      <c r="CZ2676" t="s">
        <v>131</v>
      </c>
      <c r="DA2676">
        <v>300</v>
      </c>
      <c r="DB2676">
        <v>0</v>
      </c>
      <c r="DC2676" t="s">
        <v>176</v>
      </c>
      <c r="DD2676" t="s">
        <v>177</v>
      </c>
      <c r="DG2676">
        <v>5418462</v>
      </c>
      <c r="DI2676">
        <v>1</v>
      </c>
      <c r="DJ2676">
        <v>0</v>
      </c>
      <c r="DK2676">
        <v>1</v>
      </c>
      <c r="DL2676">
        <v>0</v>
      </c>
      <c r="DM2676">
        <v>0</v>
      </c>
      <c r="DN2676">
        <v>1</v>
      </c>
      <c r="DO2676">
        <v>0</v>
      </c>
      <c r="DP2676">
        <v>0</v>
      </c>
      <c r="DQ2676">
        <v>0</v>
      </c>
      <c r="DR2676">
        <v>0</v>
      </c>
      <c r="DS2676">
        <v>0</v>
      </c>
    </row>
    <row r="2677" spans="1:123" x14ac:dyDescent="0.3">
      <c r="A2677" t="str">
        <f t="shared" si="971"/>
        <v>10/04/2022 19:32:42.885</v>
      </c>
      <c r="C2677" t="str">
        <f t="shared" si="968"/>
        <v>FFDDD3C0</v>
      </c>
      <c r="D2677" t="s">
        <v>123</v>
      </c>
      <c r="E2677">
        <v>7</v>
      </c>
      <c r="F2677">
        <v>2007</v>
      </c>
      <c r="G2677" t="s">
        <v>124</v>
      </c>
      <c r="J2677" t="s">
        <v>125</v>
      </c>
      <c r="K2677">
        <v>0</v>
      </c>
      <c r="L2677">
        <v>3</v>
      </c>
      <c r="M2677">
        <v>0</v>
      </c>
      <c r="N2677">
        <v>2</v>
      </c>
      <c r="O2677">
        <v>0</v>
      </c>
      <c r="P2677">
        <v>1</v>
      </c>
      <c r="Q2677">
        <v>0</v>
      </c>
      <c r="S2677" t="str">
        <f t="shared" si="972"/>
        <v>19:32:42.000</v>
      </c>
      <c r="T2677" t="str">
        <f t="shared" si="972"/>
        <v>19:32:42.000</v>
      </c>
      <c r="U2677" t="str">
        <f t="shared" si="952"/>
        <v>AC3944</v>
      </c>
      <c r="V2677">
        <v>0</v>
      </c>
      <c r="W2677">
        <v>0</v>
      </c>
      <c r="X2677">
        <v>2</v>
      </c>
      <c r="Y2677">
        <v>0</v>
      </c>
      <c r="AA2677">
        <v>1</v>
      </c>
      <c r="AB2677">
        <v>8</v>
      </c>
      <c r="AC2677">
        <v>3</v>
      </c>
      <c r="AD2677">
        <v>0</v>
      </c>
      <c r="AE2677">
        <v>9</v>
      </c>
      <c r="AF2677" t="s">
        <v>138</v>
      </c>
      <c r="AG2677">
        <v>0</v>
      </c>
      <c r="AH2677">
        <v>3</v>
      </c>
      <c r="AI2677">
        <v>1</v>
      </c>
      <c r="AJ2677">
        <v>0</v>
      </c>
      <c r="AK2677" t="s">
        <v>910</v>
      </c>
      <c r="AL2677">
        <v>32.744149999999998</v>
      </c>
      <c r="AM2677" t="s">
        <v>911</v>
      </c>
      <c r="AN2677">
        <v>-116.767802</v>
      </c>
      <c r="AO2677">
        <v>25</v>
      </c>
      <c r="AP2677">
        <v>3500</v>
      </c>
      <c r="AQ2677" t="s">
        <v>129</v>
      </c>
      <c r="AR2677">
        <v>88</v>
      </c>
      <c r="AS2677">
        <v>-92</v>
      </c>
      <c r="AT2677">
        <v>896</v>
      </c>
      <c r="BB2677">
        <v>1200</v>
      </c>
      <c r="BC2677">
        <v>1</v>
      </c>
      <c r="BD2677" t="str">
        <f t="shared" si="953"/>
        <v xml:space="preserve">N887QR  </v>
      </c>
      <c r="BE2677">
        <v>1</v>
      </c>
      <c r="BJ2677">
        <v>3200</v>
      </c>
      <c r="BK2677">
        <v>-300</v>
      </c>
      <c r="BL2677" t="s">
        <v>163</v>
      </c>
      <c r="BM2677">
        <v>1</v>
      </c>
      <c r="BN2677">
        <v>1</v>
      </c>
      <c r="BO2677">
        <v>1</v>
      </c>
      <c r="BP2677">
        <v>0</v>
      </c>
      <c r="BS2677">
        <v>0</v>
      </c>
      <c r="BT2677">
        <v>0</v>
      </c>
      <c r="BU2677">
        <v>0</v>
      </c>
      <c r="CE2677" t="str">
        <f t="shared" si="973"/>
        <v>19:32:42.392</v>
      </c>
      <c r="CF2677">
        <v>392095128</v>
      </c>
      <c r="CS2677">
        <v>0</v>
      </c>
      <c r="CT2677">
        <v>2</v>
      </c>
      <c r="CU2677">
        <v>0</v>
      </c>
      <c r="CV2677">
        <v>2</v>
      </c>
      <c r="CW2677">
        <v>0</v>
      </c>
      <c r="CX2677">
        <v>4</v>
      </c>
      <c r="CY2677">
        <v>7</v>
      </c>
      <c r="CZ2677" t="s">
        <v>131</v>
      </c>
      <c r="DA2677">
        <v>300</v>
      </c>
      <c r="DB2677">
        <v>0</v>
      </c>
      <c r="DC2677" t="s">
        <v>176</v>
      </c>
      <c r="DD2677" t="s">
        <v>177</v>
      </c>
      <c r="DG2677">
        <v>5418462</v>
      </c>
      <c r="DI2677">
        <v>1</v>
      </c>
      <c r="DJ2677">
        <v>0</v>
      </c>
      <c r="DK2677">
        <v>1</v>
      </c>
      <c r="DL2677">
        <v>0</v>
      </c>
      <c r="DM2677">
        <v>0</v>
      </c>
      <c r="DN2677">
        <v>1</v>
      </c>
      <c r="DO2677">
        <v>0</v>
      </c>
      <c r="DP2677">
        <v>0</v>
      </c>
      <c r="DQ2677">
        <v>0</v>
      </c>
      <c r="DR2677">
        <v>0</v>
      </c>
      <c r="DS2677">
        <v>0</v>
      </c>
    </row>
    <row r="2678" spans="1:123" x14ac:dyDescent="0.3">
      <c r="A2678" t="str">
        <f t="shared" si="971"/>
        <v>10/04/2022 19:32:42.885</v>
      </c>
      <c r="C2678" t="str">
        <f t="shared" si="968"/>
        <v>FFDDD3C0</v>
      </c>
      <c r="D2678" t="s">
        <v>141</v>
      </c>
      <c r="E2678">
        <v>4</v>
      </c>
      <c r="H2678">
        <v>4</v>
      </c>
      <c r="I2678" t="s">
        <v>142</v>
      </c>
      <c r="J2678" t="s">
        <v>138</v>
      </c>
      <c r="K2678">
        <v>0</v>
      </c>
      <c r="L2678">
        <v>3</v>
      </c>
      <c r="M2678">
        <v>0</v>
      </c>
      <c r="N2678">
        <v>2</v>
      </c>
      <c r="O2678">
        <v>0</v>
      </c>
      <c r="P2678">
        <v>1</v>
      </c>
      <c r="Q2678">
        <v>0</v>
      </c>
      <c r="S2678" t="str">
        <f t="shared" si="972"/>
        <v>19:32:42.000</v>
      </c>
      <c r="T2678" t="str">
        <f t="shared" si="972"/>
        <v>19:32:42.000</v>
      </c>
      <c r="U2678" t="str">
        <f t="shared" si="952"/>
        <v>AC3944</v>
      </c>
      <c r="V2678">
        <v>0</v>
      </c>
      <c r="W2678">
        <v>0</v>
      </c>
      <c r="X2678">
        <v>2</v>
      </c>
      <c r="Y2678">
        <v>0</v>
      </c>
      <c r="AA2678">
        <v>1</v>
      </c>
      <c r="AB2678">
        <v>8</v>
      </c>
      <c r="AC2678">
        <v>3</v>
      </c>
      <c r="AD2678">
        <v>0</v>
      </c>
      <c r="AE2678">
        <v>9</v>
      </c>
      <c r="AF2678" t="s">
        <v>138</v>
      </c>
      <c r="AG2678">
        <v>0</v>
      </c>
      <c r="AH2678">
        <v>3</v>
      </c>
      <c r="AI2678">
        <v>1</v>
      </c>
      <c r="AJ2678">
        <v>0</v>
      </c>
      <c r="AK2678" t="s">
        <v>910</v>
      </c>
      <c r="AL2678">
        <v>32.744149999999998</v>
      </c>
      <c r="AM2678" t="s">
        <v>911</v>
      </c>
      <c r="AN2678">
        <v>-116.767802</v>
      </c>
      <c r="AO2678">
        <v>25</v>
      </c>
      <c r="AP2678">
        <v>3500</v>
      </c>
      <c r="AQ2678" t="s">
        <v>129</v>
      </c>
      <c r="AR2678">
        <v>88</v>
      </c>
      <c r="AS2678">
        <v>-92</v>
      </c>
      <c r="AT2678">
        <v>896</v>
      </c>
      <c r="BB2678">
        <v>1200</v>
      </c>
      <c r="BC2678">
        <v>1</v>
      </c>
      <c r="BD2678" t="str">
        <f t="shared" si="953"/>
        <v xml:space="preserve">N887QR  </v>
      </c>
      <c r="BE2678">
        <v>1</v>
      </c>
      <c r="BJ2678">
        <v>3200</v>
      </c>
      <c r="BK2678">
        <v>-300</v>
      </c>
      <c r="BL2678" t="s">
        <v>163</v>
      </c>
      <c r="BM2678">
        <v>1</v>
      </c>
      <c r="BN2678">
        <v>1</v>
      </c>
      <c r="BO2678">
        <v>1</v>
      </c>
      <c r="BP2678">
        <v>0</v>
      </c>
      <c r="BS2678">
        <v>0</v>
      </c>
      <c r="BT2678">
        <v>0</v>
      </c>
      <c r="BU2678">
        <v>0</v>
      </c>
      <c r="CE2678" t="str">
        <f t="shared" si="973"/>
        <v>19:32:42.392</v>
      </c>
      <c r="CF2678">
        <v>392095128</v>
      </c>
      <c r="CS2678">
        <v>0</v>
      </c>
      <c r="CT2678">
        <v>2</v>
      </c>
      <c r="CU2678">
        <v>0</v>
      </c>
      <c r="CV2678">
        <v>2</v>
      </c>
      <c r="CW2678">
        <v>0</v>
      </c>
      <c r="CX2678">
        <v>4</v>
      </c>
      <c r="CY2678">
        <v>7</v>
      </c>
      <c r="CZ2678" t="s">
        <v>131</v>
      </c>
      <c r="DA2678">
        <v>300</v>
      </c>
      <c r="DB2678">
        <v>0</v>
      </c>
      <c r="DC2678" t="s">
        <v>176</v>
      </c>
      <c r="DD2678" t="s">
        <v>177</v>
      </c>
      <c r="DG2678">
        <v>5418462</v>
      </c>
      <c r="DI2678">
        <v>1</v>
      </c>
      <c r="DJ2678">
        <v>0</v>
      </c>
      <c r="DK2678">
        <v>1</v>
      </c>
      <c r="DL2678">
        <v>0</v>
      </c>
      <c r="DM2678">
        <v>0</v>
      </c>
      <c r="DN2678">
        <v>1</v>
      </c>
      <c r="DO2678">
        <v>0</v>
      </c>
      <c r="DP2678">
        <v>0</v>
      </c>
      <c r="DQ2678">
        <v>0</v>
      </c>
      <c r="DR2678">
        <v>0</v>
      </c>
      <c r="DS2678">
        <v>0</v>
      </c>
    </row>
    <row r="2679" spans="1:123" x14ac:dyDescent="0.3">
      <c r="A2679" t="str">
        <f t="shared" si="971"/>
        <v>10/04/2022 19:32:42.885</v>
      </c>
      <c r="C2679" t="str">
        <f t="shared" si="968"/>
        <v>FFDDD3C0</v>
      </c>
      <c r="D2679" t="s">
        <v>136</v>
      </c>
      <c r="E2679">
        <v>8</v>
      </c>
      <c r="H2679">
        <v>225</v>
      </c>
      <c r="I2679" t="s">
        <v>137</v>
      </c>
      <c r="J2679" t="s">
        <v>138</v>
      </c>
      <c r="K2679">
        <v>0</v>
      </c>
      <c r="L2679">
        <v>3</v>
      </c>
      <c r="M2679">
        <v>0</v>
      </c>
      <c r="N2679">
        <v>2</v>
      </c>
      <c r="O2679">
        <v>0</v>
      </c>
      <c r="P2679">
        <v>1</v>
      </c>
      <c r="Q2679">
        <v>0</v>
      </c>
      <c r="S2679" t="str">
        <f t="shared" si="972"/>
        <v>19:32:42.000</v>
      </c>
      <c r="T2679" t="str">
        <f t="shared" si="972"/>
        <v>19:32:42.000</v>
      </c>
      <c r="U2679" t="str">
        <f t="shared" si="952"/>
        <v>AC3944</v>
      </c>
      <c r="V2679">
        <v>0</v>
      </c>
      <c r="W2679">
        <v>0</v>
      </c>
      <c r="X2679">
        <v>2</v>
      </c>
      <c r="Y2679">
        <v>0</v>
      </c>
      <c r="AA2679">
        <v>1</v>
      </c>
      <c r="AB2679">
        <v>8</v>
      </c>
      <c r="AC2679">
        <v>3</v>
      </c>
      <c r="AD2679">
        <v>0</v>
      </c>
      <c r="AE2679">
        <v>9</v>
      </c>
      <c r="AF2679" t="s">
        <v>138</v>
      </c>
      <c r="AG2679">
        <v>0</v>
      </c>
      <c r="AH2679">
        <v>3</v>
      </c>
      <c r="AI2679">
        <v>1</v>
      </c>
      <c r="AJ2679">
        <v>0</v>
      </c>
      <c r="AK2679" t="s">
        <v>910</v>
      </c>
      <c r="AL2679">
        <v>32.744149999999998</v>
      </c>
      <c r="AM2679" t="s">
        <v>911</v>
      </c>
      <c r="AN2679">
        <v>-116.767802</v>
      </c>
      <c r="AO2679">
        <v>25</v>
      </c>
      <c r="AP2679">
        <v>3500</v>
      </c>
      <c r="AQ2679" t="s">
        <v>129</v>
      </c>
      <c r="AR2679">
        <v>88</v>
      </c>
      <c r="AS2679">
        <v>-92</v>
      </c>
      <c r="AT2679">
        <v>896</v>
      </c>
      <c r="BB2679">
        <v>1200</v>
      </c>
      <c r="BC2679">
        <v>1</v>
      </c>
      <c r="BD2679" t="str">
        <f t="shared" si="953"/>
        <v xml:space="preserve">N887QR  </v>
      </c>
      <c r="BE2679">
        <v>1</v>
      </c>
      <c r="BJ2679">
        <v>3200</v>
      </c>
      <c r="BK2679">
        <v>-300</v>
      </c>
      <c r="BL2679" t="s">
        <v>163</v>
      </c>
      <c r="BM2679">
        <v>1</v>
      </c>
      <c r="BN2679">
        <v>1</v>
      </c>
      <c r="BO2679">
        <v>1</v>
      </c>
      <c r="BP2679">
        <v>0</v>
      </c>
      <c r="BS2679">
        <v>0</v>
      </c>
      <c r="BT2679">
        <v>0</v>
      </c>
      <c r="BU2679">
        <v>0</v>
      </c>
      <c r="CE2679" t="str">
        <f t="shared" si="973"/>
        <v>19:32:42.392</v>
      </c>
      <c r="CF2679">
        <v>392095128</v>
      </c>
      <c r="CS2679">
        <v>0</v>
      </c>
      <c r="CT2679">
        <v>2</v>
      </c>
      <c r="CU2679">
        <v>0</v>
      </c>
      <c r="CV2679">
        <v>2</v>
      </c>
      <c r="CW2679">
        <v>0</v>
      </c>
      <c r="CX2679">
        <v>4</v>
      </c>
      <c r="CY2679">
        <v>7</v>
      </c>
      <c r="CZ2679" t="s">
        <v>131</v>
      </c>
      <c r="DA2679">
        <v>300</v>
      </c>
      <c r="DB2679">
        <v>0</v>
      </c>
      <c r="DC2679" t="s">
        <v>176</v>
      </c>
      <c r="DD2679" t="s">
        <v>177</v>
      </c>
      <c r="DG2679">
        <v>5418462</v>
      </c>
      <c r="DI2679">
        <v>1</v>
      </c>
      <c r="DJ2679">
        <v>0</v>
      </c>
      <c r="DK2679">
        <v>1</v>
      </c>
      <c r="DL2679">
        <v>0</v>
      </c>
      <c r="DM2679">
        <v>0</v>
      </c>
      <c r="DN2679">
        <v>1</v>
      </c>
      <c r="DO2679">
        <v>0</v>
      </c>
      <c r="DP2679">
        <v>0</v>
      </c>
      <c r="DQ2679">
        <v>0</v>
      </c>
      <c r="DR2679">
        <v>0</v>
      </c>
      <c r="DS2679">
        <v>0</v>
      </c>
    </row>
    <row r="2680" spans="1:123" x14ac:dyDescent="0.3">
      <c r="A2680" t="str">
        <f t="shared" si="971"/>
        <v>10/04/2022 19:32:42.885</v>
      </c>
      <c r="C2680" t="str">
        <f t="shared" si="968"/>
        <v>FFDDD3C0</v>
      </c>
      <c r="D2680" t="s">
        <v>141</v>
      </c>
      <c r="E2680">
        <v>3</v>
      </c>
      <c r="H2680">
        <v>3</v>
      </c>
      <c r="I2680" t="s">
        <v>146</v>
      </c>
      <c r="J2680" t="s">
        <v>138</v>
      </c>
      <c r="K2680">
        <v>0</v>
      </c>
      <c r="L2680">
        <v>3</v>
      </c>
      <c r="M2680">
        <v>0</v>
      </c>
      <c r="N2680">
        <v>2</v>
      </c>
      <c r="O2680">
        <v>0</v>
      </c>
      <c r="P2680">
        <v>1</v>
      </c>
      <c r="Q2680">
        <v>0</v>
      </c>
      <c r="S2680" t="str">
        <f t="shared" si="972"/>
        <v>19:32:42.000</v>
      </c>
      <c r="T2680" t="str">
        <f t="shared" si="972"/>
        <v>19:32:42.000</v>
      </c>
      <c r="U2680" t="str">
        <f t="shared" si="952"/>
        <v>AC3944</v>
      </c>
      <c r="V2680">
        <v>0</v>
      </c>
      <c r="W2680">
        <v>0</v>
      </c>
      <c r="X2680">
        <v>2</v>
      </c>
      <c r="Y2680">
        <v>0</v>
      </c>
      <c r="AA2680">
        <v>1</v>
      </c>
      <c r="AB2680">
        <v>8</v>
      </c>
      <c r="AC2680">
        <v>3</v>
      </c>
      <c r="AD2680">
        <v>0</v>
      </c>
      <c r="AE2680">
        <v>9</v>
      </c>
      <c r="AF2680" t="s">
        <v>138</v>
      </c>
      <c r="AG2680">
        <v>0</v>
      </c>
      <c r="AH2680">
        <v>3</v>
      </c>
      <c r="AI2680">
        <v>1</v>
      </c>
      <c r="AJ2680">
        <v>0</v>
      </c>
      <c r="AK2680" t="s">
        <v>910</v>
      </c>
      <c r="AL2680">
        <v>32.744149999999998</v>
      </c>
      <c r="AM2680" t="s">
        <v>911</v>
      </c>
      <c r="AN2680">
        <v>-116.767802</v>
      </c>
      <c r="AO2680">
        <v>25</v>
      </c>
      <c r="AP2680">
        <v>3500</v>
      </c>
      <c r="AQ2680" t="s">
        <v>129</v>
      </c>
      <c r="AR2680">
        <v>88</v>
      </c>
      <c r="AS2680">
        <v>-92</v>
      </c>
      <c r="AT2680">
        <v>896</v>
      </c>
      <c r="BB2680">
        <v>1200</v>
      </c>
      <c r="BC2680">
        <v>1</v>
      </c>
      <c r="BD2680" t="str">
        <f t="shared" si="953"/>
        <v xml:space="preserve">N887QR  </v>
      </c>
      <c r="BE2680">
        <v>1</v>
      </c>
      <c r="BJ2680">
        <v>3200</v>
      </c>
      <c r="BK2680">
        <v>-300</v>
      </c>
      <c r="BL2680" t="s">
        <v>163</v>
      </c>
      <c r="BM2680">
        <v>1</v>
      </c>
      <c r="BN2680">
        <v>1</v>
      </c>
      <c r="BO2680">
        <v>1</v>
      </c>
      <c r="BP2680">
        <v>0</v>
      </c>
      <c r="BS2680">
        <v>0</v>
      </c>
      <c r="BT2680">
        <v>0</v>
      </c>
      <c r="BU2680">
        <v>0</v>
      </c>
      <c r="CE2680" t="str">
        <f t="shared" si="973"/>
        <v>19:32:42.392</v>
      </c>
      <c r="CF2680">
        <v>392095128</v>
      </c>
      <c r="CS2680">
        <v>0</v>
      </c>
      <c r="CT2680">
        <v>2</v>
      </c>
      <c r="CU2680">
        <v>0</v>
      </c>
      <c r="CV2680">
        <v>2</v>
      </c>
      <c r="CW2680">
        <v>0</v>
      </c>
      <c r="CX2680">
        <v>4</v>
      </c>
      <c r="CY2680">
        <v>7</v>
      </c>
      <c r="CZ2680" t="s">
        <v>131</v>
      </c>
      <c r="DA2680">
        <v>300</v>
      </c>
      <c r="DB2680">
        <v>0</v>
      </c>
      <c r="DC2680" t="s">
        <v>176</v>
      </c>
      <c r="DD2680" t="s">
        <v>177</v>
      </c>
      <c r="DG2680">
        <v>5418462</v>
      </c>
      <c r="DI2680">
        <v>1</v>
      </c>
      <c r="DJ2680">
        <v>0</v>
      </c>
      <c r="DK2680">
        <v>1</v>
      </c>
      <c r="DL2680">
        <v>0</v>
      </c>
      <c r="DM2680">
        <v>0</v>
      </c>
      <c r="DN2680">
        <v>1</v>
      </c>
      <c r="DO2680">
        <v>0</v>
      </c>
      <c r="DP2680">
        <v>0</v>
      </c>
      <c r="DQ2680">
        <v>0</v>
      </c>
      <c r="DR2680">
        <v>0</v>
      </c>
      <c r="DS2680">
        <v>0</v>
      </c>
    </row>
    <row r="2681" spans="1:123" x14ac:dyDescent="0.3">
      <c r="A2681" t="str">
        <f t="shared" si="971"/>
        <v>10/04/2022 19:32:42.885</v>
      </c>
      <c r="C2681" t="str">
        <f t="shared" si="968"/>
        <v>FFDDD3C0</v>
      </c>
      <c r="D2681" t="s">
        <v>134</v>
      </c>
      <c r="E2681">
        <v>15</v>
      </c>
      <c r="J2681" t="s">
        <v>135</v>
      </c>
      <c r="K2681">
        <v>0</v>
      </c>
      <c r="L2681">
        <v>3</v>
      </c>
      <c r="M2681">
        <v>0</v>
      </c>
      <c r="N2681">
        <v>2</v>
      </c>
      <c r="O2681">
        <v>0</v>
      </c>
      <c r="P2681">
        <v>1</v>
      </c>
      <c r="Q2681">
        <v>0</v>
      </c>
      <c r="S2681" t="str">
        <f t="shared" si="972"/>
        <v>19:32:42.000</v>
      </c>
      <c r="T2681" t="str">
        <f t="shared" si="972"/>
        <v>19:32:42.000</v>
      </c>
      <c r="U2681" t="str">
        <f t="shared" si="952"/>
        <v>AC3944</v>
      </c>
      <c r="V2681">
        <v>0</v>
      </c>
      <c r="W2681">
        <v>0</v>
      </c>
      <c r="X2681">
        <v>2</v>
      </c>
      <c r="Y2681">
        <v>0</v>
      </c>
      <c r="AA2681">
        <v>1</v>
      </c>
      <c r="AB2681">
        <v>8</v>
      </c>
      <c r="AC2681">
        <v>3</v>
      </c>
      <c r="AD2681">
        <v>0</v>
      </c>
      <c r="AE2681">
        <v>9</v>
      </c>
      <c r="AF2681" t="s">
        <v>138</v>
      </c>
      <c r="AG2681">
        <v>0</v>
      </c>
      <c r="AH2681">
        <v>3</v>
      </c>
      <c r="AI2681">
        <v>1</v>
      </c>
      <c r="AJ2681">
        <v>0</v>
      </c>
      <c r="AK2681" t="s">
        <v>910</v>
      </c>
      <c r="AL2681">
        <v>32.744149999999998</v>
      </c>
      <c r="AM2681" t="s">
        <v>911</v>
      </c>
      <c r="AN2681">
        <v>-116.767802</v>
      </c>
      <c r="AO2681">
        <v>25</v>
      </c>
      <c r="AP2681">
        <v>3500</v>
      </c>
      <c r="AQ2681" t="s">
        <v>129</v>
      </c>
      <c r="AR2681">
        <v>88</v>
      </c>
      <c r="AS2681">
        <v>-92</v>
      </c>
      <c r="AT2681">
        <v>896</v>
      </c>
      <c r="BB2681">
        <v>1200</v>
      </c>
      <c r="BC2681">
        <v>1</v>
      </c>
      <c r="BD2681" t="str">
        <f t="shared" si="953"/>
        <v xml:space="preserve">N887QR  </v>
      </c>
      <c r="BE2681">
        <v>1</v>
      </c>
      <c r="BJ2681">
        <v>3200</v>
      </c>
      <c r="BK2681">
        <v>-300</v>
      </c>
      <c r="BL2681" t="s">
        <v>163</v>
      </c>
      <c r="BM2681">
        <v>1</v>
      </c>
      <c r="BN2681">
        <v>1</v>
      </c>
      <c r="BO2681">
        <v>1</v>
      </c>
      <c r="BP2681">
        <v>0</v>
      </c>
      <c r="BS2681">
        <v>0</v>
      </c>
      <c r="BT2681">
        <v>0</v>
      </c>
      <c r="BU2681">
        <v>0</v>
      </c>
      <c r="CE2681" t="str">
        <f t="shared" si="973"/>
        <v>19:32:42.392</v>
      </c>
      <c r="CF2681">
        <v>392095128</v>
      </c>
      <c r="CS2681">
        <v>0</v>
      </c>
      <c r="CT2681">
        <v>2</v>
      </c>
      <c r="CU2681">
        <v>0</v>
      </c>
      <c r="CV2681">
        <v>2</v>
      </c>
      <c r="CW2681">
        <v>0</v>
      </c>
      <c r="CX2681">
        <v>4</v>
      </c>
      <c r="CY2681">
        <v>7</v>
      </c>
      <c r="CZ2681" t="s">
        <v>131</v>
      </c>
      <c r="DA2681">
        <v>300</v>
      </c>
      <c r="DB2681">
        <v>0</v>
      </c>
      <c r="DC2681" t="s">
        <v>176</v>
      </c>
      <c r="DD2681" t="s">
        <v>177</v>
      </c>
      <c r="DG2681">
        <v>5418462</v>
      </c>
      <c r="DI2681">
        <v>1</v>
      </c>
      <c r="DJ2681">
        <v>0</v>
      </c>
      <c r="DK2681">
        <v>1</v>
      </c>
      <c r="DL2681">
        <v>0</v>
      </c>
      <c r="DM2681">
        <v>0</v>
      </c>
      <c r="DN2681">
        <v>1</v>
      </c>
      <c r="DO2681">
        <v>0</v>
      </c>
      <c r="DP2681">
        <v>0</v>
      </c>
      <c r="DQ2681">
        <v>0</v>
      </c>
      <c r="DR2681">
        <v>0</v>
      </c>
      <c r="DS2681">
        <v>0</v>
      </c>
    </row>
    <row r="2682" spans="1:123" x14ac:dyDescent="0.3">
      <c r="A2682" t="str">
        <f t="shared" ref="A2682:A2687" si="974">"10/04/2022 19:32:43.448"</f>
        <v>10/04/2022 19:32:43.448</v>
      </c>
      <c r="C2682" t="str">
        <f t="shared" si="968"/>
        <v>FFDDD3C0</v>
      </c>
      <c r="D2682" t="s">
        <v>143</v>
      </c>
      <c r="E2682">
        <v>20</v>
      </c>
      <c r="F2682">
        <v>1020</v>
      </c>
      <c r="G2682" t="s">
        <v>144</v>
      </c>
      <c r="J2682" t="s">
        <v>145</v>
      </c>
      <c r="K2682">
        <v>0</v>
      </c>
      <c r="L2682">
        <v>3</v>
      </c>
      <c r="M2682">
        <v>0</v>
      </c>
      <c r="N2682">
        <v>2</v>
      </c>
      <c r="O2682">
        <v>0</v>
      </c>
      <c r="P2682">
        <v>1</v>
      </c>
      <c r="Q2682">
        <v>0</v>
      </c>
      <c r="S2682" t="str">
        <f t="shared" ref="S2682:T2695" si="975">"19:32:43.000"</f>
        <v>19:32:43.000</v>
      </c>
      <c r="T2682" t="str">
        <f t="shared" si="975"/>
        <v>19:32:43.000</v>
      </c>
      <c r="U2682" t="str">
        <f t="shared" si="952"/>
        <v>AC3944</v>
      </c>
      <c r="V2682">
        <v>0</v>
      </c>
      <c r="W2682">
        <v>0</v>
      </c>
      <c r="X2682">
        <v>2</v>
      </c>
      <c r="Y2682">
        <v>0</v>
      </c>
      <c r="AA2682">
        <v>1</v>
      </c>
      <c r="AB2682">
        <v>8</v>
      </c>
      <c r="AC2682">
        <v>3</v>
      </c>
      <c r="AD2682">
        <v>0</v>
      </c>
      <c r="AE2682">
        <v>9</v>
      </c>
      <c r="AF2682" t="s">
        <v>138</v>
      </c>
      <c r="AG2682">
        <v>0</v>
      </c>
      <c r="AH2682">
        <v>3</v>
      </c>
      <c r="AI2682">
        <v>1</v>
      </c>
      <c r="AJ2682">
        <v>0</v>
      </c>
      <c r="AK2682" t="s">
        <v>912</v>
      </c>
      <c r="AL2682">
        <v>32.743634999999998</v>
      </c>
      <c r="AM2682" t="s">
        <v>913</v>
      </c>
      <c r="AN2682">
        <v>-116.767223</v>
      </c>
      <c r="AO2682">
        <v>25</v>
      </c>
      <c r="AP2682">
        <v>3500</v>
      </c>
      <c r="AQ2682" t="s">
        <v>129</v>
      </c>
      <c r="AR2682">
        <v>88</v>
      </c>
      <c r="AS2682">
        <v>-93</v>
      </c>
      <c r="AT2682">
        <v>896</v>
      </c>
      <c r="BB2682">
        <v>1200</v>
      </c>
      <c r="BC2682">
        <v>1</v>
      </c>
      <c r="BD2682" t="str">
        <f t="shared" si="953"/>
        <v xml:space="preserve">N887QR  </v>
      </c>
      <c r="BE2682">
        <v>1</v>
      </c>
      <c r="BJ2682">
        <v>3200</v>
      </c>
      <c r="BK2682">
        <v>-300</v>
      </c>
      <c r="BL2682" t="s">
        <v>163</v>
      </c>
      <c r="BM2682">
        <v>1</v>
      </c>
      <c r="BN2682">
        <v>1</v>
      </c>
      <c r="BO2682">
        <v>1</v>
      </c>
      <c r="BP2682">
        <v>0</v>
      </c>
      <c r="BS2682">
        <v>0</v>
      </c>
      <c r="BT2682">
        <v>0</v>
      </c>
      <c r="BU2682">
        <v>0</v>
      </c>
      <c r="CE2682" t="str">
        <f t="shared" ref="CE2682:CE2688" si="976">"19:32:43.155"</f>
        <v>19:32:43.155</v>
      </c>
      <c r="CF2682">
        <v>155040839</v>
      </c>
      <c r="CS2682">
        <v>0</v>
      </c>
      <c r="CT2682">
        <v>2</v>
      </c>
      <c r="CU2682">
        <v>0</v>
      </c>
      <c r="CV2682">
        <v>2</v>
      </c>
      <c r="CW2682">
        <v>0</v>
      </c>
      <c r="CX2682">
        <v>1</v>
      </c>
      <c r="CY2682">
        <v>7</v>
      </c>
      <c r="CZ2682" t="s">
        <v>131</v>
      </c>
      <c r="DA2682">
        <v>286</v>
      </c>
      <c r="DB2682">
        <v>0</v>
      </c>
      <c r="DC2682" t="s">
        <v>132</v>
      </c>
      <c r="DD2682" t="s">
        <v>133</v>
      </c>
      <c r="DG2682">
        <v>851278</v>
      </c>
      <c r="DI2682">
        <v>1</v>
      </c>
      <c r="DJ2682">
        <v>0</v>
      </c>
      <c r="DK2682">
        <v>0</v>
      </c>
      <c r="DL2682">
        <v>0</v>
      </c>
      <c r="DM2682">
        <v>0</v>
      </c>
      <c r="DN2682">
        <v>1</v>
      </c>
      <c r="DO2682">
        <v>0</v>
      </c>
      <c r="DP2682">
        <v>0</v>
      </c>
      <c r="DQ2682">
        <v>0</v>
      </c>
      <c r="DR2682">
        <v>0</v>
      </c>
      <c r="DS2682">
        <v>0</v>
      </c>
    </row>
    <row r="2683" spans="1:123" x14ac:dyDescent="0.3">
      <c r="A2683" t="str">
        <f t="shared" si="974"/>
        <v>10/04/2022 19:32:43.448</v>
      </c>
      <c r="C2683" t="str">
        <f t="shared" si="968"/>
        <v>FFDDD3C0</v>
      </c>
      <c r="D2683" t="s">
        <v>147</v>
      </c>
      <c r="E2683">
        <v>3</v>
      </c>
      <c r="H2683">
        <v>166</v>
      </c>
      <c r="I2683" t="s">
        <v>144</v>
      </c>
      <c r="J2683" t="s">
        <v>148</v>
      </c>
      <c r="K2683">
        <v>0</v>
      </c>
      <c r="L2683">
        <v>3</v>
      </c>
      <c r="M2683">
        <v>0</v>
      </c>
      <c r="N2683">
        <v>2</v>
      </c>
      <c r="O2683">
        <v>0</v>
      </c>
      <c r="P2683">
        <v>1</v>
      </c>
      <c r="Q2683">
        <v>0</v>
      </c>
      <c r="S2683" t="str">
        <f t="shared" si="975"/>
        <v>19:32:43.000</v>
      </c>
      <c r="T2683" t="str">
        <f t="shared" si="975"/>
        <v>19:32:43.000</v>
      </c>
      <c r="U2683" t="str">
        <f t="shared" si="952"/>
        <v>AC3944</v>
      </c>
      <c r="V2683">
        <v>0</v>
      </c>
      <c r="W2683">
        <v>0</v>
      </c>
      <c r="X2683">
        <v>2</v>
      </c>
      <c r="Y2683">
        <v>0</v>
      </c>
      <c r="AA2683">
        <v>1</v>
      </c>
      <c r="AB2683">
        <v>8</v>
      </c>
      <c r="AC2683">
        <v>3</v>
      </c>
      <c r="AD2683">
        <v>0</v>
      </c>
      <c r="AE2683">
        <v>9</v>
      </c>
      <c r="AF2683" t="s">
        <v>138</v>
      </c>
      <c r="AG2683">
        <v>0</v>
      </c>
      <c r="AH2683">
        <v>3</v>
      </c>
      <c r="AI2683">
        <v>1</v>
      </c>
      <c r="AJ2683">
        <v>0</v>
      </c>
      <c r="AK2683" t="s">
        <v>912</v>
      </c>
      <c r="AL2683">
        <v>32.743634999999998</v>
      </c>
      <c r="AM2683" t="s">
        <v>913</v>
      </c>
      <c r="AN2683">
        <v>-116.767223</v>
      </c>
      <c r="AO2683">
        <v>25</v>
      </c>
      <c r="AP2683">
        <v>3500</v>
      </c>
      <c r="AQ2683" t="s">
        <v>129</v>
      </c>
      <c r="AR2683">
        <v>88</v>
      </c>
      <c r="AS2683">
        <v>-93</v>
      </c>
      <c r="AT2683">
        <v>896</v>
      </c>
      <c r="BB2683">
        <v>1200</v>
      </c>
      <c r="BC2683">
        <v>1</v>
      </c>
      <c r="BD2683" t="str">
        <f t="shared" si="953"/>
        <v xml:space="preserve">N887QR  </v>
      </c>
      <c r="BE2683">
        <v>1</v>
      </c>
      <c r="BJ2683">
        <v>3200</v>
      </c>
      <c r="BK2683">
        <v>-300</v>
      </c>
      <c r="BL2683" t="s">
        <v>163</v>
      </c>
      <c r="BM2683">
        <v>1</v>
      </c>
      <c r="BN2683">
        <v>1</v>
      </c>
      <c r="BO2683">
        <v>1</v>
      </c>
      <c r="BP2683">
        <v>0</v>
      </c>
      <c r="BS2683">
        <v>0</v>
      </c>
      <c r="BT2683">
        <v>0</v>
      </c>
      <c r="BU2683">
        <v>0</v>
      </c>
      <c r="CE2683" t="str">
        <f t="shared" si="976"/>
        <v>19:32:43.155</v>
      </c>
      <c r="CF2683">
        <v>155040839</v>
      </c>
      <c r="CS2683">
        <v>0</v>
      </c>
      <c r="CT2683">
        <v>2</v>
      </c>
      <c r="CU2683">
        <v>0</v>
      </c>
      <c r="CV2683">
        <v>2</v>
      </c>
      <c r="CW2683">
        <v>0</v>
      </c>
      <c r="CX2683">
        <v>1</v>
      </c>
      <c r="CY2683">
        <v>7</v>
      </c>
      <c r="CZ2683" t="s">
        <v>131</v>
      </c>
      <c r="DA2683">
        <v>286</v>
      </c>
      <c r="DB2683">
        <v>0</v>
      </c>
      <c r="DC2683" t="s">
        <v>132</v>
      </c>
      <c r="DD2683" t="s">
        <v>133</v>
      </c>
      <c r="DG2683">
        <v>851278</v>
      </c>
      <c r="DI2683">
        <v>1</v>
      </c>
      <c r="DJ2683">
        <v>0</v>
      </c>
      <c r="DK2683">
        <v>1</v>
      </c>
      <c r="DL2683">
        <v>0</v>
      </c>
      <c r="DM2683">
        <v>0</v>
      </c>
      <c r="DN2683">
        <v>1</v>
      </c>
      <c r="DO2683">
        <v>0</v>
      </c>
      <c r="DP2683">
        <v>0</v>
      </c>
      <c r="DQ2683">
        <v>0</v>
      </c>
      <c r="DR2683">
        <v>0</v>
      </c>
      <c r="DS2683">
        <v>0</v>
      </c>
    </row>
    <row r="2684" spans="1:123" x14ac:dyDescent="0.3">
      <c r="A2684" t="str">
        <f t="shared" si="974"/>
        <v>10/04/2022 19:32:43.448</v>
      </c>
      <c r="C2684" t="str">
        <f t="shared" si="968"/>
        <v>FFDDD3C0</v>
      </c>
      <c r="D2684" t="s">
        <v>123</v>
      </c>
      <c r="E2684">
        <v>7</v>
      </c>
      <c r="F2684">
        <v>2007</v>
      </c>
      <c r="G2684" t="s">
        <v>124</v>
      </c>
      <c r="J2684" t="s">
        <v>125</v>
      </c>
      <c r="K2684">
        <v>0</v>
      </c>
      <c r="L2684">
        <v>3</v>
      </c>
      <c r="M2684">
        <v>0</v>
      </c>
      <c r="N2684">
        <v>2</v>
      </c>
      <c r="O2684">
        <v>0</v>
      </c>
      <c r="P2684">
        <v>1</v>
      </c>
      <c r="Q2684">
        <v>0</v>
      </c>
      <c r="S2684" t="str">
        <f t="shared" si="975"/>
        <v>19:32:43.000</v>
      </c>
      <c r="T2684" t="str">
        <f t="shared" si="975"/>
        <v>19:32:43.000</v>
      </c>
      <c r="U2684" t="str">
        <f t="shared" si="952"/>
        <v>AC3944</v>
      </c>
      <c r="V2684">
        <v>0</v>
      </c>
      <c r="W2684">
        <v>0</v>
      </c>
      <c r="X2684">
        <v>2</v>
      </c>
      <c r="Y2684">
        <v>0</v>
      </c>
      <c r="AA2684">
        <v>1</v>
      </c>
      <c r="AB2684">
        <v>8</v>
      </c>
      <c r="AC2684">
        <v>3</v>
      </c>
      <c r="AD2684">
        <v>0</v>
      </c>
      <c r="AE2684">
        <v>9</v>
      </c>
      <c r="AF2684" t="s">
        <v>138</v>
      </c>
      <c r="AG2684">
        <v>0</v>
      </c>
      <c r="AH2684">
        <v>3</v>
      </c>
      <c r="AI2684">
        <v>1</v>
      </c>
      <c r="AJ2684">
        <v>0</v>
      </c>
      <c r="AK2684" t="s">
        <v>912</v>
      </c>
      <c r="AL2684">
        <v>32.743634999999998</v>
      </c>
      <c r="AM2684" t="s">
        <v>913</v>
      </c>
      <c r="AN2684">
        <v>-116.767223</v>
      </c>
      <c r="AO2684">
        <v>25</v>
      </c>
      <c r="AP2684">
        <v>3500</v>
      </c>
      <c r="AQ2684" t="s">
        <v>129</v>
      </c>
      <c r="AR2684">
        <v>88</v>
      </c>
      <c r="AS2684">
        <v>-93</v>
      </c>
      <c r="AT2684">
        <v>896</v>
      </c>
      <c r="BB2684">
        <v>1200</v>
      </c>
      <c r="BC2684">
        <v>1</v>
      </c>
      <c r="BD2684" t="str">
        <f t="shared" si="953"/>
        <v xml:space="preserve">N887QR  </v>
      </c>
      <c r="BE2684">
        <v>1</v>
      </c>
      <c r="BJ2684">
        <v>3200</v>
      </c>
      <c r="BK2684">
        <v>-300</v>
      </c>
      <c r="BL2684" t="s">
        <v>163</v>
      </c>
      <c r="BM2684">
        <v>1</v>
      </c>
      <c r="BN2684">
        <v>1</v>
      </c>
      <c r="BO2684">
        <v>1</v>
      </c>
      <c r="BP2684">
        <v>0</v>
      </c>
      <c r="BS2684">
        <v>0</v>
      </c>
      <c r="BT2684">
        <v>0</v>
      </c>
      <c r="BU2684">
        <v>0</v>
      </c>
      <c r="CE2684" t="str">
        <f t="shared" si="976"/>
        <v>19:32:43.155</v>
      </c>
      <c r="CF2684">
        <v>155040839</v>
      </c>
      <c r="CS2684">
        <v>0</v>
      </c>
      <c r="CT2684">
        <v>2</v>
      </c>
      <c r="CU2684">
        <v>0</v>
      </c>
      <c r="CV2684">
        <v>2</v>
      </c>
      <c r="CW2684">
        <v>0</v>
      </c>
      <c r="CX2684">
        <v>1</v>
      </c>
      <c r="CY2684">
        <v>7</v>
      </c>
      <c r="CZ2684" t="s">
        <v>131</v>
      </c>
      <c r="DA2684">
        <v>286</v>
      </c>
      <c r="DB2684">
        <v>0</v>
      </c>
      <c r="DC2684" t="s">
        <v>132</v>
      </c>
      <c r="DD2684" t="s">
        <v>133</v>
      </c>
      <c r="DG2684">
        <v>851278</v>
      </c>
      <c r="DI2684">
        <v>1</v>
      </c>
      <c r="DJ2684">
        <v>0</v>
      </c>
      <c r="DK2684">
        <v>1</v>
      </c>
      <c r="DL2684">
        <v>0</v>
      </c>
      <c r="DM2684">
        <v>0</v>
      </c>
      <c r="DN2684">
        <v>1</v>
      </c>
      <c r="DO2684">
        <v>0</v>
      </c>
      <c r="DP2684">
        <v>0</v>
      </c>
      <c r="DQ2684">
        <v>0</v>
      </c>
      <c r="DR2684">
        <v>0</v>
      </c>
      <c r="DS2684">
        <v>0</v>
      </c>
    </row>
    <row r="2685" spans="1:123" x14ac:dyDescent="0.3">
      <c r="A2685" t="str">
        <f t="shared" si="974"/>
        <v>10/04/2022 19:32:43.448</v>
      </c>
      <c r="C2685" t="str">
        <f t="shared" si="968"/>
        <v>FFDDD3C0</v>
      </c>
      <c r="D2685" t="s">
        <v>141</v>
      </c>
      <c r="E2685">
        <v>4</v>
      </c>
      <c r="H2685">
        <v>4</v>
      </c>
      <c r="I2685" t="s">
        <v>142</v>
      </c>
      <c r="J2685" t="s">
        <v>138</v>
      </c>
      <c r="K2685">
        <v>0</v>
      </c>
      <c r="L2685">
        <v>3</v>
      </c>
      <c r="M2685">
        <v>0</v>
      </c>
      <c r="N2685">
        <v>2</v>
      </c>
      <c r="O2685">
        <v>0</v>
      </c>
      <c r="P2685">
        <v>1</v>
      </c>
      <c r="Q2685">
        <v>0</v>
      </c>
      <c r="S2685" t="str">
        <f t="shared" si="975"/>
        <v>19:32:43.000</v>
      </c>
      <c r="T2685" t="str">
        <f t="shared" si="975"/>
        <v>19:32:43.000</v>
      </c>
      <c r="U2685" t="str">
        <f t="shared" si="952"/>
        <v>AC3944</v>
      </c>
      <c r="V2685">
        <v>0</v>
      </c>
      <c r="W2685">
        <v>0</v>
      </c>
      <c r="X2685">
        <v>2</v>
      </c>
      <c r="Y2685">
        <v>0</v>
      </c>
      <c r="AA2685">
        <v>1</v>
      </c>
      <c r="AB2685">
        <v>8</v>
      </c>
      <c r="AC2685">
        <v>3</v>
      </c>
      <c r="AD2685">
        <v>0</v>
      </c>
      <c r="AE2685">
        <v>9</v>
      </c>
      <c r="AF2685" t="s">
        <v>138</v>
      </c>
      <c r="AG2685">
        <v>0</v>
      </c>
      <c r="AH2685">
        <v>3</v>
      </c>
      <c r="AI2685">
        <v>1</v>
      </c>
      <c r="AJ2685">
        <v>0</v>
      </c>
      <c r="AK2685" t="s">
        <v>912</v>
      </c>
      <c r="AL2685">
        <v>32.743634999999998</v>
      </c>
      <c r="AM2685" t="s">
        <v>913</v>
      </c>
      <c r="AN2685">
        <v>-116.767223</v>
      </c>
      <c r="AO2685">
        <v>25</v>
      </c>
      <c r="AP2685">
        <v>3500</v>
      </c>
      <c r="AQ2685" t="s">
        <v>129</v>
      </c>
      <c r="AR2685">
        <v>88</v>
      </c>
      <c r="AS2685">
        <v>-93</v>
      </c>
      <c r="AT2685">
        <v>896</v>
      </c>
      <c r="BB2685">
        <v>1200</v>
      </c>
      <c r="BC2685">
        <v>1</v>
      </c>
      <c r="BD2685" t="str">
        <f t="shared" si="953"/>
        <v xml:space="preserve">N887QR  </v>
      </c>
      <c r="BE2685">
        <v>1</v>
      </c>
      <c r="BJ2685">
        <v>3200</v>
      </c>
      <c r="BK2685">
        <v>-300</v>
      </c>
      <c r="BL2685" t="s">
        <v>163</v>
      </c>
      <c r="BM2685">
        <v>1</v>
      </c>
      <c r="BN2685">
        <v>1</v>
      </c>
      <c r="BO2685">
        <v>1</v>
      </c>
      <c r="BP2685">
        <v>0</v>
      </c>
      <c r="BS2685">
        <v>0</v>
      </c>
      <c r="BT2685">
        <v>0</v>
      </c>
      <c r="BU2685">
        <v>0</v>
      </c>
      <c r="CE2685" t="str">
        <f t="shared" si="976"/>
        <v>19:32:43.155</v>
      </c>
      <c r="CF2685">
        <v>155040839</v>
      </c>
      <c r="CS2685">
        <v>0</v>
      </c>
      <c r="CT2685">
        <v>2</v>
      </c>
      <c r="CU2685">
        <v>0</v>
      </c>
      <c r="CV2685">
        <v>2</v>
      </c>
      <c r="CW2685">
        <v>0</v>
      </c>
      <c r="CX2685">
        <v>1</v>
      </c>
      <c r="CY2685">
        <v>7</v>
      </c>
      <c r="CZ2685" t="s">
        <v>131</v>
      </c>
      <c r="DA2685">
        <v>286</v>
      </c>
      <c r="DB2685">
        <v>0</v>
      </c>
      <c r="DC2685" t="s">
        <v>132</v>
      </c>
      <c r="DD2685" t="s">
        <v>133</v>
      </c>
      <c r="DG2685">
        <v>851278</v>
      </c>
      <c r="DI2685">
        <v>1</v>
      </c>
      <c r="DJ2685">
        <v>0</v>
      </c>
      <c r="DK2685">
        <v>1</v>
      </c>
      <c r="DL2685">
        <v>0</v>
      </c>
      <c r="DM2685">
        <v>0</v>
      </c>
      <c r="DN2685">
        <v>1</v>
      </c>
      <c r="DO2685">
        <v>0</v>
      </c>
      <c r="DP2685">
        <v>0</v>
      </c>
      <c r="DQ2685">
        <v>0</v>
      </c>
      <c r="DR2685">
        <v>0</v>
      </c>
      <c r="DS2685">
        <v>0</v>
      </c>
    </row>
    <row r="2686" spans="1:123" x14ac:dyDescent="0.3">
      <c r="A2686" t="str">
        <f t="shared" si="974"/>
        <v>10/04/2022 19:32:43.448</v>
      </c>
      <c r="C2686" t="str">
        <f t="shared" si="968"/>
        <v>FFDDD3C0</v>
      </c>
      <c r="D2686" t="s">
        <v>136</v>
      </c>
      <c r="E2686">
        <v>8</v>
      </c>
      <c r="H2686">
        <v>225</v>
      </c>
      <c r="I2686" t="s">
        <v>137</v>
      </c>
      <c r="J2686" t="s">
        <v>138</v>
      </c>
      <c r="K2686">
        <v>0</v>
      </c>
      <c r="L2686">
        <v>3</v>
      </c>
      <c r="M2686">
        <v>0</v>
      </c>
      <c r="N2686">
        <v>2</v>
      </c>
      <c r="O2686">
        <v>0</v>
      </c>
      <c r="P2686">
        <v>1</v>
      </c>
      <c r="Q2686">
        <v>0</v>
      </c>
      <c r="S2686" t="str">
        <f t="shared" si="975"/>
        <v>19:32:43.000</v>
      </c>
      <c r="T2686" t="str">
        <f t="shared" si="975"/>
        <v>19:32:43.000</v>
      </c>
      <c r="U2686" t="str">
        <f t="shared" si="952"/>
        <v>AC3944</v>
      </c>
      <c r="V2686">
        <v>0</v>
      </c>
      <c r="W2686">
        <v>0</v>
      </c>
      <c r="X2686">
        <v>2</v>
      </c>
      <c r="Y2686">
        <v>0</v>
      </c>
      <c r="AA2686">
        <v>1</v>
      </c>
      <c r="AB2686">
        <v>8</v>
      </c>
      <c r="AC2686">
        <v>3</v>
      </c>
      <c r="AD2686">
        <v>0</v>
      </c>
      <c r="AE2686">
        <v>9</v>
      </c>
      <c r="AF2686" t="s">
        <v>138</v>
      </c>
      <c r="AG2686">
        <v>0</v>
      </c>
      <c r="AH2686">
        <v>3</v>
      </c>
      <c r="AI2686">
        <v>1</v>
      </c>
      <c r="AJ2686">
        <v>0</v>
      </c>
      <c r="AK2686" t="s">
        <v>912</v>
      </c>
      <c r="AL2686">
        <v>32.743634999999998</v>
      </c>
      <c r="AM2686" t="s">
        <v>913</v>
      </c>
      <c r="AN2686">
        <v>-116.767223</v>
      </c>
      <c r="AO2686">
        <v>25</v>
      </c>
      <c r="AP2686">
        <v>3500</v>
      </c>
      <c r="AQ2686" t="s">
        <v>129</v>
      </c>
      <c r="AR2686">
        <v>88</v>
      </c>
      <c r="AS2686">
        <v>-93</v>
      </c>
      <c r="AT2686">
        <v>896</v>
      </c>
      <c r="BB2686">
        <v>1200</v>
      </c>
      <c r="BC2686">
        <v>1</v>
      </c>
      <c r="BD2686" t="str">
        <f t="shared" si="953"/>
        <v xml:space="preserve">N887QR  </v>
      </c>
      <c r="BE2686">
        <v>1</v>
      </c>
      <c r="BJ2686">
        <v>3200</v>
      </c>
      <c r="BK2686">
        <v>-300</v>
      </c>
      <c r="BL2686" t="s">
        <v>163</v>
      </c>
      <c r="BM2686">
        <v>1</v>
      </c>
      <c r="BN2686">
        <v>1</v>
      </c>
      <c r="BO2686">
        <v>1</v>
      </c>
      <c r="BP2686">
        <v>0</v>
      </c>
      <c r="BS2686">
        <v>0</v>
      </c>
      <c r="BT2686">
        <v>0</v>
      </c>
      <c r="BU2686">
        <v>0</v>
      </c>
      <c r="CE2686" t="str">
        <f t="shared" si="976"/>
        <v>19:32:43.155</v>
      </c>
      <c r="CF2686">
        <v>155040839</v>
      </c>
      <c r="CS2686">
        <v>0</v>
      </c>
      <c r="CT2686">
        <v>2</v>
      </c>
      <c r="CU2686">
        <v>0</v>
      </c>
      <c r="CV2686">
        <v>2</v>
      </c>
      <c r="CW2686">
        <v>0</v>
      </c>
      <c r="CX2686">
        <v>1</v>
      </c>
      <c r="CY2686">
        <v>7</v>
      </c>
      <c r="CZ2686" t="s">
        <v>131</v>
      </c>
      <c r="DA2686">
        <v>286</v>
      </c>
      <c r="DB2686">
        <v>0</v>
      </c>
      <c r="DC2686" t="s">
        <v>132</v>
      </c>
      <c r="DD2686" t="s">
        <v>133</v>
      </c>
      <c r="DG2686">
        <v>851278</v>
      </c>
      <c r="DI2686">
        <v>1</v>
      </c>
      <c r="DJ2686">
        <v>0</v>
      </c>
      <c r="DK2686">
        <v>1</v>
      </c>
      <c r="DL2686">
        <v>0</v>
      </c>
      <c r="DM2686">
        <v>0</v>
      </c>
      <c r="DN2686">
        <v>1</v>
      </c>
      <c r="DO2686">
        <v>0</v>
      </c>
      <c r="DP2686">
        <v>0</v>
      </c>
      <c r="DQ2686">
        <v>0</v>
      </c>
      <c r="DR2686">
        <v>0</v>
      </c>
      <c r="DS2686">
        <v>0</v>
      </c>
    </row>
    <row r="2687" spans="1:123" x14ac:dyDescent="0.3">
      <c r="A2687" t="str">
        <f t="shared" si="974"/>
        <v>10/04/2022 19:32:43.448</v>
      </c>
      <c r="C2687" t="str">
        <f t="shared" si="968"/>
        <v>FFDDD3C0</v>
      </c>
      <c r="D2687" t="s">
        <v>141</v>
      </c>
      <c r="E2687">
        <v>3</v>
      </c>
      <c r="H2687">
        <v>3</v>
      </c>
      <c r="I2687" t="s">
        <v>146</v>
      </c>
      <c r="J2687" t="s">
        <v>138</v>
      </c>
      <c r="K2687">
        <v>0</v>
      </c>
      <c r="L2687">
        <v>3</v>
      </c>
      <c r="M2687">
        <v>0</v>
      </c>
      <c r="N2687">
        <v>2</v>
      </c>
      <c r="O2687">
        <v>0</v>
      </c>
      <c r="P2687">
        <v>1</v>
      </c>
      <c r="Q2687">
        <v>0</v>
      </c>
      <c r="S2687" t="str">
        <f t="shared" si="975"/>
        <v>19:32:43.000</v>
      </c>
      <c r="T2687" t="str">
        <f t="shared" si="975"/>
        <v>19:32:43.000</v>
      </c>
      <c r="U2687" t="str">
        <f t="shared" si="952"/>
        <v>AC3944</v>
      </c>
      <c r="V2687">
        <v>0</v>
      </c>
      <c r="W2687">
        <v>0</v>
      </c>
      <c r="X2687">
        <v>2</v>
      </c>
      <c r="Y2687">
        <v>0</v>
      </c>
      <c r="AA2687">
        <v>1</v>
      </c>
      <c r="AB2687">
        <v>8</v>
      </c>
      <c r="AC2687">
        <v>3</v>
      </c>
      <c r="AD2687">
        <v>0</v>
      </c>
      <c r="AE2687">
        <v>9</v>
      </c>
      <c r="AF2687" t="s">
        <v>138</v>
      </c>
      <c r="AG2687">
        <v>0</v>
      </c>
      <c r="AH2687">
        <v>3</v>
      </c>
      <c r="AI2687">
        <v>1</v>
      </c>
      <c r="AJ2687">
        <v>0</v>
      </c>
      <c r="AK2687" t="s">
        <v>912</v>
      </c>
      <c r="AL2687">
        <v>32.743634999999998</v>
      </c>
      <c r="AM2687" t="s">
        <v>913</v>
      </c>
      <c r="AN2687">
        <v>-116.767223</v>
      </c>
      <c r="AO2687">
        <v>25</v>
      </c>
      <c r="AP2687">
        <v>3500</v>
      </c>
      <c r="AQ2687" t="s">
        <v>129</v>
      </c>
      <c r="AR2687">
        <v>88</v>
      </c>
      <c r="AS2687">
        <v>-93</v>
      </c>
      <c r="AT2687">
        <v>896</v>
      </c>
      <c r="BB2687">
        <v>1200</v>
      </c>
      <c r="BC2687">
        <v>1</v>
      </c>
      <c r="BD2687" t="str">
        <f t="shared" si="953"/>
        <v xml:space="preserve">N887QR  </v>
      </c>
      <c r="BE2687">
        <v>1</v>
      </c>
      <c r="BJ2687">
        <v>3200</v>
      </c>
      <c r="BK2687">
        <v>-300</v>
      </c>
      <c r="BL2687" t="s">
        <v>163</v>
      </c>
      <c r="BM2687">
        <v>1</v>
      </c>
      <c r="BN2687">
        <v>1</v>
      </c>
      <c r="BO2687">
        <v>1</v>
      </c>
      <c r="BP2687">
        <v>0</v>
      </c>
      <c r="BS2687">
        <v>0</v>
      </c>
      <c r="BT2687">
        <v>0</v>
      </c>
      <c r="BU2687">
        <v>0</v>
      </c>
      <c r="CE2687" t="str">
        <f t="shared" si="976"/>
        <v>19:32:43.155</v>
      </c>
      <c r="CF2687">
        <v>155040839</v>
      </c>
      <c r="CS2687">
        <v>0</v>
      </c>
      <c r="CT2687">
        <v>2</v>
      </c>
      <c r="CU2687">
        <v>0</v>
      </c>
      <c r="CV2687">
        <v>2</v>
      </c>
      <c r="CW2687">
        <v>0</v>
      </c>
      <c r="CX2687">
        <v>1</v>
      </c>
      <c r="CY2687">
        <v>7</v>
      </c>
      <c r="CZ2687" t="s">
        <v>131</v>
      </c>
      <c r="DA2687">
        <v>286</v>
      </c>
      <c r="DB2687">
        <v>0</v>
      </c>
      <c r="DC2687" t="s">
        <v>132</v>
      </c>
      <c r="DD2687" t="s">
        <v>133</v>
      </c>
      <c r="DG2687">
        <v>851278</v>
      </c>
      <c r="DI2687">
        <v>1</v>
      </c>
      <c r="DJ2687">
        <v>0</v>
      </c>
      <c r="DK2687">
        <v>1</v>
      </c>
      <c r="DL2687">
        <v>0</v>
      </c>
      <c r="DM2687">
        <v>0</v>
      </c>
      <c r="DN2687">
        <v>1</v>
      </c>
      <c r="DO2687">
        <v>0</v>
      </c>
      <c r="DP2687">
        <v>0</v>
      </c>
      <c r="DQ2687">
        <v>0</v>
      </c>
      <c r="DR2687">
        <v>0</v>
      </c>
      <c r="DS2687">
        <v>0</v>
      </c>
    </row>
    <row r="2688" spans="1:123" x14ac:dyDescent="0.3">
      <c r="A2688" t="str">
        <f>"10/04/2022 19:32:43.541"</f>
        <v>10/04/2022 19:32:43.541</v>
      </c>
      <c r="C2688" t="str">
        <f t="shared" si="968"/>
        <v>FFDDD3C0</v>
      </c>
      <c r="D2688" t="s">
        <v>134</v>
      </c>
      <c r="E2688">
        <v>15</v>
      </c>
      <c r="J2688" t="s">
        <v>135</v>
      </c>
      <c r="K2688">
        <v>0</v>
      </c>
      <c r="L2688">
        <v>3</v>
      </c>
      <c r="M2688">
        <v>0</v>
      </c>
      <c r="N2688">
        <v>2</v>
      </c>
      <c r="O2688">
        <v>0</v>
      </c>
      <c r="P2688">
        <v>1</v>
      </c>
      <c r="Q2688">
        <v>0</v>
      </c>
      <c r="S2688" t="str">
        <f t="shared" si="975"/>
        <v>19:32:43.000</v>
      </c>
      <c r="T2688" t="str">
        <f t="shared" si="975"/>
        <v>19:32:43.000</v>
      </c>
      <c r="U2688" t="str">
        <f t="shared" si="952"/>
        <v>AC3944</v>
      </c>
      <c r="V2688">
        <v>0</v>
      </c>
      <c r="W2688">
        <v>0</v>
      </c>
      <c r="X2688">
        <v>2</v>
      </c>
      <c r="Y2688">
        <v>0</v>
      </c>
      <c r="AA2688">
        <v>1</v>
      </c>
      <c r="AB2688">
        <v>8</v>
      </c>
      <c r="AC2688">
        <v>3</v>
      </c>
      <c r="AD2688">
        <v>0</v>
      </c>
      <c r="AE2688">
        <v>9</v>
      </c>
      <c r="AF2688" t="s">
        <v>138</v>
      </c>
      <c r="AG2688">
        <v>0</v>
      </c>
      <c r="AH2688">
        <v>3</v>
      </c>
      <c r="AI2688">
        <v>1</v>
      </c>
      <c r="AJ2688">
        <v>0</v>
      </c>
      <c r="AK2688" t="s">
        <v>912</v>
      </c>
      <c r="AL2688">
        <v>32.743634999999998</v>
      </c>
      <c r="AM2688" t="s">
        <v>913</v>
      </c>
      <c r="AN2688">
        <v>-116.767223</v>
      </c>
      <c r="AO2688">
        <v>25</v>
      </c>
      <c r="AP2688">
        <v>3500</v>
      </c>
      <c r="AQ2688" t="s">
        <v>129</v>
      </c>
      <c r="AR2688">
        <v>88</v>
      </c>
      <c r="AS2688">
        <v>-93</v>
      </c>
      <c r="AT2688">
        <v>896</v>
      </c>
      <c r="BB2688">
        <v>1200</v>
      </c>
      <c r="BC2688">
        <v>1</v>
      </c>
      <c r="BD2688" t="str">
        <f t="shared" si="953"/>
        <v xml:space="preserve">N887QR  </v>
      </c>
      <c r="BE2688">
        <v>1</v>
      </c>
      <c r="BJ2688">
        <v>3200</v>
      </c>
      <c r="BK2688">
        <v>-300</v>
      </c>
      <c r="BL2688" t="s">
        <v>163</v>
      </c>
      <c r="BM2688">
        <v>1</v>
      </c>
      <c r="BN2688">
        <v>1</v>
      </c>
      <c r="BO2688">
        <v>1</v>
      </c>
      <c r="BP2688">
        <v>0</v>
      </c>
      <c r="BS2688">
        <v>0</v>
      </c>
      <c r="BT2688">
        <v>0</v>
      </c>
      <c r="BU2688">
        <v>0</v>
      </c>
      <c r="CE2688" t="str">
        <f t="shared" si="976"/>
        <v>19:32:43.155</v>
      </c>
      <c r="CF2688">
        <v>155040839</v>
      </c>
      <c r="CS2688">
        <v>0</v>
      </c>
      <c r="CT2688">
        <v>2</v>
      </c>
      <c r="CU2688">
        <v>0</v>
      </c>
      <c r="CV2688">
        <v>2</v>
      </c>
      <c r="CW2688">
        <v>0</v>
      </c>
      <c r="CX2688">
        <v>1</v>
      </c>
      <c r="CY2688">
        <v>7</v>
      </c>
      <c r="CZ2688" t="s">
        <v>131</v>
      </c>
      <c r="DA2688">
        <v>286</v>
      </c>
      <c r="DB2688">
        <v>0</v>
      </c>
      <c r="DC2688" t="s">
        <v>132</v>
      </c>
      <c r="DD2688" t="s">
        <v>133</v>
      </c>
      <c r="DG2688">
        <v>851278</v>
      </c>
      <c r="DI2688">
        <v>1</v>
      </c>
      <c r="DJ2688">
        <v>0</v>
      </c>
      <c r="DK2688">
        <v>1</v>
      </c>
      <c r="DL2688">
        <v>0</v>
      </c>
      <c r="DM2688">
        <v>0</v>
      </c>
      <c r="DN2688">
        <v>1</v>
      </c>
      <c r="DO2688">
        <v>0</v>
      </c>
      <c r="DP2688">
        <v>0</v>
      </c>
      <c r="DQ2688">
        <v>0</v>
      </c>
      <c r="DR2688">
        <v>0</v>
      </c>
      <c r="DS2688">
        <v>0</v>
      </c>
    </row>
    <row r="2689" spans="1:123" x14ac:dyDescent="0.3">
      <c r="A2689" t="str">
        <f>"10/04/2022 19:32:44.135"</f>
        <v>10/04/2022 19:32:44.135</v>
      </c>
      <c r="C2689" t="str">
        <f t="shared" si="968"/>
        <v>FFDDD3C0</v>
      </c>
      <c r="D2689" t="s">
        <v>147</v>
      </c>
      <c r="E2689">
        <v>3</v>
      </c>
      <c r="H2689">
        <v>166</v>
      </c>
      <c r="I2689" t="s">
        <v>144</v>
      </c>
      <c r="J2689" t="s">
        <v>148</v>
      </c>
      <c r="K2689">
        <v>0</v>
      </c>
      <c r="L2689">
        <v>3</v>
      </c>
      <c r="M2689">
        <v>0</v>
      </c>
      <c r="N2689">
        <v>2</v>
      </c>
      <c r="O2689">
        <v>0</v>
      </c>
      <c r="P2689">
        <v>1</v>
      </c>
      <c r="Q2689">
        <v>0</v>
      </c>
      <c r="S2689" t="str">
        <f t="shared" si="975"/>
        <v>19:32:43.000</v>
      </c>
      <c r="T2689" t="str">
        <f t="shared" si="975"/>
        <v>19:32:43.000</v>
      </c>
      <c r="U2689" t="str">
        <f t="shared" si="952"/>
        <v>AC3944</v>
      </c>
      <c r="V2689">
        <v>0</v>
      </c>
      <c r="W2689">
        <v>0</v>
      </c>
      <c r="X2689">
        <v>2</v>
      </c>
      <c r="Y2689">
        <v>0</v>
      </c>
      <c r="AA2689">
        <v>1</v>
      </c>
      <c r="AB2689">
        <v>8</v>
      </c>
      <c r="AC2689">
        <v>3</v>
      </c>
      <c r="AD2689">
        <v>0</v>
      </c>
      <c r="AE2689">
        <v>9</v>
      </c>
      <c r="AF2689" t="s">
        <v>138</v>
      </c>
      <c r="AG2689">
        <v>0</v>
      </c>
      <c r="AH2689">
        <v>3</v>
      </c>
      <c r="AI2689">
        <v>1</v>
      </c>
      <c r="AJ2689">
        <v>0</v>
      </c>
      <c r="AK2689" t="s">
        <v>914</v>
      </c>
      <c r="AL2689">
        <v>32.743206000000001</v>
      </c>
      <c r="AM2689" t="s">
        <v>915</v>
      </c>
      <c r="AN2689">
        <v>-116.766751</v>
      </c>
      <c r="AO2689">
        <v>25</v>
      </c>
      <c r="AP2689">
        <v>3500</v>
      </c>
      <c r="AQ2689" t="s">
        <v>129</v>
      </c>
      <c r="AR2689">
        <v>88</v>
      </c>
      <c r="AS2689">
        <v>-93</v>
      </c>
      <c r="AT2689">
        <v>896</v>
      </c>
      <c r="BB2689">
        <v>1200</v>
      </c>
      <c r="BC2689">
        <v>1</v>
      </c>
      <c r="BD2689" t="str">
        <f t="shared" si="953"/>
        <v xml:space="preserve">N887QR  </v>
      </c>
      <c r="BE2689">
        <v>1</v>
      </c>
      <c r="BJ2689">
        <v>3200</v>
      </c>
      <c r="BK2689">
        <v>-300</v>
      </c>
      <c r="BL2689" t="s">
        <v>163</v>
      </c>
      <c r="BM2689">
        <v>1</v>
      </c>
      <c r="BN2689">
        <v>1</v>
      </c>
      <c r="BO2689">
        <v>1</v>
      </c>
      <c r="BP2689">
        <v>0</v>
      </c>
      <c r="BS2689">
        <v>0</v>
      </c>
      <c r="BT2689">
        <v>0</v>
      </c>
      <c r="BU2689">
        <v>0</v>
      </c>
      <c r="CE2689" t="str">
        <f t="shared" ref="CE2689:CE2695" si="977">"19:32:43.820"</f>
        <v>19:32:43.820</v>
      </c>
      <c r="CF2689">
        <v>819849946</v>
      </c>
      <c r="CS2689">
        <v>0</v>
      </c>
      <c r="CT2689">
        <v>2</v>
      </c>
      <c r="CU2689">
        <v>0</v>
      </c>
      <c r="CV2689">
        <v>2</v>
      </c>
      <c r="CW2689">
        <v>0</v>
      </c>
      <c r="CX2689">
        <v>4</v>
      </c>
      <c r="CY2689">
        <v>7</v>
      </c>
      <c r="CZ2689" t="s">
        <v>131</v>
      </c>
      <c r="DA2689">
        <v>300</v>
      </c>
      <c r="DB2689">
        <v>0</v>
      </c>
      <c r="DC2689" t="s">
        <v>176</v>
      </c>
      <c r="DD2689" t="s">
        <v>177</v>
      </c>
      <c r="DG2689">
        <v>5418693</v>
      </c>
      <c r="DI2689">
        <v>1</v>
      </c>
      <c r="DJ2689">
        <v>0</v>
      </c>
      <c r="DK2689">
        <v>0</v>
      </c>
      <c r="DL2689">
        <v>0</v>
      </c>
      <c r="DM2689">
        <v>0</v>
      </c>
      <c r="DN2689">
        <v>1</v>
      </c>
      <c r="DO2689">
        <v>0</v>
      </c>
      <c r="DP2689">
        <v>0</v>
      </c>
      <c r="DQ2689">
        <v>0</v>
      </c>
      <c r="DR2689">
        <v>0</v>
      </c>
      <c r="DS2689">
        <v>0</v>
      </c>
    </row>
    <row r="2690" spans="1:123" x14ac:dyDescent="0.3">
      <c r="A2690" t="str">
        <f>"10/04/2022 19:32:44.135"</f>
        <v>10/04/2022 19:32:44.135</v>
      </c>
      <c r="C2690" t="str">
        <f t="shared" si="968"/>
        <v>FFDDD3C0</v>
      </c>
      <c r="D2690" t="s">
        <v>123</v>
      </c>
      <c r="E2690">
        <v>7</v>
      </c>
      <c r="F2690">
        <v>2007</v>
      </c>
      <c r="G2690" t="s">
        <v>124</v>
      </c>
      <c r="J2690" t="s">
        <v>125</v>
      </c>
      <c r="K2690">
        <v>0</v>
      </c>
      <c r="L2690">
        <v>3</v>
      </c>
      <c r="M2690">
        <v>0</v>
      </c>
      <c r="N2690">
        <v>2</v>
      </c>
      <c r="O2690">
        <v>0</v>
      </c>
      <c r="P2690">
        <v>1</v>
      </c>
      <c r="Q2690">
        <v>0</v>
      </c>
      <c r="S2690" t="str">
        <f t="shared" si="975"/>
        <v>19:32:43.000</v>
      </c>
      <c r="T2690" t="str">
        <f t="shared" si="975"/>
        <v>19:32:43.000</v>
      </c>
      <c r="U2690" t="str">
        <f t="shared" ref="U2690:U2753" si="978">"AC3944"</f>
        <v>AC3944</v>
      </c>
      <c r="V2690">
        <v>0</v>
      </c>
      <c r="W2690">
        <v>0</v>
      </c>
      <c r="X2690">
        <v>2</v>
      </c>
      <c r="Y2690">
        <v>0</v>
      </c>
      <c r="AA2690">
        <v>1</v>
      </c>
      <c r="AB2690">
        <v>8</v>
      </c>
      <c r="AC2690">
        <v>3</v>
      </c>
      <c r="AD2690">
        <v>0</v>
      </c>
      <c r="AE2690">
        <v>9</v>
      </c>
      <c r="AF2690" t="s">
        <v>138</v>
      </c>
      <c r="AG2690">
        <v>0</v>
      </c>
      <c r="AH2690">
        <v>3</v>
      </c>
      <c r="AI2690">
        <v>1</v>
      </c>
      <c r="AJ2690">
        <v>0</v>
      </c>
      <c r="AK2690" t="s">
        <v>914</v>
      </c>
      <c r="AL2690">
        <v>32.743206000000001</v>
      </c>
      <c r="AM2690" t="s">
        <v>915</v>
      </c>
      <c r="AN2690">
        <v>-116.766751</v>
      </c>
      <c r="AO2690">
        <v>25</v>
      </c>
      <c r="AP2690">
        <v>3500</v>
      </c>
      <c r="AQ2690" t="s">
        <v>129</v>
      </c>
      <c r="AR2690">
        <v>88</v>
      </c>
      <c r="AS2690">
        <v>-93</v>
      </c>
      <c r="AT2690">
        <v>896</v>
      </c>
      <c r="BB2690">
        <v>1200</v>
      </c>
      <c r="BC2690">
        <v>1</v>
      </c>
      <c r="BD2690" t="str">
        <f t="shared" ref="BD2690:BD2753" si="979">"N887QR  "</f>
        <v xml:space="preserve">N887QR  </v>
      </c>
      <c r="BE2690">
        <v>1</v>
      </c>
      <c r="BJ2690">
        <v>3200</v>
      </c>
      <c r="BK2690">
        <v>-300</v>
      </c>
      <c r="BL2690" t="s">
        <v>163</v>
      </c>
      <c r="BM2690">
        <v>1</v>
      </c>
      <c r="BN2690">
        <v>1</v>
      </c>
      <c r="BO2690">
        <v>1</v>
      </c>
      <c r="BP2690">
        <v>0</v>
      </c>
      <c r="BS2690">
        <v>0</v>
      </c>
      <c r="BT2690">
        <v>0</v>
      </c>
      <c r="BU2690">
        <v>0</v>
      </c>
      <c r="CE2690" t="str">
        <f t="shared" si="977"/>
        <v>19:32:43.820</v>
      </c>
      <c r="CF2690">
        <v>819849946</v>
      </c>
      <c r="CS2690">
        <v>0</v>
      </c>
      <c r="CT2690">
        <v>2</v>
      </c>
      <c r="CU2690">
        <v>0</v>
      </c>
      <c r="CV2690">
        <v>2</v>
      </c>
      <c r="CW2690">
        <v>0</v>
      </c>
      <c r="CX2690">
        <v>4</v>
      </c>
      <c r="CY2690">
        <v>7</v>
      </c>
      <c r="CZ2690" t="s">
        <v>131</v>
      </c>
      <c r="DA2690">
        <v>300</v>
      </c>
      <c r="DB2690">
        <v>0</v>
      </c>
      <c r="DC2690" t="s">
        <v>176</v>
      </c>
      <c r="DD2690" t="s">
        <v>177</v>
      </c>
      <c r="DG2690">
        <v>5418693</v>
      </c>
      <c r="DI2690">
        <v>1</v>
      </c>
      <c r="DJ2690">
        <v>0</v>
      </c>
      <c r="DK2690">
        <v>1</v>
      </c>
      <c r="DL2690">
        <v>0</v>
      </c>
      <c r="DM2690">
        <v>0</v>
      </c>
      <c r="DN2690">
        <v>1</v>
      </c>
      <c r="DO2690">
        <v>0</v>
      </c>
      <c r="DP2690">
        <v>0</v>
      </c>
      <c r="DQ2690">
        <v>0</v>
      </c>
      <c r="DR2690">
        <v>0</v>
      </c>
      <c r="DS2690">
        <v>0</v>
      </c>
    </row>
    <row r="2691" spans="1:123" x14ac:dyDescent="0.3">
      <c r="A2691" t="str">
        <f>"10/04/2022 19:32:44.135"</f>
        <v>10/04/2022 19:32:44.135</v>
      </c>
      <c r="C2691" t="str">
        <f t="shared" si="968"/>
        <v>FFDDD3C0</v>
      </c>
      <c r="D2691" t="s">
        <v>141</v>
      </c>
      <c r="E2691">
        <v>4</v>
      </c>
      <c r="H2691">
        <v>4</v>
      </c>
      <c r="I2691" t="s">
        <v>142</v>
      </c>
      <c r="J2691" t="s">
        <v>138</v>
      </c>
      <c r="K2691">
        <v>0</v>
      </c>
      <c r="L2691">
        <v>3</v>
      </c>
      <c r="M2691">
        <v>0</v>
      </c>
      <c r="N2691">
        <v>2</v>
      </c>
      <c r="O2691">
        <v>0</v>
      </c>
      <c r="P2691">
        <v>1</v>
      </c>
      <c r="Q2691">
        <v>0</v>
      </c>
      <c r="S2691" t="str">
        <f t="shared" si="975"/>
        <v>19:32:43.000</v>
      </c>
      <c r="T2691" t="str">
        <f t="shared" si="975"/>
        <v>19:32:43.000</v>
      </c>
      <c r="U2691" t="str">
        <f t="shared" si="978"/>
        <v>AC3944</v>
      </c>
      <c r="V2691">
        <v>0</v>
      </c>
      <c r="W2691">
        <v>0</v>
      </c>
      <c r="X2691">
        <v>2</v>
      </c>
      <c r="Y2691">
        <v>0</v>
      </c>
      <c r="AA2691">
        <v>1</v>
      </c>
      <c r="AB2691">
        <v>8</v>
      </c>
      <c r="AC2691">
        <v>3</v>
      </c>
      <c r="AD2691">
        <v>0</v>
      </c>
      <c r="AE2691">
        <v>9</v>
      </c>
      <c r="AF2691" t="s">
        <v>138</v>
      </c>
      <c r="AG2691">
        <v>0</v>
      </c>
      <c r="AH2691">
        <v>3</v>
      </c>
      <c r="AI2691">
        <v>1</v>
      </c>
      <c r="AJ2691">
        <v>0</v>
      </c>
      <c r="AK2691" t="s">
        <v>914</v>
      </c>
      <c r="AL2691">
        <v>32.743206000000001</v>
      </c>
      <c r="AM2691" t="s">
        <v>915</v>
      </c>
      <c r="AN2691">
        <v>-116.766751</v>
      </c>
      <c r="AO2691">
        <v>25</v>
      </c>
      <c r="AP2691">
        <v>3500</v>
      </c>
      <c r="AQ2691" t="s">
        <v>129</v>
      </c>
      <c r="AR2691">
        <v>88</v>
      </c>
      <c r="AS2691">
        <v>-93</v>
      </c>
      <c r="AT2691">
        <v>896</v>
      </c>
      <c r="BB2691">
        <v>1200</v>
      </c>
      <c r="BC2691">
        <v>1</v>
      </c>
      <c r="BD2691" t="str">
        <f t="shared" si="979"/>
        <v xml:space="preserve">N887QR  </v>
      </c>
      <c r="BE2691">
        <v>1</v>
      </c>
      <c r="BJ2691">
        <v>3200</v>
      </c>
      <c r="BK2691">
        <v>-300</v>
      </c>
      <c r="BL2691" t="s">
        <v>163</v>
      </c>
      <c r="BM2691">
        <v>1</v>
      </c>
      <c r="BN2691">
        <v>1</v>
      </c>
      <c r="BO2691">
        <v>1</v>
      </c>
      <c r="BP2691">
        <v>0</v>
      </c>
      <c r="BS2691">
        <v>0</v>
      </c>
      <c r="BT2691">
        <v>0</v>
      </c>
      <c r="BU2691">
        <v>0</v>
      </c>
      <c r="CE2691" t="str">
        <f t="shared" si="977"/>
        <v>19:32:43.820</v>
      </c>
      <c r="CF2691">
        <v>819849946</v>
      </c>
      <c r="CS2691">
        <v>0</v>
      </c>
      <c r="CT2691">
        <v>2</v>
      </c>
      <c r="CU2691">
        <v>0</v>
      </c>
      <c r="CV2691">
        <v>2</v>
      </c>
      <c r="CW2691">
        <v>0</v>
      </c>
      <c r="CX2691">
        <v>4</v>
      </c>
      <c r="CY2691">
        <v>7</v>
      </c>
      <c r="CZ2691" t="s">
        <v>131</v>
      </c>
      <c r="DA2691">
        <v>300</v>
      </c>
      <c r="DB2691">
        <v>0</v>
      </c>
      <c r="DC2691" t="s">
        <v>176</v>
      </c>
      <c r="DD2691" t="s">
        <v>177</v>
      </c>
      <c r="DG2691">
        <v>5418693</v>
      </c>
      <c r="DI2691">
        <v>1</v>
      </c>
      <c r="DJ2691">
        <v>0</v>
      </c>
      <c r="DK2691">
        <v>1</v>
      </c>
      <c r="DL2691">
        <v>0</v>
      </c>
      <c r="DM2691">
        <v>0</v>
      </c>
      <c r="DN2691">
        <v>1</v>
      </c>
      <c r="DO2691">
        <v>0</v>
      </c>
      <c r="DP2691">
        <v>0</v>
      </c>
      <c r="DQ2691">
        <v>0</v>
      </c>
      <c r="DR2691">
        <v>0</v>
      </c>
      <c r="DS2691">
        <v>0</v>
      </c>
    </row>
    <row r="2692" spans="1:123" x14ac:dyDescent="0.3">
      <c r="A2692" t="str">
        <f>"10/04/2022 19:32:44.135"</f>
        <v>10/04/2022 19:32:44.135</v>
      </c>
      <c r="C2692" t="str">
        <f t="shared" si="968"/>
        <v>FFDDD3C0</v>
      </c>
      <c r="D2692" t="s">
        <v>136</v>
      </c>
      <c r="E2692">
        <v>8</v>
      </c>
      <c r="H2692">
        <v>225</v>
      </c>
      <c r="I2692" t="s">
        <v>137</v>
      </c>
      <c r="J2692" t="s">
        <v>138</v>
      </c>
      <c r="K2692">
        <v>0</v>
      </c>
      <c r="L2692">
        <v>3</v>
      </c>
      <c r="M2692">
        <v>0</v>
      </c>
      <c r="N2692">
        <v>2</v>
      </c>
      <c r="O2692">
        <v>0</v>
      </c>
      <c r="P2692">
        <v>1</v>
      </c>
      <c r="Q2692">
        <v>0</v>
      </c>
      <c r="S2692" t="str">
        <f t="shared" si="975"/>
        <v>19:32:43.000</v>
      </c>
      <c r="T2692" t="str">
        <f t="shared" si="975"/>
        <v>19:32:43.000</v>
      </c>
      <c r="U2692" t="str">
        <f t="shared" si="978"/>
        <v>AC3944</v>
      </c>
      <c r="V2692">
        <v>0</v>
      </c>
      <c r="W2692">
        <v>0</v>
      </c>
      <c r="X2692">
        <v>2</v>
      </c>
      <c r="Y2692">
        <v>0</v>
      </c>
      <c r="AA2692">
        <v>1</v>
      </c>
      <c r="AB2692">
        <v>8</v>
      </c>
      <c r="AC2692">
        <v>3</v>
      </c>
      <c r="AD2692">
        <v>0</v>
      </c>
      <c r="AE2692">
        <v>9</v>
      </c>
      <c r="AF2692" t="s">
        <v>138</v>
      </c>
      <c r="AG2692">
        <v>0</v>
      </c>
      <c r="AH2692">
        <v>3</v>
      </c>
      <c r="AI2692">
        <v>1</v>
      </c>
      <c r="AJ2692">
        <v>0</v>
      </c>
      <c r="AK2692" t="s">
        <v>914</v>
      </c>
      <c r="AL2692">
        <v>32.743206000000001</v>
      </c>
      <c r="AM2692" t="s">
        <v>915</v>
      </c>
      <c r="AN2692">
        <v>-116.766751</v>
      </c>
      <c r="AO2692">
        <v>25</v>
      </c>
      <c r="AP2692">
        <v>3500</v>
      </c>
      <c r="AQ2692" t="s">
        <v>129</v>
      </c>
      <c r="AR2692">
        <v>88</v>
      </c>
      <c r="AS2692">
        <v>-93</v>
      </c>
      <c r="AT2692">
        <v>896</v>
      </c>
      <c r="BB2692">
        <v>1200</v>
      </c>
      <c r="BC2692">
        <v>1</v>
      </c>
      <c r="BD2692" t="str">
        <f t="shared" si="979"/>
        <v xml:space="preserve">N887QR  </v>
      </c>
      <c r="BE2692">
        <v>1</v>
      </c>
      <c r="BJ2692">
        <v>3200</v>
      </c>
      <c r="BK2692">
        <v>-300</v>
      </c>
      <c r="BL2692" t="s">
        <v>163</v>
      </c>
      <c r="BM2692">
        <v>1</v>
      </c>
      <c r="BN2692">
        <v>1</v>
      </c>
      <c r="BO2692">
        <v>1</v>
      </c>
      <c r="BP2692">
        <v>0</v>
      </c>
      <c r="BS2692">
        <v>0</v>
      </c>
      <c r="BT2692">
        <v>0</v>
      </c>
      <c r="BU2692">
        <v>0</v>
      </c>
      <c r="CE2692" t="str">
        <f t="shared" si="977"/>
        <v>19:32:43.820</v>
      </c>
      <c r="CF2692">
        <v>819849946</v>
      </c>
      <c r="CS2692">
        <v>0</v>
      </c>
      <c r="CT2692">
        <v>2</v>
      </c>
      <c r="CU2692">
        <v>0</v>
      </c>
      <c r="CV2692">
        <v>2</v>
      </c>
      <c r="CW2692">
        <v>0</v>
      </c>
      <c r="CX2692">
        <v>4</v>
      </c>
      <c r="CY2692">
        <v>7</v>
      </c>
      <c r="CZ2692" t="s">
        <v>131</v>
      </c>
      <c r="DA2692">
        <v>300</v>
      </c>
      <c r="DB2692">
        <v>0</v>
      </c>
      <c r="DC2692" t="s">
        <v>176</v>
      </c>
      <c r="DD2692" t="s">
        <v>177</v>
      </c>
      <c r="DG2692">
        <v>5418693</v>
      </c>
      <c r="DI2692">
        <v>1</v>
      </c>
      <c r="DJ2692">
        <v>0</v>
      </c>
      <c r="DK2692">
        <v>1</v>
      </c>
      <c r="DL2692">
        <v>0</v>
      </c>
      <c r="DM2692">
        <v>0</v>
      </c>
      <c r="DN2692">
        <v>1</v>
      </c>
      <c r="DO2692">
        <v>0</v>
      </c>
      <c r="DP2692">
        <v>0</v>
      </c>
      <c r="DQ2692">
        <v>0</v>
      </c>
      <c r="DR2692">
        <v>0</v>
      </c>
      <c r="DS2692">
        <v>0</v>
      </c>
    </row>
    <row r="2693" spans="1:123" x14ac:dyDescent="0.3">
      <c r="A2693" t="str">
        <f>"10/04/2022 19:32:44.135"</f>
        <v>10/04/2022 19:32:44.135</v>
      </c>
      <c r="C2693" t="str">
        <f t="shared" si="968"/>
        <v>FFDDD3C0</v>
      </c>
      <c r="D2693" t="s">
        <v>141</v>
      </c>
      <c r="E2693">
        <v>3</v>
      </c>
      <c r="H2693">
        <v>3</v>
      </c>
      <c r="I2693" t="s">
        <v>146</v>
      </c>
      <c r="J2693" t="s">
        <v>138</v>
      </c>
      <c r="K2693">
        <v>0</v>
      </c>
      <c r="L2693">
        <v>3</v>
      </c>
      <c r="M2693">
        <v>0</v>
      </c>
      <c r="N2693">
        <v>2</v>
      </c>
      <c r="O2693">
        <v>0</v>
      </c>
      <c r="P2693">
        <v>1</v>
      </c>
      <c r="Q2693">
        <v>0</v>
      </c>
      <c r="S2693" t="str">
        <f t="shared" si="975"/>
        <v>19:32:43.000</v>
      </c>
      <c r="T2693" t="str">
        <f t="shared" si="975"/>
        <v>19:32:43.000</v>
      </c>
      <c r="U2693" t="str">
        <f t="shared" si="978"/>
        <v>AC3944</v>
      </c>
      <c r="V2693">
        <v>0</v>
      </c>
      <c r="W2693">
        <v>0</v>
      </c>
      <c r="X2693">
        <v>2</v>
      </c>
      <c r="Y2693">
        <v>0</v>
      </c>
      <c r="AA2693">
        <v>1</v>
      </c>
      <c r="AB2693">
        <v>8</v>
      </c>
      <c r="AC2693">
        <v>3</v>
      </c>
      <c r="AD2693">
        <v>0</v>
      </c>
      <c r="AE2693">
        <v>9</v>
      </c>
      <c r="AF2693" t="s">
        <v>138</v>
      </c>
      <c r="AG2693">
        <v>0</v>
      </c>
      <c r="AH2693">
        <v>3</v>
      </c>
      <c r="AI2693">
        <v>1</v>
      </c>
      <c r="AJ2693">
        <v>0</v>
      </c>
      <c r="AK2693" t="s">
        <v>914</v>
      </c>
      <c r="AL2693">
        <v>32.743206000000001</v>
      </c>
      <c r="AM2693" t="s">
        <v>915</v>
      </c>
      <c r="AN2693">
        <v>-116.766751</v>
      </c>
      <c r="AO2693">
        <v>25</v>
      </c>
      <c r="AP2693">
        <v>3500</v>
      </c>
      <c r="AQ2693" t="s">
        <v>129</v>
      </c>
      <c r="AR2693">
        <v>88</v>
      </c>
      <c r="AS2693">
        <v>-93</v>
      </c>
      <c r="AT2693">
        <v>896</v>
      </c>
      <c r="BB2693">
        <v>1200</v>
      </c>
      <c r="BC2693">
        <v>1</v>
      </c>
      <c r="BD2693" t="str">
        <f t="shared" si="979"/>
        <v xml:space="preserve">N887QR  </v>
      </c>
      <c r="BE2693">
        <v>1</v>
      </c>
      <c r="BJ2693">
        <v>3200</v>
      </c>
      <c r="BK2693">
        <v>-300</v>
      </c>
      <c r="BL2693" t="s">
        <v>163</v>
      </c>
      <c r="BM2693">
        <v>1</v>
      </c>
      <c r="BN2693">
        <v>1</v>
      </c>
      <c r="BO2693">
        <v>1</v>
      </c>
      <c r="BP2693">
        <v>0</v>
      </c>
      <c r="BS2693">
        <v>0</v>
      </c>
      <c r="BT2693">
        <v>0</v>
      </c>
      <c r="BU2693">
        <v>0</v>
      </c>
      <c r="CE2693" t="str">
        <f t="shared" si="977"/>
        <v>19:32:43.820</v>
      </c>
      <c r="CF2693">
        <v>819849946</v>
      </c>
      <c r="CS2693">
        <v>0</v>
      </c>
      <c r="CT2693">
        <v>2</v>
      </c>
      <c r="CU2693">
        <v>0</v>
      </c>
      <c r="CV2693">
        <v>2</v>
      </c>
      <c r="CW2693">
        <v>0</v>
      </c>
      <c r="CX2693">
        <v>4</v>
      </c>
      <c r="CY2693">
        <v>7</v>
      </c>
      <c r="CZ2693" t="s">
        <v>131</v>
      </c>
      <c r="DA2693">
        <v>300</v>
      </c>
      <c r="DB2693">
        <v>0</v>
      </c>
      <c r="DC2693" t="s">
        <v>176</v>
      </c>
      <c r="DD2693" t="s">
        <v>177</v>
      </c>
      <c r="DG2693">
        <v>5418693</v>
      </c>
      <c r="DI2693">
        <v>1</v>
      </c>
      <c r="DJ2693">
        <v>0</v>
      </c>
      <c r="DK2693">
        <v>1</v>
      </c>
      <c r="DL2693">
        <v>0</v>
      </c>
      <c r="DM2693">
        <v>0</v>
      </c>
      <c r="DN2693">
        <v>1</v>
      </c>
      <c r="DO2693">
        <v>0</v>
      </c>
      <c r="DP2693">
        <v>0</v>
      </c>
      <c r="DQ2693">
        <v>0</v>
      </c>
      <c r="DR2693">
        <v>0</v>
      </c>
      <c r="DS2693">
        <v>0</v>
      </c>
    </row>
    <row r="2694" spans="1:123" x14ac:dyDescent="0.3">
      <c r="A2694" t="str">
        <f>"10/04/2022 19:32:44.213"</f>
        <v>10/04/2022 19:32:44.213</v>
      </c>
      <c r="C2694" t="str">
        <f t="shared" si="968"/>
        <v>FFDDD3C0</v>
      </c>
      <c r="D2694" t="s">
        <v>134</v>
      </c>
      <c r="E2694">
        <v>15</v>
      </c>
      <c r="J2694" t="s">
        <v>135</v>
      </c>
      <c r="K2694">
        <v>0</v>
      </c>
      <c r="L2694">
        <v>3</v>
      </c>
      <c r="M2694">
        <v>0</v>
      </c>
      <c r="N2694">
        <v>2</v>
      </c>
      <c r="O2694">
        <v>0</v>
      </c>
      <c r="P2694">
        <v>1</v>
      </c>
      <c r="Q2694">
        <v>0</v>
      </c>
      <c r="S2694" t="str">
        <f t="shared" si="975"/>
        <v>19:32:43.000</v>
      </c>
      <c r="T2694" t="str">
        <f t="shared" si="975"/>
        <v>19:32:43.000</v>
      </c>
      <c r="U2694" t="str">
        <f t="shared" si="978"/>
        <v>AC3944</v>
      </c>
      <c r="V2694">
        <v>0</v>
      </c>
      <c r="W2694">
        <v>0</v>
      </c>
      <c r="X2694">
        <v>2</v>
      </c>
      <c r="Y2694">
        <v>0</v>
      </c>
      <c r="AA2694">
        <v>1</v>
      </c>
      <c r="AB2694">
        <v>8</v>
      </c>
      <c r="AC2694">
        <v>3</v>
      </c>
      <c r="AD2694">
        <v>0</v>
      </c>
      <c r="AE2694">
        <v>9</v>
      </c>
      <c r="AF2694" t="s">
        <v>138</v>
      </c>
      <c r="AG2694">
        <v>0</v>
      </c>
      <c r="AH2694">
        <v>3</v>
      </c>
      <c r="AI2694">
        <v>1</v>
      </c>
      <c r="AJ2694">
        <v>0</v>
      </c>
      <c r="AK2694" t="s">
        <v>914</v>
      </c>
      <c r="AL2694">
        <v>32.743206000000001</v>
      </c>
      <c r="AM2694" t="s">
        <v>915</v>
      </c>
      <c r="AN2694">
        <v>-116.766751</v>
      </c>
      <c r="AO2694">
        <v>25</v>
      </c>
      <c r="AP2694">
        <v>3500</v>
      </c>
      <c r="AQ2694" t="s">
        <v>129</v>
      </c>
      <c r="AR2694">
        <v>88</v>
      </c>
      <c r="AS2694">
        <v>-93</v>
      </c>
      <c r="AT2694">
        <v>896</v>
      </c>
      <c r="BB2694">
        <v>1200</v>
      </c>
      <c r="BC2694">
        <v>1</v>
      </c>
      <c r="BD2694" t="str">
        <f t="shared" si="979"/>
        <v xml:space="preserve">N887QR  </v>
      </c>
      <c r="BE2694">
        <v>1</v>
      </c>
      <c r="BJ2694">
        <v>3200</v>
      </c>
      <c r="BK2694">
        <v>-300</v>
      </c>
      <c r="BL2694" t="s">
        <v>163</v>
      </c>
      <c r="BM2694">
        <v>1</v>
      </c>
      <c r="BN2694">
        <v>1</v>
      </c>
      <c r="BO2694">
        <v>1</v>
      </c>
      <c r="BP2694">
        <v>0</v>
      </c>
      <c r="BS2694">
        <v>0</v>
      </c>
      <c r="BT2694">
        <v>0</v>
      </c>
      <c r="BU2694">
        <v>0</v>
      </c>
      <c r="CE2694" t="str">
        <f t="shared" si="977"/>
        <v>19:32:43.820</v>
      </c>
      <c r="CF2694">
        <v>819849946</v>
      </c>
      <c r="CS2694">
        <v>0</v>
      </c>
      <c r="CT2694">
        <v>2</v>
      </c>
      <c r="CU2694">
        <v>0</v>
      </c>
      <c r="CV2694">
        <v>2</v>
      </c>
      <c r="CW2694">
        <v>0</v>
      </c>
      <c r="CX2694">
        <v>4</v>
      </c>
      <c r="CY2694">
        <v>7</v>
      </c>
      <c r="CZ2694" t="s">
        <v>131</v>
      </c>
      <c r="DA2694">
        <v>300</v>
      </c>
      <c r="DB2694">
        <v>0</v>
      </c>
      <c r="DC2694" t="s">
        <v>176</v>
      </c>
      <c r="DD2694" t="s">
        <v>177</v>
      </c>
      <c r="DG2694">
        <v>5418693</v>
      </c>
      <c r="DI2694">
        <v>1</v>
      </c>
      <c r="DJ2694">
        <v>0</v>
      </c>
      <c r="DK2694">
        <v>1</v>
      </c>
      <c r="DL2694">
        <v>0</v>
      </c>
      <c r="DM2694">
        <v>0</v>
      </c>
      <c r="DN2694">
        <v>1</v>
      </c>
      <c r="DO2694">
        <v>0</v>
      </c>
      <c r="DP2694">
        <v>0</v>
      </c>
      <c r="DQ2694">
        <v>0</v>
      </c>
      <c r="DR2694">
        <v>0</v>
      </c>
      <c r="DS2694">
        <v>0</v>
      </c>
    </row>
    <row r="2695" spans="1:123" x14ac:dyDescent="0.3">
      <c r="A2695" t="str">
        <f>"10/04/2022 19:32:44.213"</f>
        <v>10/04/2022 19:32:44.213</v>
      </c>
      <c r="C2695" t="str">
        <f t="shared" si="968"/>
        <v>FFDDD3C0</v>
      </c>
      <c r="D2695" t="s">
        <v>143</v>
      </c>
      <c r="E2695">
        <v>20</v>
      </c>
      <c r="F2695">
        <v>1020</v>
      </c>
      <c r="G2695" t="s">
        <v>144</v>
      </c>
      <c r="J2695" t="s">
        <v>145</v>
      </c>
      <c r="K2695">
        <v>0</v>
      </c>
      <c r="L2695">
        <v>3</v>
      </c>
      <c r="M2695">
        <v>0</v>
      </c>
      <c r="N2695">
        <v>2</v>
      </c>
      <c r="O2695">
        <v>0</v>
      </c>
      <c r="P2695">
        <v>1</v>
      </c>
      <c r="Q2695">
        <v>0</v>
      </c>
      <c r="S2695" t="str">
        <f t="shared" si="975"/>
        <v>19:32:43.000</v>
      </c>
      <c r="T2695" t="str">
        <f t="shared" si="975"/>
        <v>19:32:43.000</v>
      </c>
      <c r="U2695" t="str">
        <f t="shared" si="978"/>
        <v>AC3944</v>
      </c>
      <c r="V2695">
        <v>0</v>
      </c>
      <c r="W2695">
        <v>0</v>
      </c>
      <c r="X2695">
        <v>2</v>
      </c>
      <c r="Y2695">
        <v>0</v>
      </c>
      <c r="AA2695">
        <v>1</v>
      </c>
      <c r="AB2695">
        <v>8</v>
      </c>
      <c r="AC2695">
        <v>3</v>
      </c>
      <c r="AD2695">
        <v>0</v>
      </c>
      <c r="AE2695">
        <v>9</v>
      </c>
      <c r="AF2695" t="s">
        <v>138</v>
      </c>
      <c r="AG2695">
        <v>0</v>
      </c>
      <c r="AH2695">
        <v>3</v>
      </c>
      <c r="AI2695">
        <v>1</v>
      </c>
      <c r="AJ2695">
        <v>0</v>
      </c>
      <c r="AK2695" t="s">
        <v>914</v>
      </c>
      <c r="AL2695">
        <v>32.743206000000001</v>
      </c>
      <c r="AM2695" t="s">
        <v>915</v>
      </c>
      <c r="AN2695">
        <v>-116.766751</v>
      </c>
      <c r="AO2695">
        <v>25</v>
      </c>
      <c r="AP2695">
        <v>3500</v>
      </c>
      <c r="AQ2695" t="s">
        <v>129</v>
      </c>
      <c r="AR2695">
        <v>88</v>
      </c>
      <c r="AS2695">
        <v>-93</v>
      </c>
      <c r="AT2695">
        <v>896</v>
      </c>
      <c r="BB2695">
        <v>1200</v>
      </c>
      <c r="BC2695">
        <v>1</v>
      </c>
      <c r="BD2695" t="str">
        <f t="shared" si="979"/>
        <v xml:space="preserve">N887QR  </v>
      </c>
      <c r="BE2695">
        <v>1</v>
      </c>
      <c r="BJ2695">
        <v>3200</v>
      </c>
      <c r="BK2695">
        <v>-300</v>
      </c>
      <c r="BL2695" t="s">
        <v>163</v>
      </c>
      <c r="BM2695">
        <v>1</v>
      </c>
      <c r="BN2695">
        <v>1</v>
      </c>
      <c r="BO2695">
        <v>1</v>
      </c>
      <c r="BP2695">
        <v>0</v>
      </c>
      <c r="BS2695">
        <v>0</v>
      </c>
      <c r="BT2695">
        <v>0</v>
      </c>
      <c r="BU2695">
        <v>0</v>
      </c>
      <c r="CE2695" t="str">
        <f t="shared" si="977"/>
        <v>19:32:43.820</v>
      </c>
      <c r="CF2695">
        <v>819849946</v>
      </c>
      <c r="CS2695">
        <v>0</v>
      </c>
      <c r="CT2695">
        <v>2</v>
      </c>
      <c r="CU2695">
        <v>0</v>
      </c>
      <c r="CV2695">
        <v>2</v>
      </c>
      <c r="CW2695">
        <v>0</v>
      </c>
      <c r="CX2695">
        <v>4</v>
      </c>
      <c r="CY2695">
        <v>7</v>
      </c>
      <c r="CZ2695" t="s">
        <v>131</v>
      </c>
      <c r="DA2695">
        <v>300</v>
      </c>
      <c r="DB2695">
        <v>0</v>
      </c>
      <c r="DC2695" t="s">
        <v>176</v>
      </c>
      <c r="DD2695" t="s">
        <v>177</v>
      </c>
      <c r="DG2695">
        <v>5418693</v>
      </c>
      <c r="DI2695">
        <v>1</v>
      </c>
      <c r="DJ2695">
        <v>0</v>
      </c>
      <c r="DK2695">
        <v>1</v>
      </c>
      <c r="DL2695">
        <v>0</v>
      </c>
      <c r="DM2695">
        <v>0</v>
      </c>
      <c r="DN2695">
        <v>1</v>
      </c>
      <c r="DO2695">
        <v>0</v>
      </c>
      <c r="DP2695">
        <v>0</v>
      </c>
      <c r="DQ2695">
        <v>0</v>
      </c>
      <c r="DR2695">
        <v>0</v>
      </c>
      <c r="DS2695">
        <v>0</v>
      </c>
    </row>
    <row r="2696" spans="1:123" x14ac:dyDescent="0.3">
      <c r="A2696" t="str">
        <f>"10/04/2022 19:32:45.386"</f>
        <v>10/04/2022 19:32:45.386</v>
      </c>
      <c r="C2696" t="str">
        <f t="shared" si="968"/>
        <v>FFDDD3C0</v>
      </c>
      <c r="D2696" t="s">
        <v>141</v>
      </c>
      <c r="E2696">
        <v>4</v>
      </c>
      <c r="H2696">
        <v>4</v>
      </c>
      <c r="I2696" t="s">
        <v>142</v>
      </c>
      <c r="J2696" t="s">
        <v>138</v>
      </c>
      <c r="K2696">
        <v>0</v>
      </c>
      <c r="L2696">
        <v>3</v>
      </c>
      <c r="M2696">
        <v>0</v>
      </c>
      <c r="N2696">
        <v>2</v>
      </c>
      <c r="O2696">
        <v>0</v>
      </c>
      <c r="P2696">
        <v>1</v>
      </c>
      <c r="Q2696">
        <v>0</v>
      </c>
      <c r="S2696" t="str">
        <f t="shared" ref="S2696:T2702" si="980">"19:32:45.000"</f>
        <v>19:32:45.000</v>
      </c>
      <c r="T2696" t="str">
        <f t="shared" si="980"/>
        <v>19:32:45.000</v>
      </c>
      <c r="U2696" t="str">
        <f t="shared" si="978"/>
        <v>AC3944</v>
      </c>
      <c r="V2696">
        <v>0</v>
      </c>
      <c r="W2696">
        <v>0</v>
      </c>
      <c r="X2696">
        <v>2</v>
      </c>
      <c r="Y2696">
        <v>0</v>
      </c>
      <c r="AA2696">
        <v>1</v>
      </c>
      <c r="AB2696">
        <v>8</v>
      </c>
      <c r="AC2696">
        <v>3</v>
      </c>
      <c r="AD2696">
        <v>0</v>
      </c>
      <c r="AE2696">
        <v>9</v>
      </c>
      <c r="AF2696" t="s">
        <v>138</v>
      </c>
      <c r="AG2696">
        <v>0</v>
      </c>
      <c r="AH2696">
        <v>3</v>
      </c>
      <c r="AI2696">
        <v>1</v>
      </c>
      <c r="AJ2696">
        <v>0</v>
      </c>
      <c r="AK2696" t="s">
        <v>916</v>
      </c>
      <c r="AL2696">
        <v>32.742776999999997</v>
      </c>
      <c r="AM2696" t="s">
        <v>917</v>
      </c>
      <c r="AN2696">
        <v>-116.766257</v>
      </c>
      <c r="AO2696">
        <v>25</v>
      </c>
      <c r="AP2696">
        <v>3500</v>
      </c>
      <c r="AQ2696" t="s">
        <v>129</v>
      </c>
      <c r="AR2696">
        <v>89</v>
      </c>
      <c r="AS2696">
        <v>-93</v>
      </c>
      <c r="AT2696">
        <v>768</v>
      </c>
      <c r="BB2696">
        <v>1200</v>
      </c>
      <c r="BC2696">
        <v>1</v>
      </c>
      <c r="BD2696" t="str">
        <f t="shared" si="979"/>
        <v xml:space="preserve">N887QR  </v>
      </c>
      <c r="BE2696">
        <v>1</v>
      </c>
      <c r="BJ2696">
        <v>3250</v>
      </c>
      <c r="BK2696">
        <v>-250</v>
      </c>
      <c r="BL2696" t="s">
        <v>163</v>
      </c>
      <c r="BM2696">
        <v>1</v>
      </c>
      <c r="BN2696">
        <v>1</v>
      </c>
      <c r="BO2696">
        <v>1</v>
      </c>
      <c r="BP2696">
        <v>0</v>
      </c>
      <c r="BS2696">
        <v>0</v>
      </c>
      <c r="BT2696">
        <v>0</v>
      </c>
      <c r="BU2696">
        <v>0</v>
      </c>
      <c r="CE2696" t="str">
        <f t="shared" ref="CE2696:CE2702" si="981">"19:32:45.173"</f>
        <v>19:32:45.173</v>
      </c>
      <c r="CF2696">
        <v>172854565</v>
      </c>
      <c r="CS2696">
        <v>0</v>
      </c>
      <c r="CT2696">
        <v>2</v>
      </c>
      <c r="CU2696">
        <v>0</v>
      </c>
      <c r="CV2696">
        <v>2</v>
      </c>
      <c r="CW2696">
        <v>0</v>
      </c>
      <c r="CX2696">
        <v>4</v>
      </c>
      <c r="CY2696">
        <v>7</v>
      </c>
      <c r="CZ2696" t="s">
        <v>131</v>
      </c>
      <c r="DA2696">
        <v>300</v>
      </c>
      <c r="DB2696">
        <v>0</v>
      </c>
      <c r="DC2696" t="s">
        <v>176</v>
      </c>
      <c r="DD2696" t="s">
        <v>177</v>
      </c>
      <c r="DG2696">
        <v>5418902</v>
      </c>
      <c r="DI2696">
        <v>1</v>
      </c>
      <c r="DJ2696">
        <v>0</v>
      </c>
      <c r="DK2696">
        <v>0</v>
      </c>
      <c r="DL2696">
        <v>0</v>
      </c>
      <c r="DM2696">
        <v>0</v>
      </c>
      <c r="DN2696">
        <v>1</v>
      </c>
      <c r="DO2696">
        <v>0</v>
      </c>
      <c r="DP2696">
        <v>0</v>
      </c>
      <c r="DQ2696">
        <v>0</v>
      </c>
      <c r="DR2696">
        <v>0</v>
      </c>
      <c r="DS2696">
        <v>0</v>
      </c>
    </row>
    <row r="2697" spans="1:123" x14ac:dyDescent="0.3">
      <c r="A2697" t="str">
        <f>"10/04/2022 19:32:45.386"</f>
        <v>10/04/2022 19:32:45.386</v>
      </c>
      <c r="C2697" t="str">
        <f t="shared" si="968"/>
        <v>FFDDD3C0</v>
      </c>
      <c r="D2697" t="s">
        <v>136</v>
      </c>
      <c r="E2697">
        <v>8</v>
      </c>
      <c r="H2697">
        <v>225</v>
      </c>
      <c r="I2697" t="s">
        <v>137</v>
      </c>
      <c r="J2697" t="s">
        <v>138</v>
      </c>
      <c r="K2697">
        <v>0</v>
      </c>
      <c r="L2697">
        <v>3</v>
      </c>
      <c r="M2697">
        <v>0</v>
      </c>
      <c r="N2697">
        <v>2</v>
      </c>
      <c r="O2697">
        <v>0</v>
      </c>
      <c r="P2697">
        <v>1</v>
      </c>
      <c r="Q2697">
        <v>0</v>
      </c>
      <c r="S2697" t="str">
        <f t="shared" si="980"/>
        <v>19:32:45.000</v>
      </c>
      <c r="T2697" t="str">
        <f t="shared" si="980"/>
        <v>19:32:45.000</v>
      </c>
      <c r="U2697" t="str">
        <f t="shared" si="978"/>
        <v>AC3944</v>
      </c>
      <c r="V2697">
        <v>0</v>
      </c>
      <c r="W2697">
        <v>0</v>
      </c>
      <c r="X2697">
        <v>2</v>
      </c>
      <c r="Y2697">
        <v>0</v>
      </c>
      <c r="AA2697">
        <v>1</v>
      </c>
      <c r="AB2697">
        <v>8</v>
      </c>
      <c r="AC2697">
        <v>3</v>
      </c>
      <c r="AD2697">
        <v>0</v>
      </c>
      <c r="AE2697">
        <v>9</v>
      </c>
      <c r="AF2697" t="s">
        <v>138</v>
      </c>
      <c r="AG2697">
        <v>0</v>
      </c>
      <c r="AH2697">
        <v>3</v>
      </c>
      <c r="AI2697">
        <v>1</v>
      </c>
      <c r="AJ2697">
        <v>0</v>
      </c>
      <c r="AK2697" t="s">
        <v>916</v>
      </c>
      <c r="AL2697">
        <v>32.742776999999997</v>
      </c>
      <c r="AM2697" t="s">
        <v>917</v>
      </c>
      <c r="AN2697">
        <v>-116.766257</v>
      </c>
      <c r="AO2697">
        <v>25</v>
      </c>
      <c r="AP2697">
        <v>3500</v>
      </c>
      <c r="AQ2697" t="s">
        <v>129</v>
      </c>
      <c r="AR2697">
        <v>89</v>
      </c>
      <c r="AS2697">
        <v>-93</v>
      </c>
      <c r="AT2697">
        <v>768</v>
      </c>
      <c r="BB2697">
        <v>1200</v>
      </c>
      <c r="BC2697">
        <v>1</v>
      </c>
      <c r="BD2697" t="str">
        <f t="shared" si="979"/>
        <v xml:space="preserve">N887QR  </v>
      </c>
      <c r="BE2697">
        <v>1</v>
      </c>
      <c r="BJ2697">
        <v>3250</v>
      </c>
      <c r="BK2697">
        <v>-250</v>
      </c>
      <c r="BL2697" t="s">
        <v>163</v>
      </c>
      <c r="BM2697">
        <v>1</v>
      </c>
      <c r="BN2697">
        <v>1</v>
      </c>
      <c r="BO2697">
        <v>1</v>
      </c>
      <c r="BP2697">
        <v>0</v>
      </c>
      <c r="BS2697">
        <v>0</v>
      </c>
      <c r="BT2697">
        <v>0</v>
      </c>
      <c r="BU2697">
        <v>0</v>
      </c>
      <c r="CE2697" t="str">
        <f t="shared" si="981"/>
        <v>19:32:45.173</v>
      </c>
      <c r="CF2697">
        <v>172854565</v>
      </c>
      <c r="CS2697">
        <v>0</v>
      </c>
      <c r="CT2697">
        <v>2</v>
      </c>
      <c r="CU2697">
        <v>0</v>
      </c>
      <c r="CV2697">
        <v>2</v>
      </c>
      <c r="CW2697">
        <v>0</v>
      </c>
      <c r="CX2697">
        <v>4</v>
      </c>
      <c r="CY2697">
        <v>7</v>
      </c>
      <c r="CZ2697" t="s">
        <v>131</v>
      </c>
      <c r="DA2697">
        <v>300</v>
      </c>
      <c r="DB2697">
        <v>0</v>
      </c>
      <c r="DC2697" t="s">
        <v>176</v>
      </c>
      <c r="DD2697" t="s">
        <v>177</v>
      </c>
      <c r="DG2697">
        <v>5418902</v>
      </c>
      <c r="DI2697">
        <v>1</v>
      </c>
      <c r="DJ2697">
        <v>0</v>
      </c>
      <c r="DK2697">
        <v>1</v>
      </c>
      <c r="DL2697">
        <v>0</v>
      </c>
      <c r="DM2697">
        <v>0</v>
      </c>
      <c r="DN2697">
        <v>1</v>
      </c>
      <c r="DO2697">
        <v>0</v>
      </c>
      <c r="DP2697">
        <v>0</v>
      </c>
      <c r="DQ2697">
        <v>0</v>
      </c>
      <c r="DR2697">
        <v>0</v>
      </c>
      <c r="DS2697">
        <v>0</v>
      </c>
    </row>
    <row r="2698" spans="1:123" x14ac:dyDescent="0.3">
      <c r="A2698" t="str">
        <f>"10/04/2022 19:32:45.449"</f>
        <v>10/04/2022 19:32:45.449</v>
      </c>
      <c r="C2698" t="str">
        <f t="shared" si="968"/>
        <v>FFDDD3C0</v>
      </c>
      <c r="D2698" t="s">
        <v>141</v>
      </c>
      <c r="E2698">
        <v>3</v>
      </c>
      <c r="H2698">
        <v>3</v>
      </c>
      <c r="I2698" t="s">
        <v>146</v>
      </c>
      <c r="J2698" t="s">
        <v>138</v>
      </c>
      <c r="K2698">
        <v>0</v>
      </c>
      <c r="L2698">
        <v>3</v>
      </c>
      <c r="M2698">
        <v>0</v>
      </c>
      <c r="N2698">
        <v>2</v>
      </c>
      <c r="O2698">
        <v>0</v>
      </c>
      <c r="P2698">
        <v>1</v>
      </c>
      <c r="Q2698">
        <v>0</v>
      </c>
      <c r="S2698" t="str">
        <f t="shared" si="980"/>
        <v>19:32:45.000</v>
      </c>
      <c r="T2698" t="str">
        <f t="shared" si="980"/>
        <v>19:32:45.000</v>
      </c>
      <c r="U2698" t="str">
        <f t="shared" si="978"/>
        <v>AC3944</v>
      </c>
      <c r="V2698">
        <v>0</v>
      </c>
      <c r="W2698">
        <v>0</v>
      </c>
      <c r="X2698">
        <v>2</v>
      </c>
      <c r="Y2698">
        <v>0</v>
      </c>
      <c r="AA2698">
        <v>1</v>
      </c>
      <c r="AB2698">
        <v>8</v>
      </c>
      <c r="AC2698">
        <v>3</v>
      </c>
      <c r="AD2698">
        <v>0</v>
      </c>
      <c r="AE2698">
        <v>9</v>
      </c>
      <c r="AF2698" t="s">
        <v>138</v>
      </c>
      <c r="AG2698">
        <v>0</v>
      </c>
      <c r="AH2698">
        <v>3</v>
      </c>
      <c r="AI2698">
        <v>1</v>
      </c>
      <c r="AJ2698">
        <v>0</v>
      </c>
      <c r="AK2698" t="s">
        <v>916</v>
      </c>
      <c r="AL2698">
        <v>32.742776999999997</v>
      </c>
      <c r="AM2698" t="s">
        <v>917</v>
      </c>
      <c r="AN2698">
        <v>-116.766257</v>
      </c>
      <c r="AO2698">
        <v>25</v>
      </c>
      <c r="AP2698">
        <v>3500</v>
      </c>
      <c r="AQ2698" t="s">
        <v>129</v>
      </c>
      <c r="AR2698">
        <v>89</v>
      </c>
      <c r="AS2698">
        <v>-93</v>
      </c>
      <c r="AT2698">
        <v>768</v>
      </c>
      <c r="BB2698">
        <v>1200</v>
      </c>
      <c r="BC2698">
        <v>1</v>
      </c>
      <c r="BD2698" t="str">
        <f t="shared" si="979"/>
        <v xml:space="preserve">N887QR  </v>
      </c>
      <c r="BE2698">
        <v>1</v>
      </c>
      <c r="BJ2698">
        <v>3250</v>
      </c>
      <c r="BK2698">
        <v>-250</v>
      </c>
      <c r="BL2698" t="s">
        <v>163</v>
      </c>
      <c r="BM2698">
        <v>1</v>
      </c>
      <c r="BN2698">
        <v>1</v>
      </c>
      <c r="BO2698">
        <v>1</v>
      </c>
      <c r="BP2698">
        <v>0</v>
      </c>
      <c r="BS2698">
        <v>0</v>
      </c>
      <c r="BT2698">
        <v>0</v>
      </c>
      <c r="BU2698">
        <v>0</v>
      </c>
      <c r="CE2698" t="str">
        <f t="shared" si="981"/>
        <v>19:32:45.173</v>
      </c>
      <c r="CF2698">
        <v>172854565</v>
      </c>
      <c r="CS2698">
        <v>0</v>
      </c>
      <c r="CT2698">
        <v>2</v>
      </c>
      <c r="CU2698">
        <v>0</v>
      </c>
      <c r="CV2698">
        <v>2</v>
      </c>
      <c r="CW2698">
        <v>0</v>
      </c>
      <c r="CX2698">
        <v>4</v>
      </c>
      <c r="CY2698">
        <v>7</v>
      </c>
      <c r="CZ2698" t="s">
        <v>131</v>
      </c>
      <c r="DA2698">
        <v>300</v>
      </c>
      <c r="DB2698">
        <v>0</v>
      </c>
      <c r="DC2698" t="s">
        <v>176</v>
      </c>
      <c r="DD2698" t="s">
        <v>177</v>
      </c>
      <c r="DG2698">
        <v>5418902</v>
      </c>
      <c r="DI2698">
        <v>1</v>
      </c>
      <c r="DJ2698">
        <v>0</v>
      </c>
      <c r="DK2698">
        <v>1</v>
      </c>
      <c r="DL2698">
        <v>0</v>
      </c>
      <c r="DM2698">
        <v>0</v>
      </c>
      <c r="DN2698">
        <v>1</v>
      </c>
      <c r="DO2698">
        <v>0</v>
      </c>
      <c r="DP2698">
        <v>0</v>
      </c>
      <c r="DQ2698">
        <v>0</v>
      </c>
      <c r="DR2698">
        <v>0</v>
      </c>
      <c r="DS2698">
        <v>0</v>
      </c>
    </row>
    <row r="2699" spans="1:123" x14ac:dyDescent="0.3">
      <c r="A2699" t="str">
        <f>"10/04/2022 19:32:45.480"</f>
        <v>10/04/2022 19:32:45.480</v>
      </c>
      <c r="C2699" t="str">
        <f t="shared" si="968"/>
        <v>FFDDD3C0</v>
      </c>
      <c r="D2699" t="s">
        <v>143</v>
      </c>
      <c r="E2699">
        <v>20</v>
      </c>
      <c r="F2699">
        <v>1020</v>
      </c>
      <c r="G2699" t="s">
        <v>144</v>
      </c>
      <c r="J2699" t="s">
        <v>145</v>
      </c>
      <c r="K2699">
        <v>0</v>
      </c>
      <c r="L2699">
        <v>3</v>
      </c>
      <c r="M2699">
        <v>0</v>
      </c>
      <c r="N2699">
        <v>2</v>
      </c>
      <c r="O2699">
        <v>0</v>
      </c>
      <c r="P2699">
        <v>1</v>
      </c>
      <c r="Q2699">
        <v>0</v>
      </c>
      <c r="S2699" t="str">
        <f t="shared" si="980"/>
        <v>19:32:45.000</v>
      </c>
      <c r="T2699" t="str">
        <f t="shared" si="980"/>
        <v>19:32:45.000</v>
      </c>
      <c r="U2699" t="str">
        <f t="shared" si="978"/>
        <v>AC3944</v>
      </c>
      <c r="V2699">
        <v>0</v>
      </c>
      <c r="W2699">
        <v>0</v>
      </c>
      <c r="X2699">
        <v>2</v>
      </c>
      <c r="Y2699">
        <v>0</v>
      </c>
      <c r="AA2699">
        <v>1</v>
      </c>
      <c r="AB2699">
        <v>8</v>
      </c>
      <c r="AC2699">
        <v>3</v>
      </c>
      <c r="AD2699">
        <v>0</v>
      </c>
      <c r="AE2699">
        <v>9</v>
      </c>
      <c r="AF2699" t="s">
        <v>138</v>
      </c>
      <c r="AG2699">
        <v>0</v>
      </c>
      <c r="AH2699">
        <v>3</v>
      </c>
      <c r="AI2699">
        <v>1</v>
      </c>
      <c r="AJ2699">
        <v>0</v>
      </c>
      <c r="AK2699" t="s">
        <v>916</v>
      </c>
      <c r="AL2699">
        <v>32.742776999999997</v>
      </c>
      <c r="AM2699" t="s">
        <v>917</v>
      </c>
      <c r="AN2699">
        <v>-116.766257</v>
      </c>
      <c r="AO2699">
        <v>25</v>
      </c>
      <c r="AP2699">
        <v>3500</v>
      </c>
      <c r="AQ2699" t="s">
        <v>129</v>
      </c>
      <c r="AR2699">
        <v>89</v>
      </c>
      <c r="AS2699">
        <v>-93</v>
      </c>
      <c r="AT2699">
        <v>768</v>
      </c>
      <c r="BB2699">
        <v>1200</v>
      </c>
      <c r="BC2699">
        <v>1</v>
      </c>
      <c r="BD2699" t="str">
        <f t="shared" si="979"/>
        <v xml:space="preserve">N887QR  </v>
      </c>
      <c r="BE2699">
        <v>1</v>
      </c>
      <c r="BJ2699">
        <v>3250</v>
      </c>
      <c r="BK2699">
        <v>-250</v>
      </c>
      <c r="BL2699" t="s">
        <v>163</v>
      </c>
      <c r="BM2699">
        <v>1</v>
      </c>
      <c r="BN2699">
        <v>1</v>
      </c>
      <c r="BO2699">
        <v>1</v>
      </c>
      <c r="BP2699">
        <v>0</v>
      </c>
      <c r="BS2699">
        <v>0</v>
      </c>
      <c r="BT2699">
        <v>0</v>
      </c>
      <c r="BU2699">
        <v>0</v>
      </c>
      <c r="CE2699" t="str">
        <f t="shared" si="981"/>
        <v>19:32:45.173</v>
      </c>
      <c r="CF2699">
        <v>172854565</v>
      </c>
      <c r="CS2699">
        <v>0</v>
      </c>
      <c r="CT2699">
        <v>2</v>
      </c>
      <c r="CU2699">
        <v>0</v>
      </c>
      <c r="CV2699">
        <v>2</v>
      </c>
      <c r="CW2699">
        <v>0</v>
      </c>
      <c r="CX2699">
        <v>4</v>
      </c>
      <c r="CY2699">
        <v>7</v>
      </c>
      <c r="CZ2699" t="s">
        <v>131</v>
      </c>
      <c r="DA2699">
        <v>300</v>
      </c>
      <c r="DB2699">
        <v>0</v>
      </c>
      <c r="DC2699" t="s">
        <v>176</v>
      </c>
      <c r="DD2699" t="s">
        <v>177</v>
      </c>
      <c r="DG2699">
        <v>5418902</v>
      </c>
      <c r="DI2699">
        <v>1</v>
      </c>
      <c r="DJ2699">
        <v>0</v>
      </c>
      <c r="DK2699">
        <v>1</v>
      </c>
      <c r="DL2699">
        <v>0</v>
      </c>
      <c r="DM2699">
        <v>0</v>
      </c>
      <c r="DN2699">
        <v>1</v>
      </c>
      <c r="DO2699">
        <v>0</v>
      </c>
      <c r="DP2699">
        <v>0</v>
      </c>
      <c r="DQ2699">
        <v>0</v>
      </c>
      <c r="DR2699">
        <v>0</v>
      </c>
      <c r="DS2699">
        <v>0</v>
      </c>
    </row>
    <row r="2700" spans="1:123" x14ac:dyDescent="0.3">
      <c r="A2700" t="str">
        <f>"10/04/2022 19:32:45.480"</f>
        <v>10/04/2022 19:32:45.480</v>
      </c>
      <c r="C2700" t="str">
        <f t="shared" si="968"/>
        <v>FFDDD3C0</v>
      </c>
      <c r="D2700" t="s">
        <v>134</v>
      </c>
      <c r="E2700">
        <v>15</v>
      </c>
      <c r="J2700" t="s">
        <v>135</v>
      </c>
      <c r="K2700">
        <v>0</v>
      </c>
      <c r="L2700">
        <v>3</v>
      </c>
      <c r="M2700">
        <v>0</v>
      </c>
      <c r="N2700">
        <v>2</v>
      </c>
      <c r="O2700">
        <v>0</v>
      </c>
      <c r="P2700">
        <v>1</v>
      </c>
      <c r="Q2700">
        <v>0</v>
      </c>
      <c r="S2700" t="str">
        <f t="shared" si="980"/>
        <v>19:32:45.000</v>
      </c>
      <c r="T2700" t="str">
        <f t="shared" si="980"/>
        <v>19:32:45.000</v>
      </c>
      <c r="U2700" t="str">
        <f t="shared" si="978"/>
        <v>AC3944</v>
      </c>
      <c r="V2700">
        <v>0</v>
      </c>
      <c r="W2700">
        <v>0</v>
      </c>
      <c r="X2700">
        <v>2</v>
      </c>
      <c r="Y2700">
        <v>0</v>
      </c>
      <c r="AA2700">
        <v>1</v>
      </c>
      <c r="AB2700">
        <v>8</v>
      </c>
      <c r="AC2700">
        <v>3</v>
      </c>
      <c r="AD2700">
        <v>0</v>
      </c>
      <c r="AE2700">
        <v>9</v>
      </c>
      <c r="AF2700" t="s">
        <v>138</v>
      </c>
      <c r="AG2700">
        <v>0</v>
      </c>
      <c r="AH2700">
        <v>3</v>
      </c>
      <c r="AI2700">
        <v>1</v>
      </c>
      <c r="AJ2700">
        <v>0</v>
      </c>
      <c r="AK2700" t="s">
        <v>916</v>
      </c>
      <c r="AL2700">
        <v>32.742776999999997</v>
      </c>
      <c r="AM2700" t="s">
        <v>917</v>
      </c>
      <c r="AN2700">
        <v>-116.766257</v>
      </c>
      <c r="AO2700">
        <v>25</v>
      </c>
      <c r="AP2700">
        <v>3500</v>
      </c>
      <c r="AQ2700" t="s">
        <v>129</v>
      </c>
      <c r="AR2700">
        <v>89</v>
      </c>
      <c r="AS2700">
        <v>-93</v>
      </c>
      <c r="AT2700">
        <v>768</v>
      </c>
      <c r="BB2700">
        <v>1200</v>
      </c>
      <c r="BC2700">
        <v>1</v>
      </c>
      <c r="BD2700" t="str">
        <f t="shared" si="979"/>
        <v xml:space="preserve">N887QR  </v>
      </c>
      <c r="BE2700">
        <v>1</v>
      </c>
      <c r="BJ2700">
        <v>3250</v>
      </c>
      <c r="BK2700">
        <v>-250</v>
      </c>
      <c r="BL2700" t="s">
        <v>163</v>
      </c>
      <c r="BM2700">
        <v>1</v>
      </c>
      <c r="BN2700">
        <v>1</v>
      </c>
      <c r="BO2700">
        <v>1</v>
      </c>
      <c r="BP2700">
        <v>0</v>
      </c>
      <c r="BS2700">
        <v>0</v>
      </c>
      <c r="BT2700">
        <v>0</v>
      </c>
      <c r="BU2700">
        <v>0</v>
      </c>
      <c r="CE2700" t="str">
        <f t="shared" si="981"/>
        <v>19:32:45.173</v>
      </c>
      <c r="CF2700">
        <v>172854565</v>
      </c>
      <c r="CS2700">
        <v>0</v>
      </c>
      <c r="CT2700">
        <v>2</v>
      </c>
      <c r="CU2700">
        <v>0</v>
      </c>
      <c r="CV2700">
        <v>2</v>
      </c>
      <c r="CW2700">
        <v>0</v>
      </c>
      <c r="CX2700">
        <v>4</v>
      </c>
      <c r="CY2700">
        <v>7</v>
      </c>
      <c r="CZ2700" t="s">
        <v>131</v>
      </c>
      <c r="DA2700">
        <v>300</v>
      </c>
      <c r="DB2700">
        <v>0</v>
      </c>
      <c r="DC2700" t="s">
        <v>176</v>
      </c>
      <c r="DD2700" t="s">
        <v>177</v>
      </c>
      <c r="DG2700">
        <v>5418902</v>
      </c>
      <c r="DI2700">
        <v>1</v>
      </c>
      <c r="DJ2700">
        <v>0</v>
      </c>
      <c r="DK2700">
        <v>1</v>
      </c>
      <c r="DL2700">
        <v>0</v>
      </c>
      <c r="DM2700">
        <v>0</v>
      </c>
      <c r="DN2700">
        <v>1</v>
      </c>
      <c r="DO2700">
        <v>0</v>
      </c>
      <c r="DP2700">
        <v>0</v>
      </c>
      <c r="DQ2700">
        <v>0</v>
      </c>
      <c r="DR2700">
        <v>0</v>
      </c>
      <c r="DS2700">
        <v>0</v>
      </c>
    </row>
    <row r="2701" spans="1:123" x14ac:dyDescent="0.3">
      <c r="A2701" t="str">
        <f>"10/04/2022 19:32:45.480"</f>
        <v>10/04/2022 19:32:45.480</v>
      </c>
      <c r="C2701" t="str">
        <f t="shared" si="968"/>
        <v>FFDDD3C0</v>
      </c>
      <c r="D2701" t="s">
        <v>123</v>
      </c>
      <c r="E2701">
        <v>7</v>
      </c>
      <c r="F2701">
        <v>2007</v>
      </c>
      <c r="G2701" t="s">
        <v>124</v>
      </c>
      <c r="J2701" t="s">
        <v>125</v>
      </c>
      <c r="K2701">
        <v>0</v>
      </c>
      <c r="L2701">
        <v>3</v>
      </c>
      <c r="M2701">
        <v>0</v>
      </c>
      <c r="N2701">
        <v>2</v>
      </c>
      <c r="O2701">
        <v>0</v>
      </c>
      <c r="P2701">
        <v>1</v>
      </c>
      <c r="Q2701">
        <v>0</v>
      </c>
      <c r="S2701" t="str">
        <f t="shared" si="980"/>
        <v>19:32:45.000</v>
      </c>
      <c r="T2701" t="str">
        <f t="shared" si="980"/>
        <v>19:32:45.000</v>
      </c>
      <c r="U2701" t="str">
        <f t="shared" si="978"/>
        <v>AC3944</v>
      </c>
      <c r="V2701">
        <v>0</v>
      </c>
      <c r="W2701">
        <v>0</v>
      </c>
      <c r="X2701">
        <v>2</v>
      </c>
      <c r="Y2701">
        <v>0</v>
      </c>
      <c r="AA2701">
        <v>1</v>
      </c>
      <c r="AB2701">
        <v>8</v>
      </c>
      <c r="AC2701">
        <v>3</v>
      </c>
      <c r="AD2701">
        <v>0</v>
      </c>
      <c r="AE2701">
        <v>9</v>
      </c>
      <c r="AF2701" t="s">
        <v>138</v>
      </c>
      <c r="AG2701">
        <v>0</v>
      </c>
      <c r="AH2701">
        <v>3</v>
      </c>
      <c r="AI2701">
        <v>1</v>
      </c>
      <c r="AJ2701">
        <v>0</v>
      </c>
      <c r="AK2701" t="s">
        <v>916</v>
      </c>
      <c r="AL2701">
        <v>32.742776999999997</v>
      </c>
      <c r="AM2701" t="s">
        <v>917</v>
      </c>
      <c r="AN2701">
        <v>-116.766257</v>
      </c>
      <c r="AO2701">
        <v>25</v>
      </c>
      <c r="AP2701">
        <v>3500</v>
      </c>
      <c r="AQ2701" t="s">
        <v>129</v>
      </c>
      <c r="AR2701">
        <v>89</v>
      </c>
      <c r="AS2701">
        <v>-93</v>
      </c>
      <c r="AT2701">
        <v>768</v>
      </c>
      <c r="BB2701">
        <v>1200</v>
      </c>
      <c r="BC2701">
        <v>1</v>
      </c>
      <c r="BD2701" t="str">
        <f t="shared" si="979"/>
        <v xml:space="preserve">N887QR  </v>
      </c>
      <c r="BE2701">
        <v>1</v>
      </c>
      <c r="BJ2701">
        <v>3250</v>
      </c>
      <c r="BK2701">
        <v>-250</v>
      </c>
      <c r="BL2701" t="s">
        <v>163</v>
      </c>
      <c r="BM2701">
        <v>1</v>
      </c>
      <c r="BN2701">
        <v>1</v>
      </c>
      <c r="BO2701">
        <v>1</v>
      </c>
      <c r="BP2701">
        <v>0</v>
      </c>
      <c r="BS2701">
        <v>0</v>
      </c>
      <c r="BT2701">
        <v>0</v>
      </c>
      <c r="BU2701">
        <v>0</v>
      </c>
      <c r="CE2701" t="str">
        <f t="shared" si="981"/>
        <v>19:32:45.173</v>
      </c>
      <c r="CF2701">
        <v>172854565</v>
      </c>
      <c r="CS2701">
        <v>0</v>
      </c>
      <c r="CT2701">
        <v>2</v>
      </c>
      <c r="CU2701">
        <v>0</v>
      </c>
      <c r="CV2701">
        <v>2</v>
      </c>
      <c r="CW2701">
        <v>0</v>
      </c>
      <c r="CX2701">
        <v>4</v>
      </c>
      <c r="CY2701">
        <v>7</v>
      </c>
      <c r="CZ2701" t="s">
        <v>131</v>
      </c>
      <c r="DA2701">
        <v>300</v>
      </c>
      <c r="DB2701">
        <v>0</v>
      </c>
      <c r="DC2701" t="s">
        <v>176</v>
      </c>
      <c r="DD2701" t="s">
        <v>177</v>
      </c>
      <c r="DG2701">
        <v>5418902</v>
      </c>
      <c r="DI2701">
        <v>1</v>
      </c>
      <c r="DJ2701">
        <v>0</v>
      </c>
      <c r="DK2701">
        <v>1</v>
      </c>
      <c r="DL2701">
        <v>0</v>
      </c>
      <c r="DM2701">
        <v>0</v>
      </c>
      <c r="DN2701">
        <v>1</v>
      </c>
      <c r="DO2701">
        <v>0</v>
      </c>
      <c r="DP2701">
        <v>0</v>
      </c>
      <c r="DQ2701">
        <v>0</v>
      </c>
      <c r="DR2701">
        <v>0</v>
      </c>
      <c r="DS2701">
        <v>0</v>
      </c>
    </row>
    <row r="2702" spans="1:123" x14ac:dyDescent="0.3">
      <c r="A2702" t="str">
        <f>"10/04/2022 19:32:45.480"</f>
        <v>10/04/2022 19:32:45.480</v>
      </c>
      <c r="C2702" t="str">
        <f t="shared" si="968"/>
        <v>FFDDD3C0</v>
      </c>
      <c r="D2702" t="s">
        <v>147</v>
      </c>
      <c r="E2702">
        <v>3</v>
      </c>
      <c r="H2702">
        <v>166</v>
      </c>
      <c r="I2702" t="s">
        <v>144</v>
      </c>
      <c r="J2702" t="s">
        <v>148</v>
      </c>
      <c r="K2702">
        <v>0</v>
      </c>
      <c r="L2702">
        <v>3</v>
      </c>
      <c r="M2702">
        <v>0</v>
      </c>
      <c r="N2702">
        <v>2</v>
      </c>
      <c r="O2702">
        <v>0</v>
      </c>
      <c r="P2702">
        <v>1</v>
      </c>
      <c r="Q2702">
        <v>0</v>
      </c>
      <c r="S2702" t="str">
        <f t="shared" si="980"/>
        <v>19:32:45.000</v>
      </c>
      <c r="T2702" t="str">
        <f t="shared" si="980"/>
        <v>19:32:45.000</v>
      </c>
      <c r="U2702" t="str">
        <f t="shared" si="978"/>
        <v>AC3944</v>
      </c>
      <c r="V2702">
        <v>0</v>
      </c>
      <c r="W2702">
        <v>0</v>
      </c>
      <c r="X2702">
        <v>2</v>
      </c>
      <c r="Y2702">
        <v>0</v>
      </c>
      <c r="AA2702">
        <v>1</v>
      </c>
      <c r="AB2702">
        <v>8</v>
      </c>
      <c r="AC2702">
        <v>3</v>
      </c>
      <c r="AD2702">
        <v>0</v>
      </c>
      <c r="AE2702">
        <v>9</v>
      </c>
      <c r="AF2702" t="s">
        <v>138</v>
      </c>
      <c r="AG2702">
        <v>0</v>
      </c>
      <c r="AH2702">
        <v>3</v>
      </c>
      <c r="AI2702">
        <v>1</v>
      </c>
      <c r="AJ2702">
        <v>0</v>
      </c>
      <c r="AK2702" t="s">
        <v>916</v>
      </c>
      <c r="AL2702">
        <v>32.742776999999997</v>
      </c>
      <c r="AM2702" t="s">
        <v>917</v>
      </c>
      <c r="AN2702">
        <v>-116.766257</v>
      </c>
      <c r="AO2702">
        <v>25</v>
      </c>
      <c r="AP2702">
        <v>3500</v>
      </c>
      <c r="AQ2702" t="s">
        <v>129</v>
      </c>
      <c r="AR2702">
        <v>89</v>
      </c>
      <c r="AS2702">
        <v>-93</v>
      </c>
      <c r="AT2702">
        <v>768</v>
      </c>
      <c r="BB2702">
        <v>1200</v>
      </c>
      <c r="BC2702">
        <v>1</v>
      </c>
      <c r="BD2702" t="str">
        <f t="shared" si="979"/>
        <v xml:space="preserve">N887QR  </v>
      </c>
      <c r="BE2702">
        <v>1</v>
      </c>
      <c r="BJ2702">
        <v>3250</v>
      </c>
      <c r="BK2702">
        <v>-250</v>
      </c>
      <c r="BL2702" t="s">
        <v>163</v>
      </c>
      <c r="BM2702">
        <v>1</v>
      </c>
      <c r="BN2702">
        <v>1</v>
      </c>
      <c r="BO2702">
        <v>1</v>
      </c>
      <c r="BP2702">
        <v>0</v>
      </c>
      <c r="BS2702">
        <v>0</v>
      </c>
      <c r="BT2702">
        <v>0</v>
      </c>
      <c r="BU2702">
        <v>0</v>
      </c>
      <c r="CE2702" t="str">
        <f t="shared" si="981"/>
        <v>19:32:45.173</v>
      </c>
      <c r="CF2702">
        <v>172854565</v>
      </c>
      <c r="CS2702">
        <v>0</v>
      </c>
      <c r="CT2702">
        <v>2</v>
      </c>
      <c r="CU2702">
        <v>0</v>
      </c>
      <c r="CV2702">
        <v>2</v>
      </c>
      <c r="CW2702">
        <v>0</v>
      </c>
      <c r="CX2702">
        <v>4</v>
      </c>
      <c r="CY2702">
        <v>7</v>
      </c>
      <c r="CZ2702" t="s">
        <v>131</v>
      </c>
      <c r="DA2702">
        <v>300</v>
      </c>
      <c r="DB2702">
        <v>0</v>
      </c>
      <c r="DC2702" t="s">
        <v>176</v>
      </c>
      <c r="DD2702" t="s">
        <v>177</v>
      </c>
      <c r="DG2702">
        <v>5418902</v>
      </c>
      <c r="DI2702">
        <v>1</v>
      </c>
      <c r="DJ2702">
        <v>0</v>
      </c>
      <c r="DK2702">
        <v>1</v>
      </c>
      <c r="DL2702">
        <v>0</v>
      </c>
      <c r="DM2702">
        <v>0</v>
      </c>
      <c r="DN2702">
        <v>1</v>
      </c>
      <c r="DO2702">
        <v>0</v>
      </c>
      <c r="DP2702">
        <v>0</v>
      </c>
      <c r="DQ2702">
        <v>0</v>
      </c>
      <c r="DR2702">
        <v>0</v>
      </c>
      <c r="DS2702">
        <v>0</v>
      </c>
    </row>
    <row r="2703" spans="1:123" x14ac:dyDescent="0.3">
      <c r="A2703" t="str">
        <f t="shared" ref="A2703:A2709" si="982">"10/04/2022 19:32:47.010"</f>
        <v>10/04/2022 19:32:47.010</v>
      </c>
      <c r="C2703" t="str">
        <f t="shared" si="968"/>
        <v>FFDDD3C0</v>
      </c>
      <c r="D2703" t="s">
        <v>136</v>
      </c>
      <c r="E2703">
        <v>8</v>
      </c>
      <c r="H2703">
        <v>225</v>
      </c>
      <c r="I2703" t="s">
        <v>137</v>
      </c>
      <c r="J2703" t="s">
        <v>138</v>
      </c>
      <c r="K2703">
        <v>0</v>
      </c>
      <c r="L2703">
        <v>3</v>
      </c>
      <c r="M2703">
        <v>0</v>
      </c>
      <c r="N2703">
        <v>2</v>
      </c>
      <c r="O2703">
        <v>0</v>
      </c>
      <c r="P2703">
        <v>1</v>
      </c>
      <c r="Q2703">
        <v>0</v>
      </c>
      <c r="S2703" t="str">
        <f t="shared" ref="S2703:T2709" si="983">"19:32:46.000"</f>
        <v>19:32:46.000</v>
      </c>
      <c r="T2703" t="str">
        <f t="shared" si="983"/>
        <v>19:32:46.000</v>
      </c>
      <c r="U2703" t="str">
        <f t="shared" si="978"/>
        <v>AC3944</v>
      </c>
      <c r="V2703">
        <v>0</v>
      </c>
      <c r="W2703">
        <v>0</v>
      </c>
      <c r="X2703">
        <v>2</v>
      </c>
      <c r="Y2703">
        <v>0</v>
      </c>
      <c r="AA2703">
        <v>1</v>
      </c>
      <c r="AB2703">
        <v>8</v>
      </c>
      <c r="AC2703">
        <v>3</v>
      </c>
      <c r="AD2703">
        <v>0</v>
      </c>
      <c r="AE2703">
        <v>9</v>
      </c>
      <c r="AF2703" t="s">
        <v>138</v>
      </c>
      <c r="AG2703">
        <v>0</v>
      </c>
      <c r="AH2703">
        <v>3</v>
      </c>
      <c r="AI2703">
        <v>1</v>
      </c>
      <c r="AJ2703">
        <v>0</v>
      </c>
      <c r="AK2703" t="s">
        <v>918</v>
      </c>
      <c r="AL2703">
        <v>32.742348</v>
      </c>
      <c r="AM2703" t="s">
        <v>919</v>
      </c>
      <c r="AN2703">
        <v>-116.765764</v>
      </c>
      <c r="AO2703">
        <v>25</v>
      </c>
      <c r="AP2703">
        <v>3500</v>
      </c>
      <c r="AQ2703" t="s">
        <v>129</v>
      </c>
      <c r="AR2703">
        <v>89</v>
      </c>
      <c r="AS2703">
        <v>-93</v>
      </c>
      <c r="AT2703">
        <v>576</v>
      </c>
      <c r="BB2703">
        <v>1200</v>
      </c>
      <c r="BC2703">
        <v>1</v>
      </c>
      <c r="BD2703" t="str">
        <f t="shared" si="979"/>
        <v xml:space="preserve">N887QR  </v>
      </c>
      <c r="BE2703">
        <v>1</v>
      </c>
      <c r="BJ2703">
        <v>3250</v>
      </c>
      <c r="BK2703">
        <v>-250</v>
      </c>
      <c r="BL2703" t="s">
        <v>163</v>
      </c>
      <c r="BM2703">
        <v>1</v>
      </c>
      <c r="BN2703">
        <v>1</v>
      </c>
      <c r="BO2703">
        <v>1</v>
      </c>
      <c r="BP2703">
        <v>0</v>
      </c>
      <c r="BS2703">
        <v>0</v>
      </c>
      <c r="BT2703">
        <v>0</v>
      </c>
      <c r="BU2703">
        <v>0</v>
      </c>
      <c r="CE2703" t="str">
        <f t="shared" ref="CE2703:CE2709" si="984">"19:32:46.449"</f>
        <v>19:32:46.449</v>
      </c>
      <c r="CF2703">
        <v>449108828</v>
      </c>
      <c r="CS2703">
        <v>0</v>
      </c>
      <c r="CT2703">
        <v>2</v>
      </c>
      <c r="CU2703">
        <v>0</v>
      </c>
      <c r="CV2703">
        <v>2</v>
      </c>
      <c r="CW2703">
        <v>0</v>
      </c>
      <c r="CX2703">
        <v>3</v>
      </c>
      <c r="CY2703">
        <v>7</v>
      </c>
      <c r="CZ2703" t="s">
        <v>131</v>
      </c>
      <c r="DA2703">
        <v>300</v>
      </c>
      <c r="DB2703">
        <v>0</v>
      </c>
      <c r="DC2703" t="s">
        <v>176</v>
      </c>
      <c r="DD2703" t="s">
        <v>177</v>
      </c>
      <c r="DG2703">
        <v>5419124</v>
      </c>
      <c r="DI2703">
        <v>1</v>
      </c>
      <c r="DJ2703">
        <v>0</v>
      </c>
      <c r="DK2703">
        <v>0</v>
      </c>
      <c r="DL2703">
        <v>0</v>
      </c>
      <c r="DM2703">
        <v>0</v>
      </c>
      <c r="DN2703">
        <v>1</v>
      </c>
      <c r="DO2703">
        <v>0</v>
      </c>
      <c r="DP2703">
        <v>0</v>
      </c>
      <c r="DQ2703">
        <v>0</v>
      </c>
      <c r="DR2703">
        <v>0</v>
      </c>
      <c r="DS2703">
        <v>0</v>
      </c>
    </row>
    <row r="2704" spans="1:123" x14ac:dyDescent="0.3">
      <c r="A2704" t="str">
        <f t="shared" si="982"/>
        <v>10/04/2022 19:32:47.010</v>
      </c>
      <c r="C2704" t="str">
        <f t="shared" si="968"/>
        <v>FFDDD3C0</v>
      </c>
      <c r="D2704" t="s">
        <v>141</v>
      </c>
      <c r="E2704">
        <v>3</v>
      </c>
      <c r="H2704">
        <v>3</v>
      </c>
      <c r="I2704" t="s">
        <v>146</v>
      </c>
      <c r="J2704" t="s">
        <v>138</v>
      </c>
      <c r="K2704">
        <v>0</v>
      </c>
      <c r="L2704">
        <v>3</v>
      </c>
      <c r="M2704">
        <v>0</v>
      </c>
      <c r="N2704">
        <v>2</v>
      </c>
      <c r="O2704">
        <v>0</v>
      </c>
      <c r="P2704">
        <v>1</v>
      </c>
      <c r="Q2704">
        <v>0</v>
      </c>
      <c r="S2704" t="str">
        <f t="shared" si="983"/>
        <v>19:32:46.000</v>
      </c>
      <c r="T2704" t="str">
        <f t="shared" si="983"/>
        <v>19:32:46.000</v>
      </c>
      <c r="U2704" t="str">
        <f t="shared" si="978"/>
        <v>AC3944</v>
      </c>
      <c r="V2704">
        <v>0</v>
      </c>
      <c r="W2704">
        <v>0</v>
      </c>
      <c r="X2704">
        <v>2</v>
      </c>
      <c r="Y2704">
        <v>0</v>
      </c>
      <c r="AA2704">
        <v>1</v>
      </c>
      <c r="AB2704">
        <v>8</v>
      </c>
      <c r="AC2704">
        <v>3</v>
      </c>
      <c r="AD2704">
        <v>0</v>
      </c>
      <c r="AE2704">
        <v>9</v>
      </c>
      <c r="AF2704" t="s">
        <v>138</v>
      </c>
      <c r="AG2704">
        <v>0</v>
      </c>
      <c r="AH2704">
        <v>3</v>
      </c>
      <c r="AI2704">
        <v>1</v>
      </c>
      <c r="AJ2704">
        <v>0</v>
      </c>
      <c r="AK2704" t="s">
        <v>918</v>
      </c>
      <c r="AL2704">
        <v>32.742348</v>
      </c>
      <c r="AM2704" t="s">
        <v>919</v>
      </c>
      <c r="AN2704">
        <v>-116.765764</v>
      </c>
      <c r="AO2704">
        <v>25</v>
      </c>
      <c r="AP2704">
        <v>3500</v>
      </c>
      <c r="AQ2704" t="s">
        <v>129</v>
      </c>
      <c r="AR2704">
        <v>89</v>
      </c>
      <c r="AS2704">
        <v>-93</v>
      </c>
      <c r="AT2704">
        <v>576</v>
      </c>
      <c r="BB2704">
        <v>1200</v>
      </c>
      <c r="BC2704">
        <v>1</v>
      </c>
      <c r="BD2704" t="str">
        <f t="shared" si="979"/>
        <v xml:space="preserve">N887QR  </v>
      </c>
      <c r="BE2704">
        <v>1</v>
      </c>
      <c r="BJ2704">
        <v>3250</v>
      </c>
      <c r="BK2704">
        <v>-250</v>
      </c>
      <c r="BL2704" t="s">
        <v>163</v>
      </c>
      <c r="BM2704">
        <v>1</v>
      </c>
      <c r="BN2704">
        <v>1</v>
      </c>
      <c r="BO2704">
        <v>1</v>
      </c>
      <c r="BP2704">
        <v>0</v>
      </c>
      <c r="BS2704">
        <v>0</v>
      </c>
      <c r="BT2704">
        <v>0</v>
      </c>
      <c r="BU2704">
        <v>0</v>
      </c>
      <c r="CE2704" t="str">
        <f t="shared" si="984"/>
        <v>19:32:46.449</v>
      </c>
      <c r="CF2704">
        <v>449108828</v>
      </c>
      <c r="CS2704">
        <v>0</v>
      </c>
      <c r="CT2704">
        <v>2</v>
      </c>
      <c r="CU2704">
        <v>0</v>
      </c>
      <c r="CV2704">
        <v>2</v>
      </c>
      <c r="CW2704">
        <v>0</v>
      </c>
      <c r="CX2704">
        <v>3</v>
      </c>
      <c r="CY2704">
        <v>7</v>
      </c>
      <c r="CZ2704" t="s">
        <v>131</v>
      </c>
      <c r="DA2704">
        <v>300</v>
      </c>
      <c r="DB2704">
        <v>0</v>
      </c>
      <c r="DC2704" t="s">
        <v>176</v>
      </c>
      <c r="DD2704" t="s">
        <v>177</v>
      </c>
      <c r="DG2704">
        <v>5419124</v>
      </c>
      <c r="DI2704">
        <v>1</v>
      </c>
      <c r="DJ2704">
        <v>0</v>
      </c>
      <c r="DK2704">
        <v>1</v>
      </c>
      <c r="DL2704">
        <v>0</v>
      </c>
      <c r="DM2704">
        <v>0</v>
      </c>
      <c r="DN2704">
        <v>1</v>
      </c>
      <c r="DO2704">
        <v>0</v>
      </c>
      <c r="DP2704">
        <v>0</v>
      </c>
      <c r="DQ2704">
        <v>0</v>
      </c>
      <c r="DR2704">
        <v>0</v>
      </c>
      <c r="DS2704">
        <v>0</v>
      </c>
    </row>
    <row r="2705" spans="1:123" x14ac:dyDescent="0.3">
      <c r="A2705" t="str">
        <f t="shared" si="982"/>
        <v>10/04/2022 19:32:47.010</v>
      </c>
      <c r="C2705" t="str">
        <f t="shared" si="968"/>
        <v>FFDDD3C0</v>
      </c>
      <c r="D2705" t="s">
        <v>143</v>
      </c>
      <c r="E2705">
        <v>20</v>
      </c>
      <c r="F2705">
        <v>1020</v>
      </c>
      <c r="G2705" t="s">
        <v>144</v>
      </c>
      <c r="J2705" t="s">
        <v>145</v>
      </c>
      <c r="K2705">
        <v>0</v>
      </c>
      <c r="L2705">
        <v>3</v>
      </c>
      <c r="M2705">
        <v>0</v>
      </c>
      <c r="N2705">
        <v>2</v>
      </c>
      <c r="O2705">
        <v>0</v>
      </c>
      <c r="P2705">
        <v>1</v>
      </c>
      <c r="Q2705">
        <v>0</v>
      </c>
      <c r="S2705" t="str">
        <f t="shared" si="983"/>
        <v>19:32:46.000</v>
      </c>
      <c r="T2705" t="str">
        <f t="shared" si="983"/>
        <v>19:32:46.000</v>
      </c>
      <c r="U2705" t="str">
        <f t="shared" si="978"/>
        <v>AC3944</v>
      </c>
      <c r="V2705">
        <v>0</v>
      </c>
      <c r="W2705">
        <v>0</v>
      </c>
      <c r="X2705">
        <v>2</v>
      </c>
      <c r="Y2705">
        <v>0</v>
      </c>
      <c r="AA2705">
        <v>1</v>
      </c>
      <c r="AB2705">
        <v>8</v>
      </c>
      <c r="AC2705">
        <v>3</v>
      </c>
      <c r="AD2705">
        <v>0</v>
      </c>
      <c r="AE2705">
        <v>9</v>
      </c>
      <c r="AF2705" t="s">
        <v>138</v>
      </c>
      <c r="AG2705">
        <v>0</v>
      </c>
      <c r="AH2705">
        <v>3</v>
      </c>
      <c r="AI2705">
        <v>1</v>
      </c>
      <c r="AJ2705">
        <v>0</v>
      </c>
      <c r="AK2705" t="s">
        <v>918</v>
      </c>
      <c r="AL2705">
        <v>32.742348</v>
      </c>
      <c r="AM2705" t="s">
        <v>919</v>
      </c>
      <c r="AN2705">
        <v>-116.765764</v>
      </c>
      <c r="AO2705">
        <v>25</v>
      </c>
      <c r="AP2705">
        <v>3500</v>
      </c>
      <c r="AQ2705" t="s">
        <v>129</v>
      </c>
      <c r="AR2705">
        <v>89</v>
      </c>
      <c r="AS2705">
        <v>-93</v>
      </c>
      <c r="AT2705">
        <v>576</v>
      </c>
      <c r="BB2705">
        <v>1200</v>
      </c>
      <c r="BC2705">
        <v>1</v>
      </c>
      <c r="BD2705" t="str">
        <f t="shared" si="979"/>
        <v xml:space="preserve">N887QR  </v>
      </c>
      <c r="BE2705">
        <v>1</v>
      </c>
      <c r="BJ2705">
        <v>3250</v>
      </c>
      <c r="BK2705">
        <v>-250</v>
      </c>
      <c r="BL2705" t="s">
        <v>163</v>
      </c>
      <c r="BM2705">
        <v>1</v>
      </c>
      <c r="BN2705">
        <v>1</v>
      </c>
      <c r="BO2705">
        <v>1</v>
      </c>
      <c r="BP2705">
        <v>0</v>
      </c>
      <c r="BS2705">
        <v>0</v>
      </c>
      <c r="BT2705">
        <v>0</v>
      </c>
      <c r="BU2705">
        <v>0</v>
      </c>
      <c r="CE2705" t="str">
        <f t="shared" si="984"/>
        <v>19:32:46.449</v>
      </c>
      <c r="CF2705">
        <v>449108828</v>
      </c>
      <c r="CS2705">
        <v>0</v>
      </c>
      <c r="CT2705">
        <v>2</v>
      </c>
      <c r="CU2705">
        <v>0</v>
      </c>
      <c r="CV2705">
        <v>2</v>
      </c>
      <c r="CW2705">
        <v>0</v>
      </c>
      <c r="CX2705">
        <v>3</v>
      </c>
      <c r="CY2705">
        <v>7</v>
      </c>
      <c r="CZ2705" t="s">
        <v>131</v>
      </c>
      <c r="DA2705">
        <v>300</v>
      </c>
      <c r="DB2705">
        <v>0</v>
      </c>
      <c r="DC2705" t="s">
        <v>176</v>
      </c>
      <c r="DD2705" t="s">
        <v>177</v>
      </c>
      <c r="DG2705">
        <v>5419124</v>
      </c>
      <c r="DI2705">
        <v>1</v>
      </c>
      <c r="DJ2705">
        <v>0</v>
      </c>
      <c r="DK2705">
        <v>1</v>
      </c>
      <c r="DL2705">
        <v>0</v>
      </c>
      <c r="DM2705">
        <v>0</v>
      </c>
      <c r="DN2705">
        <v>1</v>
      </c>
      <c r="DO2705">
        <v>0</v>
      </c>
      <c r="DP2705">
        <v>0</v>
      </c>
      <c r="DQ2705">
        <v>0</v>
      </c>
      <c r="DR2705">
        <v>0</v>
      </c>
      <c r="DS2705">
        <v>0</v>
      </c>
    </row>
    <row r="2706" spans="1:123" x14ac:dyDescent="0.3">
      <c r="A2706" t="str">
        <f t="shared" si="982"/>
        <v>10/04/2022 19:32:47.010</v>
      </c>
      <c r="C2706" t="str">
        <f t="shared" si="968"/>
        <v>FFDDD3C0</v>
      </c>
      <c r="D2706" t="s">
        <v>123</v>
      </c>
      <c r="E2706">
        <v>7</v>
      </c>
      <c r="F2706">
        <v>2007</v>
      </c>
      <c r="G2706" t="s">
        <v>124</v>
      </c>
      <c r="J2706" t="s">
        <v>125</v>
      </c>
      <c r="K2706">
        <v>0</v>
      </c>
      <c r="L2706">
        <v>3</v>
      </c>
      <c r="M2706">
        <v>0</v>
      </c>
      <c r="N2706">
        <v>2</v>
      </c>
      <c r="O2706">
        <v>0</v>
      </c>
      <c r="P2706">
        <v>1</v>
      </c>
      <c r="Q2706">
        <v>0</v>
      </c>
      <c r="S2706" t="str">
        <f t="shared" si="983"/>
        <v>19:32:46.000</v>
      </c>
      <c r="T2706" t="str">
        <f t="shared" si="983"/>
        <v>19:32:46.000</v>
      </c>
      <c r="U2706" t="str">
        <f t="shared" si="978"/>
        <v>AC3944</v>
      </c>
      <c r="V2706">
        <v>0</v>
      </c>
      <c r="W2706">
        <v>0</v>
      </c>
      <c r="X2706">
        <v>2</v>
      </c>
      <c r="Y2706">
        <v>0</v>
      </c>
      <c r="AA2706">
        <v>1</v>
      </c>
      <c r="AB2706">
        <v>8</v>
      </c>
      <c r="AC2706">
        <v>3</v>
      </c>
      <c r="AD2706">
        <v>0</v>
      </c>
      <c r="AE2706">
        <v>9</v>
      </c>
      <c r="AF2706" t="s">
        <v>138</v>
      </c>
      <c r="AG2706">
        <v>0</v>
      </c>
      <c r="AH2706">
        <v>3</v>
      </c>
      <c r="AI2706">
        <v>1</v>
      </c>
      <c r="AJ2706">
        <v>0</v>
      </c>
      <c r="AK2706" t="s">
        <v>918</v>
      </c>
      <c r="AL2706">
        <v>32.742348</v>
      </c>
      <c r="AM2706" t="s">
        <v>919</v>
      </c>
      <c r="AN2706">
        <v>-116.765764</v>
      </c>
      <c r="AO2706">
        <v>25</v>
      </c>
      <c r="AP2706">
        <v>3500</v>
      </c>
      <c r="AQ2706" t="s">
        <v>129</v>
      </c>
      <c r="AR2706">
        <v>89</v>
      </c>
      <c r="AS2706">
        <v>-93</v>
      </c>
      <c r="AT2706">
        <v>576</v>
      </c>
      <c r="BB2706">
        <v>1200</v>
      </c>
      <c r="BC2706">
        <v>1</v>
      </c>
      <c r="BD2706" t="str">
        <f t="shared" si="979"/>
        <v xml:space="preserve">N887QR  </v>
      </c>
      <c r="BE2706">
        <v>1</v>
      </c>
      <c r="BJ2706">
        <v>3250</v>
      </c>
      <c r="BK2706">
        <v>-250</v>
      </c>
      <c r="BL2706" t="s">
        <v>163</v>
      </c>
      <c r="BM2706">
        <v>1</v>
      </c>
      <c r="BN2706">
        <v>1</v>
      </c>
      <c r="BO2706">
        <v>1</v>
      </c>
      <c r="BP2706">
        <v>0</v>
      </c>
      <c r="BS2706">
        <v>0</v>
      </c>
      <c r="BT2706">
        <v>0</v>
      </c>
      <c r="BU2706">
        <v>0</v>
      </c>
      <c r="CE2706" t="str">
        <f t="shared" si="984"/>
        <v>19:32:46.449</v>
      </c>
      <c r="CF2706">
        <v>449108828</v>
      </c>
      <c r="CS2706">
        <v>0</v>
      </c>
      <c r="CT2706">
        <v>2</v>
      </c>
      <c r="CU2706">
        <v>0</v>
      </c>
      <c r="CV2706">
        <v>2</v>
      </c>
      <c r="CW2706">
        <v>0</v>
      </c>
      <c r="CX2706">
        <v>3</v>
      </c>
      <c r="CY2706">
        <v>7</v>
      </c>
      <c r="CZ2706" t="s">
        <v>131</v>
      </c>
      <c r="DA2706">
        <v>300</v>
      </c>
      <c r="DB2706">
        <v>0</v>
      </c>
      <c r="DC2706" t="s">
        <v>176</v>
      </c>
      <c r="DD2706" t="s">
        <v>177</v>
      </c>
      <c r="DG2706">
        <v>5419124</v>
      </c>
      <c r="DI2706">
        <v>1</v>
      </c>
      <c r="DJ2706">
        <v>0</v>
      </c>
      <c r="DK2706">
        <v>1</v>
      </c>
      <c r="DL2706">
        <v>0</v>
      </c>
      <c r="DM2706">
        <v>0</v>
      </c>
      <c r="DN2706">
        <v>1</v>
      </c>
      <c r="DO2706">
        <v>0</v>
      </c>
      <c r="DP2706">
        <v>0</v>
      </c>
      <c r="DQ2706">
        <v>0</v>
      </c>
      <c r="DR2706">
        <v>0</v>
      </c>
      <c r="DS2706">
        <v>0</v>
      </c>
    </row>
    <row r="2707" spans="1:123" x14ac:dyDescent="0.3">
      <c r="A2707" t="str">
        <f t="shared" si="982"/>
        <v>10/04/2022 19:32:47.010</v>
      </c>
      <c r="C2707" t="str">
        <f t="shared" si="968"/>
        <v>FFDDD3C0</v>
      </c>
      <c r="D2707" t="s">
        <v>134</v>
      </c>
      <c r="E2707">
        <v>15</v>
      </c>
      <c r="J2707" t="s">
        <v>135</v>
      </c>
      <c r="K2707">
        <v>0</v>
      </c>
      <c r="L2707">
        <v>3</v>
      </c>
      <c r="M2707">
        <v>0</v>
      </c>
      <c r="N2707">
        <v>2</v>
      </c>
      <c r="O2707">
        <v>0</v>
      </c>
      <c r="P2707">
        <v>1</v>
      </c>
      <c r="Q2707">
        <v>0</v>
      </c>
      <c r="S2707" t="str">
        <f t="shared" si="983"/>
        <v>19:32:46.000</v>
      </c>
      <c r="T2707" t="str">
        <f t="shared" si="983"/>
        <v>19:32:46.000</v>
      </c>
      <c r="U2707" t="str">
        <f t="shared" si="978"/>
        <v>AC3944</v>
      </c>
      <c r="V2707">
        <v>0</v>
      </c>
      <c r="W2707">
        <v>0</v>
      </c>
      <c r="X2707">
        <v>2</v>
      </c>
      <c r="Y2707">
        <v>0</v>
      </c>
      <c r="AA2707">
        <v>1</v>
      </c>
      <c r="AB2707">
        <v>8</v>
      </c>
      <c r="AC2707">
        <v>3</v>
      </c>
      <c r="AD2707">
        <v>0</v>
      </c>
      <c r="AE2707">
        <v>9</v>
      </c>
      <c r="AF2707" t="s">
        <v>138</v>
      </c>
      <c r="AG2707">
        <v>0</v>
      </c>
      <c r="AH2707">
        <v>3</v>
      </c>
      <c r="AI2707">
        <v>1</v>
      </c>
      <c r="AJ2707">
        <v>0</v>
      </c>
      <c r="AK2707" t="s">
        <v>918</v>
      </c>
      <c r="AL2707">
        <v>32.742348</v>
      </c>
      <c r="AM2707" t="s">
        <v>919</v>
      </c>
      <c r="AN2707">
        <v>-116.765764</v>
      </c>
      <c r="AO2707">
        <v>25</v>
      </c>
      <c r="AP2707">
        <v>3500</v>
      </c>
      <c r="AQ2707" t="s">
        <v>129</v>
      </c>
      <c r="AR2707">
        <v>89</v>
      </c>
      <c r="AS2707">
        <v>-93</v>
      </c>
      <c r="AT2707">
        <v>576</v>
      </c>
      <c r="BB2707">
        <v>1200</v>
      </c>
      <c r="BC2707">
        <v>1</v>
      </c>
      <c r="BD2707" t="str">
        <f t="shared" si="979"/>
        <v xml:space="preserve">N887QR  </v>
      </c>
      <c r="BE2707">
        <v>1</v>
      </c>
      <c r="BJ2707">
        <v>3250</v>
      </c>
      <c r="BK2707">
        <v>-250</v>
      </c>
      <c r="BL2707" t="s">
        <v>163</v>
      </c>
      <c r="BM2707">
        <v>1</v>
      </c>
      <c r="BN2707">
        <v>1</v>
      </c>
      <c r="BO2707">
        <v>1</v>
      </c>
      <c r="BP2707">
        <v>0</v>
      </c>
      <c r="BS2707">
        <v>0</v>
      </c>
      <c r="BT2707">
        <v>0</v>
      </c>
      <c r="BU2707">
        <v>0</v>
      </c>
      <c r="CE2707" t="str">
        <f t="shared" si="984"/>
        <v>19:32:46.449</v>
      </c>
      <c r="CF2707">
        <v>449108828</v>
      </c>
      <c r="CS2707">
        <v>0</v>
      </c>
      <c r="CT2707">
        <v>2</v>
      </c>
      <c r="CU2707">
        <v>0</v>
      </c>
      <c r="CV2707">
        <v>2</v>
      </c>
      <c r="CW2707">
        <v>0</v>
      </c>
      <c r="CX2707">
        <v>3</v>
      </c>
      <c r="CY2707">
        <v>7</v>
      </c>
      <c r="CZ2707" t="s">
        <v>131</v>
      </c>
      <c r="DA2707">
        <v>300</v>
      </c>
      <c r="DB2707">
        <v>0</v>
      </c>
      <c r="DC2707" t="s">
        <v>176</v>
      </c>
      <c r="DD2707" t="s">
        <v>177</v>
      </c>
      <c r="DG2707">
        <v>5419124</v>
      </c>
      <c r="DI2707">
        <v>1</v>
      </c>
      <c r="DJ2707">
        <v>0</v>
      </c>
      <c r="DK2707">
        <v>1</v>
      </c>
      <c r="DL2707">
        <v>0</v>
      </c>
      <c r="DM2707">
        <v>0</v>
      </c>
      <c r="DN2707">
        <v>1</v>
      </c>
      <c r="DO2707">
        <v>0</v>
      </c>
      <c r="DP2707">
        <v>0</v>
      </c>
      <c r="DQ2707">
        <v>0</v>
      </c>
      <c r="DR2707">
        <v>0</v>
      </c>
      <c r="DS2707">
        <v>0</v>
      </c>
    </row>
    <row r="2708" spans="1:123" x14ac:dyDescent="0.3">
      <c r="A2708" t="str">
        <f t="shared" si="982"/>
        <v>10/04/2022 19:32:47.010</v>
      </c>
      <c r="C2708" t="str">
        <f t="shared" si="968"/>
        <v>FFDDD3C0</v>
      </c>
      <c r="D2708" t="s">
        <v>147</v>
      </c>
      <c r="E2708">
        <v>3</v>
      </c>
      <c r="H2708">
        <v>166</v>
      </c>
      <c r="I2708" t="s">
        <v>144</v>
      </c>
      <c r="J2708" t="s">
        <v>148</v>
      </c>
      <c r="K2708">
        <v>0</v>
      </c>
      <c r="L2708">
        <v>3</v>
      </c>
      <c r="M2708">
        <v>0</v>
      </c>
      <c r="N2708">
        <v>2</v>
      </c>
      <c r="O2708">
        <v>0</v>
      </c>
      <c r="P2708">
        <v>1</v>
      </c>
      <c r="Q2708">
        <v>0</v>
      </c>
      <c r="S2708" t="str">
        <f t="shared" si="983"/>
        <v>19:32:46.000</v>
      </c>
      <c r="T2708" t="str">
        <f t="shared" si="983"/>
        <v>19:32:46.000</v>
      </c>
      <c r="U2708" t="str">
        <f t="shared" si="978"/>
        <v>AC3944</v>
      </c>
      <c r="V2708">
        <v>0</v>
      </c>
      <c r="W2708">
        <v>0</v>
      </c>
      <c r="X2708">
        <v>2</v>
      </c>
      <c r="Y2708">
        <v>0</v>
      </c>
      <c r="AA2708">
        <v>1</v>
      </c>
      <c r="AB2708">
        <v>8</v>
      </c>
      <c r="AC2708">
        <v>3</v>
      </c>
      <c r="AD2708">
        <v>0</v>
      </c>
      <c r="AE2708">
        <v>9</v>
      </c>
      <c r="AF2708" t="s">
        <v>138</v>
      </c>
      <c r="AG2708">
        <v>0</v>
      </c>
      <c r="AH2708">
        <v>3</v>
      </c>
      <c r="AI2708">
        <v>1</v>
      </c>
      <c r="AJ2708">
        <v>0</v>
      </c>
      <c r="AK2708" t="s">
        <v>918</v>
      </c>
      <c r="AL2708">
        <v>32.742348</v>
      </c>
      <c r="AM2708" t="s">
        <v>919</v>
      </c>
      <c r="AN2708">
        <v>-116.765764</v>
      </c>
      <c r="AO2708">
        <v>25</v>
      </c>
      <c r="AP2708">
        <v>3500</v>
      </c>
      <c r="AQ2708" t="s">
        <v>129</v>
      </c>
      <c r="AR2708">
        <v>89</v>
      </c>
      <c r="AS2708">
        <v>-93</v>
      </c>
      <c r="AT2708">
        <v>576</v>
      </c>
      <c r="BB2708">
        <v>1200</v>
      </c>
      <c r="BC2708">
        <v>1</v>
      </c>
      <c r="BD2708" t="str">
        <f t="shared" si="979"/>
        <v xml:space="preserve">N887QR  </v>
      </c>
      <c r="BE2708">
        <v>1</v>
      </c>
      <c r="BJ2708">
        <v>3250</v>
      </c>
      <c r="BK2708">
        <v>-250</v>
      </c>
      <c r="BL2708" t="s">
        <v>163</v>
      </c>
      <c r="BM2708">
        <v>1</v>
      </c>
      <c r="BN2708">
        <v>1</v>
      </c>
      <c r="BO2708">
        <v>1</v>
      </c>
      <c r="BP2708">
        <v>0</v>
      </c>
      <c r="BS2708">
        <v>0</v>
      </c>
      <c r="BT2708">
        <v>0</v>
      </c>
      <c r="BU2708">
        <v>0</v>
      </c>
      <c r="CE2708" t="str">
        <f t="shared" si="984"/>
        <v>19:32:46.449</v>
      </c>
      <c r="CF2708">
        <v>449108828</v>
      </c>
      <c r="CS2708">
        <v>0</v>
      </c>
      <c r="CT2708">
        <v>2</v>
      </c>
      <c r="CU2708">
        <v>0</v>
      </c>
      <c r="CV2708">
        <v>2</v>
      </c>
      <c r="CW2708">
        <v>0</v>
      </c>
      <c r="CX2708">
        <v>3</v>
      </c>
      <c r="CY2708">
        <v>7</v>
      </c>
      <c r="CZ2708" t="s">
        <v>131</v>
      </c>
      <c r="DA2708">
        <v>300</v>
      </c>
      <c r="DB2708">
        <v>0</v>
      </c>
      <c r="DC2708" t="s">
        <v>176</v>
      </c>
      <c r="DD2708" t="s">
        <v>177</v>
      </c>
      <c r="DG2708">
        <v>5419124</v>
      </c>
      <c r="DI2708">
        <v>1</v>
      </c>
      <c r="DJ2708">
        <v>0</v>
      </c>
      <c r="DK2708">
        <v>1</v>
      </c>
      <c r="DL2708">
        <v>0</v>
      </c>
      <c r="DM2708">
        <v>0</v>
      </c>
      <c r="DN2708">
        <v>1</v>
      </c>
      <c r="DO2708">
        <v>0</v>
      </c>
      <c r="DP2708">
        <v>0</v>
      </c>
      <c r="DQ2708">
        <v>0</v>
      </c>
      <c r="DR2708">
        <v>0</v>
      </c>
      <c r="DS2708">
        <v>0</v>
      </c>
    </row>
    <row r="2709" spans="1:123" x14ac:dyDescent="0.3">
      <c r="A2709" t="str">
        <f t="shared" si="982"/>
        <v>10/04/2022 19:32:47.010</v>
      </c>
      <c r="C2709" t="str">
        <f t="shared" si="968"/>
        <v>FFDDD3C0</v>
      </c>
      <c r="D2709" t="s">
        <v>141</v>
      </c>
      <c r="E2709">
        <v>4</v>
      </c>
      <c r="H2709">
        <v>4</v>
      </c>
      <c r="I2709" t="s">
        <v>142</v>
      </c>
      <c r="J2709" t="s">
        <v>138</v>
      </c>
      <c r="K2709">
        <v>0</v>
      </c>
      <c r="L2709">
        <v>3</v>
      </c>
      <c r="M2709">
        <v>0</v>
      </c>
      <c r="N2709">
        <v>2</v>
      </c>
      <c r="O2709">
        <v>0</v>
      </c>
      <c r="P2709">
        <v>1</v>
      </c>
      <c r="Q2709">
        <v>0</v>
      </c>
      <c r="S2709" t="str">
        <f t="shared" si="983"/>
        <v>19:32:46.000</v>
      </c>
      <c r="T2709" t="str">
        <f t="shared" si="983"/>
        <v>19:32:46.000</v>
      </c>
      <c r="U2709" t="str">
        <f t="shared" si="978"/>
        <v>AC3944</v>
      </c>
      <c r="V2709">
        <v>0</v>
      </c>
      <c r="W2709">
        <v>0</v>
      </c>
      <c r="X2709">
        <v>2</v>
      </c>
      <c r="Y2709">
        <v>0</v>
      </c>
      <c r="AA2709">
        <v>1</v>
      </c>
      <c r="AB2709">
        <v>8</v>
      </c>
      <c r="AC2709">
        <v>3</v>
      </c>
      <c r="AD2709">
        <v>0</v>
      </c>
      <c r="AE2709">
        <v>9</v>
      </c>
      <c r="AF2709" t="s">
        <v>138</v>
      </c>
      <c r="AG2709">
        <v>0</v>
      </c>
      <c r="AH2709">
        <v>3</v>
      </c>
      <c r="AI2709">
        <v>1</v>
      </c>
      <c r="AJ2709">
        <v>0</v>
      </c>
      <c r="AK2709" t="s">
        <v>918</v>
      </c>
      <c r="AL2709">
        <v>32.742348</v>
      </c>
      <c r="AM2709" t="s">
        <v>919</v>
      </c>
      <c r="AN2709">
        <v>-116.765764</v>
      </c>
      <c r="AO2709">
        <v>25</v>
      </c>
      <c r="AP2709">
        <v>3500</v>
      </c>
      <c r="AQ2709" t="s">
        <v>129</v>
      </c>
      <c r="AR2709">
        <v>89</v>
      </c>
      <c r="AS2709">
        <v>-93</v>
      </c>
      <c r="AT2709">
        <v>576</v>
      </c>
      <c r="BB2709">
        <v>1200</v>
      </c>
      <c r="BC2709">
        <v>1</v>
      </c>
      <c r="BD2709" t="str">
        <f t="shared" si="979"/>
        <v xml:space="preserve">N887QR  </v>
      </c>
      <c r="BE2709">
        <v>1</v>
      </c>
      <c r="BJ2709">
        <v>3250</v>
      </c>
      <c r="BK2709">
        <v>-250</v>
      </c>
      <c r="BL2709" t="s">
        <v>163</v>
      </c>
      <c r="BM2709">
        <v>1</v>
      </c>
      <c r="BN2709">
        <v>1</v>
      </c>
      <c r="BO2709">
        <v>1</v>
      </c>
      <c r="BP2709">
        <v>0</v>
      </c>
      <c r="BS2709">
        <v>0</v>
      </c>
      <c r="BT2709">
        <v>0</v>
      </c>
      <c r="BU2709">
        <v>0</v>
      </c>
      <c r="CE2709" t="str">
        <f t="shared" si="984"/>
        <v>19:32:46.449</v>
      </c>
      <c r="CF2709">
        <v>449108828</v>
      </c>
      <c r="CS2709">
        <v>0</v>
      </c>
      <c r="CT2709">
        <v>2</v>
      </c>
      <c r="CU2709">
        <v>0</v>
      </c>
      <c r="CV2709">
        <v>2</v>
      </c>
      <c r="CW2709">
        <v>0</v>
      </c>
      <c r="CX2709">
        <v>3</v>
      </c>
      <c r="CY2709">
        <v>7</v>
      </c>
      <c r="CZ2709" t="s">
        <v>131</v>
      </c>
      <c r="DA2709">
        <v>300</v>
      </c>
      <c r="DB2709">
        <v>0</v>
      </c>
      <c r="DC2709" t="s">
        <v>176</v>
      </c>
      <c r="DD2709" t="s">
        <v>177</v>
      </c>
      <c r="DG2709">
        <v>5419124</v>
      </c>
      <c r="DI2709">
        <v>1</v>
      </c>
      <c r="DJ2709">
        <v>0</v>
      </c>
      <c r="DK2709">
        <v>1</v>
      </c>
      <c r="DL2709">
        <v>0</v>
      </c>
      <c r="DM2709">
        <v>0</v>
      </c>
      <c r="DN2709">
        <v>1</v>
      </c>
      <c r="DO2709">
        <v>0</v>
      </c>
      <c r="DP2709">
        <v>0</v>
      </c>
      <c r="DQ2709">
        <v>0</v>
      </c>
      <c r="DR2709">
        <v>0</v>
      </c>
      <c r="DS2709">
        <v>0</v>
      </c>
    </row>
    <row r="2710" spans="1:123" x14ac:dyDescent="0.3">
      <c r="A2710" t="str">
        <f>"10/04/2022 19:32:47.526"</f>
        <v>10/04/2022 19:32:47.526</v>
      </c>
      <c r="C2710" t="str">
        <f t="shared" si="968"/>
        <v>FFDDD3C0</v>
      </c>
      <c r="D2710" t="s">
        <v>136</v>
      </c>
      <c r="E2710">
        <v>8</v>
      </c>
      <c r="H2710">
        <v>225</v>
      </c>
      <c r="I2710" t="s">
        <v>137</v>
      </c>
      <c r="J2710" t="s">
        <v>138</v>
      </c>
      <c r="K2710">
        <v>0</v>
      </c>
      <c r="L2710">
        <v>3</v>
      </c>
      <c r="M2710">
        <v>0</v>
      </c>
      <c r="N2710">
        <v>2</v>
      </c>
      <c r="O2710">
        <v>0</v>
      </c>
      <c r="P2710">
        <v>1</v>
      </c>
      <c r="Q2710">
        <v>0</v>
      </c>
      <c r="S2710" t="str">
        <f t="shared" ref="S2710:T2723" si="985">"19:32:47.000"</f>
        <v>19:32:47.000</v>
      </c>
      <c r="T2710" t="str">
        <f t="shared" si="985"/>
        <v>19:32:47.000</v>
      </c>
      <c r="U2710" t="str">
        <f t="shared" si="978"/>
        <v>AC3944</v>
      </c>
      <c r="V2710">
        <v>0</v>
      </c>
      <c r="W2710">
        <v>0</v>
      </c>
      <c r="X2710">
        <v>2</v>
      </c>
      <c r="Y2710">
        <v>0</v>
      </c>
      <c r="AA2710">
        <v>1</v>
      </c>
      <c r="AB2710">
        <v>8</v>
      </c>
      <c r="AC2710">
        <v>3</v>
      </c>
      <c r="AD2710">
        <v>0</v>
      </c>
      <c r="AE2710">
        <v>9</v>
      </c>
      <c r="AF2710" t="s">
        <v>138</v>
      </c>
      <c r="AG2710">
        <v>0</v>
      </c>
      <c r="AH2710">
        <v>3</v>
      </c>
      <c r="AI2710">
        <v>1</v>
      </c>
      <c r="AJ2710">
        <v>0</v>
      </c>
      <c r="AK2710" t="s">
        <v>920</v>
      </c>
      <c r="AL2710">
        <v>32.741919000000003</v>
      </c>
      <c r="AM2710" t="s">
        <v>921</v>
      </c>
      <c r="AN2710">
        <v>-116.76527</v>
      </c>
      <c r="AO2710">
        <v>25</v>
      </c>
      <c r="AP2710">
        <v>3500</v>
      </c>
      <c r="AQ2710" t="s">
        <v>129</v>
      </c>
      <c r="AR2710">
        <v>89</v>
      </c>
      <c r="AS2710">
        <v>-93</v>
      </c>
      <c r="AT2710">
        <v>576</v>
      </c>
      <c r="BB2710">
        <v>1200</v>
      </c>
      <c r="BC2710">
        <v>1</v>
      </c>
      <c r="BD2710" t="str">
        <f t="shared" si="979"/>
        <v xml:space="preserve">N887QR  </v>
      </c>
      <c r="BE2710">
        <v>1</v>
      </c>
      <c r="BJ2710">
        <v>3250</v>
      </c>
      <c r="BK2710">
        <v>-250</v>
      </c>
      <c r="BL2710" t="s">
        <v>163</v>
      </c>
      <c r="BM2710">
        <v>1</v>
      </c>
      <c r="BN2710">
        <v>1</v>
      </c>
      <c r="BO2710">
        <v>1</v>
      </c>
      <c r="BP2710">
        <v>0</v>
      </c>
      <c r="BS2710">
        <v>0</v>
      </c>
      <c r="BT2710">
        <v>0</v>
      </c>
      <c r="BU2710">
        <v>0</v>
      </c>
      <c r="CE2710" t="str">
        <f t="shared" ref="CE2710:CE2716" si="986">"19:32:47.192"</f>
        <v>19:32:47.192</v>
      </c>
      <c r="CF2710">
        <v>192111434</v>
      </c>
      <c r="CS2710">
        <v>0</v>
      </c>
      <c r="CT2710">
        <v>2</v>
      </c>
      <c r="CU2710">
        <v>0</v>
      </c>
      <c r="CV2710">
        <v>2</v>
      </c>
      <c r="CW2710">
        <v>0</v>
      </c>
      <c r="CX2710">
        <v>4</v>
      </c>
      <c r="CY2710">
        <v>7</v>
      </c>
      <c r="CZ2710" t="s">
        <v>131</v>
      </c>
      <c r="DA2710">
        <v>300</v>
      </c>
      <c r="DB2710">
        <v>0</v>
      </c>
      <c r="DC2710" t="s">
        <v>176</v>
      </c>
      <c r="DD2710" t="s">
        <v>177</v>
      </c>
      <c r="DG2710">
        <v>5419250</v>
      </c>
      <c r="DI2710">
        <v>1</v>
      </c>
      <c r="DJ2710">
        <v>0</v>
      </c>
      <c r="DK2710">
        <v>0</v>
      </c>
      <c r="DL2710">
        <v>0</v>
      </c>
      <c r="DM2710">
        <v>0</v>
      </c>
      <c r="DN2710">
        <v>1</v>
      </c>
      <c r="DO2710">
        <v>0</v>
      </c>
      <c r="DP2710">
        <v>0</v>
      </c>
      <c r="DQ2710">
        <v>0</v>
      </c>
      <c r="DR2710">
        <v>0</v>
      </c>
      <c r="DS2710">
        <v>0</v>
      </c>
    </row>
    <row r="2711" spans="1:123" x14ac:dyDescent="0.3">
      <c r="A2711" t="str">
        <f>"10/04/2022 19:32:47.557"</f>
        <v>10/04/2022 19:32:47.557</v>
      </c>
      <c r="C2711" t="str">
        <f t="shared" si="968"/>
        <v>FFDDD3C0</v>
      </c>
      <c r="D2711" t="s">
        <v>141</v>
      </c>
      <c r="E2711">
        <v>3</v>
      </c>
      <c r="H2711">
        <v>3</v>
      </c>
      <c r="I2711" t="s">
        <v>146</v>
      </c>
      <c r="J2711" t="s">
        <v>138</v>
      </c>
      <c r="K2711">
        <v>0</v>
      </c>
      <c r="L2711">
        <v>3</v>
      </c>
      <c r="M2711">
        <v>0</v>
      </c>
      <c r="N2711">
        <v>2</v>
      </c>
      <c r="O2711">
        <v>0</v>
      </c>
      <c r="P2711">
        <v>1</v>
      </c>
      <c r="Q2711">
        <v>0</v>
      </c>
      <c r="S2711" t="str">
        <f t="shared" si="985"/>
        <v>19:32:47.000</v>
      </c>
      <c r="T2711" t="str">
        <f t="shared" si="985"/>
        <v>19:32:47.000</v>
      </c>
      <c r="U2711" t="str">
        <f t="shared" si="978"/>
        <v>AC3944</v>
      </c>
      <c r="V2711">
        <v>0</v>
      </c>
      <c r="W2711">
        <v>0</v>
      </c>
      <c r="X2711">
        <v>2</v>
      </c>
      <c r="Y2711">
        <v>0</v>
      </c>
      <c r="AA2711">
        <v>1</v>
      </c>
      <c r="AB2711">
        <v>8</v>
      </c>
      <c r="AC2711">
        <v>3</v>
      </c>
      <c r="AD2711">
        <v>0</v>
      </c>
      <c r="AE2711">
        <v>9</v>
      </c>
      <c r="AF2711" t="s">
        <v>138</v>
      </c>
      <c r="AG2711">
        <v>0</v>
      </c>
      <c r="AH2711">
        <v>3</v>
      </c>
      <c r="AI2711">
        <v>1</v>
      </c>
      <c r="AJ2711">
        <v>0</v>
      </c>
      <c r="AK2711" t="s">
        <v>920</v>
      </c>
      <c r="AL2711">
        <v>32.741919000000003</v>
      </c>
      <c r="AM2711" t="s">
        <v>921</v>
      </c>
      <c r="AN2711">
        <v>-116.76527</v>
      </c>
      <c r="AO2711">
        <v>25</v>
      </c>
      <c r="AP2711">
        <v>3500</v>
      </c>
      <c r="AQ2711" t="s">
        <v>129</v>
      </c>
      <c r="AR2711">
        <v>89</v>
      </c>
      <c r="AS2711">
        <v>-93</v>
      </c>
      <c r="AT2711">
        <v>576</v>
      </c>
      <c r="BB2711">
        <v>1200</v>
      </c>
      <c r="BC2711">
        <v>1</v>
      </c>
      <c r="BD2711" t="str">
        <f t="shared" si="979"/>
        <v xml:space="preserve">N887QR  </v>
      </c>
      <c r="BE2711">
        <v>1</v>
      </c>
      <c r="BJ2711">
        <v>3250</v>
      </c>
      <c r="BK2711">
        <v>-250</v>
      </c>
      <c r="BL2711" t="s">
        <v>163</v>
      </c>
      <c r="BM2711">
        <v>1</v>
      </c>
      <c r="BN2711">
        <v>1</v>
      </c>
      <c r="BO2711">
        <v>1</v>
      </c>
      <c r="BP2711">
        <v>0</v>
      </c>
      <c r="BS2711">
        <v>0</v>
      </c>
      <c r="BT2711">
        <v>0</v>
      </c>
      <c r="BU2711">
        <v>0</v>
      </c>
      <c r="CE2711" t="str">
        <f t="shared" si="986"/>
        <v>19:32:47.192</v>
      </c>
      <c r="CF2711">
        <v>192111434</v>
      </c>
      <c r="CS2711">
        <v>0</v>
      </c>
      <c r="CT2711">
        <v>2</v>
      </c>
      <c r="CU2711">
        <v>0</v>
      </c>
      <c r="CV2711">
        <v>2</v>
      </c>
      <c r="CW2711">
        <v>0</v>
      </c>
      <c r="CX2711">
        <v>4</v>
      </c>
      <c r="CY2711">
        <v>7</v>
      </c>
      <c r="CZ2711" t="s">
        <v>131</v>
      </c>
      <c r="DA2711">
        <v>300</v>
      </c>
      <c r="DB2711">
        <v>0</v>
      </c>
      <c r="DC2711" t="s">
        <v>176</v>
      </c>
      <c r="DD2711" t="s">
        <v>177</v>
      </c>
      <c r="DG2711">
        <v>5419250</v>
      </c>
      <c r="DI2711">
        <v>1</v>
      </c>
      <c r="DJ2711">
        <v>0</v>
      </c>
      <c r="DK2711">
        <v>1</v>
      </c>
      <c r="DL2711">
        <v>0</v>
      </c>
      <c r="DM2711">
        <v>0</v>
      </c>
      <c r="DN2711">
        <v>1</v>
      </c>
      <c r="DO2711">
        <v>0</v>
      </c>
      <c r="DP2711">
        <v>0</v>
      </c>
      <c r="DQ2711">
        <v>0</v>
      </c>
      <c r="DR2711">
        <v>0</v>
      </c>
      <c r="DS2711">
        <v>0</v>
      </c>
    </row>
    <row r="2712" spans="1:123" x14ac:dyDescent="0.3">
      <c r="A2712" t="str">
        <f>"10/04/2022 19:32:47.557"</f>
        <v>10/04/2022 19:32:47.557</v>
      </c>
      <c r="C2712" t="str">
        <f t="shared" si="968"/>
        <v>FFDDD3C0</v>
      </c>
      <c r="D2712" t="s">
        <v>143</v>
      </c>
      <c r="E2712">
        <v>20</v>
      </c>
      <c r="F2712">
        <v>1020</v>
      </c>
      <c r="G2712" t="s">
        <v>144</v>
      </c>
      <c r="J2712" t="s">
        <v>145</v>
      </c>
      <c r="K2712">
        <v>0</v>
      </c>
      <c r="L2712">
        <v>3</v>
      </c>
      <c r="M2712">
        <v>0</v>
      </c>
      <c r="N2712">
        <v>2</v>
      </c>
      <c r="O2712">
        <v>0</v>
      </c>
      <c r="P2712">
        <v>1</v>
      </c>
      <c r="Q2712">
        <v>0</v>
      </c>
      <c r="S2712" t="str">
        <f t="shared" si="985"/>
        <v>19:32:47.000</v>
      </c>
      <c r="T2712" t="str">
        <f t="shared" si="985"/>
        <v>19:32:47.000</v>
      </c>
      <c r="U2712" t="str">
        <f t="shared" si="978"/>
        <v>AC3944</v>
      </c>
      <c r="V2712">
        <v>0</v>
      </c>
      <c r="W2712">
        <v>0</v>
      </c>
      <c r="X2712">
        <v>2</v>
      </c>
      <c r="Y2712">
        <v>0</v>
      </c>
      <c r="AA2712">
        <v>1</v>
      </c>
      <c r="AB2712">
        <v>8</v>
      </c>
      <c r="AC2712">
        <v>3</v>
      </c>
      <c r="AD2712">
        <v>0</v>
      </c>
      <c r="AE2712">
        <v>9</v>
      </c>
      <c r="AF2712" t="s">
        <v>138</v>
      </c>
      <c r="AG2712">
        <v>0</v>
      </c>
      <c r="AH2712">
        <v>3</v>
      </c>
      <c r="AI2712">
        <v>1</v>
      </c>
      <c r="AJ2712">
        <v>0</v>
      </c>
      <c r="AK2712" t="s">
        <v>920</v>
      </c>
      <c r="AL2712">
        <v>32.741919000000003</v>
      </c>
      <c r="AM2712" t="s">
        <v>921</v>
      </c>
      <c r="AN2712">
        <v>-116.76527</v>
      </c>
      <c r="AO2712">
        <v>25</v>
      </c>
      <c r="AP2712">
        <v>3500</v>
      </c>
      <c r="AQ2712" t="s">
        <v>129</v>
      </c>
      <c r="AR2712">
        <v>89</v>
      </c>
      <c r="AS2712">
        <v>-93</v>
      </c>
      <c r="AT2712">
        <v>576</v>
      </c>
      <c r="BB2712">
        <v>1200</v>
      </c>
      <c r="BC2712">
        <v>1</v>
      </c>
      <c r="BD2712" t="str">
        <f t="shared" si="979"/>
        <v xml:space="preserve">N887QR  </v>
      </c>
      <c r="BE2712">
        <v>1</v>
      </c>
      <c r="BJ2712">
        <v>3250</v>
      </c>
      <c r="BK2712">
        <v>-250</v>
      </c>
      <c r="BL2712" t="s">
        <v>163</v>
      </c>
      <c r="BM2712">
        <v>1</v>
      </c>
      <c r="BN2712">
        <v>1</v>
      </c>
      <c r="BO2712">
        <v>1</v>
      </c>
      <c r="BP2712">
        <v>0</v>
      </c>
      <c r="BS2712">
        <v>0</v>
      </c>
      <c r="BT2712">
        <v>0</v>
      </c>
      <c r="BU2712">
        <v>0</v>
      </c>
      <c r="CE2712" t="str">
        <f t="shared" si="986"/>
        <v>19:32:47.192</v>
      </c>
      <c r="CF2712">
        <v>192111434</v>
      </c>
      <c r="CS2712">
        <v>0</v>
      </c>
      <c r="CT2712">
        <v>2</v>
      </c>
      <c r="CU2712">
        <v>0</v>
      </c>
      <c r="CV2712">
        <v>2</v>
      </c>
      <c r="CW2712">
        <v>0</v>
      </c>
      <c r="CX2712">
        <v>4</v>
      </c>
      <c r="CY2712">
        <v>7</v>
      </c>
      <c r="CZ2712" t="s">
        <v>131</v>
      </c>
      <c r="DA2712">
        <v>300</v>
      </c>
      <c r="DB2712">
        <v>0</v>
      </c>
      <c r="DC2712" t="s">
        <v>176</v>
      </c>
      <c r="DD2712" t="s">
        <v>177</v>
      </c>
      <c r="DG2712">
        <v>5419250</v>
      </c>
      <c r="DI2712">
        <v>1</v>
      </c>
      <c r="DJ2712">
        <v>0</v>
      </c>
      <c r="DK2712">
        <v>0</v>
      </c>
      <c r="DL2712">
        <v>0</v>
      </c>
      <c r="DM2712">
        <v>0</v>
      </c>
      <c r="DN2712">
        <v>1</v>
      </c>
      <c r="DO2712">
        <v>0</v>
      </c>
      <c r="DP2712">
        <v>0</v>
      </c>
      <c r="DQ2712">
        <v>0</v>
      </c>
      <c r="DR2712">
        <v>0</v>
      </c>
      <c r="DS2712">
        <v>0</v>
      </c>
    </row>
    <row r="2713" spans="1:123" x14ac:dyDescent="0.3">
      <c r="A2713" t="str">
        <f>"10/04/2022 19:32:47.557"</f>
        <v>10/04/2022 19:32:47.557</v>
      </c>
      <c r="C2713" t="str">
        <f t="shared" si="968"/>
        <v>FFDDD3C0</v>
      </c>
      <c r="D2713" t="s">
        <v>123</v>
      </c>
      <c r="E2713">
        <v>7</v>
      </c>
      <c r="F2713">
        <v>2007</v>
      </c>
      <c r="G2713" t="s">
        <v>124</v>
      </c>
      <c r="J2713" t="s">
        <v>125</v>
      </c>
      <c r="K2713">
        <v>0</v>
      </c>
      <c r="L2713">
        <v>3</v>
      </c>
      <c r="M2713">
        <v>0</v>
      </c>
      <c r="N2713">
        <v>2</v>
      </c>
      <c r="O2713">
        <v>0</v>
      </c>
      <c r="P2713">
        <v>1</v>
      </c>
      <c r="Q2713">
        <v>0</v>
      </c>
      <c r="S2713" t="str">
        <f t="shared" si="985"/>
        <v>19:32:47.000</v>
      </c>
      <c r="T2713" t="str">
        <f t="shared" si="985"/>
        <v>19:32:47.000</v>
      </c>
      <c r="U2713" t="str">
        <f t="shared" si="978"/>
        <v>AC3944</v>
      </c>
      <c r="V2713">
        <v>0</v>
      </c>
      <c r="W2713">
        <v>0</v>
      </c>
      <c r="X2713">
        <v>2</v>
      </c>
      <c r="Y2713">
        <v>0</v>
      </c>
      <c r="AA2713">
        <v>1</v>
      </c>
      <c r="AB2713">
        <v>8</v>
      </c>
      <c r="AC2713">
        <v>3</v>
      </c>
      <c r="AD2713">
        <v>0</v>
      </c>
      <c r="AE2713">
        <v>9</v>
      </c>
      <c r="AF2713" t="s">
        <v>138</v>
      </c>
      <c r="AG2713">
        <v>0</v>
      </c>
      <c r="AH2713">
        <v>3</v>
      </c>
      <c r="AI2713">
        <v>1</v>
      </c>
      <c r="AJ2713">
        <v>0</v>
      </c>
      <c r="AK2713" t="s">
        <v>920</v>
      </c>
      <c r="AL2713">
        <v>32.741919000000003</v>
      </c>
      <c r="AM2713" t="s">
        <v>921</v>
      </c>
      <c r="AN2713">
        <v>-116.76527</v>
      </c>
      <c r="AO2713">
        <v>25</v>
      </c>
      <c r="AP2713">
        <v>3500</v>
      </c>
      <c r="AQ2713" t="s">
        <v>129</v>
      </c>
      <c r="AR2713">
        <v>89</v>
      </c>
      <c r="AS2713">
        <v>-93</v>
      </c>
      <c r="AT2713">
        <v>576</v>
      </c>
      <c r="BB2713">
        <v>1200</v>
      </c>
      <c r="BC2713">
        <v>1</v>
      </c>
      <c r="BD2713" t="str">
        <f t="shared" si="979"/>
        <v xml:space="preserve">N887QR  </v>
      </c>
      <c r="BE2713">
        <v>1</v>
      </c>
      <c r="BJ2713">
        <v>3250</v>
      </c>
      <c r="BK2713">
        <v>-250</v>
      </c>
      <c r="BL2713" t="s">
        <v>163</v>
      </c>
      <c r="BM2713">
        <v>1</v>
      </c>
      <c r="BN2713">
        <v>1</v>
      </c>
      <c r="BO2713">
        <v>1</v>
      </c>
      <c r="BP2713">
        <v>0</v>
      </c>
      <c r="BS2713">
        <v>0</v>
      </c>
      <c r="BT2713">
        <v>0</v>
      </c>
      <c r="BU2713">
        <v>0</v>
      </c>
      <c r="CE2713" t="str">
        <f t="shared" si="986"/>
        <v>19:32:47.192</v>
      </c>
      <c r="CF2713">
        <v>192111434</v>
      </c>
      <c r="CS2713">
        <v>0</v>
      </c>
      <c r="CT2713">
        <v>2</v>
      </c>
      <c r="CU2713">
        <v>0</v>
      </c>
      <c r="CV2713">
        <v>2</v>
      </c>
      <c r="CW2713">
        <v>0</v>
      </c>
      <c r="CX2713">
        <v>4</v>
      </c>
      <c r="CY2713">
        <v>7</v>
      </c>
      <c r="CZ2713" t="s">
        <v>131</v>
      </c>
      <c r="DA2713">
        <v>300</v>
      </c>
      <c r="DB2713">
        <v>0</v>
      </c>
      <c r="DC2713" t="s">
        <v>176</v>
      </c>
      <c r="DD2713" t="s">
        <v>177</v>
      </c>
      <c r="DG2713">
        <v>5419250</v>
      </c>
      <c r="DI2713">
        <v>1</v>
      </c>
      <c r="DJ2713">
        <v>0</v>
      </c>
      <c r="DK2713">
        <v>1</v>
      </c>
      <c r="DL2713">
        <v>0</v>
      </c>
      <c r="DM2713">
        <v>0</v>
      </c>
      <c r="DN2713">
        <v>1</v>
      </c>
      <c r="DO2713">
        <v>0</v>
      </c>
      <c r="DP2713">
        <v>0</v>
      </c>
      <c r="DQ2713">
        <v>0</v>
      </c>
      <c r="DR2713">
        <v>0</v>
      </c>
      <c r="DS2713">
        <v>0</v>
      </c>
    </row>
    <row r="2714" spans="1:123" x14ac:dyDescent="0.3">
      <c r="A2714" t="str">
        <f>"10/04/2022 19:32:47.573"</f>
        <v>10/04/2022 19:32:47.573</v>
      </c>
      <c r="C2714" t="str">
        <f t="shared" si="968"/>
        <v>FFDDD3C0</v>
      </c>
      <c r="D2714" t="s">
        <v>134</v>
      </c>
      <c r="E2714">
        <v>15</v>
      </c>
      <c r="J2714" t="s">
        <v>135</v>
      </c>
      <c r="K2714">
        <v>0</v>
      </c>
      <c r="L2714">
        <v>3</v>
      </c>
      <c r="M2714">
        <v>0</v>
      </c>
      <c r="N2714">
        <v>2</v>
      </c>
      <c r="O2714">
        <v>0</v>
      </c>
      <c r="P2714">
        <v>1</v>
      </c>
      <c r="Q2714">
        <v>0</v>
      </c>
      <c r="S2714" t="str">
        <f t="shared" si="985"/>
        <v>19:32:47.000</v>
      </c>
      <c r="T2714" t="str">
        <f t="shared" si="985"/>
        <v>19:32:47.000</v>
      </c>
      <c r="U2714" t="str">
        <f t="shared" si="978"/>
        <v>AC3944</v>
      </c>
      <c r="V2714">
        <v>0</v>
      </c>
      <c r="W2714">
        <v>0</v>
      </c>
      <c r="X2714">
        <v>2</v>
      </c>
      <c r="Y2714">
        <v>0</v>
      </c>
      <c r="AA2714">
        <v>1</v>
      </c>
      <c r="AB2714">
        <v>8</v>
      </c>
      <c r="AC2714">
        <v>3</v>
      </c>
      <c r="AD2714">
        <v>0</v>
      </c>
      <c r="AE2714">
        <v>9</v>
      </c>
      <c r="AF2714" t="s">
        <v>138</v>
      </c>
      <c r="AG2714">
        <v>0</v>
      </c>
      <c r="AH2714">
        <v>3</v>
      </c>
      <c r="AI2714">
        <v>1</v>
      </c>
      <c r="AJ2714">
        <v>0</v>
      </c>
      <c r="AK2714" t="s">
        <v>920</v>
      </c>
      <c r="AL2714">
        <v>32.741919000000003</v>
      </c>
      <c r="AM2714" t="s">
        <v>921</v>
      </c>
      <c r="AN2714">
        <v>-116.76527</v>
      </c>
      <c r="AO2714">
        <v>25</v>
      </c>
      <c r="AP2714">
        <v>3500</v>
      </c>
      <c r="AQ2714" t="s">
        <v>129</v>
      </c>
      <c r="AR2714">
        <v>89</v>
      </c>
      <c r="AS2714">
        <v>-93</v>
      </c>
      <c r="AT2714">
        <v>576</v>
      </c>
      <c r="BB2714">
        <v>1200</v>
      </c>
      <c r="BC2714">
        <v>1</v>
      </c>
      <c r="BD2714" t="str">
        <f t="shared" si="979"/>
        <v xml:space="preserve">N887QR  </v>
      </c>
      <c r="BE2714">
        <v>1</v>
      </c>
      <c r="BJ2714">
        <v>3250</v>
      </c>
      <c r="BK2714">
        <v>-250</v>
      </c>
      <c r="BL2714" t="s">
        <v>163</v>
      </c>
      <c r="BM2714">
        <v>1</v>
      </c>
      <c r="BN2714">
        <v>1</v>
      </c>
      <c r="BO2714">
        <v>1</v>
      </c>
      <c r="BP2714">
        <v>0</v>
      </c>
      <c r="BS2714">
        <v>0</v>
      </c>
      <c r="BT2714">
        <v>0</v>
      </c>
      <c r="BU2714">
        <v>0</v>
      </c>
      <c r="CE2714" t="str">
        <f t="shared" si="986"/>
        <v>19:32:47.192</v>
      </c>
      <c r="CF2714">
        <v>192111434</v>
      </c>
      <c r="CS2714">
        <v>0</v>
      </c>
      <c r="CT2714">
        <v>2</v>
      </c>
      <c r="CU2714">
        <v>0</v>
      </c>
      <c r="CV2714">
        <v>2</v>
      </c>
      <c r="CW2714">
        <v>0</v>
      </c>
      <c r="CX2714">
        <v>4</v>
      </c>
      <c r="CY2714">
        <v>7</v>
      </c>
      <c r="CZ2714" t="s">
        <v>131</v>
      </c>
      <c r="DA2714">
        <v>300</v>
      </c>
      <c r="DB2714">
        <v>0</v>
      </c>
      <c r="DC2714" t="s">
        <v>176</v>
      </c>
      <c r="DD2714" t="s">
        <v>177</v>
      </c>
      <c r="DG2714">
        <v>5419250</v>
      </c>
      <c r="DI2714">
        <v>1</v>
      </c>
      <c r="DJ2714">
        <v>0</v>
      </c>
      <c r="DK2714">
        <v>1</v>
      </c>
      <c r="DL2714">
        <v>0</v>
      </c>
      <c r="DM2714">
        <v>0</v>
      </c>
      <c r="DN2714">
        <v>1</v>
      </c>
      <c r="DO2714">
        <v>0</v>
      </c>
      <c r="DP2714">
        <v>0</v>
      </c>
      <c r="DQ2714">
        <v>0</v>
      </c>
      <c r="DR2714">
        <v>0</v>
      </c>
      <c r="DS2714">
        <v>0</v>
      </c>
    </row>
    <row r="2715" spans="1:123" x14ac:dyDescent="0.3">
      <c r="A2715" t="str">
        <f>"10/04/2022 19:32:47.573"</f>
        <v>10/04/2022 19:32:47.573</v>
      </c>
      <c r="C2715" t="str">
        <f t="shared" si="968"/>
        <v>FFDDD3C0</v>
      </c>
      <c r="D2715" t="s">
        <v>147</v>
      </c>
      <c r="E2715">
        <v>3</v>
      </c>
      <c r="H2715">
        <v>166</v>
      </c>
      <c r="I2715" t="s">
        <v>144</v>
      </c>
      <c r="J2715" t="s">
        <v>148</v>
      </c>
      <c r="K2715">
        <v>0</v>
      </c>
      <c r="L2715">
        <v>3</v>
      </c>
      <c r="M2715">
        <v>0</v>
      </c>
      <c r="N2715">
        <v>2</v>
      </c>
      <c r="O2715">
        <v>0</v>
      </c>
      <c r="P2715">
        <v>1</v>
      </c>
      <c r="Q2715">
        <v>0</v>
      </c>
      <c r="S2715" t="str">
        <f t="shared" si="985"/>
        <v>19:32:47.000</v>
      </c>
      <c r="T2715" t="str">
        <f t="shared" si="985"/>
        <v>19:32:47.000</v>
      </c>
      <c r="U2715" t="str">
        <f t="shared" si="978"/>
        <v>AC3944</v>
      </c>
      <c r="V2715">
        <v>0</v>
      </c>
      <c r="W2715">
        <v>0</v>
      </c>
      <c r="X2715">
        <v>2</v>
      </c>
      <c r="Y2715">
        <v>0</v>
      </c>
      <c r="AA2715">
        <v>1</v>
      </c>
      <c r="AB2715">
        <v>8</v>
      </c>
      <c r="AC2715">
        <v>3</v>
      </c>
      <c r="AD2715">
        <v>0</v>
      </c>
      <c r="AE2715">
        <v>9</v>
      </c>
      <c r="AF2715" t="s">
        <v>138</v>
      </c>
      <c r="AG2715">
        <v>0</v>
      </c>
      <c r="AH2715">
        <v>3</v>
      </c>
      <c r="AI2715">
        <v>1</v>
      </c>
      <c r="AJ2715">
        <v>0</v>
      </c>
      <c r="AK2715" t="s">
        <v>920</v>
      </c>
      <c r="AL2715">
        <v>32.741919000000003</v>
      </c>
      <c r="AM2715" t="s">
        <v>921</v>
      </c>
      <c r="AN2715">
        <v>-116.76527</v>
      </c>
      <c r="AO2715">
        <v>25</v>
      </c>
      <c r="AP2715">
        <v>3500</v>
      </c>
      <c r="AQ2715" t="s">
        <v>129</v>
      </c>
      <c r="AR2715">
        <v>89</v>
      </c>
      <c r="AS2715">
        <v>-93</v>
      </c>
      <c r="AT2715">
        <v>576</v>
      </c>
      <c r="BB2715">
        <v>1200</v>
      </c>
      <c r="BC2715">
        <v>1</v>
      </c>
      <c r="BD2715" t="str">
        <f t="shared" si="979"/>
        <v xml:space="preserve">N887QR  </v>
      </c>
      <c r="BE2715">
        <v>1</v>
      </c>
      <c r="BJ2715">
        <v>3250</v>
      </c>
      <c r="BK2715">
        <v>-250</v>
      </c>
      <c r="BL2715" t="s">
        <v>163</v>
      </c>
      <c r="BM2715">
        <v>1</v>
      </c>
      <c r="BN2715">
        <v>1</v>
      </c>
      <c r="BO2715">
        <v>1</v>
      </c>
      <c r="BP2715">
        <v>0</v>
      </c>
      <c r="BS2715">
        <v>0</v>
      </c>
      <c r="BT2715">
        <v>0</v>
      </c>
      <c r="BU2715">
        <v>0</v>
      </c>
      <c r="CE2715" t="str">
        <f t="shared" si="986"/>
        <v>19:32:47.192</v>
      </c>
      <c r="CF2715">
        <v>192111434</v>
      </c>
      <c r="CS2715">
        <v>0</v>
      </c>
      <c r="CT2715">
        <v>2</v>
      </c>
      <c r="CU2715">
        <v>0</v>
      </c>
      <c r="CV2715">
        <v>2</v>
      </c>
      <c r="CW2715">
        <v>0</v>
      </c>
      <c r="CX2715">
        <v>4</v>
      </c>
      <c r="CY2715">
        <v>7</v>
      </c>
      <c r="CZ2715" t="s">
        <v>131</v>
      </c>
      <c r="DA2715">
        <v>300</v>
      </c>
      <c r="DB2715">
        <v>0</v>
      </c>
      <c r="DC2715" t="s">
        <v>176</v>
      </c>
      <c r="DD2715" t="s">
        <v>177</v>
      </c>
      <c r="DG2715">
        <v>5419250</v>
      </c>
      <c r="DI2715">
        <v>1</v>
      </c>
      <c r="DJ2715">
        <v>0</v>
      </c>
      <c r="DK2715">
        <v>1</v>
      </c>
      <c r="DL2715">
        <v>0</v>
      </c>
      <c r="DM2715">
        <v>0</v>
      </c>
      <c r="DN2715">
        <v>1</v>
      </c>
      <c r="DO2715">
        <v>0</v>
      </c>
      <c r="DP2715">
        <v>0</v>
      </c>
      <c r="DQ2715">
        <v>0</v>
      </c>
      <c r="DR2715">
        <v>0</v>
      </c>
      <c r="DS2715">
        <v>0</v>
      </c>
    </row>
    <row r="2716" spans="1:123" x14ac:dyDescent="0.3">
      <c r="A2716" t="str">
        <f>"10/04/2022 19:32:47.573"</f>
        <v>10/04/2022 19:32:47.573</v>
      </c>
      <c r="C2716" t="str">
        <f t="shared" si="968"/>
        <v>FFDDD3C0</v>
      </c>
      <c r="D2716" t="s">
        <v>141</v>
      </c>
      <c r="E2716">
        <v>4</v>
      </c>
      <c r="H2716">
        <v>4</v>
      </c>
      <c r="I2716" t="s">
        <v>142</v>
      </c>
      <c r="J2716" t="s">
        <v>138</v>
      </c>
      <c r="K2716">
        <v>0</v>
      </c>
      <c r="L2716">
        <v>3</v>
      </c>
      <c r="M2716">
        <v>0</v>
      </c>
      <c r="N2716">
        <v>2</v>
      </c>
      <c r="O2716">
        <v>0</v>
      </c>
      <c r="P2716">
        <v>1</v>
      </c>
      <c r="Q2716">
        <v>0</v>
      </c>
      <c r="S2716" t="str">
        <f t="shared" si="985"/>
        <v>19:32:47.000</v>
      </c>
      <c r="T2716" t="str">
        <f t="shared" si="985"/>
        <v>19:32:47.000</v>
      </c>
      <c r="U2716" t="str">
        <f t="shared" si="978"/>
        <v>AC3944</v>
      </c>
      <c r="V2716">
        <v>0</v>
      </c>
      <c r="W2716">
        <v>0</v>
      </c>
      <c r="X2716">
        <v>2</v>
      </c>
      <c r="Y2716">
        <v>0</v>
      </c>
      <c r="AA2716">
        <v>1</v>
      </c>
      <c r="AB2716">
        <v>8</v>
      </c>
      <c r="AC2716">
        <v>3</v>
      </c>
      <c r="AD2716">
        <v>0</v>
      </c>
      <c r="AE2716">
        <v>9</v>
      </c>
      <c r="AF2716" t="s">
        <v>138</v>
      </c>
      <c r="AG2716">
        <v>0</v>
      </c>
      <c r="AH2716">
        <v>3</v>
      </c>
      <c r="AI2716">
        <v>1</v>
      </c>
      <c r="AJ2716">
        <v>0</v>
      </c>
      <c r="AK2716" t="s">
        <v>920</v>
      </c>
      <c r="AL2716">
        <v>32.741919000000003</v>
      </c>
      <c r="AM2716" t="s">
        <v>921</v>
      </c>
      <c r="AN2716">
        <v>-116.76527</v>
      </c>
      <c r="AO2716">
        <v>25</v>
      </c>
      <c r="AP2716">
        <v>3500</v>
      </c>
      <c r="AQ2716" t="s">
        <v>129</v>
      </c>
      <c r="AR2716">
        <v>89</v>
      </c>
      <c r="AS2716">
        <v>-93</v>
      </c>
      <c r="AT2716">
        <v>576</v>
      </c>
      <c r="BB2716">
        <v>1200</v>
      </c>
      <c r="BC2716">
        <v>1</v>
      </c>
      <c r="BD2716" t="str">
        <f t="shared" si="979"/>
        <v xml:space="preserve">N887QR  </v>
      </c>
      <c r="BE2716">
        <v>1</v>
      </c>
      <c r="BJ2716">
        <v>3250</v>
      </c>
      <c r="BK2716">
        <v>-250</v>
      </c>
      <c r="BL2716" t="s">
        <v>163</v>
      </c>
      <c r="BM2716">
        <v>1</v>
      </c>
      <c r="BN2716">
        <v>1</v>
      </c>
      <c r="BO2716">
        <v>1</v>
      </c>
      <c r="BP2716">
        <v>0</v>
      </c>
      <c r="BS2716">
        <v>0</v>
      </c>
      <c r="BT2716">
        <v>0</v>
      </c>
      <c r="BU2716">
        <v>0</v>
      </c>
      <c r="CE2716" t="str">
        <f t="shared" si="986"/>
        <v>19:32:47.192</v>
      </c>
      <c r="CF2716">
        <v>192111434</v>
      </c>
      <c r="CS2716">
        <v>0</v>
      </c>
      <c r="CT2716">
        <v>2</v>
      </c>
      <c r="CU2716">
        <v>0</v>
      </c>
      <c r="CV2716">
        <v>2</v>
      </c>
      <c r="CW2716">
        <v>0</v>
      </c>
      <c r="CX2716">
        <v>4</v>
      </c>
      <c r="CY2716">
        <v>7</v>
      </c>
      <c r="CZ2716" t="s">
        <v>131</v>
      </c>
      <c r="DA2716">
        <v>300</v>
      </c>
      <c r="DB2716">
        <v>0</v>
      </c>
      <c r="DC2716" t="s">
        <v>176</v>
      </c>
      <c r="DD2716" t="s">
        <v>177</v>
      </c>
      <c r="DG2716">
        <v>5419250</v>
      </c>
      <c r="DI2716">
        <v>1</v>
      </c>
      <c r="DJ2716">
        <v>0</v>
      </c>
      <c r="DK2716">
        <v>1</v>
      </c>
      <c r="DL2716">
        <v>0</v>
      </c>
      <c r="DM2716">
        <v>0</v>
      </c>
      <c r="DN2716">
        <v>1</v>
      </c>
      <c r="DO2716">
        <v>0</v>
      </c>
      <c r="DP2716">
        <v>0</v>
      </c>
      <c r="DQ2716">
        <v>0</v>
      </c>
      <c r="DR2716">
        <v>0</v>
      </c>
      <c r="DS2716">
        <v>0</v>
      </c>
    </row>
    <row r="2717" spans="1:123" x14ac:dyDescent="0.3">
      <c r="A2717" t="str">
        <f t="shared" ref="A2717:A2723" si="987">"10/04/2022 19:32:48.167"</f>
        <v>10/04/2022 19:32:48.167</v>
      </c>
      <c r="C2717" t="str">
        <f t="shared" si="968"/>
        <v>FFDDD3C0</v>
      </c>
      <c r="D2717" t="s">
        <v>141</v>
      </c>
      <c r="E2717">
        <v>4</v>
      </c>
      <c r="H2717">
        <v>4</v>
      </c>
      <c r="I2717" t="s">
        <v>142</v>
      </c>
      <c r="J2717" t="s">
        <v>138</v>
      </c>
      <c r="K2717">
        <v>0</v>
      </c>
      <c r="L2717">
        <v>3</v>
      </c>
      <c r="M2717">
        <v>0</v>
      </c>
      <c r="N2717">
        <v>2</v>
      </c>
      <c r="O2717">
        <v>0</v>
      </c>
      <c r="P2717">
        <v>1</v>
      </c>
      <c r="Q2717">
        <v>0</v>
      </c>
      <c r="S2717" t="str">
        <f t="shared" si="985"/>
        <v>19:32:47.000</v>
      </c>
      <c r="T2717" t="str">
        <f t="shared" si="985"/>
        <v>19:32:47.000</v>
      </c>
      <c r="U2717" t="str">
        <f t="shared" si="978"/>
        <v>AC3944</v>
      </c>
      <c r="V2717">
        <v>0</v>
      </c>
      <c r="W2717">
        <v>0</v>
      </c>
      <c r="X2717">
        <v>2</v>
      </c>
      <c r="Y2717">
        <v>0</v>
      </c>
      <c r="AA2717">
        <v>1</v>
      </c>
      <c r="AB2717">
        <v>8</v>
      </c>
      <c r="AC2717">
        <v>3</v>
      </c>
      <c r="AD2717">
        <v>0</v>
      </c>
      <c r="AE2717">
        <v>9</v>
      </c>
      <c r="AF2717" t="s">
        <v>138</v>
      </c>
      <c r="AG2717">
        <v>0</v>
      </c>
      <c r="AH2717">
        <v>3</v>
      </c>
      <c r="AI2717">
        <v>1</v>
      </c>
      <c r="AJ2717">
        <v>0</v>
      </c>
      <c r="AK2717" t="s">
        <v>922</v>
      </c>
      <c r="AL2717">
        <v>32.741554000000001</v>
      </c>
      <c r="AM2717" t="s">
        <v>923</v>
      </c>
      <c r="AN2717">
        <v>-116.764884</v>
      </c>
      <c r="AO2717">
        <v>25</v>
      </c>
      <c r="AP2717">
        <v>3500</v>
      </c>
      <c r="AQ2717" t="s">
        <v>129</v>
      </c>
      <c r="AR2717">
        <v>90</v>
      </c>
      <c r="AS2717">
        <v>-93</v>
      </c>
      <c r="AT2717">
        <v>576</v>
      </c>
      <c r="BB2717">
        <v>1200</v>
      </c>
      <c r="BC2717">
        <v>1</v>
      </c>
      <c r="BD2717" t="str">
        <f t="shared" si="979"/>
        <v xml:space="preserve">N887QR  </v>
      </c>
      <c r="BE2717">
        <v>1</v>
      </c>
      <c r="BJ2717">
        <v>3250</v>
      </c>
      <c r="BK2717">
        <v>-250</v>
      </c>
      <c r="BL2717" t="s">
        <v>163</v>
      </c>
      <c r="BM2717">
        <v>1</v>
      </c>
      <c r="BN2717">
        <v>1</v>
      </c>
      <c r="BO2717">
        <v>1</v>
      </c>
      <c r="BP2717">
        <v>0</v>
      </c>
      <c r="BS2717">
        <v>0</v>
      </c>
      <c r="BT2717">
        <v>0</v>
      </c>
      <c r="BU2717">
        <v>0</v>
      </c>
      <c r="CE2717" t="str">
        <f t="shared" ref="CE2717:CE2723" si="988">"19:32:47.879"</f>
        <v>19:32:47.879</v>
      </c>
      <c r="CF2717">
        <v>878613806</v>
      </c>
      <c r="CS2717">
        <v>0</v>
      </c>
      <c r="CT2717">
        <v>2</v>
      </c>
      <c r="CU2717">
        <v>0</v>
      </c>
      <c r="CV2717">
        <v>2</v>
      </c>
      <c r="CW2717">
        <v>0</v>
      </c>
      <c r="CX2717">
        <v>4</v>
      </c>
      <c r="CY2717">
        <v>7</v>
      </c>
      <c r="CZ2717" t="s">
        <v>131</v>
      </c>
      <c r="DA2717">
        <v>300</v>
      </c>
      <c r="DB2717">
        <v>0</v>
      </c>
      <c r="DC2717" t="s">
        <v>176</v>
      </c>
      <c r="DD2717" t="s">
        <v>177</v>
      </c>
      <c r="DG2717">
        <v>5419370</v>
      </c>
      <c r="DI2717">
        <v>1</v>
      </c>
      <c r="DJ2717">
        <v>0</v>
      </c>
      <c r="DK2717">
        <v>0</v>
      </c>
      <c r="DL2717">
        <v>0</v>
      </c>
      <c r="DM2717">
        <v>0</v>
      </c>
      <c r="DN2717">
        <v>1</v>
      </c>
      <c r="DO2717">
        <v>0</v>
      </c>
      <c r="DP2717">
        <v>0</v>
      </c>
      <c r="DQ2717">
        <v>0</v>
      </c>
      <c r="DR2717">
        <v>0</v>
      </c>
      <c r="DS2717">
        <v>0</v>
      </c>
    </row>
    <row r="2718" spans="1:123" x14ac:dyDescent="0.3">
      <c r="A2718" t="str">
        <f t="shared" si="987"/>
        <v>10/04/2022 19:32:48.167</v>
      </c>
      <c r="C2718" t="str">
        <f t="shared" si="968"/>
        <v>FFDDD3C0</v>
      </c>
      <c r="D2718" t="s">
        <v>134</v>
      </c>
      <c r="E2718">
        <v>15</v>
      </c>
      <c r="J2718" t="s">
        <v>135</v>
      </c>
      <c r="K2718">
        <v>0</v>
      </c>
      <c r="L2718">
        <v>3</v>
      </c>
      <c r="M2718">
        <v>0</v>
      </c>
      <c r="N2718">
        <v>2</v>
      </c>
      <c r="O2718">
        <v>0</v>
      </c>
      <c r="P2718">
        <v>1</v>
      </c>
      <c r="Q2718">
        <v>0</v>
      </c>
      <c r="S2718" t="str">
        <f t="shared" si="985"/>
        <v>19:32:47.000</v>
      </c>
      <c r="T2718" t="str">
        <f t="shared" si="985"/>
        <v>19:32:47.000</v>
      </c>
      <c r="U2718" t="str">
        <f t="shared" si="978"/>
        <v>AC3944</v>
      </c>
      <c r="V2718">
        <v>0</v>
      </c>
      <c r="W2718">
        <v>0</v>
      </c>
      <c r="X2718">
        <v>2</v>
      </c>
      <c r="Y2718">
        <v>0</v>
      </c>
      <c r="AA2718">
        <v>1</v>
      </c>
      <c r="AB2718">
        <v>8</v>
      </c>
      <c r="AC2718">
        <v>3</v>
      </c>
      <c r="AD2718">
        <v>0</v>
      </c>
      <c r="AE2718">
        <v>9</v>
      </c>
      <c r="AF2718" t="s">
        <v>138</v>
      </c>
      <c r="AG2718">
        <v>0</v>
      </c>
      <c r="AH2718">
        <v>3</v>
      </c>
      <c r="AI2718">
        <v>1</v>
      </c>
      <c r="AJ2718">
        <v>0</v>
      </c>
      <c r="AK2718" t="s">
        <v>922</v>
      </c>
      <c r="AL2718">
        <v>32.741554000000001</v>
      </c>
      <c r="AM2718" t="s">
        <v>923</v>
      </c>
      <c r="AN2718">
        <v>-116.764884</v>
      </c>
      <c r="AO2718">
        <v>25</v>
      </c>
      <c r="AP2718">
        <v>3500</v>
      </c>
      <c r="AQ2718" t="s">
        <v>129</v>
      </c>
      <c r="AR2718">
        <v>90</v>
      </c>
      <c r="AS2718">
        <v>-93</v>
      </c>
      <c r="AT2718">
        <v>576</v>
      </c>
      <c r="BB2718">
        <v>1200</v>
      </c>
      <c r="BC2718">
        <v>1</v>
      </c>
      <c r="BD2718" t="str">
        <f t="shared" si="979"/>
        <v xml:space="preserve">N887QR  </v>
      </c>
      <c r="BE2718">
        <v>1</v>
      </c>
      <c r="BJ2718">
        <v>3250</v>
      </c>
      <c r="BK2718">
        <v>-250</v>
      </c>
      <c r="BL2718" t="s">
        <v>163</v>
      </c>
      <c r="BM2718">
        <v>1</v>
      </c>
      <c r="BN2718">
        <v>1</v>
      </c>
      <c r="BO2718">
        <v>1</v>
      </c>
      <c r="BP2718">
        <v>0</v>
      </c>
      <c r="BS2718">
        <v>0</v>
      </c>
      <c r="BT2718">
        <v>0</v>
      </c>
      <c r="BU2718">
        <v>0</v>
      </c>
      <c r="CE2718" t="str">
        <f t="shared" si="988"/>
        <v>19:32:47.879</v>
      </c>
      <c r="CF2718">
        <v>878613806</v>
      </c>
      <c r="CS2718">
        <v>0</v>
      </c>
      <c r="CT2718">
        <v>2</v>
      </c>
      <c r="CU2718">
        <v>0</v>
      </c>
      <c r="CV2718">
        <v>2</v>
      </c>
      <c r="CW2718">
        <v>0</v>
      </c>
      <c r="CX2718">
        <v>4</v>
      </c>
      <c r="CY2718">
        <v>7</v>
      </c>
      <c r="CZ2718" t="s">
        <v>131</v>
      </c>
      <c r="DA2718">
        <v>300</v>
      </c>
      <c r="DB2718">
        <v>0</v>
      </c>
      <c r="DC2718" t="s">
        <v>176</v>
      </c>
      <c r="DD2718" t="s">
        <v>177</v>
      </c>
      <c r="DG2718">
        <v>5419370</v>
      </c>
      <c r="DI2718">
        <v>1</v>
      </c>
      <c r="DJ2718">
        <v>0</v>
      </c>
      <c r="DK2718">
        <v>1</v>
      </c>
      <c r="DL2718">
        <v>0</v>
      </c>
      <c r="DM2718">
        <v>0</v>
      </c>
      <c r="DN2718">
        <v>1</v>
      </c>
      <c r="DO2718">
        <v>0</v>
      </c>
      <c r="DP2718">
        <v>0</v>
      </c>
      <c r="DQ2718">
        <v>0</v>
      </c>
      <c r="DR2718">
        <v>0</v>
      </c>
      <c r="DS2718">
        <v>0</v>
      </c>
    </row>
    <row r="2719" spans="1:123" x14ac:dyDescent="0.3">
      <c r="A2719" t="str">
        <f t="shared" si="987"/>
        <v>10/04/2022 19:32:48.167</v>
      </c>
      <c r="C2719" t="str">
        <f t="shared" si="968"/>
        <v>FFDDD3C0</v>
      </c>
      <c r="D2719" t="s">
        <v>136</v>
      </c>
      <c r="E2719">
        <v>8</v>
      </c>
      <c r="H2719">
        <v>225</v>
      </c>
      <c r="I2719" t="s">
        <v>137</v>
      </c>
      <c r="J2719" t="s">
        <v>138</v>
      </c>
      <c r="K2719">
        <v>0</v>
      </c>
      <c r="L2719">
        <v>3</v>
      </c>
      <c r="M2719">
        <v>0</v>
      </c>
      <c r="N2719">
        <v>2</v>
      </c>
      <c r="O2719">
        <v>0</v>
      </c>
      <c r="P2719">
        <v>1</v>
      </c>
      <c r="Q2719">
        <v>0</v>
      </c>
      <c r="S2719" t="str">
        <f t="shared" si="985"/>
        <v>19:32:47.000</v>
      </c>
      <c r="T2719" t="str">
        <f t="shared" si="985"/>
        <v>19:32:47.000</v>
      </c>
      <c r="U2719" t="str">
        <f t="shared" si="978"/>
        <v>AC3944</v>
      </c>
      <c r="V2719">
        <v>0</v>
      </c>
      <c r="W2719">
        <v>0</v>
      </c>
      <c r="X2719">
        <v>2</v>
      </c>
      <c r="Y2719">
        <v>0</v>
      </c>
      <c r="AA2719">
        <v>1</v>
      </c>
      <c r="AB2719">
        <v>8</v>
      </c>
      <c r="AC2719">
        <v>3</v>
      </c>
      <c r="AD2719">
        <v>0</v>
      </c>
      <c r="AE2719">
        <v>9</v>
      </c>
      <c r="AF2719" t="s">
        <v>138</v>
      </c>
      <c r="AG2719">
        <v>0</v>
      </c>
      <c r="AH2719">
        <v>3</v>
      </c>
      <c r="AI2719">
        <v>1</v>
      </c>
      <c r="AJ2719">
        <v>0</v>
      </c>
      <c r="AK2719" t="s">
        <v>922</v>
      </c>
      <c r="AL2719">
        <v>32.741554000000001</v>
      </c>
      <c r="AM2719" t="s">
        <v>923</v>
      </c>
      <c r="AN2719">
        <v>-116.764884</v>
      </c>
      <c r="AO2719">
        <v>25</v>
      </c>
      <c r="AP2719">
        <v>3500</v>
      </c>
      <c r="AQ2719" t="s">
        <v>129</v>
      </c>
      <c r="AR2719">
        <v>90</v>
      </c>
      <c r="AS2719">
        <v>-93</v>
      </c>
      <c r="AT2719">
        <v>576</v>
      </c>
      <c r="BB2719">
        <v>1200</v>
      </c>
      <c r="BC2719">
        <v>1</v>
      </c>
      <c r="BD2719" t="str">
        <f t="shared" si="979"/>
        <v xml:space="preserve">N887QR  </v>
      </c>
      <c r="BE2719">
        <v>1</v>
      </c>
      <c r="BJ2719">
        <v>3250</v>
      </c>
      <c r="BK2719">
        <v>-250</v>
      </c>
      <c r="BL2719" t="s">
        <v>163</v>
      </c>
      <c r="BM2719">
        <v>1</v>
      </c>
      <c r="BN2719">
        <v>1</v>
      </c>
      <c r="BO2719">
        <v>1</v>
      </c>
      <c r="BP2719">
        <v>0</v>
      </c>
      <c r="BS2719">
        <v>0</v>
      </c>
      <c r="BT2719">
        <v>0</v>
      </c>
      <c r="BU2719">
        <v>0</v>
      </c>
      <c r="CE2719" t="str">
        <f t="shared" si="988"/>
        <v>19:32:47.879</v>
      </c>
      <c r="CF2719">
        <v>878613806</v>
      </c>
      <c r="CS2719">
        <v>0</v>
      </c>
      <c r="CT2719">
        <v>2</v>
      </c>
      <c r="CU2719">
        <v>0</v>
      </c>
      <c r="CV2719">
        <v>2</v>
      </c>
      <c r="CW2719">
        <v>0</v>
      </c>
      <c r="CX2719">
        <v>4</v>
      </c>
      <c r="CY2719">
        <v>7</v>
      </c>
      <c r="CZ2719" t="s">
        <v>131</v>
      </c>
      <c r="DA2719">
        <v>300</v>
      </c>
      <c r="DB2719">
        <v>0</v>
      </c>
      <c r="DC2719" t="s">
        <v>176</v>
      </c>
      <c r="DD2719" t="s">
        <v>177</v>
      </c>
      <c r="DG2719">
        <v>5419370</v>
      </c>
      <c r="DI2719">
        <v>1</v>
      </c>
      <c r="DJ2719">
        <v>0</v>
      </c>
      <c r="DK2719">
        <v>1</v>
      </c>
      <c r="DL2719">
        <v>0</v>
      </c>
      <c r="DM2719">
        <v>0</v>
      </c>
      <c r="DN2719">
        <v>1</v>
      </c>
      <c r="DO2719">
        <v>0</v>
      </c>
      <c r="DP2719">
        <v>0</v>
      </c>
      <c r="DQ2719">
        <v>0</v>
      </c>
      <c r="DR2719">
        <v>0</v>
      </c>
      <c r="DS2719">
        <v>0</v>
      </c>
    </row>
    <row r="2720" spans="1:123" x14ac:dyDescent="0.3">
      <c r="A2720" t="str">
        <f t="shared" si="987"/>
        <v>10/04/2022 19:32:48.167</v>
      </c>
      <c r="C2720" t="str">
        <f t="shared" si="968"/>
        <v>FFDDD3C0</v>
      </c>
      <c r="D2720" t="s">
        <v>147</v>
      </c>
      <c r="E2720">
        <v>3</v>
      </c>
      <c r="H2720">
        <v>166</v>
      </c>
      <c r="I2720" t="s">
        <v>144</v>
      </c>
      <c r="J2720" t="s">
        <v>148</v>
      </c>
      <c r="K2720">
        <v>0</v>
      </c>
      <c r="L2720">
        <v>3</v>
      </c>
      <c r="M2720">
        <v>0</v>
      </c>
      <c r="N2720">
        <v>2</v>
      </c>
      <c r="O2720">
        <v>0</v>
      </c>
      <c r="P2720">
        <v>1</v>
      </c>
      <c r="Q2720">
        <v>0</v>
      </c>
      <c r="S2720" t="str">
        <f t="shared" si="985"/>
        <v>19:32:47.000</v>
      </c>
      <c r="T2720" t="str">
        <f t="shared" si="985"/>
        <v>19:32:47.000</v>
      </c>
      <c r="U2720" t="str">
        <f t="shared" si="978"/>
        <v>AC3944</v>
      </c>
      <c r="V2720">
        <v>0</v>
      </c>
      <c r="W2720">
        <v>0</v>
      </c>
      <c r="X2720">
        <v>2</v>
      </c>
      <c r="Y2720">
        <v>0</v>
      </c>
      <c r="AA2720">
        <v>1</v>
      </c>
      <c r="AB2720">
        <v>8</v>
      </c>
      <c r="AC2720">
        <v>3</v>
      </c>
      <c r="AD2720">
        <v>0</v>
      </c>
      <c r="AE2720">
        <v>9</v>
      </c>
      <c r="AF2720" t="s">
        <v>138</v>
      </c>
      <c r="AG2720">
        <v>0</v>
      </c>
      <c r="AH2720">
        <v>3</v>
      </c>
      <c r="AI2720">
        <v>1</v>
      </c>
      <c r="AJ2720">
        <v>0</v>
      </c>
      <c r="AK2720" t="s">
        <v>922</v>
      </c>
      <c r="AL2720">
        <v>32.741554000000001</v>
      </c>
      <c r="AM2720" t="s">
        <v>923</v>
      </c>
      <c r="AN2720">
        <v>-116.764884</v>
      </c>
      <c r="AO2720">
        <v>25</v>
      </c>
      <c r="AP2720">
        <v>3500</v>
      </c>
      <c r="AQ2720" t="s">
        <v>129</v>
      </c>
      <c r="AR2720">
        <v>90</v>
      </c>
      <c r="AS2720">
        <v>-93</v>
      </c>
      <c r="AT2720">
        <v>576</v>
      </c>
      <c r="BB2720">
        <v>1200</v>
      </c>
      <c r="BC2720">
        <v>1</v>
      </c>
      <c r="BD2720" t="str">
        <f t="shared" si="979"/>
        <v xml:space="preserve">N887QR  </v>
      </c>
      <c r="BE2720">
        <v>1</v>
      </c>
      <c r="BJ2720">
        <v>3250</v>
      </c>
      <c r="BK2720">
        <v>-250</v>
      </c>
      <c r="BL2720" t="s">
        <v>163</v>
      </c>
      <c r="BM2720">
        <v>1</v>
      </c>
      <c r="BN2720">
        <v>1</v>
      </c>
      <c r="BO2720">
        <v>1</v>
      </c>
      <c r="BP2720">
        <v>0</v>
      </c>
      <c r="BS2720">
        <v>0</v>
      </c>
      <c r="BT2720">
        <v>0</v>
      </c>
      <c r="BU2720">
        <v>0</v>
      </c>
      <c r="CE2720" t="str">
        <f t="shared" si="988"/>
        <v>19:32:47.879</v>
      </c>
      <c r="CF2720">
        <v>878613806</v>
      </c>
      <c r="CS2720">
        <v>0</v>
      </c>
      <c r="CT2720">
        <v>2</v>
      </c>
      <c r="CU2720">
        <v>0</v>
      </c>
      <c r="CV2720">
        <v>2</v>
      </c>
      <c r="CW2720">
        <v>0</v>
      </c>
      <c r="CX2720">
        <v>4</v>
      </c>
      <c r="CY2720">
        <v>7</v>
      </c>
      <c r="CZ2720" t="s">
        <v>131</v>
      </c>
      <c r="DA2720">
        <v>300</v>
      </c>
      <c r="DB2720">
        <v>0</v>
      </c>
      <c r="DC2720" t="s">
        <v>176</v>
      </c>
      <c r="DD2720" t="s">
        <v>177</v>
      </c>
      <c r="DG2720">
        <v>5419370</v>
      </c>
      <c r="DI2720">
        <v>1</v>
      </c>
      <c r="DJ2720">
        <v>0</v>
      </c>
      <c r="DK2720">
        <v>1</v>
      </c>
      <c r="DL2720">
        <v>0</v>
      </c>
      <c r="DM2720">
        <v>0</v>
      </c>
      <c r="DN2720">
        <v>1</v>
      </c>
      <c r="DO2720">
        <v>0</v>
      </c>
      <c r="DP2720">
        <v>0</v>
      </c>
      <c r="DQ2720">
        <v>0</v>
      </c>
      <c r="DR2720">
        <v>0</v>
      </c>
      <c r="DS2720">
        <v>0</v>
      </c>
    </row>
    <row r="2721" spans="1:123" x14ac:dyDescent="0.3">
      <c r="A2721" t="str">
        <f t="shared" si="987"/>
        <v>10/04/2022 19:32:48.167</v>
      </c>
      <c r="C2721" t="str">
        <f t="shared" si="968"/>
        <v>FFDDD3C0</v>
      </c>
      <c r="D2721" t="s">
        <v>141</v>
      </c>
      <c r="E2721">
        <v>3</v>
      </c>
      <c r="H2721">
        <v>3</v>
      </c>
      <c r="I2721" t="s">
        <v>146</v>
      </c>
      <c r="J2721" t="s">
        <v>138</v>
      </c>
      <c r="K2721">
        <v>0</v>
      </c>
      <c r="L2721">
        <v>3</v>
      </c>
      <c r="M2721">
        <v>0</v>
      </c>
      <c r="N2721">
        <v>2</v>
      </c>
      <c r="O2721">
        <v>0</v>
      </c>
      <c r="P2721">
        <v>1</v>
      </c>
      <c r="Q2721">
        <v>0</v>
      </c>
      <c r="S2721" t="str">
        <f t="shared" si="985"/>
        <v>19:32:47.000</v>
      </c>
      <c r="T2721" t="str">
        <f t="shared" si="985"/>
        <v>19:32:47.000</v>
      </c>
      <c r="U2721" t="str">
        <f t="shared" si="978"/>
        <v>AC3944</v>
      </c>
      <c r="V2721">
        <v>0</v>
      </c>
      <c r="W2721">
        <v>0</v>
      </c>
      <c r="X2721">
        <v>2</v>
      </c>
      <c r="Y2721">
        <v>0</v>
      </c>
      <c r="AA2721">
        <v>1</v>
      </c>
      <c r="AB2721">
        <v>8</v>
      </c>
      <c r="AC2721">
        <v>3</v>
      </c>
      <c r="AD2721">
        <v>0</v>
      </c>
      <c r="AE2721">
        <v>9</v>
      </c>
      <c r="AF2721" t="s">
        <v>138</v>
      </c>
      <c r="AG2721">
        <v>0</v>
      </c>
      <c r="AH2721">
        <v>3</v>
      </c>
      <c r="AI2721">
        <v>1</v>
      </c>
      <c r="AJ2721">
        <v>0</v>
      </c>
      <c r="AK2721" t="s">
        <v>922</v>
      </c>
      <c r="AL2721">
        <v>32.741554000000001</v>
      </c>
      <c r="AM2721" t="s">
        <v>923</v>
      </c>
      <c r="AN2721">
        <v>-116.764884</v>
      </c>
      <c r="AO2721">
        <v>25</v>
      </c>
      <c r="AP2721">
        <v>3500</v>
      </c>
      <c r="AQ2721" t="s">
        <v>129</v>
      </c>
      <c r="AR2721">
        <v>90</v>
      </c>
      <c r="AS2721">
        <v>-93</v>
      </c>
      <c r="AT2721">
        <v>576</v>
      </c>
      <c r="BB2721">
        <v>1200</v>
      </c>
      <c r="BC2721">
        <v>1</v>
      </c>
      <c r="BD2721" t="str">
        <f t="shared" si="979"/>
        <v xml:space="preserve">N887QR  </v>
      </c>
      <c r="BE2721">
        <v>1</v>
      </c>
      <c r="BJ2721">
        <v>3250</v>
      </c>
      <c r="BK2721">
        <v>-250</v>
      </c>
      <c r="BL2721" t="s">
        <v>163</v>
      </c>
      <c r="BM2721">
        <v>1</v>
      </c>
      <c r="BN2721">
        <v>1</v>
      </c>
      <c r="BO2721">
        <v>1</v>
      </c>
      <c r="BP2721">
        <v>0</v>
      </c>
      <c r="BS2721">
        <v>0</v>
      </c>
      <c r="BT2721">
        <v>0</v>
      </c>
      <c r="BU2721">
        <v>0</v>
      </c>
      <c r="CE2721" t="str">
        <f t="shared" si="988"/>
        <v>19:32:47.879</v>
      </c>
      <c r="CF2721">
        <v>878613806</v>
      </c>
      <c r="CS2721">
        <v>0</v>
      </c>
      <c r="CT2721">
        <v>2</v>
      </c>
      <c r="CU2721">
        <v>0</v>
      </c>
      <c r="CV2721">
        <v>2</v>
      </c>
      <c r="CW2721">
        <v>0</v>
      </c>
      <c r="CX2721">
        <v>4</v>
      </c>
      <c r="CY2721">
        <v>7</v>
      </c>
      <c r="CZ2721" t="s">
        <v>131</v>
      </c>
      <c r="DA2721">
        <v>300</v>
      </c>
      <c r="DB2721">
        <v>0</v>
      </c>
      <c r="DC2721" t="s">
        <v>176</v>
      </c>
      <c r="DD2721" t="s">
        <v>177</v>
      </c>
      <c r="DG2721">
        <v>5419370</v>
      </c>
      <c r="DI2721">
        <v>1</v>
      </c>
      <c r="DJ2721">
        <v>0</v>
      </c>
      <c r="DK2721">
        <v>1</v>
      </c>
      <c r="DL2721">
        <v>0</v>
      </c>
      <c r="DM2721">
        <v>0</v>
      </c>
      <c r="DN2721">
        <v>1</v>
      </c>
      <c r="DO2721">
        <v>0</v>
      </c>
      <c r="DP2721">
        <v>0</v>
      </c>
      <c r="DQ2721">
        <v>0</v>
      </c>
      <c r="DR2721">
        <v>0</v>
      </c>
      <c r="DS2721">
        <v>0</v>
      </c>
    </row>
    <row r="2722" spans="1:123" x14ac:dyDescent="0.3">
      <c r="A2722" t="str">
        <f t="shared" si="987"/>
        <v>10/04/2022 19:32:48.167</v>
      </c>
      <c r="C2722" t="str">
        <f t="shared" si="968"/>
        <v>FFDDD3C0</v>
      </c>
      <c r="D2722" t="s">
        <v>143</v>
      </c>
      <c r="E2722">
        <v>20</v>
      </c>
      <c r="F2722">
        <v>1020</v>
      </c>
      <c r="G2722" t="s">
        <v>144</v>
      </c>
      <c r="J2722" t="s">
        <v>145</v>
      </c>
      <c r="K2722">
        <v>0</v>
      </c>
      <c r="L2722">
        <v>3</v>
      </c>
      <c r="M2722">
        <v>0</v>
      </c>
      <c r="N2722">
        <v>2</v>
      </c>
      <c r="O2722">
        <v>0</v>
      </c>
      <c r="P2722">
        <v>1</v>
      </c>
      <c r="Q2722">
        <v>0</v>
      </c>
      <c r="S2722" t="str">
        <f t="shared" si="985"/>
        <v>19:32:47.000</v>
      </c>
      <c r="T2722" t="str">
        <f t="shared" si="985"/>
        <v>19:32:47.000</v>
      </c>
      <c r="U2722" t="str">
        <f t="shared" si="978"/>
        <v>AC3944</v>
      </c>
      <c r="V2722">
        <v>0</v>
      </c>
      <c r="W2722">
        <v>0</v>
      </c>
      <c r="X2722">
        <v>2</v>
      </c>
      <c r="Y2722">
        <v>0</v>
      </c>
      <c r="AA2722">
        <v>1</v>
      </c>
      <c r="AB2722">
        <v>8</v>
      </c>
      <c r="AC2722">
        <v>3</v>
      </c>
      <c r="AD2722">
        <v>0</v>
      </c>
      <c r="AE2722">
        <v>9</v>
      </c>
      <c r="AF2722" t="s">
        <v>138</v>
      </c>
      <c r="AG2722">
        <v>0</v>
      </c>
      <c r="AH2722">
        <v>3</v>
      </c>
      <c r="AI2722">
        <v>1</v>
      </c>
      <c r="AJ2722">
        <v>0</v>
      </c>
      <c r="AK2722" t="s">
        <v>922</v>
      </c>
      <c r="AL2722">
        <v>32.741554000000001</v>
      </c>
      <c r="AM2722" t="s">
        <v>923</v>
      </c>
      <c r="AN2722">
        <v>-116.764884</v>
      </c>
      <c r="AO2722">
        <v>25</v>
      </c>
      <c r="AP2722">
        <v>3500</v>
      </c>
      <c r="AQ2722" t="s">
        <v>129</v>
      </c>
      <c r="AR2722">
        <v>90</v>
      </c>
      <c r="AS2722">
        <v>-93</v>
      </c>
      <c r="AT2722">
        <v>576</v>
      </c>
      <c r="BB2722">
        <v>1200</v>
      </c>
      <c r="BC2722">
        <v>1</v>
      </c>
      <c r="BD2722" t="str">
        <f t="shared" si="979"/>
        <v xml:space="preserve">N887QR  </v>
      </c>
      <c r="BE2722">
        <v>1</v>
      </c>
      <c r="BJ2722">
        <v>3250</v>
      </c>
      <c r="BK2722">
        <v>-250</v>
      </c>
      <c r="BL2722" t="s">
        <v>163</v>
      </c>
      <c r="BM2722">
        <v>1</v>
      </c>
      <c r="BN2722">
        <v>1</v>
      </c>
      <c r="BO2722">
        <v>1</v>
      </c>
      <c r="BP2722">
        <v>0</v>
      </c>
      <c r="BS2722">
        <v>0</v>
      </c>
      <c r="BT2722">
        <v>0</v>
      </c>
      <c r="BU2722">
        <v>0</v>
      </c>
      <c r="CE2722" t="str">
        <f t="shared" si="988"/>
        <v>19:32:47.879</v>
      </c>
      <c r="CF2722">
        <v>878613806</v>
      </c>
      <c r="CS2722">
        <v>0</v>
      </c>
      <c r="CT2722">
        <v>2</v>
      </c>
      <c r="CU2722">
        <v>0</v>
      </c>
      <c r="CV2722">
        <v>2</v>
      </c>
      <c r="CW2722">
        <v>0</v>
      </c>
      <c r="CX2722">
        <v>4</v>
      </c>
      <c r="CY2722">
        <v>7</v>
      </c>
      <c r="CZ2722" t="s">
        <v>131</v>
      </c>
      <c r="DA2722">
        <v>300</v>
      </c>
      <c r="DB2722">
        <v>0</v>
      </c>
      <c r="DC2722" t="s">
        <v>176</v>
      </c>
      <c r="DD2722" t="s">
        <v>177</v>
      </c>
      <c r="DG2722">
        <v>5419370</v>
      </c>
      <c r="DI2722">
        <v>1</v>
      </c>
      <c r="DJ2722">
        <v>0</v>
      </c>
      <c r="DK2722">
        <v>1</v>
      </c>
      <c r="DL2722">
        <v>0</v>
      </c>
      <c r="DM2722">
        <v>0</v>
      </c>
      <c r="DN2722">
        <v>1</v>
      </c>
      <c r="DO2722">
        <v>0</v>
      </c>
      <c r="DP2722">
        <v>0</v>
      </c>
      <c r="DQ2722">
        <v>0</v>
      </c>
      <c r="DR2722">
        <v>0</v>
      </c>
      <c r="DS2722">
        <v>0</v>
      </c>
    </row>
    <row r="2723" spans="1:123" x14ac:dyDescent="0.3">
      <c r="A2723" t="str">
        <f t="shared" si="987"/>
        <v>10/04/2022 19:32:48.167</v>
      </c>
      <c r="C2723" t="str">
        <f t="shared" si="968"/>
        <v>FFDDD3C0</v>
      </c>
      <c r="D2723" t="s">
        <v>123</v>
      </c>
      <c r="E2723">
        <v>7</v>
      </c>
      <c r="F2723">
        <v>2007</v>
      </c>
      <c r="G2723" t="s">
        <v>124</v>
      </c>
      <c r="J2723" t="s">
        <v>125</v>
      </c>
      <c r="K2723">
        <v>0</v>
      </c>
      <c r="L2723">
        <v>3</v>
      </c>
      <c r="M2723">
        <v>0</v>
      </c>
      <c r="N2723">
        <v>2</v>
      </c>
      <c r="O2723">
        <v>0</v>
      </c>
      <c r="P2723">
        <v>1</v>
      </c>
      <c r="Q2723">
        <v>0</v>
      </c>
      <c r="S2723" t="str">
        <f t="shared" si="985"/>
        <v>19:32:47.000</v>
      </c>
      <c r="T2723" t="str">
        <f t="shared" si="985"/>
        <v>19:32:47.000</v>
      </c>
      <c r="U2723" t="str">
        <f t="shared" si="978"/>
        <v>AC3944</v>
      </c>
      <c r="V2723">
        <v>0</v>
      </c>
      <c r="W2723">
        <v>0</v>
      </c>
      <c r="X2723">
        <v>2</v>
      </c>
      <c r="Y2723">
        <v>0</v>
      </c>
      <c r="AA2723">
        <v>1</v>
      </c>
      <c r="AB2723">
        <v>8</v>
      </c>
      <c r="AC2723">
        <v>3</v>
      </c>
      <c r="AD2723">
        <v>0</v>
      </c>
      <c r="AE2723">
        <v>9</v>
      </c>
      <c r="AF2723" t="s">
        <v>138</v>
      </c>
      <c r="AG2723">
        <v>0</v>
      </c>
      <c r="AH2723">
        <v>3</v>
      </c>
      <c r="AI2723">
        <v>1</v>
      </c>
      <c r="AJ2723">
        <v>0</v>
      </c>
      <c r="AK2723" t="s">
        <v>922</v>
      </c>
      <c r="AL2723">
        <v>32.741554000000001</v>
      </c>
      <c r="AM2723" t="s">
        <v>923</v>
      </c>
      <c r="AN2723">
        <v>-116.764884</v>
      </c>
      <c r="AO2723">
        <v>25</v>
      </c>
      <c r="AP2723">
        <v>3500</v>
      </c>
      <c r="AQ2723" t="s">
        <v>129</v>
      </c>
      <c r="AR2723">
        <v>90</v>
      </c>
      <c r="AS2723">
        <v>-93</v>
      </c>
      <c r="AT2723">
        <v>576</v>
      </c>
      <c r="BB2723">
        <v>1200</v>
      </c>
      <c r="BC2723">
        <v>1</v>
      </c>
      <c r="BD2723" t="str">
        <f t="shared" si="979"/>
        <v xml:space="preserve">N887QR  </v>
      </c>
      <c r="BE2723">
        <v>1</v>
      </c>
      <c r="BJ2723">
        <v>3250</v>
      </c>
      <c r="BK2723">
        <v>-250</v>
      </c>
      <c r="BL2723" t="s">
        <v>163</v>
      </c>
      <c r="BM2723">
        <v>1</v>
      </c>
      <c r="BN2723">
        <v>1</v>
      </c>
      <c r="BO2723">
        <v>1</v>
      </c>
      <c r="BP2723">
        <v>0</v>
      </c>
      <c r="BS2723">
        <v>0</v>
      </c>
      <c r="BT2723">
        <v>0</v>
      </c>
      <c r="BU2723">
        <v>0</v>
      </c>
      <c r="CE2723" t="str">
        <f t="shared" si="988"/>
        <v>19:32:47.879</v>
      </c>
      <c r="CF2723">
        <v>878613806</v>
      </c>
      <c r="CS2723">
        <v>0</v>
      </c>
      <c r="CT2723">
        <v>2</v>
      </c>
      <c r="CU2723">
        <v>0</v>
      </c>
      <c r="CV2723">
        <v>2</v>
      </c>
      <c r="CW2723">
        <v>0</v>
      </c>
      <c r="CX2723">
        <v>4</v>
      </c>
      <c r="CY2723">
        <v>7</v>
      </c>
      <c r="CZ2723" t="s">
        <v>131</v>
      </c>
      <c r="DA2723">
        <v>300</v>
      </c>
      <c r="DB2723">
        <v>0</v>
      </c>
      <c r="DC2723" t="s">
        <v>176</v>
      </c>
      <c r="DD2723" t="s">
        <v>177</v>
      </c>
      <c r="DG2723">
        <v>5419370</v>
      </c>
      <c r="DI2723">
        <v>1</v>
      </c>
      <c r="DJ2723">
        <v>0</v>
      </c>
      <c r="DK2723">
        <v>1</v>
      </c>
      <c r="DL2723">
        <v>0</v>
      </c>
      <c r="DM2723">
        <v>0</v>
      </c>
      <c r="DN2723">
        <v>1</v>
      </c>
      <c r="DO2723">
        <v>0</v>
      </c>
      <c r="DP2723">
        <v>0</v>
      </c>
      <c r="DQ2723">
        <v>0</v>
      </c>
      <c r="DR2723">
        <v>0</v>
      </c>
      <c r="DS2723">
        <v>0</v>
      </c>
    </row>
    <row r="2724" spans="1:123" x14ac:dyDescent="0.3">
      <c r="A2724" t="str">
        <f>"10/04/2022 19:32:49.214"</f>
        <v>10/04/2022 19:32:49.214</v>
      </c>
      <c r="C2724" t="str">
        <f t="shared" si="968"/>
        <v>FFDDD3C0</v>
      </c>
      <c r="D2724" t="s">
        <v>147</v>
      </c>
      <c r="E2724">
        <v>3</v>
      </c>
      <c r="H2724">
        <v>166</v>
      </c>
      <c r="I2724" t="s">
        <v>144</v>
      </c>
      <c r="J2724" t="s">
        <v>148</v>
      </c>
      <c r="K2724">
        <v>0</v>
      </c>
      <c r="L2724">
        <v>3</v>
      </c>
      <c r="M2724">
        <v>0</v>
      </c>
      <c r="N2724">
        <v>2</v>
      </c>
      <c r="O2724">
        <v>0</v>
      </c>
      <c r="P2724">
        <v>1</v>
      </c>
      <c r="Q2724">
        <v>0</v>
      </c>
      <c r="S2724" t="str">
        <f t="shared" ref="S2724:T2737" si="989">"19:32:49.000"</f>
        <v>19:32:49.000</v>
      </c>
      <c r="T2724" t="str">
        <f t="shared" si="989"/>
        <v>19:32:49.000</v>
      </c>
      <c r="U2724" t="str">
        <f t="shared" si="978"/>
        <v>AC3944</v>
      </c>
      <c r="V2724">
        <v>0</v>
      </c>
      <c r="W2724">
        <v>0</v>
      </c>
      <c r="X2724">
        <v>2</v>
      </c>
      <c r="Y2724">
        <v>0</v>
      </c>
      <c r="AA2724">
        <v>1</v>
      </c>
      <c r="AB2724">
        <v>8</v>
      </c>
      <c r="AC2724">
        <v>3</v>
      </c>
      <c r="AD2724">
        <v>0</v>
      </c>
      <c r="AE2724">
        <v>9</v>
      </c>
      <c r="AF2724" t="s">
        <v>138</v>
      </c>
      <c r="AG2724">
        <v>0</v>
      </c>
      <c r="AH2724">
        <v>3</v>
      </c>
      <c r="AI2724">
        <v>1</v>
      </c>
      <c r="AJ2724">
        <v>0</v>
      </c>
      <c r="AK2724" t="s">
        <v>924</v>
      </c>
      <c r="AL2724">
        <v>32.741124999999997</v>
      </c>
      <c r="AM2724" t="s">
        <v>925</v>
      </c>
      <c r="AN2724">
        <v>-116.76439000000001</v>
      </c>
      <c r="AO2724">
        <v>25</v>
      </c>
      <c r="AP2724">
        <v>3500</v>
      </c>
      <c r="AQ2724" t="s">
        <v>129</v>
      </c>
      <c r="AR2724">
        <v>91</v>
      </c>
      <c r="AS2724">
        <v>-92</v>
      </c>
      <c r="AT2724">
        <v>448</v>
      </c>
      <c r="BB2724">
        <v>1200</v>
      </c>
      <c r="BC2724">
        <v>1</v>
      </c>
      <c r="BD2724" t="str">
        <f t="shared" si="979"/>
        <v xml:space="preserve">N887QR  </v>
      </c>
      <c r="BE2724">
        <v>1</v>
      </c>
      <c r="BJ2724">
        <v>3250</v>
      </c>
      <c r="BK2724">
        <v>-250</v>
      </c>
      <c r="BL2724" t="s">
        <v>163</v>
      </c>
      <c r="BM2724">
        <v>1</v>
      </c>
      <c r="BN2724">
        <v>1</v>
      </c>
      <c r="BO2724">
        <v>1</v>
      </c>
      <c r="BP2724">
        <v>0</v>
      </c>
      <c r="BS2724">
        <v>0</v>
      </c>
      <c r="BT2724">
        <v>0</v>
      </c>
      <c r="BU2724">
        <v>0</v>
      </c>
      <c r="CE2724" t="str">
        <f t="shared" ref="CE2724:CE2730" si="990">"19:32:49.012"</f>
        <v>19:32:49.012</v>
      </c>
      <c r="CF2724">
        <v>12367588</v>
      </c>
      <c r="CS2724">
        <v>0</v>
      </c>
      <c r="CT2724">
        <v>2</v>
      </c>
      <c r="CU2724">
        <v>0</v>
      </c>
      <c r="CV2724">
        <v>2</v>
      </c>
      <c r="CW2724">
        <v>0</v>
      </c>
      <c r="CX2724">
        <v>4</v>
      </c>
      <c r="CY2724">
        <v>7</v>
      </c>
      <c r="CZ2724" t="s">
        <v>131</v>
      </c>
      <c r="DA2724">
        <v>300</v>
      </c>
      <c r="DB2724">
        <v>0</v>
      </c>
      <c r="DC2724" t="s">
        <v>176</v>
      </c>
      <c r="DD2724" t="s">
        <v>177</v>
      </c>
      <c r="DG2724">
        <v>5419562</v>
      </c>
      <c r="DI2724">
        <v>1</v>
      </c>
      <c r="DJ2724">
        <v>0</v>
      </c>
      <c r="DK2724">
        <v>0</v>
      </c>
      <c r="DL2724">
        <v>0</v>
      </c>
      <c r="DM2724">
        <v>0</v>
      </c>
      <c r="DN2724">
        <v>1</v>
      </c>
      <c r="DO2724">
        <v>0</v>
      </c>
      <c r="DP2724">
        <v>0</v>
      </c>
      <c r="DQ2724">
        <v>0</v>
      </c>
      <c r="DR2724">
        <v>0</v>
      </c>
      <c r="DS2724">
        <v>0</v>
      </c>
    </row>
    <row r="2725" spans="1:123" x14ac:dyDescent="0.3">
      <c r="A2725" t="str">
        <f>"10/04/2022 19:32:49.214"</f>
        <v>10/04/2022 19:32:49.214</v>
      </c>
      <c r="C2725" t="str">
        <f t="shared" si="968"/>
        <v>FFDDD3C0</v>
      </c>
      <c r="D2725" t="s">
        <v>141</v>
      </c>
      <c r="E2725">
        <v>4</v>
      </c>
      <c r="H2725">
        <v>4</v>
      </c>
      <c r="I2725" t="s">
        <v>142</v>
      </c>
      <c r="J2725" t="s">
        <v>138</v>
      </c>
      <c r="K2725">
        <v>0</v>
      </c>
      <c r="L2725">
        <v>3</v>
      </c>
      <c r="M2725">
        <v>0</v>
      </c>
      <c r="N2725">
        <v>2</v>
      </c>
      <c r="O2725">
        <v>0</v>
      </c>
      <c r="P2725">
        <v>1</v>
      </c>
      <c r="Q2725">
        <v>0</v>
      </c>
      <c r="S2725" t="str">
        <f t="shared" si="989"/>
        <v>19:32:49.000</v>
      </c>
      <c r="T2725" t="str">
        <f t="shared" si="989"/>
        <v>19:32:49.000</v>
      </c>
      <c r="U2725" t="str">
        <f t="shared" si="978"/>
        <v>AC3944</v>
      </c>
      <c r="V2725">
        <v>0</v>
      </c>
      <c r="W2725">
        <v>0</v>
      </c>
      <c r="X2725">
        <v>2</v>
      </c>
      <c r="Y2725">
        <v>0</v>
      </c>
      <c r="AA2725">
        <v>1</v>
      </c>
      <c r="AB2725">
        <v>8</v>
      </c>
      <c r="AC2725">
        <v>3</v>
      </c>
      <c r="AD2725">
        <v>0</v>
      </c>
      <c r="AE2725">
        <v>9</v>
      </c>
      <c r="AF2725" t="s">
        <v>138</v>
      </c>
      <c r="AG2725">
        <v>0</v>
      </c>
      <c r="AH2725">
        <v>3</v>
      </c>
      <c r="AI2725">
        <v>1</v>
      </c>
      <c r="AJ2725">
        <v>0</v>
      </c>
      <c r="AK2725" t="s">
        <v>924</v>
      </c>
      <c r="AL2725">
        <v>32.741124999999997</v>
      </c>
      <c r="AM2725" t="s">
        <v>925</v>
      </c>
      <c r="AN2725">
        <v>-116.76439000000001</v>
      </c>
      <c r="AO2725">
        <v>25</v>
      </c>
      <c r="AP2725">
        <v>3500</v>
      </c>
      <c r="AQ2725" t="s">
        <v>129</v>
      </c>
      <c r="AR2725">
        <v>91</v>
      </c>
      <c r="AS2725">
        <v>-92</v>
      </c>
      <c r="AT2725">
        <v>448</v>
      </c>
      <c r="BB2725">
        <v>1200</v>
      </c>
      <c r="BC2725">
        <v>1</v>
      </c>
      <c r="BD2725" t="str">
        <f t="shared" si="979"/>
        <v xml:space="preserve">N887QR  </v>
      </c>
      <c r="BE2725">
        <v>1</v>
      </c>
      <c r="BJ2725">
        <v>3250</v>
      </c>
      <c r="BK2725">
        <v>-250</v>
      </c>
      <c r="BL2725" t="s">
        <v>163</v>
      </c>
      <c r="BM2725">
        <v>1</v>
      </c>
      <c r="BN2725">
        <v>1</v>
      </c>
      <c r="BO2725">
        <v>1</v>
      </c>
      <c r="BP2725">
        <v>0</v>
      </c>
      <c r="BS2725">
        <v>0</v>
      </c>
      <c r="BT2725">
        <v>0</v>
      </c>
      <c r="BU2725">
        <v>0</v>
      </c>
      <c r="CE2725" t="str">
        <f t="shared" si="990"/>
        <v>19:32:49.012</v>
      </c>
      <c r="CF2725">
        <v>12367588</v>
      </c>
      <c r="CS2725">
        <v>0</v>
      </c>
      <c r="CT2725">
        <v>2</v>
      </c>
      <c r="CU2725">
        <v>0</v>
      </c>
      <c r="CV2725">
        <v>2</v>
      </c>
      <c r="CW2725">
        <v>0</v>
      </c>
      <c r="CX2725">
        <v>4</v>
      </c>
      <c r="CY2725">
        <v>7</v>
      </c>
      <c r="CZ2725" t="s">
        <v>131</v>
      </c>
      <c r="DA2725">
        <v>300</v>
      </c>
      <c r="DB2725">
        <v>0</v>
      </c>
      <c r="DC2725" t="s">
        <v>176</v>
      </c>
      <c r="DD2725" t="s">
        <v>177</v>
      </c>
      <c r="DG2725">
        <v>5419562</v>
      </c>
      <c r="DI2725">
        <v>1</v>
      </c>
      <c r="DJ2725">
        <v>0</v>
      </c>
      <c r="DK2725">
        <v>1</v>
      </c>
      <c r="DL2725">
        <v>0</v>
      </c>
      <c r="DM2725">
        <v>0</v>
      </c>
      <c r="DN2725">
        <v>1</v>
      </c>
      <c r="DO2725">
        <v>0</v>
      </c>
      <c r="DP2725">
        <v>0</v>
      </c>
      <c r="DQ2725">
        <v>0</v>
      </c>
      <c r="DR2725">
        <v>0</v>
      </c>
      <c r="DS2725">
        <v>0</v>
      </c>
    </row>
    <row r="2726" spans="1:123" x14ac:dyDescent="0.3">
      <c r="A2726" t="str">
        <f>"10/04/2022 19:32:49.214"</f>
        <v>10/04/2022 19:32:49.214</v>
      </c>
      <c r="C2726" t="str">
        <f t="shared" si="968"/>
        <v>FFDDD3C0</v>
      </c>
      <c r="D2726" t="s">
        <v>134</v>
      </c>
      <c r="E2726">
        <v>15</v>
      </c>
      <c r="J2726" t="s">
        <v>135</v>
      </c>
      <c r="K2726">
        <v>0</v>
      </c>
      <c r="L2726">
        <v>3</v>
      </c>
      <c r="M2726">
        <v>0</v>
      </c>
      <c r="N2726">
        <v>2</v>
      </c>
      <c r="O2726">
        <v>0</v>
      </c>
      <c r="P2726">
        <v>1</v>
      </c>
      <c r="Q2726">
        <v>0</v>
      </c>
      <c r="S2726" t="str">
        <f t="shared" si="989"/>
        <v>19:32:49.000</v>
      </c>
      <c r="T2726" t="str">
        <f t="shared" si="989"/>
        <v>19:32:49.000</v>
      </c>
      <c r="U2726" t="str">
        <f t="shared" si="978"/>
        <v>AC3944</v>
      </c>
      <c r="V2726">
        <v>0</v>
      </c>
      <c r="W2726">
        <v>0</v>
      </c>
      <c r="X2726">
        <v>2</v>
      </c>
      <c r="Y2726">
        <v>0</v>
      </c>
      <c r="AA2726">
        <v>1</v>
      </c>
      <c r="AB2726">
        <v>8</v>
      </c>
      <c r="AC2726">
        <v>3</v>
      </c>
      <c r="AD2726">
        <v>0</v>
      </c>
      <c r="AE2726">
        <v>9</v>
      </c>
      <c r="AF2726" t="s">
        <v>138</v>
      </c>
      <c r="AG2726">
        <v>0</v>
      </c>
      <c r="AH2726">
        <v>3</v>
      </c>
      <c r="AI2726">
        <v>1</v>
      </c>
      <c r="AJ2726">
        <v>0</v>
      </c>
      <c r="AK2726" t="s">
        <v>924</v>
      </c>
      <c r="AL2726">
        <v>32.741124999999997</v>
      </c>
      <c r="AM2726" t="s">
        <v>925</v>
      </c>
      <c r="AN2726">
        <v>-116.76439000000001</v>
      </c>
      <c r="AO2726">
        <v>25</v>
      </c>
      <c r="AP2726">
        <v>3500</v>
      </c>
      <c r="AQ2726" t="s">
        <v>129</v>
      </c>
      <c r="AR2726">
        <v>91</v>
      </c>
      <c r="AS2726">
        <v>-92</v>
      </c>
      <c r="AT2726">
        <v>448</v>
      </c>
      <c r="BB2726">
        <v>1200</v>
      </c>
      <c r="BC2726">
        <v>1</v>
      </c>
      <c r="BD2726" t="str">
        <f t="shared" si="979"/>
        <v xml:space="preserve">N887QR  </v>
      </c>
      <c r="BE2726">
        <v>1</v>
      </c>
      <c r="BJ2726">
        <v>3250</v>
      </c>
      <c r="BK2726">
        <v>-250</v>
      </c>
      <c r="BL2726" t="s">
        <v>163</v>
      </c>
      <c r="BM2726">
        <v>1</v>
      </c>
      <c r="BN2726">
        <v>1</v>
      </c>
      <c r="BO2726">
        <v>1</v>
      </c>
      <c r="BP2726">
        <v>0</v>
      </c>
      <c r="BS2726">
        <v>0</v>
      </c>
      <c r="BT2726">
        <v>0</v>
      </c>
      <c r="BU2726">
        <v>0</v>
      </c>
      <c r="CE2726" t="str">
        <f t="shared" si="990"/>
        <v>19:32:49.012</v>
      </c>
      <c r="CF2726">
        <v>12367588</v>
      </c>
      <c r="CS2726">
        <v>0</v>
      </c>
      <c r="CT2726">
        <v>2</v>
      </c>
      <c r="CU2726">
        <v>0</v>
      </c>
      <c r="CV2726">
        <v>2</v>
      </c>
      <c r="CW2726">
        <v>0</v>
      </c>
      <c r="CX2726">
        <v>4</v>
      </c>
      <c r="CY2726">
        <v>7</v>
      </c>
      <c r="CZ2726" t="s">
        <v>131</v>
      </c>
      <c r="DA2726">
        <v>300</v>
      </c>
      <c r="DB2726">
        <v>0</v>
      </c>
      <c r="DC2726" t="s">
        <v>176</v>
      </c>
      <c r="DD2726" t="s">
        <v>177</v>
      </c>
      <c r="DG2726">
        <v>5419562</v>
      </c>
      <c r="DI2726">
        <v>1</v>
      </c>
      <c r="DJ2726">
        <v>0</v>
      </c>
      <c r="DK2726">
        <v>1</v>
      </c>
      <c r="DL2726">
        <v>0</v>
      </c>
      <c r="DM2726">
        <v>0</v>
      </c>
      <c r="DN2726">
        <v>1</v>
      </c>
      <c r="DO2726">
        <v>0</v>
      </c>
      <c r="DP2726">
        <v>0</v>
      </c>
      <c r="DQ2726">
        <v>0</v>
      </c>
      <c r="DR2726">
        <v>0</v>
      </c>
      <c r="DS2726">
        <v>0</v>
      </c>
    </row>
    <row r="2727" spans="1:123" x14ac:dyDescent="0.3">
      <c r="A2727" t="str">
        <f>"10/04/2022 19:32:49.245"</f>
        <v>10/04/2022 19:32:49.245</v>
      </c>
      <c r="C2727" t="str">
        <f t="shared" ref="C2727:C2790" si="991">"FFDDD3C0"</f>
        <v>FFDDD3C0</v>
      </c>
      <c r="D2727" t="s">
        <v>136</v>
      </c>
      <c r="E2727">
        <v>8</v>
      </c>
      <c r="H2727">
        <v>225</v>
      </c>
      <c r="I2727" t="s">
        <v>137</v>
      </c>
      <c r="J2727" t="s">
        <v>138</v>
      </c>
      <c r="K2727">
        <v>0</v>
      </c>
      <c r="L2727">
        <v>3</v>
      </c>
      <c r="M2727">
        <v>0</v>
      </c>
      <c r="N2727">
        <v>2</v>
      </c>
      <c r="O2727">
        <v>0</v>
      </c>
      <c r="P2727">
        <v>1</v>
      </c>
      <c r="Q2727">
        <v>0</v>
      </c>
      <c r="S2727" t="str">
        <f t="shared" si="989"/>
        <v>19:32:49.000</v>
      </c>
      <c r="T2727" t="str">
        <f t="shared" si="989"/>
        <v>19:32:49.000</v>
      </c>
      <c r="U2727" t="str">
        <f t="shared" si="978"/>
        <v>AC3944</v>
      </c>
      <c r="V2727">
        <v>0</v>
      </c>
      <c r="W2727">
        <v>0</v>
      </c>
      <c r="X2727">
        <v>2</v>
      </c>
      <c r="Y2727">
        <v>0</v>
      </c>
      <c r="AA2727">
        <v>1</v>
      </c>
      <c r="AB2727">
        <v>8</v>
      </c>
      <c r="AC2727">
        <v>3</v>
      </c>
      <c r="AD2727">
        <v>0</v>
      </c>
      <c r="AE2727">
        <v>9</v>
      </c>
      <c r="AF2727" t="s">
        <v>138</v>
      </c>
      <c r="AG2727">
        <v>0</v>
      </c>
      <c r="AH2727">
        <v>3</v>
      </c>
      <c r="AI2727">
        <v>1</v>
      </c>
      <c r="AJ2727">
        <v>0</v>
      </c>
      <c r="AK2727" t="s">
        <v>924</v>
      </c>
      <c r="AL2727">
        <v>32.741124999999997</v>
      </c>
      <c r="AM2727" t="s">
        <v>925</v>
      </c>
      <c r="AN2727">
        <v>-116.76439000000001</v>
      </c>
      <c r="AO2727">
        <v>25</v>
      </c>
      <c r="AP2727">
        <v>3500</v>
      </c>
      <c r="AQ2727" t="s">
        <v>129</v>
      </c>
      <c r="AR2727">
        <v>91</v>
      </c>
      <c r="AS2727">
        <v>-92</v>
      </c>
      <c r="AT2727">
        <v>448</v>
      </c>
      <c r="BB2727">
        <v>1200</v>
      </c>
      <c r="BC2727">
        <v>1</v>
      </c>
      <c r="BD2727" t="str">
        <f t="shared" si="979"/>
        <v xml:space="preserve">N887QR  </v>
      </c>
      <c r="BE2727">
        <v>1</v>
      </c>
      <c r="BJ2727">
        <v>3250</v>
      </c>
      <c r="BK2727">
        <v>-250</v>
      </c>
      <c r="BL2727" t="s">
        <v>163</v>
      </c>
      <c r="BM2727">
        <v>1</v>
      </c>
      <c r="BN2727">
        <v>1</v>
      </c>
      <c r="BO2727">
        <v>1</v>
      </c>
      <c r="BP2727">
        <v>0</v>
      </c>
      <c r="BS2727">
        <v>0</v>
      </c>
      <c r="BT2727">
        <v>0</v>
      </c>
      <c r="BU2727">
        <v>0</v>
      </c>
      <c r="CE2727" t="str">
        <f t="shared" si="990"/>
        <v>19:32:49.012</v>
      </c>
      <c r="CF2727">
        <v>12367588</v>
      </c>
      <c r="CS2727">
        <v>0</v>
      </c>
      <c r="CT2727">
        <v>2</v>
      </c>
      <c r="CU2727">
        <v>0</v>
      </c>
      <c r="CV2727">
        <v>2</v>
      </c>
      <c r="CW2727">
        <v>0</v>
      </c>
      <c r="CX2727">
        <v>4</v>
      </c>
      <c r="CY2727">
        <v>7</v>
      </c>
      <c r="CZ2727" t="s">
        <v>131</v>
      </c>
      <c r="DA2727">
        <v>300</v>
      </c>
      <c r="DB2727">
        <v>0</v>
      </c>
      <c r="DC2727" t="s">
        <v>176</v>
      </c>
      <c r="DD2727" t="s">
        <v>177</v>
      </c>
      <c r="DG2727">
        <v>5419562</v>
      </c>
      <c r="DI2727">
        <v>1</v>
      </c>
      <c r="DJ2727">
        <v>0</v>
      </c>
      <c r="DK2727">
        <v>1</v>
      </c>
      <c r="DL2727">
        <v>0</v>
      </c>
      <c r="DM2727">
        <v>0</v>
      </c>
      <c r="DN2727">
        <v>1</v>
      </c>
      <c r="DO2727">
        <v>0</v>
      </c>
      <c r="DP2727">
        <v>0</v>
      </c>
      <c r="DQ2727">
        <v>0</v>
      </c>
      <c r="DR2727">
        <v>0</v>
      </c>
      <c r="DS2727">
        <v>0</v>
      </c>
    </row>
    <row r="2728" spans="1:123" x14ac:dyDescent="0.3">
      <c r="A2728" t="str">
        <f>"10/04/2022 19:32:49.260"</f>
        <v>10/04/2022 19:32:49.260</v>
      </c>
      <c r="C2728" t="str">
        <f t="shared" si="991"/>
        <v>FFDDD3C0</v>
      </c>
      <c r="D2728" t="s">
        <v>143</v>
      </c>
      <c r="E2728">
        <v>20</v>
      </c>
      <c r="F2728">
        <v>1020</v>
      </c>
      <c r="G2728" t="s">
        <v>144</v>
      </c>
      <c r="J2728" t="s">
        <v>145</v>
      </c>
      <c r="K2728">
        <v>0</v>
      </c>
      <c r="L2728">
        <v>3</v>
      </c>
      <c r="M2728">
        <v>0</v>
      </c>
      <c r="N2728">
        <v>2</v>
      </c>
      <c r="O2728">
        <v>0</v>
      </c>
      <c r="P2728">
        <v>1</v>
      </c>
      <c r="Q2728">
        <v>0</v>
      </c>
      <c r="S2728" t="str">
        <f t="shared" si="989"/>
        <v>19:32:49.000</v>
      </c>
      <c r="T2728" t="str">
        <f t="shared" si="989"/>
        <v>19:32:49.000</v>
      </c>
      <c r="U2728" t="str">
        <f t="shared" si="978"/>
        <v>AC3944</v>
      </c>
      <c r="V2728">
        <v>0</v>
      </c>
      <c r="W2728">
        <v>0</v>
      </c>
      <c r="X2728">
        <v>2</v>
      </c>
      <c r="Y2728">
        <v>0</v>
      </c>
      <c r="AA2728">
        <v>1</v>
      </c>
      <c r="AB2728">
        <v>8</v>
      </c>
      <c r="AC2728">
        <v>3</v>
      </c>
      <c r="AD2728">
        <v>0</v>
      </c>
      <c r="AE2728">
        <v>9</v>
      </c>
      <c r="AF2728" t="s">
        <v>138</v>
      </c>
      <c r="AG2728">
        <v>0</v>
      </c>
      <c r="AH2728">
        <v>3</v>
      </c>
      <c r="AI2728">
        <v>1</v>
      </c>
      <c r="AJ2728">
        <v>0</v>
      </c>
      <c r="AK2728" t="s">
        <v>924</v>
      </c>
      <c r="AL2728">
        <v>32.741124999999997</v>
      </c>
      <c r="AM2728" t="s">
        <v>925</v>
      </c>
      <c r="AN2728">
        <v>-116.76439000000001</v>
      </c>
      <c r="AO2728">
        <v>25</v>
      </c>
      <c r="AP2728">
        <v>3500</v>
      </c>
      <c r="AQ2728" t="s">
        <v>129</v>
      </c>
      <c r="AR2728">
        <v>91</v>
      </c>
      <c r="AS2728">
        <v>-92</v>
      </c>
      <c r="AT2728">
        <v>448</v>
      </c>
      <c r="BB2728">
        <v>1200</v>
      </c>
      <c r="BC2728">
        <v>1</v>
      </c>
      <c r="BD2728" t="str">
        <f t="shared" si="979"/>
        <v xml:space="preserve">N887QR  </v>
      </c>
      <c r="BE2728">
        <v>1</v>
      </c>
      <c r="BJ2728">
        <v>3250</v>
      </c>
      <c r="BK2728">
        <v>-250</v>
      </c>
      <c r="BL2728" t="s">
        <v>163</v>
      </c>
      <c r="BM2728">
        <v>1</v>
      </c>
      <c r="BN2728">
        <v>1</v>
      </c>
      <c r="BO2728">
        <v>1</v>
      </c>
      <c r="BP2728">
        <v>0</v>
      </c>
      <c r="BS2728">
        <v>0</v>
      </c>
      <c r="BT2728">
        <v>0</v>
      </c>
      <c r="BU2728">
        <v>0</v>
      </c>
      <c r="CE2728" t="str">
        <f t="shared" si="990"/>
        <v>19:32:49.012</v>
      </c>
      <c r="CF2728">
        <v>12367588</v>
      </c>
      <c r="CS2728">
        <v>0</v>
      </c>
      <c r="CT2728">
        <v>2</v>
      </c>
      <c r="CU2728">
        <v>0</v>
      </c>
      <c r="CV2728">
        <v>2</v>
      </c>
      <c r="CW2728">
        <v>0</v>
      </c>
      <c r="CX2728">
        <v>4</v>
      </c>
      <c r="CY2728">
        <v>7</v>
      </c>
      <c r="CZ2728" t="s">
        <v>131</v>
      </c>
      <c r="DA2728">
        <v>300</v>
      </c>
      <c r="DB2728">
        <v>0</v>
      </c>
      <c r="DC2728" t="s">
        <v>176</v>
      </c>
      <c r="DD2728" t="s">
        <v>177</v>
      </c>
      <c r="DG2728">
        <v>5419562</v>
      </c>
      <c r="DI2728">
        <v>1</v>
      </c>
      <c r="DJ2728">
        <v>0</v>
      </c>
      <c r="DK2728">
        <v>0</v>
      </c>
      <c r="DL2728">
        <v>0</v>
      </c>
      <c r="DM2728">
        <v>0</v>
      </c>
      <c r="DN2728">
        <v>1</v>
      </c>
      <c r="DO2728">
        <v>0</v>
      </c>
      <c r="DP2728">
        <v>0</v>
      </c>
      <c r="DQ2728">
        <v>0</v>
      </c>
      <c r="DR2728">
        <v>0</v>
      </c>
      <c r="DS2728">
        <v>0</v>
      </c>
    </row>
    <row r="2729" spans="1:123" x14ac:dyDescent="0.3">
      <c r="A2729" t="str">
        <f>"10/04/2022 19:32:49.339"</f>
        <v>10/04/2022 19:32:49.339</v>
      </c>
      <c r="C2729" t="str">
        <f t="shared" si="991"/>
        <v>FFDDD3C0</v>
      </c>
      <c r="D2729" t="s">
        <v>141</v>
      </c>
      <c r="E2729">
        <v>3</v>
      </c>
      <c r="H2729">
        <v>3</v>
      </c>
      <c r="I2729" t="s">
        <v>146</v>
      </c>
      <c r="J2729" t="s">
        <v>138</v>
      </c>
      <c r="K2729">
        <v>0</v>
      </c>
      <c r="L2729">
        <v>3</v>
      </c>
      <c r="M2729">
        <v>0</v>
      </c>
      <c r="N2729">
        <v>2</v>
      </c>
      <c r="O2729">
        <v>0</v>
      </c>
      <c r="P2729">
        <v>1</v>
      </c>
      <c r="Q2729">
        <v>0</v>
      </c>
      <c r="S2729" t="str">
        <f t="shared" si="989"/>
        <v>19:32:49.000</v>
      </c>
      <c r="T2729" t="str">
        <f t="shared" si="989"/>
        <v>19:32:49.000</v>
      </c>
      <c r="U2729" t="str">
        <f t="shared" si="978"/>
        <v>AC3944</v>
      </c>
      <c r="V2729">
        <v>0</v>
      </c>
      <c r="W2729">
        <v>0</v>
      </c>
      <c r="X2729">
        <v>2</v>
      </c>
      <c r="Y2729">
        <v>0</v>
      </c>
      <c r="AA2729">
        <v>1</v>
      </c>
      <c r="AB2729">
        <v>8</v>
      </c>
      <c r="AC2729">
        <v>3</v>
      </c>
      <c r="AD2729">
        <v>0</v>
      </c>
      <c r="AE2729">
        <v>9</v>
      </c>
      <c r="AF2729" t="s">
        <v>138</v>
      </c>
      <c r="AG2729">
        <v>0</v>
      </c>
      <c r="AH2729">
        <v>3</v>
      </c>
      <c r="AI2729">
        <v>1</v>
      </c>
      <c r="AJ2729">
        <v>0</v>
      </c>
      <c r="AK2729" t="s">
        <v>924</v>
      </c>
      <c r="AL2729">
        <v>32.741124999999997</v>
      </c>
      <c r="AM2729" t="s">
        <v>925</v>
      </c>
      <c r="AN2729">
        <v>-116.76439000000001</v>
      </c>
      <c r="AO2729">
        <v>25</v>
      </c>
      <c r="AP2729">
        <v>3500</v>
      </c>
      <c r="AQ2729" t="s">
        <v>129</v>
      </c>
      <c r="AR2729">
        <v>91</v>
      </c>
      <c r="AS2729">
        <v>-92</v>
      </c>
      <c r="AT2729">
        <v>448</v>
      </c>
      <c r="BB2729">
        <v>1200</v>
      </c>
      <c r="BC2729">
        <v>1</v>
      </c>
      <c r="BD2729" t="str">
        <f t="shared" si="979"/>
        <v xml:space="preserve">N887QR  </v>
      </c>
      <c r="BE2729">
        <v>1</v>
      </c>
      <c r="BJ2729">
        <v>3250</v>
      </c>
      <c r="BK2729">
        <v>-250</v>
      </c>
      <c r="BL2729" t="s">
        <v>163</v>
      </c>
      <c r="BM2729">
        <v>1</v>
      </c>
      <c r="BN2729">
        <v>1</v>
      </c>
      <c r="BO2729">
        <v>1</v>
      </c>
      <c r="BP2729">
        <v>0</v>
      </c>
      <c r="BS2729">
        <v>0</v>
      </c>
      <c r="BT2729">
        <v>0</v>
      </c>
      <c r="BU2729">
        <v>0</v>
      </c>
      <c r="CE2729" t="str">
        <f t="shared" si="990"/>
        <v>19:32:49.012</v>
      </c>
      <c r="CF2729">
        <v>12367588</v>
      </c>
      <c r="CS2729">
        <v>0</v>
      </c>
      <c r="CT2729">
        <v>2</v>
      </c>
      <c r="CU2729">
        <v>0</v>
      </c>
      <c r="CV2729">
        <v>2</v>
      </c>
      <c r="CW2729">
        <v>0</v>
      </c>
      <c r="CX2729">
        <v>4</v>
      </c>
      <c r="CY2729">
        <v>7</v>
      </c>
      <c r="CZ2729" t="s">
        <v>131</v>
      </c>
      <c r="DA2729">
        <v>300</v>
      </c>
      <c r="DB2729">
        <v>0</v>
      </c>
      <c r="DC2729" t="s">
        <v>176</v>
      </c>
      <c r="DD2729" t="s">
        <v>177</v>
      </c>
      <c r="DG2729">
        <v>5419562</v>
      </c>
      <c r="DI2729">
        <v>1</v>
      </c>
      <c r="DJ2729">
        <v>0</v>
      </c>
      <c r="DK2729">
        <v>1</v>
      </c>
      <c r="DL2729">
        <v>0</v>
      </c>
      <c r="DM2729">
        <v>0</v>
      </c>
      <c r="DN2729">
        <v>1</v>
      </c>
      <c r="DO2729">
        <v>0</v>
      </c>
      <c r="DP2729">
        <v>0</v>
      </c>
      <c r="DQ2729">
        <v>0</v>
      </c>
      <c r="DR2729">
        <v>0</v>
      </c>
      <c r="DS2729">
        <v>0</v>
      </c>
    </row>
    <row r="2730" spans="1:123" x14ac:dyDescent="0.3">
      <c r="A2730" t="str">
        <f>"10/04/2022 19:32:49.354"</f>
        <v>10/04/2022 19:32:49.354</v>
      </c>
      <c r="C2730" t="str">
        <f t="shared" si="991"/>
        <v>FFDDD3C0</v>
      </c>
      <c r="D2730" t="s">
        <v>123</v>
      </c>
      <c r="E2730">
        <v>7</v>
      </c>
      <c r="F2730">
        <v>2007</v>
      </c>
      <c r="G2730" t="s">
        <v>124</v>
      </c>
      <c r="J2730" t="s">
        <v>125</v>
      </c>
      <c r="K2730">
        <v>0</v>
      </c>
      <c r="L2730">
        <v>3</v>
      </c>
      <c r="M2730">
        <v>0</v>
      </c>
      <c r="N2730">
        <v>2</v>
      </c>
      <c r="O2730">
        <v>0</v>
      </c>
      <c r="P2730">
        <v>1</v>
      </c>
      <c r="Q2730">
        <v>0</v>
      </c>
      <c r="S2730" t="str">
        <f t="shared" si="989"/>
        <v>19:32:49.000</v>
      </c>
      <c r="T2730" t="str">
        <f t="shared" si="989"/>
        <v>19:32:49.000</v>
      </c>
      <c r="U2730" t="str">
        <f t="shared" si="978"/>
        <v>AC3944</v>
      </c>
      <c r="V2730">
        <v>0</v>
      </c>
      <c r="W2730">
        <v>0</v>
      </c>
      <c r="X2730">
        <v>2</v>
      </c>
      <c r="Y2730">
        <v>0</v>
      </c>
      <c r="AA2730">
        <v>1</v>
      </c>
      <c r="AB2730">
        <v>8</v>
      </c>
      <c r="AC2730">
        <v>3</v>
      </c>
      <c r="AD2730">
        <v>0</v>
      </c>
      <c r="AE2730">
        <v>9</v>
      </c>
      <c r="AF2730" t="s">
        <v>138</v>
      </c>
      <c r="AG2730">
        <v>0</v>
      </c>
      <c r="AH2730">
        <v>3</v>
      </c>
      <c r="AI2730">
        <v>1</v>
      </c>
      <c r="AJ2730">
        <v>0</v>
      </c>
      <c r="AK2730" t="s">
        <v>924</v>
      </c>
      <c r="AL2730">
        <v>32.741124999999997</v>
      </c>
      <c r="AM2730" t="s">
        <v>925</v>
      </c>
      <c r="AN2730">
        <v>-116.76439000000001</v>
      </c>
      <c r="AO2730">
        <v>25</v>
      </c>
      <c r="AP2730">
        <v>3500</v>
      </c>
      <c r="AQ2730" t="s">
        <v>129</v>
      </c>
      <c r="AR2730">
        <v>91</v>
      </c>
      <c r="AS2730">
        <v>-92</v>
      </c>
      <c r="AT2730">
        <v>448</v>
      </c>
      <c r="BB2730">
        <v>1200</v>
      </c>
      <c r="BC2730">
        <v>1</v>
      </c>
      <c r="BD2730" t="str">
        <f t="shared" si="979"/>
        <v xml:space="preserve">N887QR  </v>
      </c>
      <c r="BE2730">
        <v>1</v>
      </c>
      <c r="BJ2730">
        <v>3250</v>
      </c>
      <c r="BK2730">
        <v>-250</v>
      </c>
      <c r="BL2730" t="s">
        <v>163</v>
      </c>
      <c r="BM2730">
        <v>1</v>
      </c>
      <c r="BN2730">
        <v>1</v>
      </c>
      <c r="BO2730">
        <v>1</v>
      </c>
      <c r="BP2730">
        <v>0</v>
      </c>
      <c r="BS2730">
        <v>0</v>
      </c>
      <c r="BT2730">
        <v>0</v>
      </c>
      <c r="BU2730">
        <v>0</v>
      </c>
      <c r="CE2730" t="str">
        <f t="shared" si="990"/>
        <v>19:32:49.012</v>
      </c>
      <c r="CF2730">
        <v>12367588</v>
      </c>
      <c r="CS2730">
        <v>0</v>
      </c>
      <c r="CT2730">
        <v>2</v>
      </c>
      <c r="CU2730">
        <v>0</v>
      </c>
      <c r="CV2730">
        <v>2</v>
      </c>
      <c r="CW2730">
        <v>0</v>
      </c>
      <c r="CX2730">
        <v>4</v>
      </c>
      <c r="CY2730">
        <v>7</v>
      </c>
      <c r="CZ2730" t="s">
        <v>131</v>
      </c>
      <c r="DA2730">
        <v>300</v>
      </c>
      <c r="DB2730">
        <v>0</v>
      </c>
      <c r="DC2730" t="s">
        <v>176</v>
      </c>
      <c r="DD2730" t="s">
        <v>177</v>
      </c>
      <c r="DG2730">
        <v>5419562</v>
      </c>
      <c r="DI2730">
        <v>1</v>
      </c>
      <c r="DJ2730">
        <v>0</v>
      </c>
      <c r="DK2730">
        <v>0</v>
      </c>
      <c r="DL2730">
        <v>0</v>
      </c>
      <c r="DM2730">
        <v>0</v>
      </c>
      <c r="DN2730">
        <v>1</v>
      </c>
      <c r="DO2730">
        <v>0</v>
      </c>
      <c r="DP2730">
        <v>0</v>
      </c>
      <c r="DQ2730">
        <v>0</v>
      </c>
      <c r="DR2730">
        <v>0</v>
      </c>
      <c r="DS2730">
        <v>0</v>
      </c>
    </row>
    <row r="2731" spans="1:123" x14ac:dyDescent="0.3">
      <c r="A2731" t="str">
        <f>"10/04/2022 19:32:50.121"</f>
        <v>10/04/2022 19:32:50.121</v>
      </c>
      <c r="C2731" t="str">
        <f t="shared" si="991"/>
        <v>FFDDD3C0</v>
      </c>
      <c r="D2731" t="s">
        <v>143</v>
      </c>
      <c r="E2731">
        <v>20</v>
      </c>
      <c r="F2731">
        <v>1020</v>
      </c>
      <c r="G2731" t="s">
        <v>144</v>
      </c>
      <c r="J2731" t="s">
        <v>145</v>
      </c>
      <c r="K2731">
        <v>0</v>
      </c>
      <c r="L2731">
        <v>3</v>
      </c>
      <c r="M2731">
        <v>0</v>
      </c>
      <c r="N2731">
        <v>2</v>
      </c>
      <c r="O2731">
        <v>0</v>
      </c>
      <c r="P2731">
        <v>1</v>
      </c>
      <c r="Q2731">
        <v>0</v>
      </c>
      <c r="S2731" t="str">
        <f t="shared" si="989"/>
        <v>19:32:49.000</v>
      </c>
      <c r="T2731" t="str">
        <f t="shared" si="989"/>
        <v>19:32:49.000</v>
      </c>
      <c r="U2731" t="str">
        <f t="shared" si="978"/>
        <v>AC3944</v>
      </c>
      <c r="V2731">
        <v>0</v>
      </c>
      <c r="W2731">
        <v>0</v>
      </c>
      <c r="X2731">
        <v>2</v>
      </c>
      <c r="Y2731">
        <v>0</v>
      </c>
      <c r="AA2731">
        <v>1</v>
      </c>
      <c r="AB2731">
        <v>8</v>
      </c>
      <c r="AC2731">
        <v>3</v>
      </c>
      <c r="AD2731">
        <v>0</v>
      </c>
      <c r="AE2731">
        <v>9</v>
      </c>
      <c r="AF2731" t="s">
        <v>138</v>
      </c>
      <c r="AG2731">
        <v>0</v>
      </c>
      <c r="AH2731">
        <v>3</v>
      </c>
      <c r="AI2731">
        <v>1</v>
      </c>
      <c r="AJ2731">
        <v>0</v>
      </c>
      <c r="AK2731" t="s">
        <v>926</v>
      </c>
      <c r="AL2731">
        <v>32.740609999999997</v>
      </c>
      <c r="AM2731" t="s">
        <v>927</v>
      </c>
      <c r="AN2731">
        <v>-116.76379</v>
      </c>
      <c r="AO2731">
        <v>25</v>
      </c>
      <c r="AP2731">
        <v>3500</v>
      </c>
      <c r="AQ2731" t="s">
        <v>129</v>
      </c>
      <c r="AR2731">
        <v>91</v>
      </c>
      <c r="AS2731">
        <v>-92</v>
      </c>
      <c r="AT2731">
        <v>448</v>
      </c>
      <c r="BB2731">
        <v>1200</v>
      </c>
      <c r="BC2731">
        <v>1</v>
      </c>
      <c r="BD2731" t="str">
        <f t="shared" si="979"/>
        <v xml:space="preserve">N887QR  </v>
      </c>
      <c r="BE2731">
        <v>1</v>
      </c>
      <c r="BJ2731">
        <v>3275</v>
      </c>
      <c r="BK2731">
        <v>-225</v>
      </c>
      <c r="BL2731" t="s">
        <v>163</v>
      </c>
      <c r="BM2731">
        <v>1</v>
      </c>
      <c r="BN2731">
        <v>1</v>
      </c>
      <c r="BO2731">
        <v>1</v>
      </c>
      <c r="BP2731">
        <v>0</v>
      </c>
      <c r="BS2731">
        <v>0.04</v>
      </c>
      <c r="BT2731">
        <v>0</v>
      </c>
      <c r="BU2731">
        <v>0</v>
      </c>
      <c r="CE2731" t="str">
        <f t="shared" ref="CE2731:CE2737" si="992">"19:32:49.912"</f>
        <v>19:32:49.912</v>
      </c>
      <c r="CF2731">
        <v>911620667</v>
      </c>
      <c r="CS2731">
        <v>0</v>
      </c>
      <c r="CT2731">
        <v>2</v>
      </c>
      <c r="CU2731">
        <v>0</v>
      </c>
      <c r="CV2731">
        <v>2</v>
      </c>
      <c r="CW2731">
        <v>0</v>
      </c>
      <c r="CX2731">
        <v>4</v>
      </c>
      <c r="CY2731">
        <v>7</v>
      </c>
      <c r="CZ2731" t="s">
        <v>131</v>
      </c>
      <c r="DA2731">
        <v>300</v>
      </c>
      <c r="DB2731">
        <v>0</v>
      </c>
      <c r="DC2731" t="s">
        <v>176</v>
      </c>
      <c r="DD2731" t="s">
        <v>177</v>
      </c>
      <c r="DG2731">
        <v>5419697</v>
      </c>
      <c r="DI2731">
        <v>1</v>
      </c>
      <c r="DJ2731">
        <v>0</v>
      </c>
      <c r="DK2731">
        <v>0</v>
      </c>
      <c r="DL2731">
        <v>0</v>
      </c>
      <c r="DM2731">
        <v>0</v>
      </c>
      <c r="DN2731">
        <v>1</v>
      </c>
      <c r="DO2731">
        <v>0</v>
      </c>
      <c r="DP2731">
        <v>0</v>
      </c>
      <c r="DQ2731">
        <v>0</v>
      </c>
      <c r="DR2731">
        <v>0</v>
      </c>
      <c r="DS2731">
        <v>0</v>
      </c>
    </row>
    <row r="2732" spans="1:123" x14ac:dyDescent="0.3">
      <c r="A2732" t="str">
        <f>"10/04/2022 19:32:50.121"</f>
        <v>10/04/2022 19:32:50.121</v>
      </c>
      <c r="C2732" t="str">
        <f t="shared" si="991"/>
        <v>FFDDD3C0</v>
      </c>
      <c r="D2732" t="s">
        <v>141</v>
      </c>
      <c r="E2732">
        <v>3</v>
      </c>
      <c r="H2732">
        <v>3</v>
      </c>
      <c r="I2732" t="s">
        <v>146</v>
      </c>
      <c r="J2732" t="s">
        <v>138</v>
      </c>
      <c r="K2732">
        <v>0</v>
      </c>
      <c r="L2732">
        <v>3</v>
      </c>
      <c r="M2732">
        <v>0</v>
      </c>
      <c r="N2732">
        <v>2</v>
      </c>
      <c r="O2732">
        <v>0</v>
      </c>
      <c r="P2732">
        <v>1</v>
      </c>
      <c r="Q2732">
        <v>0</v>
      </c>
      <c r="S2732" t="str">
        <f t="shared" si="989"/>
        <v>19:32:49.000</v>
      </c>
      <c r="T2732" t="str">
        <f t="shared" si="989"/>
        <v>19:32:49.000</v>
      </c>
      <c r="U2732" t="str">
        <f t="shared" si="978"/>
        <v>AC3944</v>
      </c>
      <c r="V2732">
        <v>0</v>
      </c>
      <c r="W2732">
        <v>0</v>
      </c>
      <c r="X2732">
        <v>2</v>
      </c>
      <c r="Y2732">
        <v>0</v>
      </c>
      <c r="AA2732">
        <v>1</v>
      </c>
      <c r="AB2732">
        <v>8</v>
      </c>
      <c r="AC2732">
        <v>3</v>
      </c>
      <c r="AD2732">
        <v>0</v>
      </c>
      <c r="AE2732">
        <v>9</v>
      </c>
      <c r="AF2732" t="s">
        <v>138</v>
      </c>
      <c r="AG2732">
        <v>0</v>
      </c>
      <c r="AH2732">
        <v>3</v>
      </c>
      <c r="AI2732">
        <v>1</v>
      </c>
      <c r="AJ2732">
        <v>0</v>
      </c>
      <c r="AK2732" t="s">
        <v>926</v>
      </c>
      <c r="AL2732">
        <v>32.740609999999997</v>
      </c>
      <c r="AM2732" t="s">
        <v>927</v>
      </c>
      <c r="AN2732">
        <v>-116.76379</v>
      </c>
      <c r="AO2732">
        <v>25</v>
      </c>
      <c r="AP2732">
        <v>3500</v>
      </c>
      <c r="AQ2732" t="s">
        <v>129</v>
      </c>
      <c r="AR2732">
        <v>91</v>
      </c>
      <c r="AS2732">
        <v>-92</v>
      </c>
      <c r="AT2732">
        <v>448</v>
      </c>
      <c r="BB2732">
        <v>1200</v>
      </c>
      <c r="BC2732">
        <v>1</v>
      </c>
      <c r="BD2732" t="str">
        <f t="shared" si="979"/>
        <v xml:space="preserve">N887QR  </v>
      </c>
      <c r="BE2732">
        <v>1</v>
      </c>
      <c r="BJ2732">
        <v>3275</v>
      </c>
      <c r="BK2732">
        <v>-225</v>
      </c>
      <c r="BL2732" t="s">
        <v>163</v>
      </c>
      <c r="BM2732">
        <v>1</v>
      </c>
      <c r="BN2732">
        <v>1</v>
      </c>
      <c r="BO2732">
        <v>1</v>
      </c>
      <c r="BP2732">
        <v>0</v>
      </c>
      <c r="BS2732">
        <v>0.16</v>
      </c>
      <c r="BT2732">
        <v>0</v>
      </c>
      <c r="BU2732">
        <v>0</v>
      </c>
      <c r="CE2732" t="str">
        <f t="shared" si="992"/>
        <v>19:32:49.912</v>
      </c>
      <c r="CF2732">
        <v>911620667</v>
      </c>
      <c r="CS2732">
        <v>0</v>
      </c>
      <c r="CT2732">
        <v>2</v>
      </c>
      <c r="CU2732">
        <v>0</v>
      </c>
      <c r="CV2732">
        <v>2</v>
      </c>
      <c r="CW2732">
        <v>0</v>
      </c>
      <c r="CX2732">
        <v>4</v>
      </c>
      <c r="CY2732">
        <v>7</v>
      </c>
      <c r="CZ2732" t="s">
        <v>131</v>
      </c>
      <c r="DA2732">
        <v>300</v>
      </c>
      <c r="DB2732">
        <v>0</v>
      </c>
      <c r="DC2732" t="s">
        <v>176</v>
      </c>
      <c r="DD2732" t="s">
        <v>177</v>
      </c>
      <c r="DG2732">
        <v>5419697</v>
      </c>
      <c r="DI2732">
        <v>1</v>
      </c>
      <c r="DJ2732">
        <v>0</v>
      </c>
      <c r="DK2732">
        <v>1</v>
      </c>
      <c r="DL2732">
        <v>0</v>
      </c>
      <c r="DM2732">
        <v>0</v>
      </c>
      <c r="DN2732">
        <v>1</v>
      </c>
      <c r="DO2732">
        <v>0</v>
      </c>
      <c r="DP2732">
        <v>0</v>
      </c>
      <c r="DQ2732">
        <v>0</v>
      </c>
      <c r="DR2732">
        <v>0</v>
      </c>
      <c r="DS2732">
        <v>0</v>
      </c>
    </row>
    <row r="2733" spans="1:123" x14ac:dyDescent="0.3">
      <c r="A2733" t="str">
        <f>"10/04/2022 19:32:50.121"</f>
        <v>10/04/2022 19:32:50.121</v>
      </c>
      <c r="C2733" t="str">
        <f t="shared" si="991"/>
        <v>FFDDD3C0</v>
      </c>
      <c r="D2733" t="s">
        <v>123</v>
      </c>
      <c r="E2733">
        <v>7</v>
      </c>
      <c r="F2733">
        <v>2007</v>
      </c>
      <c r="G2733" t="s">
        <v>124</v>
      </c>
      <c r="J2733" t="s">
        <v>125</v>
      </c>
      <c r="K2733">
        <v>0</v>
      </c>
      <c r="L2733">
        <v>3</v>
      </c>
      <c r="M2733">
        <v>0</v>
      </c>
      <c r="N2733">
        <v>2</v>
      </c>
      <c r="O2733">
        <v>0</v>
      </c>
      <c r="P2733">
        <v>1</v>
      </c>
      <c r="Q2733">
        <v>0</v>
      </c>
      <c r="S2733" t="str">
        <f t="shared" si="989"/>
        <v>19:32:49.000</v>
      </c>
      <c r="T2733" t="str">
        <f t="shared" si="989"/>
        <v>19:32:49.000</v>
      </c>
      <c r="U2733" t="str">
        <f t="shared" si="978"/>
        <v>AC3944</v>
      </c>
      <c r="V2733">
        <v>0</v>
      </c>
      <c r="W2733">
        <v>0</v>
      </c>
      <c r="X2733">
        <v>2</v>
      </c>
      <c r="Y2733">
        <v>0</v>
      </c>
      <c r="AA2733">
        <v>1</v>
      </c>
      <c r="AB2733">
        <v>8</v>
      </c>
      <c r="AC2733">
        <v>3</v>
      </c>
      <c r="AD2733">
        <v>0</v>
      </c>
      <c r="AE2733">
        <v>9</v>
      </c>
      <c r="AF2733" t="s">
        <v>138</v>
      </c>
      <c r="AG2733">
        <v>0</v>
      </c>
      <c r="AH2733">
        <v>3</v>
      </c>
      <c r="AI2733">
        <v>1</v>
      </c>
      <c r="AJ2733">
        <v>0</v>
      </c>
      <c r="AK2733" t="s">
        <v>926</v>
      </c>
      <c r="AL2733">
        <v>32.740609999999997</v>
      </c>
      <c r="AM2733" t="s">
        <v>927</v>
      </c>
      <c r="AN2733">
        <v>-116.76379</v>
      </c>
      <c r="AO2733">
        <v>25</v>
      </c>
      <c r="AP2733">
        <v>3500</v>
      </c>
      <c r="AQ2733" t="s">
        <v>129</v>
      </c>
      <c r="AR2733">
        <v>91</v>
      </c>
      <c r="AS2733">
        <v>-92</v>
      </c>
      <c r="AT2733">
        <v>448</v>
      </c>
      <c r="BB2733">
        <v>1200</v>
      </c>
      <c r="BC2733">
        <v>1</v>
      </c>
      <c r="BD2733" t="str">
        <f t="shared" si="979"/>
        <v xml:space="preserve">N887QR  </v>
      </c>
      <c r="BE2733">
        <v>1</v>
      </c>
      <c r="BJ2733">
        <v>3275</v>
      </c>
      <c r="BK2733">
        <v>-225</v>
      </c>
      <c r="BL2733" t="s">
        <v>163</v>
      </c>
      <c r="BM2733">
        <v>1</v>
      </c>
      <c r="BN2733">
        <v>1</v>
      </c>
      <c r="BO2733">
        <v>1</v>
      </c>
      <c r="BP2733">
        <v>0</v>
      </c>
      <c r="BS2733">
        <v>0.04</v>
      </c>
      <c r="BT2733">
        <v>0</v>
      </c>
      <c r="BU2733">
        <v>0</v>
      </c>
      <c r="CE2733" t="str">
        <f t="shared" si="992"/>
        <v>19:32:49.912</v>
      </c>
      <c r="CF2733">
        <v>911620667</v>
      </c>
      <c r="CS2733">
        <v>0</v>
      </c>
      <c r="CT2733">
        <v>2</v>
      </c>
      <c r="CU2733">
        <v>0</v>
      </c>
      <c r="CV2733">
        <v>2</v>
      </c>
      <c r="CW2733">
        <v>0</v>
      </c>
      <c r="CX2733">
        <v>4</v>
      </c>
      <c r="CY2733">
        <v>7</v>
      </c>
      <c r="CZ2733" t="s">
        <v>131</v>
      </c>
      <c r="DA2733">
        <v>300</v>
      </c>
      <c r="DB2733">
        <v>0</v>
      </c>
      <c r="DC2733" t="s">
        <v>176</v>
      </c>
      <c r="DD2733" t="s">
        <v>177</v>
      </c>
      <c r="DG2733">
        <v>5419697</v>
      </c>
      <c r="DI2733">
        <v>1</v>
      </c>
      <c r="DJ2733">
        <v>0</v>
      </c>
      <c r="DK2733">
        <v>1</v>
      </c>
      <c r="DL2733">
        <v>0</v>
      </c>
      <c r="DM2733">
        <v>0</v>
      </c>
      <c r="DN2733">
        <v>1</v>
      </c>
      <c r="DO2733">
        <v>0</v>
      </c>
      <c r="DP2733">
        <v>0</v>
      </c>
      <c r="DQ2733">
        <v>0</v>
      </c>
      <c r="DR2733">
        <v>0</v>
      </c>
      <c r="DS2733">
        <v>0</v>
      </c>
    </row>
    <row r="2734" spans="1:123" x14ac:dyDescent="0.3">
      <c r="A2734" t="str">
        <f>"10/04/2022 19:32:50.121"</f>
        <v>10/04/2022 19:32:50.121</v>
      </c>
      <c r="C2734" t="str">
        <f t="shared" si="991"/>
        <v>FFDDD3C0</v>
      </c>
      <c r="D2734" t="s">
        <v>141</v>
      </c>
      <c r="E2734">
        <v>4</v>
      </c>
      <c r="H2734">
        <v>4</v>
      </c>
      <c r="I2734" t="s">
        <v>142</v>
      </c>
      <c r="J2734" t="s">
        <v>138</v>
      </c>
      <c r="K2734">
        <v>0</v>
      </c>
      <c r="L2734">
        <v>3</v>
      </c>
      <c r="M2734">
        <v>0</v>
      </c>
      <c r="N2734">
        <v>2</v>
      </c>
      <c r="O2734">
        <v>0</v>
      </c>
      <c r="P2734">
        <v>1</v>
      </c>
      <c r="Q2734">
        <v>0</v>
      </c>
      <c r="S2734" t="str">
        <f t="shared" si="989"/>
        <v>19:32:49.000</v>
      </c>
      <c r="T2734" t="str">
        <f t="shared" si="989"/>
        <v>19:32:49.000</v>
      </c>
      <c r="U2734" t="str">
        <f t="shared" si="978"/>
        <v>AC3944</v>
      </c>
      <c r="V2734">
        <v>0</v>
      </c>
      <c r="W2734">
        <v>0</v>
      </c>
      <c r="X2734">
        <v>2</v>
      </c>
      <c r="Y2734">
        <v>0</v>
      </c>
      <c r="AA2734">
        <v>1</v>
      </c>
      <c r="AB2734">
        <v>8</v>
      </c>
      <c r="AC2734">
        <v>3</v>
      </c>
      <c r="AD2734">
        <v>0</v>
      </c>
      <c r="AE2734">
        <v>9</v>
      </c>
      <c r="AF2734" t="s">
        <v>138</v>
      </c>
      <c r="AG2734">
        <v>0</v>
      </c>
      <c r="AH2734">
        <v>3</v>
      </c>
      <c r="AI2734">
        <v>1</v>
      </c>
      <c r="AJ2734">
        <v>0</v>
      </c>
      <c r="AK2734" t="s">
        <v>926</v>
      </c>
      <c r="AL2734">
        <v>32.740609999999997</v>
      </c>
      <c r="AM2734" t="s">
        <v>927</v>
      </c>
      <c r="AN2734">
        <v>-116.76379</v>
      </c>
      <c r="AO2734">
        <v>25</v>
      </c>
      <c r="AP2734">
        <v>3500</v>
      </c>
      <c r="AQ2734" t="s">
        <v>129</v>
      </c>
      <c r="AR2734">
        <v>91</v>
      </c>
      <c r="AS2734">
        <v>-92</v>
      </c>
      <c r="AT2734">
        <v>448</v>
      </c>
      <c r="BB2734">
        <v>1200</v>
      </c>
      <c r="BC2734">
        <v>1</v>
      </c>
      <c r="BD2734" t="str">
        <f t="shared" si="979"/>
        <v xml:space="preserve">N887QR  </v>
      </c>
      <c r="BE2734">
        <v>1</v>
      </c>
      <c r="BJ2734">
        <v>3275</v>
      </c>
      <c r="BK2734">
        <v>-225</v>
      </c>
      <c r="BL2734" t="s">
        <v>163</v>
      </c>
      <c r="BM2734">
        <v>1</v>
      </c>
      <c r="BN2734">
        <v>1</v>
      </c>
      <c r="BO2734">
        <v>1</v>
      </c>
      <c r="BP2734">
        <v>0</v>
      </c>
      <c r="BS2734">
        <v>0.16</v>
      </c>
      <c r="BT2734">
        <v>0</v>
      </c>
      <c r="BU2734">
        <v>0</v>
      </c>
      <c r="CE2734" t="str">
        <f t="shared" si="992"/>
        <v>19:32:49.912</v>
      </c>
      <c r="CF2734">
        <v>911620667</v>
      </c>
      <c r="CS2734">
        <v>0</v>
      </c>
      <c r="CT2734">
        <v>2</v>
      </c>
      <c r="CU2734">
        <v>0</v>
      </c>
      <c r="CV2734">
        <v>2</v>
      </c>
      <c r="CW2734">
        <v>0</v>
      </c>
      <c r="CX2734">
        <v>4</v>
      </c>
      <c r="CY2734">
        <v>7</v>
      </c>
      <c r="CZ2734" t="s">
        <v>131</v>
      </c>
      <c r="DA2734">
        <v>300</v>
      </c>
      <c r="DB2734">
        <v>0</v>
      </c>
      <c r="DC2734" t="s">
        <v>176</v>
      </c>
      <c r="DD2734" t="s">
        <v>177</v>
      </c>
      <c r="DG2734">
        <v>5419697</v>
      </c>
      <c r="DI2734">
        <v>1</v>
      </c>
      <c r="DJ2734">
        <v>0</v>
      </c>
      <c r="DK2734">
        <v>1</v>
      </c>
      <c r="DL2734">
        <v>0</v>
      </c>
      <c r="DM2734">
        <v>0</v>
      </c>
      <c r="DN2734">
        <v>1</v>
      </c>
      <c r="DO2734">
        <v>0</v>
      </c>
      <c r="DP2734">
        <v>0</v>
      </c>
      <c r="DQ2734">
        <v>0</v>
      </c>
      <c r="DR2734">
        <v>0</v>
      </c>
      <c r="DS2734">
        <v>0</v>
      </c>
    </row>
    <row r="2735" spans="1:123" x14ac:dyDescent="0.3">
      <c r="A2735" t="str">
        <f>"10/04/2022 19:32:50.121"</f>
        <v>10/04/2022 19:32:50.121</v>
      </c>
      <c r="C2735" t="str">
        <f t="shared" si="991"/>
        <v>FFDDD3C0</v>
      </c>
      <c r="D2735" t="s">
        <v>147</v>
      </c>
      <c r="E2735">
        <v>3</v>
      </c>
      <c r="H2735">
        <v>166</v>
      </c>
      <c r="I2735" t="s">
        <v>144</v>
      </c>
      <c r="J2735" t="s">
        <v>148</v>
      </c>
      <c r="K2735">
        <v>0</v>
      </c>
      <c r="L2735">
        <v>3</v>
      </c>
      <c r="M2735">
        <v>0</v>
      </c>
      <c r="N2735">
        <v>2</v>
      </c>
      <c r="O2735">
        <v>0</v>
      </c>
      <c r="P2735">
        <v>1</v>
      </c>
      <c r="Q2735">
        <v>0</v>
      </c>
      <c r="S2735" t="str">
        <f t="shared" si="989"/>
        <v>19:32:49.000</v>
      </c>
      <c r="T2735" t="str">
        <f t="shared" si="989"/>
        <v>19:32:49.000</v>
      </c>
      <c r="U2735" t="str">
        <f t="shared" si="978"/>
        <v>AC3944</v>
      </c>
      <c r="V2735">
        <v>0</v>
      </c>
      <c r="W2735">
        <v>0</v>
      </c>
      <c r="X2735">
        <v>2</v>
      </c>
      <c r="Y2735">
        <v>0</v>
      </c>
      <c r="AA2735">
        <v>1</v>
      </c>
      <c r="AB2735">
        <v>8</v>
      </c>
      <c r="AC2735">
        <v>3</v>
      </c>
      <c r="AD2735">
        <v>0</v>
      </c>
      <c r="AE2735">
        <v>9</v>
      </c>
      <c r="AF2735" t="s">
        <v>138</v>
      </c>
      <c r="AG2735">
        <v>0</v>
      </c>
      <c r="AH2735">
        <v>3</v>
      </c>
      <c r="AI2735">
        <v>1</v>
      </c>
      <c r="AJ2735">
        <v>0</v>
      </c>
      <c r="AK2735" t="s">
        <v>926</v>
      </c>
      <c r="AL2735">
        <v>32.740609999999997</v>
      </c>
      <c r="AM2735" t="s">
        <v>927</v>
      </c>
      <c r="AN2735">
        <v>-116.76379</v>
      </c>
      <c r="AO2735">
        <v>25</v>
      </c>
      <c r="AP2735">
        <v>3500</v>
      </c>
      <c r="AQ2735" t="s">
        <v>129</v>
      </c>
      <c r="AR2735">
        <v>91</v>
      </c>
      <c r="AS2735">
        <v>-92</v>
      </c>
      <c r="AT2735">
        <v>448</v>
      </c>
      <c r="BB2735">
        <v>1200</v>
      </c>
      <c r="BC2735">
        <v>1</v>
      </c>
      <c r="BD2735" t="str">
        <f t="shared" si="979"/>
        <v xml:space="preserve">N887QR  </v>
      </c>
      <c r="BE2735">
        <v>1</v>
      </c>
      <c r="BJ2735">
        <v>3275</v>
      </c>
      <c r="BK2735">
        <v>-225</v>
      </c>
      <c r="BL2735" t="s">
        <v>163</v>
      </c>
      <c r="BM2735">
        <v>1</v>
      </c>
      <c r="BN2735">
        <v>1</v>
      </c>
      <c r="BO2735">
        <v>1</v>
      </c>
      <c r="BP2735">
        <v>0</v>
      </c>
      <c r="BS2735">
        <v>0.16</v>
      </c>
      <c r="BT2735">
        <v>0</v>
      </c>
      <c r="BU2735">
        <v>0</v>
      </c>
      <c r="CE2735" t="str">
        <f t="shared" si="992"/>
        <v>19:32:49.912</v>
      </c>
      <c r="CF2735">
        <v>911620667</v>
      </c>
      <c r="CS2735">
        <v>0</v>
      </c>
      <c r="CT2735">
        <v>2</v>
      </c>
      <c r="CU2735">
        <v>0</v>
      </c>
      <c r="CV2735">
        <v>2</v>
      </c>
      <c r="CW2735">
        <v>0</v>
      </c>
      <c r="CX2735">
        <v>4</v>
      </c>
      <c r="CY2735">
        <v>7</v>
      </c>
      <c r="CZ2735" t="s">
        <v>131</v>
      </c>
      <c r="DA2735">
        <v>300</v>
      </c>
      <c r="DB2735">
        <v>0</v>
      </c>
      <c r="DC2735" t="s">
        <v>176</v>
      </c>
      <c r="DD2735" t="s">
        <v>177</v>
      </c>
      <c r="DG2735">
        <v>5419697</v>
      </c>
      <c r="DI2735">
        <v>1</v>
      </c>
      <c r="DJ2735">
        <v>0</v>
      </c>
      <c r="DK2735">
        <v>1</v>
      </c>
      <c r="DL2735">
        <v>0</v>
      </c>
      <c r="DM2735">
        <v>0</v>
      </c>
      <c r="DN2735">
        <v>1</v>
      </c>
      <c r="DO2735">
        <v>0</v>
      </c>
      <c r="DP2735">
        <v>0</v>
      </c>
      <c r="DQ2735">
        <v>0</v>
      </c>
      <c r="DR2735">
        <v>0</v>
      </c>
      <c r="DS2735">
        <v>0</v>
      </c>
    </row>
    <row r="2736" spans="1:123" x14ac:dyDescent="0.3">
      <c r="A2736" t="str">
        <f>"10/04/2022 19:32:50.152"</f>
        <v>10/04/2022 19:32:50.152</v>
      </c>
      <c r="C2736" t="str">
        <f t="shared" si="991"/>
        <v>FFDDD3C0</v>
      </c>
      <c r="D2736" t="s">
        <v>134</v>
      </c>
      <c r="E2736">
        <v>15</v>
      </c>
      <c r="J2736" t="s">
        <v>135</v>
      </c>
      <c r="K2736">
        <v>0</v>
      </c>
      <c r="L2736">
        <v>3</v>
      </c>
      <c r="M2736">
        <v>0</v>
      </c>
      <c r="N2736">
        <v>2</v>
      </c>
      <c r="O2736">
        <v>0</v>
      </c>
      <c r="P2736">
        <v>1</v>
      </c>
      <c r="Q2736">
        <v>0</v>
      </c>
      <c r="S2736" t="str">
        <f t="shared" si="989"/>
        <v>19:32:49.000</v>
      </c>
      <c r="T2736" t="str">
        <f t="shared" si="989"/>
        <v>19:32:49.000</v>
      </c>
      <c r="U2736" t="str">
        <f t="shared" si="978"/>
        <v>AC3944</v>
      </c>
      <c r="V2736">
        <v>0</v>
      </c>
      <c r="W2736">
        <v>0</v>
      </c>
      <c r="X2736">
        <v>2</v>
      </c>
      <c r="Y2736">
        <v>0</v>
      </c>
      <c r="AA2736">
        <v>1</v>
      </c>
      <c r="AB2736">
        <v>8</v>
      </c>
      <c r="AC2736">
        <v>3</v>
      </c>
      <c r="AD2736">
        <v>0</v>
      </c>
      <c r="AE2736">
        <v>9</v>
      </c>
      <c r="AF2736" t="s">
        <v>138</v>
      </c>
      <c r="AG2736">
        <v>0</v>
      </c>
      <c r="AH2736">
        <v>3</v>
      </c>
      <c r="AI2736">
        <v>1</v>
      </c>
      <c r="AJ2736">
        <v>0</v>
      </c>
      <c r="AK2736" t="s">
        <v>926</v>
      </c>
      <c r="AL2736">
        <v>32.740609999999997</v>
      </c>
      <c r="AM2736" t="s">
        <v>927</v>
      </c>
      <c r="AN2736">
        <v>-116.76379</v>
      </c>
      <c r="AO2736">
        <v>25</v>
      </c>
      <c r="AP2736">
        <v>3500</v>
      </c>
      <c r="AQ2736" t="s">
        <v>129</v>
      </c>
      <c r="AR2736">
        <v>91</v>
      </c>
      <c r="AS2736">
        <v>-92</v>
      </c>
      <c r="AT2736">
        <v>448</v>
      </c>
      <c r="BB2736">
        <v>1200</v>
      </c>
      <c r="BC2736">
        <v>1</v>
      </c>
      <c r="BD2736" t="str">
        <f t="shared" si="979"/>
        <v xml:space="preserve">N887QR  </v>
      </c>
      <c r="BE2736">
        <v>1</v>
      </c>
      <c r="BJ2736">
        <v>3275</v>
      </c>
      <c r="BK2736">
        <v>-225</v>
      </c>
      <c r="BL2736" t="s">
        <v>163</v>
      </c>
      <c r="BM2736">
        <v>1</v>
      </c>
      <c r="BN2736">
        <v>1</v>
      </c>
      <c r="BO2736">
        <v>1</v>
      </c>
      <c r="BP2736">
        <v>0</v>
      </c>
      <c r="BS2736">
        <v>0.04</v>
      </c>
      <c r="BT2736">
        <v>0</v>
      </c>
      <c r="BU2736">
        <v>0</v>
      </c>
      <c r="CE2736" t="str">
        <f t="shared" si="992"/>
        <v>19:32:49.912</v>
      </c>
      <c r="CF2736">
        <v>911620667</v>
      </c>
      <c r="CS2736">
        <v>0</v>
      </c>
      <c r="CT2736">
        <v>2</v>
      </c>
      <c r="CU2736">
        <v>0</v>
      </c>
      <c r="CV2736">
        <v>2</v>
      </c>
      <c r="CW2736">
        <v>0</v>
      </c>
      <c r="CX2736">
        <v>4</v>
      </c>
      <c r="CY2736">
        <v>7</v>
      </c>
      <c r="CZ2736" t="s">
        <v>131</v>
      </c>
      <c r="DA2736">
        <v>300</v>
      </c>
      <c r="DB2736">
        <v>0</v>
      </c>
      <c r="DC2736" t="s">
        <v>176</v>
      </c>
      <c r="DD2736" t="s">
        <v>177</v>
      </c>
      <c r="DG2736">
        <v>5419697</v>
      </c>
      <c r="DI2736">
        <v>1</v>
      </c>
      <c r="DJ2736">
        <v>0</v>
      </c>
      <c r="DK2736">
        <v>1</v>
      </c>
      <c r="DL2736">
        <v>0</v>
      </c>
      <c r="DM2736">
        <v>0</v>
      </c>
      <c r="DN2736">
        <v>1</v>
      </c>
      <c r="DO2736">
        <v>0</v>
      </c>
      <c r="DP2736">
        <v>0</v>
      </c>
      <c r="DQ2736">
        <v>0</v>
      </c>
      <c r="DR2736">
        <v>0</v>
      </c>
      <c r="DS2736">
        <v>0</v>
      </c>
    </row>
    <row r="2737" spans="1:123" x14ac:dyDescent="0.3">
      <c r="A2737" t="str">
        <f>"10/04/2022 19:32:50.277"</f>
        <v>10/04/2022 19:32:50.277</v>
      </c>
      <c r="C2737" t="str">
        <f t="shared" si="991"/>
        <v>FFDDD3C0</v>
      </c>
      <c r="D2737" t="s">
        <v>136</v>
      </c>
      <c r="E2737">
        <v>8</v>
      </c>
      <c r="H2737">
        <v>225</v>
      </c>
      <c r="I2737" t="s">
        <v>137</v>
      </c>
      <c r="J2737" t="s">
        <v>138</v>
      </c>
      <c r="K2737">
        <v>0</v>
      </c>
      <c r="L2737">
        <v>3</v>
      </c>
      <c r="M2737">
        <v>0</v>
      </c>
      <c r="N2737">
        <v>2</v>
      </c>
      <c r="O2737">
        <v>0</v>
      </c>
      <c r="P2737">
        <v>1</v>
      </c>
      <c r="Q2737">
        <v>0</v>
      </c>
      <c r="S2737" t="str">
        <f t="shared" si="989"/>
        <v>19:32:49.000</v>
      </c>
      <c r="T2737" t="str">
        <f t="shared" si="989"/>
        <v>19:32:49.000</v>
      </c>
      <c r="U2737" t="str">
        <f t="shared" si="978"/>
        <v>AC3944</v>
      </c>
      <c r="V2737">
        <v>0</v>
      </c>
      <c r="W2737">
        <v>0</v>
      </c>
      <c r="X2737">
        <v>2</v>
      </c>
      <c r="Y2737">
        <v>0</v>
      </c>
      <c r="AA2737">
        <v>1</v>
      </c>
      <c r="AB2737">
        <v>8</v>
      </c>
      <c r="AC2737">
        <v>3</v>
      </c>
      <c r="AD2737">
        <v>0</v>
      </c>
      <c r="AE2737">
        <v>9</v>
      </c>
      <c r="AF2737" t="s">
        <v>138</v>
      </c>
      <c r="AG2737">
        <v>0</v>
      </c>
      <c r="AH2737">
        <v>3</v>
      </c>
      <c r="AI2737">
        <v>1</v>
      </c>
      <c r="AJ2737">
        <v>0</v>
      </c>
      <c r="AK2737" t="s">
        <v>926</v>
      </c>
      <c r="AL2737">
        <v>32.740609999999997</v>
      </c>
      <c r="AM2737" t="s">
        <v>927</v>
      </c>
      <c r="AN2737">
        <v>-116.76379</v>
      </c>
      <c r="AO2737">
        <v>25</v>
      </c>
      <c r="AP2737">
        <v>3500</v>
      </c>
      <c r="AQ2737" t="s">
        <v>129</v>
      </c>
      <c r="AR2737">
        <v>91</v>
      </c>
      <c r="AS2737">
        <v>-92</v>
      </c>
      <c r="AT2737">
        <v>448</v>
      </c>
      <c r="BB2737">
        <v>1200</v>
      </c>
      <c r="BC2737">
        <v>1</v>
      </c>
      <c r="BD2737" t="str">
        <f t="shared" si="979"/>
        <v xml:space="preserve">N887QR  </v>
      </c>
      <c r="BE2737">
        <v>1</v>
      </c>
      <c r="BJ2737">
        <v>3275</v>
      </c>
      <c r="BK2737">
        <v>-225</v>
      </c>
      <c r="BL2737" t="s">
        <v>163</v>
      </c>
      <c r="BM2737">
        <v>1</v>
      </c>
      <c r="BN2737">
        <v>1</v>
      </c>
      <c r="BO2737">
        <v>1</v>
      </c>
      <c r="BP2737">
        <v>0</v>
      </c>
      <c r="BS2737">
        <v>0.16</v>
      </c>
      <c r="BT2737">
        <v>0</v>
      </c>
      <c r="BU2737">
        <v>0</v>
      </c>
      <c r="CE2737" t="str">
        <f t="shared" si="992"/>
        <v>19:32:49.912</v>
      </c>
      <c r="CF2737">
        <v>911620667</v>
      </c>
      <c r="CS2737">
        <v>0</v>
      </c>
      <c r="CT2737">
        <v>2</v>
      </c>
      <c r="CU2737">
        <v>0</v>
      </c>
      <c r="CV2737">
        <v>2</v>
      </c>
      <c r="CW2737">
        <v>0</v>
      </c>
      <c r="CX2737">
        <v>4</v>
      </c>
      <c r="CY2737">
        <v>7</v>
      </c>
      <c r="CZ2737" t="s">
        <v>131</v>
      </c>
      <c r="DA2737">
        <v>300</v>
      </c>
      <c r="DB2737">
        <v>0</v>
      </c>
      <c r="DC2737" t="s">
        <v>176</v>
      </c>
      <c r="DD2737" t="s">
        <v>177</v>
      </c>
      <c r="DG2737">
        <v>5419697</v>
      </c>
      <c r="DI2737">
        <v>1</v>
      </c>
      <c r="DJ2737">
        <v>0</v>
      </c>
      <c r="DK2737">
        <v>1</v>
      </c>
      <c r="DL2737">
        <v>0</v>
      </c>
      <c r="DM2737">
        <v>0</v>
      </c>
      <c r="DN2737">
        <v>1</v>
      </c>
      <c r="DO2737">
        <v>0</v>
      </c>
      <c r="DP2737">
        <v>0</v>
      </c>
      <c r="DQ2737">
        <v>0</v>
      </c>
      <c r="DR2737">
        <v>0</v>
      </c>
      <c r="DS2737">
        <v>0</v>
      </c>
    </row>
    <row r="2738" spans="1:123" x14ac:dyDescent="0.3">
      <c r="A2738" t="str">
        <f>"10/04/2022 19:32:52.400"</f>
        <v>10/04/2022 19:32:52.400</v>
      </c>
      <c r="C2738" t="str">
        <f t="shared" si="991"/>
        <v>FFDDD3C0</v>
      </c>
      <c r="D2738" t="s">
        <v>141</v>
      </c>
      <c r="E2738">
        <v>4</v>
      </c>
      <c r="H2738">
        <v>4</v>
      </c>
      <c r="I2738" t="s">
        <v>142</v>
      </c>
      <c r="J2738" t="s">
        <v>138</v>
      </c>
      <c r="K2738">
        <v>0</v>
      </c>
      <c r="L2738">
        <v>3</v>
      </c>
      <c r="M2738">
        <v>0</v>
      </c>
      <c r="N2738">
        <v>2</v>
      </c>
      <c r="O2738">
        <v>0</v>
      </c>
      <c r="P2738">
        <v>1</v>
      </c>
      <c r="Q2738">
        <v>0</v>
      </c>
      <c r="S2738" t="str">
        <f t="shared" ref="S2738:T2741" si="993">"19:32:51.000"</f>
        <v>19:32:51.000</v>
      </c>
      <c r="T2738" t="str">
        <f t="shared" si="993"/>
        <v>19:32:51.000</v>
      </c>
      <c r="U2738" t="str">
        <f t="shared" si="978"/>
        <v>AC3944</v>
      </c>
      <c r="V2738">
        <v>0</v>
      </c>
      <c r="W2738">
        <v>0</v>
      </c>
      <c r="X2738">
        <v>2</v>
      </c>
      <c r="Y2738">
        <v>0</v>
      </c>
      <c r="AA2738">
        <v>1</v>
      </c>
      <c r="AB2738">
        <v>8</v>
      </c>
      <c r="AC2738">
        <v>3</v>
      </c>
      <c r="AD2738">
        <v>0</v>
      </c>
      <c r="AE2738">
        <v>9</v>
      </c>
      <c r="AF2738" t="s">
        <v>138</v>
      </c>
      <c r="AG2738">
        <v>0</v>
      </c>
      <c r="AH2738">
        <v>3</v>
      </c>
      <c r="AI2738">
        <v>1</v>
      </c>
      <c r="AJ2738">
        <v>0</v>
      </c>
      <c r="AK2738" t="s">
        <v>928</v>
      </c>
      <c r="AL2738">
        <v>32.739750999999998</v>
      </c>
      <c r="AM2738" t="s">
        <v>929</v>
      </c>
      <c r="AN2738">
        <v>-116.762781</v>
      </c>
      <c r="AO2738">
        <v>25</v>
      </c>
      <c r="AP2738">
        <v>3500</v>
      </c>
      <c r="AQ2738" t="s">
        <v>129</v>
      </c>
      <c r="AR2738">
        <v>93</v>
      </c>
      <c r="AS2738">
        <v>-92</v>
      </c>
      <c r="AT2738">
        <v>448</v>
      </c>
      <c r="BB2738">
        <v>1200</v>
      </c>
      <c r="BC2738">
        <v>1</v>
      </c>
      <c r="BD2738" t="str">
        <f t="shared" si="979"/>
        <v xml:space="preserve">N887QR  </v>
      </c>
      <c r="BE2738">
        <v>1</v>
      </c>
      <c r="BJ2738">
        <v>3275</v>
      </c>
      <c r="BK2738">
        <v>-225</v>
      </c>
      <c r="BL2738" t="s">
        <v>163</v>
      </c>
      <c r="BM2738">
        <v>1</v>
      </c>
      <c r="BN2738">
        <v>1</v>
      </c>
      <c r="BO2738">
        <v>1</v>
      </c>
      <c r="BP2738">
        <v>0</v>
      </c>
      <c r="BS2738">
        <v>0.16</v>
      </c>
      <c r="BT2738">
        <v>0</v>
      </c>
      <c r="BU2738">
        <v>0</v>
      </c>
      <c r="CE2738" t="str">
        <f>"19:32:51.945"</f>
        <v>19:32:51.945</v>
      </c>
      <c r="CF2738">
        <v>945377500</v>
      </c>
      <c r="CS2738">
        <v>0</v>
      </c>
      <c r="CT2738">
        <v>2</v>
      </c>
      <c r="CU2738">
        <v>0</v>
      </c>
      <c r="CV2738">
        <v>2</v>
      </c>
      <c r="CW2738">
        <v>1</v>
      </c>
      <c r="CX2738">
        <v>4</v>
      </c>
      <c r="CY2738">
        <v>7</v>
      </c>
      <c r="CZ2738" t="s">
        <v>131</v>
      </c>
      <c r="DA2738">
        <v>300</v>
      </c>
      <c r="DB2738">
        <v>0</v>
      </c>
      <c r="DC2738" t="s">
        <v>176</v>
      </c>
      <c r="DD2738" t="s">
        <v>177</v>
      </c>
      <c r="DG2738">
        <v>5420025</v>
      </c>
      <c r="DI2738">
        <v>1</v>
      </c>
      <c r="DJ2738">
        <v>0</v>
      </c>
      <c r="DK2738">
        <v>0</v>
      </c>
      <c r="DL2738">
        <v>0</v>
      </c>
      <c r="DM2738">
        <v>0</v>
      </c>
      <c r="DN2738">
        <v>1</v>
      </c>
      <c r="DO2738">
        <v>0</v>
      </c>
      <c r="DP2738">
        <v>0</v>
      </c>
      <c r="DQ2738">
        <v>0</v>
      </c>
      <c r="DR2738">
        <v>0</v>
      </c>
      <c r="DS2738">
        <v>0</v>
      </c>
    </row>
    <row r="2739" spans="1:123" x14ac:dyDescent="0.3">
      <c r="A2739" t="str">
        <f>"10/04/2022 19:32:52.400"</f>
        <v>10/04/2022 19:32:52.400</v>
      </c>
      <c r="C2739" t="str">
        <f t="shared" si="991"/>
        <v>FFDDD3C0</v>
      </c>
      <c r="D2739" t="s">
        <v>147</v>
      </c>
      <c r="E2739">
        <v>3</v>
      </c>
      <c r="H2739">
        <v>166</v>
      </c>
      <c r="I2739" t="s">
        <v>144</v>
      </c>
      <c r="J2739" t="s">
        <v>148</v>
      </c>
      <c r="K2739">
        <v>0</v>
      </c>
      <c r="L2739">
        <v>3</v>
      </c>
      <c r="M2739">
        <v>0</v>
      </c>
      <c r="N2739">
        <v>2</v>
      </c>
      <c r="O2739">
        <v>0</v>
      </c>
      <c r="P2739">
        <v>1</v>
      </c>
      <c r="Q2739">
        <v>0</v>
      </c>
      <c r="S2739" t="str">
        <f t="shared" si="993"/>
        <v>19:32:51.000</v>
      </c>
      <c r="T2739" t="str">
        <f t="shared" si="993"/>
        <v>19:32:51.000</v>
      </c>
      <c r="U2739" t="str">
        <f t="shared" si="978"/>
        <v>AC3944</v>
      </c>
      <c r="V2739">
        <v>0</v>
      </c>
      <c r="W2739">
        <v>0</v>
      </c>
      <c r="X2739">
        <v>2</v>
      </c>
      <c r="Y2739">
        <v>0</v>
      </c>
      <c r="AA2739">
        <v>1</v>
      </c>
      <c r="AB2739">
        <v>8</v>
      </c>
      <c r="AC2739">
        <v>3</v>
      </c>
      <c r="AD2739">
        <v>0</v>
      </c>
      <c r="AE2739">
        <v>9</v>
      </c>
      <c r="AF2739" t="s">
        <v>138</v>
      </c>
      <c r="AG2739">
        <v>0</v>
      </c>
      <c r="AH2739">
        <v>3</v>
      </c>
      <c r="AI2739">
        <v>1</v>
      </c>
      <c r="AJ2739">
        <v>0</v>
      </c>
      <c r="AK2739" t="s">
        <v>928</v>
      </c>
      <c r="AL2739">
        <v>32.739750999999998</v>
      </c>
      <c r="AM2739" t="s">
        <v>929</v>
      </c>
      <c r="AN2739">
        <v>-116.762781</v>
      </c>
      <c r="AO2739">
        <v>25</v>
      </c>
      <c r="AP2739">
        <v>3500</v>
      </c>
      <c r="AQ2739" t="s">
        <v>129</v>
      </c>
      <c r="AR2739">
        <v>93</v>
      </c>
      <c r="AS2739">
        <v>-92</v>
      </c>
      <c r="AT2739">
        <v>448</v>
      </c>
      <c r="BB2739">
        <v>1200</v>
      </c>
      <c r="BC2739">
        <v>1</v>
      </c>
      <c r="BD2739" t="str">
        <f t="shared" si="979"/>
        <v xml:space="preserve">N887QR  </v>
      </c>
      <c r="BE2739">
        <v>1</v>
      </c>
      <c r="BJ2739">
        <v>3275</v>
      </c>
      <c r="BK2739">
        <v>-225</v>
      </c>
      <c r="BL2739" t="s">
        <v>163</v>
      </c>
      <c r="BM2739">
        <v>1</v>
      </c>
      <c r="BN2739">
        <v>1</v>
      </c>
      <c r="BO2739">
        <v>1</v>
      </c>
      <c r="BP2739">
        <v>0</v>
      </c>
      <c r="BS2739">
        <v>0.16</v>
      </c>
      <c r="BT2739">
        <v>0</v>
      </c>
      <c r="BU2739">
        <v>0</v>
      </c>
      <c r="CE2739" t="str">
        <f>"19:32:51.945"</f>
        <v>19:32:51.945</v>
      </c>
      <c r="CF2739">
        <v>945377500</v>
      </c>
      <c r="CS2739">
        <v>0</v>
      </c>
      <c r="CT2739">
        <v>2</v>
      </c>
      <c r="CU2739">
        <v>0</v>
      </c>
      <c r="CV2739">
        <v>2</v>
      </c>
      <c r="CW2739">
        <v>1</v>
      </c>
      <c r="CX2739">
        <v>4</v>
      </c>
      <c r="CY2739">
        <v>7</v>
      </c>
      <c r="CZ2739" t="s">
        <v>131</v>
      </c>
      <c r="DA2739">
        <v>300</v>
      </c>
      <c r="DB2739">
        <v>0</v>
      </c>
      <c r="DC2739" t="s">
        <v>176</v>
      </c>
      <c r="DD2739" t="s">
        <v>177</v>
      </c>
      <c r="DG2739">
        <v>5420025</v>
      </c>
      <c r="DI2739">
        <v>1</v>
      </c>
      <c r="DJ2739">
        <v>0</v>
      </c>
      <c r="DK2739">
        <v>1</v>
      </c>
      <c r="DL2739">
        <v>0</v>
      </c>
      <c r="DM2739">
        <v>0</v>
      </c>
      <c r="DN2739">
        <v>1</v>
      </c>
      <c r="DO2739">
        <v>0</v>
      </c>
      <c r="DP2739">
        <v>0</v>
      </c>
      <c r="DQ2739">
        <v>0</v>
      </c>
      <c r="DR2739">
        <v>0</v>
      </c>
      <c r="DS2739">
        <v>0</v>
      </c>
    </row>
    <row r="2740" spans="1:123" x14ac:dyDescent="0.3">
      <c r="A2740" t="str">
        <f>"10/04/2022 19:32:52.400"</f>
        <v>10/04/2022 19:32:52.400</v>
      </c>
      <c r="C2740" t="str">
        <f t="shared" si="991"/>
        <v>FFDDD3C0</v>
      </c>
      <c r="D2740" t="s">
        <v>134</v>
      </c>
      <c r="E2740">
        <v>15</v>
      </c>
      <c r="J2740" t="s">
        <v>135</v>
      </c>
      <c r="K2740">
        <v>0</v>
      </c>
      <c r="L2740">
        <v>3</v>
      </c>
      <c r="M2740">
        <v>0</v>
      </c>
      <c r="N2740">
        <v>2</v>
      </c>
      <c r="O2740">
        <v>0</v>
      </c>
      <c r="P2740">
        <v>1</v>
      </c>
      <c r="Q2740">
        <v>0</v>
      </c>
      <c r="S2740" t="str">
        <f t="shared" si="993"/>
        <v>19:32:51.000</v>
      </c>
      <c r="T2740" t="str">
        <f t="shared" si="993"/>
        <v>19:32:51.000</v>
      </c>
      <c r="U2740" t="str">
        <f t="shared" si="978"/>
        <v>AC3944</v>
      </c>
      <c r="V2740">
        <v>0</v>
      </c>
      <c r="W2740">
        <v>0</v>
      </c>
      <c r="X2740">
        <v>2</v>
      </c>
      <c r="Y2740">
        <v>0</v>
      </c>
      <c r="AA2740">
        <v>1</v>
      </c>
      <c r="AB2740">
        <v>8</v>
      </c>
      <c r="AC2740">
        <v>3</v>
      </c>
      <c r="AD2740">
        <v>0</v>
      </c>
      <c r="AE2740">
        <v>9</v>
      </c>
      <c r="AF2740" t="s">
        <v>138</v>
      </c>
      <c r="AG2740">
        <v>0</v>
      </c>
      <c r="AH2740">
        <v>3</v>
      </c>
      <c r="AI2740">
        <v>1</v>
      </c>
      <c r="AJ2740">
        <v>0</v>
      </c>
      <c r="AK2740" t="s">
        <v>928</v>
      </c>
      <c r="AL2740">
        <v>32.739750999999998</v>
      </c>
      <c r="AM2740" t="s">
        <v>929</v>
      </c>
      <c r="AN2740">
        <v>-116.762781</v>
      </c>
      <c r="AO2740">
        <v>25</v>
      </c>
      <c r="AP2740">
        <v>3500</v>
      </c>
      <c r="AQ2740" t="s">
        <v>129</v>
      </c>
      <c r="AR2740">
        <v>93</v>
      </c>
      <c r="AS2740">
        <v>-92</v>
      </c>
      <c r="AT2740">
        <v>448</v>
      </c>
      <c r="BB2740">
        <v>1200</v>
      </c>
      <c r="BC2740">
        <v>1</v>
      </c>
      <c r="BD2740" t="str">
        <f t="shared" si="979"/>
        <v xml:space="preserve">N887QR  </v>
      </c>
      <c r="BE2740">
        <v>1</v>
      </c>
      <c r="BJ2740">
        <v>3275</v>
      </c>
      <c r="BK2740">
        <v>-225</v>
      </c>
      <c r="BL2740" t="s">
        <v>163</v>
      </c>
      <c r="BM2740">
        <v>1</v>
      </c>
      <c r="BN2740">
        <v>1</v>
      </c>
      <c r="BO2740">
        <v>1</v>
      </c>
      <c r="BP2740">
        <v>0</v>
      </c>
      <c r="BS2740">
        <v>0.04</v>
      </c>
      <c r="BT2740">
        <v>0</v>
      </c>
      <c r="BU2740">
        <v>0</v>
      </c>
      <c r="CE2740" t="str">
        <f>"19:32:51.945"</f>
        <v>19:32:51.945</v>
      </c>
      <c r="CF2740">
        <v>945377500</v>
      </c>
      <c r="CS2740">
        <v>0</v>
      </c>
      <c r="CT2740">
        <v>2</v>
      </c>
      <c r="CU2740">
        <v>0</v>
      </c>
      <c r="CV2740">
        <v>2</v>
      </c>
      <c r="CW2740">
        <v>1</v>
      </c>
      <c r="CX2740">
        <v>4</v>
      </c>
      <c r="CY2740">
        <v>7</v>
      </c>
      <c r="CZ2740" t="s">
        <v>131</v>
      </c>
      <c r="DA2740">
        <v>300</v>
      </c>
      <c r="DB2740">
        <v>0</v>
      </c>
      <c r="DC2740" t="s">
        <v>176</v>
      </c>
      <c r="DD2740" t="s">
        <v>177</v>
      </c>
      <c r="DG2740">
        <v>5420025</v>
      </c>
      <c r="DI2740">
        <v>1</v>
      </c>
      <c r="DJ2740">
        <v>0</v>
      </c>
      <c r="DK2740">
        <v>1</v>
      </c>
      <c r="DL2740">
        <v>0</v>
      </c>
      <c r="DM2740">
        <v>0</v>
      </c>
      <c r="DN2740">
        <v>1</v>
      </c>
      <c r="DO2740">
        <v>0</v>
      </c>
      <c r="DP2740">
        <v>0</v>
      </c>
      <c r="DQ2740">
        <v>0</v>
      </c>
      <c r="DR2740">
        <v>0</v>
      </c>
      <c r="DS2740">
        <v>0</v>
      </c>
    </row>
    <row r="2741" spans="1:123" x14ac:dyDescent="0.3">
      <c r="A2741" t="str">
        <f>"10/04/2022 19:32:52.400"</f>
        <v>10/04/2022 19:32:52.400</v>
      </c>
      <c r="C2741" t="str">
        <f t="shared" si="991"/>
        <v>FFDDD3C0</v>
      </c>
      <c r="D2741" t="s">
        <v>143</v>
      </c>
      <c r="E2741">
        <v>20</v>
      </c>
      <c r="F2741">
        <v>1020</v>
      </c>
      <c r="G2741" t="s">
        <v>144</v>
      </c>
      <c r="J2741" t="s">
        <v>145</v>
      </c>
      <c r="K2741">
        <v>0</v>
      </c>
      <c r="L2741">
        <v>3</v>
      </c>
      <c r="M2741">
        <v>0</v>
      </c>
      <c r="N2741">
        <v>2</v>
      </c>
      <c r="O2741">
        <v>0</v>
      </c>
      <c r="P2741">
        <v>1</v>
      </c>
      <c r="Q2741">
        <v>0</v>
      </c>
      <c r="S2741" t="str">
        <f t="shared" si="993"/>
        <v>19:32:51.000</v>
      </c>
      <c r="T2741" t="str">
        <f t="shared" si="993"/>
        <v>19:32:51.000</v>
      </c>
      <c r="U2741" t="str">
        <f t="shared" si="978"/>
        <v>AC3944</v>
      </c>
      <c r="V2741">
        <v>0</v>
      </c>
      <c r="W2741">
        <v>0</v>
      </c>
      <c r="X2741">
        <v>2</v>
      </c>
      <c r="Y2741">
        <v>0</v>
      </c>
      <c r="AA2741">
        <v>1</v>
      </c>
      <c r="AB2741">
        <v>8</v>
      </c>
      <c r="AC2741">
        <v>3</v>
      </c>
      <c r="AD2741">
        <v>0</v>
      </c>
      <c r="AE2741">
        <v>9</v>
      </c>
      <c r="AF2741" t="s">
        <v>138</v>
      </c>
      <c r="AG2741">
        <v>0</v>
      </c>
      <c r="AH2741">
        <v>3</v>
      </c>
      <c r="AI2741">
        <v>1</v>
      </c>
      <c r="AJ2741">
        <v>0</v>
      </c>
      <c r="AK2741" t="s">
        <v>928</v>
      </c>
      <c r="AL2741">
        <v>32.739750999999998</v>
      </c>
      <c r="AM2741" t="s">
        <v>929</v>
      </c>
      <c r="AN2741">
        <v>-116.762781</v>
      </c>
      <c r="AO2741">
        <v>25</v>
      </c>
      <c r="AP2741">
        <v>3500</v>
      </c>
      <c r="AQ2741" t="s">
        <v>129</v>
      </c>
      <c r="AR2741">
        <v>93</v>
      </c>
      <c r="AS2741">
        <v>-92</v>
      </c>
      <c r="AT2741">
        <v>448</v>
      </c>
      <c r="BB2741">
        <v>1200</v>
      </c>
      <c r="BC2741">
        <v>1</v>
      </c>
      <c r="BD2741" t="str">
        <f t="shared" si="979"/>
        <v xml:space="preserve">N887QR  </v>
      </c>
      <c r="BE2741">
        <v>1</v>
      </c>
      <c r="BJ2741">
        <v>3275</v>
      </c>
      <c r="BK2741">
        <v>-225</v>
      </c>
      <c r="BL2741" t="s">
        <v>163</v>
      </c>
      <c r="BM2741">
        <v>1</v>
      </c>
      <c r="BN2741">
        <v>1</v>
      </c>
      <c r="BO2741">
        <v>1</v>
      </c>
      <c r="BP2741">
        <v>0</v>
      </c>
      <c r="BS2741">
        <v>0.04</v>
      </c>
      <c r="BT2741">
        <v>0</v>
      </c>
      <c r="BU2741">
        <v>0</v>
      </c>
      <c r="CE2741" t="str">
        <f>"19:32:51.945"</f>
        <v>19:32:51.945</v>
      </c>
      <c r="CF2741">
        <v>945377500</v>
      </c>
      <c r="CS2741">
        <v>0</v>
      </c>
      <c r="CT2741">
        <v>2</v>
      </c>
      <c r="CU2741">
        <v>0</v>
      </c>
      <c r="CV2741">
        <v>2</v>
      </c>
      <c r="CW2741">
        <v>1</v>
      </c>
      <c r="CX2741">
        <v>4</v>
      </c>
      <c r="CY2741">
        <v>7</v>
      </c>
      <c r="CZ2741" t="s">
        <v>131</v>
      </c>
      <c r="DA2741">
        <v>300</v>
      </c>
      <c r="DB2741">
        <v>0</v>
      </c>
      <c r="DC2741" t="s">
        <v>176</v>
      </c>
      <c r="DD2741" t="s">
        <v>177</v>
      </c>
      <c r="DG2741">
        <v>5420025</v>
      </c>
      <c r="DI2741">
        <v>1</v>
      </c>
      <c r="DJ2741">
        <v>0</v>
      </c>
      <c r="DK2741">
        <v>0</v>
      </c>
      <c r="DL2741">
        <v>0</v>
      </c>
      <c r="DM2741">
        <v>0</v>
      </c>
      <c r="DN2741">
        <v>1</v>
      </c>
      <c r="DO2741">
        <v>0</v>
      </c>
      <c r="DP2741">
        <v>0</v>
      </c>
      <c r="DQ2741">
        <v>0</v>
      </c>
      <c r="DR2741">
        <v>0</v>
      </c>
      <c r="DS2741">
        <v>0</v>
      </c>
    </row>
    <row r="2742" spans="1:123" x14ac:dyDescent="0.3">
      <c r="A2742" t="str">
        <f>"10/04/2022 19:32:53.103"</f>
        <v>10/04/2022 19:32:53.103</v>
      </c>
      <c r="C2742" t="str">
        <f t="shared" si="991"/>
        <v>FFDDD3C0</v>
      </c>
      <c r="D2742" t="s">
        <v>143</v>
      </c>
      <c r="E2742">
        <v>20</v>
      </c>
      <c r="F2742">
        <v>1020</v>
      </c>
      <c r="G2742" t="s">
        <v>144</v>
      </c>
      <c r="J2742" t="s">
        <v>145</v>
      </c>
      <c r="K2742">
        <v>0</v>
      </c>
      <c r="L2742">
        <v>3</v>
      </c>
      <c r="M2742">
        <v>0</v>
      </c>
      <c r="N2742">
        <v>2</v>
      </c>
      <c r="O2742">
        <v>0</v>
      </c>
      <c r="P2742">
        <v>1</v>
      </c>
      <c r="Q2742">
        <v>0</v>
      </c>
      <c r="S2742" t="str">
        <f t="shared" ref="S2742:T2748" si="994">"19:32:52.000"</f>
        <v>19:32:52.000</v>
      </c>
      <c r="T2742" t="str">
        <f t="shared" si="994"/>
        <v>19:32:52.000</v>
      </c>
      <c r="U2742" t="str">
        <f t="shared" si="978"/>
        <v>AC3944</v>
      </c>
      <c r="V2742">
        <v>0</v>
      </c>
      <c r="W2742">
        <v>0</v>
      </c>
      <c r="X2742">
        <v>2</v>
      </c>
      <c r="Y2742">
        <v>0</v>
      </c>
      <c r="AA2742">
        <v>1</v>
      </c>
      <c r="AB2742">
        <v>8</v>
      </c>
      <c r="AC2742">
        <v>3</v>
      </c>
      <c r="AD2742">
        <v>0</v>
      </c>
      <c r="AE2742">
        <v>9</v>
      </c>
      <c r="AF2742" t="s">
        <v>138</v>
      </c>
      <c r="AG2742">
        <v>0</v>
      </c>
      <c r="AH2742">
        <v>3</v>
      </c>
      <c r="AI2742">
        <v>1</v>
      </c>
      <c r="AJ2742">
        <v>0</v>
      </c>
      <c r="AK2742" t="s">
        <v>930</v>
      </c>
      <c r="AL2742">
        <v>32.739322000000001</v>
      </c>
      <c r="AM2742" t="s">
        <v>931</v>
      </c>
      <c r="AN2742">
        <v>-116.762266</v>
      </c>
      <c r="AO2742">
        <v>25</v>
      </c>
      <c r="AP2742">
        <v>3500</v>
      </c>
      <c r="AQ2742" t="s">
        <v>129</v>
      </c>
      <c r="AR2742">
        <v>94</v>
      </c>
      <c r="AS2742">
        <v>-91</v>
      </c>
      <c r="AT2742">
        <v>384</v>
      </c>
      <c r="BB2742">
        <v>1200</v>
      </c>
      <c r="BC2742">
        <v>1</v>
      </c>
      <c r="BD2742" t="str">
        <f t="shared" si="979"/>
        <v xml:space="preserve">N887QR  </v>
      </c>
      <c r="BE2742">
        <v>1</v>
      </c>
      <c r="BJ2742">
        <v>3300</v>
      </c>
      <c r="BK2742">
        <v>-200</v>
      </c>
      <c r="BL2742" t="s">
        <v>163</v>
      </c>
      <c r="BM2742">
        <v>1</v>
      </c>
      <c r="BN2742">
        <v>1</v>
      </c>
      <c r="BO2742">
        <v>1</v>
      </c>
      <c r="BP2742">
        <v>0</v>
      </c>
      <c r="BS2742">
        <v>0.04</v>
      </c>
      <c r="BT2742">
        <v>0</v>
      </c>
      <c r="BU2742">
        <v>0</v>
      </c>
      <c r="CE2742" t="str">
        <f t="shared" ref="CE2742:CE2748" si="995">"19:32:52.858"</f>
        <v>19:32:52.858</v>
      </c>
      <c r="CF2742">
        <v>858130693</v>
      </c>
      <c r="CS2742">
        <v>0</v>
      </c>
      <c r="CT2742">
        <v>2</v>
      </c>
      <c r="CU2742">
        <v>0</v>
      </c>
      <c r="CV2742">
        <v>2</v>
      </c>
      <c r="CW2742">
        <v>0</v>
      </c>
      <c r="CX2742">
        <v>4</v>
      </c>
      <c r="CY2742">
        <v>7</v>
      </c>
      <c r="CZ2742" t="s">
        <v>131</v>
      </c>
      <c r="DA2742">
        <v>300</v>
      </c>
      <c r="DB2742">
        <v>0</v>
      </c>
      <c r="DC2742" t="s">
        <v>176</v>
      </c>
      <c r="DD2742" t="s">
        <v>177</v>
      </c>
      <c r="DG2742">
        <v>5420158</v>
      </c>
      <c r="DI2742">
        <v>1</v>
      </c>
      <c r="DJ2742">
        <v>0</v>
      </c>
      <c r="DK2742">
        <v>0</v>
      </c>
      <c r="DL2742">
        <v>0</v>
      </c>
      <c r="DM2742">
        <v>0</v>
      </c>
      <c r="DN2742">
        <v>1</v>
      </c>
      <c r="DO2742">
        <v>0</v>
      </c>
      <c r="DP2742">
        <v>0</v>
      </c>
      <c r="DQ2742">
        <v>0</v>
      </c>
      <c r="DR2742">
        <v>0</v>
      </c>
      <c r="DS2742">
        <v>0</v>
      </c>
    </row>
    <row r="2743" spans="1:123" x14ac:dyDescent="0.3">
      <c r="A2743" t="str">
        <f>"10/04/2022 19:32:53.103"</f>
        <v>10/04/2022 19:32:53.103</v>
      </c>
      <c r="C2743" t="str">
        <f t="shared" si="991"/>
        <v>FFDDD3C0</v>
      </c>
      <c r="D2743" t="s">
        <v>134</v>
      </c>
      <c r="E2743">
        <v>15</v>
      </c>
      <c r="J2743" t="s">
        <v>135</v>
      </c>
      <c r="K2743">
        <v>0</v>
      </c>
      <c r="L2743">
        <v>3</v>
      </c>
      <c r="M2743">
        <v>0</v>
      </c>
      <c r="N2743">
        <v>2</v>
      </c>
      <c r="O2743">
        <v>0</v>
      </c>
      <c r="P2743">
        <v>1</v>
      </c>
      <c r="Q2743">
        <v>0</v>
      </c>
      <c r="S2743" t="str">
        <f t="shared" si="994"/>
        <v>19:32:52.000</v>
      </c>
      <c r="T2743" t="str">
        <f t="shared" si="994"/>
        <v>19:32:52.000</v>
      </c>
      <c r="U2743" t="str">
        <f t="shared" si="978"/>
        <v>AC3944</v>
      </c>
      <c r="V2743">
        <v>0</v>
      </c>
      <c r="W2743">
        <v>0</v>
      </c>
      <c r="X2743">
        <v>2</v>
      </c>
      <c r="Y2743">
        <v>0</v>
      </c>
      <c r="AA2743">
        <v>1</v>
      </c>
      <c r="AB2743">
        <v>8</v>
      </c>
      <c r="AC2743">
        <v>3</v>
      </c>
      <c r="AD2743">
        <v>0</v>
      </c>
      <c r="AE2743">
        <v>9</v>
      </c>
      <c r="AF2743" t="s">
        <v>138</v>
      </c>
      <c r="AG2743">
        <v>0</v>
      </c>
      <c r="AH2743">
        <v>3</v>
      </c>
      <c r="AI2743">
        <v>1</v>
      </c>
      <c r="AJ2743">
        <v>0</v>
      </c>
      <c r="AK2743" t="s">
        <v>930</v>
      </c>
      <c r="AL2743">
        <v>32.739322000000001</v>
      </c>
      <c r="AM2743" t="s">
        <v>931</v>
      </c>
      <c r="AN2743">
        <v>-116.762266</v>
      </c>
      <c r="AO2743">
        <v>25</v>
      </c>
      <c r="AP2743">
        <v>3500</v>
      </c>
      <c r="AQ2743" t="s">
        <v>129</v>
      </c>
      <c r="AR2743">
        <v>94</v>
      </c>
      <c r="AS2743">
        <v>-91</v>
      </c>
      <c r="AT2743">
        <v>384</v>
      </c>
      <c r="BB2743">
        <v>1200</v>
      </c>
      <c r="BC2743">
        <v>1</v>
      </c>
      <c r="BD2743" t="str">
        <f t="shared" si="979"/>
        <v xml:space="preserve">N887QR  </v>
      </c>
      <c r="BE2743">
        <v>1</v>
      </c>
      <c r="BJ2743">
        <v>3300</v>
      </c>
      <c r="BK2743">
        <v>-200</v>
      </c>
      <c r="BL2743" t="s">
        <v>163</v>
      </c>
      <c r="BM2743">
        <v>1</v>
      </c>
      <c r="BN2743">
        <v>1</v>
      </c>
      <c r="BO2743">
        <v>1</v>
      </c>
      <c r="BP2743">
        <v>0</v>
      </c>
      <c r="BS2743">
        <v>0.04</v>
      </c>
      <c r="BT2743">
        <v>0</v>
      </c>
      <c r="BU2743">
        <v>0</v>
      </c>
      <c r="CE2743" t="str">
        <f t="shared" si="995"/>
        <v>19:32:52.858</v>
      </c>
      <c r="CF2743">
        <v>858130693</v>
      </c>
      <c r="CS2743">
        <v>0</v>
      </c>
      <c r="CT2743">
        <v>2</v>
      </c>
      <c r="CU2743">
        <v>0</v>
      </c>
      <c r="CV2743">
        <v>2</v>
      </c>
      <c r="CW2743">
        <v>0</v>
      </c>
      <c r="CX2743">
        <v>4</v>
      </c>
      <c r="CY2743">
        <v>7</v>
      </c>
      <c r="CZ2743" t="s">
        <v>131</v>
      </c>
      <c r="DA2743">
        <v>300</v>
      </c>
      <c r="DB2743">
        <v>0</v>
      </c>
      <c r="DC2743" t="s">
        <v>176</v>
      </c>
      <c r="DD2743" t="s">
        <v>177</v>
      </c>
      <c r="DG2743">
        <v>5420158</v>
      </c>
      <c r="DI2743">
        <v>1</v>
      </c>
      <c r="DJ2743">
        <v>0</v>
      </c>
      <c r="DK2743">
        <v>1</v>
      </c>
      <c r="DL2743">
        <v>0</v>
      </c>
      <c r="DM2743">
        <v>0</v>
      </c>
      <c r="DN2743">
        <v>1</v>
      </c>
      <c r="DO2743">
        <v>0</v>
      </c>
      <c r="DP2743">
        <v>0</v>
      </c>
      <c r="DQ2743">
        <v>0</v>
      </c>
      <c r="DR2743">
        <v>0</v>
      </c>
      <c r="DS2743">
        <v>0</v>
      </c>
    </row>
    <row r="2744" spans="1:123" x14ac:dyDescent="0.3">
      <c r="A2744" t="str">
        <f>"10/04/2022 19:32:53.103"</f>
        <v>10/04/2022 19:32:53.103</v>
      </c>
      <c r="C2744" t="str">
        <f t="shared" si="991"/>
        <v>FFDDD3C0</v>
      </c>
      <c r="D2744" t="s">
        <v>136</v>
      </c>
      <c r="E2744">
        <v>8</v>
      </c>
      <c r="H2744">
        <v>225</v>
      </c>
      <c r="I2744" t="s">
        <v>137</v>
      </c>
      <c r="J2744" t="s">
        <v>138</v>
      </c>
      <c r="K2744">
        <v>0</v>
      </c>
      <c r="L2744">
        <v>3</v>
      </c>
      <c r="M2744">
        <v>0</v>
      </c>
      <c r="N2744">
        <v>2</v>
      </c>
      <c r="O2744">
        <v>0</v>
      </c>
      <c r="P2744">
        <v>1</v>
      </c>
      <c r="Q2744">
        <v>0</v>
      </c>
      <c r="S2744" t="str">
        <f t="shared" si="994"/>
        <v>19:32:52.000</v>
      </c>
      <c r="T2744" t="str">
        <f t="shared" si="994"/>
        <v>19:32:52.000</v>
      </c>
      <c r="U2744" t="str">
        <f t="shared" si="978"/>
        <v>AC3944</v>
      </c>
      <c r="V2744">
        <v>0</v>
      </c>
      <c r="W2744">
        <v>0</v>
      </c>
      <c r="X2744">
        <v>2</v>
      </c>
      <c r="Y2744">
        <v>0</v>
      </c>
      <c r="AA2744">
        <v>1</v>
      </c>
      <c r="AB2744">
        <v>8</v>
      </c>
      <c r="AC2744">
        <v>3</v>
      </c>
      <c r="AD2744">
        <v>0</v>
      </c>
      <c r="AE2744">
        <v>9</v>
      </c>
      <c r="AF2744" t="s">
        <v>138</v>
      </c>
      <c r="AG2744">
        <v>0</v>
      </c>
      <c r="AH2744">
        <v>3</v>
      </c>
      <c r="AI2744">
        <v>1</v>
      </c>
      <c r="AJ2744">
        <v>0</v>
      </c>
      <c r="AK2744" t="s">
        <v>930</v>
      </c>
      <c r="AL2744">
        <v>32.739322000000001</v>
      </c>
      <c r="AM2744" t="s">
        <v>931</v>
      </c>
      <c r="AN2744">
        <v>-116.762266</v>
      </c>
      <c r="AO2744">
        <v>25</v>
      </c>
      <c r="AP2744">
        <v>3500</v>
      </c>
      <c r="AQ2744" t="s">
        <v>129</v>
      </c>
      <c r="AR2744">
        <v>94</v>
      </c>
      <c r="AS2744">
        <v>-91</v>
      </c>
      <c r="AT2744">
        <v>384</v>
      </c>
      <c r="BB2744">
        <v>1200</v>
      </c>
      <c r="BC2744">
        <v>1</v>
      </c>
      <c r="BD2744" t="str">
        <f t="shared" si="979"/>
        <v xml:space="preserve">N887QR  </v>
      </c>
      <c r="BE2744">
        <v>1</v>
      </c>
      <c r="BJ2744">
        <v>3300</v>
      </c>
      <c r="BK2744">
        <v>-200</v>
      </c>
      <c r="BL2744" t="s">
        <v>163</v>
      </c>
      <c r="BM2744">
        <v>1</v>
      </c>
      <c r="BN2744">
        <v>1</v>
      </c>
      <c r="BO2744">
        <v>1</v>
      </c>
      <c r="BP2744">
        <v>0</v>
      </c>
      <c r="BS2744">
        <v>0.16</v>
      </c>
      <c r="BT2744">
        <v>0</v>
      </c>
      <c r="BU2744">
        <v>0</v>
      </c>
      <c r="CE2744" t="str">
        <f t="shared" si="995"/>
        <v>19:32:52.858</v>
      </c>
      <c r="CF2744">
        <v>858130693</v>
      </c>
      <c r="CS2744">
        <v>0</v>
      </c>
      <c r="CT2744">
        <v>2</v>
      </c>
      <c r="CU2744">
        <v>0</v>
      </c>
      <c r="CV2744">
        <v>2</v>
      </c>
      <c r="CW2744">
        <v>0</v>
      </c>
      <c r="CX2744">
        <v>4</v>
      </c>
      <c r="CY2744">
        <v>7</v>
      </c>
      <c r="CZ2744" t="s">
        <v>131</v>
      </c>
      <c r="DA2744">
        <v>300</v>
      </c>
      <c r="DB2744">
        <v>0</v>
      </c>
      <c r="DC2744" t="s">
        <v>176</v>
      </c>
      <c r="DD2744" t="s">
        <v>177</v>
      </c>
      <c r="DG2744">
        <v>5420158</v>
      </c>
      <c r="DI2744">
        <v>1</v>
      </c>
      <c r="DJ2744">
        <v>0</v>
      </c>
      <c r="DK2744">
        <v>1</v>
      </c>
      <c r="DL2744">
        <v>0</v>
      </c>
      <c r="DM2744">
        <v>0</v>
      </c>
      <c r="DN2744">
        <v>1</v>
      </c>
      <c r="DO2744">
        <v>0</v>
      </c>
      <c r="DP2744">
        <v>0</v>
      </c>
      <c r="DQ2744">
        <v>0</v>
      </c>
      <c r="DR2744">
        <v>0</v>
      </c>
      <c r="DS2744">
        <v>0</v>
      </c>
    </row>
    <row r="2745" spans="1:123" x14ac:dyDescent="0.3">
      <c r="A2745" t="str">
        <f>"10/04/2022 19:32:53.103"</f>
        <v>10/04/2022 19:32:53.103</v>
      </c>
      <c r="C2745" t="str">
        <f t="shared" si="991"/>
        <v>FFDDD3C0</v>
      </c>
      <c r="D2745" t="s">
        <v>123</v>
      </c>
      <c r="E2745">
        <v>7</v>
      </c>
      <c r="F2745">
        <v>2007</v>
      </c>
      <c r="G2745" t="s">
        <v>124</v>
      </c>
      <c r="J2745" t="s">
        <v>125</v>
      </c>
      <c r="K2745">
        <v>0</v>
      </c>
      <c r="L2745">
        <v>3</v>
      </c>
      <c r="M2745">
        <v>0</v>
      </c>
      <c r="N2745">
        <v>2</v>
      </c>
      <c r="O2745">
        <v>0</v>
      </c>
      <c r="P2745">
        <v>1</v>
      </c>
      <c r="Q2745">
        <v>0</v>
      </c>
      <c r="S2745" t="str">
        <f t="shared" si="994"/>
        <v>19:32:52.000</v>
      </c>
      <c r="T2745" t="str">
        <f t="shared" si="994"/>
        <v>19:32:52.000</v>
      </c>
      <c r="U2745" t="str">
        <f t="shared" si="978"/>
        <v>AC3944</v>
      </c>
      <c r="V2745">
        <v>0</v>
      </c>
      <c r="W2745">
        <v>0</v>
      </c>
      <c r="X2745">
        <v>2</v>
      </c>
      <c r="Y2745">
        <v>0</v>
      </c>
      <c r="AA2745">
        <v>1</v>
      </c>
      <c r="AB2745">
        <v>8</v>
      </c>
      <c r="AC2745">
        <v>3</v>
      </c>
      <c r="AD2745">
        <v>0</v>
      </c>
      <c r="AE2745">
        <v>9</v>
      </c>
      <c r="AF2745" t="s">
        <v>138</v>
      </c>
      <c r="AG2745">
        <v>0</v>
      </c>
      <c r="AH2745">
        <v>3</v>
      </c>
      <c r="AI2745">
        <v>1</v>
      </c>
      <c r="AJ2745">
        <v>0</v>
      </c>
      <c r="AK2745" t="s">
        <v>930</v>
      </c>
      <c r="AL2745">
        <v>32.739322000000001</v>
      </c>
      <c r="AM2745" t="s">
        <v>931</v>
      </c>
      <c r="AN2745">
        <v>-116.762266</v>
      </c>
      <c r="AO2745">
        <v>25</v>
      </c>
      <c r="AP2745">
        <v>3500</v>
      </c>
      <c r="AQ2745" t="s">
        <v>129</v>
      </c>
      <c r="AR2745">
        <v>94</v>
      </c>
      <c r="AS2745">
        <v>-91</v>
      </c>
      <c r="AT2745">
        <v>384</v>
      </c>
      <c r="BB2745">
        <v>1200</v>
      </c>
      <c r="BC2745">
        <v>1</v>
      </c>
      <c r="BD2745" t="str">
        <f t="shared" si="979"/>
        <v xml:space="preserve">N887QR  </v>
      </c>
      <c r="BE2745">
        <v>1</v>
      </c>
      <c r="BJ2745">
        <v>3300</v>
      </c>
      <c r="BK2745">
        <v>-200</v>
      </c>
      <c r="BL2745" t="s">
        <v>163</v>
      </c>
      <c r="BM2745">
        <v>1</v>
      </c>
      <c r="BN2745">
        <v>1</v>
      </c>
      <c r="BO2745">
        <v>1</v>
      </c>
      <c r="BP2745">
        <v>0</v>
      </c>
      <c r="BS2745">
        <v>0.04</v>
      </c>
      <c r="BT2745">
        <v>0</v>
      </c>
      <c r="BU2745">
        <v>0</v>
      </c>
      <c r="CE2745" t="str">
        <f t="shared" si="995"/>
        <v>19:32:52.858</v>
      </c>
      <c r="CF2745">
        <v>858130693</v>
      </c>
      <c r="CS2745">
        <v>0</v>
      </c>
      <c r="CT2745">
        <v>2</v>
      </c>
      <c r="CU2745">
        <v>0</v>
      </c>
      <c r="CV2745">
        <v>2</v>
      </c>
      <c r="CW2745">
        <v>0</v>
      </c>
      <c r="CX2745">
        <v>4</v>
      </c>
      <c r="CY2745">
        <v>7</v>
      </c>
      <c r="CZ2745" t="s">
        <v>131</v>
      </c>
      <c r="DA2745">
        <v>300</v>
      </c>
      <c r="DB2745">
        <v>0</v>
      </c>
      <c r="DC2745" t="s">
        <v>176</v>
      </c>
      <c r="DD2745" t="s">
        <v>177</v>
      </c>
      <c r="DG2745">
        <v>5420158</v>
      </c>
      <c r="DI2745">
        <v>1</v>
      </c>
      <c r="DJ2745">
        <v>0</v>
      </c>
      <c r="DK2745">
        <v>1</v>
      </c>
      <c r="DL2745">
        <v>0</v>
      </c>
      <c r="DM2745">
        <v>0</v>
      </c>
      <c r="DN2745">
        <v>1</v>
      </c>
      <c r="DO2745">
        <v>0</v>
      </c>
      <c r="DP2745">
        <v>0</v>
      </c>
      <c r="DQ2745">
        <v>0</v>
      </c>
      <c r="DR2745">
        <v>0</v>
      </c>
      <c r="DS2745">
        <v>0</v>
      </c>
    </row>
    <row r="2746" spans="1:123" x14ac:dyDescent="0.3">
      <c r="A2746" t="str">
        <f>"10/04/2022 19:32:53.103"</f>
        <v>10/04/2022 19:32:53.103</v>
      </c>
      <c r="C2746" t="str">
        <f t="shared" si="991"/>
        <v>FFDDD3C0</v>
      </c>
      <c r="D2746" t="s">
        <v>141</v>
      </c>
      <c r="E2746">
        <v>3</v>
      </c>
      <c r="H2746">
        <v>3</v>
      </c>
      <c r="I2746" t="s">
        <v>146</v>
      </c>
      <c r="J2746" t="s">
        <v>138</v>
      </c>
      <c r="K2746">
        <v>0</v>
      </c>
      <c r="L2746">
        <v>3</v>
      </c>
      <c r="M2746">
        <v>0</v>
      </c>
      <c r="N2746">
        <v>2</v>
      </c>
      <c r="O2746">
        <v>0</v>
      </c>
      <c r="P2746">
        <v>1</v>
      </c>
      <c r="Q2746">
        <v>0</v>
      </c>
      <c r="S2746" t="str">
        <f t="shared" si="994"/>
        <v>19:32:52.000</v>
      </c>
      <c r="T2746" t="str">
        <f t="shared" si="994"/>
        <v>19:32:52.000</v>
      </c>
      <c r="U2746" t="str">
        <f t="shared" si="978"/>
        <v>AC3944</v>
      </c>
      <c r="V2746">
        <v>0</v>
      </c>
      <c r="W2746">
        <v>0</v>
      </c>
      <c r="X2746">
        <v>2</v>
      </c>
      <c r="Y2746">
        <v>0</v>
      </c>
      <c r="AA2746">
        <v>1</v>
      </c>
      <c r="AB2746">
        <v>8</v>
      </c>
      <c r="AC2746">
        <v>3</v>
      </c>
      <c r="AD2746">
        <v>0</v>
      </c>
      <c r="AE2746">
        <v>9</v>
      </c>
      <c r="AF2746" t="s">
        <v>138</v>
      </c>
      <c r="AG2746">
        <v>0</v>
      </c>
      <c r="AH2746">
        <v>3</v>
      </c>
      <c r="AI2746">
        <v>1</v>
      </c>
      <c r="AJ2746">
        <v>0</v>
      </c>
      <c r="AK2746" t="s">
        <v>930</v>
      </c>
      <c r="AL2746">
        <v>32.739322000000001</v>
      </c>
      <c r="AM2746" t="s">
        <v>931</v>
      </c>
      <c r="AN2746">
        <v>-116.762266</v>
      </c>
      <c r="AO2746">
        <v>25</v>
      </c>
      <c r="AP2746">
        <v>3500</v>
      </c>
      <c r="AQ2746" t="s">
        <v>129</v>
      </c>
      <c r="AR2746">
        <v>94</v>
      </c>
      <c r="AS2746">
        <v>-91</v>
      </c>
      <c r="AT2746">
        <v>384</v>
      </c>
      <c r="BB2746">
        <v>1200</v>
      </c>
      <c r="BC2746">
        <v>1</v>
      </c>
      <c r="BD2746" t="str">
        <f t="shared" si="979"/>
        <v xml:space="preserve">N887QR  </v>
      </c>
      <c r="BE2746">
        <v>1</v>
      </c>
      <c r="BJ2746">
        <v>3300</v>
      </c>
      <c r="BK2746">
        <v>-200</v>
      </c>
      <c r="BL2746" t="s">
        <v>163</v>
      </c>
      <c r="BM2746">
        <v>1</v>
      </c>
      <c r="BN2746">
        <v>1</v>
      </c>
      <c r="BO2746">
        <v>1</v>
      </c>
      <c r="BP2746">
        <v>0</v>
      </c>
      <c r="BS2746">
        <v>0.16</v>
      </c>
      <c r="BT2746">
        <v>0</v>
      </c>
      <c r="BU2746">
        <v>0</v>
      </c>
      <c r="CE2746" t="str">
        <f t="shared" si="995"/>
        <v>19:32:52.858</v>
      </c>
      <c r="CF2746">
        <v>858130693</v>
      </c>
      <c r="CS2746">
        <v>0</v>
      </c>
      <c r="CT2746">
        <v>2</v>
      </c>
      <c r="CU2746">
        <v>0</v>
      </c>
      <c r="CV2746">
        <v>2</v>
      </c>
      <c r="CW2746">
        <v>0</v>
      </c>
      <c r="CX2746">
        <v>4</v>
      </c>
      <c r="CY2746">
        <v>7</v>
      </c>
      <c r="CZ2746" t="s">
        <v>131</v>
      </c>
      <c r="DA2746">
        <v>300</v>
      </c>
      <c r="DB2746">
        <v>0</v>
      </c>
      <c r="DC2746" t="s">
        <v>176</v>
      </c>
      <c r="DD2746" t="s">
        <v>177</v>
      </c>
      <c r="DG2746">
        <v>5420158</v>
      </c>
      <c r="DI2746">
        <v>1</v>
      </c>
      <c r="DJ2746">
        <v>0</v>
      </c>
      <c r="DK2746">
        <v>1</v>
      </c>
      <c r="DL2746">
        <v>0</v>
      </c>
      <c r="DM2746">
        <v>0</v>
      </c>
      <c r="DN2746">
        <v>1</v>
      </c>
      <c r="DO2746">
        <v>0</v>
      </c>
      <c r="DP2746">
        <v>0</v>
      </c>
      <c r="DQ2746">
        <v>0</v>
      </c>
      <c r="DR2746">
        <v>0</v>
      </c>
      <c r="DS2746">
        <v>0</v>
      </c>
    </row>
    <row r="2747" spans="1:123" x14ac:dyDescent="0.3">
      <c r="A2747" t="str">
        <f>"10/04/2022 19:32:53.119"</f>
        <v>10/04/2022 19:32:53.119</v>
      </c>
      <c r="C2747" t="str">
        <f t="shared" si="991"/>
        <v>FFDDD3C0</v>
      </c>
      <c r="D2747" t="s">
        <v>141</v>
      </c>
      <c r="E2747">
        <v>4</v>
      </c>
      <c r="H2747">
        <v>4</v>
      </c>
      <c r="I2747" t="s">
        <v>142</v>
      </c>
      <c r="J2747" t="s">
        <v>138</v>
      </c>
      <c r="K2747">
        <v>0</v>
      </c>
      <c r="L2747">
        <v>3</v>
      </c>
      <c r="M2747">
        <v>0</v>
      </c>
      <c r="N2747">
        <v>2</v>
      </c>
      <c r="O2747">
        <v>0</v>
      </c>
      <c r="P2747">
        <v>1</v>
      </c>
      <c r="Q2747">
        <v>0</v>
      </c>
      <c r="S2747" t="str">
        <f t="shared" si="994"/>
        <v>19:32:52.000</v>
      </c>
      <c r="T2747" t="str">
        <f t="shared" si="994"/>
        <v>19:32:52.000</v>
      </c>
      <c r="U2747" t="str">
        <f t="shared" si="978"/>
        <v>AC3944</v>
      </c>
      <c r="V2747">
        <v>0</v>
      </c>
      <c r="W2747">
        <v>0</v>
      </c>
      <c r="X2747">
        <v>2</v>
      </c>
      <c r="Y2747">
        <v>0</v>
      </c>
      <c r="AA2747">
        <v>1</v>
      </c>
      <c r="AB2747">
        <v>8</v>
      </c>
      <c r="AC2747">
        <v>3</v>
      </c>
      <c r="AD2747">
        <v>0</v>
      </c>
      <c r="AE2747">
        <v>9</v>
      </c>
      <c r="AF2747" t="s">
        <v>138</v>
      </c>
      <c r="AG2747">
        <v>0</v>
      </c>
      <c r="AH2747">
        <v>3</v>
      </c>
      <c r="AI2747">
        <v>1</v>
      </c>
      <c r="AJ2747">
        <v>0</v>
      </c>
      <c r="AK2747" t="s">
        <v>930</v>
      </c>
      <c r="AL2747">
        <v>32.739322000000001</v>
      </c>
      <c r="AM2747" t="s">
        <v>931</v>
      </c>
      <c r="AN2747">
        <v>-116.762266</v>
      </c>
      <c r="AO2747">
        <v>25</v>
      </c>
      <c r="AP2747">
        <v>3500</v>
      </c>
      <c r="AQ2747" t="s">
        <v>129</v>
      </c>
      <c r="AR2747">
        <v>94</v>
      </c>
      <c r="AS2747">
        <v>-91</v>
      </c>
      <c r="AT2747">
        <v>384</v>
      </c>
      <c r="BB2747">
        <v>1200</v>
      </c>
      <c r="BC2747">
        <v>1</v>
      </c>
      <c r="BD2747" t="str">
        <f t="shared" si="979"/>
        <v xml:space="preserve">N887QR  </v>
      </c>
      <c r="BE2747">
        <v>1</v>
      </c>
      <c r="BJ2747">
        <v>3300</v>
      </c>
      <c r="BK2747">
        <v>-200</v>
      </c>
      <c r="BL2747" t="s">
        <v>163</v>
      </c>
      <c r="BM2747">
        <v>1</v>
      </c>
      <c r="BN2747">
        <v>1</v>
      </c>
      <c r="BO2747">
        <v>1</v>
      </c>
      <c r="BP2747">
        <v>0</v>
      </c>
      <c r="BS2747">
        <v>0.16</v>
      </c>
      <c r="BT2747">
        <v>0</v>
      </c>
      <c r="BU2747">
        <v>0</v>
      </c>
      <c r="CE2747" t="str">
        <f t="shared" si="995"/>
        <v>19:32:52.858</v>
      </c>
      <c r="CF2747">
        <v>858130693</v>
      </c>
      <c r="CS2747">
        <v>0</v>
      </c>
      <c r="CT2747">
        <v>2</v>
      </c>
      <c r="CU2747">
        <v>0</v>
      </c>
      <c r="CV2747">
        <v>2</v>
      </c>
      <c r="CW2747">
        <v>0</v>
      </c>
      <c r="CX2747">
        <v>4</v>
      </c>
      <c r="CY2747">
        <v>7</v>
      </c>
      <c r="CZ2747" t="s">
        <v>131</v>
      </c>
      <c r="DA2747">
        <v>300</v>
      </c>
      <c r="DB2747">
        <v>0</v>
      </c>
      <c r="DC2747" t="s">
        <v>176</v>
      </c>
      <c r="DD2747" t="s">
        <v>177</v>
      </c>
      <c r="DG2747">
        <v>5420158</v>
      </c>
      <c r="DI2747">
        <v>1</v>
      </c>
      <c r="DJ2747">
        <v>0</v>
      </c>
      <c r="DK2747">
        <v>1</v>
      </c>
      <c r="DL2747">
        <v>0</v>
      </c>
      <c r="DM2747">
        <v>0</v>
      </c>
      <c r="DN2747">
        <v>1</v>
      </c>
      <c r="DO2747">
        <v>0</v>
      </c>
      <c r="DP2747">
        <v>0</v>
      </c>
      <c r="DQ2747">
        <v>0</v>
      </c>
      <c r="DR2747">
        <v>0</v>
      </c>
      <c r="DS2747">
        <v>0</v>
      </c>
    </row>
    <row r="2748" spans="1:123" x14ac:dyDescent="0.3">
      <c r="A2748" t="str">
        <f>"10/04/2022 19:32:53.119"</f>
        <v>10/04/2022 19:32:53.119</v>
      </c>
      <c r="C2748" t="str">
        <f t="shared" si="991"/>
        <v>FFDDD3C0</v>
      </c>
      <c r="D2748" t="s">
        <v>147</v>
      </c>
      <c r="E2748">
        <v>3</v>
      </c>
      <c r="H2748">
        <v>166</v>
      </c>
      <c r="I2748" t="s">
        <v>144</v>
      </c>
      <c r="J2748" t="s">
        <v>148</v>
      </c>
      <c r="K2748">
        <v>0</v>
      </c>
      <c r="L2748">
        <v>3</v>
      </c>
      <c r="M2748">
        <v>0</v>
      </c>
      <c r="N2748">
        <v>2</v>
      </c>
      <c r="O2748">
        <v>0</v>
      </c>
      <c r="P2748">
        <v>1</v>
      </c>
      <c r="Q2748">
        <v>0</v>
      </c>
      <c r="S2748" t="str">
        <f t="shared" si="994"/>
        <v>19:32:52.000</v>
      </c>
      <c r="T2748" t="str">
        <f t="shared" si="994"/>
        <v>19:32:52.000</v>
      </c>
      <c r="U2748" t="str">
        <f t="shared" si="978"/>
        <v>AC3944</v>
      </c>
      <c r="V2748">
        <v>0</v>
      </c>
      <c r="W2748">
        <v>0</v>
      </c>
      <c r="X2748">
        <v>2</v>
      </c>
      <c r="Y2748">
        <v>0</v>
      </c>
      <c r="AA2748">
        <v>1</v>
      </c>
      <c r="AB2748">
        <v>8</v>
      </c>
      <c r="AC2748">
        <v>3</v>
      </c>
      <c r="AD2748">
        <v>0</v>
      </c>
      <c r="AE2748">
        <v>9</v>
      </c>
      <c r="AF2748" t="s">
        <v>138</v>
      </c>
      <c r="AG2748">
        <v>0</v>
      </c>
      <c r="AH2748">
        <v>3</v>
      </c>
      <c r="AI2748">
        <v>1</v>
      </c>
      <c r="AJ2748">
        <v>0</v>
      </c>
      <c r="AK2748" t="s">
        <v>930</v>
      </c>
      <c r="AL2748">
        <v>32.739322000000001</v>
      </c>
      <c r="AM2748" t="s">
        <v>931</v>
      </c>
      <c r="AN2748">
        <v>-116.762266</v>
      </c>
      <c r="AO2748">
        <v>25</v>
      </c>
      <c r="AP2748">
        <v>3500</v>
      </c>
      <c r="AQ2748" t="s">
        <v>129</v>
      </c>
      <c r="AR2748">
        <v>94</v>
      </c>
      <c r="AS2748">
        <v>-91</v>
      </c>
      <c r="AT2748">
        <v>384</v>
      </c>
      <c r="BB2748">
        <v>1200</v>
      </c>
      <c r="BC2748">
        <v>1</v>
      </c>
      <c r="BD2748" t="str">
        <f t="shared" si="979"/>
        <v xml:space="preserve">N887QR  </v>
      </c>
      <c r="BE2748">
        <v>1</v>
      </c>
      <c r="BJ2748">
        <v>3300</v>
      </c>
      <c r="BK2748">
        <v>-200</v>
      </c>
      <c r="BL2748" t="s">
        <v>163</v>
      </c>
      <c r="BM2748">
        <v>1</v>
      </c>
      <c r="BN2748">
        <v>1</v>
      </c>
      <c r="BO2748">
        <v>1</v>
      </c>
      <c r="BP2748">
        <v>0</v>
      </c>
      <c r="BS2748">
        <v>0.16</v>
      </c>
      <c r="BT2748">
        <v>0</v>
      </c>
      <c r="BU2748">
        <v>0</v>
      </c>
      <c r="CE2748" t="str">
        <f t="shared" si="995"/>
        <v>19:32:52.858</v>
      </c>
      <c r="CF2748">
        <v>858130693</v>
      </c>
      <c r="CS2748">
        <v>0</v>
      </c>
      <c r="CT2748">
        <v>2</v>
      </c>
      <c r="CU2748">
        <v>0</v>
      </c>
      <c r="CV2748">
        <v>2</v>
      </c>
      <c r="CW2748">
        <v>0</v>
      </c>
      <c r="CX2748">
        <v>4</v>
      </c>
      <c r="CY2748">
        <v>7</v>
      </c>
      <c r="CZ2748" t="s">
        <v>131</v>
      </c>
      <c r="DA2748">
        <v>300</v>
      </c>
      <c r="DB2748">
        <v>0</v>
      </c>
      <c r="DC2748" t="s">
        <v>176</v>
      </c>
      <c r="DD2748" t="s">
        <v>177</v>
      </c>
      <c r="DG2748">
        <v>5420158</v>
      </c>
      <c r="DI2748">
        <v>1</v>
      </c>
      <c r="DJ2748">
        <v>0</v>
      </c>
      <c r="DK2748">
        <v>1</v>
      </c>
      <c r="DL2748">
        <v>0</v>
      </c>
      <c r="DM2748">
        <v>0</v>
      </c>
      <c r="DN2748">
        <v>1</v>
      </c>
      <c r="DO2748">
        <v>0</v>
      </c>
      <c r="DP2748">
        <v>0</v>
      </c>
      <c r="DQ2748">
        <v>0</v>
      </c>
      <c r="DR2748">
        <v>0</v>
      </c>
      <c r="DS2748">
        <v>0</v>
      </c>
    </row>
    <row r="2749" spans="1:123" x14ac:dyDescent="0.3">
      <c r="A2749" t="str">
        <f>"10/04/2022 19:32:54.666"</f>
        <v>10/04/2022 19:32:54.666</v>
      </c>
      <c r="C2749" t="str">
        <f t="shared" si="991"/>
        <v>FFDDD3C0</v>
      </c>
      <c r="D2749" t="s">
        <v>147</v>
      </c>
      <c r="E2749">
        <v>3</v>
      </c>
      <c r="H2749">
        <v>166</v>
      </c>
      <c r="I2749" t="s">
        <v>144</v>
      </c>
      <c r="J2749" t="s">
        <v>148</v>
      </c>
      <c r="K2749">
        <v>0</v>
      </c>
      <c r="L2749">
        <v>3</v>
      </c>
      <c r="M2749">
        <v>0</v>
      </c>
      <c r="N2749">
        <v>2</v>
      </c>
      <c r="O2749">
        <v>0</v>
      </c>
      <c r="P2749">
        <v>1</v>
      </c>
      <c r="Q2749">
        <v>0</v>
      </c>
      <c r="S2749" t="str">
        <f t="shared" ref="S2749:T2755" si="996">"19:32:54.000"</f>
        <v>19:32:54.000</v>
      </c>
      <c r="T2749" t="str">
        <f t="shared" si="996"/>
        <v>19:32:54.000</v>
      </c>
      <c r="U2749" t="str">
        <f t="shared" si="978"/>
        <v>AC3944</v>
      </c>
      <c r="V2749">
        <v>0</v>
      </c>
      <c r="W2749">
        <v>0</v>
      </c>
      <c r="X2749">
        <v>2</v>
      </c>
      <c r="Y2749">
        <v>0</v>
      </c>
      <c r="AA2749">
        <v>1</v>
      </c>
      <c r="AB2749">
        <v>8</v>
      </c>
      <c r="AC2749">
        <v>3</v>
      </c>
      <c r="AD2749">
        <v>0</v>
      </c>
      <c r="AE2749">
        <v>9</v>
      </c>
      <c r="AF2749" t="s">
        <v>138</v>
      </c>
      <c r="AG2749">
        <v>0</v>
      </c>
      <c r="AH2749">
        <v>3</v>
      </c>
      <c r="AI2749">
        <v>1</v>
      </c>
      <c r="AJ2749">
        <v>0</v>
      </c>
      <c r="AK2749" t="s">
        <v>932</v>
      </c>
      <c r="AL2749">
        <v>32.738914000000001</v>
      </c>
      <c r="AM2749" t="s">
        <v>933</v>
      </c>
      <c r="AN2749">
        <v>-116.76173</v>
      </c>
      <c r="AO2749">
        <v>25</v>
      </c>
      <c r="AP2749">
        <v>3500</v>
      </c>
      <c r="AQ2749" t="s">
        <v>129</v>
      </c>
      <c r="AR2749">
        <v>96</v>
      </c>
      <c r="AS2749">
        <v>-91</v>
      </c>
      <c r="AT2749">
        <v>320</v>
      </c>
      <c r="BB2749">
        <v>1200</v>
      </c>
      <c r="BC2749">
        <v>1</v>
      </c>
      <c r="BD2749" t="str">
        <f t="shared" si="979"/>
        <v xml:space="preserve">N887QR  </v>
      </c>
      <c r="BE2749">
        <v>1</v>
      </c>
      <c r="BJ2749">
        <v>3300</v>
      </c>
      <c r="BK2749">
        <v>-200</v>
      </c>
      <c r="BL2749" t="s">
        <v>163</v>
      </c>
      <c r="BM2749">
        <v>1</v>
      </c>
      <c r="BN2749">
        <v>1</v>
      </c>
      <c r="BO2749">
        <v>1</v>
      </c>
      <c r="BP2749">
        <v>0</v>
      </c>
      <c r="BS2749">
        <v>0.16</v>
      </c>
      <c r="BT2749">
        <v>0</v>
      </c>
      <c r="BU2749">
        <v>0</v>
      </c>
      <c r="CE2749" t="str">
        <f t="shared" ref="CE2749:CE2755" si="997">"19:32:54.381"</f>
        <v>19:32:54.381</v>
      </c>
      <c r="CF2749">
        <v>381385786</v>
      </c>
      <c r="CS2749">
        <v>0</v>
      </c>
      <c r="CT2749">
        <v>2</v>
      </c>
      <c r="CU2749">
        <v>0</v>
      </c>
      <c r="CV2749">
        <v>2</v>
      </c>
      <c r="CW2749">
        <v>0</v>
      </c>
      <c r="CX2749">
        <v>4</v>
      </c>
      <c r="CY2749">
        <v>7</v>
      </c>
      <c r="CZ2749" t="s">
        <v>131</v>
      </c>
      <c r="DA2749">
        <v>300</v>
      </c>
      <c r="DB2749">
        <v>0</v>
      </c>
      <c r="DC2749" t="s">
        <v>176</v>
      </c>
      <c r="DD2749" t="s">
        <v>177</v>
      </c>
      <c r="DG2749">
        <v>5420389</v>
      </c>
      <c r="DI2749">
        <v>0</v>
      </c>
      <c r="DJ2749">
        <v>0</v>
      </c>
      <c r="DK2749">
        <v>0</v>
      </c>
      <c r="DL2749">
        <v>0</v>
      </c>
      <c r="DM2749">
        <v>0</v>
      </c>
      <c r="DN2749">
        <v>1</v>
      </c>
      <c r="DO2749">
        <v>0</v>
      </c>
      <c r="DP2749">
        <v>0</v>
      </c>
      <c r="DQ2749">
        <v>0</v>
      </c>
      <c r="DR2749">
        <v>0</v>
      </c>
      <c r="DS2749">
        <v>0</v>
      </c>
    </row>
    <row r="2750" spans="1:123" x14ac:dyDescent="0.3">
      <c r="A2750" t="str">
        <f>"10/04/2022 19:32:54.666"</f>
        <v>10/04/2022 19:32:54.666</v>
      </c>
      <c r="C2750" t="str">
        <f t="shared" si="991"/>
        <v>FFDDD3C0</v>
      </c>
      <c r="D2750" t="s">
        <v>143</v>
      </c>
      <c r="E2750">
        <v>20</v>
      </c>
      <c r="F2750">
        <v>1020</v>
      </c>
      <c r="G2750" t="s">
        <v>144</v>
      </c>
      <c r="J2750" t="s">
        <v>145</v>
      </c>
      <c r="K2750">
        <v>0</v>
      </c>
      <c r="L2750">
        <v>3</v>
      </c>
      <c r="M2750">
        <v>0</v>
      </c>
      <c r="N2750">
        <v>2</v>
      </c>
      <c r="O2750">
        <v>0</v>
      </c>
      <c r="P2750">
        <v>1</v>
      </c>
      <c r="Q2750">
        <v>0</v>
      </c>
      <c r="S2750" t="str">
        <f t="shared" si="996"/>
        <v>19:32:54.000</v>
      </c>
      <c r="T2750" t="str">
        <f t="shared" si="996"/>
        <v>19:32:54.000</v>
      </c>
      <c r="U2750" t="str">
        <f t="shared" si="978"/>
        <v>AC3944</v>
      </c>
      <c r="V2750">
        <v>0</v>
      </c>
      <c r="W2750">
        <v>0</v>
      </c>
      <c r="X2750">
        <v>2</v>
      </c>
      <c r="Y2750">
        <v>0</v>
      </c>
      <c r="AA2750">
        <v>1</v>
      </c>
      <c r="AB2750">
        <v>8</v>
      </c>
      <c r="AC2750">
        <v>3</v>
      </c>
      <c r="AD2750">
        <v>0</v>
      </c>
      <c r="AE2750">
        <v>9</v>
      </c>
      <c r="AF2750" t="s">
        <v>138</v>
      </c>
      <c r="AG2750">
        <v>0</v>
      </c>
      <c r="AH2750">
        <v>3</v>
      </c>
      <c r="AI2750">
        <v>1</v>
      </c>
      <c r="AJ2750">
        <v>0</v>
      </c>
      <c r="AK2750" t="s">
        <v>932</v>
      </c>
      <c r="AL2750">
        <v>32.738914000000001</v>
      </c>
      <c r="AM2750" t="s">
        <v>933</v>
      </c>
      <c r="AN2750">
        <v>-116.76173</v>
      </c>
      <c r="AO2750">
        <v>25</v>
      </c>
      <c r="AP2750">
        <v>3500</v>
      </c>
      <c r="AQ2750" t="s">
        <v>129</v>
      </c>
      <c r="AR2750">
        <v>96</v>
      </c>
      <c r="AS2750">
        <v>-91</v>
      </c>
      <c r="AT2750">
        <v>320</v>
      </c>
      <c r="BB2750">
        <v>1200</v>
      </c>
      <c r="BC2750">
        <v>1</v>
      </c>
      <c r="BD2750" t="str">
        <f t="shared" si="979"/>
        <v xml:space="preserve">N887QR  </v>
      </c>
      <c r="BE2750">
        <v>1</v>
      </c>
      <c r="BJ2750">
        <v>3300</v>
      </c>
      <c r="BK2750">
        <v>-200</v>
      </c>
      <c r="BL2750" t="s">
        <v>163</v>
      </c>
      <c r="BM2750">
        <v>1</v>
      </c>
      <c r="BN2750">
        <v>1</v>
      </c>
      <c r="BO2750">
        <v>1</v>
      </c>
      <c r="BP2750">
        <v>0</v>
      </c>
      <c r="BS2750">
        <v>0.04</v>
      </c>
      <c r="BT2750">
        <v>0</v>
      </c>
      <c r="BU2750">
        <v>0</v>
      </c>
      <c r="CE2750" t="str">
        <f t="shared" si="997"/>
        <v>19:32:54.381</v>
      </c>
      <c r="CF2750">
        <v>381385786</v>
      </c>
      <c r="CS2750">
        <v>0</v>
      </c>
      <c r="CT2750">
        <v>2</v>
      </c>
      <c r="CU2750">
        <v>0</v>
      </c>
      <c r="CV2750">
        <v>2</v>
      </c>
      <c r="CW2750">
        <v>0</v>
      </c>
      <c r="CX2750">
        <v>4</v>
      </c>
      <c r="CY2750">
        <v>7</v>
      </c>
      <c r="CZ2750" t="s">
        <v>131</v>
      </c>
      <c r="DA2750">
        <v>300</v>
      </c>
      <c r="DB2750">
        <v>0</v>
      </c>
      <c r="DC2750" t="s">
        <v>176</v>
      </c>
      <c r="DD2750" t="s">
        <v>177</v>
      </c>
      <c r="DG2750">
        <v>5420389</v>
      </c>
      <c r="DI2750">
        <v>0</v>
      </c>
      <c r="DJ2750">
        <v>0</v>
      </c>
      <c r="DK2750">
        <v>1</v>
      </c>
      <c r="DL2750">
        <v>0</v>
      </c>
      <c r="DM2750">
        <v>0</v>
      </c>
      <c r="DN2750">
        <v>1</v>
      </c>
      <c r="DO2750">
        <v>0</v>
      </c>
      <c r="DP2750">
        <v>0</v>
      </c>
      <c r="DQ2750">
        <v>0</v>
      </c>
      <c r="DR2750">
        <v>0</v>
      </c>
      <c r="DS2750">
        <v>0</v>
      </c>
    </row>
    <row r="2751" spans="1:123" x14ac:dyDescent="0.3">
      <c r="A2751" t="str">
        <f>"10/04/2022 19:32:54.666"</f>
        <v>10/04/2022 19:32:54.666</v>
      </c>
      <c r="C2751" t="str">
        <f t="shared" si="991"/>
        <v>FFDDD3C0</v>
      </c>
      <c r="D2751" t="s">
        <v>136</v>
      </c>
      <c r="E2751">
        <v>8</v>
      </c>
      <c r="H2751">
        <v>225</v>
      </c>
      <c r="I2751" t="s">
        <v>137</v>
      </c>
      <c r="J2751" t="s">
        <v>138</v>
      </c>
      <c r="K2751">
        <v>0</v>
      </c>
      <c r="L2751">
        <v>3</v>
      </c>
      <c r="M2751">
        <v>0</v>
      </c>
      <c r="N2751">
        <v>2</v>
      </c>
      <c r="O2751">
        <v>0</v>
      </c>
      <c r="P2751">
        <v>1</v>
      </c>
      <c r="Q2751">
        <v>0</v>
      </c>
      <c r="S2751" t="str">
        <f t="shared" si="996"/>
        <v>19:32:54.000</v>
      </c>
      <c r="T2751" t="str">
        <f t="shared" si="996"/>
        <v>19:32:54.000</v>
      </c>
      <c r="U2751" t="str">
        <f t="shared" si="978"/>
        <v>AC3944</v>
      </c>
      <c r="V2751">
        <v>0</v>
      </c>
      <c r="W2751">
        <v>0</v>
      </c>
      <c r="X2751">
        <v>2</v>
      </c>
      <c r="Y2751">
        <v>0</v>
      </c>
      <c r="AA2751">
        <v>1</v>
      </c>
      <c r="AB2751">
        <v>8</v>
      </c>
      <c r="AC2751">
        <v>3</v>
      </c>
      <c r="AD2751">
        <v>0</v>
      </c>
      <c r="AE2751">
        <v>9</v>
      </c>
      <c r="AF2751" t="s">
        <v>138</v>
      </c>
      <c r="AG2751">
        <v>0</v>
      </c>
      <c r="AH2751">
        <v>3</v>
      </c>
      <c r="AI2751">
        <v>1</v>
      </c>
      <c r="AJ2751">
        <v>0</v>
      </c>
      <c r="AK2751" t="s">
        <v>932</v>
      </c>
      <c r="AL2751">
        <v>32.738914000000001</v>
      </c>
      <c r="AM2751" t="s">
        <v>933</v>
      </c>
      <c r="AN2751">
        <v>-116.76173</v>
      </c>
      <c r="AO2751">
        <v>25</v>
      </c>
      <c r="AP2751">
        <v>3500</v>
      </c>
      <c r="AQ2751" t="s">
        <v>129</v>
      </c>
      <c r="AR2751">
        <v>96</v>
      </c>
      <c r="AS2751">
        <v>-91</v>
      </c>
      <c r="AT2751">
        <v>320</v>
      </c>
      <c r="BB2751">
        <v>1200</v>
      </c>
      <c r="BC2751">
        <v>1</v>
      </c>
      <c r="BD2751" t="str">
        <f t="shared" si="979"/>
        <v xml:space="preserve">N887QR  </v>
      </c>
      <c r="BE2751">
        <v>1</v>
      </c>
      <c r="BJ2751">
        <v>3300</v>
      </c>
      <c r="BK2751">
        <v>-200</v>
      </c>
      <c r="BL2751" t="s">
        <v>163</v>
      </c>
      <c r="BM2751">
        <v>1</v>
      </c>
      <c r="BN2751">
        <v>1</v>
      </c>
      <c r="BO2751">
        <v>1</v>
      </c>
      <c r="BP2751">
        <v>0</v>
      </c>
      <c r="BS2751">
        <v>0.16</v>
      </c>
      <c r="BT2751">
        <v>0</v>
      </c>
      <c r="BU2751">
        <v>0</v>
      </c>
      <c r="CE2751" t="str">
        <f t="shared" si="997"/>
        <v>19:32:54.381</v>
      </c>
      <c r="CF2751">
        <v>381385786</v>
      </c>
      <c r="CS2751">
        <v>0</v>
      </c>
      <c r="CT2751">
        <v>2</v>
      </c>
      <c r="CU2751">
        <v>0</v>
      </c>
      <c r="CV2751">
        <v>2</v>
      </c>
      <c r="CW2751">
        <v>0</v>
      </c>
      <c r="CX2751">
        <v>4</v>
      </c>
      <c r="CY2751">
        <v>7</v>
      </c>
      <c r="CZ2751" t="s">
        <v>131</v>
      </c>
      <c r="DA2751">
        <v>300</v>
      </c>
      <c r="DB2751">
        <v>0</v>
      </c>
      <c r="DC2751" t="s">
        <v>176</v>
      </c>
      <c r="DD2751" t="s">
        <v>177</v>
      </c>
      <c r="DG2751">
        <v>5420389</v>
      </c>
      <c r="DI2751">
        <v>0</v>
      </c>
      <c r="DJ2751">
        <v>0</v>
      </c>
      <c r="DK2751">
        <v>1</v>
      </c>
      <c r="DL2751">
        <v>0</v>
      </c>
      <c r="DM2751">
        <v>0</v>
      </c>
      <c r="DN2751">
        <v>1</v>
      </c>
      <c r="DO2751">
        <v>0</v>
      </c>
      <c r="DP2751">
        <v>0</v>
      </c>
      <c r="DQ2751">
        <v>0</v>
      </c>
      <c r="DR2751">
        <v>0</v>
      </c>
      <c r="DS2751">
        <v>0</v>
      </c>
    </row>
    <row r="2752" spans="1:123" x14ac:dyDescent="0.3">
      <c r="A2752" t="str">
        <f>"10/04/2022 19:32:54.682"</f>
        <v>10/04/2022 19:32:54.682</v>
      </c>
      <c r="C2752" t="str">
        <f t="shared" si="991"/>
        <v>FFDDD3C0</v>
      </c>
      <c r="D2752" t="s">
        <v>123</v>
      </c>
      <c r="E2752">
        <v>7</v>
      </c>
      <c r="F2752">
        <v>2007</v>
      </c>
      <c r="G2752" t="s">
        <v>124</v>
      </c>
      <c r="J2752" t="s">
        <v>125</v>
      </c>
      <c r="K2752">
        <v>0</v>
      </c>
      <c r="L2752">
        <v>3</v>
      </c>
      <c r="M2752">
        <v>0</v>
      </c>
      <c r="N2752">
        <v>2</v>
      </c>
      <c r="O2752">
        <v>0</v>
      </c>
      <c r="P2752">
        <v>1</v>
      </c>
      <c r="Q2752">
        <v>0</v>
      </c>
      <c r="S2752" t="str">
        <f t="shared" si="996"/>
        <v>19:32:54.000</v>
      </c>
      <c r="T2752" t="str">
        <f t="shared" si="996"/>
        <v>19:32:54.000</v>
      </c>
      <c r="U2752" t="str">
        <f t="shared" si="978"/>
        <v>AC3944</v>
      </c>
      <c r="V2752">
        <v>0</v>
      </c>
      <c r="W2752">
        <v>0</v>
      </c>
      <c r="X2752">
        <v>2</v>
      </c>
      <c r="Y2752">
        <v>0</v>
      </c>
      <c r="AA2752">
        <v>1</v>
      </c>
      <c r="AB2752">
        <v>8</v>
      </c>
      <c r="AC2752">
        <v>3</v>
      </c>
      <c r="AD2752">
        <v>0</v>
      </c>
      <c r="AE2752">
        <v>9</v>
      </c>
      <c r="AF2752" t="s">
        <v>138</v>
      </c>
      <c r="AG2752">
        <v>0</v>
      </c>
      <c r="AH2752">
        <v>3</v>
      </c>
      <c r="AI2752">
        <v>1</v>
      </c>
      <c r="AJ2752">
        <v>0</v>
      </c>
      <c r="AK2752" t="s">
        <v>932</v>
      </c>
      <c r="AL2752">
        <v>32.738914000000001</v>
      </c>
      <c r="AM2752" t="s">
        <v>933</v>
      </c>
      <c r="AN2752">
        <v>-116.76173</v>
      </c>
      <c r="AO2752">
        <v>25</v>
      </c>
      <c r="AP2752">
        <v>3500</v>
      </c>
      <c r="AQ2752" t="s">
        <v>129</v>
      </c>
      <c r="AR2752">
        <v>96</v>
      </c>
      <c r="AS2752">
        <v>-91</v>
      </c>
      <c r="AT2752">
        <v>320</v>
      </c>
      <c r="BB2752">
        <v>1200</v>
      </c>
      <c r="BC2752">
        <v>1</v>
      </c>
      <c r="BD2752" t="str">
        <f t="shared" si="979"/>
        <v xml:space="preserve">N887QR  </v>
      </c>
      <c r="BE2752">
        <v>1</v>
      </c>
      <c r="BJ2752">
        <v>3300</v>
      </c>
      <c r="BK2752">
        <v>-200</v>
      </c>
      <c r="BL2752" t="s">
        <v>163</v>
      </c>
      <c r="BM2752">
        <v>1</v>
      </c>
      <c r="BN2752">
        <v>1</v>
      </c>
      <c r="BO2752">
        <v>1</v>
      </c>
      <c r="BP2752">
        <v>0</v>
      </c>
      <c r="BS2752">
        <v>0.04</v>
      </c>
      <c r="BT2752">
        <v>0</v>
      </c>
      <c r="BU2752">
        <v>0</v>
      </c>
      <c r="CE2752" t="str">
        <f t="shared" si="997"/>
        <v>19:32:54.381</v>
      </c>
      <c r="CF2752">
        <v>381385786</v>
      </c>
      <c r="CS2752">
        <v>0</v>
      </c>
      <c r="CT2752">
        <v>2</v>
      </c>
      <c r="CU2752">
        <v>0</v>
      </c>
      <c r="CV2752">
        <v>2</v>
      </c>
      <c r="CW2752">
        <v>0</v>
      </c>
      <c r="CX2752">
        <v>4</v>
      </c>
      <c r="CY2752">
        <v>7</v>
      </c>
      <c r="CZ2752" t="s">
        <v>131</v>
      </c>
      <c r="DA2752">
        <v>300</v>
      </c>
      <c r="DB2752">
        <v>0</v>
      </c>
      <c r="DC2752" t="s">
        <v>176</v>
      </c>
      <c r="DD2752" t="s">
        <v>177</v>
      </c>
      <c r="DG2752">
        <v>5420389</v>
      </c>
      <c r="DI2752">
        <v>0</v>
      </c>
      <c r="DJ2752">
        <v>0</v>
      </c>
      <c r="DK2752">
        <v>1</v>
      </c>
      <c r="DL2752">
        <v>0</v>
      </c>
      <c r="DM2752">
        <v>0</v>
      </c>
      <c r="DN2752">
        <v>1</v>
      </c>
      <c r="DO2752">
        <v>0</v>
      </c>
      <c r="DP2752">
        <v>0</v>
      </c>
      <c r="DQ2752">
        <v>0</v>
      </c>
      <c r="DR2752">
        <v>0</v>
      </c>
      <c r="DS2752">
        <v>0</v>
      </c>
    </row>
    <row r="2753" spans="1:123" x14ac:dyDescent="0.3">
      <c r="A2753" t="str">
        <f>"10/04/2022 19:32:54.713"</f>
        <v>10/04/2022 19:32:54.713</v>
      </c>
      <c r="C2753" t="str">
        <f t="shared" si="991"/>
        <v>FFDDD3C0</v>
      </c>
      <c r="D2753" t="s">
        <v>134</v>
      </c>
      <c r="E2753">
        <v>15</v>
      </c>
      <c r="J2753" t="s">
        <v>135</v>
      </c>
      <c r="K2753">
        <v>0</v>
      </c>
      <c r="L2753">
        <v>3</v>
      </c>
      <c r="M2753">
        <v>0</v>
      </c>
      <c r="N2753">
        <v>2</v>
      </c>
      <c r="O2753">
        <v>0</v>
      </c>
      <c r="P2753">
        <v>1</v>
      </c>
      <c r="Q2753">
        <v>0</v>
      </c>
      <c r="S2753" t="str">
        <f t="shared" si="996"/>
        <v>19:32:54.000</v>
      </c>
      <c r="T2753" t="str">
        <f t="shared" si="996"/>
        <v>19:32:54.000</v>
      </c>
      <c r="U2753" t="str">
        <f t="shared" si="978"/>
        <v>AC3944</v>
      </c>
      <c r="V2753">
        <v>0</v>
      </c>
      <c r="W2753">
        <v>0</v>
      </c>
      <c r="X2753">
        <v>2</v>
      </c>
      <c r="Y2753">
        <v>0</v>
      </c>
      <c r="AA2753">
        <v>1</v>
      </c>
      <c r="AB2753">
        <v>8</v>
      </c>
      <c r="AC2753">
        <v>3</v>
      </c>
      <c r="AD2753">
        <v>0</v>
      </c>
      <c r="AE2753">
        <v>9</v>
      </c>
      <c r="AF2753" t="s">
        <v>138</v>
      </c>
      <c r="AG2753">
        <v>0</v>
      </c>
      <c r="AH2753">
        <v>3</v>
      </c>
      <c r="AI2753">
        <v>1</v>
      </c>
      <c r="AJ2753">
        <v>0</v>
      </c>
      <c r="AK2753" t="s">
        <v>932</v>
      </c>
      <c r="AL2753">
        <v>32.738914000000001</v>
      </c>
      <c r="AM2753" t="s">
        <v>933</v>
      </c>
      <c r="AN2753">
        <v>-116.76173</v>
      </c>
      <c r="AO2753">
        <v>25</v>
      </c>
      <c r="AP2753">
        <v>3500</v>
      </c>
      <c r="AQ2753" t="s">
        <v>129</v>
      </c>
      <c r="AR2753">
        <v>96</v>
      </c>
      <c r="AS2753">
        <v>-91</v>
      </c>
      <c r="AT2753">
        <v>320</v>
      </c>
      <c r="BB2753">
        <v>1200</v>
      </c>
      <c r="BC2753">
        <v>1</v>
      </c>
      <c r="BD2753" t="str">
        <f t="shared" si="979"/>
        <v xml:space="preserve">N887QR  </v>
      </c>
      <c r="BE2753">
        <v>1</v>
      </c>
      <c r="BJ2753">
        <v>3300</v>
      </c>
      <c r="BK2753">
        <v>-200</v>
      </c>
      <c r="BL2753" t="s">
        <v>163</v>
      </c>
      <c r="BM2753">
        <v>1</v>
      </c>
      <c r="BN2753">
        <v>1</v>
      </c>
      <c r="BO2753">
        <v>1</v>
      </c>
      <c r="BP2753">
        <v>0</v>
      </c>
      <c r="BS2753">
        <v>0.04</v>
      </c>
      <c r="BT2753">
        <v>0</v>
      </c>
      <c r="BU2753">
        <v>0</v>
      </c>
      <c r="CE2753" t="str">
        <f t="shared" si="997"/>
        <v>19:32:54.381</v>
      </c>
      <c r="CF2753">
        <v>381385786</v>
      </c>
      <c r="CS2753">
        <v>0</v>
      </c>
      <c r="CT2753">
        <v>2</v>
      </c>
      <c r="CU2753">
        <v>0</v>
      </c>
      <c r="CV2753">
        <v>2</v>
      </c>
      <c r="CW2753">
        <v>0</v>
      </c>
      <c r="CX2753">
        <v>4</v>
      </c>
      <c r="CY2753">
        <v>7</v>
      </c>
      <c r="CZ2753" t="s">
        <v>131</v>
      </c>
      <c r="DA2753">
        <v>300</v>
      </c>
      <c r="DB2753">
        <v>0</v>
      </c>
      <c r="DC2753" t="s">
        <v>176</v>
      </c>
      <c r="DD2753" t="s">
        <v>177</v>
      </c>
      <c r="DG2753">
        <v>5420389</v>
      </c>
      <c r="DI2753">
        <v>0</v>
      </c>
      <c r="DJ2753">
        <v>0</v>
      </c>
      <c r="DK2753">
        <v>1</v>
      </c>
      <c r="DL2753">
        <v>0</v>
      </c>
      <c r="DM2753">
        <v>0</v>
      </c>
      <c r="DN2753">
        <v>1</v>
      </c>
      <c r="DO2753">
        <v>0</v>
      </c>
      <c r="DP2753">
        <v>0</v>
      </c>
      <c r="DQ2753">
        <v>0</v>
      </c>
      <c r="DR2753">
        <v>0</v>
      </c>
      <c r="DS2753">
        <v>0</v>
      </c>
    </row>
    <row r="2754" spans="1:123" x14ac:dyDescent="0.3">
      <c r="A2754" t="str">
        <f>"10/04/2022 19:32:54.713"</f>
        <v>10/04/2022 19:32:54.713</v>
      </c>
      <c r="C2754" t="str">
        <f t="shared" si="991"/>
        <v>FFDDD3C0</v>
      </c>
      <c r="D2754" t="s">
        <v>141</v>
      </c>
      <c r="E2754">
        <v>3</v>
      </c>
      <c r="H2754">
        <v>3</v>
      </c>
      <c r="I2754" t="s">
        <v>146</v>
      </c>
      <c r="J2754" t="s">
        <v>138</v>
      </c>
      <c r="K2754">
        <v>0</v>
      </c>
      <c r="L2754">
        <v>3</v>
      </c>
      <c r="M2754">
        <v>0</v>
      </c>
      <c r="N2754">
        <v>2</v>
      </c>
      <c r="O2754">
        <v>0</v>
      </c>
      <c r="P2754">
        <v>1</v>
      </c>
      <c r="Q2754">
        <v>0</v>
      </c>
      <c r="S2754" t="str">
        <f t="shared" si="996"/>
        <v>19:32:54.000</v>
      </c>
      <c r="T2754" t="str">
        <f t="shared" si="996"/>
        <v>19:32:54.000</v>
      </c>
      <c r="U2754" t="str">
        <f t="shared" ref="U2754:U2817" si="998">"AC3944"</f>
        <v>AC3944</v>
      </c>
      <c r="V2754">
        <v>0</v>
      </c>
      <c r="W2754">
        <v>0</v>
      </c>
      <c r="X2754">
        <v>2</v>
      </c>
      <c r="Y2754">
        <v>0</v>
      </c>
      <c r="AA2754">
        <v>1</v>
      </c>
      <c r="AB2754">
        <v>8</v>
      </c>
      <c r="AC2754">
        <v>3</v>
      </c>
      <c r="AD2754">
        <v>0</v>
      </c>
      <c r="AE2754">
        <v>9</v>
      </c>
      <c r="AF2754" t="s">
        <v>138</v>
      </c>
      <c r="AG2754">
        <v>0</v>
      </c>
      <c r="AH2754">
        <v>3</v>
      </c>
      <c r="AI2754">
        <v>1</v>
      </c>
      <c r="AJ2754">
        <v>0</v>
      </c>
      <c r="AK2754" t="s">
        <v>932</v>
      </c>
      <c r="AL2754">
        <v>32.738914000000001</v>
      </c>
      <c r="AM2754" t="s">
        <v>933</v>
      </c>
      <c r="AN2754">
        <v>-116.76173</v>
      </c>
      <c r="AO2754">
        <v>25</v>
      </c>
      <c r="AP2754">
        <v>3500</v>
      </c>
      <c r="AQ2754" t="s">
        <v>129</v>
      </c>
      <c r="AR2754">
        <v>96</v>
      </c>
      <c r="AS2754">
        <v>-91</v>
      </c>
      <c r="AT2754">
        <v>320</v>
      </c>
      <c r="BB2754">
        <v>1200</v>
      </c>
      <c r="BC2754">
        <v>1</v>
      </c>
      <c r="BD2754" t="str">
        <f t="shared" ref="BD2754:BD2817" si="999">"N887QR  "</f>
        <v xml:space="preserve">N887QR  </v>
      </c>
      <c r="BE2754">
        <v>1</v>
      </c>
      <c r="BJ2754">
        <v>3300</v>
      </c>
      <c r="BK2754">
        <v>-200</v>
      </c>
      <c r="BL2754" t="s">
        <v>163</v>
      </c>
      <c r="BM2754">
        <v>1</v>
      </c>
      <c r="BN2754">
        <v>1</v>
      </c>
      <c r="BO2754">
        <v>1</v>
      </c>
      <c r="BP2754">
        <v>0</v>
      </c>
      <c r="BS2754">
        <v>0.16</v>
      </c>
      <c r="BT2754">
        <v>0</v>
      </c>
      <c r="BU2754">
        <v>0</v>
      </c>
      <c r="CE2754" t="str">
        <f t="shared" si="997"/>
        <v>19:32:54.381</v>
      </c>
      <c r="CF2754">
        <v>381385786</v>
      </c>
      <c r="CS2754">
        <v>0</v>
      </c>
      <c r="CT2754">
        <v>2</v>
      </c>
      <c r="CU2754">
        <v>0</v>
      </c>
      <c r="CV2754">
        <v>2</v>
      </c>
      <c r="CW2754">
        <v>0</v>
      </c>
      <c r="CX2754">
        <v>4</v>
      </c>
      <c r="CY2754">
        <v>7</v>
      </c>
      <c r="CZ2754" t="s">
        <v>131</v>
      </c>
      <c r="DA2754">
        <v>300</v>
      </c>
      <c r="DB2754">
        <v>0</v>
      </c>
      <c r="DC2754" t="s">
        <v>176</v>
      </c>
      <c r="DD2754" t="s">
        <v>177</v>
      </c>
      <c r="DG2754">
        <v>5420389</v>
      </c>
      <c r="DI2754">
        <v>0</v>
      </c>
      <c r="DJ2754">
        <v>0</v>
      </c>
      <c r="DK2754">
        <v>1</v>
      </c>
      <c r="DL2754">
        <v>0</v>
      </c>
      <c r="DM2754">
        <v>0</v>
      </c>
      <c r="DN2754">
        <v>1</v>
      </c>
      <c r="DO2754">
        <v>0</v>
      </c>
      <c r="DP2754">
        <v>0</v>
      </c>
      <c r="DQ2754">
        <v>0</v>
      </c>
      <c r="DR2754">
        <v>0</v>
      </c>
      <c r="DS2754">
        <v>0</v>
      </c>
    </row>
    <row r="2755" spans="1:123" x14ac:dyDescent="0.3">
      <c r="A2755" t="str">
        <f>"10/04/2022 19:32:54.713"</f>
        <v>10/04/2022 19:32:54.713</v>
      </c>
      <c r="C2755" t="str">
        <f t="shared" si="991"/>
        <v>FFDDD3C0</v>
      </c>
      <c r="D2755" t="s">
        <v>141</v>
      </c>
      <c r="E2755">
        <v>4</v>
      </c>
      <c r="H2755">
        <v>4</v>
      </c>
      <c r="I2755" t="s">
        <v>142</v>
      </c>
      <c r="J2755" t="s">
        <v>138</v>
      </c>
      <c r="K2755">
        <v>0</v>
      </c>
      <c r="L2755">
        <v>3</v>
      </c>
      <c r="M2755">
        <v>0</v>
      </c>
      <c r="N2755">
        <v>2</v>
      </c>
      <c r="O2755">
        <v>0</v>
      </c>
      <c r="P2755">
        <v>1</v>
      </c>
      <c r="Q2755">
        <v>0</v>
      </c>
      <c r="S2755" t="str">
        <f t="shared" si="996"/>
        <v>19:32:54.000</v>
      </c>
      <c r="T2755" t="str">
        <f t="shared" si="996"/>
        <v>19:32:54.000</v>
      </c>
      <c r="U2755" t="str">
        <f t="shared" si="998"/>
        <v>AC3944</v>
      </c>
      <c r="V2755">
        <v>0</v>
      </c>
      <c r="W2755">
        <v>0</v>
      </c>
      <c r="X2755">
        <v>2</v>
      </c>
      <c r="Y2755">
        <v>0</v>
      </c>
      <c r="AA2755">
        <v>1</v>
      </c>
      <c r="AB2755">
        <v>8</v>
      </c>
      <c r="AC2755">
        <v>3</v>
      </c>
      <c r="AD2755">
        <v>0</v>
      </c>
      <c r="AE2755">
        <v>9</v>
      </c>
      <c r="AF2755" t="s">
        <v>138</v>
      </c>
      <c r="AG2755">
        <v>0</v>
      </c>
      <c r="AH2755">
        <v>3</v>
      </c>
      <c r="AI2755">
        <v>1</v>
      </c>
      <c r="AJ2755">
        <v>0</v>
      </c>
      <c r="AK2755" t="s">
        <v>932</v>
      </c>
      <c r="AL2755">
        <v>32.738914000000001</v>
      </c>
      <c r="AM2755" t="s">
        <v>933</v>
      </c>
      <c r="AN2755">
        <v>-116.76173</v>
      </c>
      <c r="AO2755">
        <v>25</v>
      </c>
      <c r="AP2755">
        <v>3500</v>
      </c>
      <c r="AQ2755" t="s">
        <v>129</v>
      </c>
      <c r="AR2755">
        <v>96</v>
      </c>
      <c r="AS2755">
        <v>-91</v>
      </c>
      <c r="AT2755">
        <v>320</v>
      </c>
      <c r="BB2755">
        <v>1200</v>
      </c>
      <c r="BC2755">
        <v>1</v>
      </c>
      <c r="BD2755" t="str">
        <f t="shared" si="999"/>
        <v xml:space="preserve">N887QR  </v>
      </c>
      <c r="BE2755">
        <v>1</v>
      </c>
      <c r="BJ2755">
        <v>3300</v>
      </c>
      <c r="BK2755">
        <v>-200</v>
      </c>
      <c r="BL2755" t="s">
        <v>163</v>
      </c>
      <c r="BM2755">
        <v>1</v>
      </c>
      <c r="BN2755">
        <v>1</v>
      </c>
      <c r="BO2755">
        <v>1</v>
      </c>
      <c r="BP2755">
        <v>0</v>
      </c>
      <c r="BS2755">
        <v>0.16</v>
      </c>
      <c r="BT2755">
        <v>0</v>
      </c>
      <c r="BU2755">
        <v>0</v>
      </c>
      <c r="CE2755" t="str">
        <f t="shared" si="997"/>
        <v>19:32:54.381</v>
      </c>
      <c r="CF2755">
        <v>381385786</v>
      </c>
      <c r="CS2755">
        <v>0</v>
      </c>
      <c r="CT2755">
        <v>2</v>
      </c>
      <c r="CU2755">
        <v>0</v>
      </c>
      <c r="CV2755">
        <v>2</v>
      </c>
      <c r="CW2755">
        <v>0</v>
      </c>
      <c r="CX2755">
        <v>4</v>
      </c>
      <c r="CY2755">
        <v>7</v>
      </c>
      <c r="CZ2755" t="s">
        <v>131</v>
      </c>
      <c r="DA2755">
        <v>300</v>
      </c>
      <c r="DB2755">
        <v>0</v>
      </c>
      <c r="DC2755" t="s">
        <v>176</v>
      </c>
      <c r="DD2755" t="s">
        <v>177</v>
      </c>
      <c r="DG2755">
        <v>5420389</v>
      </c>
      <c r="DI2755">
        <v>0</v>
      </c>
      <c r="DJ2755">
        <v>0</v>
      </c>
      <c r="DK2755">
        <v>1</v>
      </c>
      <c r="DL2755">
        <v>0</v>
      </c>
      <c r="DM2755">
        <v>0</v>
      </c>
      <c r="DN2755">
        <v>1</v>
      </c>
      <c r="DO2755">
        <v>0</v>
      </c>
      <c r="DP2755">
        <v>0</v>
      </c>
      <c r="DQ2755">
        <v>0</v>
      </c>
      <c r="DR2755">
        <v>0</v>
      </c>
      <c r="DS2755">
        <v>0</v>
      </c>
    </row>
    <row r="2756" spans="1:123" x14ac:dyDescent="0.3">
      <c r="A2756" t="str">
        <f>"10/04/2022 19:32:55.527"</f>
        <v>10/04/2022 19:32:55.527</v>
      </c>
      <c r="C2756" t="str">
        <f t="shared" si="991"/>
        <v>FFDDD3C0</v>
      </c>
      <c r="D2756" t="s">
        <v>147</v>
      </c>
      <c r="E2756">
        <v>3</v>
      </c>
      <c r="H2756">
        <v>166</v>
      </c>
      <c r="I2756" t="s">
        <v>144</v>
      </c>
      <c r="J2756" t="s">
        <v>148</v>
      </c>
      <c r="K2756">
        <v>0</v>
      </c>
      <c r="L2756">
        <v>3</v>
      </c>
      <c r="M2756">
        <v>0</v>
      </c>
      <c r="N2756">
        <v>2</v>
      </c>
      <c r="O2756">
        <v>0</v>
      </c>
      <c r="P2756">
        <v>1</v>
      </c>
      <c r="Q2756">
        <v>0</v>
      </c>
      <c r="S2756" t="str">
        <f t="shared" ref="S2756:T2762" si="1000">"19:32:55.000"</f>
        <v>19:32:55.000</v>
      </c>
      <c r="T2756" t="str">
        <f t="shared" si="1000"/>
        <v>19:32:55.000</v>
      </c>
      <c r="U2756" t="str">
        <f t="shared" si="998"/>
        <v>AC3944</v>
      </c>
      <c r="V2756">
        <v>0</v>
      </c>
      <c r="W2756">
        <v>0</v>
      </c>
      <c r="X2756">
        <v>2</v>
      </c>
      <c r="Y2756">
        <v>0</v>
      </c>
      <c r="AA2756">
        <v>1</v>
      </c>
      <c r="AB2756">
        <v>8</v>
      </c>
      <c r="AC2756">
        <v>3</v>
      </c>
      <c r="AD2756">
        <v>0</v>
      </c>
      <c r="AE2756">
        <v>9</v>
      </c>
      <c r="AF2756" t="s">
        <v>138</v>
      </c>
      <c r="AG2756">
        <v>0</v>
      </c>
      <c r="AH2756">
        <v>3</v>
      </c>
      <c r="AI2756">
        <v>1</v>
      </c>
      <c r="AJ2756">
        <v>0</v>
      </c>
      <c r="AK2756" t="s">
        <v>934</v>
      </c>
      <c r="AL2756">
        <v>32.738484999999997</v>
      </c>
      <c r="AM2756" t="s">
        <v>935</v>
      </c>
      <c r="AN2756">
        <v>-116.76121500000001</v>
      </c>
      <c r="AO2756">
        <v>25</v>
      </c>
      <c r="AP2756">
        <v>3500</v>
      </c>
      <c r="AQ2756" t="s">
        <v>129</v>
      </c>
      <c r="AR2756">
        <v>97</v>
      </c>
      <c r="AS2756">
        <v>-90</v>
      </c>
      <c r="AT2756">
        <v>320</v>
      </c>
      <c r="BB2756">
        <v>1200</v>
      </c>
      <c r="BC2756">
        <v>1</v>
      </c>
      <c r="BD2756" t="str">
        <f t="shared" si="999"/>
        <v xml:space="preserve">N887QR  </v>
      </c>
      <c r="BE2756">
        <v>1</v>
      </c>
      <c r="BJ2756">
        <v>3300</v>
      </c>
      <c r="BK2756">
        <v>-200</v>
      </c>
      <c r="BL2756" t="s">
        <v>163</v>
      </c>
      <c r="BM2756">
        <v>1</v>
      </c>
      <c r="BN2756">
        <v>1</v>
      </c>
      <c r="BO2756">
        <v>1</v>
      </c>
      <c r="BP2756">
        <v>0</v>
      </c>
      <c r="BS2756">
        <v>0.08</v>
      </c>
      <c r="BT2756">
        <v>0</v>
      </c>
      <c r="BU2756">
        <v>0</v>
      </c>
      <c r="CE2756" t="str">
        <f t="shared" ref="CE2756:CE2762" si="1001">"19:32:55.284"</f>
        <v>19:32:55.284</v>
      </c>
      <c r="CF2756">
        <v>284388988</v>
      </c>
      <c r="CS2756">
        <v>0</v>
      </c>
      <c r="CT2756">
        <v>2</v>
      </c>
      <c r="CU2756">
        <v>0</v>
      </c>
      <c r="CV2756">
        <v>2</v>
      </c>
      <c r="CW2756">
        <v>0</v>
      </c>
      <c r="CX2756">
        <v>4</v>
      </c>
      <c r="CY2756">
        <v>7</v>
      </c>
      <c r="CZ2756" t="s">
        <v>131</v>
      </c>
      <c r="DA2756">
        <v>300</v>
      </c>
      <c r="DB2756">
        <v>0</v>
      </c>
      <c r="DC2756" t="s">
        <v>176</v>
      </c>
      <c r="DD2756" t="s">
        <v>177</v>
      </c>
      <c r="DG2756">
        <v>5420538</v>
      </c>
      <c r="DI2756">
        <v>0</v>
      </c>
      <c r="DJ2756">
        <v>0</v>
      </c>
      <c r="DK2756">
        <v>0</v>
      </c>
      <c r="DL2756">
        <v>0</v>
      </c>
      <c r="DM2756">
        <v>0</v>
      </c>
      <c r="DN2756">
        <v>1</v>
      </c>
      <c r="DO2756">
        <v>0</v>
      </c>
      <c r="DP2756">
        <v>0</v>
      </c>
      <c r="DQ2756">
        <v>0</v>
      </c>
      <c r="DR2756">
        <v>0</v>
      </c>
      <c r="DS2756">
        <v>0</v>
      </c>
    </row>
    <row r="2757" spans="1:123" x14ac:dyDescent="0.3">
      <c r="A2757" t="str">
        <f>"10/04/2022 19:32:55.527"</f>
        <v>10/04/2022 19:32:55.527</v>
      </c>
      <c r="C2757" t="str">
        <f t="shared" si="991"/>
        <v>FFDDD3C0</v>
      </c>
      <c r="D2757" t="s">
        <v>143</v>
      </c>
      <c r="E2757">
        <v>20</v>
      </c>
      <c r="F2757">
        <v>1020</v>
      </c>
      <c r="G2757" t="s">
        <v>144</v>
      </c>
      <c r="J2757" t="s">
        <v>145</v>
      </c>
      <c r="K2757">
        <v>0</v>
      </c>
      <c r="L2757">
        <v>3</v>
      </c>
      <c r="M2757">
        <v>0</v>
      </c>
      <c r="N2757">
        <v>2</v>
      </c>
      <c r="O2757">
        <v>0</v>
      </c>
      <c r="P2757">
        <v>1</v>
      </c>
      <c r="Q2757">
        <v>0</v>
      </c>
      <c r="S2757" t="str">
        <f t="shared" si="1000"/>
        <v>19:32:55.000</v>
      </c>
      <c r="T2757" t="str">
        <f t="shared" si="1000"/>
        <v>19:32:55.000</v>
      </c>
      <c r="U2757" t="str">
        <f t="shared" si="998"/>
        <v>AC3944</v>
      </c>
      <c r="V2757">
        <v>0</v>
      </c>
      <c r="W2757">
        <v>0</v>
      </c>
      <c r="X2757">
        <v>2</v>
      </c>
      <c r="Y2757">
        <v>0</v>
      </c>
      <c r="AA2757">
        <v>1</v>
      </c>
      <c r="AB2757">
        <v>8</v>
      </c>
      <c r="AC2757">
        <v>3</v>
      </c>
      <c r="AD2757">
        <v>0</v>
      </c>
      <c r="AE2757">
        <v>9</v>
      </c>
      <c r="AF2757" t="s">
        <v>138</v>
      </c>
      <c r="AG2757">
        <v>0</v>
      </c>
      <c r="AH2757">
        <v>3</v>
      </c>
      <c r="AI2757">
        <v>1</v>
      </c>
      <c r="AJ2757">
        <v>0</v>
      </c>
      <c r="AK2757" t="s">
        <v>934</v>
      </c>
      <c r="AL2757">
        <v>32.738484999999997</v>
      </c>
      <c r="AM2757" t="s">
        <v>935</v>
      </c>
      <c r="AN2757">
        <v>-116.76121500000001</v>
      </c>
      <c r="AO2757">
        <v>25</v>
      </c>
      <c r="AP2757">
        <v>3500</v>
      </c>
      <c r="AQ2757" t="s">
        <v>129</v>
      </c>
      <c r="AR2757">
        <v>97</v>
      </c>
      <c r="AS2757">
        <v>-90</v>
      </c>
      <c r="AT2757">
        <v>320</v>
      </c>
      <c r="BB2757">
        <v>1200</v>
      </c>
      <c r="BC2757">
        <v>1</v>
      </c>
      <c r="BD2757" t="str">
        <f t="shared" si="999"/>
        <v xml:space="preserve">N887QR  </v>
      </c>
      <c r="BE2757">
        <v>1</v>
      </c>
      <c r="BJ2757">
        <v>3300</v>
      </c>
      <c r="BK2757">
        <v>-200</v>
      </c>
      <c r="BL2757" t="s">
        <v>163</v>
      </c>
      <c r="BM2757">
        <v>1</v>
      </c>
      <c r="BN2757">
        <v>1</v>
      </c>
      <c r="BO2757">
        <v>1</v>
      </c>
      <c r="BP2757">
        <v>0</v>
      </c>
      <c r="BS2757">
        <v>0.08</v>
      </c>
      <c r="BT2757">
        <v>0</v>
      </c>
      <c r="BU2757">
        <v>0</v>
      </c>
      <c r="CE2757" t="str">
        <f t="shared" si="1001"/>
        <v>19:32:55.284</v>
      </c>
      <c r="CF2757">
        <v>284388988</v>
      </c>
      <c r="CS2757">
        <v>0</v>
      </c>
      <c r="CT2757">
        <v>2</v>
      </c>
      <c r="CU2757">
        <v>0</v>
      </c>
      <c r="CV2757">
        <v>2</v>
      </c>
      <c r="CW2757">
        <v>0</v>
      </c>
      <c r="CX2757">
        <v>4</v>
      </c>
      <c r="CY2757">
        <v>7</v>
      </c>
      <c r="CZ2757" t="s">
        <v>131</v>
      </c>
      <c r="DA2757">
        <v>300</v>
      </c>
      <c r="DB2757">
        <v>0</v>
      </c>
      <c r="DC2757" t="s">
        <v>176</v>
      </c>
      <c r="DD2757" t="s">
        <v>177</v>
      </c>
      <c r="DG2757">
        <v>5420538</v>
      </c>
      <c r="DI2757">
        <v>0</v>
      </c>
      <c r="DJ2757">
        <v>0</v>
      </c>
      <c r="DK2757">
        <v>1</v>
      </c>
      <c r="DL2757">
        <v>0</v>
      </c>
      <c r="DM2757">
        <v>0</v>
      </c>
      <c r="DN2757">
        <v>1</v>
      </c>
      <c r="DO2757">
        <v>0</v>
      </c>
      <c r="DP2757">
        <v>0</v>
      </c>
      <c r="DQ2757">
        <v>0</v>
      </c>
      <c r="DR2757">
        <v>0</v>
      </c>
      <c r="DS2757">
        <v>0</v>
      </c>
    </row>
    <row r="2758" spans="1:123" x14ac:dyDescent="0.3">
      <c r="A2758" t="str">
        <f>"10/04/2022 19:32:55.573"</f>
        <v>10/04/2022 19:32:55.573</v>
      </c>
      <c r="C2758" t="str">
        <f t="shared" si="991"/>
        <v>FFDDD3C0</v>
      </c>
      <c r="D2758" t="s">
        <v>136</v>
      </c>
      <c r="E2758">
        <v>8</v>
      </c>
      <c r="H2758">
        <v>225</v>
      </c>
      <c r="I2758" t="s">
        <v>137</v>
      </c>
      <c r="J2758" t="s">
        <v>138</v>
      </c>
      <c r="K2758">
        <v>0</v>
      </c>
      <c r="L2758">
        <v>3</v>
      </c>
      <c r="M2758">
        <v>0</v>
      </c>
      <c r="N2758">
        <v>2</v>
      </c>
      <c r="O2758">
        <v>0</v>
      </c>
      <c r="P2758">
        <v>1</v>
      </c>
      <c r="Q2758">
        <v>0</v>
      </c>
      <c r="S2758" t="str">
        <f t="shared" si="1000"/>
        <v>19:32:55.000</v>
      </c>
      <c r="T2758" t="str">
        <f t="shared" si="1000"/>
        <v>19:32:55.000</v>
      </c>
      <c r="U2758" t="str">
        <f t="shared" si="998"/>
        <v>AC3944</v>
      </c>
      <c r="V2758">
        <v>0</v>
      </c>
      <c r="W2758">
        <v>0</v>
      </c>
      <c r="X2758">
        <v>2</v>
      </c>
      <c r="Y2758">
        <v>0</v>
      </c>
      <c r="AA2758">
        <v>1</v>
      </c>
      <c r="AB2758">
        <v>8</v>
      </c>
      <c r="AC2758">
        <v>3</v>
      </c>
      <c r="AD2758">
        <v>0</v>
      </c>
      <c r="AE2758">
        <v>9</v>
      </c>
      <c r="AF2758" t="s">
        <v>138</v>
      </c>
      <c r="AG2758">
        <v>0</v>
      </c>
      <c r="AH2758">
        <v>3</v>
      </c>
      <c r="AI2758">
        <v>1</v>
      </c>
      <c r="AJ2758">
        <v>0</v>
      </c>
      <c r="AK2758" t="s">
        <v>934</v>
      </c>
      <c r="AL2758">
        <v>32.738484999999997</v>
      </c>
      <c r="AM2758" t="s">
        <v>935</v>
      </c>
      <c r="AN2758">
        <v>-116.76121500000001</v>
      </c>
      <c r="AO2758">
        <v>25</v>
      </c>
      <c r="AP2758">
        <v>3500</v>
      </c>
      <c r="AQ2758" t="s">
        <v>129</v>
      </c>
      <c r="AR2758">
        <v>97</v>
      </c>
      <c r="AS2758">
        <v>-90</v>
      </c>
      <c r="AT2758">
        <v>320</v>
      </c>
      <c r="BB2758">
        <v>1200</v>
      </c>
      <c r="BC2758">
        <v>1</v>
      </c>
      <c r="BD2758" t="str">
        <f t="shared" si="999"/>
        <v xml:space="preserve">N887QR  </v>
      </c>
      <c r="BE2758">
        <v>1</v>
      </c>
      <c r="BJ2758">
        <v>3300</v>
      </c>
      <c r="BK2758">
        <v>-200</v>
      </c>
      <c r="BL2758" t="s">
        <v>163</v>
      </c>
      <c r="BM2758">
        <v>1</v>
      </c>
      <c r="BN2758">
        <v>1</v>
      </c>
      <c r="BO2758">
        <v>1</v>
      </c>
      <c r="BP2758">
        <v>0</v>
      </c>
      <c r="BS2758">
        <v>0.08</v>
      </c>
      <c r="BT2758">
        <v>0</v>
      </c>
      <c r="BU2758">
        <v>0</v>
      </c>
      <c r="CE2758" t="str">
        <f t="shared" si="1001"/>
        <v>19:32:55.284</v>
      </c>
      <c r="CF2758">
        <v>284388988</v>
      </c>
      <c r="CS2758">
        <v>0</v>
      </c>
      <c r="CT2758">
        <v>2</v>
      </c>
      <c r="CU2758">
        <v>0</v>
      </c>
      <c r="CV2758">
        <v>2</v>
      </c>
      <c r="CW2758">
        <v>0</v>
      </c>
      <c r="CX2758">
        <v>4</v>
      </c>
      <c r="CY2758">
        <v>7</v>
      </c>
      <c r="CZ2758" t="s">
        <v>131</v>
      </c>
      <c r="DA2758">
        <v>300</v>
      </c>
      <c r="DB2758">
        <v>0</v>
      </c>
      <c r="DC2758" t="s">
        <v>176</v>
      </c>
      <c r="DD2758" t="s">
        <v>177</v>
      </c>
      <c r="DG2758">
        <v>5420538</v>
      </c>
      <c r="DI2758">
        <v>0</v>
      </c>
      <c r="DJ2758">
        <v>0</v>
      </c>
      <c r="DK2758">
        <v>1</v>
      </c>
      <c r="DL2758">
        <v>0</v>
      </c>
      <c r="DM2758">
        <v>0</v>
      </c>
      <c r="DN2758">
        <v>1</v>
      </c>
      <c r="DO2758">
        <v>0</v>
      </c>
      <c r="DP2758">
        <v>0</v>
      </c>
      <c r="DQ2758">
        <v>0</v>
      </c>
      <c r="DR2758">
        <v>0</v>
      </c>
      <c r="DS2758">
        <v>0</v>
      </c>
    </row>
    <row r="2759" spans="1:123" x14ac:dyDescent="0.3">
      <c r="A2759" t="str">
        <f>"10/04/2022 19:32:55.573"</f>
        <v>10/04/2022 19:32:55.573</v>
      </c>
      <c r="C2759" t="str">
        <f t="shared" si="991"/>
        <v>FFDDD3C0</v>
      </c>
      <c r="D2759" t="s">
        <v>123</v>
      </c>
      <c r="E2759">
        <v>7</v>
      </c>
      <c r="F2759">
        <v>2007</v>
      </c>
      <c r="G2759" t="s">
        <v>124</v>
      </c>
      <c r="J2759" t="s">
        <v>125</v>
      </c>
      <c r="K2759">
        <v>0</v>
      </c>
      <c r="L2759">
        <v>3</v>
      </c>
      <c r="M2759">
        <v>0</v>
      </c>
      <c r="N2759">
        <v>2</v>
      </c>
      <c r="O2759">
        <v>0</v>
      </c>
      <c r="P2759">
        <v>1</v>
      </c>
      <c r="Q2759">
        <v>0</v>
      </c>
      <c r="S2759" t="str">
        <f t="shared" si="1000"/>
        <v>19:32:55.000</v>
      </c>
      <c r="T2759" t="str">
        <f t="shared" si="1000"/>
        <v>19:32:55.000</v>
      </c>
      <c r="U2759" t="str">
        <f t="shared" si="998"/>
        <v>AC3944</v>
      </c>
      <c r="V2759">
        <v>0</v>
      </c>
      <c r="W2759">
        <v>0</v>
      </c>
      <c r="X2759">
        <v>2</v>
      </c>
      <c r="Y2759">
        <v>0</v>
      </c>
      <c r="AA2759">
        <v>1</v>
      </c>
      <c r="AB2759">
        <v>8</v>
      </c>
      <c r="AC2759">
        <v>3</v>
      </c>
      <c r="AD2759">
        <v>0</v>
      </c>
      <c r="AE2759">
        <v>9</v>
      </c>
      <c r="AF2759" t="s">
        <v>138</v>
      </c>
      <c r="AG2759">
        <v>0</v>
      </c>
      <c r="AH2759">
        <v>3</v>
      </c>
      <c r="AI2759">
        <v>1</v>
      </c>
      <c r="AJ2759">
        <v>0</v>
      </c>
      <c r="AK2759" t="s">
        <v>934</v>
      </c>
      <c r="AL2759">
        <v>32.738484999999997</v>
      </c>
      <c r="AM2759" t="s">
        <v>935</v>
      </c>
      <c r="AN2759">
        <v>-116.76121500000001</v>
      </c>
      <c r="AO2759">
        <v>25</v>
      </c>
      <c r="AP2759">
        <v>3500</v>
      </c>
      <c r="AQ2759" t="s">
        <v>129</v>
      </c>
      <c r="AR2759">
        <v>97</v>
      </c>
      <c r="AS2759">
        <v>-90</v>
      </c>
      <c r="AT2759">
        <v>320</v>
      </c>
      <c r="BB2759">
        <v>1200</v>
      </c>
      <c r="BC2759">
        <v>1</v>
      </c>
      <c r="BD2759" t="str">
        <f t="shared" si="999"/>
        <v xml:space="preserve">N887QR  </v>
      </c>
      <c r="BE2759">
        <v>1</v>
      </c>
      <c r="BJ2759">
        <v>3300</v>
      </c>
      <c r="BK2759">
        <v>-200</v>
      </c>
      <c r="BL2759" t="s">
        <v>163</v>
      </c>
      <c r="BM2759">
        <v>1</v>
      </c>
      <c r="BN2759">
        <v>1</v>
      </c>
      <c r="BO2759">
        <v>1</v>
      </c>
      <c r="BP2759">
        <v>0</v>
      </c>
      <c r="BS2759">
        <v>0.08</v>
      </c>
      <c r="BT2759">
        <v>0</v>
      </c>
      <c r="BU2759">
        <v>0</v>
      </c>
      <c r="CE2759" t="str">
        <f t="shared" si="1001"/>
        <v>19:32:55.284</v>
      </c>
      <c r="CF2759">
        <v>284388988</v>
      </c>
      <c r="CS2759">
        <v>0</v>
      </c>
      <c r="CT2759">
        <v>2</v>
      </c>
      <c r="CU2759">
        <v>0</v>
      </c>
      <c r="CV2759">
        <v>2</v>
      </c>
      <c r="CW2759">
        <v>0</v>
      </c>
      <c r="CX2759">
        <v>4</v>
      </c>
      <c r="CY2759">
        <v>7</v>
      </c>
      <c r="CZ2759" t="s">
        <v>131</v>
      </c>
      <c r="DA2759">
        <v>300</v>
      </c>
      <c r="DB2759">
        <v>0</v>
      </c>
      <c r="DC2759" t="s">
        <v>176</v>
      </c>
      <c r="DD2759" t="s">
        <v>177</v>
      </c>
      <c r="DG2759">
        <v>5420538</v>
      </c>
      <c r="DI2759">
        <v>0</v>
      </c>
      <c r="DJ2759">
        <v>0</v>
      </c>
      <c r="DK2759">
        <v>1</v>
      </c>
      <c r="DL2759">
        <v>0</v>
      </c>
      <c r="DM2759">
        <v>0</v>
      </c>
      <c r="DN2759">
        <v>1</v>
      </c>
      <c r="DO2759">
        <v>0</v>
      </c>
      <c r="DP2759">
        <v>0</v>
      </c>
      <c r="DQ2759">
        <v>0</v>
      </c>
      <c r="DR2759">
        <v>0</v>
      </c>
      <c r="DS2759">
        <v>0</v>
      </c>
    </row>
    <row r="2760" spans="1:123" x14ac:dyDescent="0.3">
      <c r="A2760" t="str">
        <f>"10/04/2022 19:32:55.573"</f>
        <v>10/04/2022 19:32:55.573</v>
      </c>
      <c r="C2760" t="str">
        <f t="shared" si="991"/>
        <v>FFDDD3C0</v>
      </c>
      <c r="D2760" t="s">
        <v>134</v>
      </c>
      <c r="E2760">
        <v>15</v>
      </c>
      <c r="J2760" t="s">
        <v>135</v>
      </c>
      <c r="K2760">
        <v>0</v>
      </c>
      <c r="L2760">
        <v>3</v>
      </c>
      <c r="M2760">
        <v>0</v>
      </c>
      <c r="N2760">
        <v>2</v>
      </c>
      <c r="O2760">
        <v>0</v>
      </c>
      <c r="P2760">
        <v>1</v>
      </c>
      <c r="Q2760">
        <v>0</v>
      </c>
      <c r="S2760" t="str">
        <f t="shared" si="1000"/>
        <v>19:32:55.000</v>
      </c>
      <c r="T2760" t="str">
        <f t="shared" si="1000"/>
        <v>19:32:55.000</v>
      </c>
      <c r="U2760" t="str">
        <f t="shared" si="998"/>
        <v>AC3944</v>
      </c>
      <c r="V2760">
        <v>0</v>
      </c>
      <c r="W2760">
        <v>0</v>
      </c>
      <c r="X2760">
        <v>2</v>
      </c>
      <c r="Y2760">
        <v>0</v>
      </c>
      <c r="AA2760">
        <v>1</v>
      </c>
      <c r="AB2760">
        <v>8</v>
      </c>
      <c r="AC2760">
        <v>3</v>
      </c>
      <c r="AD2760">
        <v>0</v>
      </c>
      <c r="AE2760">
        <v>9</v>
      </c>
      <c r="AF2760" t="s">
        <v>138</v>
      </c>
      <c r="AG2760">
        <v>0</v>
      </c>
      <c r="AH2760">
        <v>3</v>
      </c>
      <c r="AI2760">
        <v>1</v>
      </c>
      <c r="AJ2760">
        <v>0</v>
      </c>
      <c r="AK2760" t="s">
        <v>934</v>
      </c>
      <c r="AL2760">
        <v>32.738484999999997</v>
      </c>
      <c r="AM2760" t="s">
        <v>935</v>
      </c>
      <c r="AN2760">
        <v>-116.76121500000001</v>
      </c>
      <c r="AO2760">
        <v>25</v>
      </c>
      <c r="AP2760">
        <v>3500</v>
      </c>
      <c r="AQ2760" t="s">
        <v>129</v>
      </c>
      <c r="AR2760">
        <v>97</v>
      </c>
      <c r="AS2760">
        <v>-90</v>
      </c>
      <c r="AT2760">
        <v>320</v>
      </c>
      <c r="BB2760">
        <v>1200</v>
      </c>
      <c r="BC2760">
        <v>1</v>
      </c>
      <c r="BD2760" t="str">
        <f t="shared" si="999"/>
        <v xml:space="preserve">N887QR  </v>
      </c>
      <c r="BE2760">
        <v>1</v>
      </c>
      <c r="BJ2760">
        <v>3300</v>
      </c>
      <c r="BK2760">
        <v>-200</v>
      </c>
      <c r="BL2760" t="s">
        <v>163</v>
      </c>
      <c r="BM2760">
        <v>1</v>
      </c>
      <c r="BN2760">
        <v>1</v>
      </c>
      <c r="BO2760">
        <v>1</v>
      </c>
      <c r="BP2760">
        <v>0</v>
      </c>
      <c r="BS2760">
        <v>0.08</v>
      </c>
      <c r="BT2760">
        <v>0</v>
      </c>
      <c r="BU2760">
        <v>0</v>
      </c>
      <c r="CE2760" t="str">
        <f t="shared" si="1001"/>
        <v>19:32:55.284</v>
      </c>
      <c r="CF2760">
        <v>284388988</v>
      </c>
      <c r="CS2760">
        <v>0</v>
      </c>
      <c r="CT2760">
        <v>2</v>
      </c>
      <c r="CU2760">
        <v>0</v>
      </c>
      <c r="CV2760">
        <v>2</v>
      </c>
      <c r="CW2760">
        <v>0</v>
      </c>
      <c r="CX2760">
        <v>4</v>
      </c>
      <c r="CY2760">
        <v>7</v>
      </c>
      <c r="CZ2760" t="s">
        <v>131</v>
      </c>
      <c r="DA2760">
        <v>300</v>
      </c>
      <c r="DB2760">
        <v>0</v>
      </c>
      <c r="DC2760" t="s">
        <v>176</v>
      </c>
      <c r="DD2760" t="s">
        <v>177</v>
      </c>
      <c r="DG2760">
        <v>5420538</v>
      </c>
      <c r="DI2760">
        <v>0</v>
      </c>
      <c r="DJ2760">
        <v>0</v>
      </c>
      <c r="DK2760">
        <v>0</v>
      </c>
      <c r="DL2760">
        <v>0</v>
      </c>
      <c r="DM2760">
        <v>0</v>
      </c>
      <c r="DN2760">
        <v>1</v>
      </c>
      <c r="DO2760">
        <v>0</v>
      </c>
      <c r="DP2760">
        <v>0</v>
      </c>
      <c r="DQ2760">
        <v>0</v>
      </c>
      <c r="DR2760">
        <v>0</v>
      </c>
      <c r="DS2760">
        <v>0</v>
      </c>
    </row>
    <row r="2761" spans="1:123" x14ac:dyDescent="0.3">
      <c r="A2761" t="str">
        <f>"10/04/2022 19:32:55.573"</f>
        <v>10/04/2022 19:32:55.573</v>
      </c>
      <c r="C2761" t="str">
        <f t="shared" si="991"/>
        <v>FFDDD3C0</v>
      </c>
      <c r="D2761" t="s">
        <v>141</v>
      </c>
      <c r="E2761">
        <v>4</v>
      </c>
      <c r="H2761">
        <v>4</v>
      </c>
      <c r="I2761" t="s">
        <v>142</v>
      </c>
      <c r="J2761" t="s">
        <v>138</v>
      </c>
      <c r="K2761">
        <v>0</v>
      </c>
      <c r="L2761">
        <v>3</v>
      </c>
      <c r="M2761">
        <v>0</v>
      </c>
      <c r="N2761">
        <v>2</v>
      </c>
      <c r="O2761">
        <v>0</v>
      </c>
      <c r="P2761">
        <v>1</v>
      </c>
      <c r="Q2761">
        <v>0</v>
      </c>
      <c r="S2761" t="str">
        <f t="shared" si="1000"/>
        <v>19:32:55.000</v>
      </c>
      <c r="T2761" t="str">
        <f t="shared" si="1000"/>
        <v>19:32:55.000</v>
      </c>
      <c r="U2761" t="str">
        <f t="shared" si="998"/>
        <v>AC3944</v>
      </c>
      <c r="V2761">
        <v>0</v>
      </c>
      <c r="W2761">
        <v>0</v>
      </c>
      <c r="X2761">
        <v>2</v>
      </c>
      <c r="Y2761">
        <v>0</v>
      </c>
      <c r="AA2761">
        <v>1</v>
      </c>
      <c r="AB2761">
        <v>8</v>
      </c>
      <c r="AC2761">
        <v>3</v>
      </c>
      <c r="AD2761">
        <v>0</v>
      </c>
      <c r="AE2761">
        <v>9</v>
      </c>
      <c r="AF2761" t="s">
        <v>138</v>
      </c>
      <c r="AG2761">
        <v>0</v>
      </c>
      <c r="AH2761">
        <v>3</v>
      </c>
      <c r="AI2761">
        <v>1</v>
      </c>
      <c r="AJ2761">
        <v>0</v>
      </c>
      <c r="AK2761" t="s">
        <v>934</v>
      </c>
      <c r="AL2761">
        <v>32.738484999999997</v>
      </c>
      <c r="AM2761" t="s">
        <v>935</v>
      </c>
      <c r="AN2761">
        <v>-116.76121500000001</v>
      </c>
      <c r="AO2761">
        <v>25</v>
      </c>
      <c r="AP2761">
        <v>3500</v>
      </c>
      <c r="AQ2761" t="s">
        <v>129</v>
      </c>
      <c r="AR2761">
        <v>97</v>
      </c>
      <c r="AS2761">
        <v>-90</v>
      </c>
      <c r="AT2761">
        <v>320</v>
      </c>
      <c r="BB2761">
        <v>1200</v>
      </c>
      <c r="BC2761">
        <v>1</v>
      </c>
      <c r="BD2761" t="str">
        <f t="shared" si="999"/>
        <v xml:space="preserve">N887QR  </v>
      </c>
      <c r="BE2761">
        <v>1</v>
      </c>
      <c r="BJ2761">
        <v>3300</v>
      </c>
      <c r="BK2761">
        <v>-200</v>
      </c>
      <c r="BL2761" t="s">
        <v>163</v>
      </c>
      <c r="BM2761">
        <v>1</v>
      </c>
      <c r="BN2761">
        <v>1</v>
      </c>
      <c r="BO2761">
        <v>1</v>
      </c>
      <c r="BP2761">
        <v>0</v>
      </c>
      <c r="BS2761">
        <v>0.08</v>
      </c>
      <c r="BT2761">
        <v>0</v>
      </c>
      <c r="BU2761">
        <v>0</v>
      </c>
      <c r="CE2761" t="str">
        <f t="shared" si="1001"/>
        <v>19:32:55.284</v>
      </c>
      <c r="CF2761">
        <v>284388988</v>
      </c>
      <c r="CS2761">
        <v>0</v>
      </c>
      <c r="CT2761">
        <v>2</v>
      </c>
      <c r="CU2761">
        <v>0</v>
      </c>
      <c r="CV2761">
        <v>2</v>
      </c>
      <c r="CW2761">
        <v>0</v>
      </c>
      <c r="CX2761">
        <v>4</v>
      </c>
      <c r="CY2761">
        <v>7</v>
      </c>
      <c r="CZ2761" t="s">
        <v>131</v>
      </c>
      <c r="DA2761">
        <v>300</v>
      </c>
      <c r="DB2761">
        <v>0</v>
      </c>
      <c r="DC2761" t="s">
        <v>176</v>
      </c>
      <c r="DD2761" t="s">
        <v>177</v>
      </c>
      <c r="DG2761">
        <v>5420538</v>
      </c>
      <c r="DI2761">
        <v>0</v>
      </c>
      <c r="DJ2761">
        <v>0</v>
      </c>
      <c r="DK2761">
        <v>1</v>
      </c>
      <c r="DL2761">
        <v>0</v>
      </c>
      <c r="DM2761">
        <v>0</v>
      </c>
      <c r="DN2761">
        <v>1</v>
      </c>
      <c r="DO2761">
        <v>0</v>
      </c>
      <c r="DP2761">
        <v>0</v>
      </c>
      <c r="DQ2761">
        <v>0</v>
      </c>
      <c r="DR2761">
        <v>0</v>
      </c>
      <c r="DS2761">
        <v>0</v>
      </c>
    </row>
    <row r="2762" spans="1:123" x14ac:dyDescent="0.3">
      <c r="A2762" t="str">
        <f>"10/04/2022 19:32:55.573"</f>
        <v>10/04/2022 19:32:55.573</v>
      </c>
      <c r="C2762" t="str">
        <f t="shared" si="991"/>
        <v>FFDDD3C0</v>
      </c>
      <c r="D2762" t="s">
        <v>141</v>
      </c>
      <c r="E2762">
        <v>3</v>
      </c>
      <c r="H2762">
        <v>3</v>
      </c>
      <c r="I2762" t="s">
        <v>146</v>
      </c>
      <c r="J2762" t="s">
        <v>138</v>
      </c>
      <c r="K2762">
        <v>0</v>
      </c>
      <c r="L2762">
        <v>3</v>
      </c>
      <c r="M2762">
        <v>0</v>
      </c>
      <c r="N2762">
        <v>2</v>
      </c>
      <c r="O2762">
        <v>0</v>
      </c>
      <c r="P2762">
        <v>1</v>
      </c>
      <c r="Q2762">
        <v>0</v>
      </c>
      <c r="S2762" t="str">
        <f t="shared" si="1000"/>
        <v>19:32:55.000</v>
      </c>
      <c r="T2762" t="str">
        <f t="shared" si="1000"/>
        <v>19:32:55.000</v>
      </c>
      <c r="U2762" t="str">
        <f t="shared" si="998"/>
        <v>AC3944</v>
      </c>
      <c r="V2762">
        <v>0</v>
      </c>
      <c r="W2762">
        <v>0</v>
      </c>
      <c r="X2762">
        <v>2</v>
      </c>
      <c r="Y2762">
        <v>0</v>
      </c>
      <c r="AA2762">
        <v>1</v>
      </c>
      <c r="AB2762">
        <v>8</v>
      </c>
      <c r="AC2762">
        <v>3</v>
      </c>
      <c r="AD2762">
        <v>0</v>
      </c>
      <c r="AE2762">
        <v>9</v>
      </c>
      <c r="AF2762" t="s">
        <v>138</v>
      </c>
      <c r="AG2762">
        <v>0</v>
      </c>
      <c r="AH2762">
        <v>3</v>
      </c>
      <c r="AI2762">
        <v>1</v>
      </c>
      <c r="AJ2762">
        <v>0</v>
      </c>
      <c r="AK2762" t="s">
        <v>934</v>
      </c>
      <c r="AL2762">
        <v>32.738484999999997</v>
      </c>
      <c r="AM2762" t="s">
        <v>935</v>
      </c>
      <c r="AN2762">
        <v>-116.76121500000001</v>
      </c>
      <c r="AO2762">
        <v>25</v>
      </c>
      <c r="AP2762">
        <v>3500</v>
      </c>
      <c r="AQ2762" t="s">
        <v>129</v>
      </c>
      <c r="AR2762">
        <v>97</v>
      </c>
      <c r="AS2762">
        <v>-90</v>
      </c>
      <c r="AT2762">
        <v>320</v>
      </c>
      <c r="BB2762">
        <v>1200</v>
      </c>
      <c r="BC2762">
        <v>1</v>
      </c>
      <c r="BD2762" t="str">
        <f t="shared" si="999"/>
        <v xml:space="preserve">N887QR  </v>
      </c>
      <c r="BE2762">
        <v>1</v>
      </c>
      <c r="BJ2762">
        <v>3300</v>
      </c>
      <c r="BK2762">
        <v>-200</v>
      </c>
      <c r="BL2762" t="s">
        <v>163</v>
      </c>
      <c r="BM2762">
        <v>1</v>
      </c>
      <c r="BN2762">
        <v>1</v>
      </c>
      <c r="BO2762">
        <v>1</v>
      </c>
      <c r="BP2762">
        <v>0</v>
      </c>
      <c r="BS2762">
        <v>0.08</v>
      </c>
      <c r="BT2762">
        <v>0</v>
      </c>
      <c r="BU2762">
        <v>0</v>
      </c>
      <c r="CE2762" t="str">
        <f t="shared" si="1001"/>
        <v>19:32:55.284</v>
      </c>
      <c r="CF2762">
        <v>284388988</v>
      </c>
      <c r="CS2762">
        <v>0</v>
      </c>
      <c r="CT2762">
        <v>2</v>
      </c>
      <c r="CU2762">
        <v>0</v>
      </c>
      <c r="CV2762">
        <v>2</v>
      </c>
      <c r="CW2762">
        <v>0</v>
      </c>
      <c r="CX2762">
        <v>4</v>
      </c>
      <c r="CY2762">
        <v>7</v>
      </c>
      <c r="CZ2762" t="s">
        <v>131</v>
      </c>
      <c r="DA2762">
        <v>300</v>
      </c>
      <c r="DB2762">
        <v>0</v>
      </c>
      <c r="DC2762" t="s">
        <v>176</v>
      </c>
      <c r="DD2762" t="s">
        <v>177</v>
      </c>
      <c r="DG2762">
        <v>5420538</v>
      </c>
      <c r="DI2762">
        <v>0</v>
      </c>
      <c r="DJ2762">
        <v>0</v>
      </c>
      <c r="DK2762">
        <v>1</v>
      </c>
      <c r="DL2762">
        <v>0</v>
      </c>
      <c r="DM2762">
        <v>0</v>
      </c>
      <c r="DN2762">
        <v>1</v>
      </c>
      <c r="DO2762">
        <v>0</v>
      </c>
      <c r="DP2762">
        <v>0</v>
      </c>
      <c r="DQ2762">
        <v>0</v>
      </c>
      <c r="DR2762">
        <v>0</v>
      </c>
      <c r="DS2762">
        <v>0</v>
      </c>
    </row>
    <row r="2763" spans="1:123" x14ac:dyDescent="0.3">
      <c r="A2763" t="str">
        <f>"10/04/2022 19:32:57.309"</f>
        <v>10/04/2022 19:32:57.309</v>
      </c>
      <c r="C2763" t="str">
        <f t="shared" si="991"/>
        <v>FFDDD3C0</v>
      </c>
      <c r="D2763" t="s">
        <v>143</v>
      </c>
      <c r="E2763">
        <v>20</v>
      </c>
      <c r="F2763">
        <v>1020</v>
      </c>
      <c r="G2763" t="s">
        <v>144</v>
      </c>
      <c r="J2763" t="s">
        <v>145</v>
      </c>
      <c r="K2763">
        <v>0</v>
      </c>
      <c r="L2763">
        <v>3</v>
      </c>
      <c r="M2763">
        <v>0</v>
      </c>
      <c r="N2763">
        <v>2</v>
      </c>
      <c r="O2763">
        <v>0</v>
      </c>
      <c r="P2763">
        <v>1</v>
      </c>
      <c r="Q2763">
        <v>0</v>
      </c>
      <c r="S2763" t="str">
        <f t="shared" ref="S2763:T2767" si="1002">"19:32:56.000"</f>
        <v>19:32:56.000</v>
      </c>
      <c r="T2763" t="str">
        <f t="shared" si="1002"/>
        <v>19:32:56.000</v>
      </c>
      <c r="U2763" t="str">
        <f t="shared" si="998"/>
        <v>AC3944</v>
      </c>
      <c r="V2763">
        <v>0</v>
      </c>
      <c r="W2763">
        <v>0</v>
      </c>
      <c r="X2763">
        <v>2</v>
      </c>
      <c r="Y2763">
        <v>0</v>
      </c>
      <c r="AA2763">
        <v>1</v>
      </c>
      <c r="AB2763">
        <v>8</v>
      </c>
      <c r="AC2763">
        <v>3</v>
      </c>
      <c r="AD2763">
        <v>0</v>
      </c>
      <c r="AE2763">
        <v>9</v>
      </c>
      <c r="AF2763" t="s">
        <v>138</v>
      </c>
      <c r="AG2763">
        <v>0</v>
      </c>
      <c r="AH2763">
        <v>3</v>
      </c>
      <c r="AI2763">
        <v>1</v>
      </c>
      <c r="AJ2763">
        <v>0</v>
      </c>
      <c r="AK2763" t="s">
        <v>936</v>
      </c>
      <c r="AL2763">
        <v>32.737734000000003</v>
      </c>
      <c r="AM2763" t="s">
        <v>937</v>
      </c>
      <c r="AN2763">
        <v>-116.760228</v>
      </c>
      <c r="AO2763">
        <v>25</v>
      </c>
      <c r="AP2763">
        <v>3600</v>
      </c>
      <c r="AQ2763" t="s">
        <v>129</v>
      </c>
      <c r="AR2763">
        <v>98</v>
      </c>
      <c r="AS2763">
        <v>-90</v>
      </c>
      <c r="AT2763">
        <v>256</v>
      </c>
      <c r="BB2763">
        <v>1200</v>
      </c>
      <c r="BC2763">
        <v>1</v>
      </c>
      <c r="BD2763" t="str">
        <f t="shared" si="999"/>
        <v xml:space="preserve">N887QR  </v>
      </c>
      <c r="BE2763">
        <v>1</v>
      </c>
      <c r="BJ2763">
        <v>3300</v>
      </c>
      <c r="BK2763">
        <v>-300</v>
      </c>
      <c r="BL2763" t="s">
        <v>163</v>
      </c>
      <c r="BM2763">
        <v>1</v>
      </c>
      <c r="BN2763">
        <v>1</v>
      </c>
      <c r="BO2763">
        <v>1</v>
      </c>
      <c r="BP2763">
        <v>0</v>
      </c>
      <c r="BS2763">
        <v>0.08</v>
      </c>
      <c r="BT2763">
        <v>0</v>
      </c>
      <c r="BU2763">
        <v>0</v>
      </c>
      <c r="CE2763" t="str">
        <f>"19:32:56.914"</f>
        <v>19:32:56.914</v>
      </c>
      <c r="CF2763">
        <v>914394436</v>
      </c>
      <c r="CS2763">
        <v>0</v>
      </c>
      <c r="CT2763">
        <v>2</v>
      </c>
      <c r="CU2763">
        <v>0</v>
      </c>
      <c r="CV2763">
        <v>2</v>
      </c>
      <c r="CW2763">
        <v>0</v>
      </c>
      <c r="CX2763">
        <v>4</v>
      </c>
      <c r="CY2763">
        <v>7</v>
      </c>
      <c r="CZ2763" t="s">
        <v>131</v>
      </c>
      <c r="DA2763">
        <v>300</v>
      </c>
      <c r="DB2763">
        <v>0</v>
      </c>
      <c r="DC2763" t="s">
        <v>176</v>
      </c>
      <c r="DD2763" t="s">
        <v>177</v>
      </c>
      <c r="DG2763">
        <v>5420820</v>
      </c>
      <c r="DI2763">
        <v>0</v>
      </c>
      <c r="DJ2763">
        <v>0</v>
      </c>
      <c r="DK2763">
        <v>0</v>
      </c>
      <c r="DL2763">
        <v>0</v>
      </c>
      <c r="DM2763">
        <v>0</v>
      </c>
      <c r="DN2763">
        <v>1</v>
      </c>
      <c r="DO2763">
        <v>0</v>
      </c>
      <c r="DP2763">
        <v>0</v>
      </c>
      <c r="DQ2763">
        <v>0</v>
      </c>
      <c r="DR2763">
        <v>0</v>
      </c>
      <c r="DS2763">
        <v>0</v>
      </c>
    </row>
    <row r="2764" spans="1:123" x14ac:dyDescent="0.3">
      <c r="A2764" t="str">
        <f>"10/04/2022 19:32:57.309"</f>
        <v>10/04/2022 19:32:57.309</v>
      </c>
      <c r="C2764" t="str">
        <f t="shared" si="991"/>
        <v>FFDDD3C0</v>
      </c>
      <c r="D2764" t="s">
        <v>147</v>
      </c>
      <c r="E2764">
        <v>3</v>
      </c>
      <c r="H2764">
        <v>166</v>
      </c>
      <c r="I2764" t="s">
        <v>144</v>
      </c>
      <c r="J2764" t="s">
        <v>148</v>
      </c>
      <c r="K2764">
        <v>0</v>
      </c>
      <c r="L2764">
        <v>3</v>
      </c>
      <c r="M2764">
        <v>0</v>
      </c>
      <c r="N2764">
        <v>2</v>
      </c>
      <c r="O2764">
        <v>0</v>
      </c>
      <c r="P2764">
        <v>1</v>
      </c>
      <c r="Q2764">
        <v>0</v>
      </c>
      <c r="S2764" t="str">
        <f t="shared" si="1002"/>
        <v>19:32:56.000</v>
      </c>
      <c r="T2764" t="str">
        <f t="shared" si="1002"/>
        <v>19:32:56.000</v>
      </c>
      <c r="U2764" t="str">
        <f t="shared" si="998"/>
        <v>AC3944</v>
      </c>
      <c r="V2764">
        <v>0</v>
      </c>
      <c r="W2764">
        <v>0</v>
      </c>
      <c r="X2764">
        <v>2</v>
      </c>
      <c r="Y2764">
        <v>0</v>
      </c>
      <c r="AA2764">
        <v>1</v>
      </c>
      <c r="AB2764">
        <v>8</v>
      </c>
      <c r="AC2764">
        <v>3</v>
      </c>
      <c r="AD2764">
        <v>0</v>
      </c>
      <c r="AE2764">
        <v>9</v>
      </c>
      <c r="AF2764" t="s">
        <v>138</v>
      </c>
      <c r="AG2764">
        <v>0</v>
      </c>
      <c r="AH2764">
        <v>3</v>
      </c>
      <c r="AI2764">
        <v>1</v>
      </c>
      <c r="AJ2764">
        <v>0</v>
      </c>
      <c r="AK2764" t="s">
        <v>936</v>
      </c>
      <c r="AL2764">
        <v>32.737734000000003</v>
      </c>
      <c r="AM2764" t="s">
        <v>937</v>
      </c>
      <c r="AN2764">
        <v>-116.760228</v>
      </c>
      <c r="AO2764">
        <v>25</v>
      </c>
      <c r="AP2764">
        <v>3600</v>
      </c>
      <c r="AQ2764" t="s">
        <v>129</v>
      </c>
      <c r="AR2764">
        <v>98</v>
      </c>
      <c r="AS2764">
        <v>-90</v>
      </c>
      <c r="AT2764">
        <v>256</v>
      </c>
      <c r="BB2764">
        <v>1200</v>
      </c>
      <c r="BC2764">
        <v>1</v>
      </c>
      <c r="BD2764" t="str">
        <f t="shared" si="999"/>
        <v xml:space="preserve">N887QR  </v>
      </c>
      <c r="BE2764">
        <v>1</v>
      </c>
      <c r="BJ2764">
        <v>3300</v>
      </c>
      <c r="BK2764">
        <v>-300</v>
      </c>
      <c r="BL2764" t="s">
        <v>163</v>
      </c>
      <c r="BM2764">
        <v>1</v>
      </c>
      <c r="BN2764">
        <v>1</v>
      </c>
      <c r="BO2764">
        <v>1</v>
      </c>
      <c r="BP2764">
        <v>0</v>
      </c>
      <c r="BS2764">
        <v>0.08</v>
      </c>
      <c r="BT2764">
        <v>0</v>
      </c>
      <c r="BU2764">
        <v>0</v>
      </c>
      <c r="CE2764" t="str">
        <f>"19:32:56.914"</f>
        <v>19:32:56.914</v>
      </c>
      <c r="CF2764">
        <v>914394436</v>
      </c>
      <c r="CS2764">
        <v>0</v>
      </c>
      <c r="CT2764">
        <v>2</v>
      </c>
      <c r="CU2764">
        <v>0</v>
      </c>
      <c r="CV2764">
        <v>2</v>
      </c>
      <c r="CW2764">
        <v>0</v>
      </c>
      <c r="CX2764">
        <v>4</v>
      </c>
      <c r="CY2764">
        <v>7</v>
      </c>
      <c r="CZ2764" t="s">
        <v>131</v>
      </c>
      <c r="DA2764">
        <v>300</v>
      </c>
      <c r="DB2764">
        <v>0</v>
      </c>
      <c r="DC2764" t="s">
        <v>176</v>
      </c>
      <c r="DD2764" t="s">
        <v>177</v>
      </c>
      <c r="DG2764">
        <v>5420820</v>
      </c>
      <c r="DI2764">
        <v>0</v>
      </c>
      <c r="DJ2764">
        <v>0</v>
      </c>
      <c r="DK2764">
        <v>1</v>
      </c>
      <c r="DL2764">
        <v>0</v>
      </c>
      <c r="DM2764">
        <v>0</v>
      </c>
      <c r="DN2764">
        <v>1</v>
      </c>
      <c r="DO2764">
        <v>0</v>
      </c>
      <c r="DP2764">
        <v>0</v>
      </c>
      <c r="DQ2764">
        <v>0</v>
      </c>
      <c r="DR2764">
        <v>0</v>
      </c>
      <c r="DS2764">
        <v>0</v>
      </c>
    </row>
    <row r="2765" spans="1:123" x14ac:dyDescent="0.3">
      <c r="A2765" t="str">
        <f>"10/04/2022 19:32:57.309"</f>
        <v>10/04/2022 19:32:57.309</v>
      </c>
      <c r="C2765" t="str">
        <f t="shared" si="991"/>
        <v>FFDDD3C0</v>
      </c>
      <c r="D2765" t="s">
        <v>123</v>
      </c>
      <c r="E2765">
        <v>7</v>
      </c>
      <c r="F2765">
        <v>2007</v>
      </c>
      <c r="G2765" t="s">
        <v>124</v>
      </c>
      <c r="J2765" t="s">
        <v>125</v>
      </c>
      <c r="K2765">
        <v>0</v>
      </c>
      <c r="L2765">
        <v>3</v>
      </c>
      <c r="M2765">
        <v>0</v>
      </c>
      <c r="N2765">
        <v>2</v>
      </c>
      <c r="O2765">
        <v>0</v>
      </c>
      <c r="P2765">
        <v>1</v>
      </c>
      <c r="Q2765">
        <v>0</v>
      </c>
      <c r="S2765" t="str">
        <f t="shared" si="1002"/>
        <v>19:32:56.000</v>
      </c>
      <c r="T2765" t="str">
        <f t="shared" si="1002"/>
        <v>19:32:56.000</v>
      </c>
      <c r="U2765" t="str">
        <f t="shared" si="998"/>
        <v>AC3944</v>
      </c>
      <c r="V2765">
        <v>0</v>
      </c>
      <c r="W2765">
        <v>0</v>
      </c>
      <c r="X2765">
        <v>2</v>
      </c>
      <c r="Y2765">
        <v>0</v>
      </c>
      <c r="AA2765">
        <v>1</v>
      </c>
      <c r="AB2765">
        <v>8</v>
      </c>
      <c r="AC2765">
        <v>3</v>
      </c>
      <c r="AD2765">
        <v>0</v>
      </c>
      <c r="AE2765">
        <v>9</v>
      </c>
      <c r="AF2765" t="s">
        <v>138</v>
      </c>
      <c r="AG2765">
        <v>0</v>
      </c>
      <c r="AH2765">
        <v>3</v>
      </c>
      <c r="AI2765">
        <v>1</v>
      </c>
      <c r="AJ2765">
        <v>0</v>
      </c>
      <c r="AK2765" t="s">
        <v>936</v>
      </c>
      <c r="AL2765">
        <v>32.737734000000003</v>
      </c>
      <c r="AM2765" t="s">
        <v>937</v>
      </c>
      <c r="AN2765">
        <v>-116.760228</v>
      </c>
      <c r="AO2765">
        <v>25</v>
      </c>
      <c r="AP2765">
        <v>3600</v>
      </c>
      <c r="AQ2765" t="s">
        <v>129</v>
      </c>
      <c r="AR2765">
        <v>98</v>
      </c>
      <c r="AS2765">
        <v>-90</v>
      </c>
      <c r="AT2765">
        <v>256</v>
      </c>
      <c r="BB2765">
        <v>1200</v>
      </c>
      <c r="BC2765">
        <v>1</v>
      </c>
      <c r="BD2765" t="str">
        <f t="shared" si="999"/>
        <v xml:space="preserve">N887QR  </v>
      </c>
      <c r="BE2765">
        <v>1</v>
      </c>
      <c r="BJ2765">
        <v>3300</v>
      </c>
      <c r="BK2765">
        <v>-300</v>
      </c>
      <c r="BL2765" t="s">
        <v>163</v>
      </c>
      <c r="BM2765">
        <v>1</v>
      </c>
      <c r="BN2765">
        <v>1</v>
      </c>
      <c r="BO2765">
        <v>1</v>
      </c>
      <c r="BP2765">
        <v>0</v>
      </c>
      <c r="BS2765">
        <v>0.08</v>
      </c>
      <c r="BT2765">
        <v>0</v>
      </c>
      <c r="BU2765">
        <v>0</v>
      </c>
      <c r="CE2765" t="str">
        <f>"19:32:56.914"</f>
        <v>19:32:56.914</v>
      </c>
      <c r="CF2765">
        <v>914394436</v>
      </c>
      <c r="CS2765">
        <v>0</v>
      </c>
      <c r="CT2765">
        <v>2</v>
      </c>
      <c r="CU2765">
        <v>0</v>
      </c>
      <c r="CV2765">
        <v>2</v>
      </c>
      <c r="CW2765">
        <v>0</v>
      </c>
      <c r="CX2765">
        <v>4</v>
      </c>
      <c r="CY2765">
        <v>7</v>
      </c>
      <c r="CZ2765" t="s">
        <v>131</v>
      </c>
      <c r="DA2765">
        <v>300</v>
      </c>
      <c r="DB2765">
        <v>0</v>
      </c>
      <c r="DC2765" t="s">
        <v>176</v>
      </c>
      <c r="DD2765" t="s">
        <v>177</v>
      </c>
      <c r="DG2765">
        <v>5420820</v>
      </c>
      <c r="DI2765">
        <v>0</v>
      </c>
      <c r="DJ2765">
        <v>0</v>
      </c>
      <c r="DK2765">
        <v>1</v>
      </c>
      <c r="DL2765">
        <v>0</v>
      </c>
      <c r="DM2765">
        <v>0</v>
      </c>
      <c r="DN2765">
        <v>1</v>
      </c>
      <c r="DO2765">
        <v>0</v>
      </c>
      <c r="DP2765">
        <v>0</v>
      </c>
      <c r="DQ2765">
        <v>0</v>
      </c>
      <c r="DR2765">
        <v>0</v>
      </c>
      <c r="DS2765">
        <v>0</v>
      </c>
    </row>
    <row r="2766" spans="1:123" x14ac:dyDescent="0.3">
      <c r="A2766" t="str">
        <f>"10/04/2022 19:32:57.309"</f>
        <v>10/04/2022 19:32:57.309</v>
      </c>
      <c r="C2766" t="str">
        <f t="shared" si="991"/>
        <v>FFDDD3C0</v>
      </c>
      <c r="D2766" t="s">
        <v>136</v>
      </c>
      <c r="E2766">
        <v>8</v>
      </c>
      <c r="H2766">
        <v>225</v>
      </c>
      <c r="I2766" t="s">
        <v>137</v>
      </c>
      <c r="J2766" t="s">
        <v>138</v>
      </c>
      <c r="K2766">
        <v>0</v>
      </c>
      <c r="L2766">
        <v>3</v>
      </c>
      <c r="M2766">
        <v>0</v>
      </c>
      <c r="N2766">
        <v>2</v>
      </c>
      <c r="O2766">
        <v>0</v>
      </c>
      <c r="P2766">
        <v>1</v>
      </c>
      <c r="Q2766">
        <v>0</v>
      </c>
      <c r="S2766" t="str">
        <f t="shared" si="1002"/>
        <v>19:32:56.000</v>
      </c>
      <c r="T2766" t="str">
        <f t="shared" si="1002"/>
        <v>19:32:56.000</v>
      </c>
      <c r="U2766" t="str">
        <f t="shared" si="998"/>
        <v>AC3944</v>
      </c>
      <c r="V2766">
        <v>0</v>
      </c>
      <c r="W2766">
        <v>0</v>
      </c>
      <c r="X2766">
        <v>2</v>
      </c>
      <c r="Y2766">
        <v>0</v>
      </c>
      <c r="AA2766">
        <v>1</v>
      </c>
      <c r="AB2766">
        <v>8</v>
      </c>
      <c r="AC2766">
        <v>3</v>
      </c>
      <c r="AD2766">
        <v>0</v>
      </c>
      <c r="AE2766">
        <v>9</v>
      </c>
      <c r="AF2766" t="s">
        <v>138</v>
      </c>
      <c r="AG2766">
        <v>0</v>
      </c>
      <c r="AH2766">
        <v>3</v>
      </c>
      <c r="AI2766">
        <v>1</v>
      </c>
      <c r="AJ2766">
        <v>0</v>
      </c>
      <c r="AK2766" t="s">
        <v>936</v>
      </c>
      <c r="AL2766">
        <v>32.737734000000003</v>
      </c>
      <c r="AM2766" t="s">
        <v>937</v>
      </c>
      <c r="AN2766">
        <v>-116.760228</v>
      </c>
      <c r="AO2766">
        <v>25</v>
      </c>
      <c r="AP2766">
        <v>3600</v>
      </c>
      <c r="AQ2766" t="s">
        <v>129</v>
      </c>
      <c r="AR2766">
        <v>98</v>
      </c>
      <c r="AS2766">
        <v>-90</v>
      </c>
      <c r="AT2766">
        <v>256</v>
      </c>
      <c r="BB2766">
        <v>1200</v>
      </c>
      <c r="BC2766">
        <v>1</v>
      </c>
      <c r="BD2766" t="str">
        <f t="shared" si="999"/>
        <v xml:space="preserve">N887QR  </v>
      </c>
      <c r="BE2766">
        <v>1</v>
      </c>
      <c r="BJ2766">
        <v>3300</v>
      </c>
      <c r="BK2766">
        <v>-300</v>
      </c>
      <c r="BL2766" t="s">
        <v>163</v>
      </c>
      <c r="BM2766">
        <v>1</v>
      </c>
      <c r="BN2766">
        <v>1</v>
      </c>
      <c r="BO2766">
        <v>1</v>
      </c>
      <c r="BP2766">
        <v>0</v>
      </c>
      <c r="BS2766">
        <v>0.08</v>
      </c>
      <c r="BT2766">
        <v>0</v>
      </c>
      <c r="BU2766">
        <v>0</v>
      </c>
      <c r="CE2766" t="str">
        <f>"19:32:56.914"</f>
        <v>19:32:56.914</v>
      </c>
      <c r="CF2766">
        <v>914394436</v>
      </c>
      <c r="CS2766">
        <v>0</v>
      </c>
      <c r="CT2766">
        <v>2</v>
      </c>
      <c r="CU2766">
        <v>0</v>
      </c>
      <c r="CV2766">
        <v>2</v>
      </c>
      <c r="CW2766">
        <v>0</v>
      </c>
      <c r="CX2766">
        <v>4</v>
      </c>
      <c r="CY2766">
        <v>7</v>
      </c>
      <c r="CZ2766" t="s">
        <v>131</v>
      </c>
      <c r="DA2766">
        <v>300</v>
      </c>
      <c r="DB2766">
        <v>0</v>
      </c>
      <c r="DC2766" t="s">
        <v>176</v>
      </c>
      <c r="DD2766" t="s">
        <v>177</v>
      </c>
      <c r="DG2766">
        <v>5420820</v>
      </c>
      <c r="DI2766">
        <v>0</v>
      </c>
      <c r="DJ2766">
        <v>0</v>
      </c>
      <c r="DK2766">
        <v>1</v>
      </c>
      <c r="DL2766">
        <v>0</v>
      </c>
      <c r="DM2766">
        <v>0</v>
      </c>
      <c r="DN2766">
        <v>1</v>
      </c>
      <c r="DO2766">
        <v>0</v>
      </c>
      <c r="DP2766">
        <v>0</v>
      </c>
      <c r="DQ2766">
        <v>0</v>
      </c>
      <c r="DR2766">
        <v>0</v>
      </c>
      <c r="DS2766">
        <v>0</v>
      </c>
    </row>
    <row r="2767" spans="1:123" x14ac:dyDescent="0.3">
      <c r="A2767" t="str">
        <f>"10/04/2022 19:32:57.309"</f>
        <v>10/04/2022 19:32:57.309</v>
      </c>
      <c r="C2767" t="str">
        <f t="shared" si="991"/>
        <v>FFDDD3C0</v>
      </c>
      <c r="D2767" t="s">
        <v>141</v>
      </c>
      <c r="E2767">
        <v>4</v>
      </c>
      <c r="H2767">
        <v>4</v>
      </c>
      <c r="I2767" t="s">
        <v>142</v>
      </c>
      <c r="J2767" t="s">
        <v>138</v>
      </c>
      <c r="K2767">
        <v>0</v>
      </c>
      <c r="L2767">
        <v>3</v>
      </c>
      <c r="M2767">
        <v>0</v>
      </c>
      <c r="N2767">
        <v>2</v>
      </c>
      <c r="O2767">
        <v>0</v>
      </c>
      <c r="P2767">
        <v>1</v>
      </c>
      <c r="Q2767">
        <v>0</v>
      </c>
      <c r="S2767" t="str">
        <f t="shared" si="1002"/>
        <v>19:32:56.000</v>
      </c>
      <c r="T2767" t="str">
        <f t="shared" si="1002"/>
        <v>19:32:56.000</v>
      </c>
      <c r="U2767" t="str">
        <f t="shared" si="998"/>
        <v>AC3944</v>
      </c>
      <c r="V2767">
        <v>0</v>
      </c>
      <c r="W2767">
        <v>0</v>
      </c>
      <c r="X2767">
        <v>2</v>
      </c>
      <c r="Y2767">
        <v>0</v>
      </c>
      <c r="AA2767">
        <v>1</v>
      </c>
      <c r="AB2767">
        <v>8</v>
      </c>
      <c r="AC2767">
        <v>3</v>
      </c>
      <c r="AD2767">
        <v>0</v>
      </c>
      <c r="AE2767">
        <v>9</v>
      </c>
      <c r="AF2767" t="s">
        <v>138</v>
      </c>
      <c r="AG2767">
        <v>0</v>
      </c>
      <c r="AH2767">
        <v>3</v>
      </c>
      <c r="AI2767">
        <v>1</v>
      </c>
      <c r="AJ2767">
        <v>0</v>
      </c>
      <c r="AK2767" t="s">
        <v>936</v>
      </c>
      <c r="AL2767">
        <v>32.737734000000003</v>
      </c>
      <c r="AM2767" t="s">
        <v>937</v>
      </c>
      <c r="AN2767">
        <v>-116.760228</v>
      </c>
      <c r="AO2767">
        <v>25</v>
      </c>
      <c r="AP2767">
        <v>3600</v>
      </c>
      <c r="AQ2767" t="s">
        <v>129</v>
      </c>
      <c r="AR2767">
        <v>98</v>
      </c>
      <c r="AS2767">
        <v>-90</v>
      </c>
      <c r="AT2767">
        <v>256</v>
      </c>
      <c r="BB2767">
        <v>1200</v>
      </c>
      <c r="BC2767">
        <v>1</v>
      </c>
      <c r="BD2767" t="str">
        <f t="shared" si="999"/>
        <v xml:space="preserve">N887QR  </v>
      </c>
      <c r="BE2767">
        <v>1</v>
      </c>
      <c r="BJ2767">
        <v>3300</v>
      </c>
      <c r="BK2767">
        <v>-300</v>
      </c>
      <c r="BL2767" t="s">
        <v>163</v>
      </c>
      <c r="BM2767">
        <v>1</v>
      </c>
      <c r="BN2767">
        <v>1</v>
      </c>
      <c r="BO2767">
        <v>1</v>
      </c>
      <c r="BP2767">
        <v>0</v>
      </c>
      <c r="BS2767">
        <v>0.08</v>
      </c>
      <c r="BT2767">
        <v>0</v>
      </c>
      <c r="BU2767">
        <v>0</v>
      </c>
      <c r="CE2767" t="str">
        <f>"19:32:56.914"</f>
        <v>19:32:56.914</v>
      </c>
      <c r="CF2767">
        <v>914394436</v>
      </c>
      <c r="CS2767">
        <v>0</v>
      </c>
      <c r="CT2767">
        <v>2</v>
      </c>
      <c r="CU2767">
        <v>0</v>
      </c>
      <c r="CV2767">
        <v>2</v>
      </c>
      <c r="CW2767">
        <v>0</v>
      </c>
      <c r="CX2767">
        <v>4</v>
      </c>
      <c r="CY2767">
        <v>7</v>
      </c>
      <c r="CZ2767" t="s">
        <v>131</v>
      </c>
      <c r="DA2767">
        <v>300</v>
      </c>
      <c r="DB2767">
        <v>0</v>
      </c>
      <c r="DC2767" t="s">
        <v>176</v>
      </c>
      <c r="DD2767" t="s">
        <v>177</v>
      </c>
      <c r="DG2767">
        <v>5420820</v>
      </c>
      <c r="DI2767">
        <v>0</v>
      </c>
      <c r="DJ2767">
        <v>0</v>
      </c>
      <c r="DK2767">
        <v>1</v>
      </c>
      <c r="DL2767">
        <v>0</v>
      </c>
      <c r="DM2767">
        <v>0</v>
      </c>
      <c r="DN2767">
        <v>1</v>
      </c>
      <c r="DO2767">
        <v>0</v>
      </c>
      <c r="DP2767">
        <v>0</v>
      </c>
      <c r="DQ2767">
        <v>0</v>
      </c>
      <c r="DR2767">
        <v>0</v>
      </c>
      <c r="DS2767">
        <v>0</v>
      </c>
    </row>
    <row r="2768" spans="1:123" x14ac:dyDescent="0.3">
      <c r="A2768" t="str">
        <f>"10/04/2022 19:32:58.075"</f>
        <v>10/04/2022 19:32:58.075</v>
      </c>
      <c r="C2768" t="str">
        <f t="shared" si="991"/>
        <v>FFDDD3C0</v>
      </c>
      <c r="D2768" t="s">
        <v>123</v>
      </c>
      <c r="E2768">
        <v>7</v>
      </c>
      <c r="F2768">
        <v>2007</v>
      </c>
      <c r="G2768" t="s">
        <v>124</v>
      </c>
      <c r="J2768" t="s">
        <v>125</v>
      </c>
      <c r="K2768">
        <v>0</v>
      </c>
      <c r="L2768">
        <v>3</v>
      </c>
      <c r="M2768">
        <v>0</v>
      </c>
      <c r="N2768">
        <v>2</v>
      </c>
      <c r="O2768">
        <v>0</v>
      </c>
      <c r="P2768">
        <v>1</v>
      </c>
      <c r="Q2768">
        <v>0</v>
      </c>
      <c r="S2768" t="str">
        <f t="shared" ref="S2768:T2774" si="1003">"19:32:57.000"</f>
        <v>19:32:57.000</v>
      </c>
      <c r="T2768" t="str">
        <f t="shared" si="1003"/>
        <v>19:32:57.000</v>
      </c>
      <c r="U2768" t="str">
        <f t="shared" si="998"/>
        <v>AC3944</v>
      </c>
      <c r="V2768">
        <v>0</v>
      </c>
      <c r="W2768">
        <v>0</v>
      </c>
      <c r="X2768">
        <v>2</v>
      </c>
      <c r="Y2768">
        <v>0</v>
      </c>
      <c r="AA2768">
        <v>1</v>
      </c>
      <c r="AB2768">
        <v>8</v>
      </c>
      <c r="AC2768">
        <v>3</v>
      </c>
      <c r="AD2768">
        <v>0</v>
      </c>
      <c r="AE2768">
        <v>9</v>
      </c>
      <c r="AF2768" t="s">
        <v>138</v>
      </c>
      <c r="AG2768">
        <v>0</v>
      </c>
      <c r="AH2768">
        <v>3</v>
      </c>
      <c r="AI2768">
        <v>1</v>
      </c>
      <c r="AJ2768">
        <v>0</v>
      </c>
      <c r="AK2768" t="s">
        <v>938</v>
      </c>
      <c r="AL2768">
        <v>32.737219000000003</v>
      </c>
      <c r="AM2768" t="s">
        <v>939</v>
      </c>
      <c r="AN2768">
        <v>-116.759584</v>
      </c>
      <c r="AO2768">
        <v>25</v>
      </c>
      <c r="AP2768">
        <v>3600</v>
      </c>
      <c r="AQ2768" t="s">
        <v>129</v>
      </c>
      <c r="AR2768">
        <v>99</v>
      </c>
      <c r="AS2768">
        <v>-90</v>
      </c>
      <c r="AT2768">
        <v>256</v>
      </c>
      <c r="BB2768">
        <v>1200</v>
      </c>
      <c r="BC2768">
        <v>1</v>
      </c>
      <c r="BD2768" t="str">
        <f t="shared" si="999"/>
        <v xml:space="preserve">N887QR  </v>
      </c>
      <c r="BE2768">
        <v>1</v>
      </c>
      <c r="BJ2768">
        <v>3300</v>
      </c>
      <c r="BK2768">
        <v>-300</v>
      </c>
      <c r="BL2768" t="s">
        <v>163</v>
      </c>
      <c r="BM2768">
        <v>1</v>
      </c>
      <c r="BN2768">
        <v>1</v>
      </c>
      <c r="BO2768">
        <v>1</v>
      </c>
      <c r="BP2768">
        <v>0</v>
      </c>
      <c r="BS2768">
        <v>0.08</v>
      </c>
      <c r="BT2768">
        <v>0</v>
      </c>
      <c r="BU2768">
        <v>0</v>
      </c>
      <c r="CE2768" t="str">
        <f t="shared" ref="CE2768:CE2774" si="1004">"19:32:57.863"</f>
        <v>19:32:57.863</v>
      </c>
      <c r="CF2768">
        <v>862647509</v>
      </c>
      <c r="CS2768">
        <v>0</v>
      </c>
      <c r="CT2768">
        <v>2</v>
      </c>
      <c r="CU2768">
        <v>0</v>
      </c>
      <c r="CV2768">
        <v>2</v>
      </c>
      <c r="CW2768">
        <v>0</v>
      </c>
      <c r="CX2768">
        <v>3</v>
      </c>
      <c r="CY2768">
        <v>7</v>
      </c>
      <c r="CZ2768" t="s">
        <v>131</v>
      </c>
      <c r="DA2768">
        <v>300</v>
      </c>
      <c r="DB2768">
        <v>0</v>
      </c>
      <c r="DC2768" t="s">
        <v>176</v>
      </c>
      <c r="DD2768" t="s">
        <v>177</v>
      </c>
      <c r="DG2768">
        <v>5420968</v>
      </c>
      <c r="DI2768">
        <v>0</v>
      </c>
      <c r="DJ2768">
        <v>0</v>
      </c>
      <c r="DK2768">
        <v>0</v>
      </c>
      <c r="DL2768">
        <v>0</v>
      </c>
      <c r="DM2768">
        <v>0</v>
      </c>
      <c r="DN2768">
        <v>1</v>
      </c>
      <c r="DO2768">
        <v>0</v>
      </c>
      <c r="DP2768">
        <v>0</v>
      </c>
      <c r="DQ2768">
        <v>0</v>
      </c>
      <c r="DR2768">
        <v>0</v>
      </c>
      <c r="DS2768">
        <v>0</v>
      </c>
    </row>
    <row r="2769" spans="1:123" x14ac:dyDescent="0.3">
      <c r="A2769" t="str">
        <f>"10/04/2022 19:32:58.075"</f>
        <v>10/04/2022 19:32:58.075</v>
      </c>
      <c r="C2769" t="str">
        <f t="shared" si="991"/>
        <v>FFDDD3C0</v>
      </c>
      <c r="D2769" t="s">
        <v>136</v>
      </c>
      <c r="E2769">
        <v>8</v>
      </c>
      <c r="H2769">
        <v>225</v>
      </c>
      <c r="I2769" t="s">
        <v>137</v>
      </c>
      <c r="J2769" t="s">
        <v>138</v>
      </c>
      <c r="K2769">
        <v>0</v>
      </c>
      <c r="L2769">
        <v>3</v>
      </c>
      <c r="M2769">
        <v>0</v>
      </c>
      <c r="N2769">
        <v>2</v>
      </c>
      <c r="O2769">
        <v>0</v>
      </c>
      <c r="P2769">
        <v>1</v>
      </c>
      <c r="Q2769">
        <v>0</v>
      </c>
      <c r="S2769" t="str">
        <f t="shared" si="1003"/>
        <v>19:32:57.000</v>
      </c>
      <c r="T2769" t="str">
        <f t="shared" si="1003"/>
        <v>19:32:57.000</v>
      </c>
      <c r="U2769" t="str">
        <f t="shared" si="998"/>
        <v>AC3944</v>
      </c>
      <c r="V2769">
        <v>0</v>
      </c>
      <c r="W2769">
        <v>0</v>
      </c>
      <c r="X2769">
        <v>2</v>
      </c>
      <c r="Y2769">
        <v>0</v>
      </c>
      <c r="AA2769">
        <v>1</v>
      </c>
      <c r="AB2769">
        <v>8</v>
      </c>
      <c r="AC2769">
        <v>3</v>
      </c>
      <c r="AD2769">
        <v>0</v>
      </c>
      <c r="AE2769">
        <v>9</v>
      </c>
      <c r="AF2769" t="s">
        <v>138</v>
      </c>
      <c r="AG2769">
        <v>0</v>
      </c>
      <c r="AH2769">
        <v>3</v>
      </c>
      <c r="AI2769">
        <v>1</v>
      </c>
      <c r="AJ2769">
        <v>0</v>
      </c>
      <c r="AK2769" t="s">
        <v>938</v>
      </c>
      <c r="AL2769">
        <v>32.737219000000003</v>
      </c>
      <c r="AM2769" t="s">
        <v>939</v>
      </c>
      <c r="AN2769">
        <v>-116.759584</v>
      </c>
      <c r="AO2769">
        <v>25</v>
      </c>
      <c r="AP2769">
        <v>3600</v>
      </c>
      <c r="AQ2769" t="s">
        <v>129</v>
      </c>
      <c r="AR2769">
        <v>99</v>
      </c>
      <c r="AS2769">
        <v>-90</v>
      </c>
      <c r="AT2769">
        <v>256</v>
      </c>
      <c r="BB2769">
        <v>1200</v>
      </c>
      <c r="BC2769">
        <v>1</v>
      </c>
      <c r="BD2769" t="str">
        <f t="shared" si="999"/>
        <v xml:space="preserve">N887QR  </v>
      </c>
      <c r="BE2769">
        <v>1</v>
      </c>
      <c r="BJ2769">
        <v>3300</v>
      </c>
      <c r="BK2769">
        <v>-300</v>
      </c>
      <c r="BL2769" t="s">
        <v>163</v>
      </c>
      <c r="BM2769">
        <v>1</v>
      </c>
      <c r="BN2769">
        <v>1</v>
      </c>
      <c r="BO2769">
        <v>1</v>
      </c>
      <c r="BP2769">
        <v>0</v>
      </c>
      <c r="BS2769">
        <v>0.08</v>
      </c>
      <c r="BT2769">
        <v>0</v>
      </c>
      <c r="BU2769">
        <v>0</v>
      </c>
      <c r="CE2769" t="str">
        <f t="shared" si="1004"/>
        <v>19:32:57.863</v>
      </c>
      <c r="CF2769">
        <v>862647509</v>
      </c>
      <c r="CS2769">
        <v>0</v>
      </c>
      <c r="CT2769">
        <v>2</v>
      </c>
      <c r="CU2769">
        <v>0</v>
      </c>
      <c r="CV2769">
        <v>2</v>
      </c>
      <c r="CW2769">
        <v>0</v>
      </c>
      <c r="CX2769">
        <v>3</v>
      </c>
      <c r="CY2769">
        <v>7</v>
      </c>
      <c r="CZ2769" t="s">
        <v>131</v>
      </c>
      <c r="DA2769">
        <v>300</v>
      </c>
      <c r="DB2769">
        <v>0</v>
      </c>
      <c r="DC2769" t="s">
        <v>176</v>
      </c>
      <c r="DD2769" t="s">
        <v>177</v>
      </c>
      <c r="DG2769">
        <v>5420968</v>
      </c>
      <c r="DI2769">
        <v>0</v>
      </c>
      <c r="DJ2769">
        <v>0</v>
      </c>
      <c r="DK2769">
        <v>1</v>
      </c>
      <c r="DL2769">
        <v>0</v>
      </c>
      <c r="DM2769">
        <v>0</v>
      </c>
      <c r="DN2769">
        <v>1</v>
      </c>
      <c r="DO2769">
        <v>0</v>
      </c>
      <c r="DP2769">
        <v>0</v>
      </c>
      <c r="DQ2769">
        <v>0</v>
      </c>
      <c r="DR2769">
        <v>0</v>
      </c>
      <c r="DS2769">
        <v>0</v>
      </c>
    </row>
    <row r="2770" spans="1:123" x14ac:dyDescent="0.3">
      <c r="A2770" t="str">
        <f>"10/04/2022 19:32:58.075"</f>
        <v>10/04/2022 19:32:58.075</v>
      </c>
      <c r="C2770" t="str">
        <f t="shared" si="991"/>
        <v>FFDDD3C0</v>
      </c>
      <c r="D2770" t="s">
        <v>141</v>
      </c>
      <c r="E2770">
        <v>4</v>
      </c>
      <c r="H2770">
        <v>4</v>
      </c>
      <c r="I2770" t="s">
        <v>142</v>
      </c>
      <c r="J2770" t="s">
        <v>138</v>
      </c>
      <c r="K2770">
        <v>0</v>
      </c>
      <c r="L2770">
        <v>3</v>
      </c>
      <c r="M2770">
        <v>0</v>
      </c>
      <c r="N2770">
        <v>2</v>
      </c>
      <c r="O2770">
        <v>0</v>
      </c>
      <c r="P2770">
        <v>1</v>
      </c>
      <c r="Q2770">
        <v>0</v>
      </c>
      <c r="S2770" t="str">
        <f t="shared" si="1003"/>
        <v>19:32:57.000</v>
      </c>
      <c r="T2770" t="str">
        <f t="shared" si="1003"/>
        <v>19:32:57.000</v>
      </c>
      <c r="U2770" t="str">
        <f t="shared" si="998"/>
        <v>AC3944</v>
      </c>
      <c r="V2770">
        <v>0</v>
      </c>
      <c r="W2770">
        <v>0</v>
      </c>
      <c r="X2770">
        <v>2</v>
      </c>
      <c r="Y2770">
        <v>0</v>
      </c>
      <c r="AA2770">
        <v>1</v>
      </c>
      <c r="AB2770">
        <v>8</v>
      </c>
      <c r="AC2770">
        <v>3</v>
      </c>
      <c r="AD2770">
        <v>0</v>
      </c>
      <c r="AE2770">
        <v>9</v>
      </c>
      <c r="AF2770" t="s">
        <v>138</v>
      </c>
      <c r="AG2770">
        <v>0</v>
      </c>
      <c r="AH2770">
        <v>3</v>
      </c>
      <c r="AI2770">
        <v>1</v>
      </c>
      <c r="AJ2770">
        <v>0</v>
      </c>
      <c r="AK2770" t="s">
        <v>938</v>
      </c>
      <c r="AL2770">
        <v>32.737219000000003</v>
      </c>
      <c r="AM2770" t="s">
        <v>939</v>
      </c>
      <c r="AN2770">
        <v>-116.759584</v>
      </c>
      <c r="AO2770">
        <v>25</v>
      </c>
      <c r="AP2770">
        <v>3600</v>
      </c>
      <c r="AQ2770" t="s">
        <v>129</v>
      </c>
      <c r="AR2770">
        <v>99</v>
      </c>
      <c r="AS2770">
        <v>-90</v>
      </c>
      <c r="AT2770">
        <v>256</v>
      </c>
      <c r="BB2770">
        <v>1200</v>
      </c>
      <c r="BC2770">
        <v>1</v>
      </c>
      <c r="BD2770" t="str">
        <f t="shared" si="999"/>
        <v xml:space="preserve">N887QR  </v>
      </c>
      <c r="BE2770">
        <v>1</v>
      </c>
      <c r="BJ2770">
        <v>3300</v>
      </c>
      <c r="BK2770">
        <v>-300</v>
      </c>
      <c r="BL2770" t="s">
        <v>163</v>
      </c>
      <c r="BM2770">
        <v>1</v>
      </c>
      <c r="BN2770">
        <v>1</v>
      </c>
      <c r="BO2770">
        <v>1</v>
      </c>
      <c r="BP2770">
        <v>0</v>
      </c>
      <c r="BS2770">
        <v>0.08</v>
      </c>
      <c r="BT2770">
        <v>0</v>
      </c>
      <c r="BU2770">
        <v>0</v>
      </c>
      <c r="CE2770" t="str">
        <f t="shared" si="1004"/>
        <v>19:32:57.863</v>
      </c>
      <c r="CF2770">
        <v>862647509</v>
      </c>
      <c r="CS2770">
        <v>0</v>
      </c>
      <c r="CT2770">
        <v>2</v>
      </c>
      <c r="CU2770">
        <v>0</v>
      </c>
      <c r="CV2770">
        <v>2</v>
      </c>
      <c r="CW2770">
        <v>0</v>
      </c>
      <c r="CX2770">
        <v>3</v>
      </c>
      <c r="CY2770">
        <v>7</v>
      </c>
      <c r="CZ2770" t="s">
        <v>131</v>
      </c>
      <c r="DA2770">
        <v>300</v>
      </c>
      <c r="DB2770">
        <v>0</v>
      </c>
      <c r="DC2770" t="s">
        <v>176</v>
      </c>
      <c r="DD2770" t="s">
        <v>177</v>
      </c>
      <c r="DG2770">
        <v>5420968</v>
      </c>
      <c r="DI2770">
        <v>0</v>
      </c>
      <c r="DJ2770">
        <v>0</v>
      </c>
      <c r="DK2770">
        <v>1</v>
      </c>
      <c r="DL2770">
        <v>0</v>
      </c>
      <c r="DM2770">
        <v>0</v>
      </c>
      <c r="DN2770">
        <v>1</v>
      </c>
      <c r="DO2770">
        <v>0</v>
      </c>
      <c r="DP2770">
        <v>0</v>
      </c>
      <c r="DQ2770">
        <v>0</v>
      </c>
      <c r="DR2770">
        <v>0</v>
      </c>
      <c r="DS2770">
        <v>0</v>
      </c>
    </row>
    <row r="2771" spans="1:123" x14ac:dyDescent="0.3">
      <c r="A2771" t="str">
        <f>"10/04/2022 19:32:58.075"</f>
        <v>10/04/2022 19:32:58.075</v>
      </c>
      <c r="C2771" t="str">
        <f t="shared" si="991"/>
        <v>FFDDD3C0</v>
      </c>
      <c r="D2771" t="s">
        <v>134</v>
      </c>
      <c r="E2771">
        <v>15</v>
      </c>
      <c r="J2771" t="s">
        <v>135</v>
      </c>
      <c r="K2771">
        <v>0</v>
      </c>
      <c r="L2771">
        <v>3</v>
      </c>
      <c r="M2771">
        <v>0</v>
      </c>
      <c r="N2771">
        <v>2</v>
      </c>
      <c r="O2771">
        <v>0</v>
      </c>
      <c r="P2771">
        <v>1</v>
      </c>
      <c r="Q2771">
        <v>0</v>
      </c>
      <c r="S2771" t="str">
        <f t="shared" si="1003"/>
        <v>19:32:57.000</v>
      </c>
      <c r="T2771" t="str">
        <f t="shared" si="1003"/>
        <v>19:32:57.000</v>
      </c>
      <c r="U2771" t="str">
        <f t="shared" si="998"/>
        <v>AC3944</v>
      </c>
      <c r="V2771">
        <v>0</v>
      </c>
      <c r="W2771">
        <v>0</v>
      </c>
      <c r="X2771">
        <v>2</v>
      </c>
      <c r="Y2771">
        <v>0</v>
      </c>
      <c r="AA2771">
        <v>1</v>
      </c>
      <c r="AB2771">
        <v>8</v>
      </c>
      <c r="AC2771">
        <v>3</v>
      </c>
      <c r="AD2771">
        <v>0</v>
      </c>
      <c r="AE2771">
        <v>9</v>
      </c>
      <c r="AF2771" t="s">
        <v>138</v>
      </c>
      <c r="AG2771">
        <v>0</v>
      </c>
      <c r="AH2771">
        <v>3</v>
      </c>
      <c r="AI2771">
        <v>1</v>
      </c>
      <c r="AJ2771">
        <v>0</v>
      </c>
      <c r="AK2771" t="s">
        <v>938</v>
      </c>
      <c r="AL2771">
        <v>32.737219000000003</v>
      </c>
      <c r="AM2771" t="s">
        <v>939</v>
      </c>
      <c r="AN2771">
        <v>-116.759584</v>
      </c>
      <c r="AO2771">
        <v>25</v>
      </c>
      <c r="AP2771">
        <v>3600</v>
      </c>
      <c r="AQ2771" t="s">
        <v>129</v>
      </c>
      <c r="AR2771">
        <v>99</v>
      </c>
      <c r="AS2771">
        <v>-90</v>
      </c>
      <c r="AT2771">
        <v>256</v>
      </c>
      <c r="BB2771">
        <v>1200</v>
      </c>
      <c r="BC2771">
        <v>1</v>
      </c>
      <c r="BD2771" t="str">
        <f t="shared" si="999"/>
        <v xml:space="preserve">N887QR  </v>
      </c>
      <c r="BE2771">
        <v>1</v>
      </c>
      <c r="BJ2771">
        <v>3300</v>
      </c>
      <c r="BK2771">
        <v>-300</v>
      </c>
      <c r="BL2771" t="s">
        <v>163</v>
      </c>
      <c r="BM2771">
        <v>1</v>
      </c>
      <c r="BN2771">
        <v>1</v>
      </c>
      <c r="BO2771">
        <v>1</v>
      </c>
      <c r="BP2771">
        <v>0</v>
      </c>
      <c r="BS2771">
        <v>0.08</v>
      </c>
      <c r="BT2771">
        <v>0</v>
      </c>
      <c r="BU2771">
        <v>0</v>
      </c>
      <c r="CE2771" t="str">
        <f t="shared" si="1004"/>
        <v>19:32:57.863</v>
      </c>
      <c r="CF2771">
        <v>862647509</v>
      </c>
      <c r="CS2771">
        <v>0</v>
      </c>
      <c r="CT2771">
        <v>2</v>
      </c>
      <c r="CU2771">
        <v>0</v>
      </c>
      <c r="CV2771">
        <v>2</v>
      </c>
      <c r="CW2771">
        <v>0</v>
      </c>
      <c r="CX2771">
        <v>3</v>
      </c>
      <c r="CY2771">
        <v>7</v>
      </c>
      <c r="CZ2771" t="s">
        <v>131</v>
      </c>
      <c r="DA2771">
        <v>300</v>
      </c>
      <c r="DB2771">
        <v>0</v>
      </c>
      <c r="DC2771" t="s">
        <v>176</v>
      </c>
      <c r="DD2771" t="s">
        <v>177</v>
      </c>
      <c r="DG2771">
        <v>5420968</v>
      </c>
      <c r="DI2771">
        <v>0</v>
      </c>
      <c r="DJ2771">
        <v>0</v>
      </c>
      <c r="DK2771">
        <v>1</v>
      </c>
      <c r="DL2771">
        <v>0</v>
      </c>
      <c r="DM2771">
        <v>0</v>
      </c>
      <c r="DN2771">
        <v>1</v>
      </c>
      <c r="DO2771">
        <v>0</v>
      </c>
      <c r="DP2771">
        <v>0</v>
      </c>
      <c r="DQ2771">
        <v>0</v>
      </c>
      <c r="DR2771">
        <v>0</v>
      </c>
      <c r="DS2771">
        <v>0</v>
      </c>
    </row>
    <row r="2772" spans="1:123" x14ac:dyDescent="0.3">
      <c r="A2772" t="str">
        <f>"10/04/2022 19:32:58.075"</f>
        <v>10/04/2022 19:32:58.075</v>
      </c>
      <c r="C2772" t="str">
        <f t="shared" si="991"/>
        <v>FFDDD3C0</v>
      </c>
      <c r="D2772" t="s">
        <v>141</v>
      </c>
      <c r="E2772">
        <v>3</v>
      </c>
      <c r="H2772">
        <v>3</v>
      </c>
      <c r="I2772" t="s">
        <v>146</v>
      </c>
      <c r="J2772" t="s">
        <v>138</v>
      </c>
      <c r="K2772">
        <v>0</v>
      </c>
      <c r="L2772">
        <v>3</v>
      </c>
      <c r="M2772">
        <v>0</v>
      </c>
      <c r="N2772">
        <v>2</v>
      </c>
      <c r="O2772">
        <v>0</v>
      </c>
      <c r="P2772">
        <v>1</v>
      </c>
      <c r="Q2772">
        <v>0</v>
      </c>
      <c r="S2772" t="str">
        <f t="shared" si="1003"/>
        <v>19:32:57.000</v>
      </c>
      <c r="T2772" t="str">
        <f t="shared" si="1003"/>
        <v>19:32:57.000</v>
      </c>
      <c r="U2772" t="str">
        <f t="shared" si="998"/>
        <v>AC3944</v>
      </c>
      <c r="V2772">
        <v>0</v>
      </c>
      <c r="W2772">
        <v>0</v>
      </c>
      <c r="X2772">
        <v>2</v>
      </c>
      <c r="Y2772">
        <v>0</v>
      </c>
      <c r="AA2772">
        <v>1</v>
      </c>
      <c r="AB2772">
        <v>8</v>
      </c>
      <c r="AC2772">
        <v>3</v>
      </c>
      <c r="AD2772">
        <v>0</v>
      </c>
      <c r="AE2772">
        <v>9</v>
      </c>
      <c r="AF2772" t="s">
        <v>138</v>
      </c>
      <c r="AG2772">
        <v>0</v>
      </c>
      <c r="AH2772">
        <v>3</v>
      </c>
      <c r="AI2772">
        <v>1</v>
      </c>
      <c r="AJ2772">
        <v>0</v>
      </c>
      <c r="AK2772" t="s">
        <v>938</v>
      </c>
      <c r="AL2772">
        <v>32.737219000000003</v>
      </c>
      <c r="AM2772" t="s">
        <v>939</v>
      </c>
      <c r="AN2772">
        <v>-116.759584</v>
      </c>
      <c r="AO2772">
        <v>25</v>
      </c>
      <c r="AP2772">
        <v>3600</v>
      </c>
      <c r="AQ2772" t="s">
        <v>129</v>
      </c>
      <c r="AR2772">
        <v>99</v>
      </c>
      <c r="AS2772">
        <v>-90</v>
      </c>
      <c r="AT2772">
        <v>256</v>
      </c>
      <c r="BB2772">
        <v>1200</v>
      </c>
      <c r="BC2772">
        <v>1</v>
      </c>
      <c r="BD2772" t="str">
        <f t="shared" si="999"/>
        <v xml:space="preserve">N887QR  </v>
      </c>
      <c r="BE2772">
        <v>1</v>
      </c>
      <c r="BJ2772">
        <v>3300</v>
      </c>
      <c r="BK2772">
        <v>-300</v>
      </c>
      <c r="BL2772" t="s">
        <v>163</v>
      </c>
      <c r="BM2772">
        <v>1</v>
      </c>
      <c r="BN2772">
        <v>1</v>
      </c>
      <c r="BO2772">
        <v>1</v>
      </c>
      <c r="BP2772">
        <v>0</v>
      </c>
      <c r="BS2772">
        <v>0.08</v>
      </c>
      <c r="BT2772">
        <v>0</v>
      </c>
      <c r="BU2772">
        <v>0</v>
      </c>
      <c r="CE2772" t="str">
        <f t="shared" si="1004"/>
        <v>19:32:57.863</v>
      </c>
      <c r="CF2772">
        <v>862647509</v>
      </c>
      <c r="CS2772">
        <v>0</v>
      </c>
      <c r="CT2772">
        <v>2</v>
      </c>
      <c r="CU2772">
        <v>0</v>
      </c>
      <c r="CV2772">
        <v>2</v>
      </c>
      <c r="CW2772">
        <v>0</v>
      </c>
      <c r="CX2772">
        <v>3</v>
      </c>
      <c r="CY2772">
        <v>7</v>
      </c>
      <c r="CZ2772" t="s">
        <v>131</v>
      </c>
      <c r="DA2772">
        <v>300</v>
      </c>
      <c r="DB2772">
        <v>0</v>
      </c>
      <c r="DC2772" t="s">
        <v>176</v>
      </c>
      <c r="DD2772" t="s">
        <v>177</v>
      </c>
      <c r="DG2772">
        <v>5420968</v>
      </c>
      <c r="DI2772">
        <v>0</v>
      </c>
      <c r="DJ2772">
        <v>0</v>
      </c>
      <c r="DK2772">
        <v>1</v>
      </c>
      <c r="DL2772">
        <v>0</v>
      </c>
      <c r="DM2772">
        <v>0</v>
      </c>
      <c r="DN2772">
        <v>1</v>
      </c>
      <c r="DO2772">
        <v>0</v>
      </c>
      <c r="DP2772">
        <v>0</v>
      </c>
      <c r="DQ2772">
        <v>0</v>
      </c>
      <c r="DR2772">
        <v>0</v>
      </c>
      <c r="DS2772">
        <v>0</v>
      </c>
    </row>
    <row r="2773" spans="1:123" x14ac:dyDescent="0.3">
      <c r="A2773" t="str">
        <f>"10/04/2022 19:32:58.153"</f>
        <v>10/04/2022 19:32:58.153</v>
      </c>
      <c r="C2773" t="str">
        <f t="shared" si="991"/>
        <v>FFDDD3C0</v>
      </c>
      <c r="D2773" t="s">
        <v>143</v>
      </c>
      <c r="E2773">
        <v>20</v>
      </c>
      <c r="F2773">
        <v>1020</v>
      </c>
      <c r="G2773" t="s">
        <v>144</v>
      </c>
      <c r="J2773" t="s">
        <v>145</v>
      </c>
      <c r="K2773">
        <v>0</v>
      </c>
      <c r="L2773">
        <v>3</v>
      </c>
      <c r="M2773">
        <v>0</v>
      </c>
      <c r="N2773">
        <v>2</v>
      </c>
      <c r="O2773">
        <v>0</v>
      </c>
      <c r="P2773">
        <v>1</v>
      </c>
      <c r="Q2773">
        <v>0</v>
      </c>
      <c r="S2773" t="str">
        <f t="shared" si="1003"/>
        <v>19:32:57.000</v>
      </c>
      <c r="T2773" t="str">
        <f t="shared" si="1003"/>
        <v>19:32:57.000</v>
      </c>
      <c r="U2773" t="str">
        <f t="shared" si="998"/>
        <v>AC3944</v>
      </c>
      <c r="V2773">
        <v>0</v>
      </c>
      <c r="W2773">
        <v>0</v>
      </c>
      <c r="X2773">
        <v>2</v>
      </c>
      <c r="Y2773">
        <v>0</v>
      </c>
      <c r="AA2773">
        <v>1</v>
      </c>
      <c r="AB2773">
        <v>8</v>
      </c>
      <c r="AC2773">
        <v>3</v>
      </c>
      <c r="AD2773">
        <v>0</v>
      </c>
      <c r="AE2773">
        <v>9</v>
      </c>
      <c r="AF2773" t="s">
        <v>138</v>
      </c>
      <c r="AG2773">
        <v>0</v>
      </c>
      <c r="AH2773">
        <v>3</v>
      </c>
      <c r="AI2773">
        <v>1</v>
      </c>
      <c r="AJ2773">
        <v>0</v>
      </c>
      <c r="AK2773" t="s">
        <v>938</v>
      </c>
      <c r="AL2773">
        <v>32.737219000000003</v>
      </c>
      <c r="AM2773" t="s">
        <v>939</v>
      </c>
      <c r="AN2773">
        <v>-116.759584</v>
      </c>
      <c r="AO2773">
        <v>25</v>
      </c>
      <c r="AP2773">
        <v>3600</v>
      </c>
      <c r="AQ2773" t="s">
        <v>129</v>
      </c>
      <c r="AR2773">
        <v>99</v>
      </c>
      <c r="AS2773">
        <v>-90</v>
      </c>
      <c r="AT2773">
        <v>256</v>
      </c>
      <c r="BB2773">
        <v>1200</v>
      </c>
      <c r="BC2773">
        <v>1</v>
      </c>
      <c r="BD2773" t="str">
        <f t="shared" si="999"/>
        <v xml:space="preserve">N887QR  </v>
      </c>
      <c r="BE2773">
        <v>1</v>
      </c>
      <c r="BJ2773">
        <v>3300</v>
      </c>
      <c r="BK2773">
        <v>-300</v>
      </c>
      <c r="BL2773" t="s">
        <v>163</v>
      </c>
      <c r="BM2773">
        <v>1</v>
      </c>
      <c r="BN2773">
        <v>1</v>
      </c>
      <c r="BO2773">
        <v>1</v>
      </c>
      <c r="BP2773">
        <v>0</v>
      </c>
      <c r="BS2773">
        <v>0.08</v>
      </c>
      <c r="BT2773">
        <v>0</v>
      </c>
      <c r="BU2773">
        <v>0</v>
      </c>
      <c r="CE2773" t="str">
        <f t="shared" si="1004"/>
        <v>19:32:57.863</v>
      </c>
      <c r="CF2773">
        <v>862647509</v>
      </c>
      <c r="CS2773">
        <v>0</v>
      </c>
      <c r="CT2773">
        <v>2</v>
      </c>
      <c r="CU2773">
        <v>0</v>
      </c>
      <c r="CV2773">
        <v>2</v>
      </c>
      <c r="CW2773">
        <v>0</v>
      </c>
      <c r="CX2773">
        <v>3</v>
      </c>
      <c r="CY2773">
        <v>7</v>
      </c>
      <c r="CZ2773" t="s">
        <v>131</v>
      </c>
      <c r="DA2773">
        <v>300</v>
      </c>
      <c r="DB2773">
        <v>0</v>
      </c>
      <c r="DC2773" t="s">
        <v>176</v>
      </c>
      <c r="DD2773" t="s">
        <v>177</v>
      </c>
      <c r="DG2773">
        <v>5420968</v>
      </c>
      <c r="DI2773">
        <v>0</v>
      </c>
      <c r="DJ2773">
        <v>0</v>
      </c>
      <c r="DK2773">
        <v>0</v>
      </c>
      <c r="DL2773">
        <v>0</v>
      </c>
      <c r="DM2773">
        <v>0</v>
      </c>
      <c r="DN2773">
        <v>1</v>
      </c>
      <c r="DO2773">
        <v>0</v>
      </c>
      <c r="DP2773">
        <v>0</v>
      </c>
      <c r="DQ2773">
        <v>0</v>
      </c>
      <c r="DR2773">
        <v>0</v>
      </c>
      <c r="DS2773">
        <v>0</v>
      </c>
    </row>
    <row r="2774" spans="1:123" x14ac:dyDescent="0.3">
      <c r="A2774" t="str">
        <f>"10/04/2022 19:32:58.153"</f>
        <v>10/04/2022 19:32:58.153</v>
      </c>
      <c r="C2774" t="str">
        <f t="shared" si="991"/>
        <v>FFDDD3C0</v>
      </c>
      <c r="D2774" t="s">
        <v>147</v>
      </c>
      <c r="E2774">
        <v>3</v>
      </c>
      <c r="H2774">
        <v>166</v>
      </c>
      <c r="I2774" t="s">
        <v>144</v>
      </c>
      <c r="J2774" t="s">
        <v>148</v>
      </c>
      <c r="K2774">
        <v>0</v>
      </c>
      <c r="L2774">
        <v>3</v>
      </c>
      <c r="M2774">
        <v>0</v>
      </c>
      <c r="N2774">
        <v>2</v>
      </c>
      <c r="O2774">
        <v>0</v>
      </c>
      <c r="P2774">
        <v>1</v>
      </c>
      <c r="Q2774">
        <v>0</v>
      </c>
      <c r="S2774" t="str">
        <f t="shared" si="1003"/>
        <v>19:32:57.000</v>
      </c>
      <c r="T2774" t="str">
        <f t="shared" si="1003"/>
        <v>19:32:57.000</v>
      </c>
      <c r="U2774" t="str">
        <f t="shared" si="998"/>
        <v>AC3944</v>
      </c>
      <c r="V2774">
        <v>0</v>
      </c>
      <c r="W2774">
        <v>0</v>
      </c>
      <c r="X2774">
        <v>2</v>
      </c>
      <c r="Y2774">
        <v>0</v>
      </c>
      <c r="AA2774">
        <v>1</v>
      </c>
      <c r="AB2774">
        <v>8</v>
      </c>
      <c r="AC2774">
        <v>3</v>
      </c>
      <c r="AD2774">
        <v>0</v>
      </c>
      <c r="AE2774">
        <v>9</v>
      </c>
      <c r="AF2774" t="s">
        <v>138</v>
      </c>
      <c r="AG2774">
        <v>0</v>
      </c>
      <c r="AH2774">
        <v>3</v>
      </c>
      <c r="AI2774">
        <v>1</v>
      </c>
      <c r="AJ2774">
        <v>0</v>
      </c>
      <c r="AK2774" t="s">
        <v>938</v>
      </c>
      <c r="AL2774">
        <v>32.737219000000003</v>
      </c>
      <c r="AM2774" t="s">
        <v>939</v>
      </c>
      <c r="AN2774">
        <v>-116.759584</v>
      </c>
      <c r="AO2774">
        <v>25</v>
      </c>
      <c r="AP2774">
        <v>3600</v>
      </c>
      <c r="AQ2774" t="s">
        <v>129</v>
      </c>
      <c r="AR2774">
        <v>99</v>
      </c>
      <c r="AS2774">
        <v>-90</v>
      </c>
      <c r="AT2774">
        <v>256</v>
      </c>
      <c r="BB2774">
        <v>1200</v>
      </c>
      <c r="BC2774">
        <v>1</v>
      </c>
      <c r="BD2774" t="str">
        <f t="shared" si="999"/>
        <v xml:space="preserve">N887QR  </v>
      </c>
      <c r="BE2774">
        <v>1</v>
      </c>
      <c r="BJ2774">
        <v>3300</v>
      </c>
      <c r="BK2774">
        <v>-300</v>
      </c>
      <c r="BL2774" t="s">
        <v>163</v>
      </c>
      <c r="BM2774">
        <v>1</v>
      </c>
      <c r="BN2774">
        <v>1</v>
      </c>
      <c r="BO2774">
        <v>1</v>
      </c>
      <c r="BP2774">
        <v>0</v>
      </c>
      <c r="BS2774">
        <v>0.08</v>
      </c>
      <c r="BT2774">
        <v>0</v>
      </c>
      <c r="BU2774">
        <v>0</v>
      </c>
      <c r="CE2774" t="str">
        <f t="shared" si="1004"/>
        <v>19:32:57.863</v>
      </c>
      <c r="CF2774">
        <v>862647509</v>
      </c>
      <c r="CS2774">
        <v>0</v>
      </c>
      <c r="CT2774">
        <v>2</v>
      </c>
      <c r="CU2774">
        <v>0</v>
      </c>
      <c r="CV2774">
        <v>2</v>
      </c>
      <c r="CW2774">
        <v>0</v>
      </c>
      <c r="CX2774">
        <v>3</v>
      </c>
      <c r="CY2774">
        <v>7</v>
      </c>
      <c r="CZ2774" t="s">
        <v>131</v>
      </c>
      <c r="DA2774">
        <v>300</v>
      </c>
      <c r="DB2774">
        <v>0</v>
      </c>
      <c r="DC2774" t="s">
        <v>176</v>
      </c>
      <c r="DD2774" t="s">
        <v>177</v>
      </c>
      <c r="DG2774">
        <v>5420968</v>
      </c>
      <c r="DI2774">
        <v>0</v>
      </c>
      <c r="DJ2774">
        <v>0</v>
      </c>
      <c r="DK2774">
        <v>0</v>
      </c>
      <c r="DL2774">
        <v>0</v>
      </c>
      <c r="DM2774">
        <v>0</v>
      </c>
      <c r="DN2774">
        <v>1</v>
      </c>
      <c r="DO2774">
        <v>0</v>
      </c>
      <c r="DP2774">
        <v>0</v>
      </c>
      <c r="DQ2774">
        <v>0</v>
      </c>
      <c r="DR2774">
        <v>0</v>
      </c>
      <c r="DS2774">
        <v>0</v>
      </c>
    </row>
    <row r="2775" spans="1:123" x14ac:dyDescent="0.3">
      <c r="A2775" t="str">
        <f>"10/04/2022 19:32:59.309"</f>
        <v>10/04/2022 19:32:59.309</v>
      </c>
      <c r="C2775" t="str">
        <f t="shared" si="991"/>
        <v>FFDDD3C0</v>
      </c>
      <c r="D2775" t="s">
        <v>143</v>
      </c>
      <c r="E2775">
        <v>20</v>
      </c>
      <c r="F2775">
        <v>1020</v>
      </c>
      <c r="G2775" t="s">
        <v>144</v>
      </c>
      <c r="J2775" t="s">
        <v>145</v>
      </c>
      <c r="K2775">
        <v>0</v>
      </c>
      <c r="L2775">
        <v>3</v>
      </c>
      <c r="M2775">
        <v>0</v>
      </c>
      <c r="N2775">
        <v>2</v>
      </c>
      <c r="O2775">
        <v>0</v>
      </c>
      <c r="P2775">
        <v>1</v>
      </c>
      <c r="Q2775">
        <v>0</v>
      </c>
      <c r="S2775" t="str">
        <f t="shared" ref="S2775:T2780" si="1005">"19:32:58.000"</f>
        <v>19:32:58.000</v>
      </c>
      <c r="T2775" t="str">
        <f t="shared" si="1005"/>
        <v>19:32:58.000</v>
      </c>
      <c r="U2775" t="str">
        <f t="shared" si="998"/>
        <v>AC3944</v>
      </c>
      <c r="V2775">
        <v>0</v>
      </c>
      <c r="W2775">
        <v>0</v>
      </c>
      <c r="X2775">
        <v>2</v>
      </c>
      <c r="Y2775">
        <v>0</v>
      </c>
      <c r="AA2775">
        <v>1</v>
      </c>
      <c r="AB2775">
        <v>8</v>
      </c>
      <c r="AC2775">
        <v>3</v>
      </c>
      <c r="AD2775">
        <v>0</v>
      </c>
      <c r="AE2775">
        <v>9</v>
      </c>
      <c r="AF2775" t="s">
        <v>138</v>
      </c>
      <c r="AG2775">
        <v>0</v>
      </c>
      <c r="AH2775">
        <v>3</v>
      </c>
      <c r="AI2775">
        <v>1</v>
      </c>
      <c r="AJ2775">
        <v>0</v>
      </c>
      <c r="AK2775" t="s">
        <v>940</v>
      </c>
      <c r="AL2775">
        <v>32.736789999999999</v>
      </c>
      <c r="AM2775" t="s">
        <v>941</v>
      </c>
      <c r="AN2775">
        <v>-116.75904800000001</v>
      </c>
      <c r="AO2775">
        <v>25</v>
      </c>
      <c r="AP2775">
        <v>3600</v>
      </c>
      <c r="AQ2775" t="s">
        <v>129</v>
      </c>
      <c r="AR2775">
        <v>99</v>
      </c>
      <c r="AS2775">
        <v>-91</v>
      </c>
      <c r="AT2775">
        <v>128</v>
      </c>
      <c r="BB2775">
        <v>1200</v>
      </c>
      <c r="BC2775">
        <v>1</v>
      </c>
      <c r="BD2775" t="str">
        <f t="shared" si="999"/>
        <v xml:space="preserve">N887QR  </v>
      </c>
      <c r="BE2775">
        <v>1</v>
      </c>
      <c r="BJ2775">
        <v>3300</v>
      </c>
      <c r="BK2775">
        <v>-300</v>
      </c>
      <c r="BL2775" t="s">
        <v>163</v>
      </c>
      <c r="BM2775">
        <v>1</v>
      </c>
      <c r="BN2775">
        <v>1</v>
      </c>
      <c r="BO2775">
        <v>1</v>
      </c>
      <c r="BP2775">
        <v>0</v>
      </c>
      <c r="BS2775">
        <v>0.08</v>
      </c>
      <c r="BT2775">
        <v>0</v>
      </c>
      <c r="BU2775">
        <v>0</v>
      </c>
      <c r="CE2775" t="str">
        <f t="shared" ref="CE2775:CE2780" si="1006">"19:32:58.946"</f>
        <v>19:32:58.946</v>
      </c>
      <c r="CF2775">
        <v>945901299</v>
      </c>
      <c r="CS2775">
        <v>0</v>
      </c>
      <c r="CT2775">
        <v>2</v>
      </c>
      <c r="CU2775">
        <v>0</v>
      </c>
      <c r="CV2775">
        <v>2</v>
      </c>
      <c r="CW2775">
        <v>0</v>
      </c>
      <c r="CX2775">
        <v>4</v>
      </c>
      <c r="CY2775">
        <v>7</v>
      </c>
      <c r="CZ2775" t="s">
        <v>131</v>
      </c>
      <c r="DA2775">
        <v>300</v>
      </c>
      <c r="DB2775">
        <v>0</v>
      </c>
      <c r="DC2775" t="s">
        <v>176</v>
      </c>
      <c r="DD2775" t="s">
        <v>177</v>
      </c>
      <c r="DG2775">
        <v>5421156</v>
      </c>
      <c r="DI2775">
        <v>0</v>
      </c>
      <c r="DJ2775">
        <v>0</v>
      </c>
      <c r="DK2775">
        <v>0</v>
      </c>
      <c r="DL2775">
        <v>0</v>
      </c>
      <c r="DM2775">
        <v>0</v>
      </c>
      <c r="DN2775">
        <v>1</v>
      </c>
      <c r="DO2775">
        <v>0</v>
      </c>
      <c r="DP2775">
        <v>0</v>
      </c>
      <c r="DQ2775">
        <v>0</v>
      </c>
      <c r="DR2775">
        <v>0</v>
      </c>
      <c r="DS2775">
        <v>0</v>
      </c>
    </row>
    <row r="2776" spans="1:123" x14ac:dyDescent="0.3">
      <c r="A2776" t="str">
        <f>"10/04/2022 19:32:59.309"</f>
        <v>10/04/2022 19:32:59.309</v>
      </c>
      <c r="C2776" t="str">
        <f t="shared" si="991"/>
        <v>FFDDD3C0</v>
      </c>
      <c r="D2776" t="s">
        <v>147</v>
      </c>
      <c r="E2776">
        <v>3</v>
      </c>
      <c r="H2776">
        <v>166</v>
      </c>
      <c r="I2776" t="s">
        <v>144</v>
      </c>
      <c r="J2776" t="s">
        <v>148</v>
      </c>
      <c r="K2776">
        <v>0</v>
      </c>
      <c r="L2776">
        <v>3</v>
      </c>
      <c r="M2776">
        <v>0</v>
      </c>
      <c r="N2776">
        <v>2</v>
      </c>
      <c r="O2776">
        <v>0</v>
      </c>
      <c r="P2776">
        <v>1</v>
      </c>
      <c r="Q2776">
        <v>0</v>
      </c>
      <c r="S2776" t="str">
        <f t="shared" si="1005"/>
        <v>19:32:58.000</v>
      </c>
      <c r="T2776" t="str">
        <f t="shared" si="1005"/>
        <v>19:32:58.000</v>
      </c>
      <c r="U2776" t="str">
        <f t="shared" si="998"/>
        <v>AC3944</v>
      </c>
      <c r="V2776">
        <v>0</v>
      </c>
      <c r="W2776">
        <v>0</v>
      </c>
      <c r="X2776">
        <v>2</v>
      </c>
      <c r="Y2776">
        <v>0</v>
      </c>
      <c r="AA2776">
        <v>1</v>
      </c>
      <c r="AB2776">
        <v>8</v>
      </c>
      <c r="AC2776">
        <v>3</v>
      </c>
      <c r="AD2776">
        <v>0</v>
      </c>
      <c r="AE2776">
        <v>9</v>
      </c>
      <c r="AF2776" t="s">
        <v>138</v>
      </c>
      <c r="AG2776">
        <v>0</v>
      </c>
      <c r="AH2776">
        <v>3</v>
      </c>
      <c r="AI2776">
        <v>1</v>
      </c>
      <c r="AJ2776">
        <v>0</v>
      </c>
      <c r="AK2776" t="s">
        <v>940</v>
      </c>
      <c r="AL2776">
        <v>32.736789999999999</v>
      </c>
      <c r="AM2776" t="s">
        <v>941</v>
      </c>
      <c r="AN2776">
        <v>-116.75904800000001</v>
      </c>
      <c r="AO2776">
        <v>25</v>
      </c>
      <c r="AP2776">
        <v>3600</v>
      </c>
      <c r="AQ2776" t="s">
        <v>129</v>
      </c>
      <c r="AR2776">
        <v>99</v>
      </c>
      <c r="AS2776">
        <v>-91</v>
      </c>
      <c r="AT2776">
        <v>128</v>
      </c>
      <c r="BB2776">
        <v>1200</v>
      </c>
      <c r="BC2776">
        <v>1</v>
      </c>
      <c r="BD2776" t="str">
        <f t="shared" si="999"/>
        <v xml:space="preserve">N887QR  </v>
      </c>
      <c r="BE2776">
        <v>1</v>
      </c>
      <c r="BJ2776">
        <v>3300</v>
      </c>
      <c r="BK2776">
        <v>-300</v>
      </c>
      <c r="BL2776" t="s">
        <v>163</v>
      </c>
      <c r="BM2776">
        <v>1</v>
      </c>
      <c r="BN2776">
        <v>1</v>
      </c>
      <c r="BO2776">
        <v>1</v>
      </c>
      <c r="BP2776">
        <v>0</v>
      </c>
      <c r="BS2776">
        <v>0.08</v>
      </c>
      <c r="BT2776">
        <v>0</v>
      </c>
      <c r="BU2776">
        <v>0</v>
      </c>
      <c r="CE2776" t="str">
        <f t="shared" si="1006"/>
        <v>19:32:58.946</v>
      </c>
      <c r="CF2776">
        <v>945901299</v>
      </c>
      <c r="CS2776">
        <v>0</v>
      </c>
      <c r="CT2776">
        <v>2</v>
      </c>
      <c r="CU2776">
        <v>0</v>
      </c>
      <c r="CV2776">
        <v>2</v>
      </c>
      <c r="CW2776">
        <v>0</v>
      </c>
      <c r="CX2776">
        <v>4</v>
      </c>
      <c r="CY2776">
        <v>7</v>
      </c>
      <c r="CZ2776" t="s">
        <v>131</v>
      </c>
      <c r="DA2776">
        <v>300</v>
      </c>
      <c r="DB2776">
        <v>0</v>
      </c>
      <c r="DC2776" t="s">
        <v>176</v>
      </c>
      <c r="DD2776" t="s">
        <v>177</v>
      </c>
      <c r="DG2776">
        <v>5421156</v>
      </c>
      <c r="DI2776">
        <v>0</v>
      </c>
      <c r="DJ2776">
        <v>0</v>
      </c>
      <c r="DK2776">
        <v>1</v>
      </c>
      <c r="DL2776">
        <v>0</v>
      </c>
      <c r="DM2776">
        <v>0</v>
      </c>
      <c r="DN2776">
        <v>1</v>
      </c>
      <c r="DO2776">
        <v>0</v>
      </c>
      <c r="DP2776">
        <v>0</v>
      </c>
      <c r="DQ2776">
        <v>0</v>
      </c>
      <c r="DR2776">
        <v>0</v>
      </c>
      <c r="DS2776">
        <v>0</v>
      </c>
    </row>
    <row r="2777" spans="1:123" x14ac:dyDescent="0.3">
      <c r="A2777" t="str">
        <f>"10/04/2022 19:32:59.372"</f>
        <v>10/04/2022 19:32:59.372</v>
      </c>
      <c r="C2777" t="str">
        <f t="shared" si="991"/>
        <v>FFDDD3C0</v>
      </c>
      <c r="D2777" t="s">
        <v>123</v>
      </c>
      <c r="E2777">
        <v>7</v>
      </c>
      <c r="F2777">
        <v>2007</v>
      </c>
      <c r="G2777" t="s">
        <v>124</v>
      </c>
      <c r="J2777" t="s">
        <v>125</v>
      </c>
      <c r="K2777">
        <v>0</v>
      </c>
      <c r="L2777">
        <v>3</v>
      </c>
      <c r="M2777">
        <v>0</v>
      </c>
      <c r="N2777">
        <v>2</v>
      </c>
      <c r="O2777">
        <v>0</v>
      </c>
      <c r="P2777">
        <v>1</v>
      </c>
      <c r="Q2777">
        <v>0</v>
      </c>
      <c r="S2777" t="str">
        <f t="shared" si="1005"/>
        <v>19:32:58.000</v>
      </c>
      <c r="T2777" t="str">
        <f t="shared" si="1005"/>
        <v>19:32:58.000</v>
      </c>
      <c r="U2777" t="str">
        <f t="shared" si="998"/>
        <v>AC3944</v>
      </c>
      <c r="V2777">
        <v>0</v>
      </c>
      <c r="W2777">
        <v>0</v>
      </c>
      <c r="X2777">
        <v>2</v>
      </c>
      <c r="Y2777">
        <v>0</v>
      </c>
      <c r="AA2777">
        <v>1</v>
      </c>
      <c r="AB2777">
        <v>8</v>
      </c>
      <c r="AC2777">
        <v>3</v>
      </c>
      <c r="AD2777">
        <v>0</v>
      </c>
      <c r="AE2777">
        <v>9</v>
      </c>
      <c r="AF2777" t="s">
        <v>138</v>
      </c>
      <c r="AG2777">
        <v>0</v>
      </c>
      <c r="AH2777">
        <v>3</v>
      </c>
      <c r="AI2777">
        <v>1</v>
      </c>
      <c r="AJ2777">
        <v>0</v>
      </c>
      <c r="AK2777" t="s">
        <v>940</v>
      </c>
      <c r="AL2777">
        <v>32.736789999999999</v>
      </c>
      <c r="AM2777" t="s">
        <v>941</v>
      </c>
      <c r="AN2777">
        <v>-116.75904800000001</v>
      </c>
      <c r="AO2777">
        <v>25</v>
      </c>
      <c r="AP2777">
        <v>3600</v>
      </c>
      <c r="AQ2777" t="s">
        <v>129</v>
      </c>
      <c r="AR2777">
        <v>99</v>
      </c>
      <c r="AS2777">
        <v>-91</v>
      </c>
      <c r="AT2777">
        <v>128</v>
      </c>
      <c r="BB2777">
        <v>1200</v>
      </c>
      <c r="BC2777">
        <v>1</v>
      </c>
      <c r="BD2777" t="str">
        <f t="shared" si="999"/>
        <v xml:space="preserve">N887QR  </v>
      </c>
      <c r="BE2777">
        <v>1</v>
      </c>
      <c r="BJ2777">
        <v>3300</v>
      </c>
      <c r="BK2777">
        <v>-300</v>
      </c>
      <c r="BL2777" t="s">
        <v>163</v>
      </c>
      <c r="BM2777">
        <v>1</v>
      </c>
      <c r="BN2777">
        <v>1</v>
      </c>
      <c r="BO2777">
        <v>1</v>
      </c>
      <c r="BP2777">
        <v>0</v>
      </c>
      <c r="BS2777">
        <v>0.08</v>
      </c>
      <c r="BT2777">
        <v>0</v>
      </c>
      <c r="BU2777">
        <v>0</v>
      </c>
      <c r="CE2777" t="str">
        <f t="shared" si="1006"/>
        <v>19:32:58.946</v>
      </c>
      <c r="CF2777">
        <v>945901299</v>
      </c>
      <c r="CS2777">
        <v>0</v>
      </c>
      <c r="CT2777">
        <v>2</v>
      </c>
      <c r="CU2777">
        <v>0</v>
      </c>
      <c r="CV2777">
        <v>2</v>
      </c>
      <c r="CW2777">
        <v>0</v>
      </c>
      <c r="CX2777">
        <v>4</v>
      </c>
      <c r="CY2777">
        <v>7</v>
      </c>
      <c r="CZ2777" t="s">
        <v>131</v>
      </c>
      <c r="DA2777">
        <v>300</v>
      </c>
      <c r="DB2777">
        <v>0</v>
      </c>
      <c r="DC2777" t="s">
        <v>176</v>
      </c>
      <c r="DD2777" t="s">
        <v>177</v>
      </c>
      <c r="DG2777">
        <v>5421156</v>
      </c>
      <c r="DI2777">
        <v>0</v>
      </c>
      <c r="DJ2777">
        <v>0</v>
      </c>
      <c r="DK2777">
        <v>1</v>
      </c>
      <c r="DL2777">
        <v>0</v>
      </c>
      <c r="DM2777">
        <v>0</v>
      </c>
      <c r="DN2777">
        <v>1</v>
      </c>
      <c r="DO2777">
        <v>0</v>
      </c>
      <c r="DP2777">
        <v>0</v>
      </c>
      <c r="DQ2777">
        <v>0</v>
      </c>
      <c r="DR2777">
        <v>0</v>
      </c>
      <c r="DS2777">
        <v>0</v>
      </c>
    </row>
    <row r="2778" spans="1:123" x14ac:dyDescent="0.3">
      <c r="A2778" t="str">
        <f>"10/04/2022 19:32:59.372"</f>
        <v>10/04/2022 19:32:59.372</v>
      </c>
      <c r="C2778" t="str">
        <f t="shared" si="991"/>
        <v>FFDDD3C0</v>
      </c>
      <c r="D2778" t="s">
        <v>136</v>
      </c>
      <c r="E2778">
        <v>8</v>
      </c>
      <c r="H2778">
        <v>225</v>
      </c>
      <c r="I2778" t="s">
        <v>137</v>
      </c>
      <c r="J2778" t="s">
        <v>138</v>
      </c>
      <c r="K2778">
        <v>0</v>
      </c>
      <c r="L2778">
        <v>3</v>
      </c>
      <c r="M2778">
        <v>0</v>
      </c>
      <c r="N2778">
        <v>2</v>
      </c>
      <c r="O2778">
        <v>0</v>
      </c>
      <c r="P2778">
        <v>1</v>
      </c>
      <c r="Q2778">
        <v>0</v>
      </c>
      <c r="S2778" t="str">
        <f t="shared" si="1005"/>
        <v>19:32:58.000</v>
      </c>
      <c r="T2778" t="str">
        <f t="shared" si="1005"/>
        <v>19:32:58.000</v>
      </c>
      <c r="U2778" t="str">
        <f t="shared" si="998"/>
        <v>AC3944</v>
      </c>
      <c r="V2778">
        <v>0</v>
      </c>
      <c r="W2778">
        <v>0</v>
      </c>
      <c r="X2778">
        <v>2</v>
      </c>
      <c r="Y2778">
        <v>0</v>
      </c>
      <c r="AA2778">
        <v>1</v>
      </c>
      <c r="AB2778">
        <v>8</v>
      </c>
      <c r="AC2778">
        <v>3</v>
      </c>
      <c r="AD2778">
        <v>0</v>
      </c>
      <c r="AE2778">
        <v>9</v>
      </c>
      <c r="AF2778" t="s">
        <v>138</v>
      </c>
      <c r="AG2778">
        <v>0</v>
      </c>
      <c r="AH2778">
        <v>3</v>
      </c>
      <c r="AI2778">
        <v>1</v>
      </c>
      <c r="AJ2778">
        <v>0</v>
      </c>
      <c r="AK2778" t="s">
        <v>940</v>
      </c>
      <c r="AL2778">
        <v>32.736789999999999</v>
      </c>
      <c r="AM2778" t="s">
        <v>941</v>
      </c>
      <c r="AN2778">
        <v>-116.75904800000001</v>
      </c>
      <c r="AO2778">
        <v>25</v>
      </c>
      <c r="AP2778">
        <v>3600</v>
      </c>
      <c r="AQ2778" t="s">
        <v>129</v>
      </c>
      <c r="AR2778">
        <v>99</v>
      </c>
      <c r="AS2778">
        <v>-91</v>
      </c>
      <c r="AT2778">
        <v>128</v>
      </c>
      <c r="BB2778">
        <v>1200</v>
      </c>
      <c r="BC2778">
        <v>1</v>
      </c>
      <c r="BD2778" t="str">
        <f t="shared" si="999"/>
        <v xml:space="preserve">N887QR  </v>
      </c>
      <c r="BE2778">
        <v>1</v>
      </c>
      <c r="BJ2778">
        <v>3300</v>
      </c>
      <c r="BK2778">
        <v>-300</v>
      </c>
      <c r="BL2778" t="s">
        <v>163</v>
      </c>
      <c r="BM2778">
        <v>1</v>
      </c>
      <c r="BN2778">
        <v>1</v>
      </c>
      <c r="BO2778">
        <v>1</v>
      </c>
      <c r="BP2778">
        <v>0</v>
      </c>
      <c r="BS2778">
        <v>0.08</v>
      </c>
      <c r="BT2778">
        <v>0</v>
      </c>
      <c r="BU2778">
        <v>0</v>
      </c>
      <c r="CE2778" t="str">
        <f t="shared" si="1006"/>
        <v>19:32:58.946</v>
      </c>
      <c r="CF2778">
        <v>945901299</v>
      </c>
      <c r="CS2778">
        <v>0</v>
      </c>
      <c r="CT2778">
        <v>2</v>
      </c>
      <c r="CU2778">
        <v>0</v>
      </c>
      <c r="CV2778">
        <v>2</v>
      </c>
      <c r="CW2778">
        <v>0</v>
      </c>
      <c r="CX2778">
        <v>4</v>
      </c>
      <c r="CY2778">
        <v>7</v>
      </c>
      <c r="CZ2778" t="s">
        <v>131</v>
      </c>
      <c r="DA2778">
        <v>300</v>
      </c>
      <c r="DB2778">
        <v>0</v>
      </c>
      <c r="DC2778" t="s">
        <v>176</v>
      </c>
      <c r="DD2778" t="s">
        <v>177</v>
      </c>
      <c r="DG2778">
        <v>5421156</v>
      </c>
      <c r="DI2778">
        <v>0</v>
      </c>
      <c r="DJ2778">
        <v>0</v>
      </c>
      <c r="DK2778">
        <v>1</v>
      </c>
      <c r="DL2778">
        <v>0</v>
      </c>
      <c r="DM2778">
        <v>0</v>
      </c>
      <c r="DN2778">
        <v>1</v>
      </c>
      <c r="DO2778">
        <v>0</v>
      </c>
      <c r="DP2778">
        <v>0</v>
      </c>
      <c r="DQ2778">
        <v>0</v>
      </c>
      <c r="DR2778">
        <v>0</v>
      </c>
      <c r="DS2778">
        <v>0</v>
      </c>
    </row>
    <row r="2779" spans="1:123" x14ac:dyDescent="0.3">
      <c r="A2779" t="str">
        <f>"10/04/2022 19:32:59.403"</f>
        <v>10/04/2022 19:32:59.403</v>
      </c>
      <c r="C2779" t="str">
        <f t="shared" si="991"/>
        <v>FFDDD3C0</v>
      </c>
      <c r="D2779" t="s">
        <v>141</v>
      </c>
      <c r="E2779">
        <v>3</v>
      </c>
      <c r="H2779">
        <v>3</v>
      </c>
      <c r="I2779" t="s">
        <v>146</v>
      </c>
      <c r="J2779" t="s">
        <v>138</v>
      </c>
      <c r="K2779">
        <v>0</v>
      </c>
      <c r="L2779">
        <v>3</v>
      </c>
      <c r="M2779">
        <v>0</v>
      </c>
      <c r="N2779">
        <v>2</v>
      </c>
      <c r="O2779">
        <v>0</v>
      </c>
      <c r="P2779">
        <v>1</v>
      </c>
      <c r="Q2779">
        <v>0</v>
      </c>
      <c r="S2779" t="str">
        <f t="shared" si="1005"/>
        <v>19:32:58.000</v>
      </c>
      <c r="T2779" t="str">
        <f t="shared" si="1005"/>
        <v>19:32:58.000</v>
      </c>
      <c r="U2779" t="str">
        <f t="shared" si="998"/>
        <v>AC3944</v>
      </c>
      <c r="V2779">
        <v>0</v>
      </c>
      <c r="W2779">
        <v>0</v>
      </c>
      <c r="X2779">
        <v>2</v>
      </c>
      <c r="Y2779">
        <v>0</v>
      </c>
      <c r="AA2779">
        <v>1</v>
      </c>
      <c r="AB2779">
        <v>8</v>
      </c>
      <c r="AC2779">
        <v>3</v>
      </c>
      <c r="AD2779">
        <v>0</v>
      </c>
      <c r="AE2779">
        <v>9</v>
      </c>
      <c r="AF2779" t="s">
        <v>138</v>
      </c>
      <c r="AG2779">
        <v>0</v>
      </c>
      <c r="AH2779">
        <v>3</v>
      </c>
      <c r="AI2779">
        <v>1</v>
      </c>
      <c r="AJ2779">
        <v>0</v>
      </c>
      <c r="AK2779" t="s">
        <v>940</v>
      </c>
      <c r="AL2779">
        <v>32.736789999999999</v>
      </c>
      <c r="AM2779" t="s">
        <v>941</v>
      </c>
      <c r="AN2779">
        <v>-116.75904800000001</v>
      </c>
      <c r="AO2779">
        <v>25</v>
      </c>
      <c r="AP2779">
        <v>3600</v>
      </c>
      <c r="AQ2779" t="s">
        <v>129</v>
      </c>
      <c r="AR2779">
        <v>99</v>
      </c>
      <c r="AS2779">
        <v>-91</v>
      </c>
      <c r="AT2779">
        <v>128</v>
      </c>
      <c r="BB2779">
        <v>1200</v>
      </c>
      <c r="BC2779">
        <v>1</v>
      </c>
      <c r="BD2779" t="str">
        <f t="shared" si="999"/>
        <v xml:space="preserve">N887QR  </v>
      </c>
      <c r="BE2779">
        <v>1</v>
      </c>
      <c r="BJ2779">
        <v>3300</v>
      </c>
      <c r="BK2779">
        <v>-300</v>
      </c>
      <c r="BL2779" t="s">
        <v>163</v>
      </c>
      <c r="BM2779">
        <v>1</v>
      </c>
      <c r="BN2779">
        <v>1</v>
      </c>
      <c r="BO2779">
        <v>1</v>
      </c>
      <c r="BP2779">
        <v>0</v>
      </c>
      <c r="BS2779">
        <v>0.08</v>
      </c>
      <c r="BT2779">
        <v>0</v>
      </c>
      <c r="BU2779">
        <v>0</v>
      </c>
      <c r="CE2779" t="str">
        <f t="shared" si="1006"/>
        <v>19:32:58.946</v>
      </c>
      <c r="CF2779">
        <v>945901299</v>
      </c>
      <c r="CS2779">
        <v>0</v>
      </c>
      <c r="CT2779">
        <v>2</v>
      </c>
      <c r="CU2779">
        <v>0</v>
      </c>
      <c r="CV2779">
        <v>2</v>
      </c>
      <c r="CW2779">
        <v>0</v>
      </c>
      <c r="CX2779">
        <v>4</v>
      </c>
      <c r="CY2779">
        <v>7</v>
      </c>
      <c r="CZ2779" t="s">
        <v>131</v>
      </c>
      <c r="DA2779">
        <v>300</v>
      </c>
      <c r="DB2779">
        <v>0</v>
      </c>
      <c r="DC2779" t="s">
        <v>176</v>
      </c>
      <c r="DD2779" t="s">
        <v>177</v>
      </c>
      <c r="DG2779">
        <v>5421156</v>
      </c>
      <c r="DI2779">
        <v>0</v>
      </c>
      <c r="DJ2779">
        <v>0</v>
      </c>
      <c r="DK2779">
        <v>1</v>
      </c>
      <c r="DL2779">
        <v>0</v>
      </c>
      <c r="DM2779">
        <v>0</v>
      </c>
      <c r="DN2779">
        <v>1</v>
      </c>
      <c r="DO2779">
        <v>0</v>
      </c>
      <c r="DP2779">
        <v>0</v>
      </c>
      <c r="DQ2779">
        <v>0</v>
      </c>
      <c r="DR2779">
        <v>0</v>
      </c>
      <c r="DS2779">
        <v>0</v>
      </c>
    </row>
    <row r="2780" spans="1:123" x14ac:dyDescent="0.3">
      <c r="A2780" t="str">
        <f>"10/04/2022 19:32:59.403"</f>
        <v>10/04/2022 19:32:59.403</v>
      </c>
      <c r="C2780" t="str">
        <f t="shared" si="991"/>
        <v>FFDDD3C0</v>
      </c>
      <c r="D2780" t="s">
        <v>134</v>
      </c>
      <c r="E2780">
        <v>15</v>
      </c>
      <c r="J2780" t="s">
        <v>135</v>
      </c>
      <c r="K2780">
        <v>0</v>
      </c>
      <c r="L2780">
        <v>3</v>
      </c>
      <c r="M2780">
        <v>0</v>
      </c>
      <c r="N2780">
        <v>2</v>
      </c>
      <c r="O2780">
        <v>0</v>
      </c>
      <c r="P2780">
        <v>1</v>
      </c>
      <c r="Q2780">
        <v>0</v>
      </c>
      <c r="S2780" t="str">
        <f t="shared" si="1005"/>
        <v>19:32:58.000</v>
      </c>
      <c r="T2780" t="str">
        <f t="shared" si="1005"/>
        <v>19:32:58.000</v>
      </c>
      <c r="U2780" t="str">
        <f t="shared" si="998"/>
        <v>AC3944</v>
      </c>
      <c r="V2780">
        <v>0</v>
      </c>
      <c r="W2780">
        <v>0</v>
      </c>
      <c r="X2780">
        <v>2</v>
      </c>
      <c r="Y2780">
        <v>0</v>
      </c>
      <c r="AA2780">
        <v>1</v>
      </c>
      <c r="AB2780">
        <v>8</v>
      </c>
      <c r="AC2780">
        <v>3</v>
      </c>
      <c r="AD2780">
        <v>0</v>
      </c>
      <c r="AE2780">
        <v>9</v>
      </c>
      <c r="AF2780" t="s">
        <v>138</v>
      </c>
      <c r="AG2780">
        <v>0</v>
      </c>
      <c r="AH2780">
        <v>3</v>
      </c>
      <c r="AI2780">
        <v>1</v>
      </c>
      <c r="AJ2780">
        <v>0</v>
      </c>
      <c r="AK2780" t="s">
        <v>940</v>
      </c>
      <c r="AL2780">
        <v>32.736789999999999</v>
      </c>
      <c r="AM2780" t="s">
        <v>941</v>
      </c>
      <c r="AN2780">
        <v>-116.75904800000001</v>
      </c>
      <c r="AO2780">
        <v>25</v>
      </c>
      <c r="AP2780">
        <v>3600</v>
      </c>
      <c r="AQ2780" t="s">
        <v>129</v>
      </c>
      <c r="AR2780">
        <v>99</v>
      </c>
      <c r="AS2780">
        <v>-91</v>
      </c>
      <c r="AT2780">
        <v>128</v>
      </c>
      <c r="BB2780">
        <v>1200</v>
      </c>
      <c r="BC2780">
        <v>1</v>
      </c>
      <c r="BD2780" t="str">
        <f t="shared" si="999"/>
        <v xml:space="preserve">N887QR  </v>
      </c>
      <c r="BE2780">
        <v>1</v>
      </c>
      <c r="BJ2780">
        <v>3300</v>
      </c>
      <c r="BK2780">
        <v>-300</v>
      </c>
      <c r="BL2780" t="s">
        <v>163</v>
      </c>
      <c r="BM2780">
        <v>1</v>
      </c>
      <c r="BN2780">
        <v>1</v>
      </c>
      <c r="BO2780">
        <v>1</v>
      </c>
      <c r="BP2780">
        <v>0</v>
      </c>
      <c r="BS2780">
        <v>0.08</v>
      </c>
      <c r="BT2780">
        <v>0</v>
      </c>
      <c r="BU2780">
        <v>0</v>
      </c>
      <c r="CE2780" t="str">
        <f t="shared" si="1006"/>
        <v>19:32:58.946</v>
      </c>
      <c r="CF2780">
        <v>945901299</v>
      </c>
      <c r="CS2780">
        <v>0</v>
      </c>
      <c r="CT2780">
        <v>2</v>
      </c>
      <c r="CU2780">
        <v>0</v>
      </c>
      <c r="CV2780">
        <v>2</v>
      </c>
      <c r="CW2780">
        <v>0</v>
      </c>
      <c r="CX2780">
        <v>4</v>
      </c>
      <c r="CY2780">
        <v>7</v>
      </c>
      <c r="CZ2780" t="s">
        <v>131</v>
      </c>
      <c r="DA2780">
        <v>300</v>
      </c>
      <c r="DB2780">
        <v>0</v>
      </c>
      <c r="DC2780" t="s">
        <v>176</v>
      </c>
      <c r="DD2780" t="s">
        <v>177</v>
      </c>
      <c r="DG2780">
        <v>5421156</v>
      </c>
      <c r="DI2780">
        <v>0</v>
      </c>
      <c r="DJ2780">
        <v>0</v>
      </c>
      <c r="DK2780">
        <v>1</v>
      </c>
      <c r="DL2780">
        <v>0</v>
      </c>
      <c r="DM2780">
        <v>0</v>
      </c>
      <c r="DN2780">
        <v>1</v>
      </c>
      <c r="DO2780">
        <v>0</v>
      </c>
      <c r="DP2780">
        <v>0</v>
      </c>
      <c r="DQ2780">
        <v>0</v>
      </c>
      <c r="DR2780">
        <v>0</v>
      </c>
      <c r="DS2780">
        <v>0</v>
      </c>
    </row>
    <row r="2781" spans="1:123" x14ac:dyDescent="0.3">
      <c r="A2781" t="str">
        <f>"10/04/2022 19:33:00.639"</f>
        <v>10/04/2022 19:33:00.639</v>
      </c>
      <c r="C2781" t="str">
        <f t="shared" si="991"/>
        <v>FFDDD3C0</v>
      </c>
      <c r="D2781" t="s">
        <v>147</v>
      </c>
      <c r="E2781">
        <v>3</v>
      </c>
      <c r="H2781">
        <v>166</v>
      </c>
      <c r="I2781" t="s">
        <v>144</v>
      </c>
      <c r="J2781" t="s">
        <v>148</v>
      </c>
      <c r="K2781">
        <v>0</v>
      </c>
      <c r="L2781">
        <v>3</v>
      </c>
      <c r="M2781">
        <v>0</v>
      </c>
      <c r="N2781">
        <v>2</v>
      </c>
      <c r="O2781">
        <v>0</v>
      </c>
      <c r="P2781">
        <v>1</v>
      </c>
      <c r="Q2781">
        <v>0</v>
      </c>
      <c r="S2781" t="str">
        <f t="shared" ref="S2781:T2787" si="1007">"19:33:00.000"</f>
        <v>19:33:00.000</v>
      </c>
      <c r="T2781" t="str">
        <f t="shared" si="1007"/>
        <v>19:33:00.000</v>
      </c>
      <c r="U2781" t="str">
        <f t="shared" si="998"/>
        <v>AC3944</v>
      </c>
      <c r="V2781">
        <v>0</v>
      </c>
      <c r="W2781">
        <v>0</v>
      </c>
      <c r="X2781">
        <v>2</v>
      </c>
      <c r="Y2781">
        <v>0</v>
      </c>
      <c r="AA2781">
        <v>1</v>
      </c>
      <c r="AB2781">
        <v>8</v>
      </c>
      <c r="AC2781">
        <v>3</v>
      </c>
      <c r="AD2781">
        <v>0</v>
      </c>
      <c r="AE2781">
        <v>9</v>
      </c>
      <c r="AF2781" t="s">
        <v>138</v>
      </c>
      <c r="AG2781">
        <v>0</v>
      </c>
      <c r="AH2781">
        <v>3</v>
      </c>
      <c r="AI2781">
        <v>1</v>
      </c>
      <c r="AJ2781">
        <v>0</v>
      </c>
      <c r="AK2781" t="s">
        <v>942</v>
      </c>
      <c r="AL2781">
        <v>32.736381999999999</v>
      </c>
      <c r="AM2781" t="s">
        <v>943</v>
      </c>
      <c r="AN2781">
        <v>-116.75848999999999</v>
      </c>
      <c r="AO2781">
        <v>25</v>
      </c>
      <c r="AP2781">
        <v>3600</v>
      </c>
      <c r="AQ2781" t="s">
        <v>129</v>
      </c>
      <c r="AR2781">
        <v>98</v>
      </c>
      <c r="AS2781">
        <v>-92</v>
      </c>
      <c r="AT2781">
        <v>128</v>
      </c>
      <c r="BB2781">
        <v>1200</v>
      </c>
      <c r="BC2781">
        <v>1</v>
      </c>
      <c r="BD2781" t="str">
        <f t="shared" si="999"/>
        <v xml:space="preserve">N887QR  </v>
      </c>
      <c r="BE2781">
        <v>1</v>
      </c>
      <c r="BJ2781">
        <v>3300</v>
      </c>
      <c r="BK2781">
        <v>-300</v>
      </c>
      <c r="BL2781" t="s">
        <v>163</v>
      </c>
      <c r="BM2781">
        <v>1</v>
      </c>
      <c r="BN2781">
        <v>1</v>
      </c>
      <c r="BO2781">
        <v>1</v>
      </c>
      <c r="BP2781">
        <v>0</v>
      </c>
      <c r="BS2781">
        <v>0.08</v>
      </c>
      <c r="BT2781">
        <v>0</v>
      </c>
      <c r="BU2781">
        <v>0</v>
      </c>
      <c r="CE2781" t="str">
        <f t="shared" ref="CE2781:CE2787" si="1008">"19:33:00.307"</f>
        <v>19:33:00.307</v>
      </c>
      <c r="CF2781">
        <v>306905916</v>
      </c>
      <c r="CS2781">
        <v>0</v>
      </c>
      <c r="CT2781">
        <v>2</v>
      </c>
      <c r="CU2781">
        <v>0</v>
      </c>
      <c r="CV2781">
        <v>2</v>
      </c>
      <c r="CW2781">
        <v>0</v>
      </c>
      <c r="CX2781">
        <v>4</v>
      </c>
      <c r="CY2781">
        <v>7</v>
      </c>
      <c r="CZ2781" t="s">
        <v>131</v>
      </c>
      <c r="DA2781">
        <v>300</v>
      </c>
      <c r="DB2781">
        <v>0</v>
      </c>
      <c r="DC2781" t="s">
        <v>176</v>
      </c>
      <c r="DD2781" t="s">
        <v>177</v>
      </c>
      <c r="DG2781">
        <v>5421378</v>
      </c>
      <c r="DI2781">
        <v>0</v>
      </c>
      <c r="DJ2781">
        <v>0</v>
      </c>
      <c r="DK2781">
        <v>0</v>
      </c>
      <c r="DL2781">
        <v>0</v>
      </c>
      <c r="DM2781">
        <v>0</v>
      </c>
      <c r="DN2781">
        <v>1</v>
      </c>
      <c r="DO2781">
        <v>0</v>
      </c>
      <c r="DP2781">
        <v>0</v>
      </c>
      <c r="DQ2781">
        <v>0</v>
      </c>
      <c r="DR2781">
        <v>0</v>
      </c>
      <c r="DS2781">
        <v>0</v>
      </c>
    </row>
    <row r="2782" spans="1:123" x14ac:dyDescent="0.3">
      <c r="A2782" t="str">
        <f t="shared" ref="A2782:A2787" si="1009">"10/04/2022 19:33:00.654"</f>
        <v>10/04/2022 19:33:00.654</v>
      </c>
      <c r="C2782" t="str">
        <f t="shared" si="991"/>
        <v>FFDDD3C0</v>
      </c>
      <c r="D2782" t="s">
        <v>136</v>
      </c>
      <c r="E2782">
        <v>8</v>
      </c>
      <c r="H2782">
        <v>225</v>
      </c>
      <c r="I2782" t="s">
        <v>137</v>
      </c>
      <c r="J2782" t="s">
        <v>138</v>
      </c>
      <c r="K2782">
        <v>0</v>
      </c>
      <c r="L2782">
        <v>3</v>
      </c>
      <c r="M2782">
        <v>0</v>
      </c>
      <c r="N2782">
        <v>2</v>
      </c>
      <c r="O2782">
        <v>0</v>
      </c>
      <c r="P2782">
        <v>1</v>
      </c>
      <c r="Q2782">
        <v>0</v>
      </c>
      <c r="S2782" t="str">
        <f t="shared" si="1007"/>
        <v>19:33:00.000</v>
      </c>
      <c r="T2782" t="str">
        <f t="shared" si="1007"/>
        <v>19:33:00.000</v>
      </c>
      <c r="U2782" t="str">
        <f t="shared" si="998"/>
        <v>AC3944</v>
      </c>
      <c r="V2782">
        <v>0</v>
      </c>
      <c r="W2782">
        <v>0</v>
      </c>
      <c r="X2782">
        <v>2</v>
      </c>
      <c r="Y2782">
        <v>0</v>
      </c>
      <c r="AA2782">
        <v>1</v>
      </c>
      <c r="AB2782">
        <v>8</v>
      </c>
      <c r="AC2782">
        <v>3</v>
      </c>
      <c r="AD2782">
        <v>0</v>
      </c>
      <c r="AE2782">
        <v>9</v>
      </c>
      <c r="AF2782" t="s">
        <v>138</v>
      </c>
      <c r="AG2782">
        <v>0</v>
      </c>
      <c r="AH2782">
        <v>3</v>
      </c>
      <c r="AI2782">
        <v>1</v>
      </c>
      <c r="AJ2782">
        <v>0</v>
      </c>
      <c r="AK2782" t="s">
        <v>942</v>
      </c>
      <c r="AL2782">
        <v>32.736381999999999</v>
      </c>
      <c r="AM2782" t="s">
        <v>943</v>
      </c>
      <c r="AN2782">
        <v>-116.75848999999999</v>
      </c>
      <c r="AO2782">
        <v>25</v>
      </c>
      <c r="AP2782">
        <v>3600</v>
      </c>
      <c r="AQ2782" t="s">
        <v>129</v>
      </c>
      <c r="AR2782">
        <v>98</v>
      </c>
      <c r="AS2782">
        <v>-92</v>
      </c>
      <c r="AT2782">
        <v>128</v>
      </c>
      <c r="BB2782">
        <v>1200</v>
      </c>
      <c r="BC2782">
        <v>1</v>
      </c>
      <c r="BD2782" t="str">
        <f t="shared" si="999"/>
        <v xml:space="preserve">N887QR  </v>
      </c>
      <c r="BE2782">
        <v>1</v>
      </c>
      <c r="BJ2782">
        <v>3300</v>
      </c>
      <c r="BK2782">
        <v>-300</v>
      </c>
      <c r="BL2782" t="s">
        <v>163</v>
      </c>
      <c r="BM2782">
        <v>1</v>
      </c>
      <c r="BN2782">
        <v>1</v>
      </c>
      <c r="BO2782">
        <v>1</v>
      </c>
      <c r="BP2782">
        <v>0</v>
      </c>
      <c r="BS2782">
        <v>0.08</v>
      </c>
      <c r="BT2782">
        <v>0</v>
      </c>
      <c r="BU2782">
        <v>0</v>
      </c>
      <c r="CE2782" t="str">
        <f t="shared" si="1008"/>
        <v>19:33:00.307</v>
      </c>
      <c r="CF2782">
        <v>306905916</v>
      </c>
      <c r="CS2782">
        <v>0</v>
      </c>
      <c r="CT2782">
        <v>2</v>
      </c>
      <c r="CU2782">
        <v>0</v>
      </c>
      <c r="CV2782">
        <v>2</v>
      </c>
      <c r="CW2782">
        <v>0</v>
      </c>
      <c r="CX2782">
        <v>4</v>
      </c>
      <c r="CY2782">
        <v>7</v>
      </c>
      <c r="CZ2782" t="s">
        <v>131</v>
      </c>
      <c r="DA2782">
        <v>300</v>
      </c>
      <c r="DB2782">
        <v>0</v>
      </c>
      <c r="DC2782" t="s">
        <v>176</v>
      </c>
      <c r="DD2782" t="s">
        <v>177</v>
      </c>
      <c r="DG2782">
        <v>5421378</v>
      </c>
      <c r="DI2782">
        <v>0</v>
      </c>
      <c r="DJ2782">
        <v>0</v>
      </c>
      <c r="DK2782">
        <v>1</v>
      </c>
      <c r="DL2782">
        <v>0</v>
      </c>
      <c r="DM2782">
        <v>0</v>
      </c>
      <c r="DN2782">
        <v>1</v>
      </c>
      <c r="DO2782">
        <v>0</v>
      </c>
      <c r="DP2782">
        <v>0</v>
      </c>
      <c r="DQ2782">
        <v>0</v>
      </c>
      <c r="DR2782">
        <v>0</v>
      </c>
      <c r="DS2782">
        <v>0</v>
      </c>
    </row>
    <row r="2783" spans="1:123" x14ac:dyDescent="0.3">
      <c r="A2783" t="str">
        <f t="shared" si="1009"/>
        <v>10/04/2022 19:33:00.654</v>
      </c>
      <c r="C2783" t="str">
        <f t="shared" si="991"/>
        <v>FFDDD3C0</v>
      </c>
      <c r="D2783" t="s">
        <v>141</v>
      </c>
      <c r="E2783">
        <v>4</v>
      </c>
      <c r="H2783">
        <v>4</v>
      </c>
      <c r="I2783" t="s">
        <v>142</v>
      </c>
      <c r="J2783" t="s">
        <v>138</v>
      </c>
      <c r="K2783">
        <v>0</v>
      </c>
      <c r="L2783">
        <v>3</v>
      </c>
      <c r="M2783">
        <v>0</v>
      </c>
      <c r="N2783">
        <v>2</v>
      </c>
      <c r="O2783">
        <v>0</v>
      </c>
      <c r="P2783">
        <v>1</v>
      </c>
      <c r="Q2783">
        <v>0</v>
      </c>
      <c r="S2783" t="str">
        <f t="shared" si="1007"/>
        <v>19:33:00.000</v>
      </c>
      <c r="T2783" t="str">
        <f t="shared" si="1007"/>
        <v>19:33:00.000</v>
      </c>
      <c r="U2783" t="str">
        <f t="shared" si="998"/>
        <v>AC3944</v>
      </c>
      <c r="V2783">
        <v>0</v>
      </c>
      <c r="W2783">
        <v>0</v>
      </c>
      <c r="X2783">
        <v>2</v>
      </c>
      <c r="Y2783">
        <v>0</v>
      </c>
      <c r="AA2783">
        <v>1</v>
      </c>
      <c r="AB2783">
        <v>8</v>
      </c>
      <c r="AC2783">
        <v>3</v>
      </c>
      <c r="AD2783">
        <v>0</v>
      </c>
      <c r="AE2783">
        <v>9</v>
      </c>
      <c r="AF2783" t="s">
        <v>138</v>
      </c>
      <c r="AG2783">
        <v>0</v>
      </c>
      <c r="AH2783">
        <v>3</v>
      </c>
      <c r="AI2783">
        <v>1</v>
      </c>
      <c r="AJ2783">
        <v>0</v>
      </c>
      <c r="AK2783" t="s">
        <v>942</v>
      </c>
      <c r="AL2783">
        <v>32.736381999999999</v>
      </c>
      <c r="AM2783" t="s">
        <v>943</v>
      </c>
      <c r="AN2783">
        <v>-116.75848999999999</v>
      </c>
      <c r="AO2783">
        <v>25</v>
      </c>
      <c r="AP2783">
        <v>3600</v>
      </c>
      <c r="AQ2783" t="s">
        <v>129</v>
      </c>
      <c r="AR2783">
        <v>98</v>
      </c>
      <c r="AS2783">
        <v>-92</v>
      </c>
      <c r="AT2783">
        <v>128</v>
      </c>
      <c r="BB2783">
        <v>1200</v>
      </c>
      <c r="BC2783">
        <v>1</v>
      </c>
      <c r="BD2783" t="str">
        <f t="shared" si="999"/>
        <v xml:space="preserve">N887QR  </v>
      </c>
      <c r="BE2783">
        <v>1</v>
      </c>
      <c r="BJ2783">
        <v>3300</v>
      </c>
      <c r="BK2783">
        <v>-300</v>
      </c>
      <c r="BL2783" t="s">
        <v>163</v>
      </c>
      <c r="BM2783">
        <v>1</v>
      </c>
      <c r="BN2783">
        <v>1</v>
      </c>
      <c r="BO2783">
        <v>1</v>
      </c>
      <c r="BP2783">
        <v>0</v>
      </c>
      <c r="BS2783">
        <v>0.08</v>
      </c>
      <c r="BT2783">
        <v>0</v>
      </c>
      <c r="BU2783">
        <v>0</v>
      </c>
      <c r="CE2783" t="str">
        <f t="shared" si="1008"/>
        <v>19:33:00.307</v>
      </c>
      <c r="CF2783">
        <v>306905916</v>
      </c>
      <c r="CS2783">
        <v>0</v>
      </c>
      <c r="CT2783">
        <v>2</v>
      </c>
      <c r="CU2783">
        <v>0</v>
      </c>
      <c r="CV2783">
        <v>2</v>
      </c>
      <c r="CW2783">
        <v>0</v>
      </c>
      <c r="CX2783">
        <v>4</v>
      </c>
      <c r="CY2783">
        <v>7</v>
      </c>
      <c r="CZ2783" t="s">
        <v>131</v>
      </c>
      <c r="DA2783">
        <v>300</v>
      </c>
      <c r="DB2783">
        <v>0</v>
      </c>
      <c r="DC2783" t="s">
        <v>176</v>
      </c>
      <c r="DD2783" t="s">
        <v>177</v>
      </c>
      <c r="DG2783">
        <v>5421378</v>
      </c>
      <c r="DI2783">
        <v>0</v>
      </c>
      <c r="DJ2783">
        <v>0</v>
      </c>
      <c r="DK2783">
        <v>1</v>
      </c>
      <c r="DL2783">
        <v>0</v>
      </c>
      <c r="DM2783">
        <v>0</v>
      </c>
      <c r="DN2783">
        <v>1</v>
      </c>
      <c r="DO2783">
        <v>0</v>
      </c>
      <c r="DP2783">
        <v>0</v>
      </c>
      <c r="DQ2783">
        <v>0</v>
      </c>
      <c r="DR2783">
        <v>0</v>
      </c>
      <c r="DS2783">
        <v>0</v>
      </c>
    </row>
    <row r="2784" spans="1:123" x14ac:dyDescent="0.3">
      <c r="A2784" t="str">
        <f t="shared" si="1009"/>
        <v>10/04/2022 19:33:00.654</v>
      </c>
      <c r="C2784" t="str">
        <f t="shared" si="991"/>
        <v>FFDDD3C0</v>
      </c>
      <c r="D2784" t="s">
        <v>141</v>
      </c>
      <c r="E2784">
        <v>3</v>
      </c>
      <c r="H2784">
        <v>3</v>
      </c>
      <c r="I2784" t="s">
        <v>146</v>
      </c>
      <c r="J2784" t="s">
        <v>138</v>
      </c>
      <c r="K2784">
        <v>0</v>
      </c>
      <c r="L2784">
        <v>3</v>
      </c>
      <c r="M2784">
        <v>0</v>
      </c>
      <c r="N2784">
        <v>2</v>
      </c>
      <c r="O2784">
        <v>0</v>
      </c>
      <c r="P2784">
        <v>1</v>
      </c>
      <c r="Q2784">
        <v>0</v>
      </c>
      <c r="S2784" t="str">
        <f t="shared" si="1007"/>
        <v>19:33:00.000</v>
      </c>
      <c r="T2784" t="str">
        <f t="shared" si="1007"/>
        <v>19:33:00.000</v>
      </c>
      <c r="U2784" t="str">
        <f t="shared" si="998"/>
        <v>AC3944</v>
      </c>
      <c r="V2784">
        <v>0</v>
      </c>
      <c r="W2784">
        <v>0</v>
      </c>
      <c r="X2784">
        <v>2</v>
      </c>
      <c r="Y2784">
        <v>0</v>
      </c>
      <c r="AA2784">
        <v>1</v>
      </c>
      <c r="AB2784">
        <v>8</v>
      </c>
      <c r="AC2784">
        <v>3</v>
      </c>
      <c r="AD2784">
        <v>0</v>
      </c>
      <c r="AE2784">
        <v>9</v>
      </c>
      <c r="AF2784" t="s">
        <v>138</v>
      </c>
      <c r="AG2784">
        <v>0</v>
      </c>
      <c r="AH2784">
        <v>3</v>
      </c>
      <c r="AI2784">
        <v>1</v>
      </c>
      <c r="AJ2784">
        <v>0</v>
      </c>
      <c r="AK2784" t="s">
        <v>942</v>
      </c>
      <c r="AL2784">
        <v>32.736381999999999</v>
      </c>
      <c r="AM2784" t="s">
        <v>943</v>
      </c>
      <c r="AN2784">
        <v>-116.75848999999999</v>
      </c>
      <c r="AO2784">
        <v>25</v>
      </c>
      <c r="AP2784">
        <v>3600</v>
      </c>
      <c r="AQ2784" t="s">
        <v>129</v>
      </c>
      <c r="AR2784">
        <v>98</v>
      </c>
      <c r="AS2784">
        <v>-92</v>
      </c>
      <c r="AT2784">
        <v>128</v>
      </c>
      <c r="BB2784">
        <v>1200</v>
      </c>
      <c r="BC2784">
        <v>1</v>
      </c>
      <c r="BD2784" t="str">
        <f t="shared" si="999"/>
        <v xml:space="preserve">N887QR  </v>
      </c>
      <c r="BE2784">
        <v>1</v>
      </c>
      <c r="BJ2784">
        <v>3300</v>
      </c>
      <c r="BK2784">
        <v>-300</v>
      </c>
      <c r="BL2784" t="s">
        <v>163</v>
      </c>
      <c r="BM2784">
        <v>1</v>
      </c>
      <c r="BN2784">
        <v>1</v>
      </c>
      <c r="BO2784">
        <v>1</v>
      </c>
      <c r="BP2784">
        <v>0</v>
      </c>
      <c r="BS2784">
        <v>0.08</v>
      </c>
      <c r="BT2784">
        <v>0</v>
      </c>
      <c r="BU2784">
        <v>0</v>
      </c>
      <c r="CE2784" t="str">
        <f t="shared" si="1008"/>
        <v>19:33:00.307</v>
      </c>
      <c r="CF2784">
        <v>306905916</v>
      </c>
      <c r="CS2784">
        <v>0</v>
      </c>
      <c r="CT2784">
        <v>2</v>
      </c>
      <c r="CU2784">
        <v>0</v>
      </c>
      <c r="CV2784">
        <v>2</v>
      </c>
      <c r="CW2784">
        <v>0</v>
      </c>
      <c r="CX2784">
        <v>4</v>
      </c>
      <c r="CY2784">
        <v>7</v>
      </c>
      <c r="CZ2784" t="s">
        <v>131</v>
      </c>
      <c r="DA2784">
        <v>300</v>
      </c>
      <c r="DB2784">
        <v>0</v>
      </c>
      <c r="DC2784" t="s">
        <v>176</v>
      </c>
      <c r="DD2784" t="s">
        <v>177</v>
      </c>
      <c r="DG2784">
        <v>5421378</v>
      </c>
      <c r="DI2784">
        <v>0</v>
      </c>
      <c r="DJ2784">
        <v>0</v>
      </c>
      <c r="DK2784">
        <v>1</v>
      </c>
      <c r="DL2784">
        <v>0</v>
      </c>
      <c r="DM2784">
        <v>0</v>
      </c>
      <c r="DN2784">
        <v>1</v>
      </c>
      <c r="DO2784">
        <v>0</v>
      </c>
      <c r="DP2784">
        <v>0</v>
      </c>
      <c r="DQ2784">
        <v>0</v>
      </c>
      <c r="DR2784">
        <v>0</v>
      </c>
      <c r="DS2784">
        <v>0</v>
      </c>
    </row>
    <row r="2785" spans="1:123" x14ac:dyDescent="0.3">
      <c r="A2785" t="str">
        <f t="shared" si="1009"/>
        <v>10/04/2022 19:33:00.654</v>
      </c>
      <c r="C2785" t="str">
        <f t="shared" si="991"/>
        <v>FFDDD3C0</v>
      </c>
      <c r="D2785" t="s">
        <v>143</v>
      </c>
      <c r="E2785">
        <v>20</v>
      </c>
      <c r="F2785">
        <v>1020</v>
      </c>
      <c r="G2785" t="s">
        <v>144</v>
      </c>
      <c r="J2785" t="s">
        <v>145</v>
      </c>
      <c r="K2785">
        <v>0</v>
      </c>
      <c r="L2785">
        <v>3</v>
      </c>
      <c r="M2785">
        <v>0</v>
      </c>
      <c r="N2785">
        <v>2</v>
      </c>
      <c r="O2785">
        <v>0</v>
      </c>
      <c r="P2785">
        <v>1</v>
      </c>
      <c r="Q2785">
        <v>0</v>
      </c>
      <c r="S2785" t="str">
        <f t="shared" si="1007"/>
        <v>19:33:00.000</v>
      </c>
      <c r="T2785" t="str">
        <f t="shared" si="1007"/>
        <v>19:33:00.000</v>
      </c>
      <c r="U2785" t="str">
        <f t="shared" si="998"/>
        <v>AC3944</v>
      </c>
      <c r="V2785">
        <v>0</v>
      </c>
      <c r="W2785">
        <v>0</v>
      </c>
      <c r="X2785">
        <v>2</v>
      </c>
      <c r="Y2785">
        <v>0</v>
      </c>
      <c r="AA2785">
        <v>1</v>
      </c>
      <c r="AB2785">
        <v>8</v>
      </c>
      <c r="AC2785">
        <v>3</v>
      </c>
      <c r="AD2785">
        <v>0</v>
      </c>
      <c r="AE2785">
        <v>9</v>
      </c>
      <c r="AF2785" t="s">
        <v>138</v>
      </c>
      <c r="AG2785">
        <v>0</v>
      </c>
      <c r="AH2785">
        <v>3</v>
      </c>
      <c r="AI2785">
        <v>1</v>
      </c>
      <c r="AJ2785">
        <v>0</v>
      </c>
      <c r="AK2785" t="s">
        <v>942</v>
      </c>
      <c r="AL2785">
        <v>32.736381999999999</v>
      </c>
      <c r="AM2785" t="s">
        <v>943</v>
      </c>
      <c r="AN2785">
        <v>-116.75848999999999</v>
      </c>
      <c r="AO2785">
        <v>25</v>
      </c>
      <c r="AP2785">
        <v>3600</v>
      </c>
      <c r="AQ2785" t="s">
        <v>129</v>
      </c>
      <c r="AR2785">
        <v>98</v>
      </c>
      <c r="AS2785">
        <v>-92</v>
      </c>
      <c r="AT2785">
        <v>128</v>
      </c>
      <c r="BB2785">
        <v>1200</v>
      </c>
      <c r="BC2785">
        <v>1</v>
      </c>
      <c r="BD2785" t="str">
        <f t="shared" si="999"/>
        <v xml:space="preserve">N887QR  </v>
      </c>
      <c r="BE2785">
        <v>1</v>
      </c>
      <c r="BJ2785">
        <v>3300</v>
      </c>
      <c r="BK2785">
        <v>-300</v>
      </c>
      <c r="BL2785" t="s">
        <v>163</v>
      </c>
      <c r="BM2785">
        <v>1</v>
      </c>
      <c r="BN2785">
        <v>1</v>
      </c>
      <c r="BO2785">
        <v>1</v>
      </c>
      <c r="BP2785">
        <v>0</v>
      </c>
      <c r="BS2785">
        <v>0.08</v>
      </c>
      <c r="BT2785">
        <v>0</v>
      </c>
      <c r="BU2785">
        <v>0</v>
      </c>
      <c r="CE2785" t="str">
        <f t="shared" si="1008"/>
        <v>19:33:00.307</v>
      </c>
      <c r="CF2785">
        <v>306905916</v>
      </c>
      <c r="CS2785">
        <v>0</v>
      </c>
      <c r="CT2785">
        <v>2</v>
      </c>
      <c r="CU2785">
        <v>0</v>
      </c>
      <c r="CV2785">
        <v>2</v>
      </c>
      <c r="CW2785">
        <v>0</v>
      </c>
      <c r="CX2785">
        <v>4</v>
      </c>
      <c r="CY2785">
        <v>7</v>
      </c>
      <c r="CZ2785" t="s">
        <v>131</v>
      </c>
      <c r="DA2785">
        <v>300</v>
      </c>
      <c r="DB2785">
        <v>0</v>
      </c>
      <c r="DC2785" t="s">
        <v>176</v>
      </c>
      <c r="DD2785" t="s">
        <v>177</v>
      </c>
      <c r="DG2785">
        <v>5421378</v>
      </c>
      <c r="DI2785">
        <v>0</v>
      </c>
      <c r="DJ2785">
        <v>0</v>
      </c>
      <c r="DK2785">
        <v>1</v>
      </c>
      <c r="DL2785">
        <v>0</v>
      </c>
      <c r="DM2785">
        <v>0</v>
      </c>
      <c r="DN2785">
        <v>1</v>
      </c>
      <c r="DO2785">
        <v>0</v>
      </c>
      <c r="DP2785">
        <v>0</v>
      </c>
      <c r="DQ2785">
        <v>0</v>
      </c>
      <c r="DR2785">
        <v>0</v>
      </c>
      <c r="DS2785">
        <v>0</v>
      </c>
    </row>
    <row r="2786" spans="1:123" x14ac:dyDescent="0.3">
      <c r="A2786" t="str">
        <f t="shared" si="1009"/>
        <v>10/04/2022 19:33:00.654</v>
      </c>
      <c r="C2786" t="str">
        <f t="shared" si="991"/>
        <v>FFDDD3C0</v>
      </c>
      <c r="D2786" t="s">
        <v>134</v>
      </c>
      <c r="E2786">
        <v>15</v>
      </c>
      <c r="J2786" t="s">
        <v>135</v>
      </c>
      <c r="K2786">
        <v>0</v>
      </c>
      <c r="L2786">
        <v>3</v>
      </c>
      <c r="M2786">
        <v>0</v>
      </c>
      <c r="N2786">
        <v>2</v>
      </c>
      <c r="O2786">
        <v>0</v>
      </c>
      <c r="P2786">
        <v>1</v>
      </c>
      <c r="Q2786">
        <v>0</v>
      </c>
      <c r="S2786" t="str">
        <f t="shared" si="1007"/>
        <v>19:33:00.000</v>
      </c>
      <c r="T2786" t="str">
        <f t="shared" si="1007"/>
        <v>19:33:00.000</v>
      </c>
      <c r="U2786" t="str">
        <f t="shared" si="998"/>
        <v>AC3944</v>
      </c>
      <c r="V2786">
        <v>0</v>
      </c>
      <c r="W2786">
        <v>0</v>
      </c>
      <c r="X2786">
        <v>2</v>
      </c>
      <c r="Y2786">
        <v>0</v>
      </c>
      <c r="AA2786">
        <v>1</v>
      </c>
      <c r="AB2786">
        <v>8</v>
      </c>
      <c r="AC2786">
        <v>3</v>
      </c>
      <c r="AD2786">
        <v>0</v>
      </c>
      <c r="AE2786">
        <v>9</v>
      </c>
      <c r="AF2786" t="s">
        <v>138</v>
      </c>
      <c r="AG2786">
        <v>0</v>
      </c>
      <c r="AH2786">
        <v>3</v>
      </c>
      <c r="AI2786">
        <v>1</v>
      </c>
      <c r="AJ2786">
        <v>0</v>
      </c>
      <c r="AK2786" t="s">
        <v>942</v>
      </c>
      <c r="AL2786">
        <v>32.736381999999999</v>
      </c>
      <c r="AM2786" t="s">
        <v>943</v>
      </c>
      <c r="AN2786">
        <v>-116.75848999999999</v>
      </c>
      <c r="AO2786">
        <v>25</v>
      </c>
      <c r="AP2786">
        <v>3600</v>
      </c>
      <c r="AQ2786" t="s">
        <v>129</v>
      </c>
      <c r="AR2786">
        <v>98</v>
      </c>
      <c r="AS2786">
        <v>-92</v>
      </c>
      <c r="AT2786">
        <v>128</v>
      </c>
      <c r="BB2786">
        <v>1200</v>
      </c>
      <c r="BC2786">
        <v>1</v>
      </c>
      <c r="BD2786" t="str">
        <f t="shared" si="999"/>
        <v xml:space="preserve">N887QR  </v>
      </c>
      <c r="BE2786">
        <v>1</v>
      </c>
      <c r="BJ2786">
        <v>3300</v>
      </c>
      <c r="BK2786">
        <v>-300</v>
      </c>
      <c r="BL2786" t="s">
        <v>163</v>
      </c>
      <c r="BM2786">
        <v>1</v>
      </c>
      <c r="BN2786">
        <v>1</v>
      </c>
      <c r="BO2786">
        <v>1</v>
      </c>
      <c r="BP2786">
        <v>0</v>
      </c>
      <c r="BS2786">
        <v>0.08</v>
      </c>
      <c r="BT2786">
        <v>0</v>
      </c>
      <c r="BU2786">
        <v>0</v>
      </c>
      <c r="CE2786" t="str">
        <f t="shared" si="1008"/>
        <v>19:33:00.307</v>
      </c>
      <c r="CF2786">
        <v>306905916</v>
      </c>
      <c r="CS2786">
        <v>0</v>
      </c>
      <c r="CT2786">
        <v>2</v>
      </c>
      <c r="CU2786">
        <v>0</v>
      </c>
      <c r="CV2786">
        <v>2</v>
      </c>
      <c r="CW2786">
        <v>0</v>
      </c>
      <c r="CX2786">
        <v>4</v>
      </c>
      <c r="CY2786">
        <v>7</v>
      </c>
      <c r="CZ2786" t="s">
        <v>131</v>
      </c>
      <c r="DA2786">
        <v>300</v>
      </c>
      <c r="DB2786">
        <v>0</v>
      </c>
      <c r="DC2786" t="s">
        <v>176</v>
      </c>
      <c r="DD2786" t="s">
        <v>177</v>
      </c>
      <c r="DG2786">
        <v>5421378</v>
      </c>
      <c r="DI2786">
        <v>0</v>
      </c>
      <c r="DJ2786">
        <v>0</v>
      </c>
      <c r="DK2786">
        <v>1</v>
      </c>
      <c r="DL2786">
        <v>0</v>
      </c>
      <c r="DM2786">
        <v>0</v>
      </c>
      <c r="DN2786">
        <v>1</v>
      </c>
      <c r="DO2786">
        <v>0</v>
      </c>
      <c r="DP2786">
        <v>0</v>
      </c>
      <c r="DQ2786">
        <v>0</v>
      </c>
      <c r="DR2786">
        <v>0</v>
      </c>
      <c r="DS2786">
        <v>0</v>
      </c>
    </row>
    <row r="2787" spans="1:123" x14ac:dyDescent="0.3">
      <c r="A2787" t="str">
        <f t="shared" si="1009"/>
        <v>10/04/2022 19:33:00.654</v>
      </c>
      <c r="C2787" t="str">
        <f t="shared" si="991"/>
        <v>FFDDD3C0</v>
      </c>
      <c r="D2787" t="s">
        <v>123</v>
      </c>
      <c r="E2787">
        <v>7</v>
      </c>
      <c r="F2787">
        <v>2007</v>
      </c>
      <c r="G2787" t="s">
        <v>124</v>
      </c>
      <c r="J2787" t="s">
        <v>125</v>
      </c>
      <c r="K2787">
        <v>0</v>
      </c>
      <c r="L2787">
        <v>3</v>
      </c>
      <c r="M2787">
        <v>0</v>
      </c>
      <c r="N2787">
        <v>2</v>
      </c>
      <c r="O2787">
        <v>0</v>
      </c>
      <c r="P2787">
        <v>1</v>
      </c>
      <c r="Q2787">
        <v>0</v>
      </c>
      <c r="S2787" t="str">
        <f t="shared" si="1007"/>
        <v>19:33:00.000</v>
      </c>
      <c r="T2787" t="str">
        <f t="shared" si="1007"/>
        <v>19:33:00.000</v>
      </c>
      <c r="U2787" t="str">
        <f t="shared" si="998"/>
        <v>AC3944</v>
      </c>
      <c r="V2787">
        <v>0</v>
      </c>
      <c r="W2787">
        <v>0</v>
      </c>
      <c r="X2787">
        <v>2</v>
      </c>
      <c r="Y2787">
        <v>0</v>
      </c>
      <c r="AA2787">
        <v>1</v>
      </c>
      <c r="AB2787">
        <v>8</v>
      </c>
      <c r="AC2787">
        <v>3</v>
      </c>
      <c r="AD2787">
        <v>0</v>
      </c>
      <c r="AE2787">
        <v>9</v>
      </c>
      <c r="AF2787" t="s">
        <v>138</v>
      </c>
      <c r="AG2787">
        <v>0</v>
      </c>
      <c r="AH2787">
        <v>3</v>
      </c>
      <c r="AI2787">
        <v>1</v>
      </c>
      <c r="AJ2787">
        <v>0</v>
      </c>
      <c r="AK2787" t="s">
        <v>942</v>
      </c>
      <c r="AL2787">
        <v>32.736381999999999</v>
      </c>
      <c r="AM2787" t="s">
        <v>943</v>
      </c>
      <c r="AN2787">
        <v>-116.75848999999999</v>
      </c>
      <c r="AO2787">
        <v>25</v>
      </c>
      <c r="AP2787">
        <v>3600</v>
      </c>
      <c r="AQ2787" t="s">
        <v>129</v>
      </c>
      <c r="AR2787">
        <v>98</v>
      </c>
      <c r="AS2787">
        <v>-92</v>
      </c>
      <c r="AT2787">
        <v>128</v>
      </c>
      <c r="BB2787">
        <v>1200</v>
      </c>
      <c r="BC2787">
        <v>1</v>
      </c>
      <c r="BD2787" t="str">
        <f t="shared" si="999"/>
        <v xml:space="preserve">N887QR  </v>
      </c>
      <c r="BE2787">
        <v>1</v>
      </c>
      <c r="BJ2787">
        <v>3300</v>
      </c>
      <c r="BK2787">
        <v>-300</v>
      </c>
      <c r="BL2787" t="s">
        <v>163</v>
      </c>
      <c r="BM2787">
        <v>1</v>
      </c>
      <c r="BN2787">
        <v>1</v>
      </c>
      <c r="BO2787">
        <v>1</v>
      </c>
      <c r="BP2787">
        <v>0</v>
      </c>
      <c r="BS2787">
        <v>0.08</v>
      </c>
      <c r="BT2787">
        <v>0</v>
      </c>
      <c r="BU2787">
        <v>0</v>
      </c>
      <c r="CE2787" t="str">
        <f t="shared" si="1008"/>
        <v>19:33:00.307</v>
      </c>
      <c r="CF2787">
        <v>306905916</v>
      </c>
      <c r="CS2787">
        <v>0</v>
      </c>
      <c r="CT2787">
        <v>2</v>
      </c>
      <c r="CU2787">
        <v>0</v>
      </c>
      <c r="CV2787">
        <v>2</v>
      </c>
      <c r="CW2787">
        <v>0</v>
      </c>
      <c r="CX2787">
        <v>4</v>
      </c>
      <c r="CY2787">
        <v>7</v>
      </c>
      <c r="CZ2787" t="s">
        <v>131</v>
      </c>
      <c r="DA2787">
        <v>300</v>
      </c>
      <c r="DB2787">
        <v>0</v>
      </c>
      <c r="DC2787" t="s">
        <v>176</v>
      </c>
      <c r="DD2787" t="s">
        <v>177</v>
      </c>
      <c r="DG2787">
        <v>5421378</v>
      </c>
      <c r="DI2787">
        <v>0</v>
      </c>
      <c r="DJ2787">
        <v>0</v>
      </c>
      <c r="DK2787">
        <v>1</v>
      </c>
      <c r="DL2787">
        <v>0</v>
      </c>
      <c r="DM2787">
        <v>0</v>
      </c>
      <c r="DN2787">
        <v>1</v>
      </c>
      <c r="DO2787">
        <v>0</v>
      </c>
      <c r="DP2787">
        <v>0</v>
      </c>
      <c r="DQ2787">
        <v>0</v>
      </c>
      <c r="DR2787">
        <v>0</v>
      </c>
      <c r="DS2787">
        <v>0</v>
      </c>
    </row>
    <row r="2788" spans="1:123" x14ac:dyDescent="0.3">
      <c r="A2788" t="str">
        <f>"10/04/2022 19:33:02.094"</f>
        <v>10/04/2022 19:33:02.094</v>
      </c>
      <c r="C2788" t="str">
        <f t="shared" si="991"/>
        <v>FFDDD3C0</v>
      </c>
      <c r="D2788" t="s">
        <v>123</v>
      </c>
      <c r="E2788">
        <v>7</v>
      </c>
      <c r="F2788">
        <v>2007</v>
      </c>
      <c r="G2788" t="s">
        <v>124</v>
      </c>
      <c r="J2788" t="s">
        <v>125</v>
      </c>
      <c r="K2788">
        <v>0</v>
      </c>
      <c r="L2788">
        <v>3</v>
      </c>
      <c r="M2788">
        <v>0</v>
      </c>
      <c r="N2788">
        <v>2</v>
      </c>
      <c r="O2788">
        <v>0</v>
      </c>
      <c r="P2788">
        <v>1</v>
      </c>
      <c r="Q2788">
        <v>0</v>
      </c>
      <c r="S2788" t="str">
        <f t="shared" ref="S2788:T2793" si="1010">"19:33:01.000"</f>
        <v>19:33:01.000</v>
      </c>
      <c r="T2788" t="str">
        <f t="shared" si="1010"/>
        <v>19:33:01.000</v>
      </c>
      <c r="U2788" t="str">
        <f t="shared" si="998"/>
        <v>AC3944</v>
      </c>
      <c r="V2788">
        <v>0</v>
      </c>
      <c r="W2788">
        <v>0</v>
      </c>
      <c r="X2788">
        <v>2</v>
      </c>
      <c r="Y2788">
        <v>0</v>
      </c>
      <c r="AA2788">
        <v>1</v>
      </c>
      <c r="AB2788">
        <v>8</v>
      </c>
      <c r="AC2788">
        <v>3</v>
      </c>
      <c r="AD2788">
        <v>0</v>
      </c>
      <c r="AE2788">
        <v>9</v>
      </c>
      <c r="AF2788" t="s">
        <v>138</v>
      </c>
      <c r="AG2788">
        <v>0</v>
      </c>
      <c r="AH2788">
        <v>3</v>
      </c>
      <c r="AI2788">
        <v>1</v>
      </c>
      <c r="AJ2788">
        <v>0</v>
      </c>
      <c r="AK2788" t="s">
        <v>944</v>
      </c>
      <c r="AL2788">
        <v>32.735523999999998</v>
      </c>
      <c r="AM2788" t="s">
        <v>945</v>
      </c>
      <c r="AN2788">
        <v>-116.757417</v>
      </c>
      <c r="AO2788">
        <v>25</v>
      </c>
      <c r="AP2788">
        <v>3600</v>
      </c>
      <c r="AQ2788" t="s">
        <v>129</v>
      </c>
      <c r="AR2788">
        <v>97</v>
      </c>
      <c r="AS2788">
        <v>-94</v>
      </c>
      <c r="AT2788">
        <v>128</v>
      </c>
      <c r="BB2788">
        <v>1200</v>
      </c>
      <c r="BC2788">
        <v>1</v>
      </c>
      <c r="BD2788" t="str">
        <f t="shared" si="999"/>
        <v xml:space="preserve">N887QR  </v>
      </c>
      <c r="BE2788">
        <v>1</v>
      </c>
      <c r="BJ2788">
        <v>3300</v>
      </c>
      <c r="BK2788">
        <v>-300</v>
      </c>
      <c r="BL2788" t="s">
        <v>163</v>
      </c>
      <c r="BM2788">
        <v>1</v>
      </c>
      <c r="BN2788">
        <v>1</v>
      </c>
      <c r="BO2788">
        <v>1</v>
      </c>
      <c r="BP2788">
        <v>0</v>
      </c>
      <c r="BS2788">
        <v>0.08</v>
      </c>
      <c r="BT2788">
        <v>0</v>
      </c>
      <c r="BU2788">
        <v>0</v>
      </c>
      <c r="CE2788" t="str">
        <f t="shared" ref="CE2788:CE2793" si="1011">"19:33:01.754"</f>
        <v>19:33:01.754</v>
      </c>
      <c r="CF2788">
        <v>753910893</v>
      </c>
      <c r="CS2788">
        <v>0</v>
      </c>
      <c r="CT2788">
        <v>2</v>
      </c>
      <c r="CU2788">
        <v>0</v>
      </c>
      <c r="CV2788">
        <v>2</v>
      </c>
      <c r="CW2788">
        <v>0</v>
      </c>
      <c r="CX2788">
        <v>4</v>
      </c>
      <c r="CY2788">
        <v>7</v>
      </c>
      <c r="CZ2788" t="s">
        <v>131</v>
      </c>
      <c r="DA2788">
        <v>300</v>
      </c>
      <c r="DB2788">
        <v>0</v>
      </c>
      <c r="DC2788" t="s">
        <v>176</v>
      </c>
      <c r="DD2788" t="s">
        <v>177</v>
      </c>
      <c r="DG2788">
        <v>5421606</v>
      </c>
      <c r="DI2788">
        <v>0</v>
      </c>
      <c r="DJ2788">
        <v>0</v>
      </c>
      <c r="DK2788">
        <v>0</v>
      </c>
      <c r="DL2788">
        <v>0</v>
      </c>
      <c r="DM2788">
        <v>0</v>
      </c>
      <c r="DN2788">
        <v>1</v>
      </c>
      <c r="DO2788">
        <v>0</v>
      </c>
      <c r="DP2788">
        <v>0</v>
      </c>
      <c r="DQ2788">
        <v>0</v>
      </c>
      <c r="DR2788">
        <v>0</v>
      </c>
      <c r="DS2788">
        <v>0</v>
      </c>
    </row>
    <row r="2789" spans="1:123" x14ac:dyDescent="0.3">
      <c r="A2789" t="str">
        <f>"10/04/2022 19:33:02.094"</f>
        <v>10/04/2022 19:33:02.094</v>
      </c>
      <c r="C2789" t="str">
        <f t="shared" si="991"/>
        <v>FFDDD3C0</v>
      </c>
      <c r="D2789" t="s">
        <v>134</v>
      </c>
      <c r="E2789">
        <v>15</v>
      </c>
      <c r="J2789" t="s">
        <v>135</v>
      </c>
      <c r="K2789">
        <v>0</v>
      </c>
      <c r="L2789">
        <v>3</v>
      </c>
      <c r="M2789">
        <v>0</v>
      </c>
      <c r="N2789">
        <v>2</v>
      </c>
      <c r="O2789">
        <v>0</v>
      </c>
      <c r="P2789">
        <v>1</v>
      </c>
      <c r="Q2789">
        <v>0</v>
      </c>
      <c r="S2789" t="str">
        <f t="shared" si="1010"/>
        <v>19:33:01.000</v>
      </c>
      <c r="T2789" t="str">
        <f t="shared" si="1010"/>
        <v>19:33:01.000</v>
      </c>
      <c r="U2789" t="str">
        <f t="shared" si="998"/>
        <v>AC3944</v>
      </c>
      <c r="V2789">
        <v>0</v>
      </c>
      <c r="W2789">
        <v>0</v>
      </c>
      <c r="X2789">
        <v>2</v>
      </c>
      <c r="Y2789">
        <v>0</v>
      </c>
      <c r="AA2789">
        <v>1</v>
      </c>
      <c r="AB2789">
        <v>8</v>
      </c>
      <c r="AC2789">
        <v>3</v>
      </c>
      <c r="AD2789">
        <v>0</v>
      </c>
      <c r="AE2789">
        <v>9</v>
      </c>
      <c r="AF2789" t="s">
        <v>138</v>
      </c>
      <c r="AG2789">
        <v>0</v>
      </c>
      <c r="AH2789">
        <v>3</v>
      </c>
      <c r="AI2789">
        <v>1</v>
      </c>
      <c r="AJ2789">
        <v>0</v>
      </c>
      <c r="AK2789" t="s">
        <v>944</v>
      </c>
      <c r="AL2789">
        <v>32.735523999999998</v>
      </c>
      <c r="AM2789" t="s">
        <v>945</v>
      </c>
      <c r="AN2789">
        <v>-116.757417</v>
      </c>
      <c r="AO2789">
        <v>25</v>
      </c>
      <c r="AP2789">
        <v>3600</v>
      </c>
      <c r="AQ2789" t="s">
        <v>129</v>
      </c>
      <c r="AR2789">
        <v>97</v>
      </c>
      <c r="AS2789">
        <v>-94</v>
      </c>
      <c r="AT2789">
        <v>128</v>
      </c>
      <c r="BB2789">
        <v>1200</v>
      </c>
      <c r="BC2789">
        <v>1</v>
      </c>
      <c r="BD2789" t="str">
        <f t="shared" si="999"/>
        <v xml:space="preserve">N887QR  </v>
      </c>
      <c r="BE2789">
        <v>1</v>
      </c>
      <c r="BJ2789">
        <v>3300</v>
      </c>
      <c r="BK2789">
        <v>-300</v>
      </c>
      <c r="BL2789" t="s">
        <v>163</v>
      </c>
      <c r="BM2789">
        <v>1</v>
      </c>
      <c r="BN2789">
        <v>1</v>
      </c>
      <c r="BO2789">
        <v>1</v>
      </c>
      <c r="BP2789">
        <v>0</v>
      </c>
      <c r="BS2789">
        <v>0.08</v>
      </c>
      <c r="BT2789">
        <v>0</v>
      </c>
      <c r="BU2789">
        <v>0</v>
      </c>
      <c r="CE2789" t="str">
        <f t="shared" si="1011"/>
        <v>19:33:01.754</v>
      </c>
      <c r="CF2789">
        <v>753910893</v>
      </c>
      <c r="CS2789">
        <v>0</v>
      </c>
      <c r="CT2789">
        <v>2</v>
      </c>
      <c r="CU2789">
        <v>0</v>
      </c>
      <c r="CV2789">
        <v>2</v>
      </c>
      <c r="CW2789">
        <v>0</v>
      </c>
      <c r="CX2789">
        <v>4</v>
      </c>
      <c r="CY2789">
        <v>7</v>
      </c>
      <c r="CZ2789" t="s">
        <v>131</v>
      </c>
      <c r="DA2789">
        <v>300</v>
      </c>
      <c r="DB2789">
        <v>0</v>
      </c>
      <c r="DC2789" t="s">
        <v>176</v>
      </c>
      <c r="DD2789" t="s">
        <v>177</v>
      </c>
      <c r="DG2789">
        <v>5421606</v>
      </c>
      <c r="DI2789">
        <v>0</v>
      </c>
      <c r="DJ2789">
        <v>0</v>
      </c>
      <c r="DK2789">
        <v>1</v>
      </c>
      <c r="DL2789">
        <v>0</v>
      </c>
      <c r="DM2789">
        <v>0</v>
      </c>
      <c r="DN2789">
        <v>1</v>
      </c>
      <c r="DO2789">
        <v>0</v>
      </c>
      <c r="DP2789">
        <v>0</v>
      </c>
      <c r="DQ2789">
        <v>0</v>
      </c>
      <c r="DR2789">
        <v>0</v>
      </c>
      <c r="DS2789">
        <v>0</v>
      </c>
    </row>
    <row r="2790" spans="1:123" x14ac:dyDescent="0.3">
      <c r="A2790" t="str">
        <f>"10/04/2022 19:33:02.094"</f>
        <v>10/04/2022 19:33:02.094</v>
      </c>
      <c r="C2790" t="str">
        <f t="shared" si="991"/>
        <v>FFDDD3C0</v>
      </c>
      <c r="D2790" t="s">
        <v>147</v>
      </c>
      <c r="E2790">
        <v>3</v>
      </c>
      <c r="H2790">
        <v>166</v>
      </c>
      <c r="I2790" t="s">
        <v>144</v>
      </c>
      <c r="J2790" t="s">
        <v>148</v>
      </c>
      <c r="K2790">
        <v>0</v>
      </c>
      <c r="L2790">
        <v>3</v>
      </c>
      <c r="M2790">
        <v>0</v>
      </c>
      <c r="N2790">
        <v>2</v>
      </c>
      <c r="O2790">
        <v>0</v>
      </c>
      <c r="P2790">
        <v>1</v>
      </c>
      <c r="Q2790">
        <v>0</v>
      </c>
      <c r="S2790" t="str">
        <f t="shared" si="1010"/>
        <v>19:33:01.000</v>
      </c>
      <c r="T2790" t="str">
        <f t="shared" si="1010"/>
        <v>19:33:01.000</v>
      </c>
      <c r="U2790" t="str">
        <f t="shared" si="998"/>
        <v>AC3944</v>
      </c>
      <c r="V2790">
        <v>0</v>
      </c>
      <c r="W2790">
        <v>0</v>
      </c>
      <c r="X2790">
        <v>2</v>
      </c>
      <c r="Y2790">
        <v>0</v>
      </c>
      <c r="AA2790">
        <v>1</v>
      </c>
      <c r="AB2790">
        <v>8</v>
      </c>
      <c r="AC2790">
        <v>3</v>
      </c>
      <c r="AD2790">
        <v>0</v>
      </c>
      <c r="AE2790">
        <v>9</v>
      </c>
      <c r="AF2790" t="s">
        <v>138</v>
      </c>
      <c r="AG2790">
        <v>0</v>
      </c>
      <c r="AH2790">
        <v>3</v>
      </c>
      <c r="AI2790">
        <v>1</v>
      </c>
      <c r="AJ2790">
        <v>0</v>
      </c>
      <c r="AK2790" t="s">
        <v>944</v>
      </c>
      <c r="AL2790">
        <v>32.735523999999998</v>
      </c>
      <c r="AM2790" t="s">
        <v>945</v>
      </c>
      <c r="AN2790">
        <v>-116.757417</v>
      </c>
      <c r="AO2790">
        <v>25</v>
      </c>
      <c r="AP2790">
        <v>3600</v>
      </c>
      <c r="AQ2790" t="s">
        <v>129</v>
      </c>
      <c r="AR2790">
        <v>97</v>
      </c>
      <c r="AS2790">
        <v>-94</v>
      </c>
      <c r="AT2790">
        <v>128</v>
      </c>
      <c r="BB2790">
        <v>1200</v>
      </c>
      <c r="BC2790">
        <v>1</v>
      </c>
      <c r="BD2790" t="str">
        <f t="shared" si="999"/>
        <v xml:space="preserve">N887QR  </v>
      </c>
      <c r="BE2790">
        <v>1</v>
      </c>
      <c r="BJ2790">
        <v>3300</v>
      </c>
      <c r="BK2790">
        <v>-300</v>
      </c>
      <c r="BL2790" t="s">
        <v>163</v>
      </c>
      <c r="BM2790">
        <v>1</v>
      </c>
      <c r="BN2790">
        <v>1</v>
      </c>
      <c r="BO2790">
        <v>1</v>
      </c>
      <c r="BP2790">
        <v>0</v>
      </c>
      <c r="BS2790">
        <v>0.08</v>
      </c>
      <c r="BT2790">
        <v>0</v>
      </c>
      <c r="BU2790">
        <v>0</v>
      </c>
      <c r="CE2790" t="str">
        <f t="shared" si="1011"/>
        <v>19:33:01.754</v>
      </c>
      <c r="CF2790">
        <v>753910893</v>
      </c>
      <c r="CS2790">
        <v>0</v>
      </c>
      <c r="CT2790">
        <v>2</v>
      </c>
      <c r="CU2790">
        <v>0</v>
      </c>
      <c r="CV2790">
        <v>2</v>
      </c>
      <c r="CW2790">
        <v>0</v>
      </c>
      <c r="CX2790">
        <v>4</v>
      </c>
      <c r="CY2790">
        <v>7</v>
      </c>
      <c r="CZ2790" t="s">
        <v>131</v>
      </c>
      <c r="DA2790">
        <v>300</v>
      </c>
      <c r="DB2790">
        <v>0</v>
      </c>
      <c r="DC2790" t="s">
        <v>176</v>
      </c>
      <c r="DD2790" t="s">
        <v>177</v>
      </c>
      <c r="DG2790">
        <v>5421606</v>
      </c>
      <c r="DI2790">
        <v>0</v>
      </c>
      <c r="DJ2790">
        <v>0</v>
      </c>
      <c r="DK2790">
        <v>1</v>
      </c>
      <c r="DL2790">
        <v>0</v>
      </c>
      <c r="DM2790">
        <v>0</v>
      </c>
      <c r="DN2790">
        <v>1</v>
      </c>
      <c r="DO2790">
        <v>0</v>
      </c>
      <c r="DP2790">
        <v>0</v>
      </c>
      <c r="DQ2790">
        <v>0</v>
      </c>
      <c r="DR2790">
        <v>0</v>
      </c>
      <c r="DS2790">
        <v>0</v>
      </c>
    </row>
    <row r="2791" spans="1:123" x14ac:dyDescent="0.3">
      <c r="A2791" t="str">
        <f>"10/04/2022 19:33:02.156"</f>
        <v>10/04/2022 19:33:02.156</v>
      </c>
      <c r="C2791" t="str">
        <f t="shared" ref="C2791:C2854" si="1012">"FFDDD3C0"</f>
        <v>FFDDD3C0</v>
      </c>
      <c r="D2791" t="s">
        <v>141</v>
      </c>
      <c r="E2791">
        <v>4</v>
      </c>
      <c r="H2791">
        <v>4</v>
      </c>
      <c r="I2791" t="s">
        <v>142</v>
      </c>
      <c r="J2791" t="s">
        <v>138</v>
      </c>
      <c r="K2791">
        <v>0</v>
      </c>
      <c r="L2791">
        <v>3</v>
      </c>
      <c r="M2791">
        <v>0</v>
      </c>
      <c r="N2791">
        <v>2</v>
      </c>
      <c r="O2791">
        <v>0</v>
      </c>
      <c r="P2791">
        <v>1</v>
      </c>
      <c r="Q2791">
        <v>0</v>
      </c>
      <c r="S2791" t="str">
        <f t="shared" si="1010"/>
        <v>19:33:01.000</v>
      </c>
      <c r="T2791" t="str">
        <f t="shared" si="1010"/>
        <v>19:33:01.000</v>
      </c>
      <c r="U2791" t="str">
        <f t="shared" si="998"/>
        <v>AC3944</v>
      </c>
      <c r="V2791">
        <v>0</v>
      </c>
      <c r="W2791">
        <v>0</v>
      </c>
      <c r="X2791">
        <v>2</v>
      </c>
      <c r="Y2791">
        <v>0</v>
      </c>
      <c r="AA2791">
        <v>1</v>
      </c>
      <c r="AB2791">
        <v>8</v>
      </c>
      <c r="AC2791">
        <v>3</v>
      </c>
      <c r="AD2791">
        <v>0</v>
      </c>
      <c r="AE2791">
        <v>9</v>
      </c>
      <c r="AF2791" t="s">
        <v>138</v>
      </c>
      <c r="AG2791">
        <v>0</v>
      </c>
      <c r="AH2791">
        <v>3</v>
      </c>
      <c r="AI2791">
        <v>1</v>
      </c>
      <c r="AJ2791">
        <v>0</v>
      </c>
      <c r="AK2791" t="s">
        <v>944</v>
      </c>
      <c r="AL2791">
        <v>32.735523999999998</v>
      </c>
      <c r="AM2791" t="s">
        <v>945</v>
      </c>
      <c r="AN2791">
        <v>-116.757417</v>
      </c>
      <c r="AO2791">
        <v>25</v>
      </c>
      <c r="AP2791">
        <v>3600</v>
      </c>
      <c r="AQ2791" t="s">
        <v>129</v>
      </c>
      <c r="AR2791">
        <v>97</v>
      </c>
      <c r="AS2791">
        <v>-94</v>
      </c>
      <c r="AT2791">
        <v>128</v>
      </c>
      <c r="BB2791">
        <v>1200</v>
      </c>
      <c r="BC2791">
        <v>1</v>
      </c>
      <c r="BD2791" t="str">
        <f t="shared" si="999"/>
        <v xml:space="preserve">N887QR  </v>
      </c>
      <c r="BE2791">
        <v>1</v>
      </c>
      <c r="BJ2791">
        <v>3300</v>
      </c>
      <c r="BK2791">
        <v>-300</v>
      </c>
      <c r="BL2791" t="s">
        <v>163</v>
      </c>
      <c r="BM2791">
        <v>1</v>
      </c>
      <c r="BN2791">
        <v>1</v>
      </c>
      <c r="BO2791">
        <v>1</v>
      </c>
      <c r="BP2791">
        <v>0</v>
      </c>
      <c r="BS2791">
        <v>0.08</v>
      </c>
      <c r="BT2791">
        <v>0</v>
      </c>
      <c r="BU2791">
        <v>0</v>
      </c>
      <c r="CE2791" t="str">
        <f t="shared" si="1011"/>
        <v>19:33:01.754</v>
      </c>
      <c r="CF2791">
        <v>753910893</v>
      </c>
      <c r="CS2791">
        <v>0</v>
      </c>
      <c r="CT2791">
        <v>2</v>
      </c>
      <c r="CU2791">
        <v>0</v>
      </c>
      <c r="CV2791">
        <v>2</v>
      </c>
      <c r="CW2791">
        <v>0</v>
      </c>
      <c r="CX2791">
        <v>4</v>
      </c>
      <c r="CY2791">
        <v>7</v>
      </c>
      <c r="CZ2791" t="s">
        <v>131</v>
      </c>
      <c r="DA2791">
        <v>300</v>
      </c>
      <c r="DB2791">
        <v>0</v>
      </c>
      <c r="DC2791" t="s">
        <v>176</v>
      </c>
      <c r="DD2791" t="s">
        <v>177</v>
      </c>
      <c r="DG2791">
        <v>5421606</v>
      </c>
      <c r="DI2791">
        <v>0</v>
      </c>
      <c r="DJ2791">
        <v>0</v>
      </c>
      <c r="DK2791">
        <v>1</v>
      </c>
      <c r="DL2791">
        <v>0</v>
      </c>
      <c r="DM2791">
        <v>0</v>
      </c>
      <c r="DN2791">
        <v>1</v>
      </c>
      <c r="DO2791">
        <v>0</v>
      </c>
      <c r="DP2791">
        <v>0</v>
      </c>
      <c r="DQ2791">
        <v>0</v>
      </c>
      <c r="DR2791">
        <v>0</v>
      </c>
      <c r="DS2791">
        <v>0</v>
      </c>
    </row>
    <row r="2792" spans="1:123" x14ac:dyDescent="0.3">
      <c r="A2792" t="str">
        <f>"10/04/2022 19:33:02.156"</f>
        <v>10/04/2022 19:33:02.156</v>
      </c>
      <c r="C2792" t="str">
        <f t="shared" si="1012"/>
        <v>FFDDD3C0</v>
      </c>
      <c r="D2792" t="s">
        <v>136</v>
      </c>
      <c r="E2792">
        <v>8</v>
      </c>
      <c r="H2792">
        <v>225</v>
      </c>
      <c r="I2792" t="s">
        <v>137</v>
      </c>
      <c r="J2792" t="s">
        <v>138</v>
      </c>
      <c r="K2792">
        <v>0</v>
      </c>
      <c r="L2792">
        <v>3</v>
      </c>
      <c r="M2792">
        <v>0</v>
      </c>
      <c r="N2792">
        <v>2</v>
      </c>
      <c r="O2792">
        <v>0</v>
      </c>
      <c r="P2792">
        <v>1</v>
      </c>
      <c r="Q2792">
        <v>0</v>
      </c>
      <c r="S2792" t="str">
        <f t="shared" si="1010"/>
        <v>19:33:01.000</v>
      </c>
      <c r="T2792" t="str">
        <f t="shared" si="1010"/>
        <v>19:33:01.000</v>
      </c>
      <c r="U2792" t="str">
        <f t="shared" si="998"/>
        <v>AC3944</v>
      </c>
      <c r="V2792">
        <v>0</v>
      </c>
      <c r="W2792">
        <v>0</v>
      </c>
      <c r="X2792">
        <v>2</v>
      </c>
      <c r="Y2792">
        <v>0</v>
      </c>
      <c r="AA2792">
        <v>1</v>
      </c>
      <c r="AB2792">
        <v>8</v>
      </c>
      <c r="AC2792">
        <v>3</v>
      </c>
      <c r="AD2792">
        <v>0</v>
      </c>
      <c r="AE2792">
        <v>9</v>
      </c>
      <c r="AF2792" t="s">
        <v>138</v>
      </c>
      <c r="AG2792">
        <v>0</v>
      </c>
      <c r="AH2792">
        <v>3</v>
      </c>
      <c r="AI2792">
        <v>1</v>
      </c>
      <c r="AJ2792">
        <v>0</v>
      </c>
      <c r="AK2792" t="s">
        <v>944</v>
      </c>
      <c r="AL2792">
        <v>32.735523999999998</v>
      </c>
      <c r="AM2792" t="s">
        <v>945</v>
      </c>
      <c r="AN2792">
        <v>-116.757417</v>
      </c>
      <c r="AO2792">
        <v>25</v>
      </c>
      <c r="AP2792">
        <v>3600</v>
      </c>
      <c r="AQ2792" t="s">
        <v>129</v>
      </c>
      <c r="AR2792">
        <v>97</v>
      </c>
      <c r="AS2792">
        <v>-94</v>
      </c>
      <c r="AT2792">
        <v>128</v>
      </c>
      <c r="BB2792">
        <v>1200</v>
      </c>
      <c r="BC2792">
        <v>1</v>
      </c>
      <c r="BD2792" t="str">
        <f t="shared" si="999"/>
        <v xml:space="preserve">N887QR  </v>
      </c>
      <c r="BE2792">
        <v>1</v>
      </c>
      <c r="BJ2792">
        <v>3300</v>
      </c>
      <c r="BK2792">
        <v>-300</v>
      </c>
      <c r="BL2792" t="s">
        <v>163</v>
      </c>
      <c r="BM2792">
        <v>1</v>
      </c>
      <c r="BN2792">
        <v>1</v>
      </c>
      <c r="BO2792">
        <v>1</v>
      </c>
      <c r="BP2792">
        <v>0</v>
      </c>
      <c r="BS2792">
        <v>0.08</v>
      </c>
      <c r="BT2792">
        <v>0</v>
      </c>
      <c r="BU2792">
        <v>0</v>
      </c>
      <c r="CE2792" t="str">
        <f t="shared" si="1011"/>
        <v>19:33:01.754</v>
      </c>
      <c r="CF2792">
        <v>753910893</v>
      </c>
      <c r="CS2792">
        <v>0</v>
      </c>
      <c r="CT2792">
        <v>2</v>
      </c>
      <c r="CU2792">
        <v>0</v>
      </c>
      <c r="CV2792">
        <v>2</v>
      </c>
      <c r="CW2792">
        <v>0</v>
      </c>
      <c r="CX2792">
        <v>4</v>
      </c>
      <c r="CY2792">
        <v>7</v>
      </c>
      <c r="CZ2792" t="s">
        <v>131</v>
      </c>
      <c r="DA2792">
        <v>300</v>
      </c>
      <c r="DB2792">
        <v>0</v>
      </c>
      <c r="DC2792" t="s">
        <v>176</v>
      </c>
      <c r="DD2792" t="s">
        <v>177</v>
      </c>
      <c r="DG2792">
        <v>5421606</v>
      </c>
      <c r="DI2792">
        <v>0</v>
      </c>
      <c r="DJ2792">
        <v>0</v>
      </c>
      <c r="DK2792">
        <v>1</v>
      </c>
      <c r="DL2792">
        <v>0</v>
      </c>
      <c r="DM2792">
        <v>0</v>
      </c>
      <c r="DN2792">
        <v>1</v>
      </c>
      <c r="DO2792">
        <v>0</v>
      </c>
      <c r="DP2792">
        <v>0</v>
      </c>
      <c r="DQ2792">
        <v>0</v>
      </c>
      <c r="DR2792">
        <v>0</v>
      </c>
      <c r="DS2792">
        <v>0</v>
      </c>
    </row>
    <row r="2793" spans="1:123" x14ac:dyDescent="0.3">
      <c r="A2793" t="str">
        <f>"10/04/2022 19:33:02.156"</f>
        <v>10/04/2022 19:33:02.156</v>
      </c>
      <c r="C2793" t="str">
        <f t="shared" si="1012"/>
        <v>FFDDD3C0</v>
      </c>
      <c r="D2793" t="s">
        <v>141</v>
      </c>
      <c r="E2793">
        <v>3</v>
      </c>
      <c r="H2793">
        <v>3</v>
      </c>
      <c r="I2793" t="s">
        <v>146</v>
      </c>
      <c r="J2793" t="s">
        <v>138</v>
      </c>
      <c r="K2793">
        <v>0</v>
      </c>
      <c r="L2793">
        <v>3</v>
      </c>
      <c r="M2793">
        <v>0</v>
      </c>
      <c r="N2793">
        <v>2</v>
      </c>
      <c r="O2793">
        <v>0</v>
      </c>
      <c r="P2793">
        <v>1</v>
      </c>
      <c r="Q2793">
        <v>0</v>
      </c>
      <c r="S2793" t="str">
        <f t="shared" si="1010"/>
        <v>19:33:01.000</v>
      </c>
      <c r="T2793" t="str">
        <f t="shared" si="1010"/>
        <v>19:33:01.000</v>
      </c>
      <c r="U2793" t="str">
        <f t="shared" si="998"/>
        <v>AC3944</v>
      </c>
      <c r="V2793">
        <v>0</v>
      </c>
      <c r="W2793">
        <v>0</v>
      </c>
      <c r="X2793">
        <v>2</v>
      </c>
      <c r="Y2793">
        <v>0</v>
      </c>
      <c r="AA2793">
        <v>1</v>
      </c>
      <c r="AB2793">
        <v>8</v>
      </c>
      <c r="AC2793">
        <v>3</v>
      </c>
      <c r="AD2793">
        <v>0</v>
      </c>
      <c r="AE2793">
        <v>9</v>
      </c>
      <c r="AF2793" t="s">
        <v>138</v>
      </c>
      <c r="AG2793">
        <v>0</v>
      </c>
      <c r="AH2793">
        <v>3</v>
      </c>
      <c r="AI2793">
        <v>1</v>
      </c>
      <c r="AJ2793">
        <v>0</v>
      </c>
      <c r="AK2793" t="s">
        <v>944</v>
      </c>
      <c r="AL2793">
        <v>32.735523999999998</v>
      </c>
      <c r="AM2793" t="s">
        <v>945</v>
      </c>
      <c r="AN2793">
        <v>-116.757417</v>
      </c>
      <c r="AO2793">
        <v>25</v>
      </c>
      <c r="AP2793">
        <v>3600</v>
      </c>
      <c r="AQ2793" t="s">
        <v>129</v>
      </c>
      <c r="AR2793">
        <v>97</v>
      </c>
      <c r="AS2793">
        <v>-94</v>
      </c>
      <c r="AT2793">
        <v>128</v>
      </c>
      <c r="BB2793">
        <v>1200</v>
      </c>
      <c r="BC2793">
        <v>1</v>
      </c>
      <c r="BD2793" t="str">
        <f t="shared" si="999"/>
        <v xml:space="preserve">N887QR  </v>
      </c>
      <c r="BE2793">
        <v>1</v>
      </c>
      <c r="BJ2793">
        <v>3300</v>
      </c>
      <c r="BK2793">
        <v>-300</v>
      </c>
      <c r="BL2793" t="s">
        <v>163</v>
      </c>
      <c r="BM2793">
        <v>1</v>
      </c>
      <c r="BN2793">
        <v>1</v>
      </c>
      <c r="BO2793">
        <v>1</v>
      </c>
      <c r="BP2793">
        <v>0</v>
      </c>
      <c r="BS2793">
        <v>0.08</v>
      </c>
      <c r="BT2793">
        <v>0</v>
      </c>
      <c r="BU2793">
        <v>0</v>
      </c>
      <c r="CE2793" t="str">
        <f t="shared" si="1011"/>
        <v>19:33:01.754</v>
      </c>
      <c r="CF2793">
        <v>753910893</v>
      </c>
      <c r="CS2793">
        <v>0</v>
      </c>
      <c r="CT2793">
        <v>2</v>
      </c>
      <c r="CU2793">
        <v>0</v>
      </c>
      <c r="CV2793">
        <v>2</v>
      </c>
      <c r="CW2793">
        <v>0</v>
      </c>
      <c r="CX2793">
        <v>4</v>
      </c>
      <c r="CY2793">
        <v>7</v>
      </c>
      <c r="CZ2793" t="s">
        <v>131</v>
      </c>
      <c r="DA2793">
        <v>300</v>
      </c>
      <c r="DB2793">
        <v>0</v>
      </c>
      <c r="DC2793" t="s">
        <v>176</v>
      </c>
      <c r="DD2793" t="s">
        <v>177</v>
      </c>
      <c r="DG2793">
        <v>5421606</v>
      </c>
      <c r="DI2793">
        <v>0</v>
      </c>
      <c r="DJ2793">
        <v>0</v>
      </c>
      <c r="DK2793">
        <v>1</v>
      </c>
      <c r="DL2793">
        <v>0</v>
      </c>
      <c r="DM2793">
        <v>0</v>
      </c>
      <c r="DN2793">
        <v>1</v>
      </c>
      <c r="DO2793">
        <v>0</v>
      </c>
      <c r="DP2793">
        <v>0</v>
      </c>
      <c r="DQ2793">
        <v>0</v>
      </c>
      <c r="DR2793">
        <v>0</v>
      </c>
      <c r="DS2793">
        <v>0</v>
      </c>
    </row>
    <row r="2794" spans="1:123" x14ac:dyDescent="0.3">
      <c r="A2794" t="str">
        <f>"10/04/2022 19:33:03.266"</f>
        <v>10/04/2022 19:33:03.266</v>
      </c>
      <c r="C2794" t="str">
        <f t="shared" si="1012"/>
        <v>FFDDD3C0</v>
      </c>
      <c r="D2794" t="s">
        <v>134</v>
      </c>
      <c r="E2794">
        <v>15</v>
      </c>
      <c r="J2794" t="s">
        <v>135</v>
      </c>
      <c r="K2794">
        <v>0</v>
      </c>
      <c r="L2794">
        <v>3</v>
      </c>
      <c r="M2794">
        <v>0</v>
      </c>
      <c r="N2794">
        <v>2</v>
      </c>
      <c r="O2794">
        <v>0</v>
      </c>
      <c r="P2794">
        <v>1</v>
      </c>
      <c r="Q2794">
        <v>0</v>
      </c>
      <c r="S2794" t="str">
        <f t="shared" ref="S2794:T2803" si="1013">"19:33:03.000"</f>
        <v>19:33:03.000</v>
      </c>
      <c r="T2794" t="str">
        <f t="shared" si="1013"/>
        <v>19:33:03.000</v>
      </c>
      <c r="U2794" t="str">
        <f t="shared" si="998"/>
        <v>AC3944</v>
      </c>
      <c r="V2794">
        <v>0</v>
      </c>
      <c r="W2794">
        <v>0</v>
      </c>
      <c r="X2794">
        <v>2</v>
      </c>
      <c r="Y2794">
        <v>0</v>
      </c>
      <c r="AA2794">
        <v>1</v>
      </c>
      <c r="AB2794">
        <v>8</v>
      </c>
      <c r="AC2794">
        <v>3</v>
      </c>
      <c r="AD2794">
        <v>0</v>
      </c>
      <c r="AE2794">
        <v>9</v>
      </c>
      <c r="AF2794" t="s">
        <v>138</v>
      </c>
      <c r="AG2794">
        <v>0</v>
      </c>
      <c r="AH2794">
        <v>3</v>
      </c>
      <c r="AI2794">
        <v>1</v>
      </c>
      <c r="AJ2794">
        <v>0</v>
      </c>
      <c r="AK2794" t="s">
        <v>946</v>
      </c>
      <c r="AL2794">
        <v>32.735073999999997</v>
      </c>
      <c r="AM2794" t="s">
        <v>947</v>
      </c>
      <c r="AN2794">
        <v>-116.75688</v>
      </c>
      <c r="AO2794">
        <v>25</v>
      </c>
      <c r="AP2794">
        <v>3600</v>
      </c>
      <c r="AQ2794" t="s">
        <v>129</v>
      </c>
      <c r="AR2794">
        <v>96</v>
      </c>
      <c r="AS2794">
        <v>-95</v>
      </c>
      <c r="AT2794">
        <v>128</v>
      </c>
      <c r="BB2794">
        <v>1200</v>
      </c>
      <c r="BC2794">
        <v>1</v>
      </c>
      <c r="BD2794" t="str">
        <f t="shared" si="999"/>
        <v xml:space="preserve">N887QR  </v>
      </c>
      <c r="BE2794">
        <v>1</v>
      </c>
      <c r="BJ2794">
        <v>3325</v>
      </c>
      <c r="BK2794">
        <v>-275</v>
      </c>
      <c r="BL2794" t="s">
        <v>163</v>
      </c>
      <c r="BM2794">
        <v>1</v>
      </c>
      <c r="BN2794">
        <v>1</v>
      </c>
      <c r="BO2794">
        <v>1</v>
      </c>
      <c r="BP2794">
        <v>0</v>
      </c>
      <c r="BS2794">
        <v>0.08</v>
      </c>
      <c r="BT2794">
        <v>0</v>
      </c>
      <c r="BU2794">
        <v>0</v>
      </c>
      <c r="CE2794" t="str">
        <f>"19:33:03.017"</f>
        <v>19:33:03.017</v>
      </c>
      <c r="CF2794">
        <v>17165159</v>
      </c>
      <c r="CS2794">
        <v>0</v>
      </c>
      <c r="CT2794">
        <v>2</v>
      </c>
      <c r="CU2794">
        <v>0</v>
      </c>
      <c r="CV2794">
        <v>2</v>
      </c>
      <c r="CW2794">
        <v>1</v>
      </c>
      <c r="CX2794">
        <v>4</v>
      </c>
      <c r="CY2794">
        <v>7</v>
      </c>
      <c r="CZ2794" t="s">
        <v>131</v>
      </c>
      <c r="DA2794">
        <v>300</v>
      </c>
      <c r="DB2794">
        <v>0</v>
      </c>
      <c r="DC2794" t="s">
        <v>176</v>
      </c>
      <c r="DD2794" t="s">
        <v>177</v>
      </c>
      <c r="DG2794">
        <v>5421786</v>
      </c>
      <c r="DI2794">
        <v>0</v>
      </c>
      <c r="DJ2794">
        <v>0</v>
      </c>
      <c r="DK2794">
        <v>0</v>
      </c>
      <c r="DL2794">
        <v>0</v>
      </c>
      <c r="DM2794">
        <v>0</v>
      </c>
      <c r="DN2794">
        <v>1</v>
      </c>
      <c r="DO2794">
        <v>0</v>
      </c>
      <c r="DP2794">
        <v>0</v>
      </c>
      <c r="DQ2794">
        <v>0</v>
      </c>
      <c r="DR2794">
        <v>0</v>
      </c>
      <c r="DS2794">
        <v>0</v>
      </c>
    </row>
    <row r="2795" spans="1:123" x14ac:dyDescent="0.3">
      <c r="A2795" t="str">
        <f>"10/04/2022 19:33:03.266"</f>
        <v>10/04/2022 19:33:03.266</v>
      </c>
      <c r="C2795" t="str">
        <f t="shared" si="1012"/>
        <v>FFDDD3C0</v>
      </c>
      <c r="D2795" t="s">
        <v>143</v>
      </c>
      <c r="E2795">
        <v>20</v>
      </c>
      <c r="F2795">
        <v>1020</v>
      </c>
      <c r="G2795" t="s">
        <v>144</v>
      </c>
      <c r="J2795" t="s">
        <v>145</v>
      </c>
      <c r="K2795">
        <v>0</v>
      </c>
      <c r="L2795">
        <v>3</v>
      </c>
      <c r="M2795">
        <v>0</v>
      </c>
      <c r="N2795">
        <v>2</v>
      </c>
      <c r="O2795">
        <v>0</v>
      </c>
      <c r="P2795">
        <v>1</v>
      </c>
      <c r="Q2795">
        <v>0</v>
      </c>
      <c r="S2795" t="str">
        <f t="shared" si="1013"/>
        <v>19:33:03.000</v>
      </c>
      <c r="T2795" t="str">
        <f t="shared" si="1013"/>
        <v>19:33:03.000</v>
      </c>
      <c r="U2795" t="str">
        <f t="shared" si="998"/>
        <v>AC3944</v>
      </c>
      <c r="V2795">
        <v>0</v>
      </c>
      <c r="W2795">
        <v>0</v>
      </c>
      <c r="X2795">
        <v>2</v>
      </c>
      <c r="Y2795">
        <v>0</v>
      </c>
      <c r="AA2795">
        <v>1</v>
      </c>
      <c r="AB2795">
        <v>8</v>
      </c>
      <c r="AC2795">
        <v>3</v>
      </c>
      <c r="AD2795">
        <v>0</v>
      </c>
      <c r="AE2795">
        <v>9</v>
      </c>
      <c r="AF2795" t="s">
        <v>138</v>
      </c>
      <c r="AG2795">
        <v>0</v>
      </c>
      <c r="AH2795">
        <v>3</v>
      </c>
      <c r="AI2795">
        <v>1</v>
      </c>
      <c r="AJ2795">
        <v>0</v>
      </c>
      <c r="AK2795" t="s">
        <v>946</v>
      </c>
      <c r="AL2795">
        <v>32.735073999999997</v>
      </c>
      <c r="AM2795" t="s">
        <v>947</v>
      </c>
      <c r="AN2795">
        <v>-116.75688</v>
      </c>
      <c r="AO2795">
        <v>25</v>
      </c>
      <c r="AP2795">
        <v>3600</v>
      </c>
      <c r="AQ2795" t="s">
        <v>129</v>
      </c>
      <c r="AR2795">
        <v>96</v>
      </c>
      <c r="AS2795">
        <v>-95</v>
      </c>
      <c r="AT2795">
        <v>128</v>
      </c>
      <c r="BB2795">
        <v>1200</v>
      </c>
      <c r="BC2795">
        <v>1</v>
      </c>
      <c r="BD2795" t="str">
        <f t="shared" si="999"/>
        <v xml:space="preserve">N887QR  </v>
      </c>
      <c r="BE2795">
        <v>1</v>
      </c>
      <c r="BJ2795">
        <v>3325</v>
      </c>
      <c r="BK2795">
        <v>-275</v>
      </c>
      <c r="BL2795" t="s">
        <v>163</v>
      </c>
      <c r="BM2795">
        <v>1</v>
      </c>
      <c r="BN2795">
        <v>1</v>
      </c>
      <c r="BO2795">
        <v>1</v>
      </c>
      <c r="BP2795">
        <v>0</v>
      </c>
      <c r="BS2795">
        <v>0.08</v>
      </c>
      <c r="BT2795">
        <v>0</v>
      </c>
      <c r="BU2795">
        <v>0</v>
      </c>
      <c r="CE2795" t="str">
        <f>"19:33:03.017"</f>
        <v>19:33:03.017</v>
      </c>
      <c r="CF2795">
        <v>17165159</v>
      </c>
      <c r="CS2795">
        <v>0</v>
      </c>
      <c r="CT2795">
        <v>2</v>
      </c>
      <c r="CU2795">
        <v>0</v>
      </c>
      <c r="CV2795">
        <v>2</v>
      </c>
      <c r="CW2795">
        <v>1</v>
      </c>
      <c r="CX2795">
        <v>4</v>
      </c>
      <c r="CY2795">
        <v>7</v>
      </c>
      <c r="CZ2795" t="s">
        <v>131</v>
      </c>
      <c r="DA2795">
        <v>300</v>
      </c>
      <c r="DB2795">
        <v>0</v>
      </c>
      <c r="DC2795" t="s">
        <v>176</v>
      </c>
      <c r="DD2795" t="s">
        <v>177</v>
      </c>
      <c r="DG2795">
        <v>5421786</v>
      </c>
      <c r="DI2795">
        <v>0</v>
      </c>
      <c r="DJ2795">
        <v>0</v>
      </c>
      <c r="DK2795">
        <v>1</v>
      </c>
      <c r="DL2795">
        <v>0</v>
      </c>
      <c r="DM2795">
        <v>0</v>
      </c>
      <c r="DN2795">
        <v>1</v>
      </c>
      <c r="DO2795">
        <v>0</v>
      </c>
      <c r="DP2795">
        <v>0</v>
      </c>
      <c r="DQ2795">
        <v>0</v>
      </c>
      <c r="DR2795">
        <v>0</v>
      </c>
      <c r="DS2795">
        <v>0</v>
      </c>
    </row>
    <row r="2796" spans="1:123" x14ac:dyDescent="0.3">
      <c r="A2796" t="str">
        <f>"10/04/2022 19:33:03.266"</f>
        <v>10/04/2022 19:33:03.266</v>
      </c>
      <c r="C2796" t="str">
        <f t="shared" si="1012"/>
        <v>FFDDD3C0</v>
      </c>
      <c r="D2796" t="s">
        <v>141</v>
      </c>
      <c r="E2796">
        <v>3</v>
      </c>
      <c r="H2796">
        <v>3</v>
      </c>
      <c r="I2796" t="s">
        <v>146</v>
      </c>
      <c r="J2796" t="s">
        <v>138</v>
      </c>
      <c r="K2796">
        <v>0</v>
      </c>
      <c r="L2796">
        <v>3</v>
      </c>
      <c r="M2796">
        <v>0</v>
      </c>
      <c r="N2796">
        <v>2</v>
      </c>
      <c r="O2796">
        <v>0</v>
      </c>
      <c r="P2796">
        <v>1</v>
      </c>
      <c r="Q2796">
        <v>0</v>
      </c>
      <c r="S2796" t="str">
        <f t="shared" si="1013"/>
        <v>19:33:03.000</v>
      </c>
      <c r="T2796" t="str">
        <f t="shared" si="1013"/>
        <v>19:33:03.000</v>
      </c>
      <c r="U2796" t="str">
        <f t="shared" si="998"/>
        <v>AC3944</v>
      </c>
      <c r="V2796">
        <v>0</v>
      </c>
      <c r="W2796">
        <v>0</v>
      </c>
      <c r="X2796">
        <v>2</v>
      </c>
      <c r="Y2796">
        <v>0</v>
      </c>
      <c r="AA2796">
        <v>1</v>
      </c>
      <c r="AB2796">
        <v>8</v>
      </c>
      <c r="AC2796">
        <v>3</v>
      </c>
      <c r="AD2796">
        <v>0</v>
      </c>
      <c r="AE2796">
        <v>9</v>
      </c>
      <c r="AF2796" t="s">
        <v>138</v>
      </c>
      <c r="AG2796">
        <v>0</v>
      </c>
      <c r="AH2796">
        <v>3</v>
      </c>
      <c r="AI2796">
        <v>1</v>
      </c>
      <c r="AJ2796">
        <v>0</v>
      </c>
      <c r="AK2796" t="s">
        <v>946</v>
      </c>
      <c r="AL2796">
        <v>32.735073999999997</v>
      </c>
      <c r="AM2796" t="s">
        <v>947</v>
      </c>
      <c r="AN2796">
        <v>-116.75688</v>
      </c>
      <c r="AO2796">
        <v>25</v>
      </c>
      <c r="AP2796">
        <v>3600</v>
      </c>
      <c r="AQ2796" t="s">
        <v>129</v>
      </c>
      <c r="AR2796">
        <v>96</v>
      </c>
      <c r="AS2796">
        <v>-95</v>
      </c>
      <c r="AT2796">
        <v>128</v>
      </c>
      <c r="BB2796">
        <v>1200</v>
      </c>
      <c r="BC2796">
        <v>1</v>
      </c>
      <c r="BD2796" t="str">
        <f t="shared" si="999"/>
        <v xml:space="preserve">N887QR  </v>
      </c>
      <c r="BE2796">
        <v>1</v>
      </c>
      <c r="BJ2796">
        <v>3325</v>
      </c>
      <c r="BK2796">
        <v>-275</v>
      </c>
      <c r="BL2796" t="s">
        <v>163</v>
      </c>
      <c r="BM2796">
        <v>1</v>
      </c>
      <c r="BN2796">
        <v>1</v>
      </c>
      <c r="BO2796">
        <v>1</v>
      </c>
      <c r="BP2796">
        <v>0</v>
      </c>
      <c r="BS2796">
        <v>0.08</v>
      </c>
      <c r="BT2796">
        <v>0</v>
      </c>
      <c r="BU2796">
        <v>0</v>
      </c>
      <c r="CE2796" t="str">
        <f>"19:33:03.017"</f>
        <v>19:33:03.017</v>
      </c>
      <c r="CF2796">
        <v>17165159</v>
      </c>
      <c r="CS2796">
        <v>0</v>
      </c>
      <c r="CT2796">
        <v>2</v>
      </c>
      <c r="CU2796">
        <v>0</v>
      </c>
      <c r="CV2796">
        <v>2</v>
      </c>
      <c r="CW2796">
        <v>1</v>
      </c>
      <c r="CX2796">
        <v>4</v>
      </c>
      <c r="CY2796">
        <v>7</v>
      </c>
      <c r="CZ2796" t="s">
        <v>131</v>
      </c>
      <c r="DA2796">
        <v>300</v>
      </c>
      <c r="DB2796">
        <v>0</v>
      </c>
      <c r="DC2796" t="s">
        <v>176</v>
      </c>
      <c r="DD2796" t="s">
        <v>177</v>
      </c>
      <c r="DG2796">
        <v>5421786</v>
      </c>
      <c r="DI2796">
        <v>0</v>
      </c>
      <c r="DJ2796">
        <v>0</v>
      </c>
      <c r="DK2796">
        <v>1</v>
      </c>
      <c r="DL2796">
        <v>0</v>
      </c>
      <c r="DM2796">
        <v>0</v>
      </c>
      <c r="DN2796">
        <v>1</v>
      </c>
      <c r="DO2796">
        <v>0</v>
      </c>
      <c r="DP2796">
        <v>0</v>
      </c>
      <c r="DQ2796">
        <v>0</v>
      </c>
      <c r="DR2796">
        <v>0</v>
      </c>
      <c r="DS2796">
        <v>0</v>
      </c>
    </row>
    <row r="2797" spans="1:123" x14ac:dyDescent="0.3">
      <c r="A2797" t="str">
        <f t="shared" ref="A2797:A2803" si="1014">"10/04/2022 19:33:04.157"</f>
        <v>10/04/2022 19:33:04.157</v>
      </c>
      <c r="C2797" t="str">
        <f t="shared" si="1012"/>
        <v>FFDDD3C0</v>
      </c>
      <c r="D2797" t="s">
        <v>134</v>
      </c>
      <c r="E2797">
        <v>15</v>
      </c>
      <c r="J2797" t="s">
        <v>135</v>
      </c>
      <c r="K2797">
        <v>0</v>
      </c>
      <c r="L2797">
        <v>3</v>
      </c>
      <c r="M2797">
        <v>0</v>
      </c>
      <c r="N2797">
        <v>2</v>
      </c>
      <c r="O2797">
        <v>0</v>
      </c>
      <c r="P2797">
        <v>1</v>
      </c>
      <c r="Q2797">
        <v>0</v>
      </c>
      <c r="S2797" t="str">
        <f t="shared" si="1013"/>
        <v>19:33:03.000</v>
      </c>
      <c r="T2797" t="str">
        <f t="shared" si="1013"/>
        <v>19:33:03.000</v>
      </c>
      <c r="U2797" t="str">
        <f t="shared" si="998"/>
        <v>AC3944</v>
      </c>
      <c r="V2797">
        <v>0</v>
      </c>
      <c r="W2797">
        <v>0</v>
      </c>
      <c r="X2797">
        <v>2</v>
      </c>
      <c r="Y2797">
        <v>0</v>
      </c>
      <c r="AA2797">
        <v>1</v>
      </c>
      <c r="AB2797">
        <v>8</v>
      </c>
      <c r="AC2797">
        <v>3</v>
      </c>
      <c r="AD2797">
        <v>0</v>
      </c>
      <c r="AE2797">
        <v>9</v>
      </c>
      <c r="AF2797" t="s">
        <v>138</v>
      </c>
      <c r="AG2797">
        <v>0</v>
      </c>
      <c r="AH2797">
        <v>3</v>
      </c>
      <c r="AI2797">
        <v>1</v>
      </c>
      <c r="AJ2797">
        <v>0</v>
      </c>
      <c r="AK2797" t="s">
        <v>948</v>
      </c>
      <c r="AL2797">
        <v>32.734644000000003</v>
      </c>
      <c r="AM2797" t="s">
        <v>949</v>
      </c>
      <c r="AN2797">
        <v>-116.756344</v>
      </c>
      <c r="AO2797">
        <v>25</v>
      </c>
      <c r="AP2797">
        <v>3600</v>
      </c>
      <c r="AQ2797" t="s">
        <v>129</v>
      </c>
      <c r="AR2797">
        <v>95</v>
      </c>
      <c r="AS2797">
        <v>-96</v>
      </c>
      <c r="AT2797">
        <v>128</v>
      </c>
      <c r="BB2797">
        <v>1200</v>
      </c>
      <c r="BC2797">
        <v>1</v>
      </c>
      <c r="BD2797" t="str">
        <f t="shared" si="999"/>
        <v xml:space="preserve">N887QR  </v>
      </c>
      <c r="BE2797">
        <v>1</v>
      </c>
      <c r="BJ2797">
        <v>3325</v>
      </c>
      <c r="BK2797">
        <v>-275</v>
      </c>
      <c r="BL2797" t="s">
        <v>163</v>
      </c>
      <c r="BM2797">
        <v>1</v>
      </c>
      <c r="BN2797">
        <v>1</v>
      </c>
      <c r="BO2797">
        <v>1</v>
      </c>
      <c r="BP2797">
        <v>0</v>
      </c>
      <c r="BS2797">
        <v>0.08</v>
      </c>
      <c r="BT2797">
        <v>0</v>
      </c>
      <c r="BU2797">
        <v>0</v>
      </c>
      <c r="CE2797" t="str">
        <f t="shared" ref="CE2797:CE2803" si="1015">"19:33:03.803"</f>
        <v>19:33:03.803</v>
      </c>
      <c r="CF2797">
        <v>803167761</v>
      </c>
      <c r="CS2797">
        <v>0</v>
      </c>
      <c r="CT2797">
        <v>2</v>
      </c>
      <c r="CU2797">
        <v>0</v>
      </c>
      <c r="CV2797">
        <v>2</v>
      </c>
      <c r="CW2797">
        <v>0</v>
      </c>
      <c r="CX2797">
        <v>4</v>
      </c>
      <c r="CY2797">
        <v>7</v>
      </c>
      <c r="CZ2797" t="s">
        <v>131</v>
      </c>
      <c r="DA2797">
        <v>300</v>
      </c>
      <c r="DB2797">
        <v>0</v>
      </c>
      <c r="DC2797" t="s">
        <v>176</v>
      </c>
      <c r="DD2797" t="s">
        <v>177</v>
      </c>
      <c r="DG2797">
        <v>5421907</v>
      </c>
      <c r="DI2797">
        <v>0</v>
      </c>
      <c r="DJ2797">
        <v>0</v>
      </c>
      <c r="DK2797">
        <v>0</v>
      </c>
      <c r="DL2797">
        <v>0</v>
      </c>
      <c r="DM2797">
        <v>0</v>
      </c>
      <c r="DN2797">
        <v>1</v>
      </c>
      <c r="DO2797">
        <v>0</v>
      </c>
      <c r="DP2797">
        <v>0</v>
      </c>
      <c r="DQ2797">
        <v>0</v>
      </c>
      <c r="DR2797">
        <v>0</v>
      </c>
      <c r="DS2797">
        <v>0</v>
      </c>
    </row>
    <row r="2798" spans="1:123" x14ac:dyDescent="0.3">
      <c r="A2798" t="str">
        <f t="shared" si="1014"/>
        <v>10/04/2022 19:33:04.157</v>
      </c>
      <c r="C2798" t="str">
        <f t="shared" si="1012"/>
        <v>FFDDD3C0</v>
      </c>
      <c r="D2798" t="s">
        <v>147</v>
      </c>
      <c r="E2798">
        <v>3</v>
      </c>
      <c r="H2798">
        <v>166</v>
      </c>
      <c r="I2798" t="s">
        <v>144</v>
      </c>
      <c r="J2798" t="s">
        <v>148</v>
      </c>
      <c r="K2798">
        <v>0</v>
      </c>
      <c r="L2798">
        <v>3</v>
      </c>
      <c r="M2798">
        <v>0</v>
      </c>
      <c r="N2798">
        <v>2</v>
      </c>
      <c r="O2798">
        <v>0</v>
      </c>
      <c r="P2798">
        <v>1</v>
      </c>
      <c r="Q2798">
        <v>0</v>
      </c>
      <c r="S2798" t="str">
        <f t="shared" si="1013"/>
        <v>19:33:03.000</v>
      </c>
      <c r="T2798" t="str">
        <f t="shared" si="1013"/>
        <v>19:33:03.000</v>
      </c>
      <c r="U2798" t="str">
        <f t="shared" si="998"/>
        <v>AC3944</v>
      </c>
      <c r="V2798">
        <v>0</v>
      </c>
      <c r="W2798">
        <v>0</v>
      </c>
      <c r="X2798">
        <v>2</v>
      </c>
      <c r="Y2798">
        <v>0</v>
      </c>
      <c r="AA2798">
        <v>1</v>
      </c>
      <c r="AB2798">
        <v>8</v>
      </c>
      <c r="AC2798">
        <v>3</v>
      </c>
      <c r="AD2798">
        <v>0</v>
      </c>
      <c r="AE2798">
        <v>9</v>
      </c>
      <c r="AF2798" t="s">
        <v>138</v>
      </c>
      <c r="AG2798">
        <v>0</v>
      </c>
      <c r="AH2798">
        <v>3</v>
      </c>
      <c r="AI2798">
        <v>1</v>
      </c>
      <c r="AJ2798">
        <v>0</v>
      </c>
      <c r="AK2798" t="s">
        <v>948</v>
      </c>
      <c r="AL2798">
        <v>32.734644000000003</v>
      </c>
      <c r="AM2798" t="s">
        <v>949</v>
      </c>
      <c r="AN2798">
        <v>-116.756344</v>
      </c>
      <c r="AO2798">
        <v>25</v>
      </c>
      <c r="AP2798">
        <v>3600</v>
      </c>
      <c r="AQ2798" t="s">
        <v>129</v>
      </c>
      <c r="AR2798">
        <v>95</v>
      </c>
      <c r="AS2798">
        <v>-96</v>
      </c>
      <c r="AT2798">
        <v>128</v>
      </c>
      <c r="BB2798">
        <v>1200</v>
      </c>
      <c r="BC2798">
        <v>1</v>
      </c>
      <c r="BD2798" t="str">
        <f t="shared" si="999"/>
        <v xml:space="preserve">N887QR  </v>
      </c>
      <c r="BE2798">
        <v>1</v>
      </c>
      <c r="BJ2798">
        <v>3325</v>
      </c>
      <c r="BK2798">
        <v>-275</v>
      </c>
      <c r="BL2798" t="s">
        <v>163</v>
      </c>
      <c r="BM2798">
        <v>1</v>
      </c>
      <c r="BN2798">
        <v>1</v>
      </c>
      <c r="BO2798">
        <v>1</v>
      </c>
      <c r="BP2798">
        <v>0</v>
      </c>
      <c r="BS2798">
        <v>0.08</v>
      </c>
      <c r="BT2798">
        <v>0</v>
      </c>
      <c r="BU2798">
        <v>0</v>
      </c>
      <c r="CE2798" t="str">
        <f t="shared" si="1015"/>
        <v>19:33:03.803</v>
      </c>
      <c r="CF2798">
        <v>803167761</v>
      </c>
      <c r="CS2798">
        <v>0</v>
      </c>
      <c r="CT2798">
        <v>2</v>
      </c>
      <c r="CU2798">
        <v>0</v>
      </c>
      <c r="CV2798">
        <v>2</v>
      </c>
      <c r="CW2798">
        <v>0</v>
      </c>
      <c r="CX2798">
        <v>4</v>
      </c>
      <c r="CY2798">
        <v>7</v>
      </c>
      <c r="CZ2798" t="s">
        <v>131</v>
      </c>
      <c r="DA2798">
        <v>300</v>
      </c>
      <c r="DB2798">
        <v>0</v>
      </c>
      <c r="DC2798" t="s">
        <v>176</v>
      </c>
      <c r="DD2798" t="s">
        <v>177</v>
      </c>
      <c r="DG2798">
        <v>5421907</v>
      </c>
      <c r="DI2798">
        <v>0</v>
      </c>
      <c r="DJ2798">
        <v>0</v>
      </c>
      <c r="DK2798">
        <v>1</v>
      </c>
      <c r="DL2798">
        <v>0</v>
      </c>
      <c r="DM2798">
        <v>0</v>
      </c>
      <c r="DN2798">
        <v>1</v>
      </c>
      <c r="DO2798">
        <v>0</v>
      </c>
      <c r="DP2798">
        <v>0</v>
      </c>
      <c r="DQ2798">
        <v>0</v>
      </c>
      <c r="DR2798">
        <v>0</v>
      </c>
      <c r="DS2798">
        <v>0</v>
      </c>
    </row>
    <row r="2799" spans="1:123" x14ac:dyDescent="0.3">
      <c r="A2799" t="str">
        <f t="shared" si="1014"/>
        <v>10/04/2022 19:33:04.157</v>
      </c>
      <c r="C2799" t="str">
        <f t="shared" si="1012"/>
        <v>FFDDD3C0</v>
      </c>
      <c r="D2799" t="s">
        <v>141</v>
      </c>
      <c r="E2799">
        <v>4</v>
      </c>
      <c r="H2799">
        <v>4</v>
      </c>
      <c r="I2799" t="s">
        <v>142</v>
      </c>
      <c r="J2799" t="s">
        <v>138</v>
      </c>
      <c r="K2799">
        <v>0</v>
      </c>
      <c r="L2799">
        <v>3</v>
      </c>
      <c r="M2799">
        <v>0</v>
      </c>
      <c r="N2799">
        <v>2</v>
      </c>
      <c r="O2799">
        <v>0</v>
      </c>
      <c r="P2799">
        <v>1</v>
      </c>
      <c r="Q2799">
        <v>0</v>
      </c>
      <c r="S2799" t="str">
        <f t="shared" si="1013"/>
        <v>19:33:03.000</v>
      </c>
      <c r="T2799" t="str">
        <f t="shared" si="1013"/>
        <v>19:33:03.000</v>
      </c>
      <c r="U2799" t="str">
        <f t="shared" si="998"/>
        <v>AC3944</v>
      </c>
      <c r="V2799">
        <v>0</v>
      </c>
      <c r="W2799">
        <v>0</v>
      </c>
      <c r="X2799">
        <v>2</v>
      </c>
      <c r="Y2799">
        <v>0</v>
      </c>
      <c r="AA2799">
        <v>1</v>
      </c>
      <c r="AB2799">
        <v>8</v>
      </c>
      <c r="AC2799">
        <v>3</v>
      </c>
      <c r="AD2799">
        <v>0</v>
      </c>
      <c r="AE2799">
        <v>9</v>
      </c>
      <c r="AF2799" t="s">
        <v>138</v>
      </c>
      <c r="AG2799">
        <v>0</v>
      </c>
      <c r="AH2799">
        <v>3</v>
      </c>
      <c r="AI2799">
        <v>1</v>
      </c>
      <c r="AJ2799">
        <v>0</v>
      </c>
      <c r="AK2799" t="s">
        <v>948</v>
      </c>
      <c r="AL2799">
        <v>32.734644000000003</v>
      </c>
      <c r="AM2799" t="s">
        <v>949</v>
      </c>
      <c r="AN2799">
        <v>-116.756344</v>
      </c>
      <c r="AO2799">
        <v>25</v>
      </c>
      <c r="AP2799">
        <v>3600</v>
      </c>
      <c r="AQ2799" t="s">
        <v>129</v>
      </c>
      <c r="AR2799">
        <v>95</v>
      </c>
      <c r="AS2799">
        <v>-96</v>
      </c>
      <c r="AT2799">
        <v>128</v>
      </c>
      <c r="BB2799">
        <v>1200</v>
      </c>
      <c r="BC2799">
        <v>1</v>
      </c>
      <c r="BD2799" t="str">
        <f t="shared" si="999"/>
        <v xml:space="preserve">N887QR  </v>
      </c>
      <c r="BE2799">
        <v>1</v>
      </c>
      <c r="BJ2799">
        <v>3325</v>
      </c>
      <c r="BK2799">
        <v>-275</v>
      </c>
      <c r="BL2799" t="s">
        <v>163</v>
      </c>
      <c r="BM2799">
        <v>1</v>
      </c>
      <c r="BN2799">
        <v>1</v>
      </c>
      <c r="BO2799">
        <v>1</v>
      </c>
      <c r="BP2799">
        <v>0</v>
      </c>
      <c r="BS2799">
        <v>0.08</v>
      </c>
      <c r="BT2799">
        <v>0</v>
      </c>
      <c r="BU2799">
        <v>0</v>
      </c>
      <c r="CE2799" t="str">
        <f t="shared" si="1015"/>
        <v>19:33:03.803</v>
      </c>
      <c r="CF2799">
        <v>803167761</v>
      </c>
      <c r="CS2799">
        <v>0</v>
      </c>
      <c r="CT2799">
        <v>2</v>
      </c>
      <c r="CU2799">
        <v>0</v>
      </c>
      <c r="CV2799">
        <v>2</v>
      </c>
      <c r="CW2799">
        <v>0</v>
      </c>
      <c r="CX2799">
        <v>4</v>
      </c>
      <c r="CY2799">
        <v>7</v>
      </c>
      <c r="CZ2799" t="s">
        <v>131</v>
      </c>
      <c r="DA2799">
        <v>300</v>
      </c>
      <c r="DB2799">
        <v>0</v>
      </c>
      <c r="DC2799" t="s">
        <v>176</v>
      </c>
      <c r="DD2799" t="s">
        <v>177</v>
      </c>
      <c r="DG2799">
        <v>5421907</v>
      </c>
      <c r="DI2799">
        <v>0</v>
      </c>
      <c r="DJ2799">
        <v>0</v>
      </c>
      <c r="DK2799">
        <v>1</v>
      </c>
      <c r="DL2799">
        <v>0</v>
      </c>
      <c r="DM2799">
        <v>0</v>
      </c>
      <c r="DN2799">
        <v>1</v>
      </c>
      <c r="DO2799">
        <v>0</v>
      </c>
      <c r="DP2799">
        <v>0</v>
      </c>
      <c r="DQ2799">
        <v>0</v>
      </c>
      <c r="DR2799">
        <v>0</v>
      </c>
      <c r="DS2799">
        <v>0</v>
      </c>
    </row>
    <row r="2800" spans="1:123" x14ac:dyDescent="0.3">
      <c r="A2800" t="str">
        <f t="shared" si="1014"/>
        <v>10/04/2022 19:33:04.157</v>
      </c>
      <c r="C2800" t="str">
        <f t="shared" si="1012"/>
        <v>FFDDD3C0</v>
      </c>
      <c r="D2800" t="s">
        <v>136</v>
      </c>
      <c r="E2800">
        <v>8</v>
      </c>
      <c r="H2800">
        <v>225</v>
      </c>
      <c r="I2800" t="s">
        <v>137</v>
      </c>
      <c r="J2800" t="s">
        <v>138</v>
      </c>
      <c r="K2800">
        <v>0</v>
      </c>
      <c r="L2800">
        <v>3</v>
      </c>
      <c r="M2800">
        <v>0</v>
      </c>
      <c r="N2800">
        <v>2</v>
      </c>
      <c r="O2800">
        <v>0</v>
      </c>
      <c r="P2800">
        <v>1</v>
      </c>
      <c r="Q2800">
        <v>0</v>
      </c>
      <c r="S2800" t="str">
        <f t="shared" si="1013"/>
        <v>19:33:03.000</v>
      </c>
      <c r="T2800" t="str">
        <f t="shared" si="1013"/>
        <v>19:33:03.000</v>
      </c>
      <c r="U2800" t="str">
        <f t="shared" si="998"/>
        <v>AC3944</v>
      </c>
      <c r="V2800">
        <v>0</v>
      </c>
      <c r="W2800">
        <v>0</v>
      </c>
      <c r="X2800">
        <v>2</v>
      </c>
      <c r="Y2800">
        <v>0</v>
      </c>
      <c r="AA2800">
        <v>1</v>
      </c>
      <c r="AB2800">
        <v>8</v>
      </c>
      <c r="AC2800">
        <v>3</v>
      </c>
      <c r="AD2800">
        <v>0</v>
      </c>
      <c r="AE2800">
        <v>9</v>
      </c>
      <c r="AF2800" t="s">
        <v>138</v>
      </c>
      <c r="AG2800">
        <v>0</v>
      </c>
      <c r="AH2800">
        <v>3</v>
      </c>
      <c r="AI2800">
        <v>1</v>
      </c>
      <c r="AJ2800">
        <v>0</v>
      </c>
      <c r="AK2800" t="s">
        <v>948</v>
      </c>
      <c r="AL2800">
        <v>32.734644000000003</v>
      </c>
      <c r="AM2800" t="s">
        <v>949</v>
      </c>
      <c r="AN2800">
        <v>-116.756344</v>
      </c>
      <c r="AO2800">
        <v>25</v>
      </c>
      <c r="AP2800">
        <v>3600</v>
      </c>
      <c r="AQ2800" t="s">
        <v>129</v>
      </c>
      <c r="AR2800">
        <v>95</v>
      </c>
      <c r="AS2800">
        <v>-96</v>
      </c>
      <c r="AT2800">
        <v>128</v>
      </c>
      <c r="BB2800">
        <v>1200</v>
      </c>
      <c r="BC2800">
        <v>1</v>
      </c>
      <c r="BD2800" t="str">
        <f t="shared" si="999"/>
        <v xml:space="preserve">N887QR  </v>
      </c>
      <c r="BE2800">
        <v>1</v>
      </c>
      <c r="BJ2800">
        <v>3325</v>
      </c>
      <c r="BK2800">
        <v>-275</v>
      </c>
      <c r="BL2800" t="s">
        <v>163</v>
      </c>
      <c r="BM2800">
        <v>1</v>
      </c>
      <c r="BN2800">
        <v>1</v>
      </c>
      <c r="BO2800">
        <v>1</v>
      </c>
      <c r="BP2800">
        <v>0</v>
      </c>
      <c r="BS2800">
        <v>0.08</v>
      </c>
      <c r="BT2800">
        <v>0</v>
      </c>
      <c r="BU2800">
        <v>0</v>
      </c>
      <c r="CE2800" t="str">
        <f t="shared" si="1015"/>
        <v>19:33:03.803</v>
      </c>
      <c r="CF2800">
        <v>803167761</v>
      </c>
      <c r="CS2800">
        <v>0</v>
      </c>
      <c r="CT2800">
        <v>2</v>
      </c>
      <c r="CU2800">
        <v>0</v>
      </c>
      <c r="CV2800">
        <v>2</v>
      </c>
      <c r="CW2800">
        <v>0</v>
      </c>
      <c r="CX2800">
        <v>4</v>
      </c>
      <c r="CY2800">
        <v>7</v>
      </c>
      <c r="CZ2800" t="s">
        <v>131</v>
      </c>
      <c r="DA2800">
        <v>300</v>
      </c>
      <c r="DB2800">
        <v>0</v>
      </c>
      <c r="DC2800" t="s">
        <v>176</v>
      </c>
      <c r="DD2800" t="s">
        <v>177</v>
      </c>
      <c r="DG2800">
        <v>5421907</v>
      </c>
      <c r="DI2800">
        <v>0</v>
      </c>
      <c r="DJ2800">
        <v>0</v>
      </c>
      <c r="DK2800">
        <v>1</v>
      </c>
      <c r="DL2800">
        <v>0</v>
      </c>
      <c r="DM2800">
        <v>0</v>
      </c>
      <c r="DN2800">
        <v>1</v>
      </c>
      <c r="DO2800">
        <v>0</v>
      </c>
      <c r="DP2800">
        <v>0</v>
      </c>
      <c r="DQ2800">
        <v>0</v>
      </c>
      <c r="DR2800">
        <v>0</v>
      </c>
      <c r="DS2800">
        <v>0</v>
      </c>
    </row>
    <row r="2801" spans="1:123" x14ac:dyDescent="0.3">
      <c r="A2801" t="str">
        <f t="shared" si="1014"/>
        <v>10/04/2022 19:33:04.157</v>
      </c>
      <c r="C2801" t="str">
        <f t="shared" si="1012"/>
        <v>FFDDD3C0</v>
      </c>
      <c r="D2801" t="s">
        <v>143</v>
      </c>
      <c r="E2801">
        <v>20</v>
      </c>
      <c r="F2801">
        <v>1020</v>
      </c>
      <c r="G2801" t="s">
        <v>144</v>
      </c>
      <c r="J2801" t="s">
        <v>145</v>
      </c>
      <c r="K2801">
        <v>0</v>
      </c>
      <c r="L2801">
        <v>3</v>
      </c>
      <c r="M2801">
        <v>0</v>
      </c>
      <c r="N2801">
        <v>2</v>
      </c>
      <c r="O2801">
        <v>0</v>
      </c>
      <c r="P2801">
        <v>1</v>
      </c>
      <c r="Q2801">
        <v>0</v>
      </c>
      <c r="S2801" t="str">
        <f t="shared" si="1013"/>
        <v>19:33:03.000</v>
      </c>
      <c r="T2801" t="str">
        <f t="shared" si="1013"/>
        <v>19:33:03.000</v>
      </c>
      <c r="U2801" t="str">
        <f t="shared" si="998"/>
        <v>AC3944</v>
      </c>
      <c r="V2801">
        <v>0</v>
      </c>
      <c r="W2801">
        <v>0</v>
      </c>
      <c r="X2801">
        <v>2</v>
      </c>
      <c r="Y2801">
        <v>0</v>
      </c>
      <c r="AA2801">
        <v>1</v>
      </c>
      <c r="AB2801">
        <v>8</v>
      </c>
      <c r="AC2801">
        <v>3</v>
      </c>
      <c r="AD2801">
        <v>0</v>
      </c>
      <c r="AE2801">
        <v>9</v>
      </c>
      <c r="AF2801" t="s">
        <v>138</v>
      </c>
      <c r="AG2801">
        <v>0</v>
      </c>
      <c r="AH2801">
        <v>3</v>
      </c>
      <c r="AI2801">
        <v>1</v>
      </c>
      <c r="AJ2801">
        <v>0</v>
      </c>
      <c r="AK2801" t="s">
        <v>948</v>
      </c>
      <c r="AL2801">
        <v>32.734644000000003</v>
      </c>
      <c r="AM2801" t="s">
        <v>949</v>
      </c>
      <c r="AN2801">
        <v>-116.756344</v>
      </c>
      <c r="AO2801">
        <v>25</v>
      </c>
      <c r="AP2801">
        <v>3600</v>
      </c>
      <c r="AQ2801" t="s">
        <v>129</v>
      </c>
      <c r="AR2801">
        <v>95</v>
      </c>
      <c r="AS2801">
        <v>-96</v>
      </c>
      <c r="AT2801">
        <v>128</v>
      </c>
      <c r="BB2801">
        <v>1200</v>
      </c>
      <c r="BC2801">
        <v>1</v>
      </c>
      <c r="BD2801" t="str">
        <f t="shared" si="999"/>
        <v xml:space="preserve">N887QR  </v>
      </c>
      <c r="BE2801">
        <v>1</v>
      </c>
      <c r="BJ2801">
        <v>3325</v>
      </c>
      <c r="BK2801">
        <v>-275</v>
      </c>
      <c r="BL2801" t="s">
        <v>163</v>
      </c>
      <c r="BM2801">
        <v>1</v>
      </c>
      <c r="BN2801">
        <v>1</v>
      </c>
      <c r="BO2801">
        <v>1</v>
      </c>
      <c r="BP2801">
        <v>0</v>
      </c>
      <c r="BS2801">
        <v>0.08</v>
      </c>
      <c r="BT2801">
        <v>0</v>
      </c>
      <c r="BU2801">
        <v>0</v>
      </c>
      <c r="CE2801" t="str">
        <f t="shared" si="1015"/>
        <v>19:33:03.803</v>
      </c>
      <c r="CF2801">
        <v>803167761</v>
      </c>
      <c r="CS2801">
        <v>0</v>
      </c>
      <c r="CT2801">
        <v>2</v>
      </c>
      <c r="CU2801">
        <v>0</v>
      </c>
      <c r="CV2801">
        <v>2</v>
      </c>
      <c r="CW2801">
        <v>0</v>
      </c>
      <c r="CX2801">
        <v>4</v>
      </c>
      <c r="CY2801">
        <v>7</v>
      </c>
      <c r="CZ2801" t="s">
        <v>131</v>
      </c>
      <c r="DA2801">
        <v>300</v>
      </c>
      <c r="DB2801">
        <v>0</v>
      </c>
      <c r="DC2801" t="s">
        <v>176</v>
      </c>
      <c r="DD2801" t="s">
        <v>177</v>
      </c>
      <c r="DG2801">
        <v>5421907</v>
      </c>
      <c r="DI2801">
        <v>0</v>
      </c>
      <c r="DJ2801">
        <v>0</v>
      </c>
      <c r="DK2801">
        <v>1</v>
      </c>
      <c r="DL2801">
        <v>0</v>
      </c>
      <c r="DM2801">
        <v>0</v>
      </c>
      <c r="DN2801">
        <v>1</v>
      </c>
      <c r="DO2801">
        <v>0</v>
      </c>
      <c r="DP2801">
        <v>0</v>
      </c>
      <c r="DQ2801">
        <v>0</v>
      </c>
      <c r="DR2801">
        <v>0</v>
      </c>
      <c r="DS2801">
        <v>0</v>
      </c>
    </row>
    <row r="2802" spans="1:123" x14ac:dyDescent="0.3">
      <c r="A2802" t="str">
        <f t="shared" si="1014"/>
        <v>10/04/2022 19:33:04.157</v>
      </c>
      <c r="C2802" t="str">
        <f t="shared" si="1012"/>
        <v>FFDDD3C0</v>
      </c>
      <c r="D2802" t="s">
        <v>141</v>
      </c>
      <c r="E2802">
        <v>3</v>
      </c>
      <c r="H2802">
        <v>3</v>
      </c>
      <c r="I2802" t="s">
        <v>146</v>
      </c>
      <c r="J2802" t="s">
        <v>138</v>
      </c>
      <c r="K2802">
        <v>0</v>
      </c>
      <c r="L2802">
        <v>3</v>
      </c>
      <c r="M2802">
        <v>0</v>
      </c>
      <c r="N2802">
        <v>2</v>
      </c>
      <c r="O2802">
        <v>0</v>
      </c>
      <c r="P2802">
        <v>1</v>
      </c>
      <c r="Q2802">
        <v>0</v>
      </c>
      <c r="S2802" t="str">
        <f t="shared" si="1013"/>
        <v>19:33:03.000</v>
      </c>
      <c r="T2802" t="str">
        <f t="shared" si="1013"/>
        <v>19:33:03.000</v>
      </c>
      <c r="U2802" t="str">
        <f t="shared" si="998"/>
        <v>AC3944</v>
      </c>
      <c r="V2802">
        <v>0</v>
      </c>
      <c r="W2802">
        <v>0</v>
      </c>
      <c r="X2802">
        <v>2</v>
      </c>
      <c r="Y2802">
        <v>0</v>
      </c>
      <c r="AA2802">
        <v>1</v>
      </c>
      <c r="AB2802">
        <v>8</v>
      </c>
      <c r="AC2802">
        <v>3</v>
      </c>
      <c r="AD2802">
        <v>0</v>
      </c>
      <c r="AE2802">
        <v>9</v>
      </c>
      <c r="AF2802" t="s">
        <v>138</v>
      </c>
      <c r="AG2802">
        <v>0</v>
      </c>
      <c r="AH2802">
        <v>3</v>
      </c>
      <c r="AI2802">
        <v>1</v>
      </c>
      <c r="AJ2802">
        <v>0</v>
      </c>
      <c r="AK2802" t="s">
        <v>948</v>
      </c>
      <c r="AL2802">
        <v>32.734644000000003</v>
      </c>
      <c r="AM2802" t="s">
        <v>949</v>
      </c>
      <c r="AN2802">
        <v>-116.756344</v>
      </c>
      <c r="AO2802">
        <v>25</v>
      </c>
      <c r="AP2802">
        <v>3600</v>
      </c>
      <c r="AQ2802" t="s">
        <v>129</v>
      </c>
      <c r="AR2802">
        <v>95</v>
      </c>
      <c r="AS2802">
        <v>-96</v>
      </c>
      <c r="AT2802">
        <v>128</v>
      </c>
      <c r="BB2802">
        <v>1200</v>
      </c>
      <c r="BC2802">
        <v>1</v>
      </c>
      <c r="BD2802" t="str">
        <f t="shared" si="999"/>
        <v xml:space="preserve">N887QR  </v>
      </c>
      <c r="BE2802">
        <v>1</v>
      </c>
      <c r="BJ2802">
        <v>3325</v>
      </c>
      <c r="BK2802">
        <v>-275</v>
      </c>
      <c r="BL2802" t="s">
        <v>163</v>
      </c>
      <c r="BM2802">
        <v>1</v>
      </c>
      <c r="BN2802">
        <v>1</v>
      </c>
      <c r="BO2802">
        <v>1</v>
      </c>
      <c r="BP2802">
        <v>0</v>
      </c>
      <c r="BS2802">
        <v>0.08</v>
      </c>
      <c r="BT2802">
        <v>0</v>
      </c>
      <c r="BU2802">
        <v>0</v>
      </c>
      <c r="CE2802" t="str">
        <f t="shared" si="1015"/>
        <v>19:33:03.803</v>
      </c>
      <c r="CF2802">
        <v>803167761</v>
      </c>
      <c r="CS2802">
        <v>0</v>
      </c>
      <c r="CT2802">
        <v>2</v>
      </c>
      <c r="CU2802">
        <v>0</v>
      </c>
      <c r="CV2802">
        <v>2</v>
      </c>
      <c r="CW2802">
        <v>0</v>
      </c>
      <c r="CX2802">
        <v>4</v>
      </c>
      <c r="CY2802">
        <v>7</v>
      </c>
      <c r="CZ2802" t="s">
        <v>131</v>
      </c>
      <c r="DA2802">
        <v>300</v>
      </c>
      <c r="DB2802">
        <v>0</v>
      </c>
      <c r="DC2802" t="s">
        <v>176</v>
      </c>
      <c r="DD2802" t="s">
        <v>177</v>
      </c>
      <c r="DG2802">
        <v>5421907</v>
      </c>
      <c r="DI2802">
        <v>0</v>
      </c>
      <c r="DJ2802">
        <v>0</v>
      </c>
      <c r="DK2802">
        <v>1</v>
      </c>
      <c r="DL2802">
        <v>0</v>
      </c>
      <c r="DM2802">
        <v>0</v>
      </c>
      <c r="DN2802">
        <v>1</v>
      </c>
      <c r="DO2802">
        <v>0</v>
      </c>
      <c r="DP2802">
        <v>0</v>
      </c>
      <c r="DQ2802">
        <v>0</v>
      </c>
      <c r="DR2802">
        <v>0</v>
      </c>
      <c r="DS2802">
        <v>0</v>
      </c>
    </row>
    <row r="2803" spans="1:123" x14ac:dyDescent="0.3">
      <c r="A2803" t="str">
        <f t="shared" si="1014"/>
        <v>10/04/2022 19:33:04.157</v>
      </c>
      <c r="C2803" t="str">
        <f t="shared" si="1012"/>
        <v>FFDDD3C0</v>
      </c>
      <c r="D2803" t="s">
        <v>123</v>
      </c>
      <c r="E2803">
        <v>7</v>
      </c>
      <c r="F2803">
        <v>2007</v>
      </c>
      <c r="G2803" t="s">
        <v>124</v>
      </c>
      <c r="J2803" t="s">
        <v>125</v>
      </c>
      <c r="K2803">
        <v>0</v>
      </c>
      <c r="L2803">
        <v>3</v>
      </c>
      <c r="M2803">
        <v>0</v>
      </c>
      <c r="N2803">
        <v>2</v>
      </c>
      <c r="O2803">
        <v>0</v>
      </c>
      <c r="P2803">
        <v>1</v>
      </c>
      <c r="Q2803">
        <v>0</v>
      </c>
      <c r="S2803" t="str">
        <f t="shared" si="1013"/>
        <v>19:33:03.000</v>
      </c>
      <c r="T2803" t="str">
        <f t="shared" si="1013"/>
        <v>19:33:03.000</v>
      </c>
      <c r="U2803" t="str">
        <f t="shared" si="998"/>
        <v>AC3944</v>
      </c>
      <c r="V2803">
        <v>0</v>
      </c>
      <c r="W2803">
        <v>0</v>
      </c>
      <c r="X2803">
        <v>2</v>
      </c>
      <c r="Y2803">
        <v>0</v>
      </c>
      <c r="AA2803">
        <v>1</v>
      </c>
      <c r="AB2803">
        <v>8</v>
      </c>
      <c r="AC2803">
        <v>3</v>
      </c>
      <c r="AD2803">
        <v>0</v>
      </c>
      <c r="AE2803">
        <v>9</v>
      </c>
      <c r="AF2803" t="s">
        <v>138</v>
      </c>
      <c r="AG2803">
        <v>0</v>
      </c>
      <c r="AH2803">
        <v>3</v>
      </c>
      <c r="AI2803">
        <v>1</v>
      </c>
      <c r="AJ2803">
        <v>0</v>
      </c>
      <c r="AK2803" t="s">
        <v>948</v>
      </c>
      <c r="AL2803">
        <v>32.734644000000003</v>
      </c>
      <c r="AM2803" t="s">
        <v>949</v>
      </c>
      <c r="AN2803">
        <v>-116.756344</v>
      </c>
      <c r="AO2803">
        <v>25</v>
      </c>
      <c r="AP2803">
        <v>3600</v>
      </c>
      <c r="AQ2803" t="s">
        <v>129</v>
      </c>
      <c r="AR2803">
        <v>95</v>
      </c>
      <c r="AS2803">
        <v>-96</v>
      </c>
      <c r="AT2803">
        <v>128</v>
      </c>
      <c r="BB2803">
        <v>1200</v>
      </c>
      <c r="BC2803">
        <v>1</v>
      </c>
      <c r="BD2803" t="str">
        <f t="shared" si="999"/>
        <v xml:space="preserve">N887QR  </v>
      </c>
      <c r="BE2803">
        <v>1</v>
      </c>
      <c r="BJ2803">
        <v>3325</v>
      </c>
      <c r="BK2803">
        <v>-275</v>
      </c>
      <c r="BL2803" t="s">
        <v>163</v>
      </c>
      <c r="BM2803">
        <v>1</v>
      </c>
      <c r="BN2803">
        <v>1</v>
      </c>
      <c r="BO2803">
        <v>1</v>
      </c>
      <c r="BP2803">
        <v>0</v>
      </c>
      <c r="BS2803">
        <v>0.08</v>
      </c>
      <c r="BT2803">
        <v>0</v>
      </c>
      <c r="BU2803">
        <v>0</v>
      </c>
      <c r="CE2803" t="str">
        <f t="shared" si="1015"/>
        <v>19:33:03.803</v>
      </c>
      <c r="CF2803">
        <v>803167761</v>
      </c>
      <c r="CS2803">
        <v>0</v>
      </c>
      <c r="CT2803">
        <v>2</v>
      </c>
      <c r="CU2803">
        <v>0</v>
      </c>
      <c r="CV2803">
        <v>2</v>
      </c>
      <c r="CW2803">
        <v>0</v>
      </c>
      <c r="CX2803">
        <v>4</v>
      </c>
      <c r="CY2803">
        <v>7</v>
      </c>
      <c r="CZ2803" t="s">
        <v>131</v>
      </c>
      <c r="DA2803">
        <v>300</v>
      </c>
      <c r="DB2803">
        <v>0</v>
      </c>
      <c r="DC2803" t="s">
        <v>176</v>
      </c>
      <c r="DD2803" t="s">
        <v>177</v>
      </c>
      <c r="DG2803">
        <v>5421907</v>
      </c>
      <c r="DI2803">
        <v>0</v>
      </c>
      <c r="DJ2803">
        <v>0</v>
      </c>
      <c r="DK2803">
        <v>1</v>
      </c>
      <c r="DL2803">
        <v>0</v>
      </c>
      <c r="DM2803">
        <v>0</v>
      </c>
      <c r="DN2803">
        <v>1</v>
      </c>
      <c r="DO2803">
        <v>0</v>
      </c>
      <c r="DP2803">
        <v>0</v>
      </c>
      <c r="DQ2803">
        <v>0</v>
      </c>
      <c r="DR2803">
        <v>0</v>
      </c>
      <c r="DS2803">
        <v>0</v>
      </c>
    </row>
    <row r="2804" spans="1:123" x14ac:dyDescent="0.3">
      <c r="A2804" t="str">
        <f t="shared" ref="A2804:A2809" si="1016">"10/04/2022 19:33:05.486"</f>
        <v>10/04/2022 19:33:05.486</v>
      </c>
      <c r="C2804" t="str">
        <f t="shared" si="1012"/>
        <v>FFDDD3C0</v>
      </c>
      <c r="D2804" t="s">
        <v>147</v>
      </c>
      <c r="E2804">
        <v>3</v>
      </c>
      <c r="H2804">
        <v>166</v>
      </c>
      <c r="I2804" t="s">
        <v>144</v>
      </c>
      <c r="J2804" t="s">
        <v>148</v>
      </c>
      <c r="K2804">
        <v>0</v>
      </c>
      <c r="L2804">
        <v>3</v>
      </c>
      <c r="M2804">
        <v>0</v>
      </c>
      <c r="N2804">
        <v>2</v>
      </c>
      <c r="O2804">
        <v>0</v>
      </c>
      <c r="P2804">
        <v>1</v>
      </c>
      <c r="Q2804">
        <v>0</v>
      </c>
      <c r="S2804" t="str">
        <f t="shared" ref="S2804:T2810" si="1017">"19:33:05.000"</f>
        <v>19:33:05.000</v>
      </c>
      <c r="T2804" t="str">
        <f t="shared" si="1017"/>
        <v>19:33:05.000</v>
      </c>
      <c r="U2804" t="str">
        <f t="shared" si="998"/>
        <v>AC3944</v>
      </c>
      <c r="V2804">
        <v>0</v>
      </c>
      <c r="W2804">
        <v>0</v>
      </c>
      <c r="X2804">
        <v>2</v>
      </c>
      <c r="Y2804">
        <v>0</v>
      </c>
      <c r="AA2804">
        <v>1</v>
      </c>
      <c r="AB2804">
        <v>8</v>
      </c>
      <c r="AC2804">
        <v>3</v>
      </c>
      <c r="AD2804">
        <v>0</v>
      </c>
      <c r="AE2804">
        <v>9</v>
      </c>
      <c r="AF2804" t="s">
        <v>138</v>
      </c>
      <c r="AG2804">
        <v>0</v>
      </c>
      <c r="AH2804">
        <v>3</v>
      </c>
      <c r="AI2804">
        <v>1</v>
      </c>
      <c r="AJ2804">
        <v>0</v>
      </c>
      <c r="AK2804" t="s">
        <v>950</v>
      </c>
      <c r="AL2804">
        <v>32.734279999999998</v>
      </c>
      <c r="AM2804" t="s">
        <v>951</v>
      </c>
      <c r="AN2804">
        <v>-116.75593600000001</v>
      </c>
      <c r="AO2804">
        <v>25</v>
      </c>
      <c r="AP2804">
        <v>3600</v>
      </c>
      <c r="AQ2804" t="s">
        <v>129</v>
      </c>
      <c r="AR2804">
        <v>93</v>
      </c>
      <c r="AS2804">
        <v>-98</v>
      </c>
      <c r="AT2804">
        <v>192</v>
      </c>
      <c r="BB2804">
        <v>1200</v>
      </c>
      <c r="BC2804">
        <v>1</v>
      </c>
      <c r="BD2804" t="str">
        <f t="shared" si="999"/>
        <v xml:space="preserve">N887QR  </v>
      </c>
      <c r="BE2804">
        <v>1</v>
      </c>
      <c r="BJ2804">
        <v>3325</v>
      </c>
      <c r="BK2804">
        <v>-275</v>
      </c>
      <c r="BL2804" t="s">
        <v>163</v>
      </c>
      <c r="BM2804">
        <v>1</v>
      </c>
      <c r="BN2804">
        <v>1</v>
      </c>
      <c r="BO2804">
        <v>1</v>
      </c>
      <c r="BP2804">
        <v>0</v>
      </c>
      <c r="BS2804">
        <v>0.08</v>
      </c>
      <c r="BT2804">
        <v>0</v>
      </c>
      <c r="BU2804">
        <v>0</v>
      </c>
      <c r="CE2804" t="str">
        <f t="shared" ref="CE2804:CE2810" si="1018">"19:33:05.257"</f>
        <v>19:33:05.257</v>
      </c>
      <c r="CF2804">
        <v>257172774</v>
      </c>
      <c r="CS2804">
        <v>0</v>
      </c>
      <c r="CT2804">
        <v>2</v>
      </c>
      <c r="CU2804">
        <v>0</v>
      </c>
      <c r="CV2804">
        <v>2</v>
      </c>
      <c r="CW2804">
        <v>0</v>
      </c>
      <c r="CX2804">
        <v>4</v>
      </c>
      <c r="CY2804">
        <v>7</v>
      </c>
      <c r="CZ2804" t="s">
        <v>131</v>
      </c>
      <c r="DA2804">
        <v>300</v>
      </c>
      <c r="DB2804">
        <v>0</v>
      </c>
      <c r="DC2804" t="s">
        <v>176</v>
      </c>
      <c r="DD2804" t="s">
        <v>177</v>
      </c>
      <c r="DG2804">
        <v>5422146</v>
      </c>
      <c r="DI2804">
        <v>0</v>
      </c>
      <c r="DJ2804">
        <v>0</v>
      </c>
      <c r="DK2804">
        <v>0</v>
      </c>
      <c r="DL2804">
        <v>0</v>
      </c>
      <c r="DM2804">
        <v>0</v>
      </c>
      <c r="DN2804">
        <v>1</v>
      </c>
      <c r="DO2804">
        <v>0</v>
      </c>
      <c r="DP2804">
        <v>0</v>
      </c>
      <c r="DQ2804">
        <v>0</v>
      </c>
      <c r="DR2804">
        <v>0</v>
      </c>
      <c r="DS2804">
        <v>0</v>
      </c>
    </row>
    <row r="2805" spans="1:123" x14ac:dyDescent="0.3">
      <c r="A2805" t="str">
        <f t="shared" si="1016"/>
        <v>10/04/2022 19:33:05.486</v>
      </c>
      <c r="C2805" t="str">
        <f t="shared" si="1012"/>
        <v>FFDDD3C0</v>
      </c>
      <c r="D2805" t="s">
        <v>134</v>
      </c>
      <c r="E2805">
        <v>15</v>
      </c>
      <c r="J2805" t="s">
        <v>135</v>
      </c>
      <c r="K2805">
        <v>0</v>
      </c>
      <c r="L2805">
        <v>3</v>
      </c>
      <c r="M2805">
        <v>0</v>
      </c>
      <c r="N2805">
        <v>2</v>
      </c>
      <c r="O2805">
        <v>0</v>
      </c>
      <c r="P2805">
        <v>1</v>
      </c>
      <c r="Q2805">
        <v>0</v>
      </c>
      <c r="S2805" t="str">
        <f t="shared" si="1017"/>
        <v>19:33:05.000</v>
      </c>
      <c r="T2805" t="str">
        <f t="shared" si="1017"/>
        <v>19:33:05.000</v>
      </c>
      <c r="U2805" t="str">
        <f t="shared" si="998"/>
        <v>AC3944</v>
      </c>
      <c r="V2805">
        <v>0</v>
      </c>
      <c r="W2805">
        <v>0</v>
      </c>
      <c r="X2805">
        <v>2</v>
      </c>
      <c r="Y2805">
        <v>0</v>
      </c>
      <c r="AA2805">
        <v>1</v>
      </c>
      <c r="AB2805">
        <v>8</v>
      </c>
      <c r="AC2805">
        <v>3</v>
      </c>
      <c r="AD2805">
        <v>0</v>
      </c>
      <c r="AE2805">
        <v>9</v>
      </c>
      <c r="AF2805" t="s">
        <v>138</v>
      </c>
      <c r="AG2805">
        <v>0</v>
      </c>
      <c r="AH2805">
        <v>3</v>
      </c>
      <c r="AI2805">
        <v>1</v>
      </c>
      <c r="AJ2805">
        <v>0</v>
      </c>
      <c r="AK2805" t="s">
        <v>950</v>
      </c>
      <c r="AL2805">
        <v>32.734279999999998</v>
      </c>
      <c r="AM2805" t="s">
        <v>951</v>
      </c>
      <c r="AN2805">
        <v>-116.75593600000001</v>
      </c>
      <c r="AO2805">
        <v>25</v>
      </c>
      <c r="AP2805">
        <v>3600</v>
      </c>
      <c r="AQ2805" t="s">
        <v>129</v>
      </c>
      <c r="AR2805">
        <v>93</v>
      </c>
      <c r="AS2805">
        <v>-98</v>
      </c>
      <c r="AT2805">
        <v>192</v>
      </c>
      <c r="BB2805">
        <v>1200</v>
      </c>
      <c r="BC2805">
        <v>1</v>
      </c>
      <c r="BD2805" t="str">
        <f t="shared" si="999"/>
        <v xml:space="preserve">N887QR  </v>
      </c>
      <c r="BE2805">
        <v>1</v>
      </c>
      <c r="BJ2805">
        <v>3325</v>
      </c>
      <c r="BK2805">
        <v>-275</v>
      </c>
      <c r="BL2805" t="s">
        <v>163</v>
      </c>
      <c r="BM2805">
        <v>1</v>
      </c>
      <c r="BN2805">
        <v>1</v>
      </c>
      <c r="BO2805">
        <v>1</v>
      </c>
      <c r="BP2805">
        <v>0</v>
      </c>
      <c r="BS2805">
        <v>0.08</v>
      </c>
      <c r="BT2805">
        <v>0</v>
      </c>
      <c r="BU2805">
        <v>0</v>
      </c>
      <c r="CE2805" t="str">
        <f t="shared" si="1018"/>
        <v>19:33:05.257</v>
      </c>
      <c r="CF2805">
        <v>257172774</v>
      </c>
      <c r="CS2805">
        <v>0</v>
      </c>
      <c r="CT2805">
        <v>2</v>
      </c>
      <c r="CU2805">
        <v>0</v>
      </c>
      <c r="CV2805">
        <v>2</v>
      </c>
      <c r="CW2805">
        <v>0</v>
      </c>
      <c r="CX2805">
        <v>4</v>
      </c>
      <c r="CY2805">
        <v>7</v>
      </c>
      <c r="CZ2805" t="s">
        <v>131</v>
      </c>
      <c r="DA2805">
        <v>300</v>
      </c>
      <c r="DB2805">
        <v>0</v>
      </c>
      <c r="DC2805" t="s">
        <v>176</v>
      </c>
      <c r="DD2805" t="s">
        <v>177</v>
      </c>
      <c r="DG2805">
        <v>5422146</v>
      </c>
      <c r="DI2805">
        <v>0</v>
      </c>
      <c r="DJ2805">
        <v>0</v>
      </c>
      <c r="DK2805">
        <v>1</v>
      </c>
      <c r="DL2805">
        <v>0</v>
      </c>
      <c r="DM2805">
        <v>0</v>
      </c>
      <c r="DN2805">
        <v>1</v>
      </c>
      <c r="DO2805">
        <v>0</v>
      </c>
      <c r="DP2805">
        <v>0</v>
      </c>
      <c r="DQ2805">
        <v>0</v>
      </c>
      <c r="DR2805">
        <v>0</v>
      </c>
      <c r="DS2805">
        <v>0</v>
      </c>
    </row>
    <row r="2806" spans="1:123" x14ac:dyDescent="0.3">
      <c r="A2806" t="str">
        <f t="shared" si="1016"/>
        <v>10/04/2022 19:33:05.486</v>
      </c>
      <c r="C2806" t="str">
        <f t="shared" si="1012"/>
        <v>FFDDD3C0</v>
      </c>
      <c r="D2806" t="s">
        <v>143</v>
      </c>
      <c r="E2806">
        <v>20</v>
      </c>
      <c r="F2806">
        <v>1020</v>
      </c>
      <c r="G2806" t="s">
        <v>144</v>
      </c>
      <c r="J2806" t="s">
        <v>145</v>
      </c>
      <c r="K2806">
        <v>0</v>
      </c>
      <c r="L2806">
        <v>3</v>
      </c>
      <c r="M2806">
        <v>0</v>
      </c>
      <c r="N2806">
        <v>2</v>
      </c>
      <c r="O2806">
        <v>0</v>
      </c>
      <c r="P2806">
        <v>1</v>
      </c>
      <c r="Q2806">
        <v>0</v>
      </c>
      <c r="S2806" t="str">
        <f t="shared" si="1017"/>
        <v>19:33:05.000</v>
      </c>
      <c r="T2806" t="str">
        <f t="shared" si="1017"/>
        <v>19:33:05.000</v>
      </c>
      <c r="U2806" t="str">
        <f t="shared" si="998"/>
        <v>AC3944</v>
      </c>
      <c r="V2806">
        <v>0</v>
      </c>
      <c r="W2806">
        <v>0</v>
      </c>
      <c r="X2806">
        <v>2</v>
      </c>
      <c r="Y2806">
        <v>0</v>
      </c>
      <c r="AA2806">
        <v>1</v>
      </c>
      <c r="AB2806">
        <v>8</v>
      </c>
      <c r="AC2806">
        <v>3</v>
      </c>
      <c r="AD2806">
        <v>0</v>
      </c>
      <c r="AE2806">
        <v>9</v>
      </c>
      <c r="AF2806" t="s">
        <v>138</v>
      </c>
      <c r="AG2806">
        <v>0</v>
      </c>
      <c r="AH2806">
        <v>3</v>
      </c>
      <c r="AI2806">
        <v>1</v>
      </c>
      <c r="AJ2806">
        <v>0</v>
      </c>
      <c r="AK2806" t="s">
        <v>950</v>
      </c>
      <c r="AL2806">
        <v>32.734279999999998</v>
      </c>
      <c r="AM2806" t="s">
        <v>951</v>
      </c>
      <c r="AN2806">
        <v>-116.75593600000001</v>
      </c>
      <c r="AO2806">
        <v>25</v>
      </c>
      <c r="AP2806">
        <v>3600</v>
      </c>
      <c r="AQ2806" t="s">
        <v>129</v>
      </c>
      <c r="AR2806">
        <v>93</v>
      </c>
      <c r="AS2806">
        <v>-98</v>
      </c>
      <c r="AT2806">
        <v>192</v>
      </c>
      <c r="BB2806">
        <v>1200</v>
      </c>
      <c r="BC2806">
        <v>1</v>
      </c>
      <c r="BD2806" t="str">
        <f t="shared" si="999"/>
        <v xml:space="preserve">N887QR  </v>
      </c>
      <c r="BE2806">
        <v>1</v>
      </c>
      <c r="BJ2806">
        <v>3325</v>
      </c>
      <c r="BK2806">
        <v>-275</v>
      </c>
      <c r="BL2806" t="s">
        <v>163</v>
      </c>
      <c r="BM2806">
        <v>1</v>
      </c>
      <c r="BN2806">
        <v>1</v>
      </c>
      <c r="BO2806">
        <v>1</v>
      </c>
      <c r="BP2806">
        <v>0</v>
      </c>
      <c r="BS2806">
        <v>0.08</v>
      </c>
      <c r="BT2806">
        <v>0</v>
      </c>
      <c r="BU2806">
        <v>0</v>
      </c>
      <c r="CE2806" t="str">
        <f t="shared" si="1018"/>
        <v>19:33:05.257</v>
      </c>
      <c r="CF2806">
        <v>257172774</v>
      </c>
      <c r="CS2806">
        <v>0</v>
      </c>
      <c r="CT2806">
        <v>2</v>
      </c>
      <c r="CU2806">
        <v>0</v>
      </c>
      <c r="CV2806">
        <v>2</v>
      </c>
      <c r="CW2806">
        <v>0</v>
      </c>
      <c r="CX2806">
        <v>4</v>
      </c>
      <c r="CY2806">
        <v>7</v>
      </c>
      <c r="CZ2806" t="s">
        <v>131</v>
      </c>
      <c r="DA2806">
        <v>300</v>
      </c>
      <c r="DB2806">
        <v>0</v>
      </c>
      <c r="DC2806" t="s">
        <v>176</v>
      </c>
      <c r="DD2806" t="s">
        <v>177</v>
      </c>
      <c r="DG2806">
        <v>5422146</v>
      </c>
      <c r="DI2806">
        <v>0</v>
      </c>
      <c r="DJ2806">
        <v>0</v>
      </c>
      <c r="DK2806">
        <v>1</v>
      </c>
      <c r="DL2806">
        <v>0</v>
      </c>
      <c r="DM2806">
        <v>0</v>
      </c>
      <c r="DN2806">
        <v>1</v>
      </c>
      <c r="DO2806">
        <v>0</v>
      </c>
      <c r="DP2806">
        <v>0</v>
      </c>
      <c r="DQ2806">
        <v>0</v>
      </c>
      <c r="DR2806">
        <v>0</v>
      </c>
      <c r="DS2806">
        <v>0</v>
      </c>
    </row>
    <row r="2807" spans="1:123" x14ac:dyDescent="0.3">
      <c r="A2807" t="str">
        <f t="shared" si="1016"/>
        <v>10/04/2022 19:33:05.486</v>
      </c>
      <c r="C2807" t="str">
        <f t="shared" si="1012"/>
        <v>FFDDD3C0</v>
      </c>
      <c r="D2807" t="s">
        <v>123</v>
      </c>
      <c r="E2807">
        <v>7</v>
      </c>
      <c r="F2807">
        <v>2007</v>
      </c>
      <c r="G2807" t="s">
        <v>124</v>
      </c>
      <c r="J2807" t="s">
        <v>125</v>
      </c>
      <c r="K2807">
        <v>0</v>
      </c>
      <c r="L2807">
        <v>3</v>
      </c>
      <c r="M2807">
        <v>0</v>
      </c>
      <c r="N2807">
        <v>2</v>
      </c>
      <c r="O2807">
        <v>0</v>
      </c>
      <c r="P2807">
        <v>1</v>
      </c>
      <c r="Q2807">
        <v>0</v>
      </c>
      <c r="S2807" t="str">
        <f t="shared" si="1017"/>
        <v>19:33:05.000</v>
      </c>
      <c r="T2807" t="str">
        <f t="shared" si="1017"/>
        <v>19:33:05.000</v>
      </c>
      <c r="U2807" t="str">
        <f t="shared" si="998"/>
        <v>AC3944</v>
      </c>
      <c r="V2807">
        <v>0</v>
      </c>
      <c r="W2807">
        <v>0</v>
      </c>
      <c r="X2807">
        <v>2</v>
      </c>
      <c r="Y2807">
        <v>0</v>
      </c>
      <c r="AA2807">
        <v>1</v>
      </c>
      <c r="AB2807">
        <v>8</v>
      </c>
      <c r="AC2807">
        <v>3</v>
      </c>
      <c r="AD2807">
        <v>0</v>
      </c>
      <c r="AE2807">
        <v>9</v>
      </c>
      <c r="AF2807" t="s">
        <v>138</v>
      </c>
      <c r="AG2807">
        <v>0</v>
      </c>
      <c r="AH2807">
        <v>3</v>
      </c>
      <c r="AI2807">
        <v>1</v>
      </c>
      <c r="AJ2807">
        <v>0</v>
      </c>
      <c r="AK2807" t="s">
        <v>950</v>
      </c>
      <c r="AL2807">
        <v>32.734279999999998</v>
      </c>
      <c r="AM2807" t="s">
        <v>951</v>
      </c>
      <c r="AN2807">
        <v>-116.75593600000001</v>
      </c>
      <c r="AO2807">
        <v>25</v>
      </c>
      <c r="AP2807">
        <v>3600</v>
      </c>
      <c r="AQ2807" t="s">
        <v>129</v>
      </c>
      <c r="AR2807">
        <v>93</v>
      </c>
      <c r="AS2807">
        <v>-98</v>
      </c>
      <c r="AT2807">
        <v>192</v>
      </c>
      <c r="BB2807">
        <v>1200</v>
      </c>
      <c r="BC2807">
        <v>1</v>
      </c>
      <c r="BD2807" t="str">
        <f t="shared" si="999"/>
        <v xml:space="preserve">N887QR  </v>
      </c>
      <c r="BE2807">
        <v>1</v>
      </c>
      <c r="BJ2807">
        <v>3325</v>
      </c>
      <c r="BK2807">
        <v>-275</v>
      </c>
      <c r="BL2807" t="s">
        <v>163</v>
      </c>
      <c r="BM2807">
        <v>1</v>
      </c>
      <c r="BN2807">
        <v>1</v>
      </c>
      <c r="BO2807">
        <v>1</v>
      </c>
      <c r="BP2807">
        <v>0</v>
      </c>
      <c r="BS2807">
        <v>0.08</v>
      </c>
      <c r="BT2807">
        <v>0</v>
      </c>
      <c r="BU2807">
        <v>0</v>
      </c>
      <c r="CE2807" t="str">
        <f t="shared" si="1018"/>
        <v>19:33:05.257</v>
      </c>
      <c r="CF2807">
        <v>257172774</v>
      </c>
      <c r="CS2807">
        <v>0</v>
      </c>
      <c r="CT2807">
        <v>2</v>
      </c>
      <c r="CU2807">
        <v>0</v>
      </c>
      <c r="CV2807">
        <v>2</v>
      </c>
      <c r="CW2807">
        <v>0</v>
      </c>
      <c r="CX2807">
        <v>4</v>
      </c>
      <c r="CY2807">
        <v>7</v>
      </c>
      <c r="CZ2807" t="s">
        <v>131</v>
      </c>
      <c r="DA2807">
        <v>300</v>
      </c>
      <c r="DB2807">
        <v>0</v>
      </c>
      <c r="DC2807" t="s">
        <v>176</v>
      </c>
      <c r="DD2807" t="s">
        <v>177</v>
      </c>
      <c r="DG2807">
        <v>5422146</v>
      </c>
      <c r="DI2807">
        <v>0</v>
      </c>
      <c r="DJ2807">
        <v>0</v>
      </c>
      <c r="DK2807">
        <v>1</v>
      </c>
      <c r="DL2807">
        <v>0</v>
      </c>
      <c r="DM2807">
        <v>0</v>
      </c>
      <c r="DN2807">
        <v>1</v>
      </c>
      <c r="DO2807">
        <v>0</v>
      </c>
      <c r="DP2807">
        <v>0</v>
      </c>
      <c r="DQ2807">
        <v>0</v>
      </c>
      <c r="DR2807">
        <v>0</v>
      </c>
      <c r="DS2807">
        <v>0</v>
      </c>
    </row>
    <row r="2808" spans="1:123" x14ac:dyDescent="0.3">
      <c r="A2808" t="str">
        <f t="shared" si="1016"/>
        <v>10/04/2022 19:33:05.486</v>
      </c>
      <c r="C2808" t="str">
        <f t="shared" si="1012"/>
        <v>FFDDD3C0</v>
      </c>
      <c r="D2808" t="s">
        <v>136</v>
      </c>
      <c r="E2808">
        <v>8</v>
      </c>
      <c r="H2808">
        <v>225</v>
      </c>
      <c r="I2808" t="s">
        <v>137</v>
      </c>
      <c r="J2808" t="s">
        <v>138</v>
      </c>
      <c r="K2808">
        <v>0</v>
      </c>
      <c r="L2808">
        <v>3</v>
      </c>
      <c r="M2808">
        <v>0</v>
      </c>
      <c r="N2808">
        <v>2</v>
      </c>
      <c r="O2808">
        <v>0</v>
      </c>
      <c r="P2808">
        <v>1</v>
      </c>
      <c r="Q2808">
        <v>0</v>
      </c>
      <c r="S2808" t="str">
        <f t="shared" si="1017"/>
        <v>19:33:05.000</v>
      </c>
      <c r="T2808" t="str">
        <f t="shared" si="1017"/>
        <v>19:33:05.000</v>
      </c>
      <c r="U2808" t="str">
        <f t="shared" si="998"/>
        <v>AC3944</v>
      </c>
      <c r="V2808">
        <v>0</v>
      </c>
      <c r="W2808">
        <v>0</v>
      </c>
      <c r="X2808">
        <v>2</v>
      </c>
      <c r="Y2808">
        <v>0</v>
      </c>
      <c r="AA2808">
        <v>1</v>
      </c>
      <c r="AB2808">
        <v>8</v>
      </c>
      <c r="AC2808">
        <v>3</v>
      </c>
      <c r="AD2808">
        <v>0</v>
      </c>
      <c r="AE2808">
        <v>9</v>
      </c>
      <c r="AF2808" t="s">
        <v>138</v>
      </c>
      <c r="AG2808">
        <v>0</v>
      </c>
      <c r="AH2808">
        <v>3</v>
      </c>
      <c r="AI2808">
        <v>1</v>
      </c>
      <c r="AJ2808">
        <v>0</v>
      </c>
      <c r="AK2808" t="s">
        <v>950</v>
      </c>
      <c r="AL2808">
        <v>32.734279999999998</v>
      </c>
      <c r="AM2808" t="s">
        <v>951</v>
      </c>
      <c r="AN2808">
        <v>-116.75593600000001</v>
      </c>
      <c r="AO2808">
        <v>25</v>
      </c>
      <c r="AP2808">
        <v>3600</v>
      </c>
      <c r="AQ2808" t="s">
        <v>129</v>
      </c>
      <c r="AR2808">
        <v>93</v>
      </c>
      <c r="AS2808">
        <v>-98</v>
      </c>
      <c r="AT2808">
        <v>192</v>
      </c>
      <c r="BB2808">
        <v>1200</v>
      </c>
      <c r="BC2808">
        <v>1</v>
      </c>
      <c r="BD2808" t="str">
        <f t="shared" si="999"/>
        <v xml:space="preserve">N887QR  </v>
      </c>
      <c r="BE2808">
        <v>1</v>
      </c>
      <c r="BJ2808">
        <v>3325</v>
      </c>
      <c r="BK2808">
        <v>-275</v>
      </c>
      <c r="BL2808" t="s">
        <v>163</v>
      </c>
      <c r="BM2808">
        <v>1</v>
      </c>
      <c r="BN2808">
        <v>1</v>
      </c>
      <c r="BO2808">
        <v>1</v>
      </c>
      <c r="BP2808">
        <v>0</v>
      </c>
      <c r="BS2808">
        <v>0.08</v>
      </c>
      <c r="BT2808">
        <v>0</v>
      </c>
      <c r="BU2808">
        <v>0</v>
      </c>
      <c r="CE2808" t="str">
        <f t="shared" si="1018"/>
        <v>19:33:05.257</v>
      </c>
      <c r="CF2808">
        <v>257172774</v>
      </c>
      <c r="CS2808">
        <v>0</v>
      </c>
      <c r="CT2808">
        <v>2</v>
      </c>
      <c r="CU2808">
        <v>0</v>
      </c>
      <c r="CV2808">
        <v>2</v>
      </c>
      <c r="CW2808">
        <v>0</v>
      </c>
      <c r="CX2808">
        <v>4</v>
      </c>
      <c r="CY2808">
        <v>7</v>
      </c>
      <c r="CZ2808" t="s">
        <v>131</v>
      </c>
      <c r="DA2808">
        <v>300</v>
      </c>
      <c r="DB2808">
        <v>0</v>
      </c>
      <c r="DC2808" t="s">
        <v>176</v>
      </c>
      <c r="DD2808" t="s">
        <v>177</v>
      </c>
      <c r="DG2808">
        <v>5422146</v>
      </c>
      <c r="DI2808">
        <v>0</v>
      </c>
      <c r="DJ2808">
        <v>0</v>
      </c>
      <c r="DK2808">
        <v>1</v>
      </c>
      <c r="DL2808">
        <v>0</v>
      </c>
      <c r="DM2808">
        <v>0</v>
      </c>
      <c r="DN2808">
        <v>1</v>
      </c>
      <c r="DO2808">
        <v>0</v>
      </c>
      <c r="DP2808">
        <v>0</v>
      </c>
      <c r="DQ2808">
        <v>0</v>
      </c>
      <c r="DR2808">
        <v>0</v>
      </c>
      <c r="DS2808">
        <v>0</v>
      </c>
    </row>
    <row r="2809" spans="1:123" x14ac:dyDescent="0.3">
      <c r="A2809" t="str">
        <f t="shared" si="1016"/>
        <v>10/04/2022 19:33:05.486</v>
      </c>
      <c r="C2809" t="str">
        <f t="shared" si="1012"/>
        <v>FFDDD3C0</v>
      </c>
      <c r="D2809" t="s">
        <v>141</v>
      </c>
      <c r="E2809">
        <v>3</v>
      </c>
      <c r="H2809">
        <v>3</v>
      </c>
      <c r="I2809" t="s">
        <v>146</v>
      </c>
      <c r="J2809" t="s">
        <v>138</v>
      </c>
      <c r="K2809">
        <v>0</v>
      </c>
      <c r="L2809">
        <v>3</v>
      </c>
      <c r="M2809">
        <v>0</v>
      </c>
      <c r="N2809">
        <v>2</v>
      </c>
      <c r="O2809">
        <v>0</v>
      </c>
      <c r="P2809">
        <v>1</v>
      </c>
      <c r="Q2809">
        <v>0</v>
      </c>
      <c r="S2809" t="str">
        <f t="shared" si="1017"/>
        <v>19:33:05.000</v>
      </c>
      <c r="T2809" t="str">
        <f t="shared" si="1017"/>
        <v>19:33:05.000</v>
      </c>
      <c r="U2809" t="str">
        <f t="shared" si="998"/>
        <v>AC3944</v>
      </c>
      <c r="V2809">
        <v>0</v>
      </c>
      <c r="W2809">
        <v>0</v>
      </c>
      <c r="X2809">
        <v>2</v>
      </c>
      <c r="Y2809">
        <v>0</v>
      </c>
      <c r="AA2809">
        <v>1</v>
      </c>
      <c r="AB2809">
        <v>8</v>
      </c>
      <c r="AC2809">
        <v>3</v>
      </c>
      <c r="AD2809">
        <v>0</v>
      </c>
      <c r="AE2809">
        <v>9</v>
      </c>
      <c r="AF2809" t="s">
        <v>138</v>
      </c>
      <c r="AG2809">
        <v>0</v>
      </c>
      <c r="AH2809">
        <v>3</v>
      </c>
      <c r="AI2809">
        <v>1</v>
      </c>
      <c r="AJ2809">
        <v>0</v>
      </c>
      <c r="AK2809" t="s">
        <v>950</v>
      </c>
      <c r="AL2809">
        <v>32.734279999999998</v>
      </c>
      <c r="AM2809" t="s">
        <v>951</v>
      </c>
      <c r="AN2809">
        <v>-116.75593600000001</v>
      </c>
      <c r="AO2809">
        <v>25</v>
      </c>
      <c r="AP2809">
        <v>3600</v>
      </c>
      <c r="AQ2809" t="s">
        <v>129</v>
      </c>
      <c r="AR2809">
        <v>93</v>
      </c>
      <c r="AS2809">
        <v>-98</v>
      </c>
      <c r="AT2809">
        <v>192</v>
      </c>
      <c r="BB2809">
        <v>1200</v>
      </c>
      <c r="BC2809">
        <v>1</v>
      </c>
      <c r="BD2809" t="str">
        <f t="shared" si="999"/>
        <v xml:space="preserve">N887QR  </v>
      </c>
      <c r="BE2809">
        <v>1</v>
      </c>
      <c r="BJ2809">
        <v>3325</v>
      </c>
      <c r="BK2809">
        <v>-275</v>
      </c>
      <c r="BL2809" t="s">
        <v>163</v>
      </c>
      <c r="BM2809">
        <v>1</v>
      </c>
      <c r="BN2809">
        <v>1</v>
      </c>
      <c r="BO2809">
        <v>1</v>
      </c>
      <c r="BP2809">
        <v>0</v>
      </c>
      <c r="BS2809">
        <v>0.08</v>
      </c>
      <c r="BT2809">
        <v>0</v>
      </c>
      <c r="BU2809">
        <v>0</v>
      </c>
      <c r="CE2809" t="str">
        <f t="shared" si="1018"/>
        <v>19:33:05.257</v>
      </c>
      <c r="CF2809">
        <v>257172774</v>
      </c>
      <c r="CS2809">
        <v>0</v>
      </c>
      <c r="CT2809">
        <v>2</v>
      </c>
      <c r="CU2809">
        <v>0</v>
      </c>
      <c r="CV2809">
        <v>2</v>
      </c>
      <c r="CW2809">
        <v>0</v>
      </c>
      <c r="CX2809">
        <v>4</v>
      </c>
      <c r="CY2809">
        <v>7</v>
      </c>
      <c r="CZ2809" t="s">
        <v>131</v>
      </c>
      <c r="DA2809">
        <v>300</v>
      </c>
      <c r="DB2809">
        <v>0</v>
      </c>
      <c r="DC2809" t="s">
        <v>176</v>
      </c>
      <c r="DD2809" t="s">
        <v>177</v>
      </c>
      <c r="DG2809">
        <v>5422146</v>
      </c>
      <c r="DI2809">
        <v>0</v>
      </c>
      <c r="DJ2809">
        <v>0</v>
      </c>
      <c r="DK2809">
        <v>1</v>
      </c>
      <c r="DL2809">
        <v>0</v>
      </c>
      <c r="DM2809">
        <v>0</v>
      </c>
      <c r="DN2809">
        <v>1</v>
      </c>
      <c r="DO2809">
        <v>0</v>
      </c>
      <c r="DP2809">
        <v>0</v>
      </c>
      <c r="DQ2809">
        <v>0</v>
      </c>
      <c r="DR2809">
        <v>0</v>
      </c>
      <c r="DS2809">
        <v>0</v>
      </c>
    </row>
    <row r="2810" spans="1:123" x14ac:dyDescent="0.3">
      <c r="A2810" t="str">
        <f>"10/04/2022 19:33:05.580"</f>
        <v>10/04/2022 19:33:05.580</v>
      </c>
      <c r="C2810" t="str">
        <f t="shared" si="1012"/>
        <v>FFDDD3C0</v>
      </c>
      <c r="D2810" t="s">
        <v>141</v>
      </c>
      <c r="E2810">
        <v>4</v>
      </c>
      <c r="H2810">
        <v>4</v>
      </c>
      <c r="I2810" t="s">
        <v>142</v>
      </c>
      <c r="J2810" t="s">
        <v>138</v>
      </c>
      <c r="K2810">
        <v>0</v>
      </c>
      <c r="L2810">
        <v>3</v>
      </c>
      <c r="M2810">
        <v>0</v>
      </c>
      <c r="N2810">
        <v>2</v>
      </c>
      <c r="O2810">
        <v>0</v>
      </c>
      <c r="P2810">
        <v>1</v>
      </c>
      <c r="Q2810">
        <v>0</v>
      </c>
      <c r="S2810" t="str">
        <f t="shared" si="1017"/>
        <v>19:33:05.000</v>
      </c>
      <c r="T2810" t="str">
        <f t="shared" si="1017"/>
        <v>19:33:05.000</v>
      </c>
      <c r="U2810" t="str">
        <f t="shared" si="998"/>
        <v>AC3944</v>
      </c>
      <c r="V2810">
        <v>0</v>
      </c>
      <c r="W2810">
        <v>0</v>
      </c>
      <c r="X2810">
        <v>2</v>
      </c>
      <c r="Y2810">
        <v>0</v>
      </c>
      <c r="AA2810">
        <v>1</v>
      </c>
      <c r="AB2810">
        <v>8</v>
      </c>
      <c r="AC2810">
        <v>3</v>
      </c>
      <c r="AD2810">
        <v>0</v>
      </c>
      <c r="AE2810">
        <v>9</v>
      </c>
      <c r="AF2810" t="s">
        <v>138</v>
      </c>
      <c r="AG2810">
        <v>0</v>
      </c>
      <c r="AH2810">
        <v>3</v>
      </c>
      <c r="AI2810">
        <v>1</v>
      </c>
      <c r="AJ2810">
        <v>0</v>
      </c>
      <c r="AK2810" t="s">
        <v>950</v>
      </c>
      <c r="AL2810">
        <v>32.734279999999998</v>
      </c>
      <c r="AM2810" t="s">
        <v>951</v>
      </c>
      <c r="AN2810">
        <v>-116.75593600000001</v>
      </c>
      <c r="AO2810">
        <v>25</v>
      </c>
      <c r="AP2810">
        <v>3600</v>
      </c>
      <c r="AQ2810" t="s">
        <v>129</v>
      </c>
      <c r="AR2810">
        <v>93</v>
      </c>
      <c r="AS2810">
        <v>-98</v>
      </c>
      <c r="AT2810">
        <v>192</v>
      </c>
      <c r="BB2810">
        <v>1200</v>
      </c>
      <c r="BC2810">
        <v>1</v>
      </c>
      <c r="BD2810" t="str">
        <f t="shared" si="999"/>
        <v xml:space="preserve">N887QR  </v>
      </c>
      <c r="BE2810">
        <v>1</v>
      </c>
      <c r="BJ2810">
        <v>3325</v>
      </c>
      <c r="BK2810">
        <v>-275</v>
      </c>
      <c r="BL2810" t="s">
        <v>163</v>
      </c>
      <c r="BM2810">
        <v>1</v>
      </c>
      <c r="BN2810">
        <v>1</v>
      </c>
      <c r="BO2810">
        <v>1</v>
      </c>
      <c r="BP2810">
        <v>0</v>
      </c>
      <c r="BS2810">
        <v>0.08</v>
      </c>
      <c r="BT2810">
        <v>0</v>
      </c>
      <c r="BU2810">
        <v>0</v>
      </c>
      <c r="CE2810" t="str">
        <f t="shared" si="1018"/>
        <v>19:33:05.257</v>
      </c>
      <c r="CF2810">
        <v>257172774</v>
      </c>
      <c r="CS2810">
        <v>0</v>
      </c>
      <c r="CT2810">
        <v>2</v>
      </c>
      <c r="CU2810">
        <v>0</v>
      </c>
      <c r="CV2810">
        <v>2</v>
      </c>
      <c r="CW2810">
        <v>0</v>
      </c>
      <c r="CX2810">
        <v>4</v>
      </c>
      <c r="CY2810">
        <v>7</v>
      </c>
      <c r="CZ2810" t="s">
        <v>131</v>
      </c>
      <c r="DA2810">
        <v>300</v>
      </c>
      <c r="DB2810">
        <v>0</v>
      </c>
      <c r="DC2810" t="s">
        <v>176</v>
      </c>
      <c r="DD2810" t="s">
        <v>177</v>
      </c>
      <c r="DG2810">
        <v>5422146</v>
      </c>
      <c r="DI2810">
        <v>0</v>
      </c>
      <c r="DJ2810">
        <v>0</v>
      </c>
      <c r="DK2810">
        <v>1</v>
      </c>
      <c r="DL2810">
        <v>0</v>
      </c>
      <c r="DM2810">
        <v>0</v>
      </c>
      <c r="DN2810">
        <v>1</v>
      </c>
      <c r="DO2810">
        <v>0</v>
      </c>
      <c r="DP2810">
        <v>0</v>
      </c>
      <c r="DQ2810">
        <v>0</v>
      </c>
      <c r="DR2810">
        <v>0</v>
      </c>
      <c r="DS2810">
        <v>0</v>
      </c>
    </row>
    <row r="2811" spans="1:123" x14ac:dyDescent="0.3">
      <c r="A2811" t="str">
        <f>"10/04/2022 19:33:06.269"</f>
        <v>10/04/2022 19:33:06.269</v>
      </c>
      <c r="C2811" t="str">
        <f t="shared" si="1012"/>
        <v>FFDDD3C0</v>
      </c>
      <c r="D2811" t="s">
        <v>123</v>
      </c>
      <c r="E2811">
        <v>7</v>
      </c>
      <c r="F2811">
        <v>2007</v>
      </c>
      <c r="G2811" t="s">
        <v>124</v>
      </c>
      <c r="J2811" t="s">
        <v>125</v>
      </c>
      <c r="K2811">
        <v>0</v>
      </c>
      <c r="L2811">
        <v>3</v>
      </c>
      <c r="M2811">
        <v>0</v>
      </c>
      <c r="N2811">
        <v>2</v>
      </c>
      <c r="O2811">
        <v>0</v>
      </c>
      <c r="P2811">
        <v>1</v>
      </c>
      <c r="Q2811">
        <v>0</v>
      </c>
      <c r="S2811" t="str">
        <f t="shared" ref="S2811:T2817" si="1019">"19:33:06.000"</f>
        <v>19:33:06.000</v>
      </c>
      <c r="T2811" t="str">
        <f t="shared" si="1019"/>
        <v>19:33:06.000</v>
      </c>
      <c r="U2811" t="str">
        <f t="shared" si="998"/>
        <v>AC3944</v>
      </c>
      <c r="V2811">
        <v>0</v>
      </c>
      <c r="W2811">
        <v>0</v>
      </c>
      <c r="X2811">
        <v>2</v>
      </c>
      <c r="Y2811">
        <v>0</v>
      </c>
      <c r="AA2811">
        <v>1</v>
      </c>
      <c r="AB2811">
        <v>8</v>
      </c>
      <c r="AC2811">
        <v>3</v>
      </c>
      <c r="AD2811">
        <v>0</v>
      </c>
      <c r="AE2811">
        <v>9</v>
      </c>
      <c r="AF2811" t="s">
        <v>138</v>
      </c>
      <c r="AG2811">
        <v>0</v>
      </c>
      <c r="AH2811">
        <v>3</v>
      </c>
      <c r="AI2811">
        <v>1</v>
      </c>
      <c r="AJ2811">
        <v>0</v>
      </c>
      <c r="AK2811" t="s">
        <v>952</v>
      </c>
      <c r="AL2811">
        <v>32.733829</v>
      </c>
      <c r="AM2811" t="s">
        <v>953</v>
      </c>
      <c r="AN2811">
        <v>-116.755421</v>
      </c>
      <c r="AO2811">
        <v>25</v>
      </c>
      <c r="AP2811">
        <v>3600</v>
      </c>
      <c r="AQ2811" t="s">
        <v>129</v>
      </c>
      <c r="AR2811">
        <v>92</v>
      </c>
      <c r="AS2811">
        <v>-99</v>
      </c>
      <c r="AT2811">
        <v>192</v>
      </c>
      <c r="BB2811">
        <v>1200</v>
      </c>
      <c r="BC2811">
        <v>1</v>
      </c>
      <c r="BD2811" t="str">
        <f t="shared" si="999"/>
        <v xml:space="preserve">N887QR  </v>
      </c>
      <c r="BE2811">
        <v>1</v>
      </c>
      <c r="BJ2811">
        <v>3325</v>
      </c>
      <c r="BK2811">
        <v>-275</v>
      </c>
      <c r="BL2811" t="s">
        <v>163</v>
      </c>
      <c r="BM2811">
        <v>1</v>
      </c>
      <c r="BN2811">
        <v>1</v>
      </c>
      <c r="BO2811">
        <v>1</v>
      </c>
      <c r="BP2811">
        <v>0</v>
      </c>
      <c r="BS2811">
        <v>0</v>
      </c>
      <c r="BT2811">
        <v>0</v>
      </c>
      <c r="BU2811">
        <v>0</v>
      </c>
      <c r="CE2811" t="str">
        <f t="shared" ref="CE2811:CE2817" si="1020">"19:33:06.054"</f>
        <v>19:33:06.054</v>
      </c>
      <c r="CF2811">
        <v>53925377</v>
      </c>
      <c r="CS2811">
        <v>0</v>
      </c>
      <c r="CT2811">
        <v>2</v>
      </c>
      <c r="CU2811">
        <v>0</v>
      </c>
      <c r="CV2811">
        <v>2</v>
      </c>
      <c r="CW2811">
        <v>0</v>
      </c>
      <c r="CX2811">
        <v>4</v>
      </c>
      <c r="CY2811">
        <v>7</v>
      </c>
      <c r="CZ2811" t="s">
        <v>131</v>
      </c>
      <c r="DA2811">
        <v>300</v>
      </c>
      <c r="DB2811">
        <v>0</v>
      </c>
      <c r="DC2811" t="s">
        <v>176</v>
      </c>
      <c r="DD2811" t="s">
        <v>177</v>
      </c>
      <c r="DG2811">
        <v>5422268</v>
      </c>
      <c r="DI2811">
        <v>0</v>
      </c>
      <c r="DJ2811">
        <v>0</v>
      </c>
      <c r="DK2811">
        <v>0</v>
      </c>
      <c r="DL2811">
        <v>0</v>
      </c>
      <c r="DM2811">
        <v>0</v>
      </c>
      <c r="DN2811">
        <v>1</v>
      </c>
      <c r="DO2811">
        <v>0</v>
      </c>
      <c r="DP2811">
        <v>0</v>
      </c>
      <c r="DQ2811">
        <v>0</v>
      </c>
      <c r="DR2811">
        <v>0</v>
      </c>
      <c r="DS2811">
        <v>0</v>
      </c>
    </row>
    <row r="2812" spans="1:123" x14ac:dyDescent="0.3">
      <c r="A2812" t="str">
        <f>"10/04/2022 19:33:06.269"</f>
        <v>10/04/2022 19:33:06.269</v>
      </c>
      <c r="C2812" t="str">
        <f t="shared" si="1012"/>
        <v>FFDDD3C0</v>
      </c>
      <c r="D2812" t="s">
        <v>141</v>
      </c>
      <c r="E2812">
        <v>3</v>
      </c>
      <c r="H2812">
        <v>3</v>
      </c>
      <c r="I2812" t="s">
        <v>146</v>
      </c>
      <c r="J2812" t="s">
        <v>138</v>
      </c>
      <c r="K2812">
        <v>0</v>
      </c>
      <c r="L2812">
        <v>3</v>
      </c>
      <c r="M2812">
        <v>0</v>
      </c>
      <c r="N2812">
        <v>2</v>
      </c>
      <c r="O2812">
        <v>0</v>
      </c>
      <c r="P2812">
        <v>1</v>
      </c>
      <c r="Q2812">
        <v>0</v>
      </c>
      <c r="S2812" t="str">
        <f t="shared" si="1019"/>
        <v>19:33:06.000</v>
      </c>
      <c r="T2812" t="str">
        <f t="shared" si="1019"/>
        <v>19:33:06.000</v>
      </c>
      <c r="U2812" t="str">
        <f t="shared" si="998"/>
        <v>AC3944</v>
      </c>
      <c r="V2812">
        <v>0</v>
      </c>
      <c r="W2812">
        <v>0</v>
      </c>
      <c r="X2812">
        <v>2</v>
      </c>
      <c r="Y2812">
        <v>0</v>
      </c>
      <c r="AA2812">
        <v>1</v>
      </c>
      <c r="AB2812">
        <v>8</v>
      </c>
      <c r="AC2812">
        <v>3</v>
      </c>
      <c r="AD2812">
        <v>0</v>
      </c>
      <c r="AE2812">
        <v>9</v>
      </c>
      <c r="AF2812" t="s">
        <v>138</v>
      </c>
      <c r="AG2812">
        <v>0</v>
      </c>
      <c r="AH2812">
        <v>3</v>
      </c>
      <c r="AI2812">
        <v>1</v>
      </c>
      <c r="AJ2812">
        <v>0</v>
      </c>
      <c r="AK2812" t="s">
        <v>952</v>
      </c>
      <c r="AL2812">
        <v>32.733829</v>
      </c>
      <c r="AM2812" t="s">
        <v>953</v>
      </c>
      <c r="AN2812">
        <v>-116.755421</v>
      </c>
      <c r="AO2812">
        <v>25</v>
      </c>
      <c r="AP2812">
        <v>3600</v>
      </c>
      <c r="AQ2812" t="s">
        <v>129</v>
      </c>
      <c r="AR2812">
        <v>92</v>
      </c>
      <c r="AS2812">
        <v>-99</v>
      </c>
      <c r="AT2812">
        <v>192</v>
      </c>
      <c r="BB2812">
        <v>1200</v>
      </c>
      <c r="BC2812">
        <v>1</v>
      </c>
      <c r="BD2812" t="str">
        <f t="shared" si="999"/>
        <v xml:space="preserve">N887QR  </v>
      </c>
      <c r="BE2812">
        <v>1</v>
      </c>
      <c r="BJ2812">
        <v>3325</v>
      </c>
      <c r="BK2812">
        <v>-275</v>
      </c>
      <c r="BL2812" t="s">
        <v>163</v>
      </c>
      <c r="BM2812">
        <v>1</v>
      </c>
      <c r="BN2812">
        <v>1</v>
      </c>
      <c r="BO2812">
        <v>1</v>
      </c>
      <c r="BP2812">
        <v>0</v>
      </c>
      <c r="BS2812">
        <v>0</v>
      </c>
      <c r="BT2812">
        <v>0</v>
      </c>
      <c r="BU2812">
        <v>0</v>
      </c>
      <c r="CE2812" t="str">
        <f t="shared" si="1020"/>
        <v>19:33:06.054</v>
      </c>
      <c r="CF2812">
        <v>53925377</v>
      </c>
      <c r="CS2812">
        <v>0</v>
      </c>
      <c r="CT2812">
        <v>2</v>
      </c>
      <c r="CU2812">
        <v>0</v>
      </c>
      <c r="CV2812">
        <v>2</v>
      </c>
      <c r="CW2812">
        <v>0</v>
      </c>
      <c r="CX2812">
        <v>4</v>
      </c>
      <c r="CY2812">
        <v>7</v>
      </c>
      <c r="CZ2812" t="s">
        <v>131</v>
      </c>
      <c r="DA2812">
        <v>300</v>
      </c>
      <c r="DB2812">
        <v>0</v>
      </c>
      <c r="DC2812" t="s">
        <v>176</v>
      </c>
      <c r="DD2812" t="s">
        <v>177</v>
      </c>
      <c r="DG2812">
        <v>5422268</v>
      </c>
      <c r="DI2812">
        <v>0</v>
      </c>
      <c r="DJ2812">
        <v>0</v>
      </c>
      <c r="DK2812">
        <v>1</v>
      </c>
      <c r="DL2812">
        <v>0</v>
      </c>
      <c r="DM2812">
        <v>0</v>
      </c>
      <c r="DN2812">
        <v>1</v>
      </c>
      <c r="DO2812">
        <v>0</v>
      </c>
      <c r="DP2812">
        <v>0</v>
      </c>
      <c r="DQ2812">
        <v>0</v>
      </c>
      <c r="DR2812">
        <v>0</v>
      </c>
      <c r="DS2812">
        <v>0</v>
      </c>
    </row>
    <row r="2813" spans="1:123" x14ac:dyDescent="0.3">
      <c r="A2813" t="str">
        <f>"10/04/2022 19:33:06.271"</f>
        <v>10/04/2022 19:33:06.271</v>
      </c>
      <c r="C2813" t="str">
        <f t="shared" si="1012"/>
        <v>FFDDD3C0</v>
      </c>
      <c r="D2813" t="s">
        <v>141</v>
      </c>
      <c r="E2813">
        <v>4</v>
      </c>
      <c r="H2813">
        <v>4</v>
      </c>
      <c r="I2813" t="s">
        <v>142</v>
      </c>
      <c r="J2813" t="s">
        <v>138</v>
      </c>
      <c r="K2813">
        <v>0</v>
      </c>
      <c r="L2813">
        <v>3</v>
      </c>
      <c r="M2813">
        <v>0</v>
      </c>
      <c r="N2813">
        <v>2</v>
      </c>
      <c r="O2813">
        <v>0</v>
      </c>
      <c r="P2813">
        <v>1</v>
      </c>
      <c r="Q2813">
        <v>0</v>
      </c>
      <c r="S2813" t="str">
        <f t="shared" si="1019"/>
        <v>19:33:06.000</v>
      </c>
      <c r="T2813" t="str">
        <f t="shared" si="1019"/>
        <v>19:33:06.000</v>
      </c>
      <c r="U2813" t="str">
        <f t="shared" si="998"/>
        <v>AC3944</v>
      </c>
      <c r="V2813">
        <v>0</v>
      </c>
      <c r="W2813">
        <v>0</v>
      </c>
      <c r="X2813">
        <v>2</v>
      </c>
      <c r="Y2813">
        <v>0</v>
      </c>
      <c r="AA2813">
        <v>1</v>
      </c>
      <c r="AB2813">
        <v>8</v>
      </c>
      <c r="AC2813">
        <v>3</v>
      </c>
      <c r="AD2813">
        <v>0</v>
      </c>
      <c r="AE2813">
        <v>9</v>
      </c>
      <c r="AF2813" t="s">
        <v>138</v>
      </c>
      <c r="AG2813">
        <v>0</v>
      </c>
      <c r="AH2813">
        <v>3</v>
      </c>
      <c r="AI2813">
        <v>1</v>
      </c>
      <c r="AJ2813">
        <v>0</v>
      </c>
      <c r="AK2813" t="s">
        <v>952</v>
      </c>
      <c r="AL2813">
        <v>32.733829</v>
      </c>
      <c r="AM2813" t="s">
        <v>953</v>
      </c>
      <c r="AN2813">
        <v>-116.755421</v>
      </c>
      <c r="AO2813">
        <v>25</v>
      </c>
      <c r="AP2813">
        <v>3600</v>
      </c>
      <c r="AQ2813" t="s">
        <v>129</v>
      </c>
      <c r="AR2813">
        <v>92</v>
      </c>
      <c r="AS2813">
        <v>-99</v>
      </c>
      <c r="AT2813">
        <v>192</v>
      </c>
      <c r="BB2813">
        <v>1200</v>
      </c>
      <c r="BC2813">
        <v>1</v>
      </c>
      <c r="BD2813" t="str">
        <f t="shared" si="999"/>
        <v xml:space="preserve">N887QR  </v>
      </c>
      <c r="BE2813">
        <v>1</v>
      </c>
      <c r="BJ2813">
        <v>3325</v>
      </c>
      <c r="BK2813">
        <v>-275</v>
      </c>
      <c r="BL2813" t="s">
        <v>163</v>
      </c>
      <c r="BM2813">
        <v>1</v>
      </c>
      <c r="BN2813">
        <v>1</v>
      </c>
      <c r="BO2813">
        <v>1</v>
      </c>
      <c r="BP2813">
        <v>0</v>
      </c>
      <c r="BS2813">
        <v>0</v>
      </c>
      <c r="BT2813">
        <v>0</v>
      </c>
      <c r="BU2813">
        <v>0</v>
      </c>
      <c r="CE2813" t="str">
        <f t="shared" si="1020"/>
        <v>19:33:06.054</v>
      </c>
      <c r="CF2813">
        <v>53925377</v>
      </c>
      <c r="CS2813">
        <v>0</v>
      </c>
      <c r="CT2813">
        <v>2</v>
      </c>
      <c r="CU2813">
        <v>0</v>
      </c>
      <c r="CV2813">
        <v>2</v>
      </c>
      <c r="CW2813">
        <v>0</v>
      </c>
      <c r="CX2813">
        <v>4</v>
      </c>
      <c r="CY2813">
        <v>7</v>
      </c>
      <c r="CZ2813" t="s">
        <v>131</v>
      </c>
      <c r="DA2813">
        <v>300</v>
      </c>
      <c r="DB2813">
        <v>0</v>
      </c>
      <c r="DC2813" t="s">
        <v>176</v>
      </c>
      <c r="DD2813" t="s">
        <v>177</v>
      </c>
      <c r="DG2813">
        <v>5422268</v>
      </c>
      <c r="DI2813">
        <v>0</v>
      </c>
      <c r="DJ2813">
        <v>0</v>
      </c>
      <c r="DK2813">
        <v>1</v>
      </c>
      <c r="DL2813">
        <v>0</v>
      </c>
      <c r="DM2813">
        <v>0</v>
      </c>
      <c r="DN2813">
        <v>1</v>
      </c>
      <c r="DO2813">
        <v>0</v>
      </c>
      <c r="DP2813">
        <v>0</v>
      </c>
      <c r="DQ2813">
        <v>0</v>
      </c>
      <c r="DR2813">
        <v>0</v>
      </c>
      <c r="DS2813">
        <v>0</v>
      </c>
    </row>
    <row r="2814" spans="1:123" x14ac:dyDescent="0.3">
      <c r="A2814" t="str">
        <f>"10/04/2022 19:33:06.271"</f>
        <v>10/04/2022 19:33:06.271</v>
      </c>
      <c r="C2814" t="str">
        <f t="shared" si="1012"/>
        <v>FFDDD3C0</v>
      </c>
      <c r="D2814" t="s">
        <v>147</v>
      </c>
      <c r="E2814">
        <v>3</v>
      </c>
      <c r="H2814">
        <v>166</v>
      </c>
      <c r="I2814" t="s">
        <v>144</v>
      </c>
      <c r="J2814" t="s">
        <v>148</v>
      </c>
      <c r="K2814">
        <v>0</v>
      </c>
      <c r="L2814">
        <v>3</v>
      </c>
      <c r="M2814">
        <v>0</v>
      </c>
      <c r="N2814">
        <v>2</v>
      </c>
      <c r="O2814">
        <v>0</v>
      </c>
      <c r="P2814">
        <v>1</v>
      </c>
      <c r="Q2814">
        <v>0</v>
      </c>
      <c r="S2814" t="str">
        <f t="shared" si="1019"/>
        <v>19:33:06.000</v>
      </c>
      <c r="T2814" t="str">
        <f t="shared" si="1019"/>
        <v>19:33:06.000</v>
      </c>
      <c r="U2814" t="str">
        <f t="shared" si="998"/>
        <v>AC3944</v>
      </c>
      <c r="V2814">
        <v>0</v>
      </c>
      <c r="W2814">
        <v>0</v>
      </c>
      <c r="X2814">
        <v>2</v>
      </c>
      <c r="Y2814">
        <v>0</v>
      </c>
      <c r="AA2814">
        <v>1</v>
      </c>
      <c r="AB2814">
        <v>8</v>
      </c>
      <c r="AC2814">
        <v>3</v>
      </c>
      <c r="AD2814">
        <v>0</v>
      </c>
      <c r="AE2814">
        <v>9</v>
      </c>
      <c r="AF2814" t="s">
        <v>138</v>
      </c>
      <c r="AG2814">
        <v>0</v>
      </c>
      <c r="AH2814">
        <v>3</v>
      </c>
      <c r="AI2814">
        <v>1</v>
      </c>
      <c r="AJ2814">
        <v>0</v>
      </c>
      <c r="AK2814" t="s">
        <v>952</v>
      </c>
      <c r="AL2814">
        <v>32.733829</v>
      </c>
      <c r="AM2814" t="s">
        <v>953</v>
      </c>
      <c r="AN2814">
        <v>-116.755421</v>
      </c>
      <c r="AO2814">
        <v>25</v>
      </c>
      <c r="AP2814">
        <v>3600</v>
      </c>
      <c r="AQ2814" t="s">
        <v>129</v>
      </c>
      <c r="AR2814">
        <v>92</v>
      </c>
      <c r="AS2814">
        <v>-99</v>
      </c>
      <c r="AT2814">
        <v>192</v>
      </c>
      <c r="BB2814">
        <v>1200</v>
      </c>
      <c r="BC2814">
        <v>1</v>
      </c>
      <c r="BD2814" t="str">
        <f t="shared" si="999"/>
        <v xml:space="preserve">N887QR  </v>
      </c>
      <c r="BE2814">
        <v>1</v>
      </c>
      <c r="BJ2814">
        <v>3325</v>
      </c>
      <c r="BK2814">
        <v>-275</v>
      </c>
      <c r="BL2814" t="s">
        <v>163</v>
      </c>
      <c r="BM2814">
        <v>1</v>
      </c>
      <c r="BN2814">
        <v>1</v>
      </c>
      <c r="BO2814">
        <v>1</v>
      </c>
      <c r="BP2814">
        <v>0</v>
      </c>
      <c r="BS2814">
        <v>0</v>
      </c>
      <c r="BT2814">
        <v>0</v>
      </c>
      <c r="BU2814">
        <v>0</v>
      </c>
      <c r="CE2814" t="str">
        <f t="shared" si="1020"/>
        <v>19:33:06.054</v>
      </c>
      <c r="CF2814">
        <v>53925377</v>
      </c>
      <c r="CS2814">
        <v>0</v>
      </c>
      <c r="CT2814">
        <v>2</v>
      </c>
      <c r="CU2814">
        <v>0</v>
      </c>
      <c r="CV2814">
        <v>2</v>
      </c>
      <c r="CW2814">
        <v>0</v>
      </c>
      <c r="CX2814">
        <v>4</v>
      </c>
      <c r="CY2814">
        <v>7</v>
      </c>
      <c r="CZ2814" t="s">
        <v>131</v>
      </c>
      <c r="DA2814">
        <v>300</v>
      </c>
      <c r="DB2814">
        <v>0</v>
      </c>
      <c r="DC2814" t="s">
        <v>176</v>
      </c>
      <c r="DD2814" t="s">
        <v>177</v>
      </c>
      <c r="DG2814">
        <v>5422268</v>
      </c>
      <c r="DI2814">
        <v>0</v>
      </c>
      <c r="DJ2814">
        <v>0</v>
      </c>
      <c r="DK2814">
        <v>1</v>
      </c>
      <c r="DL2814">
        <v>0</v>
      </c>
      <c r="DM2814">
        <v>0</v>
      </c>
      <c r="DN2814">
        <v>1</v>
      </c>
      <c r="DO2814">
        <v>0</v>
      </c>
      <c r="DP2814">
        <v>0</v>
      </c>
      <c r="DQ2814">
        <v>0</v>
      </c>
      <c r="DR2814">
        <v>0</v>
      </c>
      <c r="DS2814">
        <v>0</v>
      </c>
    </row>
    <row r="2815" spans="1:123" x14ac:dyDescent="0.3">
      <c r="A2815" t="str">
        <f>"10/04/2022 19:33:06.271"</f>
        <v>10/04/2022 19:33:06.271</v>
      </c>
      <c r="C2815" t="str">
        <f t="shared" si="1012"/>
        <v>FFDDD3C0</v>
      </c>
      <c r="D2815" t="s">
        <v>134</v>
      </c>
      <c r="E2815">
        <v>15</v>
      </c>
      <c r="J2815" t="s">
        <v>135</v>
      </c>
      <c r="K2815">
        <v>0</v>
      </c>
      <c r="L2815">
        <v>3</v>
      </c>
      <c r="M2815">
        <v>0</v>
      </c>
      <c r="N2815">
        <v>2</v>
      </c>
      <c r="O2815">
        <v>0</v>
      </c>
      <c r="P2815">
        <v>1</v>
      </c>
      <c r="Q2815">
        <v>0</v>
      </c>
      <c r="S2815" t="str">
        <f t="shared" si="1019"/>
        <v>19:33:06.000</v>
      </c>
      <c r="T2815" t="str">
        <f t="shared" si="1019"/>
        <v>19:33:06.000</v>
      </c>
      <c r="U2815" t="str">
        <f t="shared" si="998"/>
        <v>AC3944</v>
      </c>
      <c r="V2815">
        <v>0</v>
      </c>
      <c r="W2815">
        <v>0</v>
      </c>
      <c r="X2815">
        <v>2</v>
      </c>
      <c r="Y2815">
        <v>0</v>
      </c>
      <c r="AA2815">
        <v>1</v>
      </c>
      <c r="AB2815">
        <v>8</v>
      </c>
      <c r="AC2815">
        <v>3</v>
      </c>
      <c r="AD2815">
        <v>0</v>
      </c>
      <c r="AE2815">
        <v>9</v>
      </c>
      <c r="AF2815" t="s">
        <v>138</v>
      </c>
      <c r="AG2815">
        <v>0</v>
      </c>
      <c r="AH2815">
        <v>3</v>
      </c>
      <c r="AI2815">
        <v>1</v>
      </c>
      <c r="AJ2815">
        <v>0</v>
      </c>
      <c r="AK2815" t="s">
        <v>952</v>
      </c>
      <c r="AL2815">
        <v>32.733829</v>
      </c>
      <c r="AM2815" t="s">
        <v>953</v>
      </c>
      <c r="AN2815">
        <v>-116.755421</v>
      </c>
      <c r="AO2815">
        <v>25</v>
      </c>
      <c r="AP2815">
        <v>3600</v>
      </c>
      <c r="AQ2815" t="s">
        <v>129</v>
      </c>
      <c r="AR2815">
        <v>92</v>
      </c>
      <c r="AS2815">
        <v>-99</v>
      </c>
      <c r="AT2815">
        <v>192</v>
      </c>
      <c r="BB2815">
        <v>1200</v>
      </c>
      <c r="BC2815">
        <v>1</v>
      </c>
      <c r="BD2815" t="str">
        <f t="shared" si="999"/>
        <v xml:space="preserve">N887QR  </v>
      </c>
      <c r="BE2815">
        <v>1</v>
      </c>
      <c r="BJ2815">
        <v>3325</v>
      </c>
      <c r="BK2815">
        <v>-275</v>
      </c>
      <c r="BL2815" t="s">
        <v>163</v>
      </c>
      <c r="BM2815">
        <v>1</v>
      </c>
      <c r="BN2815">
        <v>1</v>
      </c>
      <c r="BO2815">
        <v>1</v>
      </c>
      <c r="BP2815">
        <v>0</v>
      </c>
      <c r="BS2815">
        <v>0</v>
      </c>
      <c r="BT2815">
        <v>0</v>
      </c>
      <c r="BU2815">
        <v>0</v>
      </c>
      <c r="CE2815" t="str">
        <f t="shared" si="1020"/>
        <v>19:33:06.054</v>
      </c>
      <c r="CF2815">
        <v>53925377</v>
      </c>
      <c r="CS2815">
        <v>0</v>
      </c>
      <c r="CT2815">
        <v>2</v>
      </c>
      <c r="CU2815">
        <v>0</v>
      </c>
      <c r="CV2815">
        <v>2</v>
      </c>
      <c r="CW2815">
        <v>0</v>
      </c>
      <c r="CX2815">
        <v>4</v>
      </c>
      <c r="CY2815">
        <v>7</v>
      </c>
      <c r="CZ2815" t="s">
        <v>131</v>
      </c>
      <c r="DA2815">
        <v>300</v>
      </c>
      <c r="DB2815">
        <v>0</v>
      </c>
      <c r="DC2815" t="s">
        <v>176</v>
      </c>
      <c r="DD2815" t="s">
        <v>177</v>
      </c>
      <c r="DG2815">
        <v>5422268</v>
      </c>
      <c r="DI2815">
        <v>0</v>
      </c>
      <c r="DJ2815">
        <v>0</v>
      </c>
      <c r="DK2815">
        <v>1</v>
      </c>
      <c r="DL2815">
        <v>0</v>
      </c>
      <c r="DM2815">
        <v>0</v>
      </c>
      <c r="DN2815">
        <v>1</v>
      </c>
      <c r="DO2815">
        <v>0</v>
      </c>
      <c r="DP2815">
        <v>0</v>
      </c>
      <c r="DQ2815">
        <v>0</v>
      </c>
      <c r="DR2815">
        <v>0</v>
      </c>
      <c r="DS2815">
        <v>0</v>
      </c>
    </row>
    <row r="2816" spans="1:123" x14ac:dyDescent="0.3">
      <c r="A2816" t="str">
        <f>"10/04/2022 19:33:06.271"</f>
        <v>10/04/2022 19:33:06.271</v>
      </c>
      <c r="C2816" t="str">
        <f t="shared" si="1012"/>
        <v>FFDDD3C0</v>
      </c>
      <c r="D2816" t="s">
        <v>136</v>
      </c>
      <c r="E2816">
        <v>8</v>
      </c>
      <c r="H2816">
        <v>225</v>
      </c>
      <c r="I2816" t="s">
        <v>137</v>
      </c>
      <c r="J2816" t="s">
        <v>138</v>
      </c>
      <c r="K2816">
        <v>0</v>
      </c>
      <c r="L2816">
        <v>3</v>
      </c>
      <c r="M2816">
        <v>0</v>
      </c>
      <c r="N2816">
        <v>2</v>
      </c>
      <c r="O2816">
        <v>0</v>
      </c>
      <c r="P2816">
        <v>1</v>
      </c>
      <c r="Q2816">
        <v>0</v>
      </c>
      <c r="S2816" t="str">
        <f t="shared" si="1019"/>
        <v>19:33:06.000</v>
      </c>
      <c r="T2816" t="str">
        <f t="shared" si="1019"/>
        <v>19:33:06.000</v>
      </c>
      <c r="U2816" t="str">
        <f t="shared" si="998"/>
        <v>AC3944</v>
      </c>
      <c r="V2816">
        <v>0</v>
      </c>
      <c r="W2816">
        <v>0</v>
      </c>
      <c r="X2816">
        <v>2</v>
      </c>
      <c r="Y2816">
        <v>0</v>
      </c>
      <c r="AA2816">
        <v>1</v>
      </c>
      <c r="AB2816">
        <v>8</v>
      </c>
      <c r="AC2816">
        <v>3</v>
      </c>
      <c r="AD2816">
        <v>0</v>
      </c>
      <c r="AE2816">
        <v>9</v>
      </c>
      <c r="AF2816" t="s">
        <v>138</v>
      </c>
      <c r="AG2816">
        <v>0</v>
      </c>
      <c r="AH2816">
        <v>3</v>
      </c>
      <c r="AI2816">
        <v>1</v>
      </c>
      <c r="AJ2816">
        <v>0</v>
      </c>
      <c r="AK2816" t="s">
        <v>952</v>
      </c>
      <c r="AL2816">
        <v>32.733829</v>
      </c>
      <c r="AM2816" t="s">
        <v>953</v>
      </c>
      <c r="AN2816">
        <v>-116.755421</v>
      </c>
      <c r="AO2816">
        <v>25</v>
      </c>
      <c r="AP2816">
        <v>3600</v>
      </c>
      <c r="AQ2816" t="s">
        <v>129</v>
      </c>
      <c r="AR2816">
        <v>92</v>
      </c>
      <c r="AS2816">
        <v>-99</v>
      </c>
      <c r="AT2816">
        <v>192</v>
      </c>
      <c r="BB2816">
        <v>1200</v>
      </c>
      <c r="BC2816">
        <v>1</v>
      </c>
      <c r="BD2816" t="str">
        <f t="shared" si="999"/>
        <v xml:space="preserve">N887QR  </v>
      </c>
      <c r="BE2816">
        <v>1</v>
      </c>
      <c r="BJ2816">
        <v>3325</v>
      </c>
      <c r="BK2816">
        <v>-275</v>
      </c>
      <c r="BL2816" t="s">
        <v>163</v>
      </c>
      <c r="BM2816">
        <v>1</v>
      </c>
      <c r="BN2816">
        <v>1</v>
      </c>
      <c r="BO2816">
        <v>1</v>
      </c>
      <c r="BP2816">
        <v>0</v>
      </c>
      <c r="BS2816">
        <v>0</v>
      </c>
      <c r="BT2816">
        <v>0</v>
      </c>
      <c r="BU2816">
        <v>0</v>
      </c>
      <c r="CE2816" t="str">
        <f t="shared" si="1020"/>
        <v>19:33:06.054</v>
      </c>
      <c r="CF2816">
        <v>53925377</v>
      </c>
      <c r="CS2816">
        <v>0</v>
      </c>
      <c r="CT2816">
        <v>2</v>
      </c>
      <c r="CU2816">
        <v>0</v>
      </c>
      <c r="CV2816">
        <v>2</v>
      </c>
      <c r="CW2816">
        <v>0</v>
      </c>
      <c r="CX2816">
        <v>4</v>
      </c>
      <c r="CY2816">
        <v>7</v>
      </c>
      <c r="CZ2816" t="s">
        <v>131</v>
      </c>
      <c r="DA2816">
        <v>300</v>
      </c>
      <c r="DB2816">
        <v>0</v>
      </c>
      <c r="DC2816" t="s">
        <v>176</v>
      </c>
      <c r="DD2816" t="s">
        <v>177</v>
      </c>
      <c r="DG2816">
        <v>5422268</v>
      </c>
      <c r="DI2816">
        <v>0</v>
      </c>
      <c r="DJ2816">
        <v>0</v>
      </c>
      <c r="DK2816">
        <v>1</v>
      </c>
      <c r="DL2816">
        <v>0</v>
      </c>
      <c r="DM2816">
        <v>0</v>
      </c>
      <c r="DN2816">
        <v>1</v>
      </c>
      <c r="DO2816">
        <v>0</v>
      </c>
      <c r="DP2816">
        <v>0</v>
      </c>
      <c r="DQ2816">
        <v>0</v>
      </c>
      <c r="DR2816">
        <v>0</v>
      </c>
      <c r="DS2816">
        <v>0</v>
      </c>
    </row>
    <row r="2817" spans="1:123" x14ac:dyDescent="0.3">
      <c r="A2817" t="str">
        <f>"10/04/2022 19:33:06.271"</f>
        <v>10/04/2022 19:33:06.271</v>
      </c>
      <c r="C2817" t="str">
        <f t="shared" si="1012"/>
        <v>FFDDD3C0</v>
      </c>
      <c r="D2817" t="s">
        <v>143</v>
      </c>
      <c r="E2817">
        <v>20</v>
      </c>
      <c r="F2817">
        <v>1020</v>
      </c>
      <c r="G2817" t="s">
        <v>144</v>
      </c>
      <c r="J2817" t="s">
        <v>145</v>
      </c>
      <c r="K2817">
        <v>0</v>
      </c>
      <c r="L2817">
        <v>3</v>
      </c>
      <c r="M2817">
        <v>0</v>
      </c>
      <c r="N2817">
        <v>2</v>
      </c>
      <c r="O2817">
        <v>0</v>
      </c>
      <c r="P2817">
        <v>1</v>
      </c>
      <c r="Q2817">
        <v>0</v>
      </c>
      <c r="S2817" t="str">
        <f t="shared" si="1019"/>
        <v>19:33:06.000</v>
      </c>
      <c r="T2817" t="str">
        <f t="shared" si="1019"/>
        <v>19:33:06.000</v>
      </c>
      <c r="U2817" t="str">
        <f t="shared" si="998"/>
        <v>AC3944</v>
      </c>
      <c r="V2817">
        <v>0</v>
      </c>
      <c r="W2817">
        <v>0</v>
      </c>
      <c r="X2817">
        <v>2</v>
      </c>
      <c r="Y2817">
        <v>0</v>
      </c>
      <c r="AA2817">
        <v>1</v>
      </c>
      <c r="AB2817">
        <v>8</v>
      </c>
      <c r="AC2817">
        <v>3</v>
      </c>
      <c r="AD2817">
        <v>0</v>
      </c>
      <c r="AE2817">
        <v>9</v>
      </c>
      <c r="AF2817" t="s">
        <v>138</v>
      </c>
      <c r="AG2817">
        <v>0</v>
      </c>
      <c r="AH2817">
        <v>3</v>
      </c>
      <c r="AI2817">
        <v>1</v>
      </c>
      <c r="AJ2817">
        <v>0</v>
      </c>
      <c r="AK2817" t="s">
        <v>952</v>
      </c>
      <c r="AL2817">
        <v>32.733829</v>
      </c>
      <c r="AM2817" t="s">
        <v>953</v>
      </c>
      <c r="AN2817">
        <v>-116.755421</v>
      </c>
      <c r="AO2817">
        <v>25</v>
      </c>
      <c r="AP2817">
        <v>3600</v>
      </c>
      <c r="AQ2817" t="s">
        <v>129</v>
      </c>
      <c r="AR2817">
        <v>92</v>
      </c>
      <c r="AS2817">
        <v>-99</v>
      </c>
      <c r="AT2817">
        <v>192</v>
      </c>
      <c r="BB2817">
        <v>1200</v>
      </c>
      <c r="BC2817">
        <v>1</v>
      </c>
      <c r="BD2817" t="str">
        <f t="shared" si="999"/>
        <v xml:space="preserve">N887QR  </v>
      </c>
      <c r="BE2817">
        <v>1</v>
      </c>
      <c r="BJ2817">
        <v>3325</v>
      </c>
      <c r="BK2817">
        <v>-275</v>
      </c>
      <c r="BL2817" t="s">
        <v>163</v>
      </c>
      <c r="BM2817">
        <v>1</v>
      </c>
      <c r="BN2817">
        <v>1</v>
      </c>
      <c r="BO2817">
        <v>1</v>
      </c>
      <c r="BP2817">
        <v>0</v>
      </c>
      <c r="BS2817">
        <v>0</v>
      </c>
      <c r="BT2817">
        <v>0</v>
      </c>
      <c r="BU2817">
        <v>0</v>
      </c>
      <c r="CE2817" t="str">
        <f t="shared" si="1020"/>
        <v>19:33:06.054</v>
      </c>
      <c r="CF2817">
        <v>53925377</v>
      </c>
      <c r="CS2817">
        <v>0</v>
      </c>
      <c r="CT2817">
        <v>2</v>
      </c>
      <c r="CU2817">
        <v>0</v>
      </c>
      <c r="CV2817">
        <v>2</v>
      </c>
      <c r="CW2817">
        <v>0</v>
      </c>
      <c r="CX2817">
        <v>4</v>
      </c>
      <c r="CY2817">
        <v>7</v>
      </c>
      <c r="CZ2817" t="s">
        <v>131</v>
      </c>
      <c r="DA2817">
        <v>300</v>
      </c>
      <c r="DB2817">
        <v>0</v>
      </c>
      <c r="DC2817" t="s">
        <v>176</v>
      </c>
      <c r="DD2817" t="s">
        <v>177</v>
      </c>
      <c r="DG2817">
        <v>5422268</v>
      </c>
      <c r="DI2817">
        <v>0</v>
      </c>
      <c r="DJ2817">
        <v>0</v>
      </c>
      <c r="DK2817">
        <v>1</v>
      </c>
      <c r="DL2817">
        <v>0</v>
      </c>
      <c r="DM2817">
        <v>0</v>
      </c>
      <c r="DN2817">
        <v>1</v>
      </c>
      <c r="DO2817">
        <v>0</v>
      </c>
      <c r="DP2817">
        <v>0</v>
      </c>
      <c r="DQ2817">
        <v>0</v>
      </c>
      <c r="DR2817">
        <v>0</v>
      </c>
      <c r="DS2817">
        <v>0</v>
      </c>
    </row>
    <row r="2818" spans="1:123" x14ac:dyDescent="0.3">
      <c r="A2818" t="str">
        <f t="shared" ref="A2818:A2823" si="1021">"10/04/2022 19:33:07.510"</f>
        <v>10/04/2022 19:33:07.510</v>
      </c>
      <c r="C2818" t="str">
        <f t="shared" si="1012"/>
        <v>FFDDD3C0</v>
      </c>
      <c r="D2818" t="s">
        <v>134</v>
      </c>
      <c r="E2818">
        <v>15</v>
      </c>
      <c r="J2818" t="s">
        <v>135</v>
      </c>
      <c r="K2818">
        <v>0</v>
      </c>
      <c r="L2818">
        <v>3</v>
      </c>
      <c r="M2818">
        <v>0</v>
      </c>
      <c r="N2818">
        <v>2</v>
      </c>
      <c r="O2818">
        <v>0</v>
      </c>
      <c r="P2818">
        <v>1</v>
      </c>
      <c r="Q2818">
        <v>0</v>
      </c>
      <c r="S2818" t="str">
        <f t="shared" ref="S2818:T2824" si="1022">"19:33:07.000"</f>
        <v>19:33:07.000</v>
      </c>
      <c r="T2818" t="str">
        <f t="shared" si="1022"/>
        <v>19:33:07.000</v>
      </c>
      <c r="U2818" t="str">
        <f t="shared" ref="U2818:U2881" si="1023">"AC3944"</f>
        <v>AC3944</v>
      </c>
      <c r="V2818">
        <v>0</v>
      </c>
      <c r="W2818">
        <v>0</v>
      </c>
      <c r="X2818">
        <v>2</v>
      </c>
      <c r="Y2818">
        <v>0</v>
      </c>
      <c r="AA2818">
        <v>1</v>
      </c>
      <c r="AB2818">
        <v>8</v>
      </c>
      <c r="AC2818">
        <v>3</v>
      </c>
      <c r="AD2818">
        <v>0</v>
      </c>
      <c r="AE2818">
        <v>9</v>
      </c>
      <c r="AF2818" t="s">
        <v>138</v>
      </c>
      <c r="AG2818">
        <v>0</v>
      </c>
      <c r="AH2818">
        <v>3</v>
      </c>
      <c r="AI2818">
        <v>1</v>
      </c>
      <c r="AJ2818">
        <v>0</v>
      </c>
      <c r="AK2818" t="s">
        <v>954</v>
      </c>
      <c r="AL2818">
        <v>32.733271000000002</v>
      </c>
      <c r="AM2818" t="s">
        <v>955</v>
      </c>
      <c r="AN2818">
        <v>-116.75479900000001</v>
      </c>
      <c r="AO2818">
        <v>25</v>
      </c>
      <c r="AP2818">
        <v>3600</v>
      </c>
      <c r="AQ2818" t="s">
        <v>129</v>
      </c>
      <c r="AR2818">
        <v>90</v>
      </c>
      <c r="AS2818">
        <v>-101</v>
      </c>
      <c r="AT2818">
        <v>192</v>
      </c>
      <c r="BB2818">
        <v>1200</v>
      </c>
      <c r="BC2818">
        <v>1</v>
      </c>
      <c r="BD2818" t="str">
        <f t="shared" ref="BD2818:BD2881" si="1024">"N887QR  "</f>
        <v xml:space="preserve">N887QR  </v>
      </c>
      <c r="BE2818">
        <v>1</v>
      </c>
      <c r="BJ2818">
        <v>3325</v>
      </c>
      <c r="BK2818">
        <v>-275</v>
      </c>
      <c r="BL2818" t="s">
        <v>163</v>
      </c>
      <c r="BM2818">
        <v>1</v>
      </c>
      <c r="BN2818">
        <v>1</v>
      </c>
      <c r="BO2818">
        <v>1</v>
      </c>
      <c r="BP2818">
        <v>0</v>
      </c>
      <c r="BS2818">
        <v>0</v>
      </c>
      <c r="BT2818">
        <v>0</v>
      </c>
      <c r="BU2818">
        <v>0</v>
      </c>
      <c r="CE2818" t="str">
        <f t="shared" ref="CE2818:CE2824" si="1025">"19:33:07.296"</f>
        <v>19:33:07.296</v>
      </c>
      <c r="CF2818">
        <v>296179685</v>
      </c>
      <c r="CS2818">
        <v>0</v>
      </c>
      <c r="CT2818">
        <v>2</v>
      </c>
      <c r="CU2818">
        <v>0</v>
      </c>
      <c r="CV2818">
        <v>2</v>
      </c>
      <c r="CW2818">
        <v>3</v>
      </c>
      <c r="CX2818">
        <v>4</v>
      </c>
      <c r="CY2818">
        <v>7</v>
      </c>
      <c r="CZ2818" t="s">
        <v>131</v>
      </c>
      <c r="DA2818">
        <v>300</v>
      </c>
      <c r="DB2818">
        <v>0</v>
      </c>
      <c r="DC2818" t="s">
        <v>176</v>
      </c>
      <c r="DD2818" t="s">
        <v>177</v>
      </c>
      <c r="DG2818">
        <v>5422470</v>
      </c>
      <c r="DI2818">
        <v>0</v>
      </c>
      <c r="DJ2818">
        <v>0</v>
      </c>
      <c r="DK2818">
        <v>0</v>
      </c>
      <c r="DL2818">
        <v>0</v>
      </c>
      <c r="DM2818">
        <v>0</v>
      </c>
      <c r="DN2818">
        <v>1</v>
      </c>
      <c r="DO2818">
        <v>0</v>
      </c>
      <c r="DP2818">
        <v>0</v>
      </c>
      <c r="DQ2818">
        <v>0</v>
      </c>
      <c r="DR2818">
        <v>0</v>
      </c>
      <c r="DS2818">
        <v>0</v>
      </c>
    </row>
    <row r="2819" spans="1:123" x14ac:dyDescent="0.3">
      <c r="A2819" t="str">
        <f t="shared" si="1021"/>
        <v>10/04/2022 19:33:07.510</v>
      </c>
      <c r="C2819" t="str">
        <f t="shared" si="1012"/>
        <v>FFDDD3C0</v>
      </c>
      <c r="D2819" t="s">
        <v>136</v>
      </c>
      <c r="E2819">
        <v>8</v>
      </c>
      <c r="H2819">
        <v>225</v>
      </c>
      <c r="I2819" t="s">
        <v>137</v>
      </c>
      <c r="J2819" t="s">
        <v>138</v>
      </c>
      <c r="K2819">
        <v>0</v>
      </c>
      <c r="L2819">
        <v>3</v>
      </c>
      <c r="M2819">
        <v>0</v>
      </c>
      <c r="N2819">
        <v>2</v>
      </c>
      <c r="O2819">
        <v>0</v>
      </c>
      <c r="P2819">
        <v>1</v>
      </c>
      <c r="Q2819">
        <v>0</v>
      </c>
      <c r="S2819" t="str">
        <f t="shared" si="1022"/>
        <v>19:33:07.000</v>
      </c>
      <c r="T2819" t="str">
        <f t="shared" si="1022"/>
        <v>19:33:07.000</v>
      </c>
      <c r="U2819" t="str">
        <f t="shared" si="1023"/>
        <v>AC3944</v>
      </c>
      <c r="V2819">
        <v>0</v>
      </c>
      <c r="W2819">
        <v>0</v>
      </c>
      <c r="X2819">
        <v>2</v>
      </c>
      <c r="Y2819">
        <v>0</v>
      </c>
      <c r="AA2819">
        <v>1</v>
      </c>
      <c r="AB2819">
        <v>8</v>
      </c>
      <c r="AC2819">
        <v>3</v>
      </c>
      <c r="AD2819">
        <v>0</v>
      </c>
      <c r="AE2819">
        <v>9</v>
      </c>
      <c r="AF2819" t="s">
        <v>138</v>
      </c>
      <c r="AG2819">
        <v>0</v>
      </c>
      <c r="AH2819">
        <v>3</v>
      </c>
      <c r="AI2819">
        <v>1</v>
      </c>
      <c r="AJ2819">
        <v>0</v>
      </c>
      <c r="AK2819" t="s">
        <v>954</v>
      </c>
      <c r="AL2819">
        <v>32.733271000000002</v>
      </c>
      <c r="AM2819" t="s">
        <v>955</v>
      </c>
      <c r="AN2819">
        <v>-116.75479900000001</v>
      </c>
      <c r="AO2819">
        <v>25</v>
      </c>
      <c r="AP2819">
        <v>3600</v>
      </c>
      <c r="AQ2819" t="s">
        <v>129</v>
      </c>
      <c r="AR2819">
        <v>90</v>
      </c>
      <c r="AS2819">
        <v>-101</v>
      </c>
      <c r="AT2819">
        <v>192</v>
      </c>
      <c r="BB2819">
        <v>1200</v>
      </c>
      <c r="BC2819">
        <v>1</v>
      </c>
      <c r="BD2819" t="str">
        <f t="shared" si="1024"/>
        <v xml:space="preserve">N887QR  </v>
      </c>
      <c r="BE2819">
        <v>1</v>
      </c>
      <c r="BJ2819">
        <v>3325</v>
      </c>
      <c r="BK2819">
        <v>-275</v>
      </c>
      <c r="BL2819" t="s">
        <v>163</v>
      </c>
      <c r="BM2819">
        <v>1</v>
      </c>
      <c r="BN2819">
        <v>1</v>
      </c>
      <c r="BO2819">
        <v>1</v>
      </c>
      <c r="BP2819">
        <v>0</v>
      </c>
      <c r="BS2819">
        <v>0</v>
      </c>
      <c r="BT2819">
        <v>0</v>
      </c>
      <c r="BU2819">
        <v>0</v>
      </c>
      <c r="CE2819" t="str">
        <f t="shared" si="1025"/>
        <v>19:33:07.296</v>
      </c>
      <c r="CF2819">
        <v>296179685</v>
      </c>
      <c r="CS2819">
        <v>0</v>
      </c>
      <c r="CT2819">
        <v>2</v>
      </c>
      <c r="CU2819">
        <v>0</v>
      </c>
      <c r="CV2819">
        <v>2</v>
      </c>
      <c r="CW2819">
        <v>3</v>
      </c>
      <c r="CX2819">
        <v>4</v>
      </c>
      <c r="CY2819">
        <v>7</v>
      </c>
      <c r="CZ2819" t="s">
        <v>131</v>
      </c>
      <c r="DA2819">
        <v>300</v>
      </c>
      <c r="DB2819">
        <v>0</v>
      </c>
      <c r="DC2819" t="s">
        <v>176</v>
      </c>
      <c r="DD2819" t="s">
        <v>177</v>
      </c>
      <c r="DG2819">
        <v>5422470</v>
      </c>
      <c r="DI2819">
        <v>0</v>
      </c>
      <c r="DJ2819">
        <v>0</v>
      </c>
      <c r="DK2819">
        <v>1</v>
      </c>
      <c r="DL2819">
        <v>0</v>
      </c>
      <c r="DM2819">
        <v>0</v>
      </c>
      <c r="DN2819">
        <v>1</v>
      </c>
      <c r="DO2819">
        <v>0</v>
      </c>
      <c r="DP2819">
        <v>0</v>
      </c>
      <c r="DQ2819">
        <v>0</v>
      </c>
      <c r="DR2819">
        <v>0</v>
      </c>
      <c r="DS2819">
        <v>0</v>
      </c>
    </row>
    <row r="2820" spans="1:123" x14ac:dyDescent="0.3">
      <c r="A2820" t="str">
        <f t="shared" si="1021"/>
        <v>10/04/2022 19:33:07.510</v>
      </c>
      <c r="C2820" t="str">
        <f t="shared" si="1012"/>
        <v>FFDDD3C0</v>
      </c>
      <c r="D2820" t="s">
        <v>143</v>
      </c>
      <c r="E2820">
        <v>20</v>
      </c>
      <c r="F2820">
        <v>1020</v>
      </c>
      <c r="G2820" t="s">
        <v>144</v>
      </c>
      <c r="J2820" t="s">
        <v>145</v>
      </c>
      <c r="K2820">
        <v>0</v>
      </c>
      <c r="L2820">
        <v>3</v>
      </c>
      <c r="M2820">
        <v>0</v>
      </c>
      <c r="N2820">
        <v>2</v>
      </c>
      <c r="O2820">
        <v>0</v>
      </c>
      <c r="P2820">
        <v>1</v>
      </c>
      <c r="Q2820">
        <v>0</v>
      </c>
      <c r="S2820" t="str">
        <f t="shared" si="1022"/>
        <v>19:33:07.000</v>
      </c>
      <c r="T2820" t="str">
        <f t="shared" si="1022"/>
        <v>19:33:07.000</v>
      </c>
      <c r="U2820" t="str">
        <f t="shared" si="1023"/>
        <v>AC3944</v>
      </c>
      <c r="V2820">
        <v>0</v>
      </c>
      <c r="W2820">
        <v>0</v>
      </c>
      <c r="X2820">
        <v>2</v>
      </c>
      <c r="Y2820">
        <v>0</v>
      </c>
      <c r="AA2820">
        <v>1</v>
      </c>
      <c r="AB2820">
        <v>8</v>
      </c>
      <c r="AC2820">
        <v>3</v>
      </c>
      <c r="AD2820">
        <v>0</v>
      </c>
      <c r="AE2820">
        <v>9</v>
      </c>
      <c r="AF2820" t="s">
        <v>138</v>
      </c>
      <c r="AG2820">
        <v>0</v>
      </c>
      <c r="AH2820">
        <v>3</v>
      </c>
      <c r="AI2820">
        <v>1</v>
      </c>
      <c r="AJ2820">
        <v>0</v>
      </c>
      <c r="AK2820" t="s">
        <v>954</v>
      </c>
      <c r="AL2820">
        <v>32.733271000000002</v>
      </c>
      <c r="AM2820" t="s">
        <v>955</v>
      </c>
      <c r="AN2820">
        <v>-116.75479900000001</v>
      </c>
      <c r="AO2820">
        <v>25</v>
      </c>
      <c r="AP2820">
        <v>3600</v>
      </c>
      <c r="AQ2820" t="s">
        <v>129</v>
      </c>
      <c r="AR2820">
        <v>90</v>
      </c>
      <c r="AS2820">
        <v>-101</v>
      </c>
      <c r="AT2820">
        <v>192</v>
      </c>
      <c r="BB2820">
        <v>1200</v>
      </c>
      <c r="BC2820">
        <v>1</v>
      </c>
      <c r="BD2820" t="str">
        <f t="shared" si="1024"/>
        <v xml:space="preserve">N887QR  </v>
      </c>
      <c r="BE2820">
        <v>1</v>
      </c>
      <c r="BJ2820">
        <v>3325</v>
      </c>
      <c r="BK2820">
        <v>-275</v>
      </c>
      <c r="BL2820" t="s">
        <v>163</v>
      </c>
      <c r="BM2820">
        <v>1</v>
      </c>
      <c r="BN2820">
        <v>1</v>
      </c>
      <c r="BO2820">
        <v>1</v>
      </c>
      <c r="BP2820">
        <v>0</v>
      </c>
      <c r="BS2820">
        <v>0</v>
      </c>
      <c r="BT2820">
        <v>0</v>
      </c>
      <c r="BU2820">
        <v>0</v>
      </c>
      <c r="CE2820" t="str">
        <f t="shared" si="1025"/>
        <v>19:33:07.296</v>
      </c>
      <c r="CF2820">
        <v>296179685</v>
      </c>
      <c r="CS2820">
        <v>0</v>
      </c>
      <c r="CT2820">
        <v>2</v>
      </c>
      <c r="CU2820">
        <v>0</v>
      </c>
      <c r="CV2820">
        <v>2</v>
      </c>
      <c r="CW2820">
        <v>3</v>
      </c>
      <c r="CX2820">
        <v>4</v>
      </c>
      <c r="CY2820">
        <v>7</v>
      </c>
      <c r="CZ2820" t="s">
        <v>131</v>
      </c>
      <c r="DA2820">
        <v>300</v>
      </c>
      <c r="DB2820">
        <v>0</v>
      </c>
      <c r="DC2820" t="s">
        <v>176</v>
      </c>
      <c r="DD2820" t="s">
        <v>177</v>
      </c>
      <c r="DG2820">
        <v>5422470</v>
      </c>
      <c r="DI2820">
        <v>0</v>
      </c>
      <c r="DJ2820">
        <v>0</v>
      </c>
      <c r="DK2820">
        <v>1</v>
      </c>
      <c r="DL2820">
        <v>0</v>
      </c>
      <c r="DM2820">
        <v>0</v>
      </c>
      <c r="DN2820">
        <v>1</v>
      </c>
      <c r="DO2820">
        <v>0</v>
      </c>
      <c r="DP2820">
        <v>0</v>
      </c>
      <c r="DQ2820">
        <v>0</v>
      </c>
      <c r="DR2820">
        <v>0</v>
      </c>
      <c r="DS2820">
        <v>0</v>
      </c>
    </row>
    <row r="2821" spans="1:123" x14ac:dyDescent="0.3">
      <c r="A2821" t="str">
        <f t="shared" si="1021"/>
        <v>10/04/2022 19:33:07.510</v>
      </c>
      <c r="C2821" t="str">
        <f t="shared" si="1012"/>
        <v>FFDDD3C0</v>
      </c>
      <c r="D2821" t="s">
        <v>123</v>
      </c>
      <c r="E2821">
        <v>7</v>
      </c>
      <c r="F2821">
        <v>2007</v>
      </c>
      <c r="G2821" t="s">
        <v>124</v>
      </c>
      <c r="J2821" t="s">
        <v>125</v>
      </c>
      <c r="K2821">
        <v>0</v>
      </c>
      <c r="L2821">
        <v>3</v>
      </c>
      <c r="M2821">
        <v>0</v>
      </c>
      <c r="N2821">
        <v>2</v>
      </c>
      <c r="O2821">
        <v>0</v>
      </c>
      <c r="P2821">
        <v>1</v>
      </c>
      <c r="Q2821">
        <v>0</v>
      </c>
      <c r="S2821" t="str">
        <f t="shared" si="1022"/>
        <v>19:33:07.000</v>
      </c>
      <c r="T2821" t="str">
        <f t="shared" si="1022"/>
        <v>19:33:07.000</v>
      </c>
      <c r="U2821" t="str">
        <f t="shared" si="1023"/>
        <v>AC3944</v>
      </c>
      <c r="V2821">
        <v>0</v>
      </c>
      <c r="W2821">
        <v>0</v>
      </c>
      <c r="X2821">
        <v>2</v>
      </c>
      <c r="Y2821">
        <v>0</v>
      </c>
      <c r="AA2821">
        <v>1</v>
      </c>
      <c r="AB2821">
        <v>8</v>
      </c>
      <c r="AC2821">
        <v>3</v>
      </c>
      <c r="AD2821">
        <v>0</v>
      </c>
      <c r="AE2821">
        <v>9</v>
      </c>
      <c r="AF2821" t="s">
        <v>138</v>
      </c>
      <c r="AG2821">
        <v>0</v>
      </c>
      <c r="AH2821">
        <v>3</v>
      </c>
      <c r="AI2821">
        <v>1</v>
      </c>
      <c r="AJ2821">
        <v>0</v>
      </c>
      <c r="AK2821" t="s">
        <v>954</v>
      </c>
      <c r="AL2821">
        <v>32.733271000000002</v>
      </c>
      <c r="AM2821" t="s">
        <v>955</v>
      </c>
      <c r="AN2821">
        <v>-116.75479900000001</v>
      </c>
      <c r="AO2821">
        <v>25</v>
      </c>
      <c r="AP2821">
        <v>3600</v>
      </c>
      <c r="AQ2821" t="s">
        <v>129</v>
      </c>
      <c r="AR2821">
        <v>90</v>
      </c>
      <c r="AS2821">
        <v>-101</v>
      </c>
      <c r="AT2821">
        <v>192</v>
      </c>
      <c r="BB2821">
        <v>1200</v>
      </c>
      <c r="BC2821">
        <v>1</v>
      </c>
      <c r="BD2821" t="str">
        <f t="shared" si="1024"/>
        <v xml:space="preserve">N887QR  </v>
      </c>
      <c r="BE2821">
        <v>1</v>
      </c>
      <c r="BJ2821">
        <v>3325</v>
      </c>
      <c r="BK2821">
        <v>-275</v>
      </c>
      <c r="BL2821" t="s">
        <v>163</v>
      </c>
      <c r="BM2821">
        <v>1</v>
      </c>
      <c r="BN2821">
        <v>1</v>
      </c>
      <c r="BO2821">
        <v>1</v>
      </c>
      <c r="BP2821">
        <v>0</v>
      </c>
      <c r="BS2821">
        <v>0</v>
      </c>
      <c r="BT2821">
        <v>0</v>
      </c>
      <c r="BU2821">
        <v>0</v>
      </c>
      <c r="CE2821" t="str">
        <f t="shared" si="1025"/>
        <v>19:33:07.296</v>
      </c>
      <c r="CF2821">
        <v>296179685</v>
      </c>
      <c r="CS2821">
        <v>0</v>
      </c>
      <c r="CT2821">
        <v>2</v>
      </c>
      <c r="CU2821">
        <v>0</v>
      </c>
      <c r="CV2821">
        <v>2</v>
      </c>
      <c r="CW2821">
        <v>3</v>
      </c>
      <c r="CX2821">
        <v>4</v>
      </c>
      <c r="CY2821">
        <v>7</v>
      </c>
      <c r="CZ2821" t="s">
        <v>131</v>
      </c>
      <c r="DA2821">
        <v>300</v>
      </c>
      <c r="DB2821">
        <v>0</v>
      </c>
      <c r="DC2821" t="s">
        <v>176</v>
      </c>
      <c r="DD2821" t="s">
        <v>177</v>
      </c>
      <c r="DG2821">
        <v>5422470</v>
      </c>
      <c r="DI2821">
        <v>0</v>
      </c>
      <c r="DJ2821">
        <v>0</v>
      </c>
      <c r="DK2821">
        <v>0</v>
      </c>
      <c r="DL2821">
        <v>0</v>
      </c>
      <c r="DM2821">
        <v>0</v>
      </c>
      <c r="DN2821">
        <v>1</v>
      </c>
      <c r="DO2821">
        <v>0</v>
      </c>
      <c r="DP2821">
        <v>0</v>
      </c>
      <c r="DQ2821">
        <v>0</v>
      </c>
      <c r="DR2821">
        <v>0</v>
      </c>
      <c r="DS2821">
        <v>0</v>
      </c>
    </row>
    <row r="2822" spans="1:123" x14ac:dyDescent="0.3">
      <c r="A2822" t="str">
        <f t="shared" si="1021"/>
        <v>10/04/2022 19:33:07.510</v>
      </c>
      <c r="C2822" t="str">
        <f t="shared" si="1012"/>
        <v>FFDDD3C0</v>
      </c>
      <c r="D2822" t="s">
        <v>141</v>
      </c>
      <c r="E2822">
        <v>3</v>
      </c>
      <c r="H2822">
        <v>3</v>
      </c>
      <c r="I2822" t="s">
        <v>146</v>
      </c>
      <c r="J2822" t="s">
        <v>138</v>
      </c>
      <c r="K2822">
        <v>0</v>
      </c>
      <c r="L2822">
        <v>3</v>
      </c>
      <c r="M2822">
        <v>0</v>
      </c>
      <c r="N2822">
        <v>2</v>
      </c>
      <c r="O2822">
        <v>0</v>
      </c>
      <c r="P2822">
        <v>1</v>
      </c>
      <c r="Q2822">
        <v>0</v>
      </c>
      <c r="S2822" t="str">
        <f t="shared" si="1022"/>
        <v>19:33:07.000</v>
      </c>
      <c r="T2822" t="str">
        <f t="shared" si="1022"/>
        <v>19:33:07.000</v>
      </c>
      <c r="U2822" t="str">
        <f t="shared" si="1023"/>
        <v>AC3944</v>
      </c>
      <c r="V2822">
        <v>0</v>
      </c>
      <c r="W2822">
        <v>0</v>
      </c>
      <c r="X2822">
        <v>2</v>
      </c>
      <c r="Y2822">
        <v>0</v>
      </c>
      <c r="AA2822">
        <v>1</v>
      </c>
      <c r="AB2822">
        <v>8</v>
      </c>
      <c r="AC2822">
        <v>3</v>
      </c>
      <c r="AD2822">
        <v>0</v>
      </c>
      <c r="AE2822">
        <v>9</v>
      </c>
      <c r="AF2822" t="s">
        <v>138</v>
      </c>
      <c r="AG2822">
        <v>0</v>
      </c>
      <c r="AH2822">
        <v>3</v>
      </c>
      <c r="AI2822">
        <v>1</v>
      </c>
      <c r="AJ2822">
        <v>0</v>
      </c>
      <c r="AK2822" t="s">
        <v>954</v>
      </c>
      <c r="AL2822">
        <v>32.733271000000002</v>
      </c>
      <c r="AM2822" t="s">
        <v>955</v>
      </c>
      <c r="AN2822">
        <v>-116.75479900000001</v>
      </c>
      <c r="AO2822">
        <v>25</v>
      </c>
      <c r="AP2822">
        <v>3600</v>
      </c>
      <c r="AQ2822" t="s">
        <v>129</v>
      </c>
      <c r="AR2822">
        <v>90</v>
      </c>
      <c r="AS2822">
        <v>-101</v>
      </c>
      <c r="AT2822">
        <v>192</v>
      </c>
      <c r="BB2822">
        <v>1200</v>
      </c>
      <c r="BC2822">
        <v>1</v>
      </c>
      <c r="BD2822" t="str">
        <f t="shared" si="1024"/>
        <v xml:space="preserve">N887QR  </v>
      </c>
      <c r="BE2822">
        <v>1</v>
      </c>
      <c r="BJ2822">
        <v>3325</v>
      </c>
      <c r="BK2822">
        <v>-275</v>
      </c>
      <c r="BL2822" t="s">
        <v>163</v>
      </c>
      <c r="BM2822">
        <v>1</v>
      </c>
      <c r="BN2822">
        <v>1</v>
      </c>
      <c r="BO2822">
        <v>1</v>
      </c>
      <c r="BP2822">
        <v>0</v>
      </c>
      <c r="BS2822">
        <v>0</v>
      </c>
      <c r="BT2822">
        <v>0</v>
      </c>
      <c r="BU2822">
        <v>0</v>
      </c>
      <c r="CE2822" t="str">
        <f t="shared" si="1025"/>
        <v>19:33:07.296</v>
      </c>
      <c r="CF2822">
        <v>296179685</v>
      </c>
      <c r="CS2822">
        <v>0</v>
      </c>
      <c r="CT2822">
        <v>2</v>
      </c>
      <c r="CU2822">
        <v>0</v>
      </c>
      <c r="CV2822">
        <v>2</v>
      </c>
      <c r="CW2822">
        <v>3</v>
      </c>
      <c r="CX2822">
        <v>4</v>
      </c>
      <c r="CY2822">
        <v>7</v>
      </c>
      <c r="CZ2822" t="s">
        <v>131</v>
      </c>
      <c r="DA2822">
        <v>300</v>
      </c>
      <c r="DB2822">
        <v>0</v>
      </c>
      <c r="DC2822" t="s">
        <v>176</v>
      </c>
      <c r="DD2822" t="s">
        <v>177</v>
      </c>
      <c r="DG2822">
        <v>5422470</v>
      </c>
      <c r="DI2822">
        <v>0</v>
      </c>
      <c r="DJ2822">
        <v>0</v>
      </c>
      <c r="DK2822">
        <v>1</v>
      </c>
      <c r="DL2822">
        <v>0</v>
      </c>
      <c r="DM2822">
        <v>0</v>
      </c>
      <c r="DN2822">
        <v>1</v>
      </c>
      <c r="DO2822">
        <v>0</v>
      </c>
      <c r="DP2822">
        <v>0</v>
      </c>
      <c r="DQ2822">
        <v>0</v>
      </c>
      <c r="DR2822">
        <v>0</v>
      </c>
      <c r="DS2822">
        <v>0</v>
      </c>
    </row>
    <row r="2823" spans="1:123" x14ac:dyDescent="0.3">
      <c r="A2823" t="str">
        <f t="shared" si="1021"/>
        <v>10/04/2022 19:33:07.510</v>
      </c>
      <c r="C2823" t="str">
        <f t="shared" si="1012"/>
        <v>FFDDD3C0</v>
      </c>
      <c r="D2823" t="s">
        <v>141</v>
      </c>
      <c r="E2823">
        <v>4</v>
      </c>
      <c r="H2823">
        <v>4</v>
      </c>
      <c r="I2823" t="s">
        <v>142</v>
      </c>
      <c r="J2823" t="s">
        <v>138</v>
      </c>
      <c r="K2823">
        <v>0</v>
      </c>
      <c r="L2823">
        <v>3</v>
      </c>
      <c r="M2823">
        <v>0</v>
      </c>
      <c r="N2823">
        <v>2</v>
      </c>
      <c r="O2823">
        <v>0</v>
      </c>
      <c r="P2823">
        <v>1</v>
      </c>
      <c r="Q2823">
        <v>0</v>
      </c>
      <c r="S2823" t="str">
        <f t="shared" si="1022"/>
        <v>19:33:07.000</v>
      </c>
      <c r="T2823" t="str">
        <f t="shared" si="1022"/>
        <v>19:33:07.000</v>
      </c>
      <c r="U2823" t="str">
        <f t="shared" si="1023"/>
        <v>AC3944</v>
      </c>
      <c r="V2823">
        <v>0</v>
      </c>
      <c r="W2823">
        <v>0</v>
      </c>
      <c r="X2823">
        <v>2</v>
      </c>
      <c r="Y2823">
        <v>0</v>
      </c>
      <c r="AA2823">
        <v>1</v>
      </c>
      <c r="AB2823">
        <v>8</v>
      </c>
      <c r="AC2823">
        <v>3</v>
      </c>
      <c r="AD2823">
        <v>0</v>
      </c>
      <c r="AE2823">
        <v>9</v>
      </c>
      <c r="AF2823" t="s">
        <v>138</v>
      </c>
      <c r="AG2823">
        <v>0</v>
      </c>
      <c r="AH2823">
        <v>3</v>
      </c>
      <c r="AI2823">
        <v>1</v>
      </c>
      <c r="AJ2823">
        <v>0</v>
      </c>
      <c r="AK2823" t="s">
        <v>954</v>
      </c>
      <c r="AL2823">
        <v>32.733271000000002</v>
      </c>
      <c r="AM2823" t="s">
        <v>955</v>
      </c>
      <c r="AN2823">
        <v>-116.75479900000001</v>
      </c>
      <c r="AO2823">
        <v>25</v>
      </c>
      <c r="AP2823">
        <v>3600</v>
      </c>
      <c r="AQ2823" t="s">
        <v>129</v>
      </c>
      <c r="AR2823">
        <v>90</v>
      </c>
      <c r="AS2823">
        <v>-101</v>
      </c>
      <c r="AT2823">
        <v>192</v>
      </c>
      <c r="BB2823">
        <v>1200</v>
      </c>
      <c r="BC2823">
        <v>1</v>
      </c>
      <c r="BD2823" t="str">
        <f t="shared" si="1024"/>
        <v xml:space="preserve">N887QR  </v>
      </c>
      <c r="BE2823">
        <v>1</v>
      </c>
      <c r="BJ2823">
        <v>3325</v>
      </c>
      <c r="BK2823">
        <v>-275</v>
      </c>
      <c r="BL2823" t="s">
        <v>163</v>
      </c>
      <c r="BM2823">
        <v>1</v>
      </c>
      <c r="BN2823">
        <v>1</v>
      </c>
      <c r="BO2823">
        <v>1</v>
      </c>
      <c r="BP2823">
        <v>0</v>
      </c>
      <c r="BS2823">
        <v>0</v>
      </c>
      <c r="BT2823">
        <v>0</v>
      </c>
      <c r="BU2823">
        <v>0</v>
      </c>
      <c r="CE2823" t="str">
        <f t="shared" si="1025"/>
        <v>19:33:07.296</v>
      </c>
      <c r="CF2823">
        <v>296179685</v>
      </c>
      <c r="CS2823">
        <v>0</v>
      </c>
      <c r="CT2823">
        <v>2</v>
      </c>
      <c r="CU2823">
        <v>0</v>
      </c>
      <c r="CV2823">
        <v>2</v>
      </c>
      <c r="CW2823">
        <v>3</v>
      </c>
      <c r="CX2823">
        <v>4</v>
      </c>
      <c r="CY2823">
        <v>7</v>
      </c>
      <c r="CZ2823" t="s">
        <v>131</v>
      </c>
      <c r="DA2823">
        <v>300</v>
      </c>
      <c r="DB2823">
        <v>0</v>
      </c>
      <c r="DC2823" t="s">
        <v>176</v>
      </c>
      <c r="DD2823" t="s">
        <v>177</v>
      </c>
      <c r="DG2823">
        <v>5422470</v>
      </c>
      <c r="DI2823">
        <v>0</v>
      </c>
      <c r="DJ2823">
        <v>0</v>
      </c>
      <c r="DK2823">
        <v>1</v>
      </c>
      <c r="DL2823">
        <v>0</v>
      </c>
      <c r="DM2823">
        <v>0</v>
      </c>
      <c r="DN2823">
        <v>1</v>
      </c>
      <c r="DO2823">
        <v>0</v>
      </c>
      <c r="DP2823">
        <v>0</v>
      </c>
      <c r="DQ2823">
        <v>0</v>
      </c>
      <c r="DR2823">
        <v>0</v>
      </c>
      <c r="DS2823">
        <v>0</v>
      </c>
    </row>
    <row r="2824" spans="1:123" x14ac:dyDescent="0.3">
      <c r="A2824" t="str">
        <f>"10/04/2022 19:33:07.542"</f>
        <v>10/04/2022 19:33:07.542</v>
      </c>
      <c r="C2824" t="str">
        <f t="shared" si="1012"/>
        <v>FFDDD3C0</v>
      </c>
      <c r="D2824" t="s">
        <v>147</v>
      </c>
      <c r="E2824">
        <v>3</v>
      </c>
      <c r="H2824">
        <v>166</v>
      </c>
      <c r="I2824" t="s">
        <v>144</v>
      </c>
      <c r="J2824" t="s">
        <v>148</v>
      </c>
      <c r="K2824">
        <v>0</v>
      </c>
      <c r="L2824">
        <v>3</v>
      </c>
      <c r="M2824">
        <v>0</v>
      </c>
      <c r="N2824">
        <v>2</v>
      </c>
      <c r="O2824">
        <v>0</v>
      </c>
      <c r="P2824">
        <v>1</v>
      </c>
      <c r="Q2824">
        <v>0</v>
      </c>
      <c r="S2824" t="str">
        <f t="shared" si="1022"/>
        <v>19:33:07.000</v>
      </c>
      <c r="T2824" t="str">
        <f t="shared" si="1022"/>
        <v>19:33:07.000</v>
      </c>
      <c r="U2824" t="str">
        <f t="shared" si="1023"/>
        <v>AC3944</v>
      </c>
      <c r="V2824">
        <v>0</v>
      </c>
      <c r="W2824">
        <v>0</v>
      </c>
      <c r="X2824">
        <v>2</v>
      </c>
      <c r="Y2824">
        <v>0</v>
      </c>
      <c r="AA2824">
        <v>1</v>
      </c>
      <c r="AB2824">
        <v>8</v>
      </c>
      <c r="AC2824">
        <v>3</v>
      </c>
      <c r="AD2824">
        <v>0</v>
      </c>
      <c r="AE2824">
        <v>9</v>
      </c>
      <c r="AF2824" t="s">
        <v>138</v>
      </c>
      <c r="AG2824">
        <v>0</v>
      </c>
      <c r="AH2824">
        <v>3</v>
      </c>
      <c r="AI2824">
        <v>1</v>
      </c>
      <c r="AJ2824">
        <v>0</v>
      </c>
      <c r="AK2824" t="s">
        <v>954</v>
      </c>
      <c r="AL2824">
        <v>32.733271000000002</v>
      </c>
      <c r="AM2824" t="s">
        <v>955</v>
      </c>
      <c r="AN2824">
        <v>-116.75479900000001</v>
      </c>
      <c r="AO2824">
        <v>25</v>
      </c>
      <c r="AP2824">
        <v>3600</v>
      </c>
      <c r="AQ2824" t="s">
        <v>129</v>
      </c>
      <c r="AR2824">
        <v>90</v>
      </c>
      <c r="AS2824">
        <v>-101</v>
      </c>
      <c r="AT2824">
        <v>192</v>
      </c>
      <c r="BB2824">
        <v>1200</v>
      </c>
      <c r="BC2824">
        <v>1</v>
      </c>
      <c r="BD2824" t="str">
        <f t="shared" si="1024"/>
        <v xml:space="preserve">N887QR  </v>
      </c>
      <c r="BE2824">
        <v>1</v>
      </c>
      <c r="BJ2824">
        <v>3325</v>
      </c>
      <c r="BK2824">
        <v>-275</v>
      </c>
      <c r="BL2824" t="s">
        <v>163</v>
      </c>
      <c r="BM2824">
        <v>1</v>
      </c>
      <c r="BN2824">
        <v>1</v>
      </c>
      <c r="BO2824">
        <v>1</v>
      </c>
      <c r="BP2824">
        <v>0</v>
      </c>
      <c r="BS2824">
        <v>0</v>
      </c>
      <c r="BT2824">
        <v>0</v>
      </c>
      <c r="BU2824">
        <v>0</v>
      </c>
      <c r="CE2824" t="str">
        <f t="shared" si="1025"/>
        <v>19:33:07.296</v>
      </c>
      <c r="CF2824">
        <v>296179685</v>
      </c>
      <c r="CS2824">
        <v>0</v>
      </c>
      <c r="CT2824">
        <v>2</v>
      </c>
      <c r="CU2824">
        <v>0</v>
      </c>
      <c r="CV2824">
        <v>2</v>
      </c>
      <c r="CW2824">
        <v>3</v>
      </c>
      <c r="CX2824">
        <v>4</v>
      </c>
      <c r="CY2824">
        <v>7</v>
      </c>
      <c r="CZ2824" t="s">
        <v>131</v>
      </c>
      <c r="DA2824">
        <v>300</v>
      </c>
      <c r="DB2824">
        <v>0</v>
      </c>
      <c r="DC2824" t="s">
        <v>176</v>
      </c>
      <c r="DD2824" t="s">
        <v>177</v>
      </c>
      <c r="DG2824">
        <v>5422470</v>
      </c>
      <c r="DI2824">
        <v>0</v>
      </c>
      <c r="DJ2824">
        <v>0</v>
      </c>
      <c r="DK2824">
        <v>1</v>
      </c>
      <c r="DL2824">
        <v>0</v>
      </c>
      <c r="DM2824">
        <v>0</v>
      </c>
      <c r="DN2824">
        <v>1</v>
      </c>
      <c r="DO2824">
        <v>0</v>
      </c>
      <c r="DP2824">
        <v>0</v>
      </c>
      <c r="DQ2824">
        <v>0</v>
      </c>
      <c r="DR2824">
        <v>0</v>
      </c>
      <c r="DS2824">
        <v>0</v>
      </c>
    </row>
    <row r="2825" spans="1:123" x14ac:dyDescent="0.3">
      <c r="A2825" t="str">
        <f t="shared" ref="A2825:A2831" si="1026">"10/04/2022 19:33:08.432"</f>
        <v>10/04/2022 19:33:08.432</v>
      </c>
      <c r="C2825" t="str">
        <f t="shared" si="1012"/>
        <v>FFDDD3C0</v>
      </c>
      <c r="D2825" t="s">
        <v>141</v>
      </c>
      <c r="E2825">
        <v>3</v>
      </c>
      <c r="H2825">
        <v>3</v>
      </c>
      <c r="I2825" t="s">
        <v>146</v>
      </c>
      <c r="J2825" t="s">
        <v>138</v>
      </c>
      <c r="K2825">
        <v>0</v>
      </c>
      <c r="L2825">
        <v>3</v>
      </c>
      <c r="M2825">
        <v>0</v>
      </c>
      <c r="N2825">
        <v>2</v>
      </c>
      <c r="O2825">
        <v>0</v>
      </c>
      <c r="P2825">
        <v>1</v>
      </c>
      <c r="Q2825">
        <v>0</v>
      </c>
      <c r="S2825" t="str">
        <f t="shared" ref="S2825:T2831" si="1027">"19:33:08.000"</f>
        <v>19:33:08.000</v>
      </c>
      <c r="T2825" t="str">
        <f t="shared" si="1027"/>
        <v>19:33:08.000</v>
      </c>
      <c r="U2825" t="str">
        <f t="shared" si="1023"/>
        <v>AC3944</v>
      </c>
      <c r="V2825">
        <v>0</v>
      </c>
      <c r="W2825">
        <v>0</v>
      </c>
      <c r="X2825">
        <v>2</v>
      </c>
      <c r="Y2825">
        <v>0</v>
      </c>
      <c r="AA2825">
        <v>1</v>
      </c>
      <c r="AB2825">
        <v>8</v>
      </c>
      <c r="AC2825">
        <v>3</v>
      </c>
      <c r="AD2825">
        <v>0</v>
      </c>
      <c r="AE2825">
        <v>9</v>
      </c>
      <c r="AF2825" t="s">
        <v>138</v>
      </c>
      <c r="AG2825">
        <v>0</v>
      </c>
      <c r="AH2825">
        <v>3</v>
      </c>
      <c r="AI2825">
        <v>1</v>
      </c>
      <c r="AJ2825">
        <v>0</v>
      </c>
      <c r="AK2825" t="s">
        <v>956</v>
      </c>
      <c r="AL2825">
        <v>32.732799</v>
      </c>
      <c r="AM2825" t="s">
        <v>957</v>
      </c>
      <c r="AN2825">
        <v>-116.754305</v>
      </c>
      <c r="AO2825">
        <v>25</v>
      </c>
      <c r="AP2825">
        <v>3600</v>
      </c>
      <c r="AQ2825" t="s">
        <v>129</v>
      </c>
      <c r="AR2825">
        <v>90</v>
      </c>
      <c r="AS2825">
        <v>-101</v>
      </c>
      <c r="AT2825">
        <v>256</v>
      </c>
      <c r="BB2825">
        <v>1200</v>
      </c>
      <c r="BC2825">
        <v>1</v>
      </c>
      <c r="BD2825" t="str">
        <f t="shared" si="1024"/>
        <v xml:space="preserve">N887QR  </v>
      </c>
      <c r="BE2825">
        <v>1</v>
      </c>
      <c r="BJ2825">
        <v>3325</v>
      </c>
      <c r="BK2825">
        <v>-275</v>
      </c>
      <c r="BL2825" t="s">
        <v>163</v>
      </c>
      <c r="BM2825">
        <v>1</v>
      </c>
      <c r="BN2825">
        <v>1</v>
      </c>
      <c r="BO2825">
        <v>1</v>
      </c>
      <c r="BP2825">
        <v>0</v>
      </c>
      <c r="BS2825">
        <v>0</v>
      </c>
      <c r="BT2825">
        <v>0</v>
      </c>
      <c r="BU2825">
        <v>0</v>
      </c>
      <c r="CE2825" t="str">
        <f t="shared" ref="CE2825:CE2831" si="1028">"19:33:08.106"</f>
        <v>19:33:08.106</v>
      </c>
      <c r="CF2825">
        <v>105932447</v>
      </c>
      <c r="CS2825">
        <v>0</v>
      </c>
      <c r="CT2825">
        <v>2</v>
      </c>
      <c r="CU2825">
        <v>0</v>
      </c>
      <c r="CV2825">
        <v>2</v>
      </c>
      <c r="CW2825">
        <v>3</v>
      </c>
      <c r="CX2825">
        <v>4</v>
      </c>
      <c r="CY2825">
        <v>7</v>
      </c>
      <c r="CZ2825" t="s">
        <v>131</v>
      </c>
      <c r="DA2825">
        <v>300</v>
      </c>
      <c r="DB2825">
        <v>0</v>
      </c>
      <c r="DC2825" t="s">
        <v>176</v>
      </c>
      <c r="DD2825" t="s">
        <v>177</v>
      </c>
      <c r="DG2825">
        <v>5422602</v>
      </c>
      <c r="DI2825">
        <v>0</v>
      </c>
      <c r="DJ2825">
        <v>0</v>
      </c>
      <c r="DK2825">
        <v>0</v>
      </c>
      <c r="DL2825">
        <v>0</v>
      </c>
      <c r="DM2825">
        <v>0</v>
      </c>
      <c r="DN2825">
        <v>1</v>
      </c>
      <c r="DO2825">
        <v>0</v>
      </c>
      <c r="DP2825">
        <v>0</v>
      </c>
      <c r="DQ2825">
        <v>0</v>
      </c>
      <c r="DR2825">
        <v>0</v>
      </c>
      <c r="DS2825">
        <v>0</v>
      </c>
    </row>
    <row r="2826" spans="1:123" x14ac:dyDescent="0.3">
      <c r="A2826" t="str">
        <f t="shared" si="1026"/>
        <v>10/04/2022 19:33:08.432</v>
      </c>
      <c r="C2826" t="str">
        <f t="shared" si="1012"/>
        <v>FFDDD3C0</v>
      </c>
      <c r="D2826" t="s">
        <v>141</v>
      </c>
      <c r="E2826">
        <v>4</v>
      </c>
      <c r="H2826">
        <v>4</v>
      </c>
      <c r="I2826" t="s">
        <v>142</v>
      </c>
      <c r="J2826" t="s">
        <v>138</v>
      </c>
      <c r="K2826">
        <v>0</v>
      </c>
      <c r="L2826">
        <v>3</v>
      </c>
      <c r="M2826">
        <v>0</v>
      </c>
      <c r="N2826">
        <v>2</v>
      </c>
      <c r="O2826">
        <v>0</v>
      </c>
      <c r="P2826">
        <v>1</v>
      </c>
      <c r="Q2826">
        <v>0</v>
      </c>
      <c r="S2826" t="str">
        <f t="shared" si="1027"/>
        <v>19:33:08.000</v>
      </c>
      <c r="T2826" t="str">
        <f t="shared" si="1027"/>
        <v>19:33:08.000</v>
      </c>
      <c r="U2826" t="str">
        <f t="shared" si="1023"/>
        <v>AC3944</v>
      </c>
      <c r="V2826">
        <v>0</v>
      </c>
      <c r="W2826">
        <v>0</v>
      </c>
      <c r="X2826">
        <v>2</v>
      </c>
      <c r="Y2826">
        <v>0</v>
      </c>
      <c r="AA2826">
        <v>1</v>
      </c>
      <c r="AB2826">
        <v>8</v>
      </c>
      <c r="AC2826">
        <v>3</v>
      </c>
      <c r="AD2826">
        <v>0</v>
      </c>
      <c r="AE2826">
        <v>9</v>
      </c>
      <c r="AF2826" t="s">
        <v>138</v>
      </c>
      <c r="AG2826">
        <v>0</v>
      </c>
      <c r="AH2826">
        <v>3</v>
      </c>
      <c r="AI2826">
        <v>1</v>
      </c>
      <c r="AJ2826">
        <v>0</v>
      </c>
      <c r="AK2826" t="s">
        <v>956</v>
      </c>
      <c r="AL2826">
        <v>32.732799</v>
      </c>
      <c r="AM2826" t="s">
        <v>957</v>
      </c>
      <c r="AN2826">
        <v>-116.754305</v>
      </c>
      <c r="AO2826">
        <v>25</v>
      </c>
      <c r="AP2826">
        <v>3600</v>
      </c>
      <c r="AQ2826" t="s">
        <v>129</v>
      </c>
      <c r="AR2826">
        <v>90</v>
      </c>
      <c r="AS2826">
        <v>-101</v>
      </c>
      <c r="AT2826">
        <v>256</v>
      </c>
      <c r="BB2826">
        <v>1200</v>
      </c>
      <c r="BC2826">
        <v>1</v>
      </c>
      <c r="BD2826" t="str">
        <f t="shared" si="1024"/>
        <v xml:space="preserve">N887QR  </v>
      </c>
      <c r="BE2826">
        <v>1</v>
      </c>
      <c r="BJ2826">
        <v>3325</v>
      </c>
      <c r="BK2826">
        <v>-275</v>
      </c>
      <c r="BL2826" t="s">
        <v>163</v>
      </c>
      <c r="BM2826">
        <v>1</v>
      </c>
      <c r="BN2826">
        <v>1</v>
      </c>
      <c r="BO2826">
        <v>1</v>
      </c>
      <c r="BP2826">
        <v>0</v>
      </c>
      <c r="BS2826">
        <v>0</v>
      </c>
      <c r="BT2826">
        <v>0</v>
      </c>
      <c r="BU2826">
        <v>0</v>
      </c>
      <c r="CE2826" t="str">
        <f t="shared" si="1028"/>
        <v>19:33:08.106</v>
      </c>
      <c r="CF2826">
        <v>105932447</v>
      </c>
      <c r="CS2826">
        <v>0</v>
      </c>
      <c r="CT2826">
        <v>2</v>
      </c>
      <c r="CU2826">
        <v>0</v>
      </c>
      <c r="CV2826">
        <v>2</v>
      </c>
      <c r="CW2826">
        <v>3</v>
      </c>
      <c r="CX2826">
        <v>4</v>
      </c>
      <c r="CY2826">
        <v>7</v>
      </c>
      <c r="CZ2826" t="s">
        <v>131</v>
      </c>
      <c r="DA2826">
        <v>300</v>
      </c>
      <c r="DB2826">
        <v>0</v>
      </c>
      <c r="DC2826" t="s">
        <v>176</v>
      </c>
      <c r="DD2826" t="s">
        <v>177</v>
      </c>
      <c r="DG2826">
        <v>5422602</v>
      </c>
      <c r="DI2826">
        <v>0</v>
      </c>
      <c r="DJ2826">
        <v>0</v>
      </c>
      <c r="DK2826">
        <v>1</v>
      </c>
      <c r="DL2826">
        <v>0</v>
      </c>
      <c r="DM2826">
        <v>0</v>
      </c>
      <c r="DN2826">
        <v>1</v>
      </c>
      <c r="DO2826">
        <v>0</v>
      </c>
      <c r="DP2826">
        <v>0</v>
      </c>
      <c r="DQ2826">
        <v>0</v>
      </c>
      <c r="DR2826">
        <v>0</v>
      </c>
      <c r="DS2826">
        <v>0</v>
      </c>
    </row>
    <row r="2827" spans="1:123" x14ac:dyDescent="0.3">
      <c r="A2827" t="str">
        <f t="shared" si="1026"/>
        <v>10/04/2022 19:33:08.432</v>
      </c>
      <c r="C2827" t="str">
        <f t="shared" si="1012"/>
        <v>FFDDD3C0</v>
      </c>
      <c r="D2827" t="s">
        <v>147</v>
      </c>
      <c r="E2827">
        <v>3</v>
      </c>
      <c r="H2827">
        <v>166</v>
      </c>
      <c r="I2827" t="s">
        <v>144</v>
      </c>
      <c r="J2827" t="s">
        <v>148</v>
      </c>
      <c r="K2827">
        <v>0</v>
      </c>
      <c r="L2827">
        <v>3</v>
      </c>
      <c r="M2827">
        <v>0</v>
      </c>
      <c r="N2827">
        <v>2</v>
      </c>
      <c r="O2827">
        <v>0</v>
      </c>
      <c r="P2827">
        <v>1</v>
      </c>
      <c r="Q2827">
        <v>0</v>
      </c>
      <c r="S2827" t="str">
        <f t="shared" si="1027"/>
        <v>19:33:08.000</v>
      </c>
      <c r="T2827" t="str">
        <f t="shared" si="1027"/>
        <v>19:33:08.000</v>
      </c>
      <c r="U2827" t="str">
        <f t="shared" si="1023"/>
        <v>AC3944</v>
      </c>
      <c r="V2827">
        <v>0</v>
      </c>
      <c r="W2827">
        <v>0</v>
      </c>
      <c r="X2827">
        <v>2</v>
      </c>
      <c r="Y2827">
        <v>0</v>
      </c>
      <c r="AA2827">
        <v>1</v>
      </c>
      <c r="AB2827">
        <v>8</v>
      </c>
      <c r="AC2827">
        <v>3</v>
      </c>
      <c r="AD2827">
        <v>0</v>
      </c>
      <c r="AE2827">
        <v>9</v>
      </c>
      <c r="AF2827" t="s">
        <v>138</v>
      </c>
      <c r="AG2827">
        <v>0</v>
      </c>
      <c r="AH2827">
        <v>3</v>
      </c>
      <c r="AI2827">
        <v>1</v>
      </c>
      <c r="AJ2827">
        <v>0</v>
      </c>
      <c r="AK2827" t="s">
        <v>956</v>
      </c>
      <c r="AL2827">
        <v>32.732799</v>
      </c>
      <c r="AM2827" t="s">
        <v>957</v>
      </c>
      <c r="AN2827">
        <v>-116.754305</v>
      </c>
      <c r="AO2827">
        <v>25</v>
      </c>
      <c r="AP2827">
        <v>3600</v>
      </c>
      <c r="AQ2827" t="s">
        <v>129</v>
      </c>
      <c r="AR2827">
        <v>90</v>
      </c>
      <c r="AS2827">
        <v>-101</v>
      </c>
      <c r="AT2827">
        <v>256</v>
      </c>
      <c r="BB2827">
        <v>1200</v>
      </c>
      <c r="BC2827">
        <v>1</v>
      </c>
      <c r="BD2827" t="str">
        <f t="shared" si="1024"/>
        <v xml:space="preserve">N887QR  </v>
      </c>
      <c r="BE2827">
        <v>1</v>
      </c>
      <c r="BJ2827">
        <v>3325</v>
      </c>
      <c r="BK2827">
        <v>-275</v>
      </c>
      <c r="BL2827" t="s">
        <v>163</v>
      </c>
      <c r="BM2827">
        <v>1</v>
      </c>
      <c r="BN2827">
        <v>1</v>
      </c>
      <c r="BO2827">
        <v>1</v>
      </c>
      <c r="BP2827">
        <v>0</v>
      </c>
      <c r="BS2827">
        <v>0</v>
      </c>
      <c r="BT2827">
        <v>0</v>
      </c>
      <c r="BU2827">
        <v>0</v>
      </c>
      <c r="CE2827" t="str">
        <f t="shared" si="1028"/>
        <v>19:33:08.106</v>
      </c>
      <c r="CF2827">
        <v>105932447</v>
      </c>
      <c r="CS2827">
        <v>0</v>
      </c>
      <c r="CT2827">
        <v>2</v>
      </c>
      <c r="CU2827">
        <v>0</v>
      </c>
      <c r="CV2827">
        <v>2</v>
      </c>
      <c r="CW2827">
        <v>3</v>
      </c>
      <c r="CX2827">
        <v>4</v>
      </c>
      <c r="CY2827">
        <v>7</v>
      </c>
      <c r="CZ2827" t="s">
        <v>131</v>
      </c>
      <c r="DA2827">
        <v>300</v>
      </c>
      <c r="DB2827">
        <v>0</v>
      </c>
      <c r="DC2827" t="s">
        <v>176</v>
      </c>
      <c r="DD2827" t="s">
        <v>177</v>
      </c>
      <c r="DG2827">
        <v>5422602</v>
      </c>
      <c r="DI2827">
        <v>0</v>
      </c>
      <c r="DJ2827">
        <v>0</v>
      </c>
      <c r="DK2827">
        <v>0</v>
      </c>
      <c r="DL2827">
        <v>0</v>
      </c>
      <c r="DM2827">
        <v>0</v>
      </c>
      <c r="DN2827">
        <v>1</v>
      </c>
      <c r="DO2827">
        <v>0</v>
      </c>
      <c r="DP2827">
        <v>0</v>
      </c>
      <c r="DQ2827">
        <v>0</v>
      </c>
      <c r="DR2827">
        <v>0</v>
      </c>
      <c r="DS2827">
        <v>0</v>
      </c>
    </row>
    <row r="2828" spans="1:123" x14ac:dyDescent="0.3">
      <c r="A2828" t="str">
        <f t="shared" si="1026"/>
        <v>10/04/2022 19:33:08.432</v>
      </c>
      <c r="C2828" t="str">
        <f t="shared" si="1012"/>
        <v>FFDDD3C0</v>
      </c>
      <c r="D2828" t="s">
        <v>143</v>
      </c>
      <c r="E2828">
        <v>20</v>
      </c>
      <c r="F2828">
        <v>1020</v>
      </c>
      <c r="G2828" t="s">
        <v>144</v>
      </c>
      <c r="J2828" t="s">
        <v>145</v>
      </c>
      <c r="K2828">
        <v>0</v>
      </c>
      <c r="L2828">
        <v>3</v>
      </c>
      <c r="M2828">
        <v>0</v>
      </c>
      <c r="N2828">
        <v>2</v>
      </c>
      <c r="O2828">
        <v>0</v>
      </c>
      <c r="P2828">
        <v>1</v>
      </c>
      <c r="Q2828">
        <v>0</v>
      </c>
      <c r="S2828" t="str">
        <f t="shared" si="1027"/>
        <v>19:33:08.000</v>
      </c>
      <c r="T2828" t="str">
        <f t="shared" si="1027"/>
        <v>19:33:08.000</v>
      </c>
      <c r="U2828" t="str">
        <f t="shared" si="1023"/>
        <v>AC3944</v>
      </c>
      <c r="V2828">
        <v>0</v>
      </c>
      <c r="W2828">
        <v>0</v>
      </c>
      <c r="X2828">
        <v>2</v>
      </c>
      <c r="Y2828">
        <v>0</v>
      </c>
      <c r="AA2828">
        <v>1</v>
      </c>
      <c r="AB2828">
        <v>8</v>
      </c>
      <c r="AC2828">
        <v>3</v>
      </c>
      <c r="AD2828">
        <v>0</v>
      </c>
      <c r="AE2828">
        <v>9</v>
      </c>
      <c r="AF2828" t="s">
        <v>138</v>
      </c>
      <c r="AG2828">
        <v>0</v>
      </c>
      <c r="AH2828">
        <v>3</v>
      </c>
      <c r="AI2828">
        <v>1</v>
      </c>
      <c r="AJ2828">
        <v>0</v>
      </c>
      <c r="AK2828" t="s">
        <v>956</v>
      </c>
      <c r="AL2828">
        <v>32.732799</v>
      </c>
      <c r="AM2828" t="s">
        <v>957</v>
      </c>
      <c r="AN2828">
        <v>-116.754305</v>
      </c>
      <c r="AO2828">
        <v>25</v>
      </c>
      <c r="AP2828">
        <v>3600</v>
      </c>
      <c r="AQ2828" t="s">
        <v>129</v>
      </c>
      <c r="AR2828">
        <v>90</v>
      </c>
      <c r="AS2828">
        <v>-101</v>
      </c>
      <c r="AT2828">
        <v>256</v>
      </c>
      <c r="BB2828">
        <v>1200</v>
      </c>
      <c r="BC2828">
        <v>1</v>
      </c>
      <c r="BD2828" t="str">
        <f t="shared" si="1024"/>
        <v xml:space="preserve">N887QR  </v>
      </c>
      <c r="BE2828">
        <v>1</v>
      </c>
      <c r="BJ2828">
        <v>3325</v>
      </c>
      <c r="BK2828">
        <v>-275</v>
      </c>
      <c r="BL2828" t="s">
        <v>163</v>
      </c>
      <c r="BM2828">
        <v>1</v>
      </c>
      <c r="BN2828">
        <v>1</v>
      </c>
      <c r="BO2828">
        <v>1</v>
      </c>
      <c r="BP2828">
        <v>0</v>
      </c>
      <c r="BS2828">
        <v>0</v>
      </c>
      <c r="BT2828">
        <v>0</v>
      </c>
      <c r="BU2828">
        <v>0</v>
      </c>
      <c r="CE2828" t="str">
        <f t="shared" si="1028"/>
        <v>19:33:08.106</v>
      </c>
      <c r="CF2828">
        <v>105932447</v>
      </c>
      <c r="CS2828">
        <v>0</v>
      </c>
      <c r="CT2828">
        <v>2</v>
      </c>
      <c r="CU2828">
        <v>0</v>
      </c>
      <c r="CV2828">
        <v>2</v>
      </c>
      <c r="CW2828">
        <v>3</v>
      </c>
      <c r="CX2828">
        <v>4</v>
      </c>
      <c r="CY2828">
        <v>7</v>
      </c>
      <c r="CZ2828" t="s">
        <v>131</v>
      </c>
      <c r="DA2828">
        <v>300</v>
      </c>
      <c r="DB2828">
        <v>0</v>
      </c>
      <c r="DC2828" t="s">
        <v>176</v>
      </c>
      <c r="DD2828" t="s">
        <v>177</v>
      </c>
      <c r="DG2828">
        <v>5422602</v>
      </c>
      <c r="DI2828">
        <v>0</v>
      </c>
      <c r="DJ2828">
        <v>0</v>
      </c>
      <c r="DK2828">
        <v>1</v>
      </c>
      <c r="DL2828">
        <v>0</v>
      </c>
      <c r="DM2828">
        <v>0</v>
      </c>
      <c r="DN2828">
        <v>1</v>
      </c>
      <c r="DO2828">
        <v>0</v>
      </c>
      <c r="DP2828">
        <v>0</v>
      </c>
      <c r="DQ2828">
        <v>0</v>
      </c>
      <c r="DR2828">
        <v>0</v>
      </c>
      <c r="DS2828">
        <v>0</v>
      </c>
    </row>
    <row r="2829" spans="1:123" x14ac:dyDescent="0.3">
      <c r="A2829" t="str">
        <f t="shared" si="1026"/>
        <v>10/04/2022 19:33:08.432</v>
      </c>
      <c r="C2829" t="str">
        <f t="shared" si="1012"/>
        <v>FFDDD3C0</v>
      </c>
      <c r="D2829" t="s">
        <v>134</v>
      </c>
      <c r="E2829">
        <v>15</v>
      </c>
      <c r="J2829" t="s">
        <v>135</v>
      </c>
      <c r="K2829">
        <v>0</v>
      </c>
      <c r="L2829">
        <v>3</v>
      </c>
      <c r="M2829">
        <v>0</v>
      </c>
      <c r="N2829">
        <v>2</v>
      </c>
      <c r="O2829">
        <v>0</v>
      </c>
      <c r="P2829">
        <v>1</v>
      </c>
      <c r="Q2829">
        <v>0</v>
      </c>
      <c r="S2829" t="str">
        <f t="shared" si="1027"/>
        <v>19:33:08.000</v>
      </c>
      <c r="T2829" t="str">
        <f t="shared" si="1027"/>
        <v>19:33:08.000</v>
      </c>
      <c r="U2829" t="str">
        <f t="shared" si="1023"/>
        <v>AC3944</v>
      </c>
      <c r="V2829">
        <v>0</v>
      </c>
      <c r="W2829">
        <v>0</v>
      </c>
      <c r="X2829">
        <v>2</v>
      </c>
      <c r="Y2829">
        <v>0</v>
      </c>
      <c r="AA2829">
        <v>1</v>
      </c>
      <c r="AB2829">
        <v>8</v>
      </c>
      <c r="AC2829">
        <v>3</v>
      </c>
      <c r="AD2829">
        <v>0</v>
      </c>
      <c r="AE2829">
        <v>9</v>
      </c>
      <c r="AF2829" t="s">
        <v>138</v>
      </c>
      <c r="AG2829">
        <v>0</v>
      </c>
      <c r="AH2829">
        <v>3</v>
      </c>
      <c r="AI2829">
        <v>1</v>
      </c>
      <c r="AJ2829">
        <v>0</v>
      </c>
      <c r="AK2829" t="s">
        <v>956</v>
      </c>
      <c r="AL2829">
        <v>32.732799</v>
      </c>
      <c r="AM2829" t="s">
        <v>957</v>
      </c>
      <c r="AN2829">
        <v>-116.754305</v>
      </c>
      <c r="AO2829">
        <v>25</v>
      </c>
      <c r="AP2829">
        <v>3600</v>
      </c>
      <c r="AQ2829" t="s">
        <v>129</v>
      </c>
      <c r="AR2829">
        <v>90</v>
      </c>
      <c r="AS2829">
        <v>-101</v>
      </c>
      <c r="AT2829">
        <v>256</v>
      </c>
      <c r="BB2829">
        <v>1200</v>
      </c>
      <c r="BC2829">
        <v>1</v>
      </c>
      <c r="BD2829" t="str">
        <f t="shared" si="1024"/>
        <v xml:space="preserve">N887QR  </v>
      </c>
      <c r="BE2829">
        <v>1</v>
      </c>
      <c r="BJ2829">
        <v>3325</v>
      </c>
      <c r="BK2829">
        <v>-275</v>
      </c>
      <c r="BL2829" t="s">
        <v>163</v>
      </c>
      <c r="BM2829">
        <v>1</v>
      </c>
      <c r="BN2829">
        <v>1</v>
      </c>
      <c r="BO2829">
        <v>1</v>
      </c>
      <c r="BP2829">
        <v>0</v>
      </c>
      <c r="BS2829">
        <v>0</v>
      </c>
      <c r="BT2829">
        <v>0</v>
      </c>
      <c r="BU2829">
        <v>0</v>
      </c>
      <c r="CE2829" t="str">
        <f t="shared" si="1028"/>
        <v>19:33:08.106</v>
      </c>
      <c r="CF2829">
        <v>105932447</v>
      </c>
      <c r="CS2829">
        <v>0</v>
      </c>
      <c r="CT2829">
        <v>2</v>
      </c>
      <c r="CU2829">
        <v>0</v>
      </c>
      <c r="CV2829">
        <v>2</v>
      </c>
      <c r="CW2829">
        <v>3</v>
      </c>
      <c r="CX2829">
        <v>4</v>
      </c>
      <c r="CY2829">
        <v>7</v>
      </c>
      <c r="CZ2829" t="s">
        <v>131</v>
      </c>
      <c r="DA2829">
        <v>300</v>
      </c>
      <c r="DB2829">
        <v>0</v>
      </c>
      <c r="DC2829" t="s">
        <v>176</v>
      </c>
      <c r="DD2829" t="s">
        <v>177</v>
      </c>
      <c r="DG2829">
        <v>5422602</v>
      </c>
      <c r="DI2829">
        <v>0</v>
      </c>
      <c r="DJ2829">
        <v>0</v>
      </c>
      <c r="DK2829">
        <v>1</v>
      </c>
      <c r="DL2829">
        <v>0</v>
      </c>
      <c r="DM2829">
        <v>0</v>
      </c>
      <c r="DN2829">
        <v>1</v>
      </c>
      <c r="DO2829">
        <v>0</v>
      </c>
      <c r="DP2829">
        <v>0</v>
      </c>
      <c r="DQ2829">
        <v>0</v>
      </c>
      <c r="DR2829">
        <v>0</v>
      </c>
      <c r="DS2829">
        <v>0</v>
      </c>
    </row>
    <row r="2830" spans="1:123" x14ac:dyDescent="0.3">
      <c r="A2830" t="str">
        <f t="shared" si="1026"/>
        <v>10/04/2022 19:33:08.432</v>
      </c>
      <c r="C2830" t="str">
        <f t="shared" si="1012"/>
        <v>FFDDD3C0</v>
      </c>
      <c r="D2830" t="s">
        <v>136</v>
      </c>
      <c r="E2830">
        <v>8</v>
      </c>
      <c r="H2830">
        <v>225</v>
      </c>
      <c r="I2830" t="s">
        <v>137</v>
      </c>
      <c r="J2830" t="s">
        <v>138</v>
      </c>
      <c r="K2830">
        <v>0</v>
      </c>
      <c r="L2830">
        <v>3</v>
      </c>
      <c r="M2830">
        <v>0</v>
      </c>
      <c r="N2830">
        <v>2</v>
      </c>
      <c r="O2830">
        <v>0</v>
      </c>
      <c r="P2830">
        <v>1</v>
      </c>
      <c r="Q2830">
        <v>0</v>
      </c>
      <c r="S2830" t="str">
        <f t="shared" si="1027"/>
        <v>19:33:08.000</v>
      </c>
      <c r="T2830" t="str">
        <f t="shared" si="1027"/>
        <v>19:33:08.000</v>
      </c>
      <c r="U2830" t="str">
        <f t="shared" si="1023"/>
        <v>AC3944</v>
      </c>
      <c r="V2830">
        <v>0</v>
      </c>
      <c r="W2830">
        <v>0</v>
      </c>
      <c r="X2830">
        <v>2</v>
      </c>
      <c r="Y2830">
        <v>0</v>
      </c>
      <c r="AA2830">
        <v>1</v>
      </c>
      <c r="AB2830">
        <v>8</v>
      </c>
      <c r="AC2830">
        <v>3</v>
      </c>
      <c r="AD2830">
        <v>0</v>
      </c>
      <c r="AE2830">
        <v>9</v>
      </c>
      <c r="AF2830" t="s">
        <v>138</v>
      </c>
      <c r="AG2830">
        <v>0</v>
      </c>
      <c r="AH2830">
        <v>3</v>
      </c>
      <c r="AI2830">
        <v>1</v>
      </c>
      <c r="AJ2830">
        <v>0</v>
      </c>
      <c r="AK2830" t="s">
        <v>956</v>
      </c>
      <c r="AL2830">
        <v>32.732799</v>
      </c>
      <c r="AM2830" t="s">
        <v>957</v>
      </c>
      <c r="AN2830">
        <v>-116.754305</v>
      </c>
      <c r="AO2830">
        <v>25</v>
      </c>
      <c r="AP2830">
        <v>3600</v>
      </c>
      <c r="AQ2830" t="s">
        <v>129</v>
      </c>
      <c r="AR2830">
        <v>90</v>
      </c>
      <c r="AS2830">
        <v>-101</v>
      </c>
      <c r="AT2830">
        <v>256</v>
      </c>
      <c r="BB2830">
        <v>1200</v>
      </c>
      <c r="BC2830">
        <v>1</v>
      </c>
      <c r="BD2830" t="str">
        <f t="shared" si="1024"/>
        <v xml:space="preserve">N887QR  </v>
      </c>
      <c r="BE2830">
        <v>1</v>
      </c>
      <c r="BJ2830">
        <v>3325</v>
      </c>
      <c r="BK2830">
        <v>-275</v>
      </c>
      <c r="BL2830" t="s">
        <v>163</v>
      </c>
      <c r="BM2830">
        <v>1</v>
      </c>
      <c r="BN2830">
        <v>1</v>
      </c>
      <c r="BO2830">
        <v>1</v>
      </c>
      <c r="BP2830">
        <v>0</v>
      </c>
      <c r="BS2830">
        <v>0</v>
      </c>
      <c r="BT2830">
        <v>0</v>
      </c>
      <c r="BU2830">
        <v>0</v>
      </c>
      <c r="CE2830" t="str">
        <f t="shared" si="1028"/>
        <v>19:33:08.106</v>
      </c>
      <c r="CF2830">
        <v>105932447</v>
      </c>
      <c r="CS2830">
        <v>0</v>
      </c>
      <c r="CT2830">
        <v>2</v>
      </c>
      <c r="CU2830">
        <v>0</v>
      </c>
      <c r="CV2830">
        <v>2</v>
      </c>
      <c r="CW2830">
        <v>3</v>
      </c>
      <c r="CX2830">
        <v>4</v>
      </c>
      <c r="CY2830">
        <v>7</v>
      </c>
      <c r="CZ2830" t="s">
        <v>131</v>
      </c>
      <c r="DA2830">
        <v>300</v>
      </c>
      <c r="DB2830">
        <v>0</v>
      </c>
      <c r="DC2830" t="s">
        <v>176</v>
      </c>
      <c r="DD2830" t="s">
        <v>177</v>
      </c>
      <c r="DG2830">
        <v>5422602</v>
      </c>
      <c r="DI2830">
        <v>0</v>
      </c>
      <c r="DJ2830">
        <v>0</v>
      </c>
      <c r="DK2830">
        <v>1</v>
      </c>
      <c r="DL2830">
        <v>0</v>
      </c>
      <c r="DM2830">
        <v>0</v>
      </c>
      <c r="DN2830">
        <v>1</v>
      </c>
      <c r="DO2830">
        <v>0</v>
      </c>
      <c r="DP2830">
        <v>0</v>
      </c>
      <c r="DQ2830">
        <v>0</v>
      </c>
      <c r="DR2830">
        <v>0</v>
      </c>
      <c r="DS2830">
        <v>0</v>
      </c>
    </row>
    <row r="2831" spans="1:123" x14ac:dyDescent="0.3">
      <c r="A2831" t="str">
        <f t="shared" si="1026"/>
        <v>10/04/2022 19:33:08.432</v>
      </c>
      <c r="C2831" t="str">
        <f t="shared" si="1012"/>
        <v>FFDDD3C0</v>
      </c>
      <c r="D2831" t="s">
        <v>123</v>
      </c>
      <c r="E2831">
        <v>7</v>
      </c>
      <c r="F2831">
        <v>2007</v>
      </c>
      <c r="G2831" t="s">
        <v>124</v>
      </c>
      <c r="J2831" t="s">
        <v>125</v>
      </c>
      <c r="K2831">
        <v>0</v>
      </c>
      <c r="L2831">
        <v>3</v>
      </c>
      <c r="M2831">
        <v>0</v>
      </c>
      <c r="N2831">
        <v>2</v>
      </c>
      <c r="O2831">
        <v>0</v>
      </c>
      <c r="P2831">
        <v>1</v>
      </c>
      <c r="Q2831">
        <v>0</v>
      </c>
      <c r="S2831" t="str">
        <f t="shared" si="1027"/>
        <v>19:33:08.000</v>
      </c>
      <c r="T2831" t="str">
        <f t="shared" si="1027"/>
        <v>19:33:08.000</v>
      </c>
      <c r="U2831" t="str">
        <f t="shared" si="1023"/>
        <v>AC3944</v>
      </c>
      <c r="V2831">
        <v>0</v>
      </c>
      <c r="W2831">
        <v>0</v>
      </c>
      <c r="X2831">
        <v>2</v>
      </c>
      <c r="Y2831">
        <v>0</v>
      </c>
      <c r="AA2831">
        <v>1</v>
      </c>
      <c r="AB2831">
        <v>8</v>
      </c>
      <c r="AC2831">
        <v>3</v>
      </c>
      <c r="AD2831">
        <v>0</v>
      </c>
      <c r="AE2831">
        <v>9</v>
      </c>
      <c r="AF2831" t="s">
        <v>138</v>
      </c>
      <c r="AG2831">
        <v>0</v>
      </c>
      <c r="AH2831">
        <v>3</v>
      </c>
      <c r="AI2831">
        <v>1</v>
      </c>
      <c r="AJ2831">
        <v>0</v>
      </c>
      <c r="AK2831" t="s">
        <v>956</v>
      </c>
      <c r="AL2831">
        <v>32.732799</v>
      </c>
      <c r="AM2831" t="s">
        <v>957</v>
      </c>
      <c r="AN2831">
        <v>-116.754305</v>
      </c>
      <c r="AO2831">
        <v>25</v>
      </c>
      <c r="AP2831">
        <v>3600</v>
      </c>
      <c r="AQ2831" t="s">
        <v>129</v>
      </c>
      <c r="AR2831">
        <v>90</v>
      </c>
      <c r="AS2831">
        <v>-101</v>
      </c>
      <c r="AT2831">
        <v>256</v>
      </c>
      <c r="BB2831">
        <v>1200</v>
      </c>
      <c r="BC2831">
        <v>1</v>
      </c>
      <c r="BD2831" t="str">
        <f t="shared" si="1024"/>
        <v xml:space="preserve">N887QR  </v>
      </c>
      <c r="BE2831">
        <v>1</v>
      </c>
      <c r="BJ2831">
        <v>3325</v>
      </c>
      <c r="BK2831">
        <v>-275</v>
      </c>
      <c r="BL2831" t="s">
        <v>163</v>
      </c>
      <c r="BM2831">
        <v>1</v>
      </c>
      <c r="BN2831">
        <v>1</v>
      </c>
      <c r="BO2831">
        <v>1</v>
      </c>
      <c r="BP2831">
        <v>0</v>
      </c>
      <c r="BS2831">
        <v>0</v>
      </c>
      <c r="BT2831">
        <v>0</v>
      </c>
      <c r="BU2831">
        <v>0</v>
      </c>
      <c r="CE2831" t="str">
        <f t="shared" si="1028"/>
        <v>19:33:08.106</v>
      </c>
      <c r="CF2831">
        <v>105932447</v>
      </c>
      <c r="CS2831">
        <v>0</v>
      </c>
      <c r="CT2831">
        <v>2</v>
      </c>
      <c r="CU2831">
        <v>0</v>
      </c>
      <c r="CV2831">
        <v>2</v>
      </c>
      <c r="CW2831">
        <v>3</v>
      </c>
      <c r="CX2831">
        <v>4</v>
      </c>
      <c r="CY2831">
        <v>7</v>
      </c>
      <c r="CZ2831" t="s">
        <v>131</v>
      </c>
      <c r="DA2831">
        <v>300</v>
      </c>
      <c r="DB2831">
        <v>0</v>
      </c>
      <c r="DC2831" t="s">
        <v>176</v>
      </c>
      <c r="DD2831" t="s">
        <v>177</v>
      </c>
      <c r="DG2831">
        <v>5422602</v>
      </c>
      <c r="DI2831">
        <v>0</v>
      </c>
      <c r="DJ2831">
        <v>0</v>
      </c>
      <c r="DK2831">
        <v>1</v>
      </c>
      <c r="DL2831">
        <v>0</v>
      </c>
      <c r="DM2831">
        <v>0</v>
      </c>
      <c r="DN2831">
        <v>1</v>
      </c>
      <c r="DO2831">
        <v>0</v>
      </c>
      <c r="DP2831">
        <v>0</v>
      </c>
      <c r="DQ2831">
        <v>0</v>
      </c>
      <c r="DR2831">
        <v>0</v>
      </c>
      <c r="DS2831">
        <v>0</v>
      </c>
    </row>
    <row r="2832" spans="1:123" x14ac:dyDescent="0.3">
      <c r="A2832" t="str">
        <f t="shared" ref="A2832:A2838" si="1029">"10/04/2022 19:33:09.604"</f>
        <v>10/04/2022 19:33:09.604</v>
      </c>
      <c r="C2832" t="str">
        <f t="shared" si="1012"/>
        <v>FFDDD3C0</v>
      </c>
      <c r="D2832" t="s">
        <v>141</v>
      </c>
      <c r="E2832">
        <v>3</v>
      </c>
      <c r="H2832">
        <v>3</v>
      </c>
      <c r="I2832" t="s">
        <v>146</v>
      </c>
      <c r="J2832" t="s">
        <v>138</v>
      </c>
      <c r="K2832">
        <v>0</v>
      </c>
      <c r="L2832">
        <v>3</v>
      </c>
      <c r="M2832">
        <v>0</v>
      </c>
      <c r="N2832">
        <v>2</v>
      </c>
      <c r="O2832">
        <v>0</v>
      </c>
      <c r="P2832">
        <v>1</v>
      </c>
      <c r="Q2832">
        <v>0</v>
      </c>
      <c r="S2832" t="str">
        <f t="shared" ref="S2832:T2838" si="1030">"19:33:09.000"</f>
        <v>19:33:09.000</v>
      </c>
      <c r="T2832" t="str">
        <f t="shared" si="1030"/>
        <v>19:33:09.000</v>
      </c>
      <c r="U2832" t="str">
        <f t="shared" si="1023"/>
        <v>AC3944</v>
      </c>
      <c r="V2832">
        <v>0</v>
      </c>
      <c r="W2832">
        <v>0</v>
      </c>
      <c r="X2832">
        <v>2</v>
      </c>
      <c r="Y2832">
        <v>0</v>
      </c>
      <c r="AA2832">
        <v>1</v>
      </c>
      <c r="AB2832">
        <v>8</v>
      </c>
      <c r="AC2832">
        <v>3</v>
      </c>
      <c r="AD2832">
        <v>0</v>
      </c>
      <c r="AE2832">
        <v>9</v>
      </c>
      <c r="AF2832" t="s">
        <v>138</v>
      </c>
      <c r="AG2832">
        <v>0</v>
      </c>
      <c r="AH2832">
        <v>3</v>
      </c>
      <c r="AI2832">
        <v>1</v>
      </c>
      <c r="AJ2832">
        <v>0</v>
      </c>
      <c r="AK2832" t="s">
        <v>958</v>
      </c>
      <c r="AL2832">
        <v>32.732326999999998</v>
      </c>
      <c r="AM2832" t="s">
        <v>959</v>
      </c>
      <c r="AN2832">
        <v>-116.753812</v>
      </c>
      <c r="AO2832">
        <v>25</v>
      </c>
      <c r="AP2832">
        <v>3600</v>
      </c>
      <c r="AQ2832" t="s">
        <v>129</v>
      </c>
      <c r="AR2832">
        <v>88</v>
      </c>
      <c r="AS2832">
        <v>-104</v>
      </c>
      <c r="AT2832">
        <v>256</v>
      </c>
      <c r="BB2832">
        <v>1200</v>
      </c>
      <c r="BC2832">
        <v>1</v>
      </c>
      <c r="BD2832" t="str">
        <f t="shared" si="1024"/>
        <v xml:space="preserve">N887QR  </v>
      </c>
      <c r="BE2832">
        <v>1</v>
      </c>
      <c r="BJ2832">
        <v>3350</v>
      </c>
      <c r="BK2832">
        <v>-250</v>
      </c>
      <c r="BL2832" t="s">
        <v>163</v>
      </c>
      <c r="BM2832">
        <v>1</v>
      </c>
      <c r="BN2832">
        <v>1</v>
      </c>
      <c r="BO2832">
        <v>1</v>
      </c>
      <c r="BP2832">
        <v>0</v>
      </c>
      <c r="BS2832">
        <v>0</v>
      </c>
      <c r="BT2832">
        <v>0</v>
      </c>
      <c r="BU2832">
        <v>0</v>
      </c>
      <c r="CE2832" t="str">
        <f t="shared" ref="CE2832:CE2838" si="1031">"19:33:09.337"</f>
        <v>19:33:09.337</v>
      </c>
      <c r="CF2832">
        <v>337186631</v>
      </c>
      <c r="CS2832">
        <v>0</v>
      </c>
      <c r="CT2832">
        <v>2</v>
      </c>
      <c r="CU2832">
        <v>0</v>
      </c>
      <c r="CV2832">
        <v>2</v>
      </c>
      <c r="CW2832">
        <v>0</v>
      </c>
      <c r="CX2832">
        <v>4</v>
      </c>
      <c r="CY2832">
        <v>7</v>
      </c>
      <c r="CZ2832" t="s">
        <v>131</v>
      </c>
      <c r="DA2832">
        <v>300</v>
      </c>
      <c r="DB2832">
        <v>0</v>
      </c>
      <c r="DC2832" t="s">
        <v>176</v>
      </c>
      <c r="DD2832" t="s">
        <v>177</v>
      </c>
      <c r="DG2832">
        <v>5422804</v>
      </c>
      <c r="DI2832">
        <v>0</v>
      </c>
      <c r="DJ2832">
        <v>0</v>
      </c>
      <c r="DK2832">
        <v>0</v>
      </c>
      <c r="DL2832">
        <v>0</v>
      </c>
      <c r="DM2832">
        <v>0</v>
      </c>
      <c r="DN2832">
        <v>1</v>
      </c>
      <c r="DO2832">
        <v>0</v>
      </c>
      <c r="DP2832">
        <v>0</v>
      </c>
      <c r="DQ2832">
        <v>0</v>
      </c>
      <c r="DR2832">
        <v>0</v>
      </c>
      <c r="DS2832">
        <v>0</v>
      </c>
    </row>
    <row r="2833" spans="1:123" x14ac:dyDescent="0.3">
      <c r="A2833" t="str">
        <f t="shared" si="1029"/>
        <v>10/04/2022 19:33:09.604</v>
      </c>
      <c r="C2833" t="str">
        <f t="shared" si="1012"/>
        <v>FFDDD3C0</v>
      </c>
      <c r="D2833" t="s">
        <v>143</v>
      </c>
      <c r="E2833">
        <v>20</v>
      </c>
      <c r="F2833">
        <v>1020</v>
      </c>
      <c r="G2833" t="s">
        <v>144</v>
      </c>
      <c r="J2833" t="s">
        <v>145</v>
      </c>
      <c r="K2833">
        <v>0</v>
      </c>
      <c r="L2833">
        <v>3</v>
      </c>
      <c r="M2833">
        <v>0</v>
      </c>
      <c r="N2833">
        <v>2</v>
      </c>
      <c r="O2833">
        <v>0</v>
      </c>
      <c r="P2833">
        <v>1</v>
      </c>
      <c r="Q2833">
        <v>0</v>
      </c>
      <c r="S2833" t="str">
        <f t="shared" si="1030"/>
        <v>19:33:09.000</v>
      </c>
      <c r="T2833" t="str">
        <f t="shared" si="1030"/>
        <v>19:33:09.000</v>
      </c>
      <c r="U2833" t="str">
        <f t="shared" si="1023"/>
        <v>AC3944</v>
      </c>
      <c r="V2833">
        <v>0</v>
      </c>
      <c r="W2833">
        <v>0</v>
      </c>
      <c r="X2833">
        <v>2</v>
      </c>
      <c r="Y2833">
        <v>0</v>
      </c>
      <c r="AA2833">
        <v>1</v>
      </c>
      <c r="AB2833">
        <v>8</v>
      </c>
      <c r="AC2833">
        <v>3</v>
      </c>
      <c r="AD2833">
        <v>0</v>
      </c>
      <c r="AE2833">
        <v>9</v>
      </c>
      <c r="AF2833" t="s">
        <v>138</v>
      </c>
      <c r="AG2833">
        <v>0</v>
      </c>
      <c r="AH2833">
        <v>3</v>
      </c>
      <c r="AI2833">
        <v>1</v>
      </c>
      <c r="AJ2833">
        <v>0</v>
      </c>
      <c r="AK2833" t="s">
        <v>958</v>
      </c>
      <c r="AL2833">
        <v>32.732326999999998</v>
      </c>
      <c r="AM2833" t="s">
        <v>959</v>
      </c>
      <c r="AN2833">
        <v>-116.753812</v>
      </c>
      <c r="AO2833">
        <v>25</v>
      </c>
      <c r="AP2833">
        <v>3600</v>
      </c>
      <c r="AQ2833" t="s">
        <v>129</v>
      </c>
      <c r="AR2833">
        <v>88</v>
      </c>
      <c r="AS2833">
        <v>-104</v>
      </c>
      <c r="AT2833">
        <v>256</v>
      </c>
      <c r="BB2833">
        <v>1200</v>
      </c>
      <c r="BC2833">
        <v>1</v>
      </c>
      <c r="BD2833" t="str">
        <f t="shared" si="1024"/>
        <v xml:space="preserve">N887QR  </v>
      </c>
      <c r="BE2833">
        <v>1</v>
      </c>
      <c r="BJ2833">
        <v>3350</v>
      </c>
      <c r="BK2833">
        <v>-250</v>
      </c>
      <c r="BL2833" t="s">
        <v>163</v>
      </c>
      <c r="BM2833">
        <v>1</v>
      </c>
      <c r="BN2833">
        <v>1</v>
      </c>
      <c r="BO2833">
        <v>1</v>
      </c>
      <c r="BP2833">
        <v>0</v>
      </c>
      <c r="BS2833">
        <v>0</v>
      </c>
      <c r="BT2833">
        <v>0</v>
      </c>
      <c r="BU2833">
        <v>0</v>
      </c>
      <c r="CE2833" t="str">
        <f t="shared" si="1031"/>
        <v>19:33:09.337</v>
      </c>
      <c r="CF2833">
        <v>337186631</v>
      </c>
      <c r="CS2833">
        <v>0</v>
      </c>
      <c r="CT2833">
        <v>2</v>
      </c>
      <c r="CU2833">
        <v>0</v>
      </c>
      <c r="CV2833">
        <v>2</v>
      </c>
      <c r="CW2833">
        <v>0</v>
      </c>
      <c r="CX2833">
        <v>4</v>
      </c>
      <c r="CY2833">
        <v>7</v>
      </c>
      <c r="CZ2833" t="s">
        <v>131</v>
      </c>
      <c r="DA2833">
        <v>300</v>
      </c>
      <c r="DB2833">
        <v>0</v>
      </c>
      <c r="DC2833" t="s">
        <v>176</v>
      </c>
      <c r="DD2833" t="s">
        <v>177</v>
      </c>
      <c r="DG2833">
        <v>5422804</v>
      </c>
      <c r="DI2833">
        <v>0</v>
      </c>
      <c r="DJ2833">
        <v>0</v>
      </c>
      <c r="DK2833">
        <v>1</v>
      </c>
      <c r="DL2833">
        <v>0</v>
      </c>
      <c r="DM2833">
        <v>0</v>
      </c>
      <c r="DN2833">
        <v>1</v>
      </c>
      <c r="DO2833">
        <v>0</v>
      </c>
      <c r="DP2833">
        <v>0</v>
      </c>
      <c r="DQ2833">
        <v>0</v>
      </c>
      <c r="DR2833">
        <v>0</v>
      </c>
      <c r="DS2833">
        <v>0</v>
      </c>
    </row>
    <row r="2834" spans="1:123" x14ac:dyDescent="0.3">
      <c r="A2834" t="str">
        <f t="shared" si="1029"/>
        <v>10/04/2022 19:33:09.604</v>
      </c>
      <c r="C2834" t="str">
        <f t="shared" si="1012"/>
        <v>FFDDD3C0</v>
      </c>
      <c r="D2834" t="s">
        <v>147</v>
      </c>
      <c r="E2834">
        <v>3</v>
      </c>
      <c r="H2834">
        <v>166</v>
      </c>
      <c r="I2834" t="s">
        <v>144</v>
      </c>
      <c r="J2834" t="s">
        <v>148</v>
      </c>
      <c r="K2834">
        <v>0</v>
      </c>
      <c r="L2834">
        <v>3</v>
      </c>
      <c r="M2834">
        <v>0</v>
      </c>
      <c r="N2834">
        <v>2</v>
      </c>
      <c r="O2834">
        <v>0</v>
      </c>
      <c r="P2834">
        <v>1</v>
      </c>
      <c r="Q2834">
        <v>0</v>
      </c>
      <c r="S2834" t="str">
        <f t="shared" si="1030"/>
        <v>19:33:09.000</v>
      </c>
      <c r="T2834" t="str">
        <f t="shared" si="1030"/>
        <v>19:33:09.000</v>
      </c>
      <c r="U2834" t="str">
        <f t="shared" si="1023"/>
        <v>AC3944</v>
      </c>
      <c r="V2834">
        <v>0</v>
      </c>
      <c r="W2834">
        <v>0</v>
      </c>
      <c r="X2834">
        <v>2</v>
      </c>
      <c r="Y2834">
        <v>0</v>
      </c>
      <c r="AA2834">
        <v>1</v>
      </c>
      <c r="AB2834">
        <v>8</v>
      </c>
      <c r="AC2834">
        <v>3</v>
      </c>
      <c r="AD2834">
        <v>0</v>
      </c>
      <c r="AE2834">
        <v>9</v>
      </c>
      <c r="AF2834" t="s">
        <v>138</v>
      </c>
      <c r="AG2834">
        <v>0</v>
      </c>
      <c r="AH2834">
        <v>3</v>
      </c>
      <c r="AI2834">
        <v>1</v>
      </c>
      <c r="AJ2834">
        <v>0</v>
      </c>
      <c r="AK2834" t="s">
        <v>958</v>
      </c>
      <c r="AL2834">
        <v>32.732326999999998</v>
      </c>
      <c r="AM2834" t="s">
        <v>959</v>
      </c>
      <c r="AN2834">
        <v>-116.753812</v>
      </c>
      <c r="AO2834">
        <v>25</v>
      </c>
      <c r="AP2834">
        <v>3600</v>
      </c>
      <c r="AQ2834" t="s">
        <v>129</v>
      </c>
      <c r="AR2834">
        <v>88</v>
      </c>
      <c r="AS2834">
        <v>-104</v>
      </c>
      <c r="AT2834">
        <v>256</v>
      </c>
      <c r="BB2834">
        <v>1200</v>
      </c>
      <c r="BC2834">
        <v>1</v>
      </c>
      <c r="BD2834" t="str">
        <f t="shared" si="1024"/>
        <v xml:space="preserve">N887QR  </v>
      </c>
      <c r="BE2834">
        <v>1</v>
      </c>
      <c r="BJ2834">
        <v>3350</v>
      </c>
      <c r="BK2834">
        <v>-250</v>
      </c>
      <c r="BL2834" t="s">
        <v>163</v>
      </c>
      <c r="BM2834">
        <v>1</v>
      </c>
      <c r="BN2834">
        <v>1</v>
      </c>
      <c r="BO2834">
        <v>1</v>
      </c>
      <c r="BP2834">
        <v>0</v>
      </c>
      <c r="BS2834">
        <v>0</v>
      </c>
      <c r="BT2834">
        <v>0</v>
      </c>
      <c r="BU2834">
        <v>0</v>
      </c>
      <c r="CE2834" t="str">
        <f t="shared" si="1031"/>
        <v>19:33:09.337</v>
      </c>
      <c r="CF2834">
        <v>337186631</v>
      </c>
      <c r="CS2834">
        <v>0</v>
      </c>
      <c r="CT2834">
        <v>2</v>
      </c>
      <c r="CU2834">
        <v>0</v>
      </c>
      <c r="CV2834">
        <v>2</v>
      </c>
      <c r="CW2834">
        <v>0</v>
      </c>
      <c r="CX2834">
        <v>4</v>
      </c>
      <c r="CY2834">
        <v>7</v>
      </c>
      <c r="CZ2834" t="s">
        <v>131</v>
      </c>
      <c r="DA2834">
        <v>300</v>
      </c>
      <c r="DB2834">
        <v>0</v>
      </c>
      <c r="DC2834" t="s">
        <v>176</v>
      </c>
      <c r="DD2834" t="s">
        <v>177</v>
      </c>
      <c r="DG2834">
        <v>5422804</v>
      </c>
      <c r="DI2834">
        <v>0</v>
      </c>
      <c r="DJ2834">
        <v>0</v>
      </c>
      <c r="DK2834">
        <v>1</v>
      </c>
      <c r="DL2834">
        <v>0</v>
      </c>
      <c r="DM2834">
        <v>0</v>
      </c>
      <c r="DN2834">
        <v>1</v>
      </c>
      <c r="DO2834">
        <v>0</v>
      </c>
      <c r="DP2834">
        <v>0</v>
      </c>
      <c r="DQ2834">
        <v>0</v>
      </c>
      <c r="DR2834">
        <v>0</v>
      </c>
      <c r="DS2834">
        <v>0</v>
      </c>
    </row>
    <row r="2835" spans="1:123" x14ac:dyDescent="0.3">
      <c r="A2835" t="str">
        <f t="shared" si="1029"/>
        <v>10/04/2022 19:33:09.604</v>
      </c>
      <c r="C2835" t="str">
        <f t="shared" si="1012"/>
        <v>FFDDD3C0</v>
      </c>
      <c r="D2835" t="s">
        <v>134</v>
      </c>
      <c r="E2835">
        <v>15</v>
      </c>
      <c r="J2835" t="s">
        <v>135</v>
      </c>
      <c r="K2835">
        <v>0</v>
      </c>
      <c r="L2835">
        <v>3</v>
      </c>
      <c r="M2835">
        <v>0</v>
      </c>
      <c r="N2835">
        <v>2</v>
      </c>
      <c r="O2835">
        <v>0</v>
      </c>
      <c r="P2835">
        <v>1</v>
      </c>
      <c r="Q2835">
        <v>0</v>
      </c>
      <c r="S2835" t="str">
        <f t="shared" si="1030"/>
        <v>19:33:09.000</v>
      </c>
      <c r="T2835" t="str">
        <f t="shared" si="1030"/>
        <v>19:33:09.000</v>
      </c>
      <c r="U2835" t="str">
        <f t="shared" si="1023"/>
        <v>AC3944</v>
      </c>
      <c r="V2835">
        <v>0</v>
      </c>
      <c r="W2835">
        <v>0</v>
      </c>
      <c r="X2835">
        <v>2</v>
      </c>
      <c r="Y2835">
        <v>0</v>
      </c>
      <c r="AA2835">
        <v>1</v>
      </c>
      <c r="AB2835">
        <v>8</v>
      </c>
      <c r="AC2835">
        <v>3</v>
      </c>
      <c r="AD2835">
        <v>0</v>
      </c>
      <c r="AE2835">
        <v>9</v>
      </c>
      <c r="AF2835" t="s">
        <v>138</v>
      </c>
      <c r="AG2835">
        <v>0</v>
      </c>
      <c r="AH2835">
        <v>3</v>
      </c>
      <c r="AI2835">
        <v>1</v>
      </c>
      <c r="AJ2835">
        <v>0</v>
      </c>
      <c r="AK2835" t="s">
        <v>958</v>
      </c>
      <c r="AL2835">
        <v>32.732326999999998</v>
      </c>
      <c r="AM2835" t="s">
        <v>959</v>
      </c>
      <c r="AN2835">
        <v>-116.753812</v>
      </c>
      <c r="AO2835">
        <v>25</v>
      </c>
      <c r="AP2835">
        <v>3600</v>
      </c>
      <c r="AQ2835" t="s">
        <v>129</v>
      </c>
      <c r="AR2835">
        <v>88</v>
      </c>
      <c r="AS2835">
        <v>-104</v>
      </c>
      <c r="AT2835">
        <v>256</v>
      </c>
      <c r="BB2835">
        <v>1200</v>
      </c>
      <c r="BC2835">
        <v>1</v>
      </c>
      <c r="BD2835" t="str">
        <f t="shared" si="1024"/>
        <v xml:space="preserve">N887QR  </v>
      </c>
      <c r="BE2835">
        <v>1</v>
      </c>
      <c r="BJ2835">
        <v>3350</v>
      </c>
      <c r="BK2835">
        <v>-250</v>
      </c>
      <c r="BL2835" t="s">
        <v>163</v>
      </c>
      <c r="BM2835">
        <v>1</v>
      </c>
      <c r="BN2835">
        <v>1</v>
      </c>
      <c r="BO2835">
        <v>1</v>
      </c>
      <c r="BP2835">
        <v>0</v>
      </c>
      <c r="BS2835">
        <v>0</v>
      </c>
      <c r="BT2835">
        <v>0</v>
      </c>
      <c r="BU2835">
        <v>0</v>
      </c>
      <c r="CE2835" t="str">
        <f t="shared" si="1031"/>
        <v>19:33:09.337</v>
      </c>
      <c r="CF2835">
        <v>337186631</v>
      </c>
      <c r="CS2835">
        <v>0</v>
      </c>
      <c r="CT2835">
        <v>2</v>
      </c>
      <c r="CU2835">
        <v>0</v>
      </c>
      <c r="CV2835">
        <v>2</v>
      </c>
      <c r="CW2835">
        <v>0</v>
      </c>
      <c r="CX2835">
        <v>4</v>
      </c>
      <c r="CY2835">
        <v>7</v>
      </c>
      <c r="CZ2835" t="s">
        <v>131</v>
      </c>
      <c r="DA2835">
        <v>300</v>
      </c>
      <c r="DB2835">
        <v>0</v>
      </c>
      <c r="DC2835" t="s">
        <v>176</v>
      </c>
      <c r="DD2835" t="s">
        <v>177</v>
      </c>
      <c r="DG2835">
        <v>5422804</v>
      </c>
      <c r="DI2835">
        <v>0</v>
      </c>
      <c r="DJ2835">
        <v>0</v>
      </c>
      <c r="DK2835">
        <v>1</v>
      </c>
      <c r="DL2835">
        <v>0</v>
      </c>
      <c r="DM2835">
        <v>0</v>
      </c>
      <c r="DN2835">
        <v>1</v>
      </c>
      <c r="DO2835">
        <v>0</v>
      </c>
      <c r="DP2835">
        <v>0</v>
      </c>
      <c r="DQ2835">
        <v>0</v>
      </c>
      <c r="DR2835">
        <v>0</v>
      </c>
      <c r="DS2835">
        <v>0</v>
      </c>
    </row>
    <row r="2836" spans="1:123" x14ac:dyDescent="0.3">
      <c r="A2836" t="str">
        <f t="shared" si="1029"/>
        <v>10/04/2022 19:33:09.604</v>
      </c>
      <c r="C2836" t="str">
        <f t="shared" si="1012"/>
        <v>FFDDD3C0</v>
      </c>
      <c r="D2836" t="s">
        <v>136</v>
      </c>
      <c r="E2836">
        <v>8</v>
      </c>
      <c r="H2836">
        <v>225</v>
      </c>
      <c r="I2836" t="s">
        <v>137</v>
      </c>
      <c r="J2836" t="s">
        <v>138</v>
      </c>
      <c r="K2836">
        <v>0</v>
      </c>
      <c r="L2836">
        <v>3</v>
      </c>
      <c r="M2836">
        <v>0</v>
      </c>
      <c r="N2836">
        <v>2</v>
      </c>
      <c r="O2836">
        <v>0</v>
      </c>
      <c r="P2836">
        <v>1</v>
      </c>
      <c r="Q2836">
        <v>0</v>
      </c>
      <c r="S2836" t="str">
        <f t="shared" si="1030"/>
        <v>19:33:09.000</v>
      </c>
      <c r="T2836" t="str">
        <f t="shared" si="1030"/>
        <v>19:33:09.000</v>
      </c>
      <c r="U2836" t="str">
        <f t="shared" si="1023"/>
        <v>AC3944</v>
      </c>
      <c r="V2836">
        <v>0</v>
      </c>
      <c r="W2836">
        <v>0</v>
      </c>
      <c r="X2836">
        <v>2</v>
      </c>
      <c r="Y2836">
        <v>0</v>
      </c>
      <c r="AA2836">
        <v>1</v>
      </c>
      <c r="AB2836">
        <v>8</v>
      </c>
      <c r="AC2836">
        <v>3</v>
      </c>
      <c r="AD2836">
        <v>0</v>
      </c>
      <c r="AE2836">
        <v>9</v>
      </c>
      <c r="AF2836" t="s">
        <v>138</v>
      </c>
      <c r="AG2836">
        <v>0</v>
      </c>
      <c r="AH2836">
        <v>3</v>
      </c>
      <c r="AI2836">
        <v>1</v>
      </c>
      <c r="AJ2836">
        <v>0</v>
      </c>
      <c r="AK2836" t="s">
        <v>958</v>
      </c>
      <c r="AL2836">
        <v>32.732326999999998</v>
      </c>
      <c r="AM2836" t="s">
        <v>959</v>
      </c>
      <c r="AN2836">
        <v>-116.753812</v>
      </c>
      <c r="AO2836">
        <v>25</v>
      </c>
      <c r="AP2836">
        <v>3600</v>
      </c>
      <c r="AQ2836" t="s">
        <v>129</v>
      </c>
      <c r="AR2836">
        <v>88</v>
      </c>
      <c r="AS2836">
        <v>-104</v>
      </c>
      <c r="AT2836">
        <v>256</v>
      </c>
      <c r="BB2836">
        <v>1200</v>
      </c>
      <c r="BC2836">
        <v>1</v>
      </c>
      <c r="BD2836" t="str">
        <f t="shared" si="1024"/>
        <v xml:space="preserve">N887QR  </v>
      </c>
      <c r="BE2836">
        <v>1</v>
      </c>
      <c r="BJ2836">
        <v>3350</v>
      </c>
      <c r="BK2836">
        <v>-250</v>
      </c>
      <c r="BL2836" t="s">
        <v>163</v>
      </c>
      <c r="BM2836">
        <v>1</v>
      </c>
      <c r="BN2836">
        <v>1</v>
      </c>
      <c r="BO2836">
        <v>1</v>
      </c>
      <c r="BP2836">
        <v>0</v>
      </c>
      <c r="BS2836">
        <v>0</v>
      </c>
      <c r="BT2836">
        <v>0</v>
      </c>
      <c r="BU2836">
        <v>0</v>
      </c>
      <c r="CE2836" t="str">
        <f t="shared" si="1031"/>
        <v>19:33:09.337</v>
      </c>
      <c r="CF2836">
        <v>337186631</v>
      </c>
      <c r="CS2836">
        <v>0</v>
      </c>
      <c r="CT2836">
        <v>2</v>
      </c>
      <c r="CU2836">
        <v>0</v>
      </c>
      <c r="CV2836">
        <v>2</v>
      </c>
      <c r="CW2836">
        <v>0</v>
      </c>
      <c r="CX2836">
        <v>4</v>
      </c>
      <c r="CY2836">
        <v>7</v>
      </c>
      <c r="CZ2836" t="s">
        <v>131</v>
      </c>
      <c r="DA2836">
        <v>300</v>
      </c>
      <c r="DB2836">
        <v>0</v>
      </c>
      <c r="DC2836" t="s">
        <v>176</v>
      </c>
      <c r="DD2836" t="s">
        <v>177</v>
      </c>
      <c r="DG2836">
        <v>5422804</v>
      </c>
      <c r="DI2836">
        <v>0</v>
      </c>
      <c r="DJ2836">
        <v>0</v>
      </c>
      <c r="DK2836">
        <v>1</v>
      </c>
      <c r="DL2836">
        <v>0</v>
      </c>
      <c r="DM2836">
        <v>0</v>
      </c>
      <c r="DN2836">
        <v>1</v>
      </c>
      <c r="DO2836">
        <v>0</v>
      </c>
      <c r="DP2836">
        <v>0</v>
      </c>
      <c r="DQ2836">
        <v>0</v>
      </c>
      <c r="DR2836">
        <v>0</v>
      </c>
      <c r="DS2836">
        <v>0</v>
      </c>
    </row>
    <row r="2837" spans="1:123" x14ac:dyDescent="0.3">
      <c r="A2837" t="str">
        <f t="shared" si="1029"/>
        <v>10/04/2022 19:33:09.604</v>
      </c>
      <c r="C2837" t="str">
        <f t="shared" si="1012"/>
        <v>FFDDD3C0</v>
      </c>
      <c r="D2837" t="s">
        <v>123</v>
      </c>
      <c r="E2837">
        <v>7</v>
      </c>
      <c r="F2837">
        <v>2007</v>
      </c>
      <c r="G2837" t="s">
        <v>124</v>
      </c>
      <c r="J2837" t="s">
        <v>125</v>
      </c>
      <c r="K2837">
        <v>0</v>
      </c>
      <c r="L2837">
        <v>3</v>
      </c>
      <c r="M2837">
        <v>0</v>
      </c>
      <c r="N2837">
        <v>2</v>
      </c>
      <c r="O2837">
        <v>0</v>
      </c>
      <c r="P2837">
        <v>1</v>
      </c>
      <c r="Q2837">
        <v>0</v>
      </c>
      <c r="S2837" t="str">
        <f t="shared" si="1030"/>
        <v>19:33:09.000</v>
      </c>
      <c r="T2837" t="str">
        <f t="shared" si="1030"/>
        <v>19:33:09.000</v>
      </c>
      <c r="U2837" t="str">
        <f t="shared" si="1023"/>
        <v>AC3944</v>
      </c>
      <c r="V2837">
        <v>0</v>
      </c>
      <c r="W2837">
        <v>0</v>
      </c>
      <c r="X2837">
        <v>2</v>
      </c>
      <c r="Y2837">
        <v>0</v>
      </c>
      <c r="AA2837">
        <v>1</v>
      </c>
      <c r="AB2837">
        <v>8</v>
      </c>
      <c r="AC2837">
        <v>3</v>
      </c>
      <c r="AD2837">
        <v>0</v>
      </c>
      <c r="AE2837">
        <v>9</v>
      </c>
      <c r="AF2837" t="s">
        <v>138</v>
      </c>
      <c r="AG2837">
        <v>0</v>
      </c>
      <c r="AH2837">
        <v>3</v>
      </c>
      <c r="AI2837">
        <v>1</v>
      </c>
      <c r="AJ2837">
        <v>0</v>
      </c>
      <c r="AK2837" t="s">
        <v>958</v>
      </c>
      <c r="AL2837">
        <v>32.732326999999998</v>
      </c>
      <c r="AM2837" t="s">
        <v>959</v>
      </c>
      <c r="AN2837">
        <v>-116.753812</v>
      </c>
      <c r="AO2837">
        <v>25</v>
      </c>
      <c r="AP2837">
        <v>3600</v>
      </c>
      <c r="AQ2837" t="s">
        <v>129</v>
      </c>
      <c r="AR2837">
        <v>88</v>
      </c>
      <c r="AS2837">
        <v>-104</v>
      </c>
      <c r="AT2837">
        <v>256</v>
      </c>
      <c r="BB2837">
        <v>1200</v>
      </c>
      <c r="BC2837">
        <v>1</v>
      </c>
      <c r="BD2837" t="str">
        <f t="shared" si="1024"/>
        <v xml:space="preserve">N887QR  </v>
      </c>
      <c r="BE2837">
        <v>1</v>
      </c>
      <c r="BJ2837">
        <v>3350</v>
      </c>
      <c r="BK2837">
        <v>-250</v>
      </c>
      <c r="BL2837" t="s">
        <v>163</v>
      </c>
      <c r="BM2837">
        <v>1</v>
      </c>
      <c r="BN2837">
        <v>1</v>
      </c>
      <c r="BO2837">
        <v>1</v>
      </c>
      <c r="BP2837">
        <v>0</v>
      </c>
      <c r="BS2837">
        <v>0</v>
      </c>
      <c r="BT2837">
        <v>0</v>
      </c>
      <c r="BU2837">
        <v>0</v>
      </c>
      <c r="CE2837" t="str">
        <f t="shared" si="1031"/>
        <v>19:33:09.337</v>
      </c>
      <c r="CF2837">
        <v>337186631</v>
      </c>
      <c r="CS2837">
        <v>0</v>
      </c>
      <c r="CT2837">
        <v>2</v>
      </c>
      <c r="CU2837">
        <v>0</v>
      </c>
      <c r="CV2837">
        <v>2</v>
      </c>
      <c r="CW2837">
        <v>0</v>
      </c>
      <c r="CX2837">
        <v>4</v>
      </c>
      <c r="CY2837">
        <v>7</v>
      </c>
      <c r="CZ2837" t="s">
        <v>131</v>
      </c>
      <c r="DA2837">
        <v>300</v>
      </c>
      <c r="DB2837">
        <v>0</v>
      </c>
      <c r="DC2837" t="s">
        <v>176</v>
      </c>
      <c r="DD2837" t="s">
        <v>177</v>
      </c>
      <c r="DG2837">
        <v>5422804</v>
      </c>
      <c r="DI2837">
        <v>0</v>
      </c>
      <c r="DJ2837">
        <v>0</v>
      </c>
      <c r="DK2837">
        <v>1</v>
      </c>
      <c r="DL2837">
        <v>0</v>
      </c>
      <c r="DM2837">
        <v>0</v>
      </c>
      <c r="DN2837">
        <v>1</v>
      </c>
      <c r="DO2837">
        <v>0</v>
      </c>
      <c r="DP2837">
        <v>0</v>
      </c>
      <c r="DQ2837">
        <v>0</v>
      </c>
      <c r="DR2837">
        <v>0</v>
      </c>
      <c r="DS2837">
        <v>0</v>
      </c>
    </row>
    <row r="2838" spans="1:123" x14ac:dyDescent="0.3">
      <c r="A2838" t="str">
        <f t="shared" si="1029"/>
        <v>10/04/2022 19:33:09.604</v>
      </c>
      <c r="C2838" t="str">
        <f t="shared" si="1012"/>
        <v>FFDDD3C0</v>
      </c>
      <c r="D2838" t="s">
        <v>141</v>
      </c>
      <c r="E2838">
        <v>4</v>
      </c>
      <c r="H2838">
        <v>4</v>
      </c>
      <c r="I2838" t="s">
        <v>142</v>
      </c>
      <c r="J2838" t="s">
        <v>138</v>
      </c>
      <c r="K2838">
        <v>0</v>
      </c>
      <c r="L2838">
        <v>3</v>
      </c>
      <c r="M2838">
        <v>0</v>
      </c>
      <c r="N2838">
        <v>2</v>
      </c>
      <c r="O2838">
        <v>0</v>
      </c>
      <c r="P2838">
        <v>1</v>
      </c>
      <c r="Q2838">
        <v>0</v>
      </c>
      <c r="S2838" t="str">
        <f t="shared" si="1030"/>
        <v>19:33:09.000</v>
      </c>
      <c r="T2838" t="str">
        <f t="shared" si="1030"/>
        <v>19:33:09.000</v>
      </c>
      <c r="U2838" t="str">
        <f t="shared" si="1023"/>
        <v>AC3944</v>
      </c>
      <c r="V2838">
        <v>0</v>
      </c>
      <c r="W2838">
        <v>0</v>
      </c>
      <c r="X2838">
        <v>2</v>
      </c>
      <c r="Y2838">
        <v>0</v>
      </c>
      <c r="AA2838">
        <v>1</v>
      </c>
      <c r="AB2838">
        <v>8</v>
      </c>
      <c r="AC2838">
        <v>3</v>
      </c>
      <c r="AD2838">
        <v>0</v>
      </c>
      <c r="AE2838">
        <v>9</v>
      </c>
      <c r="AF2838" t="s">
        <v>138</v>
      </c>
      <c r="AG2838">
        <v>0</v>
      </c>
      <c r="AH2838">
        <v>3</v>
      </c>
      <c r="AI2838">
        <v>1</v>
      </c>
      <c r="AJ2838">
        <v>0</v>
      </c>
      <c r="AK2838" t="s">
        <v>958</v>
      </c>
      <c r="AL2838">
        <v>32.732326999999998</v>
      </c>
      <c r="AM2838" t="s">
        <v>959</v>
      </c>
      <c r="AN2838">
        <v>-116.753812</v>
      </c>
      <c r="AO2838">
        <v>25</v>
      </c>
      <c r="AP2838">
        <v>3600</v>
      </c>
      <c r="AQ2838" t="s">
        <v>129</v>
      </c>
      <c r="AR2838">
        <v>88</v>
      </c>
      <c r="AS2838">
        <v>-104</v>
      </c>
      <c r="AT2838">
        <v>256</v>
      </c>
      <c r="BB2838">
        <v>1200</v>
      </c>
      <c r="BC2838">
        <v>1</v>
      </c>
      <c r="BD2838" t="str">
        <f t="shared" si="1024"/>
        <v xml:space="preserve">N887QR  </v>
      </c>
      <c r="BE2838">
        <v>1</v>
      </c>
      <c r="BJ2838">
        <v>3350</v>
      </c>
      <c r="BK2838">
        <v>-250</v>
      </c>
      <c r="BL2838" t="s">
        <v>163</v>
      </c>
      <c r="BM2838">
        <v>1</v>
      </c>
      <c r="BN2838">
        <v>1</v>
      </c>
      <c r="BO2838">
        <v>1</v>
      </c>
      <c r="BP2838">
        <v>0</v>
      </c>
      <c r="BS2838">
        <v>0</v>
      </c>
      <c r="BT2838">
        <v>0</v>
      </c>
      <c r="BU2838">
        <v>0</v>
      </c>
      <c r="CE2838" t="str">
        <f t="shared" si="1031"/>
        <v>19:33:09.337</v>
      </c>
      <c r="CF2838">
        <v>337186631</v>
      </c>
      <c r="CS2838">
        <v>0</v>
      </c>
      <c r="CT2838">
        <v>2</v>
      </c>
      <c r="CU2838">
        <v>0</v>
      </c>
      <c r="CV2838">
        <v>2</v>
      </c>
      <c r="CW2838">
        <v>0</v>
      </c>
      <c r="CX2838">
        <v>4</v>
      </c>
      <c r="CY2838">
        <v>7</v>
      </c>
      <c r="CZ2838" t="s">
        <v>131</v>
      </c>
      <c r="DA2838">
        <v>300</v>
      </c>
      <c r="DB2838">
        <v>0</v>
      </c>
      <c r="DC2838" t="s">
        <v>176</v>
      </c>
      <c r="DD2838" t="s">
        <v>177</v>
      </c>
      <c r="DG2838">
        <v>5422804</v>
      </c>
      <c r="DI2838">
        <v>0</v>
      </c>
      <c r="DJ2838">
        <v>0</v>
      </c>
      <c r="DK2838">
        <v>1</v>
      </c>
      <c r="DL2838">
        <v>0</v>
      </c>
      <c r="DM2838">
        <v>0</v>
      </c>
      <c r="DN2838">
        <v>1</v>
      </c>
      <c r="DO2838">
        <v>0</v>
      </c>
      <c r="DP2838">
        <v>0</v>
      </c>
      <c r="DQ2838">
        <v>0</v>
      </c>
      <c r="DR2838">
        <v>0</v>
      </c>
      <c r="DS2838">
        <v>0</v>
      </c>
    </row>
    <row r="2839" spans="1:123" x14ac:dyDescent="0.3">
      <c r="A2839" t="str">
        <f>"10/04/2022 19:33:10.465"</f>
        <v>10/04/2022 19:33:10.465</v>
      </c>
      <c r="C2839" t="str">
        <f t="shared" si="1012"/>
        <v>FFDDD3C0</v>
      </c>
      <c r="D2839" t="s">
        <v>123</v>
      </c>
      <c r="E2839">
        <v>7</v>
      </c>
      <c r="F2839">
        <v>2007</v>
      </c>
      <c r="G2839" t="s">
        <v>124</v>
      </c>
      <c r="J2839" t="s">
        <v>125</v>
      </c>
      <c r="K2839">
        <v>0</v>
      </c>
      <c r="L2839">
        <v>3</v>
      </c>
      <c r="M2839">
        <v>0</v>
      </c>
      <c r="N2839">
        <v>2</v>
      </c>
      <c r="O2839">
        <v>0</v>
      </c>
      <c r="P2839">
        <v>1</v>
      </c>
      <c r="Q2839">
        <v>0</v>
      </c>
      <c r="S2839" t="str">
        <f t="shared" ref="S2839:T2852" si="1032">"19:33:10.000"</f>
        <v>19:33:10.000</v>
      </c>
      <c r="T2839" t="str">
        <f t="shared" si="1032"/>
        <v>19:33:10.000</v>
      </c>
      <c r="U2839" t="str">
        <f t="shared" si="1023"/>
        <v>AC3944</v>
      </c>
      <c r="V2839">
        <v>0</v>
      </c>
      <c r="W2839">
        <v>0</v>
      </c>
      <c r="X2839">
        <v>2</v>
      </c>
      <c r="Y2839">
        <v>0</v>
      </c>
      <c r="AA2839">
        <v>1</v>
      </c>
      <c r="AB2839">
        <v>8</v>
      </c>
      <c r="AC2839">
        <v>3</v>
      </c>
      <c r="AD2839">
        <v>0</v>
      </c>
      <c r="AE2839">
        <v>9</v>
      </c>
      <c r="AF2839" t="s">
        <v>138</v>
      </c>
      <c r="AG2839">
        <v>0</v>
      </c>
      <c r="AH2839">
        <v>3</v>
      </c>
      <c r="AI2839">
        <v>1</v>
      </c>
      <c r="AJ2839">
        <v>0</v>
      </c>
      <c r="AK2839" t="s">
        <v>960</v>
      </c>
      <c r="AL2839">
        <v>32.731855000000003</v>
      </c>
      <c r="AM2839" t="s">
        <v>961</v>
      </c>
      <c r="AN2839">
        <v>-116.75331799999999</v>
      </c>
      <c r="AO2839">
        <v>25</v>
      </c>
      <c r="AP2839">
        <v>3600</v>
      </c>
      <c r="AQ2839" t="s">
        <v>129</v>
      </c>
      <c r="AR2839">
        <v>87</v>
      </c>
      <c r="AS2839">
        <v>-106</v>
      </c>
      <c r="AT2839">
        <v>320</v>
      </c>
      <c r="BB2839">
        <v>1200</v>
      </c>
      <c r="BC2839">
        <v>1</v>
      </c>
      <c r="BD2839" t="str">
        <f t="shared" si="1024"/>
        <v xml:space="preserve">N887QR  </v>
      </c>
      <c r="BE2839">
        <v>1</v>
      </c>
      <c r="BJ2839">
        <v>3350</v>
      </c>
      <c r="BK2839">
        <v>-250</v>
      </c>
      <c r="BL2839" t="s">
        <v>163</v>
      </c>
      <c r="BM2839">
        <v>1</v>
      </c>
      <c r="BN2839">
        <v>1</v>
      </c>
      <c r="BO2839">
        <v>1</v>
      </c>
      <c r="BP2839">
        <v>0</v>
      </c>
      <c r="BS2839">
        <v>0</v>
      </c>
      <c r="BT2839">
        <v>0</v>
      </c>
      <c r="BU2839">
        <v>0</v>
      </c>
      <c r="CE2839" t="str">
        <f t="shared" ref="CE2839:CE2845" si="1033">"19:33:10.158"</f>
        <v>19:33:10.158</v>
      </c>
      <c r="CF2839">
        <v>158439393</v>
      </c>
      <c r="CS2839">
        <v>0</v>
      </c>
      <c r="CT2839">
        <v>2</v>
      </c>
      <c r="CU2839">
        <v>0</v>
      </c>
      <c r="CV2839">
        <v>2</v>
      </c>
      <c r="CW2839">
        <v>0</v>
      </c>
      <c r="CX2839">
        <v>4</v>
      </c>
      <c r="CY2839">
        <v>7</v>
      </c>
      <c r="CZ2839" t="s">
        <v>131</v>
      </c>
      <c r="DA2839">
        <v>300</v>
      </c>
      <c r="DB2839">
        <v>0</v>
      </c>
      <c r="DC2839" t="s">
        <v>176</v>
      </c>
      <c r="DD2839" t="s">
        <v>177</v>
      </c>
      <c r="DG2839">
        <v>5422948</v>
      </c>
      <c r="DI2839">
        <v>0</v>
      </c>
      <c r="DJ2839">
        <v>0</v>
      </c>
      <c r="DK2839">
        <v>0</v>
      </c>
      <c r="DL2839">
        <v>0</v>
      </c>
      <c r="DM2839">
        <v>0</v>
      </c>
      <c r="DN2839">
        <v>1</v>
      </c>
      <c r="DO2839">
        <v>0</v>
      </c>
      <c r="DP2839">
        <v>0</v>
      </c>
      <c r="DQ2839">
        <v>0</v>
      </c>
      <c r="DR2839">
        <v>0</v>
      </c>
      <c r="DS2839">
        <v>0</v>
      </c>
    </row>
    <row r="2840" spans="1:123" x14ac:dyDescent="0.3">
      <c r="A2840" t="str">
        <f>"10/04/2022 19:33:10.465"</f>
        <v>10/04/2022 19:33:10.465</v>
      </c>
      <c r="C2840" t="str">
        <f t="shared" si="1012"/>
        <v>FFDDD3C0</v>
      </c>
      <c r="D2840" t="s">
        <v>134</v>
      </c>
      <c r="E2840">
        <v>15</v>
      </c>
      <c r="J2840" t="s">
        <v>135</v>
      </c>
      <c r="K2840">
        <v>0</v>
      </c>
      <c r="L2840">
        <v>3</v>
      </c>
      <c r="M2840">
        <v>0</v>
      </c>
      <c r="N2840">
        <v>2</v>
      </c>
      <c r="O2840">
        <v>0</v>
      </c>
      <c r="P2840">
        <v>1</v>
      </c>
      <c r="Q2840">
        <v>0</v>
      </c>
      <c r="S2840" t="str">
        <f t="shared" si="1032"/>
        <v>19:33:10.000</v>
      </c>
      <c r="T2840" t="str">
        <f t="shared" si="1032"/>
        <v>19:33:10.000</v>
      </c>
      <c r="U2840" t="str">
        <f t="shared" si="1023"/>
        <v>AC3944</v>
      </c>
      <c r="V2840">
        <v>0</v>
      </c>
      <c r="W2840">
        <v>0</v>
      </c>
      <c r="X2840">
        <v>2</v>
      </c>
      <c r="Y2840">
        <v>0</v>
      </c>
      <c r="AA2840">
        <v>1</v>
      </c>
      <c r="AB2840">
        <v>8</v>
      </c>
      <c r="AC2840">
        <v>3</v>
      </c>
      <c r="AD2840">
        <v>0</v>
      </c>
      <c r="AE2840">
        <v>9</v>
      </c>
      <c r="AF2840" t="s">
        <v>138</v>
      </c>
      <c r="AG2840">
        <v>0</v>
      </c>
      <c r="AH2840">
        <v>3</v>
      </c>
      <c r="AI2840">
        <v>1</v>
      </c>
      <c r="AJ2840">
        <v>0</v>
      </c>
      <c r="AK2840" t="s">
        <v>960</v>
      </c>
      <c r="AL2840">
        <v>32.731855000000003</v>
      </c>
      <c r="AM2840" t="s">
        <v>961</v>
      </c>
      <c r="AN2840">
        <v>-116.75331799999999</v>
      </c>
      <c r="AO2840">
        <v>25</v>
      </c>
      <c r="AP2840">
        <v>3600</v>
      </c>
      <c r="AQ2840" t="s">
        <v>129</v>
      </c>
      <c r="AR2840">
        <v>87</v>
      </c>
      <c r="AS2840">
        <v>-106</v>
      </c>
      <c r="AT2840">
        <v>320</v>
      </c>
      <c r="BB2840">
        <v>1200</v>
      </c>
      <c r="BC2840">
        <v>1</v>
      </c>
      <c r="BD2840" t="str">
        <f t="shared" si="1024"/>
        <v xml:space="preserve">N887QR  </v>
      </c>
      <c r="BE2840">
        <v>1</v>
      </c>
      <c r="BJ2840">
        <v>3350</v>
      </c>
      <c r="BK2840">
        <v>-250</v>
      </c>
      <c r="BL2840" t="s">
        <v>163</v>
      </c>
      <c r="BM2840">
        <v>1</v>
      </c>
      <c r="BN2840">
        <v>1</v>
      </c>
      <c r="BO2840">
        <v>1</v>
      </c>
      <c r="BP2840">
        <v>0</v>
      </c>
      <c r="BS2840">
        <v>0</v>
      </c>
      <c r="BT2840">
        <v>0</v>
      </c>
      <c r="BU2840">
        <v>0</v>
      </c>
      <c r="CE2840" t="str">
        <f t="shared" si="1033"/>
        <v>19:33:10.158</v>
      </c>
      <c r="CF2840">
        <v>158439393</v>
      </c>
      <c r="CS2840">
        <v>0</v>
      </c>
      <c r="CT2840">
        <v>2</v>
      </c>
      <c r="CU2840">
        <v>0</v>
      </c>
      <c r="CV2840">
        <v>2</v>
      </c>
      <c r="CW2840">
        <v>0</v>
      </c>
      <c r="CX2840">
        <v>4</v>
      </c>
      <c r="CY2840">
        <v>7</v>
      </c>
      <c r="CZ2840" t="s">
        <v>131</v>
      </c>
      <c r="DA2840">
        <v>300</v>
      </c>
      <c r="DB2840">
        <v>0</v>
      </c>
      <c r="DC2840" t="s">
        <v>176</v>
      </c>
      <c r="DD2840" t="s">
        <v>177</v>
      </c>
      <c r="DG2840">
        <v>5422948</v>
      </c>
      <c r="DI2840">
        <v>0</v>
      </c>
      <c r="DJ2840">
        <v>0</v>
      </c>
      <c r="DK2840">
        <v>1</v>
      </c>
      <c r="DL2840">
        <v>0</v>
      </c>
      <c r="DM2840">
        <v>0</v>
      </c>
      <c r="DN2840">
        <v>1</v>
      </c>
      <c r="DO2840">
        <v>0</v>
      </c>
      <c r="DP2840">
        <v>0</v>
      </c>
      <c r="DQ2840">
        <v>0</v>
      </c>
      <c r="DR2840">
        <v>0</v>
      </c>
      <c r="DS2840">
        <v>0</v>
      </c>
    </row>
    <row r="2841" spans="1:123" x14ac:dyDescent="0.3">
      <c r="A2841" t="str">
        <f>"10/04/2022 19:33:10.465"</f>
        <v>10/04/2022 19:33:10.465</v>
      </c>
      <c r="C2841" t="str">
        <f t="shared" si="1012"/>
        <v>FFDDD3C0</v>
      </c>
      <c r="D2841" t="s">
        <v>136</v>
      </c>
      <c r="E2841">
        <v>8</v>
      </c>
      <c r="H2841">
        <v>225</v>
      </c>
      <c r="I2841" t="s">
        <v>137</v>
      </c>
      <c r="J2841" t="s">
        <v>138</v>
      </c>
      <c r="K2841">
        <v>0</v>
      </c>
      <c r="L2841">
        <v>3</v>
      </c>
      <c r="M2841">
        <v>0</v>
      </c>
      <c r="N2841">
        <v>2</v>
      </c>
      <c r="O2841">
        <v>0</v>
      </c>
      <c r="P2841">
        <v>1</v>
      </c>
      <c r="Q2841">
        <v>0</v>
      </c>
      <c r="S2841" t="str">
        <f t="shared" si="1032"/>
        <v>19:33:10.000</v>
      </c>
      <c r="T2841" t="str">
        <f t="shared" si="1032"/>
        <v>19:33:10.000</v>
      </c>
      <c r="U2841" t="str">
        <f t="shared" si="1023"/>
        <v>AC3944</v>
      </c>
      <c r="V2841">
        <v>0</v>
      </c>
      <c r="W2841">
        <v>0</v>
      </c>
      <c r="X2841">
        <v>2</v>
      </c>
      <c r="Y2841">
        <v>0</v>
      </c>
      <c r="AA2841">
        <v>1</v>
      </c>
      <c r="AB2841">
        <v>8</v>
      </c>
      <c r="AC2841">
        <v>3</v>
      </c>
      <c r="AD2841">
        <v>0</v>
      </c>
      <c r="AE2841">
        <v>9</v>
      </c>
      <c r="AF2841" t="s">
        <v>138</v>
      </c>
      <c r="AG2841">
        <v>0</v>
      </c>
      <c r="AH2841">
        <v>3</v>
      </c>
      <c r="AI2841">
        <v>1</v>
      </c>
      <c r="AJ2841">
        <v>0</v>
      </c>
      <c r="AK2841" t="s">
        <v>960</v>
      </c>
      <c r="AL2841">
        <v>32.731855000000003</v>
      </c>
      <c r="AM2841" t="s">
        <v>961</v>
      </c>
      <c r="AN2841">
        <v>-116.75331799999999</v>
      </c>
      <c r="AO2841">
        <v>25</v>
      </c>
      <c r="AP2841">
        <v>3600</v>
      </c>
      <c r="AQ2841" t="s">
        <v>129</v>
      </c>
      <c r="AR2841">
        <v>87</v>
      </c>
      <c r="AS2841">
        <v>-106</v>
      </c>
      <c r="AT2841">
        <v>320</v>
      </c>
      <c r="BB2841">
        <v>1200</v>
      </c>
      <c r="BC2841">
        <v>1</v>
      </c>
      <c r="BD2841" t="str">
        <f t="shared" si="1024"/>
        <v xml:space="preserve">N887QR  </v>
      </c>
      <c r="BE2841">
        <v>1</v>
      </c>
      <c r="BJ2841">
        <v>3350</v>
      </c>
      <c r="BK2841">
        <v>-250</v>
      </c>
      <c r="BL2841" t="s">
        <v>163</v>
      </c>
      <c r="BM2841">
        <v>1</v>
      </c>
      <c r="BN2841">
        <v>1</v>
      </c>
      <c r="BO2841">
        <v>1</v>
      </c>
      <c r="BP2841">
        <v>0</v>
      </c>
      <c r="BS2841">
        <v>0</v>
      </c>
      <c r="BT2841">
        <v>0</v>
      </c>
      <c r="BU2841">
        <v>0</v>
      </c>
      <c r="CE2841" t="str">
        <f t="shared" si="1033"/>
        <v>19:33:10.158</v>
      </c>
      <c r="CF2841">
        <v>158439393</v>
      </c>
      <c r="CS2841">
        <v>0</v>
      </c>
      <c r="CT2841">
        <v>2</v>
      </c>
      <c r="CU2841">
        <v>0</v>
      </c>
      <c r="CV2841">
        <v>2</v>
      </c>
      <c r="CW2841">
        <v>0</v>
      </c>
      <c r="CX2841">
        <v>4</v>
      </c>
      <c r="CY2841">
        <v>7</v>
      </c>
      <c r="CZ2841" t="s">
        <v>131</v>
      </c>
      <c r="DA2841">
        <v>300</v>
      </c>
      <c r="DB2841">
        <v>0</v>
      </c>
      <c r="DC2841" t="s">
        <v>176</v>
      </c>
      <c r="DD2841" t="s">
        <v>177</v>
      </c>
      <c r="DG2841">
        <v>5422948</v>
      </c>
      <c r="DI2841">
        <v>0</v>
      </c>
      <c r="DJ2841">
        <v>0</v>
      </c>
      <c r="DK2841">
        <v>1</v>
      </c>
      <c r="DL2841">
        <v>0</v>
      </c>
      <c r="DM2841">
        <v>0</v>
      </c>
      <c r="DN2841">
        <v>1</v>
      </c>
      <c r="DO2841">
        <v>0</v>
      </c>
      <c r="DP2841">
        <v>0</v>
      </c>
      <c r="DQ2841">
        <v>0</v>
      </c>
      <c r="DR2841">
        <v>0</v>
      </c>
      <c r="DS2841">
        <v>0</v>
      </c>
    </row>
    <row r="2842" spans="1:123" x14ac:dyDescent="0.3">
      <c r="A2842" t="str">
        <f>"10/04/2022 19:33:10.496"</f>
        <v>10/04/2022 19:33:10.496</v>
      </c>
      <c r="C2842" t="str">
        <f t="shared" si="1012"/>
        <v>FFDDD3C0</v>
      </c>
      <c r="D2842" t="s">
        <v>141</v>
      </c>
      <c r="E2842">
        <v>4</v>
      </c>
      <c r="H2842">
        <v>4</v>
      </c>
      <c r="I2842" t="s">
        <v>142</v>
      </c>
      <c r="J2842" t="s">
        <v>138</v>
      </c>
      <c r="K2842">
        <v>0</v>
      </c>
      <c r="L2842">
        <v>3</v>
      </c>
      <c r="M2842">
        <v>0</v>
      </c>
      <c r="N2842">
        <v>2</v>
      </c>
      <c r="O2842">
        <v>0</v>
      </c>
      <c r="P2842">
        <v>1</v>
      </c>
      <c r="Q2842">
        <v>0</v>
      </c>
      <c r="S2842" t="str">
        <f t="shared" si="1032"/>
        <v>19:33:10.000</v>
      </c>
      <c r="T2842" t="str">
        <f t="shared" si="1032"/>
        <v>19:33:10.000</v>
      </c>
      <c r="U2842" t="str">
        <f t="shared" si="1023"/>
        <v>AC3944</v>
      </c>
      <c r="V2842">
        <v>0</v>
      </c>
      <c r="W2842">
        <v>0</v>
      </c>
      <c r="X2842">
        <v>2</v>
      </c>
      <c r="Y2842">
        <v>0</v>
      </c>
      <c r="AA2842">
        <v>1</v>
      </c>
      <c r="AB2842">
        <v>8</v>
      </c>
      <c r="AC2842">
        <v>3</v>
      </c>
      <c r="AD2842">
        <v>0</v>
      </c>
      <c r="AE2842">
        <v>9</v>
      </c>
      <c r="AF2842" t="s">
        <v>138</v>
      </c>
      <c r="AG2842">
        <v>0</v>
      </c>
      <c r="AH2842">
        <v>3</v>
      </c>
      <c r="AI2842">
        <v>1</v>
      </c>
      <c r="AJ2842">
        <v>0</v>
      </c>
      <c r="AK2842" t="s">
        <v>960</v>
      </c>
      <c r="AL2842">
        <v>32.731855000000003</v>
      </c>
      <c r="AM2842" t="s">
        <v>961</v>
      </c>
      <c r="AN2842">
        <v>-116.75331799999999</v>
      </c>
      <c r="AO2842">
        <v>25</v>
      </c>
      <c r="AP2842">
        <v>3600</v>
      </c>
      <c r="AQ2842" t="s">
        <v>129</v>
      </c>
      <c r="AR2842">
        <v>87</v>
      </c>
      <c r="AS2842">
        <v>-106</v>
      </c>
      <c r="AT2842">
        <v>320</v>
      </c>
      <c r="BB2842">
        <v>1200</v>
      </c>
      <c r="BC2842">
        <v>1</v>
      </c>
      <c r="BD2842" t="str">
        <f t="shared" si="1024"/>
        <v xml:space="preserve">N887QR  </v>
      </c>
      <c r="BE2842">
        <v>1</v>
      </c>
      <c r="BJ2842">
        <v>3350</v>
      </c>
      <c r="BK2842">
        <v>-250</v>
      </c>
      <c r="BL2842" t="s">
        <v>163</v>
      </c>
      <c r="BM2842">
        <v>1</v>
      </c>
      <c r="BN2842">
        <v>1</v>
      </c>
      <c r="BO2842">
        <v>1</v>
      </c>
      <c r="BP2842">
        <v>0</v>
      </c>
      <c r="BS2842">
        <v>0</v>
      </c>
      <c r="BT2842">
        <v>0</v>
      </c>
      <c r="BU2842">
        <v>0</v>
      </c>
      <c r="CE2842" t="str">
        <f t="shared" si="1033"/>
        <v>19:33:10.158</v>
      </c>
      <c r="CF2842">
        <v>158439393</v>
      </c>
      <c r="CS2842">
        <v>0</v>
      </c>
      <c r="CT2842">
        <v>2</v>
      </c>
      <c r="CU2842">
        <v>0</v>
      </c>
      <c r="CV2842">
        <v>2</v>
      </c>
      <c r="CW2842">
        <v>0</v>
      </c>
      <c r="CX2842">
        <v>4</v>
      </c>
      <c r="CY2842">
        <v>7</v>
      </c>
      <c r="CZ2842" t="s">
        <v>131</v>
      </c>
      <c r="DA2842">
        <v>300</v>
      </c>
      <c r="DB2842">
        <v>0</v>
      </c>
      <c r="DC2842" t="s">
        <v>176</v>
      </c>
      <c r="DD2842" t="s">
        <v>177</v>
      </c>
      <c r="DG2842">
        <v>5422948</v>
      </c>
      <c r="DI2842">
        <v>0</v>
      </c>
      <c r="DJ2842">
        <v>0</v>
      </c>
      <c r="DK2842">
        <v>0</v>
      </c>
      <c r="DL2842">
        <v>0</v>
      </c>
      <c r="DM2842">
        <v>0</v>
      </c>
      <c r="DN2842">
        <v>1</v>
      </c>
      <c r="DO2842">
        <v>0</v>
      </c>
      <c r="DP2842">
        <v>0</v>
      </c>
      <c r="DQ2842">
        <v>0</v>
      </c>
      <c r="DR2842">
        <v>0</v>
      </c>
      <c r="DS2842">
        <v>0</v>
      </c>
    </row>
    <row r="2843" spans="1:123" x14ac:dyDescent="0.3">
      <c r="A2843" t="str">
        <f>"10/04/2022 19:33:10.496"</f>
        <v>10/04/2022 19:33:10.496</v>
      </c>
      <c r="C2843" t="str">
        <f t="shared" si="1012"/>
        <v>FFDDD3C0</v>
      </c>
      <c r="D2843" t="s">
        <v>141</v>
      </c>
      <c r="E2843">
        <v>3</v>
      </c>
      <c r="H2843">
        <v>3</v>
      </c>
      <c r="I2843" t="s">
        <v>146</v>
      </c>
      <c r="J2843" t="s">
        <v>138</v>
      </c>
      <c r="K2843">
        <v>0</v>
      </c>
      <c r="L2843">
        <v>3</v>
      </c>
      <c r="M2843">
        <v>0</v>
      </c>
      <c r="N2843">
        <v>2</v>
      </c>
      <c r="O2843">
        <v>0</v>
      </c>
      <c r="P2843">
        <v>1</v>
      </c>
      <c r="Q2843">
        <v>0</v>
      </c>
      <c r="S2843" t="str">
        <f t="shared" si="1032"/>
        <v>19:33:10.000</v>
      </c>
      <c r="T2843" t="str">
        <f t="shared" si="1032"/>
        <v>19:33:10.000</v>
      </c>
      <c r="U2843" t="str">
        <f t="shared" si="1023"/>
        <v>AC3944</v>
      </c>
      <c r="V2843">
        <v>0</v>
      </c>
      <c r="W2843">
        <v>0</v>
      </c>
      <c r="X2843">
        <v>2</v>
      </c>
      <c r="Y2843">
        <v>0</v>
      </c>
      <c r="AA2843">
        <v>1</v>
      </c>
      <c r="AB2843">
        <v>8</v>
      </c>
      <c r="AC2843">
        <v>3</v>
      </c>
      <c r="AD2843">
        <v>0</v>
      </c>
      <c r="AE2843">
        <v>9</v>
      </c>
      <c r="AF2843" t="s">
        <v>138</v>
      </c>
      <c r="AG2843">
        <v>0</v>
      </c>
      <c r="AH2843">
        <v>3</v>
      </c>
      <c r="AI2843">
        <v>1</v>
      </c>
      <c r="AJ2843">
        <v>0</v>
      </c>
      <c r="AK2843" t="s">
        <v>960</v>
      </c>
      <c r="AL2843">
        <v>32.731855000000003</v>
      </c>
      <c r="AM2843" t="s">
        <v>961</v>
      </c>
      <c r="AN2843">
        <v>-116.75331799999999</v>
      </c>
      <c r="AO2843">
        <v>25</v>
      </c>
      <c r="AP2843">
        <v>3600</v>
      </c>
      <c r="AQ2843" t="s">
        <v>129</v>
      </c>
      <c r="AR2843">
        <v>87</v>
      </c>
      <c r="AS2843">
        <v>-106</v>
      </c>
      <c r="AT2843">
        <v>320</v>
      </c>
      <c r="BB2843">
        <v>1200</v>
      </c>
      <c r="BC2843">
        <v>1</v>
      </c>
      <c r="BD2843" t="str">
        <f t="shared" si="1024"/>
        <v xml:space="preserve">N887QR  </v>
      </c>
      <c r="BE2843">
        <v>1</v>
      </c>
      <c r="BJ2843">
        <v>3350</v>
      </c>
      <c r="BK2843">
        <v>-250</v>
      </c>
      <c r="BL2843" t="s">
        <v>163</v>
      </c>
      <c r="BM2843">
        <v>1</v>
      </c>
      <c r="BN2843">
        <v>1</v>
      </c>
      <c r="BO2843">
        <v>1</v>
      </c>
      <c r="BP2843">
        <v>0</v>
      </c>
      <c r="BS2843">
        <v>0</v>
      </c>
      <c r="BT2843">
        <v>0</v>
      </c>
      <c r="BU2843">
        <v>0</v>
      </c>
      <c r="CE2843" t="str">
        <f t="shared" si="1033"/>
        <v>19:33:10.158</v>
      </c>
      <c r="CF2843">
        <v>158439393</v>
      </c>
      <c r="CS2843">
        <v>0</v>
      </c>
      <c r="CT2843">
        <v>2</v>
      </c>
      <c r="CU2843">
        <v>0</v>
      </c>
      <c r="CV2843">
        <v>2</v>
      </c>
      <c r="CW2843">
        <v>0</v>
      </c>
      <c r="CX2843">
        <v>4</v>
      </c>
      <c r="CY2843">
        <v>7</v>
      </c>
      <c r="CZ2843" t="s">
        <v>131</v>
      </c>
      <c r="DA2843">
        <v>300</v>
      </c>
      <c r="DB2843">
        <v>0</v>
      </c>
      <c r="DC2843" t="s">
        <v>176</v>
      </c>
      <c r="DD2843" t="s">
        <v>177</v>
      </c>
      <c r="DG2843">
        <v>5422948</v>
      </c>
      <c r="DI2843">
        <v>0</v>
      </c>
      <c r="DJ2843">
        <v>0</v>
      </c>
      <c r="DK2843">
        <v>1</v>
      </c>
      <c r="DL2843">
        <v>0</v>
      </c>
      <c r="DM2843">
        <v>0</v>
      </c>
      <c r="DN2843">
        <v>1</v>
      </c>
      <c r="DO2843">
        <v>0</v>
      </c>
      <c r="DP2843">
        <v>0</v>
      </c>
      <c r="DQ2843">
        <v>0</v>
      </c>
      <c r="DR2843">
        <v>0</v>
      </c>
      <c r="DS2843">
        <v>0</v>
      </c>
    </row>
    <row r="2844" spans="1:123" x14ac:dyDescent="0.3">
      <c r="A2844" t="str">
        <f>"10/04/2022 19:33:10.496"</f>
        <v>10/04/2022 19:33:10.496</v>
      </c>
      <c r="C2844" t="str">
        <f t="shared" si="1012"/>
        <v>FFDDD3C0</v>
      </c>
      <c r="D2844" t="s">
        <v>143</v>
      </c>
      <c r="E2844">
        <v>20</v>
      </c>
      <c r="F2844">
        <v>1020</v>
      </c>
      <c r="G2844" t="s">
        <v>144</v>
      </c>
      <c r="J2844" t="s">
        <v>145</v>
      </c>
      <c r="K2844">
        <v>0</v>
      </c>
      <c r="L2844">
        <v>3</v>
      </c>
      <c r="M2844">
        <v>0</v>
      </c>
      <c r="N2844">
        <v>2</v>
      </c>
      <c r="O2844">
        <v>0</v>
      </c>
      <c r="P2844">
        <v>1</v>
      </c>
      <c r="Q2844">
        <v>0</v>
      </c>
      <c r="S2844" t="str">
        <f t="shared" si="1032"/>
        <v>19:33:10.000</v>
      </c>
      <c r="T2844" t="str">
        <f t="shared" si="1032"/>
        <v>19:33:10.000</v>
      </c>
      <c r="U2844" t="str">
        <f t="shared" si="1023"/>
        <v>AC3944</v>
      </c>
      <c r="V2844">
        <v>0</v>
      </c>
      <c r="W2844">
        <v>0</v>
      </c>
      <c r="X2844">
        <v>2</v>
      </c>
      <c r="Y2844">
        <v>0</v>
      </c>
      <c r="AA2844">
        <v>1</v>
      </c>
      <c r="AB2844">
        <v>8</v>
      </c>
      <c r="AC2844">
        <v>3</v>
      </c>
      <c r="AD2844">
        <v>0</v>
      </c>
      <c r="AE2844">
        <v>9</v>
      </c>
      <c r="AF2844" t="s">
        <v>138</v>
      </c>
      <c r="AG2844">
        <v>0</v>
      </c>
      <c r="AH2844">
        <v>3</v>
      </c>
      <c r="AI2844">
        <v>1</v>
      </c>
      <c r="AJ2844">
        <v>0</v>
      </c>
      <c r="AK2844" t="s">
        <v>960</v>
      </c>
      <c r="AL2844">
        <v>32.731855000000003</v>
      </c>
      <c r="AM2844" t="s">
        <v>961</v>
      </c>
      <c r="AN2844">
        <v>-116.75331799999999</v>
      </c>
      <c r="AO2844">
        <v>25</v>
      </c>
      <c r="AP2844">
        <v>3600</v>
      </c>
      <c r="AQ2844" t="s">
        <v>129</v>
      </c>
      <c r="AR2844">
        <v>87</v>
      </c>
      <c r="AS2844">
        <v>-106</v>
      </c>
      <c r="AT2844">
        <v>320</v>
      </c>
      <c r="BB2844">
        <v>1200</v>
      </c>
      <c r="BC2844">
        <v>1</v>
      </c>
      <c r="BD2844" t="str">
        <f t="shared" si="1024"/>
        <v xml:space="preserve">N887QR  </v>
      </c>
      <c r="BE2844">
        <v>1</v>
      </c>
      <c r="BJ2844">
        <v>3350</v>
      </c>
      <c r="BK2844">
        <v>-250</v>
      </c>
      <c r="BL2844" t="s">
        <v>163</v>
      </c>
      <c r="BM2844">
        <v>1</v>
      </c>
      <c r="BN2844">
        <v>1</v>
      </c>
      <c r="BO2844">
        <v>1</v>
      </c>
      <c r="BP2844">
        <v>0</v>
      </c>
      <c r="BS2844">
        <v>0</v>
      </c>
      <c r="BT2844">
        <v>0</v>
      </c>
      <c r="BU2844">
        <v>0</v>
      </c>
      <c r="CE2844" t="str">
        <f t="shared" si="1033"/>
        <v>19:33:10.158</v>
      </c>
      <c r="CF2844">
        <v>158439393</v>
      </c>
      <c r="CS2844">
        <v>0</v>
      </c>
      <c r="CT2844">
        <v>2</v>
      </c>
      <c r="CU2844">
        <v>0</v>
      </c>
      <c r="CV2844">
        <v>2</v>
      </c>
      <c r="CW2844">
        <v>0</v>
      </c>
      <c r="CX2844">
        <v>4</v>
      </c>
      <c r="CY2844">
        <v>7</v>
      </c>
      <c r="CZ2844" t="s">
        <v>131</v>
      </c>
      <c r="DA2844">
        <v>300</v>
      </c>
      <c r="DB2844">
        <v>0</v>
      </c>
      <c r="DC2844" t="s">
        <v>176</v>
      </c>
      <c r="DD2844" t="s">
        <v>177</v>
      </c>
      <c r="DG2844">
        <v>5422948</v>
      </c>
      <c r="DI2844">
        <v>0</v>
      </c>
      <c r="DJ2844">
        <v>0</v>
      </c>
      <c r="DK2844">
        <v>1</v>
      </c>
      <c r="DL2844">
        <v>0</v>
      </c>
      <c r="DM2844">
        <v>0</v>
      </c>
      <c r="DN2844">
        <v>1</v>
      </c>
      <c r="DO2844">
        <v>0</v>
      </c>
      <c r="DP2844">
        <v>0</v>
      </c>
      <c r="DQ2844">
        <v>0</v>
      </c>
      <c r="DR2844">
        <v>0</v>
      </c>
      <c r="DS2844">
        <v>0</v>
      </c>
    </row>
    <row r="2845" spans="1:123" x14ac:dyDescent="0.3">
      <c r="A2845" t="str">
        <f>"10/04/2022 19:33:10.496"</f>
        <v>10/04/2022 19:33:10.496</v>
      </c>
      <c r="C2845" t="str">
        <f t="shared" si="1012"/>
        <v>FFDDD3C0</v>
      </c>
      <c r="D2845" t="s">
        <v>147</v>
      </c>
      <c r="E2845">
        <v>3</v>
      </c>
      <c r="H2845">
        <v>166</v>
      </c>
      <c r="I2845" t="s">
        <v>144</v>
      </c>
      <c r="J2845" t="s">
        <v>148</v>
      </c>
      <c r="K2845">
        <v>0</v>
      </c>
      <c r="L2845">
        <v>3</v>
      </c>
      <c r="M2845">
        <v>0</v>
      </c>
      <c r="N2845">
        <v>2</v>
      </c>
      <c r="O2845">
        <v>0</v>
      </c>
      <c r="P2845">
        <v>1</v>
      </c>
      <c r="Q2845">
        <v>0</v>
      </c>
      <c r="S2845" t="str">
        <f t="shared" si="1032"/>
        <v>19:33:10.000</v>
      </c>
      <c r="T2845" t="str">
        <f t="shared" si="1032"/>
        <v>19:33:10.000</v>
      </c>
      <c r="U2845" t="str">
        <f t="shared" si="1023"/>
        <v>AC3944</v>
      </c>
      <c r="V2845">
        <v>0</v>
      </c>
      <c r="W2845">
        <v>0</v>
      </c>
      <c r="X2845">
        <v>2</v>
      </c>
      <c r="Y2845">
        <v>0</v>
      </c>
      <c r="AA2845">
        <v>1</v>
      </c>
      <c r="AB2845">
        <v>8</v>
      </c>
      <c r="AC2845">
        <v>3</v>
      </c>
      <c r="AD2845">
        <v>0</v>
      </c>
      <c r="AE2845">
        <v>9</v>
      </c>
      <c r="AF2845" t="s">
        <v>138</v>
      </c>
      <c r="AG2845">
        <v>0</v>
      </c>
      <c r="AH2845">
        <v>3</v>
      </c>
      <c r="AI2845">
        <v>1</v>
      </c>
      <c r="AJ2845">
        <v>0</v>
      </c>
      <c r="AK2845" t="s">
        <v>960</v>
      </c>
      <c r="AL2845">
        <v>32.731855000000003</v>
      </c>
      <c r="AM2845" t="s">
        <v>961</v>
      </c>
      <c r="AN2845">
        <v>-116.75331799999999</v>
      </c>
      <c r="AO2845">
        <v>25</v>
      </c>
      <c r="AP2845">
        <v>3600</v>
      </c>
      <c r="AQ2845" t="s">
        <v>129</v>
      </c>
      <c r="AR2845">
        <v>87</v>
      </c>
      <c r="AS2845">
        <v>-106</v>
      </c>
      <c r="AT2845">
        <v>320</v>
      </c>
      <c r="BB2845">
        <v>1200</v>
      </c>
      <c r="BC2845">
        <v>1</v>
      </c>
      <c r="BD2845" t="str">
        <f t="shared" si="1024"/>
        <v xml:space="preserve">N887QR  </v>
      </c>
      <c r="BE2845">
        <v>1</v>
      </c>
      <c r="BJ2845">
        <v>3350</v>
      </c>
      <c r="BK2845">
        <v>-250</v>
      </c>
      <c r="BL2845" t="s">
        <v>163</v>
      </c>
      <c r="BM2845">
        <v>1</v>
      </c>
      <c r="BN2845">
        <v>1</v>
      </c>
      <c r="BO2845">
        <v>1</v>
      </c>
      <c r="BP2845">
        <v>0</v>
      </c>
      <c r="BS2845">
        <v>0</v>
      </c>
      <c r="BT2845">
        <v>0</v>
      </c>
      <c r="BU2845">
        <v>0</v>
      </c>
      <c r="CE2845" t="str">
        <f t="shared" si="1033"/>
        <v>19:33:10.158</v>
      </c>
      <c r="CF2845">
        <v>158439393</v>
      </c>
      <c r="CS2845">
        <v>0</v>
      </c>
      <c r="CT2845">
        <v>2</v>
      </c>
      <c r="CU2845">
        <v>0</v>
      </c>
      <c r="CV2845">
        <v>2</v>
      </c>
      <c r="CW2845">
        <v>0</v>
      </c>
      <c r="CX2845">
        <v>4</v>
      </c>
      <c r="CY2845">
        <v>7</v>
      </c>
      <c r="CZ2845" t="s">
        <v>131</v>
      </c>
      <c r="DA2845">
        <v>300</v>
      </c>
      <c r="DB2845">
        <v>0</v>
      </c>
      <c r="DC2845" t="s">
        <v>176</v>
      </c>
      <c r="DD2845" t="s">
        <v>177</v>
      </c>
      <c r="DG2845">
        <v>5422948</v>
      </c>
      <c r="DI2845">
        <v>0</v>
      </c>
      <c r="DJ2845">
        <v>0</v>
      </c>
      <c r="DK2845">
        <v>1</v>
      </c>
      <c r="DL2845">
        <v>0</v>
      </c>
      <c r="DM2845">
        <v>0</v>
      </c>
      <c r="DN2845">
        <v>1</v>
      </c>
      <c r="DO2845">
        <v>0</v>
      </c>
      <c r="DP2845">
        <v>0</v>
      </c>
      <c r="DQ2845">
        <v>0</v>
      </c>
      <c r="DR2845">
        <v>0</v>
      </c>
      <c r="DS2845">
        <v>0</v>
      </c>
    </row>
    <row r="2846" spans="1:123" x14ac:dyDescent="0.3">
      <c r="A2846" t="str">
        <f>"10/04/2022 19:33:11.262"</f>
        <v>10/04/2022 19:33:11.262</v>
      </c>
      <c r="C2846" t="str">
        <f t="shared" si="1012"/>
        <v>FFDDD3C0</v>
      </c>
      <c r="D2846" t="s">
        <v>141</v>
      </c>
      <c r="E2846">
        <v>3</v>
      </c>
      <c r="H2846">
        <v>3</v>
      </c>
      <c r="I2846" t="s">
        <v>146</v>
      </c>
      <c r="J2846" t="s">
        <v>138</v>
      </c>
      <c r="K2846">
        <v>0</v>
      </c>
      <c r="L2846">
        <v>3</v>
      </c>
      <c r="M2846">
        <v>0</v>
      </c>
      <c r="N2846">
        <v>2</v>
      </c>
      <c r="O2846">
        <v>0</v>
      </c>
      <c r="P2846">
        <v>1</v>
      </c>
      <c r="Q2846">
        <v>0</v>
      </c>
      <c r="S2846" t="str">
        <f t="shared" si="1032"/>
        <v>19:33:10.000</v>
      </c>
      <c r="T2846" t="str">
        <f t="shared" si="1032"/>
        <v>19:33:10.000</v>
      </c>
      <c r="U2846" t="str">
        <f t="shared" si="1023"/>
        <v>AC3944</v>
      </c>
      <c r="V2846">
        <v>0</v>
      </c>
      <c r="W2846">
        <v>0</v>
      </c>
      <c r="X2846">
        <v>2</v>
      </c>
      <c r="Y2846">
        <v>0</v>
      </c>
      <c r="AA2846">
        <v>1</v>
      </c>
      <c r="AB2846">
        <v>8</v>
      </c>
      <c r="AC2846">
        <v>3</v>
      </c>
      <c r="AD2846">
        <v>0</v>
      </c>
      <c r="AE2846">
        <v>9</v>
      </c>
      <c r="AF2846" t="s">
        <v>138</v>
      </c>
      <c r="AG2846">
        <v>0</v>
      </c>
      <c r="AH2846">
        <v>3</v>
      </c>
      <c r="AI2846">
        <v>1</v>
      </c>
      <c r="AJ2846">
        <v>0</v>
      </c>
      <c r="AK2846" t="s">
        <v>962</v>
      </c>
      <c r="AL2846">
        <v>32.731361</v>
      </c>
      <c r="AM2846" t="s">
        <v>963</v>
      </c>
      <c r="AN2846">
        <v>-116.75284600000001</v>
      </c>
      <c r="AO2846">
        <v>25</v>
      </c>
      <c r="AP2846">
        <v>3600</v>
      </c>
      <c r="AQ2846" t="s">
        <v>129</v>
      </c>
      <c r="AR2846">
        <v>83</v>
      </c>
      <c r="AS2846">
        <v>-108</v>
      </c>
      <c r="AT2846">
        <v>320</v>
      </c>
      <c r="BB2846">
        <v>1200</v>
      </c>
      <c r="BC2846">
        <v>1</v>
      </c>
      <c r="BD2846" t="str">
        <f t="shared" si="1024"/>
        <v xml:space="preserve">N887QR  </v>
      </c>
      <c r="BE2846">
        <v>1</v>
      </c>
      <c r="BJ2846">
        <v>3375</v>
      </c>
      <c r="BK2846">
        <v>-225</v>
      </c>
      <c r="BL2846" t="s">
        <v>163</v>
      </c>
      <c r="BM2846">
        <v>1</v>
      </c>
      <c r="BN2846">
        <v>1</v>
      </c>
      <c r="BO2846">
        <v>1</v>
      </c>
      <c r="BP2846">
        <v>0</v>
      </c>
      <c r="BS2846">
        <v>0</v>
      </c>
      <c r="BT2846">
        <v>0</v>
      </c>
      <c r="BU2846">
        <v>0</v>
      </c>
      <c r="CE2846" t="str">
        <f t="shared" ref="CE2846:CE2852" si="1034">"19:33:10.978"</f>
        <v>19:33:10.978</v>
      </c>
      <c r="CF2846">
        <v>978442236</v>
      </c>
      <c r="CS2846">
        <v>0</v>
      </c>
      <c r="CT2846">
        <v>2</v>
      </c>
      <c r="CU2846">
        <v>0</v>
      </c>
      <c r="CV2846">
        <v>2</v>
      </c>
      <c r="CW2846">
        <v>0</v>
      </c>
      <c r="CX2846">
        <v>3</v>
      </c>
      <c r="CY2846">
        <v>7</v>
      </c>
      <c r="CZ2846" t="s">
        <v>131</v>
      </c>
      <c r="DA2846">
        <v>300</v>
      </c>
      <c r="DB2846">
        <v>0</v>
      </c>
      <c r="DC2846" t="s">
        <v>176</v>
      </c>
      <c r="DD2846" t="s">
        <v>177</v>
      </c>
      <c r="DG2846">
        <v>5423084</v>
      </c>
      <c r="DI2846">
        <v>1</v>
      </c>
      <c r="DJ2846">
        <v>0</v>
      </c>
      <c r="DK2846">
        <v>0</v>
      </c>
      <c r="DL2846">
        <v>0</v>
      </c>
      <c r="DM2846">
        <v>0</v>
      </c>
      <c r="DN2846">
        <v>1</v>
      </c>
      <c r="DO2846">
        <v>0</v>
      </c>
      <c r="DP2846">
        <v>0</v>
      </c>
      <c r="DQ2846">
        <v>0</v>
      </c>
      <c r="DR2846">
        <v>0</v>
      </c>
      <c r="DS2846">
        <v>0</v>
      </c>
    </row>
    <row r="2847" spans="1:123" x14ac:dyDescent="0.3">
      <c r="A2847" t="str">
        <f>"10/04/2022 19:33:11.262"</f>
        <v>10/04/2022 19:33:11.262</v>
      </c>
      <c r="C2847" t="str">
        <f t="shared" si="1012"/>
        <v>FFDDD3C0</v>
      </c>
      <c r="D2847" t="s">
        <v>143</v>
      </c>
      <c r="E2847">
        <v>20</v>
      </c>
      <c r="F2847">
        <v>1020</v>
      </c>
      <c r="G2847" t="s">
        <v>144</v>
      </c>
      <c r="J2847" t="s">
        <v>145</v>
      </c>
      <c r="K2847">
        <v>0</v>
      </c>
      <c r="L2847">
        <v>3</v>
      </c>
      <c r="M2847">
        <v>0</v>
      </c>
      <c r="N2847">
        <v>2</v>
      </c>
      <c r="O2847">
        <v>0</v>
      </c>
      <c r="P2847">
        <v>1</v>
      </c>
      <c r="Q2847">
        <v>0</v>
      </c>
      <c r="S2847" t="str">
        <f t="shared" si="1032"/>
        <v>19:33:10.000</v>
      </c>
      <c r="T2847" t="str">
        <f t="shared" si="1032"/>
        <v>19:33:10.000</v>
      </c>
      <c r="U2847" t="str">
        <f t="shared" si="1023"/>
        <v>AC3944</v>
      </c>
      <c r="V2847">
        <v>0</v>
      </c>
      <c r="W2847">
        <v>0</v>
      </c>
      <c r="X2847">
        <v>2</v>
      </c>
      <c r="Y2847">
        <v>0</v>
      </c>
      <c r="AA2847">
        <v>1</v>
      </c>
      <c r="AB2847">
        <v>8</v>
      </c>
      <c r="AC2847">
        <v>3</v>
      </c>
      <c r="AD2847">
        <v>0</v>
      </c>
      <c r="AE2847">
        <v>9</v>
      </c>
      <c r="AF2847" t="s">
        <v>138</v>
      </c>
      <c r="AG2847">
        <v>0</v>
      </c>
      <c r="AH2847">
        <v>3</v>
      </c>
      <c r="AI2847">
        <v>1</v>
      </c>
      <c r="AJ2847">
        <v>0</v>
      </c>
      <c r="AK2847" t="s">
        <v>962</v>
      </c>
      <c r="AL2847">
        <v>32.731361</v>
      </c>
      <c r="AM2847" t="s">
        <v>963</v>
      </c>
      <c r="AN2847">
        <v>-116.75284600000001</v>
      </c>
      <c r="AO2847">
        <v>25</v>
      </c>
      <c r="AP2847">
        <v>3600</v>
      </c>
      <c r="AQ2847" t="s">
        <v>129</v>
      </c>
      <c r="AR2847">
        <v>83</v>
      </c>
      <c r="AS2847">
        <v>-108</v>
      </c>
      <c r="AT2847">
        <v>320</v>
      </c>
      <c r="BB2847">
        <v>1200</v>
      </c>
      <c r="BC2847">
        <v>1</v>
      </c>
      <c r="BD2847" t="str">
        <f t="shared" si="1024"/>
        <v xml:space="preserve">N887QR  </v>
      </c>
      <c r="BE2847">
        <v>1</v>
      </c>
      <c r="BJ2847">
        <v>3375</v>
      </c>
      <c r="BK2847">
        <v>-225</v>
      </c>
      <c r="BL2847" t="s">
        <v>163</v>
      </c>
      <c r="BM2847">
        <v>1</v>
      </c>
      <c r="BN2847">
        <v>1</v>
      </c>
      <c r="BO2847">
        <v>1</v>
      </c>
      <c r="BP2847">
        <v>0</v>
      </c>
      <c r="BS2847">
        <v>0</v>
      </c>
      <c r="BT2847">
        <v>0</v>
      </c>
      <c r="BU2847">
        <v>0</v>
      </c>
      <c r="CE2847" t="str">
        <f t="shared" si="1034"/>
        <v>19:33:10.978</v>
      </c>
      <c r="CF2847">
        <v>978442236</v>
      </c>
      <c r="CS2847">
        <v>0</v>
      </c>
      <c r="CT2847">
        <v>2</v>
      </c>
      <c r="CU2847">
        <v>0</v>
      </c>
      <c r="CV2847">
        <v>2</v>
      </c>
      <c r="CW2847">
        <v>0</v>
      </c>
      <c r="CX2847">
        <v>3</v>
      </c>
      <c r="CY2847">
        <v>7</v>
      </c>
      <c r="CZ2847" t="s">
        <v>131</v>
      </c>
      <c r="DA2847">
        <v>300</v>
      </c>
      <c r="DB2847">
        <v>0</v>
      </c>
      <c r="DC2847" t="s">
        <v>176</v>
      </c>
      <c r="DD2847" t="s">
        <v>177</v>
      </c>
      <c r="DG2847">
        <v>5423084</v>
      </c>
      <c r="DI2847">
        <v>1</v>
      </c>
      <c r="DJ2847">
        <v>0</v>
      </c>
      <c r="DK2847">
        <v>1</v>
      </c>
      <c r="DL2847">
        <v>0</v>
      </c>
      <c r="DM2847">
        <v>0</v>
      </c>
      <c r="DN2847">
        <v>1</v>
      </c>
      <c r="DO2847">
        <v>0</v>
      </c>
      <c r="DP2847">
        <v>0</v>
      </c>
      <c r="DQ2847">
        <v>0</v>
      </c>
      <c r="DR2847">
        <v>0</v>
      </c>
      <c r="DS2847">
        <v>0</v>
      </c>
    </row>
    <row r="2848" spans="1:123" x14ac:dyDescent="0.3">
      <c r="A2848" t="str">
        <f>"10/04/2022 19:33:11.262"</f>
        <v>10/04/2022 19:33:11.262</v>
      </c>
      <c r="C2848" t="str">
        <f t="shared" si="1012"/>
        <v>FFDDD3C0</v>
      </c>
      <c r="D2848" t="s">
        <v>147</v>
      </c>
      <c r="E2848">
        <v>3</v>
      </c>
      <c r="H2848">
        <v>166</v>
      </c>
      <c r="I2848" t="s">
        <v>144</v>
      </c>
      <c r="J2848" t="s">
        <v>148</v>
      </c>
      <c r="K2848">
        <v>0</v>
      </c>
      <c r="L2848">
        <v>3</v>
      </c>
      <c r="M2848">
        <v>0</v>
      </c>
      <c r="N2848">
        <v>2</v>
      </c>
      <c r="O2848">
        <v>0</v>
      </c>
      <c r="P2848">
        <v>1</v>
      </c>
      <c r="Q2848">
        <v>0</v>
      </c>
      <c r="S2848" t="str">
        <f t="shared" si="1032"/>
        <v>19:33:10.000</v>
      </c>
      <c r="T2848" t="str">
        <f t="shared" si="1032"/>
        <v>19:33:10.000</v>
      </c>
      <c r="U2848" t="str">
        <f t="shared" si="1023"/>
        <v>AC3944</v>
      </c>
      <c r="V2848">
        <v>0</v>
      </c>
      <c r="W2848">
        <v>0</v>
      </c>
      <c r="X2848">
        <v>2</v>
      </c>
      <c r="Y2848">
        <v>0</v>
      </c>
      <c r="AA2848">
        <v>1</v>
      </c>
      <c r="AB2848">
        <v>8</v>
      </c>
      <c r="AC2848">
        <v>3</v>
      </c>
      <c r="AD2848">
        <v>0</v>
      </c>
      <c r="AE2848">
        <v>9</v>
      </c>
      <c r="AF2848" t="s">
        <v>138</v>
      </c>
      <c r="AG2848">
        <v>0</v>
      </c>
      <c r="AH2848">
        <v>3</v>
      </c>
      <c r="AI2848">
        <v>1</v>
      </c>
      <c r="AJ2848">
        <v>0</v>
      </c>
      <c r="AK2848" t="s">
        <v>962</v>
      </c>
      <c r="AL2848">
        <v>32.731361</v>
      </c>
      <c r="AM2848" t="s">
        <v>963</v>
      </c>
      <c r="AN2848">
        <v>-116.75284600000001</v>
      </c>
      <c r="AO2848">
        <v>25</v>
      </c>
      <c r="AP2848">
        <v>3600</v>
      </c>
      <c r="AQ2848" t="s">
        <v>129</v>
      </c>
      <c r="AR2848">
        <v>83</v>
      </c>
      <c r="AS2848">
        <v>-108</v>
      </c>
      <c r="AT2848">
        <v>320</v>
      </c>
      <c r="BB2848">
        <v>1200</v>
      </c>
      <c r="BC2848">
        <v>1</v>
      </c>
      <c r="BD2848" t="str">
        <f t="shared" si="1024"/>
        <v xml:space="preserve">N887QR  </v>
      </c>
      <c r="BE2848">
        <v>1</v>
      </c>
      <c r="BJ2848">
        <v>3375</v>
      </c>
      <c r="BK2848">
        <v>-225</v>
      </c>
      <c r="BL2848" t="s">
        <v>163</v>
      </c>
      <c r="BM2848">
        <v>1</v>
      </c>
      <c r="BN2848">
        <v>1</v>
      </c>
      <c r="BO2848">
        <v>1</v>
      </c>
      <c r="BP2848">
        <v>0</v>
      </c>
      <c r="BS2848">
        <v>0</v>
      </c>
      <c r="BT2848">
        <v>0</v>
      </c>
      <c r="BU2848">
        <v>0</v>
      </c>
      <c r="CE2848" t="str">
        <f t="shared" si="1034"/>
        <v>19:33:10.978</v>
      </c>
      <c r="CF2848">
        <v>978442236</v>
      </c>
      <c r="CS2848">
        <v>0</v>
      </c>
      <c r="CT2848">
        <v>2</v>
      </c>
      <c r="CU2848">
        <v>0</v>
      </c>
      <c r="CV2848">
        <v>2</v>
      </c>
      <c r="CW2848">
        <v>0</v>
      </c>
      <c r="CX2848">
        <v>3</v>
      </c>
      <c r="CY2848">
        <v>7</v>
      </c>
      <c r="CZ2848" t="s">
        <v>131</v>
      </c>
      <c r="DA2848">
        <v>300</v>
      </c>
      <c r="DB2848">
        <v>0</v>
      </c>
      <c r="DC2848" t="s">
        <v>176</v>
      </c>
      <c r="DD2848" t="s">
        <v>177</v>
      </c>
      <c r="DG2848">
        <v>5423084</v>
      </c>
      <c r="DI2848">
        <v>1</v>
      </c>
      <c r="DJ2848">
        <v>0</v>
      </c>
      <c r="DK2848">
        <v>1</v>
      </c>
      <c r="DL2848">
        <v>0</v>
      </c>
      <c r="DM2848">
        <v>0</v>
      </c>
      <c r="DN2848">
        <v>1</v>
      </c>
      <c r="DO2848">
        <v>0</v>
      </c>
      <c r="DP2848">
        <v>0</v>
      </c>
      <c r="DQ2848">
        <v>0</v>
      </c>
      <c r="DR2848">
        <v>0</v>
      </c>
      <c r="DS2848">
        <v>0</v>
      </c>
    </row>
    <row r="2849" spans="1:123" x14ac:dyDescent="0.3">
      <c r="A2849" t="str">
        <f>"10/04/2022 19:33:11.322"</f>
        <v>10/04/2022 19:33:11.322</v>
      </c>
      <c r="C2849" t="str">
        <f t="shared" si="1012"/>
        <v>FFDDD3C0</v>
      </c>
      <c r="D2849" t="s">
        <v>136</v>
      </c>
      <c r="E2849">
        <v>8</v>
      </c>
      <c r="H2849">
        <v>225</v>
      </c>
      <c r="I2849" t="s">
        <v>137</v>
      </c>
      <c r="J2849" t="s">
        <v>138</v>
      </c>
      <c r="K2849">
        <v>0</v>
      </c>
      <c r="L2849">
        <v>3</v>
      </c>
      <c r="M2849">
        <v>0</v>
      </c>
      <c r="N2849">
        <v>2</v>
      </c>
      <c r="O2849">
        <v>0</v>
      </c>
      <c r="P2849">
        <v>1</v>
      </c>
      <c r="Q2849">
        <v>0</v>
      </c>
      <c r="S2849" t="str">
        <f t="shared" si="1032"/>
        <v>19:33:10.000</v>
      </c>
      <c r="T2849" t="str">
        <f t="shared" si="1032"/>
        <v>19:33:10.000</v>
      </c>
      <c r="U2849" t="str">
        <f t="shared" si="1023"/>
        <v>AC3944</v>
      </c>
      <c r="V2849">
        <v>0</v>
      </c>
      <c r="W2849">
        <v>0</v>
      </c>
      <c r="X2849">
        <v>2</v>
      </c>
      <c r="Y2849">
        <v>0</v>
      </c>
      <c r="AA2849">
        <v>1</v>
      </c>
      <c r="AB2849">
        <v>8</v>
      </c>
      <c r="AC2849">
        <v>3</v>
      </c>
      <c r="AD2849">
        <v>0</v>
      </c>
      <c r="AE2849">
        <v>9</v>
      </c>
      <c r="AF2849" t="s">
        <v>138</v>
      </c>
      <c r="AG2849">
        <v>0</v>
      </c>
      <c r="AH2849">
        <v>3</v>
      </c>
      <c r="AI2849">
        <v>1</v>
      </c>
      <c r="AJ2849">
        <v>0</v>
      </c>
      <c r="AK2849" t="s">
        <v>962</v>
      </c>
      <c r="AL2849">
        <v>32.731361</v>
      </c>
      <c r="AM2849" t="s">
        <v>963</v>
      </c>
      <c r="AN2849">
        <v>-116.75284600000001</v>
      </c>
      <c r="AO2849">
        <v>25</v>
      </c>
      <c r="AP2849">
        <v>3600</v>
      </c>
      <c r="AQ2849" t="s">
        <v>129</v>
      </c>
      <c r="AR2849">
        <v>83</v>
      </c>
      <c r="AS2849">
        <v>-108</v>
      </c>
      <c r="AT2849">
        <v>320</v>
      </c>
      <c r="BB2849">
        <v>1200</v>
      </c>
      <c r="BC2849">
        <v>1</v>
      </c>
      <c r="BD2849" t="str">
        <f t="shared" si="1024"/>
        <v xml:space="preserve">N887QR  </v>
      </c>
      <c r="BE2849">
        <v>1</v>
      </c>
      <c r="BJ2849">
        <v>3375</v>
      </c>
      <c r="BK2849">
        <v>-225</v>
      </c>
      <c r="BL2849" t="s">
        <v>163</v>
      </c>
      <c r="BM2849">
        <v>1</v>
      </c>
      <c r="BN2849">
        <v>1</v>
      </c>
      <c r="BO2849">
        <v>1</v>
      </c>
      <c r="BP2849">
        <v>0</v>
      </c>
      <c r="BS2849">
        <v>0</v>
      </c>
      <c r="BT2849">
        <v>0</v>
      </c>
      <c r="BU2849">
        <v>0</v>
      </c>
      <c r="CE2849" t="str">
        <f t="shared" si="1034"/>
        <v>19:33:10.978</v>
      </c>
      <c r="CF2849">
        <v>978442236</v>
      </c>
      <c r="CS2849">
        <v>0</v>
      </c>
      <c r="CT2849">
        <v>2</v>
      </c>
      <c r="CU2849">
        <v>0</v>
      </c>
      <c r="CV2849">
        <v>2</v>
      </c>
      <c r="CW2849">
        <v>0</v>
      </c>
      <c r="CX2849">
        <v>3</v>
      </c>
      <c r="CY2849">
        <v>7</v>
      </c>
      <c r="CZ2849" t="s">
        <v>131</v>
      </c>
      <c r="DA2849">
        <v>300</v>
      </c>
      <c r="DB2849">
        <v>0</v>
      </c>
      <c r="DC2849" t="s">
        <v>176</v>
      </c>
      <c r="DD2849" t="s">
        <v>177</v>
      </c>
      <c r="DG2849">
        <v>5423084</v>
      </c>
      <c r="DI2849">
        <v>1</v>
      </c>
      <c r="DJ2849">
        <v>0</v>
      </c>
      <c r="DK2849">
        <v>0</v>
      </c>
      <c r="DL2849">
        <v>0</v>
      </c>
      <c r="DM2849">
        <v>0</v>
      </c>
      <c r="DN2849">
        <v>1</v>
      </c>
      <c r="DO2849">
        <v>0</v>
      </c>
      <c r="DP2849">
        <v>0</v>
      </c>
      <c r="DQ2849">
        <v>0</v>
      </c>
      <c r="DR2849">
        <v>0</v>
      </c>
      <c r="DS2849">
        <v>0</v>
      </c>
    </row>
    <row r="2850" spans="1:123" x14ac:dyDescent="0.3">
      <c r="A2850" t="str">
        <f>"10/04/2022 19:33:11.322"</f>
        <v>10/04/2022 19:33:11.322</v>
      </c>
      <c r="C2850" t="str">
        <f t="shared" si="1012"/>
        <v>FFDDD3C0</v>
      </c>
      <c r="D2850" t="s">
        <v>123</v>
      </c>
      <c r="E2850">
        <v>7</v>
      </c>
      <c r="F2850">
        <v>2007</v>
      </c>
      <c r="G2850" t="s">
        <v>124</v>
      </c>
      <c r="J2850" t="s">
        <v>125</v>
      </c>
      <c r="K2850">
        <v>0</v>
      </c>
      <c r="L2850">
        <v>3</v>
      </c>
      <c r="M2850">
        <v>0</v>
      </c>
      <c r="N2850">
        <v>2</v>
      </c>
      <c r="O2850">
        <v>0</v>
      </c>
      <c r="P2850">
        <v>1</v>
      </c>
      <c r="Q2850">
        <v>0</v>
      </c>
      <c r="S2850" t="str">
        <f t="shared" si="1032"/>
        <v>19:33:10.000</v>
      </c>
      <c r="T2850" t="str">
        <f t="shared" si="1032"/>
        <v>19:33:10.000</v>
      </c>
      <c r="U2850" t="str">
        <f t="shared" si="1023"/>
        <v>AC3944</v>
      </c>
      <c r="V2850">
        <v>0</v>
      </c>
      <c r="W2850">
        <v>0</v>
      </c>
      <c r="X2850">
        <v>2</v>
      </c>
      <c r="Y2850">
        <v>0</v>
      </c>
      <c r="AA2850">
        <v>1</v>
      </c>
      <c r="AB2850">
        <v>8</v>
      </c>
      <c r="AC2850">
        <v>3</v>
      </c>
      <c r="AD2850">
        <v>0</v>
      </c>
      <c r="AE2850">
        <v>9</v>
      </c>
      <c r="AF2850" t="s">
        <v>138</v>
      </c>
      <c r="AG2850">
        <v>0</v>
      </c>
      <c r="AH2850">
        <v>3</v>
      </c>
      <c r="AI2850">
        <v>1</v>
      </c>
      <c r="AJ2850">
        <v>0</v>
      </c>
      <c r="AK2850" t="s">
        <v>962</v>
      </c>
      <c r="AL2850">
        <v>32.731361</v>
      </c>
      <c r="AM2850" t="s">
        <v>963</v>
      </c>
      <c r="AN2850">
        <v>-116.75284600000001</v>
      </c>
      <c r="AO2850">
        <v>25</v>
      </c>
      <c r="AP2850">
        <v>3600</v>
      </c>
      <c r="AQ2850" t="s">
        <v>129</v>
      </c>
      <c r="AR2850">
        <v>83</v>
      </c>
      <c r="AS2850">
        <v>-108</v>
      </c>
      <c r="AT2850">
        <v>320</v>
      </c>
      <c r="BB2850">
        <v>1200</v>
      </c>
      <c r="BC2850">
        <v>1</v>
      </c>
      <c r="BD2850" t="str">
        <f t="shared" si="1024"/>
        <v xml:space="preserve">N887QR  </v>
      </c>
      <c r="BE2850">
        <v>1</v>
      </c>
      <c r="BJ2850">
        <v>3375</v>
      </c>
      <c r="BK2850">
        <v>-225</v>
      </c>
      <c r="BL2850" t="s">
        <v>163</v>
      </c>
      <c r="BM2850">
        <v>1</v>
      </c>
      <c r="BN2850">
        <v>1</v>
      </c>
      <c r="BO2850">
        <v>1</v>
      </c>
      <c r="BP2850">
        <v>0</v>
      </c>
      <c r="BS2850">
        <v>0</v>
      </c>
      <c r="BT2850">
        <v>0</v>
      </c>
      <c r="BU2850">
        <v>0</v>
      </c>
      <c r="CE2850" t="str">
        <f t="shared" si="1034"/>
        <v>19:33:10.978</v>
      </c>
      <c r="CF2850">
        <v>978442236</v>
      </c>
      <c r="CS2850">
        <v>0</v>
      </c>
      <c r="CT2850">
        <v>2</v>
      </c>
      <c r="CU2850">
        <v>0</v>
      </c>
      <c r="CV2850">
        <v>2</v>
      </c>
      <c r="CW2850">
        <v>0</v>
      </c>
      <c r="CX2850">
        <v>3</v>
      </c>
      <c r="CY2850">
        <v>7</v>
      </c>
      <c r="CZ2850" t="s">
        <v>131</v>
      </c>
      <c r="DA2850">
        <v>300</v>
      </c>
      <c r="DB2850">
        <v>0</v>
      </c>
      <c r="DC2850" t="s">
        <v>176</v>
      </c>
      <c r="DD2850" t="s">
        <v>177</v>
      </c>
      <c r="DG2850">
        <v>5423084</v>
      </c>
      <c r="DI2850">
        <v>1</v>
      </c>
      <c r="DJ2850">
        <v>0</v>
      </c>
      <c r="DK2850">
        <v>1</v>
      </c>
      <c r="DL2850">
        <v>0</v>
      </c>
      <c r="DM2850">
        <v>0</v>
      </c>
      <c r="DN2850">
        <v>1</v>
      </c>
      <c r="DO2850">
        <v>0</v>
      </c>
      <c r="DP2850">
        <v>0</v>
      </c>
      <c r="DQ2850">
        <v>0</v>
      </c>
      <c r="DR2850">
        <v>0</v>
      </c>
      <c r="DS2850">
        <v>0</v>
      </c>
    </row>
    <row r="2851" spans="1:123" x14ac:dyDescent="0.3">
      <c r="A2851" t="str">
        <f>"10/04/2022 19:33:11.322"</f>
        <v>10/04/2022 19:33:11.322</v>
      </c>
      <c r="C2851" t="str">
        <f t="shared" si="1012"/>
        <v>FFDDD3C0</v>
      </c>
      <c r="D2851" t="s">
        <v>134</v>
      </c>
      <c r="E2851">
        <v>15</v>
      </c>
      <c r="J2851" t="s">
        <v>135</v>
      </c>
      <c r="K2851">
        <v>0</v>
      </c>
      <c r="L2851">
        <v>3</v>
      </c>
      <c r="M2851">
        <v>0</v>
      </c>
      <c r="N2851">
        <v>2</v>
      </c>
      <c r="O2851">
        <v>0</v>
      </c>
      <c r="P2851">
        <v>1</v>
      </c>
      <c r="Q2851">
        <v>0</v>
      </c>
      <c r="S2851" t="str">
        <f t="shared" si="1032"/>
        <v>19:33:10.000</v>
      </c>
      <c r="T2851" t="str">
        <f t="shared" si="1032"/>
        <v>19:33:10.000</v>
      </c>
      <c r="U2851" t="str">
        <f t="shared" si="1023"/>
        <v>AC3944</v>
      </c>
      <c r="V2851">
        <v>0</v>
      </c>
      <c r="W2851">
        <v>0</v>
      </c>
      <c r="X2851">
        <v>2</v>
      </c>
      <c r="Y2851">
        <v>0</v>
      </c>
      <c r="AA2851">
        <v>1</v>
      </c>
      <c r="AB2851">
        <v>8</v>
      </c>
      <c r="AC2851">
        <v>3</v>
      </c>
      <c r="AD2851">
        <v>0</v>
      </c>
      <c r="AE2851">
        <v>9</v>
      </c>
      <c r="AF2851" t="s">
        <v>138</v>
      </c>
      <c r="AG2851">
        <v>0</v>
      </c>
      <c r="AH2851">
        <v>3</v>
      </c>
      <c r="AI2851">
        <v>1</v>
      </c>
      <c r="AJ2851">
        <v>0</v>
      </c>
      <c r="AK2851" t="s">
        <v>962</v>
      </c>
      <c r="AL2851">
        <v>32.731361</v>
      </c>
      <c r="AM2851" t="s">
        <v>963</v>
      </c>
      <c r="AN2851">
        <v>-116.75284600000001</v>
      </c>
      <c r="AO2851">
        <v>25</v>
      </c>
      <c r="AP2851">
        <v>3600</v>
      </c>
      <c r="AQ2851" t="s">
        <v>129</v>
      </c>
      <c r="AR2851">
        <v>83</v>
      </c>
      <c r="AS2851">
        <v>-108</v>
      </c>
      <c r="AT2851">
        <v>320</v>
      </c>
      <c r="BB2851">
        <v>1200</v>
      </c>
      <c r="BC2851">
        <v>1</v>
      </c>
      <c r="BD2851" t="str">
        <f t="shared" si="1024"/>
        <v xml:space="preserve">N887QR  </v>
      </c>
      <c r="BE2851">
        <v>1</v>
      </c>
      <c r="BJ2851">
        <v>3375</v>
      </c>
      <c r="BK2851">
        <v>-225</v>
      </c>
      <c r="BL2851" t="s">
        <v>163</v>
      </c>
      <c r="BM2851">
        <v>1</v>
      </c>
      <c r="BN2851">
        <v>1</v>
      </c>
      <c r="BO2851">
        <v>1</v>
      </c>
      <c r="BP2851">
        <v>0</v>
      </c>
      <c r="BS2851">
        <v>0</v>
      </c>
      <c r="BT2851">
        <v>0</v>
      </c>
      <c r="BU2851">
        <v>0</v>
      </c>
      <c r="CE2851" t="str">
        <f t="shared" si="1034"/>
        <v>19:33:10.978</v>
      </c>
      <c r="CF2851">
        <v>978442236</v>
      </c>
      <c r="CS2851">
        <v>0</v>
      </c>
      <c r="CT2851">
        <v>2</v>
      </c>
      <c r="CU2851">
        <v>0</v>
      </c>
      <c r="CV2851">
        <v>2</v>
      </c>
      <c r="CW2851">
        <v>0</v>
      </c>
      <c r="CX2851">
        <v>3</v>
      </c>
      <c r="CY2851">
        <v>7</v>
      </c>
      <c r="CZ2851" t="s">
        <v>131</v>
      </c>
      <c r="DA2851">
        <v>300</v>
      </c>
      <c r="DB2851">
        <v>0</v>
      </c>
      <c r="DC2851" t="s">
        <v>176</v>
      </c>
      <c r="DD2851" t="s">
        <v>177</v>
      </c>
      <c r="DG2851">
        <v>5423084</v>
      </c>
      <c r="DI2851">
        <v>1</v>
      </c>
      <c r="DJ2851">
        <v>0</v>
      </c>
      <c r="DK2851">
        <v>1</v>
      </c>
      <c r="DL2851">
        <v>0</v>
      </c>
      <c r="DM2851">
        <v>0</v>
      </c>
      <c r="DN2851">
        <v>1</v>
      </c>
      <c r="DO2851">
        <v>0</v>
      </c>
      <c r="DP2851">
        <v>0</v>
      </c>
      <c r="DQ2851">
        <v>0</v>
      </c>
      <c r="DR2851">
        <v>0</v>
      </c>
      <c r="DS2851">
        <v>0</v>
      </c>
    </row>
    <row r="2852" spans="1:123" x14ac:dyDescent="0.3">
      <c r="A2852" t="str">
        <f>"10/04/2022 19:33:11.322"</f>
        <v>10/04/2022 19:33:11.322</v>
      </c>
      <c r="C2852" t="str">
        <f t="shared" si="1012"/>
        <v>FFDDD3C0</v>
      </c>
      <c r="D2852" t="s">
        <v>141</v>
      </c>
      <c r="E2852">
        <v>4</v>
      </c>
      <c r="H2852">
        <v>4</v>
      </c>
      <c r="I2852" t="s">
        <v>142</v>
      </c>
      <c r="J2852" t="s">
        <v>138</v>
      </c>
      <c r="K2852">
        <v>0</v>
      </c>
      <c r="L2852">
        <v>3</v>
      </c>
      <c r="M2852">
        <v>0</v>
      </c>
      <c r="N2852">
        <v>2</v>
      </c>
      <c r="O2852">
        <v>0</v>
      </c>
      <c r="P2852">
        <v>1</v>
      </c>
      <c r="Q2852">
        <v>0</v>
      </c>
      <c r="S2852" t="str">
        <f t="shared" si="1032"/>
        <v>19:33:10.000</v>
      </c>
      <c r="T2852" t="str">
        <f t="shared" si="1032"/>
        <v>19:33:10.000</v>
      </c>
      <c r="U2852" t="str">
        <f t="shared" si="1023"/>
        <v>AC3944</v>
      </c>
      <c r="V2852">
        <v>0</v>
      </c>
      <c r="W2852">
        <v>0</v>
      </c>
      <c r="X2852">
        <v>2</v>
      </c>
      <c r="Y2852">
        <v>0</v>
      </c>
      <c r="AA2852">
        <v>1</v>
      </c>
      <c r="AB2852">
        <v>8</v>
      </c>
      <c r="AC2852">
        <v>3</v>
      </c>
      <c r="AD2852">
        <v>0</v>
      </c>
      <c r="AE2852">
        <v>9</v>
      </c>
      <c r="AF2852" t="s">
        <v>138</v>
      </c>
      <c r="AG2852">
        <v>0</v>
      </c>
      <c r="AH2852">
        <v>3</v>
      </c>
      <c r="AI2852">
        <v>1</v>
      </c>
      <c r="AJ2852">
        <v>0</v>
      </c>
      <c r="AK2852" t="s">
        <v>962</v>
      </c>
      <c r="AL2852">
        <v>32.731361</v>
      </c>
      <c r="AM2852" t="s">
        <v>963</v>
      </c>
      <c r="AN2852">
        <v>-116.75284600000001</v>
      </c>
      <c r="AO2852">
        <v>25</v>
      </c>
      <c r="AP2852">
        <v>3600</v>
      </c>
      <c r="AQ2852" t="s">
        <v>129</v>
      </c>
      <c r="AR2852">
        <v>83</v>
      </c>
      <c r="AS2852">
        <v>-108</v>
      </c>
      <c r="AT2852">
        <v>320</v>
      </c>
      <c r="BB2852">
        <v>1200</v>
      </c>
      <c r="BC2852">
        <v>1</v>
      </c>
      <c r="BD2852" t="str">
        <f t="shared" si="1024"/>
        <v xml:space="preserve">N887QR  </v>
      </c>
      <c r="BE2852">
        <v>1</v>
      </c>
      <c r="BJ2852">
        <v>3375</v>
      </c>
      <c r="BK2852">
        <v>-225</v>
      </c>
      <c r="BL2852" t="s">
        <v>163</v>
      </c>
      <c r="BM2852">
        <v>1</v>
      </c>
      <c r="BN2852">
        <v>1</v>
      </c>
      <c r="BO2852">
        <v>1</v>
      </c>
      <c r="BP2852">
        <v>0</v>
      </c>
      <c r="BS2852">
        <v>0</v>
      </c>
      <c r="BT2852">
        <v>0</v>
      </c>
      <c r="BU2852">
        <v>0</v>
      </c>
      <c r="CE2852" t="str">
        <f t="shared" si="1034"/>
        <v>19:33:10.978</v>
      </c>
      <c r="CF2852">
        <v>978442236</v>
      </c>
      <c r="CS2852">
        <v>0</v>
      </c>
      <c r="CT2852">
        <v>2</v>
      </c>
      <c r="CU2852">
        <v>0</v>
      </c>
      <c r="CV2852">
        <v>2</v>
      </c>
      <c r="CW2852">
        <v>0</v>
      </c>
      <c r="CX2852">
        <v>3</v>
      </c>
      <c r="CY2852">
        <v>7</v>
      </c>
      <c r="CZ2852" t="s">
        <v>131</v>
      </c>
      <c r="DA2852">
        <v>300</v>
      </c>
      <c r="DB2852">
        <v>0</v>
      </c>
      <c r="DC2852" t="s">
        <v>176</v>
      </c>
      <c r="DD2852" t="s">
        <v>177</v>
      </c>
      <c r="DG2852">
        <v>5423084</v>
      </c>
      <c r="DI2852">
        <v>1</v>
      </c>
      <c r="DJ2852">
        <v>0</v>
      </c>
      <c r="DK2852">
        <v>0</v>
      </c>
      <c r="DL2852">
        <v>0</v>
      </c>
      <c r="DM2852">
        <v>0</v>
      </c>
      <c r="DN2852">
        <v>1</v>
      </c>
      <c r="DO2852">
        <v>0</v>
      </c>
      <c r="DP2852">
        <v>0</v>
      </c>
      <c r="DQ2852">
        <v>0</v>
      </c>
      <c r="DR2852">
        <v>0</v>
      </c>
      <c r="DS2852">
        <v>0</v>
      </c>
    </row>
    <row r="2853" spans="1:123" x14ac:dyDescent="0.3">
      <c r="A2853" t="str">
        <f>"10/04/2022 19:33:12.291"</f>
        <v>10/04/2022 19:33:12.291</v>
      </c>
      <c r="C2853" t="str">
        <f t="shared" si="1012"/>
        <v>FFDDD3C0</v>
      </c>
      <c r="D2853" t="s">
        <v>141</v>
      </c>
      <c r="E2853">
        <v>4</v>
      </c>
      <c r="H2853">
        <v>4</v>
      </c>
      <c r="I2853" t="s">
        <v>142</v>
      </c>
      <c r="J2853" t="s">
        <v>138</v>
      </c>
      <c r="K2853">
        <v>0</v>
      </c>
      <c r="L2853">
        <v>3</v>
      </c>
      <c r="M2853">
        <v>0</v>
      </c>
      <c r="N2853">
        <v>2</v>
      </c>
      <c r="O2853">
        <v>0</v>
      </c>
      <c r="P2853">
        <v>1</v>
      </c>
      <c r="Q2853">
        <v>0</v>
      </c>
      <c r="S2853" t="str">
        <f t="shared" ref="S2853:T2855" si="1035">"19:33:12.000"</f>
        <v>19:33:12.000</v>
      </c>
      <c r="T2853" t="str">
        <f t="shared" si="1035"/>
        <v>19:33:12.000</v>
      </c>
      <c r="U2853" t="str">
        <f t="shared" si="1023"/>
        <v>AC3944</v>
      </c>
      <c r="V2853">
        <v>0</v>
      </c>
      <c r="W2853">
        <v>0</v>
      </c>
      <c r="X2853">
        <v>2</v>
      </c>
      <c r="Y2853">
        <v>0</v>
      </c>
      <c r="AA2853">
        <v>1</v>
      </c>
      <c r="AB2853">
        <v>8</v>
      </c>
      <c r="AC2853">
        <v>3</v>
      </c>
      <c r="AD2853">
        <v>0</v>
      </c>
      <c r="AE2853">
        <v>9</v>
      </c>
      <c r="AF2853" t="s">
        <v>138</v>
      </c>
      <c r="AG2853">
        <v>0</v>
      </c>
      <c r="AH2853">
        <v>3</v>
      </c>
      <c r="AI2853">
        <v>1</v>
      </c>
      <c r="AJ2853">
        <v>0</v>
      </c>
      <c r="AK2853" t="s">
        <v>964</v>
      </c>
      <c r="AL2853">
        <v>32.730846</v>
      </c>
      <c r="AM2853" t="s">
        <v>965</v>
      </c>
      <c r="AN2853">
        <v>-116.752374</v>
      </c>
      <c r="AO2853">
        <v>25</v>
      </c>
      <c r="AP2853">
        <v>3600</v>
      </c>
      <c r="AQ2853" t="s">
        <v>129</v>
      </c>
      <c r="AR2853">
        <v>76</v>
      </c>
      <c r="AS2853">
        <v>-112</v>
      </c>
      <c r="AT2853">
        <v>320</v>
      </c>
      <c r="BB2853">
        <v>1200</v>
      </c>
      <c r="BC2853">
        <v>1</v>
      </c>
      <c r="BD2853" t="str">
        <f t="shared" si="1024"/>
        <v xml:space="preserve">N887QR  </v>
      </c>
      <c r="BE2853">
        <v>1</v>
      </c>
      <c r="BJ2853">
        <v>3375</v>
      </c>
      <c r="BK2853">
        <v>-225</v>
      </c>
      <c r="BL2853" t="s">
        <v>163</v>
      </c>
      <c r="BM2853">
        <v>1</v>
      </c>
      <c r="BN2853">
        <v>1</v>
      </c>
      <c r="BO2853">
        <v>1</v>
      </c>
      <c r="BP2853">
        <v>0</v>
      </c>
      <c r="BS2853">
        <v>0</v>
      </c>
      <c r="BT2853">
        <v>0</v>
      </c>
      <c r="BU2853">
        <v>0</v>
      </c>
      <c r="CE2853" t="str">
        <f>"19:33:12.011"</f>
        <v>19:33:12.011</v>
      </c>
      <c r="CF2853">
        <v>10695792</v>
      </c>
      <c r="CS2853">
        <v>0</v>
      </c>
      <c r="CT2853">
        <v>2</v>
      </c>
      <c r="CU2853">
        <v>0</v>
      </c>
      <c r="CV2853">
        <v>2</v>
      </c>
      <c r="CW2853">
        <v>0</v>
      </c>
      <c r="CX2853">
        <v>3</v>
      </c>
      <c r="CY2853">
        <v>7</v>
      </c>
      <c r="CZ2853" t="s">
        <v>131</v>
      </c>
      <c r="DA2853">
        <v>300</v>
      </c>
      <c r="DB2853">
        <v>0</v>
      </c>
      <c r="DC2853" t="s">
        <v>176</v>
      </c>
      <c r="DD2853" t="s">
        <v>177</v>
      </c>
      <c r="DG2853">
        <v>5423263</v>
      </c>
      <c r="DI2853">
        <v>1</v>
      </c>
      <c r="DJ2853">
        <v>0</v>
      </c>
      <c r="DK2853">
        <v>0</v>
      </c>
      <c r="DL2853">
        <v>0</v>
      </c>
      <c r="DM2853">
        <v>0</v>
      </c>
      <c r="DN2853">
        <v>1</v>
      </c>
      <c r="DO2853">
        <v>0</v>
      </c>
      <c r="DP2853">
        <v>0</v>
      </c>
      <c r="DQ2853">
        <v>0</v>
      </c>
      <c r="DR2853">
        <v>0</v>
      </c>
      <c r="DS2853">
        <v>0</v>
      </c>
    </row>
    <row r="2854" spans="1:123" x14ac:dyDescent="0.3">
      <c r="A2854" t="str">
        <f>"10/04/2022 19:33:12.291"</f>
        <v>10/04/2022 19:33:12.291</v>
      </c>
      <c r="C2854" t="str">
        <f t="shared" si="1012"/>
        <v>FFDDD3C0</v>
      </c>
      <c r="D2854" t="s">
        <v>143</v>
      </c>
      <c r="E2854">
        <v>20</v>
      </c>
      <c r="F2854">
        <v>1020</v>
      </c>
      <c r="G2854" t="s">
        <v>144</v>
      </c>
      <c r="J2854" t="s">
        <v>145</v>
      </c>
      <c r="K2854">
        <v>0</v>
      </c>
      <c r="L2854">
        <v>3</v>
      </c>
      <c r="M2854">
        <v>0</v>
      </c>
      <c r="N2854">
        <v>2</v>
      </c>
      <c r="O2854">
        <v>0</v>
      </c>
      <c r="P2854">
        <v>1</v>
      </c>
      <c r="Q2854">
        <v>0</v>
      </c>
      <c r="S2854" t="str">
        <f t="shared" si="1035"/>
        <v>19:33:12.000</v>
      </c>
      <c r="T2854" t="str">
        <f t="shared" si="1035"/>
        <v>19:33:12.000</v>
      </c>
      <c r="U2854" t="str">
        <f t="shared" si="1023"/>
        <v>AC3944</v>
      </c>
      <c r="V2854">
        <v>0</v>
      </c>
      <c r="W2854">
        <v>0</v>
      </c>
      <c r="X2854">
        <v>2</v>
      </c>
      <c r="Y2854">
        <v>0</v>
      </c>
      <c r="AA2854">
        <v>1</v>
      </c>
      <c r="AB2854">
        <v>8</v>
      </c>
      <c r="AC2854">
        <v>3</v>
      </c>
      <c r="AD2854">
        <v>0</v>
      </c>
      <c r="AE2854">
        <v>9</v>
      </c>
      <c r="AF2854" t="s">
        <v>138</v>
      </c>
      <c r="AG2854">
        <v>0</v>
      </c>
      <c r="AH2854">
        <v>3</v>
      </c>
      <c r="AI2854">
        <v>1</v>
      </c>
      <c r="AJ2854">
        <v>0</v>
      </c>
      <c r="AK2854" t="s">
        <v>964</v>
      </c>
      <c r="AL2854">
        <v>32.730846</v>
      </c>
      <c r="AM2854" t="s">
        <v>965</v>
      </c>
      <c r="AN2854">
        <v>-116.752374</v>
      </c>
      <c r="AO2854">
        <v>25</v>
      </c>
      <c r="AP2854">
        <v>3600</v>
      </c>
      <c r="AQ2854" t="s">
        <v>129</v>
      </c>
      <c r="AR2854">
        <v>76</v>
      </c>
      <c r="AS2854">
        <v>-112</v>
      </c>
      <c r="AT2854">
        <v>320</v>
      </c>
      <c r="BB2854">
        <v>1200</v>
      </c>
      <c r="BC2854">
        <v>1</v>
      </c>
      <c r="BD2854" t="str">
        <f t="shared" si="1024"/>
        <v xml:space="preserve">N887QR  </v>
      </c>
      <c r="BE2854">
        <v>1</v>
      </c>
      <c r="BJ2854">
        <v>3375</v>
      </c>
      <c r="BK2854">
        <v>-225</v>
      </c>
      <c r="BL2854" t="s">
        <v>163</v>
      </c>
      <c r="BM2854">
        <v>1</v>
      </c>
      <c r="BN2854">
        <v>1</v>
      </c>
      <c r="BO2854">
        <v>1</v>
      </c>
      <c r="BP2854">
        <v>0</v>
      </c>
      <c r="BS2854">
        <v>0</v>
      </c>
      <c r="BT2854">
        <v>0</v>
      </c>
      <c r="BU2854">
        <v>0</v>
      </c>
      <c r="CE2854" t="str">
        <f>"19:33:12.011"</f>
        <v>19:33:12.011</v>
      </c>
      <c r="CF2854">
        <v>10695792</v>
      </c>
      <c r="CS2854">
        <v>0</v>
      </c>
      <c r="CT2854">
        <v>2</v>
      </c>
      <c r="CU2854">
        <v>0</v>
      </c>
      <c r="CV2854">
        <v>2</v>
      </c>
      <c r="CW2854">
        <v>0</v>
      </c>
      <c r="CX2854">
        <v>3</v>
      </c>
      <c r="CY2854">
        <v>7</v>
      </c>
      <c r="CZ2854" t="s">
        <v>131</v>
      </c>
      <c r="DA2854">
        <v>300</v>
      </c>
      <c r="DB2854">
        <v>0</v>
      </c>
      <c r="DC2854" t="s">
        <v>176</v>
      </c>
      <c r="DD2854" t="s">
        <v>177</v>
      </c>
      <c r="DG2854">
        <v>5423263</v>
      </c>
      <c r="DI2854">
        <v>1</v>
      </c>
      <c r="DJ2854">
        <v>0</v>
      </c>
      <c r="DK2854">
        <v>1</v>
      </c>
      <c r="DL2854">
        <v>0</v>
      </c>
      <c r="DM2854">
        <v>0</v>
      </c>
      <c r="DN2854">
        <v>1</v>
      </c>
      <c r="DO2854">
        <v>0</v>
      </c>
      <c r="DP2854">
        <v>0</v>
      </c>
      <c r="DQ2854">
        <v>0</v>
      </c>
      <c r="DR2854">
        <v>0</v>
      </c>
      <c r="DS2854">
        <v>0</v>
      </c>
    </row>
    <row r="2855" spans="1:123" x14ac:dyDescent="0.3">
      <c r="A2855" t="str">
        <f>"10/04/2022 19:33:12.291"</f>
        <v>10/04/2022 19:33:12.291</v>
      </c>
      <c r="C2855" t="str">
        <f t="shared" ref="C2855:C2918" si="1036">"FFDDD3C0"</f>
        <v>FFDDD3C0</v>
      </c>
      <c r="D2855" t="s">
        <v>141</v>
      </c>
      <c r="E2855">
        <v>3</v>
      </c>
      <c r="H2855">
        <v>3</v>
      </c>
      <c r="I2855" t="s">
        <v>146</v>
      </c>
      <c r="J2855" t="s">
        <v>138</v>
      </c>
      <c r="K2855">
        <v>0</v>
      </c>
      <c r="L2855">
        <v>3</v>
      </c>
      <c r="M2855">
        <v>0</v>
      </c>
      <c r="N2855">
        <v>2</v>
      </c>
      <c r="O2855">
        <v>0</v>
      </c>
      <c r="P2855">
        <v>1</v>
      </c>
      <c r="Q2855">
        <v>0</v>
      </c>
      <c r="S2855" t="str">
        <f t="shared" si="1035"/>
        <v>19:33:12.000</v>
      </c>
      <c r="T2855" t="str">
        <f t="shared" si="1035"/>
        <v>19:33:12.000</v>
      </c>
      <c r="U2855" t="str">
        <f t="shared" si="1023"/>
        <v>AC3944</v>
      </c>
      <c r="V2855">
        <v>0</v>
      </c>
      <c r="W2855">
        <v>0</v>
      </c>
      <c r="X2855">
        <v>2</v>
      </c>
      <c r="Y2855">
        <v>0</v>
      </c>
      <c r="AA2855">
        <v>1</v>
      </c>
      <c r="AB2855">
        <v>8</v>
      </c>
      <c r="AC2855">
        <v>3</v>
      </c>
      <c r="AD2855">
        <v>0</v>
      </c>
      <c r="AE2855">
        <v>9</v>
      </c>
      <c r="AF2855" t="s">
        <v>138</v>
      </c>
      <c r="AG2855">
        <v>0</v>
      </c>
      <c r="AH2855">
        <v>3</v>
      </c>
      <c r="AI2855">
        <v>1</v>
      </c>
      <c r="AJ2855">
        <v>0</v>
      </c>
      <c r="AK2855" t="s">
        <v>964</v>
      </c>
      <c r="AL2855">
        <v>32.730846</v>
      </c>
      <c r="AM2855" t="s">
        <v>965</v>
      </c>
      <c r="AN2855">
        <v>-116.752374</v>
      </c>
      <c r="AO2855">
        <v>25</v>
      </c>
      <c r="AP2855">
        <v>3600</v>
      </c>
      <c r="AQ2855" t="s">
        <v>129</v>
      </c>
      <c r="AR2855">
        <v>76</v>
      </c>
      <c r="AS2855">
        <v>-112</v>
      </c>
      <c r="AT2855">
        <v>320</v>
      </c>
      <c r="BB2855">
        <v>1200</v>
      </c>
      <c r="BC2855">
        <v>1</v>
      </c>
      <c r="BD2855" t="str">
        <f t="shared" si="1024"/>
        <v xml:space="preserve">N887QR  </v>
      </c>
      <c r="BE2855">
        <v>1</v>
      </c>
      <c r="BJ2855">
        <v>3375</v>
      </c>
      <c r="BK2855">
        <v>-225</v>
      </c>
      <c r="BL2855" t="s">
        <v>163</v>
      </c>
      <c r="BM2855">
        <v>1</v>
      </c>
      <c r="BN2855">
        <v>1</v>
      </c>
      <c r="BO2855">
        <v>1</v>
      </c>
      <c r="BP2855">
        <v>0</v>
      </c>
      <c r="BS2855">
        <v>0</v>
      </c>
      <c r="BT2855">
        <v>0</v>
      </c>
      <c r="BU2855">
        <v>0</v>
      </c>
      <c r="CE2855" t="str">
        <f>"19:33:12.011"</f>
        <v>19:33:12.011</v>
      </c>
      <c r="CF2855">
        <v>10695792</v>
      </c>
      <c r="CS2855">
        <v>0</v>
      </c>
      <c r="CT2855">
        <v>2</v>
      </c>
      <c r="CU2855">
        <v>0</v>
      </c>
      <c r="CV2855">
        <v>2</v>
      </c>
      <c r="CW2855">
        <v>0</v>
      </c>
      <c r="CX2855">
        <v>3</v>
      </c>
      <c r="CY2855">
        <v>7</v>
      </c>
      <c r="CZ2855" t="s">
        <v>131</v>
      </c>
      <c r="DA2855">
        <v>300</v>
      </c>
      <c r="DB2855">
        <v>0</v>
      </c>
      <c r="DC2855" t="s">
        <v>176</v>
      </c>
      <c r="DD2855" t="s">
        <v>177</v>
      </c>
      <c r="DG2855">
        <v>5423263</v>
      </c>
      <c r="DI2855">
        <v>1</v>
      </c>
      <c r="DJ2855">
        <v>0</v>
      </c>
      <c r="DK2855">
        <v>1</v>
      </c>
      <c r="DL2855">
        <v>0</v>
      </c>
      <c r="DM2855">
        <v>0</v>
      </c>
      <c r="DN2855">
        <v>1</v>
      </c>
      <c r="DO2855">
        <v>0</v>
      </c>
      <c r="DP2855">
        <v>0</v>
      </c>
      <c r="DQ2855">
        <v>0</v>
      </c>
      <c r="DR2855">
        <v>0</v>
      </c>
      <c r="DS2855">
        <v>0</v>
      </c>
    </row>
    <row r="2856" spans="1:123" x14ac:dyDescent="0.3">
      <c r="A2856" t="str">
        <f t="shared" ref="A2856:A2862" si="1037">"10/04/2022 19:33:13.260"</f>
        <v>10/04/2022 19:33:13.260</v>
      </c>
      <c r="C2856" t="str">
        <f t="shared" si="1036"/>
        <v>FFDDD3C0</v>
      </c>
      <c r="D2856" t="s">
        <v>141</v>
      </c>
      <c r="E2856">
        <v>3</v>
      </c>
      <c r="H2856">
        <v>3</v>
      </c>
      <c r="I2856" t="s">
        <v>146</v>
      </c>
      <c r="J2856" t="s">
        <v>138</v>
      </c>
      <c r="K2856">
        <v>0</v>
      </c>
      <c r="L2856">
        <v>3</v>
      </c>
      <c r="M2856">
        <v>0</v>
      </c>
      <c r="N2856">
        <v>2</v>
      </c>
      <c r="O2856">
        <v>0</v>
      </c>
      <c r="P2856">
        <v>1</v>
      </c>
      <c r="Q2856">
        <v>0</v>
      </c>
      <c r="S2856" t="str">
        <f t="shared" ref="S2856:T2862" si="1038">"19:33:13.000"</f>
        <v>19:33:13.000</v>
      </c>
      <c r="T2856" t="str">
        <f t="shared" si="1038"/>
        <v>19:33:13.000</v>
      </c>
      <c r="U2856" t="str">
        <f t="shared" si="1023"/>
        <v>AC3944</v>
      </c>
      <c r="V2856">
        <v>0</v>
      </c>
      <c r="W2856">
        <v>0</v>
      </c>
      <c r="X2856">
        <v>2</v>
      </c>
      <c r="Y2856">
        <v>0</v>
      </c>
      <c r="AA2856">
        <v>1</v>
      </c>
      <c r="AB2856">
        <v>8</v>
      </c>
      <c r="AC2856">
        <v>3</v>
      </c>
      <c r="AD2856">
        <v>0</v>
      </c>
      <c r="AE2856">
        <v>9</v>
      </c>
      <c r="AF2856" t="s">
        <v>138</v>
      </c>
      <c r="AG2856">
        <v>0</v>
      </c>
      <c r="AH2856">
        <v>3</v>
      </c>
      <c r="AI2856">
        <v>1</v>
      </c>
      <c r="AJ2856">
        <v>0</v>
      </c>
      <c r="AK2856" t="s">
        <v>966</v>
      </c>
      <c r="AL2856">
        <v>32.730438999999997</v>
      </c>
      <c r="AM2856" t="s">
        <v>967</v>
      </c>
      <c r="AN2856">
        <v>-116.75205200000001</v>
      </c>
      <c r="AO2856">
        <v>25</v>
      </c>
      <c r="AP2856">
        <v>3600</v>
      </c>
      <c r="AQ2856" t="s">
        <v>129</v>
      </c>
      <c r="AR2856">
        <v>70</v>
      </c>
      <c r="AS2856">
        <v>-117</v>
      </c>
      <c r="AT2856">
        <v>256</v>
      </c>
      <c r="BB2856">
        <v>1200</v>
      </c>
      <c r="BC2856">
        <v>1</v>
      </c>
      <c r="BD2856" t="str">
        <f t="shared" si="1024"/>
        <v xml:space="preserve">N887QR  </v>
      </c>
      <c r="BE2856">
        <v>1</v>
      </c>
      <c r="BJ2856">
        <v>3375</v>
      </c>
      <c r="BK2856">
        <v>-225</v>
      </c>
      <c r="BL2856" t="s">
        <v>163</v>
      </c>
      <c r="BM2856">
        <v>1</v>
      </c>
      <c r="BN2856">
        <v>1</v>
      </c>
      <c r="BO2856">
        <v>1</v>
      </c>
      <c r="BP2856">
        <v>0</v>
      </c>
      <c r="BS2856">
        <v>0</v>
      </c>
      <c r="BT2856">
        <v>0</v>
      </c>
      <c r="BU2856">
        <v>0</v>
      </c>
      <c r="CE2856" t="str">
        <f t="shared" ref="CE2856:CE2862" si="1039">"19:33:13.020"</f>
        <v>19:33:13.020</v>
      </c>
      <c r="CF2856">
        <v>19949224</v>
      </c>
      <c r="CS2856">
        <v>0</v>
      </c>
      <c r="CT2856">
        <v>2</v>
      </c>
      <c r="CU2856">
        <v>0</v>
      </c>
      <c r="CV2856">
        <v>2</v>
      </c>
      <c r="CW2856">
        <v>0</v>
      </c>
      <c r="CX2856">
        <v>3</v>
      </c>
      <c r="CY2856">
        <v>7</v>
      </c>
      <c r="CZ2856" t="s">
        <v>131</v>
      </c>
      <c r="DA2856">
        <v>300</v>
      </c>
      <c r="DB2856">
        <v>0</v>
      </c>
      <c r="DC2856" t="s">
        <v>176</v>
      </c>
      <c r="DD2856" t="s">
        <v>177</v>
      </c>
      <c r="DG2856">
        <v>5423418</v>
      </c>
      <c r="DI2856">
        <v>1</v>
      </c>
      <c r="DJ2856">
        <v>0</v>
      </c>
      <c r="DK2856">
        <v>0</v>
      </c>
      <c r="DL2856">
        <v>0</v>
      </c>
      <c r="DM2856">
        <v>0</v>
      </c>
      <c r="DN2856">
        <v>1</v>
      </c>
      <c r="DO2856">
        <v>0</v>
      </c>
      <c r="DP2856">
        <v>0</v>
      </c>
      <c r="DQ2856">
        <v>0</v>
      </c>
      <c r="DR2856">
        <v>0</v>
      </c>
      <c r="DS2856">
        <v>0</v>
      </c>
    </row>
    <row r="2857" spans="1:123" x14ac:dyDescent="0.3">
      <c r="A2857" t="str">
        <f t="shared" si="1037"/>
        <v>10/04/2022 19:33:13.260</v>
      </c>
      <c r="C2857" t="str">
        <f t="shared" si="1036"/>
        <v>FFDDD3C0</v>
      </c>
      <c r="D2857" t="s">
        <v>143</v>
      </c>
      <c r="E2857">
        <v>20</v>
      </c>
      <c r="F2857">
        <v>1020</v>
      </c>
      <c r="G2857" t="s">
        <v>144</v>
      </c>
      <c r="J2857" t="s">
        <v>145</v>
      </c>
      <c r="K2857">
        <v>0</v>
      </c>
      <c r="L2857">
        <v>3</v>
      </c>
      <c r="M2857">
        <v>0</v>
      </c>
      <c r="N2857">
        <v>2</v>
      </c>
      <c r="O2857">
        <v>0</v>
      </c>
      <c r="P2857">
        <v>1</v>
      </c>
      <c r="Q2857">
        <v>0</v>
      </c>
      <c r="S2857" t="str">
        <f t="shared" si="1038"/>
        <v>19:33:13.000</v>
      </c>
      <c r="T2857" t="str">
        <f t="shared" si="1038"/>
        <v>19:33:13.000</v>
      </c>
      <c r="U2857" t="str">
        <f t="shared" si="1023"/>
        <v>AC3944</v>
      </c>
      <c r="V2857">
        <v>0</v>
      </c>
      <c r="W2857">
        <v>0</v>
      </c>
      <c r="X2857">
        <v>2</v>
      </c>
      <c r="Y2857">
        <v>0</v>
      </c>
      <c r="AA2857">
        <v>1</v>
      </c>
      <c r="AB2857">
        <v>8</v>
      </c>
      <c r="AC2857">
        <v>3</v>
      </c>
      <c r="AD2857">
        <v>0</v>
      </c>
      <c r="AE2857">
        <v>9</v>
      </c>
      <c r="AF2857" t="s">
        <v>138</v>
      </c>
      <c r="AG2857">
        <v>0</v>
      </c>
      <c r="AH2857">
        <v>3</v>
      </c>
      <c r="AI2857">
        <v>1</v>
      </c>
      <c r="AJ2857">
        <v>0</v>
      </c>
      <c r="AK2857" t="s">
        <v>966</v>
      </c>
      <c r="AL2857">
        <v>32.730438999999997</v>
      </c>
      <c r="AM2857" t="s">
        <v>967</v>
      </c>
      <c r="AN2857">
        <v>-116.75205200000001</v>
      </c>
      <c r="AO2857">
        <v>25</v>
      </c>
      <c r="AP2857">
        <v>3600</v>
      </c>
      <c r="AQ2857" t="s">
        <v>129</v>
      </c>
      <c r="AR2857">
        <v>70</v>
      </c>
      <c r="AS2857">
        <v>-117</v>
      </c>
      <c r="AT2857">
        <v>256</v>
      </c>
      <c r="BB2857">
        <v>1200</v>
      </c>
      <c r="BC2857">
        <v>1</v>
      </c>
      <c r="BD2857" t="str">
        <f t="shared" si="1024"/>
        <v xml:space="preserve">N887QR  </v>
      </c>
      <c r="BE2857">
        <v>1</v>
      </c>
      <c r="BJ2857">
        <v>3375</v>
      </c>
      <c r="BK2857">
        <v>-225</v>
      </c>
      <c r="BL2857" t="s">
        <v>163</v>
      </c>
      <c r="BM2857">
        <v>1</v>
      </c>
      <c r="BN2857">
        <v>1</v>
      </c>
      <c r="BO2857">
        <v>1</v>
      </c>
      <c r="BP2857">
        <v>0</v>
      </c>
      <c r="BS2857">
        <v>0</v>
      </c>
      <c r="BT2857">
        <v>0</v>
      </c>
      <c r="BU2857">
        <v>0</v>
      </c>
      <c r="CE2857" t="str">
        <f t="shared" si="1039"/>
        <v>19:33:13.020</v>
      </c>
      <c r="CF2857">
        <v>19949224</v>
      </c>
      <c r="CS2857">
        <v>0</v>
      </c>
      <c r="CT2857">
        <v>2</v>
      </c>
      <c r="CU2857">
        <v>0</v>
      </c>
      <c r="CV2857">
        <v>2</v>
      </c>
      <c r="CW2857">
        <v>0</v>
      </c>
      <c r="CX2857">
        <v>3</v>
      </c>
      <c r="CY2857">
        <v>7</v>
      </c>
      <c r="CZ2857" t="s">
        <v>131</v>
      </c>
      <c r="DA2857">
        <v>300</v>
      </c>
      <c r="DB2857">
        <v>0</v>
      </c>
      <c r="DC2857" t="s">
        <v>176</v>
      </c>
      <c r="DD2857" t="s">
        <v>177</v>
      </c>
      <c r="DG2857">
        <v>5423418</v>
      </c>
      <c r="DI2857">
        <v>1</v>
      </c>
      <c r="DJ2857">
        <v>0</v>
      </c>
      <c r="DK2857">
        <v>1</v>
      </c>
      <c r="DL2857">
        <v>0</v>
      </c>
      <c r="DM2857">
        <v>0</v>
      </c>
      <c r="DN2857">
        <v>1</v>
      </c>
      <c r="DO2857">
        <v>0</v>
      </c>
      <c r="DP2857">
        <v>0</v>
      </c>
      <c r="DQ2857">
        <v>0</v>
      </c>
      <c r="DR2857">
        <v>0</v>
      </c>
      <c r="DS2857">
        <v>0</v>
      </c>
    </row>
    <row r="2858" spans="1:123" x14ac:dyDescent="0.3">
      <c r="A2858" t="str">
        <f t="shared" si="1037"/>
        <v>10/04/2022 19:33:13.260</v>
      </c>
      <c r="C2858" t="str">
        <f t="shared" si="1036"/>
        <v>FFDDD3C0</v>
      </c>
      <c r="D2858" t="s">
        <v>147</v>
      </c>
      <c r="E2858">
        <v>3</v>
      </c>
      <c r="H2858">
        <v>166</v>
      </c>
      <c r="I2858" t="s">
        <v>144</v>
      </c>
      <c r="J2858" t="s">
        <v>148</v>
      </c>
      <c r="K2858">
        <v>0</v>
      </c>
      <c r="L2858">
        <v>3</v>
      </c>
      <c r="M2858">
        <v>0</v>
      </c>
      <c r="N2858">
        <v>2</v>
      </c>
      <c r="O2858">
        <v>0</v>
      </c>
      <c r="P2858">
        <v>1</v>
      </c>
      <c r="Q2858">
        <v>0</v>
      </c>
      <c r="S2858" t="str">
        <f t="shared" si="1038"/>
        <v>19:33:13.000</v>
      </c>
      <c r="T2858" t="str">
        <f t="shared" si="1038"/>
        <v>19:33:13.000</v>
      </c>
      <c r="U2858" t="str">
        <f t="shared" si="1023"/>
        <v>AC3944</v>
      </c>
      <c r="V2858">
        <v>0</v>
      </c>
      <c r="W2858">
        <v>0</v>
      </c>
      <c r="X2858">
        <v>2</v>
      </c>
      <c r="Y2858">
        <v>0</v>
      </c>
      <c r="AA2858">
        <v>1</v>
      </c>
      <c r="AB2858">
        <v>8</v>
      </c>
      <c r="AC2858">
        <v>3</v>
      </c>
      <c r="AD2858">
        <v>0</v>
      </c>
      <c r="AE2858">
        <v>9</v>
      </c>
      <c r="AF2858" t="s">
        <v>138</v>
      </c>
      <c r="AG2858">
        <v>0</v>
      </c>
      <c r="AH2858">
        <v>3</v>
      </c>
      <c r="AI2858">
        <v>1</v>
      </c>
      <c r="AJ2858">
        <v>0</v>
      </c>
      <c r="AK2858" t="s">
        <v>966</v>
      </c>
      <c r="AL2858">
        <v>32.730438999999997</v>
      </c>
      <c r="AM2858" t="s">
        <v>967</v>
      </c>
      <c r="AN2858">
        <v>-116.75205200000001</v>
      </c>
      <c r="AO2858">
        <v>25</v>
      </c>
      <c r="AP2858">
        <v>3600</v>
      </c>
      <c r="AQ2858" t="s">
        <v>129</v>
      </c>
      <c r="AR2858">
        <v>70</v>
      </c>
      <c r="AS2858">
        <v>-117</v>
      </c>
      <c r="AT2858">
        <v>256</v>
      </c>
      <c r="BB2858">
        <v>1200</v>
      </c>
      <c r="BC2858">
        <v>1</v>
      </c>
      <c r="BD2858" t="str">
        <f t="shared" si="1024"/>
        <v xml:space="preserve">N887QR  </v>
      </c>
      <c r="BE2858">
        <v>1</v>
      </c>
      <c r="BJ2858">
        <v>3375</v>
      </c>
      <c r="BK2858">
        <v>-225</v>
      </c>
      <c r="BL2858" t="s">
        <v>163</v>
      </c>
      <c r="BM2858">
        <v>1</v>
      </c>
      <c r="BN2858">
        <v>1</v>
      </c>
      <c r="BO2858">
        <v>1</v>
      </c>
      <c r="BP2858">
        <v>0</v>
      </c>
      <c r="BS2858">
        <v>0</v>
      </c>
      <c r="BT2858">
        <v>0</v>
      </c>
      <c r="BU2858">
        <v>0</v>
      </c>
      <c r="CE2858" t="str">
        <f t="shared" si="1039"/>
        <v>19:33:13.020</v>
      </c>
      <c r="CF2858">
        <v>19949224</v>
      </c>
      <c r="CS2858">
        <v>0</v>
      </c>
      <c r="CT2858">
        <v>2</v>
      </c>
      <c r="CU2858">
        <v>0</v>
      </c>
      <c r="CV2858">
        <v>2</v>
      </c>
      <c r="CW2858">
        <v>0</v>
      </c>
      <c r="CX2858">
        <v>3</v>
      </c>
      <c r="CY2858">
        <v>7</v>
      </c>
      <c r="CZ2858" t="s">
        <v>131</v>
      </c>
      <c r="DA2858">
        <v>300</v>
      </c>
      <c r="DB2858">
        <v>0</v>
      </c>
      <c r="DC2858" t="s">
        <v>176</v>
      </c>
      <c r="DD2858" t="s">
        <v>177</v>
      </c>
      <c r="DG2858">
        <v>5423418</v>
      </c>
      <c r="DI2858">
        <v>1</v>
      </c>
      <c r="DJ2858">
        <v>0</v>
      </c>
      <c r="DK2858">
        <v>1</v>
      </c>
      <c r="DL2858">
        <v>0</v>
      </c>
      <c r="DM2858">
        <v>0</v>
      </c>
      <c r="DN2858">
        <v>1</v>
      </c>
      <c r="DO2858">
        <v>0</v>
      </c>
      <c r="DP2858">
        <v>0</v>
      </c>
      <c r="DQ2858">
        <v>0</v>
      </c>
      <c r="DR2858">
        <v>0</v>
      </c>
      <c r="DS2858">
        <v>0</v>
      </c>
    </row>
    <row r="2859" spans="1:123" x14ac:dyDescent="0.3">
      <c r="A2859" t="str">
        <f t="shared" si="1037"/>
        <v>10/04/2022 19:33:13.260</v>
      </c>
      <c r="C2859" t="str">
        <f t="shared" si="1036"/>
        <v>FFDDD3C0</v>
      </c>
      <c r="D2859" t="s">
        <v>123</v>
      </c>
      <c r="E2859">
        <v>7</v>
      </c>
      <c r="F2859">
        <v>2007</v>
      </c>
      <c r="G2859" t="s">
        <v>124</v>
      </c>
      <c r="J2859" t="s">
        <v>125</v>
      </c>
      <c r="K2859">
        <v>0</v>
      </c>
      <c r="L2859">
        <v>3</v>
      </c>
      <c r="M2859">
        <v>0</v>
      </c>
      <c r="N2859">
        <v>2</v>
      </c>
      <c r="O2859">
        <v>0</v>
      </c>
      <c r="P2859">
        <v>1</v>
      </c>
      <c r="Q2859">
        <v>0</v>
      </c>
      <c r="S2859" t="str">
        <f t="shared" si="1038"/>
        <v>19:33:13.000</v>
      </c>
      <c r="T2859" t="str">
        <f t="shared" si="1038"/>
        <v>19:33:13.000</v>
      </c>
      <c r="U2859" t="str">
        <f t="shared" si="1023"/>
        <v>AC3944</v>
      </c>
      <c r="V2859">
        <v>0</v>
      </c>
      <c r="W2859">
        <v>0</v>
      </c>
      <c r="X2859">
        <v>2</v>
      </c>
      <c r="Y2859">
        <v>0</v>
      </c>
      <c r="AA2859">
        <v>1</v>
      </c>
      <c r="AB2859">
        <v>8</v>
      </c>
      <c r="AC2859">
        <v>3</v>
      </c>
      <c r="AD2859">
        <v>0</v>
      </c>
      <c r="AE2859">
        <v>9</v>
      </c>
      <c r="AF2859" t="s">
        <v>138</v>
      </c>
      <c r="AG2859">
        <v>0</v>
      </c>
      <c r="AH2859">
        <v>3</v>
      </c>
      <c r="AI2859">
        <v>1</v>
      </c>
      <c r="AJ2859">
        <v>0</v>
      </c>
      <c r="AK2859" t="s">
        <v>966</v>
      </c>
      <c r="AL2859">
        <v>32.730438999999997</v>
      </c>
      <c r="AM2859" t="s">
        <v>967</v>
      </c>
      <c r="AN2859">
        <v>-116.75205200000001</v>
      </c>
      <c r="AO2859">
        <v>25</v>
      </c>
      <c r="AP2859">
        <v>3600</v>
      </c>
      <c r="AQ2859" t="s">
        <v>129</v>
      </c>
      <c r="AR2859">
        <v>70</v>
      </c>
      <c r="AS2859">
        <v>-117</v>
      </c>
      <c r="AT2859">
        <v>256</v>
      </c>
      <c r="BB2859">
        <v>1200</v>
      </c>
      <c r="BC2859">
        <v>1</v>
      </c>
      <c r="BD2859" t="str">
        <f t="shared" si="1024"/>
        <v xml:space="preserve">N887QR  </v>
      </c>
      <c r="BE2859">
        <v>1</v>
      </c>
      <c r="BJ2859">
        <v>3375</v>
      </c>
      <c r="BK2859">
        <v>-225</v>
      </c>
      <c r="BL2859" t="s">
        <v>163</v>
      </c>
      <c r="BM2859">
        <v>1</v>
      </c>
      <c r="BN2859">
        <v>1</v>
      </c>
      <c r="BO2859">
        <v>1</v>
      </c>
      <c r="BP2859">
        <v>0</v>
      </c>
      <c r="BS2859">
        <v>0</v>
      </c>
      <c r="BT2859">
        <v>0</v>
      </c>
      <c r="BU2859">
        <v>0</v>
      </c>
      <c r="CE2859" t="str">
        <f t="shared" si="1039"/>
        <v>19:33:13.020</v>
      </c>
      <c r="CF2859">
        <v>19949224</v>
      </c>
      <c r="CS2859">
        <v>0</v>
      </c>
      <c r="CT2859">
        <v>2</v>
      </c>
      <c r="CU2859">
        <v>0</v>
      </c>
      <c r="CV2859">
        <v>2</v>
      </c>
      <c r="CW2859">
        <v>0</v>
      </c>
      <c r="CX2859">
        <v>3</v>
      </c>
      <c r="CY2859">
        <v>7</v>
      </c>
      <c r="CZ2859" t="s">
        <v>131</v>
      </c>
      <c r="DA2859">
        <v>300</v>
      </c>
      <c r="DB2859">
        <v>0</v>
      </c>
      <c r="DC2859" t="s">
        <v>176</v>
      </c>
      <c r="DD2859" t="s">
        <v>177</v>
      </c>
      <c r="DG2859">
        <v>5423418</v>
      </c>
      <c r="DI2859">
        <v>1</v>
      </c>
      <c r="DJ2859">
        <v>0</v>
      </c>
      <c r="DK2859">
        <v>1</v>
      </c>
      <c r="DL2859">
        <v>0</v>
      </c>
      <c r="DM2859">
        <v>0</v>
      </c>
      <c r="DN2859">
        <v>1</v>
      </c>
      <c r="DO2859">
        <v>0</v>
      </c>
      <c r="DP2859">
        <v>0</v>
      </c>
      <c r="DQ2859">
        <v>0</v>
      </c>
      <c r="DR2859">
        <v>0</v>
      </c>
      <c r="DS2859">
        <v>0</v>
      </c>
    </row>
    <row r="2860" spans="1:123" x14ac:dyDescent="0.3">
      <c r="A2860" t="str">
        <f t="shared" si="1037"/>
        <v>10/04/2022 19:33:13.260</v>
      </c>
      <c r="C2860" t="str">
        <f t="shared" si="1036"/>
        <v>FFDDD3C0</v>
      </c>
      <c r="D2860" t="s">
        <v>136</v>
      </c>
      <c r="E2860">
        <v>8</v>
      </c>
      <c r="H2860">
        <v>225</v>
      </c>
      <c r="I2860" t="s">
        <v>137</v>
      </c>
      <c r="J2860" t="s">
        <v>138</v>
      </c>
      <c r="K2860">
        <v>0</v>
      </c>
      <c r="L2860">
        <v>3</v>
      </c>
      <c r="M2860">
        <v>0</v>
      </c>
      <c r="N2860">
        <v>2</v>
      </c>
      <c r="O2860">
        <v>0</v>
      </c>
      <c r="P2860">
        <v>1</v>
      </c>
      <c r="Q2860">
        <v>0</v>
      </c>
      <c r="S2860" t="str">
        <f t="shared" si="1038"/>
        <v>19:33:13.000</v>
      </c>
      <c r="T2860" t="str">
        <f t="shared" si="1038"/>
        <v>19:33:13.000</v>
      </c>
      <c r="U2860" t="str">
        <f t="shared" si="1023"/>
        <v>AC3944</v>
      </c>
      <c r="V2860">
        <v>0</v>
      </c>
      <c r="W2860">
        <v>0</v>
      </c>
      <c r="X2860">
        <v>2</v>
      </c>
      <c r="Y2860">
        <v>0</v>
      </c>
      <c r="AA2860">
        <v>1</v>
      </c>
      <c r="AB2860">
        <v>8</v>
      </c>
      <c r="AC2860">
        <v>3</v>
      </c>
      <c r="AD2860">
        <v>0</v>
      </c>
      <c r="AE2860">
        <v>9</v>
      </c>
      <c r="AF2860" t="s">
        <v>138</v>
      </c>
      <c r="AG2860">
        <v>0</v>
      </c>
      <c r="AH2860">
        <v>3</v>
      </c>
      <c r="AI2860">
        <v>1</v>
      </c>
      <c r="AJ2860">
        <v>0</v>
      </c>
      <c r="AK2860" t="s">
        <v>966</v>
      </c>
      <c r="AL2860">
        <v>32.730438999999997</v>
      </c>
      <c r="AM2860" t="s">
        <v>967</v>
      </c>
      <c r="AN2860">
        <v>-116.75205200000001</v>
      </c>
      <c r="AO2860">
        <v>25</v>
      </c>
      <c r="AP2860">
        <v>3600</v>
      </c>
      <c r="AQ2860" t="s">
        <v>129</v>
      </c>
      <c r="AR2860">
        <v>70</v>
      </c>
      <c r="AS2860">
        <v>-117</v>
      </c>
      <c r="AT2860">
        <v>256</v>
      </c>
      <c r="BB2860">
        <v>1200</v>
      </c>
      <c r="BC2860">
        <v>1</v>
      </c>
      <c r="BD2860" t="str">
        <f t="shared" si="1024"/>
        <v xml:space="preserve">N887QR  </v>
      </c>
      <c r="BE2860">
        <v>1</v>
      </c>
      <c r="BJ2860">
        <v>3375</v>
      </c>
      <c r="BK2860">
        <v>-225</v>
      </c>
      <c r="BL2860" t="s">
        <v>163</v>
      </c>
      <c r="BM2860">
        <v>1</v>
      </c>
      <c r="BN2860">
        <v>1</v>
      </c>
      <c r="BO2860">
        <v>1</v>
      </c>
      <c r="BP2860">
        <v>0</v>
      </c>
      <c r="BS2860">
        <v>0</v>
      </c>
      <c r="BT2860">
        <v>0</v>
      </c>
      <c r="BU2860">
        <v>0</v>
      </c>
      <c r="CE2860" t="str">
        <f t="shared" si="1039"/>
        <v>19:33:13.020</v>
      </c>
      <c r="CF2860">
        <v>19949224</v>
      </c>
      <c r="CS2860">
        <v>0</v>
      </c>
      <c r="CT2860">
        <v>2</v>
      </c>
      <c r="CU2860">
        <v>0</v>
      </c>
      <c r="CV2860">
        <v>2</v>
      </c>
      <c r="CW2860">
        <v>0</v>
      </c>
      <c r="CX2860">
        <v>3</v>
      </c>
      <c r="CY2860">
        <v>7</v>
      </c>
      <c r="CZ2860" t="s">
        <v>131</v>
      </c>
      <c r="DA2860">
        <v>300</v>
      </c>
      <c r="DB2860">
        <v>0</v>
      </c>
      <c r="DC2860" t="s">
        <v>176</v>
      </c>
      <c r="DD2860" t="s">
        <v>177</v>
      </c>
      <c r="DG2860">
        <v>5423418</v>
      </c>
      <c r="DI2860">
        <v>1</v>
      </c>
      <c r="DJ2860">
        <v>0</v>
      </c>
      <c r="DK2860">
        <v>1</v>
      </c>
      <c r="DL2860">
        <v>0</v>
      </c>
      <c r="DM2860">
        <v>0</v>
      </c>
      <c r="DN2860">
        <v>1</v>
      </c>
      <c r="DO2860">
        <v>0</v>
      </c>
      <c r="DP2860">
        <v>0</v>
      </c>
      <c r="DQ2860">
        <v>0</v>
      </c>
      <c r="DR2860">
        <v>0</v>
      </c>
      <c r="DS2860">
        <v>0</v>
      </c>
    </row>
    <row r="2861" spans="1:123" x14ac:dyDescent="0.3">
      <c r="A2861" t="str">
        <f t="shared" si="1037"/>
        <v>10/04/2022 19:33:13.260</v>
      </c>
      <c r="C2861" t="str">
        <f t="shared" si="1036"/>
        <v>FFDDD3C0</v>
      </c>
      <c r="D2861" t="s">
        <v>134</v>
      </c>
      <c r="E2861">
        <v>15</v>
      </c>
      <c r="J2861" t="s">
        <v>135</v>
      </c>
      <c r="K2861">
        <v>0</v>
      </c>
      <c r="L2861">
        <v>3</v>
      </c>
      <c r="M2861">
        <v>0</v>
      </c>
      <c r="N2861">
        <v>2</v>
      </c>
      <c r="O2861">
        <v>0</v>
      </c>
      <c r="P2861">
        <v>1</v>
      </c>
      <c r="Q2861">
        <v>0</v>
      </c>
      <c r="S2861" t="str">
        <f t="shared" si="1038"/>
        <v>19:33:13.000</v>
      </c>
      <c r="T2861" t="str">
        <f t="shared" si="1038"/>
        <v>19:33:13.000</v>
      </c>
      <c r="U2861" t="str">
        <f t="shared" si="1023"/>
        <v>AC3944</v>
      </c>
      <c r="V2861">
        <v>0</v>
      </c>
      <c r="W2861">
        <v>0</v>
      </c>
      <c r="X2861">
        <v>2</v>
      </c>
      <c r="Y2861">
        <v>0</v>
      </c>
      <c r="AA2861">
        <v>1</v>
      </c>
      <c r="AB2861">
        <v>8</v>
      </c>
      <c r="AC2861">
        <v>3</v>
      </c>
      <c r="AD2861">
        <v>0</v>
      </c>
      <c r="AE2861">
        <v>9</v>
      </c>
      <c r="AF2861" t="s">
        <v>138</v>
      </c>
      <c r="AG2861">
        <v>0</v>
      </c>
      <c r="AH2861">
        <v>3</v>
      </c>
      <c r="AI2861">
        <v>1</v>
      </c>
      <c r="AJ2861">
        <v>0</v>
      </c>
      <c r="AK2861" t="s">
        <v>966</v>
      </c>
      <c r="AL2861">
        <v>32.730438999999997</v>
      </c>
      <c r="AM2861" t="s">
        <v>967</v>
      </c>
      <c r="AN2861">
        <v>-116.75205200000001</v>
      </c>
      <c r="AO2861">
        <v>25</v>
      </c>
      <c r="AP2861">
        <v>3600</v>
      </c>
      <c r="AQ2861" t="s">
        <v>129</v>
      </c>
      <c r="AR2861">
        <v>70</v>
      </c>
      <c r="AS2861">
        <v>-117</v>
      </c>
      <c r="AT2861">
        <v>256</v>
      </c>
      <c r="BB2861">
        <v>1200</v>
      </c>
      <c r="BC2861">
        <v>1</v>
      </c>
      <c r="BD2861" t="str">
        <f t="shared" si="1024"/>
        <v xml:space="preserve">N887QR  </v>
      </c>
      <c r="BE2861">
        <v>1</v>
      </c>
      <c r="BJ2861">
        <v>3375</v>
      </c>
      <c r="BK2861">
        <v>-225</v>
      </c>
      <c r="BL2861" t="s">
        <v>163</v>
      </c>
      <c r="BM2861">
        <v>1</v>
      </c>
      <c r="BN2861">
        <v>1</v>
      </c>
      <c r="BO2861">
        <v>1</v>
      </c>
      <c r="BP2861">
        <v>0</v>
      </c>
      <c r="BS2861">
        <v>0</v>
      </c>
      <c r="BT2861">
        <v>0</v>
      </c>
      <c r="BU2861">
        <v>0</v>
      </c>
      <c r="CE2861" t="str">
        <f t="shared" si="1039"/>
        <v>19:33:13.020</v>
      </c>
      <c r="CF2861">
        <v>19949224</v>
      </c>
      <c r="CS2861">
        <v>0</v>
      </c>
      <c r="CT2861">
        <v>2</v>
      </c>
      <c r="CU2861">
        <v>0</v>
      </c>
      <c r="CV2861">
        <v>2</v>
      </c>
      <c r="CW2861">
        <v>0</v>
      </c>
      <c r="CX2861">
        <v>3</v>
      </c>
      <c r="CY2861">
        <v>7</v>
      </c>
      <c r="CZ2861" t="s">
        <v>131</v>
      </c>
      <c r="DA2861">
        <v>300</v>
      </c>
      <c r="DB2861">
        <v>0</v>
      </c>
      <c r="DC2861" t="s">
        <v>176</v>
      </c>
      <c r="DD2861" t="s">
        <v>177</v>
      </c>
      <c r="DG2861">
        <v>5423418</v>
      </c>
      <c r="DI2861">
        <v>1</v>
      </c>
      <c r="DJ2861">
        <v>0</v>
      </c>
      <c r="DK2861">
        <v>1</v>
      </c>
      <c r="DL2861">
        <v>0</v>
      </c>
      <c r="DM2861">
        <v>0</v>
      </c>
      <c r="DN2861">
        <v>1</v>
      </c>
      <c r="DO2861">
        <v>0</v>
      </c>
      <c r="DP2861">
        <v>0</v>
      </c>
      <c r="DQ2861">
        <v>0</v>
      </c>
      <c r="DR2861">
        <v>0</v>
      </c>
      <c r="DS2861">
        <v>0</v>
      </c>
    </row>
    <row r="2862" spans="1:123" x14ac:dyDescent="0.3">
      <c r="A2862" t="str">
        <f t="shared" si="1037"/>
        <v>10/04/2022 19:33:13.260</v>
      </c>
      <c r="C2862" t="str">
        <f t="shared" si="1036"/>
        <v>FFDDD3C0</v>
      </c>
      <c r="D2862" t="s">
        <v>141</v>
      </c>
      <c r="E2862">
        <v>4</v>
      </c>
      <c r="H2862">
        <v>4</v>
      </c>
      <c r="I2862" t="s">
        <v>142</v>
      </c>
      <c r="J2862" t="s">
        <v>138</v>
      </c>
      <c r="K2862">
        <v>0</v>
      </c>
      <c r="L2862">
        <v>3</v>
      </c>
      <c r="M2862">
        <v>0</v>
      </c>
      <c r="N2862">
        <v>2</v>
      </c>
      <c r="O2862">
        <v>0</v>
      </c>
      <c r="P2862">
        <v>1</v>
      </c>
      <c r="Q2862">
        <v>0</v>
      </c>
      <c r="S2862" t="str">
        <f t="shared" si="1038"/>
        <v>19:33:13.000</v>
      </c>
      <c r="T2862" t="str">
        <f t="shared" si="1038"/>
        <v>19:33:13.000</v>
      </c>
      <c r="U2862" t="str">
        <f t="shared" si="1023"/>
        <v>AC3944</v>
      </c>
      <c r="V2862">
        <v>0</v>
      </c>
      <c r="W2862">
        <v>0</v>
      </c>
      <c r="X2862">
        <v>2</v>
      </c>
      <c r="Y2862">
        <v>0</v>
      </c>
      <c r="AA2862">
        <v>1</v>
      </c>
      <c r="AB2862">
        <v>8</v>
      </c>
      <c r="AC2862">
        <v>3</v>
      </c>
      <c r="AD2862">
        <v>0</v>
      </c>
      <c r="AE2862">
        <v>9</v>
      </c>
      <c r="AF2862" t="s">
        <v>138</v>
      </c>
      <c r="AG2862">
        <v>0</v>
      </c>
      <c r="AH2862">
        <v>3</v>
      </c>
      <c r="AI2862">
        <v>1</v>
      </c>
      <c r="AJ2862">
        <v>0</v>
      </c>
      <c r="AK2862" t="s">
        <v>966</v>
      </c>
      <c r="AL2862">
        <v>32.730438999999997</v>
      </c>
      <c r="AM2862" t="s">
        <v>967</v>
      </c>
      <c r="AN2862">
        <v>-116.75205200000001</v>
      </c>
      <c r="AO2862">
        <v>25</v>
      </c>
      <c r="AP2862">
        <v>3600</v>
      </c>
      <c r="AQ2862" t="s">
        <v>129</v>
      </c>
      <c r="AR2862">
        <v>70</v>
      </c>
      <c r="AS2862">
        <v>-117</v>
      </c>
      <c r="AT2862">
        <v>256</v>
      </c>
      <c r="BB2862">
        <v>1200</v>
      </c>
      <c r="BC2862">
        <v>1</v>
      </c>
      <c r="BD2862" t="str">
        <f t="shared" si="1024"/>
        <v xml:space="preserve">N887QR  </v>
      </c>
      <c r="BE2862">
        <v>1</v>
      </c>
      <c r="BJ2862">
        <v>3375</v>
      </c>
      <c r="BK2862">
        <v>-225</v>
      </c>
      <c r="BL2862" t="s">
        <v>163</v>
      </c>
      <c r="BM2862">
        <v>1</v>
      </c>
      <c r="BN2862">
        <v>1</v>
      </c>
      <c r="BO2862">
        <v>1</v>
      </c>
      <c r="BP2862">
        <v>0</v>
      </c>
      <c r="BS2862">
        <v>0</v>
      </c>
      <c r="BT2862">
        <v>0</v>
      </c>
      <c r="BU2862">
        <v>0</v>
      </c>
      <c r="CE2862" t="str">
        <f t="shared" si="1039"/>
        <v>19:33:13.020</v>
      </c>
      <c r="CF2862">
        <v>19949224</v>
      </c>
      <c r="CS2862">
        <v>0</v>
      </c>
      <c r="CT2862">
        <v>2</v>
      </c>
      <c r="CU2862">
        <v>0</v>
      </c>
      <c r="CV2862">
        <v>2</v>
      </c>
      <c r="CW2862">
        <v>0</v>
      </c>
      <c r="CX2862">
        <v>3</v>
      </c>
      <c r="CY2862">
        <v>7</v>
      </c>
      <c r="CZ2862" t="s">
        <v>131</v>
      </c>
      <c r="DA2862">
        <v>300</v>
      </c>
      <c r="DB2862">
        <v>0</v>
      </c>
      <c r="DC2862" t="s">
        <v>176</v>
      </c>
      <c r="DD2862" t="s">
        <v>177</v>
      </c>
      <c r="DG2862">
        <v>5423418</v>
      </c>
      <c r="DI2862">
        <v>1</v>
      </c>
      <c r="DJ2862">
        <v>0</v>
      </c>
      <c r="DK2862">
        <v>1</v>
      </c>
      <c r="DL2862">
        <v>0</v>
      </c>
      <c r="DM2862">
        <v>0</v>
      </c>
      <c r="DN2862">
        <v>1</v>
      </c>
      <c r="DO2862">
        <v>0</v>
      </c>
      <c r="DP2862">
        <v>0</v>
      </c>
      <c r="DQ2862">
        <v>0</v>
      </c>
      <c r="DR2862">
        <v>0</v>
      </c>
      <c r="DS2862">
        <v>0</v>
      </c>
    </row>
    <row r="2863" spans="1:123" x14ac:dyDescent="0.3">
      <c r="A2863" t="str">
        <f>"10/04/2022 19:33:14.822"</f>
        <v>10/04/2022 19:33:14.822</v>
      </c>
      <c r="C2863" t="str">
        <f t="shared" si="1036"/>
        <v>FFDDD3C0</v>
      </c>
      <c r="D2863" t="s">
        <v>136</v>
      </c>
      <c r="E2863">
        <v>8</v>
      </c>
      <c r="H2863">
        <v>225</v>
      </c>
      <c r="I2863" t="s">
        <v>137</v>
      </c>
      <c r="J2863" t="s">
        <v>138</v>
      </c>
      <c r="K2863">
        <v>0</v>
      </c>
      <c r="L2863">
        <v>3</v>
      </c>
      <c r="M2863">
        <v>0</v>
      </c>
      <c r="N2863">
        <v>2</v>
      </c>
      <c r="O2863">
        <v>0</v>
      </c>
      <c r="P2863">
        <v>1</v>
      </c>
      <c r="Q2863">
        <v>0</v>
      </c>
      <c r="S2863" t="str">
        <f t="shared" ref="S2863:T2869" si="1040">"19:33:14.000"</f>
        <v>19:33:14.000</v>
      </c>
      <c r="T2863" t="str">
        <f t="shared" si="1040"/>
        <v>19:33:14.000</v>
      </c>
      <c r="U2863" t="str">
        <f t="shared" si="1023"/>
        <v>AC3944</v>
      </c>
      <c r="V2863">
        <v>0</v>
      </c>
      <c r="W2863">
        <v>0</v>
      </c>
      <c r="X2863">
        <v>2</v>
      </c>
      <c r="Y2863">
        <v>0</v>
      </c>
      <c r="AA2863">
        <v>1</v>
      </c>
      <c r="AB2863">
        <v>8</v>
      </c>
      <c r="AC2863">
        <v>3</v>
      </c>
      <c r="AD2863">
        <v>0</v>
      </c>
      <c r="AE2863">
        <v>9</v>
      </c>
      <c r="AF2863" t="s">
        <v>138</v>
      </c>
      <c r="AG2863">
        <v>0</v>
      </c>
      <c r="AH2863">
        <v>3</v>
      </c>
      <c r="AI2863">
        <v>1</v>
      </c>
      <c r="AJ2863">
        <v>0</v>
      </c>
      <c r="AK2863" t="s">
        <v>968</v>
      </c>
      <c r="AL2863">
        <v>32.729880999999999</v>
      </c>
      <c r="AM2863" t="s">
        <v>969</v>
      </c>
      <c r="AN2863">
        <v>-116.751645</v>
      </c>
      <c r="AO2863">
        <v>25</v>
      </c>
      <c r="AP2863">
        <v>3700</v>
      </c>
      <c r="AQ2863" t="s">
        <v>129</v>
      </c>
      <c r="AR2863">
        <v>57</v>
      </c>
      <c r="AS2863">
        <v>-122</v>
      </c>
      <c r="AT2863">
        <v>320</v>
      </c>
      <c r="BB2863">
        <v>1200</v>
      </c>
      <c r="BC2863">
        <v>1</v>
      </c>
      <c r="BD2863" t="str">
        <f t="shared" si="1024"/>
        <v xml:space="preserve">N887QR  </v>
      </c>
      <c r="BE2863">
        <v>1</v>
      </c>
      <c r="BJ2863">
        <v>3375</v>
      </c>
      <c r="BK2863">
        <v>-325</v>
      </c>
      <c r="BL2863" t="s">
        <v>163</v>
      </c>
      <c r="BM2863">
        <v>1</v>
      </c>
      <c r="BN2863">
        <v>1</v>
      </c>
      <c r="BO2863">
        <v>1</v>
      </c>
      <c r="BP2863">
        <v>0</v>
      </c>
      <c r="BS2863">
        <v>0</v>
      </c>
      <c r="BT2863">
        <v>0</v>
      </c>
      <c r="BU2863">
        <v>0</v>
      </c>
      <c r="CE2863" t="str">
        <f t="shared" ref="CE2863:CE2869" si="1041">"19:33:14.461"</f>
        <v>19:33:14.461</v>
      </c>
      <c r="CF2863">
        <v>460704119</v>
      </c>
      <c r="CS2863">
        <v>0</v>
      </c>
      <c r="CT2863">
        <v>2</v>
      </c>
      <c r="CU2863">
        <v>0</v>
      </c>
      <c r="CV2863">
        <v>2</v>
      </c>
      <c r="CW2863">
        <v>0</v>
      </c>
      <c r="CX2863">
        <v>4</v>
      </c>
      <c r="CY2863">
        <v>7</v>
      </c>
      <c r="CZ2863" t="s">
        <v>131</v>
      </c>
      <c r="DA2863">
        <v>300</v>
      </c>
      <c r="DB2863">
        <v>0</v>
      </c>
      <c r="DC2863" t="s">
        <v>176</v>
      </c>
      <c r="DD2863" t="s">
        <v>177</v>
      </c>
      <c r="DG2863">
        <v>5423640</v>
      </c>
      <c r="DI2863">
        <v>1</v>
      </c>
      <c r="DJ2863">
        <v>0</v>
      </c>
      <c r="DK2863">
        <v>0</v>
      </c>
      <c r="DL2863">
        <v>0</v>
      </c>
      <c r="DM2863">
        <v>0</v>
      </c>
      <c r="DN2863">
        <v>1</v>
      </c>
      <c r="DO2863">
        <v>0</v>
      </c>
      <c r="DP2863">
        <v>0</v>
      </c>
      <c r="DQ2863">
        <v>0</v>
      </c>
      <c r="DR2863">
        <v>0</v>
      </c>
      <c r="DS2863">
        <v>0</v>
      </c>
    </row>
    <row r="2864" spans="1:123" x14ac:dyDescent="0.3">
      <c r="A2864" t="str">
        <f>"10/04/2022 19:33:14.854"</f>
        <v>10/04/2022 19:33:14.854</v>
      </c>
      <c r="C2864" t="str">
        <f t="shared" si="1036"/>
        <v>FFDDD3C0</v>
      </c>
      <c r="D2864" t="s">
        <v>134</v>
      </c>
      <c r="E2864">
        <v>15</v>
      </c>
      <c r="J2864" t="s">
        <v>135</v>
      </c>
      <c r="K2864">
        <v>0</v>
      </c>
      <c r="L2864">
        <v>3</v>
      </c>
      <c r="M2864">
        <v>0</v>
      </c>
      <c r="N2864">
        <v>2</v>
      </c>
      <c r="O2864">
        <v>0</v>
      </c>
      <c r="P2864">
        <v>1</v>
      </c>
      <c r="Q2864">
        <v>0</v>
      </c>
      <c r="S2864" t="str">
        <f t="shared" si="1040"/>
        <v>19:33:14.000</v>
      </c>
      <c r="T2864" t="str">
        <f t="shared" si="1040"/>
        <v>19:33:14.000</v>
      </c>
      <c r="U2864" t="str">
        <f t="shared" si="1023"/>
        <v>AC3944</v>
      </c>
      <c r="V2864">
        <v>0</v>
      </c>
      <c r="W2864">
        <v>0</v>
      </c>
      <c r="X2864">
        <v>2</v>
      </c>
      <c r="Y2864">
        <v>0</v>
      </c>
      <c r="AA2864">
        <v>1</v>
      </c>
      <c r="AB2864">
        <v>8</v>
      </c>
      <c r="AC2864">
        <v>3</v>
      </c>
      <c r="AD2864">
        <v>0</v>
      </c>
      <c r="AE2864">
        <v>9</v>
      </c>
      <c r="AF2864" t="s">
        <v>138</v>
      </c>
      <c r="AG2864">
        <v>0</v>
      </c>
      <c r="AH2864">
        <v>3</v>
      </c>
      <c r="AI2864">
        <v>1</v>
      </c>
      <c r="AJ2864">
        <v>0</v>
      </c>
      <c r="AK2864" t="s">
        <v>968</v>
      </c>
      <c r="AL2864">
        <v>32.729880999999999</v>
      </c>
      <c r="AM2864" t="s">
        <v>969</v>
      </c>
      <c r="AN2864">
        <v>-116.751645</v>
      </c>
      <c r="AO2864">
        <v>25</v>
      </c>
      <c r="AP2864">
        <v>3700</v>
      </c>
      <c r="AQ2864" t="s">
        <v>129</v>
      </c>
      <c r="AR2864">
        <v>57</v>
      </c>
      <c r="AS2864">
        <v>-122</v>
      </c>
      <c r="AT2864">
        <v>320</v>
      </c>
      <c r="BB2864">
        <v>1200</v>
      </c>
      <c r="BC2864">
        <v>1</v>
      </c>
      <c r="BD2864" t="str">
        <f t="shared" si="1024"/>
        <v xml:space="preserve">N887QR  </v>
      </c>
      <c r="BE2864">
        <v>1</v>
      </c>
      <c r="BJ2864">
        <v>3375</v>
      </c>
      <c r="BK2864">
        <v>-325</v>
      </c>
      <c r="BL2864" t="s">
        <v>163</v>
      </c>
      <c r="BM2864">
        <v>1</v>
      </c>
      <c r="BN2864">
        <v>1</v>
      </c>
      <c r="BO2864">
        <v>1</v>
      </c>
      <c r="BP2864">
        <v>0</v>
      </c>
      <c r="BS2864">
        <v>0</v>
      </c>
      <c r="BT2864">
        <v>0</v>
      </c>
      <c r="BU2864">
        <v>0</v>
      </c>
      <c r="CE2864" t="str">
        <f t="shared" si="1041"/>
        <v>19:33:14.461</v>
      </c>
      <c r="CF2864">
        <v>460704119</v>
      </c>
      <c r="CS2864">
        <v>0</v>
      </c>
      <c r="CT2864">
        <v>2</v>
      </c>
      <c r="CU2864">
        <v>0</v>
      </c>
      <c r="CV2864">
        <v>2</v>
      </c>
      <c r="CW2864">
        <v>0</v>
      </c>
      <c r="CX2864">
        <v>4</v>
      </c>
      <c r="CY2864">
        <v>7</v>
      </c>
      <c r="CZ2864" t="s">
        <v>131</v>
      </c>
      <c r="DA2864">
        <v>300</v>
      </c>
      <c r="DB2864">
        <v>0</v>
      </c>
      <c r="DC2864" t="s">
        <v>176</v>
      </c>
      <c r="DD2864" t="s">
        <v>177</v>
      </c>
      <c r="DG2864">
        <v>5423640</v>
      </c>
      <c r="DI2864">
        <v>1</v>
      </c>
      <c r="DJ2864">
        <v>0</v>
      </c>
      <c r="DK2864">
        <v>1</v>
      </c>
      <c r="DL2864">
        <v>0</v>
      </c>
      <c r="DM2864">
        <v>0</v>
      </c>
      <c r="DN2864">
        <v>1</v>
      </c>
      <c r="DO2864">
        <v>0</v>
      </c>
      <c r="DP2864">
        <v>0</v>
      </c>
      <c r="DQ2864">
        <v>0</v>
      </c>
      <c r="DR2864">
        <v>0</v>
      </c>
      <c r="DS2864">
        <v>0</v>
      </c>
    </row>
    <row r="2865" spans="1:123" x14ac:dyDescent="0.3">
      <c r="A2865" t="str">
        <f>"10/04/2022 19:33:14.901"</f>
        <v>10/04/2022 19:33:14.901</v>
      </c>
      <c r="C2865" t="str">
        <f t="shared" si="1036"/>
        <v>FFDDD3C0</v>
      </c>
      <c r="D2865" t="s">
        <v>141</v>
      </c>
      <c r="E2865">
        <v>3</v>
      </c>
      <c r="H2865">
        <v>3</v>
      </c>
      <c r="I2865" t="s">
        <v>146</v>
      </c>
      <c r="J2865" t="s">
        <v>138</v>
      </c>
      <c r="K2865">
        <v>0</v>
      </c>
      <c r="L2865">
        <v>3</v>
      </c>
      <c r="M2865">
        <v>0</v>
      </c>
      <c r="N2865">
        <v>2</v>
      </c>
      <c r="O2865">
        <v>0</v>
      </c>
      <c r="P2865">
        <v>1</v>
      </c>
      <c r="Q2865">
        <v>0</v>
      </c>
      <c r="S2865" t="str">
        <f t="shared" si="1040"/>
        <v>19:33:14.000</v>
      </c>
      <c r="T2865" t="str">
        <f t="shared" si="1040"/>
        <v>19:33:14.000</v>
      </c>
      <c r="U2865" t="str">
        <f t="shared" si="1023"/>
        <v>AC3944</v>
      </c>
      <c r="V2865">
        <v>0</v>
      </c>
      <c r="W2865">
        <v>0</v>
      </c>
      <c r="X2865">
        <v>2</v>
      </c>
      <c r="Y2865">
        <v>0</v>
      </c>
      <c r="AA2865">
        <v>1</v>
      </c>
      <c r="AB2865">
        <v>8</v>
      </c>
      <c r="AC2865">
        <v>3</v>
      </c>
      <c r="AD2865">
        <v>0</v>
      </c>
      <c r="AE2865">
        <v>9</v>
      </c>
      <c r="AF2865" t="s">
        <v>138</v>
      </c>
      <c r="AG2865">
        <v>0</v>
      </c>
      <c r="AH2865">
        <v>3</v>
      </c>
      <c r="AI2865">
        <v>1</v>
      </c>
      <c r="AJ2865">
        <v>0</v>
      </c>
      <c r="AK2865" t="s">
        <v>968</v>
      </c>
      <c r="AL2865">
        <v>32.729880999999999</v>
      </c>
      <c r="AM2865" t="s">
        <v>969</v>
      </c>
      <c r="AN2865">
        <v>-116.751645</v>
      </c>
      <c r="AO2865">
        <v>25</v>
      </c>
      <c r="AP2865">
        <v>3700</v>
      </c>
      <c r="AQ2865" t="s">
        <v>129</v>
      </c>
      <c r="AR2865">
        <v>57</v>
      </c>
      <c r="AS2865">
        <v>-122</v>
      </c>
      <c r="AT2865">
        <v>320</v>
      </c>
      <c r="BB2865">
        <v>1200</v>
      </c>
      <c r="BC2865">
        <v>1</v>
      </c>
      <c r="BD2865" t="str">
        <f t="shared" si="1024"/>
        <v xml:space="preserve">N887QR  </v>
      </c>
      <c r="BE2865">
        <v>1</v>
      </c>
      <c r="BJ2865">
        <v>3375</v>
      </c>
      <c r="BK2865">
        <v>-325</v>
      </c>
      <c r="BL2865" t="s">
        <v>163</v>
      </c>
      <c r="BM2865">
        <v>1</v>
      </c>
      <c r="BN2865">
        <v>1</v>
      </c>
      <c r="BO2865">
        <v>1</v>
      </c>
      <c r="BP2865">
        <v>0</v>
      </c>
      <c r="BS2865">
        <v>0</v>
      </c>
      <c r="BT2865">
        <v>0</v>
      </c>
      <c r="BU2865">
        <v>0</v>
      </c>
      <c r="CE2865" t="str">
        <f t="shared" si="1041"/>
        <v>19:33:14.461</v>
      </c>
      <c r="CF2865">
        <v>460704119</v>
      </c>
      <c r="CS2865">
        <v>0</v>
      </c>
      <c r="CT2865">
        <v>2</v>
      </c>
      <c r="CU2865">
        <v>0</v>
      </c>
      <c r="CV2865">
        <v>2</v>
      </c>
      <c r="CW2865">
        <v>0</v>
      </c>
      <c r="CX2865">
        <v>4</v>
      </c>
      <c r="CY2865">
        <v>7</v>
      </c>
      <c r="CZ2865" t="s">
        <v>131</v>
      </c>
      <c r="DA2865">
        <v>300</v>
      </c>
      <c r="DB2865">
        <v>0</v>
      </c>
      <c r="DC2865" t="s">
        <v>176</v>
      </c>
      <c r="DD2865" t="s">
        <v>177</v>
      </c>
      <c r="DG2865">
        <v>5423640</v>
      </c>
      <c r="DI2865">
        <v>1</v>
      </c>
      <c r="DJ2865">
        <v>0</v>
      </c>
      <c r="DK2865">
        <v>1</v>
      </c>
      <c r="DL2865">
        <v>0</v>
      </c>
      <c r="DM2865">
        <v>0</v>
      </c>
      <c r="DN2865">
        <v>1</v>
      </c>
      <c r="DO2865">
        <v>0</v>
      </c>
      <c r="DP2865">
        <v>0</v>
      </c>
      <c r="DQ2865">
        <v>0</v>
      </c>
      <c r="DR2865">
        <v>0</v>
      </c>
      <c r="DS2865">
        <v>0</v>
      </c>
    </row>
    <row r="2866" spans="1:123" x14ac:dyDescent="0.3">
      <c r="A2866" t="str">
        <f>"10/04/2022 19:33:14.901"</f>
        <v>10/04/2022 19:33:14.901</v>
      </c>
      <c r="C2866" t="str">
        <f t="shared" si="1036"/>
        <v>FFDDD3C0</v>
      </c>
      <c r="D2866" t="s">
        <v>143</v>
      </c>
      <c r="E2866">
        <v>20</v>
      </c>
      <c r="F2866">
        <v>1020</v>
      </c>
      <c r="G2866" t="s">
        <v>144</v>
      </c>
      <c r="J2866" t="s">
        <v>145</v>
      </c>
      <c r="K2866">
        <v>0</v>
      </c>
      <c r="L2866">
        <v>3</v>
      </c>
      <c r="M2866">
        <v>0</v>
      </c>
      <c r="N2866">
        <v>2</v>
      </c>
      <c r="O2866">
        <v>0</v>
      </c>
      <c r="P2866">
        <v>1</v>
      </c>
      <c r="Q2866">
        <v>0</v>
      </c>
      <c r="S2866" t="str">
        <f t="shared" si="1040"/>
        <v>19:33:14.000</v>
      </c>
      <c r="T2866" t="str">
        <f t="shared" si="1040"/>
        <v>19:33:14.000</v>
      </c>
      <c r="U2866" t="str">
        <f t="shared" si="1023"/>
        <v>AC3944</v>
      </c>
      <c r="V2866">
        <v>0</v>
      </c>
      <c r="W2866">
        <v>0</v>
      </c>
      <c r="X2866">
        <v>2</v>
      </c>
      <c r="Y2866">
        <v>0</v>
      </c>
      <c r="AA2866">
        <v>1</v>
      </c>
      <c r="AB2866">
        <v>8</v>
      </c>
      <c r="AC2866">
        <v>3</v>
      </c>
      <c r="AD2866">
        <v>0</v>
      </c>
      <c r="AE2866">
        <v>9</v>
      </c>
      <c r="AF2866" t="s">
        <v>138</v>
      </c>
      <c r="AG2866">
        <v>0</v>
      </c>
      <c r="AH2866">
        <v>3</v>
      </c>
      <c r="AI2866">
        <v>1</v>
      </c>
      <c r="AJ2866">
        <v>0</v>
      </c>
      <c r="AK2866" t="s">
        <v>968</v>
      </c>
      <c r="AL2866">
        <v>32.729880999999999</v>
      </c>
      <c r="AM2866" t="s">
        <v>969</v>
      </c>
      <c r="AN2866">
        <v>-116.751645</v>
      </c>
      <c r="AO2866">
        <v>25</v>
      </c>
      <c r="AP2866">
        <v>3700</v>
      </c>
      <c r="AQ2866" t="s">
        <v>129</v>
      </c>
      <c r="AR2866">
        <v>57</v>
      </c>
      <c r="AS2866">
        <v>-122</v>
      </c>
      <c r="AT2866">
        <v>320</v>
      </c>
      <c r="BB2866">
        <v>1200</v>
      </c>
      <c r="BC2866">
        <v>1</v>
      </c>
      <c r="BD2866" t="str">
        <f t="shared" si="1024"/>
        <v xml:space="preserve">N887QR  </v>
      </c>
      <c r="BE2866">
        <v>1</v>
      </c>
      <c r="BJ2866">
        <v>3375</v>
      </c>
      <c r="BK2866">
        <v>-325</v>
      </c>
      <c r="BL2866" t="s">
        <v>163</v>
      </c>
      <c r="BM2866">
        <v>1</v>
      </c>
      <c r="BN2866">
        <v>1</v>
      </c>
      <c r="BO2866">
        <v>1</v>
      </c>
      <c r="BP2866">
        <v>0</v>
      </c>
      <c r="BS2866">
        <v>0</v>
      </c>
      <c r="BT2866">
        <v>0</v>
      </c>
      <c r="BU2866">
        <v>0</v>
      </c>
      <c r="CE2866" t="str">
        <f t="shared" si="1041"/>
        <v>19:33:14.461</v>
      </c>
      <c r="CF2866">
        <v>460704119</v>
      </c>
      <c r="CS2866">
        <v>0</v>
      </c>
      <c r="CT2866">
        <v>2</v>
      </c>
      <c r="CU2866">
        <v>0</v>
      </c>
      <c r="CV2866">
        <v>2</v>
      </c>
      <c r="CW2866">
        <v>0</v>
      </c>
      <c r="CX2866">
        <v>4</v>
      </c>
      <c r="CY2866">
        <v>7</v>
      </c>
      <c r="CZ2866" t="s">
        <v>131</v>
      </c>
      <c r="DA2866">
        <v>300</v>
      </c>
      <c r="DB2866">
        <v>0</v>
      </c>
      <c r="DC2866" t="s">
        <v>176</v>
      </c>
      <c r="DD2866" t="s">
        <v>177</v>
      </c>
      <c r="DG2866">
        <v>5423640</v>
      </c>
      <c r="DI2866">
        <v>1</v>
      </c>
      <c r="DJ2866">
        <v>0</v>
      </c>
      <c r="DK2866">
        <v>1</v>
      </c>
      <c r="DL2866">
        <v>0</v>
      </c>
      <c r="DM2866">
        <v>0</v>
      </c>
      <c r="DN2866">
        <v>1</v>
      </c>
      <c r="DO2866">
        <v>0</v>
      </c>
      <c r="DP2866">
        <v>0</v>
      </c>
      <c r="DQ2866">
        <v>0</v>
      </c>
      <c r="DR2866">
        <v>0</v>
      </c>
      <c r="DS2866">
        <v>0</v>
      </c>
    </row>
    <row r="2867" spans="1:123" x14ac:dyDescent="0.3">
      <c r="A2867" t="str">
        <f>"10/04/2022 19:33:14.932"</f>
        <v>10/04/2022 19:33:14.932</v>
      </c>
      <c r="C2867" t="str">
        <f t="shared" si="1036"/>
        <v>FFDDD3C0</v>
      </c>
      <c r="D2867" t="s">
        <v>123</v>
      </c>
      <c r="E2867">
        <v>7</v>
      </c>
      <c r="F2867">
        <v>2007</v>
      </c>
      <c r="G2867" t="s">
        <v>124</v>
      </c>
      <c r="J2867" t="s">
        <v>125</v>
      </c>
      <c r="K2867">
        <v>0</v>
      </c>
      <c r="L2867">
        <v>3</v>
      </c>
      <c r="M2867">
        <v>0</v>
      </c>
      <c r="N2867">
        <v>2</v>
      </c>
      <c r="O2867">
        <v>0</v>
      </c>
      <c r="P2867">
        <v>1</v>
      </c>
      <c r="Q2867">
        <v>0</v>
      </c>
      <c r="S2867" t="str">
        <f t="shared" si="1040"/>
        <v>19:33:14.000</v>
      </c>
      <c r="T2867" t="str">
        <f t="shared" si="1040"/>
        <v>19:33:14.000</v>
      </c>
      <c r="U2867" t="str">
        <f t="shared" si="1023"/>
        <v>AC3944</v>
      </c>
      <c r="V2867">
        <v>0</v>
      </c>
      <c r="W2867">
        <v>0</v>
      </c>
      <c r="X2867">
        <v>2</v>
      </c>
      <c r="Y2867">
        <v>0</v>
      </c>
      <c r="AA2867">
        <v>1</v>
      </c>
      <c r="AB2867">
        <v>8</v>
      </c>
      <c r="AC2867">
        <v>3</v>
      </c>
      <c r="AD2867">
        <v>0</v>
      </c>
      <c r="AE2867">
        <v>9</v>
      </c>
      <c r="AF2867" t="s">
        <v>138</v>
      </c>
      <c r="AG2867">
        <v>0</v>
      </c>
      <c r="AH2867">
        <v>3</v>
      </c>
      <c r="AI2867">
        <v>1</v>
      </c>
      <c r="AJ2867">
        <v>0</v>
      </c>
      <c r="AK2867" t="s">
        <v>968</v>
      </c>
      <c r="AL2867">
        <v>32.729880999999999</v>
      </c>
      <c r="AM2867" t="s">
        <v>969</v>
      </c>
      <c r="AN2867">
        <v>-116.751645</v>
      </c>
      <c r="AO2867">
        <v>25</v>
      </c>
      <c r="AP2867">
        <v>3700</v>
      </c>
      <c r="AQ2867" t="s">
        <v>129</v>
      </c>
      <c r="AR2867">
        <v>57</v>
      </c>
      <c r="AS2867">
        <v>-122</v>
      </c>
      <c r="AT2867">
        <v>320</v>
      </c>
      <c r="BB2867">
        <v>1200</v>
      </c>
      <c r="BC2867">
        <v>1</v>
      </c>
      <c r="BD2867" t="str">
        <f t="shared" si="1024"/>
        <v xml:space="preserve">N887QR  </v>
      </c>
      <c r="BE2867">
        <v>1</v>
      </c>
      <c r="BJ2867">
        <v>3375</v>
      </c>
      <c r="BK2867">
        <v>-325</v>
      </c>
      <c r="BL2867" t="s">
        <v>163</v>
      </c>
      <c r="BM2867">
        <v>1</v>
      </c>
      <c r="BN2867">
        <v>1</v>
      </c>
      <c r="BO2867">
        <v>1</v>
      </c>
      <c r="BP2867">
        <v>0</v>
      </c>
      <c r="BS2867">
        <v>0</v>
      </c>
      <c r="BT2867">
        <v>0</v>
      </c>
      <c r="BU2867">
        <v>0</v>
      </c>
      <c r="CE2867" t="str">
        <f t="shared" si="1041"/>
        <v>19:33:14.461</v>
      </c>
      <c r="CF2867">
        <v>460704119</v>
      </c>
      <c r="CS2867">
        <v>0</v>
      </c>
      <c r="CT2867">
        <v>2</v>
      </c>
      <c r="CU2867">
        <v>0</v>
      </c>
      <c r="CV2867">
        <v>2</v>
      </c>
      <c r="CW2867">
        <v>0</v>
      </c>
      <c r="CX2867">
        <v>4</v>
      </c>
      <c r="CY2867">
        <v>7</v>
      </c>
      <c r="CZ2867" t="s">
        <v>131</v>
      </c>
      <c r="DA2867">
        <v>300</v>
      </c>
      <c r="DB2867">
        <v>0</v>
      </c>
      <c r="DC2867" t="s">
        <v>176</v>
      </c>
      <c r="DD2867" t="s">
        <v>177</v>
      </c>
      <c r="DG2867">
        <v>5423640</v>
      </c>
      <c r="DI2867">
        <v>1</v>
      </c>
      <c r="DJ2867">
        <v>0</v>
      </c>
      <c r="DK2867">
        <v>1</v>
      </c>
      <c r="DL2867">
        <v>0</v>
      </c>
      <c r="DM2867">
        <v>0</v>
      </c>
      <c r="DN2867">
        <v>1</v>
      </c>
      <c r="DO2867">
        <v>0</v>
      </c>
      <c r="DP2867">
        <v>0</v>
      </c>
      <c r="DQ2867">
        <v>0</v>
      </c>
      <c r="DR2867">
        <v>0</v>
      </c>
      <c r="DS2867">
        <v>0</v>
      </c>
    </row>
    <row r="2868" spans="1:123" x14ac:dyDescent="0.3">
      <c r="A2868" t="str">
        <f>"10/04/2022 19:33:14.932"</f>
        <v>10/04/2022 19:33:14.932</v>
      </c>
      <c r="C2868" t="str">
        <f t="shared" si="1036"/>
        <v>FFDDD3C0</v>
      </c>
      <c r="D2868" t="s">
        <v>147</v>
      </c>
      <c r="E2868">
        <v>3</v>
      </c>
      <c r="H2868">
        <v>166</v>
      </c>
      <c r="I2868" t="s">
        <v>144</v>
      </c>
      <c r="J2868" t="s">
        <v>148</v>
      </c>
      <c r="K2868">
        <v>0</v>
      </c>
      <c r="L2868">
        <v>3</v>
      </c>
      <c r="M2868">
        <v>0</v>
      </c>
      <c r="N2868">
        <v>2</v>
      </c>
      <c r="O2868">
        <v>0</v>
      </c>
      <c r="P2868">
        <v>1</v>
      </c>
      <c r="Q2868">
        <v>0</v>
      </c>
      <c r="S2868" t="str">
        <f t="shared" si="1040"/>
        <v>19:33:14.000</v>
      </c>
      <c r="T2868" t="str">
        <f t="shared" si="1040"/>
        <v>19:33:14.000</v>
      </c>
      <c r="U2868" t="str">
        <f t="shared" si="1023"/>
        <v>AC3944</v>
      </c>
      <c r="V2868">
        <v>0</v>
      </c>
      <c r="W2868">
        <v>0</v>
      </c>
      <c r="X2868">
        <v>2</v>
      </c>
      <c r="Y2868">
        <v>0</v>
      </c>
      <c r="AA2868">
        <v>1</v>
      </c>
      <c r="AB2868">
        <v>8</v>
      </c>
      <c r="AC2868">
        <v>3</v>
      </c>
      <c r="AD2868">
        <v>0</v>
      </c>
      <c r="AE2868">
        <v>9</v>
      </c>
      <c r="AF2868" t="s">
        <v>138</v>
      </c>
      <c r="AG2868">
        <v>0</v>
      </c>
      <c r="AH2868">
        <v>3</v>
      </c>
      <c r="AI2868">
        <v>1</v>
      </c>
      <c r="AJ2868">
        <v>0</v>
      </c>
      <c r="AK2868" t="s">
        <v>968</v>
      </c>
      <c r="AL2868">
        <v>32.729880999999999</v>
      </c>
      <c r="AM2868" t="s">
        <v>969</v>
      </c>
      <c r="AN2868">
        <v>-116.751645</v>
      </c>
      <c r="AO2868">
        <v>25</v>
      </c>
      <c r="AP2868">
        <v>3700</v>
      </c>
      <c r="AQ2868" t="s">
        <v>129</v>
      </c>
      <c r="AR2868">
        <v>57</v>
      </c>
      <c r="AS2868">
        <v>-122</v>
      </c>
      <c r="AT2868">
        <v>320</v>
      </c>
      <c r="BB2868">
        <v>1200</v>
      </c>
      <c r="BC2868">
        <v>1</v>
      </c>
      <c r="BD2868" t="str">
        <f t="shared" si="1024"/>
        <v xml:space="preserve">N887QR  </v>
      </c>
      <c r="BE2868">
        <v>1</v>
      </c>
      <c r="BJ2868">
        <v>3375</v>
      </c>
      <c r="BK2868">
        <v>-325</v>
      </c>
      <c r="BL2868" t="s">
        <v>163</v>
      </c>
      <c r="BM2868">
        <v>1</v>
      </c>
      <c r="BN2868">
        <v>1</v>
      </c>
      <c r="BO2868">
        <v>1</v>
      </c>
      <c r="BP2868">
        <v>0</v>
      </c>
      <c r="BS2868">
        <v>0</v>
      </c>
      <c r="BT2868">
        <v>0</v>
      </c>
      <c r="BU2868">
        <v>0</v>
      </c>
      <c r="CE2868" t="str">
        <f t="shared" si="1041"/>
        <v>19:33:14.461</v>
      </c>
      <c r="CF2868">
        <v>460704119</v>
      </c>
      <c r="CS2868">
        <v>0</v>
      </c>
      <c r="CT2868">
        <v>2</v>
      </c>
      <c r="CU2868">
        <v>0</v>
      </c>
      <c r="CV2868">
        <v>2</v>
      </c>
      <c r="CW2868">
        <v>0</v>
      </c>
      <c r="CX2868">
        <v>4</v>
      </c>
      <c r="CY2868">
        <v>7</v>
      </c>
      <c r="CZ2868" t="s">
        <v>131</v>
      </c>
      <c r="DA2868">
        <v>300</v>
      </c>
      <c r="DB2868">
        <v>0</v>
      </c>
      <c r="DC2868" t="s">
        <v>176</v>
      </c>
      <c r="DD2868" t="s">
        <v>177</v>
      </c>
      <c r="DG2868">
        <v>5423640</v>
      </c>
      <c r="DI2868">
        <v>1</v>
      </c>
      <c r="DJ2868">
        <v>0</v>
      </c>
      <c r="DK2868">
        <v>1</v>
      </c>
      <c r="DL2868">
        <v>0</v>
      </c>
      <c r="DM2868">
        <v>0</v>
      </c>
      <c r="DN2868">
        <v>1</v>
      </c>
      <c r="DO2868">
        <v>0</v>
      </c>
      <c r="DP2868">
        <v>0</v>
      </c>
      <c r="DQ2868">
        <v>0</v>
      </c>
      <c r="DR2868">
        <v>0</v>
      </c>
      <c r="DS2868">
        <v>0</v>
      </c>
    </row>
    <row r="2869" spans="1:123" x14ac:dyDescent="0.3">
      <c r="A2869" t="str">
        <f>"10/04/2022 19:33:14.854"</f>
        <v>10/04/2022 19:33:14.854</v>
      </c>
      <c r="C2869" t="str">
        <f t="shared" si="1036"/>
        <v>FFDDD3C0</v>
      </c>
      <c r="D2869" t="s">
        <v>141</v>
      </c>
      <c r="E2869">
        <v>4</v>
      </c>
      <c r="H2869">
        <v>4</v>
      </c>
      <c r="I2869" t="s">
        <v>142</v>
      </c>
      <c r="J2869" t="s">
        <v>138</v>
      </c>
      <c r="K2869">
        <v>0</v>
      </c>
      <c r="L2869">
        <v>3</v>
      </c>
      <c r="M2869">
        <v>0</v>
      </c>
      <c r="N2869">
        <v>2</v>
      </c>
      <c r="O2869">
        <v>0</v>
      </c>
      <c r="P2869">
        <v>1</v>
      </c>
      <c r="Q2869">
        <v>0</v>
      </c>
      <c r="S2869" t="str">
        <f t="shared" si="1040"/>
        <v>19:33:14.000</v>
      </c>
      <c r="T2869" t="str">
        <f t="shared" si="1040"/>
        <v>19:33:14.000</v>
      </c>
      <c r="U2869" t="str">
        <f t="shared" si="1023"/>
        <v>AC3944</v>
      </c>
      <c r="V2869">
        <v>0</v>
      </c>
      <c r="W2869">
        <v>0</v>
      </c>
      <c r="X2869">
        <v>2</v>
      </c>
      <c r="Y2869">
        <v>0</v>
      </c>
      <c r="AA2869">
        <v>1</v>
      </c>
      <c r="AB2869">
        <v>8</v>
      </c>
      <c r="AC2869">
        <v>3</v>
      </c>
      <c r="AD2869">
        <v>0</v>
      </c>
      <c r="AE2869">
        <v>9</v>
      </c>
      <c r="AF2869" t="s">
        <v>138</v>
      </c>
      <c r="AG2869">
        <v>0</v>
      </c>
      <c r="AH2869">
        <v>3</v>
      </c>
      <c r="AI2869">
        <v>1</v>
      </c>
      <c r="AJ2869">
        <v>0</v>
      </c>
      <c r="AK2869" t="s">
        <v>968</v>
      </c>
      <c r="AL2869">
        <v>32.729880999999999</v>
      </c>
      <c r="AM2869" t="s">
        <v>969</v>
      </c>
      <c r="AN2869">
        <v>-116.751645</v>
      </c>
      <c r="AO2869">
        <v>25</v>
      </c>
      <c r="AP2869">
        <v>3700</v>
      </c>
      <c r="AQ2869" t="s">
        <v>129</v>
      </c>
      <c r="AR2869">
        <v>57</v>
      </c>
      <c r="AS2869">
        <v>-122</v>
      </c>
      <c r="AT2869">
        <v>320</v>
      </c>
      <c r="BB2869">
        <v>1200</v>
      </c>
      <c r="BC2869">
        <v>1</v>
      </c>
      <c r="BD2869" t="str">
        <f t="shared" si="1024"/>
        <v xml:space="preserve">N887QR  </v>
      </c>
      <c r="BE2869">
        <v>1</v>
      </c>
      <c r="BJ2869">
        <v>3375</v>
      </c>
      <c r="BK2869">
        <v>-325</v>
      </c>
      <c r="BL2869" t="s">
        <v>163</v>
      </c>
      <c r="BM2869">
        <v>1</v>
      </c>
      <c r="BN2869">
        <v>1</v>
      </c>
      <c r="BO2869">
        <v>1</v>
      </c>
      <c r="BP2869">
        <v>0</v>
      </c>
      <c r="BS2869">
        <v>0</v>
      </c>
      <c r="BT2869">
        <v>0</v>
      </c>
      <c r="BU2869">
        <v>0</v>
      </c>
      <c r="CE2869" t="str">
        <f t="shared" si="1041"/>
        <v>19:33:14.461</v>
      </c>
      <c r="CF2869">
        <v>460704119</v>
      </c>
      <c r="CS2869">
        <v>0</v>
      </c>
      <c r="CT2869">
        <v>2</v>
      </c>
      <c r="CU2869">
        <v>0</v>
      </c>
      <c r="CV2869">
        <v>2</v>
      </c>
      <c r="CW2869">
        <v>0</v>
      </c>
      <c r="CX2869">
        <v>4</v>
      </c>
      <c r="CY2869">
        <v>7</v>
      </c>
      <c r="CZ2869" t="s">
        <v>131</v>
      </c>
      <c r="DA2869">
        <v>300</v>
      </c>
      <c r="DB2869">
        <v>0</v>
      </c>
      <c r="DC2869" t="s">
        <v>176</v>
      </c>
      <c r="DD2869" t="s">
        <v>177</v>
      </c>
      <c r="DG2869">
        <v>5423640</v>
      </c>
      <c r="DI2869">
        <v>1</v>
      </c>
      <c r="DJ2869">
        <v>0</v>
      </c>
      <c r="DK2869">
        <v>1</v>
      </c>
      <c r="DL2869">
        <v>0</v>
      </c>
      <c r="DM2869">
        <v>0</v>
      </c>
      <c r="DN2869">
        <v>1</v>
      </c>
      <c r="DO2869">
        <v>0</v>
      </c>
      <c r="DP2869">
        <v>0</v>
      </c>
      <c r="DQ2869">
        <v>0</v>
      </c>
      <c r="DR2869">
        <v>0</v>
      </c>
      <c r="DS2869">
        <v>0</v>
      </c>
    </row>
    <row r="2870" spans="1:123" x14ac:dyDescent="0.3">
      <c r="A2870" t="str">
        <f t="shared" ref="A2870:A2876" si="1042">"10/04/2022 19:33:15.792"</f>
        <v>10/04/2022 19:33:15.792</v>
      </c>
      <c r="C2870" t="str">
        <f t="shared" si="1036"/>
        <v>FFDDD3C0</v>
      </c>
      <c r="D2870" t="s">
        <v>141</v>
      </c>
      <c r="E2870">
        <v>4</v>
      </c>
      <c r="H2870">
        <v>4</v>
      </c>
      <c r="I2870" t="s">
        <v>142</v>
      </c>
      <c r="J2870" t="s">
        <v>138</v>
      </c>
      <c r="K2870">
        <v>0</v>
      </c>
      <c r="L2870">
        <v>3</v>
      </c>
      <c r="M2870">
        <v>0</v>
      </c>
      <c r="N2870">
        <v>2</v>
      </c>
      <c r="O2870">
        <v>0</v>
      </c>
      <c r="P2870">
        <v>1</v>
      </c>
      <c r="Q2870">
        <v>0</v>
      </c>
      <c r="S2870" t="str">
        <f t="shared" ref="S2870:T2883" si="1043">"19:33:15.000"</f>
        <v>19:33:15.000</v>
      </c>
      <c r="T2870" t="str">
        <f t="shared" si="1043"/>
        <v>19:33:15.000</v>
      </c>
      <c r="U2870" t="str">
        <f t="shared" si="1023"/>
        <v>AC3944</v>
      </c>
      <c r="V2870">
        <v>0</v>
      </c>
      <c r="W2870">
        <v>0</v>
      </c>
      <c r="X2870">
        <v>2</v>
      </c>
      <c r="Y2870">
        <v>0</v>
      </c>
      <c r="AA2870">
        <v>1</v>
      </c>
      <c r="AB2870">
        <v>8</v>
      </c>
      <c r="AC2870">
        <v>3</v>
      </c>
      <c r="AD2870">
        <v>0</v>
      </c>
      <c r="AE2870">
        <v>9</v>
      </c>
      <c r="AF2870" t="s">
        <v>138</v>
      </c>
      <c r="AG2870">
        <v>0</v>
      </c>
      <c r="AH2870">
        <v>3</v>
      </c>
      <c r="AI2870">
        <v>1</v>
      </c>
      <c r="AJ2870">
        <v>0</v>
      </c>
      <c r="AK2870" t="s">
        <v>970</v>
      </c>
      <c r="AL2870">
        <v>32.729216000000001</v>
      </c>
      <c r="AM2870" t="s">
        <v>971</v>
      </c>
      <c r="AN2870">
        <v>-116.75125800000001</v>
      </c>
      <c r="AO2870">
        <v>25</v>
      </c>
      <c r="AP2870">
        <v>3700</v>
      </c>
      <c r="AQ2870" t="s">
        <v>129</v>
      </c>
      <c r="AR2870">
        <v>47</v>
      </c>
      <c r="AS2870">
        <v>-127</v>
      </c>
      <c r="AT2870">
        <v>320</v>
      </c>
      <c r="BB2870">
        <v>1200</v>
      </c>
      <c r="BC2870">
        <v>1</v>
      </c>
      <c r="BD2870" t="str">
        <f t="shared" si="1024"/>
        <v xml:space="preserve">N887QR  </v>
      </c>
      <c r="BE2870">
        <v>1</v>
      </c>
      <c r="BJ2870">
        <v>3375</v>
      </c>
      <c r="BK2870">
        <v>-325</v>
      </c>
      <c r="BL2870" t="s">
        <v>163</v>
      </c>
      <c r="BM2870">
        <v>1</v>
      </c>
      <c r="BN2870">
        <v>1</v>
      </c>
      <c r="BO2870">
        <v>1</v>
      </c>
      <c r="BP2870">
        <v>0</v>
      </c>
      <c r="BS2870">
        <v>0</v>
      </c>
      <c r="BT2870">
        <v>0</v>
      </c>
      <c r="BU2870">
        <v>0</v>
      </c>
      <c r="CE2870" t="str">
        <f t="shared" ref="CE2870:CE2876" si="1044">"19:33:15.456"</f>
        <v>19:33:15.456</v>
      </c>
      <c r="CF2870">
        <v>455707350</v>
      </c>
      <c r="CS2870">
        <v>0</v>
      </c>
      <c r="CT2870">
        <v>2</v>
      </c>
      <c r="CU2870">
        <v>0</v>
      </c>
      <c r="CV2870">
        <v>2</v>
      </c>
      <c r="CW2870">
        <v>0</v>
      </c>
      <c r="CX2870">
        <v>2</v>
      </c>
      <c r="CY2870">
        <v>7</v>
      </c>
      <c r="CZ2870" t="s">
        <v>131</v>
      </c>
      <c r="DA2870">
        <v>300</v>
      </c>
      <c r="DB2870">
        <v>0</v>
      </c>
      <c r="DC2870" t="s">
        <v>176</v>
      </c>
      <c r="DD2870" t="s">
        <v>177</v>
      </c>
      <c r="DG2870">
        <v>5423815</v>
      </c>
      <c r="DI2870">
        <v>1</v>
      </c>
      <c r="DJ2870">
        <v>0</v>
      </c>
      <c r="DK2870">
        <v>0</v>
      </c>
      <c r="DL2870">
        <v>0</v>
      </c>
      <c r="DM2870">
        <v>0</v>
      </c>
      <c r="DN2870">
        <v>1</v>
      </c>
      <c r="DO2870">
        <v>0</v>
      </c>
      <c r="DP2870">
        <v>0</v>
      </c>
      <c r="DQ2870">
        <v>0</v>
      </c>
      <c r="DR2870">
        <v>0</v>
      </c>
      <c r="DS2870">
        <v>0</v>
      </c>
    </row>
    <row r="2871" spans="1:123" x14ac:dyDescent="0.3">
      <c r="A2871" t="str">
        <f t="shared" si="1042"/>
        <v>10/04/2022 19:33:15.792</v>
      </c>
      <c r="C2871" t="str">
        <f t="shared" si="1036"/>
        <v>FFDDD3C0</v>
      </c>
      <c r="D2871" t="s">
        <v>134</v>
      </c>
      <c r="E2871">
        <v>15</v>
      </c>
      <c r="J2871" t="s">
        <v>135</v>
      </c>
      <c r="K2871">
        <v>0</v>
      </c>
      <c r="L2871">
        <v>3</v>
      </c>
      <c r="M2871">
        <v>0</v>
      </c>
      <c r="N2871">
        <v>2</v>
      </c>
      <c r="O2871">
        <v>0</v>
      </c>
      <c r="P2871">
        <v>1</v>
      </c>
      <c r="Q2871">
        <v>0</v>
      </c>
      <c r="S2871" t="str">
        <f t="shared" si="1043"/>
        <v>19:33:15.000</v>
      </c>
      <c r="T2871" t="str">
        <f t="shared" si="1043"/>
        <v>19:33:15.000</v>
      </c>
      <c r="U2871" t="str">
        <f t="shared" si="1023"/>
        <v>AC3944</v>
      </c>
      <c r="V2871">
        <v>0</v>
      </c>
      <c r="W2871">
        <v>0</v>
      </c>
      <c r="X2871">
        <v>2</v>
      </c>
      <c r="Y2871">
        <v>0</v>
      </c>
      <c r="AA2871">
        <v>1</v>
      </c>
      <c r="AB2871">
        <v>8</v>
      </c>
      <c r="AC2871">
        <v>3</v>
      </c>
      <c r="AD2871">
        <v>0</v>
      </c>
      <c r="AE2871">
        <v>9</v>
      </c>
      <c r="AF2871" t="s">
        <v>138</v>
      </c>
      <c r="AG2871">
        <v>0</v>
      </c>
      <c r="AH2871">
        <v>3</v>
      </c>
      <c r="AI2871">
        <v>1</v>
      </c>
      <c r="AJ2871">
        <v>0</v>
      </c>
      <c r="AK2871" t="s">
        <v>970</v>
      </c>
      <c r="AL2871">
        <v>32.729216000000001</v>
      </c>
      <c r="AM2871" t="s">
        <v>971</v>
      </c>
      <c r="AN2871">
        <v>-116.75125800000001</v>
      </c>
      <c r="AO2871">
        <v>25</v>
      </c>
      <c r="AP2871">
        <v>3700</v>
      </c>
      <c r="AQ2871" t="s">
        <v>129</v>
      </c>
      <c r="AR2871">
        <v>47</v>
      </c>
      <c r="AS2871">
        <v>-127</v>
      </c>
      <c r="AT2871">
        <v>320</v>
      </c>
      <c r="BB2871">
        <v>1200</v>
      </c>
      <c r="BC2871">
        <v>1</v>
      </c>
      <c r="BD2871" t="str">
        <f t="shared" si="1024"/>
        <v xml:space="preserve">N887QR  </v>
      </c>
      <c r="BE2871">
        <v>1</v>
      </c>
      <c r="BJ2871">
        <v>3375</v>
      </c>
      <c r="BK2871">
        <v>-325</v>
      </c>
      <c r="BL2871" t="s">
        <v>163</v>
      </c>
      <c r="BM2871">
        <v>1</v>
      </c>
      <c r="BN2871">
        <v>1</v>
      </c>
      <c r="BO2871">
        <v>1</v>
      </c>
      <c r="BP2871">
        <v>0</v>
      </c>
      <c r="BS2871">
        <v>0</v>
      </c>
      <c r="BT2871">
        <v>0</v>
      </c>
      <c r="BU2871">
        <v>0</v>
      </c>
      <c r="CE2871" t="str">
        <f t="shared" si="1044"/>
        <v>19:33:15.456</v>
      </c>
      <c r="CF2871">
        <v>455707350</v>
      </c>
      <c r="CS2871">
        <v>0</v>
      </c>
      <c r="CT2871">
        <v>2</v>
      </c>
      <c r="CU2871">
        <v>0</v>
      </c>
      <c r="CV2871">
        <v>2</v>
      </c>
      <c r="CW2871">
        <v>0</v>
      </c>
      <c r="CX2871">
        <v>2</v>
      </c>
      <c r="CY2871">
        <v>7</v>
      </c>
      <c r="CZ2871" t="s">
        <v>131</v>
      </c>
      <c r="DA2871">
        <v>300</v>
      </c>
      <c r="DB2871">
        <v>0</v>
      </c>
      <c r="DC2871" t="s">
        <v>176</v>
      </c>
      <c r="DD2871" t="s">
        <v>177</v>
      </c>
      <c r="DG2871">
        <v>5423815</v>
      </c>
      <c r="DI2871">
        <v>1</v>
      </c>
      <c r="DJ2871">
        <v>0</v>
      </c>
      <c r="DK2871">
        <v>1</v>
      </c>
      <c r="DL2871">
        <v>0</v>
      </c>
      <c r="DM2871">
        <v>0</v>
      </c>
      <c r="DN2871">
        <v>1</v>
      </c>
      <c r="DO2871">
        <v>0</v>
      </c>
      <c r="DP2871">
        <v>0</v>
      </c>
      <c r="DQ2871">
        <v>0</v>
      </c>
      <c r="DR2871">
        <v>0</v>
      </c>
      <c r="DS2871">
        <v>0</v>
      </c>
    </row>
    <row r="2872" spans="1:123" x14ac:dyDescent="0.3">
      <c r="A2872" t="str">
        <f t="shared" si="1042"/>
        <v>10/04/2022 19:33:15.792</v>
      </c>
      <c r="C2872" t="str">
        <f t="shared" si="1036"/>
        <v>FFDDD3C0</v>
      </c>
      <c r="D2872" t="s">
        <v>143</v>
      </c>
      <c r="E2872">
        <v>20</v>
      </c>
      <c r="F2872">
        <v>1020</v>
      </c>
      <c r="G2872" t="s">
        <v>144</v>
      </c>
      <c r="J2872" t="s">
        <v>145</v>
      </c>
      <c r="K2872">
        <v>0</v>
      </c>
      <c r="L2872">
        <v>3</v>
      </c>
      <c r="M2872">
        <v>0</v>
      </c>
      <c r="N2872">
        <v>2</v>
      </c>
      <c r="O2872">
        <v>0</v>
      </c>
      <c r="P2872">
        <v>1</v>
      </c>
      <c r="Q2872">
        <v>0</v>
      </c>
      <c r="S2872" t="str">
        <f t="shared" si="1043"/>
        <v>19:33:15.000</v>
      </c>
      <c r="T2872" t="str">
        <f t="shared" si="1043"/>
        <v>19:33:15.000</v>
      </c>
      <c r="U2872" t="str">
        <f t="shared" si="1023"/>
        <v>AC3944</v>
      </c>
      <c r="V2872">
        <v>0</v>
      </c>
      <c r="W2872">
        <v>0</v>
      </c>
      <c r="X2872">
        <v>2</v>
      </c>
      <c r="Y2872">
        <v>0</v>
      </c>
      <c r="AA2872">
        <v>1</v>
      </c>
      <c r="AB2872">
        <v>8</v>
      </c>
      <c r="AC2872">
        <v>3</v>
      </c>
      <c r="AD2872">
        <v>0</v>
      </c>
      <c r="AE2872">
        <v>9</v>
      </c>
      <c r="AF2872" t="s">
        <v>138</v>
      </c>
      <c r="AG2872">
        <v>0</v>
      </c>
      <c r="AH2872">
        <v>3</v>
      </c>
      <c r="AI2872">
        <v>1</v>
      </c>
      <c r="AJ2872">
        <v>0</v>
      </c>
      <c r="AK2872" t="s">
        <v>970</v>
      </c>
      <c r="AL2872">
        <v>32.729216000000001</v>
      </c>
      <c r="AM2872" t="s">
        <v>971</v>
      </c>
      <c r="AN2872">
        <v>-116.75125800000001</v>
      </c>
      <c r="AO2872">
        <v>25</v>
      </c>
      <c r="AP2872">
        <v>3700</v>
      </c>
      <c r="AQ2872" t="s">
        <v>129</v>
      </c>
      <c r="AR2872">
        <v>47</v>
      </c>
      <c r="AS2872">
        <v>-127</v>
      </c>
      <c r="AT2872">
        <v>320</v>
      </c>
      <c r="BB2872">
        <v>1200</v>
      </c>
      <c r="BC2872">
        <v>1</v>
      </c>
      <c r="BD2872" t="str">
        <f t="shared" si="1024"/>
        <v xml:space="preserve">N887QR  </v>
      </c>
      <c r="BE2872">
        <v>1</v>
      </c>
      <c r="BJ2872">
        <v>3375</v>
      </c>
      <c r="BK2872">
        <v>-325</v>
      </c>
      <c r="BL2872" t="s">
        <v>163</v>
      </c>
      <c r="BM2872">
        <v>1</v>
      </c>
      <c r="BN2872">
        <v>1</v>
      </c>
      <c r="BO2872">
        <v>1</v>
      </c>
      <c r="BP2872">
        <v>0</v>
      </c>
      <c r="BS2872">
        <v>0</v>
      </c>
      <c r="BT2872">
        <v>0</v>
      </c>
      <c r="BU2872">
        <v>0</v>
      </c>
      <c r="CE2872" t="str">
        <f t="shared" si="1044"/>
        <v>19:33:15.456</v>
      </c>
      <c r="CF2872">
        <v>455707350</v>
      </c>
      <c r="CS2872">
        <v>0</v>
      </c>
      <c r="CT2872">
        <v>2</v>
      </c>
      <c r="CU2872">
        <v>0</v>
      </c>
      <c r="CV2872">
        <v>2</v>
      </c>
      <c r="CW2872">
        <v>0</v>
      </c>
      <c r="CX2872">
        <v>2</v>
      </c>
      <c r="CY2872">
        <v>7</v>
      </c>
      <c r="CZ2872" t="s">
        <v>131</v>
      </c>
      <c r="DA2872">
        <v>300</v>
      </c>
      <c r="DB2872">
        <v>0</v>
      </c>
      <c r="DC2872" t="s">
        <v>176</v>
      </c>
      <c r="DD2872" t="s">
        <v>177</v>
      </c>
      <c r="DG2872">
        <v>5423815</v>
      </c>
      <c r="DI2872">
        <v>1</v>
      </c>
      <c r="DJ2872">
        <v>0</v>
      </c>
      <c r="DK2872">
        <v>1</v>
      </c>
      <c r="DL2872">
        <v>0</v>
      </c>
      <c r="DM2872">
        <v>0</v>
      </c>
      <c r="DN2872">
        <v>1</v>
      </c>
      <c r="DO2872">
        <v>0</v>
      </c>
      <c r="DP2872">
        <v>0</v>
      </c>
      <c r="DQ2872">
        <v>0</v>
      </c>
      <c r="DR2872">
        <v>0</v>
      </c>
      <c r="DS2872">
        <v>0</v>
      </c>
    </row>
    <row r="2873" spans="1:123" x14ac:dyDescent="0.3">
      <c r="A2873" t="str">
        <f t="shared" si="1042"/>
        <v>10/04/2022 19:33:15.792</v>
      </c>
      <c r="C2873" t="str">
        <f t="shared" si="1036"/>
        <v>FFDDD3C0</v>
      </c>
      <c r="D2873" t="s">
        <v>141</v>
      </c>
      <c r="E2873">
        <v>3</v>
      </c>
      <c r="H2873">
        <v>3</v>
      </c>
      <c r="I2873" t="s">
        <v>146</v>
      </c>
      <c r="J2873" t="s">
        <v>138</v>
      </c>
      <c r="K2873">
        <v>0</v>
      </c>
      <c r="L2873">
        <v>3</v>
      </c>
      <c r="M2873">
        <v>0</v>
      </c>
      <c r="N2873">
        <v>2</v>
      </c>
      <c r="O2873">
        <v>0</v>
      </c>
      <c r="P2873">
        <v>1</v>
      </c>
      <c r="Q2873">
        <v>0</v>
      </c>
      <c r="S2873" t="str">
        <f t="shared" si="1043"/>
        <v>19:33:15.000</v>
      </c>
      <c r="T2873" t="str">
        <f t="shared" si="1043"/>
        <v>19:33:15.000</v>
      </c>
      <c r="U2873" t="str">
        <f t="shared" si="1023"/>
        <v>AC3944</v>
      </c>
      <c r="V2873">
        <v>0</v>
      </c>
      <c r="W2873">
        <v>0</v>
      </c>
      <c r="X2873">
        <v>2</v>
      </c>
      <c r="Y2873">
        <v>0</v>
      </c>
      <c r="AA2873">
        <v>1</v>
      </c>
      <c r="AB2873">
        <v>8</v>
      </c>
      <c r="AC2873">
        <v>3</v>
      </c>
      <c r="AD2873">
        <v>0</v>
      </c>
      <c r="AE2873">
        <v>9</v>
      </c>
      <c r="AF2873" t="s">
        <v>138</v>
      </c>
      <c r="AG2873">
        <v>0</v>
      </c>
      <c r="AH2873">
        <v>3</v>
      </c>
      <c r="AI2873">
        <v>1</v>
      </c>
      <c r="AJ2873">
        <v>0</v>
      </c>
      <c r="AK2873" t="s">
        <v>970</v>
      </c>
      <c r="AL2873">
        <v>32.729216000000001</v>
      </c>
      <c r="AM2873" t="s">
        <v>971</v>
      </c>
      <c r="AN2873">
        <v>-116.75125800000001</v>
      </c>
      <c r="AO2873">
        <v>25</v>
      </c>
      <c r="AP2873">
        <v>3700</v>
      </c>
      <c r="AQ2873" t="s">
        <v>129</v>
      </c>
      <c r="AR2873">
        <v>47</v>
      </c>
      <c r="AS2873">
        <v>-127</v>
      </c>
      <c r="AT2873">
        <v>320</v>
      </c>
      <c r="BB2873">
        <v>1200</v>
      </c>
      <c r="BC2873">
        <v>1</v>
      </c>
      <c r="BD2873" t="str">
        <f t="shared" si="1024"/>
        <v xml:space="preserve">N887QR  </v>
      </c>
      <c r="BE2873">
        <v>1</v>
      </c>
      <c r="BJ2873">
        <v>3375</v>
      </c>
      <c r="BK2873">
        <v>-325</v>
      </c>
      <c r="BL2873" t="s">
        <v>163</v>
      </c>
      <c r="BM2873">
        <v>1</v>
      </c>
      <c r="BN2873">
        <v>1</v>
      </c>
      <c r="BO2873">
        <v>1</v>
      </c>
      <c r="BP2873">
        <v>0</v>
      </c>
      <c r="BS2873">
        <v>0</v>
      </c>
      <c r="BT2873">
        <v>0</v>
      </c>
      <c r="BU2873">
        <v>0</v>
      </c>
      <c r="CE2873" t="str">
        <f t="shared" si="1044"/>
        <v>19:33:15.456</v>
      </c>
      <c r="CF2873">
        <v>455707350</v>
      </c>
      <c r="CS2873">
        <v>0</v>
      </c>
      <c r="CT2873">
        <v>2</v>
      </c>
      <c r="CU2873">
        <v>0</v>
      </c>
      <c r="CV2873">
        <v>2</v>
      </c>
      <c r="CW2873">
        <v>0</v>
      </c>
      <c r="CX2873">
        <v>2</v>
      </c>
      <c r="CY2873">
        <v>7</v>
      </c>
      <c r="CZ2873" t="s">
        <v>131</v>
      </c>
      <c r="DA2873">
        <v>300</v>
      </c>
      <c r="DB2873">
        <v>0</v>
      </c>
      <c r="DC2873" t="s">
        <v>176</v>
      </c>
      <c r="DD2873" t="s">
        <v>177</v>
      </c>
      <c r="DG2873">
        <v>5423815</v>
      </c>
      <c r="DI2873">
        <v>1</v>
      </c>
      <c r="DJ2873">
        <v>0</v>
      </c>
      <c r="DK2873">
        <v>1</v>
      </c>
      <c r="DL2873">
        <v>0</v>
      </c>
      <c r="DM2873">
        <v>0</v>
      </c>
      <c r="DN2873">
        <v>1</v>
      </c>
      <c r="DO2873">
        <v>0</v>
      </c>
      <c r="DP2873">
        <v>0</v>
      </c>
      <c r="DQ2873">
        <v>0</v>
      </c>
      <c r="DR2873">
        <v>0</v>
      </c>
      <c r="DS2873">
        <v>0</v>
      </c>
    </row>
    <row r="2874" spans="1:123" x14ac:dyDescent="0.3">
      <c r="A2874" t="str">
        <f t="shared" si="1042"/>
        <v>10/04/2022 19:33:15.792</v>
      </c>
      <c r="C2874" t="str">
        <f t="shared" si="1036"/>
        <v>FFDDD3C0</v>
      </c>
      <c r="D2874" t="s">
        <v>147</v>
      </c>
      <c r="E2874">
        <v>3</v>
      </c>
      <c r="H2874">
        <v>166</v>
      </c>
      <c r="I2874" t="s">
        <v>144</v>
      </c>
      <c r="J2874" t="s">
        <v>148</v>
      </c>
      <c r="K2874">
        <v>0</v>
      </c>
      <c r="L2874">
        <v>3</v>
      </c>
      <c r="M2874">
        <v>0</v>
      </c>
      <c r="N2874">
        <v>2</v>
      </c>
      <c r="O2874">
        <v>0</v>
      </c>
      <c r="P2874">
        <v>1</v>
      </c>
      <c r="Q2874">
        <v>0</v>
      </c>
      <c r="S2874" t="str">
        <f t="shared" si="1043"/>
        <v>19:33:15.000</v>
      </c>
      <c r="T2874" t="str">
        <f t="shared" si="1043"/>
        <v>19:33:15.000</v>
      </c>
      <c r="U2874" t="str">
        <f t="shared" si="1023"/>
        <v>AC3944</v>
      </c>
      <c r="V2874">
        <v>0</v>
      </c>
      <c r="W2874">
        <v>0</v>
      </c>
      <c r="X2874">
        <v>2</v>
      </c>
      <c r="Y2874">
        <v>0</v>
      </c>
      <c r="AA2874">
        <v>1</v>
      </c>
      <c r="AB2874">
        <v>8</v>
      </c>
      <c r="AC2874">
        <v>3</v>
      </c>
      <c r="AD2874">
        <v>0</v>
      </c>
      <c r="AE2874">
        <v>9</v>
      </c>
      <c r="AF2874" t="s">
        <v>138</v>
      </c>
      <c r="AG2874">
        <v>0</v>
      </c>
      <c r="AH2874">
        <v>3</v>
      </c>
      <c r="AI2874">
        <v>1</v>
      </c>
      <c r="AJ2874">
        <v>0</v>
      </c>
      <c r="AK2874" t="s">
        <v>970</v>
      </c>
      <c r="AL2874">
        <v>32.729216000000001</v>
      </c>
      <c r="AM2874" t="s">
        <v>971</v>
      </c>
      <c r="AN2874">
        <v>-116.75125800000001</v>
      </c>
      <c r="AO2874">
        <v>25</v>
      </c>
      <c r="AP2874">
        <v>3700</v>
      </c>
      <c r="AQ2874" t="s">
        <v>129</v>
      </c>
      <c r="AR2874">
        <v>47</v>
      </c>
      <c r="AS2874">
        <v>-127</v>
      </c>
      <c r="AT2874">
        <v>320</v>
      </c>
      <c r="BB2874">
        <v>1200</v>
      </c>
      <c r="BC2874">
        <v>1</v>
      </c>
      <c r="BD2874" t="str">
        <f t="shared" si="1024"/>
        <v xml:space="preserve">N887QR  </v>
      </c>
      <c r="BE2874">
        <v>1</v>
      </c>
      <c r="BJ2874">
        <v>3375</v>
      </c>
      <c r="BK2874">
        <v>-325</v>
      </c>
      <c r="BL2874" t="s">
        <v>163</v>
      </c>
      <c r="BM2874">
        <v>1</v>
      </c>
      <c r="BN2874">
        <v>1</v>
      </c>
      <c r="BO2874">
        <v>1</v>
      </c>
      <c r="BP2874">
        <v>0</v>
      </c>
      <c r="BS2874">
        <v>0</v>
      </c>
      <c r="BT2874">
        <v>0</v>
      </c>
      <c r="BU2874">
        <v>0</v>
      </c>
      <c r="CE2874" t="str">
        <f t="shared" si="1044"/>
        <v>19:33:15.456</v>
      </c>
      <c r="CF2874">
        <v>455707350</v>
      </c>
      <c r="CS2874">
        <v>0</v>
      </c>
      <c r="CT2874">
        <v>2</v>
      </c>
      <c r="CU2874">
        <v>0</v>
      </c>
      <c r="CV2874">
        <v>2</v>
      </c>
      <c r="CW2874">
        <v>0</v>
      </c>
      <c r="CX2874">
        <v>2</v>
      </c>
      <c r="CY2874">
        <v>7</v>
      </c>
      <c r="CZ2874" t="s">
        <v>131</v>
      </c>
      <c r="DA2874">
        <v>300</v>
      </c>
      <c r="DB2874">
        <v>0</v>
      </c>
      <c r="DC2874" t="s">
        <v>176</v>
      </c>
      <c r="DD2874" t="s">
        <v>177</v>
      </c>
      <c r="DG2874">
        <v>5423815</v>
      </c>
      <c r="DI2874">
        <v>1</v>
      </c>
      <c r="DJ2874">
        <v>0</v>
      </c>
      <c r="DK2874">
        <v>0</v>
      </c>
      <c r="DL2874">
        <v>0</v>
      </c>
      <c r="DM2874">
        <v>0</v>
      </c>
      <c r="DN2874">
        <v>1</v>
      </c>
      <c r="DO2874">
        <v>0</v>
      </c>
      <c r="DP2874">
        <v>0</v>
      </c>
      <c r="DQ2874">
        <v>0</v>
      </c>
      <c r="DR2874">
        <v>0</v>
      </c>
      <c r="DS2874">
        <v>0</v>
      </c>
    </row>
    <row r="2875" spans="1:123" x14ac:dyDescent="0.3">
      <c r="A2875" t="str">
        <f t="shared" si="1042"/>
        <v>10/04/2022 19:33:15.792</v>
      </c>
      <c r="C2875" t="str">
        <f t="shared" si="1036"/>
        <v>FFDDD3C0</v>
      </c>
      <c r="D2875" t="s">
        <v>123</v>
      </c>
      <c r="E2875">
        <v>7</v>
      </c>
      <c r="F2875">
        <v>2007</v>
      </c>
      <c r="G2875" t="s">
        <v>124</v>
      </c>
      <c r="J2875" t="s">
        <v>125</v>
      </c>
      <c r="K2875">
        <v>0</v>
      </c>
      <c r="L2875">
        <v>3</v>
      </c>
      <c r="M2875">
        <v>0</v>
      </c>
      <c r="N2875">
        <v>2</v>
      </c>
      <c r="O2875">
        <v>0</v>
      </c>
      <c r="P2875">
        <v>1</v>
      </c>
      <c r="Q2875">
        <v>0</v>
      </c>
      <c r="S2875" t="str">
        <f t="shared" si="1043"/>
        <v>19:33:15.000</v>
      </c>
      <c r="T2875" t="str">
        <f t="shared" si="1043"/>
        <v>19:33:15.000</v>
      </c>
      <c r="U2875" t="str">
        <f t="shared" si="1023"/>
        <v>AC3944</v>
      </c>
      <c r="V2875">
        <v>0</v>
      </c>
      <c r="W2875">
        <v>0</v>
      </c>
      <c r="X2875">
        <v>2</v>
      </c>
      <c r="Y2875">
        <v>0</v>
      </c>
      <c r="AA2875">
        <v>1</v>
      </c>
      <c r="AB2875">
        <v>8</v>
      </c>
      <c r="AC2875">
        <v>3</v>
      </c>
      <c r="AD2875">
        <v>0</v>
      </c>
      <c r="AE2875">
        <v>9</v>
      </c>
      <c r="AF2875" t="s">
        <v>138</v>
      </c>
      <c r="AG2875">
        <v>0</v>
      </c>
      <c r="AH2875">
        <v>3</v>
      </c>
      <c r="AI2875">
        <v>1</v>
      </c>
      <c r="AJ2875">
        <v>0</v>
      </c>
      <c r="AK2875" t="s">
        <v>970</v>
      </c>
      <c r="AL2875">
        <v>32.729216000000001</v>
      </c>
      <c r="AM2875" t="s">
        <v>971</v>
      </c>
      <c r="AN2875">
        <v>-116.75125800000001</v>
      </c>
      <c r="AO2875">
        <v>25</v>
      </c>
      <c r="AP2875">
        <v>3700</v>
      </c>
      <c r="AQ2875" t="s">
        <v>129</v>
      </c>
      <c r="AR2875">
        <v>47</v>
      </c>
      <c r="AS2875">
        <v>-127</v>
      </c>
      <c r="AT2875">
        <v>320</v>
      </c>
      <c r="BB2875">
        <v>1200</v>
      </c>
      <c r="BC2875">
        <v>1</v>
      </c>
      <c r="BD2875" t="str">
        <f t="shared" si="1024"/>
        <v xml:space="preserve">N887QR  </v>
      </c>
      <c r="BE2875">
        <v>1</v>
      </c>
      <c r="BJ2875">
        <v>3375</v>
      </c>
      <c r="BK2875">
        <v>-325</v>
      </c>
      <c r="BL2875" t="s">
        <v>163</v>
      </c>
      <c r="BM2875">
        <v>1</v>
      </c>
      <c r="BN2875">
        <v>1</v>
      </c>
      <c r="BO2875">
        <v>1</v>
      </c>
      <c r="BP2875">
        <v>0</v>
      </c>
      <c r="BS2875">
        <v>0</v>
      </c>
      <c r="BT2875">
        <v>0</v>
      </c>
      <c r="BU2875">
        <v>0</v>
      </c>
      <c r="CE2875" t="str">
        <f t="shared" si="1044"/>
        <v>19:33:15.456</v>
      </c>
      <c r="CF2875">
        <v>455707350</v>
      </c>
      <c r="CS2875">
        <v>0</v>
      </c>
      <c r="CT2875">
        <v>2</v>
      </c>
      <c r="CU2875">
        <v>0</v>
      </c>
      <c r="CV2875">
        <v>2</v>
      </c>
      <c r="CW2875">
        <v>0</v>
      </c>
      <c r="CX2875">
        <v>2</v>
      </c>
      <c r="CY2875">
        <v>7</v>
      </c>
      <c r="CZ2875" t="s">
        <v>131</v>
      </c>
      <c r="DA2875">
        <v>300</v>
      </c>
      <c r="DB2875">
        <v>0</v>
      </c>
      <c r="DC2875" t="s">
        <v>176</v>
      </c>
      <c r="DD2875" t="s">
        <v>177</v>
      </c>
      <c r="DG2875">
        <v>5423815</v>
      </c>
      <c r="DI2875">
        <v>1</v>
      </c>
      <c r="DJ2875">
        <v>0</v>
      </c>
      <c r="DK2875">
        <v>1</v>
      </c>
      <c r="DL2875">
        <v>0</v>
      </c>
      <c r="DM2875">
        <v>0</v>
      </c>
      <c r="DN2875">
        <v>1</v>
      </c>
      <c r="DO2875">
        <v>0</v>
      </c>
      <c r="DP2875">
        <v>0</v>
      </c>
      <c r="DQ2875">
        <v>0</v>
      </c>
      <c r="DR2875">
        <v>0</v>
      </c>
      <c r="DS2875">
        <v>0</v>
      </c>
    </row>
    <row r="2876" spans="1:123" x14ac:dyDescent="0.3">
      <c r="A2876" t="str">
        <f t="shared" si="1042"/>
        <v>10/04/2022 19:33:15.792</v>
      </c>
      <c r="C2876" t="str">
        <f t="shared" si="1036"/>
        <v>FFDDD3C0</v>
      </c>
      <c r="D2876" t="s">
        <v>136</v>
      </c>
      <c r="E2876">
        <v>8</v>
      </c>
      <c r="H2876">
        <v>225</v>
      </c>
      <c r="I2876" t="s">
        <v>137</v>
      </c>
      <c r="J2876" t="s">
        <v>138</v>
      </c>
      <c r="K2876">
        <v>0</v>
      </c>
      <c r="L2876">
        <v>3</v>
      </c>
      <c r="M2876">
        <v>0</v>
      </c>
      <c r="N2876">
        <v>2</v>
      </c>
      <c r="O2876">
        <v>0</v>
      </c>
      <c r="P2876">
        <v>1</v>
      </c>
      <c r="Q2876">
        <v>0</v>
      </c>
      <c r="S2876" t="str">
        <f t="shared" si="1043"/>
        <v>19:33:15.000</v>
      </c>
      <c r="T2876" t="str">
        <f t="shared" si="1043"/>
        <v>19:33:15.000</v>
      </c>
      <c r="U2876" t="str">
        <f t="shared" si="1023"/>
        <v>AC3944</v>
      </c>
      <c r="V2876">
        <v>0</v>
      </c>
      <c r="W2876">
        <v>0</v>
      </c>
      <c r="X2876">
        <v>2</v>
      </c>
      <c r="Y2876">
        <v>0</v>
      </c>
      <c r="AA2876">
        <v>1</v>
      </c>
      <c r="AB2876">
        <v>8</v>
      </c>
      <c r="AC2876">
        <v>3</v>
      </c>
      <c r="AD2876">
        <v>0</v>
      </c>
      <c r="AE2876">
        <v>9</v>
      </c>
      <c r="AF2876" t="s">
        <v>138</v>
      </c>
      <c r="AG2876">
        <v>0</v>
      </c>
      <c r="AH2876">
        <v>3</v>
      </c>
      <c r="AI2876">
        <v>1</v>
      </c>
      <c r="AJ2876">
        <v>0</v>
      </c>
      <c r="AK2876" t="s">
        <v>970</v>
      </c>
      <c r="AL2876">
        <v>32.729216000000001</v>
      </c>
      <c r="AM2876" t="s">
        <v>971</v>
      </c>
      <c r="AN2876">
        <v>-116.75125800000001</v>
      </c>
      <c r="AO2876">
        <v>25</v>
      </c>
      <c r="AP2876">
        <v>3700</v>
      </c>
      <c r="AQ2876" t="s">
        <v>129</v>
      </c>
      <c r="AR2876">
        <v>47</v>
      </c>
      <c r="AS2876">
        <v>-127</v>
      </c>
      <c r="AT2876">
        <v>320</v>
      </c>
      <c r="BB2876">
        <v>1200</v>
      </c>
      <c r="BC2876">
        <v>1</v>
      </c>
      <c r="BD2876" t="str">
        <f t="shared" si="1024"/>
        <v xml:space="preserve">N887QR  </v>
      </c>
      <c r="BE2876">
        <v>1</v>
      </c>
      <c r="BJ2876">
        <v>3375</v>
      </c>
      <c r="BK2876">
        <v>-325</v>
      </c>
      <c r="BL2876" t="s">
        <v>163</v>
      </c>
      <c r="BM2876">
        <v>1</v>
      </c>
      <c r="BN2876">
        <v>1</v>
      </c>
      <c r="BO2876">
        <v>1</v>
      </c>
      <c r="BP2876">
        <v>0</v>
      </c>
      <c r="BS2876">
        <v>0</v>
      </c>
      <c r="BT2876">
        <v>0</v>
      </c>
      <c r="BU2876">
        <v>0</v>
      </c>
      <c r="CE2876" t="str">
        <f t="shared" si="1044"/>
        <v>19:33:15.456</v>
      </c>
      <c r="CF2876">
        <v>455707350</v>
      </c>
      <c r="CS2876">
        <v>0</v>
      </c>
      <c r="CT2876">
        <v>2</v>
      </c>
      <c r="CU2876">
        <v>0</v>
      </c>
      <c r="CV2876">
        <v>2</v>
      </c>
      <c r="CW2876">
        <v>0</v>
      </c>
      <c r="CX2876">
        <v>2</v>
      </c>
      <c r="CY2876">
        <v>7</v>
      </c>
      <c r="CZ2876" t="s">
        <v>131</v>
      </c>
      <c r="DA2876">
        <v>300</v>
      </c>
      <c r="DB2876">
        <v>0</v>
      </c>
      <c r="DC2876" t="s">
        <v>176</v>
      </c>
      <c r="DD2876" t="s">
        <v>177</v>
      </c>
      <c r="DG2876">
        <v>5423815</v>
      </c>
      <c r="DI2876">
        <v>1</v>
      </c>
      <c r="DJ2876">
        <v>0</v>
      </c>
      <c r="DK2876">
        <v>1</v>
      </c>
      <c r="DL2876">
        <v>0</v>
      </c>
      <c r="DM2876">
        <v>0</v>
      </c>
      <c r="DN2876">
        <v>1</v>
      </c>
      <c r="DO2876">
        <v>0</v>
      </c>
      <c r="DP2876">
        <v>0</v>
      </c>
      <c r="DQ2876">
        <v>0</v>
      </c>
      <c r="DR2876">
        <v>0</v>
      </c>
      <c r="DS2876">
        <v>0</v>
      </c>
    </row>
    <row r="2877" spans="1:123" x14ac:dyDescent="0.3">
      <c r="A2877" t="str">
        <f>"10/04/2022 19:33:16.199"</f>
        <v>10/04/2022 19:33:16.199</v>
      </c>
      <c r="C2877" t="str">
        <f t="shared" si="1036"/>
        <v>FFDDD3C0</v>
      </c>
      <c r="D2877" t="s">
        <v>123</v>
      </c>
      <c r="E2877">
        <v>7</v>
      </c>
      <c r="F2877">
        <v>2007</v>
      </c>
      <c r="G2877" t="s">
        <v>124</v>
      </c>
      <c r="J2877" t="s">
        <v>125</v>
      </c>
      <c r="K2877">
        <v>0</v>
      </c>
      <c r="L2877">
        <v>3</v>
      </c>
      <c r="M2877">
        <v>0</v>
      </c>
      <c r="N2877">
        <v>2</v>
      </c>
      <c r="O2877">
        <v>0</v>
      </c>
      <c r="P2877">
        <v>1</v>
      </c>
      <c r="Q2877">
        <v>0</v>
      </c>
      <c r="S2877" t="str">
        <f t="shared" si="1043"/>
        <v>19:33:15.000</v>
      </c>
      <c r="T2877" t="str">
        <f t="shared" si="1043"/>
        <v>19:33:15.000</v>
      </c>
      <c r="U2877" t="str">
        <f t="shared" si="1023"/>
        <v>AC3944</v>
      </c>
      <c r="V2877">
        <v>0</v>
      </c>
      <c r="W2877">
        <v>0</v>
      </c>
      <c r="X2877">
        <v>2</v>
      </c>
      <c r="Y2877">
        <v>0</v>
      </c>
      <c r="AA2877">
        <v>1</v>
      </c>
      <c r="AB2877">
        <v>8</v>
      </c>
      <c r="AC2877">
        <v>3</v>
      </c>
      <c r="AD2877">
        <v>0</v>
      </c>
      <c r="AE2877">
        <v>9</v>
      </c>
      <c r="AF2877" t="s">
        <v>138</v>
      </c>
      <c r="AG2877">
        <v>0</v>
      </c>
      <c r="AH2877">
        <v>3</v>
      </c>
      <c r="AI2877">
        <v>1</v>
      </c>
      <c r="AJ2877">
        <v>0</v>
      </c>
      <c r="AK2877" t="s">
        <v>972</v>
      </c>
      <c r="AL2877">
        <v>32.728636000000002</v>
      </c>
      <c r="AM2877" t="s">
        <v>973</v>
      </c>
      <c r="AN2877">
        <v>-116.750979</v>
      </c>
      <c r="AO2877">
        <v>25</v>
      </c>
      <c r="AP2877">
        <v>3700</v>
      </c>
      <c r="AQ2877" t="s">
        <v>129</v>
      </c>
      <c r="AR2877">
        <v>41</v>
      </c>
      <c r="AS2877">
        <v>-129</v>
      </c>
      <c r="AT2877">
        <v>320</v>
      </c>
      <c r="BB2877">
        <v>1200</v>
      </c>
      <c r="BC2877">
        <v>1</v>
      </c>
      <c r="BD2877" t="str">
        <f t="shared" si="1024"/>
        <v xml:space="preserve">N887QR  </v>
      </c>
      <c r="BE2877">
        <v>1</v>
      </c>
      <c r="BJ2877">
        <v>3375</v>
      </c>
      <c r="BK2877">
        <v>-325</v>
      </c>
      <c r="BL2877" t="s">
        <v>163</v>
      </c>
      <c r="BM2877">
        <v>1</v>
      </c>
      <c r="BN2877">
        <v>1</v>
      </c>
      <c r="BO2877">
        <v>1</v>
      </c>
      <c r="BP2877">
        <v>0</v>
      </c>
      <c r="BS2877">
        <v>0</v>
      </c>
      <c r="BT2877">
        <v>0</v>
      </c>
      <c r="BU2877">
        <v>0</v>
      </c>
      <c r="CE2877" t="str">
        <f t="shared" ref="CE2877:CE2883" si="1045">"19:33:15.904"</f>
        <v>19:33:15.904</v>
      </c>
      <c r="CF2877">
        <v>904142094</v>
      </c>
      <c r="CS2877">
        <v>0</v>
      </c>
      <c r="CT2877">
        <v>2</v>
      </c>
      <c r="CU2877">
        <v>0</v>
      </c>
      <c r="CV2877">
        <v>2</v>
      </c>
      <c r="CW2877">
        <v>0</v>
      </c>
      <c r="CX2877">
        <v>1</v>
      </c>
      <c r="CY2877">
        <v>7</v>
      </c>
      <c r="CZ2877" t="s">
        <v>131</v>
      </c>
      <c r="DA2877">
        <v>286</v>
      </c>
      <c r="DB2877">
        <v>0</v>
      </c>
      <c r="DC2877" t="s">
        <v>132</v>
      </c>
      <c r="DD2877" t="s">
        <v>133</v>
      </c>
      <c r="DG2877">
        <v>857084</v>
      </c>
      <c r="DI2877">
        <v>1</v>
      </c>
      <c r="DJ2877">
        <v>0</v>
      </c>
      <c r="DK2877">
        <v>0</v>
      </c>
      <c r="DL2877">
        <v>0</v>
      </c>
      <c r="DM2877">
        <v>0</v>
      </c>
      <c r="DN2877">
        <v>1</v>
      </c>
      <c r="DO2877">
        <v>0</v>
      </c>
      <c r="DP2877">
        <v>0</v>
      </c>
      <c r="DQ2877">
        <v>0</v>
      </c>
      <c r="DR2877">
        <v>0</v>
      </c>
      <c r="DS2877">
        <v>0</v>
      </c>
    </row>
    <row r="2878" spans="1:123" x14ac:dyDescent="0.3">
      <c r="A2878" t="str">
        <f>"10/04/2022 19:33:16.260"</f>
        <v>10/04/2022 19:33:16.260</v>
      </c>
      <c r="C2878" t="str">
        <f t="shared" si="1036"/>
        <v>FFDDD3C0</v>
      </c>
      <c r="D2878" t="s">
        <v>147</v>
      </c>
      <c r="E2878">
        <v>3</v>
      </c>
      <c r="H2878">
        <v>166</v>
      </c>
      <c r="I2878" t="s">
        <v>144</v>
      </c>
      <c r="J2878" t="s">
        <v>148</v>
      </c>
      <c r="K2878">
        <v>0</v>
      </c>
      <c r="L2878">
        <v>3</v>
      </c>
      <c r="M2878">
        <v>0</v>
      </c>
      <c r="N2878">
        <v>2</v>
      </c>
      <c r="O2878">
        <v>0</v>
      </c>
      <c r="P2878">
        <v>1</v>
      </c>
      <c r="Q2878">
        <v>0</v>
      </c>
      <c r="S2878" t="str">
        <f t="shared" si="1043"/>
        <v>19:33:15.000</v>
      </c>
      <c r="T2878" t="str">
        <f t="shared" si="1043"/>
        <v>19:33:15.000</v>
      </c>
      <c r="U2878" t="str">
        <f t="shared" si="1023"/>
        <v>AC3944</v>
      </c>
      <c r="V2878">
        <v>0</v>
      </c>
      <c r="W2878">
        <v>0</v>
      </c>
      <c r="X2878">
        <v>2</v>
      </c>
      <c r="Y2878">
        <v>0</v>
      </c>
      <c r="AA2878">
        <v>1</v>
      </c>
      <c r="AB2878">
        <v>8</v>
      </c>
      <c r="AC2878">
        <v>3</v>
      </c>
      <c r="AD2878">
        <v>0</v>
      </c>
      <c r="AE2878">
        <v>9</v>
      </c>
      <c r="AF2878" t="s">
        <v>138</v>
      </c>
      <c r="AG2878">
        <v>0</v>
      </c>
      <c r="AH2878">
        <v>3</v>
      </c>
      <c r="AI2878">
        <v>1</v>
      </c>
      <c r="AJ2878">
        <v>0</v>
      </c>
      <c r="AK2878" t="s">
        <v>972</v>
      </c>
      <c r="AL2878">
        <v>32.728636000000002</v>
      </c>
      <c r="AM2878" t="s">
        <v>973</v>
      </c>
      <c r="AN2878">
        <v>-116.750979</v>
      </c>
      <c r="AO2878">
        <v>25</v>
      </c>
      <c r="AP2878">
        <v>3700</v>
      </c>
      <c r="AQ2878" t="s">
        <v>129</v>
      </c>
      <c r="AR2878">
        <v>41</v>
      </c>
      <c r="AS2878">
        <v>-129</v>
      </c>
      <c r="AT2878">
        <v>320</v>
      </c>
      <c r="BB2878">
        <v>1200</v>
      </c>
      <c r="BC2878">
        <v>1</v>
      </c>
      <c r="BD2878" t="str">
        <f t="shared" si="1024"/>
        <v xml:space="preserve">N887QR  </v>
      </c>
      <c r="BE2878">
        <v>1</v>
      </c>
      <c r="BJ2878">
        <v>3375</v>
      </c>
      <c r="BK2878">
        <v>-325</v>
      </c>
      <c r="BL2878" t="s">
        <v>163</v>
      </c>
      <c r="BM2878">
        <v>1</v>
      </c>
      <c r="BN2878">
        <v>1</v>
      </c>
      <c r="BO2878">
        <v>1</v>
      </c>
      <c r="BP2878">
        <v>0</v>
      </c>
      <c r="BS2878">
        <v>0</v>
      </c>
      <c r="BT2878">
        <v>0</v>
      </c>
      <c r="BU2878">
        <v>0</v>
      </c>
      <c r="CE2878" t="str">
        <f t="shared" si="1045"/>
        <v>19:33:15.904</v>
      </c>
      <c r="CF2878">
        <v>904142094</v>
      </c>
      <c r="CS2878">
        <v>0</v>
      </c>
      <c r="CT2878">
        <v>2</v>
      </c>
      <c r="CU2878">
        <v>0</v>
      </c>
      <c r="CV2878">
        <v>2</v>
      </c>
      <c r="CW2878">
        <v>0</v>
      </c>
      <c r="CX2878">
        <v>1</v>
      </c>
      <c r="CY2878">
        <v>7</v>
      </c>
      <c r="CZ2878" t="s">
        <v>131</v>
      </c>
      <c r="DA2878">
        <v>286</v>
      </c>
      <c r="DB2878">
        <v>0</v>
      </c>
      <c r="DC2878" t="s">
        <v>132</v>
      </c>
      <c r="DD2878" t="s">
        <v>133</v>
      </c>
      <c r="DG2878">
        <v>857084</v>
      </c>
      <c r="DI2878">
        <v>1</v>
      </c>
      <c r="DJ2878">
        <v>0</v>
      </c>
      <c r="DK2878">
        <v>1</v>
      </c>
      <c r="DL2878">
        <v>0</v>
      </c>
      <c r="DM2878">
        <v>0</v>
      </c>
      <c r="DN2878">
        <v>1</v>
      </c>
      <c r="DO2878">
        <v>0</v>
      </c>
      <c r="DP2878">
        <v>0</v>
      </c>
      <c r="DQ2878">
        <v>0</v>
      </c>
      <c r="DR2878">
        <v>0</v>
      </c>
      <c r="DS2878">
        <v>0</v>
      </c>
    </row>
    <row r="2879" spans="1:123" x14ac:dyDescent="0.3">
      <c r="A2879" t="str">
        <f>"10/04/2022 19:33:16.260"</f>
        <v>10/04/2022 19:33:16.260</v>
      </c>
      <c r="C2879" t="str">
        <f t="shared" si="1036"/>
        <v>FFDDD3C0</v>
      </c>
      <c r="D2879" t="s">
        <v>136</v>
      </c>
      <c r="E2879">
        <v>8</v>
      </c>
      <c r="H2879">
        <v>225</v>
      </c>
      <c r="I2879" t="s">
        <v>137</v>
      </c>
      <c r="J2879" t="s">
        <v>138</v>
      </c>
      <c r="K2879">
        <v>0</v>
      </c>
      <c r="L2879">
        <v>3</v>
      </c>
      <c r="M2879">
        <v>0</v>
      </c>
      <c r="N2879">
        <v>2</v>
      </c>
      <c r="O2879">
        <v>0</v>
      </c>
      <c r="P2879">
        <v>1</v>
      </c>
      <c r="Q2879">
        <v>0</v>
      </c>
      <c r="S2879" t="str">
        <f t="shared" si="1043"/>
        <v>19:33:15.000</v>
      </c>
      <c r="T2879" t="str">
        <f t="shared" si="1043"/>
        <v>19:33:15.000</v>
      </c>
      <c r="U2879" t="str">
        <f t="shared" si="1023"/>
        <v>AC3944</v>
      </c>
      <c r="V2879">
        <v>0</v>
      </c>
      <c r="W2879">
        <v>0</v>
      </c>
      <c r="X2879">
        <v>2</v>
      </c>
      <c r="Y2879">
        <v>0</v>
      </c>
      <c r="AA2879">
        <v>1</v>
      </c>
      <c r="AB2879">
        <v>8</v>
      </c>
      <c r="AC2879">
        <v>3</v>
      </c>
      <c r="AD2879">
        <v>0</v>
      </c>
      <c r="AE2879">
        <v>9</v>
      </c>
      <c r="AF2879" t="s">
        <v>138</v>
      </c>
      <c r="AG2879">
        <v>0</v>
      </c>
      <c r="AH2879">
        <v>3</v>
      </c>
      <c r="AI2879">
        <v>1</v>
      </c>
      <c r="AJ2879">
        <v>0</v>
      </c>
      <c r="AK2879" t="s">
        <v>972</v>
      </c>
      <c r="AL2879">
        <v>32.728636000000002</v>
      </c>
      <c r="AM2879" t="s">
        <v>973</v>
      </c>
      <c r="AN2879">
        <v>-116.750979</v>
      </c>
      <c r="AO2879">
        <v>25</v>
      </c>
      <c r="AP2879">
        <v>3700</v>
      </c>
      <c r="AQ2879" t="s">
        <v>129</v>
      </c>
      <c r="AR2879">
        <v>41</v>
      </c>
      <c r="AS2879">
        <v>-129</v>
      </c>
      <c r="AT2879">
        <v>320</v>
      </c>
      <c r="BB2879">
        <v>1200</v>
      </c>
      <c r="BC2879">
        <v>1</v>
      </c>
      <c r="BD2879" t="str">
        <f t="shared" si="1024"/>
        <v xml:space="preserve">N887QR  </v>
      </c>
      <c r="BE2879">
        <v>1</v>
      </c>
      <c r="BJ2879">
        <v>3375</v>
      </c>
      <c r="BK2879">
        <v>-325</v>
      </c>
      <c r="BL2879" t="s">
        <v>163</v>
      </c>
      <c r="BM2879">
        <v>1</v>
      </c>
      <c r="BN2879">
        <v>1</v>
      </c>
      <c r="BO2879">
        <v>1</v>
      </c>
      <c r="BP2879">
        <v>0</v>
      </c>
      <c r="BS2879">
        <v>0</v>
      </c>
      <c r="BT2879">
        <v>0</v>
      </c>
      <c r="BU2879">
        <v>0</v>
      </c>
      <c r="CE2879" t="str">
        <f t="shared" si="1045"/>
        <v>19:33:15.904</v>
      </c>
      <c r="CF2879">
        <v>904142094</v>
      </c>
      <c r="CS2879">
        <v>0</v>
      </c>
      <c r="CT2879">
        <v>2</v>
      </c>
      <c r="CU2879">
        <v>0</v>
      </c>
      <c r="CV2879">
        <v>2</v>
      </c>
      <c r="CW2879">
        <v>0</v>
      </c>
      <c r="CX2879">
        <v>1</v>
      </c>
      <c r="CY2879">
        <v>7</v>
      </c>
      <c r="CZ2879" t="s">
        <v>131</v>
      </c>
      <c r="DA2879">
        <v>286</v>
      </c>
      <c r="DB2879">
        <v>0</v>
      </c>
      <c r="DC2879" t="s">
        <v>132</v>
      </c>
      <c r="DD2879" t="s">
        <v>133</v>
      </c>
      <c r="DG2879">
        <v>857084</v>
      </c>
      <c r="DI2879">
        <v>1</v>
      </c>
      <c r="DJ2879">
        <v>0</v>
      </c>
      <c r="DK2879">
        <v>1</v>
      </c>
      <c r="DL2879">
        <v>0</v>
      </c>
      <c r="DM2879">
        <v>0</v>
      </c>
      <c r="DN2879">
        <v>1</v>
      </c>
      <c r="DO2879">
        <v>0</v>
      </c>
      <c r="DP2879">
        <v>0</v>
      </c>
      <c r="DQ2879">
        <v>0</v>
      </c>
      <c r="DR2879">
        <v>0</v>
      </c>
      <c r="DS2879">
        <v>0</v>
      </c>
    </row>
    <row r="2880" spans="1:123" x14ac:dyDescent="0.3">
      <c r="A2880" t="str">
        <f>"10/04/2022 19:33:16.291"</f>
        <v>10/04/2022 19:33:16.291</v>
      </c>
      <c r="C2880" t="str">
        <f t="shared" si="1036"/>
        <v>FFDDD3C0</v>
      </c>
      <c r="D2880" t="s">
        <v>141</v>
      </c>
      <c r="E2880">
        <v>4</v>
      </c>
      <c r="H2880">
        <v>4</v>
      </c>
      <c r="I2880" t="s">
        <v>142</v>
      </c>
      <c r="J2880" t="s">
        <v>138</v>
      </c>
      <c r="K2880">
        <v>0</v>
      </c>
      <c r="L2880">
        <v>3</v>
      </c>
      <c r="M2880">
        <v>0</v>
      </c>
      <c r="N2880">
        <v>2</v>
      </c>
      <c r="O2880">
        <v>0</v>
      </c>
      <c r="P2880">
        <v>1</v>
      </c>
      <c r="Q2880">
        <v>0</v>
      </c>
      <c r="S2880" t="str">
        <f t="shared" si="1043"/>
        <v>19:33:15.000</v>
      </c>
      <c r="T2880" t="str">
        <f t="shared" si="1043"/>
        <v>19:33:15.000</v>
      </c>
      <c r="U2880" t="str">
        <f t="shared" si="1023"/>
        <v>AC3944</v>
      </c>
      <c r="V2880">
        <v>0</v>
      </c>
      <c r="W2880">
        <v>0</v>
      </c>
      <c r="X2880">
        <v>2</v>
      </c>
      <c r="Y2880">
        <v>0</v>
      </c>
      <c r="AA2880">
        <v>1</v>
      </c>
      <c r="AB2880">
        <v>8</v>
      </c>
      <c r="AC2880">
        <v>3</v>
      </c>
      <c r="AD2880">
        <v>0</v>
      </c>
      <c r="AE2880">
        <v>9</v>
      </c>
      <c r="AF2880" t="s">
        <v>138</v>
      </c>
      <c r="AG2880">
        <v>0</v>
      </c>
      <c r="AH2880">
        <v>3</v>
      </c>
      <c r="AI2880">
        <v>1</v>
      </c>
      <c r="AJ2880">
        <v>0</v>
      </c>
      <c r="AK2880" t="s">
        <v>972</v>
      </c>
      <c r="AL2880">
        <v>32.728636000000002</v>
      </c>
      <c r="AM2880" t="s">
        <v>973</v>
      </c>
      <c r="AN2880">
        <v>-116.750979</v>
      </c>
      <c r="AO2880">
        <v>25</v>
      </c>
      <c r="AP2880">
        <v>3700</v>
      </c>
      <c r="AQ2880" t="s">
        <v>129</v>
      </c>
      <c r="AR2880">
        <v>41</v>
      </c>
      <c r="AS2880">
        <v>-129</v>
      </c>
      <c r="AT2880">
        <v>320</v>
      </c>
      <c r="BB2880">
        <v>1200</v>
      </c>
      <c r="BC2880">
        <v>1</v>
      </c>
      <c r="BD2880" t="str">
        <f t="shared" si="1024"/>
        <v xml:space="preserve">N887QR  </v>
      </c>
      <c r="BE2880">
        <v>1</v>
      </c>
      <c r="BJ2880">
        <v>3375</v>
      </c>
      <c r="BK2880">
        <v>-325</v>
      </c>
      <c r="BL2880" t="s">
        <v>163</v>
      </c>
      <c r="BM2880">
        <v>1</v>
      </c>
      <c r="BN2880">
        <v>1</v>
      </c>
      <c r="BO2880">
        <v>1</v>
      </c>
      <c r="BP2880">
        <v>0</v>
      </c>
      <c r="BS2880">
        <v>0</v>
      </c>
      <c r="BT2880">
        <v>0</v>
      </c>
      <c r="BU2880">
        <v>0</v>
      </c>
      <c r="CE2880" t="str">
        <f t="shared" si="1045"/>
        <v>19:33:15.904</v>
      </c>
      <c r="CF2880">
        <v>904142094</v>
      </c>
      <c r="CS2880">
        <v>0</v>
      </c>
      <c r="CT2880">
        <v>2</v>
      </c>
      <c r="CU2880">
        <v>0</v>
      </c>
      <c r="CV2880">
        <v>2</v>
      </c>
      <c r="CW2880">
        <v>0</v>
      </c>
      <c r="CX2880">
        <v>1</v>
      </c>
      <c r="CY2880">
        <v>7</v>
      </c>
      <c r="CZ2880" t="s">
        <v>131</v>
      </c>
      <c r="DA2880">
        <v>286</v>
      </c>
      <c r="DB2880">
        <v>0</v>
      </c>
      <c r="DC2880" t="s">
        <v>132</v>
      </c>
      <c r="DD2880" t="s">
        <v>133</v>
      </c>
      <c r="DG2880">
        <v>857084</v>
      </c>
      <c r="DI2880">
        <v>1</v>
      </c>
      <c r="DJ2880">
        <v>0</v>
      </c>
      <c r="DK2880">
        <v>1</v>
      </c>
      <c r="DL2880">
        <v>0</v>
      </c>
      <c r="DM2880">
        <v>0</v>
      </c>
      <c r="DN2880">
        <v>1</v>
      </c>
      <c r="DO2880">
        <v>0</v>
      </c>
      <c r="DP2880">
        <v>0</v>
      </c>
      <c r="DQ2880">
        <v>0</v>
      </c>
      <c r="DR2880">
        <v>0</v>
      </c>
      <c r="DS2880">
        <v>0</v>
      </c>
    </row>
    <row r="2881" spans="1:123" x14ac:dyDescent="0.3">
      <c r="A2881" t="str">
        <f>"10/04/2022 19:33:16.291"</f>
        <v>10/04/2022 19:33:16.291</v>
      </c>
      <c r="C2881" t="str">
        <f t="shared" si="1036"/>
        <v>FFDDD3C0</v>
      </c>
      <c r="D2881" t="s">
        <v>134</v>
      </c>
      <c r="E2881">
        <v>15</v>
      </c>
      <c r="J2881" t="s">
        <v>135</v>
      </c>
      <c r="K2881">
        <v>0</v>
      </c>
      <c r="L2881">
        <v>3</v>
      </c>
      <c r="M2881">
        <v>0</v>
      </c>
      <c r="N2881">
        <v>2</v>
      </c>
      <c r="O2881">
        <v>0</v>
      </c>
      <c r="P2881">
        <v>1</v>
      </c>
      <c r="Q2881">
        <v>0</v>
      </c>
      <c r="S2881" t="str">
        <f t="shared" si="1043"/>
        <v>19:33:15.000</v>
      </c>
      <c r="T2881" t="str">
        <f t="shared" si="1043"/>
        <v>19:33:15.000</v>
      </c>
      <c r="U2881" t="str">
        <f t="shared" si="1023"/>
        <v>AC3944</v>
      </c>
      <c r="V2881">
        <v>0</v>
      </c>
      <c r="W2881">
        <v>0</v>
      </c>
      <c r="X2881">
        <v>2</v>
      </c>
      <c r="Y2881">
        <v>0</v>
      </c>
      <c r="AA2881">
        <v>1</v>
      </c>
      <c r="AB2881">
        <v>8</v>
      </c>
      <c r="AC2881">
        <v>3</v>
      </c>
      <c r="AD2881">
        <v>0</v>
      </c>
      <c r="AE2881">
        <v>9</v>
      </c>
      <c r="AF2881" t="s">
        <v>138</v>
      </c>
      <c r="AG2881">
        <v>0</v>
      </c>
      <c r="AH2881">
        <v>3</v>
      </c>
      <c r="AI2881">
        <v>1</v>
      </c>
      <c r="AJ2881">
        <v>0</v>
      </c>
      <c r="AK2881" t="s">
        <v>972</v>
      </c>
      <c r="AL2881">
        <v>32.728636000000002</v>
      </c>
      <c r="AM2881" t="s">
        <v>973</v>
      </c>
      <c r="AN2881">
        <v>-116.750979</v>
      </c>
      <c r="AO2881">
        <v>25</v>
      </c>
      <c r="AP2881">
        <v>3700</v>
      </c>
      <c r="AQ2881" t="s">
        <v>129</v>
      </c>
      <c r="AR2881">
        <v>41</v>
      </c>
      <c r="AS2881">
        <v>-129</v>
      </c>
      <c r="AT2881">
        <v>320</v>
      </c>
      <c r="BB2881">
        <v>1200</v>
      </c>
      <c r="BC2881">
        <v>1</v>
      </c>
      <c r="BD2881" t="str">
        <f t="shared" si="1024"/>
        <v xml:space="preserve">N887QR  </v>
      </c>
      <c r="BE2881">
        <v>1</v>
      </c>
      <c r="BJ2881">
        <v>3375</v>
      </c>
      <c r="BK2881">
        <v>-325</v>
      </c>
      <c r="BL2881" t="s">
        <v>163</v>
      </c>
      <c r="BM2881">
        <v>1</v>
      </c>
      <c r="BN2881">
        <v>1</v>
      </c>
      <c r="BO2881">
        <v>1</v>
      </c>
      <c r="BP2881">
        <v>0</v>
      </c>
      <c r="BS2881">
        <v>0</v>
      </c>
      <c r="BT2881">
        <v>0</v>
      </c>
      <c r="BU2881">
        <v>0</v>
      </c>
      <c r="CE2881" t="str">
        <f t="shared" si="1045"/>
        <v>19:33:15.904</v>
      </c>
      <c r="CF2881">
        <v>904142094</v>
      </c>
      <c r="CS2881">
        <v>0</v>
      </c>
      <c r="CT2881">
        <v>2</v>
      </c>
      <c r="CU2881">
        <v>0</v>
      </c>
      <c r="CV2881">
        <v>2</v>
      </c>
      <c r="CW2881">
        <v>0</v>
      </c>
      <c r="CX2881">
        <v>1</v>
      </c>
      <c r="CY2881">
        <v>7</v>
      </c>
      <c r="CZ2881" t="s">
        <v>131</v>
      </c>
      <c r="DA2881">
        <v>286</v>
      </c>
      <c r="DB2881">
        <v>0</v>
      </c>
      <c r="DC2881" t="s">
        <v>132</v>
      </c>
      <c r="DD2881" t="s">
        <v>133</v>
      </c>
      <c r="DG2881">
        <v>857084</v>
      </c>
      <c r="DI2881">
        <v>1</v>
      </c>
      <c r="DJ2881">
        <v>0</v>
      </c>
      <c r="DK2881">
        <v>1</v>
      </c>
      <c r="DL2881">
        <v>0</v>
      </c>
      <c r="DM2881">
        <v>0</v>
      </c>
      <c r="DN2881">
        <v>1</v>
      </c>
      <c r="DO2881">
        <v>0</v>
      </c>
      <c r="DP2881">
        <v>0</v>
      </c>
      <c r="DQ2881">
        <v>0</v>
      </c>
      <c r="DR2881">
        <v>0</v>
      </c>
      <c r="DS2881">
        <v>0</v>
      </c>
    </row>
    <row r="2882" spans="1:123" x14ac:dyDescent="0.3">
      <c r="A2882" t="str">
        <f>"10/04/2022 19:33:16.338"</f>
        <v>10/04/2022 19:33:16.338</v>
      </c>
      <c r="C2882" t="str">
        <f t="shared" si="1036"/>
        <v>FFDDD3C0</v>
      </c>
      <c r="D2882" t="s">
        <v>143</v>
      </c>
      <c r="E2882">
        <v>20</v>
      </c>
      <c r="F2882">
        <v>1020</v>
      </c>
      <c r="G2882" t="s">
        <v>144</v>
      </c>
      <c r="J2882" t="s">
        <v>145</v>
      </c>
      <c r="K2882">
        <v>0</v>
      </c>
      <c r="L2882">
        <v>3</v>
      </c>
      <c r="M2882">
        <v>0</v>
      </c>
      <c r="N2882">
        <v>2</v>
      </c>
      <c r="O2882">
        <v>0</v>
      </c>
      <c r="P2882">
        <v>1</v>
      </c>
      <c r="Q2882">
        <v>0</v>
      </c>
      <c r="S2882" t="str">
        <f t="shared" si="1043"/>
        <v>19:33:15.000</v>
      </c>
      <c r="T2882" t="str">
        <f t="shared" si="1043"/>
        <v>19:33:15.000</v>
      </c>
      <c r="U2882" t="str">
        <f t="shared" ref="U2882:U2945" si="1046">"AC3944"</f>
        <v>AC3944</v>
      </c>
      <c r="V2882">
        <v>0</v>
      </c>
      <c r="W2882">
        <v>0</v>
      </c>
      <c r="X2882">
        <v>2</v>
      </c>
      <c r="Y2882">
        <v>0</v>
      </c>
      <c r="AA2882">
        <v>1</v>
      </c>
      <c r="AB2882">
        <v>8</v>
      </c>
      <c r="AC2882">
        <v>3</v>
      </c>
      <c r="AD2882">
        <v>0</v>
      </c>
      <c r="AE2882">
        <v>9</v>
      </c>
      <c r="AF2882" t="s">
        <v>138</v>
      </c>
      <c r="AG2882">
        <v>0</v>
      </c>
      <c r="AH2882">
        <v>3</v>
      </c>
      <c r="AI2882">
        <v>1</v>
      </c>
      <c r="AJ2882">
        <v>0</v>
      </c>
      <c r="AK2882" t="s">
        <v>972</v>
      </c>
      <c r="AL2882">
        <v>32.728636000000002</v>
      </c>
      <c r="AM2882" t="s">
        <v>973</v>
      </c>
      <c r="AN2882">
        <v>-116.750979</v>
      </c>
      <c r="AO2882">
        <v>25</v>
      </c>
      <c r="AP2882">
        <v>3700</v>
      </c>
      <c r="AQ2882" t="s">
        <v>129</v>
      </c>
      <c r="AR2882">
        <v>41</v>
      </c>
      <c r="AS2882">
        <v>-129</v>
      </c>
      <c r="AT2882">
        <v>320</v>
      </c>
      <c r="BB2882">
        <v>1200</v>
      </c>
      <c r="BC2882">
        <v>1</v>
      </c>
      <c r="BD2882" t="str">
        <f t="shared" ref="BD2882:BD2945" si="1047">"N887QR  "</f>
        <v xml:space="preserve">N887QR  </v>
      </c>
      <c r="BE2882">
        <v>1</v>
      </c>
      <c r="BJ2882">
        <v>3375</v>
      </c>
      <c r="BK2882">
        <v>-325</v>
      </c>
      <c r="BL2882" t="s">
        <v>163</v>
      </c>
      <c r="BM2882">
        <v>1</v>
      </c>
      <c r="BN2882">
        <v>1</v>
      </c>
      <c r="BO2882">
        <v>1</v>
      </c>
      <c r="BP2882">
        <v>0</v>
      </c>
      <c r="BS2882">
        <v>0</v>
      </c>
      <c r="BT2882">
        <v>0</v>
      </c>
      <c r="BU2882">
        <v>0</v>
      </c>
      <c r="CE2882" t="str">
        <f t="shared" si="1045"/>
        <v>19:33:15.904</v>
      </c>
      <c r="CF2882">
        <v>904142094</v>
      </c>
      <c r="CS2882">
        <v>0</v>
      </c>
      <c r="CT2882">
        <v>2</v>
      </c>
      <c r="CU2882">
        <v>0</v>
      </c>
      <c r="CV2882">
        <v>2</v>
      </c>
      <c r="CW2882">
        <v>0</v>
      </c>
      <c r="CX2882">
        <v>1</v>
      </c>
      <c r="CY2882">
        <v>7</v>
      </c>
      <c r="CZ2882" t="s">
        <v>131</v>
      </c>
      <c r="DA2882">
        <v>286</v>
      </c>
      <c r="DB2882">
        <v>0</v>
      </c>
      <c r="DC2882" t="s">
        <v>132</v>
      </c>
      <c r="DD2882" t="s">
        <v>133</v>
      </c>
      <c r="DG2882">
        <v>857084</v>
      </c>
      <c r="DI2882">
        <v>1</v>
      </c>
      <c r="DJ2882">
        <v>0</v>
      </c>
      <c r="DK2882">
        <v>1</v>
      </c>
      <c r="DL2882">
        <v>0</v>
      </c>
      <c r="DM2882">
        <v>0</v>
      </c>
      <c r="DN2882">
        <v>1</v>
      </c>
      <c r="DO2882">
        <v>0</v>
      </c>
      <c r="DP2882">
        <v>0</v>
      </c>
      <c r="DQ2882">
        <v>0</v>
      </c>
      <c r="DR2882">
        <v>0</v>
      </c>
      <c r="DS2882">
        <v>0</v>
      </c>
    </row>
    <row r="2883" spans="1:123" x14ac:dyDescent="0.3">
      <c r="A2883" t="str">
        <f>"10/04/2022 19:33:16.338"</f>
        <v>10/04/2022 19:33:16.338</v>
      </c>
      <c r="C2883" t="str">
        <f t="shared" si="1036"/>
        <v>FFDDD3C0</v>
      </c>
      <c r="D2883" t="s">
        <v>141</v>
      </c>
      <c r="E2883">
        <v>3</v>
      </c>
      <c r="H2883">
        <v>3</v>
      </c>
      <c r="I2883" t="s">
        <v>146</v>
      </c>
      <c r="J2883" t="s">
        <v>138</v>
      </c>
      <c r="K2883">
        <v>0</v>
      </c>
      <c r="L2883">
        <v>3</v>
      </c>
      <c r="M2883">
        <v>0</v>
      </c>
      <c r="N2883">
        <v>2</v>
      </c>
      <c r="O2883">
        <v>0</v>
      </c>
      <c r="P2883">
        <v>1</v>
      </c>
      <c r="Q2883">
        <v>0</v>
      </c>
      <c r="S2883" t="str">
        <f t="shared" si="1043"/>
        <v>19:33:15.000</v>
      </c>
      <c r="T2883" t="str">
        <f t="shared" si="1043"/>
        <v>19:33:15.000</v>
      </c>
      <c r="U2883" t="str">
        <f t="shared" si="1046"/>
        <v>AC3944</v>
      </c>
      <c r="V2883">
        <v>0</v>
      </c>
      <c r="W2883">
        <v>0</v>
      </c>
      <c r="X2883">
        <v>2</v>
      </c>
      <c r="Y2883">
        <v>0</v>
      </c>
      <c r="AA2883">
        <v>1</v>
      </c>
      <c r="AB2883">
        <v>8</v>
      </c>
      <c r="AC2883">
        <v>3</v>
      </c>
      <c r="AD2883">
        <v>0</v>
      </c>
      <c r="AE2883">
        <v>9</v>
      </c>
      <c r="AF2883" t="s">
        <v>138</v>
      </c>
      <c r="AG2883">
        <v>0</v>
      </c>
      <c r="AH2883">
        <v>3</v>
      </c>
      <c r="AI2883">
        <v>1</v>
      </c>
      <c r="AJ2883">
        <v>0</v>
      </c>
      <c r="AK2883" t="s">
        <v>972</v>
      </c>
      <c r="AL2883">
        <v>32.728636000000002</v>
      </c>
      <c r="AM2883" t="s">
        <v>973</v>
      </c>
      <c r="AN2883">
        <v>-116.750979</v>
      </c>
      <c r="AO2883">
        <v>25</v>
      </c>
      <c r="AP2883">
        <v>3700</v>
      </c>
      <c r="AQ2883" t="s">
        <v>129</v>
      </c>
      <c r="AR2883">
        <v>41</v>
      </c>
      <c r="AS2883">
        <v>-129</v>
      </c>
      <c r="AT2883">
        <v>320</v>
      </c>
      <c r="BB2883">
        <v>1200</v>
      </c>
      <c r="BC2883">
        <v>1</v>
      </c>
      <c r="BD2883" t="str">
        <f t="shared" si="1047"/>
        <v xml:space="preserve">N887QR  </v>
      </c>
      <c r="BE2883">
        <v>1</v>
      </c>
      <c r="BJ2883">
        <v>3375</v>
      </c>
      <c r="BK2883">
        <v>-325</v>
      </c>
      <c r="BL2883" t="s">
        <v>163</v>
      </c>
      <c r="BM2883">
        <v>1</v>
      </c>
      <c r="BN2883">
        <v>1</v>
      </c>
      <c r="BO2883">
        <v>1</v>
      </c>
      <c r="BP2883">
        <v>0</v>
      </c>
      <c r="BS2883">
        <v>0</v>
      </c>
      <c r="BT2883">
        <v>0</v>
      </c>
      <c r="BU2883">
        <v>0</v>
      </c>
      <c r="CE2883" t="str">
        <f t="shared" si="1045"/>
        <v>19:33:15.904</v>
      </c>
      <c r="CF2883">
        <v>904142094</v>
      </c>
      <c r="CS2883">
        <v>0</v>
      </c>
      <c r="CT2883">
        <v>2</v>
      </c>
      <c r="CU2883">
        <v>0</v>
      </c>
      <c r="CV2883">
        <v>2</v>
      </c>
      <c r="CW2883">
        <v>0</v>
      </c>
      <c r="CX2883">
        <v>1</v>
      </c>
      <c r="CY2883">
        <v>7</v>
      </c>
      <c r="CZ2883" t="s">
        <v>131</v>
      </c>
      <c r="DA2883">
        <v>286</v>
      </c>
      <c r="DB2883">
        <v>0</v>
      </c>
      <c r="DC2883" t="s">
        <v>132</v>
      </c>
      <c r="DD2883" t="s">
        <v>133</v>
      </c>
      <c r="DG2883">
        <v>857084</v>
      </c>
      <c r="DI2883">
        <v>1</v>
      </c>
      <c r="DJ2883">
        <v>0</v>
      </c>
      <c r="DK2883">
        <v>1</v>
      </c>
      <c r="DL2883">
        <v>0</v>
      </c>
      <c r="DM2883">
        <v>0</v>
      </c>
      <c r="DN2883">
        <v>1</v>
      </c>
      <c r="DO2883">
        <v>0</v>
      </c>
      <c r="DP2883">
        <v>0</v>
      </c>
      <c r="DQ2883">
        <v>0</v>
      </c>
      <c r="DR2883">
        <v>0</v>
      </c>
      <c r="DS2883">
        <v>0</v>
      </c>
    </row>
    <row r="2884" spans="1:123" x14ac:dyDescent="0.3">
      <c r="A2884" t="str">
        <f>"10/04/2022 19:33:17.526"</f>
        <v>10/04/2022 19:33:17.526</v>
      </c>
      <c r="C2884" t="str">
        <f t="shared" si="1036"/>
        <v>FFDDD3C0</v>
      </c>
      <c r="D2884" t="s">
        <v>136</v>
      </c>
      <c r="E2884">
        <v>8</v>
      </c>
      <c r="H2884">
        <v>225</v>
      </c>
      <c r="I2884" t="s">
        <v>137</v>
      </c>
      <c r="J2884" t="s">
        <v>138</v>
      </c>
      <c r="K2884">
        <v>0</v>
      </c>
      <c r="L2884">
        <v>3</v>
      </c>
      <c r="M2884">
        <v>0</v>
      </c>
      <c r="N2884">
        <v>2</v>
      </c>
      <c r="O2884">
        <v>0</v>
      </c>
      <c r="P2884">
        <v>1</v>
      </c>
      <c r="Q2884">
        <v>0</v>
      </c>
      <c r="S2884" t="str">
        <f t="shared" ref="S2884:T2890" si="1048">"19:33:17.000"</f>
        <v>19:33:17.000</v>
      </c>
      <c r="T2884" t="str">
        <f t="shared" si="1048"/>
        <v>19:33:17.000</v>
      </c>
      <c r="U2884" t="str">
        <f t="shared" si="1046"/>
        <v>AC3944</v>
      </c>
      <c r="V2884">
        <v>0</v>
      </c>
      <c r="W2884">
        <v>0</v>
      </c>
      <c r="X2884">
        <v>2</v>
      </c>
      <c r="Y2884">
        <v>0</v>
      </c>
      <c r="AA2884">
        <v>1</v>
      </c>
      <c r="AB2884">
        <v>8</v>
      </c>
      <c r="AC2884">
        <v>3</v>
      </c>
      <c r="AD2884">
        <v>0</v>
      </c>
      <c r="AE2884">
        <v>9</v>
      </c>
      <c r="AF2884" t="s">
        <v>138</v>
      </c>
      <c r="AG2884">
        <v>0</v>
      </c>
      <c r="AH2884">
        <v>3</v>
      </c>
      <c r="AI2884">
        <v>1</v>
      </c>
      <c r="AJ2884">
        <v>0</v>
      </c>
      <c r="AK2884" t="s">
        <v>974</v>
      </c>
      <c r="AL2884">
        <v>32.728034999999998</v>
      </c>
      <c r="AM2884" t="s">
        <v>975</v>
      </c>
      <c r="AN2884">
        <v>-116.750765</v>
      </c>
      <c r="AO2884">
        <v>25</v>
      </c>
      <c r="AP2884">
        <v>3700</v>
      </c>
      <c r="AQ2884" t="s">
        <v>129</v>
      </c>
      <c r="AR2884">
        <v>26</v>
      </c>
      <c r="AS2884">
        <v>-132</v>
      </c>
      <c r="AT2884">
        <v>320</v>
      </c>
      <c r="BB2884">
        <v>1200</v>
      </c>
      <c r="BC2884">
        <v>1</v>
      </c>
      <c r="BD2884" t="str">
        <f t="shared" si="1047"/>
        <v xml:space="preserve">N887QR  </v>
      </c>
      <c r="BE2884">
        <v>1</v>
      </c>
      <c r="BJ2884">
        <v>3400</v>
      </c>
      <c r="BK2884">
        <v>-300</v>
      </c>
      <c r="BL2884" t="s">
        <v>163</v>
      </c>
      <c r="BM2884">
        <v>1</v>
      </c>
      <c r="BN2884">
        <v>1</v>
      </c>
      <c r="BO2884">
        <v>1</v>
      </c>
      <c r="BP2884">
        <v>0</v>
      </c>
      <c r="BS2884">
        <v>0</v>
      </c>
      <c r="BT2884">
        <v>0</v>
      </c>
      <c r="BU2884">
        <v>0</v>
      </c>
      <c r="CE2884" t="str">
        <f t="shared" ref="CE2884:CE2890" si="1049">"19:33:17.285"</f>
        <v>19:33:17.285</v>
      </c>
      <c r="CF2884">
        <v>285463668</v>
      </c>
      <c r="CS2884">
        <v>0</v>
      </c>
      <c r="CT2884">
        <v>2</v>
      </c>
      <c r="CU2884">
        <v>0</v>
      </c>
      <c r="CV2884">
        <v>2</v>
      </c>
      <c r="CW2884">
        <v>0</v>
      </c>
      <c r="CX2884">
        <v>2</v>
      </c>
      <c r="CY2884">
        <v>7</v>
      </c>
      <c r="CZ2884" t="s">
        <v>131</v>
      </c>
      <c r="DA2884">
        <v>300</v>
      </c>
      <c r="DB2884">
        <v>0</v>
      </c>
      <c r="DC2884" t="s">
        <v>176</v>
      </c>
      <c r="DD2884" t="s">
        <v>177</v>
      </c>
      <c r="DG2884">
        <v>5424117</v>
      </c>
      <c r="DI2884">
        <v>1</v>
      </c>
      <c r="DJ2884">
        <v>0</v>
      </c>
      <c r="DK2884">
        <v>0</v>
      </c>
      <c r="DL2884">
        <v>0</v>
      </c>
      <c r="DM2884">
        <v>0</v>
      </c>
      <c r="DN2884">
        <v>1</v>
      </c>
      <c r="DO2884">
        <v>0</v>
      </c>
      <c r="DP2884">
        <v>0</v>
      </c>
      <c r="DQ2884">
        <v>0</v>
      </c>
      <c r="DR2884">
        <v>0</v>
      </c>
      <c r="DS2884">
        <v>0</v>
      </c>
    </row>
    <row r="2885" spans="1:123" x14ac:dyDescent="0.3">
      <c r="A2885" t="str">
        <f>"10/04/2022 19:33:17.526"</f>
        <v>10/04/2022 19:33:17.526</v>
      </c>
      <c r="C2885" t="str">
        <f t="shared" si="1036"/>
        <v>FFDDD3C0</v>
      </c>
      <c r="D2885" t="s">
        <v>141</v>
      </c>
      <c r="E2885">
        <v>4</v>
      </c>
      <c r="H2885">
        <v>4</v>
      </c>
      <c r="I2885" t="s">
        <v>142</v>
      </c>
      <c r="J2885" t="s">
        <v>138</v>
      </c>
      <c r="K2885">
        <v>0</v>
      </c>
      <c r="L2885">
        <v>3</v>
      </c>
      <c r="M2885">
        <v>0</v>
      </c>
      <c r="N2885">
        <v>2</v>
      </c>
      <c r="O2885">
        <v>0</v>
      </c>
      <c r="P2885">
        <v>1</v>
      </c>
      <c r="Q2885">
        <v>0</v>
      </c>
      <c r="S2885" t="str">
        <f t="shared" si="1048"/>
        <v>19:33:17.000</v>
      </c>
      <c r="T2885" t="str">
        <f t="shared" si="1048"/>
        <v>19:33:17.000</v>
      </c>
      <c r="U2885" t="str">
        <f t="shared" si="1046"/>
        <v>AC3944</v>
      </c>
      <c r="V2885">
        <v>0</v>
      </c>
      <c r="W2885">
        <v>0</v>
      </c>
      <c r="X2885">
        <v>2</v>
      </c>
      <c r="Y2885">
        <v>0</v>
      </c>
      <c r="AA2885">
        <v>1</v>
      </c>
      <c r="AB2885">
        <v>8</v>
      </c>
      <c r="AC2885">
        <v>3</v>
      </c>
      <c r="AD2885">
        <v>0</v>
      </c>
      <c r="AE2885">
        <v>9</v>
      </c>
      <c r="AF2885" t="s">
        <v>138</v>
      </c>
      <c r="AG2885">
        <v>0</v>
      </c>
      <c r="AH2885">
        <v>3</v>
      </c>
      <c r="AI2885">
        <v>1</v>
      </c>
      <c r="AJ2885">
        <v>0</v>
      </c>
      <c r="AK2885" t="s">
        <v>974</v>
      </c>
      <c r="AL2885">
        <v>32.728034999999998</v>
      </c>
      <c r="AM2885" t="s">
        <v>975</v>
      </c>
      <c r="AN2885">
        <v>-116.750765</v>
      </c>
      <c r="AO2885">
        <v>25</v>
      </c>
      <c r="AP2885">
        <v>3700</v>
      </c>
      <c r="AQ2885" t="s">
        <v>129</v>
      </c>
      <c r="AR2885">
        <v>26</v>
      </c>
      <c r="AS2885">
        <v>-132</v>
      </c>
      <c r="AT2885">
        <v>320</v>
      </c>
      <c r="BB2885">
        <v>1200</v>
      </c>
      <c r="BC2885">
        <v>1</v>
      </c>
      <c r="BD2885" t="str">
        <f t="shared" si="1047"/>
        <v xml:space="preserve">N887QR  </v>
      </c>
      <c r="BE2885">
        <v>1</v>
      </c>
      <c r="BJ2885">
        <v>3400</v>
      </c>
      <c r="BK2885">
        <v>-300</v>
      </c>
      <c r="BL2885" t="s">
        <v>163</v>
      </c>
      <c r="BM2885">
        <v>1</v>
      </c>
      <c r="BN2885">
        <v>1</v>
      </c>
      <c r="BO2885">
        <v>1</v>
      </c>
      <c r="BP2885">
        <v>0</v>
      </c>
      <c r="BS2885">
        <v>0</v>
      </c>
      <c r="BT2885">
        <v>0</v>
      </c>
      <c r="BU2885">
        <v>0</v>
      </c>
      <c r="CE2885" t="str">
        <f t="shared" si="1049"/>
        <v>19:33:17.285</v>
      </c>
      <c r="CF2885">
        <v>285463668</v>
      </c>
      <c r="CS2885">
        <v>0</v>
      </c>
      <c r="CT2885">
        <v>2</v>
      </c>
      <c r="CU2885">
        <v>0</v>
      </c>
      <c r="CV2885">
        <v>2</v>
      </c>
      <c r="CW2885">
        <v>0</v>
      </c>
      <c r="CX2885">
        <v>2</v>
      </c>
      <c r="CY2885">
        <v>7</v>
      </c>
      <c r="CZ2885" t="s">
        <v>131</v>
      </c>
      <c r="DA2885">
        <v>300</v>
      </c>
      <c r="DB2885">
        <v>0</v>
      </c>
      <c r="DC2885" t="s">
        <v>176</v>
      </c>
      <c r="DD2885" t="s">
        <v>177</v>
      </c>
      <c r="DG2885">
        <v>5424117</v>
      </c>
      <c r="DI2885">
        <v>1</v>
      </c>
      <c r="DJ2885">
        <v>0</v>
      </c>
      <c r="DK2885">
        <v>1</v>
      </c>
      <c r="DL2885">
        <v>0</v>
      </c>
      <c r="DM2885">
        <v>0</v>
      </c>
      <c r="DN2885">
        <v>1</v>
      </c>
      <c r="DO2885">
        <v>0</v>
      </c>
      <c r="DP2885">
        <v>0</v>
      </c>
      <c r="DQ2885">
        <v>0</v>
      </c>
      <c r="DR2885">
        <v>0</v>
      </c>
      <c r="DS2885">
        <v>0</v>
      </c>
    </row>
    <row r="2886" spans="1:123" x14ac:dyDescent="0.3">
      <c r="A2886" t="str">
        <f>"10/04/2022 19:33:17.619"</f>
        <v>10/04/2022 19:33:17.619</v>
      </c>
      <c r="C2886" t="str">
        <f t="shared" si="1036"/>
        <v>FFDDD3C0</v>
      </c>
      <c r="D2886" t="s">
        <v>143</v>
      </c>
      <c r="E2886">
        <v>20</v>
      </c>
      <c r="F2886">
        <v>1020</v>
      </c>
      <c r="G2886" t="s">
        <v>144</v>
      </c>
      <c r="J2886" t="s">
        <v>145</v>
      </c>
      <c r="K2886">
        <v>0</v>
      </c>
      <c r="L2886">
        <v>3</v>
      </c>
      <c r="M2886">
        <v>0</v>
      </c>
      <c r="N2886">
        <v>2</v>
      </c>
      <c r="O2886">
        <v>0</v>
      </c>
      <c r="P2886">
        <v>1</v>
      </c>
      <c r="Q2886">
        <v>0</v>
      </c>
      <c r="S2886" t="str">
        <f t="shared" si="1048"/>
        <v>19:33:17.000</v>
      </c>
      <c r="T2886" t="str">
        <f t="shared" si="1048"/>
        <v>19:33:17.000</v>
      </c>
      <c r="U2886" t="str">
        <f t="shared" si="1046"/>
        <v>AC3944</v>
      </c>
      <c r="V2886">
        <v>0</v>
      </c>
      <c r="W2886">
        <v>0</v>
      </c>
      <c r="X2886">
        <v>2</v>
      </c>
      <c r="Y2886">
        <v>0</v>
      </c>
      <c r="AA2886">
        <v>1</v>
      </c>
      <c r="AB2886">
        <v>8</v>
      </c>
      <c r="AC2886">
        <v>3</v>
      </c>
      <c r="AD2886">
        <v>0</v>
      </c>
      <c r="AE2886">
        <v>9</v>
      </c>
      <c r="AF2886" t="s">
        <v>138</v>
      </c>
      <c r="AG2886">
        <v>0</v>
      </c>
      <c r="AH2886">
        <v>3</v>
      </c>
      <c r="AI2886">
        <v>1</v>
      </c>
      <c r="AJ2886">
        <v>0</v>
      </c>
      <c r="AK2886" t="s">
        <v>974</v>
      </c>
      <c r="AL2886">
        <v>32.728034999999998</v>
      </c>
      <c r="AM2886" t="s">
        <v>975</v>
      </c>
      <c r="AN2886">
        <v>-116.750765</v>
      </c>
      <c r="AO2886">
        <v>25</v>
      </c>
      <c r="AP2886">
        <v>3700</v>
      </c>
      <c r="AQ2886" t="s">
        <v>129</v>
      </c>
      <c r="AR2886">
        <v>26</v>
      </c>
      <c r="AS2886">
        <v>-132</v>
      </c>
      <c r="AT2886">
        <v>320</v>
      </c>
      <c r="BB2886">
        <v>1200</v>
      </c>
      <c r="BC2886">
        <v>1</v>
      </c>
      <c r="BD2886" t="str">
        <f t="shared" si="1047"/>
        <v xml:space="preserve">N887QR  </v>
      </c>
      <c r="BE2886">
        <v>1</v>
      </c>
      <c r="BJ2886">
        <v>3400</v>
      </c>
      <c r="BK2886">
        <v>-300</v>
      </c>
      <c r="BL2886" t="s">
        <v>163</v>
      </c>
      <c r="BM2886">
        <v>1</v>
      </c>
      <c r="BN2886">
        <v>1</v>
      </c>
      <c r="BO2886">
        <v>1</v>
      </c>
      <c r="BP2886">
        <v>0</v>
      </c>
      <c r="BS2886">
        <v>0</v>
      </c>
      <c r="BT2886">
        <v>0</v>
      </c>
      <c r="BU2886">
        <v>0</v>
      </c>
      <c r="CE2886" t="str">
        <f t="shared" si="1049"/>
        <v>19:33:17.285</v>
      </c>
      <c r="CF2886">
        <v>285463668</v>
      </c>
      <c r="CS2886">
        <v>0</v>
      </c>
      <c r="CT2886">
        <v>2</v>
      </c>
      <c r="CU2886">
        <v>0</v>
      </c>
      <c r="CV2886">
        <v>2</v>
      </c>
      <c r="CW2886">
        <v>0</v>
      </c>
      <c r="CX2886">
        <v>2</v>
      </c>
      <c r="CY2886">
        <v>7</v>
      </c>
      <c r="CZ2886" t="s">
        <v>131</v>
      </c>
      <c r="DA2886">
        <v>300</v>
      </c>
      <c r="DB2886">
        <v>0</v>
      </c>
      <c r="DC2886" t="s">
        <v>176</v>
      </c>
      <c r="DD2886" t="s">
        <v>177</v>
      </c>
      <c r="DG2886">
        <v>5424117</v>
      </c>
      <c r="DI2886">
        <v>1</v>
      </c>
      <c r="DJ2886">
        <v>0</v>
      </c>
      <c r="DK2886">
        <v>1</v>
      </c>
      <c r="DL2886">
        <v>0</v>
      </c>
      <c r="DM2886">
        <v>0</v>
      </c>
      <c r="DN2886">
        <v>1</v>
      </c>
      <c r="DO2886">
        <v>0</v>
      </c>
      <c r="DP2886">
        <v>0</v>
      </c>
      <c r="DQ2886">
        <v>0</v>
      </c>
      <c r="DR2886">
        <v>0</v>
      </c>
      <c r="DS2886">
        <v>0</v>
      </c>
    </row>
    <row r="2887" spans="1:123" x14ac:dyDescent="0.3">
      <c r="A2887" t="str">
        <f>"10/04/2022 19:33:17.619"</f>
        <v>10/04/2022 19:33:17.619</v>
      </c>
      <c r="C2887" t="str">
        <f t="shared" si="1036"/>
        <v>FFDDD3C0</v>
      </c>
      <c r="D2887" t="s">
        <v>134</v>
      </c>
      <c r="E2887">
        <v>15</v>
      </c>
      <c r="J2887" t="s">
        <v>135</v>
      </c>
      <c r="K2887">
        <v>0</v>
      </c>
      <c r="L2887">
        <v>3</v>
      </c>
      <c r="M2887">
        <v>0</v>
      </c>
      <c r="N2887">
        <v>2</v>
      </c>
      <c r="O2887">
        <v>0</v>
      </c>
      <c r="P2887">
        <v>1</v>
      </c>
      <c r="Q2887">
        <v>0</v>
      </c>
      <c r="S2887" t="str">
        <f t="shared" si="1048"/>
        <v>19:33:17.000</v>
      </c>
      <c r="T2887" t="str">
        <f t="shared" si="1048"/>
        <v>19:33:17.000</v>
      </c>
      <c r="U2887" t="str">
        <f t="shared" si="1046"/>
        <v>AC3944</v>
      </c>
      <c r="V2887">
        <v>0</v>
      </c>
      <c r="W2887">
        <v>0</v>
      </c>
      <c r="X2887">
        <v>2</v>
      </c>
      <c r="Y2887">
        <v>0</v>
      </c>
      <c r="AA2887">
        <v>1</v>
      </c>
      <c r="AB2887">
        <v>8</v>
      </c>
      <c r="AC2887">
        <v>3</v>
      </c>
      <c r="AD2887">
        <v>0</v>
      </c>
      <c r="AE2887">
        <v>9</v>
      </c>
      <c r="AF2887" t="s">
        <v>138</v>
      </c>
      <c r="AG2887">
        <v>0</v>
      </c>
      <c r="AH2887">
        <v>3</v>
      </c>
      <c r="AI2887">
        <v>1</v>
      </c>
      <c r="AJ2887">
        <v>0</v>
      </c>
      <c r="AK2887" t="s">
        <v>974</v>
      </c>
      <c r="AL2887">
        <v>32.728034999999998</v>
      </c>
      <c r="AM2887" t="s">
        <v>975</v>
      </c>
      <c r="AN2887">
        <v>-116.750765</v>
      </c>
      <c r="AO2887">
        <v>25</v>
      </c>
      <c r="AP2887">
        <v>3700</v>
      </c>
      <c r="AQ2887" t="s">
        <v>129</v>
      </c>
      <c r="AR2887">
        <v>26</v>
      </c>
      <c r="AS2887">
        <v>-132</v>
      </c>
      <c r="AT2887">
        <v>320</v>
      </c>
      <c r="BB2887">
        <v>1200</v>
      </c>
      <c r="BC2887">
        <v>1</v>
      </c>
      <c r="BD2887" t="str">
        <f t="shared" si="1047"/>
        <v xml:space="preserve">N887QR  </v>
      </c>
      <c r="BE2887">
        <v>1</v>
      </c>
      <c r="BJ2887">
        <v>3400</v>
      </c>
      <c r="BK2887">
        <v>-300</v>
      </c>
      <c r="BL2887" t="s">
        <v>163</v>
      </c>
      <c r="BM2887">
        <v>1</v>
      </c>
      <c r="BN2887">
        <v>1</v>
      </c>
      <c r="BO2887">
        <v>1</v>
      </c>
      <c r="BP2887">
        <v>0</v>
      </c>
      <c r="BS2887">
        <v>0</v>
      </c>
      <c r="BT2887">
        <v>0</v>
      </c>
      <c r="BU2887">
        <v>0</v>
      </c>
      <c r="CE2887" t="str">
        <f t="shared" si="1049"/>
        <v>19:33:17.285</v>
      </c>
      <c r="CF2887">
        <v>285463668</v>
      </c>
      <c r="CS2887">
        <v>0</v>
      </c>
      <c r="CT2887">
        <v>2</v>
      </c>
      <c r="CU2887">
        <v>0</v>
      </c>
      <c r="CV2887">
        <v>2</v>
      </c>
      <c r="CW2887">
        <v>0</v>
      </c>
      <c r="CX2887">
        <v>2</v>
      </c>
      <c r="CY2887">
        <v>7</v>
      </c>
      <c r="CZ2887" t="s">
        <v>131</v>
      </c>
      <c r="DA2887">
        <v>300</v>
      </c>
      <c r="DB2887">
        <v>0</v>
      </c>
      <c r="DC2887" t="s">
        <v>176</v>
      </c>
      <c r="DD2887" t="s">
        <v>177</v>
      </c>
      <c r="DG2887">
        <v>5424117</v>
      </c>
      <c r="DI2887">
        <v>1</v>
      </c>
      <c r="DJ2887">
        <v>0</v>
      </c>
      <c r="DK2887">
        <v>1</v>
      </c>
      <c r="DL2887">
        <v>0</v>
      </c>
      <c r="DM2887">
        <v>0</v>
      </c>
      <c r="DN2887">
        <v>1</v>
      </c>
      <c r="DO2887">
        <v>0</v>
      </c>
      <c r="DP2887">
        <v>0</v>
      </c>
      <c r="DQ2887">
        <v>0</v>
      </c>
      <c r="DR2887">
        <v>0</v>
      </c>
      <c r="DS2887">
        <v>0</v>
      </c>
    </row>
    <row r="2888" spans="1:123" x14ac:dyDescent="0.3">
      <c r="A2888" t="str">
        <f>"10/04/2022 19:33:17.619"</f>
        <v>10/04/2022 19:33:17.619</v>
      </c>
      <c r="C2888" t="str">
        <f t="shared" si="1036"/>
        <v>FFDDD3C0</v>
      </c>
      <c r="D2888" t="s">
        <v>141</v>
      </c>
      <c r="E2888">
        <v>3</v>
      </c>
      <c r="H2888">
        <v>3</v>
      </c>
      <c r="I2888" t="s">
        <v>146</v>
      </c>
      <c r="J2888" t="s">
        <v>138</v>
      </c>
      <c r="K2888">
        <v>0</v>
      </c>
      <c r="L2888">
        <v>3</v>
      </c>
      <c r="M2888">
        <v>0</v>
      </c>
      <c r="N2888">
        <v>2</v>
      </c>
      <c r="O2888">
        <v>0</v>
      </c>
      <c r="P2888">
        <v>1</v>
      </c>
      <c r="Q2888">
        <v>0</v>
      </c>
      <c r="S2888" t="str">
        <f t="shared" si="1048"/>
        <v>19:33:17.000</v>
      </c>
      <c r="T2888" t="str">
        <f t="shared" si="1048"/>
        <v>19:33:17.000</v>
      </c>
      <c r="U2888" t="str">
        <f t="shared" si="1046"/>
        <v>AC3944</v>
      </c>
      <c r="V2888">
        <v>0</v>
      </c>
      <c r="W2888">
        <v>0</v>
      </c>
      <c r="X2888">
        <v>2</v>
      </c>
      <c r="Y2888">
        <v>0</v>
      </c>
      <c r="AA2888">
        <v>1</v>
      </c>
      <c r="AB2888">
        <v>8</v>
      </c>
      <c r="AC2888">
        <v>3</v>
      </c>
      <c r="AD2888">
        <v>0</v>
      </c>
      <c r="AE2888">
        <v>9</v>
      </c>
      <c r="AF2888" t="s">
        <v>138</v>
      </c>
      <c r="AG2888">
        <v>0</v>
      </c>
      <c r="AH2888">
        <v>3</v>
      </c>
      <c r="AI2888">
        <v>1</v>
      </c>
      <c r="AJ2888">
        <v>0</v>
      </c>
      <c r="AK2888" t="s">
        <v>974</v>
      </c>
      <c r="AL2888">
        <v>32.728034999999998</v>
      </c>
      <c r="AM2888" t="s">
        <v>975</v>
      </c>
      <c r="AN2888">
        <v>-116.750765</v>
      </c>
      <c r="AO2888">
        <v>25</v>
      </c>
      <c r="AP2888">
        <v>3700</v>
      </c>
      <c r="AQ2888" t="s">
        <v>129</v>
      </c>
      <c r="AR2888">
        <v>26</v>
      </c>
      <c r="AS2888">
        <v>-132</v>
      </c>
      <c r="AT2888">
        <v>320</v>
      </c>
      <c r="BB2888">
        <v>1200</v>
      </c>
      <c r="BC2888">
        <v>1</v>
      </c>
      <c r="BD2888" t="str">
        <f t="shared" si="1047"/>
        <v xml:space="preserve">N887QR  </v>
      </c>
      <c r="BE2888">
        <v>1</v>
      </c>
      <c r="BJ2888">
        <v>3400</v>
      </c>
      <c r="BK2888">
        <v>-300</v>
      </c>
      <c r="BL2888" t="s">
        <v>163</v>
      </c>
      <c r="BM2888">
        <v>1</v>
      </c>
      <c r="BN2888">
        <v>1</v>
      </c>
      <c r="BO2888">
        <v>1</v>
      </c>
      <c r="BP2888">
        <v>0</v>
      </c>
      <c r="BS2888">
        <v>0</v>
      </c>
      <c r="BT2888">
        <v>0</v>
      </c>
      <c r="BU2888">
        <v>0</v>
      </c>
      <c r="CE2888" t="str">
        <f t="shared" si="1049"/>
        <v>19:33:17.285</v>
      </c>
      <c r="CF2888">
        <v>285463668</v>
      </c>
      <c r="CS2888">
        <v>0</v>
      </c>
      <c r="CT2888">
        <v>2</v>
      </c>
      <c r="CU2888">
        <v>0</v>
      </c>
      <c r="CV2888">
        <v>2</v>
      </c>
      <c r="CW2888">
        <v>0</v>
      </c>
      <c r="CX2888">
        <v>2</v>
      </c>
      <c r="CY2888">
        <v>7</v>
      </c>
      <c r="CZ2888" t="s">
        <v>131</v>
      </c>
      <c r="DA2888">
        <v>300</v>
      </c>
      <c r="DB2888">
        <v>0</v>
      </c>
      <c r="DC2888" t="s">
        <v>176</v>
      </c>
      <c r="DD2888" t="s">
        <v>177</v>
      </c>
      <c r="DG2888">
        <v>5424117</v>
      </c>
      <c r="DI2888">
        <v>1</v>
      </c>
      <c r="DJ2888">
        <v>0</v>
      </c>
      <c r="DK2888">
        <v>1</v>
      </c>
      <c r="DL2888">
        <v>0</v>
      </c>
      <c r="DM2888">
        <v>0</v>
      </c>
      <c r="DN2888">
        <v>1</v>
      </c>
      <c r="DO2888">
        <v>0</v>
      </c>
      <c r="DP2888">
        <v>0</v>
      </c>
      <c r="DQ2888">
        <v>0</v>
      </c>
      <c r="DR2888">
        <v>0</v>
      </c>
      <c r="DS2888">
        <v>0</v>
      </c>
    </row>
    <row r="2889" spans="1:123" x14ac:dyDescent="0.3">
      <c r="A2889" t="str">
        <f>"10/04/2022 19:33:17.619"</f>
        <v>10/04/2022 19:33:17.619</v>
      </c>
      <c r="C2889" t="str">
        <f t="shared" si="1036"/>
        <v>FFDDD3C0</v>
      </c>
      <c r="D2889" t="s">
        <v>123</v>
      </c>
      <c r="E2889">
        <v>7</v>
      </c>
      <c r="F2889">
        <v>2007</v>
      </c>
      <c r="G2889" t="s">
        <v>124</v>
      </c>
      <c r="J2889" t="s">
        <v>125</v>
      </c>
      <c r="K2889">
        <v>0</v>
      </c>
      <c r="L2889">
        <v>3</v>
      </c>
      <c r="M2889">
        <v>0</v>
      </c>
      <c r="N2889">
        <v>2</v>
      </c>
      <c r="O2889">
        <v>0</v>
      </c>
      <c r="P2889">
        <v>1</v>
      </c>
      <c r="Q2889">
        <v>0</v>
      </c>
      <c r="S2889" t="str">
        <f t="shared" si="1048"/>
        <v>19:33:17.000</v>
      </c>
      <c r="T2889" t="str">
        <f t="shared" si="1048"/>
        <v>19:33:17.000</v>
      </c>
      <c r="U2889" t="str">
        <f t="shared" si="1046"/>
        <v>AC3944</v>
      </c>
      <c r="V2889">
        <v>0</v>
      </c>
      <c r="W2889">
        <v>0</v>
      </c>
      <c r="X2889">
        <v>2</v>
      </c>
      <c r="Y2889">
        <v>0</v>
      </c>
      <c r="AA2889">
        <v>1</v>
      </c>
      <c r="AB2889">
        <v>8</v>
      </c>
      <c r="AC2889">
        <v>3</v>
      </c>
      <c r="AD2889">
        <v>0</v>
      </c>
      <c r="AE2889">
        <v>9</v>
      </c>
      <c r="AF2889" t="s">
        <v>138</v>
      </c>
      <c r="AG2889">
        <v>0</v>
      </c>
      <c r="AH2889">
        <v>3</v>
      </c>
      <c r="AI2889">
        <v>1</v>
      </c>
      <c r="AJ2889">
        <v>0</v>
      </c>
      <c r="AK2889" t="s">
        <v>974</v>
      </c>
      <c r="AL2889">
        <v>32.728034999999998</v>
      </c>
      <c r="AM2889" t="s">
        <v>975</v>
      </c>
      <c r="AN2889">
        <v>-116.750765</v>
      </c>
      <c r="AO2889">
        <v>25</v>
      </c>
      <c r="AP2889">
        <v>3700</v>
      </c>
      <c r="AQ2889" t="s">
        <v>129</v>
      </c>
      <c r="AR2889">
        <v>26</v>
      </c>
      <c r="AS2889">
        <v>-132</v>
      </c>
      <c r="AT2889">
        <v>320</v>
      </c>
      <c r="BB2889">
        <v>1200</v>
      </c>
      <c r="BC2889">
        <v>1</v>
      </c>
      <c r="BD2889" t="str">
        <f t="shared" si="1047"/>
        <v xml:space="preserve">N887QR  </v>
      </c>
      <c r="BE2889">
        <v>1</v>
      </c>
      <c r="BJ2889">
        <v>3400</v>
      </c>
      <c r="BK2889">
        <v>-300</v>
      </c>
      <c r="BL2889" t="s">
        <v>163</v>
      </c>
      <c r="BM2889">
        <v>1</v>
      </c>
      <c r="BN2889">
        <v>1</v>
      </c>
      <c r="BO2889">
        <v>1</v>
      </c>
      <c r="BP2889">
        <v>0</v>
      </c>
      <c r="BS2889">
        <v>0</v>
      </c>
      <c r="BT2889">
        <v>0</v>
      </c>
      <c r="BU2889">
        <v>0</v>
      </c>
      <c r="CE2889" t="str">
        <f t="shared" si="1049"/>
        <v>19:33:17.285</v>
      </c>
      <c r="CF2889">
        <v>285463668</v>
      </c>
      <c r="CS2889">
        <v>0</v>
      </c>
      <c r="CT2889">
        <v>2</v>
      </c>
      <c r="CU2889">
        <v>0</v>
      </c>
      <c r="CV2889">
        <v>2</v>
      </c>
      <c r="CW2889">
        <v>0</v>
      </c>
      <c r="CX2889">
        <v>2</v>
      </c>
      <c r="CY2889">
        <v>7</v>
      </c>
      <c r="CZ2889" t="s">
        <v>131</v>
      </c>
      <c r="DA2889">
        <v>300</v>
      </c>
      <c r="DB2889">
        <v>0</v>
      </c>
      <c r="DC2889" t="s">
        <v>176</v>
      </c>
      <c r="DD2889" t="s">
        <v>177</v>
      </c>
      <c r="DG2889">
        <v>5424117</v>
      </c>
      <c r="DI2889">
        <v>1</v>
      </c>
      <c r="DJ2889">
        <v>0</v>
      </c>
      <c r="DK2889">
        <v>1</v>
      </c>
      <c r="DL2889">
        <v>0</v>
      </c>
      <c r="DM2889">
        <v>0</v>
      </c>
      <c r="DN2889">
        <v>1</v>
      </c>
      <c r="DO2889">
        <v>0</v>
      </c>
      <c r="DP2889">
        <v>0</v>
      </c>
      <c r="DQ2889">
        <v>0</v>
      </c>
      <c r="DR2889">
        <v>0</v>
      </c>
      <c r="DS2889">
        <v>0</v>
      </c>
    </row>
    <row r="2890" spans="1:123" x14ac:dyDescent="0.3">
      <c r="A2890" t="str">
        <f>"10/04/2022 19:33:17.619"</f>
        <v>10/04/2022 19:33:17.619</v>
      </c>
      <c r="C2890" t="str">
        <f t="shared" si="1036"/>
        <v>FFDDD3C0</v>
      </c>
      <c r="D2890" t="s">
        <v>147</v>
      </c>
      <c r="E2890">
        <v>3</v>
      </c>
      <c r="H2890">
        <v>166</v>
      </c>
      <c r="I2890" t="s">
        <v>144</v>
      </c>
      <c r="J2890" t="s">
        <v>148</v>
      </c>
      <c r="K2890">
        <v>0</v>
      </c>
      <c r="L2890">
        <v>3</v>
      </c>
      <c r="M2890">
        <v>0</v>
      </c>
      <c r="N2890">
        <v>2</v>
      </c>
      <c r="O2890">
        <v>0</v>
      </c>
      <c r="P2890">
        <v>1</v>
      </c>
      <c r="Q2890">
        <v>0</v>
      </c>
      <c r="S2890" t="str">
        <f t="shared" si="1048"/>
        <v>19:33:17.000</v>
      </c>
      <c r="T2890" t="str">
        <f t="shared" si="1048"/>
        <v>19:33:17.000</v>
      </c>
      <c r="U2890" t="str">
        <f t="shared" si="1046"/>
        <v>AC3944</v>
      </c>
      <c r="V2890">
        <v>0</v>
      </c>
      <c r="W2890">
        <v>0</v>
      </c>
      <c r="X2890">
        <v>2</v>
      </c>
      <c r="Y2890">
        <v>0</v>
      </c>
      <c r="AA2890">
        <v>1</v>
      </c>
      <c r="AB2890">
        <v>8</v>
      </c>
      <c r="AC2890">
        <v>3</v>
      </c>
      <c r="AD2890">
        <v>0</v>
      </c>
      <c r="AE2890">
        <v>9</v>
      </c>
      <c r="AF2890" t="s">
        <v>138</v>
      </c>
      <c r="AG2890">
        <v>0</v>
      </c>
      <c r="AH2890">
        <v>3</v>
      </c>
      <c r="AI2890">
        <v>1</v>
      </c>
      <c r="AJ2890">
        <v>0</v>
      </c>
      <c r="AK2890" t="s">
        <v>974</v>
      </c>
      <c r="AL2890">
        <v>32.728034999999998</v>
      </c>
      <c r="AM2890" t="s">
        <v>975</v>
      </c>
      <c r="AN2890">
        <v>-116.750765</v>
      </c>
      <c r="AO2890">
        <v>25</v>
      </c>
      <c r="AP2890">
        <v>3700</v>
      </c>
      <c r="AQ2890" t="s">
        <v>129</v>
      </c>
      <c r="AR2890">
        <v>26</v>
      </c>
      <c r="AS2890">
        <v>-132</v>
      </c>
      <c r="AT2890">
        <v>320</v>
      </c>
      <c r="BB2890">
        <v>1200</v>
      </c>
      <c r="BC2890">
        <v>1</v>
      </c>
      <c r="BD2890" t="str">
        <f t="shared" si="1047"/>
        <v xml:space="preserve">N887QR  </v>
      </c>
      <c r="BE2890">
        <v>1</v>
      </c>
      <c r="BJ2890">
        <v>3400</v>
      </c>
      <c r="BK2890">
        <v>-300</v>
      </c>
      <c r="BL2890" t="s">
        <v>163</v>
      </c>
      <c r="BM2890">
        <v>1</v>
      </c>
      <c r="BN2890">
        <v>1</v>
      </c>
      <c r="BO2890">
        <v>1</v>
      </c>
      <c r="BP2890">
        <v>0</v>
      </c>
      <c r="BS2890">
        <v>0</v>
      </c>
      <c r="BT2890">
        <v>0</v>
      </c>
      <c r="BU2890">
        <v>0</v>
      </c>
      <c r="CE2890" t="str">
        <f t="shared" si="1049"/>
        <v>19:33:17.285</v>
      </c>
      <c r="CF2890">
        <v>285463668</v>
      </c>
      <c r="CS2890">
        <v>0</v>
      </c>
      <c r="CT2890">
        <v>2</v>
      </c>
      <c r="CU2890">
        <v>0</v>
      </c>
      <c r="CV2890">
        <v>2</v>
      </c>
      <c r="CW2890">
        <v>0</v>
      </c>
      <c r="CX2890">
        <v>2</v>
      </c>
      <c r="CY2890">
        <v>7</v>
      </c>
      <c r="CZ2890" t="s">
        <v>131</v>
      </c>
      <c r="DA2890">
        <v>300</v>
      </c>
      <c r="DB2890">
        <v>0</v>
      </c>
      <c r="DC2890" t="s">
        <v>176</v>
      </c>
      <c r="DD2890" t="s">
        <v>177</v>
      </c>
      <c r="DG2890">
        <v>5424117</v>
      </c>
      <c r="DI2890">
        <v>1</v>
      </c>
      <c r="DJ2890">
        <v>0</v>
      </c>
      <c r="DK2890">
        <v>1</v>
      </c>
      <c r="DL2890">
        <v>0</v>
      </c>
      <c r="DM2890">
        <v>0</v>
      </c>
      <c r="DN2890">
        <v>1</v>
      </c>
      <c r="DO2890">
        <v>0</v>
      </c>
      <c r="DP2890">
        <v>0</v>
      </c>
      <c r="DQ2890">
        <v>0</v>
      </c>
      <c r="DR2890">
        <v>0</v>
      </c>
      <c r="DS2890">
        <v>0</v>
      </c>
    </row>
    <row r="2891" spans="1:123" x14ac:dyDescent="0.3">
      <c r="A2891" t="str">
        <f>"10/04/2022 19:33:18.604"</f>
        <v>10/04/2022 19:33:18.604</v>
      </c>
      <c r="C2891" t="str">
        <f t="shared" si="1036"/>
        <v>FFDDD3C0</v>
      </c>
      <c r="D2891" t="s">
        <v>143</v>
      </c>
      <c r="E2891">
        <v>20</v>
      </c>
      <c r="F2891">
        <v>1020</v>
      </c>
      <c r="G2891" t="s">
        <v>144</v>
      </c>
      <c r="J2891" t="s">
        <v>145</v>
      </c>
      <c r="K2891">
        <v>0</v>
      </c>
      <c r="L2891">
        <v>3</v>
      </c>
      <c r="M2891">
        <v>0</v>
      </c>
      <c r="N2891">
        <v>2</v>
      </c>
      <c r="O2891">
        <v>0</v>
      </c>
      <c r="P2891">
        <v>1</v>
      </c>
      <c r="Q2891">
        <v>0</v>
      </c>
      <c r="S2891" t="str">
        <f t="shared" ref="S2891:T2897" si="1050">"19:33:18.000"</f>
        <v>19:33:18.000</v>
      </c>
      <c r="T2891" t="str">
        <f t="shared" si="1050"/>
        <v>19:33:18.000</v>
      </c>
      <c r="U2891" t="str">
        <f t="shared" si="1046"/>
        <v>AC3944</v>
      </c>
      <c r="V2891">
        <v>0</v>
      </c>
      <c r="W2891">
        <v>0</v>
      </c>
      <c r="X2891">
        <v>2</v>
      </c>
      <c r="Y2891">
        <v>0</v>
      </c>
      <c r="AA2891">
        <v>1</v>
      </c>
      <c r="AB2891">
        <v>8</v>
      </c>
      <c r="AC2891">
        <v>3</v>
      </c>
      <c r="AD2891">
        <v>0</v>
      </c>
      <c r="AE2891">
        <v>9</v>
      </c>
      <c r="AF2891" t="s">
        <v>138</v>
      </c>
      <c r="AG2891">
        <v>0</v>
      </c>
      <c r="AH2891">
        <v>3</v>
      </c>
      <c r="AI2891">
        <v>1</v>
      </c>
      <c r="AJ2891">
        <v>0</v>
      </c>
      <c r="AK2891" t="s">
        <v>976</v>
      </c>
      <c r="AL2891">
        <v>32.727412999999999</v>
      </c>
      <c r="AM2891" t="s">
        <v>977</v>
      </c>
      <c r="AN2891">
        <v>-116.75059299999999</v>
      </c>
      <c r="AO2891">
        <v>25</v>
      </c>
      <c r="AP2891">
        <v>3700</v>
      </c>
      <c r="AQ2891" t="s">
        <v>129</v>
      </c>
      <c r="AR2891">
        <v>11</v>
      </c>
      <c r="AS2891">
        <v>-133</v>
      </c>
      <c r="AT2891">
        <v>256</v>
      </c>
      <c r="BB2891">
        <v>1200</v>
      </c>
      <c r="BC2891">
        <v>1</v>
      </c>
      <c r="BD2891" t="str">
        <f t="shared" si="1047"/>
        <v xml:space="preserve">N887QR  </v>
      </c>
      <c r="BE2891">
        <v>1</v>
      </c>
      <c r="BJ2891">
        <v>3400</v>
      </c>
      <c r="BK2891">
        <v>-300</v>
      </c>
      <c r="BL2891" t="s">
        <v>163</v>
      </c>
      <c r="BM2891">
        <v>1</v>
      </c>
      <c r="BN2891">
        <v>1</v>
      </c>
      <c r="BO2891">
        <v>1</v>
      </c>
      <c r="BP2891">
        <v>0</v>
      </c>
      <c r="BS2891">
        <v>0</v>
      </c>
      <c r="BT2891">
        <v>0</v>
      </c>
      <c r="BU2891">
        <v>0</v>
      </c>
      <c r="CE2891" t="str">
        <f t="shared" ref="CE2891:CE2897" si="1051">"19:33:18.338"</f>
        <v>19:33:18.338</v>
      </c>
      <c r="CF2891">
        <v>338399371</v>
      </c>
      <c r="CS2891">
        <v>0</v>
      </c>
      <c r="CT2891">
        <v>2</v>
      </c>
      <c r="CU2891">
        <v>0</v>
      </c>
      <c r="CV2891">
        <v>2</v>
      </c>
      <c r="CW2891">
        <v>0</v>
      </c>
      <c r="CX2891">
        <v>3</v>
      </c>
      <c r="CY2891">
        <v>7</v>
      </c>
      <c r="CZ2891" t="s">
        <v>131</v>
      </c>
      <c r="DA2891">
        <v>286</v>
      </c>
      <c r="DB2891">
        <v>0</v>
      </c>
      <c r="DC2891" t="s">
        <v>132</v>
      </c>
      <c r="DD2891" t="s">
        <v>133</v>
      </c>
      <c r="DG2891">
        <v>857577</v>
      </c>
      <c r="DI2891">
        <v>1</v>
      </c>
      <c r="DJ2891">
        <v>0</v>
      </c>
      <c r="DK2891">
        <v>0</v>
      </c>
      <c r="DL2891">
        <v>0</v>
      </c>
      <c r="DM2891">
        <v>0</v>
      </c>
      <c r="DN2891">
        <v>1</v>
      </c>
      <c r="DO2891">
        <v>0</v>
      </c>
      <c r="DP2891">
        <v>0</v>
      </c>
      <c r="DQ2891">
        <v>0</v>
      </c>
      <c r="DR2891">
        <v>0</v>
      </c>
      <c r="DS2891">
        <v>0</v>
      </c>
    </row>
    <row r="2892" spans="1:123" x14ac:dyDescent="0.3">
      <c r="A2892" t="str">
        <f>"10/04/2022 19:33:18.604"</f>
        <v>10/04/2022 19:33:18.604</v>
      </c>
      <c r="C2892" t="str">
        <f t="shared" si="1036"/>
        <v>FFDDD3C0</v>
      </c>
      <c r="D2892" t="s">
        <v>134</v>
      </c>
      <c r="E2892">
        <v>15</v>
      </c>
      <c r="J2892" t="s">
        <v>135</v>
      </c>
      <c r="K2892">
        <v>0</v>
      </c>
      <c r="L2892">
        <v>3</v>
      </c>
      <c r="M2892">
        <v>0</v>
      </c>
      <c r="N2892">
        <v>2</v>
      </c>
      <c r="O2892">
        <v>0</v>
      </c>
      <c r="P2892">
        <v>1</v>
      </c>
      <c r="Q2892">
        <v>0</v>
      </c>
      <c r="S2892" t="str">
        <f t="shared" si="1050"/>
        <v>19:33:18.000</v>
      </c>
      <c r="T2892" t="str">
        <f t="shared" si="1050"/>
        <v>19:33:18.000</v>
      </c>
      <c r="U2892" t="str">
        <f t="shared" si="1046"/>
        <v>AC3944</v>
      </c>
      <c r="V2892">
        <v>0</v>
      </c>
      <c r="W2892">
        <v>0</v>
      </c>
      <c r="X2892">
        <v>2</v>
      </c>
      <c r="Y2892">
        <v>0</v>
      </c>
      <c r="AA2892">
        <v>1</v>
      </c>
      <c r="AB2892">
        <v>8</v>
      </c>
      <c r="AC2892">
        <v>3</v>
      </c>
      <c r="AD2892">
        <v>0</v>
      </c>
      <c r="AE2892">
        <v>9</v>
      </c>
      <c r="AF2892" t="s">
        <v>138</v>
      </c>
      <c r="AG2892">
        <v>0</v>
      </c>
      <c r="AH2892">
        <v>3</v>
      </c>
      <c r="AI2892">
        <v>1</v>
      </c>
      <c r="AJ2892">
        <v>0</v>
      </c>
      <c r="AK2892" t="s">
        <v>976</v>
      </c>
      <c r="AL2892">
        <v>32.727412999999999</v>
      </c>
      <c r="AM2892" t="s">
        <v>977</v>
      </c>
      <c r="AN2892">
        <v>-116.75059299999999</v>
      </c>
      <c r="AO2892">
        <v>25</v>
      </c>
      <c r="AP2892">
        <v>3700</v>
      </c>
      <c r="AQ2892" t="s">
        <v>129</v>
      </c>
      <c r="AR2892">
        <v>11</v>
      </c>
      <c r="AS2892">
        <v>-133</v>
      </c>
      <c r="AT2892">
        <v>256</v>
      </c>
      <c r="BB2892">
        <v>1200</v>
      </c>
      <c r="BC2892">
        <v>1</v>
      </c>
      <c r="BD2892" t="str">
        <f t="shared" si="1047"/>
        <v xml:space="preserve">N887QR  </v>
      </c>
      <c r="BE2892">
        <v>1</v>
      </c>
      <c r="BJ2892">
        <v>3400</v>
      </c>
      <c r="BK2892">
        <v>-300</v>
      </c>
      <c r="BL2892" t="s">
        <v>163</v>
      </c>
      <c r="BM2892">
        <v>1</v>
      </c>
      <c r="BN2892">
        <v>1</v>
      </c>
      <c r="BO2892">
        <v>1</v>
      </c>
      <c r="BP2892">
        <v>0</v>
      </c>
      <c r="BS2892">
        <v>0</v>
      </c>
      <c r="BT2892">
        <v>0</v>
      </c>
      <c r="BU2892">
        <v>0</v>
      </c>
      <c r="CE2892" t="str">
        <f t="shared" si="1051"/>
        <v>19:33:18.338</v>
      </c>
      <c r="CF2892">
        <v>338399371</v>
      </c>
      <c r="CS2892">
        <v>0</v>
      </c>
      <c r="CT2892">
        <v>2</v>
      </c>
      <c r="CU2892">
        <v>0</v>
      </c>
      <c r="CV2892">
        <v>2</v>
      </c>
      <c r="CW2892">
        <v>0</v>
      </c>
      <c r="CX2892">
        <v>3</v>
      </c>
      <c r="CY2892">
        <v>7</v>
      </c>
      <c r="CZ2892" t="s">
        <v>131</v>
      </c>
      <c r="DA2892">
        <v>286</v>
      </c>
      <c r="DB2892">
        <v>0</v>
      </c>
      <c r="DC2892" t="s">
        <v>132</v>
      </c>
      <c r="DD2892" t="s">
        <v>133</v>
      </c>
      <c r="DG2892">
        <v>857577</v>
      </c>
      <c r="DI2892">
        <v>1</v>
      </c>
      <c r="DJ2892">
        <v>0</v>
      </c>
      <c r="DK2892">
        <v>1</v>
      </c>
      <c r="DL2892">
        <v>0</v>
      </c>
      <c r="DM2892">
        <v>0</v>
      </c>
      <c r="DN2892">
        <v>1</v>
      </c>
      <c r="DO2892">
        <v>0</v>
      </c>
      <c r="DP2892">
        <v>0</v>
      </c>
      <c r="DQ2892">
        <v>0</v>
      </c>
      <c r="DR2892">
        <v>0</v>
      </c>
      <c r="DS2892">
        <v>0</v>
      </c>
    </row>
    <row r="2893" spans="1:123" x14ac:dyDescent="0.3">
      <c r="A2893" t="str">
        <f>"10/04/2022 19:33:18.619"</f>
        <v>10/04/2022 19:33:18.619</v>
      </c>
      <c r="C2893" t="str">
        <f t="shared" si="1036"/>
        <v>FFDDD3C0</v>
      </c>
      <c r="D2893" t="s">
        <v>123</v>
      </c>
      <c r="E2893">
        <v>7</v>
      </c>
      <c r="F2893">
        <v>2007</v>
      </c>
      <c r="G2893" t="s">
        <v>124</v>
      </c>
      <c r="J2893" t="s">
        <v>125</v>
      </c>
      <c r="K2893">
        <v>0</v>
      </c>
      <c r="L2893">
        <v>3</v>
      </c>
      <c r="M2893">
        <v>0</v>
      </c>
      <c r="N2893">
        <v>2</v>
      </c>
      <c r="O2893">
        <v>0</v>
      </c>
      <c r="P2893">
        <v>1</v>
      </c>
      <c r="Q2893">
        <v>0</v>
      </c>
      <c r="S2893" t="str">
        <f t="shared" si="1050"/>
        <v>19:33:18.000</v>
      </c>
      <c r="T2893" t="str">
        <f t="shared" si="1050"/>
        <v>19:33:18.000</v>
      </c>
      <c r="U2893" t="str">
        <f t="shared" si="1046"/>
        <v>AC3944</v>
      </c>
      <c r="V2893">
        <v>0</v>
      </c>
      <c r="W2893">
        <v>0</v>
      </c>
      <c r="X2893">
        <v>2</v>
      </c>
      <c r="Y2893">
        <v>0</v>
      </c>
      <c r="AA2893">
        <v>1</v>
      </c>
      <c r="AB2893">
        <v>8</v>
      </c>
      <c r="AC2893">
        <v>3</v>
      </c>
      <c r="AD2893">
        <v>0</v>
      </c>
      <c r="AE2893">
        <v>9</v>
      </c>
      <c r="AF2893" t="s">
        <v>138</v>
      </c>
      <c r="AG2893">
        <v>0</v>
      </c>
      <c r="AH2893">
        <v>3</v>
      </c>
      <c r="AI2893">
        <v>1</v>
      </c>
      <c r="AJ2893">
        <v>0</v>
      </c>
      <c r="AK2893" t="s">
        <v>976</v>
      </c>
      <c r="AL2893">
        <v>32.727412999999999</v>
      </c>
      <c r="AM2893" t="s">
        <v>977</v>
      </c>
      <c r="AN2893">
        <v>-116.75059299999999</v>
      </c>
      <c r="AO2893">
        <v>25</v>
      </c>
      <c r="AP2893">
        <v>3700</v>
      </c>
      <c r="AQ2893" t="s">
        <v>129</v>
      </c>
      <c r="AR2893">
        <v>11</v>
      </c>
      <c r="AS2893">
        <v>-133</v>
      </c>
      <c r="AT2893">
        <v>256</v>
      </c>
      <c r="BB2893">
        <v>1200</v>
      </c>
      <c r="BC2893">
        <v>1</v>
      </c>
      <c r="BD2893" t="str">
        <f t="shared" si="1047"/>
        <v xml:space="preserve">N887QR  </v>
      </c>
      <c r="BE2893">
        <v>1</v>
      </c>
      <c r="BJ2893">
        <v>3400</v>
      </c>
      <c r="BK2893">
        <v>-300</v>
      </c>
      <c r="BL2893" t="s">
        <v>163</v>
      </c>
      <c r="BM2893">
        <v>1</v>
      </c>
      <c r="BN2893">
        <v>1</v>
      </c>
      <c r="BO2893">
        <v>1</v>
      </c>
      <c r="BP2893">
        <v>0</v>
      </c>
      <c r="BS2893">
        <v>0</v>
      </c>
      <c r="BT2893">
        <v>0</v>
      </c>
      <c r="BU2893">
        <v>0</v>
      </c>
      <c r="CE2893" t="str">
        <f t="shared" si="1051"/>
        <v>19:33:18.338</v>
      </c>
      <c r="CF2893">
        <v>338399371</v>
      </c>
      <c r="CS2893">
        <v>0</v>
      </c>
      <c r="CT2893">
        <v>2</v>
      </c>
      <c r="CU2893">
        <v>0</v>
      </c>
      <c r="CV2893">
        <v>2</v>
      </c>
      <c r="CW2893">
        <v>0</v>
      </c>
      <c r="CX2893">
        <v>3</v>
      </c>
      <c r="CY2893">
        <v>7</v>
      </c>
      <c r="CZ2893" t="s">
        <v>131</v>
      </c>
      <c r="DA2893">
        <v>286</v>
      </c>
      <c r="DB2893">
        <v>0</v>
      </c>
      <c r="DC2893" t="s">
        <v>132</v>
      </c>
      <c r="DD2893" t="s">
        <v>133</v>
      </c>
      <c r="DG2893">
        <v>857577</v>
      </c>
      <c r="DI2893">
        <v>1</v>
      </c>
      <c r="DJ2893">
        <v>0</v>
      </c>
      <c r="DK2893">
        <v>1</v>
      </c>
      <c r="DL2893">
        <v>0</v>
      </c>
      <c r="DM2893">
        <v>0</v>
      </c>
      <c r="DN2893">
        <v>1</v>
      </c>
      <c r="DO2893">
        <v>0</v>
      </c>
      <c r="DP2893">
        <v>0</v>
      </c>
      <c r="DQ2893">
        <v>0</v>
      </c>
      <c r="DR2893">
        <v>0</v>
      </c>
      <c r="DS2893">
        <v>0</v>
      </c>
    </row>
    <row r="2894" spans="1:123" x14ac:dyDescent="0.3">
      <c r="A2894" t="str">
        <f>"10/04/2022 19:33:18.619"</f>
        <v>10/04/2022 19:33:18.619</v>
      </c>
      <c r="C2894" t="str">
        <f t="shared" si="1036"/>
        <v>FFDDD3C0</v>
      </c>
      <c r="D2894" t="s">
        <v>141</v>
      </c>
      <c r="E2894">
        <v>3</v>
      </c>
      <c r="H2894">
        <v>3</v>
      </c>
      <c r="I2894" t="s">
        <v>146</v>
      </c>
      <c r="J2894" t="s">
        <v>138</v>
      </c>
      <c r="K2894">
        <v>0</v>
      </c>
      <c r="L2894">
        <v>3</v>
      </c>
      <c r="M2894">
        <v>0</v>
      </c>
      <c r="N2894">
        <v>2</v>
      </c>
      <c r="O2894">
        <v>0</v>
      </c>
      <c r="P2894">
        <v>1</v>
      </c>
      <c r="Q2894">
        <v>0</v>
      </c>
      <c r="S2894" t="str">
        <f t="shared" si="1050"/>
        <v>19:33:18.000</v>
      </c>
      <c r="T2894" t="str">
        <f t="shared" si="1050"/>
        <v>19:33:18.000</v>
      </c>
      <c r="U2894" t="str">
        <f t="shared" si="1046"/>
        <v>AC3944</v>
      </c>
      <c r="V2894">
        <v>0</v>
      </c>
      <c r="W2894">
        <v>0</v>
      </c>
      <c r="X2894">
        <v>2</v>
      </c>
      <c r="Y2894">
        <v>0</v>
      </c>
      <c r="AA2894">
        <v>1</v>
      </c>
      <c r="AB2894">
        <v>8</v>
      </c>
      <c r="AC2894">
        <v>3</v>
      </c>
      <c r="AD2894">
        <v>0</v>
      </c>
      <c r="AE2894">
        <v>9</v>
      </c>
      <c r="AF2894" t="s">
        <v>138</v>
      </c>
      <c r="AG2894">
        <v>0</v>
      </c>
      <c r="AH2894">
        <v>3</v>
      </c>
      <c r="AI2894">
        <v>1</v>
      </c>
      <c r="AJ2894">
        <v>0</v>
      </c>
      <c r="AK2894" t="s">
        <v>976</v>
      </c>
      <c r="AL2894">
        <v>32.727412999999999</v>
      </c>
      <c r="AM2894" t="s">
        <v>977</v>
      </c>
      <c r="AN2894">
        <v>-116.75059299999999</v>
      </c>
      <c r="AO2894">
        <v>25</v>
      </c>
      <c r="AP2894">
        <v>3700</v>
      </c>
      <c r="AQ2894" t="s">
        <v>129</v>
      </c>
      <c r="AR2894">
        <v>11</v>
      </c>
      <c r="AS2894">
        <v>-133</v>
      </c>
      <c r="AT2894">
        <v>256</v>
      </c>
      <c r="BB2894">
        <v>1200</v>
      </c>
      <c r="BC2894">
        <v>1</v>
      </c>
      <c r="BD2894" t="str">
        <f t="shared" si="1047"/>
        <v xml:space="preserve">N887QR  </v>
      </c>
      <c r="BE2894">
        <v>1</v>
      </c>
      <c r="BJ2894">
        <v>3400</v>
      </c>
      <c r="BK2894">
        <v>-300</v>
      </c>
      <c r="BL2894" t="s">
        <v>163</v>
      </c>
      <c r="BM2894">
        <v>1</v>
      </c>
      <c r="BN2894">
        <v>1</v>
      </c>
      <c r="BO2894">
        <v>1</v>
      </c>
      <c r="BP2894">
        <v>0</v>
      </c>
      <c r="BS2894">
        <v>0</v>
      </c>
      <c r="BT2894">
        <v>0</v>
      </c>
      <c r="BU2894">
        <v>0</v>
      </c>
      <c r="CE2894" t="str">
        <f t="shared" si="1051"/>
        <v>19:33:18.338</v>
      </c>
      <c r="CF2894">
        <v>338399371</v>
      </c>
      <c r="CS2894">
        <v>0</v>
      </c>
      <c r="CT2894">
        <v>2</v>
      </c>
      <c r="CU2894">
        <v>0</v>
      </c>
      <c r="CV2894">
        <v>2</v>
      </c>
      <c r="CW2894">
        <v>0</v>
      </c>
      <c r="CX2894">
        <v>3</v>
      </c>
      <c r="CY2894">
        <v>7</v>
      </c>
      <c r="CZ2894" t="s">
        <v>131</v>
      </c>
      <c r="DA2894">
        <v>286</v>
      </c>
      <c r="DB2894">
        <v>0</v>
      </c>
      <c r="DC2894" t="s">
        <v>132</v>
      </c>
      <c r="DD2894" t="s">
        <v>133</v>
      </c>
      <c r="DG2894">
        <v>857577</v>
      </c>
      <c r="DI2894">
        <v>1</v>
      </c>
      <c r="DJ2894">
        <v>0</v>
      </c>
      <c r="DK2894">
        <v>1</v>
      </c>
      <c r="DL2894">
        <v>0</v>
      </c>
      <c r="DM2894">
        <v>0</v>
      </c>
      <c r="DN2894">
        <v>1</v>
      </c>
      <c r="DO2894">
        <v>0</v>
      </c>
      <c r="DP2894">
        <v>0</v>
      </c>
      <c r="DQ2894">
        <v>0</v>
      </c>
      <c r="DR2894">
        <v>0</v>
      </c>
      <c r="DS2894">
        <v>0</v>
      </c>
    </row>
    <row r="2895" spans="1:123" x14ac:dyDescent="0.3">
      <c r="A2895" t="str">
        <f>"10/04/2022 19:33:18.713"</f>
        <v>10/04/2022 19:33:18.713</v>
      </c>
      <c r="C2895" t="str">
        <f t="shared" si="1036"/>
        <v>FFDDD3C0</v>
      </c>
      <c r="D2895" t="s">
        <v>147</v>
      </c>
      <c r="E2895">
        <v>3</v>
      </c>
      <c r="H2895">
        <v>166</v>
      </c>
      <c r="I2895" t="s">
        <v>144</v>
      </c>
      <c r="J2895" t="s">
        <v>148</v>
      </c>
      <c r="K2895">
        <v>0</v>
      </c>
      <c r="L2895">
        <v>3</v>
      </c>
      <c r="M2895">
        <v>0</v>
      </c>
      <c r="N2895">
        <v>2</v>
      </c>
      <c r="O2895">
        <v>0</v>
      </c>
      <c r="P2895">
        <v>1</v>
      </c>
      <c r="Q2895">
        <v>0</v>
      </c>
      <c r="S2895" t="str">
        <f t="shared" si="1050"/>
        <v>19:33:18.000</v>
      </c>
      <c r="T2895" t="str">
        <f t="shared" si="1050"/>
        <v>19:33:18.000</v>
      </c>
      <c r="U2895" t="str">
        <f t="shared" si="1046"/>
        <v>AC3944</v>
      </c>
      <c r="V2895">
        <v>0</v>
      </c>
      <c r="W2895">
        <v>0</v>
      </c>
      <c r="X2895">
        <v>2</v>
      </c>
      <c r="Y2895">
        <v>0</v>
      </c>
      <c r="AA2895">
        <v>1</v>
      </c>
      <c r="AB2895">
        <v>8</v>
      </c>
      <c r="AC2895">
        <v>3</v>
      </c>
      <c r="AD2895">
        <v>0</v>
      </c>
      <c r="AE2895">
        <v>9</v>
      </c>
      <c r="AF2895" t="s">
        <v>138</v>
      </c>
      <c r="AG2895">
        <v>0</v>
      </c>
      <c r="AH2895">
        <v>3</v>
      </c>
      <c r="AI2895">
        <v>1</v>
      </c>
      <c r="AJ2895">
        <v>0</v>
      </c>
      <c r="AK2895" t="s">
        <v>976</v>
      </c>
      <c r="AL2895">
        <v>32.727412999999999</v>
      </c>
      <c r="AM2895" t="s">
        <v>977</v>
      </c>
      <c r="AN2895">
        <v>-116.75059299999999</v>
      </c>
      <c r="AO2895">
        <v>25</v>
      </c>
      <c r="AP2895">
        <v>3700</v>
      </c>
      <c r="AQ2895" t="s">
        <v>129</v>
      </c>
      <c r="AR2895">
        <v>11</v>
      </c>
      <c r="AS2895">
        <v>-133</v>
      </c>
      <c r="AT2895">
        <v>256</v>
      </c>
      <c r="BB2895">
        <v>1200</v>
      </c>
      <c r="BC2895">
        <v>1</v>
      </c>
      <c r="BD2895" t="str">
        <f t="shared" si="1047"/>
        <v xml:space="preserve">N887QR  </v>
      </c>
      <c r="BE2895">
        <v>1</v>
      </c>
      <c r="BJ2895">
        <v>3400</v>
      </c>
      <c r="BK2895">
        <v>-300</v>
      </c>
      <c r="BL2895" t="s">
        <v>163</v>
      </c>
      <c r="BM2895">
        <v>1</v>
      </c>
      <c r="BN2895">
        <v>1</v>
      </c>
      <c r="BO2895">
        <v>1</v>
      </c>
      <c r="BP2895">
        <v>0</v>
      </c>
      <c r="BS2895">
        <v>0</v>
      </c>
      <c r="BT2895">
        <v>0</v>
      </c>
      <c r="BU2895">
        <v>0</v>
      </c>
      <c r="CE2895" t="str">
        <f t="shared" si="1051"/>
        <v>19:33:18.338</v>
      </c>
      <c r="CF2895">
        <v>338399371</v>
      </c>
      <c r="CS2895">
        <v>0</v>
      </c>
      <c r="CT2895">
        <v>2</v>
      </c>
      <c r="CU2895">
        <v>0</v>
      </c>
      <c r="CV2895">
        <v>2</v>
      </c>
      <c r="CW2895">
        <v>0</v>
      </c>
      <c r="CX2895">
        <v>3</v>
      </c>
      <c r="CY2895">
        <v>7</v>
      </c>
      <c r="CZ2895" t="s">
        <v>131</v>
      </c>
      <c r="DA2895">
        <v>286</v>
      </c>
      <c r="DB2895">
        <v>0</v>
      </c>
      <c r="DC2895" t="s">
        <v>132</v>
      </c>
      <c r="DD2895" t="s">
        <v>133</v>
      </c>
      <c r="DG2895">
        <v>857577</v>
      </c>
      <c r="DI2895">
        <v>1</v>
      </c>
      <c r="DJ2895">
        <v>0</v>
      </c>
      <c r="DK2895">
        <v>1</v>
      </c>
      <c r="DL2895">
        <v>0</v>
      </c>
      <c r="DM2895">
        <v>0</v>
      </c>
      <c r="DN2895">
        <v>1</v>
      </c>
      <c r="DO2895">
        <v>0</v>
      </c>
      <c r="DP2895">
        <v>0</v>
      </c>
      <c r="DQ2895">
        <v>0</v>
      </c>
      <c r="DR2895">
        <v>0</v>
      </c>
      <c r="DS2895">
        <v>0</v>
      </c>
    </row>
    <row r="2896" spans="1:123" x14ac:dyDescent="0.3">
      <c r="A2896" t="str">
        <f>"10/04/2022 19:33:18.713"</f>
        <v>10/04/2022 19:33:18.713</v>
      </c>
      <c r="C2896" t="str">
        <f t="shared" si="1036"/>
        <v>FFDDD3C0</v>
      </c>
      <c r="D2896" t="s">
        <v>141</v>
      </c>
      <c r="E2896">
        <v>4</v>
      </c>
      <c r="H2896">
        <v>4</v>
      </c>
      <c r="I2896" t="s">
        <v>142</v>
      </c>
      <c r="J2896" t="s">
        <v>138</v>
      </c>
      <c r="K2896">
        <v>0</v>
      </c>
      <c r="L2896">
        <v>3</v>
      </c>
      <c r="M2896">
        <v>0</v>
      </c>
      <c r="N2896">
        <v>2</v>
      </c>
      <c r="O2896">
        <v>0</v>
      </c>
      <c r="P2896">
        <v>1</v>
      </c>
      <c r="Q2896">
        <v>0</v>
      </c>
      <c r="S2896" t="str">
        <f t="shared" si="1050"/>
        <v>19:33:18.000</v>
      </c>
      <c r="T2896" t="str">
        <f t="shared" si="1050"/>
        <v>19:33:18.000</v>
      </c>
      <c r="U2896" t="str">
        <f t="shared" si="1046"/>
        <v>AC3944</v>
      </c>
      <c r="V2896">
        <v>0</v>
      </c>
      <c r="W2896">
        <v>0</v>
      </c>
      <c r="X2896">
        <v>2</v>
      </c>
      <c r="Y2896">
        <v>0</v>
      </c>
      <c r="AA2896">
        <v>1</v>
      </c>
      <c r="AB2896">
        <v>8</v>
      </c>
      <c r="AC2896">
        <v>3</v>
      </c>
      <c r="AD2896">
        <v>0</v>
      </c>
      <c r="AE2896">
        <v>9</v>
      </c>
      <c r="AF2896" t="s">
        <v>138</v>
      </c>
      <c r="AG2896">
        <v>0</v>
      </c>
      <c r="AH2896">
        <v>3</v>
      </c>
      <c r="AI2896">
        <v>1</v>
      </c>
      <c r="AJ2896">
        <v>0</v>
      </c>
      <c r="AK2896" t="s">
        <v>976</v>
      </c>
      <c r="AL2896">
        <v>32.727412999999999</v>
      </c>
      <c r="AM2896" t="s">
        <v>977</v>
      </c>
      <c r="AN2896">
        <v>-116.75059299999999</v>
      </c>
      <c r="AO2896">
        <v>25</v>
      </c>
      <c r="AP2896">
        <v>3700</v>
      </c>
      <c r="AQ2896" t="s">
        <v>129</v>
      </c>
      <c r="AR2896">
        <v>11</v>
      </c>
      <c r="AS2896">
        <v>-133</v>
      </c>
      <c r="AT2896">
        <v>256</v>
      </c>
      <c r="BB2896">
        <v>1200</v>
      </c>
      <c r="BC2896">
        <v>1</v>
      </c>
      <c r="BD2896" t="str">
        <f t="shared" si="1047"/>
        <v xml:space="preserve">N887QR  </v>
      </c>
      <c r="BE2896">
        <v>1</v>
      </c>
      <c r="BJ2896">
        <v>3400</v>
      </c>
      <c r="BK2896">
        <v>-300</v>
      </c>
      <c r="BL2896" t="s">
        <v>163</v>
      </c>
      <c r="BM2896">
        <v>1</v>
      </c>
      <c r="BN2896">
        <v>1</v>
      </c>
      <c r="BO2896">
        <v>1</v>
      </c>
      <c r="BP2896">
        <v>0</v>
      </c>
      <c r="BS2896">
        <v>0</v>
      </c>
      <c r="BT2896">
        <v>0</v>
      </c>
      <c r="BU2896">
        <v>0</v>
      </c>
      <c r="CE2896" t="str">
        <f t="shared" si="1051"/>
        <v>19:33:18.338</v>
      </c>
      <c r="CF2896">
        <v>338399371</v>
      </c>
      <c r="CS2896">
        <v>0</v>
      </c>
      <c r="CT2896">
        <v>2</v>
      </c>
      <c r="CU2896">
        <v>0</v>
      </c>
      <c r="CV2896">
        <v>2</v>
      </c>
      <c r="CW2896">
        <v>0</v>
      </c>
      <c r="CX2896">
        <v>3</v>
      </c>
      <c r="CY2896">
        <v>7</v>
      </c>
      <c r="CZ2896" t="s">
        <v>131</v>
      </c>
      <c r="DA2896">
        <v>286</v>
      </c>
      <c r="DB2896">
        <v>0</v>
      </c>
      <c r="DC2896" t="s">
        <v>132</v>
      </c>
      <c r="DD2896" t="s">
        <v>133</v>
      </c>
      <c r="DG2896">
        <v>857577</v>
      </c>
      <c r="DI2896">
        <v>1</v>
      </c>
      <c r="DJ2896">
        <v>0</v>
      </c>
      <c r="DK2896">
        <v>1</v>
      </c>
      <c r="DL2896">
        <v>0</v>
      </c>
      <c r="DM2896">
        <v>0</v>
      </c>
      <c r="DN2896">
        <v>1</v>
      </c>
      <c r="DO2896">
        <v>0</v>
      </c>
      <c r="DP2896">
        <v>0</v>
      </c>
      <c r="DQ2896">
        <v>0</v>
      </c>
      <c r="DR2896">
        <v>0</v>
      </c>
      <c r="DS2896">
        <v>0</v>
      </c>
    </row>
    <row r="2897" spans="1:123" x14ac:dyDescent="0.3">
      <c r="A2897" t="str">
        <f>"10/04/2022 19:33:18.713"</f>
        <v>10/04/2022 19:33:18.713</v>
      </c>
      <c r="C2897" t="str">
        <f t="shared" si="1036"/>
        <v>FFDDD3C0</v>
      </c>
      <c r="D2897" t="s">
        <v>136</v>
      </c>
      <c r="E2897">
        <v>8</v>
      </c>
      <c r="H2897">
        <v>225</v>
      </c>
      <c r="I2897" t="s">
        <v>137</v>
      </c>
      <c r="J2897" t="s">
        <v>138</v>
      </c>
      <c r="K2897">
        <v>0</v>
      </c>
      <c r="L2897">
        <v>3</v>
      </c>
      <c r="M2897">
        <v>0</v>
      </c>
      <c r="N2897">
        <v>2</v>
      </c>
      <c r="O2897">
        <v>0</v>
      </c>
      <c r="P2897">
        <v>1</v>
      </c>
      <c r="Q2897">
        <v>0</v>
      </c>
      <c r="S2897" t="str">
        <f t="shared" si="1050"/>
        <v>19:33:18.000</v>
      </c>
      <c r="T2897" t="str">
        <f t="shared" si="1050"/>
        <v>19:33:18.000</v>
      </c>
      <c r="U2897" t="str">
        <f t="shared" si="1046"/>
        <v>AC3944</v>
      </c>
      <c r="V2897">
        <v>0</v>
      </c>
      <c r="W2897">
        <v>0</v>
      </c>
      <c r="X2897">
        <v>2</v>
      </c>
      <c r="Y2897">
        <v>0</v>
      </c>
      <c r="AA2897">
        <v>1</v>
      </c>
      <c r="AB2897">
        <v>8</v>
      </c>
      <c r="AC2897">
        <v>3</v>
      </c>
      <c r="AD2897">
        <v>0</v>
      </c>
      <c r="AE2897">
        <v>9</v>
      </c>
      <c r="AF2897" t="s">
        <v>138</v>
      </c>
      <c r="AG2897">
        <v>0</v>
      </c>
      <c r="AH2897">
        <v>3</v>
      </c>
      <c r="AI2897">
        <v>1</v>
      </c>
      <c r="AJ2897">
        <v>0</v>
      </c>
      <c r="AK2897" t="s">
        <v>976</v>
      </c>
      <c r="AL2897">
        <v>32.727412999999999</v>
      </c>
      <c r="AM2897" t="s">
        <v>977</v>
      </c>
      <c r="AN2897">
        <v>-116.75059299999999</v>
      </c>
      <c r="AO2897">
        <v>25</v>
      </c>
      <c r="AP2897">
        <v>3700</v>
      </c>
      <c r="AQ2897" t="s">
        <v>129</v>
      </c>
      <c r="AR2897">
        <v>11</v>
      </c>
      <c r="AS2897">
        <v>-133</v>
      </c>
      <c r="AT2897">
        <v>256</v>
      </c>
      <c r="BB2897">
        <v>1200</v>
      </c>
      <c r="BC2897">
        <v>1</v>
      </c>
      <c r="BD2897" t="str">
        <f t="shared" si="1047"/>
        <v xml:space="preserve">N887QR  </v>
      </c>
      <c r="BE2897">
        <v>1</v>
      </c>
      <c r="BJ2897">
        <v>3400</v>
      </c>
      <c r="BK2897">
        <v>-300</v>
      </c>
      <c r="BL2897" t="s">
        <v>163</v>
      </c>
      <c r="BM2897">
        <v>1</v>
      </c>
      <c r="BN2897">
        <v>1</v>
      </c>
      <c r="BO2897">
        <v>1</v>
      </c>
      <c r="BP2897">
        <v>0</v>
      </c>
      <c r="BS2897">
        <v>0</v>
      </c>
      <c r="BT2897">
        <v>0</v>
      </c>
      <c r="BU2897">
        <v>0</v>
      </c>
      <c r="CE2897" t="str">
        <f t="shared" si="1051"/>
        <v>19:33:18.338</v>
      </c>
      <c r="CF2897">
        <v>338399371</v>
      </c>
      <c r="CS2897">
        <v>0</v>
      </c>
      <c r="CT2897">
        <v>2</v>
      </c>
      <c r="CU2897">
        <v>0</v>
      </c>
      <c r="CV2897">
        <v>2</v>
      </c>
      <c r="CW2897">
        <v>0</v>
      </c>
      <c r="CX2897">
        <v>3</v>
      </c>
      <c r="CY2897">
        <v>7</v>
      </c>
      <c r="CZ2897" t="s">
        <v>131</v>
      </c>
      <c r="DA2897">
        <v>286</v>
      </c>
      <c r="DB2897">
        <v>0</v>
      </c>
      <c r="DC2897" t="s">
        <v>132</v>
      </c>
      <c r="DD2897" t="s">
        <v>133</v>
      </c>
      <c r="DG2897">
        <v>857577</v>
      </c>
      <c r="DI2897">
        <v>1</v>
      </c>
      <c r="DJ2897">
        <v>0</v>
      </c>
      <c r="DK2897">
        <v>1</v>
      </c>
      <c r="DL2897">
        <v>0</v>
      </c>
      <c r="DM2897">
        <v>0</v>
      </c>
      <c r="DN2897">
        <v>1</v>
      </c>
      <c r="DO2897">
        <v>0</v>
      </c>
      <c r="DP2897">
        <v>0</v>
      </c>
      <c r="DQ2897">
        <v>0</v>
      </c>
      <c r="DR2897">
        <v>0</v>
      </c>
      <c r="DS2897">
        <v>0</v>
      </c>
    </row>
    <row r="2898" spans="1:123" x14ac:dyDescent="0.3">
      <c r="A2898" t="str">
        <f t="shared" ref="A2898:A2904" si="1052">"10/04/2022 19:33:19.369"</f>
        <v>10/04/2022 19:33:19.369</v>
      </c>
      <c r="C2898" t="str">
        <f t="shared" si="1036"/>
        <v>FFDDD3C0</v>
      </c>
      <c r="D2898" t="s">
        <v>123</v>
      </c>
      <c r="E2898">
        <v>7</v>
      </c>
      <c r="F2898">
        <v>2007</v>
      </c>
      <c r="G2898" t="s">
        <v>124</v>
      </c>
      <c r="J2898" t="s">
        <v>125</v>
      </c>
      <c r="K2898">
        <v>0</v>
      </c>
      <c r="L2898">
        <v>3</v>
      </c>
      <c r="M2898">
        <v>0</v>
      </c>
      <c r="N2898">
        <v>2</v>
      </c>
      <c r="O2898">
        <v>0</v>
      </c>
      <c r="P2898">
        <v>1</v>
      </c>
      <c r="Q2898">
        <v>0</v>
      </c>
      <c r="S2898" t="str">
        <f t="shared" ref="S2898:T2911" si="1053">"19:33:19.000"</f>
        <v>19:33:19.000</v>
      </c>
      <c r="T2898" t="str">
        <f t="shared" si="1053"/>
        <v>19:33:19.000</v>
      </c>
      <c r="U2898" t="str">
        <f t="shared" si="1046"/>
        <v>AC3944</v>
      </c>
      <c r="V2898">
        <v>0</v>
      </c>
      <c r="W2898">
        <v>0</v>
      </c>
      <c r="X2898">
        <v>2</v>
      </c>
      <c r="Y2898">
        <v>0</v>
      </c>
      <c r="AA2898">
        <v>1</v>
      </c>
      <c r="AB2898">
        <v>8</v>
      </c>
      <c r="AC2898">
        <v>3</v>
      </c>
      <c r="AD2898">
        <v>0</v>
      </c>
      <c r="AE2898">
        <v>9</v>
      </c>
      <c r="AF2898" t="s">
        <v>138</v>
      </c>
      <c r="AG2898">
        <v>0</v>
      </c>
      <c r="AH2898">
        <v>3</v>
      </c>
      <c r="AI2898">
        <v>1</v>
      </c>
      <c r="AJ2898">
        <v>0</v>
      </c>
      <c r="AK2898" t="s">
        <v>978</v>
      </c>
      <c r="AL2898">
        <v>32.726790999999999</v>
      </c>
      <c r="AM2898" t="s">
        <v>979</v>
      </c>
      <c r="AN2898">
        <v>-116.750529</v>
      </c>
      <c r="AO2898">
        <v>25</v>
      </c>
      <c r="AP2898">
        <v>3700</v>
      </c>
      <c r="AQ2898" t="s">
        <v>129</v>
      </c>
      <c r="AR2898">
        <v>3</v>
      </c>
      <c r="AS2898">
        <v>-134</v>
      </c>
      <c r="AT2898">
        <v>256</v>
      </c>
      <c r="BB2898">
        <v>1200</v>
      </c>
      <c r="BC2898">
        <v>1</v>
      </c>
      <c r="BD2898" t="str">
        <f t="shared" si="1047"/>
        <v xml:space="preserve">N887QR  </v>
      </c>
      <c r="BE2898">
        <v>1</v>
      </c>
      <c r="BJ2898">
        <v>3400</v>
      </c>
      <c r="BK2898">
        <v>-300</v>
      </c>
      <c r="BL2898" t="s">
        <v>163</v>
      </c>
      <c r="BM2898">
        <v>1</v>
      </c>
      <c r="BN2898">
        <v>1</v>
      </c>
      <c r="BO2898">
        <v>1</v>
      </c>
      <c r="BP2898">
        <v>0</v>
      </c>
      <c r="BS2898">
        <v>0</v>
      </c>
      <c r="BT2898">
        <v>0</v>
      </c>
      <c r="BU2898">
        <v>0</v>
      </c>
      <c r="CE2898" t="str">
        <f t="shared" ref="CE2898:CE2904" si="1054">"19:33:19.105"</f>
        <v>19:33:19.105</v>
      </c>
      <c r="CF2898">
        <v>105151688</v>
      </c>
      <c r="CS2898">
        <v>0</v>
      </c>
      <c r="CT2898">
        <v>2</v>
      </c>
      <c r="CU2898">
        <v>0</v>
      </c>
      <c r="CV2898">
        <v>2</v>
      </c>
      <c r="CW2898">
        <v>0</v>
      </c>
      <c r="CX2898">
        <v>2</v>
      </c>
      <c r="CY2898">
        <v>7</v>
      </c>
      <c r="CZ2898" t="s">
        <v>131</v>
      </c>
      <c r="DA2898">
        <v>286</v>
      </c>
      <c r="DB2898">
        <v>0</v>
      </c>
      <c r="DC2898" t="s">
        <v>132</v>
      </c>
      <c r="DD2898" t="s">
        <v>133</v>
      </c>
      <c r="DG2898">
        <v>857769</v>
      </c>
      <c r="DI2898">
        <v>1</v>
      </c>
      <c r="DJ2898">
        <v>0</v>
      </c>
      <c r="DK2898">
        <v>0</v>
      </c>
      <c r="DL2898">
        <v>0</v>
      </c>
      <c r="DM2898">
        <v>0</v>
      </c>
      <c r="DN2898">
        <v>1</v>
      </c>
      <c r="DO2898">
        <v>0</v>
      </c>
      <c r="DP2898">
        <v>0</v>
      </c>
      <c r="DQ2898">
        <v>0</v>
      </c>
      <c r="DR2898">
        <v>0</v>
      </c>
      <c r="DS2898">
        <v>0</v>
      </c>
    </row>
    <row r="2899" spans="1:123" x14ac:dyDescent="0.3">
      <c r="A2899" t="str">
        <f t="shared" si="1052"/>
        <v>10/04/2022 19:33:19.369</v>
      </c>
      <c r="C2899" t="str">
        <f t="shared" si="1036"/>
        <v>FFDDD3C0</v>
      </c>
      <c r="D2899" t="s">
        <v>134</v>
      </c>
      <c r="E2899">
        <v>15</v>
      </c>
      <c r="J2899" t="s">
        <v>135</v>
      </c>
      <c r="K2899">
        <v>0</v>
      </c>
      <c r="L2899">
        <v>3</v>
      </c>
      <c r="M2899">
        <v>0</v>
      </c>
      <c r="N2899">
        <v>2</v>
      </c>
      <c r="O2899">
        <v>0</v>
      </c>
      <c r="P2899">
        <v>1</v>
      </c>
      <c r="Q2899">
        <v>0</v>
      </c>
      <c r="S2899" t="str">
        <f t="shared" si="1053"/>
        <v>19:33:19.000</v>
      </c>
      <c r="T2899" t="str">
        <f t="shared" si="1053"/>
        <v>19:33:19.000</v>
      </c>
      <c r="U2899" t="str">
        <f t="shared" si="1046"/>
        <v>AC3944</v>
      </c>
      <c r="V2899">
        <v>0</v>
      </c>
      <c r="W2899">
        <v>0</v>
      </c>
      <c r="X2899">
        <v>2</v>
      </c>
      <c r="Y2899">
        <v>0</v>
      </c>
      <c r="AA2899">
        <v>1</v>
      </c>
      <c r="AB2899">
        <v>8</v>
      </c>
      <c r="AC2899">
        <v>3</v>
      </c>
      <c r="AD2899">
        <v>0</v>
      </c>
      <c r="AE2899">
        <v>9</v>
      </c>
      <c r="AF2899" t="s">
        <v>138</v>
      </c>
      <c r="AG2899">
        <v>0</v>
      </c>
      <c r="AH2899">
        <v>3</v>
      </c>
      <c r="AI2899">
        <v>1</v>
      </c>
      <c r="AJ2899">
        <v>0</v>
      </c>
      <c r="AK2899" t="s">
        <v>978</v>
      </c>
      <c r="AL2899">
        <v>32.726790999999999</v>
      </c>
      <c r="AM2899" t="s">
        <v>979</v>
      </c>
      <c r="AN2899">
        <v>-116.750529</v>
      </c>
      <c r="AO2899">
        <v>25</v>
      </c>
      <c r="AP2899">
        <v>3700</v>
      </c>
      <c r="AQ2899" t="s">
        <v>129</v>
      </c>
      <c r="AR2899">
        <v>3</v>
      </c>
      <c r="AS2899">
        <v>-134</v>
      </c>
      <c r="AT2899">
        <v>256</v>
      </c>
      <c r="BB2899">
        <v>1200</v>
      </c>
      <c r="BC2899">
        <v>1</v>
      </c>
      <c r="BD2899" t="str">
        <f t="shared" si="1047"/>
        <v xml:space="preserve">N887QR  </v>
      </c>
      <c r="BE2899">
        <v>1</v>
      </c>
      <c r="BJ2899">
        <v>3400</v>
      </c>
      <c r="BK2899">
        <v>-300</v>
      </c>
      <c r="BL2899" t="s">
        <v>163</v>
      </c>
      <c r="BM2899">
        <v>1</v>
      </c>
      <c r="BN2899">
        <v>1</v>
      </c>
      <c r="BO2899">
        <v>1</v>
      </c>
      <c r="BP2899">
        <v>0</v>
      </c>
      <c r="BS2899">
        <v>0</v>
      </c>
      <c r="BT2899">
        <v>0</v>
      </c>
      <c r="BU2899">
        <v>0</v>
      </c>
      <c r="CE2899" t="str">
        <f t="shared" si="1054"/>
        <v>19:33:19.105</v>
      </c>
      <c r="CF2899">
        <v>105151688</v>
      </c>
      <c r="CS2899">
        <v>0</v>
      </c>
      <c r="CT2899">
        <v>2</v>
      </c>
      <c r="CU2899">
        <v>0</v>
      </c>
      <c r="CV2899">
        <v>2</v>
      </c>
      <c r="CW2899">
        <v>0</v>
      </c>
      <c r="CX2899">
        <v>2</v>
      </c>
      <c r="CY2899">
        <v>7</v>
      </c>
      <c r="CZ2899" t="s">
        <v>131</v>
      </c>
      <c r="DA2899">
        <v>286</v>
      </c>
      <c r="DB2899">
        <v>0</v>
      </c>
      <c r="DC2899" t="s">
        <v>132</v>
      </c>
      <c r="DD2899" t="s">
        <v>133</v>
      </c>
      <c r="DG2899">
        <v>857769</v>
      </c>
      <c r="DI2899">
        <v>1</v>
      </c>
      <c r="DJ2899">
        <v>0</v>
      </c>
      <c r="DK2899">
        <v>1</v>
      </c>
      <c r="DL2899">
        <v>0</v>
      </c>
      <c r="DM2899">
        <v>0</v>
      </c>
      <c r="DN2899">
        <v>1</v>
      </c>
      <c r="DO2899">
        <v>0</v>
      </c>
      <c r="DP2899">
        <v>0</v>
      </c>
      <c r="DQ2899">
        <v>0</v>
      </c>
      <c r="DR2899">
        <v>0</v>
      </c>
      <c r="DS2899">
        <v>0</v>
      </c>
    </row>
    <row r="2900" spans="1:123" x14ac:dyDescent="0.3">
      <c r="A2900" t="str">
        <f t="shared" si="1052"/>
        <v>10/04/2022 19:33:19.369</v>
      </c>
      <c r="C2900" t="str">
        <f t="shared" si="1036"/>
        <v>FFDDD3C0</v>
      </c>
      <c r="D2900" t="s">
        <v>141</v>
      </c>
      <c r="E2900">
        <v>3</v>
      </c>
      <c r="H2900">
        <v>3</v>
      </c>
      <c r="I2900" t="s">
        <v>146</v>
      </c>
      <c r="J2900" t="s">
        <v>138</v>
      </c>
      <c r="K2900">
        <v>0</v>
      </c>
      <c r="L2900">
        <v>3</v>
      </c>
      <c r="M2900">
        <v>0</v>
      </c>
      <c r="N2900">
        <v>2</v>
      </c>
      <c r="O2900">
        <v>0</v>
      </c>
      <c r="P2900">
        <v>1</v>
      </c>
      <c r="Q2900">
        <v>0</v>
      </c>
      <c r="S2900" t="str">
        <f t="shared" si="1053"/>
        <v>19:33:19.000</v>
      </c>
      <c r="T2900" t="str">
        <f t="shared" si="1053"/>
        <v>19:33:19.000</v>
      </c>
      <c r="U2900" t="str">
        <f t="shared" si="1046"/>
        <v>AC3944</v>
      </c>
      <c r="V2900">
        <v>0</v>
      </c>
      <c r="W2900">
        <v>0</v>
      </c>
      <c r="X2900">
        <v>2</v>
      </c>
      <c r="Y2900">
        <v>0</v>
      </c>
      <c r="AA2900">
        <v>1</v>
      </c>
      <c r="AB2900">
        <v>8</v>
      </c>
      <c r="AC2900">
        <v>3</v>
      </c>
      <c r="AD2900">
        <v>0</v>
      </c>
      <c r="AE2900">
        <v>9</v>
      </c>
      <c r="AF2900" t="s">
        <v>138</v>
      </c>
      <c r="AG2900">
        <v>0</v>
      </c>
      <c r="AH2900">
        <v>3</v>
      </c>
      <c r="AI2900">
        <v>1</v>
      </c>
      <c r="AJ2900">
        <v>0</v>
      </c>
      <c r="AK2900" t="s">
        <v>978</v>
      </c>
      <c r="AL2900">
        <v>32.726790999999999</v>
      </c>
      <c r="AM2900" t="s">
        <v>979</v>
      </c>
      <c r="AN2900">
        <v>-116.750529</v>
      </c>
      <c r="AO2900">
        <v>25</v>
      </c>
      <c r="AP2900">
        <v>3700</v>
      </c>
      <c r="AQ2900" t="s">
        <v>129</v>
      </c>
      <c r="AR2900">
        <v>3</v>
      </c>
      <c r="AS2900">
        <v>-134</v>
      </c>
      <c r="AT2900">
        <v>256</v>
      </c>
      <c r="BB2900">
        <v>1200</v>
      </c>
      <c r="BC2900">
        <v>1</v>
      </c>
      <c r="BD2900" t="str">
        <f t="shared" si="1047"/>
        <v xml:space="preserve">N887QR  </v>
      </c>
      <c r="BE2900">
        <v>1</v>
      </c>
      <c r="BJ2900">
        <v>3400</v>
      </c>
      <c r="BK2900">
        <v>-300</v>
      </c>
      <c r="BL2900" t="s">
        <v>163</v>
      </c>
      <c r="BM2900">
        <v>1</v>
      </c>
      <c r="BN2900">
        <v>1</v>
      </c>
      <c r="BO2900">
        <v>1</v>
      </c>
      <c r="BP2900">
        <v>0</v>
      </c>
      <c r="BS2900">
        <v>0</v>
      </c>
      <c r="BT2900">
        <v>0</v>
      </c>
      <c r="BU2900">
        <v>0</v>
      </c>
      <c r="CE2900" t="str">
        <f t="shared" si="1054"/>
        <v>19:33:19.105</v>
      </c>
      <c r="CF2900">
        <v>105151688</v>
      </c>
      <c r="CS2900">
        <v>0</v>
      </c>
      <c r="CT2900">
        <v>2</v>
      </c>
      <c r="CU2900">
        <v>0</v>
      </c>
      <c r="CV2900">
        <v>2</v>
      </c>
      <c r="CW2900">
        <v>0</v>
      </c>
      <c r="CX2900">
        <v>2</v>
      </c>
      <c r="CY2900">
        <v>7</v>
      </c>
      <c r="CZ2900" t="s">
        <v>131</v>
      </c>
      <c r="DA2900">
        <v>286</v>
      </c>
      <c r="DB2900">
        <v>0</v>
      </c>
      <c r="DC2900" t="s">
        <v>132</v>
      </c>
      <c r="DD2900" t="s">
        <v>133</v>
      </c>
      <c r="DG2900">
        <v>857769</v>
      </c>
      <c r="DI2900">
        <v>1</v>
      </c>
      <c r="DJ2900">
        <v>0</v>
      </c>
      <c r="DK2900">
        <v>1</v>
      </c>
      <c r="DL2900">
        <v>0</v>
      </c>
      <c r="DM2900">
        <v>0</v>
      </c>
      <c r="DN2900">
        <v>1</v>
      </c>
      <c r="DO2900">
        <v>0</v>
      </c>
      <c r="DP2900">
        <v>0</v>
      </c>
      <c r="DQ2900">
        <v>0</v>
      </c>
      <c r="DR2900">
        <v>0</v>
      </c>
      <c r="DS2900">
        <v>0</v>
      </c>
    </row>
    <row r="2901" spans="1:123" x14ac:dyDescent="0.3">
      <c r="A2901" t="str">
        <f t="shared" si="1052"/>
        <v>10/04/2022 19:33:19.369</v>
      </c>
      <c r="C2901" t="str">
        <f t="shared" si="1036"/>
        <v>FFDDD3C0</v>
      </c>
      <c r="D2901" t="s">
        <v>147</v>
      </c>
      <c r="E2901">
        <v>3</v>
      </c>
      <c r="H2901">
        <v>166</v>
      </c>
      <c r="I2901" t="s">
        <v>144</v>
      </c>
      <c r="J2901" t="s">
        <v>148</v>
      </c>
      <c r="K2901">
        <v>0</v>
      </c>
      <c r="L2901">
        <v>3</v>
      </c>
      <c r="M2901">
        <v>0</v>
      </c>
      <c r="N2901">
        <v>2</v>
      </c>
      <c r="O2901">
        <v>0</v>
      </c>
      <c r="P2901">
        <v>1</v>
      </c>
      <c r="Q2901">
        <v>0</v>
      </c>
      <c r="S2901" t="str">
        <f t="shared" si="1053"/>
        <v>19:33:19.000</v>
      </c>
      <c r="T2901" t="str">
        <f t="shared" si="1053"/>
        <v>19:33:19.000</v>
      </c>
      <c r="U2901" t="str">
        <f t="shared" si="1046"/>
        <v>AC3944</v>
      </c>
      <c r="V2901">
        <v>0</v>
      </c>
      <c r="W2901">
        <v>0</v>
      </c>
      <c r="X2901">
        <v>2</v>
      </c>
      <c r="Y2901">
        <v>0</v>
      </c>
      <c r="AA2901">
        <v>1</v>
      </c>
      <c r="AB2901">
        <v>8</v>
      </c>
      <c r="AC2901">
        <v>3</v>
      </c>
      <c r="AD2901">
        <v>0</v>
      </c>
      <c r="AE2901">
        <v>9</v>
      </c>
      <c r="AF2901" t="s">
        <v>138</v>
      </c>
      <c r="AG2901">
        <v>0</v>
      </c>
      <c r="AH2901">
        <v>3</v>
      </c>
      <c r="AI2901">
        <v>1</v>
      </c>
      <c r="AJ2901">
        <v>0</v>
      </c>
      <c r="AK2901" t="s">
        <v>978</v>
      </c>
      <c r="AL2901">
        <v>32.726790999999999</v>
      </c>
      <c r="AM2901" t="s">
        <v>979</v>
      </c>
      <c r="AN2901">
        <v>-116.750529</v>
      </c>
      <c r="AO2901">
        <v>25</v>
      </c>
      <c r="AP2901">
        <v>3700</v>
      </c>
      <c r="AQ2901" t="s">
        <v>129</v>
      </c>
      <c r="AR2901">
        <v>3</v>
      </c>
      <c r="AS2901">
        <v>-134</v>
      </c>
      <c r="AT2901">
        <v>256</v>
      </c>
      <c r="BB2901">
        <v>1200</v>
      </c>
      <c r="BC2901">
        <v>1</v>
      </c>
      <c r="BD2901" t="str">
        <f t="shared" si="1047"/>
        <v xml:space="preserve">N887QR  </v>
      </c>
      <c r="BE2901">
        <v>1</v>
      </c>
      <c r="BJ2901">
        <v>3400</v>
      </c>
      <c r="BK2901">
        <v>-300</v>
      </c>
      <c r="BL2901" t="s">
        <v>163</v>
      </c>
      <c r="BM2901">
        <v>1</v>
      </c>
      <c r="BN2901">
        <v>1</v>
      </c>
      <c r="BO2901">
        <v>1</v>
      </c>
      <c r="BP2901">
        <v>0</v>
      </c>
      <c r="BS2901">
        <v>0</v>
      </c>
      <c r="BT2901">
        <v>0</v>
      </c>
      <c r="BU2901">
        <v>0</v>
      </c>
      <c r="CE2901" t="str">
        <f t="shared" si="1054"/>
        <v>19:33:19.105</v>
      </c>
      <c r="CF2901">
        <v>105151688</v>
      </c>
      <c r="CS2901">
        <v>0</v>
      </c>
      <c r="CT2901">
        <v>2</v>
      </c>
      <c r="CU2901">
        <v>0</v>
      </c>
      <c r="CV2901">
        <v>2</v>
      </c>
      <c r="CW2901">
        <v>0</v>
      </c>
      <c r="CX2901">
        <v>2</v>
      </c>
      <c r="CY2901">
        <v>7</v>
      </c>
      <c r="CZ2901" t="s">
        <v>131</v>
      </c>
      <c r="DA2901">
        <v>286</v>
      </c>
      <c r="DB2901">
        <v>0</v>
      </c>
      <c r="DC2901" t="s">
        <v>132</v>
      </c>
      <c r="DD2901" t="s">
        <v>133</v>
      </c>
      <c r="DG2901">
        <v>857769</v>
      </c>
      <c r="DI2901">
        <v>1</v>
      </c>
      <c r="DJ2901">
        <v>0</v>
      </c>
      <c r="DK2901">
        <v>1</v>
      </c>
      <c r="DL2901">
        <v>0</v>
      </c>
      <c r="DM2901">
        <v>0</v>
      </c>
      <c r="DN2901">
        <v>1</v>
      </c>
      <c r="DO2901">
        <v>0</v>
      </c>
      <c r="DP2901">
        <v>0</v>
      </c>
      <c r="DQ2901">
        <v>0</v>
      </c>
      <c r="DR2901">
        <v>0</v>
      </c>
      <c r="DS2901">
        <v>0</v>
      </c>
    </row>
    <row r="2902" spans="1:123" x14ac:dyDescent="0.3">
      <c r="A2902" t="str">
        <f t="shared" si="1052"/>
        <v>10/04/2022 19:33:19.369</v>
      </c>
      <c r="C2902" t="str">
        <f t="shared" si="1036"/>
        <v>FFDDD3C0</v>
      </c>
      <c r="D2902" t="s">
        <v>136</v>
      </c>
      <c r="E2902">
        <v>8</v>
      </c>
      <c r="H2902">
        <v>225</v>
      </c>
      <c r="I2902" t="s">
        <v>137</v>
      </c>
      <c r="J2902" t="s">
        <v>138</v>
      </c>
      <c r="K2902">
        <v>0</v>
      </c>
      <c r="L2902">
        <v>3</v>
      </c>
      <c r="M2902">
        <v>0</v>
      </c>
      <c r="N2902">
        <v>2</v>
      </c>
      <c r="O2902">
        <v>0</v>
      </c>
      <c r="P2902">
        <v>1</v>
      </c>
      <c r="Q2902">
        <v>0</v>
      </c>
      <c r="S2902" t="str">
        <f t="shared" si="1053"/>
        <v>19:33:19.000</v>
      </c>
      <c r="T2902" t="str">
        <f t="shared" si="1053"/>
        <v>19:33:19.000</v>
      </c>
      <c r="U2902" t="str">
        <f t="shared" si="1046"/>
        <v>AC3944</v>
      </c>
      <c r="V2902">
        <v>0</v>
      </c>
      <c r="W2902">
        <v>0</v>
      </c>
      <c r="X2902">
        <v>2</v>
      </c>
      <c r="Y2902">
        <v>0</v>
      </c>
      <c r="AA2902">
        <v>1</v>
      </c>
      <c r="AB2902">
        <v>8</v>
      </c>
      <c r="AC2902">
        <v>3</v>
      </c>
      <c r="AD2902">
        <v>0</v>
      </c>
      <c r="AE2902">
        <v>9</v>
      </c>
      <c r="AF2902" t="s">
        <v>138</v>
      </c>
      <c r="AG2902">
        <v>0</v>
      </c>
      <c r="AH2902">
        <v>3</v>
      </c>
      <c r="AI2902">
        <v>1</v>
      </c>
      <c r="AJ2902">
        <v>0</v>
      </c>
      <c r="AK2902" t="s">
        <v>978</v>
      </c>
      <c r="AL2902">
        <v>32.726790999999999</v>
      </c>
      <c r="AM2902" t="s">
        <v>979</v>
      </c>
      <c r="AN2902">
        <v>-116.750529</v>
      </c>
      <c r="AO2902">
        <v>25</v>
      </c>
      <c r="AP2902">
        <v>3700</v>
      </c>
      <c r="AQ2902" t="s">
        <v>129</v>
      </c>
      <c r="AR2902">
        <v>3</v>
      </c>
      <c r="AS2902">
        <v>-134</v>
      </c>
      <c r="AT2902">
        <v>256</v>
      </c>
      <c r="BB2902">
        <v>1200</v>
      </c>
      <c r="BC2902">
        <v>1</v>
      </c>
      <c r="BD2902" t="str">
        <f t="shared" si="1047"/>
        <v xml:space="preserve">N887QR  </v>
      </c>
      <c r="BE2902">
        <v>1</v>
      </c>
      <c r="BJ2902">
        <v>3400</v>
      </c>
      <c r="BK2902">
        <v>-300</v>
      </c>
      <c r="BL2902" t="s">
        <v>163</v>
      </c>
      <c r="BM2902">
        <v>1</v>
      </c>
      <c r="BN2902">
        <v>1</v>
      </c>
      <c r="BO2902">
        <v>1</v>
      </c>
      <c r="BP2902">
        <v>0</v>
      </c>
      <c r="BS2902">
        <v>0</v>
      </c>
      <c r="BT2902">
        <v>0</v>
      </c>
      <c r="BU2902">
        <v>0</v>
      </c>
      <c r="CE2902" t="str">
        <f t="shared" si="1054"/>
        <v>19:33:19.105</v>
      </c>
      <c r="CF2902">
        <v>105151688</v>
      </c>
      <c r="CS2902">
        <v>0</v>
      </c>
      <c r="CT2902">
        <v>2</v>
      </c>
      <c r="CU2902">
        <v>0</v>
      </c>
      <c r="CV2902">
        <v>2</v>
      </c>
      <c r="CW2902">
        <v>0</v>
      </c>
      <c r="CX2902">
        <v>2</v>
      </c>
      <c r="CY2902">
        <v>7</v>
      </c>
      <c r="CZ2902" t="s">
        <v>131</v>
      </c>
      <c r="DA2902">
        <v>286</v>
      </c>
      <c r="DB2902">
        <v>0</v>
      </c>
      <c r="DC2902" t="s">
        <v>132</v>
      </c>
      <c r="DD2902" t="s">
        <v>133</v>
      </c>
      <c r="DG2902">
        <v>857769</v>
      </c>
      <c r="DI2902">
        <v>1</v>
      </c>
      <c r="DJ2902">
        <v>0</v>
      </c>
      <c r="DK2902">
        <v>1</v>
      </c>
      <c r="DL2902">
        <v>0</v>
      </c>
      <c r="DM2902">
        <v>0</v>
      </c>
      <c r="DN2902">
        <v>1</v>
      </c>
      <c r="DO2902">
        <v>0</v>
      </c>
      <c r="DP2902">
        <v>0</v>
      </c>
      <c r="DQ2902">
        <v>0</v>
      </c>
      <c r="DR2902">
        <v>0</v>
      </c>
      <c r="DS2902">
        <v>0</v>
      </c>
    </row>
    <row r="2903" spans="1:123" x14ac:dyDescent="0.3">
      <c r="A2903" t="str">
        <f t="shared" si="1052"/>
        <v>10/04/2022 19:33:19.369</v>
      </c>
      <c r="C2903" t="str">
        <f t="shared" si="1036"/>
        <v>FFDDD3C0</v>
      </c>
      <c r="D2903" t="s">
        <v>143</v>
      </c>
      <c r="E2903">
        <v>20</v>
      </c>
      <c r="F2903">
        <v>1020</v>
      </c>
      <c r="G2903" t="s">
        <v>144</v>
      </c>
      <c r="J2903" t="s">
        <v>145</v>
      </c>
      <c r="K2903">
        <v>0</v>
      </c>
      <c r="L2903">
        <v>3</v>
      </c>
      <c r="M2903">
        <v>0</v>
      </c>
      <c r="N2903">
        <v>2</v>
      </c>
      <c r="O2903">
        <v>0</v>
      </c>
      <c r="P2903">
        <v>1</v>
      </c>
      <c r="Q2903">
        <v>0</v>
      </c>
      <c r="S2903" t="str">
        <f t="shared" si="1053"/>
        <v>19:33:19.000</v>
      </c>
      <c r="T2903" t="str">
        <f t="shared" si="1053"/>
        <v>19:33:19.000</v>
      </c>
      <c r="U2903" t="str">
        <f t="shared" si="1046"/>
        <v>AC3944</v>
      </c>
      <c r="V2903">
        <v>0</v>
      </c>
      <c r="W2903">
        <v>0</v>
      </c>
      <c r="X2903">
        <v>2</v>
      </c>
      <c r="Y2903">
        <v>0</v>
      </c>
      <c r="AA2903">
        <v>1</v>
      </c>
      <c r="AB2903">
        <v>8</v>
      </c>
      <c r="AC2903">
        <v>3</v>
      </c>
      <c r="AD2903">
        <v>0</v>
      </c>
      <c r="AE2903">
        <v>9</v>
      </c>
      <c r="AF2903" t="s">
        <v>138</v>
      </c>
      <c r="AG2903">
        <v>0</v>
      </c>
      <c r="AH2903">
        <v>3</v>
      </c>
      <c r="AI2903">
        <v>1</v>
      </c>
      <c r="AJ2903">
        <v>0</v>
      </c>
      <c r="AK2903" t="s">
        <v>978</v>
      </c>
      <c r="AL2903">
        <v>32.726790999999999</v>
      </c>
      <c r="AM2903" t="s">
        <v>979</v>
      </c>
      <c r="AN2903">
        <v>-116.750529</v>
      </c>
      <c r="AO2903">
        <v>25</v>
      </c>
      <c r="AP2903">
        <v>3700</v>
      </c>
      <c r="AQ2903" t="s">
        <v>129</v>
      </c>
      <c r="AR2903">
        <v>3</v>
      </c>
      <c r="AS2903">
        <v>-134</v>
      </c>
      <c r="AT2903">
        <v>256</v>
      </c>
      <c r="BB2903">
        <v>1200</v>
      </c>
      <c r="BC2903">
        <v>1</v>
      </c>
      <c r="BD2903" t="str">
        <f t="shared" si="1047"/>
        <v xml:space="preserve">N887QR  </v>
      </c>
      <c r="BE2903">
        <v>1</v>
      </c>
      <c r="BJ2903">
        <v>3400</v>
      </c>
      <c r="BK2903">
        <v>-300</v>
      </c>
      <c r="BL2903" t="s">
        <v>163</v>
      </c>
      <c r="BM2903">
        <v>1</v>
      </c>
      <c r="BN2903">
        <v>1</v>
      </c>
      <c r="BO2903">
        <v>1</v>
      </c>
      <c r="BP2903">
        <v>0</v>
      </c>
      <c r="BS2903">
        <v>0</v>
      </c>
      <c r="BT2903">
        <v>0</v>
      </c>
      <c r="BU2903">
        <v>0</v>
      </c>
      <c r="CE2903" t="str">
        <f t="shared" si="1054"/>
        <v>19:33:19.105</v>
      </c>
      <c r="CF2903">
        <v>105151688</v>
      </c>
      <c r="CS2903">
        <v>0</v>
      </c>
      <c r="CT2903">
        <v>2</v>
      </c>
      <c r="CU2903">
        <v>0</v>
      </c>
      <c r="CV2903">
        <v>2</v>
      </c>
      <c r="CW2903">
        <v>0</v>
      </c>
      <c r="CX2903">
        <v>2</v>
      </c>
      <c r="CY2903">
        <v>7</v>
      </c>
      <c r="CZ2903" t="s">
        <v>131</v>
      </c>
      <c r="DA2903">
        <v>286</v>
      </c>
      <c r="DB2903">
        <v>0</v>
      </c>
      <c r="DC2903" t="s">
        <v>132</v>
      </c>
      <c r="DD2903" t="s">
        <v>133</v>
      </c>
      <c r="DG2903">
        <v>857769</v>
      </c>
      <c r="DI2903">
        <v>1</v>
      </c>
      <c r="DJ2903">
        <v>0</v>
      </c>
      <c r="DK2903">
        <v>1</v>
      </c>
      <c r="DL2903">
        <v>0</v>
      </c>
      <c r="DM2903">
        <v>0</v>
      </c>
      <c r="DN2903">
        <v>1</v>
      </c>
      <c r="DO2903">
        <v>0</v>
      </c>
      <c r="DP2903">
        <v>0</v>
      </c>
      <c r="DQ2903">
        <v>0</v>
      </c>
      <c r="DR2903">
        <v>0</v>
      </c>
      <c r="DS2903">
        <v>0</v>
      </c>
    </row>
    <row r="2904" spans="1:123" x14ac:dyDescent="0.3">
      <c r="A2904" t="str">
        <f t="shared" si="1052"/>
        <v>10/04/2022 19:33:19.369</v>
      </c>
      <c r="C2904" t="str">
        <f t="shared" si="1036"/>
        <v>FFDDD3C0</v>
      </c>
      <c r="D2904" t="s">
        <v>141</v>
      </c>
      <c r="E2904">
        <v>4</v>
      </c>
      <c r="H2904">
        <v>4</v>
      </c>
      <c r="I2904" t="s">
        <v>142</v>
      </c>
      <c r="J2904" t="s">
        <v>138</v>
      </c>
      <c r="K2904">
        <v>0</v>
      </c>
      <c r="L2904">
        <v>3</v>
      </c>
      <c r="M2904">
        <v>0</v>
      </c>
      <c r="N2904">
        <v>2</v>
      </c>
      <c r="O2904">
        <v>0</v>
      </c>
      <c r="P2904">
        <v>1</v>
      </c>
      <c r="Q2904">
        <v>0</v>
      </c>
      <c r="S2904" t="str">
        <f t="shared" si="1053"/>
        <v>19:33:19.000</v>
      </c>
      <c r="T2904" t="str">
        <f t="shared" si="1053"/>
        <v>19:33:19.000</v>
      </c>
      <c r="U2904" t="str">
        <f t="shared" si="1046"/>
        <v>AC3944</v>
      </c>
      <c r="V2904">
        <v>0</v>
      </c>
      <c r="W2904">
        <v>0</v>
      </c>
      <c r="X2904">
        <v>2</v>
      </c>
      <c r="Y2904">
        <v>0</v>
      </c>
      <c r="AA2904">
        <v>1</v>
      </c>
      <c r="AB2904">
        <v>8</v>
      </c>
      <c r="AC2904">
        <v>3</v>
      </c>
      <c r="AD2904">
        <v>0</v>
      </c>
      <c r="AE2904">
        <v>9</v>
      </c>
      <c r="AF2904" t="s">
        <v>138</v>
      </c>
      <c r="AG2904">
        <v>0</v>
      </c>
      <c r="AH2904">
        <v>3</v>
      </c>
      <c r="AI2904">
        <v>1</v>
      </c>
      <c r="AJ2904">
        <v>0</v>
      </c>
      <c r="AK2904" t="s">
        <v>978</v>
      </c>
      <c r="AL2904">
        <v>32.726790999999999</v>
      </c>
      <c r="AM2904" t="s">
        <v>979</v>
      </c>
      <c r="AN2904">
        <v>-116.750529</v>
      </c>
      <c r="AO2904">
        <v>25</v>
      </c>
      <c r="AP2904">
        <v>3700</v>
      </c>
      <c r="AQ2904" t="s">
        <v>129</v>
      </c>
      <c r="AR2904">
        <v>3</v>
      </c>
      <c r="AS2904">
        <v>-134</v>
      </c>
      <c r="AT2904">
        <v>256</v>
      </c>
      <c r="BB2904">
        <v>1200</v>
      </c>
      <c r="BC2904">
        <v>1</v>
      </c>
      <c r="BD2904" t="str">
        <f t="shared" si="1047"/>
        <v xml:space="preserve">N887QR  </v>
      </c>
      <c r="BE2904">
        <v>1</v>
      </c>
      <c r="BJ2904">
        <v>3400</v>
      </c>
      <c r="BK2904">
        <v>-300</v>
      </c>
      <c r="BL2904" t="s">
        <v>163</v>
      </c>
      <c r="BM2904">
        <v>1</v>
      </c>
      <c r="BN2904">
        <v>1</v>
      </c>
      <c r="BO2904">
        <v>1</v>
      </c>
      <c r="BP2904">
        <v>0</v>
      </c>
      <c r="BS2904">
        <v>0</v>
      </c>
      <c r="BT2904">
        <v>0</v>
      </c>
      <c r="BU2904">
        <v>0</v>
      </c>
      <c r="CE2904" t="str">
        <f t="shared" si="1054"/>
        <v>19:33:19.105</v>
      </c>
      <c r="CF2904">
        <v>105151688</v>
      </c>
      <c r="CS2904">
        <v>0</v>
      </c>
      <c r="CT2904">
        <v>2</v>
      </c>
      <c r="CU2904">
        <v>0</v>
      </c>
      <c r="CV2904">
        <v>2</v>
      </c>
      <c r="CW2904">
        <v>0</v>
      </c>
      <c r="CX2904">
        <v>2</v>
      </c>
      <c r="CY2904">
        <v>7</v>
      </c>
      <c r="CZ2904" t="s">
        <v>131</v>
      </c>
      <c r="DA2904">
        <v>286</v>
      </c>
      <c r="DB2904">
        <v>0</v>
      </c>
      <c r="DC2904" t="s">
        <v>132</v>
      </c>
      <c r="DD2904" t="s">
        <v>133</v>
      </c>
      <c r="DG2904">
        <v>857769</v>
      </c>
      <c r="DI2904">
        <v>1</v>
      </c>
      <c r="DJ2904">
        <v>0</v>
      </c>
      <c r="DK2904">
        <v>1</v>
      </c>
      <c r="DL2904">
        <v>0</v>
      </c>
      <c r="DM2904">
        <v>0</v>
      </c>
      <c r="DN2904">
        <v>1</v>
      </c>
      <c r="DO2904">
        <v>0</v>
      </c>
      <c r="DP2904">
        <v>0</v>
      </c>
      <c r="DQ2904">
        <v>0</v>
      </c>
      <c r="DR2904">
        <v>0</v>
      </c>
      <c r="DS2904">
        <v>0</v>
      </c>
    </row>
    <row r="2905" spans="1:123" x14ac:dyDescent="0.3">
      <c r="A2905" t="str">
        <f t="shared" ref="A2905:A2911" si="1055">"10/04/2022 19:33:20.371"</f>
        <v>10/04/2022 19:33:20.371</v>
      </c>
      <c r="C2905" t="str">
        <f t="shared" si="1036"/>
        <v>FFDDD3C0</v>
      </c>
      <c r="D2905" t="s">
        <v>147</v>
      </c>
      <c r="E2905">
        <v>3</v>
      </c>
      <c r="H2905">
        <v>166</v>
      </c>
      <c r="I2905" t="s">
        <v>144</v>
      </c>
      <c r="J2905" t="s">
        <v>148</v>
      </c>
      <c r="K2905">
        <v>0</v>
      </c>
      <c r="L2905">
        <v>3</v>
      </c>
      <c r="M2905">
        <v>0</v>
      </c>
      <c r="N2905">
        <v>2</v>
      </c>
      <c r="O2905">
        <v>0</v>
      </c>
      <c r="P2905">
        <v>1</v>
      </c>
      <c r="Q2905">
        <v>0</v>
      </c>
      <c r="S2905" t="str">
        <f t="shared" si="1053"/>
        <v>19:33:19.000</v>
      </c>
      <c r="T2905" t="str">
        <f t="shared" si="1053"/>
        <v>19:33:19.000</v>
      </c>
      <c r="U2905" t="str">
        <f t="shared" si="1046"/>
        <v>AC3944</v>
      </c>
      <c r="V2905">
        <v>0</v>
      </c>
      <c r="W2905">
        <v>0</v>
      </c>
      <c r="X2905">
        <v>2</v>
      </c>
      <c r="Y2905">
        <v>0</v>
      </c>
      <c r="AA2905">
        <v>1</v>
      </c>
      <c r="AB2905">
        <v>8</v>
      </c>
      <c r="AC2905">
        <v>3</v>
      </c>
      <c r="AD2905">
        <v>0</v>
      </c>
      <c r="AE2905">
        <v>9</v>
      </c>
      <c r="AF2905" t="s">
        <v>138</v>
      </c>
      <c r="AG2905">
        <v>0</v>
      </c>
      <c r="AH2905">
        <v>3</v>
      </c>
      <c r="AI2905">
        <v>1</v>
      </c>
      <c r="AJ2905">
        <v>0</v>
      </c>
      <c r="AK2905" t="s">
        <v>980</v>
      </c>
      <c r="AL2905">
        <v>32.726168999999999</v>
      </c>
      <c r="AM2905" t="s">
        <v>981</v>
      </c>
      <c r="AN2905">
        <v>-116.750507</v>
      </c>
      <c r="AO2905">
        <v>25</v>
      </c>
      <c r="AP2905">
        <v>3700</v>
      </c>
      <c r="AQ2905" t="s">
        <v>129</v>
      </c>
      <c r="AR2905">
        <v>-10</v>
      </c>
      <c r="AS2905">
        <v>-134</v>
      </c>
      <c r="AT2905">
        <v>256</v>
      </c>
      <c r="BB2905">
        <v>1200</v>
      </c>
      <c r="BC2905">
        <v>1</v>
      </c>
      <c r="BD2905" t="str">
        <f t="shared" si="1047"/>
        <v xml:space="preserve">N887QR  </v>
      </c>
      <c r="BE2905">
        <v>1</v>
      </c>
      <c r="BJ2905">
        <v>3400</v>
      </c>
      <c r="BK2905">
        <v>-300</v>
      </c>
      <c r="BL2905" t="s">
        <v>163</v>
      </c>
      <c r="BM2905">
        <v>1</v>
      </c>
      <c r="BN2905">
        <v>1</v>
      </c>
      <c r="BO2905">
        <v>1</v>
      </c>
      <c r="BP2905">
        <v>0</v>
      </c>
      <c r="BS2905">
        <v>0</v>
      </c>
      <c r="BT2905">
        <v>0</v>
      </c>
      <c r="BU2905">
        <v>0</v>
      </c>
      <c r="CE2905" t="str">
        <f t="shared" ref="CE2905:CE2911" si="1056">"19:33:19.959"</f>
        <v>19:33:19.959</v>
      </c>
      <c r="CF2905">
        <v>959222710</v>
      </c>
      <c r="CS2905">
        <v>0</v>
      </c>
      <c r="CT2905">
        <v>2</v>
      </c>
      <c r="CU2905">
        <v>0</v>
      </c>
      <c r="CV2905">
        <v>2</v>
      </c>
      <c r="CW2905">
        <v>0</v>
      </c>
      <c r="CX2905">
        <v>1</v>
      </c>
      <c r="CY2905">
        <v>7</v>
      </c>
      <c r="CZ2905" t="s">
        <v>131</v>
      </c>
      <c r="DA2905">
        <v>300</v>
      </c>
      <c r="DB2905">
        <v>0</v>
      </c>
      <c r="DC2905" t="s">
        <v>176</v>
      </c>
      <c r="DD2905" t="s">
        <v>177</v>
      </c>
      <c r="DG2905">
        <v>5424581</v>
      </c>
      <c r="DI2905">
        <v>1</v>
      </c>
      <c r="DJ2905">
        <v>0</v>
      </c>
      <c r="DK2905">
        <v>0</v>
      </c>
      <c r="DL2905">
        <v>0</v>
      </c>
      <c r="DM2905">
        <v>0</v>
      </c>
      <c r="DN2905">
        <v>1</v>
      </c>
      <c r="DO2905">
        <v>0</v>
      </c>
      <c r="DP2905">
        <v>0</v>
      </c>
      <c r="DQ2905">
        <v>0</v>
      </c>
      <c r="DR2905">
        <v>0</v>
      </c>
      <c r="DS2905">
        <v>0</v>
      </c>
    </row>
    <row r="2906" spans="1:123" x14ac:dyDescent="0.3">
      <c r="A2906" t="str">
        <f t="shared" si="1055"/>
        <v>10/04/2022 19:33:20.371</v>
      </c>
      <c r="C2906" t="str">
        <f t="shared" si="1036"/>
        <v>FFDDD3C0</v>
      </c>
      <c r="D2906" t="s">
        <v>141</v>
      </c>
      <c r="E2906">
        <v>4</v>
      </c>
      <c r="H2906">
        <v>4</v>
      </c>
      <c r="I2906" t="s">
        <v>142</v>
      </c>
      <c r="J2906" t="s">
        <v>138</v>
      </c>
      <c r="K2906">
        <v>0</v>
      </c>
      <c r="L2906">
        <v>3</v>
      </c>
      <c r="M2906">
        <v>0</v>
      </c>
      <c r="N2906">
        <v>2</v>
      </c>
      <c r="O2906">
        <v>0</v>
      </c>
      <c r="P2906">
        <v>1</v>
      </c>
      <c r="Q2906">
        <v>0</v>
      </c>
      <c r="S2906" t="str">
        <f t="shared" si="1053"/>
        <v>19:33:19.000</v>
      </c>
      <c r="T2906" t="str">
        <f t="shared" si="1053"/>
        <v>19:33:19.000</v>
      </c>
      <c r="U2906" t="str">
        <f t="shared" si="1046"/>
        <v>AC3944</v>
      </c>
      <c r="V2906">
        <v>0</v>
      </c>
      <c r="W2906">
        <v>0</v>
      </c>
      <c r="X2906">
        <v>2</v>
      </c>
      <c r="Y2906">
        <v>0</v>
      </c>
      <c r="AA2906">
        <v>1</v>
      </c>
      <c r="AB2906">
        <v>8</v>
      </c>
      <c r="AC2906">
        <v>3</v>
      </c>
      <c r="AD2906">
        <v>0</v>
      </c>
      <c r="AE2906">
        <v>9</v>
      </c>
      <c r="AF2906" t="s">
        <v>138</v>
      </c>
      <c r="AG2906">
        <v>0</v>
      </c>
      <c r="AH2906">
        <v>3</v>
      </c>
      <c r="AI2906">
        <v>1</v>
      </c>
      <c r="AJ2906">
        <v>0</v>
      </c>
      <c r="AK2906" t="s">
        <v>980</v>
      </c>
      <c r="AL2906">
        <v>32.726168999999999</v>
      </c>
      <c r="AM2906" t="s">
        <v>981</v>
      </c>
      <c r="AN2906">
        <v>-116.750507</v>
      </c>
      <c r="AO2906">
        <v>25</v>
      </c>
      <c r="AP2906">
        <v>3700</v>
      </c>
      <c r="AQ2906" t="s">
        <v>129</v>
      </c>
      <c r="AR2906">
        <v>-10</v>
      </c>
      <c r="AS2906">
        <v>-134</v>
      </c>
      <c r="AT2906">
        <v>256</v>
      </c>
      <c r="BB2906">
        <v>1200</v>
      </c>
      <c r="BC2906">
        <v>1</v>
      </c>
      <c r="BD2906" t="str">
        <f t="shared" si="1047"/>
        <v xml:space="preserve">N887QR  </v>
      </c>
      <c r="BE2906">
        <v>1</v>
      </c>
      <c r="BJ2906">
        <v>3400</v>
      </c>
      <c r="BK2906">
        <v>-300</v>
      </c>
      <c r="BL2906" t="s">
        <v>163</v>
      </c>
      <c r="BM2906">
        <v>1</v>
      </c>
      <c r="BN2906">
        <v>1</v>
      </c>
      <c r="BO2906">
        <v>1</v>
      </c>
      <c r="BP2906">
        <v>0</v>
      </c>
      <c r="BS2906">
        <v>0</v>
      </c>
      <c r="BT2906">
        <v>0</v>
      </c>
      <c r="BU2906">
        <v>0</v>
      </c>
      <c r="CE2906" t="str">
        <f t="shared" si="1056"/>
        <v>19:33:19.959</v>
      </c>
      <c r="CF2906">
        <v>959222710</v>
      </c>
      <c r="CS2906">
        <v>0</v>
      </c>
      <c r="CT2906">
        <v>2</v>
      </c>
      <c r="CU2906">
        <v>0</v>
      </c>
      <c r="CV2906">
        <v>2</v>
      </c>
      <c r="CW2906">
        <v>0</v>
      </c>
      <c r="CX2906">
        <v>1</v>
      </c>
      <c r="CY2906">
        <v>7</v>
      </c>
      <c r="CZ2906" t="s">
        <v>131</v>
      </c>
      <c r="DA2906">
        <v>300</v>
      </c>
      <c r="DB2906">
        <v>0</v>
      </c>
      <c r="DC2906" t="s">
        <v>176</v>
      </c>
      <c r="DD2906" t="s">
        <v>177</v>
      </c>
      <c r="DG2906">
        <v>5424581</v>
      </c>
      <c r="DI2906">
        <v>1</v>
      </c>
      <c r="DJ2906">
        <v>0</v>
      </c>
      <c r="DK2906">
        <v>1</v>
      </c>
      <c r="DL2906">
        <v>0</v>
      </c>
      <c r="DM2906">
        <v>0</v>
      </c>
      <c r="DN2906">
        <v>1</v>
      </c>
      <c r="DO2906">
        <v>0</v>
      </c>
      <c r="DP2906">
        <v>0</v>
      </c>
      <c r="DQ2906">
        <v>0</v>
      </c>
      <c r="DR2906">
        <v>0</v>
      </c>
      <c r="DS2906">
        <v>0</v>
      </c>
    </row>
    <row r="2907" spans="1:123" x14ac:dyDescent="0.3">
      <c r="A2907" t="str">
        <f t="shared" si="1055"/>
        <v>10/04/2022 19:33:20.371</v>
      </c>
      <c r="C2907" t="str">
        <f t="shared" si="1036"/>
        <v>FFDDD3C0</v>
      </c>
      <c r="D2907" t="s">
        <v>136</v>
      </c>
      <c r="E2907">
        <v>8</v>
      </c>
      <c r="H2907">
        <v>225</v>
      </c>
      <c r="I2907" t="s">
        <v>137</v>
      </c>
      <c r="J2907" t="s">
        <v>138</v>
      </c>
      <c r="K2907">
        <v>0</v>
      </c>
      <c r="L2907">
        <v>3</v>
      </c>
      <c r="M2907">
        <v>0</v>
      </c>
      <c r="N2907">
        <v>2</v>
      </c>
      <c r="O2907">
        <v>0</v>
      </c>
      <c r="P2907">
        <v>1</v>
      </c>
      <c r="Q2907">
        <v>0</v>
      </c>
      <c r="S2907" t="str">
        <f t="shared" si="1053"/>
        <v>19:33:19.000</v>
      </c>
      <c r="T2907" t="str">
        <f t="shared" si="1053"/>
        <v>19:33:19.000</v>
      </c>
      <c r="U2907" t="str">
        <f t="shared" si="1046"/>
        <v>AC3944</v>
      </c>
      <c r="V2907">
        <v>0</v>
      </c>
      <c r="W2907">
        <v>0</v>
      </c>
      <c r="X2907">
        <v>2</v>
      </c>
      <c r="Y2907">
        <v>0</v>
      </c>
      <c r="AA2907">
        <v>1</v>
      </c>
      <c r="AB2907">
        <v>8</v>
      </c>
      <c r="AC2907">
        <v>3</v>
      </c>
      <c r="AD2907">
        <v>0</v>
      </c>
      <c r="AE2907">
        <v>9</v>
      </c>
      <c r="AF2907" t="s">
        <v>138</v>
      </c>
      <c r="AG2907">
        <v>0</v>
      </c>
      <c r="AH2907">
        <v>3</v>
      </c>
      <c r="AI2907">
        <v>1</v>
      </c>
      <c r="AJ2907">
        <v>0</v>
      </c>
      <c r="AK2907" t="s">
        <v>980</v>
      </c>
      <c r="AL2907">
        <v>32.726168999999999</v>
      </c>
      <c r="AM2907" t="s">
        <v>981</v>
      </c>
      <c r="AN2907">
        <v>-116.750507</v>
      </c>
      <c r="AO2907">
        <v>25</v>
      </c>
      <c r="AP2907">
        <v>3700</v>
      </c>
      <c r="AQ2907" t="s">
        <v>129</v>
      </c>
      <c r="AR2907">
        <v>-10</v>
      </c>
      <c r="AS2907">
        <v>-134</v>
      </c>
      <c r="AT2907">
        <v>256</v>
      </c>
      <c r="BB2907">
        <v>1200</v>
      </c>
      <c r="BC2907">
        <v>1</v>
      </c>
      <c r="BD2907" t="str">
        <f t="shared" si="1047"/>
        <v xml:space="preserve">N887QR  </v>
      </c>
      <c r="BE2907">
        <v>1</v>
      </c>
      <c r="BJ2907">
        <v>3400</v>
      </c>
      <c r="BK2907">
        <v>-300</v>
      </c>
      <c r="BL2907" t="s">
        <v>163</v>
      </c>
      <c r="BM2907">
        <v>1</v>
      </c>
      <c r="BN2907">
        <v>1</v>
      </c>
      <c r="BO2907">
        <v>1</v>
      </c>
      <c r="BP2907">
        <v>0</v>
      </c>
      <c r="BS2907">
        <v>0</v>
      </c>
      <c r="BT2907">
        <v>0</v>
      </c>
      <c r="BU2907">
        <v>0</v>
      </c>
      <c r="CE2907" t="str">
        <f t="shared" si="1056"/>
        <v>19:33:19.959</v>
      </c>
      <c r="CF2907">
        <v>959222710</v>
      </c>
      <c r="CS2907">
        <v>0</v>
      </c>
      <c r="CT2907">
        <v>2</v>
      </c>
      <c r="CU2907">
        <v>0</v>
      </c>
      <c r="CV2907">
        <v>2</v>
      </c>
      <c r="CW2907">
        <v>0</v>
      </c>
      <c r="CX2907">
        <v>1</v>
      </c>
      <c r="CY2907">
        <v>7</v>
      </c>
      <c r="CZ2907" t="s">
        <v>131</v>
      </c>
      <c r="DA2907">
        <v>300</v>
      </c>
      <c r="DB2907">
        <v>0</v>
      </c>
      <c r="DC2907" t="s">
        <v>176</v>
      </c>
      <c r="DD2907" t="s">
        <v>177</v>
      </c>
      <c r="DG2907">
        <v>5424581</v>
      </c>
      <c r="DI2907">
        <v>1</v>
      </c>
      <c r="DJ2907">
        <v>0</v>
      </c>
      <c r="DK2907">
        <v>1</v>
      </c>
      <c r="DL2907">
        <v>0</v>
      </c>
      <c r="DM2907">
        <v>0</v>
      </c>
      <c r="DN2907">
        <v>1</v>
      </c>
      <c r="DO2907">
        <v>0</v>
      </c>
      <c r="DP2907">
        <v>0</v>
      </c>
      <c r="DQ2907">
        <v>0</v>
      </c>
      <c r="DR2907">
        <v>0</v>
      </c>
      <c r="DS2907">
        <v>0</v>
      </c>
    </row>
    <row r="2908" spans="1:123" x14ac:dyDescent="0.3">
      <c r="A2908" t="str">
        <f t="shared" si="1055"/>
        <v>10/04/2022 19:33:20.371</v>
      </c>
      <c r="C2908" t="str">
        <f t="shared" si="1036"/>
        <v>FFDDD3C0</v>
      </c>
      <c r="D2908" t="s">
        <v>143</v>
      </c>
      <c r="E2908">
        <v>20</v>
      </c>
      <c r="F2908">
        <v>1020</v>
      </c>
      <c r="G2908" t="s">
        <v>144</v>
      </c>
      <c r="J2908" t="s">
        <v>145</v>
      </c>
      <c r="K2908">
        <v>0</v>
      </c>
      <c r="L2908">
        <v>3</v>
      </c>
      <c r="M2908">
        <v>0</v>
      </c>
      <c r="N2908">
        <v>2</v>
      </c>
      <c r="O2908">
        <v>0</v>
      </c>
      <c r="P2908">
        <v>1</v>
      </c>
      <c r="Q2908">
        <v>0</v>
      </c>
      <c r="S2908" t="str">
        <f t="shared" si="1053"/>
        <v>19:33:19.000</v>
      </c>
      <c r="T2908" t="str">
        <f t="shared" si="1053"/>
        <v>19:33:19.000</v>
      </c>
      <c r="U2908" t="str">
        <f t="shared" si="1046"/>
        <v>AC3944</v>
      </c>
      <c r="V2908">
        <v>0</v>
      </c>
      <c r="W2908">
        <v>0</v>
      </c>
      <c r="X2908">
        <v>2</v>
      </c>
      <c r="Y2908">
        <v>0</v>
      </c>
      <c r="AA2908">
        <v>1</v>
      </c>
      <c r="AB2908">
        <v>8</v>
      </c>
      <c r="AC2908">
        <v>3</v>
      </c>
      <c r="AD2908">
        <v>0</v>
      </c>
      <c r="AE2908">
        <v>9</v>
      </c>
      <c r="AF2908" t="s">
        <v>138</v>
      </c>
      <c r="AG2908">
        <v>0</v>
      </c>
      <c r="AH2908">
        <v>3</v>
      </c>
      <c r="AI2908">
        <v>1</v>
      </c>
      <c r="AJ2908">
        <v>0</v>
      </c>
      <c r="AK2908" t="s">
        <v>980</v>
      </c>
      <c r="AL2908">
        <v>32.726168999999999</v>
      </c>
      <c r="AM2908" t="s">
        <v>981</v>
      </c>
      <c r="AN2908">
        <v>-116.750507</v>
      </c>
      <c r="AO2908">
        <v>25</v>
      </c>
      <c r="AP2908">
        <v>3700</v>
      </c>
      <c r="AQ2908" t="s">
        <v>129</v>
      </c>
      <c r="AR2908">
        <v>-10</v>
      </c>
      <c r="AS2908">
        <v>-134</v>
      </c>
      <c r="AT2908">
        <v>256</v>
      </c>
      <c r="BB2908">
        <v>1200</v>
      </c>
      <c r="BC2908">
        <v>1</v>
      </c>
      <c r="BD2908" t="str">
        <f t="shared" si="1047"/>
        <v xml:space="preserve">N887QR  </v>
      </c>
      <c r="BE2908">
        <v>1</v>
      </c>
      <c r="BJ2908">
        <v>3400</v>
      </c>
      <c r="BK2908">
        <v>-300</v>
      </c>
      <c r="BL2908" t="s">
        <v>163</v>
      </c>
      <c r="BM2908">
        <v>1</v>
      </c>
      <c r="BN2908">
        <v>1</v>
      </c>
      <c r="BO2908">
        <v>1</v>
      </c>
      <c r="BP2908">
        <v>0</v>
      </c>
      <c r="BS2908">
        <v>0</v>
      </c>
      <c r="BT2908">
        <v>0</v>
      </c>
      <c r="BU2908">
        <v>0</v>
      </c>
      <c r="CE2908" t="str">
        <f t="shared" si="1056"/>
        <v>19:33:19.959</v>
      </c>
      <c r="CF2908">
        <v>959222710</v>
      </c>
      <c r="CS2908">
        <v>0</v>
      </c>
      <c r="CT2908">
        <v>2</v>
      </c>
      <c r="CU2908">
        <v>0</v>
      </c>
      <c r="CV2908">
        <v>2</v>
      </c>
      <c r="CW2908">
        <v>0</v>
      </c>
      <c r="CX2908">
        <v>1</v>
      </c>
      <c r="CY2908">
        <v>7</v>
      </c>
      <c r="CZ2908" t="s">
        <v>131</v>
      </c>
      <c r="DA2908">
        <v>300</v>
      </c>
      <c r="DB2908">
        <v>0</v>
      </c>
      <c r="DC2908" t="s">
        <v>176</v>
      </c>
      <c r="DD2908" t="s">
        <v>177</v>
      </c>
      <c r="DG2908">
        <v>5424581</v>
      </c>
      <c r="DI2908">
        <v>1</v>
      </c>
      <c r="DJ2908">
        <v>0</v>
      </c>
      <c r="DK2908">
        <v>1</v>
      </c>
      <c r="DL2908">
        <v>0</v>
      </c>
      <c r="DM2908">
        <v>0</v>
      </c>
      <c r="DN2908">
        <v>1</v>
      </c>
      <c r="DO2908">
        <v>0</v>
      </c>
      <c r="DP2908">
        <v>0</v>
      </c>
      <c r="DQ2908">
        <v>0</v>
      </c>
      <c r="DR2908">
        <v>0</v>
      </c>
      <c r="DS2908">
        <v>0</v>
      </c>
    </row>
    <row r="2909" spans="1:123" x14ac:dyDescent="0.3">
      <c r="A2909" t="str">
        <f t="shared" si="1055"/>
        <v>10/04/2022 19:33:20.371</v>
      </c>
      <c r="C2909" t="str">
        <f t="shared" si="1036"/>
        <v>FFDDD3C0</v>
      </c>
      <c r="D2909" t="s">
        <v>123</v>
      </c>
      <c r="E2909">
        <v>7</v>
      </c>
      <c r="F2909">
        <v>2007</v>
      </c>
      <c r="G2909" t="s">
        <v>124</v>
      </c>
      <c r="J2909" t="s">
        <v>125</v>
      </c>
      <c r="K2909">
        <v>0</v>
      </c>
      <c r="L2909">
        <v>3</v>
      </c>
      <c r="M2909">
        <v>0</v>
      </c>
      <c r="N2909">
        <v>2</v>
      </c>
      <c r="O2909">
        <v>0</v>
      </c>
      <c r="P2909">
        <v>1</v>
      </c>
      <c r="Q2909">
        <v>0</v>
      </c>
      <c r="S2909" t="str">
        <f t="shared" si="1053"/>
        <v>19:33:19.000</v>
      </c>
      <c r="T2909" t="str">
        <f t="shared" si="1053"/>
        <v>19:33:19.000</v>
      </c>
      <c r="U2909" t="str">
        <f t="shared" si="1046"/>
        <v>AC3944</v>
      </c>
      <c r="V2909">
        <v>0</v>
      </c>
      <c r="W2909">
        <v>0</v>
      </c>
      <c r="X2909">
        <v>2</v>
      </c>
      <c r="Y2909">
        <v>0</v>
      </c>
      <c r="AA2909">
        <v>1</v>
      </c>
      <c r="AB2909">
        <v>8</v>
      </c>
      <c r="AC2909">
        <v>3</v>
      </c>
      <c r="AD2909">
        <v>0</v>
      </c>
      <c r="AE2909">
        <v>9</v>
      </c>
      <c r="AF2909" t="s">
        <v>138</v>
      </c>
      <c r="AG2909">
        <v>0</v>
      </c>
      <c r="AH2909">
        <v>3</v>
      </c>
      <c r="AI2909">
        <v>1</v>
      </c>
      <c r="AJ2909">
        <v>0</v>
      </c>
      <c r="AK2909" t="s">
        <v>980</v>
      </c>
      <c r="AL2909">
        <v>32.726168999999999</v>
      </c>
      <c r="AM2909" t="s">
        <v>981</v>
      </c>
      <c r="AN2909">
        <v>-116.750507</v>
      </c>
      <c r="AO2909">
        <v>25</v>
      </c>
      <c r="AP2909">
        <v>3700</v>
      </c>
      <c r="AQ2909" t="s">
        <v>129</v>
      </c>
      <c r="AR2909">
        <v>-10</v>
      </c>
      <c r="AS2909">
        <v>-134</v>
      </c>
      <c r="AT2909">
        <v>256</v>
      </c>
      <c r="BB2909">
        <v>1200</v>
      </c>
      <c r="BC2909">
        <v>1</v>
      </c>
      <c r="BD2909" t="str">
        <f t="shared" si="1047"/>
        <v xml:space="preserve">N887QR  </v>
      </c>
      <c r="BE2909">
        <v>1</v>
      </c>
      <c r="BJ2909">
        <v>3400</v>
      </c>
      <c r="BK2909">
        <v>-300</v>
      </c>
      <c r="BL2909" t="s">
        <v>163</v>
      </c>
      <c r="BM2909">
        <v>1</v>
      </c>
      <c r="BN2909">
        <v>1</v>
      </c>
      <c r="BO2909">
        <v>1</v>
      </c>
      <c r="BP2909">
        <v>0</v>
      </c>
      <c r="BS2909">
        <v>0</v>
      </c>
      <c r="BT2909">
        <v>0</v>
      </c>
      <c r="BU2909">
        <v>0</v>
      </c>
      <c r="CE2909" t="str">
        <f t="shared" si="1056"/>
        <v>19:33:19.959</v>
      </c>
      <c r="CF2909">
        <v>959222710</v>
      </c>
      <c r="CS2909">
        <v>0</v>
      </c>
      <c r="CT2909">
        <v>2</v>
      </c>
      <c r="CU2909">
        <v>0</v>
      </c>
      <c r="CV2909">
        <v>2</v>
      </c>
      <c r="CW2909">
        <v>0</v>
      </c>
      <c r="CX2909">
        <v>1</v>
      </c>
      <c r="CY2909">
        <v>7</v>
      </c>
      <c r="CZ2909" t="s">
        <v>131</v>
      </c>
      <c r="DA2909">
        <v>300</v>
      </c>
      <c r="DB2909">
        <v>0</v>
      </c>
      <c r="DC2909" t="s">
        <v>176</v>
      </c>
      <c r="DD2909" t="s">
        <v>177</v>
      </c>
      <c r="DG2909">
        <v>5424581</v>
      </c>
      <c r="DI2909">
        <v>1</v>
      </c>
      <c r="DJ2909">
        <v>0</v>
      </c>
      <c r="DK2909">
        <v>1</v>
      </c>
      <c r="DL2909">
        <v>0</v>
      </c>
      <c r="DM2909">
        <v>0</v>
      </c>
      <c r="DN2909">
        <v>1</v>
      </c>
      <c r="DO2909">
        <v>0</v>
      </c>
      <c r="DP2909">
        <v>0</v>
      </c>
      <c r="DQ2909">
        <v>0</v>
      </c>
      <c r="DR2909">
        <v>0</v>
      </c>
      <c r="DS2909">
        <v>0</v>
      </c>
    </row>
    <row r="2910" spans="1:123" x14ac:dyDescent="0.3">
      <c r="A2910" t="str">
        <f t="shared" si="1055"/>
        <v>10/04/2022 19:33:20.371</v>
      </c>
      <c r="C2910" t="str">
        <f t="shared" si="1036"/>
        <v>FFDDD3C0</v>
      </c>
      <c r="D2910" t="s">
        <v>134</v>
      </c>
      <c r="E2910">
        <v>15</v>
      </c>
      <c r="J2910" t="s">
        <v>135</v>
      </c>
      <c r="K2910">
        <v>0</v>
      </c>
      <c r="L2910">
        <v>3</v>
      </c>
      <c r="M2910">
        <v>0</v>
      </c>
      <c r="N2910">
        <v>2</v>
      </c>
      <c r="O2910">
        <v>0</v>
      </c>
      <c r="P2910">
        <v>1</v>
      </c>
      <c r="Q2910">
        <v>0</v>
      </c>
      <c r="S2910" t="str">
        <f t="shared" si="1053"/>
        <v>19:33:19.000</v>
      </c>
      <c r="T2910" t="str">
        <f t="shared" si="1053"/>
        <v>19:33:19.000</v>
      </c>
      <c r="U2910" t="str">
        <f t="shared" si="1046"/>
        <v>AC3944</v>
      </c>
      <c r="V2910">
        <v>0</v>
      </c>
      <c r="W2910">
        <v>0</v>
      </c>
      <c r="X2910">
        <v>2</v>
      </c>
      <c r="Y2910">
        <v>0</v>
      </c>
      <c r="AA2910">
        <v>1</v>
      </c>
      <c r="AB2910">
        <v>8</v>
      </c>
      <c r="AC2910">
        <v>3</v>
      </c>
      <c r="AD2910">
        <v>0</v>
      </c>
      <c r="AE2910">
        <v>9</v>
      </c>
      <c r="AF2910" t="s">
        <v>138</v>
      </c>
      <c r="AG2910">
        <v>0</v>
      </c>
      <c r="AH2910">
        <v>3</v>
      </c>
      <c r="AI2910">
        <v>1</v>
      </c>
      <c r="AJ2910">
        <v>0</v>
      </c>
      <c r="AK2910" t="s">
        <v>980</v>
      </c>
      <c r="AL2910">
        <v>32.726168999999999</v>
      </c>
      <c r="AM2910" t="s">
        <v>981</v>
      </c>
      <c r="AN2910">
        <v>-116.750507</v>
      </c>
      <c r="AO2910">
        <v>25</v>
      </c>
      <c r="AP2910">
        <v>3700</v>
      </c>
      <c r="AQ2910" t="s">
        <v>129</v>
      </c>
      <c r="AR2910">
        <v>-10</v>
      </c>
      <c r="AS2910">
        <v>-134</v>
      </c>
      <c r="AT2910">
        <v>256</v>
      </c>
      <c r="BB2910">
        <v>1200</v>
      </c>
      <c r="BC2910">
        <v>1</v>
      </c>
      <c r="BD2910" t="str">
        <f t="shared" si="1047"/>
        <v xml:space="preserve">N887QR  </v>
      </c>
      <c r="BE2910">
        <v>1</v>
      </c>
      <c r="BJ2910">
        <v>3400</v>
      </c>
      <c r="BK2910">
        <v>-300</v>
      </c>
      <c r="BL2910" t="s">
        <v>163</v>
      </c>
      <c r="BM2910">
        <v>1</v>
      </c>
      <c r="BN2910">
        <v>1</v>
      </c>
      <c r="BO2910">
        <v>1</v>
      </c>
      <c r="BP2910">
        <v>0</v>
      </c>
      <c r="BS2910">
        <v>0</v>
      </c>
      <c r="BT2910">
        <v>0</v>
      </c>
      <c r="BU2910">
        <v>0</v>
      </c>
      <c r="CE2910" t="str">
        <f t="shared" si="1056"/>
        <v>19:33:19.959</v>
      </c>
      <c r="CF2910">
        <v>959222710</v>
      </c>
      <c r="CS2910">
        <v>0</v>
      </c>
      <c r="CT2910">
        <v>2</v>
      </c>
      <c r="CU2910">
        <v>0</v>
      </c>
      <c r="CV2910">
        <v>2</v>
      </c>
      <c r="CW2910">
        <v>0</v>
      </c>
      <c r="CX2910">
        <v>1</v>
      </c>
      <c r="CY2910">
        <v>7</v>
      </c>
      <c r="CZ2910" t="s">
        <v>131</v>
      </c>
      <c r="DA2910">
        <v>300</v>
      </c>
      <c r="DB2910">
        <v>0</v>
      </c>
      <c r="DC2910" t="s">
        <v>176</v>
      </c>
      <c r="DD2910" t="s">
        <v>177</v>
      </c>
      <c r="DG2910">
        <v>5424581</v>
      </c>
      <c r="DI2910">
        <v>1</v>
      </c>
      <c r="DJ2910">
        <v>0</v>
      </c>
      <c r="DK2910">
        <v>1</v>
      </c>
      <c r="DL2910">
        <v>0</v>
      </c>
      <c r="DM2910">
        <v>0</v>
      </c>
      <c r="DN2910">
        <v>1</v>
      </c>
      <c r="DO2910">
        <v>0</v>
      </c>
      <c r="DP2910">
        <v>0</v>
      </c>
      <c r="DQ2910">
        <v>0</v>
      </c>
      <c r="DR2910">
        <v>0</v>
      </c>
      <c r="DS2910">
        <v>0</v>
      </c>
    </row>
    <row r="2911" spans="1:123" x14ac:dyDescent="0.3">
      <c r="A2911" t="str">
        <f t="shared" si="1055"/>
        <v>10/04/2022 19:33:20.371</v>
      </c>
      <c r="C2911" t="str">
        <f t="shared" si="1036"/>
        <v>FFDDD3C0</v>
      </c>
      <c r="D2911" t="s">
        <v>141</v>
      </c>
      <c r="E2911">
        <v>3</v>
      </c>
      <c r="H2911">
        <v>3</v>
      </c>
      <c r="I2911" t="s">
        <v>146</v>
      </c>
      <c r="J2911" t="s">
        <v>138</v>
      </c>
      <c r="K2911">
        <v>0</v>
      </c>
      <c r="L2911">
        <v>3</v>
      </c>
      <c r="M2911">
        <v>0</v>
      </c>
      <c r="N2911">
        <v>2</v>
      </c>
      <c r="O2911">
        <v>0</v>
      </c>
      <c r="P2911">
        <v>1</v>
      </c>
      <c r="Q2911">
        <v>0</v>
      </c>
      <c r="S2911" t="str">
        <f t="shared" si="1053"/>
        <v>19:33:19.000</v>
      </c>
      <c r="T2911" t="str">
        <f t="shared" si="1053"/>
        <v>19:33:19.000</v>
      </c>
      <c r="U2911" t="str">
        <f t="shared" si="1046"/>
        <v>AC3944</v>
      </c>
      <c r="V2911">
        <v>0</v>
      </c>
      <c r="W2911">
        <v>0</v>
      </c>
      <c r="X2911">
        <v>2</v>
      </c>
      <c r="Y2911">
        <v>0</v>
      </c>
      <c r="AA2911">
        <v>1</v>
      </c>
      <c r="AB2911">
        <v>8</v>
      </c>
      <c r="AC2911">
        <v>3</v>
      </c>
      <c r="AD2911">
        <v>0</v>
      </c>
      <c r="AE2911">
        <v>9</v>
      </c>
      <c r="AF2911" t="s">
        <v>138</v>
      </c>
      <c r="AG2911">
        <v>0</v>
      </c>
      <c r="AH2911">
        <v>3</v>
      </c>
      <c r="AI2911">
        <v>1</v>
      </c>
      <c r="AJ2911">
        <v>0</v>
      </c>
      <c r="AK2911" t="s">
        <v>980</v>
      </c>
      <c r="AL2911">
        <v>32.726168999999999</v>
      </c>
      <c r="AM2911" t="s">
        <v>981</v>
      </c>
      <c r="AN2911">
        <v>-116.750507</v>
      </c>
      <c r="AO2911">
        <v>25</v>
      </c>
      <c r="AP2911">
        <v>3700</v>
      </c>
      <c r="AQ2911" t="s">
        <v>129</v>
      </c>
      <c r="AR2911">
        <v>-10</v>
      </c>
      <c r="AS2911">
        <v>-134</v>
      </c>
      <c r="AT2911">
        <v>256</v>
      </c>
      <c r="BB2911">
        <v>1200</v>
      </c>
      <c r="BC2911">
        <v>1</v>
      </c>
      <c r="BD2911" t="str">
        <f t="shared" si="1047"/>
        <v xml:space="preserve">N887QR  </v>
      </c>
      <c r="BE2911">
        <v>1</v>
      </c>
      <c r="BJ2911">
        <v>3400</v>
      </c>
      <c r="BK2911">
        <v>-300</v>
      </c>
      <c r="BL2911" t="s">
        <v>163</v>
      </c>
      <c r="BM2911">
        <v>1</v>
      </c>
      <c r="BN2911">
        <v>1</v>
      </c>
      <c r="BO2911">
        <v>1</v>
      </c>
      <c r="BP2911">
        <v>0</v>
      </c>
      <c r="BS2911">
        <v>0</v>
      </c>
      <c r="BT2911">
        <v>0</v>
      </c>
      <c r="BU2911">
        <v>0</v>
      </c>
      <c r="CE2911" t="str">
        <f t="shared" si="1056"/>
        <v>19:33:19.959</v>
      </c>
      <c r="CF2911">
        <v>959222710</v>
      </c>
      <c r="CS2911">
        <v>0</v>
      </c>
      <c r="CT2911">
        <v>2</v>
      </c>
      <c r="CU2911">
        <v>0</v>
      </c>
      <c r="CV2911">
        <v>2</v>
      </c>
      <c r="CW2911">
        <v>0</v>
      </c>
      <c r="CX2911">
        <v>1</v>
      </c>
      <c r="CY2911">
        <v>7</v>
      </c>
      <c r="CZ2911" t="s">
        <v>131</v>
      </c>
      <c r="DA2911">
        <v>300</v>
      </c>
      <c r="DB2911">
        <v>0</v>
      </c>
      <c r="DC2911" t="s">
        <v>176</v>
      </c>
      <c r="DD2911" t="s">
        <v>177</v>
      </c>
      <c r="DG2911">
        <v>5424581</v>
      </c>
      <c r="DI2911">
        <v>1</v>
      </c>
      <c r="DJ2911">
        <v>0</v>
      </c>
      <c r="DK2911">
        <v>1</v>
      </c>
      <c r="DL2911">
        <v>0</v>
      </c>
      <c r="DM2911">
        <v>0</v>
      </c>
      <c r="DN2911">
        <v>1</v>
      </c>
      <c r="DO2911">
        <v>0</v>
      </c>
      <c r="DP2911">
        <v>0</v>
      </c>
      <c r="DQ2911">
        <v>0</v>
      </c>
      <c r="DR2911">
        <v>0</v>
      </c>
      <c r="DS2911">
        <v>0</v>
      </c>
    </row>
    <row r="2912" spans="1:123" x14ac:dyDescent="0.3">
      <c r="A2912" t="str">
        <f t="shared" ref="A2912:A2917" si="1057">"10/04/2022 19:33:21.588"</f>
        <v>10/04/2022 19:33:21.588</v>
      </c>
      <c r="C2912" t="str">
        <f t="shared" si="1036"/>
        <v>FFDDD3C0</v>
      </c>
      <c r="D2912" t="s">
        <v>123</v>
      </c>
      <c r="E2912">
        <v>7</v>
      </c>
      <c r="F2912">
        <v>2007</v>
      </c>
      <c r="G2912" t="s">
        <v>124</v>
      </c>
      <c r="J2912" t="s">
        <v>125</v>
      </c>
      <c r="K2912">
        <v>0</v>
      </c>
      <c r="L2912">
        <v>3</v>
      </c>
      <c r="M2912">
        <v>0</v>
      </c>
      <c r="N2912">
        <v>2</v>
      </c>
      <c r="O2912">
        <v>0</v>
      </c>
      <c r="P2912">
        <v>1</v>
      </c>
      <c r="Q2912">
        <v>0</v>
      </c>
      <c r="S2912" t="str">
        <f t="shared" ref="S2912:T2921" si="1058">"19:33:21.000"</f>
        <v>19:33:21.000</v>
      </c>
      <c r="T2912" t="str">
        <f t="shared" si="1058"/>
        <v>19:33:21.000</v>
      </c>
      <c r="U2912" t="str">
        <f t="shared" si="1046"/>
        <v>AC3944</v>
      </c>
      <c r="V2912">
        <v>0</v>
      </c>
      <c r="W2912">
        <v>0</v>
      </c>
      <c r="X2912">
        <v>2</v>
      </c>
      <c r="Y2912">
        <v>0</v>
      </c>
      <c r="AA2912">
        <v>1</v>
      </c>
      <c r="AB2912">
        <v>8</v>
      </c>
      <c r="AC2912">
        <v>3</v>
      </c>
      <c r="AD2912">
        <v>0</v>
      </c>
      <c r="AE2912">
        <v>9</v>
      </c>
      <c r="AF2912" t="s">
        <v>138</v>
      </c>
      <c r="AG2912">
        <v>0</v>
      </c>
      <c r="AH2912">
        <v>3</v>
      </c>
      <c r="AI2912">
        <v>1</v>
      </c>
      <c r="AJ2912">
        <v>0</v>
      </c>
      <c r="AK2912" t="s">
        <v>982</v>
      </c>
      <c r="AL2912">
        <v>32.725675000000003</v>
      </c>
      <c r="AM2912" t="s">
        <v>983</v>
      </c>
      <c r="AN2912">
        <v>-116.75057200000001</v>
      </c>
      <c r="AO2912">
        <v>25</v>
      </c>
      <c r="AP2912">
        <v>3700</v>
      </c>
      <c r="AQ2912" t="s">
        <v>129</v>
      </c>
      <c r="AR2912">
        <v>-26</v>
      </c>
      <c r="AS2912">
        <v>-132</v>
      </c>
      <c r="AT2912">
        <v>64</v>
      </c>
      <c r="BB2912">
        <v>1200</v>
      </c>
      <c r="BC2912">
        <v>1</v>
      </c>
      <c r="BD2912" t="str">
        <f t="shared" si="1047"/>
        <v xml:space="preserve">N887QR  </v>
      </c>
      <c r="BE2912">
        <v>1</v>
      </c>
      <c r="BJ2912">
        <v>3400</v>
      </c>
      <c r="BK2912">
        <v>-300</v>
      </c>
      <c r="BL2912" t="s">
        <v>163</v>
      </c>
      <c r="BM2912">
        <v>1</v>
      </c>
      <c r="BN2912">
        <v>1</v>
      </c>
      <c r="BO2912">
        <v>1</v>
      </c>
      <c r="BP2912">
        <v>0</v>
      </c>
      <c r="BS2912">
        <v>0</v>
      </c>
      <c r="BT2912">
        <v>0</v>
      </c>
      <c r="BU2912">
        <v>0</v>
      </c>
      <c r="CE2912" t="str">
        <f t="shared" ref="CE2912:CE2918" si="1059">"19:33:21.313"</f>
        <v>19:33:21.313</v>
      </c>
      <c r="CF2912">
        <v>312908210</v>
      </c>
      <c r="CS2912">
        <v>0</v>
      </c>
      <c r="CT2912">
        <v>2</v>
      </c>
      <c r="CU2912">
        <v>0</v>
      </c>
      <c r="CV2912">
        <v>2</v>
      </c>
      <c r="CW2912">
        <v>0</v>
      </c>
      <c r="CX2912">
        <v>1</v>
      </c>
      <c r="CY2912">
        <v>7</v>
      </c>
      <c r="CZ2912" t="s">
        <v>131</v>
      </c>
      <c r="DA2912">
        <v>286</v>
      </c>
      <c r="DB2912">
        <v>0</v>
      </c>
      <c r="DC2912" t="s">
        <v>132</v>
      </c>
      <c r="DD2912" t="s">
        <v>133</v>
      </c>
      <c r="DG2912">
        <v>858385</v>
      </c>
      <c r="DI2912">
        <v>1</v>
      </c>
      <c r="DJ2912">
        <v>0</v>
      </c>
      <c r="DK2912">
        <v>0</v>
      </c>
      <c r="DL2912">
        <v>0</v>
      </c>
      <c r="DM2912">
        <v>0</v>
      </c>
      <c r="DN2912">
        <v>1</v>
      </c>
      <c r="DO2912">
        <v>0</v>
      </c>
      <c r="DP2912">
        <v>0</v>
      </c>
      <c r="DQ2912">
        <v>0</v>
      </c>
      <c r="DR2912">
        <v>0</v>
      </c>
      <c r="DS2912">
        <v>0</v>
      </c>
    </row>
    <row r="2913" spans="1:123" x14ac:dyDescent="0.3">
      <c r="A2913" t="str">
        <f t="shared" si="1057"/>
        <v>10/04/2022 19:33:21.588</v>
      </c>
      <c r="C2913" t="str">
        <f t="shared" si="1036"/>
        <v>FFDDD3C0</v>
      </c>
      <c r="D2913" t="s">
        <v>134</v>
      </c>
      <c r="E2913">
        <v>15</v>
      </c>
      <c r="J2913" t="s">
        <v>135</v>
      </c>
      <c r="K2913">
        <v>0</v>
      </c>
      <c r="L2913">
        <v>3</v>
      </c>
      <c r="M2913">
        <v>0</v>
      </c>
      <c r="N2913">
        <v>2</v>
      </c>
      <c r="O2913">
        <v>0</v>
      </c>
      <c r="P2913">
        <v>1</v>
      </c>
      <c r="Q2913">
        <v>0</v>
      </c>
      <c r="S2913" t="str">
        <f t="shared" si="1058"/>
        <v>19:33:21.000</v>
      </c>
      <c r="T2913" t="str">
        <f t="shared" si="1058"/>
        <v>19:33:21.000</v>
      </c>
      <c r="U2913" t="str">
        <f t="shared" si="1046"/>
        <v>AC3944</v>
      </c>
      <c r="V2913">
        <v>0</v>
      </c>
      <c r="W2913">
        <v>0</v>
      </c>
      <c r="X2913">
        <v>2</v>
      </c>
      <c r="Y2913">
        <v>0</v>
      </c>
      <c r="AA2913">
        <v>1</v>
      </c>
      <c r="AB2913">
        <v>8</v>
      </c>
      <c r="AC2913">
        <v>3</v>
      </c>
      <c r="AD2913">
        <v>0</v>
      </c>
      <c r="AE2913">
        <v>9</v>
      </c>
      <c r="AF2913" t="s">
        <v>138</v>
      </c>
      <c r="AG2913">
        <v>0</v>
      </c>
      <c r="AH2913">
        <v>3</v>
      </c>
      <c r="AI2913">
        <v>1</v>
      </c>
      <c r="AJ2913">
        <v>0</v>
      </c>
      <c r="AK2913" t="s">
        <v>982</v>
      </c>
      <c r="AL2913">
        <v>32.725675000000003</v>
      </c>
      <c r="AM2913" t="s">
        <v>983</v>
      </c>
      <c r="AN2913">
        <v>-116.75057200000001</v>
      </c>
      <c r="AO2913">
        <v>25</v>
      </c>
      <c r="AP2913">
        <v>3700</v>
      </c>
      <c r="AQ2913" t="s">
        <v>129</v>
      </c>
      <c r="AR2913">
        <v>-26</v>
      </c>
      <c r="AS2913">
        <v>-132</v>
      </c>
      <c r="AT2913">
        <v>64</v>
      </c>
      <c r="BB2913">
        <v>1200</v>
      </c>
      <c r="BC2913">
        <v>1</v>
      </c>
      <c r="BD2913" t="str">
        <f t="shared" si="1047"/>
        <v xml:space="preserve">N887QR  </v>
      </c>
      <c r="BE2913">
        <v>1</v>
      </c>
      <c r="BJ2913">
        <v>3400</v>
      </c>
      <c r="BK2913">
        <v>-300</v>
      </c>
      <c r="BL2913" t="s">
        <v>163</v>
      </c>
      <c r="BM2913">
        <v>1</v>
      </c>
      <c r="BN2913">
        <v>1</v>
      </c>
      <c r="BO2913">
        <v>1</v>
      </c>
      <c r="BP2913">
        <v>0</v>
      </c>
      <c r="BS2913">
        <v>0</v>
      </c>
      <c r="BT2913">
        <v>0</v>
      </c>
      <c r="BU2913">
        <v>0</v>
      </c>
      <c r="CE2913" t="str">
        <f t="shared" si="1059"/>
        <v>19:33:21.313</v>
      </c>
      <c r="CF2913">
        <v>312908210</v>
      </c>
      <c r="CS2913">
        <v>0</v>
      </c>
      <c r="CT2913">
        <v>2</v>
      </c>
      <c r="CU2913">
        <v>0</v>
      </c>
      <c r="CV2913">
        <v>2</v>
      </c>
      <c r="CW2913">
        <v>0</v>
      </c>
      <c r="CX2913">
        <v>1</v>
      </c>
      <c r="CY2913">
        <v>7</v>
      </c>
      <c r="CZ2913" t="s">
        <v>131</v>
      </c>
      <c r="DA2913">
        <v>286</v>
      </c>
      <c r="DB2913">
        <v>0</v>
      </c>
      <c r="DC2913" t="s">
        <v>132</v>
      </c>
      <c r="DD2913" t="s">
        <v>133</v>
      </c>
      <c r="DG2913">
        <v>858385</v>
      </c>
      <c r="DI2913">
        <v>1</v>
      </c>
      <c r="DJ2913">
        <v>0</v>
      </c>
      <c r="DK2913">
        <v>1</v>
      </c>
      <c r="DL2913">
        <v>0</v>
      </c>
      <c r="DM2913">
        <v>0</v>
      </c>
      <c r="DN2913">
        <v>1</v>
      </c>
      <c r="DO2913">
        <v>0</v>
      </c>
      <c r="DP2913">
        <v>0</v>
      </c>
      <c r="DQ2913">
        <v>0</v>
      </c>
      <c r="DR2913">
        <v>0</v>
      </c>
      <c r="DS2913">
        <v>0</v>
      </c>
    </row>
    <row r="2914" spans="1:123" x14ac:dyDescent="0.3">
      <c r="A2914" t="str">
        <f t="shared" si="1057"/>
        <v>10/04/2022 19:33:21.588</v>
      </c>
      <c r="C2914" t="str">
        <f t="shared" si="1036"/>
        <v>FFDDD3C0</v>
      </c>
      <c r="D2914" t="s">
        <v>141</v>
      </c>
      <c r="E2914">
        <v>3</v>
      </c>
      <c r="H2914">
        <v>3</v>
      </c>
      <c r="I2914" t="s">
        <v>146</v>
      </c>
      <c r="J2914" t="s">
        <v>138</v>
      </c>
      <c r="K2914">
        <v>0</v>
      </c>
      <c r="L2914">
        <v>3</v>
      </c>
      <c r="M2914">
        <v>0</v>
      </c>
      <c r="N2914">
        <v>2</v>
      </c>
      <c r="O2914">
        <v>0</v>
      </c>
      <c r="P2914">
        <v>1</v>
      </c>
      <c r="Q2914">
        <v>0</v>
      </c>
      <c r="S2914" t="str">
        <f t="shared" si="1058"/>
        <v>19:33:21.000</v>
      </c>
      <c r="T2914" t="str">
        <f t="shared" si="1058"/>
        <v>19:33:21.000</v>
      </c>
      <c r="U2914" t="str">
        <f t="shared" si="1046"/>
        <v>AC3944</v>
      </c>
      <c r="V2914">
        <v>0</v>
      </c>
      <c r="W2914">
        <v>0</v>
      </c>
      <c r="X2914">
        <v>2</v>
      </c>
      <c r="Y2914">
        <v>0</v>
      </c>
      <c r="AA2914">
        <v>1</v>
      </c>
      <c r="AB2914">
        <v>8</v>
      </c>
      <c r="AC2914">
        <v>3</v>
      </c>
      <c r="AD2914">
        <v>0</v>
      </c>
      <c r="AE2914">
        <v>9</v>
      </c>
      <c r="AF2914" t="s">
        <v>138</v>
      </c>
      <c r="AG2914">
        <v>0</v>
      </c>
      <c r="AH2914">
        <v>3</v>
      </c>
      <c r="AI2914">
        <v>1</v>
      </c>
      <c r="AJ2914">
        <v>0</v>
      </c>
      <c r="AK2914" t="s">
        <v>982</v>
      </c>
      <c r="AL2914">
        <v>32.725675000000003</v>
      </c>
      <c r="AM2914" t="s">
        <v>983</v>
      </c>
      <c r="AN2914">
        <v>-116.75057200000001</v>
      </c>
      <c r="AO2914">
        <v>25</v>
      </c>
      <c r="AP2914">
        <v>3700</v>
      </c>
      <c r="AQ2914" t="s">
        <v>129</v>
      </c>
      <c r="AR2914">
        <v>-26</v>
      </c>
      <c r="AS2914">
        <v>-132</v>
      </c>
      <c r="AT2914">
        <v>64</v>
      </c>
      <c r="BB2914">
        <v>1200</v>
      </c>
      <c r="BC2914">
        <v>1</v>
      </c>
      <c r="BD2914" t="str">
        <f t="shared" si="1047"/>
        <v xml:space="preserve">N887QR  </v>
      </c>
      <c r="BE2914">
        <v>1</v>
      </c>
      <c r="BJ2914">
        <v>3400</v>
      </c>
      <c r="BK2914">
        <v>-300</v>
      </c>
      <c r="BL2914" t="s">
        <v>163</v>
      </c>
      <c r="BM2914">
        <v>1</v>
      </c>
      <c r="BN2914">
        <v>1</v>
      </c>
      <c r="BO2914">
        <v>1</v>
      </c>
      <c r="BP2914">
        <v>0</v>
      </c>
      <c r="BS2914">
        <v>0</v>
      </c>
      <c r="BT2914">
        <v>0</v>
      </c>
      <c r="BU2914">
        <v>0</v>
      </c>
      <c r="CE2914" t="str">
        <f t="shared" si="1059"/>
        <v>19:33:21.313</v>
      </c>
      <c r="CF2914">
        <v>312908210</v>
      </c>
      <c r="CS2914">
        <v>0</v>
      </c>
      <c r="CT2914">
        <v>2</v>
      </c>
      <c r="CU2914">
        <v>0</v>
      </c>
      <c r="CV2914">
        <v>2</v>
      </c>
      <c r="CW2914">
        <v>0</v>
      </c>
      <c r="CX2914">
        <v>1</v>
      </c>
      <c r="CY2914">
        <v>7</v>
      </c>
      <c r="CZ2914" t="s">
        <v>131</v>
      </c>
      <c r="DA2914">
        <v>286</v>
      </c>
      <c r="DB2914">
        <v>0</v>
      </c>
      <c r="DC2914" t="s">
        <v>132</v>
      </c>
      <c r="DD2914" t="s">
        <v>133</v>
      </c>
      <c r="DG2914">
        <v>858385</v>
      </c>
      <c r="DI2914">
        <v>1</v>
      </c>
      <c r="DJ2914">
        <v>0</v>
      </c>
      <c r="DK2914">
        <v>1</v>
      </c>
      <c r="DL2914">
        <v>0</v>
      </c>
      <c r="DM2914">
        <v>0</v>
      </c>
      <c r="DN2914">
        <v>1</v>
      </c>
      <c r="DO2914">
        <v>0</v>
      </c>
      <c r="DP2914">
        <v>0</v>
      </c>
      <c r="DQ2914">
        <v>0</v>
      </c>
      <c r="DR2914">
        <v>0</v>
      </c>
      <c r="DS2914">
        <v>0</v>
      </c>
    </row>
    <row r="2915" spans="1:123" x14ac:dyDescent="0.3">
      <c r="A2915" t="str">
        <f t="shared" si="1057"/>
        <v>10/04/2022 19:33:21.588</v>
      </c>
      <c r="C2915" t="str">
        <f t="shared" si="1036"/>
        <v>FFDDD3C0</v>
      </c>
      <c r="D2915" t="s">
        <v>147</v>
      </c>
      <c r="E2915">
        <v>3</v>
      </c>
      <c r="H2915">
        <v>166</v>
      </c>
      <c r="I2915" t="s">
        <v>144</v>
      </c>
      <c r="J2915" t="s">
        <v>148</v>
      </c>
      <c r="K2915">
        <v>0</v>
      </c>
      <c r="L2915">
        <v>3</v>
      </c>
      <c r="M2915">
        <v>0</v>
      </c>
      <c r="N2915">
        <v>2</v>
      </c>
      <c r="O2915">
        <v>0</v>
      </c>
      <c r="P2915">
        <v>1</v>
      </c>
      <c r="Q2915">
        <v>0</v>
      </c>
      <c r="S2915" t="str">
        <f t="shared" si="1058"/>
        <v>19:33:21.000</v>
      </c>
      <c r="T2915" t="str">
        <f t="shared" si="1058"/>
        <v>19:33:21.000</v>
      </c>
      <c r="U2915" t="str">
        <f t="shared" si="1046"/>
        <v>AC3944</v>
      </c>
      <c r="V2915">
        <v>0</v>
      </c>
      <c r="W2915">
        <v>0</v>
      </c>
      <c r="X2915">
        <v>2</v>
      </c>
      <c r="Y2915">
        <v>0</v>
      </c>
      <c r="AA2915">
        <v>1</v>
      </c>
      <c r="AB2915">
        <v>8</v>
      </c>
      <c r="AC2915">
        <v>3</v>
      </c>
      <c r="AD2915">
        <v>0</v>
      </c>
      <c r="AE2915">
        <v>9</v>
      </c>
      <c r="AF2915" t="s">
        <v>138</v>
      </c>
      <c r="AG2915">
        <v>0</v>
      </c>
      <c r="AH2915">
        <v>3</v>
      </c>
      <c r="AI2915">
        <v>1</v>
      </c>
      <c r="AJ2915">
        <v>0</v>
      </c>
      <c r="AK2915" t="s">
        <v>982</v>
      </c>
      <c r="AL2915">
        <v>32.725675000000003</v>
      </c>
      <c r="AM2915" t="s">
        <v>983</v>
      </c>
      <c r="AN2915">
        <v>-116.75057200000001</v>
      </c>
      <c r="AO2915">
        <v>25</v>
      </c>
      <c r="AP2915">
        <v>3700</v>
      </c>
      <c r="AQ2915" t="s">
        <v>129</v>
      </c>
      <c r="AR2915">
        <v>-26</v>
      </c>
      <c r="AS2915">
        <v>-132</v>
      </c>
      <c r="AT2915">
        <v>64</v>
      </c>
      <c r="BB2915">
        <v>1200</v>
      </c>
      <c r="BC2915">
        <v>1</v>
      </c>
      <c r="BD2915" t="str">
        <f t="shared" si="1047"/>
        <v xml:space="preserve">N887QR  </v>
      </c>
      <c r="BE2915">
        <v>1</v>
      </c>
      <c r="BJ2915">
        <v>3400</v>
      </c>
      <c r="BK2915">
        <v>-300</v>
      </c>
      <c r="BL2915" t="s">
        <v>163</v>
      </c>
      <c r="BM2915">
        <v>1</v>
      </c>
      <c r="BN2915">
        <v>1</v>
      </c>
      <c r="BO2915">
        <v>1</v>
      </c>
      <c r="BP2915">
        <v>0</v>
      </c>
      <c r="BS2915">
        <v>0</v>
      </c>
      <c r="BT2915">
        <v>0</v>
      </c>
      <c r="BU2915">
        <v>0</v>
      </c>
      <c r="CE2915" t="str">
        <f t="shared" si="1059"/>
        <v>19:33:21.313</v>
      </c>
      <c r="CF2915">
        <v>312908210</v>
      </c>
      <c r="CS2915">
        <v>0</v>
      </c>
      <c r="CT2915">
        <v>2</v>
      </c>
      <c r="CU2915">
        <v>0</v>
      </c>
      <c r="CV2915">
        <v>2</v>
      </c>
      <c r="CW2915">
        <v>0</v>
      </c>
      <c r="CX2915">
        <v>1</v>
      </c>
      <c r="CY2915">
        <v>7</v>
      </c>
      <c r="CZ2915" t="s">
        <v>131</v>
      </c>
      <c r="DA2915">
        <v>286</v>
      </c>
      <c r="DB2915">
        <v>0</v>
      </c>
      <c r="DC2915" t="s">
        <v>132</v>
      </c>
      <c r="DD2915" t="s">
        <v>133</v>
      </c>
      <c r="DG2915">
        <v>858385</v>
      </c>
      <c r="DI2915">
        <v>1</v>
      </c>
      <c r="DJ2915">
        <v>0</v>
      </c>
      <c r="DK2915">
        <v>1</v>
      </c>
      <c r="DL2915">
        <v>0</v>
      </c>
      <c r="DM2915">
        <v>0</v>
      </c>
      <c r="DN2915">
        <v>1</v>
      </c>
      <c r="DO2915">
        <v>0</v>
      </c>
      <c r="DP2915">
        <v>0</v>
      </c>
      <c r="DQ2915">
        <v>0</v>
      </c>
      <c r="DR2915">
        <v>0</v>
      </c>
      <c r="DS2915">
        <v>0</v>
      </c>
    </row>
    <row r="2916" spans="1:123" x14ac:dyDescent="0.3">
      <c r="A2916" t="str">
        <f t="shared" si="1057"/>
        <v>10/04/2022 19:33:21.588</v>
      </c>
      <c r="C2916" t="str">
        <f t="shared" si="1036"/>
        <v>FFDDD3C0</v>
      </c>
      <c r="D2916" t="s">
        <v>141</v>
      </c>
      <c r="E2916">
        <v>4</v>
      </c>
      <c r="H2916">
        <v>4</v>
      </c>
      <c r="I2916" t="s">
        <v>142</v>
      </c>
      <c r="J2916" t="s">
        <v>138</v>
      </c>
      <c r="K2916">
        <v>0</v>
      </c>
      <c r="L2916">
        <v>3</v>
      </c>
      <c r="M2916">
        <v>0</v>
      </c>
      <c r="N2916">
        <v>2</v>
      </c>
      <c r="O2916">
        <v>0</v>
      </c>
      <c r="P2916">
        <v>1</v>
      </c>
      <c r="Q2916">
        <v>0</v>
      </c>
      <c r="S2916" t="str">
        <f t="shared" si="1058"/>
        <v>19:33:21.000</v>
      </c>
      <c r="T2916" t="str">
        <f t="shared" si="1058"/>
        <v>19:33:21.000</v>
      </c>
      <c r="U2916" t="str">
        <f t="shared" si="1046"/>
        <v>AC3944</v>
      </c>
      <c r="V2916">
        <v>0</v>
      </c>
      <c r="W2916">
        <v>0</v>
      </c>
      <c r="X2916">
        <v>2</v>
      </c>
      <c r="Y2916">
        <v>0</v>
      </c>
      <c r="AA2916">
        <v>1</v>
      </c>
      <c r="AB2916">
        <v>8</v>
      </c>
      <c r="AC2916">
        <v>3</v>
      </c>
      <c r="AD2916">
        <v>0</v>
      </c>
      <c r="AE2916">
        <v>9</v>
      </c>
      <c r="AF2916" t="s">
        <v>138</v>
      </c>
      <c r="AG2916">
        <v>0</v>
      </c>
      <c r="AH2916">
        <v>3</v>
      </c>
      <c r="AI2916">
        <v>1</v>
      </c>
      <c r="AJ2916">
        <v>0</v>
      </c>
      <c r="AK2916" t="s">
        <v>982</v>
      </c>
      <c r="AL2916">
        <v>32.725675000000003</v>
      </c>
      <c r="AM2916" t="s">
        <v>983</v>
      </c>
      <c r="AN2916">
        <v>-116.75057200000001</v>
      </c>
      <c r="AO2916">
        <v>25</v>
      </c>
      <c r="AP2916">
        <v>3700</v>
      </c>
      <c r="AQ2916" t="s">
        <v>129</v>
      </c>
      <c r="AR2916">
        <v>-26</v>
      </c>
      <c r="AS2916">
        <v>-132</v>
      </c>
      <c r="AT2916">
        <v>64</v>
      </c>
      <c r="BB2916">
        <v>1200</v>
      </c>
      <c r="BC2916">
        <v>1</v>
      </c>
      <c r="BD2916" t="str">
        <f t="shared" si="1047"/>
        <v xml:space="preserve">N887QR  </v>
      </c>
      <c r="BE2916">
        <v>1</v>
      </c>
      <c r="BJ2916">
        <v>3400</v>
      </c>
      <c r="BK2916">
        <v>-300</v>
      </c>
      <c r="BL2916" t="s">
        <v>163</v>
      </c>
      <c r="BM2916">
        <v>1</v>
      </c>
      <c r="BN2916">
        <v>1</v>
      </c>
      <c r="BO2916">
        <v>1</v>
      </c>
      <c r="BP2916">
        <v>0</v>
      </c>
      <c r="BS2916">
        <v>0</v>
      </c>
      <c r="BT2916">
        <v>0</v>
      </c>
      <c r="BU2916">
        <v>0</v>
      </c>
      <c r="CE2916" t="str">
        <f t="shared" si="1059"/>
        <v>19:33:21.313</v>
      </c>
      <c r="CF2916">
        <v>312908210</v>
      </c>
      <c r="CS2916">
        <v>0</v>
      </c>
      <c r="CT2916">
        <v>2</v>
      </c>
      <c r="CU2916">
        <v>0</v>
      </c>
      <c r="CV2916">
        <v>2</v>
      </c>
      <c r="CW2916">
        <v>0</v>
      </c>
      <c r="CX2916">
        <v>1</v>
      </c>
      <c r="CY2916">
        <v>7</v>
      </c>
      <c r="CZ2916" t="s">
        <v>131</v>
      </c>
      <c r="DA2916">
        <v>286</v>
      </c>
      <c r="DB2916">
        <v>0</v>
      </c>
      <c r="DC2916" t="s">
        <v>132</v>
      </c>
      <c r="DD2916" t="s">
        <v>133</v>
      </c>
      <c r="DG2916">
        <v>858385</v>
      </c>
      <c r="DI2916">
        <v>1</v>
      </c>
      <c r="DJ2916">
        <v>0</v>
      </c>
      <c r="DK2916">
        <v>1</v>
      </c>
      <c r="DL2916">
        <v>0</v>
      </c>
      <c r="DM2916">
        <v>0</v>
      </c>
      <c r="DN2916">
        <v>1</v>
      </c>
      <c r="DO2916">
        <v>0</v>
      </c>
      <c r="DP2916">
        <v>0</v>
      </c>
      <c r="DQ2916">
        <v>0</v>
      </c>
      <c r="DR2916">
        <v>0</v>
      </c>
      <c r="DS2916">
        <v>0</v>
      </c>
    </row>
    <row r="2917" spans="1:123" x14ac:dyDescent="0.3">
      <c r="A2917" t="str">
        <f t="shared" si="1057"/>
        <v>10/04/2022 19:33:21.588</v>
      </c>
      <c r="C2917" t="str">
        <f t="shared" si="1036"/>
        <v>FFDDD3C0</v>
      </c>
      <c r="D2917" t="s">
        <v>136</v>
      </c>
      <c r="E2917">
        <v>8</v>
      </c>
      <c r="H2917">
        <v>225</v>
      </c>
      <c r="I2917" t="s">
        <v>137</v>
      </c>
      <c r="J2917" t="s">
        <v>138</v>
      </c>
      <c r="K2917">
        <v>0</v>
      </c>
      <c r="L2917">
        <v>3</v>
      </c>
      <c r="M2917">
        <v>0</v>
      </c>
      <c r="N2917">
        <v>2</v>
      </c>
      <c r="O2917">
        <v>0</v>
      </c>
      <c r="P2917">
        <v>1</v>
      </c>
      <c r="Q2917">
        <v>0</v>
      </c>
      <c r="S2917" t="str">
        <f t="shared" si="1058"/>
        <v>19:33:21.000</v>
      </c>
      <c r="T2917" t="str">
        <f t="shared" si="1058"/>
        <v>19:33:21.000</v>
      </c>
      <c r="U2917" t="str">
        <f t="shared" si="1046"/>
        <v>AC3944</v>
      </c>
      <c r="V2917">
        <v>0</v>
      </c>
      <c r="W2917">
        <v>0</v>
      </c>
      <c r="X2917">
        <v>2</v>
      </c>
      <c r="Y2917">
        <v>0</v>
      </c>
      <c r="AA2917">
        <v>1</v>
      </c>
      <c r="AB2917">
        <v>8</v>
      </c>
      <c r="AC2917">
        <v>3</v>
      </c>
      <c r="AD2917">
        <v>0</v>
      </c>
      <c r="AE2917">
        <v>9</v>
      </c>
      <c r="AF2917" t="s">
        <v>138</v>
      </c>
      <c r="AG2917">
        <v>0</v>
      </c>
      <c r="AH2917">
        <v>3</v>
      </c>
      <c r="AI2917">
        <v>1</v>
      </c>
      <c r="AJ2917">
        <v>0</v>
      </c>
      <c r="AK2917" t="s">
        <v>982</v>
      </c>
      <c r="AL2917">
        <v>32.725675000000003</v>
      </c>
      <c r="AM2917" t="s">
        <v>983</v>
      </c>
      <c r="AN2917">
        <v>-116.75057200000001</v>
      </c>
      <c r="AO2917">
        <v>25</v>
      </c>
      <c r="AP2917">
        <v>3700</v>
      </c>
      <c r="AQ2917" t="s">
        <v>129</v>
      </c>
      <c r="AR2917">
        <v>-26</v>
      </c>
      <c r="AS2917">
        <v>-132</v>
      </c>
      <c r="AT2917">
        <v>64</v>
      </c>
      <c r="BB2917">
        <v>1200</v>
      </c>
      <c r="BC2917">
        <v>1</v>
      </c>
      <c r="BD2917" t="str">
        <f t="shared" si="1047"/>
        <v xml:space="preserve">N887QR  </v>
      </c>
      <c r="BE2917">
        <v>1</v>
      </c>
      <c r="BJ2917">
        <v>3400</v>
      </c>
      <c r="BK2917">
        <v>-300</v>
      </c>
      <c r="BL2917" t="s">
        <v>163</v>
      </c>
      <c r="BM2917">
        <v>1</v>
      </c>
      <c r="BN2917">
        <v>1</v>
      </c>
      <c r="BO2917">
        <v>1</v>
      </c>
      <c r="BP2917">
        <v>0</v>
      </c>
      <c r="BS2917">
        <v>0</v>
      </c>
      <c r="BT2917">
        <v>0</v>
      </c>
      <c r="BU2917">
        <v>0</v>
      </c>
      <c r="CE2917" t="str">
        <f t="shared" si="1059"/>
        <v>19:33:21.313</v>
      </c>
      <c r="CF2917">
        <v>312908210</v>
      </c>
      <c r="CS2917">
        <v>0</v>
      </c>
      <c r="CT2917">
        <v>2</v>
      </c>
      <c r="CU2917">
        <v>0</v>
      </c>
      <c r="CV2917">
        <v>2</v>
      </c>
      <c r="CW2917">
        <v>0</v>
      </c>
      <c r="CX2917">
        <v>1</v>
      </c>
      <c r="CY2917">
        <v>7</v>
      </c>
      <c r="CZ2917" t="s">
        <v>131</v>
      </c>
      <c r="DA2917">
        <v>286</v>
      </c>
      <c r="DB2917">
        <v>0</v>
      </c>
      <c r="DC2917" t="s">
        <v>132</v>
      </c>
      <c r="DD2917" t="s">
        <v>133</v>
      </c>
      <c r="DG2917">
        <v>858385</v>
      </c>
      <c r="DI2917">
        <v>1</v>
      </c>
      <c r="DJ2917">
        <v>0</v>
      </c>
      <c r="DK2917">
        <v>1</v>
      </c>
      <c r="DL2917">
        <v>0</v>
      </c>
      <c r="DM2917">
        <v>0</v>
      </c>
      <c r="DN2917">
        <v>1</v>
      </c>
      <c r="DO2917">
        <v>0</v>
      </c>
      <c r="DP2917">
        <v>0</v>
      </c>
      <c r="DQ2917">
        <v>0</v>
      </c>
      <c r="DR2917">
        <v>0</v>
      </c>
      <c r="DS2917">
        <v>0</v>
      </c>
    </row>
    <row r="2918" spans="1:123" x14ac:dyDescent="0.3">
      <c r="A2918" t="str">
        <f>"10/04/2022 19:33:21.635"</f>
        <v>10/04/2022 19:33:21.635</v>
      </c>
      <c r="C2918" t="str">
        <f t="shared" si="1036"/>
        <v>FFDDD3C0</v>
      </c>
      <c r="D2918" t="s">
        <v>143</v>
      </c>
      <c r="E2918">
        <v>20</v>
      </c>
      <c r="F2918">
        <v>1020</v>
      </c>
      <c r="G2918" t="s">
        <v>144</v>
      </c>
      <c r="J2918" t="s">
        <v>145</v>
      </c>
      <c r="K2918">
        <v>0</v>
      </c>
      <c r="L2918">
        <v>3</v>
      </c>
      <c r="M2918">
        <v>0</v>
      </c>
      <c r="N2918">
        <v>2</v>
      </c>
      <c r="O2918">
        <v>0</v>
      </c>
      <c r="P2918">
        <v>1</v>
      </c>
      <c r="Q2918">
        <v>0</v>
      </c>
      <c r="S2918" t="str">
        <f t="shared" si="1058"/>
        <v>19:33:21.000</v>
      </c>
      <c r="T2918" t="str">
        <f t="shared" si="1058"/>
        <v>19:33:21.000</v>
      </c>
      <c r="U2918" t="str">
        <f t="shared" si="1046"/>
        <v>AC3944</v>
      </c>
      <c r="V2918">
        <v>0</v>
      </c>
      <c r="W2918">
        <v>0</v>
      </c>
      <c r="X2918">
        <v>2</v>
      </c>
      <c r="Y2918">
        <v>0</v>
      </c>
      <c r="AA2918">
        <v>1</v>
      </c>
      <c r="AB2918">
        <v>8</v>
      </c>
      <c r="AC2918">
        <v>3</v>
      </c>
      <c r="AD2918">
        <v>0</v>
      </c>
      <c r="AE2918">
        <v>9</v>
      </c>
      <c r="AF2918" t="s">
        <v>138</v>
      </c>
      <c r="AG2918">
        <v>0</v>
      </c>
      <c r="AH2918">
        <v>3</v>
      </c>
      <c r="AI2918">
        <v>1</v>
      </c>
      <c r="AJ2918">
        <v>0</v>
      </c>
      <c r="AK2918" t="s">
        <v>982</v>
      </c>
      <c r="AL2918">
        <v>32.725675000000003</v>
      </c>
      <c r="AM2918" t="s">
        <v>983</v>
      </c>
      <c r="AN2918">
        <v>-116.75057200000001</v>
      </c>
      <c r="AO2918">
        <v>25</v>
      </c>
      <c r="AP2918">
        <v>3700</v>
      </c>
      <c r="AQ2918" t="s">
        <v>129</v>
      </c>
      <c r="AR2918">
        <v>-26</v>
      </c>
      <c r="AS2918">
        <v>-132</v>
      </c>
      <c r="AT2918">
        <v>64</v>
      </c>
      <c r="BB2918">
        <v>1200</v>
      </c>
      <c r="BC2918">
        <v>1</v>
      </c>
      <c r="BD2918" t="str">
        <f t="shared" si="1047"/>
        <v xml:space="preserve">N887QR  </v>
      </c>
      <c r="BE2918">
        <v>1</v>
      </c>
      <c r="BJ2918">
        <v>3400</v>
      </c>
      <c r="BK2918">
        <v>-300</v>
      </c>
      <c r="BL2918" t="s">
        <v>163</v>
      </c>
      <c r="BM2918">
        <v>1</v>
      </c>
      <c r="BN2918">
        <v>1</v>
      </c>
      <c r="BO2918">
        <v>1</v>
      </c>
      <c r="BP2918">
        <v>0</v>
      </c>
      <c r="BS2918">
        <v>0</v>
      </c>
      <c r="BT2918">
        <v>0</v>
      </c>
      <c r="BU2918">
        <v>0</v>
      </c>
      <c r="CE2918" t="str">
        <f t="shared" si="1059"/>
        <v>19:33:21.313</v>
      </c>
      <c r="CF2918">
        <v>312908210</v>
      </c>
      <c r="CS2918">
        <v>0</v>
      </c>
      <c r="CT2918">
        <v>2</v>
      </c>
      <c r="CU2918">
        <v>0</v>
      </c>
      <c r="CV2918">
        <v>2</v>
      </c>
      <c r="CW2918">
        <v>0</v>
      </c>
      <c r="CX2918">
        <v>1</v>
      </c>
      <c r="CY2918">
        <v>7</v>
      </c>
      <c r="CZ2918" t="s">
        <v>131</v>
      </c>
      <c r="DA2918">
        <v>286</v>
      </c>
      <c r="DB2918">
        <v>0</v>
      </c>
      <c r="DC2918" t="s">
        <v>132</v>
      </c>
      <c r="DD2918" t="s">
        <v>133</v>
      </c>
      <c r="DG2918">
        <v>858385</v>
      </c>
      <c r="DI2918">
        <v>1</v>
      </c>
      <c r="DJ2918">
        <v>0</v>
      </c>
      <c r="DK2918">
        <v>1</v>
      </c>
      <c r="DL2918">
        <v>0</v>
      </c>
      <c r="DM2918">
        <v>0</v>
      </c>
      <c r="DN2918">
        <v>1</v>
      </c>
      <c r="DO2918">
        <v>0</v>
      </c>
      <c r="DP2918">
        <v>0</v>
      </c>
      <c r="DQ2918">
        <v>0</v>
      </c>
      <c r="DR2918">
        <v>0</v>
      </c>
      <c r="DS2918">
        <v>0</v>
      </c>
    </row>
    <row r="2919" spans="1:123" x14ac:dyDescent="0.3">
      <c r="A2919" t="str">
        <f>"10/04/2022 19:33:22.260"</f>
        <v>10/04/2022 19:33:22.260</v>
      </c>
      <c r="C2919" t="str">
        <f t="shared" ref="C2919:C2982" si="1060">"FFDFD3C0"</f>
        <v>FFDFD3C0</v>
      </c>
      <c r="D2919" t="s">
        <v>147</v>
      </c>
      <c r="E2919">
        <v>3</v>
      </c>
      <c r="H2919">
        <v>166</v>
      </c>
      <c r="I2919" t="s">
        <v>144</v>
      </c>
      <c r="J2919" t="s">
        <v>148</v>
      </c>
      <c r="K2919">
        <v>0</v>
      </c>
      <c r="L2919">
        <v>3</v>
      </c>
      <c r="M2919">
        <v>0</v>
      </c>
      <c r="N2919">
        <v>2</v>
      </c>
      <c r="O2919">
        <v>0</v>
      </c>
      <c r="P2919">
        <v>1</v>
      </c>
      <c r="Q2919">
        <v>0</v>
      </c>
      <c r="S2919" t="str">
        <f t="shared" si="1058"/>
        <v>19:33:21.000</v>
      </c>
      <c r="T2919" t="str">
        <f t="shared" si="1058"/>
        <v>19:33:21.000</v>
      </c>
      <c r="U2919" t="str">
        <f t="shared" si="1046"/>
        <v>AC3944</v>
      </c>
      <c r="V2919">
        <v>0</v>
      </c>
      <c r="W2919">
        <v>0</v>
      </c>
      <c r="X2919">
        <v>2</v>
      </c>
      <c r="Y2919">
        <v>0</v>
      </c>
      <c r="AA2919">
        <v>1</v>
      </c>
      <c r="AB2919">
        <v>8</v>
      </c>
      <c r="AC2919">
        <v>3</v>
      </c>
      <c r="AD2919">
        <v>0</v>
      </c>
      <c r="AE2919">
        <v>9</v>
      </c>
      <c r="AF2919" t="s">
        <v>138</v>
      </c>
      <c r="AG2919">
        <v>0</v>
      </c>
      <c r="AH2919">
        <v>3</v>
      </c>
      <c r="AI2919">
        <v>1</v>
      </c>
      <c r="AJ2919">
        <v>0</v>
      </c>
      <c r="AK2919" t="s">
        <v>984</v>
      </c>
      <c r="AL2919">
        <v>32.725053000000003</v>
      </c>
      <c r="AM2919" t="s">
        <v>985</v>
      </c>
      <c r="AN2919">
        <v>-116.75067900000001</v>
      </c>
      <c r="AO2919">
        <v>25</v>
      </c>
      <c r="AP2919">
        <v>3700</v>
      </c>
      <c r="AQ2919" t="s">
        <v>129</v>
      </c>
      <c r="AR2919">
        <v>-33</v>
      </c>
      <c r="AS2919">
        <v>-131</v>
      </c>
      <c r="AT2919">
        <v>64</v>
      </c>
      <c r="BB2919">
        <v>1200</v>
      </c>
      <c r="BC2919">
        <v>1</v>
      </c>
      <c r="BD2919" t="str">
        <f t="shared" si="1047"/>
        <v xml:space="preserve">N887QR  </v>
      </c>
      <c r="BE2919">
        <v>1</v>
      </c>
      <c r="BG2919">
        <v>0</v>
      </c>
      <c r="BH2919">
        <v>0</v>
      </c>
      <c r="BI2919">
        <v>0</v>
      </c>
      <c r="BJ2919">
        <v>3375</v>
      </c>
      <c r="BK2919">
        <v>-325</v>
      </c>
      <c r="BL2919" t="s">
        <v>163</v>
      </c>
      <c r="BM2919">
        <v>1</v>
      </c>
      <c r="BN2919">
        <v>1</v>
      </c>
      <c r="BO2919">
        <v>1</v>
      </c>
      <c r="BP2919">
        <v>0</v>
      </c>
      <c r="BS2919">
        <v>0</v>
      </c>
      <c r="BT2919">
        <v>0</v>
      </c>
      <c r="BU2919">
        <v>0</v>
      </c>
      <c r="CE2919" t="str">
        <f>"19:33:21.965"</f>
        <v>19:33:21.965</v>
      </c>
      <c r="CF2919">
        <v>964910087</v>
      </c>
      <c r="CS2919">
        <v>0</v>
      </c>
      <c r="CT2919">
        <v>2</v>
      </c>
      <c r="CU2919">
        <v>0</v>
      </c>
      <c r="CV2919">
        <v>2</v>
      </c>
      <c r="CW2919">
        <v>0</v>
      </c>
      <c r="CX2919">
        <v>1</v>
      </c>
      <c r="CY2919">
        <v>7</v>
      </c>
      <c r="CZ2919" t="s">
        <v>131</v>
      </c>
      <c r="DA2919">
        <v>286</v>
      </c>
      <c r="DB2919">
        <v>0</v>
      </c>
      <c r="DC2919" t="s">
        <v>132</v>
      </c>
      <c r="DD2919" t="s">
        <v>133</v>
      </c>
      <c r="DG2919">
        <v>858569</v>
      </c>
      <c r="DI2919">
        <v>1</v>
      </c>
      <c r="DJ2919">
        <v>0</v>
      </c>
      <c r="DK2919">
        <v>0</v>
      </c>
      <c r="DL2919">
        <v>0</v>
      </c>
      <c r="DM2919">
        <v>0</v>
      </c>
      <c r="DN2919">
        <v>1</v>
      </c>
      <c r="DO2919">
        <v>0</v>
      </c>
      <c r="DP2919">
        <v>0</v>
      </c>
      <c r="DQ2919">
        <v>0</v>
      </c>
      <c r="DR2919">
        <v>0</v>
      </c>
      <c r="DS2919">
        <v>0</v>
      </c>
    </row>
    <row r="2920" spans="1:123" x14ac:dyDescent="0.3">
      <c r="A2920" t="str">
        <f>"10/04/2022 19:33:22.307"</f>
        <v>10/04/2022 19:33:22.307</v>
      </c>
      <c r="C2920" t="str">
        <f t="shared" si="1060"/>
        <v>FFDFD3C0</v>
      </c>
      <c r="D2920" t="s">
        <v>143</v>
      </c>
      <c r="E2920">
        <v>20</v>
      </c>
      <c r="F2920">
        <v>1020</v>
      </c>
      <c r="G2920" t="s">
        <v>144</v>
      </c>
      <c r="J2920" t="s">
        <v>145</v>
      </c>
      <c r="K2920">
        <v>0</v>
      </c>
      <c r="L2920">
        <v>3</v>
      </c>
      <c r="M2920">
        <v>0</v>
      </c>
      <c r="N2920">
        <v>2</v>
      </c>
      <c r="O2920">
        <v>0</v>
      </c>
      <c r="P2920">
        <v>1</v>
      </c>
      <c r="Q2920">
        <v>0</v>
      </c>
      <c r="S2920" t="str">
        <f t="shared" si="1058"/>
        <v>19:33:21.000</v>
      </c>
      <c r="T2920" t="str">
        <f t="shared" si="1058"/>
        <v>19:33:21.000</v>
      </c>
      <c r="U2920" t="str">
        <f t="shared" si="1046"/>
        <v>AC3944</v>
      </c>
      <c r="V2920">
        <v>0</v>
      </c>
      <c r="W2920">
        <v>0</v>
      </c>
      <c r="X2920">
        <v>2</v>
      </c>
      <c r="Y2920">
        <v>0</v>
      </c>
      <c r="AA2920">
        <v>1</v>
      </c>
      <c r="AB2920">
        <v>8</v>
      </c>
      <c r="AC2920">
        <v>3</v>
      </c>
      <c r="AD2920">
        <v>0</v>
      </c>
      <c r="AE2920">
        <v>9</v>
      </c>
      <c r="AF2920" t="s">
        <v>138</v>
      </c>
      <c r="AG2920">
        <v>0</v>
      </c>
      <c r="AH2920">
        <v>3</v>
      </c>
      <c r="AI2920">
        <v>1</v>
      </c>
      <c r="AJ2920">
        <v>0</v>
      </c>
      <c r="AK2920" t="s">
        <v>984</v>
      </c>
      <c r="AL2920">
        <v>32.725053000000003</v>
      </c>
      <c r="AM2920" t="s">
        <v>985</v>
      </c>
      <c r="AN2920">
        <v>-116.75067900000001</v>
      </c>
      <c r="AO2920">
        <v>25</v>
      </c>
      <c r="AP2920">
        <v>3700</v>
      </c>
      <c r="AQ2920" t="s">
        <v>129</v>
      </c>
      <c r="AR2920">
        <v>-33</v>
      </c>
      <c r="AS2920">
        <v>-131</v>
      </c>
      <c r="AT2920">
        <v>64</v>
      </c>
      <c r="BB2920">
        <v>1200</v>
      </c>
      <c r="BC2920">
        <v>1</v>
      </c>
      <c r="BD2920" t="str">
        <f t="shared" si="1047"/>
        <v xml:space="preserve">N887QR  </v>
      </c>
      <c r="BE2920">
        <v>1</v>
      </c>
      <c r="BG2920">
        <v>0</v>
      </c>
      <c r="BH2920">
        <v>0</v>
      </c>
      <c r="BI2920">
        <v>0</v>
      </c>
      <c r="BJ2920">
        <v>3375</v>
      </c>
      <c r="BK2920">
        <v>-325</v>
      </c>
      <c r="BL2920" t="s">
        <v>163</v>
      </c>
      <c r="BM2920">
        <v>1</v>
      </c>
      <c r="BN2920">
        <v>1</v>
      </c>
      <c r="BO2920">
        <v>1</v>
      </c>
      <c r="BP2920">
        <v>0</v>
      </c>
      <c r="BS2920">
        <v>0</v>
      </c>
      <c r="BT2920">
        <v>0</v>
      </c>
      <c r="BU2920">
        <v>0</v>
      </c>
      <c r="CE2920" t="str">
        <f>"19:33:21.965"</f>
        <v>19:33:21.965</v>
      </c>
      <c r="CF2920">
        <v>964910087</v>
      </c>
      <c r="CS2920">
        <v>0</v>
      </c>
      <c r="CT2920">
        <v>2</v>
      </c>
      <c r="CU2920">
        <v>0</v>
      </c>
      <c r="CV2920">
        <v>2</v>
      </c>
      <c r="CW2920">
        <v>0</v>
      </c>
      <c r="CX2920">
        <v>1</v>
      </c>
      <c r="CY2920">
        <v>7</v>
      </c>
      <c r="CZ2920" t="s">
        <v>131</v>
      </c>
      <c r="DA2920">
        <v>286</v>
      </c>
      <c r="DB2920">
        <v>0</v>
      </c>
      <c r="DC2920" t="s">
        <v>132</v>
      </c>
      <c r="DD2920" t="s">
        <v>133</v>
      </c>
      <c r="DG2920">
        <v>858569</v>
      </c>
      <c r="DI2920">
        <v>1</v>
      </c>
      <c r="DJ2920">
        <v>0</v>
      </c>
      <c r="DK2920">
        <v>1</v>
      </c>
      <c r="DL2920">
        <v>0</v>
      </c>
      <c r="DM2920">
        <v>0</v>
      </c>
      <c r="DN2920">
        <v>1</v>
      </c>
      <c r="DO2920">
        <v>0</v>
      </c>
      <c r="DP2920">
        <v>0</v>
      </c>
      <c r="DQ2920">
        <v>0</v>
      </c>
      <c r="DR2920">
        <v>0</v>
      </c>
      <c r="DS2920">
        <v>0</v>
      </c>
    </row>
    <row r="2921" spans="1:123" x14ac:dyDescent="0.3">
      <c r="A2921" t="str">
        <f>"10/04/2022 19:33:22.307"</f>
        <v>10/04/2022 19:33:22.307</v>
      </c>
      <c r="C2921" t="str">
        <f t="shared" si="1060"/>
        <v>FFDFD3C0</v>
      </c>
      <c r="D2921" t="s">
        <v>134</v>
      </c>
      <c r="E2921">
        <v>15</v>
      </c>
      <c r="J2921" t="s">
        <v>135</v>
      </c>
      <c r="K2921">
        <v>0</v>
      </c>
      <c r="L2921">
        <v>3</v>
      </c>
      <c r="M2921">
        <v>0</v>
      </c>
      <c r="N2921">
        <v>2</v>
      </c>
      <c r="O2921">
        <v>0</v>
      </c>
      <c r="P2921">
        <v>1</v>
      </c>
      <c r="Q2921">
        <v>0</v>
      </c>
      <c r="S2921" t="str">
        <f t="shared" si="1058"/>
        <v>19:33:21.000</v>
      </c>
      <c r="T2921" t="str">
        <f t="shared" si="1058"/>
        <v>19:33:21.000</v>
      </c>
      <c r="U2921" t="str">
        <f t="shared" si="1046"/>
        <v>AC3944</v>
      </c>
      <c r="V2921">
        <v>0</v>
      </c>
      <c r="W2921">
        <v>0</v>
      </c>
      <c r="X2921">
        <v>2</v>
      </c>
      <c r="Y2921">
        <v>0</v>
      </c>
      <c r="AA2921">
        <v>1</v>
      </c>
      <c r="AB2921">
        <v>8</v>
      </c>
      <c r="AC2921">
        <v>3</v>
      </c>
      <c r="AD2921">
        <v>0</v>
      </c>
      <c r="AE2921">
        <v>9</v>
      </c>
      <c r="AF2921" t="s">
        <v>138</v>
      </c>
      <c r="AG2921">
        <v>0</v>
      </c>
      <c r="AH2921">
        <v>3</v>
      </c>
      <c r="AI2921">
        <v>1</v>
      </c>
      <c r="AJ2921">
        <v>0</v>
      </c>
      <c r="AK2921" t="s">
        <v>984</v>
      </c>
      <c r="AL2921">
        <v>32.725053000000003</v>
      </c>
      <c r="AM2921" t="s">
        <v>985</v>
      </c>
      <c r="AN2921">
        <v>-116.75067900000001</v>
      </c>
      <c r="AO2921">
        <v>25</v>
      </c>
      <c r="AP2921">
        <v>3700</v>
      </c>
      <c r="AQ2921" t="s">
        <v>129</v>
      </c>
      <c r="AR2921">
        <v>-33</v>
      </c>
      <c r="AS2921">
        <v>-131</v>
      </c>
      <c r="AT2921">
        <v>64</v>
      </c>
      <c r="BB2921">
        <v>1200</v>
      </c>
      <c r="BC2921">
        <v>1</v>
      </c>
      <c r="BD2921" t="str">
        <f t="shared" si="1047"/>
        <v xml:space="preserve">N887QR  </v>
      </c>
      <c r="BE2921">
        <v>1</v>
      </c>
      <c r="BG2921">
        <v>0</v>
      </c>
      <c r="BH2921">
        <v>0</v>
      </c>
      <c r="BI2921">
        <v>0</v>
      </c>
      <c r="BJ2921">
        <v>3375</v>
      </c>
      <c r="BK2921">
        <v>-325</v>
      </c>
      <c r="BL2921" t="s">
        <v>163</v>
      </c>
      <c r="BM2921">
        <v>1</v>
      </c>
      <c r="BN2921">
        <v>1</v>
      </c>
      <c r="BO2921">
        <v>1</v>
      </c>
      <c r="BP2921">
        <v>0</v>
      </c>
      <c r="BS2921">
        <v>0</v>
      </c>
      <c r="BT2921">
        <v>0</v>
      </c>
      <c r="BU2921">
        <v>0</v>
      </c>
      <c r="CE2921" t="str">
        <f>"19:33:21.965"</f>
        <v>19:33:21.965</v>
      </c>
      <c r="CF2921">
        <v>964910087</v>
      </c>
      <c r="CS2921">
        <v>0</v>
      </c>
      <c r="CT2921">
        <v>2</v>
      </c>
      <c r="CU2921">
        <v>0</v>
      </c>
      <c r="CV2921">
        <v>2</v>
      </c>
      <c r="CW2921">
        <v>0</v>
      </c>
      <c r="CX2921">
        <v>1</v>
      </c>
      <c r="CY2921">
        <v>7</v>
      </c>
      <c r="CZ2921" t="s">
        <v>131</v>
      </c>
      <c r="DA2921">
        <v>286</v>
      </c>
      <c r="DB2921">
        <v>0</v>
      </c>
      <c r="DC2921" t="s">
        <v>132</v>
      </c>
      <c r="DD2921" t="s">
        <v>133</v>
      </c>
      <c r="DG2921">
        <v>858569</v>
      </c>
      <c r="DI2921">
        <v>1</v>
      </c>
      <c r="DJ2921">
        <v>0</v>
      </c>
      <c r="DK2921">
        <v>1</v>
      </c>
      <c r="DL2921">
        <v>0</v>
      </c>
      <c r="DM2921">
        <v>0</v>
      </c>
      <c r="DN2921">
        <v>1</v>
      </c>
      <c r="DO2921">
        <v>0</v>
      </c>
      <c r="DP2921">
        <v>0</v>
      </c>
      <c r="DQ2921">
        <v>0</v>
      </c>
      <c r="DR2921">
        <v>0</v>
      </c>
      <c r="DS2921">
        <v>0</v>
      </c>
    </row>
    <row r="2922" spans="1:123" x14ac:dyDescent="0.3">
      <c r="A2922" t="str">
        <f>"10/04/2022 19:33:23.385"</f>
        <v>10/04/2022 19:33:23.385</v>
      </c>
      <c r="C2922" t="str">
        <f t="shared" si="1060"/>
        <v>FFDFD3C0</v>
      </c>
      <c r="D2922" t="s">
        <v>136</v>
      </c>
      <c r="E2922">
        <v>8</v>
      </c>
      <c r="H2922">
        <v>225</v>
      </c>
      <c r="I2922" t="s">
        <v>137</v>
      </c>
      <c r="J2922" t="s">
        <v>138</v>
      </c>
      <c r="K2922">
        <v>0</v>
      </c>
      <c r="L2922">
        <v>3</v>
      </c>
      <c r="M2922">
        <v>0</v>
      </c>
      <c r="N2922">
        <v>2</v>
      </c>
      <c r="O2922">
        <v>0</v>
      </c>
      <c r="P2922">
        <v>1</v>
      </c>
      <c r="Q2922">
        <v>0</v>
      </c>
      <c r="S2922" t="str">
        <f t="shared" ref="S2922:T2928" si="1061">"19:33:23.000"</f>
        <v>19:33:23.000</v>
      </c>
      <c r="T2922" t="str">
        <f t="shared" si="1061"/>
        <v>19:33:23.000</v>
      </c>
      <c r="U2922" t="str">
        <f t="shared" si="1046"/>
        <v>AC3944</v>
      </c>
      <c r="V2922">
        <v>0</v>
      </c>
      <c r="W2922">
        <v>0</v>
      </c>
      <c r="X2922">
        <v>2</v>
      </c>
      <c r="Y2922">
        <v>0</v>
      </c>
      <c r="AA2922">
        <v>1</v>
      </c>
      <c r="AB2922">
        <v>8</v>
      </c>
      <c r="AC2922">
        <v>3</v>
      </c>
      <c r="AD2922">
        <v>0</v>
      </c>
      <c r="AE2922">
        <v>9</v>
      </c>
      <c r="AF2922" t="s">
        <v>138</v>
      </c>
      <c r="AG2922">
        <v>0</v>
      </c>
      <c r="AH2922">
        <v>3</v>
      </c>
      <c r="AI2922">
        <v>1</v>
      </c>
      <c r="AJ2922">
        <v>0</v>
      </c>
      <c r="AK2922" t="s">
        <v>986</v>
      </c>
      <c r="AL2922">
        <v>32.724451999999999</v>
      </c>
      <c r="AM2922" t="s">
        <v>987</v>
      </c>
      <c r="AN2922">
        <v>-116.750894</v>
      </c>
      <c r="AO2922">
        <v>25</v>
      </c>
      <c r="AP2922">
        <v>3700</v>
      </c>
      <c r="AQ2922" t="s">
        <v>129</v>
      </c>
      <c r="AR2922">
        <v>-53</v>
      </c>
      <c r="AS2922">
        <v>-126</v>
      </c>
      <c r="AT2922">
        <v>0</v>
      </c>
      <c r="BB2922">
        <v>1200</v>
      </c>
      <c r="BC2922">
        <v>1</v>
      </c>
      <c r="BD2922" t="str">
        <f t="shared" si="1047"/>
        <v xml:space="preserve">N887QR  </v>
      </c>
      <c r="BE2922">
        <v>1</v>
      </c>
      <c r="BG2922">
        <v>0</v>
      </c>
      <c r="BH2922">
        <v>0</v>
      </c>
      <c r="BI2922">
        <v>0</v>
      </c>
      <c r="BJ2922">
        <v>3375</v>
      </c>
      <c r="BK2922">
        <v>-325</v>
      </c>
      <c r="BL2922" t="s">
        <v>163</v>
      </c>
      <c r="BM2922">
        <v>1</v>
      </c>
      <c r="BN2922">
        <v>1</v>
      </c>
      <c r="BO2922">
        <v>1</v>
      </c>
      <c r="BP2922">
        <v>0</v>
      </c>
      <c r="BS2922">
        <v>0</v>
      </c>
      <c r="BT2922">
        <v>0</v>
      </c>
      <c r="BU2922">
        <v>0</v>
      </c>
      <c r="CE2922" t="str">
        <f t="shared" ref="CE2922:CE2928" si="1062">"19:33:23.104"</f>
        <v>19:33:23.104</v>
      </c>
      <c r="CF2922">
        <v>104413517</v>
      </c>
      <c r="CS2922">
        <v>0</v>
      </c>
      <c r="CT2922">
        <v>2</v>
      </c>
      <c r="CU2922">
        <v>0</v>
      </c>
      <c r="CV2922">
        <v>2</v>
      </c>
      <c r="CW2922">
        <v>3</v>
      </c>
      <c r="CX2922">
        <v>0</v>
      </c>
      <c r="CY2922">
        <v>7</v>
      </c>
      <c r="CZ2922" t="s">
        <v>131</v>
      </c>
      <c r="DA2922">
        <v>286</v>
      </c>
      <c r="DB2922">
        <v>0</v>
      </c>
      <c r="DC2922" t="s">
        <v>132</v>
      </c>
      <c r="DD2922" t="s">
        <v>133</v>
      </c>
      <c r="DG2922">
        <v>858844</v>
      </c>
      <c r="DI2922">
        <v>1</v>
      </c>
      <c r="DJ2922">
        <v>0</v>
      </c>
      <c r="DK2922">
        <v>0</v>
      </c>
      <c r="DL2922">
        <v>0</v>
      </c>
      <c r="DM2922">
        <v>0</v>
      </c>
      <c r="DN2922">
        <v>1</v>
      </c>
      <c r="DO2922">
        <v>0</v>
      </c>
      <c r="DP2922">
        <v>0</v>
      </c>
      <c r="DQ2922">
        <v>0</v>
      </c>
      <c r="DR2922">
        <v>0</v>
      </c>
      <c r="DS2922">
        <v>0</v>
      </c>
    </row>
    <row r="2923" spans="1:123" x14ac:dyDescent="0.3">
      <c r="A2923" t="str">
        <f>"10/04/2022 19:33:23.385"</f>
        <v>10/04/2022 19:33:23.385</v>
      </c>
      <c r="C2923" t="str">
        <f t="shared" si="1060"/>
        <v>FFDFD3C0</v>
      </c>
      <c r="D2923" t="s">
        <v>143</v>
      </c>
      <c r="E2923">
        <v>20</v>
      </c>
      <c r="F2923">
        <v>1020</v>
      </c>
      <c r="G2923" t="s">
        <v>144</v>
      </c>
      <c r="J2923" t="s">
        <v>145</v>
      </c>
      <c r="K2923">
        <v>0</v>
      </c>
      <c r="L2923">
        <v>3</v>
      </c>
      <c r="M2923">
        <v>0</v>
      </c>
      <c r="N2923">
        <v>2</v>
      </c>
      <c r="O2923">
        <v>0</v>
      </c>
      <c r="P2923">
        <v>1</v>
      </c>
      <c r="Q2923">
        <v>0</v>
      </c>
      <c r="S2923" t="str">
        <f t="shared" si="1061"/>
        <v>19:33:23.000</v>
      </c>
      <c r="T2923" t="str">
        <f t="shared" si="1061"/>
        <v>19:33:23.000</v>
      </c>
      <c r="U2923" t="str">
        <f t="shared" si="1046"/>
        <v>AC3944</v>
      </c>
      <c r="V2923">
        <v>0</v>
      </c>
      <c r="W2923">
        <v>0</v>
      </c>
      <c r="X2923">
        <v>2</v>
      </c>
      <c r="Y2923">
        <v>0</v>
      </c>
      <c r="AA2923">
        <v>1</v>
      </c>
      <c r="AB2923">
        <v>8</v>
      </c>
      <c r="AC2923">
        <v>3</v>
      </c>
      <c r="AD2923">
        <v>0</v>
      </c>
      <c r="AE2923">
        <v>9</v>
      </c>
      <c r="AF2923" t="s">
        <v>138</v>
      </c>
      <c r="AG2923">
        <v>0</v>
      </c>
      <c r="AH2923">
        <v>3</v>
      </c>
      <c r="AI2923">
        <v>1</v>
      </c>
      <c r="AJ2923">
        <v>0</v>
      </c>
      <c r="AK2923" t="s">
        <v>986</v>
      </c>
      <c r="AL2923">
        <v>32.724451999999999</v>
      </c>
      <c r="AM2923" t="s">
        <v>987</v>
      </c>
      <c r="AN2923">
        <v>-116.750894</v>
      </c>
      <c r="AO2923">
        <v>25</v>
      </c>
      <c r="AP2923">
        <v>3700</v>
      </c>
      <c r="AQ2923" t="s">
        <v>129</v>
      </c>
      <c r="AR2923">
        <v>-53</v>
      </c>
      <c r="AS2923">
        <v>-126</v>
      </c>
      <c r="AT2923">
        <v>0</v>
      </c>
      <c r="BB2923">
        <v>1200</v>
      </c>
      <c r="BC2923">
        <v>1</v>
      </c>
      <c r="BD2923" t="str">
        <f t="shared" si="1047"/>
        <v xml:space="preserve">N887QR  </v>
      </c>
      <c r="BE2923">
        <v>1</v>
      </c>
      <c r="BG2923">
        <v>0</v>
      </c>
      <c r="BH2923">
        <v>0</v>
      </c>
      <c r="BI2923">
        <v>0</v>
      </c>
      <c r="BJ2923">
        <v>3375</v>
      </c>
      <c r="BK2923">
        <v>-325</v>
      </c>
      <c r="BL2923" t="s">
        <v>163</v>
      </c>
      <c r="BM2923">
        <v>1</v>
      </c>
      <c r="BN2923">
        <v>1</v>
      </c>
      <c r="BO2923">
        <v>1</v>
      </c>
      <c r="BP2923">
        <v>0</v>
      </c>
      <c r="BS2923">
        <v>0</v>
      </c>
      <c r="BT2923">
        <v>0</v>
      </c>
      <c r="BU2923">
        <v>0</v>
      </c>
      <c r="CE2923" t="str">
        <f t="shared" si="1062"/>
        <v>19:33:23.104</v>
      </c>
      <c r="CF2923">
        <v>104413517</v>
      </c>
      <c r="CS2923">
        <v>0</v>
      </c>
      <c r="CT2923">
        <v>2</v>
      </c>
      <c r="CU2923">
        <v>0</v>
      </c>
      <c r="CV2923">
        <v>2</v>
      </c>
      <c r="CW2923">
        <v>3</v>
      </c>
      <c r="CX2923">
        <v>0</v>
      </c>
      <c r="CY2923">
        <v>7</v>
      </c>
      <c r="CZ2923" t="s">
        <v>131</v>
      </c>
      <c r="DA2923">
        <v>286</v>
      </c>
      <c r="DB2923">
        <v>0</v>
      </c>
      <c r="DC2923" t="s">
        <v>132</v>
      </c>
      <c r="DD2923" t="s">
        <v>133</v>
      </c>
      <c r="DG2923">
        <v>858844</v>
      </c>
      <c r="DI2923">
        <v>1</v>
      </c>
      <c r="DJ2923">
        <v>0</v>
      </c>
      <c r="DK2923">
        <v>1</v>
      </c>
      <c r="DL2923">
        <v>0</v>
      </c>
      <c r="DM2923">
        <v>0</v>
      </c>
      <c r="DN2923">
        <v>1</v>
      </c>
      <c r="DO2923">
        <v>0</v>
      </c>
      <c r="DP2923">
        <v>0</v>
      </c>
      <c r="DQ2923">
        <v>0</v>
      </c>
      <c r="DR2923">
        <v>0</v>
      </c>
      <c r="DS2923">
        <v>0</v>
      </c>
    </row>
    <row r="2924" spans="1:123" x14ac:dyDescent="0.3">
      <c r="A2924" t="str">
        <f>"10/04/2022 19:33:23.385"</f>
        <v>10/04/2022 19:33:23.385</v>
      </c>
      <c r="C2924" t="str">
        <f t="shared" si="1060"/>
        <v>FFDFD3C0</v>
      </c>
      <c r="D2924" t="s">
        <v>123</v>
      </c>
      <c r="E2924">
        <v>7</v>
      </c>
      <c r="F2924">
        <v>2007</v>
      </c>
      <c r="G2924" t="s">
        <v>124</v>
      </c>
      <c r="J2924" t="s">
        <v>125</v>
      </c>
      <c r="K2924">
        <v>0</v>
      </c>
      <c r="L2924">
        <v>3</v>
      </c>
      <c r="M2924">
        <v>0</v>
      </c>
      <c r="N2924">
        <v>2</v>
      </c>
      <c r="O2924">
        <v>0</v>
      </c>
      <c r="P2924">
        <v>1</v>
      </c>
      <c r="Q2924">
        <v>0</v>
      </c>
      <c r="S2924" t="str">
        <f t="shared" si="1061"/>
        <v>19:33:23.000</v>
      </c>
      <c r="T2924" t="str">
        <f t="shared" si="1061"/>
        <v>19:33:23.000</v>
      </c>
      <c r="U2924" t="str">
        <f t="shared" si="1046"/>
        <v>AC3944</v>
      </c>
      <c r="V2924">
        <v>0</v>
      </c>
      <c r="W2924">
        <v>0</v>
      </c>
      <c r="X2924">
        <v>2</v>
      </c>
      <c r="Y2924">
        <v>0</v>
      </c>
      <c r="AA2924">
        <v>1</v>
      </c>
      <c r="AB2924">
        <v>8</v>
      </c>
      <c r="AC2924">
        <v>3</v>
      </c>
      <c r="AD2924">
        <v>0</v>
      </c>
      <c r="AE2924">
        <v>9</v>
      </c>
      <c r="AF2924" t="s">
        <v>138</v>
      </c>
      <c r="AG2924">
        <v>0</v>
      </c>
      <c r="AH2924">
        <v>3</v>
      </c>
      <c r="AI2924">
        <v>1</v>
      </c>
      <c r="AJ2924">
        <v>0</v>
      </c>
      <c r="AK2924" t="s">
        <v>986</v>
      </c>
      <c r="AL2924">
        <v>32.724451999999999</v>
      </c>
      <c r="AM2924" t="s">
        <v>987</v>
      </c>
      <c r="AN2924">
        <v>-116.750894</v>
      </c>
      <c r="AO2924">
        <v>25</v>
      </c>
      <c r="AP2924">
        <v>3700</v>
      </c>
      <c r="AQ2924" t="s">
        <v>129</v>
      </c>
      <c r="AR2924">
        <v>-53</v>
      </c>
      <c r="AS2924">
        <v>-126</v>
      </c>
      <c r="AT2924">
        <v>0</v>
      </c>
      <c r="BB2924">
        <v>1200</v>
      </c>
      <c r="BC2924">
        <v>1</v>
      </c>
      <c r="BD2924" t="str">
        <f t="shared" si="1047"/>
        <v xml:space="preserve">N887QR  </v>
      </c>
      <c r="BE2924">
        <v>1</v>
      </c>
      <c r="BG2924">
        <v>0</v>
      </c>
      <c r="BH2924">
        <v>0</v>
      </c>
      <c r="BI2924">
        <v>0</v>
      </c>
      <c r="BJ2924">
        <v>3375</v>
      </c>
      <c r="BK2924">
        <v>-325</v>
      </c>
      <c r="BL2924" t="s">
        <v>163</v>
      </c>
      <c r="BM2924">
        <v>1</v>
      </c>
      <c r="BN2924">
        <v>1</v>
      </c>
      <c r="BO2924">
        <v>1</v>
      </c>
      <c r="BP2924">
        <v>0</v>
      </c>
      <c r="BS2924">
        <v>0</v>
      </c>
      <c r="BT2924">
        <v>0</v>
      </c>
      <c r="BU2924">
        <v>0</v>
      </c>
      <c r="CE2924" t="str">
        <f t="shared" si="1062"/>
        <v>19:33:23.104</v>
      </c>
      <c r="CF2924">
        <v>104413517</v>
      </c>
      <c r="CS2924">
        <v>0</v>
      </c>
      <c r="CT2924">
        <v>2</v>
      </c>
      <c r="CU2924">
        <v>0</v>
      </c>
      <c r="CV2924">
        <v>2</v>
      </c>
      <c r="CW2924">
        <v>3</v>
      </c>
      <c r="CX2924">
        <v>0</v>
      </c>
      <c r="CY2924">
        <v>7</v>
      </c>
      <c r="CZ2924" t="s">
        <v>131</v>
      </c>
      <c r="DA2924">
        <v>286</v>
      </c>
      <c r="DB2924">
        <v>0</v>
      </c>
      <c r="DC2924" t="s">
        <v>132</v>
      </c>
      <c r="DD2924" t="s">
        <v>133</v>
      </c>
      <c r="DG2924">
        <v>858844</v>
      </c>
      <c r="DI2924">
        <v>1</v>
      </c>
      <c r="DJ2924">
        <v>0</v>
      </c>
      <c r="DK2924">
        <v>1</v>
      </c>
      <c r="DL2924">
        <v>0</v>
      </c>
      <c r="DM2924">
        <v>0</v>
      </c>
      <c r="DN2924">
        <v>1</v>
      </c>
      <c r="DO2924">
        <v>0</v>
      </c>
      <c r="DP2924">
        <v>0</v>
      </c>
      <c r="DQ2924">
        <v>0</v>
      </c>
      <c r="DR2924">
        <v>0</v>
      </c>
      <c r="DS2924">
        <v>0</v>
      </c>
    </row>
    <row r="2925" spans="1:123" x14ac:dyDescent="0.3">
      <c r="A2925" t="str">
        <f>"10/04/2022 19:33:23.385"</f>
        <v>10/04/2022 19:33:23.385</v>
      </c>
      <c r="C2925" t="str">
        <f t="shared" si="1060"/>
        <v>FFDFD3C0</v>
      </c>
      <c r="D2925" t="s">
        <v>141</v>
      </c>
      <c r="E2925">
        <v>3</v>
      </c>
      <c r="H2925">
        <v>3</v>
      </c>
      <c r="I2925" t="s">
        <v>146</v>
      </c>
      <c r="J2925" t="s">
        <v>138</v>
      </c>
      <c r="K2925">
        <v>0</v>
      </c>
      <c r="L2925">
        <v>3</v>
      </c>
      <c r="M2925">
        <v>0</v>
      </c>
      <c r="N2925">
        <v>2</v>
      </c>
      <c r="O2925">
        <v>0</v>
      </c>
      <c r="P2925">
        <v>1</v>
      </c>
      <c r="Q2925">
        <v>0</v>
      </c>
      <c r="S2925" t="str">
        <f t="shared" si="1061"/>
        <v>19:33:23.000</v>
      </c>
      <c r="T2925" t="str">
        <f t="shared" si="1061"/>
        <v>19:33:23.000</v>
      </c>
      <c r="U2925" t="str">
        <f t="shared" si="1046"/>
        <v>AC3944</v>
      </c>
      <c r="V2925">
        <v>0</v>
      </c>
      <c r="W2925">
        <v>0</v>
      </c>
      <c r="X2925">
        <v>2</v>
      </c>
      <c r="Y2925">
        <v>0</v>
      </c>
      <c r="AA2925">
        <v>1</v>
      </c>
      <c r="AB2925">
        <v>8</v>
      </c>
      <c r="AC2925">
        <v>3</v>
      </c>
      <c r="AD2925">
        <v>0</v>
      </c>
      <c r="AE2925">
        <v>9</v>
      </c>
      <c r="AF2925" t="s">
        <v>138</v>
      </c>
      <c r="AG2925">
        <v>0</v>
      </c>
      <c r="AH2925">
        <v>3</v>
      </c>
      <c r="AI2925">
        <v>1</v>
      </c>
      <c r="AJ2925">
        <v>0</v>
      </c>
      <c r="AK2925" t="s">
        <v>986</v>
      </c>
      <c r="AL2925">
        <v>32.724451999999999</v>
      </c>
      <c r="AM2925" t="s">
        <v>987</v>
      </c>
      <c r="AN2925">
        <v>-116.750894</v>
      </c>
      <c r="AO2925">
        <v>25</v>
      </c>
      <c r="AP2925">
        <v>3700</v>
      </c>
      <c r="AQ2925" t="s">
        <v>129</v>
      </c>
      <c r="AR2925">
        <v>-53</v>
      </c>
      <c r="AS2925">
        <v>-126</v>
      </c>
      <c r="AT2925">
        <v>0</v>
      </c>
      <c r="BB2925">
        <v>1200</v>
      </c>
      <c r="BC2925">
        <v>1</v>
      </c>
      <c r="BD2925" t="str">
        <f t="shared" si="1047"/>
        <v xml:space="preserve">N887QR  </v>
      </c>
      <c r="BE2925">
        <v>1</v>
      </c>
      <c r="BG2925">
        <v>0</v>
      </c>
      <c r="BH2925">
        <v>0</v>
      </c>
      <c r="BI2925">
        <v>0</v>
      </c>
      <c r="BJ2925">
        <v>3375</v>
      </c>
      <c r="BK2925">
        <v>-325</v>
      </c>
      <c r="BL2925" t="s">
        <v>163</v>
      </c>
      <c r="BM2925">
        <v>1</v>
      </c>
      <c r="BN2925">
        <v>1</v>
      </c>
      <c r="BO2925">
        <v>1</v>
      </c>
      <c r="BP2925">
        <v>0</v>
      </c>
      <c r="BS2925">
        <v>0</v>
      </c>
      <c r="BT2925">
        <v>0</v>
      </c>
      <c r="BU2925">
        <v>0</v>
      </c>
      <c r="CE2925" t="str">
        <f t="shared" si="1062"/>
        <v>19:33:23.104</v>
      </c>
      <c r="CF2925">
        <v>104413517</v>
      </c>
      <c r="CS2925">
        <v>0</v>
      </c>
      <c r="CT2925">
        <v>2</v>
      </c>
      <c r="CU2925">
        <v>0</v>
      </c>
      <c r="CV2925">
        <v>2</v>
      </c>
      <c r="CW2925">
        <v>3</v>
      </c>
      <c r="CX2925">
        <v>0</v>
      </c>
      <c r="CY2925">
        <v>7</v>
      </c>
      <c r="CZ2925" t="s">
        <v>131</v>
      </c>
      <c r="DA2925">
        <v>286</v>
      </c>
      <c r="DB2925">
        <v>0</v>
      </c>
      <c r="DC2925" t="s">
        <v>132</v>
      </c>
      <c r="DD2925" t="s">
        <v>133</v>
      </c>
      <c r="DG2925">
        <v>858844</v>
      </c>
      <c r="DI2925">
        <v>1</v>
      </c>
      <c r="DJ2925">
        <v>0</v>
      </c>
      <c r="DK2925">
        <v>1</v>
      </c>
      <c r="DL2925">
        <v>0</v>
      </c>
      <c r="DM2925">
        <v>0</v>
      </c>
      <c r="DN2925">
        <v>1</v>
      </c>
      <c r="DO2925">
        <v>0</v>
      </c>
      <c r="DP2925">
        <v>0</v>
      </c>
      <c r="DQ2925">
        <v>0</v>
      </c>
      <c r="DR2925">
        <v>0</v>
      </c>
      <c r="DS2925">
        <v>0</v>
      </c>
    </row>
    <row r="2926" spans="1:123" x14ac:dyDescent="0.3">
      <c r="A2926" t="str">
        <f>"10/04/2022 19:33:23.401"</f>
        <v>10/04/2022 19:33:23.401</v>
      </c>
      <c r="C2926" t="str">
        <f t="shared" si="1060"/>
        <v>FFDFD3C0</v>
      </c>
      <c r="D2926" t="s">
        <v>134</v>
      </c>
      <c r="E2926">
        <v>15</v>
      </c>
      <c r="J2926" t="s">
        <v>135</v>
      </c>
      <c r="K2926">
        <v>0</v>
      </c>
      <c r="L2926">
        <v>3</v>
      </c>
      <c r="M2926">
        <v>0</v>
      </c>
      <c r="N2926">
        <v>2</v>
      </c>
      <c r="O2926">
        <v>0</v>
      </c>
      <c r="P2926">
        <v>1</v>
      </c>
      <c r="Q2926">
        <v>0</v>
      </c>
      <c r="S2926" t="str">
        <f t="shared" si="1061"/>
        <v>19:33:23.000</v>
      </c>
      <c r="T2926" t="str">
        <f t="shared" si="1061"/>
        <v>19:33:23.000</v>
      </c>
      <c r="U2926" t="str">
        <f t="shared" si="1046"/>
        <v>AC3944</v>
      </c>
      <c r="V2926">
        <v>0</v>
      </c>
      <c r="W2926">
        <v>0</v>
      </c>
      <c r="X2926">
        <v>2</v>
      </c>
      <c r="Y2926">
        <v>0</v>
      </c>
      <c r="AA2926">
        <v>1</v>
      </c>
      <c r="AB2926">
        <v>8</v>
      </c>
      <c r="AC2926">
        <v>3</v>
      </c>
      <c r="AD2926">
        <v>0</v>
      </c>
      <c r="AE2926">
        <v>9</v>
      </c>
      <c r="AF2926" t="s">
        <v>138</v>
      </c>
      <c r="AG2926">
        <v>0</v>
      </c>
      <c r="AH2926">
        <v>3</v>
      </c>
      <c r="AI2926">
        <v>1</v>
      </c>
      <c r="AJ2926">
        <v>0</v>
      </c>
      <c r="AK2926" t="s">
        <v>986</v>
      </c>
      <c r="AL2926">
        <v>32.724451999999999</v>
      </c>
      <c r="AM2926" t="s">
        <v>987</v>
      </c>
      <c r="AN2926">
        <v>-116.750894</v>
      </c>
      <c r="AO2926">
        <v>25</v>
      </c>
      <c r="AP2926">
        <v>3700</v>
      </c>
      <c r="AQ2926" t="s">
        <v>129</v>
      </c>
      <c r="AR2926">
        <v>-53</v>
      </c>
      <c r="AS2926">
        <v>-126</v>
      </c>
      <c r="AT2926">
        <v>0</v>
      </c>
      <c r="BB2926">
        <v>1200</v>
      </c>
      <c r="BC2926">
        <v>1</v>
      </c>
      <c r="BD2926" t="str">
        <f t="shared" si="1047"/>
        <v xml:space="preserve">N887QR  </v>
      </c>
      <c r="BE2926">
        <v>1</v>
      </c>
      <c r="BG2926">
        <v>0</v>
      </c>
      <c r="BH2926">
        <v>0</v>
      </c>
      <c r="BI2926">
        <v>0</v>
      </c>
      <c r="BJ2926">
        <v>3375</v>
      </c>
      <c r="BK2926">
        <v>-325</v>
      </c>
      <c r="BL2926" t="s">
        <v>163</v>
      </c>
      <c r="BM2926">
        <v>1</v>
      </c>
      <c r="BN2926">
        <v>1</v>
      </c>
      <c r="BO2926">
        <v>1</v>
      </c>
      <c r="BP2926">
        <v>0</v>
      </c>
      <c r="BS2926">
        <v>0</v>
      </c>
      <c r="BT2926">
        <v>0</v>
      </c>
      <c r="BU2926">
        <v>0</v>
      </c>
      <c r="CE2926" t="str">
        <f t="shared" si="1062"/>
        <v>19:33:23.104</v>
      </c>
      <c r="CF2926">
        <v>104413517</v>
      </c>
      <c r="CS2926">
        <v>0</v>
      </c>
      <c r="CT2926">
        <v>2</v>
      </c>
      <c r="CU2926">
        <v>0</v>
      </c>
      <c r="CV2926">
        <v>2</v>
      </c>
      <c r="CW2926">
        <v>3</v>
      </c>
      <c r="CX2926">
        <v>0</v>
      </c>
      <c r="CY2926">
        <v>7</v>
      </c>
      <c r="CZ2926" t="s">
        <v>131</v>
      </c>
      <c r="DA2926">
        <v>286</v>
      </c>
      <c r="DB2926">
        <v>0</v>
      </c>
      <c r="DC2926" t="s">
        <v>132</v>
      </c>
      <c r="DD2926" t="s">
        <v>133</v>
      </c>
      <c r="DG2926">
        <v>858844</v>
      </c>
      <c r="DI2926">
        <v>1</v>
      </c>
      <c r="DJ2926">
        <v>0</v>
      </c>
      <c r="DK2926">
        <v>1</v>
      </c>
      <c r="DL2926">
        <v>0</v>
      </c>
      <c r="DM2926">
        <v>0</v>
      </c>
      <c r="DN2926">
        <v>1</v>
      </c>
      <c r="DO2926">
        <v>0</v>
      </c>
      <c r="DP2926">
        <v>0</v>
      </c>
      <c r="DQ2926">
        <v>0</v>
      </c>
      <c r="DR2926">
        <v>0</v>
      </c>
      <c r="DS2926">
        <v>0</v>
      </c>
    </row>
    <row r="2927" spans="1:123" x14ac:dyDescent="0.3">
      <c r="A2927" t="str">
        <f>"10/04/2022 19:33:23.401"</f>
        <v>10/04/2022 19:33:23.401</v>
      </c>
      <c r="C2927" t="str">
        <f t="shared" si="1060"/>
        <v>FFDFD3C0</v>
      </c>
      <c r="D2927" t="s">
        <v>147</v>
      </c>
      <c r="E2927">
        <v>3</v>
      </c>
      <c r="H2927">
        <v>166</v>
      </c>
      <c r="I2927" t="s">
        <v>144</v>
      </c>
      <c r="J2927" t="s">
        <v>148</v>
      </c>
      <c r="K2927">
        <v>0</v>
      </c>
      <c r="L2927">
        <v>3</v>
      </c>
      <c r="M2927">
        <v>0</v>
      </c>
      <c r="N2927">
        <v>2</v>
      </c>
      <c r="O2927">
        <v>0</v>
      </c>
      <c r="P2927">
        <v>1</v>
      </c>
      <c r="Q2927">
        <v>0</v>
      </c>
      <c r="S2927" t="str">
        <f t="shared" si="1061"/>
        <v>19:33:23.000</v>
      </c>
      <c r="T2927" t="str">
        <f t="shared" si="1061"/>
        <v>19:33:23.000</v>
      </c>
      <c r="U2927" t="str">
        <f t="shared" si="1046"/>
        <v>AC3944</v>
      </c>
      <c r="V2927">
        <v>0</v>
      </c>
      <c r="W2927">
        <v>0</v>
      </c>
      <c r="X2927">
        <v>2</v>
      </c>
      <c r="Y2927">
        <v>0</v>
      </c>
      <c r="AA2927">
        <v>1</v>
      </c>
      <c r="AB2927">
        <v>8</v>
      </c>
      <c r="AC2927">
        <v>3</v>
      </c>
      <c r="AD2927">
        <v>0</v>
      </c>
      <c r="AE2927">
        <v>9</v>
      </c>
      <c r="AF2927" t="s">
        <v>138</v>
      </c>
      <c r="AG2927">
        <v>0</v>
      </c>
      <c r="AH2927">
        <v>3</v>
      </c>
      <c r="AI2927">
        <v>1</v>
      </c>
      <c r="AJ2927">
        <v>0</v>
      </c>
      <c r="AK2927" t="s">
        <v>986</v>
      </c>
      <c r="AL2927">
        <v>32.724451999999999</v>
      </c>
      <c r="AM2927" t="s">
        <v>987</v>
      </c>
      <c r="AN2927">
        <v>-116.750894</v>
      </c>
      <c r="AO2927">
        <v>25</v>
      </c>
      <c r="AP2927">
        <v>3700</v>
      </c>
      <c r="AQ2927" t="s">
        <v>129</v>
      </c>
      <c r="AR2927">
        <v>-53</v>
      </c>
      <c r="AS2927">
        <v>-126</v>
      </c>
      <c r="AT2927">
        <v>0</v>
      </c>
      <c r="BB2927">
        <v>1200</v>
      </c>
      <c r="BC2927">
        <v>1</v>
      </c>
      <c r="BD2927" t="str">
        <f t="shared" si="1047"/>
        <v xml:space="preserve">N887QR  </v>
      </c>
      <c r="BE2927">
        <v>1</v>
      </c>
      <c r="BG2927">
        <v>0</v>
      </c>
      <c r="BH2927">
        <v>0</v>
      </c>
      <c r="BI2927">
        <v>0</v>
      </c>
      <c r="BJ2927">
        <v>3375</v>
      </c>
      <c r="BK2927">
        <v>-325</v>
      </c>
      <c r="BL2927" t="s">
        <v>163</v>
      </c>
      <c r="BM2927">
        <v>1</v>
      </c>
      <c r="BN2927">
        <v>1</v>
      </c>
      <c r="BO2927">
        <v>1</v>
      </c>
      <c r="BP2927">
        <v>0</v>
      </c>
      <c r="BS2927">
        <v>0</v>
      </c>
      <c r="BT2927">
        <v>0</v>
      </c>
      <c r="BU2927">
        <v>0</v>
      </c>
      <c r="CE2927" t="str">
        <f t="shared" si="1062"/>
        <v>19:33:23.104</v>
      </c>
      <c r="CF2927">
        <v>104413517</v>
      </c>
      <c r="CS2927">
        <v>0</v>
      </c>
      <c r="CT2927">
        <v>2</v>
      </c>
      <c r="CU2927">
        <v>0</v>
      </c>
      <c r="CV2927">
        <v>2</v>
      </c>
      <c r="CW2927">
        <v>3</v>
      </c>
      <c r="CX2927">
        <v>0</v>
      </c>
      <c r="CY2927">
        <v>7</v>
      </c>
      <c r="CZ2927" t="s">
        <v>131</v>
      </c>
      <c r="DA2927">
        <v>286</v>
      </c>
      <c r="DB2927">
        <v>0</v>
      </c>
      <c r="DC2927" t="s">
        <v>132</v>
      </c>
      <c r="DD2927" t="s">
        <v>133</v>
      </c>
      <c r="DG2927">
        <v>858844</v>
      </c>
      <c r="DI2927">
        <v>1</v>
      </c>
      <c r="DJ2927">
        <v>0</v>
      </c>
      <c r="DK2927">
        <v>1</v>
      </c>
      <c r="DL2927">
        <v>0</v>
      </c>
      <c r="DM2927">
        <v>0</v>
      </c>
      <c r="DN2927">
        <v>1</v>
      </c>
      <c r="DO2927">
        <v>0</v>
      </c>
      <c r="DP2927">
        <v>0</v>
      </c>
      <c r="DQ2927">
        <v>0</v>
      </c>
      <c r="DR2927">
        <v>0</v>
      </c>
      <c r="DS2927">
        <v>0</v>
      </c>
    </row>
    <row r="2928" spans="1:123" x14ac:dyDescent="0.3">
      <c r="A2928" t="str">
        <f>"10/04/2022 19:33:23.385"</f>
        <v>10/04/2022 19:33:23.385</v>
      </c>
      <c r="C2928" t="str">
        <f t="shared" si="1060"/>
        <v>FFDFD3C0</v>
      </c>
      <c r="D2928" t="s">
        <v>141</v>
      </c>
      <c r="E2928">
        <v>4</v>
      </c>
      <c r="H2928">
        <v>4</v>
      </c>
      <c r="I2928" t="s">
        <v>142</v>
      </c>
      <c r="J2928" t="s">
        <v>138</v>
      </c>
      <c r="K2928">
        <v>0</v>
      </c>
      <c r="L2928">
        <v>3</v>
      </c>
      <c r="M2928">
        <v>0</v>
      </c>
      <c r="N2928">
        <v>2</v>
      </c>
      <c r="O2928">
        <v>0</v>
      </c>
      <c r="P2928">
        <v>1</v>
      </c>
      <c r="Q2928">
        <v>0</v>
      </c>
      <c r="S2928" t="str">
        <f t="shared" si="1061"/>
        <v>19:33:23.000</v>
      </c>
      <c r="T2928" t="str">
        <f t="shared" si="1061"/>
        <v>19:33:23.000</v>
      </c>
      <c r="U2928" t="str">
        <f t="shared" si="1046"/>
        <v>AC3944</v>
      </c>
      <c r="V2928">
        <v>0</v>
      </c>
      <c r="W2928">
        <v>0</v>
      </c>
      <c r="X2928">
        <v>2</v>
      </c>
      <c r="Y2928">
        <v>0</v>
      </c>
      <c r="AA2928">
        <v>1</v>
      </c>
      <c r="AB2928">
        <v>8</v>
      </c>
      <c r="AC2928">
        <v>3</v>
      </c>
      <c r="AD2928">
        <v>0</v>
      </c>
      <c r="AE2928">
        <v>9</v>
      </c>
      <c r="AF2928" t="s">
        <v>138</v>
      </c>
      <c r="AG2928">
        <v>0</v>
      </c>
      <c r="AH2928">
        <v>3</v>
      </c>
      <c r="AI2928">
        <v>1</v>
      </c>
      <c r="AJ2928">
        <v>0</v>
      </c>
      <c r="AK2928" t="s">
        <v>986</v>
      </c>
      <c r="AL2928">
        <v>32.724451999999999</v>
      </c>
      <c r="AM2928" t="s">
        <v>987</v>
      </c>
      <c r="AN2928">
        <v>-116.750894</v>
      </c>
      <c r="AO2928">
        <v>25</v>
      </c>
      <c r="AP2928">
        <v>3700</v>
      </c>
      <c r="AQ2928" t="s">
        <v>129</v>
      </c>
      <c r="AR2928">
        <v>-53</v>
      </c>
      <c r="AS2928">
        <v>-126</v>
      </c>
      <c r="AT2928">
        <v>0</v>
      </c>
      <c r="BB2928">
        <v>1200</v>
      </c>
      <c r="BC2928">
        <v>1</v>
      </c>
      <c r="BD2928" t="str">
        <f t="shared" si="1047"/>
        <v xml:space="preserve">N887QR  </v>
      </c>
      <c r="BE2928">
        <v>1</v>
      </c>
      <c r="BG2928">
        <v>0</v>
      </c>
      <c r="BH2928">
        <v>0</v>
      </c>
      <c r="BI2928">
        <v>0</v>
      </c>
      <c r="BJ2928">
        <v>3375</v>
      </c>
      <c r="BK2928">
        <v>-325</v>
      </c>
      <c r="BL2928" t="s">
        <v>163</v>
      </c>
      <c r="BM2928">
        <v>1</v>
      </c>
      <c r="BN2928">
        <v>1</v>
      </c>
      <c r="BO2928">
        <v>1</v>
      </c>
      <c r="BP2928">
        <v>0</v>
      </c>
      <c r="BS2928">
        <v>0</v>
      </c>
      <c r="BT2928">
        <v>0</v>
      </c>
      <c r="BU2928">
        <v>0</v>
      </c>
      <c r="CE2928" t="str">
        <f t="shared" si="1062"/>
        <v>19:33:23.104</v>
      </c>
      <c r="CF2928">
        <v>104413517</v>
      </c>
      <c r="CS2928">
        <v>0</v>
      </c>
      <c r="CT2928">
        <v>2</v>
      </c>
      <c r="CU2928">
        <v>0</v>
      </c>
      <c r="CV2928">
        <v>2</v>
      </c>
      <c r="CW2928">
        <v>3</v>
      </c>
      <c r="CX2928">
        <v>0</v>
      </c>
      <c r="CY2928">
        <v>7</v>
      </c>
      <c r="CZ2928" t="s">
        <v>131</v>
      </c>
      <c r="DA2928">
        <v>286</v>
      </c>
      <c r="DB2928">
        <v>0</v>
      </c>
      <c r="DC2928" t="s">
        <v>132</v>
      </c>
      <c r="DD2928" t="s">
        <v>133</v>
      </c>
      <c r="DG2928">
        <v>858844</v>
      </c>
      <c r="DI2928">
        <v>1</v>
      </c>
      <c r="DJ2928">
        <v>0</v>
      </c>
      <c r="DK2928">
        <v>1</v>
      </c>
      <c r="DL2928">
        <v>0</v>
      </c>
      <c r="DM2928">
        <v>0</v>
      </c>
      <c r="DN2928">
        <v>1</v>
      </c>
      <c r="DO2928">
        <v>0</v>
      </c>
      <c r="DP2928">
        <v>0</v>
      </c>
      <c r="DQ2928">
        <v>0</v>
      </c>
      <c r="DR2928">
        <v>0</v>
      </c>
      <c r="DS2928">
        <v>0</v>
      </c>
    </row>
    <row r="2929" spans="1:123" x14ac:dyDescent="0.3">
      <c r="A2929" t="str">
        <f>"10/04/2022 19:33:24.510"</f>
        <v>10/04/2022 19:33:24.510</v>
      </c>
      <c r="C2929" t="str">
        <f t="shared" si="1060"/>
        <v>FFDFD3C0</v>
      </c>
      <c r="D2929" t="s">
        <v>136</v>
      </c>
      <c r="E2929">
        <v>8</v>
      </c>
      <c r="H2929">
        <v>225</v>
      </c>
      <c r="I2929" t="s">
        <v>137</v>
      </c>
      <c r="J2929" t="s">
        <v>138</v>
      </c>
      <c r="K2929">
        <v>0</v>
      </c>
      <c r="L2929">
        <v>3</v>
      </c>
      <c r="M2929">
        <v>0</v>
      </c>
      <c r="N2929">
        <v>2</v>
      </c>
      <c r="O2929">
        <v>0</v>
      </c>
      <c r="P2929">
        <v>1</v>
      </c>
      <c r="Q2929">
        <v>0</v>
      </c>
      <c r="S2929" t="str">
        <f t="shared" ref="S2929:T2935" si="1063">"19:33:24.000"</f>
        <v>19:33:24.000</v>
      </c>
      <c r="T2929" t="str">
        <f t="shared" si="1063"/>
        <v>19:33:24.000</v>
      </c>
      <c r="U2929" t="str">
        <f t="shared" si="1046"/>
        <v>AC3944</v>
      </c>
      <c r="V2929">
        <v>0</v>
      </c>
      <c r="W2929">
        <v>0</v>
      </c>
      <c r="X2929">
        <v>2</v>
      </c>
      <c r="Y2929">
        <v>0</v>
      </c>
      <c r="AA2929">
        <v>1</v>
      </c>
      <c r="AB2929">
        <v>8</v>
      </c>
      <c r="AC2929">
        <v>3</v>
      </c>
      <c r="AD2929">
        <v>0</v>
      </c>
      <c r="AE2929">
        <v>9</v>
      </c>
      <c r="AF2929" t="s">
        <v>138</v>
      </c>
      <c r="AG2929">
        <v>0</v>
      </c>
      <c r="AH2929">
        <v>3</v>
      </c>
      <c r="AI2929">
        <v>1</v>
      </c>
      <c r="AJ2929">
        <v>0</v>
      </c>
      <c r="AK2929" t="s">
        <v>988</v>
      </c>
      <c r="AL2929">
        <v>32.723744000000003</v>
      </c>
      <c r="AM2929" t="s">
        <v>989</v>
      </c>
      <c r="AN2929">
        <v>-116.751237</v>
      </c>
      <c r="AO2929">
        <v>25</v>
      </c>
      <c r="AP2929">
        <v>3600</v>
      </c>
      <c r="AQ2929" t="s">
        <v>129</v>
      </c>
      <c r="AR2929">
        <v>-65</v>
      </c>
      <c r="AS2929">
        <v>-122</v>
      </c>
      <c r="AT2929">
        <v>-320</v>
      </c>
      <c r="BB2929">
        <v>1200</v>
      </c>
      <c r="BC2929">
        <v>1</v>
      </c>
      <c r="BD2929" t="str">
        <f t="shared" si="1047"/>
        <v xml:space="preserve">N887QR  </v>
      </c>
      <c r="BE2929">
        <v>1</v>
      </c>
      <c r="BG2929">
        <v>0</v>
      </c>
      <c r="BH2929">
        <v>0</v>
      </c>
      <c r="BI2929">
        <v>0</v>
      </c>
      <c r="BJ2929">
        <v>3375</v>
      </c>
      <c r="BK2929">
        <v>-225</v>
      </c>
      <c r="BL2929" t="s">
        <v>163</v>
      </c>
      <c r="BM2929">
        <v>1</v>
      </c>
      <c r="BN2929">
        <v>1</v>
      </c>
      <c r="BO2929">
        <v>1</v>
      </c>
      <c r="BP2929">
        <v>0</v>
      </c>
      <c r="BS2929">
        <v>0</v>
      </c>
      <c r="BT2929">
        <v>0</v>
      </c>
      <c r="BU2929">
        <v>0</v>
      </c>
      <c r="CE2929" t="str">
        <f t="shared" ref="CE2929:CE2935" si="1064">"19:33:24.150"</f>
        <v>19:33:24.150</v>
      </c>
      <c r="CF2929">
        <v>149916565</v>
      </c>
      <c r="CS2929">
        <v>0</v>
      </c>
      <c r="CT2929">
        <v>2</v>
      </c>
      <c r="CU2929">
        <v>0</v>
      </c>
      <c r="CV2929">
        <v>2</v>
      </c>
      <c r="CW2929">
        <v>0</v>
      </c>
      <c r="CX2929">
        <v>1</v>
      </c>
      <c r="CY2929">
        <v>7</v>
      </c>
      <c r="CZ2929" t="s">
        <v>131</v>
      </c>
      <c r="DA2929">
        <v>286</v>
      </c>
      <c r="DB2929">
        <v>0</v>
      </c>
      <c r="DC2929" t="s">
        <v>132</v>
      </c>
      <c r="DD2929" t="s">
        <v>133</v>
      </c>
      <c r="DG2929">
        <v>859065</v>
      </c>
      <c r="DI2929">
        <v>1</v>
      </c>
      <c r="DJ2929">
        <v>0</v>
      </c>
      <c r="DK2929">
        <v>0</v>
      </c>
      <c r="DL2929">
        <v>0</v>
      </c>
      <c r="DM2929">
        <v>0</v>
      </c>
      <c r="DN2929">
        <v>1</v>
      </c>
      <c r="DO2929">
        <v>0</v>
      </c>
      <c r="DP2929">
        <v>0</v>
      </c>
      <c r="DQ2929">
        <v>0</v>
      </c>
      <c r="DR2929">
        <v>0</v>
      </c>
      <c r="DS2929">
        <v>0</v>
      </c>
    </row>
    <row r="2930" spans="1:123" x14ac:dyDescent="0.3">
      <c r="A2930" t="str">
        <f>"10/04/2022 19:33:24.510"</f>
        <v>10/04/2022 19:33:24.510</v>
      </c>
      <c r="C2930" t="str">
        <f t="shared" si="1060"/>
        <v>FFDFD3C0</v>
      </c>
      <c r="D2930" t="s">
        <v>143</v>
      </c>
      <c r="E2930">
        <v>20</v>
      </c>
      <c r="F2930">
        <v>1020</v>
      </c>
      <c r="G2930" t="s">
        <v>144</v>
      </c>
      <c r="J2930" t="s">
        <v>145</v>
      </c>
      <c r="K2930">
        <v>0</v>
      </c>
      <c r="L2930">
        <v>3</v>
      </c>
      <c r="M2930">
        <v>0</v>
      </c>
      <c r="N2930">
        <v>2</v>
      </c>
      <c r="O2930">
        <v>0</v>
      </c>
      <c r="P2930">
        <v>1</v>
      </c>
      <c r="Q2930">
        <v>0</v>
      </c>
      <c r="S2930" t="str">
        <f t="shared" si="1063"/>
        <v>19:33:24.000</v>
      </c>
      <c r="T2930" t="str">
        <f t="shared" si="1063"/>
        <v>19:33:24.000</v>
      </c>
      <c r="U2930" t="str">
        <f t="shared" si="1046"/>
        <v>AC3944</v>
      </c>
      <c r="V2930">
        <v>0</v>
      </c>
      <c r="W2930">
        <v>0</v>
      </c>
      <c r="X2930">
        <v>2</v>
      </c>
      <c r="Y2930">
        <v>0</v>
      </c>
      <c r="AA2930">
        <v>1</v>
      </c>
      <c r="AB2930">
        <v>8</v>
      </c>
      <c r="AC2930">
        <v>3</v>
      </c>
      <c r="AD2930">
        <v>0</v>
      </c>
      <c r="AE2930">
        <v>9</v>
      </c>
      <c r="AF2930" t="s">
        <v>138</v>
      </c>
      <c r="AG2930">
        <v>0</v>
      </c>
      <c r="AH2930">
        <v>3</v>
      </c>
      <c r="AI2930">
        <v>1</v>
      </c>
      <c r="AJ2930">
        <v>0</v>
      </c>
      <c r="AK2930" t="s">
        <v>988</v>
      </c>
      <c r="AL2930">
        <v>32.723744000000003</v>
      </c>
      <c r="AM2930" t="s">
        <v>989</v>
      </c>
      <c r="AN2930">
        <v>-116.751237</v>
      </c>
      <c r="AO2930">
        <v>25</v>
      </c>
      <c r="AP2930">
        <v>3600</v>
      </c>
      <c r="AQ2930" t="s">
        <v>129</v>
      </c>
      <c r="AR2930">
        <v>-65</v>
      </c>
      <c r="AS2930">
        <v>-122</v>
      </c>
      <c r="AT2930">
        <v>-320</v>
      </c>
      <c r="BB2930">
        <v>1200</v>
      </c>
      <c r="BC2930">
        <v>1</v>
      </c>
      <c r="BD2930" t="str">
        <f t="shared" si="1047"/>
        <v xml:space="preserve">N887QR  </v>
      </c>
      <c r="BE2930">
        <v>1</v>
      </c>
      <c r="BG2930">
        <v>0</v>
      </c>
      <c r="BH2930">
        <v>0</v>
      </c>
      <c r="BI2930">
        <v>0</v>
      </c>
      <c r="BJ2930">
        <v>3375</v>
      </c>
      <c r="BK2930">
        <v>-225</v>
      </c>
      <c r="BL2930" t="s">
        <v>163</v>
      </c>
      <c r="BM2930">
        <v>1</v>
      </c>
      <c r="BN2930">
        <v>1</v>
      </c>
      <c r="BO2930">
        <v>1</v>
      </c>
      <c r="BP2930">
        <v>0</v>
      </c>
      <c r="BS2930">
        <v>0</v>
      </c>
      <c r="BT2930">
        <v>0</v>
      </c>
      <c r="BU2930">
        <v>0</v>
      </c>
      <c r="CE2930" t="str">
        <f t="shared" si="1064"/>
        <v>19:33:24.150</v>
      </c>
      <c r="CF2930">
        <v>149916565</v>
      </c>
      <c r="CS2930">
        <v>0</v>
      </c>
      <c r="CT2930">
        <v>2</v>
      </c>
      <c r="CU2930">
        <v>0</v>
      </c>
      <c r="CV2930">
        <v>2</v>
      </c>
      <c r="CW2930">
        <v>0</v>
      </c>
      <c r="CX2930">
        <v>1</v>
      </c>
      <c r="CY2930">
        <v>7</v>
      </c>
      <c r="CZ2930" t="s">
        <v>131</v>
      </c>
      <c r="DA2930">
        <v>286</v>
      </c>
      <c r="DB2930">
        <v>0</v>
      </c>
      <c r="DC2930" t="s">
        <v>132</v>
      </c>
      <c r="DD2930" t="s">
        <v>133</v>
      </c>
      <c r="DG2930">
        <v>859065</v>
      </c>
      <c r="DI2930">
        <v>1</v>
      </c>
      <c r="DJ2930">
        <v>0</v>
      </c>
      <c r="DK2930">
        <v>1</v>
      </c>
      <c r="DL2930">
        <v>0</v>
      </c>
      <c r="DM2930">
        <v>0</v>
      </c>
      <c r="DN2930">
        <v>1</v>
      </c>
      <c r="DO2930">
        <v>0</v>
      </c>
      <c r="DP2930">
        <v>0</v>
      </c>
      <c r="DQ2930">
        <v>0</v>
      </c>
      <c r="DR2930">
        <v>0</v>
      </c>
      <c r="DS2930">
        <v>0</v>
      </c>
    </row>
    <row r="2931" spans="1:123" x14ac:dyDescent="0.3">
      <c r="A2931" t="str">
        <f>"10/04/2022 19:33:24.510"</f>
        <v>10/04/2022 19:33:24.510</v>
      </c>
      <c r="C2931" t="str">
        <f t="shared" si="1060"/>
        <v>FFDFD3C0</v>
      </c>
      <c r="D2931" t="s">
        <v>123</v>
      </c>
      <c r="E2931">
        <v>7</v>
      </c>
      <c r="F2931">
        <v>2007</v>
      </c>
      <c r="G2931" t="s">
        <v>124</v>
      </c>
      <c r="J2931" t="s">
        <v>125</v>
      </c>
      <c r="K2931">
        <v>0</v>
      </c>
      <c r="L2931">
        <v>3</v>
      </c>
      <c r="M2931">
        <v>0</v>
      </c>
      <c r="N2931">
        <v>2</v>
      </c>
      <c r="O2931">
        <v>0</v>
      </c>
      <c r="P2931">
        <v>1</v>
      </c>
      <c r="Q2931">
        <v>0</v>
      </c>
      <c r="S2931" t="str">
        <f t="shared" si="1063"/>
        <v>19:33:24.000</v>
      </c>
      <c r="T2931" t="str">
        <f t="shared" si="1063"/>
        <v>19:33:24.000</v>
      </c>
      <c r="U2931" t="str">
        <f t="shared" si="1046"/>
        <v>AC3944</v>
      </c>
      <c r="V2931">
        <v>0</v>
      </c>
      <c r="W2931">
        <v>0</v>
      </c>
      <c r="X2931">
        <v>2</v>
      </c>
      <c r="Y2931">
        <v>0</v>
      </c>
      <c r="AA2931">
        <v>1</v>
      </c>
      <c r="AB2931">
        <v>8</v>
      </c>
      <c r="AC2931">
        <v>3</v>
      </c>
      <c r="AD2931">
        <v>0</v>
      </c>
      <c r="AE2931">
        <v>9</v>
      </c>
      <c r="AF2931" t="s">
        <v>138</v>
      </c>
      <c r="AG2931">
        <v>0</v>
      </c>
      <c r="AH2931">
        <v>3</v>
      </c>
      <c r="AI2931">
        <v>1</v>
      </c>
      <c r="AJ2931">
        <v>0</v>
      </c>
      <c r="AK2931" t="s">
        <v>988</v>
      </c>
      <c r="AL2931">
        <v>32.723744000000003</v>
      </c>
      <c r="AM2931" t="s">
        <v>989</v>
      </c>
      <c r="AN2931">
        <v>-116.751237</v>
      </c>
      <c r="AO2931">
        <v>25</v>
      </c>
      <c r="AP2931">
        <v>3600</v>
      </c>
      <c r="AQ2931" t="s">
        <v>129</v>
      </c>
      <c r="AR2931">
        <v>-65</v>
      </c>
      <c r="AS2931">
        <v>-122</v>
      </c>
      <c r="AT2931">
        <v>-320</v>
      </c>
      <c r="BB2931">
        <v>1200</v>
      </c>
      <c r="BC2931">
        <v>1</v>
      </c>
      <c r="BD2931" t="str">
        <f t="shared" si="1047"/>
        <v xml:space="preserve">N887QR  </v>
      </c>
      <c r="BE2931">
        <v>1</v>
      </c>
      <c r="BG2931">
        <v>0</v>
      </c>
      <c r="BH2931">
        <v>0</v>
      </c>
      <c r="BI2931">
        <v>0</v>
      </c>
      <c r="BJ2931">
        <v>3375</v>
      </c>
      <c r="BK2931">
        <v>-225</v>
      </c>
      <c r="BL2931" t="s">
        <v>163</v>
      </c>
      <c r="BM2931">
        <v>1</v>
      </c>
      <c r="BN2931">
        <v>1</v>
      </c>
      <c r="BO2931">
        <v>1</v>
      </c>
      <c r="BP2931">
        <v>0</v>
      </c>
      <c r="BS2931">
        <v>0</v>
      </c>
      <c r="BT2931">
        <v>0</v>
      </c>
      <c r="BU2931">
        <v>0</v>
      </c>
      <c r="CE2931" t="str">
        <f t="shared" si="1064"/>
        <v>19:33:24.150</v>
      </c>
      <c r="CF2931">
        <v>149916565</v>
      </c>
      <c r="CS2931">
        <v>0</v>
      </c>
      <c r="CT2931">
        <v>2</v>
      </c>
      <c r="CU2931">
        <v>0</v>
      </c>
      <c r="CV2931">
        <v>2</v>
      </c>
      <c r="CW2931">
        <v>0</v>
      </c>
      <c r="CX2931">
        <v>1</v>
      </c>
      <c r="CY2931">
        <v>7</v>
      </c>
      <c r="CZ2931" t="s">
        <v>131</v>
      </c>
      <c r="DA2931">
        <v>286</v>
      </c>
      <c r="DB2931">
        <v>0</v>
      </c>
      <c r="DC2931" t="s">
        <v>132</v>
      </c>
      <c r="DD2931" t="s">
        <v>133</v>
      </c>
      <c r="DG2931">
        <v>859065</v>
      </c>
      <c r="DI2931">
        <v>1</v>
      </c>
      <c r="DJ2931">
        <v>0</v>
      </c>
      <c r="DK2931">
        <v>1</v>
      </c>
      <c r="DL2931">
        <v>0</v>
      </c>
      <c r="DM2931">
        <v>0</v>
      </c>
      <c r="DN2931">
        <v>1</v>
      </c>
      <c r="DO2931">
        <v>0</v>
      </c>
      <c r="DP2931">
        <v>0</v>
      </c>
      <c r="DQ2931">
        <v>0</v>
      </c>
      <c r="DR2931">
        <v>0</v>
      </c>
      <c r="DS2931">
        <v>0</v>
      </c>
    </row>
    <row r="2932" spans="1:123" x14ac:dyDescent="0.3">
      <c r="A2932" t="str">
        <f>"10/04/2022 19:33:24.526"</f>
        <v>10/04/2022 19:33:24.526</v>
      </c>
      <c r="C2932" t="str">
        <f t="shared" si="1060"/>
        <v>FFDFD3C0</v>
      </c>
      <c r="D2932" t="s">
        <v>141</v>
      </c>
      <c r="E2932">
        <v>4</v>
      </c>
      <c r="H2932">
        <v>4</v>
      </c>
      <c r="I2932" t="s">
        <v>142</v>
      </c>
      <c r="J2932" t="s">
        <v>138</v>
      </c>
      <c r="K2932">
        <v>0</v>
      </c>
      <c r="L2932">
        <v>3</v>
      </c>
      <c r="M2932">
        <v>0</v>
      </c>
      <c r="N2932">
        <v>2</v>
      </c>
      <c r="O2932">
        <v>0</v>
      </c>
      <c r="P2932">
        <v>1</v>
      </c>
      <c r="Q2932">
        <v>0</v>
      </c>
      <c r="S2932" t="str">
        <f t="shared" si="1063"/>
        <v>19:33:24.000</v>
      </c>
      <c r="T2932" t="str">
        <f t="shared" si="1063"/>
        <v>19:33:24.000</v>
      </c>
      <c r="U2932" t="str">
        <f t="shared" si="1046"/>
        <v>AC3944</v>
      </c>
      <c r="V2932">
        <v>0</v>
      </c>
      <c r="W2932">
        <v>0</v>
      </c>
      <c r="X2932">
        <v>2</v>
      </c>
      <c r="Y2932">
        <v>0</v>
      </c>
      <c r="AA2932">
        <v>1</v>
      </c>
      <c r="AB2932">
        <v>8</v>
      </c>
      <c r="AC2932">
        <v>3</v>
      </c>
      <c r="AD2932">
        <v>0</v>
      </c>
      <c r="AE2932">
        <v>9</v>
      </c>
      <c r="AF2932" t="s">
        <v>138</v>
      </c>
      <c r="AG2932">
        <v>0</v>
      </c>
      <c r="AH2932">
        <v>3</v>
      </c>
      <c r="AI2932">
        <v>1</v>
      </c>
      <c r="AJ2932">
        <v>0</v>
      </c>
      <c r="AK2932" t="s">
        <v>988</v>
      </c>
      <c r="AL2932">
        <v>32.723744000000003</v>
      </c>
      <c r="AM2932" t="s">
        <v>989</v>
      </c>
      <c r="AN2932">
        <v>-116.751237</v>
      </c>
      <c r="AO2932">
        <v>25</v>
      </c>
      <c r="AP2932">
        <v>3600</v>
      </c>
      <c r="AQ2932" t="s">
        <v>129</v>
      </c>
      <c r="AR2932">
        <v>-65</v>
      </c>
      <c r="AS2932">
        <v>-122</v>
      </c>
      <c r="AT2932">
        <v>-320</v>
      </c>
      <c r="BB2932">
        <v>1200</v>
      </c>
      <c r="BC2932">
        <v>1</v>
      </c>
      <c r="BD2932" t="str">
        <f t="shared" si="1047"/>
        <v xml:space="preserve">N887QR  </v>
      </c>
      <c r="BE2932">
        <v>1</v>
      </c>
      <c r="BG2932">
        <v>0</v>
      </c>
      <c r="BH2932">
        <v>0</v>
      </c>
      <c r="BI2932">
        <v>0</v>
      </c>
      <c r="BJ2932">
        <v>3375</v>
      </c>
      <c r="BK2932">
        <v>-225</v>
      </c>
      <c r="BL2932" t="s">
        <v>163</v>
      </c>
      <c r="BM2932">
        <v>1</v>
      </c>
      <c r="BN2932">
        <v>1</v>
      </c>
      <c r="BO2932">
        <v>1</v>
      </c>
      <c r="BP2932">
        <v>0</v>
      </c>
      <c r="BS2932">
        <v>0</v>
      </c>
      <c r="BT2932">
        <v>0</v>
      </c>
      <c r="BU2932">
        <v>0</v>
      </c>
      <c r="CE2932" t="str">
        <f t="shared" si="1064"/>
        <v>19:33:24.150</v>
      </c>
      <c r="CF2932">
        <v>149916565</v>
      </c>
      <c r="CS2932">
        <v>0</v>
      </c>
      <c r="CT2932">
        <v>2</v>
      </c>
      <c r="CU2932">
        <v>0</v>
      </c>
      <c r="CV2932">
        <v>2</v>
      </c>
      <c r="CW2932">
        <v>0</v>
      </c>
      <c r="CX2932">
        <v>1</v>
      </c>
      <c r="CY2932">
        <v>7</v>
      </c>
      <c r="CZ2932" t="s">
        <v>131</v>
      </c>
      <c r="DA2932">
        <v>286</v>
      </c>
      <c r="DB2932">
        <v>0</v>
      </c>
      <c r="DC2932" t="s">
        <v>132</v>
      </c>
      <c r="DD2932" t="s">
        <v>133</v>
      </c>
      <c r="DG2932">
        <v>859065</v>
      </c>
      <c r="DI2932">
        <v>1</v>
      </c>
      <c r="DJ2932">
        <v>0</v>
      </c>
      <c r="DK2932">
        <v>1</v>
      </c>
      <c r="DL2932">
        <v>0</v>
      </c>
      <c r="DM2932">
        <v>0</v>
      </c>
      <c r="DN2932">
        <v>1</v>
      </c>
      <c r="DO2932">
        <v>0</v>
      </c>
      <c r="DP2932">
        <v>0</v>
      </c>
      <c r="DQ2932">
        <v>0</v>
      </c>
      <c r="DR2932">
        <v>0</v>
      </c>
      <c r="DS2932">
        <v>0</v>
      </c>
    </row>
    <row r="2933" spans="1:123" x14ac:dyDescent="0.3">
      <c r="A2933" t="str">
        <f>"10/04/2022 19:33:24.526"</f>
        <v>10/04/2022 19:33:24.526</v>
      </c>
      <c r="C2933" t="str">
        <f t="shared" si="1060"/>
        <v>FFDFD3C0</v>
      </c>
      <c r="D2933" t="s">
        <v>141</v>
      </c>
      <c r="E2933">
        <v>3</v>
      </c>
      <c r="H2933">
        <v>3</v>
      </c>
      <c r="I2933" t="s">
        <v>146</v>
      </c>
      <c r="J2933" t="s">
        <v>138</v>
      </c>
      <c r="K2933">
        <v>0</v>
      </c>
      <c r="L2933">
        <v>3</v>
      </c>
      <c r="M2933">
        <v>0</v>
      </c>
      <c r="N2933">
        <v>2</v>
      </c>
      <c r="O2933">
        <v>0</v>
      </c>
      <c r="P2933">
        <v>1</v>
      </c>
      <c r="Q2933">
        <v>0</v>
      </c>
      <c r="S2933" t="str">
        <f t="shared" si="1063"/>
        <v>19:33:24.000</v>
      </c>
      <c r="T2933" t="str">
        <f t="shared" si="1063"/>
        <v>19:33:24.000</v>
      </c>
      <c r="U2933" t="str">
        <f t="shared" si="1046"/>
        <v>AC3944</v>
      </c>
      <c r="V2933">
        <v>0</v>
      </c>
      <c r="W2933">
        <v>0</v>
      </c>
      <c r="X2933">
        <v>2</v>
      </c>
      <c r="Y2933">
        <v>0</v>
      </c>
      <c r="AA2933">
        <v>1</v>
      </c>
      <c r="AB2933">
        <v>8</v>
      </c>
      <c r="AC2933">
        <v>3</v>
      </c>
      <c r="AD2933">
        <v>0</v>
      </c>
      <c r="AE2933">
        <v>9</v>
      </c>
      <c r="AF2933" t="s">
        <v>138</v>
      </c>
      <c r="AG2933">
        <v>0</v>
      </c>
      <c r="AH2933">
        <v>3</v>
      </c>
      <c r="AI2933">
        <v>1</v>
      </c>
      <c r="AJ2933">
        <v>0</v>
      </c>
      <c r="AK2933" t="s">
        <v>988</v>
      </c>
      <c r="AL2933">
        <v>32.723744000000003</v>
      </c>
      <c r="AM2933" t="s">
        <v>989</v>
      </c>
      <c r="AN2933">
        <v>-116.751237</v>
      </c>
      <c r="AO2933">
        <v>25</v>
      </c>
      <c r="AP2933">
        <v>3600</v>
      </c>
      <c r="AQ2933" t="s">
        <v>129</v>
      </c>
      <c r="AR2933">
        <v>-65</v>
      </c>
      <c r="AS2933">
        <v>-122</v>
      </c>
      <c r="AT2933">
        <v>-320</v>
      </c>
      <c r="BB2933">
        <v>1200</v>
      </c>
      <c r="BC2933">
        <v>1</v>
      </c>
      <c r="BD2933" t="str">
        <f t="shared" si="1047"/>
        <v xml:space="preserve">N887QR  </v>
      </c>
      <c r="BE2933">
        <v>1</v>
      </c>
      <c r="BG2933">
        <v>0</v>
      </c>
      <c r="BH2933">
        <v>0</v>
      </c>
      <c r="BI2933">
        <v>0</v>
      </c>
      <c r="BJ2933">
        <v>3375</v>
      </c>
      <c r="BK2933">
        <v>-225</v>
      </c>
      <c r="BL2933" t="s">
        <v>163</v>
      </c>
      <c r="BM2933">
        <v>1</v>
      </c>
      <c r="BN2933">
        <v>1</v>
      </c>
      <c r="BO2933">
        <v>1</v>
      </c>
      <c r="BP2933">
        <v>0</v>
      </c>
      <c r="BS2933">
        <v>0</v>
      </c>
      <c r="BT2933">
        <v>0</v>
      </c>
      <c r="BU2933">
        <v>0</v>
      </c>
      <c r="CE2933" t="str">
        <f t="shared" si="1064"/>
        <v>19:33:24.150</v>
      </c>
      <c r="CF2933">
        <v>149916565</v>
      </c>
      <c r="CS2933">
        <v>0</v>
      </c>
      <c r="CT2933">
        <v>2</v>
      </c>
      <c r="CU2933">
        <v>0</v>
      </c>
      <c r="CV2933">
        <v>2</v>
      </c>
      <c r="CW2933">
        <v>0</v>
      </c>
      <c r="CX2933">
        <v>1</v>
      </c>
      <c r="CY2933">
        <v>7</v>
      </c>
      <c r="CZ2933" t="s">
        <v>131</v>
      </c>
      <c r="DA2933">
        <v>286</v>
      </c>
      <c r="DB2933">
        <v>0</v>
      </c>
      <c r="DC2933" t="s">
        <v>132</v>
      </c>
      <c r="DD2933" t="s">
        <v>133</v>
      </c>
      <c r="DG2933">
        <v>859065</v>
      </c>
      <c r="DI2933">
        <v>1</v>
      </c>
      <c r="DJ2933">
        <v>0</v>
      </c>
      <c r="DK2933">
        <v>1</v>
      </c>
      <c r="DL2933">
        <v>0</v>
      </c>
      <c r="DM2933">
        <v>0</v>
      </c>
      <c r="DN2933">
        <v>1</v>
      </c>
      <c r="DO2933">
        <v>0</v>
      </c>
      <c r="DP2933">
        <v>0</v>
      </c>
      <c r="DQ2933">
        <v>0</v>
      </c>
      <c r="DR2933">
        <v>0</v>
      </c>
      <c r="DS2933">
        <v>0</v>
      </c>
    </row>
    <row r="2934" spans="1:123" x14ac:dyDescent="0.3">
      <c r="A2934" t="str">
        <f>"10/04/2022 19:33:24.526"</f>
        <v>10/04/2022 19:33:24.526</v>
      </c>
      <c r="C2934" t="str">
        <f t="shared" si="1060"/>
        <v>FFDFD3C0</v>
      </c>
      <c r="D2934" t="s">
        <v>147</v>
      </c>
      <c r="E2934">
        <v>3</v>
      </c>
      <c r="H2934">
        <v>166</v>
      </c>
      <c r="I2934" t="s">
        <v>144</v>
      </c>
      <c r="J2934" t="s">
        <v>148</v>
      </c>
      <c r="K2934">
        <v>0</v>
      </c>
      <c r="L2934">
        <v>3</v>
      </c>
      <c r="M2934">
        <v>0</v>
      </c>
      <c r="N2934">
        <v>2</v>
      </c>
      <c r="O2934">
        <v>0</v>
      </c>
      <c r="P2934">
        <v>1</v>
      </c>
      <c r="Q2934">
        <v>0</v>
      </c>
      <c r="S2934" t="str">
        <f t="shared" si="1063"/>
        <v>19:33:24.000</v>
      </c>
      <c r="T2934" t="str">
        <f t="shared" si="1063"/>
        <v>19:33:24.000</v>
      </c>
      <c r="U2934" t="str">
        <f t="shared" si="1046"/>
        <v>AC3944</v>
      </c>
      <c r="V2934">
        <v>0</v>
      </c>
      <c r="W2934">
        <v>0</v>
      </c>
      <c r="X2934">
        <v>2</v>
      </c>
      <c r="Y2934">
        <v>0</v>
      </c>
      <c r="AA2934">
        <v>1</v>
      </c>
      <c r="AB2934">
        <v>8</v>
      </c>
      <c r="AC2934">
        <v>3</v>
      </c>
      <c r="AD2934">
        <v>0</v>
      </c>
      <c r="AE2934">
        <v>9</v>
      </c>
      <c r="AF2934" t="s">
        <v>138</v>
      </c>
      <c r="AG2934">
        <v>0</v>
      </c>
      <c r="AH2934">
        <v>3</v>
      </c>
      <c r="AI2934">
        <v>1</v>
      </c>
      <c r="AJ2934">
        <v>0</v>
      </c>
      <c r="AK2934" t="s">
        <v>988</v>
      </c>
      <c r="AL2934">
        <v>32.723744000000003</v>
      </c>
      <c r="AM2934" t="s">
        <v>989</v>
      </c>
      <c r="AN2934">
        <v>-116.751237</v>
      </c>
      <c r="AO2934">
        <v>25</v>
      </c>
      <c r="AP2934">
        <v>3600</v>
      </c>
      <c r="AQ2934" t="s">
        <v>129</v>
      </c>
      <c r="AR2934">
        <v>-65</v>
      </c>
      <c r="AS2934">
        <v>-122</v>
      </c>
      <c r="AT2934">
        <v>-320</v>
      </c>
      <c r="BB2934">
        <v>1200</v>
      </c>
      <c r="BC2934">
        <v>1</v>
      </c>
      <c r="BD2934" t="str">
        <f t="shared" si="1047"/>
        <v xml:space="preserve">N887QR  </v>
      </c>
      <c r="BE2934">
        <v>1</v>
      </c>
      <c r="BG2934">
        <v>0</v>
      </c>
      <c r="BH2934">
        <v>0</v>
      </c>
      <c r="BI2934">
        <v>0</v>
      </c>
      <c r="BJ2934">
        <v>3375</v>
      </c>
      <c r="BK2934">
        <v>-225</v>
      </c>
      <c r="BL2934" t="s">
        <v>163</v>
      </c>
      <c r="BM2934">
        <v>1</v>
      </c>
      <c r="BN2934">
        <v>1</v>
      </c>
      <c r="BO2934">
        <v>1</v>
      </c>
      <c r="BP2934">
        <v>0</v>
      </c>
      <c r="BS2934">
        <v>0</v>
      </c>
      <c r="BT2934">
        <v>0</v>
      </c>
      <c r="BU2934">
        <v>0</v>
      </c>
      <c r="CE2934" t="str">
        <f t="shared" si="1064"/>
        <v>19:33:24.150</v>
      </c>
      <c r="CF2934">
        <v>149916565</v>
      </c>
      <c r="CS2934">
        <v>0</v>
      </c>
      <c r="CT2934">
        <v>2</v>
      </c>
      <c r="CU2934">
        <v>0</v>
      </c>
      <c r="CV2934">
        <v>2</v>
      </c>
      <c r="CW2934">
        <v>0</v>
      </c>
      <c r="CX2934">
        <v>1</v>
      </c>
      <c r="CY2934">
        <v>7</v>
      </c>
      <c r="CZ2934" t="s">
        <v>131</v>
      </c>
      <c r="DA2934">
        <v>286</v>
      </c>
      <c r="DB2934">
        <v>0</v>
      </c>
      <c r="DC2934" t="s">
        <v>132</v>
      </c>
      <c r="DD2934" t="s">
        <v>133</v>
      </c>
      <c r="DG2934">
        <v>859065</v>
      </c>
      <c r="DI2934">
        <v>1</v>
      </c>
      <c r="DJ2934">
        <v>0</v>
      </c>
      <c r="DK2934">
        <v>1</v>
      </c>
      <c r="DL2934">
        <v>0</v>
      </c>
      <c r="DM2934">
        <v>0</v>
      </c>
      <c r="DN2934">
        <v>1</v>
      </c>
      <c r="DO2934">
        <v>0</v>
      </c>
      <c r="DP2934">
        <v>0</v>
      </c>
      <c r="DQ2934">
        <v>0</v>
      </c>
      <c r="DR2934">
        <v>0</v>
      </c>
      <c r="DS2934">
        <v>0</v>
      </c>
    </row>
    <row r="2935" spans="1:123" x14ac:dyDescent="0.3">
      <c r="A2935" t="str">
        <f>"10/04/2022 19:33:24.526"</f>
        <v>10/04/2022 19:33:24.526</v>
      </c>
      <c r="C2935" t="str">
        <f t="shared" si="1060"/>
        <v>FFDFD3C0</v>
      </c>
      <c r="D2935" t="s">
        <v>134</v>
      </c>
      <c r="E2935">
        <v>15</v>
      </c>
      <c r="J2935" t="s">
        <v>135</v>
      </c>
      <c r="K2935">
        <v>0</v>
      </c>
      <c r="L2935">
        <v>3</v>
      </c>
      <c r="M2935">
        <v>0</v>
      </c>
      <c r="N2935">
        <v>2</v>
      </c>
      <c r="O2935">
        <v>0</v>
      </c>
      <c r="P2935">
        <v>1</v>
      </c>
      <c r="Q2935">
        <v>0</v>
      </c>
      <c r="S2935" t="str">
        <f t="shared" si="1063"/>
        <v>19:33:24.000</v>
      </c>
      <c r="T2935" t="str">
        <f t="shared" si="1063"/>
        <v>19:33:24.000</v>
      </c>
      <c r="U2935" t="str">
        <f t="shared" si="1046"/>
        <v>AC3944</v>
      </c>
      <c r="V2935">
        <v>0</v>
      </c>
      <c r="W2935">
        <v>0</v>
      </c>
      <c r="X2935">
        <v>2</v>
      </c>
      <c r="Y2935">
        <v>0</v>
      </c>
      <c r="AA2935">
        <v>1</v>
      </c>
      <c r="AB2935">
        <v>8</v>
      </c>
      <c r="AC2935">
        <v>3</v>
      </c>
      <c r="AD2935">
        <v>0</v>
      </c>
      <c r="AE2935">
        <v>9</v>
      </c>
      <c r="AF2935" t="s">
        <v>138</v>
      </c>
      <c r="AG2935">
        <v>0</v>
      </c>
      <c r="AH2935">
        <v>3</v>
      </c>
      <c r="AI2935">
        <v>1</v>
      </c>
      <c r="AJ2935">
        <v>0</v>
      </c>
      <c r="AK2935" t="s">
        <v>988</v>
      </c>
      <c r="AL2935">
        <v>32.723744000000003</v>
      </c>
      <c r="AM2935" t="s">
        <v>989</v>
      </c>
      <c r="AN2935">
        <v>-116.751237</v>
      </c>
      <c r="AO2935">
        <v>25</v>
      </c>
      <c r="AP2935">
        <v>3600</v>
      </c>
      <c r="AQ2935" t="s">
        <v>129</v>
      </c>
      <c r="AR2935">
        <v>-65</v>
      </c>
      <c r="AS2935">
        <v>-122</v>
      </c>
      <c r="AT2935">
        <v>-320</v>
      </c>
      <c r="BB2935">
        <v>1200</v>
      </c>
      <c r="BC2935">
        <v>1</v>
      </c>
      <c r="BD2935" t="str">
        <f t="shared" si="1047"/>
        <v xml:space="preserve">N887QR  </v>
      </c>
      <c r="BE2935">
        <v>1</v>
      </c>
      <c r="BG2935">
        <v>0</v>
      </c>
      <c r="BH2935">
        <v>0</v>
      </c>
      <c r="BI2935">
        <v>0</v>
      </c>
      <c r="BJ2935">
        <v>3375</v>
      </c>
      <c r="BK2935">
        <v>-225</v>
      </c>
      <c r="BL2935" t="s">
        <v>163</v>
      </c>
      <c r="BM2935">
        <v>1</v>
      </c>
      <c r="BN2935">
        <v>1</v>
      </c>
      <c r="BO2935">
        <v>1</v>
      </c>
      <c r="BP2935">
        <v>0</v>
      </c>
      <c r="BS2935">
        <v>0</v>
      </c>
      <c r="BT2935">
        <v>0</v>
      </c>
      <c r="BU2935">
        <v>0</v>
      </c>
      <c r="CE2935" t="str">
        <f t="shared" si="1064"/>
        <v>19:33:24.150</v>
      </c>
      <c r="CF2935">
        <v>149916565</v>
      </c>
      <c r="CS2935">
        <v>0</v>
      </c>
      <c r="CT2935">
        <v>2</v>
      </c>
      <c r="CU2935">
        <v>0</v>
      </c>
      <c r="CV2935">
        <v>2</v>
      </c>
      <c r="CW2935">
        <v>0</v>
      </c>
      <c r="CX2935">
        <v>1</v>
      </c>
      <c r="CY2935">
        <v>7</v>
      </c>
      <c r="CZ2935" t="s">
        <v>131</v>
      </c>
      <c r="DA2935">
        <v>286</v>
      </c>
      <c r="DB2935">
        <v>0</v>
      </c>
      <c r="DC2935" t="s">
        <v>132</v>
      </c>
      <c r="DD2935" t="s">
        <v>133</v>
      </c>
      <c r="DG2935">
        <v>859065</v>
      </c>
      <c r="DI2935">
        <v>1</v>
      </c>
      <c r="DJ2935">
        <v>0</v>
      </c>
      <c r="DK2935">
        <v>1</v>
      </c>
      <c r="DL2935">
        <v>0</v>
      </c>
      <c r="DM2935">
        <v>0</v>
      </c>
      <c r="DN2935">
        <v>1</v>
      </c>
      <c r="DO2935">
        <v>0</v>
      </c>
      <c r="DP2935">
        <v>0</v>
      </c>
      <c r="DQ2935">
        <v>0</v>
      </c>
      <c r="DR2935">
        <v>0</v>
      </c>
      <c r="DS2935">
        <v>0</v>
      </c>
    </row>
    <row r="2936" spans="1:123" x14ac:dyDescent="0.3">
      <c r="A2936" t="str">
        <f t="shared" ref="A2936:A2942" si="1065">"10/04/2022 19:33:25.527"</f>
        <v>10/04/2022 19:33:25.527</v>
      </c>
      <c r="C2936" t="str">
        <f t="shared" si="1060"/>
        <v>FFDFD3C0</v>
      </c>
      <c r="D2936" t="s">
        <v>141</v>
      </c>
      <c r="E2936">
        <v>4</v>
      </c>
      <c r="H2936">
        <v>4</v>
      </c>
      <c r="I2936" t="s">
        <v>142</v>
      </c>
      <c r="J2936" t="s">
        <v>138</v>
      </c>
      <c r="K2936">
        <v>0</v>
      </c>
      <c r="L2936">
        <v>3</v>
      </c>
      <c r="M2936">
        <v>0</v>
      </c>
      <c r="N2936">
        <v>2</v>
      </c>
      <c r="O2936">
        <v>0</v>
      </c>
      <c r="P2936">
        <v>1</v>
      </c>
      <c r="Q2936">
        <v>0</v>
      </c>
      <c r="S2936" t="str">
        <f t="shared" ref="S2936:T2942" si="1066">"19:33:25.000"</f>
        <v>19:33:25.000</v>
      </c>
      <c r="T2936" t="str">
        <f t="shared" si="1066"/>
        <v>19:33:25.000</v>
      </c>
      <c r="U2936" t="str">
        <f t="shared" si="1046"/>
        <v>AC3944</v>
      </c>
      <c r="V2936">
        <v>0</v>
      </c>
      <c r="W2936">
        <v>0</v>
      </c>
      <c r="X2936">
        <v>2</v>
      </c>
      <c r="Y2936">
        <v>0</v>
      </c>
      <c r="AA2936">
        <v>1</v>
      </c>
      <c r="AB2936">
        <v>8</v>
      </c>
      <c r="AC2936">
        <v>3</v>
      </c>
      <c r="AD2936">
        <v>0</v>
      </c>
      <c r="AE2936">
        <v>9</v>
      </c>
      <c r="AF2936" t="s">
        <v>138</v>
      </c>
      <c r="AG2936">
        <v>0</v>
      </c>
      <c r="AH2936">
        <v>3</v>
      </c>
      <c r="AI2936">
        <v>1</v>
      </c>
      <c r="AJ2936">
        <v>0</v>
      </c>
      <c r="AK2936" t="s">
        <v>990</v>
      </c>
      <c r="AL2936">
        <v>32.723165000000002</v>
      </c>
      <c r="AM2936" t="s">
        <v>991</v>
      </c>
      <c r="AN2936">
        <v>-116.75158</v>
      </c>
      <c r="AO2936">
        <v>25</v>
      </c>
      <c r="AP2936">
        <v>3600</v>
      </c>
      <c r="AQ2936" t="s">
        <v>129</v>
      </c>
      <c r="AR2936">
        <v>-77</v>
      </c>
      <c r="AS2936">
        <v>-116</v>
      </c>
      <c r="AT2936">
        <v>-320</v>
      </c>
      <c r="BB2936">
        <v>1200</v>
      </c>
      <c r="BC2936">
        <v>1</v>
      </c>
      <c r="BD2936" t="str">
        <f t="shared" si="1047"/>
        <v xml:space="preserve">N887QR  </v>
      </c>
      <c r="BE2936">
        <v>1</v>
      </c>
      <c r="BG2936">
        <v>0</v>
      </c>
      <c r="BH2936">
        <v>0</v>
      </c>
      <c r="BI2936">
        <v>0</v>
      </c>
      <c r="BJ2936">
        <v>3350</v>
      </c>
      <c r="BK2936">
        <v>-250</v>
      </c>
      <c r="BL2936" t="s">
        <v>163</v>
      </c>
      <c r="BM2936">
        <v>1</v>
      </c>
      <c r="BN2936">
        <v>1</v>
      </c>
      <c r="BO2936">
        <v>1</v>
      </c>
      <c r="BP2936">
        <v>0</v>
      </c>
      <c r="BS2936">
        <v>0</v>
      </c>
      <c r="BT2936">
        <v>0</v>
      </c>
      <c r="BU2936">
        <v>0</v>
      </c>
      <c r="CE2936" t="str">
        <f t="shared" ref="CE2936:CE2942" si="1067">"19:33:25.274"</f>
        <v>19:33:25.274</v>
      </c>
      <c r="CF2936">
        <v>274419811</v>
      </c>
      <c r="CS2936">
        <v>0</v>
      </c>
      <c r="CT2936">
        <v>2</v>
      </c>
      <c r="CU2936">
        <v>0</v>
      </c>
      <c r="CV2936">
        <v>2</v>
      </c>
      <c r="CW2936">
        <v>0</v>
      </c>
      <c r="CX2936">
        <v>1</v>
      </c>
      <c r="CY2936">
        <v>7</v>
      </c>
      <c r="CZ2936" t="s">
        <v>131</v>
      </c>
      <c r="DA2936">
        <v>286</v>
      </c>
      <c r="DB2936">
        <v>0</v>
      </c>
      <c r="DC2936" t="s">
        <v>132</v>
      </c>
      <c r="DD2936" t="s">
        <v>133</v>
      </c>
      <c r="DG2936">
        <v>859365</v>
      </c>
      <c r="DI2936">
        <v>1</v>
      </c>
      <c r="DJ2936">
        <v>0</v>
      </c>
      <c r="DK2936">
        <v>0</v>
      </c>
      <c r="DL2936">
        <v>0</v>
      </c>
      <c r="DM2936">
        <v>0</v>
      </c>
      <c r="DN2936">
        <v>1</v>
      </c>
      <c r="DO2936">
        <v>0</v>
      </c>
      <c r="DP2936">
        <v>0</v>
      </c>
      <c r="DQ2936">
        <v>0</v>
      </c>
      <c r="DR2936">
        <v>0</v>
      </c>
      <c r="DS2936">
        <v>0</v>
      </c>
    </row>
    <row r="2937" spans="1:123" x14ac:dyDescent="0.3">
      <c r="A2937" t="str">
        <f t="shared" si="1065"/>
        <v>10/04/2022 19:33:25.527</v>
      </c>
      <c r="C2937" t="str">
        <f t="shared" si="1060"/>
        <v>FFDFD3C0</v>
      </c>
      <c r="D2937" t="s">
        <v>141</v>
      </c>
      <c r="E2937">
        <v>3</v>
      </c>
      <c r="H2937">
        <v>3</v>
      </c>
      <c r="I2937" t="s">
        <v>146</v>
      </c>
      <c r="J2937" t="s">
        <v>138</v>
      </c>
      <c r="K2937">
        <v>0</v>
      </c>
      <c r="L2937">
        <v>3</v>
      </c>
      <c r="M2937">
        <v>0</v>
      </c>
      <c r="N2937">
        <v>2</v>
      </c>
      <c r="O2937">
        <v>0</v>
      </c>
      <c r="P2937">
        <v>1</v>
      </c>
      <c r="Q2937">
        <v>0</v>
      </c>
      <c r="S2937" t="str">
        <f t="shared" si="1066"/>
        <v>19:33:25.000</v>
      </c>
      <c r="T2937" t="str">
        <f t="shared" si="1066"/>
        <v>19:33:25.000</v>
      </c>
      <c r="U2937" t="str">
        <f t="shared" si="1046"/>
        <v>AC3944</v>
      </c>
      <c r="V2937">
        <v>0</v>
      </c>
      <c r="W2937">
        <v>0</v>
      </c>
      <c r="X2937">
        <v>2</v>
      </c>
      <c r="Y2937">
        <v>0</v>
      </c>
      <c r="AA2937">
        <v>1</v>
      </c>
      <c r="AB2937">
        <v>8</v>
      </c>
      <c r="AC2937">
        <v>3</v>
      </c>
      <c r="AD2937">
        <v>0</v>
      </c>
      <c r="AE2937">
        <v>9</v>
      </c>
      <c r="AF2937" t="s">
        <v>138</v>
      </c>
      <c r="AG2937">
        <v>0</v>
      </c>
      <c r="AH2937">
        <v>3</v>
      </c>
      <c r="AI2937">
        <v>1</v>
      </c>
      <c r="AJ2937">
        <v>0</v>
      </c>
      <c r="AK2937" t="s">
        <v>990</v>
      </c>
      <c r="AL2937">
        <v>32.723165000000002</v>
      </c>
      <c r="AM2937" t="s">
        <v>991</v>
      </c>
      <c r="AN2937">
        <v>-116.75158</v>
      </c>
      <c r="AO2937">
        <v>25</v>
      </c>
      <c r="AP2937">
        <v>3600</v>
      </c>
      <c r="AQ2937" t="s">
        <v>129</v>
      </c>
      <c r="AR2937">
        <v>-77</v>
      </c>
      <c r="AS2937">
        <v>-116</v>
      </c>
      <c r="AT2937">
        <v>-320</v>
      </c>
      <c r="BB2937">
        <v>1200</v>
      </c>
      <c r="BC2937">
        <v>1</v>
      </c>
      <c r="BD2937" t="str">
        <f t="shared" si="1047"/>
        <v xml:space="preserve">N887QR  </v>
      </c>
      <c r="BE2937">
        <v>1</v>
      </c>
      <c r="BG2937">
        <v>0</v>
      </c>
      <c r="BH2937">
        <v>0</v>
      </c>
      <c r="BI2937">
        <v>0</v>
      </c>
      <c r="BJ2937">
        <v>3350</v>
      </c>
      <c r="BK2937">
        <v>-250</v>
      </c>
      <c r="BL2937" t="s">
        <v>163</v>
      </c>
      <c r="BM2937">
        <v>1</v>
      </c>
      <c r="BN2937">
        <v>1</v>
      </c>
      <c r="BO2937">
        <v>1</v>
      </c>
      <c r="BP2937">
        <v>0</v>
      </c>
      <c r="BS2937">
        <v>0</v>
      </c>
      <c r="BT2937">
        <v>0</v>
      </c>
      <c r="BU2937">
        <v>0</v>
      </c>
      <c r="CE2937" t="str">
        <f t="shared" si="1067"/>
        <v>19:33:25.274</v>
      </c>
      <c r="CF2937">
        <v>274419811</v>
      </c>
      <c r="CS2937">
        <v>0</v>
      </c>
      <c r="CT2937">
        <v>2</v>
      </c>
      <c r="CU2937">
        <v>0</v>
      </c>
      <c r="CV2937">
        <v>2</v>
      </c>
      <c r="CW2937">
        <v>0</v>
      </c>
      <c r="CX2937">
        <v>1</v>
      </c>
      <c r="CY2937">
        <v>7</v>
      </c>
      <c r="CZ2937" t="s">
        <v>131</v>
      </c>
      <c r="DA2937">
        <v>286</v>
      </c>
      <c r="DB2937">
        <v>0</v>
      </c>
      <c r="DC2937" t="s">
        <v>132</v>
      </c>
      <c r="DD2937" t="s">
        <v>133</v>
      </c>
      <c r="DG2937">
        <v>859365</v>
      </c>
      <c r="DI2937">
        <v>1</v>
      </c>
      <c r="DJ2937">
        <v>0</v>
      </c>
      <c r="DK2937">
        <v>1</v>
      </c>
      <c r="DL2937">
        <v>0</v>
      </c>
      <c r="DM2937">
        <v>0</v>
      </c>
      <c r="DN2937">
        <v>1</v>
      </c>
      <c r="DO2937">
        <v>0</v>
      </c>
      <c r="DP2937">
        <v>0</v>
      </c>
      <c r="DQ2937">
        <v>0</v>
      </c>
      <c r="DR2937">
        <v>0</v>
      </c>
      <c r="DS2937">
        <v>0</v>
      </c>
    </row>
    <row r="2938" spans="1:123" x14ac:dyDescent="0.3">
      <c r="A2938" t="str">
        <f t="shared" si="1065"/>
        <v>10/04/2022 19:33:25.527</v>
      </c>
      <c r="C2938" t="str">
        <f t="shared" si="1060"/>
        <v>FFDFD3C0</v>
      </c>
      <c r="D2938" t="s">
        <v>147</v>
      </c>
      <c r="E2938">
        <v>3</v>
      </c>
      <c r="H2938">
        <v>166</v>
      </c>
      <c r="I2938" t="s">
        <v>144</v>
      </c>
      <c r="J2938" t="s">
        <v>148</v>
      </c>
      <c r="K2938">
        <v>0</v>
      </c>
      <c r="L2938">
        <v>3</v>
      </c>
      <c r="M2938">
        <v>0</v>
      </c>
      <c r="N2938">
        <v>2</v>
      </c>
      <c r="O2938">
        <v>0</v>
      </c>
      <c r="P2938">
        <v>1</v>
      </c>
      <c r="Q2938">
        <v>0</v>
      </c>
      <c r="S2938" t="str">
        <f t="shared" si="1066"/>
        <v>19:33:25.000</v>
      </c>
      <c r="T2938" t="str">
        <f t="shared" si="1066"/>
        <v>19:33:25.000</v>
      </c>
      <c r="U2938" t="str">
        <f t="shared" si="1046"/>
        <v>AC3944</v>
      </c>
      <c r="V2938">
        <v>0</v>
      </c>
      <c r="W2938">
        <v>0</v>
      </c>
      <c r="X2938">
        <v>2</v>
      </c>
      <c r="Y2938">
        <v>0</v>
      </c>
      <c r="AA2938">
        <v>1</v>
      </c>
      <c r="AB2938">
        <v>8</v>
      </c>
      <c r="AC2938">
        <v>3</v>
      </c>
      <c r="AD2938">
        <v>0</v>
      </c>
      <c r="AE2938">
        <v>9</v>
      </c>
      <c r="AF2938" t="s">
        <v>138</v>
      </c>
      <c r="AG2938">
        <v>0</v>
      </c>
      <c r="AH2938">
        <v>3</v>
      </c>
      <c r="AI2938">
        <v>1</v>
      </c>
      <c r="AJ2938">
        <v>0</v>
      </c>
      <c r="AK2938" t="s">
        <v>990</v>
      </c>
      <c r="AL2938">
        <v>32.723165000000002</v>
      </c>
      <c r="AM2938" t="s">
        <v>991</v>
      </c>
      <c r="AN2938">
        <v>-116.75158</v>
      </c>
      <c r="AO2938">
        <v>25</v>
      </c>
      <c r="AP2938">
        <v>3600</v>
      </c>
      <c r="AQ2938" t="s">
        <v>129</v>
      </c>
      <c r="AR2938">
        <v>-77</v>
      </c>
      <c r="AS2938">
        <v>-116</v>
      </c>
      <c r="AT2938">
        <v>-320</v>
      </c>
      <c r="BB2938">
        <v>1200</v>
      </c>
      <c r="BC2938">
        <v>1</v>
      </c>
      <c r="BD2938" t="str">
        <f t="shared" si="1047"/>
        <v xml:space="preserve">N887QR  </v>
      </c>
      <c r="BE2938">
        <v>1</v>
      </c>
      <c r="BG2938">
        <v>0</v>
      </c>
      <c r="BH2938">
        <v>0</v>
      </c>
      <c r="BI2938">
        <v>0</v>
      </c>
      <c r="BJ2938">
        <v>3350</v>
      </c>
      <c r="BK2938">
        <v>-250</v>
      </c>
      <c r="BL2938" t="s">
        <v>163</v>
      </c>
      <c r="BM2938">
        <v>1</v>
      </c>
      <c r="BN2938">
        <v>1</v>
      </c>
      <c r="BO2938">
        <v>1</v>
      </c>
      <c r="BP2938">
        <v>0</v>
      </c>
      <c r="BS2938">
        <v>0</v>
      </c>
      <c r="BT2938">
        <v>0</v>
      </c>
      <c r="BU2938">
        <v>0</v>
      </c>
      <c r="CE2938" t="str">
        <f t="shared" si="1067"/>
        <v>19:33:25.274</v>
      </c>
      <c r="CF2938">
        <v>274419811</v>
      </c>
      <c r="CS2938">
        <v>0</v>
      </c>
      <c r="CT2938">
        <v>2</v>
      </c>
      <c r="CU2938">
        <v>0</v>
      </c>
      <c r="CV2938">
        <v>2</v>
      </c>
      <c r="CW2938">
        <v>0</v>
      </c>
      <c r="CX2938">
        <v>1</v>
      </c>
      <c r="CY2938">
        <v>7</v>
      </c>
      <c r="CZ2938" t="s">
        <v>131</v>
      </c>
      <c r="DA2938">
        <v>286</v>
      </c>
      <c r="DB2938">
        <v>0</v>
      </c>
      <c r="DC2938" t="s">
        <v>132</v>
      </c>
      <c r="DD2938" t="s">
        <v>133</v>
      </c>
      <c r="DG2938">
        <v>859365</v>
      </c>
      <c r="DI2938">
        <v>1</v>
      </c>
      <c r="DJ2938">
        <v>0</v>
      </c>
      <c r="DK2938">
        <v>1</v>
      </c>
      <c r="DL2938">
        <v>0</v>
      </c>
      <c r="DM2938">
        <v>0</v>
      </c>
      <c r="DN2938">
        <v>1</v>
      </c>
      <c r="DO2938">
        <v>0</v>
      </c>
      <c r="DP2938">
        <v>0</v>
      </c>
      <c r="DQ2938">
        <v>0</v>
      </c>
      <c r="DR2938">
        <v>0</v>
      </c>
      <c r="DS2938">
        <v>0</v>
      </c>
    </row>
    <row r="2939" spans="1:123" x14ac:dyDescent="0.3">
      <c r="A2939" t="str">
        <f t="shared" si="1065"/>
        <v>10/04/2022 19:33:25.527</v>
      </c>
      <c r="C2939" t="str">
        <f t="shared" si="1060"/>
        <v>FFDFD3C0</v>
      </c>
      <c r="D2939" t="s">
        <v>143</v>
      </c>
      <c r="E2939">
        <v>20</v>
      </c>
      <c r="F2939">
        <v>1020</v>
      </c>
      <c r="G2939" t="s">
        <v>144</v>
      </c>
      <c r="J2939" t="s">
        <v>145</v>
      </c>
      <c r="K2939">
        <v>0</v>
      </c>
      <c r="L2939">
        <v>3</v>
      </c>
      <c r="M2939">
        <v>0</v>
      </c>
      <c r="N2939">
        <v>2</v>
      </c>
      <c r="O2939">
        <v>0</v>
      </c>
      <c r="P2939">
        <v>1</v>
      </c>
      <c r="Q2939">
        <v>0</v>
      </c>
      <c r="S2939" t="str">
        <f t="shared" si="1066"/>
        <v>19:33:25.000</v>
      </c>
      <c r="T2939" t="str">
        <f t="shared" si="1066"/>
        <v>19:33:25.000</v>
      </c>
      <c r="U2939" t="str">
        <f t="shared" si="1046"/>
        <v>AC3944</v>
      </c>
      <c r="V2939">
        <v>0</v>
      </c>
      <c r="W2939">
        <v>0</v>
      </c>
      <c r="X2939">
        <v>2</v>
      </c>
      <c r="Y2939">
        <v>0</v>
      </c>
      <c r="AA2939">
        <v>1</v>
      </c>
      <c r="AB2939">
        <v>8</v>
      </c>
      <c r="AC2939">
        <v>3</v>
      </c>
      <c r="AD2939">
        <v>0</v>
      </c>
      <c r="AE2939">
        <v>9</v>
      </c>
      <c r="AF2939" t="s">
        <v>138</v>
      </c>
      <c r="AG2939">
        <v>0</v>
      </c>
      <c r="AH2939">
        <v>3</v>
      </c>
      <c r="AI2939">
        <v>1</v>
      </c>
      <c r="AJ2939">
        <v>0</v>
      </c>
      <c r="AK2939" t="s">
        <v>990</v>
      </c>
      <c r="AL2939">
        <v>32.723165000000002</v>
      </c>
      <c r="AM2939" t="s">
        <v>991</v>
      </c>
      <c r="AN2939">
        <v>-116.75158</v>
      </c>
      <c r="AO2939">
        <v>25</v>
      </c>
      <c r="AP2939">
        <v>3600</v>
      </c>
      <c r="AQ2939" t="s">
        <v>129</v>
      </c>
      <c r="AR2939">
        <v>-77</v>
      </c>
      <c r="AS2939">
        <v>-116</v>
      </c>
      <c r="AT2939">
        <v>-320</v>
      </c>
      <c r="BB2939">
        <v>1200</v>
      </c>
      <c r="BC2939">
        <v>1</v>
      </c>
      <c r="BD2939" t="str">
        <f t="shared" si="1047"/>
        <v xml:space="preserve">N887QR  </v>
      </c>
      <c r="BE2939">
        <v>1</v>
      </c>
      <c r="BG2939">
        <v>0</v>
      </c>
      <c r="BH2939">
        <v>0</v>
      </c>
      <c r="BI2939">
        <v>0</v>
      </c>
      <c r="BJ2939">
        <v>3350</v>
      </c>
      <c r="BK2939">
        <v>-250</v>
      </c>
      <c r="BL2939" t="s">
        <v>163</v>
      </c>
      <c r="BM2939">
        <v>1</v>
      </c>
      <c r="BN2939">
        <v>1</v>
      </c>
      <c r="BO2939">
        <v>1</v>
      </c>
      <c r="BP2939">
        <v>0</v>
      </c>
      <c r="BS2939">
        <v>0</v>
      </c>
      <c r="BT2939">
        <v>0</v>
      </c>
      <c r="BU2939">
        <v>0</v>
      </c>
      <c r="CE2939" t="str">
        <f t="shared" si="1067"/>
        <v>19:33:25.274</v>
      </c>
      <c r="CF2939">
        <v>274419811</v>
      </c>
      <c r="CS2939">
        <v>0</v>
      </c>
      <c r="CT2939">
        <v>2</v>
      </c>
      <c r="CU2939">
        <v>0</v>
      </c>
      <c r="CV2939">
        <v>2</v>
      </c>
      <c r="CW2939">
        <v>0</v>
      </c>
      <c r="CX2939">
        <v>1</v>
      </c>
      <c r="CY2939">
        <v>7</v>
      </c>
      <c r="CZ2939" t="s">
        <v>131</v>
      </c>
      <c r="DA2939">
        <v>286</v>
      </c>
      <c r="DB2939">
        <v>0</v>
      </c>
      <c r="DC2939" t="s">
        <v>132</v>
      </c>
      <c r="DD2939" t="s">
        <v>133</v>
      </c>
      <c r="DG2939">
        <v>859365</v>
      </c>
      <c r="DI2939">
        <v>1</v>
      </c>
      <c r="DJ2939">
        <v>0</v>
      </c>
      <c r="DK2939">
        <v>1</v>
      </c>
      <c r="DL2939">
        <v>0</v>
      </c>
      <c r="DM2939">
        <v>0</v>
      </c>
      <c r="DN2939">
        <v>1</v>
      </c>
      <c r="DO2939">
        <v>0</v>
      </c>
      <c r="DP2939">
        <v>0</v>
      </c>
      <c r="DQ2939">
        <v>0</v>
      </c>
      <c r="DR2939">
        <v>0</v>
      </c>
      <c r="DS2939">
        <v>0</v>
      </c>
    </row>
    <row r="2940" spans="1:123" x14ac:dyDescent="0.3">
      <c r="A2940" t="str">
        <f t="shared" si="1065"/>
        <v>10/04/2022 19:33:25.527</v>
      </c>
      <c r="C2940" t="str">
        <f t="shared" si="1060"/>
        <v>FFDFD3C0</v>
      </c>
      <c r="D2940" t="s">
        <v>136</v>
      </c>
      <c r="E2940">
        <v>8</v>
      </c>
      <c r="H2940">
        <v>225</v>
      </c>
      <c r="I2940" t="s">
        <v>137</v>
      </c>
      <c r="J2940" t="s">
        <v>138</v>
      </c>
      <c r="K2940">
        <v>0</v>
      </c>
      <c r="L2940">
        <v>3</v>
      </c>
      <c r="M2940">
        <v>0</v>
      </c>
      <c r="N2940">
        <v>2</v>
      </c>
      <c r="O2940">
        <v>0</v>
      </c>
      <c r="P2940">
        <v>1</v>
      </c>
      <c r="Q2940">
        <v>0</v>
      </c>
      <c r="S2940" t="str">
        <f t="shared" si="1066"/>
        <v>19:33:25.000</v>
      </c>
      <c r="T2940" t="str">
        <f t="shared" si="1066"/>
        <v>19:33:25.000</v>
      </c>
      <c r="U2940" t="str">
        <f t="shared" si="1046"/>
        <v>AC3944</v>
      </c>
      <c r="V2940">
        <v>0</v>
      </c>
      <c r="W2940">
        <v>0</v>
      </c>
      <c r="X2940">
        <v>2</v>
      </c>
      <c r="Y2940">
        <v>0</v>
      </c>
      <c r="AA2940">
        <v>1</v>
      </c>
      <c r="AB2940">
        <v>8</v>
      </c>
      <c r="AC2940">
        <v>3</v>
      </c>
      <c r="AD2940">
        <v>0</v>
      </c>
      <c r="AE2940">
        <v>9</v>
      </c>
      <c r="AF2940" t="s">
        <v>138</v>
      </c>
      <c r="AG2940">
        <v>0</v>
      </c>
      <c r="AH2940">
        <v>3</v>
      </c>
      <c r="AI2940">
        <v>1</v>
      </c>
      <c r="AJ2940">
        <v>0</v>
      </c>
      <c r="AK2940" t="s">
        <v>990</v>
      </c>
      <c r="AL2940">
        <v>32.723165000000002</v>
      </c>
      <c r="AM2940" t="s">
        <v>991</v>
      </c>
      <c r="AN2940">
        <v>-116.75158</v>
      </c>
      <c r="AO2940">
        <v>25</v>
      </c>
      <c r="AP2940">
        <v>3600</v>
      </c>
      <c r="AQ2940" t="s">
        <v>129</v>
      </c>
      <c r="AR2940">
        <v>-77</v>
      </c>
      <c r="AS2940">
        <v>-116</v>
      </c>
      <c r="AT2940">
        <v>-320</v>
      </c>
      <c r="BB2940">
        <v>1200</v>
      </c>
      <c r="BC2940">
        <v>1</v>
      </c>
      <c r="BD2940" t="str">
        <f t="shared" si="1047"/>
        <v xml:space="preserve">N887QR  </v>
      </c>
      <c r="BE2940">
        <v>1</v>
      </c>
      <c r="BG2940">
        <v>0</v>
      </c>
      <c r="BH2940">
        <v>0</v>
      </c>
      <c r="BI2940">
        <v>0</v>
      </c>
      <c r="BJ2940">
        <v>3350</v>
      </c>
      <c r="BK2940">
        <v>-250</v>
      </c>
      <c r="BL2940" t="s">
        <v>163</v>
      </c>
      <c r="BM2940">
        <v>1</v>
      </c>
      <c r="BN2940">
        <v>1</v>
      </c>
      <c r="BO2940">
        <v>1</v>
      </c>
      <c r="BP2940">
        <v>0</v>
      </c>
      <c r="BS2940">
        <v>0</v>
      </c>
      <c r="BT2940">
        <v>0</v>
      </c>
      <c r="BU2940">
        <v>0</v>
      </c>
      <c r="CE2940" t="str">
        <f t="shared" si="1067"/>
        <v>19:33:25.274</v>
      </c>
      <c r="CF2940">
        <v>274419811</v>
      </c>
      <c r="CS2940">
        <v>0</v>
      </c>
      <c r="CT2940">
        <v>2</v>
      </c>
      <c r="CU2940">
        <v>0</v>
      </c>
      <c r="CV2940">
        <v>2</v>
      </c>
      <c r="CW2940">
        <v>0</v>
      </c>
      <c r="CX2940">
        <v>1</v>
      </c>
      <c r="CY2940">
        <v>7</v>
      </c>
      <c r="CZ2940" t="s">
        <v>131</v>
      </c>
      <c r="DA2940">
        <v>286</v>
      </c>
      <c r="DB2940">
        <v>0</v>
      </c>
      <c r="DC2940" t="s">
        <v>132</v>
      </c>
      <c r="DD2940" t="s">
        <v>133</v>
      </c>
      <c r="DG2940">
        <v>859365</v>
      </c>
      <c r="DI2940">
        <v>1</v>
      </c>
      <c r="DJ2940">
        <v>0</v>
      </c>
      <c r="DK2940">
        <v>1</v>
      </c>
      <c r="DL2940">
        <v>0</v>
      </c>
      <c r="DM2940">
        <v>0</v>
      </c>
      <c r="DN2940">
        <v>1</v>
      </c>
      <c r="DO2940">
        <v>0</v>
      </c>
      <c r="DP2940">
        <v>0</v>
      </c>
      <c r="DQ2940">
        <v>0</v>
      </c>
      <c r="DR2940">
        <v>0</v>
      </c>
      <c r="DS2940">
        <v>0</v>
      </c>
    </row>
    <row r="2941" spans="1:123" x14ac:dyDescent="0.3">
      <c r="A2941" t="str">
        <f t="shared" si="1065"/>
        <v>10/04/2022 19:33:25.527</v>
      </c>
      <c r="C2941" t="str">
        <f t="shared" si="1060"/>
        <v>FFDFD3C0</v>
      </c>
      <c r="D2941" t="s">
        <v>134</v>
      </c>
      <c r="E2941">
        <v>15</v>
      </c>
      <c r="J2941" t="s">
        <v>135</v>
      </c>
      <c r="K2941">
        <v>0</v>
      </c>
      <c r="L2941">
        <v>3</v>
      </c>
      <c r="M2941">
        <v>0</v>
      </c>
      <c r="N2941">
        <v>2</v>
      </c>
      <c r="O2941">
        <v>0</v>
      </c>
      <c r="P2941">
        <v>1</v>
      </c>
      <c r="Q2941">
        <v>0</v>
      </c>
      <c r="S2941" t="str">
        <f t="shared" si="1066"/>
        <v>19:33:25.000</v>
      </c>
      <c r="T2941" t="str">
        <f t="shared" si="1066"/>
        <v>19:33:25.000</v>
      </c>
      <c r="U2941" t="str">
        <f t="shared" si="1046"/>
        <v>AC3944</v>
      </c>
      <c r="V2941">
        <v>0</v>
      </c>
      <c r="W2941">
        <v>0</v>
      </c>
      <c r="X2941">
        <v>2</v>
      </c>
      <c r="Y2941">
        <v>0</v>
      </c>
      <c r="AA2941">
        <v>1</v>
      </c>
      <c r="AB2941">
        <v>8</v>
      </c>
      <c r="AC2941">
        <v>3</v>
      </c>
      <c r="AD2941">
        <v>0</v>
      </c>
      <c r="AE2941">
        <v>9</v>
      </c>
      <c r="AF2941" t="s">
        <v>138</v>
      </c>
      <c r="AG2941">
        <v>0</v>
      </c>
      <c r="AH2941">
        <v>3</v>
      </c>
      <c r="AI2941">
        <v>1</v>
      </c>
      <c r="AJ2941">
        <v>0</v>
      </c>
      <c r="AK2941" t="s">
        <v>990</v>
      </c>
      <c r="AL2941">
        <v>32.723165000000002</v>
      </c>
      <c r="AM2941" t="s">
        <v>991</v>
      </c>
      <c r="AN2941">
        <v>-116.75158</v>
      </c>
      <c r="AO2941">
        <v>25</v>
      </c>
      <c r="AP2941">
        <v>3600</v>
      </c>
      <c r="AQ2941" t="s">
        <v>129</v>
      </c>
      <c r="AR2941">
        <v>-77</v>
      </c>
      <c r="AS2941">
        <v>-116</v>
      </c>
      <c r="AT2941">
        <v>-320</v>
      </c>
      <c r="BB2941">
        <v>1200</v>
      </c>
      <c r="BC2941">
        <v>1</v>
      </c>
      <c r="BD2941" t="str">
        <f t="shared" si="1047"/>
        <v xml:space="preserve">N887QR  </v>
      </c>
      <c r="BE2941">
        <v>1</v>
      </c>
      <c r="BG2941">
        <v>0</v>
      </c>
      <c r="BH2941">
        <v>0</v>
      </c>
      <c r="BI2941">
        <v>0</v>
      </c>
      <c r="BJ2941">
        <v>3350</v>
      </c>
      <c r="BK2941">
        <v>-250</v>
      </c>
      <c r="BL2941" t="s">
        <v>163</v>
      </c>
      <c r="BM2941">
        <v>1</v>
      </c>
      <c r="BN2941">
        <v>1</v>
      </c>
      <c r="BO2941">
        <v>1</v>
      </c>
      <c r="BP2941">
        <v>0</v>
      </c>
      <c r="BS2941">
        <v>0</v>
      </c>
      <c r="BT2941">
        <v>0</v>
      </c>
      <c r="BU2941">
        <v>0</v>
      </c>
      <c r="CE2941" t="str">
        <f t="shared" si="1067"/>
        <v>19:33:25.274</v>
      </c>
      <c r="CF2941">
        <v>274419811</v>
      </c>
      <c r="CS2941">
        <v>0</v>
      </c>
      <c r="CT2941">
        <v>2</v>
      </c>
      <c r="CU2941">
        <v>0</v>
      </c>
      <c r="CV2941">
        <v>2</v>
      </c>
      <c r="CW2941">
        <v>0</v>
      </c>
      <c r="CX2941">
        <v>1</v>
      </c>
      <c r="CY2941">
        <v>7</v>
      </c>
      <c r="CZ2941" t="s">
        <v>131</v>
      </c>
      <c r="DA2941">
        <v>286</v>
      </c>
      <c r="DB2941">
        <v>0</v>
      </c>
      <c r="DC2941" t="s">
        <v>132</v>
      </c>
      <c r="DD2941" t="s">
        <v>133</v>
      </c>
      <c r="DG2941">
        <v>859365</v>
      </c>
      <c r="DI2941">
        <v>1</v>
      </c>
      <c r="DJ2941">
        <v>0</v>
      </c>
      <c r="DK2941">
        <v>1</v>
      </c>
      <c r="DL2941">
        <v>0</v>
      </c>
      <c r="DM2941">
        <v>0</v>
      </c>
      <c r="DN2941">
        <v>1</v>
      </c>
      <c r="DO2941">
        <v>0</v>
      </c>
      <c r="DP2941">
        <v>0</v>
      </c>
      <c r="DQ2941">
        <v>0</v>
      </c>
      <c r="DR2941">
        <v>0</v>
      </c>
      <c r="DS2941">
        <v>0</v>
      </c>
    </row>
    <row r="2942" spans="1:123" x14ac:dyDescent="0.3">
      <c r="A2942" t="str">
        <f t="shared" si="1065"/>
        <v>10/04/2022 19:33:25.527</v>
      </c>
      <c r="C2942" t="str">
        <f t="shared" si="1060"/>
        <v>FFDFD3C0</v>
      </c>
      <c r="D2942" t="s">
        <v>123</v>
      </c>
      <c r="E2942">
        <v>7</v>
      </c>
      <c r="F2942">
        <v>2007</v>
      </c>
      <c r="G2942" t="s">
        <v>124</v>
      </c>
      <c r="J2942" t="s">
        <v>125</v>
      </c>
      <c r="K2942">
        <v>0</v>
      </c>
      <c r="L2942">
        <v>3</v>
      </c>
      <c r="M2942">
        <v>0</v>
      </c>
      <c r="N2942">
        <v>2</v>
      </c>
      <c r="O2942">
        <v>0</v>
      </c>
      <c r="P2942">
        <v>1</v>
      </c>
      <c r="Q2942">
        <v>0</v>
      </c>
      <c r="S2942" t="str">
        <f t="shared" si="1066"/>
        <v>19:33:25.000</v>
      </c>
      <c r="T2942" t="str">
        <f t="shared" si="1066"/>
        <v>19:33:25.000</v>
      </c>
      <c r="U2942" t="str">
        <f t="shared" si="1046"/>
        <v>AC3944</v>
      </c>
      <c r="V2942">
        <v>0</v>
      </c>
      <c r="W2942">
        <v>0</v>
      </c>
      <c r="X2942">
        <v>2</v>
      </c>
      <c r="Y2942">
        <v>0</v>
      </c>
      <c r="AA2942">
        <v>1</v>
      </c>
      <c r="AB2942">
        <v>8</v>
      </c>
      <c r="AC2942">
        <v>3</v>
      </c>
      <c r="AD2942">
        <v>0</v>
      </c>
      <c r="AE2942">
        <v>9</v>
      </c>
      <c r="AF2942" t="s">
        <v>138</v>
      </c>
      <c r="AG2942">
        <v>0</v>
      </c>
      <c r="AH2942">
        <v>3</v>
      </c>
      <c r="AI2942">
        <v>1</v>
      </c>
      <c r="AJ2942">
        <v>0</v>
      </c>
      <c r="AK2942" t="s">
        <v>990</v>
      </c>
      <c r="AL2942">
        <v>32.723165000000002</v>
      </c>
      <c r="AM2942" t="s">
        <v>991</v>
      </c>
      <c r="AN2942">
        <v>-116.75158</v>
      </c>
      <c r="AO2942">
        <v>25</v>
      </c>
      <c r="AP2942">
        <v>3600</v>
      </c>
      <c r="AQ2942" t="s">
        <v>129</v>
      </c>
      <c r="AR2942">
        <v>-77</v>
      </c>
      <c r="AS2942">
        <v>-116</v>
      </c>
      <c r="AT2942">
        <v>-320</v>
      </c>
      <c r="BB2942">
        <v>1200</v>
      </c>
      <c r="BC2942">
        <v>1</v>
      </c>
      <c r="BD2942" t="str">
        <f t="shared" si="1047"/>
        <v xml:space="preserve">N887QR  </v>
      </c>
      <c r="BE2942">
        <v>1</v>
      </c>
      <c r="BG2942">
        <v>0</v>
      </c>
      <c r="BH2942">
        <v>0</v>
      </c>
      <c r="BI2942">
        <v>0</v>
      </c>
      <c r="BJ2942">
        <v>3350</v>
      </c>
      <c r="BK2942">
        <v>-250</v>
      </c>
      <c r="BL2942" t="s">
        <v>163</v>
      </c>
      <c r="BM2942">
        <v>1</v>
      </c>
      <c r="BN2942">
        <v>1</v>
      </c>
      <c r="BO2942">
        <v>1</v>
      </c>
      <c r="BP2942">
        <v>0</v>
      </c>
      <c r="BS2942">
        <v>0</v>
      </c>
      <c r="BT2942">
        <v>0</v>
      </c>
      <c r="BU2942">
        <v>0</v>
      </c>
      <c r="CE2942" t="str">
        <f t="shared" si="1067"/>
        <v>19:33:25.274</v>
      </c>
      <c r="CF2942">
        <v>274419811</v>
      </c>
      <c r="CS2942">
        <v>0</v>
      </c>
      <c r="CT2942">
        <v>2</v>
      </c>
      <c r="CU2942">
        <v>0</v>
      </c>
      <c r="CV2942">
        <v>2</v>
      </c>
      <c r="CW2942">
        <v>0</v>
      </c>
      <c r="CX2942">
        <v>1</v>
      </c>
      <c r="CY2942">
        <v>7</v>
      </c>
      <c r="CZ2942" t="s">
        <v>131</v>
      </c>
      <c r="DA2942">
        <v>286</v>
      </c>
      <c r="DB2942">
        <v>0</v>
      </c>
      <c r="DC2942" t="s">
        <v>132</v>
      </c>
      <c r="DD2942" t="s">
        <v>133</v>
      </c>
      <c r="DG2942">
        <v>859365</v>
      </c>
      <c r="DI2942">
        <v>1</v>
      </c>
      <c r="DJ2942">
        <v>0</v>
      </c>
      <c r="DK2942">
        <v>1</v>
      </c>
      <c r="DL2942">
        <v>0</v>
      </c>
      <c r="DM2942">
        <v>0</v>
      </c>
      <c r="DN2942">
        <v>1</v>
      </c>
      <c r="DO2942">
        <v>0</v>
      </c>
      <c r="DP2942">
        <v>0</v>
      </c>
      <c r="DQ2942">
        <v>0</v>
      </c>
      <c r="DR2942">
        <v>0</v>
      </c>
      <c r="DS2942">
        <v>0</v>
      </c>
    </row>
    <row r="2943" spans="1:123" x14ac:dyDescent="0.3">
      <c r="A2943" t="str">
        <f>"10/04/2022 19:33:26.589"</f>
        <v>10/04/2022 19:33:26.589</v>
      </c>
      <c r="C2943" t="str">
        <f t="shared" si="1060"/>
        <v>FFDFD3C0</v>
      </c>
      <c r="D2943" t="s">
        <v>123</v>
      </c>
      <c r="E2943">
        <v>7</v>
      </c>
      <c r="F2943">
        <v>2007</v>
      </c>
      <c r="G2943" t="s">
        <v>124</v>
      </c>
      <c r="J2943" t="s">
        <v>125</v>
      </c>
      <c r="K2943">
        <v>0</v>
      </c>
      <c r="L2943">
        <v>3</v>
      </c>
      <c r="M2943">
        <v>0</v>
      </c>
      <c r="N2943">
        <v>2</v>
      </c>
      <c r="O2943">
        <v>0</v>
      </c>
      <c r="P2943">
        <v>1</v>
      </c>
      <c r="Q2943">
        <v>0</v>
      </c>
      <c r="S2943" t="str">
        <f t="shared" ref="S2943:T2956" si="1068">"19:33:26.000"</f>
        <v>19:33:26.000</v>
      </c>
      <c r="T2943" t="str">
        <f t="shared" si="1068"/>
        <v>19:33:26.000</v>
      </c>
      <c r="U2943" t="str">
        <f t="shared" si="1046"/>
        <v>AC3944</v>
      </c>
      <c r="V2943">
        <v>0</v>
      </c>
      <c r="W2943">
        <v>0</v>
      </c>
      <c r="X2943">
        <v>2</v>
      </c>
      <c r="Y2943">
        <v>0</v>
      </c>
      <c r="AA2943">
        <v>1</v>
      </c>
      <c r="AB2943">
        <v>8</v>
      </c>
      <c r="AC2943">
        <v>3</v>
      </c>
      <c r="AD2943">
        <v>0</v>
      </c>
      <c r="AE2943">
        <v>9</v>
      </c>
      <c r="AF2943" t="s">
        <v>138</v>
      </c>
      <c r="AG2943">
        <v>0</v>
      </c>
      <c r="AH2943">
        <v>3</v>
      </c>
      <c r="AI2943">
        <v>1</v>
      </c>
      <c r="AJ2943">
        <v>0</v>
      </c>
      <c r="AK2943" t="s">
        <v>992</v>
      </c>
      <c r="AL2943">
        <v>32.722628</v>
      </c>
      <c r="AM2943" t="s">
        <v>993</v>
      </c>
      <c r="AN2943">
        <v>-116.751988</v>
      </c>
      <c r="AO2943">
        <v>25</v>
      </c>
      <c r="AP2943">
        <v>3600</v>
      </c>
      <c r="AQ2943" t="s">
        <v>129</v>
      </c>
      <c r="AR2943">
        <v>-89</v>
      </c>
      <c r="AS2943">
        <v>-110</v>
      </c>
      <c r="AT2943">
        <v>-704</v>
      </c>
      <c r="BB2943">
        <v>1200</v>
      </c>
      <c r="BC2943">
        <v>1</v>
      </c>
      <c r="BD2943" t="str">
        <f t="shared" si="1047"/>
        <v xml:space="preserve">N887QR  </v>
      </c>
      <c r="BE2943">
        <v>1</v>
      </c>
      <c r="BG2943">
        <v>0</v>
      </c>
      <c r="BH2943">
        <v>0</v>
      </c>
      <c r="BI2943">
        <v>0</v>
      </c>
      <c r="BJ2943">
        <v>3350</v>
      </c>
      <c r="BK2943">
        <v>-250</v>
      </c>
      <c r="BL2943" t="s">
        <v>163</v>
      </c>
      <c r="BM2943">
        <v>1</v>
      </c>
      <c r="BN2943">
        <v>1</v>
      </c>
      <c r="BO2943">
        <v>1</v>
      </c>
      <c r="BP2943">
        <v>0</v>
      </c>
      <c r="BS2943">
        <v>0</v>
      </c>
      <c r="BT2943">
        <v>0</v>
      </c>
      <c r="BU2943">
        <v>0</v>
      </c>
      <c r="CE2943" t="str">
        <f t="shared" ref="CE2943:CE2949" si="1069">"19:33:26.311"</f>
        <v>19:33:26.311</v>
      </c>
      <c r="CF2943">
        <v>311172900</v>
      </c>
      <c r="CS2943">
        <v>0</v>
      </c>
      <c r="CT2943">
        <v>2</v>
      </c>
      <c r="CU2943">
        <v>0</v>
      </c>
      <c r="CV2943">
        <v>2</v>
      </c>
      <c r="CW2943">
        <v>1</v>
      </c>
      <c r="CX2943">
        <v>3</v>
      </c>
      <c r="CY2943">
        <v>7</v>
      </c>
      <c r="CZ2943" t="s">
        <v>131</v>
      </c>
      <c r="DA2943">
        <v>286</v>
      </c>
      <c r="DB2943">
        <v>0</v>
      </c>
      <c r="DC2943" t="s">
        <v>132</v>
      </c>
      <c r="DD2943" t="s">
        <v>133</v>
      </c>
      <c r="DG2943">
        <v>859589</v>
      </c>
      <c r="DI2943">
        <v>1</v>
      </c>
      <c r="DJ2943">
        <v>0</v>
      </c>
      <c r="DK2943">
        <v>0</v>
      </c>
      <c r="DL2943">
        <v>0</v>
      </c>
      <c r="DM2943">
        <v>0</v>
      </c>
      <c r="DN2943">
        <v>1</v>
      </c>
      <c r="DO2943">
        <v>0</v>
      </c>
      <c r="DP2943">
        <v>0</v>
      </c>
      <c r="DQ2943">
        <v>0</v>
      </c>
      <c r="DR2943">
        <v>0</v>
      </c>
      <c r="DS2943">
        <v>0</v>
      </c>
    </row>
    <row r="2944" spans="1:123" x14ac:dyDescent="0.3">
      <c r="A2944" t="str">
        <f>"10/04/2022 19:33:26.651"</f>
        <v>10/04/2022 19:33:26.651</v>
      </c>
      <c r="C2944" t="str">
        <f t="shared" si="1060"/>
        <v>FFDFD3C0</v>
      </c>
      <c r="D2944" t="s">
        <v>141</v>
      </c>
      <c r="E2944">
        <v>4</v>
      </c>
      <c r="H2944">
        <v>4</v>
      </c>
      <c r="I2944" t="s">
        <v>142</v>
      </c>
      <c r="J2944" t="s">
        <v>138</v>
      </c>
      <c r="K2944">
        <v>0</v>
      </c>
      <c r="L2944">
        <v>3</v>
      </c>
      <c r="M2944">
        <v>0</v>
      </c>
      <c r="N2944">
        <v>2</v>
      </c>
      <c r="O2944">
        <v>0</v>
      </c>
      <c r="P2944">
        <v>1</v>
      </c>
      <c r="Q2944">
        <v>0</v>
      </c>
      <c r="S2944" t="str">
        <f t="shared" si="1068"/>
        <v>19:33:26.000</v>
      </c>
      <c r="T2944" t="str">
        <f t="shared" si="1068"/>
        <v>19:33:26.000</v>
      </c>
      <c r="U2944" t="str">
        <f t="shared" si="1046"/>
        <v>AC3944</v>
      </c>
      <c r="V2944">
        <v>0</v>
      </c>
      <c r="W2944">
        <v>0</v>
      </c>
      <c r="X2944">
        <v>2</v>
      </c>
      <c r="Y2944">
        <v>0</v>
      </c>
      <c r="AA2944">
        <v>1</v>
      </c>
      <c r="AB2944">
        <v>8</v>
      </c>
      <c r="AC2944">
        <v>3</v>
      </c>
      <c r="AD2944">
        <v>0</v>
      </c>
      <c r="AE2944">
        <v>9</v>
      </c>
      <c r="AF2944" t="s">
        <v>138</v>
      </c>
      <c r="AG2944">
        <v>0</v>
      </c>
      <c r="AH2944">
        <v>3</v>
      </c>
      <c r="AI2944">
        <v>1</v>
      </c>
      <c r="AJ2944">
        <v>0</v>
      </c>
      <c r="AK2944" t="s">
        <v>992</v>
      </c>
      <c r="AL2944">
        <v>32.722628</v>
      </c>
      <c r="AM2944" t="s">
        <v>993</v>
      </c>
      <c r="AN2944">
        <v>-116.751988</v>
      </c>
      <c r="AO2944">
        <v>25</v>
      </c>
      <c r="AP2944">
        <v>3600</v>
      </c>
      <c r="AQ2944" t="s">
        <v>129</v>
      </c>
      <c r="AR2944">
        <v>-89</v>
      </c>
      <c r="AS2944">
        <v>-110</v>
      </c>
      <c r="AT2944">
        <v>-704</v>
      </c>
      <c r="BB2944">
        <v>1200</v>
      </c>
      <c r="BC2944">
        <v>1</v>
      </c>
      <c r="BD2944" t="str">
        <f t="shared" si="1047"/>
        <v xml:space="preserve">N887QR  </v>
      </c>
      <c r="BE2944">
        <v>1</v>
      </c>
      <c r="BG2944">
        <v>0</v>
      </c>
      <c r="BH2944">
        <v>0</v>
      </c>
      <c r="BI2944">
        <v>0</v>
      </c>
      <c r="BJ2944">
        <v>3350</v>
      </c>
      <c r="BK2944">
        <v>-250</v>
      </c>
      <c r="BL2944" t="s">
        <v>163</v>
      </c>
      <c r="BM2944">
        <v>1</v>
      </c>
      <c r="BN2944">
        <v>1</v>
      </c>
      <c r="BO2944">
        <v>1</v>
      </c>
      <c r="BP2944">
        <v>0</v>
      </c>
      <c r="BS2944">
        <v>0</v>
      </c>
      <c r="BT2944">
        <v>0</v>
      </c>
      <c r="BU2944">
        <v>0</v>
      </c>
      <c r="CE2944" t="str">
        <f t="shared" si="1069"/>
        <v>19:33:26.311</v>
      </c>
      <c r="CF2944">
        <v>311172900</v>
      </c>
      <c r="CS2944">
        <v>0</v>
      </c>
      <c r="CT2944">
        <v>2</v>
      </c>
      <c r="CU2944">
        <v>0</v>
      </c>
      <c r="CV2944">
        <v>2</v>
      </c>
      <c r="CW2944">
        <v>1</v>
      </c>
      <c r="CX2944">
        <v>3</v>
      </c>
      <c r="CY2944">
        <v>7</v>
      </c>
      <c r="CZ2944" t="s">
        <v>131</v>
      </c>
      <c r="DA2944">
        <v>286</v>
      </c>
      <c r="DB2944">
        <v>0</v>
      </c>
      <c r="DC2944" t="s">
        <v>132</v>
      </c>
      <c r="DD2944" t="s">
        <v>133</v>
      </c>
      <c r="DG2944">
        <v>859589</v>
      </c>
      <c r="DI2944">
        <v>1</v>
      </c>
      <c r="DJ2944">
        <v>0</v>
      </c>
      <c r="DK2944">
        <v>1</v>
      </c>
      <c r="DL2944">
        <v>0</v>
      </c>
      <c r="DM2944">
        <v>0</v>
      </c>
      <c r="DN2944">
        <v>1</v>
      </c>
      <c r="DO2944">
        <v>0</v>
      </c>
      <c r="DP2944">
        <v>0</v>
      </c>
      <c r="DQ2944">
        <v>0</v>
      </c>
      <c r="DR2944">
        <v>0</v>
      </c>
      <c r="DS2944">
        <v>0</v>
      </c>
    </row>
    <row r="2945" spans="1:123" x14ac:dyDescent="0.3">
      <c r="A2945" t="str">
        <f>"10/04/2022 19:33:26.651"</f>
        <v>10/04/2022 19:33:26.651</v>
      </c>
      <c r="C2945" t="str">
        <f t="shared" si="1060"/>
        <v>FFDFD3C0</v>
      </c>
      <c r="D2945" t="s">
        <v>141</v>
      </c>
      <c r="E2945">
        <v>3</v>
      </c>
      <c r="H2945">
        <v>3</v>
      </c>
      <c r="I2945" t="s">
        <v>146</v>
      </c>
      <c r="J2945" t="s">
        <v>138</v>
      </c>
      <c r="K2945">
        <v>0</v>
      </c>
      <c r="L2945">
        <v>3</v>
      </c>
      <c r="M2945">
        <v>0</v>
      </c>
      <c r="N2945">
        <v>2</v>
      </c>
      <c r="O2945">
        <v>0</v>
      </c>
      <c r="P2945">
        <v>1</v>
      </c>
      <c r="Q2945">
        <v>0</v>
      </c>
      <c r="S2945" t="str">
        <f t="shared" si="1068"/>
        <v>19:33:26.000</v>
      </c>
      <c r="T2945" t="str">
        <f t="shared" si="1068"/>
        <v>19:33:26.000</v>
      </c>
      <c r="U2945" t="str">
        <f t="shared" si="1046"/>
        <v>AC3944</v>
      </c>
      <c r="V2945">
        <v>0</v>
      </c>
      <c r="W2945">
        <v>0</v>
      </c>
      <c r="X2945">
        <v>2</v>
      </c>
      <c r="Y2945">
        <v>0</v>
      </c>
      <c r="AA2945">
        <v>1</v>
      </c>
      <c r="AB2945">
        <v>8</v>
      </c>
      <c r="AC2945">
        <v>3</v>
      </c>
      <c r="AD2945">
        <v>0</v>
      </c>
      <c r="AE2945">
        <v>9</v>
      </c>
      <c r="AF2945" t="s">
        <v>138</v>
      </c>
      <c r="AG2945">
        <v>0</v>
      </c>
      <c r="AH2945">
        <v>3</v>
      </c>
      <c r="AI2945">
        <v>1</v>
      </c>
      <c r="AJ2945">
        <v>0</v>
      </c>
      <c r="AK2945" t="s">
        <v>992</v>
      </c>
      <c r="AL2945">
        <v>32.722628</v>
      </c>
      <c r="AM2945" t="s">
        <v>993</v>
      </c>
      <c r="AN2945">
        <v>-116.751988</v>
      </c>
      <c r="AO2945">
        <v>25</v>
      </c>
      <c r="AP2945">
        <v>3600</v>
      </c>
      <c r="AQ2945" t="s">
        <v>129</v>
      </c>
      <c r="AR2945">
        <v>-89</v>
      </c>
      <c r="AS2945">
        <v>-110</v>
      </c>
      <c r="AT2945">
        <v>-704</v>
      </c>
      <c r="BB2945">
        <v>1200</v>
      </c>
      <c r="BC2945">
        <v>1</v>
      </c>
      <c r="BD2945" t="str">
        <f t="shared" si="1047"/>
        <v xml:space="preserve">N887QR  </v>
      </c>
      <c r="BE2945">
        <v>1</v>
      </c>
      <c r="BG2945">
        <v>0</v>
      </c>
      <c r="BH2945">
        <v>0</v>
      </c>
      <c r="BI2945">
        <v>0</v>
      </c>
      <c r="BJ2945">
        <v>3350</v>
      </c>
      <c r="BK2945">
        <v>-250</v>
      </c>
      <c r="BL2945" t="s">
        <v>163</v>
      </c>
      <c r="BM2945">
        <v>1</v>
      </c>
      <c r="BN2945">
        <v>1</v>
      </c>
      <c r="BO2945">
        <v>1</v>
      </c>
      <c r="BP2945">
        <v>0</v>
      </c>
      <c r="BS2945">
        <v>0</v>
      </c>
      <c r="BT2945">
        <v>0</v>
      </c>
      <c r="BU2945">
        <v>0</v>
      </c>
      <c r="CE2945" t="str">
        <f t="shared" si="1069"/>
        <v>19:33:26.311</v>
      </c>
      <c r="CF2945">
        <v>311172900</v>
      </c>
      <c r="CS2945">
        <v>0</v>
      </c>
      <c r="CT2945">
        <v>2</v>
      </c>
      <c r="CU2945">
        <v>0</v>
      </c>
      <c r="CV2945">
        <v>2</v>
      </c>
      <c r="CW2945">
        <v>1</v>
      </c>
      <c r="CX2945">
        <v>3</v>
      </c>
      <c r="CY2945">
        <v>7</v>
      </c>
      <c r="CZ2945" t="s">
        <v>131</v>
      </c>
      <c r="DA2945">
        <v>286</v>
      </c>
      <c r="DB2945">
        <v>0</v>
      </c>
      <c r="DC2945" t="s">
        <v>132</v>
      </c>
      <c r="DD2945" t="s">
        <v>133</v>
      </c>
      <c r="DG2945">
        <v>859589</v>
      </c>
      <c r="DI2945">
        <v>1</v>
      </c>
      <c r="DJ2945">
        <v>0</v>
      </c>
      <c r="DK2945">
        <v>1</v>
      </c>
      <c r="DL2945">
        <v>0</v>
      </c>
      <c r="DM2945">
        <v>0</v>
      </c>
      <c r="DN2945">
        <v>1</v>
      </c>
      <c r="DO2945">
        <v>0</v>
      </c>
      <c r="DP2945">
        <v>0</v>
      </c>
      <c r="DQ2945">
        <v>0</v>
      </c>
      <c r="DR2945">
        <v>0</v>
      </c>
      <c r="DS2945">
        <v>0</v>
      </c>
    </row>
    <row r="2946" spans="1:123" x14ac:dyDescent="0.3">
      <c r="A2946" t="str">
        <f>"10/04/2022 19:33:26.651"</f>
        <v>10/04/2022 19:33:26.651</v>
      </c>
      <c r="C2946" t="str">
        <f t="shared" si="1060"/>
        <v>FFDFD3C0</v>
      </c>
      <c r="D2946" t="s">
        <v>143</v>
      </c>
      <c r="E2946">
        <v>20</v>
      </c>
      <c r="F2946">
        <v>1020</v>
      </c>
      <c r="G2946" t="s">
        <v>144</v>
      </c>
      <c r="J2946" t="s">
        <v>145</v>
      </c>
      <c r="K2946">
        <v>0</v>
      </c>
      <c r="L2946">
        <v>3</v>
      </c>
      <c r="M2946">
        <v>0</v>
      </c>
      <c r="N2946">
        <v>2</v>
      </c>
      <c r="O2946">
        <v>0</v>
      </c>
      <c r="P2946">
        <v>1</v>
      </c>
      <c r="Q2946">
        <v>0</v>
      </c>
      <c r="S2946" t="str">
        <f t="shared" si="1068"/>
        <v>19:33:26.000</v>
      </c>
      <c r="T2946" t="str">
        <f t="shared" si="1068"/>
        <v>19:33:26.000</v>
      </c>
      <c r="U2946" t="str">
        <f t="shared" ref="U2946:U3009" si="1070">"AC3944"</f>
        <v>AC3944</v>
      </c>
      <c r="V2946">
        <v>0</v>
      </c>
      <c r="W2946">
        <v>0</v>
      </c>
      <c r="X2946">
        <v>2</v>
      </c>
      <c r="Y2946">
        <v>0</v>
      </c>
      <c r="AA2946">
        <v>1</v>
      </c>
      <c r="AB2946">
        <v>8</v>
      </c>
      <c r="AC2946">
        <v>3</v>
      </c>
      <c r="AD2946">
        <v>0</v>
      </c>
      <c r="AE2946">
        <v>9</v>
      </c>
      <c r="AF2946" t="s">
        <v>138</v>
      </c>
      <c r="AG2946">
        <v>0</v>
      </c>
      <c r="AH2946">
        <v>3</v>
      </c>
      <c r="AI2946">
        <v>1</v>
      </c>
      <c r="AJ2946">
        <v>0</v>
      </c>
      <c r="AK2946" t="s">
        <v>992</v>
      </c>
      <c r="AL2946">
        <v>32.722628</v>
      </c>
      <c r="AM2946" t="s">
        <v>993</v>
      </c>
      <c r="AN2946">
        <v>-116.751988</v>
      </c>
      <c r="AO2946">
        <v>25</v>
      </c>
      <c r="AP2946">
        <v>3600</v>
      </c>
      <c r="AQ2946" t="s">
        <v>129</v>
      </c>
      <c r="AR2946">
        <v>-89</v>
      </c>
      <c r="AS2946">
        <v>-110</v>
      </c>
      <c r="AT2946">
        <v>-704</v>
      </c>
      <c r="BB2946">
        <v>1200</v>
      </c>
      <c r="BC2946">
        <v>1</v>
      </c>
      <c r="BD2946" t="str">
        <f t="shared" ref="BD2946:BD3009" si="1071">"N887QR  "</f>
        <v xml:space="preserve">N887QR  </v>
      </c>
      <c r="BE2946">
        <v>1</v>
      </c>
      <c r="BG2946">
        <v>0</v>
      </c>
      <c r="BH2946">
        <v>0</v>
      </c>
      <c r="BI2946">
        <v>0</v>
      </c>
      <c r="BJ2946">
        <v>3350</v>
      </c>
      <c r="BK2946">
        <v>-250</v>
      </c>
      <c r="BL2946" t="s">
        <v>163</v>
      </c>
      <c r="BM2946">
        <v>1</v>
      </c>
      <c r="BN2946">
        <v>1</v>
      </c>
      <c r="BO2946">
        <v>1</v>
      </c>
      <c r="BP2946">
        <v>0</v>
      </c>
      <c r="BS2946">
        <v>0</v>
      </c>
      <c r="BT2946">
        <v>0</v>
      </c>
      <c r="BU2946">
        <v>0</v>
      </c>
      <c r="CE2946" t="str">
        <f t="shared" si="1069"/>
        <v>19:33:26.311</v>
      </c>
      <c r="CF2946">
        <v>311172900</v>
      </c>
      <c r="CS2946">
        <v>0</v>
      </c>
      <c r="CT2946">
        <v>2</v>
      </c>
      <c r="CU2946">
        <v>0</v>
      </c>
      <c r="CV2946">
        <v>2</v>
      </c>
      <c r="CW2946">
        <v>1</v>
      </c>
      <c r="CX2946">
        <v>3</v>
      </c>
      <c r="CY2946">
        <v>7</v>
      </c>
      <c r="CZ2946" t="s">
        <v>131</v>
      </c>
      <c r="DA2946">
        <v>286</v>
      </c>
      <c r="DB2946">
        <v>0</v>
      </c>
      <c r="DC2946" t="s">
        <v>132</v>
      </c>
      <c r="DD2946" t="s">
        <v>133</v>
      </c>
      <c r="DG2946">
        <v>859589</v>
      </c>
      <c r="DI2946">
        <v>1</v>
      </c>
      <c r="DJ2946">
        <v>0</v>
      </c>
      <c r="DK2946">
        <v>1</v>
      </c>
      <c r="DL2946">
        <v>0</v>
      </c>
      <c r="DM2946">
        <v>0</v>
      </c>
      <c r="DN2946">
        <v>1</v>
      </c>
      <c r="DO2946">
        <v>0</v>
      </c>
      <c r="DP2946">
        <v>0</v>
      </c>
      <c r="DQ2946">
        <v>0</v>
      </c>
      <c r="DR2946">
        <v>0</v>
      </c>
      <c r="DS2946">
        <v>0</v>
      </c>
    </row>
    <row r="2947" spans="1:123" x14ac:dyDescent="0.3">
      <c r="A2947" t="str">
        <f>"10/04/2022 19:33:26.651"</f>
        <v>10/04/2022 19:33:26.651</v>
      </c>
      <c r="C2947" t="str">
        <f t="shared" si="1060"/>
        <v>FFDFD3C0</v>
      </c>
      <c r="D2947" t="s">
        <v>147</v>
      </c>
      <c r="E2947">
        <v>3</v>
      </c>
      <c r="H2947">
        <v>166</v>
      </c>
      <c r="I2947" t="s">
        <v>144</v>
      </c>
      <c r="J2947" t="s">
        <v>148</v>
      </c>
      <c r="K2947">
        <v>0</v>
      </c>
      <c r="L2947">
        <v>3</v>
      </c>
      <c r="M2947">
        <v>0</v>
      </c>
      <c r="N2947">
        <v>2</v>
      </c>
      <c r="O2947">
        <v>0</v>
      </c>
      <c r="P2947">
        <v>1</v>
      </c>
      <c r="Q2947">
        <v>0</v>
      </c>
      <c r="S2947" t="str">
        <f t="shared" si="1068"/>
        <v>19:33:26.000</v>
      </c>
      <c r="T2947" t="str">
        <f t="shared" si="1068"/>
        <v>19:33:26.000</v>
      </c>
      <c r="U2947" t="str">
        <f t="shared" si="1070"/>
        <v>AC3944</v>
      </c>
      <c r="V2947">
        <v>0</v>
      </c>
      <c r="W2947">
        <v>0</v>
      </c>
      <c r="X2947">
        <v>2</v>
      </c>
      <c r="Y2947">
        <v>0</v>
      </c>
      <c r="AA2947">
        <v>1</v>
      </c>
      <c r="AB2947">
        <v>8</v>
      </c>
      <c r="AC2947">
        <v>3</v>
      </c>
      <c r="AD2947">
        <v>0</v>
      </c>
      <c r="AE2947">
        <v>9</v>
      </c>
      <c r="AF2947" t="s">
        <v>138</v>
      </c>
      <c r="AG2947">
        <v>0</v>
      </c>
      <c r="AH2947">
        <v>3</v>
      </c>
      <c r="AI2947">
        <v>1</v>
      </c>
      <c r="AJ2947">
        <v>0</v>
      </c>
      <c r="AK2947" t="s">
        <v>992</v>
      </c>
      <c r="AL2947">
        <v>32.722628</v>
      </c>
      <c r="AM2947" t="s">
        <v>993</v>
      </c>
      <c r="AN2947">
        <v>-116.751988</v>
      </c>
      <c r="AO2947">
        <v>25</v>
      </c>
      <c r="AP2947">
        <v>3600</v>
      </c>
      <c r="AQ2947" t="s">
        <v>129</v>
      </c>
      <c r="AR2947">
        <v>-89</v>
      </c>
      <c r="AS2947">
        <v>-110</v>
      </c>
      <c r="AT2947">
        <v>-704</v>
      </c>
      <c r="BB2947">
        <v>1200</v>
      </c>
      <c r="BC2947">
        <v>1</v>
      </c>
      <c r="BD2947" t="str">
        <f t="shared" si="1071"/>
        <v xml:space="preserve">N887QR  </v>
      </c>
      <c r="BE2947">
        <v>1</v>
      </c>
      <c r="BG2947">
        <v>0</v>
      </c>
      <c r="BH2947">
        <v>0</v>
      </c>
      <c r="BI2947">
        <v>0</v>
      </c>
      <c r="BJ2947">
        <v>3350</v>
      </c>
      <c r="BK2947">
        <v>-250</v>
      </c>
      <c r="BL2947" t="s">
        <v>163</v>
      </c>
      <c r="BM2947">
        <v>1</v>
      </c>
      <c r="BN2947">
        <v>1</v>
      </c>
      <c r="BO2947">
        <v>1</v>
      </c>
      <c r="BP2947">
        <v>0</v>
      </c>
      <c r="BS2947">
        <v>0</v>
      </c>
      <c r="BT2947">
        <v>0</v>
      </c>
      <c r="BU2947">
        <v>0</v>
      </c>
      <c r="CE2947" t="str">
        <f t="shared" si="1069"/>
        <v>19:33:26.311</v>
      </c>
      <c r="CF2947">
        <v>311172900</v>
      </c>
      <c r="CS2947">
        <v>0</v>
      </c>
      <c r="CT2947">
        <v>2</v>
      </c>
      <c r="CU2947">
        <v>0</v>
      </c>
      <c r="CV2947">
        <v>2</v>
      </c>
      <c r="CW2947">
        <v>1</v>
      </c>
      <c r="CX2947">
        <v>3</v>
      </c>
      <c r="CY2947">
        <v>7</v>
      </c>
      <c r="CZ2947" t="s">
        <v>131</v>
      </c>
      <c r="DA2947">
        <v>286</v>
      </c>
      <c r="DB2947">
        <v>0</v>
      </c>
      <c r="DC2947" t="s">
        <v>132</v>
      </c>
      <c r="DD2947" t="s">
        <v>133</v>
      </c>
      <c r="DG2947">
        <v>859589</v>
      </c>
      <c r="DI2947">
        <v>1</v>
      </c>
      <c r="DJ2947">
        <v>0</v>
      </c>
      <c r="DK2947">
        <v>1</v>
      </c>
      <c r="DL2947">
        <v>0</v>
      </c>
      <c r="DM2947">
        <v>0</v>
      </c>
      <c r="DN2947">
        <v>1</v>
      </c>
      <c r="DO2947">
        <v>0</v>
      </c>
      <c r="DP2947">
        <v>0</v>
      </c>
      <c r="DQ2947">
        <v>0</v>
      </c>
      <c r="DR2947">
        <v>0</v>
      </c>
      <c r="DS2947">
        <v>0</v>
      </c>
    </row>
    <row r="2948" spans="1:123" x14ac:dyDescent="0.3">
      <c r="A2948" t="str">
        <f>"10/04/2022 19:33:26.651"</f>
        <v>10/04/2022 19:33:26.651</v>
      </c>
      <c r="C2948" t="str">
        <f t="shared" si="1060"/>
        <v>FFDFD3C0</v>
      </c>
      <c r="D2948" t="s">
        <v>136</v>
      </c>
      <c r="E2948">
        <v>8</v>
      </c>
      <c r="H2948">
        <v>225</v>
      </c>
      <c r="I2948" t="s">
        <v>137</v>
      </c>
      <c r="J2948" t="s">
        <v>138</v>
      </c>
      <c r="K2948">
        <v>0</v>
      </c>
      <c r="L2948">
        <v>3</v>
      </c>
      <c r="M2948">
        <v>0</v>
      </c>
      <c r="N2948">
        <v>2</v>
      </c>
      <c r="O2948">
        <v>0</v>
      </c>
      <c r="P2948">
        <v>1</v>
      </c>
      <c r="Q2948">
        <v>0</v>
      </c>
      <c r="S2948" t="str">
        <f t="shared" si="1068"/>
        <v>19:33:26.000</v>
      </c>
      <c r="T2948" t="str">
        <f t="shared" si="1068"/>
        <v>19:33:26.000</v>
      </c>
      <c r="U2948" t="str">
        <f t="shared" si="1070"/>
        <v>AC3944</v>
      </c>
      <c r="V2948">
        <v>0</v>
      </c>
      <c r="W2948">
        <v>0</v>
      </c>
      <c r="X2948">
        <v>2</v>
      </c>
      <c r="Y2948">
        <v>0</v>
      </c>
      <c r="AA2948">
        <v>1</v>
      </c>
      <c r="AB2948">
        <v>8</v>
      </c>
      <c r="AC2948">
        <v>3</v>
      </c>
      <c r="AD2948">
        <v>0</v>
      </c>
      <c r="AE2948">
        <v>9</v>
      </c>
      <c r="AF2948" t="s">
        <v>138</v>
      </c>
      <c r="AG2948">
        <v>0</v>
      </c>
      <c r="AH2948">
        <v>3</v>
      </c>
      <c r="AI2948">
        <v>1</v>
      </c>
      <c r="AJ2948">
        <v>0</v>
      </c>
      <c r="AK2948" t="s">
        <v>992</v>
      </c>
      <c r="AL2948">
        <v>32.722628</v>
      </c>
      <c r="AM2948" t="s">
        <v>993</v>
      </c>
      <c r="AN2948">
        <v>-116.751988</v>
      </c>
      <c r="AO2948">
        <v>25</v>
      </c>
      <c r="AP2948">
        <v>3600</v>
      </c>
      <c r="AQ2948" t="s">
        <v>129</v>
      </c>
      <c r="AR2948">
        <v>-89</v>
      </c>
      <c r="AS2948">
        <v>-110</v>
      </c>
      <c r="AT2948">
        <v>-704</v>
      </c>
      <c r="BB2948">
        <v>1200</v>
      </c>
      <c r="BC2948">
        <v>1</v>
      </c>
      <c r="BD2948" t="str">
        <f t="shared" si="1071"/>
        <v xml:space="preserve">N887QR  </v>
      </c>
      <c r="BE2948">
        <v>1</v>
      </c>
      <c r="BG2948">
        <v>0</v>
      </c>
      <c r="BH2948">
        <v>0</v>
      </c>
      <c r="BI2948">
        <v>0</v>
      </c>
      <c r="BJ2948">
        <v>3350</v>
      </c>
      <c r="BK2948">
        <v>-250</v>
      </c>
      <c r="BL2948" t="s">
        <v>163</v>
      </c>
      <c r="BM2948">
        <v>1</v>
      </c>
      <c r="BN2948">
        <v>1</v>
      </c>
      <c r="BO2948">
        <v>1</v>
      </c>
      <c r="BP2948">
        <v>0</v>
      </c>
      <c r="BS2948">
        <v>0</v>
      </c>
      <c r="BT2948">
        <v>0</v>
      </c>
      <c r="BU2948">
        <v>0</v>
      </c>
      <c r="CE2948" t="str">
        <f t="shared" si="1069"/>
        <v>19:33:26.311</v>
      </c>
      <c r="CF2948">
        <v>311172900</v>
      </c>
      <c r="CS2948">
        <v>0</v>
      </c>
      <c r="CT2948">
        <v>2</v>
      </c>
      <c r="CU2948">
        <v>0</v>
      </c>
      <c r="CV2948">
        <v>2</v>
      </c>
      <c r="CW2948">
        <v>1</v>
      </c>
      <c r="CX2948">
        <v>3</v>
      </c>
      <c r="CY2948">
        <v>7</v>
      </c>
      <c r="CZ2948" t="s">
        <v>131</v>
      </c>
      <c r="DA2948">
        <v>286</v>
      </c>
      <c r="DB2948">
        <v>0</v>
      </c>
      <c r="DC2948" t="s">
        <v>132</v>
      </c>
      <c r="DD2948" t="s">
        <v>133</v>
      </c>
      <c r="DG2948">
        <v>859589</v>
      </c>
      <c r="DI2948">
        <v>1</v>
      </c>
      <c r="DJ2948">
        <v>0</v>
      </c>
      <c r="DK2948">
        <v>1</v>
      </c>
      <c r="DL2948">
        <v>0</v>
      </c>
      <c r="DM2948">
        <v>0</v>
      </c>
      <c r="DN2948">
        <v>1</v>
      </c>
      <c r="DO2948">
        <v>0</v>
      </c>
      <c r="DP2948">
        <v>0</v>
      </c>
      <c r="DQ2948">
        <v>0</v>
      </c>
      <c r="DR2948">
        <v>0</v>
      </c>
      <c r="DS2948">
        <v>0</v>
      </c>
    </row>
    <row r="2949" spans="1:123" x14ac:dyDescent="0.3">
      <c r="A2949" t="str">
        <f>"10/04/2022 19:33:26.682"</f>
        <v>10/04/2022 19:33:26.682</v>
      </c>
      <c r="C2949" t="str">
        <f t="shared" si="1060"/>
        <v>FFDFD3C0</v>
      </c>
      <c r="D2949" t="s">
        <v>134</v>
      </c>
      <c r="E2949">
        <v>15</v>
      </c>
      <c r="J2949" t="s">
        <v>135</v>
      </c>
      <c r="K2949">
        <v>0</v>
      </c>
      <c r="L2949">
        <v>3</v>
      </c>
      <c r="M2949">
        <v>0</v>
      </c>
      <c r="N2949">
        <v>2</v>
      </c>
      <c r="O2949">
        <v>0</v>
      </c>
      <c r="P2949">
        <v>1</v>
      </c>
      <c r="Q2949">
        <v>0</v>
      </c>
      <c r="S2949" t="str">
        <f t="shared" si="1068"/>
        <v>19:33:26.000</v>
      </c>
      <c r="T2949" t="str">
        <f t="shared" si="1068"/>
        <v>19:33:26.000</v>
      </c>
      <c r="U2949" t="str">
        <f t="shared" si="1070"/>
        <v>AC3944</v>
      </c>
      <c r="V2949">
        <v>0</v>
      </c>
      <c r="W2949">
        <v>0</v>
      </c>
      <c r="X2949">
        <v>2</v>
      </c>
      <c r="Y2949">
        <v>0</v>
      </c>
      <c r="AA2949">
        <v>1</v>
      </c>
      <c r="AB2949">
        <v>8</v>
      </c>
      <c r="AC2949">
        <v>3</v>
      </c>
      <c r="AD2949">
        <v>0</v>
      </c>
      <c r="AE2949">
        <v>9</v>
      </c>
      <c r="AF2949" t="s">
        <v>138</v>
      </c>
      <c r="AG2949">
        <v>0</v>
      </c>
      <c r="AH2949">
        <v>3</v>
      </c>
      <c r="AI2949">
        <v>1</v>
      </c>
      <c r="AJ2949">
        <v>0</v>
      </c>
      <c r="AK2949" t="s">
        <v>992</v>
      </c>
      <c r="AL2949">
        <v>32.722628</v>
      </c>
      <c r="AM2949" t="s">
        <v>993</v>
      </c>
      <c r="AN2949">
        <v>-116.751988</v>
      </c>
      <c r="AO2949">
        <v>25</v>
      </c>
      <c r="AP2949">
        <v>3600</v>
      </c>
      <c r="AQ2949" t="s">
        <v>129</v>
      </c>
      <c r="AR2949">
        <v>-89</v>
      </c>
      <c r="AS2949">
        <v>-110</v>
      </c>
      <c r="AT2949">
        <v>-704</v>
      </c>
      <c r="BB2949">
        <v>1200</v>
      </c>
      <c r="BC2949">
        <v>1</v>
      </c>
      <c r="BD2949" t="str">
        <f t="shared" si="1071"/>
        <v xml:space="preserve">N887QR  </v>
      </c>
      <c r="BE2949">
        <v>1</v>
      </c>
      <c r="BG2949">
        <v>0</v>
      </c>
      <c r="BH2949">
        <v>0</v>
      </c>
      <c r="BI2949">
        <v>0</v>
      </c>
      <c r="BJ2949">
        <v>3350</v>
      </c>
      <c r="BK2949">
        <v>-250</v>
      </c>
      <c r="BL2949" t="s">
        <v>163</v>
      </c>
      <c r="BM2949">
        <v>1</v>
      </c>
      <c r="BN2949">
        <v>1</v>
      </c>
      <c r="BO2949">
        <v>1</v>
      </c>
      <c r="BP2949">
        <v>0</v>
      </c>
      <c r="BS2949">
        <v>0</v>
      </c>
      <c r="BT2949">
        <v>0</v>
      </c>
      <c r="BU2949">
        <v>0</v>
      </c>
      <c r="CE2949" t="str">
        <f t="shared" si="1069"/>
        <v>19:33:26.311</v>
      </c>
      <c r="CF2949">
        <v>311172900</v>
      </c>
      <c r="CS2949">
        <v>0</v>
      </c>
      <c r="CT2949">
        <v>2</v>
      </c>
      <c r="CU2949">
        <v>0</v>
      </c>
      <c r="CV2949">
        <v>2</v>
      </c>
      <c r="CW2949">
        <v>1</v>
      </c>
      <c r="CX2949">
        <v>3</v>
      </c>
      <c r="CY2949">
        <v>7</v>
      </c>
      <c r="CZ2949" t="s">
        <v>131</v>
      </c>
      <c r="DA2949">
        <v>286</v>
      </c>
      <c r="DB2949">
        <v>0</v>
      </c>
      <c r="DC2949" t="s">
        <v>132</v>
      </c>
      <c r="DD2949" t="s">
        <v>133</v>
      </c>
      <c r="DG2949">
        <v>859589</v>
      </c>
      <c r="DI2949">
        <v>1</v>
      </c>
      <c r="DJ2949">
        <v>0</v>
      </c>
      <c r="DK2949">
        <v>1</v>
      </c>
      <c r="DL2949">
        <v>0</v>
      </c>
      <c r="DM2949">
        <v>0</v>
      </c>
      <c r="DN2949">
        <v>1</v>
      </c>
      <c r="DO2949">
        <v>0</v>
      </c>
      <c r="DP2949">
        <v>0</v>
      </c>
      <c r="DQ2949">
        <v>0</v>
      </c>
      <c r="DR2949">
        <v>0</v>
      </c>
      <c r="DS2949">
        <v>0</v>
      </c>
    </row>
    <row r="2950" spans="1:123" x14ac:dyDescent="0.3">
      <c r="A2950" t="str">
        <f t="shared" ref="A2950:A2956" si="1072">"10/04/2022 19:33:27.041"</f>
        <v>10/04/2022 19:33:27.041</v>
      </c>
      <c r="C2950" t="str">
        <f t="shared" si="1060"/>
        <v>FFDFD3C0</v>
      </c>
      <c r="D2950" t="s">
        <v>141</v>
      </c>
      <c r="E2950">
        <v>4</v>
      </c>
      <c r="H2950">
        <v>4</v>
      </c>
      <c r="I2950" t="s">
        <v>142</v>
      </c>
      <c r="J2950" t="s">
        <v>138</v>
      </c>
      <c r="K2950">
        <v>0</v>
      </c>
      <c r="L2950">
        <v>3</v>
      </c>
      <c r="M2950">
        <v>0</v>
      </c>
      <c r="N2950">
        <v>2</v>
      </c>
      <c r="O2950">
        <v>0</v>
      </c>
      <c r="P2950">
        <v>1</v>
      </c>
      <c r="Q2950">
        <v>0</v>
      </c>
      <c r="S2950" t="str">
        <f t="shared" si="1068"/>
        <v>19:33:26.000</v>
      </c>
      <c r="T2950" t="str">
        <f t="shared" si="1068"/>
        <v>19:33:26.000</v>
      </c>
      <c r="U2950" t="str">
        <f t="shared" si="1070"/>
        <v>AC3944</v>
      </c>
      <c r="V2950">
        <v>0</v>
      </c>
      <c r="W2950">
        <v>0</v>
      </c>
      <c r="X2950">
        <v>2</v>
      </c>
      <c r="Y2950">
        <v>0</v>
      </c>
      <c r="AA2950">
        <v>1</v>
      </c>
      <c r="AB2950">
        <v>8</v>
      </c>
      <c r="AC2950">
        <v>3</v>
      </c>
      <c r="AD2950">
        <v>0</v>
      </c>
      <c r="AE2950">
        <v>9</v>
      </c>
      <c r="AF2950" t="s">
        <v>138</v>
      </c>
      <c r="AG2950">
        <v>0</v>
      </c>
      <c r="AH2950">
        <v>3</v>
      </c>
      <c r="AI2950">
        <v>1</v>
      </c>
      <c r="AJ2950">
        <v>0</v>
      </c>
      <c r="AK2950" t="s">
        <v>994</v>
      </c>
      <c r="AL2950">
        <v>32.722113</v>
      </c>
      <c r="AM2950" t="s">
        <v>995</v>
      </c>
      <c r="AN2950">
        <v>-116.752481</v>
      </c>
      <c r="AO2950">
        <v>25</v>
      </c>
      <c r="AP2950">
        <v>3600</v>
      </c>
      <c r="AQ2950" t="s">
        <v>129</v>
      </c>
      <c r="AR2950">
        <v>-95</v>
      </c>
      <c r="AS2950">
        <v>-106</v>
      </c>
      <c r="AT2950">
        <v>-704</v>
      </c>
      <c r="BB2950">
        <v>1200</v>
      </c>
      <c r="BC2950">
        <v>1</v>
      </c>
      <c r="BD2950" t="str">
        <f t="shared" si="1071"/>
        <v xml:space="preserve">N887QR  </v>
      </c>
      <c r="BE2950">
        <v>1</v>
      </c>
      <c r="BG2950">
        <v>0</v>
      </c>
      <c r="BH2950">
        <v>0</v>
      </c>
      <c r="BI2950">
        <v>0</v>
      </c>
      <c r="BJ2950">
        <v>3300</v>
      </c>
      <c r="BK2950">
        <v>-300</v>
      </c>
      <c r="BL2950" t="s">
        <v>163</v>
      </c>
      <c r="BM2950">
        <v>1</v>
      </c>
      <c r="BN2950">
        <v>1</v>
      </c>
      <c r="BO2950">
        <v>1</v>
      </c>
      <c r="BP2950">
        <v>0</v>
      </c>
      <c r="BS2950">
        <v>0</v>
      </c>
      <c r="BT2950">
        <v>0</v>
      </c>
      <c r="BU2950">
        <v>0</v>
      </c>
      <c r="CE2950" t="str">
        <f t="shared" ref="CE2950:CE2956" si="1073">"19:33:26.823"</f>
        <v>19:33:26.823</v>
      </c>
      <c r="CF2950">
        <v>823424354</v>
      </c>
      <c r="CS2950">
        <v>0</v>
      </c>
      <c r="CT2950">
        <v>2</v>
      </c>
      <c r="CU2950">
        <v>0</v>
      </c>
      <c r="CV2950">
        <v>2</v>
      </c>
      <c r="CW2950">
        <v>1</v>
      </c>
      <c r="CX2950">
        <v>2</v>
      </c>
      <c r="CY2950">
        <v>7</v>
      </c>
      <c r="CZ2950" t="s">
        <v>131</v>
      </c>
      <c r="DA2950">
        <v>286</v>
      </c>
      <c r="DB2950">
        <v>0</v>
      </c>
      <c r="DC2950" t="s">
        <v>132</v>
      </c>
      <c r="DD2950" t="s">
        <v>133</v>
      </c>
      <c r="DG2950">
        <v>859722</v>
      </c>
      <c r="DI2950">
        <v>1</v>
      </c>
      <c r="DJ2950">
        <v>0</v>
      </c>
      <c r="DK2950">
        <v>0</v>
      </c>
      <c r="DL2950">
        <v>0</v>
      </c>
      <c r="DM2950">
        <v>0</v>
      </c>
      <c r="DN2950">
        <v>1</v>
      </c>
      <c r="DO2950">
        <v>0</v>
      </c>
      <c r="DP2950">
        <v>0</v>
      </c>
      <c r="DQ2950">
        <v>0</v>
      </c>
      <c r="DR2950">
        <v>0</v>
      </c>
      <c r="DS2950">
        <v>0</v>
      </c>
    </row>
    <row r="2951" spans="1:123" x14ac:dyDescent="0.3">
      <c r="A2951" t="str">
        <f t="shared" si="1072"/>
        <v>10/04/2022 19:33:27.041</v>
      </c>
      <c r="C2951" t="str">
        <f t="shared" si="1060"/>
        <v>FFDFD3C0</v>
      </c>
      <c r="D2951" t="s">
        <v>141</v>
      </c>
      <c r="E2951">
        <v>3</v>
      </c>
      <c r="H2951">
        <v>3</v>
      </c>
      <c r="I2951" t="s">
        <v>146</v>
      </c>
      <c r="J2951" t="s">
        <v>138</v>
      </c>
      <c r="K2951">
        <v>0</v>
      </c>
      <c r="L2951">
        <v>3</v>
      </c>
      <c r="M2951">
        <v>0</v>
      </c>
      <c r="N2951">
        <v>2</v>
      </c>
      <c r="O2951">
        <v>0</v>
      </c>
      <c r="P2951">
        <v>1</v>
      </c>
      <c r="Q2951">
        <v>0</v>
      </c>
      <c r="S2951" t="str">
        <f t="shared" si="1068"/>
        <v>19:33:26.000</v>
      </c>
      <c r="T2951" t="str">
        <f t="shared" si="1068"/>
        <v>19:33:26.000</v>
      </c>
      <c r="U2951" t="str">
        <f t="shared" si="1070"/>
        <v>AC3944</v>
      </c>
      <c r="V2951">
        <v>0</v>
      </c>
      <c r="W2951">
        <v>0</v>
      </c>
      <c r="X2951">
        <v>2</v>
      </c>
      <c r="Y2951">
        <v>0</v>
      </c>
      <c r="AA2951">
        <v>1</v>
      </c>
      <c r="AB2951">
        <v>8</v>
      </c>
      <c r="AC2951">
        <v>3</v>
      </c>
      <c r="AD2951">
        <v>0</v>
      </c>
      <c r="AE2951">
        <v>9</v>
      </c>
      <c r="AF2951" t="s">
        <v>138</v>
      </c>
      <c r="AG2951">
        <v>0</v>
      </c>
      <c r="AH2951">
        <v>3</v>
      </c>
      <c r="AI2951">
        <v>1</v>
      </c>
      <c r="AJ2951">
        <v>0</v>
      </c>
      <c r="AK2951" t="s">
        <v>994</v>
      </c>
      <c r="AL2951">
        <v>32.722113</v>
      </c>
      <c r="AM2951" t="s">
        <v>995</v>
      </c>
      <c r="AN2951">
        <v>-116.752481</v>
      </c>
      <c r="AO2951">
        <v>25</v>
      </c>
      <c r="AP2951">
        <v>3600</v>
      </c>
      <c r="AQ2951" t="s">
        <v>129</v>
      </c>
      <c r="AR2951">
        <v>-95</v>
      </c>
      <c r="AS2951">
        <v>-106</v>
      </c>
      <c r="AT2951">
        <v>-704</v>
      </c>
      <c r="BB2951">
        <v>1200</v>
      </c>
      <c r="BC2951">
        <v>1</v>
      </c>
      <c r="BD2951" t="str">
        <f t="shared" si="1071"/>
        <v xml:space="preserve">N887QR  </v>
      </c>
      <c r="BE2951">
        <v>1</v>
      </c>
      <c r="BG2951">
        <v>0</v>
      </c>
      <c r="BH2951">
        <v>0</v>
      </c>
      <c r="BI2951">
        <v>0</v>
      </c>
      <c r="BJ2951">
        <v>3300</v>
      </c>
      <c r="BK2951">
        <v>-300</v>
      </c>
      <c r="BL2951" t="s">
        <v>163</v>
      </c>
      <c r="BM2951">
        <v>1</v>
      </c>
      <c r="BN2951">
        <v>1</v>
      </c>
      <c r="BO2951">
        <v>1</v>
      </c>
      <c r="BP2951">
        <v>0</v>
      </c>
      <c r="BS2951">
        <v>0</v>
      </c>
      <c r="BT2951">
        <v>0</v>
      </c>
      <c r="BU2951">
        <v>0</v>
      </c>
      <c r="CE2951" t="str">
        <f t="shared" si="1073"/>
        <v>19:33:26.823</v>
      </c>
      <c r="CF2951">
        <v>823424354</v>
      </c>
      <c r="CS2951">
        <v>0</v>
      </c>
      <c r="CT2951">
        <v>2</v>
      </c>
      <c r="CU2951">
        <v>0</v>
      </c>
      <c r="CV2951">
        <v>2</v>
      </c>
      <c r="CW2951">
        <v>1</v>
      </c>
      <c r="CX2951">
        <v>2</v>
      </c>
      <c r="CY2951">
        <v>7</v>
      </c>
      <c r="CZ2951" t="s">
        <v>131</v>
      </c>
      <c r="DA2951">
        <v>286</v>
      </c>
      <c r="DB2951">
        <v>0</v>
      </c>
      <c r="DC2951" t="s">
        <v>132</v>
      </c>
      <c r="DD2951" t="s">
        <v>133</v>
      </c>
      <c r="DG2951">
        <v>859722</v>
      </c>
      <c r="DI2951">
        <v>1</v>
      </c>
      <c r="DJ2951">
        <v>0</v>
      </c>
      <c r="DK2951">
        <v>1</v>
      </c>
      <c r="DL2951">
        <v>0</v>
      </c>
      <c r="DM2951">
        <v>0</v>
      </c>
      <c r="DN2951">
        <v>1</v>
      </c>
      <c r="DO2951">
        <v>0</v>
      </c>
      <c r="DP2951">
        <v>0</v>
      </c>
      <c r="DQ2951">
        <v>0</v>
      </c>
      <c r="DR2951">
        <v>0</v>
      </c>
      <c r="DS2951">
        <v>0</v>
      </c>
    </row>
    <row r="2952" spans="1:123" x14ac:dyDescent="0.3">
      <c r="A2952" t="str">
        <f t="shared" si="1072"/>
        <v>10/04/2022 19:33:27.041</v>
      </c>
      <c r="C2952" t="str">
        <f t="shared" si="1060"/>
        <v>FFDFD3C0</v>
      </c>
      <c r="D2952" t="s">
        <v>143</v>
      </c>
      <c r="E2952">
        <v>20</v>
      </c>
      <c r="F2952">
        <v>1020</v>
      </c>
      <c r="G2952" t="s">
        <v>144</v>
      </c>
      <c r="J2952" t="s">
        <v>145</v>
      </c>
      <c r="K2952">
        <v>0</v>
      </c>
      <c r="L2952">
        <v>3</v>
      </c>
      <c r="M2952">
        <v>0</v>
      </c>
      <c r="N2952">
        <v>2</v>
      </c>
      <c r="O2952">
        <v>0</v>
      </c>
      <c r="P2952">
        <v>1</v>
      </c>
      <c r="Q2952">
        <v>0</v>
      </c>
      <c r="S2952" t="str">
        <f t="shared" si="1068"/>
        <v>19:33:26.000</v>
      </c>
      <c r="T2952" t="str">
        <f t="shared" si="1068"/>
        <v>19:33:26.000</v>
      </c>
      <c r="U2952" t="str">
        <f t="shared" si="1070"/>
        <v>AC3944</v>
      </c>
      <c r="V2952">
        <v>0</v>
      </c>
      <c r="W2952">
        <v>0</v>
      </c>
      <c r="X2952">
        <v>2</v>
      </c>
      <c r="Y2952">
        <v>0</v>
      </c>
      <c r="AA2952">
        <v>1</v>
      </c>
      <c r="AB2952">
        <v>8</v>
      </c>
      <c r="AC2952">
        <v>3</v>
      </c>
      <c r="AD2952">
        <v>0</v>
      </c>
      <c r="AE2952">
        <v>9</v>
      </c>
      <c r="AF2952" t="s">
        <v>138</v>
      </c>
      <c r="AG2952">
        <v>0</v>
      </c>
      <c r="AH2952">
        <v>3</v>
      </c>
      <c r="AI2952">
        <v>1</v>
      </c>
      <c r="AJ2952">
        <v>0</v>
      </c>
      <c r="AK2952" t="s">
        <v>994</v>
      </c>
      <c r="AL2952">
        <v>32.722113</v>
      </c>
      <c r="AM2952" t="s">
        <v>995</v>
      </c>
      <c r="AN2952">
        <v>-116.752481</v>
      </c>
      <c r="AO2952">
        <v>25</v>
      </c>
      <c r="AP2952">
        <v>3600</v>
      </c>
      <c r="AQ2952" t="s">
        <v>129</v>
      </c>
      <c r="AR2952">
        <v>-95</v>
      </c>
      <c r="AS2952">
        <v>-106</v>
      </c>
      <c r="AT2952">
        <v>-704</v>
      </c>
      <c r="BB2952">
        <v>1200</v>
      </c>
      <c r="BC2952">
        <v>1</v>
      </c>
      <c r="BD2952" t="str">
        <f t="shared" si="1071"/>
        <v xml:space="preserve">N887QR  </v>
      </c>
      <c r="BE2952">
        <v>1</v>
      </c>
      <c r="BG2952">
        <v>0</v>
      </c>
      <c r="BH2952">
        <v>0</v>
      </c>
      <c r="BI2952">
        <v>0</v>
      </c>
      <c r="BJ2952">
        <v>3300</v>
      </c>
      <c r="BK2952">
        <v>-300</v>
      </c>
      <c r="BL2952" t="s">
        <v>163</v>
      </c>
      <c r="BM2952">
        <v>1</v>
      </c>
      <c r="BN2952">
        <v>1</v>
      </c>
      <c r="BO2952">
        <v>1</v>
      </c>
      <c r="BP2952">
        <v>0</v>
      </c>
      <c r="BS2952">
        <v>0</v>
      </c>
      <c r="BT2952">
        <v>0</v>
      </c>
      <c r="BU2952">
        <v>0</v>
      </c>
      <c r="CE2952" t="str">
        <f t="shared" si="1073"/>
        <v>19:33:26.823</v>
      </c>
      <c r="CF2952">
        <v>823424354</v>
      </c>
      <c r="CS2952">
        <v>0</v>
      </c>
      <c r="CT2952">
        <v>2</v>
      </c>
      <c r="CU2952">
        <v>0</v>
      </c>
      <c r="CV2952">
        <v>2</v>
      </c>
      <c r="CW2952">
        <v>1</v>
      </c>
      <c r="CX2952">
        <v>2</v>
      </c>
      <c r="CY2952">
        <v>7</v>
      </c>
      <c r="CZ2952" t="s">
        <v>131</v>
      </c>
      <c r="DA2952">
        <v>286</v>
      </c>
      <c r="DB2952">
        <v>0</v>
      </c>
      <c r="DC2952" t="s">
        <v>132</v>
      </c>
      <c r="DD2952" t="s">
        <v>133</v>
      </c>
      <c r="DG2952">
        <v>859722</v>
      </c>
      <c r="DI2952">
        <v>1</v>
      </c>
      <c r="DJ2952">
        <v>0</v>
      </c>
      <c r="DK2952">
        <v>1</v>
      </c>
      <c r="DL2952">
        <v>0</v>
      </c>
      <c r="DM2952">
        <v>0</v>
      </c>
      <c r="DN2952">
        <v>1</v>
      </c>
      <c r="DO2952">
        <v>0</v>
      </c>
      <c r="DP2952">
        <v>0</v>
      </c>
      <c r="DQ2952">
        <v>0</v>
      </c>
      <c r="DR2952">
        <v>0</v>
      </c>
      <c r="DS2952">
        <v>0</v>
      </c>
    </row>
    <row r="2953" spans="1:123" x14ac:dyDescent="0.3">
      <c r="A2953" t="str">
        <f t="shared" si="1072"/>
        <v>10/04/2022 19:33:27.041</v>
      </c>
      <c r="C2953" t="str">
        <f t="shared" si="1060"/>
        <v>FFDFD3C0</v>
      </c>
      <c r="D2953" t="s">
        <v>147</v>
      </c>
      <c r="E2953">
        <v>3</v>
      </c>
      <c r="H2953">
        <v>166</v>
      </c>
      <c r="I2953" t="s">
        <v>144</v>
      </c>
      <c r="J2953" t="s">
        <v>148</v>
      </c>
      <c r="K2953">
        <v>0</v>
      </c>
      <c r="L2953">
        <v>3</v>
      </c>
      <c r="M2953">
        <v>0</v>
      </c>
      <c r="N2953">
        <v>2</v>
      </c>
      <c r="O2953">
        <v>0</v>
      </c>
      <c r="P2953">
        <v>1</v>
      </c>
      <c r="Q2953">
        <v>0</v>
      </c>
      <c r="S2953" t="str">
        <f t="shared" si="1068"/>
        <v>19:33:26.000</v>
      </c>
      <c r="T2953" t="str">
        <f t="shared" si="1068"/>
        <v>19:33:26.000</v>
      </c>
      <c r="U2953" t="str">
        <f t="shared" si="1070"/>
        <v>AC3944</v>
      </c>
      <c r="V2953">
        <v>0</v>
      </c>
      <c r="W2953">
        <v>0</v>
      </c>
      <c r="X2953">
        <v>2</v>
      </c>
      <c r="Y2953">
        <v>0</v>
      </c>
      <c r="AA2953">
        <v>1</v>
      </c>
      <c r="AB2953">
        <v>8</v>
      </c>
      <c r="AC2953">
        <v>3</v>
      </c>
      <c r="AD2953">
        <v>0</v>
      </c>
      <c r="AE2953">
        <v>9</v>
      </c>
      <c r="AF2953" t="s">
        <v>138</v>
      </c>
      <c r="AG2953">
        <v>0</v>
      </c>
      <c r="AH2953">
        <v>3</v>
      </c>
      <c r="AI2953">
        <v>1</v>
      </c>
      <c r="AJ2953">
        <v>0</v>
      </c>
      <c r="AK2953" t="s">
        <v>994</v>
      </c>
      <c r="AL2953">
        <v>32.722113</v>
      </c>
      <c r="AM2953" t="s">
        <v>995</v>
      </c>
      <c r="AN2953">
        <v>-116.752481</v>
      </c>
      <c r="AO2953">
        <v>25</v>
      </c>
      <c r="AP2953">
        <v>3600</v>
      </c>
      <c r="AQ2953" t="s">
        <v>129</v>
      </c>
      <c r="AR2953">
        <v>-95</v>
      </c>
      <c r="AS2953">
        <v>-106</v>
      </c>
      <c r="AT2953">
        <v>-704</v>
      </c>
      <c r="BB2953">
        <v>1200</v>
      </c>
      <c r="BC2953">
        <v>1</v>
      </c>
      <c r="BD2953" t="str">
        <f t="shared" si="1071"/>
        <v xml:space="preserve">N887QR  </v>
      </c>
      <c r="BE2953">
        <v>1</v>
      </c>
      <c r="BG2953">
        <v>0</v>
      </c>
      <c r="BH2953">
        <v>0</v>
      </c>
      <c r="BI2953">
        <v>0</v>
      </c>
      <c r="BJ2953">
        <v>3300</v>
      </c>
      <c r="BK2953">
        <v>-300</v>
      </c>
      <c r="BL2953" t="s">
        <v>163</v>
      </c>
      <c r="BM2953">
        <v>1</v>
      </c>
      <c r="BN2953">
        <v>1</v>
      </c>
      <c r="BO2953">
        <v>1</v>
      </c>
      <c r="BP2953">
        <v>0</v>
      </c>
      <c r="BS2953">
        <v>0</v>
      </c>
      <c r="BT2953">
        <v>0</v>
      </c>
      <c r="BU2953">
        <v>0</v>
      </c>
      <c r="CE2953" t="str">
        <f t="shared" si="1073"/>
        <v>19:33:26.823</v>
      </c>
      <c r="CF2953">
        <v>823424354</v>
      </c>
      <c r="CS2953">
        <v>0</v>
      </c>
      <c r="CT2953">
        <v>2</v>
      </c>
      <c r="CU2953">
        <v>0</v>
      </c>
      <c r="CV2953">
        <v>2</v>
      </c>
      <c r="CW2953">
        <v>1</v>
      </c>
      <c r="CX2953">
        <v>2</v>
      </c>
      <c r="CY2953">
        <v>7</v>
      </c>
      <c r="CZ2953" t="s">
        <v>131</v>
      </c>
      <c r="DA2953">
        <v>286</v>
      </c>
      <c r="DB2953">
        <v>0</v>
      </c>
      <c r="DC2953" t="s">
        <v>132</v>
      </c>
      <c r="DD2953" t="s">
        <v>133</v>
      </c>
      <c r="DG2953">
        <v>859722</v>
      </c>
      <c r="DI2953">
        <v>1</v>
      </c>
      <c r="DJ2953">
        <v>0</v>
      </c>
      <c r="DK2953">
        <v>1</v>
      </c>
      <c r="DL2953">
        <v>0</v>
      </c>
      <c r="DM2953">
        <v>0</v>
      </c>
      <c r="DN2953">
        <v>1</v>
      </c>
      <c r="DO2953">
        <v>0</v>
      </c>
      <c r="DP2953">
        <v>0</v>
      </c>
      <c r="DQ2953">
        <v>0</v>
      </c>
      <c r="DR2953">
        <v>0</v>
      </c>
      <c r="DS2953">
        <v>0</v>
      </c>
    </row>
    <row r="2954" spans="1:123" x14ac:dyDescent="0.3">
      <c r="A2954" t="str">
        <f t="shared" si="1072"/>
        <v>10/04/2022 19:33:27.041</v>
      </c>
      <c r="C2954" t="str">
        <f t="shared" si="1060"/>
        <v>FFDFD3C0</v>
      </c>
      <c r="D2954" t="s">
        <v>134</v>
      </c>
      <c r="E2954">
        <v>15</v>
      </c>
      <c r="J2954" t="s">
        <v>135</v>
      </c>
      <c r="K2954">
        <v>0</v>
      </c>
      <c r="L2954">
        <v>3</v>
      </c>
      <c r="M2954">
        <v>0</v>
      </c>
      <c r="N2954">
        <v>2</v>
      </c>
      <c r="O2954">
        <v>0</v>
      </c>
      <c r="P2954">
        <v>1</v>
      </c>
      <c r="Q2954">
        <v>0</v>
      </c>
      <c r="S2954" t="str">
        <f t="shared" si="1068"/>
        <v>19:33:26.000</v>
      </c>
      <c r="T2954" t="str">
        <f t="shared" si="1068"/>
        <v>19:33:26.000</v>
      </c>
      <c r="U2954" t="str">
        <f t="shared" si="1070"/>
        <v>AC3944</v>
      </c>
      <c r="V2954">
        <v>0</v>
      </c>
      <c r="W2954">
        <v>0</v>
      </c>
      <c r="X2954">
        <v>2</v>
      </c>
      <c r="Y2954">
        <v>0</v>
      </c>
      <c r="AA2954">
        <v>1</v>
      </c>
      <c r="AB2954">
        <v>8</v>
      </c>
      <c r="AC2954">
        <v>3</v>
      </c>
      <c r="AD2954">
        <v>0</v>
      </c>
      <c r="AE2954">
        <v>9</v>
      </c>
      <c r="AF2954" t="s">
        <v>138</v>
      </c>
      <c r="AG2954">
        <v>0</v>
      </c>
      <c r="AH2954">
        <v>3</v>
      </c>
      <c r="AI2954">
        <v>1</v>
      </c>
      <c r="AJ2954">
        <v>0</v>
      </c>
      <c r="AK2954" t="s">
        <v>994</v>
      </c>
      <c r="AL2954">
        <v>32.722113</v>
      </c>
      <c r="AM2954" t="s">
        <v>995</v>
      </c>
      <c r="AN2954">
        <v>-116.752481</v>
      </c>
      <c r="AO2954">
        <v>25</v>
      </c>
      <c r="AP2954">
        <v>3600</v>
      </c>
      <c r="AQ2954" t="s">
        <v>129</v>
      </c>
      <c r="AR2954">
        <v>-95</v>
      </c>
      <c r="AS2954">
        <v>-106</v>
      </c>
      <c r="AT2954">
        <v>-704</v>
      </c>
      <c r="BB2954">
        <v>1200</v>
      </c>
      <c r="BC2954">
        <v>1</v>
      </c>
      <c r="BD2954" t="str">
        <f t="shared" si="1071"/>
        <v xml:space="preserve">N887QR  </v>
      </c>
      <c r="BE2954">
        <v>1</v>
      </c>
      <c r="BG2954">
        <v>0</v>
      </c>
      <c r="BH2954">
        <v>0</v>
      </c>
      <c r="BI2954">
        <v>0</v>
      </c>
      <c r="BJ2954">
        <v>3300</v>
      </c>
      <c r="BK2954">
        <v>-300</v>
      </c>
      <c r="BL2954" t="s">
        <v>163</v>
      </c>
      <c r="BM2954">
        <v>1</v>
      </c>
      <c r="BN2954">
        <v>1</v>
      </c>
      <c r="BO2954">
        <v>1</v>
      </c>
      <c r="BP2954">
        <v>0</v>
      </c>
      <c r="BS2954">
        <v>0</v>
      </c>
      <c r="BT2954">
        <v>0</v>
      </c>
      <c r="BU2954">
        <v>0</v>
      </c>
      <c r="CE2954" t="str">
        <f t="shared" si="1073"/>
        <v>19:33:26.823</v>
      </c>
      <c r="CF2954">
        <v>823424354</v>
      </c>
      <c r="CS2954">
        <v>0</v>
      </c>
      <c r="CT2954">
        <v>2</v>
      </c>
      <c r="CU2954">
        <v>0</v>
      </c>
      <c r="CV2954">
        <v>2</v>
      </c>
      <c r="CW2954">
        <v>1</v>
      </c>
      <c r="CX2954">
        <v>2</v>
      </c>
      <c r="CY2954">
        <v>7</v>
      </c>
      <c r="CZ2954" t="s">
        <v>131</v>
      </c>
      <c r="DA2954">
        <v>286</v>
      </c>
      <c r="DB2954">
        <v>0</v>
      </c>
      <c r="DC2954" t="s">
        <v>132</v>
      </c>
      <c r="DD2954" t="s">
        <v>133</v>
      </c>
      <c r="DG2954">
        <v>859722</v>
      </c>
      <c r="DI2954">
        <v>1</v>
      </c>
      <c r="DJ2954">
        <v>0</v>
      </c>
      <c r="DK2954">
        <v>1</v>
      </c>
      <c r="DL2954">
        <v>0</v>
      </c>
      <c r="DM2954">
        <v>0</v>
      </c>
      <c r="DN2954">
        <v>1</v>
      </c>
      <c r="DO2954">
        <v>0</v>
      </c>
      <c r="DP2954">
        <v>0</v>
      </c>
      <c r="DQ2954">
        <v>0</v>
      </c>
      <c r="DR2954">
        <v>0</v>
      </c>
      <c r="DS2954">
        <v>0</v>
      </c>
    </row>
    <row r="2955" spans="1:123" x14ac:dyDescent="0.3">
      <c r="A2955" t="str">
        <f t="shared" si="1072"/>
        <v>10/04/2022 19:33:27.041</v>
      </c>
      <c r="C2955" t="str">
        <f t="shared" si="1060"/>
        <v>FFDFD3C0</v>
      </c>
      <c r="D2955" t="s">
        <v>136</v>
      </c>
      <c r="E2955">
        <v>8</v>
      </c>
      <c r="H2955">
        <v>225</v>
      </c>
      <c r="I2955" t="s">
        <v>137</v>
      </c>
      <c r="J2955" t="s">
        <v>138</v>
      </c>
      <c r="K2955">
        <v>0</v>
      </c>
      <c r="L2955">
        <v>3</v>
      </c>
      <c r="M2955">
        <v>0</v>
      </c>
      <c r="N2955">
        <v>2</v>
      </c>
      <c r="O2955">
        <v>0</v>
      </c>
      <c r="P2955">
        <v>1</v>
      </c>
      <c r="Q2955">
        <v>0</v>
      </c>
      <c r="S2955" t="str">
        <f t="shared" si="1068"/>
        <v>19:33:26.000</v>
      </c>
      <c r="T2955" t="str">
        <f t="shared" si="1068"/>
        <v>19:33:26.000</v>
      </c>
      <c r="U2955" t="str">
        <f t="shared" si="1070"/>
        <v>AC3944</v>
      </c>
      <c r="V2955">
        <v>0</v>
      </c>
      <c r="W2955">
        <v>0</v>
      </c>
      <c r="X2955">
        <v>2</v>
      </c>
      <c r="Y2955">
        <v>0</v>
      </c>
      <c r="AA2955">
        <v>1</v>
      </c>
      <c r="AB2955">
        <v>8</v>
      </c>
      <c r="AC2955">
        <v>3</v>
      </c>
      <c r="AD2955">
        <v>0</v>
      </c>
      <c r="AE2955">
        <v>9</v>
      </c>
      <c r="AF2955" t="s">
        <v>138</v>
      </c>
      <c r="AG2955">
        <v>0</v>
      </c>
      <c r="AH2955">
        <v>3</v>
      </c>
      <c r="AI2955">
        <v>1</v>
      </c>
      <c r="AJ2955">
        <v>0</v>
      </c>
      <c r="AK2955" t="s">
        <v>994</v>
      </c>
      <c r="AL2955">
        <v>32.722113</v>
      </c>
      <c r="AM2955" t="s">
        <v>995</v>
      </c>
      <c r="AN2955">
        <v>-116.752481</v>
      </c>
      <c r="AO2955">
        <v>25</v>
      </c>
      <c r="AP2955">
        <v>3600</v>
      </c>
      <c r="AQ2955" t="s">
        <v>129</v>
      </c>
      <c r="AR2955">
        <v>-95</v>
      </c>
      <c r="AS2955">
        <v>-106</v>
      </c>
      <c r="AT2955">
        <v>-704</v>
      </c>
      <c r="BB2955">
        <v>1200</v>
      </c>
      <c r="BC2955">
        <v>1</v>
      </c>
      <c r="BD2955" t="str">
        <f t="shared" si="1071"/>
        <v xml:space="preserve">N887QR  </v>
      </c>
      <c r="BE2955">
        <v>1</v>
      </c>
      <c r="BG2955">
        <v>0</v>
      </c>
      <c r="BH2955">
        <v>0</v>
      </c>
      <c r="BI2955">
        <v>0</v>
      </c>
      <c r="BJ2955">
        <v>3300</v>
      </c>
      <c r="BK2955">
        <v>-300</v>
      </c>
      <c r="BL2955" t="s">
        <v>163</v>
      </c>
      <c r="BM2955">
        <v>1</v>
      </c>
      <c r="BN2955">
        <v>1</v>
      </c>
      <c r="BO2955">
        <v>1</v>
      </c>
      <c r="BP2955">
        <v>0</v>
      </c>
      <c r="BS2955">
        <v>0</v>
      </c>
      <c r="BT2955">
        <v>0</v>
      </c>
      <c r="BU2955">
        <v>0</v>
      </c>
      <c r="CE2955" t="str">
        <f t="shared" si="1073"/>
        <v>19:33:26.823</v>
      </c>
      <c r="CF2955">
        <v>823424354</v>
      </c>
      <c r="CS2955">
        <v>0</v>
      </c>
      <c r="CT2955">
        <v>2</v>
      </c>
      <c r="CU2955">
        <v>0</v>
      </c>
      <c r="CV2955">
        <v>2</v>
      </c>
      <c r="CW2955">
        <v>1</v>
      </c>
      <c r="CX2955">
        <v>2</v>
      </c>
      <c r="CY2955">
        <v>7</v>
      </c>
      <c r="CZ2955" t="s">
        <v>131</v>
      </c>
      <c r="DA2955">
        <v>286</v>
      </c>
      <c r="DB2955">
        <v>0</v>
      </c>
      <c r="DC2955" t="s">
        <v>132</v>
      </c>
      <c r="DD2955" t="s">
        <v>133</v>
      </c>
      <c r="DG2955">
        <v>859722</v>
      </c>
      <c r="DI2955">
        <v>1</v>
      </c>
      <c r="DJ2955">
        <v>0</v>
      </c>
      <c r="DK2955">
        <v>1</v>
      </c>
      <c r="DL2955">
        <v>0</v>
      </c>
      <c r="DM2955">
        <v>0</v>
      </c>
      <c r="DN2955">
        <v>1</v>
      </c>
      <c r="DO2955">
        <v>0</v>
      </c>
      <c r="DP2955">
        <v>0</v>
      </c>
      <c r="DQ2955">
        <v>0</v>
      </c>
      <c r="DR2955">
        <v>0</v>
      </c>
      <c r="DS2955">
        <v>0</v>
      </c>
    </row>
    <row r="2956" spans="1:123" x14ac:dyDescent="0.3">
      <c r="A2956" t="str">
        <f t="shared" si="1072"/>
        <v>10/04/2022 19:33:27.041</v>
      </c>
      <c r="C2956" t="str">
        <f t="shared" si="1060"/>
        <v>FFDFD3C0</v>
      </c>
      <c r="D2956" t="s">
        <v>123</v>
      </c>
      <c r="E2956">
        <v>7</v>
      </c>
      <c r="F2956">
        <v>2007</v>
      </c>
      <c r="G2956" t="s">
        <v>124</v>
      </c>
      <c r="J2956" t="s">
        <v>125</v>
      </c>
      <c r="K2956">
        <v>0</v>
      </c>
      <c r="L2956">
        <v>3</v>
      </c>
      <c r="M2956">
        <v>0</v>
      </c>
      <c r="N2956">
        <v>2</v>
      </c>
      <c r="O2956">
        <v>0</v>
      </c>
      <c r="P2956">
        <v>1</v>
      </c>
      <c r="Q2956">
        <v>0</v>
      </c>
      <c r="S2956" t="str">
        <f t="shared" si="1068"/>
        <v>19:33:26.000</v>
      </c>
      <c r="T2956" t="str">
        <f t="shared" si="1068"/>
        <v>19:33:26.000</v>
      </c>
      <c r="U2956" t="str">
        <f t="shared" si="1070"/>
        <v>AC3944</v>
      </c>
      <c r="V2956">
        <v>0</v>
      </c>
      <c r="W2956">
        <v>0</v>
      </c>
      <c r="X2956">
        <v>2</v>
      </c>
      <c r="Y2956">
        <v>0</v>
      </c>
      <c r="AA2956">
        <v>1</v>
      </c>
      <c r="AB2956">
        <v>8</v>
      </c>
      <c r="AC2956">
        <v>3</v>
      </c>
      <c r="AD2956">
        <v>0</v>
      </c>
      <c r="AE2956">
        <v>9</v>
      </c>
      <c r="AF2956" t="s">
        <v>138</v>
      </c>
      <c r="AG2956">
        <v>0</v>
      </c>
      <c r="AH2956">
        <v>3</v>
      </c>
      <c r="AI2956">
        <v>1</v>
      </c>
      <c r="AJ2956">
        <v>0</v>
      </c>
      <c r="AK2956" t="s">
        <v>994</v>
      </c>
      <c r="AL2956">
        <v>32.722113</v>
      </c>
      <c r="AM2956" t="s">
        <v>995</v>
      </c>
      <c r="AN2956">
        <v>-116.752481</v>
      </c>
      <c r="AO2956">
        <v>25</v>
      </c>
      <c r="AP2956">
        <v>3600</v>
      </c>
      <c r="AQ2956" t="s">
        <v>129</v>
      </c>
      <c r="AR2956">
        <v>-95</v>
      </c>
      <c r="AS2956">
        <v>-106</v>
      </c>
      <c r="AT2956">
        <v>-704</v>
      </c>
      <c r="BB2956">
        <v>1200</v>
      </c>
      <c r="BC2956">
        <v>1</v>
      </c>
      <c r="BD2956" t="str">
        <f t="shared" si="1071"/>
        <v xml:space="preserve">N887QR  </v>
      </c>
      <c r="BE2956">
        <v>1</v>
      </c>
      <c r="BG2956">
        <v>0</v>
      </c>
      <c r="BH2956">
        <v>0</v>
      </c>
      <c r="BI2956">
        <v>0</v>
      </c>
      <c r="BJ2956">
        <v>3300</v>
      </c>
      <c r="BK2956">
        <v>-300</v>
      </c>
      <c r="BL2956" t="s">
        <v>163</v>
      </c>
      <c r="BM2956">
        <v>1</v>
      </c>
      <c r="BN2956">
        <v>1</v>
      </c>
      <c r="BO2956">
        <v>1</v>
      </c>
      <c r="BP2956">
        <v>0</v>
      </c>
      <c r="BS2956">
        <v>0</v>
      </c>
      <c r="BT2956">
        <v>0</v>
      </c>
      <c r="BU2956">
        <v>0</v>
      </c>
      <c r="CE2956" t="str">
        <f t="shared" si="1073"/>
        <v>19:33:26.823</v>
      </c>
      <c r="CF2956">
        <v>823424354</v>
      </c>
      <c r="CS2956">
        <v>0</v>
      </c>
      <c r="CT2956">
        <v>2</v>
      </c>
      <c r="CU2956">
        <v>0</v>
      </c>
      <c r="CV2956">
        <v>2</v>
      </c>
      <c r="CW2956">
        <v>1</v>
      </c>
      <c r="CX2956">
        <v>2</v>
      </c>
      <c r="CY2956">
        <v>7</v>
      </c>
      <c r="CZ2956" t="s">
        <v>131</v>
      </c>
      <c r="DA2956">
        <v>286</v>
      </c>
      <c r="DB2956">
        <v>0</v>
      </c>
      <c r="DC2956" t="s">
        <v>132</v>
      </c>
      <c r="DD2956" t="s">
        <v>133</v>
      </c>
      <c r="DG2956">
        <v>859722</v>
      </c>
      <c r="DI2956">
        <v>1</v>
      </c>
      <c r="DJ2956">
        <v>0</v>
      </c>
      <c r="DK2956">
        <v>1</v>
      </c>
      <c r="DL2956">
        <v>0</v>
      </c>
      <c r="DM2956">
        <v>0</v>
      </c>
      <c r="DN2956">
        <v>1</v>
      </c>
      <c r="DO2956">
        <v>0</v>
      </c>
      <c r="DP2956">
        <v>0</v>
      </c>
      <c r="DQ2956">
        <v>0</v>
      </c>
      <c r="DR2956">
        <v>0</v>
      </c>
      <c r="DS2956">
        <v>0</v>
      </c>
    </row>
    <row r="2957" spans="1:123" x14ac:dyDescent="0.3">
      <c r="A2957" t="str">
        <f t="shared" ref="A2957:A2963" si="1074">"10/04/2022 19:33:28.088"</f>
        <v>10/04/2022 19:33:28.088</v>
      </c>
      <c r="C2957" t="str">
        <f t="shared" si="1060"/>
        <v>FFDFD3C0</v>
      </c>
      <c r="D2957" t="s">
        <v>141</v>
      </c>
      <c r="E2957">
        <v>3</v>
      </c>
      <c r="H2957">
        <v>3</v>
      </c>
      <c r="I2957" t="s">
        <v>146</v>
      </c>
      <c r="J2957" t="s">
        <v>138</v>
      </c>
      <c r="K2957">
        <v>0</v>
      </c>
      <c r="L2957">
        <v>3</v>
      </c>
      <c r="M2957">
        <v>0</v>
      </c>
      <c r="N2957">
        <v>2</v>
      </c>
      <c r="O2957">
        <v>0</v>
      </c>
      <c r="P2957">
        <v>1</v>
      </c>
      <c r="Q2957">
        <v>0</v>
      </c>
      <c r="S2957" t="str">
        <f t="shared" ref="S2957:T2963" si="1075">"19:33:27.000"</f>
        <v>19:33:27.000</v>
      </c>
      <c r="T2957" t="str">
        <f t="shared" si="1075"/>
        <v>19:33:27.000</v>
      </c>
      <c r="U2957" t="str">
        <f t="shared" si="1070"/>
        <v>AC3944</v>
      </c>
      <c r="V2957">
        <v>0</v>
      </c>
      <c r="W2957">
        <v>0</v>
      </c>
      <c r="X2957">
        <v>2</v>
      </c>
      <c r="Y2957">
        <v>0</v>
      </c>
      <c r="AA2957">
        <v>1</v>
      </c>
      <c r="AB2957">
        <v>8</v>
      </c>
      <c r="AC2957">
        <v>3</v>
      </c>
      <c r="AD2957">
        <v>0</v>
      </c>
      <c r="AE2957">
        <v>9</v>
      </c>
      <c r="AF2957" t="s">
        <v>138</v>
      </c>
      <c r="AG2957">
        <v>0</v>
      </c>
      <c r="AH2957">
        <v>3</v>
      </c>
      <c r="AI2957">
        <v>1</v>
      </c>
      <c r="AJ2957">
        <v>0</v>
      </c>
      <c r="AK2957" t="s">
        <v>996</v>
      </c>
      <c r="AL2957">
        <v>32.721620000000001</v>
      </c>
      <c r="AM2957" t="s">
        <v>997</v>
      </c>
      <c r="AN2957">
        <v>-116.753039</v>
      </c>
      <c r="AO2957">
        <v>25</v>
      </c>
      <c r="AP2957">
        <v>3600</v>
      </c>
      <c r="AQ2957" t="s">
        <v>129</v>
      </c>
      <c r="AR2957">
        <v>-103</v>
      </c>
      <c r="AS2957">
        <v>-100</v>
      </c>
      <c r="AT2957">
        <v>-704</v>
      </c>
      <c r="BB2957">
        <v>1200</v>
      </c>
      <c r="BC2957">
        <v>1</v>
      </c>
      <c r="BD2957" t="str">
        <f t="shared" si="1071"/>
        <v xml:space="preserve">N887QR  </v>
      </c>
      <c r="BE2957">
        <v>1</v>
      </c>
      <c r="BG2957">
        <v>0</v>
      </c>
      <c r="BH2957">
        <v>0</v>
      </c>
      <c r="BI2957">
        <v>0</v>
      </c>
      <c r="BJ2957">
        <v>3275</v>
      </c>
      <c r="BK2957">
        <v>-325</v>
      </c>
      <c r="BL2957" t="s">
        <v>163</v>
      </c>
      <c r="BM2957">
        <v>1</v>
      </c>
      <c r="BN2957">
        <v>1</v>
      </c>
      <c r="BO2957">
        <v>1</v>
      </c>
      <c r="BP2957">
        <v>0</v>
      </c>
      <c r="BS2957">
        <v>0</v>
      </c>
      <c r="BT2957">
        <v>0</v>
      </c>
      <c r="BU2957">
        <v>0</v>
      </c>
      <c r="CE2957" t="str">
        <f t="shared" ref="CE2957:CE2963" si="1076">"19:33:27.848"</f>
        <v>19:33:27.848</v>
      </c>
      <c r="CF2957">
        <v>847927366</v>
      </c>
      <c r="CS2957">
        <v>0</v>
      </c>
      <c r="CT2957">
        <v>2</v>
      </c>
      <c r="CU2957">
        <v>0</v>
      </c>
      <c r="CV2957">
        <v>2</v>
      </c>
      <c r="CW2957">
        <v>0</v>
      </c>
      <c r="CX2957">
        <v>2</v>
      </c>
      <c r="CY2957">
        <v>7</v>
      </c>
      <c r="CZ2957" t="s">
        <v>131</v>
      </c>
      <c r="DA2957">
        <v>286</v>
      </c>
      <c r="DB2957">
        <v>0</v>
      </c>
      <c r="DC2957" t="s">
        <v>132</v>
      </c>
      <c r="DD2957" t="s">
        <v>133</v>
      </c>
      <c r="DG2957">
        <v>859960</v>
      </c>
      <c r="DI2957">
        <v>1</v>
      </c>
      <c r="DJ2957">
        <v>0</v>
      </c>
      <c r="DK2957">
        <v>0</v>
      </c>
      <c r="DL2957">
        <v>0</v>
      </c>
      <c r="DM2957">
        <v>0</v>
      </c>
      <c r="DN2957">
        <v>1</v>
      </c>
      <c r="DO2957">
        <v>0</v>
      </c>
      <c r="DP2957">
        <v>0</v>
      </c>
      <c r="DQ2957">
        <v>0</v>
      </c>
      <c r="DR2957">
        <v>0</v>
      </c>
      <c r="DS2957">
        <v>0</v>
      </c>
    </row>
    <row r="2958" spans="1:123" x14ac:dyDescent="0.3">
      <c r="A2958" t="str">
        <f t="shared" si="1074"/>
        <v>10/04/2022 19:33:28.088</v>
      </c>
      <c r="C2958" t="str">
        <f t="shared" si="1060"/>
        <v>FFDFD3C0</v>
      </c>
      <c r="D2958" t="s">
        <v>143</v>
      </c>
      <c r="E2958">
        <v>20</v>
      </c>
      <c r="F2958">
        <v>1020</v>
      </c>
      <c r="G2958" t="s">
        <v>144</v>
      </c>
      <c r="J2958" t="s">
        <v>145</v>
      </c>
      <c r="K2958">
        <v>0</v>
      </c>
      <c r="L2958">
        <v>3</v>
      </c>
      <c r="M2958">
        <v>0</v>
      </c>
      <c r="N2958">
        <v>2</v>
      </c>
      <c r="O2958">
        <v>0</v>
      </c>
      <c r="P2958">
        <v>1</v>
      </c>
      <c r="Q2958">
        <v>0</v>
      </c>
      <c r="S2958" t="str">
        <f t="shared" si="1075"/>
        <v>19:33:27.000</v>
      </c>
      <c r="T2958" t="str">
        <f t="shared" si="1075"/>
        <v>19:33:27.000</v>
      </c>
      <c r="U2958" t="str">
        <f t="shared" si="1070"/>
        <v>AC3944</v>
      </c>
      <c r="V2958">
        <v>0</v>
      </c>
      <c r="W2958">
        <v>0</v>
      </c>
      <c r="X2958">
        <v>2</v>
      </c>
      <c r="Y2958">
        <v>0</v>
      </c>
      <c r="AA2958">
        <v>1</v>
      </c>
      <c r="AB2958">
        <v>8</v>
      </c>
      <c r="AC2958">
        <v>3</v>
      </c>
      <c r="AD2958">
        <v>0</v>
      </c>
      <c r="AE2958">
        <v>9</v>
      </c>
      <c r="AF2958" t="s">
        <v>138</v>
      </c>
      <c r="AG2958">
        <v>0</v>
      </c>
      <c r="AH2958">
        <v>3</v>
      </c>
      <c r="AI2958">
        <v>1</v>
      </c>
      <c r="AJ2958">
        <v>0</v>
      </c>
      <c r="AK2958" t="s">
        <v>996</v>
      </c>
      <c r="AL2958">
        <v>32.721620000000001</v>
      </c>
      <c r="AM2958" t="s">
        <v>997</v>
      </c>
      <c r="AN2958">
        <v>-116.753039</v>
      </c>
      <c r="AO2958">
        <v>25</v>
      </c>
      <c r="AP2958">
        <v>3600</v>
      </c>
      <c r="AQ2958" t="s">
        <v>129</v>
      </c>
      <c r="AR2958">
        <v>-103</v>
      </c>
      <c r="AS2958">
        <v>-100</v>
      </c>
      <c r="AT2958">
        <v>-704</v>
      </c>
      <c r="BB2958">
        <v>1200</v>
      </c>
      <c r="BC2958">
        <v>1</v>
      </c>
      <c r="BD2958" t="str">
        <f t="shared" si="1071"/>
        <v xml:space="preserve">N887QR  </v>
      </c>
      <c r="BE2958">
        <v>1</v>
      </c>
      <c r="BG2958">
        <v>0</v>
      </c>
      <c r="BH2958">
        <v>0</v>
      </c>
      <c r="BI2958">
        <v>0</v>
      </c>
      <c r="BJ2958">
        <v>3275</v>
      </c>
      <c r="BK2958">
        <v>-325</v>
      </c>
      <c r="BL2958" t="s">
        <v>163</v>
      </c>
      <c r="BM2958">
        <v>1</v>
      </c>
      <c r="BN2958">
        <v>1</v>
      </c>
      <c r="BO2958">
        <v>1</v>
      </c>
      <c r="BP2958">
        <v>0</v>
      </c>
      <c r="BS2958">
        <v>0</v>
      </c>
      <c r="BT2958">
        <v>0</v>
      </c>
      <c r="BU2958">
        <v>0</v>
      </c>
      <c r="CE2958" t="str">
        <f t="shared" si="1076"/>
        <v>19:33:27.848</v>
      </c>
      <c r="CF2958">
        <v>847927366</v>
      </c>
      <c r="CS2958">
        <v>0</v>
      </c>
      <c r="CT2958">
        <v>2</v>
      </c>
      <c r="CU2958">
        <v>0</v>
      </c>
      <c r="CV2958">
        <v>2</v>
      </c>
      <c r="CW2958">
        <v>0</v>
      </c>
      <c r="CX2958">
        <v>2</v>
      </c>
      <c r="CY2958">
        <v>7</v>
      </c>
      <c r="CZ2958" t="s">
        <v>131</v>
      </c>
      <c r="DA2958">
        <v>286</v>
      </c>
      <c r="DB2958">
        <v>0</v>
      </c>
      <c r="DC2958" t="s">
        <v>132</v>
      </c>
      <c r="DD2958" t="s">
        <v>133</v>
      </c>
      <c r="DG2958">
        <v>859960</v>
      </c>
      <c r="DI2958">
        <v>1</v>
      </c>
      <c r="DJ2958">
        <v>0</v>
      </c>
      <c r="DK2958">
        <v>1</v>
      </c>
      <c r="DL2958">
        <v>0</v>
      </c>
      <c r="DM2958">
        <v>0</v>
      </c>
      <c r="DN2958">
        <v>1</v>
      </c>
      <c r="DO2958">
        <v>0</v>
      </c>
      <c r="DP2958">
        <v>0</v>
      </c>
      <c r="DQ2958">
        <v>0</v>
      </c>
      <c r="DR2958">
        <v>0</v>
      </c>
      <c r="DS2958">
        <v>0</v>
      </c>
    </row>
    <row r="2959" spans="1:123" x14ac:dyDescent="0.3">
      <c r="A2959" t="str">
        <f t="shared" si="1074"/>
        <v>10/04/2022 19:33:28.088</v>
      </c>
      <c r="C2959" t="str">
        <f t="shared" si="1060"/>
        <v>FFDFD3C0</v>
      </c>
      <c r="D2959" t="s">
        <v>147</v>
      </c>
      <c r="E2959">
        <v>3</v>
      </c>
      <c r="H2959">
        <v>166</v>
      </c>
      <c r="I2959" t="s">
        <v>144</v>
      </c>
      <c r="J2959" t="s">
        <v>148</v>
      </c>
      <c r="K2959">
        <v>0</v>
      </c>
      <c r="L2959">
        <v>3</v>
      </c>
      <c r="M2959">
        <v>0</v>
      </c>
      <c r="N2959">
        <v>2</v>
      </c>
      <c r="O2959">
        <v>0</v>
      </c>
      <c r="P2959">
        <v>1</v>
      </c>
      <c r="Q2959">
        <v>0</v>
      </c>
      <c r="S2959" t="str">
        <f t="shared" si="1075"/>
        <v>19:33:27.000</v>
      </c>
      <c r="T2959" t="str">
        <f t="shared" si="1075"/>
        <v>19:33:27.000</v>
      </c>
      <c r="U2959" t="str">
        <f t="shared" si="1070"/>
        <v>AC3944</v>
      </c>
      <c r="V2959">
        <v>0</v>
      </c>
      <c r="W2959">
        <v>0</v>
      </c>
      <c r="X2959">
        <v>2</v>
      </c>
      <c r="Y2959">
        <v>0</v>
      </c>
      <c r="AA2959">
        <v>1</v>
      </c>
      <c r="AB2959">
        <v>8</v>
      </c>
      <c r="AC2959">
        <v>3</v>
      </c>
      <c r="AD2959">
        <v>0</v>
      </c>
      <c r="AE2959">
        <v>9</v>
      </c>
      <c r="AF2959" t="s">
        <v>138</v>
      </c>
      <c r="AG2959">
        <v>0</v>
      </c>
      <c r="AH2959">
        <v>3</v>
      </c>
      <c r="AI2959">
        <v>1</v>
      </c>
      <c r="AJ2959">
        <v>0</v>
      </c>
      <c r="AK2959" t="s">
        <v>996</v>
      </c>
      <c r="AL2959">
        <v>32.721620000000001</v>
      </c>
      <c r="AM2959" t="s">
        <v>997</v>
      </c>
      <c r="AN2959">
        <v>-116.753039</v>
      </c>
      <c r="AO2959">
        <v>25</v>
      </c>
      <c r="AP2959">
        <v>3600</v>
      </c>
      <c r="AQ2959" t="s">
        <v>129</v>
      </c>
      <c r="AR2959">
        <v>-103</v>
      </c>
      <c r="AS2959">
        <v>-100</v>
      </c>
      <c r="AT2959">
        <v>-704</v>
      </c>
      <c r="BB2959">
        <v>1200</v>
      </c>
      <c r="BC2959">
        <v>1</v>
      </c>
      <c r="BD2959" t="str">
        <f t="shared" si="1071"/>
        <v xml:space="preserve">N887QR  </v>
      </c>
      <c r="BE2959">
        <v>1</v>
      </c>
      <c r="BG2959">
        <v>0</v>
      </c>
      <c r="BH2959">
        <v>0</v>
      </c>
      <c r="BI2959">
        <v>0</v>
      </c>
      <c r="BJ2959">
        <v>3275</v>
      </c>
      <c r="BK2959">
        <v>-325</v>
      </c>
      <c r="BL2959" t="s">
        <v>163</v>
      </c>
      <c r="BM2959">
        <v>1</v>
      </c>
      <c r="BN2959">
        <v>1</v>
      </c>
      <c r="BO2959">
        <v>1</v>
      </c>
      <c r="BP2959">
        <v>0</v>
      </c>
      <c r="BS2959">
        <v>0</v>
      </c>
      <c r="BT2959">
        <v>0</v>
      </c>
      <c r="BU2959">
        <v>0</v>
      </c>
      <c r="CE2959" t="str">
        <f t="shared" si="1076"/>
        <v>19:33:27.848</v>
      </c>
      <c r="CF2959">
        <v>847927366</v>
      </c>
      <c r="CS2959">
        <v>0</v>
      </c>
      <c r="CT2959">
        <v>2</v>
      </c>
      <c r="CU2959">
        <v>0</v>
      </c>
      <c r="CV2959">
        <v>2</v>
      </c>
      <c r="CW2959">
        <v>0</v>
      </c>
      <c r="CX2959">
        <v>2</v>
      </c>
      <c r="CY2959">
        <v>7</v>
      </c>
      <c r="CZ2959" t="s">
        <v>131</v>
      </c>
      <c r="DA2959">
        <v>286</v>
      </c>
      <c r="DB2959">
        <v>0</v>
      </c>
      <c r="DC2959" t="s">
        <v>132</v>
      </c>
      <c r="DD2959" t="s">
        <v>133</v>
      </c>
      <c r="DG2959">
        <v>859960</v>
      </c>
      <c r="DI2959">
        <v>1</v>
      </c>
      <c r="DJ2959">
        <v>0</v>
      </c>
      <c r="DK2959">
        <v>1</v>
      </c>
      <c r="DL2959">
        <v>0</v>
      </c>
      <c r="DM2959">
        <v>0</v>
      </c>
      <c r="DN2959">
        <v>1</v>
      </c>
      <c r="DO2959">
        <v>0</v>
      </c>
      <c r="DP2959">
        <v>0</v>
      </c>
      <c r="DQ2959">
        <v>0</v>
      </c>
      <c r="DR2959">
        <v>0</v>
      </c>
      <c r="DS2959">
        <v>0</v>
      </c>
    </row>
    <row r="2960" spans="1:123" x14ac:dyDescent="0.3">
      <c r="A2960" t="str">
        <f t="shared" si="1074"/>
        <v>10/04/2022 19:33:28.088</v>
      </c>
      <c r="C2960" t="str">
        <f t="shared" si="1060"/>
        <v>FFDFD3C0</v>
      </c>
      <c r="D2960" t="s">
        <v>123</v>
      </c>
      <c r="E2960">
        <v>7</v>
      </c>
      <c r="F2960">
        <v>2007</v>
      </c>
      <c r="G2960" t="s">
        <v>124</v>
      </c>
      <c r="J2960" t="s">
        <v>125</v>
      </c>
      <c r="K2960">
        <v>0</v>
      </c>
      <c r="L2960">
        <v>3</v>
      </c>
      <c r="M2960">
        <v>0</v>
      </c>
      <c r="N2960">
        <v>2</v>
      </c>
      <c r="O2960">
        <v>0</v>
      </c>
      <c r="P2960">
        <v>1</v>
      </c>
      <c r="Q2960">
        <v>0</v>
      </c>
      <c r="S2960" t="str">
        <f t="shared" si="1075"/>
        <v>19:33:27.000</v>
      </c>
      <c r="T2960" t="str">
        <f t="shared" si="1075"/>
        <v>19:33:27.000</v>
      </c>
      <c r="U2960" t="str">
        <f t="shared" si="1070"/>
        <v>AC3944</v>
      </c>
      <c r="V2960">
        <v>0</v>
      </c>
      <c r="W2960">
        <v>0</v>
      </c>
      <c r="X2960">
        <v>2</v>
      </c>
      <c r="Y2960">
        <v>0</v>
      </c>
      <c r="AA2960">
        <v>1</v>
      </c>
      <c r="AB2960">
        <v>8</v>
      </c>
      <c r="AC2960">
        <v>3</v>
      </c>
      <c r="AD2960">
        <v>0</v>
      </c>
      <c r="AE2960">
        <v>9</v>
      </c>
      <c r="AF2960" t="s">
        <v>138</v>
      </c>
      <c r="AG2960">
        <v>0</v>
      </c>
      <c r="AH2960">
        <v>3</v>
      </c>
      <c r="AI2960">
        <v>1</v>
      </c>
      <c r="AJ2960">
        <v>0</v>
      </c>
      <c r="AK2960" t="s">
        <v>996</v>
      </c>
      <c r="AL2960">
        <v>32.721620000000001</v>
      </c>
      <c r="AM2960" t="s">
        <v>997</v>
      </c>
      <c r="AN2960">
        <v>-116.753039</v>
      </c>
      <c r="AO2960">
        <v>25</v>
      </c>
      <c r="AP2960">
        <v>3600</v>
      </c>
      <c r="AQ2960" t="s">
        <v>129</v>
      </c>
      <c r="AR2960">
        <v>-103</v>
      </c>
      <c r="AS2960">
        <v>-100</v>
      </c>
      <c r="AT2960">
        <v>-704</v>
      </c>
      <c r="BB2960">
        <v>1200</v>
      </c>
      <c r="BC2960">
        <v>1</v>
      </c>
      <c r="BD2960" t="str">
        <f t="shared" si="1071"/>
        <v xml:space="preserve">N887QR  </v>
      </c>
      <c r="BE2960">
        <v>1</v>
      </c>
      <c r="BG2960">
        <v>0</v>
      </c>
      <c r="BH2960">
        <v>0</v>
      </c>
      <c r="BI2960">
        <v>0</v>
      </c>
      <c r="BJ2960">
        <v>3275</v>
      </c>
      <c r="BK2960">
        <v>-325</v>
      </c>
      <c r="BL2960" t="s">
        <v>163</v>
      </c>
      <c r="BM2960">
        <v>1</v>
      </c>
      <c r="BN2960">
        <v>1</v>
      </c>
      <c r="BO2960">
        <v>1</v>
      </c>
      <c r="BP2960">
        <v>0</v>
      </c>
      <c r="BS2960">
        <v>0</v>
      </c>
      <c r="BT2960">
        <v>0</v>
      </c>
      <c r="BU2960">
        <v>0</v>
      </c>
      <c r="CE2960" t="str">
        <f t="shared" si="1076"/>
        <v>19:33:27.848</v>
      </c>
      <c r="CF2960">
        <v>847927366</v>
      </c>
      <c r="CS2960">
        <v>0</v>
      </c>
      <c r="CT2960">
        <v>2</v>
      </c>
      <c r="CU2960">
        <v>0</v>
      </c>
      <c r="CV2960">
        <v>2</v>
      </c>
      <c r="CW2960">
        <v>0</v>
      </c>
      <c r="CX2960">
        <v>2</v>
      </c>
      <c r="CY2960">
        <v>7</v>
      </c>
      <c r="CZ2960" t="s">
        <v>131</v>
      </c>
      <c r="DA2960">
        <v>286</v>
      </c>
      <c r="DB2960">
        <v>0</v>
      </c>
      <c r="DC2960" t="s">
        <v>132</v>
      </c>
      <c r="DD2960" t="s">
        <v>133</v>
      </c>
      <c r="DG2960">
        <v>859960</v>
      </c>
      <c r="DI2960">
        <v>1</v>
      </c>
      <c r="DJ2960">
        <v>0</v>
      </c>
      <c r="DK2960">
        <v>1</v>
      </c>
      <c r="DL2960">
        <v>0</v>
      </c>
      <c r="DM2960">
        <v>0</v>
      </c>
      <c r="DN2960">
        <v>1</v>
      </c>
      <c r="DO2960">
        <v>0</v>
      </c>
      <c r="DP2960">
        <v>0</v>
      </c>
      <c r="DQ2960">
        <v>0</v>
      </c>
      <c r="DR2960">
        <v>0</v>
      </c>
      <c r="DS2960">
        <v>0</v>
      </c>
    </row>
    <row r="2961" spans="1:123" x14ac:dyDescent="0.3">
      <c r="A2961" t="str">
        <f t="shared" si="1074"/>
        <v>10/04/2022 19:33:28.088</v>
      </c>
      <c r="C2961" t="str">
        <f t="shared" si="1060"/>
        <v>FFDFD3C0</v>
      </c>
      <c r="D2961" t="s">
        <v>136</v>
      </c>
      <c r="E2961">
        <v>8</v>
      </c>
      <c r="H2961">
        <v>225</v>
      </c>
      <c r="I2961" t="s">
        <v>137</v>
      </c>
      <c r="J2961" t="s">
        <v>138</v>
      </c>
      <c r="K2961">
        <v>0</v>
      </c>
      <c r="L2961">
        <v>3</v>
      </c>
      <c r="M2961">
        <v>0</v>
      </c>
      <c r="N2961">
        <v>2</v>
      </c>
      <c r="O2961">
        <v>0</v>
      </c>
      <c r="P2961">
        <v>1</v>
      </c>
      <c r="Q2961">
        <v>0</v>
      </c>
      <c r="S2961" t="str">
        <f t="shared" si="1075"/>
        <v>19:33:27.000</v>
      </c>
      <c r="T2961" t="str">
        <f t="shared" si="1075"/>
        <v>19:33:27.000</v>
      </c>
      <c r="U2961" t="str">
        <f t="shared" si="1070"/>
        <v>AC3944</v>
      </c>
      <c r="V2961">
        <v>0</v>
      </c>
      <c r="W2961">
        <v>0</v>
      </c>
      <c r="X2961">
        <v>2</v>
      </c>
      <c r="Y2961">
        <v>0</v>
      </c>
      <c r="AA2961">
        <v>1</v>
      </c>
      <c r="AB2961">
        <v>8</v>
      </c>
      <c r="AC2961">
        <v>3</v>
      </c>
      <c r="AD2961">
        <v>0</v>
      </c>
      <c r="AE2961">
        <v>9</v>
      </c>
      <c r="AF2961" t="s">
        <v>138</v>
      </c>
      <c r="AG2961">
        <v>0</v>
      </c>
      <c r="AH2961">
        <v>3</v>
      </c>
      <c r="AI2961">
        <v>1</v>
      </c>
      <c r="AJ2961">
        <v>0</v>
      </c>
      <c r="AK2961" t="s">
        <v>996</v>
      </c>
      <c r="AL2961">
        <v>32.721620000000001</v>
      </c>
      <c r="AM2961" t="s">
        <v>997</v>
      </c>
      <c r="AN2961">
        <v>-116.753039</v>
      </c>
      <c r="AO2961">
        <v>25</v>
      </c>
      <c r="AP2961">
        <v>3600</v>
      </c>
      <c r="AQ2961" t="s">
        <v>129</v>
      </c>
      <c r="AR2961">
        <v>-103</v>
      </c>
      <c r="AS2961">
        <v>-100</v>
      </c>
      <c r="AT2961">
        <v>-704</v>
      </c>
      <c r="BB2961">
        <v>1200</v>
      </c>
      <c r="BC2961">
        <v>1</v>
      </c>
      <c r="BD2961" t="str">
        <f t="shared" si="1071"/>
        <v xml:space="preserve">N887QR  </v>
      </c>
      <c r="BE2961">
        <v>1</v>
      </c>
      <c r="BG2961">
        <v>0</v>
      </c>
      <c r="BH2961">
        <v>0</v>
      </c>
      <c r="BI2961">
        <v>0</v>
      </c>
      <c r="BJ2961">
        <v>3275</v>
      </c>
      <c r="BK2961">
        <v>-325</v>
      </c>
      <c r="BL2961" t="s">
        <v>163</v>
      </c>
      <c r="BM2961">
        <v>1</v>
      </c>
      <c r="BN2961">
        <v>1</v>
      </c>
      <c r="BO2961">
        <v>1</v>
      </c>
      <c r="BP2961">
        <v>0</v>
      </c>
      <c r="BS2961">
        <v>0</v>
      </c>
      <c r="BT2961">
        <v>0</v>
      </c>
      <c r="BU2961">
        <v>0</v>
      </c>
      <c r="CE2961" t="str">
        <f t="shared" si="1076"/>
        <v>19:33:27.848</v>
      </c>
      <c r="CF2961">
        <v>847927366</v>
      </c>
      <c r="CS2961">
        <v>0</v>
      </c>
      <c r="CT2961">
        <v>2</v>
      </c>
      <c r="CU2961">
        <v>0</v>
      </c>
      <c r="CV2961">
        <v>2</v>
      </c>
      <c r="CW2961">
        <v>0</v>
      </c>
      <c r="CX2961">
        <v>2</v>
      </c>
      <c r="CY2961">
        <v>7</v>
      </c>
      <c r="CZ2961" t="s">
        <v>131</v>
      </c>
      <c r="DA2961">
        <v>286</v>
      </c>
      <c r="DB2961">
        <v>0</v>
      </c>
      <c r="DC2961" t="s">
        <v>132</v>
      </c>
      <c r="DD2961" t="s">
        <v>133</v>
      </c>
      <c r="DG2961">
        <v>859960</v>
      </c>
      <c r="DI2961">
        <v>1</v>
      </c>
      <c r="DJ2961">
        <v>0</v>
      </c>
      <c r="DK2961">
        <v>1</v>
      </c>
      <c r="DL2961">
        <v>0</v>
      </c>
      <c r="DM2961">
        <v>0</v>
      </c>
      <c r="DN2961">
        <v>1</v>
      </c>
      <c r="DO2961">
        <v>0</v>
      </c>
      <c r="DP2961">
        <v>0</v>
      </c>
      <c r="DQ2961">
        <v>0</v>
      </c>
      <c r="DR2961">
        <v>0</v>
      </c>
      <c r="DS2961">
        <v>0</v>
      </c>
    </row>
    <row r="2962" spans="1:123" x14ac:dyDescent="0.3">
      <c r="A2962" t="str">
        <f t="shared" si="1074"/>
        <v>10/04/2022 19:33:28.088</v>
      </c>
      <c r="C2962" t="str">
        <f t="shared" si="1060"/>
        <v>FFDFD3C0</v>
      </c>
      <c r="D2962" t="s">
        <v>134</v>
      </c>
      <c r="E2962">
        <v>15</v>
      </c>
      <c r="J2962" t="s">
        <v>135</v>
      </c>
      <c r="K2962">
        <v>0</v>
      </c>
      <c r="L2962">
        <v>3</v>
      </c>
      <c r="M2962">
        <v>0</v>
      </c>
      <c r="N2962">
        <v>2</v>
      </c>
      <c r="O2962">
        <v>0</v>
      </c>
      <c r="P2962">
        <v>1</v>
      </c>
      <c r="Q2962">
        <v>0</v>
      </c>
      <c r="S2962" t="str">
        <f t="shared" si="1075"/>
        <v>19:33:27.000</v>
      </c>
      <c r="T2962" t="str">
        <f t="shared" si="1075"/>
        <v>19:33:27.000</v>
      </c>
      <c r="U2962" t="str">
        <f t="shared" si="1070"/>
        <v>AC3944</v>
      </c>
      <c r="V2962">
        <v>0</v>
      </c>
      <c r="W2962">
        <v>0</v>
      </c>
      <c r="X2962">
        <v>2</v>
      </c>
      <c r="Y2962">
        <v>0</v>
      </c>
      <c r="AA2962">
        <v>1</v>
      </c>
      <c r="AB2962">
        <v>8</v>
      </c>
      <c r="AC2962">
        <v>3</v>
      </c>
      <c r="AD2962">
        <v>0</v>
      </c>
      <c r="AE2962">
        <v>9</v>
      </c>
      <c r="AF2962" t="s">
        <v>138</v>
      </c>
      <c r="AG2962">
        <v>0</v>
      </c>
      <c r="AH2962">
        <v>3</v>
      </c>
      <c r="AI2962">
        <v>1</v>
      </c>
      <c r="AJ2962">
        <v>0</v>
      </c>
      <c r="AK2962" t="s">
        <v>996</v>
      </c>
      <c r="AL2962">
        <v>32.721620000000001</v>
      </c>
      <c r="AM2962" t="s">
        <v>997</v>
      </c>
      <c r="AN2962">
        <v>-116.753039</v>
      </c>
      <c r="AO2962">
        <v>25</v>
      </c>
      <c r="AP2962">
        <v>3600</v>
      </c>
      <c r="AQ2962" t="s">
        <v>129</v>
      </c>
      <c r="AR2962">
        <v>-103</v>
      </c>
      <c r="AS2962">
        <v>-100</v>
      </c>
      <c r="AT2962">
        <v>-704</v>
      </c>
      <c r="BB2962">
        <v>1200</v>
      </c>
      <c r="BC2962">
        <v>1</v>
      </c>
      <c r="BD2962" t="str">
        <f t="shared" si="1071"/>
        <v xml:space="preserve">N887QR  </v>
      </c>
      <c r="BE2962">
        <v>1</v>
      </c>
      <c r="BG2962">
        <v>0</v>
      </c>
      <c r="BH2962">
        <v>0</v>
      </c>
      <c r="BI2962">
        <v>0</v>
      </c>
      <c r="BJ2962">
        <v>3275</v>
      </c>
      <c r="BK2962">
        <v>-325</v>
      </c>
      <c r="BL2962" t="s">
        <v>163</v>
      </c>
      <c r="BM2962">
        <v>1</v>
      </c>
      <c r="BN2962">
        <v>1</v>
      </c>
      <c r="BO2962">
        <v>1</v>
      </c>
      <c r="BP2962">
        <v>0</v>
      </c>
      <c r="BS2962">
        <v>0</v>
      </c>
      <c r="BT2962">
        <v>0</v>
      </c>
      <c r="BU2962">
        <v>0</v>
      </c>
      <c r="CE2962" t="str">
        <f t="shared" si="1076"/>
        <v>19:33:27.848</v>
      </c>
      <c r="CF2962">
        <v>847927366</v>
      </c>
      <c r="CS2962">
        <v>0</v>
      </c>
      <c r="CT2962">
        <v>2</v>
      </c>
      <c r="CU2962">
        <v>0</v>
      </c>
      <c r="CV2962">
        <v>2</v>
      </c>
      <c r="CW2962">
        <v>0</v>
      </c>
      <c r="CX2962">
        <v>2</v>
      </c>
      <c r="CY2962">
        <v>7</v>
      </c>
      <c r="CZ2962" t="s">
        <v>131</v>
      </c>
      <c r="DA2962">
        <v>286</v>
      </c>
      <c r="DB2962">
        <v>0</v>
      </c>
      <c r="DC2962" t="s">
        <v>132</v>
      </c>
      <c r="DD2962" t="s">
        <v>133</v>
      </c>
      <c r="DG2962">
        <v>859960</v>
      </c>
      <c r="DI2962">
        <v>1</v>
      </c>
      <c r="DJ2962">
        <v>0</v>
      </c>
      <c r="DK2962">
        <v>1</v>
      </c>
      <c r="DL2962">
        <v>0</v>
      </c>
      <c r="DM2962">
        <v>0</v>
      </c>
      <c r="DN2962">
        <v>1</v>
      </c>
      <c r="DO2962">
        <v>0</v>
      </c>
      <c r="DP2962">
        <v>0</v>
      </c>
      <c r="DQ2962">
        <v>0</v>
      </c>
      <c r="DR2962">
        <v>0</v>
      </c>
      <c r="DS2962">
        <v>0</v>
      </c>
    </row>
    <row r="2963" spans="1:123" x14ac:dyDescent="0.3">
      <c r="A2963" t="str">
        <f t="shared" si="1074"/>
        <v>10/04/2022 19:33:28.088</v>
      </c>
      <c r="C2963" t="str">
        <f t="shared" si="1060"/>
        <v>FFDFD3C0</v>
      </c>
      <c r="D2963" t="s">
        <v>141</v>
      </c>
      <c r="E2963">
        <v>4</v>
      </c>
      <c r="H2963">
        <v>4</v>
      </c>
      <c r="I2963" t="s">
        <v>142</v>
      </c>
      <c r="J2963" t="s">
        <v>138</v>
      </c>
      <c r="K2963">
        <v>0</v>
      </c>
      <c r="L2963">
        <v>3</v>
      </c>
      <c r="M2963">
        <v>0</v>
      </c>
      <c r="N2963">
        <v>2</v>
      </c>
      <c r="O2963">
        <v>0</v>
      </c>
      <c r="P2963">
        <v>1</v>
      </c>
      <c r="Q2963">
        <v>0</v>
      </c>
      <c r="S2963" t="str">
        <f t="shared" si="1075"/>
        <v>19:33:27.000</v>
      </c>
      <c r="T2963" t="str">
        <f t="shared" si="1075"/>
        <v>19:33:27.000</v>
      </c>
      <c r="U2963" t="str">
        <f t="shared" si="1070"/>
        <v>AC3944</v>
      </c>
      <c r="V2963">
        <v>0</v>
      </c>
      <c r="W2963">
        <v>0</v>
      </c>
      <c r="X2963">
        <v>2</v>
      </c>
      <c r="Y2963">
        <v>0</v>
      </c>
      <c r="AA2963">
        <v>1</v>
      </c>
      <c r="AB2963">
        <v>8</v>
      </c>
      <c r="AC2963">
        <v>3</v>
      </c>
      <c r="AD2963">
        <v>0</v>
      </c>
      <c r="AE2963">
        <v>9</v>
      </c>
      <c r="AF2963" t="s">
        <v>138</v>
      </c>
      <c r="AG2963">
        <v>0</v>
      </c>
      <c r="AH2963">
        <v>3</v>
      </c>
      <c r="AI2963">
        <v>1</v>
      </c>
      <c r="AJ2963">
        <v>0</v>
      </c>
      <c r="AK2963" t="s">
        <v>996</v>
      </c>
      <c r="AL2963">
        <v>32.721620000000001</v>
      </c>
      <c r="AM2963" t="s">
        <v>997</v>
      </c>
      <c r="AN2963">
        <v>-116.753039</v>
      </c>
      <c r="AO2963">
        <v>25</v>
      </c>
      <c r="AP2963">
        <v>3600</v>
      </c>
      <c r="AQ2963" t="s">
        <v>129</v>
      </c>
      <c r="AR2963">
        <v>-103</v>
      </c>
      <c r="AS2963">
        <v>-100</v>
      </c>
      <c r="AT2963">
        <v>-704</v>
      </c>
      <c r="BB2963">
        <v>1200</v>
      </c>
      <c r="BC2963">
        <v>1</v>
      </c>
      <c r="BD2963" t="str">
        <f t="shared" si="1071"/>
        <v xml:space="preserve">N887QR  </v>
      </c>
      <c r="BE2963">
        <v>1</v>
      </c>
      <c r="BG2963">
        <v>0</v>
      </c>
      <c r="BH2963">
        <v>0</v>
      </c>
      <c r="BI2963">
        <v>0</v>
      </c>
      <c r="BJ2963">
        <v>3275</v>
      </c>
      <c r="BK2963">
        <v>-325</v>
      </c>
      <c r="BL2963" t="s">
        <v>163</v>
      </c>
      <c r="BM2963">
        <v>1</v>
      </c>
      <c r="BN2963">
        <v>1</v>
      </c>
      <c r="BO2963">
        <v>1</v>
      </c>
      <c r="BP2963">
        <v>0</v>
      </c>
      <c r="BS2963">
        <v>0</v>
      </c>
      <c r="BT2963">
        <v>0</v>
      </c>
      <c r="BU2963">
        <v>0</v>
      </c>
      <c r="CE2963" t="str">
        <f t="shared" si="1076"/>
        <v>19:33:27.848</v>
      </c>
      <c r="CF2963">
        <v>847927366</v>
      </c>
      <c r="CS2963">
        <v>0</v>
      </c>
      <c r="CT2963">
        <v>2</v>
      </c>
      <c r="CU2963">
        <v>0</v>
      </c>
      <c r="CV2963">
        <v>2</v>
      </c>
      <c r="CW2963">
        <v>0</v>
      </c>
      <c r="CX2963">
        <v>2</v>
      </c>
      <c r="CY2963">
        <v>7</v>
      </c>
      <c r="CZ2963" t="s">
        <v>131</v>
      </c>
      <c r="DA2963">
        <v>286</v>
      </c>
      <c r="DB2963">
        <v>0</v>
      </c>
      <c r="DC2963" t="s">
        <v>132</v>
      </c>
      <c r="DD2963" t="s">
        <v>133</v>
      </c>
      <c r="DG2963">
        <v>859960</v>
      </c>
      <c r="DI2963">
        <v>1</v>
      </c>
      <c r="DJ2963">
        <v>0</v>
      </c>
      <c r="DK2963">
        <v>1</v>
      </c>
      <c r="DL2963">
        <v>0</v>
      </c>
      <c r="DM2963">
        <v>0</v>
      </c>
      <c r="DN2963">
        <v>1</v>
      </c>
      <c r="DO2963">
        <v>0</v>
      </c>
      <c r="DP2963">
        <v>0</v>
      </c>
      <c r="DQ2963">
        <v>0</v>
      </c>
      <c r="DR2963">
        <v>0</v>
      </c>
      <c r="DS2963">
        <v>0</v>
      </c>
    </row>
    <row r="2964" spans="1:123" x14ac:dyDescent="0.3">
      <c r="A2964" t="str">
        <f>"10/04/2022 19:33:29.166"</f>
        <v>10/04/2022 19:33:29.166</v>
      </c>
      <c r="C2964" t="str">
        <f t="shared" si="1060"/>
        <v>FFDFD3C0</v>
      </c>
      <c r="D2964" t="s">
        <v>136</v>
      </c>
      <c r="E2964">
        <v>8</v>
      </c>
      <c r="H2964">
        <v>225</v>
      </c>
      <c r="I2964" t="s">
        <v>137</v>
      </c>
      <c r="J2964" t="s">
        <v>138</v>
      </c>
      <c r="K2964">
        <v>0</v>
      </c>
      <c r="L2964">
        <v>3</v>
      </c>
      <c r="M2964">
        <v>0</v>
      </c>
      <c r="N2964">
        <v>2</v>
      </c>
      <c r="O2964">
        <v>0</v>
      </c>
      <c r="P2964">
        <v>1</v>
      </c>
      <c r="Q2964">
        <v>0</v>
      </c>
      <c r="S2964" t="str">
        <f t="shared" ref="S2964:T2970" si="1077">"19:33:28.000"</f>
        <v>19:33:28.000</v>
      </c>
      <c r="T2964" t="str">
        <f t="shared" si="1077"/>
        <v>19:33:28.000</v>
      </c>
      <c r="U2964" t="str">
        <f t="shared" si="1070"/>
        <v>AC3944</v>
      </c>
      <c r="V2964">
        <v>0</v>
      </c>
      <c r="W2964">
        <v>0</v>
      </c>
      <c r="X2964">
        <v>2</v>
      </c>
      <c r="Y2964">
        <v>0</v>
      </c>
      <c r="AA2964">
        <v>1</v>
      </c>
      <c r="AB2964">
        <v>8</v>
      </c>
      <c r="AC2964">
        <v>3</v>
      </c>
      <c r="AD2964">
        <v>0</v>
      </c>
      <c r="AE2964">
        <v>9</v>
      </c>
      <c r="AF2964" t="s">
        <v>138</v>
      </c>
      <c r="AG2964">
        <v>0</v>
      </c>
      <c r="AH2964">
        <v>3</v>
      </c>
      <c r="AI2964">
        <v>1</v>
      </c>
      <c r="AJ2964">
        <v>0</v>
      </c>
      <c r="AK2964" t="s">
        <v>998</v>
      </c>
      <c r="AL2964">
        <v>32.721169000000003</v>
      </c>
      <c r="AM2964" t="s">
        <v>999</v>
      </c>
      <c r="AN2964">
        <v>-116.753619</v>
      </c>
      <c r="AO2964">
        <v>25</v>
      </c>
      <c r="AP2964">
        <v>3600</v>
      </c>
      <c r="AQ2964" t="s">
        <v>129</v>
      </c>
      <c r="AR2964">
        <v>-109</v>
      </c>
      <c r="AS2964">
        <v>-95</v>
      </c>
      <c r="AT2964">
        <v>-960</v>
      </c>
      <c r="BB2964">
        <v>1200</v>
      </c>
      <c r="BC2964">
        <v>1</v>
      </c>
      <c r="BD2964" t="str">
        <f t="shared" si="1071"/>
        <v xml:space="preserve">N887QR  </v>
      </c>
      <c r="BE2964">
        <v>1</v>
      </c>
      <c r="BG2964">
        <v>0</v>
      </c>
      <c r="BH2964">
        <v>0</v>
      </c>
      <c r="BI2964">
        <v>0</v>
      </c>
      <c r="BJ2964">
        <v>3400</v>
      </c>
      <c r="BK2964">
        <v>-200</v>
      </c>
      <c r="BL2964" t="s">
        <v>163</v>
      </c>
      <c r="BM2964">
        <v>1</v>
      </c>
      <c r="BN2964">
        <v>1</v>
      </c>
      <c r="BO2964">
        <v>1</v>
      </c>
      <c r="BP2964">
        <v>0</v>
      </c>
      <c r="BS2964">
        <v>0</v>
      </c>
      <c r="BT2964">
        <v>0</v>
      </c>
      <c r="BU2964">
        <v>0</v>
      </c>
      <c r="CE2964" t="str">
        <f t="shared" ref="CE2964:CE2970" si="1078">"19:33:28.949"</f>
        <v>19:33:28.949</v>
      </c>
      <c r="CF2964">
        <v>949252112</v>
      </c>
      <c r="CS2964">
        <v>0</v>
      </c>
      <c r="CT2964">
        <v>2</v>
      </c>
      <c r="CU2964">
        <v>0</v>
      </c>
      <c r="CV2964">
        <v>2</v>
      </c>
      <c r="CW2964">
        <v>0</v>
      </c>
      <c r="CX2964">
        <v>2</v>
      </c>
      <c r="CY2964">
        <v>7</v>
      </c>
      <c r="CZ2964" t="s">
        <v>131</v>
      </c>
      <c r="DA2964">
        <v>300</v>
      </c>
      <c r="DB2964">
        <v>0</v>
      </c>
      <c r="DC2964" t="s">
        <v>176</v>
      </c>
      <c r="DD2964" t="s">
        <v>177</v>
      </c>
      <c r="DG2964">
        <v>5426037</v>
      </c>
      <c r="DI2964">
        <v>1</v>
      </c>
      <c r="DJ2964">
        <v>0</v>
      </c>
      <c r="DK2964">
        <v>0</v>
      </c>
      <c r="DL2964">
        <v>0</v>
      </c>
      <c r="DM2964">
        <v>0</v>
      </c>
      <c r="DN2964">
        <v>1</v>
      </c>
      <c r="DO2964">
        <v>0</v>
      </c>
      <c r="DP2964">
        <v>0</v>
      </c>
      <c r="DQ2964">
        <v>0</v>
      </c>
      <c r="DR2964">
        <v>0</v>
      </c>
      <c r="DS2964">
        <v>0</v>
      </c>
    </row>
    <row r="2965" spans="1:123" x14ac:dyDescent="0.3">
      <c r="A2965" t="str">
        <f>"10/04/2022 19:33:29.166"</f>
        <v>10/04/2022 19:33:29.166</v>
      </c>
      <c r="C2965" t="str">
        <f t="shared" si="1060"/>
        <v>FFDFD3C0</v>
      </c>
      <c r="D2965" t="s">
        <v>134</v>
      </c>
      <c r="E2965">
        <v>15</v>
      </c>
      <c r="J2965" t="s">
        <v>135</v>
      </c>
      <c r="K2965">
        <v>0</v>
      </c>
      <c r="L2965">
        <v>3</v>
      </c>
      <c r="M2965">
        <v>0</v>
      </c>
      <c r="N2965">
        <v>2</v>
      </c>
      <c r="O2965">
        <v>0</v>
      </c>
      <c r="P2965">
        <v>1</v>
      </c>
      <c r="Q2965">
        <v>0</v>
      </c>
      <c r="S2965" t="str">
        <f t="shared" si="1077"/>
        <v>19:33:28.000</v>
      </c>
      <c r="T2965" t="str">
        <f t="shared" si="1077"/>
        <v>19:33:28.000</v>
      </c>
      <c r="U2965" t="str">
        <f t="shared" si="1070"/>
        <v>AC3944</v>
      </c>
      <c r="V2965">
        <v>0</v>
      </c>
      <c r="W2965">
        <v>0</v>
      </c>
      <c r="X2965">
        <v>2</v>
      </c>
      <c r="Y2965">
        <v>0</v>
      </c>
      <c r="AA2965">
        <v>1</v>
      </c>
      <c r="AB2965">
        <v>8</v>
      </c>
      <c r="AC2965">
        <v>3</v>
      </c>
      <c r="AD2965">
        <v>0</v>
      </c>
      <c r="AE2965">
        <v>9</v>
      </c>
      <c r="AF2965" t="s">
        <v>138</v>
      </c>
      <c r="AG2965">
        <v>0</v>
      </c>
      <c r="AH2965">
        <v>3</v>
      </c>
      <c r="AI2965">
        <v>1</v>
      </c>
      <c r="AJ2965">
        <v>0</v>
      </c>
      <c r="AK2965" t="s">
        <v>998</v>
      </c>
      <c r="AL2965">
        <v>32.721169000000003</v>
      </c>
      <c r="AM2965" t="s">
        <v>999</v>
      </c>
      <c r="AN2965">
        <v>-116.753619</v>
      </c>
      <c r="AO2965">
        <v>25</v>
      </c>
      <c r="AP2965">
        <v>3600</v>
      </c>
      <c r="AQ2965" t="s">
        <v>129</v>
      </c>
      <c r="AR2965">
        <v>-109</v>
      </c>
      <c r="AS2965">
        <v>-95</v>
      </c>
      <c r="AT2965">
        <v>-960</v>
      </c>
      <c r="BB2965">
        <v>1200</v>
      </c>
      <c r="BC2965">
        <v>1</v>
      </c>
      <c r="BD2965" t="str">
        <f t="shared" si="1071"/>
        <v xml:space="preserve">N887QR  </v>
      </c>
      <c r="BE2965">
        <v>1</v>
      </c>
      <c r="BG2965">
        <v>0</v>
      </c>
      <c r="BH2965">
        <v>0</v>
      </c>
      <c r="BI2965">
        <v>0</v>
      </c>
      <c r="BJ2965">
        <v>3400</v>
      </c>
      <c r="BK2965">
        <v>-200</v>
      </c>
      <c r="BL2965" t="s">
        <v>163</v>
      </c>
      <c r="BM2965">
        <v>1</v>
      </c>
      <c r="BN2965">
        <v>1</v>
      </c>
      <c r="BO2965">
        <v>1</v>
      </c>
      <c r="BP2965">
        <v>0</v>
      </c>
      <c r="BS2965">
        <v>0</v>
      </c>
      <c r="BT2965">
        <v>0</v>
      </c>
      <c r="BU2965">
        <v>0</v>
      </c>
      <c r="CE2965" t="str">
        <f t="shared" si="1078"/>
        <v>19:33:28.949</v>
      </c>
      <c r="CF2965">
        <v>949252112</v>
      </c>
      <c r="CS2965">
        <v>0</v>
      </c>
      <c r="CT2965">
        <v>2</v>
      </c>
      <c r="CU2965">
        <v>0</v>
      </c>
      <c r="CV2965">
        <v>2</v>
      </c>
      <c r="CW2965">
        <v>0</v>
      </c>
      <c r="CX2965">
        <v>2</v>
      </c>
      <c r="CY2965">
        <v>7</v>
      </c>
      <c r="CZ2965" t="s">
        <v>131</v>
      </c>
      <c r="DA2965">
        <v>300</v>
      </c>
      <c r="DB2965">
        <v>0</v>
      </c>
      <c r="DC2965" t="s">
        <v>176</v>
      </c>
      <c r="DD2965" t="s">
        <v>177</v>
      </c>
      <c r="DG2965">
        <v>5426037</v>
      </c>
      <c r="DI2965">
        <v>1</v>
      </c>
      <c r="DJ2965">
        <v>0</v>
      </c>
      <c r="DK2965">
        <v>1</v>
      </c>
      <c r="DL2965">
        <v>0</v>
      </c>
      <c r="DM2965">
        <v>0</v>
      </c>
      <c r="DN2965">
        <v>1</v>
      </c>
      <c r="DO2965">
        <v>0</v>
      </c>
      <c r="DP2965">
        <v>0</v>
      </c>
      <c r="DQ2965">
        <v>0</v>
      </c>
      <c r="DR2965">
        <v>0</v>
      </c>
      <c r="DS2965">
        <v>0</v>
      </c>
    </row>
    <row r="2966" spans="1:123" x14ac:dyDescent="0.3">
      <c r="A2966" t="str">
        <f>"10/04/2022 19:33:29.166"</f>
        <v>10/04/2022 19:33:29.166</v>
      </c>
      <c r="C2966" t="str">
        <f t="shared" si="1060"/>
        <v>FFDFD3C0</v>
      </c>
      <c r="D2966" t="s">
        <v>141</v>
      </c>
      <c r="E2966">
        <v>4</v>
      </c>
      <c r="H2966">
        <v>4</v>
      </c>
      <c r="I2966" t="s">
        <v>142</v>
      </c>
      <c r="J2966" t="s">
        <v>138</v>
      </c>
      <c r="K2966">
        <v>0</v>
      </c>
      <c r="L2966">
        <v>3</v>
      </c>
      <c r="M2966">
        <v>0</v>
      </c>
      <c r="N2966">
        <v>2</v>
      </c>
      <c r="O2966">
        <v>0</v>
      </c>
      <c r="P2966">
        <v>1</v>
      </c>
      <c r="Q2966">
        <v>0</v>
      </c>
      <c r="S2966" t="str">
        <f t="shared" si="1077"/>
        <v>19:33:28.000</v>
      </c>
      <c r="T2966" t="str">
        <f t="shared" si="1077"/>
        <v>19:33:28.000</v>
      </c>
      <c r="U2966" t="str">
        <f t="shared" si="1070"/>
        <v>AC3944</v>
      </c>
      <c r="V2966">
        <v>0</v>
      </c>
      <c r="W2966">
        <v>0</v>
      </c>
      <c r="X2966">
        <v>2</v>
      </c>
      <c r="Y2966">
        <v>0</v>
      </c>
      <c r="AA2966">
        <v>1</v>
      </c>
      <c r="AB2966">
        <v>8</v>
      </c>
      <c r="AC2966">
        <v>3</v>
      </c>
      <c r="AD2966">
        <v>0</v>
      </c>
      <c r="AE2966">
        <v>9</v>
      </c>
      <c r="AF2966" t="s">
        <v>138</v>
      </c>
      <c r="AG2966">
        <v>0</v>
      </c>
      <c r="AH2966">
        <v>3</v>
      </c>
      <c r="AI2966">
        <v>1</v>
      </c>
      <c r="AJ2966">
        <v>0</v>
      </c>
      <c r="AK2966" t="s">
        <v>998</v>
      </c>
      <c r="AL2966">
        <v>32.721169000000003</v>
      </c>
      <c r="AM2966" t="s">
        <v>999</v>
      </c>
      <c r="AN2966">
        <v>-116.753619</v>
      </c>
      <c r="AO2966">
        <v>25</v>
      </c>
      <c r="AP2966">
        <v>3600</v>
      </c>
      <c r="AQ2966" t="s">
        <v>129</v>
      </c>
      <c r="AR2966">
        <v>-109</v>
      </c>
      <c r="AS2966">
        <v>-95</v>
      </c>
      <c r="AT2966">
        <v>-960</v>
      </c>
      <c r="BB2966">
        <v>1200</v>
      </c>
      <c r="BC2966">
        <v>1</v>
      </c>
      <c r="BD2966" t="str">
        <f t="shared" si="1071"/>
        <v xml:space="preserve">N887QR  </v>
      </c>
      <c r="BE2966">
        <v>1</v>
      </c>
      <c r="BG2966">
        <v>0</v>
      </c>
      <c r="BH2966">
        <v>0</v>
      </c>
      <c r="BI2966">
        <v>0</v>
      </c>
      <c r="BJ2966">
        <v>3400</v>
      </c>
      <c r="BK2966">
        <v>-200</v>
      </c>
      <c r="BL2966" t="s">
        <v>163</v>
      </c>
      <c r="BM2966">
        <v>1</v>
      </c>
      <c r="BN2966">
        <v>1</v>
      </c>
      <c r="BO2966">
        <v>1</v>
      </c>
      <c r="BP2966">
        <v>0</v>
      </c>
      <c r="BS2966">
        <v>0</v>
      </c>
      <c r="BT2966">
        <v>0</v>
      </c>
      <c r="BU2966">
        <v>0</v>
      </c>
      <c r="CE2966" t="str">
        <f t="shared" si="1078"/>
        <v>19:33:28.949</v>
      </c>
      <c r="CF2966">
        <v>949252112</v>
      </c>
      <c r="CS2966">
        <v>0</v>
      </c>
      <c r="CT2966">
        <v>2</v>
      </c>
      <c r="CU2966">
        <v>0</v>
      </c>
      <c r="CV2966">
        <v>2</v>
      </c>
      <c r="CW2966">
        <v>0</v>
      </c>
      <c r="CX2966">
        <v>2</v>
      </c>
      <c r="CY2966">
        <v>7</v>
      </c>
      <c r="CZ2966" t="s">
        <v>131</v>
      </c>
      <c r="DA2966">
        <v>300</v>
      </c>
      <c r="DB2966">
        <v>0</v>
      </c>
      <c r="DC2966" t="s">
        <v>176</v>
      </c>
      <c r="DD2966" t="s">
        <v>177</v>
      </c>
      <c r="DG2966">
        <v>5426037</v>
      </c>
      <c r="DI2966">
        <v>1</v>
      </c>
      <c r="DJ2966">
        <v>0</v>
      </c>
      <c r="DK2966">
        <v>1</v>
      </c>
      <c r="DL2966">
        <v>0</v>
      </c>
      <c r="DM2966">
        <v>0</v>
      </c>
      <c r="DN2966">
        <v>1</v>
      </c>
      <c r="DO2966">
        <v>0</v>
      </c>
      <c r="DP2966">
        <v>0</v>
      </c>
      <c r="DQ2966">
        <v>0</v>
      </c>
      <c r="DR2966">
        <v>0</v>
      </c>
      <c r="DS2966">
        <v>0</v>
      </c>
    </row>
    <row r="2967" spans="1:123" x14ac:dyDescent="0.3">
      <c r="A2967" t="str">
        <f>"10/04/2022 19:33:29.166"</f>
        <v>10/04/2022 19:33:29.166</v>
      </c>
      <c r="C2967" t="str">
        <f t="shared" si="1060"/>
        <v>FFDFD3C0</v>
      </c>
      <c r="D2967" t="s">
        <v>143</v>
      </c>
      <c r="E2967">
        <v>20</v>
      </c>
      <c r="F2967">
        <v>1020</v>
      </c>
      <c r="G2967" t="s">
        <v>144</v>
      </c>
      <c r="J2967" t="s">
        <v>145</v>
      </c>
      <c r="K2967">
        <v>0</v>
      </c>
      <c r="L2967">
        <v>3</v>
      </c>
      <c r="M2967">
        <v>0</v>
      </c>
      <c r="N2967">
        <v>2</v>
      </c>
      <c r="O2967">
        <v>0</v>
      </c>
      <c r="P2967">
        <v>1</v>
      </c>
      <c r="Q2967">
        <v>0</v>
      </c>
      <c r="S2967" t="str">
        <f t="shared" si="1077"/>
        <v>19:33:28.000</v>
      </c>
      <c r="T2967" t="str">
        <f t="shared" si="1077"/>
        <v>19:33:28.000</v>
      </c>
      <c r="U2967" t="str">
        <f t="shared" si="1070"/>
        <v>AC3944</v>
      </c>
      <c r="V2967">
        <v>0</v>
      </c>
      <c r="W2967">
        <v>0</v>
      </c>
      <c r="X2967">
        <v>2</v>
      </c>
      <c r="Y2967">
        <v>0</v>
      </c>
      <c r="AA2967">
        <v>1</v>
      </c>
      <c r="AB2967">
        <v>8</v>
      </c>
      <c r="AC2967">
        <v>3</v>
      </c>
      <c r="AD2967">
        <v>0</v>
      </c>
      <c r="AE2967">
        <v>9</v>
      </c>
      <c r="AF2967" t="s">
        <v>138</v>
      </c>
      <c r="AG2967">
        <v>0</v>
      </c>
      <c r="AH2967">
        <v>3</v>
      </c>
      <c r="AI2967">
        <v>1</v>
      </c>
      <c r="AJ2967">
        <v>0</v>
      </c>
      <c r="AK2967" t="s">
        <v>998</v>
      </c>
      <c r="AL2967">
        <v>32.721169000000003</v>
      </c>
      <c r="AM2967" t="s">
        <v>999</v>
      </c>
      <c r="AN2967">
        <v>-116.753619</v>
      </c>
      <c r="AO2967">
        <v>25</v>
      </c>
      <c r="AP2967">
        <v>3600</v>
      </c>
      <c r="AQ2967" t="s">
        <v>129</v>
      </c>
      <c r="AR2967">
        <v>-109</v>
      </c>
      <c r="AS2967">
        <v>-95</v>
      </c>
      <c r="AT2967">
        <v>-960</v>
      </c>
      <c r="BB2967">
        <v>1200</v>
      </c>
      <c r="BC2967">
        <v>1</v>
      </c>
      <c r="BD2967" t="str">
        <f t="shared" si="1071"/>
        <v xml:space="preserve">N887QR  </v>
      </c>
      <c r="BE2967">
        <v>1</v>
      </c>
      <c r="BG2967">
        <v>0</v>
      </c>
      <c r="BH2967">
        <v>0</v>
      </c>
      <c r="BI2967">
        <v>0</v>
      </c>
      <c r="BJ2967">
        <v>3400</v>
      </c>
      <c r="BK2967">
        <v>-200</v>
      </c>
      <c r="BL2967" t="s">
        <v>163</v>
      </c>
      <c r="BM2967">
        <v>1</v>
      </c>
      <c r="BN2967">
        <v>1</v>
      </c>
      <c r="BO2967">
        <v>1</v>
      </c>
      <c r="BP2967">
        <v>0</v>
      </c>
      <c r="BS2967">
        <v>0</v>
      </c>
      <c r="BT2967">
        <v>0</v>
      </c>
      <c r="BU2967">
        <v>0</v>
      </c>
      <c r="CE2967" t="str">
        <f t="shared" si="1078"/>
        <v>19:33:28.949</v>
      </c>
      <c r="CF2967">
        <v>949252112</v>
      </c>
      <c r="CS2967">
        <v>0</v>
      </c>
      <c r="CT2967">
        <v>2</v>
      </c>
      <c r="CU2967">
        <v>0</v>
      </c>
      <c r="CV2967">
        <v>2</v>
      </c>
      <c r="CW2967">
        <v>0</v>
      </c>
      <c r="CX2967">
        <v>2</v>
      </c>
      <c r="CY2967">
        <v>7</v>
      </c>
      <c r="CZ2967" t="s">
        <v>131</v>
      </c>
      <c r="DA2967">
        <v>300</v>
      </c>
      <c r="DB2967">
        <v>0</v>
      </c>
      <c r="DC2967" t="s">
        <v>176</v>
      </c>
      <c r="DD2967" t="s">
        <v>177</v>
      </c>
      <c r="DG2967">
        <v>5426037</v>
      </c>
      <c r="DI2967">
        <v>1</v>
      </c>
      <c r="DJ2967">
        <v>0</v>
      </c>
      <c r="DK2967">
        <v>1</v>
      </c>
      <c r="DL2967">
        <v>0</v>
      </c>
      <c r="DM2967">
        <v>0</v>
      </c>
      <c r="DN2967">
        <v>1</v>
      </c>
      <c r="DO2967">
        <v>0</v>
      </c>
      <c r="DP2967">
        <v>0</v>
      </c>
      <c r="DQ2967">
        <v>0</v>
      </c>
      <c r="DR2967">
        <v>0</v>
      </c>
      <c r="DS2967">
        <v>0</v>
      </c>
    </row>
    <row r="2968" spans="1:123" x14ac:dyDescent="0.3">
      <c r="A2968" t="str">
        <f>"10/04/2022 19:33:29.166"</f>
        <v>10/04/2022 19:33:29.166</v>
      </c>
      <c r="C2968" t="str">
        <f t="shared" si="1060"/>
        <v>FFDFD3C0</v>
      </c>
      <c r="D2968" t="s">
        <v>141</v>
      </c>
      <c r="E2968">
        <v>3</v>
      </c>
      <c r="H2968">
        <v>3</v>
      </c>
      <c r="I2968" t="s">
        <v>146</v>
      </c>
      <c r="J2968" t="s">
        <v>138</v>
      </c>
      <c r="K2968">
        <v>0</v>
      </c>
      <c r="L2968">
        <v>3</v>
      </c>
      <c r="M2968">
        <v>0</v>
      </c>
      <c r="N2968">
        <v>2</v>
      </c>
      <c r="O2968">
        <v>0</v>
      </c>
      <c r="P2968">
        <v>1</v>
      </c>
      <c r="Q2968">
        <v>0</v>
      </c>
      <c r="S2968" t="str">
        <f t="shared" si="1077"/>
        <v>19:33:28.000</v>
      </c>
      <c r="T2968" t="str">
        <f t="shared" si="1077"/>
        <v>19:33:28.000</v>
      </c>
      <c r="U2968" t="str">
        <f t="shared" si="1070"/>
        <v>AC3944</v>
      </c>
      <c r="V2968">
        <v>0</v>
      </c>
      <c r="W2968">
        <v>0</v>
      </c>
      <c r="X2968">
        <v>2</v>
      </c>
      <c r="Y2968">
        <v>0</v>
      </c>
      <c r="AA2968">
        <v>1</v>
      </c>
      <c r="AB2968">
        <v>8</v>
      </c>
      <c r="AC2968">
        <v>3</v>
      </c>
      <c r="AD2968">
        <v>0</v>
      </c>
      <c r="AE2968">
        <v>9</v>
      </c>
      <c r="AF2968" t="s">
        <v>138</v>
      </c>
      <c r="AG2968">
        <v>0</v>
      </c>
      <c r="AH2968">
        <v>3</v>
      </c>
      <c r="AI2968">
        <v>1</v>
      </c>
      <c r="AJ2968">
        <v>0</v>
      </c>
      <c r="AK2968" t="s">
        <v>998</v>
      </c>
      <c r="AL2968">
        <v>32.721169000000003</v>
      </c>
      <c r="AM2968" t="s">
        <v>999</v>
      </c>
      <c r="AN2968">
        <v>-116.753619</v>
      </c>
      <c r="AO2968">
        <v>25</v>
      </c>
      <c r="AP2968">
        <v>3600</v>
      </c>
      <c r="AQ2968" t="s">
        <v>129</v>
      </c>
      <c r="AR2968">
        <v>-109</v>
      </c>
      <c r="AS2968">
        <v>-95</v>
      </c>
      <c r="AT2968">
        <v>-960</v>
      </c>
      <c r="BB2968">
        <v>1200</v>
      </c>
      <c r="BC2968">
        <v>1</v>
      </c>
      <c r="BD2968" t="str">
        <f t="shared" si="1071"/>
        <v xml:space="preserve">N887QR  </v>
      </c>
      <c r="BE2968">
        <v>1</v>
      </c>
      <c r="BG2968">
        <v>0</v>
      </c>
      <c r="BH2968">
        <v>0</v>
      </c>
      <c r="BI2968">
        <v>0</v>
      </c>
      <c r="BJ2968">
        <v>3400</v>
      </c>
      <c r="BK2968">
        <v>-200</v>
      </c>
      <c r="BL2968" t="s">
        <v>163</v>
      </c>
      <c r="BM2968">
        <v>1</v>
      </c>
      <c r="BN2968">
        <v>1</v>
      </c>
      <c r="BO2968">
        <v>1</v>
      </c>
      <c r="BP2968">
        <v>0</v>
      </c>
      <c r="BS2968">
        <v>0</v>
      </c>
      <c r="BT2968">
        <v>0</v>
      </c>
      <c r="BU2968">
        <v>0</v>
      </c>
      <c r="CE2968" t="str">
        <f t="shared" si="1078"/>
        <v>19:33:28.949</v>
      </c>
      <c r="CF2968">
        <v>949252112</v>
      </c>
      <c r="CS2968">
        <v>0</v>
      </c>
      <c r="CT2968">
        <v>2</v>
      </c>
      <c r="CU2968">
        <v>0</v>
      </c>
      <c r="CV2968">
        <v>2</v>
      </c>
      <c r="CW2968">
        <v>0</v>
      </c>
      <c r="CX2968">
        <v>2</v>
      </c>
      <c r="CY2968">
        <v>7</v>
      </c>
      <c r="CZ2968" t="s">
        <v>131</v>
      </c>
      <c r="DA2968">
        <v>300</v>
      </c>
      <c r="DB2968">
        <v>0</v>
      </c>
      <c r="DC2968" t="s">
        <v>176</v>
      </c>
      <c r="DD2968" t="s">
        <v>177</v>
      </c>
      <c r="DG2968">
        <v>5426037</v>
      </c>
      <c r="DI2968">
        <v>1</v>
      </c>
      <c r="DJ2968">
        <v>0</v>
      </c>
      <c r="DK2968">
        <v>1</v>
      </c>
      <c r="DL2968">
        <v>0</v>
      </c>
      <c r="DM2968">
        <v>0</v>
      </c>
      <c r="DN2968">
        <v>1</v>
      </c>
      <c r="DO2968">
        <v>0</v>
      </c>
      <c r="DP2968">
        <v>0</v>
      </c>
      <c r="DQ2968">
        <v>0</v>
      </c>
      <c r="DR2968">
        <v>0</v>
      </c>
      <c r="DS2968">
        <v>0</v>
      </c>
    </row>
    <row r="2969" spans="1:123" x14ac:dyDescent="0.3">
      <c r="A2969" t="str">
        <f>"10/04/2022 19:33:29.182"</f>
        <v>10/04/2022 19:33:29.182</v>
      </c>
      <c r="C2969" t="str">
        <f t="shared" si="1060"/>
        <v>FFDFD3C0</v>
      </c>
      <c r="D2969" t="s">
        <v>147</v>
      </c>
      <c r="E2969">
        <v>3</v>
      </c>
      <c r="H2969">
        <v>166</v>
      </c>
      <c r="I2969" t="s">
        <v>144</v>
      </c>
      <c r="J2969" t="s">
        <v>148</v>
      </c>
      <c r="K2969">
        <v>0</v>
      </c>
      <c r="L2969">
        <v>3</v>
      </c>
      <c r="M2969">
        <v>0</v>
      </c>
      <c r="N2969">
        <v>2</v>
      </c>
      <c r="O2969">
        <v>0</v>
      </c>
      <c r="P2969">
        <v>1</v>
      </c>
      <c r="Q2969">
        <v>0</v>
      </c>
      <c r="S2969" t="str">
        <f t="shared" si="1077"/>
        <v>19:33:28.000</v>
      </c>
      <c r="T2969" t="str">
        <f t="shared" si="1077"/>
        <v>19:33:28.000</v>
      </c>
      <c r="U2969" t="str">
        <f t="shared" si="1070"/>
        <v>AC3944</v>
      </c>
      <c r="V2969">
        <v>0</v>
      </c>
      <c r="W2969">
        <v>0</v>
      </c>
      <c r="X2969">
        <v>2</v>
      </c>
      <c r="Y2969">
        <v>0</v>
      </c>
      <c r="AA2969">
        <v>1</v>
      </c>
      <c r="AB2969">
        <v>8</v>
      </c>
      <c r="AC2969">
        <v>3</v>
      </c>
      <c r="AD2969">
        <v>0</v>
      </c>
      <c r="AE2969">
        <v>9</v>
      </c>
      <c r="AF2969" t="s">
        <v>138</v>
      </c>
      <c r="AG2969">
        <v>0</v>
      </c>
      <c r="AH2969">
        <v>3</v>
      </c>
      <c r="AI2969">
        <v>1</v>
      </c>
      <c r="AJ2969">
        <v>0</v>
      </c>
      <c r="AK2969" t="s">
        <v>998</v>
      </c>
      <c r="AL2969">
        <v>32.721169000000003</v>
      </c>
      <c r="AM2969" t="s">
        <v>999</v>
      </c>
      <c r="AN2969">
        <v>-116.753619</v>
      </c>
      <c r="AO2969">
        <v>25</v>
      </c>
      <c r="AP2969">
        <v>3600</v>
      </c>
      <c r="AQ2969" t="s">
        <v>129</v>
      </c>
      <c r="AR2969">
        <v>-109</v>
      </c>
      <c r="AS2969">
        <v>-95</v>
      </c>
      <c r="AT2969">
        <v>-960</v>
      </c>
      <c r="BB2969">
        <v>1200</v>
      </c>
      <c r="BC2969">
        <v>1</v>
      </c>
      <c r="BD2969" t="str">
        <f t="shared" si="1071"/>
        <v xml:space="preserve">N887QR  </v>
      </c>
      <c r="BE2969">
        <v>1</v>
      </c>
      <c r="BG2969">
        <v>0</v>
      </c>
      <c r="BH2969">
        <v>0</v>
      </c>
      <c r="BI2969">
        <v>0</v>
      </c>
      <c r="BJ2969">
        <v>3400</v>
      </c>
      <c r="BK2969">
        <v>-200</v>
      </c>
      <c r="BL2969" t="s">
        <v>163</v>
      </c>
      <c r="BM2969">
        <v>1</v>
      </c>
      <c r="BN2969">
        <v>1</v>
      </c>
      <c r="BO2969">
        <v>1</v>
      </c>
      <c r="BP2969">
        <v>0</v>
      </c>
      <c r="BS2969">
        <v>0</v>
      </c>
      <c r="BT2969">
        <v>0</v>
      </c>
      <c r="BU2969">
        <v>0</v>
      </c>
      <c r="CE2969" t="str">
        <f t="shared" si="1078"/>
        <v>19:33:28.949</v>
      </c>
      <c r="CF2969">
        <v>949252112</v>
      </c>
      <c r="CS2969">
        <v>0</v>
      </c>
      <c r="CT2969">
        <v>2</v>
      </c>
      <c r="CU2969">
        <v>0</v>
      </c>
      <c r="CV2969">
        <v>2</v>
      </c>
      <c r="CW2969">
        <v>0</v>
      </c>
      <c r="CX2969">
        <v>2</v>
      </c>
      <c r="CY2969">
        <v>7</v>
      </c>
      <c r="CZ2969" t="s">
        <v>131</v>
      </c>
      <c r="DA2969">
        <v>300</v>
      </c>
      <c r="DB2969">
        <v>0</v>
      </c>
      <c r="DC2969" t="s">
        <v>176</v>
      </c>
      <c r="DD2969" t="s">
        <v>177</v>
      </c>
      <c r="DG2969">
        <v>5426037</v>
      </c>
      <c r="DI2969">
        <v>1</v>
      </c>
      <c r="DJ2969">
        <v>0</v>
      </c>
      <c r="DK2969">
        <v>1</v>
      </c>
      <c r="DL2969">
        <v>0</v>
      </c>
      <c r="DM2969">
        <v>0</v>
      </c>
      <c r="DN2969">
        <v>1</v>
      </c>
      <c r="DO2969">
        <v>0</v>
      </c>
      <c r="DP2969">
        <v>0</v>
      </c>
      <c r="DQ2969">
        <v>0</v>
      </c>
      <c r="DR2969">
        <v>0</v>
      </c>
      <c r="DS2969">
        <v>0</v>
      </c>
    </row>
    <row r="2970" spans="1:123" x14ac:dyDescent="0.3">
      <c r="A2970" t="str">
        <f>"10/04/2022 19:33:29.182"</f>
        <v>10/04/2022 19:33:29.182</v>
      </c>
      <c r="C2970" t="str">
        <f t="shared" si="1060"/>
        <v>FFDFD3C0</v>
      </c>
      <c r="D2970" t="s">
        <v>123</v>
      </c>
      <c r="E2970">
        <v>7</v>
      </c>
      <c r="F2970">
        <v>2007</v>
      </c>
      <c r="G2970" t="s">
        <v>124</v>
      </c>
      <c r="J2970" t="s">
        <v>125</v>
      </c>
      <c r="K2970">
        <v>0</v>
      </c>
      <c r="L2970">
        <v>3</v>
      </c>
      <c r="M2970">
        <v>0</v>
      </c>
      <c r="N2970">
        <v>2</v>
      </c>
      <c r="O2970">
        <v>0</v>
      </c>
      <c r="P2970">
        <v>1</v>
      </c>
      <c r="Q2970">
        <v>0</v>
      </c>
      <c r="S2970" t="str">
        <f t="shared" si="1077"/>
        <v>19:33:28.000</v>
      </c>
      <c r="T2970" t="str">
        <f t="shared" si="1077"/>
        <v>19:33:28.000</v>
      </c>
      <c r="U2970" t="str">
        <f t="shared" si="1070"/>
        <v>AC3944</v>
      </c>
      <c r="V2970">
        <v>0</v>
      </c>
      <c r="W2970">
        <v>0</v>
      </c>
      <c r="X2970">
        <v>2</v>
      </c>
      <c r="Y2970">
        <v>0</v>
      </c>
      <c r="AA2970">
        <v>1</v>
      </c>
      <c r="AB2970">
        <v>8</v>
      </c>
      <c r="AC2970">
        <v>3</v>
      </c>
      <c r="AD2970">
        <v>0</v>
      </c>
      <c r="AE2970">
        <v>9</v>
      </c>
      <c r="AF2970" t="s">
        <v>138</v>
      </c>
      <c r="AG2970">
        <v>0</v>
      </c>
      <c r="AH2970">
        <v>3</v>
      </c>
      <c r="AI2970">
        <v>1</v>
      </c>
      <c r="AJ2970">
        <v>0</v>
      </c>
      <c r="AK2970" t="s">
        <v>998</v>
      </c>
      <c r="AL2970">
        <v>32.721169000000003</v>
      </c>
      <c r="AM2970" t="s">
        <v>999</v>
      </c>
      <c r="AN2970">
        <v>-116.753619</v>
      </c>
      <c r="AO2970">
        <v>25</v>
      </c>
      <c r="AP2970">
        <v>3600</v>
      </c>
      <c r="AQ2970" t="s">
        <v>129</v>
      </c>
      <c r="AR2970">
        <v>-109</v>
      </c>
      <c r="AS2970">
        <v>-95</v>
      </c>
      <c r="AT2970">
        <v>-960</v>
      </c>
      <c r="BB2970">
        <v>1200</v>
      </c>
      <c r="BC2970">
        <v>1</v>
      </c>
      <c r="BD2970" t="str">
        <f t="shared" si="1071"/>
        <v xml:space="preserve">N887QR  </v>
      </c>
      <c r="BE2970">
        <v>1</v>
      </c>
      <c r="BG2970">
        <v>0</v>
      </c>
      <c r="BH2970">
        <v>0</v>
      </c>
      <c r="BI2970">
        <v>0</v>
      </c>
      <c r="BJ2970">
        <v>3400</v>
      </c>
      <c r="BK2970">
        <v>-200</v>
      </c>
      <c r="BL2970" t="s">
        <v>163</v>
      </c>
      <c r="BM2970">
        <v>1</v>
      </c>
      <c r="BN2970">
        <v>1</v>
      </c>
      <c r="BO2970">
        <v>1</v>
      </c>
      <c r="BP2970">
        <v>0</v>
      </c>
      <c r="BS2970">
        <v>0</v>
      </c>
      <c r="BT2970">
        <v>0</v>
      </c>
      <c r="BU2970">
        <v>0</v>
      </c>
      <c r="CE2970" t="str">
        <f t="shared" si="1078"/>
        <v>19:33:28.949</v>
      </c>
      <c r="CF2970">
        <v>949252112</v>
      </c>
      <c r="CS2970">
        <v>0</v>
      </c>
      <c r="CT2970">
        <v>2</v>
      </c>
      <c r="CU2970">
        <v>0</v>
      </c>
      <c r="CV2970">
        <v>2</v>
      </c>
      <c r="CW2970">
        <v>0</v>
      </c>
      <c r="CX2970">
        <v>2</v>
      </c>
      <c r="CY2970">
        <v>7</v>
      </c>
      <c r="CZ2970" t="s">
        <v>131</v>
      </c>
      <c r="DA2970">
        <v>300</v>
      </c>
      <c r="DB2970">
        <v>0</v>
      </c>
      <c r="DC2970" t="s">
        <v>176</v>
      </c>
      <c r="DD2970" t="s">
        <v>177</v>
      </c>
      <c r="DG2970">
        <v>5426037</v>
      </c>
      <c r="DI2970">
        <v>1</v>
      </c>
      <c r="DJ2970">
        <v>0</v>
      </c>
      <c r="DK2970">
        <v>1</v>
      </c>
      <c r="DL2970">
        <v>0</v>
      </c>
      <c r="DM2970">
        <v>0</v>
      </c>
      <c r="DN2970">
        <v>1</v>
      </c>
      <c r="DO2970">
        <v>0</v>
      </c>
      <c r="DP2970">
        <v>0</v>
      </c>
      <c r="DQ2970">
        <v>0</v>
      </c>
      <c r="DR2970">
        <v>0</v>
      </c>
      <c r="DS2970">
        <v>0</v>
      </c>
    </row>
    <row r="2971" spans="1:123" x14ac:dyDescent="0.3">
      <c r="A2971" t="str">
        <f>"10/04/2022 19:33:29.980"</f>
        <v>10/04/2022 19:33:29.980</v>
      </c>
      <c r="C2971" t="str">
        <f t="shared" si="1060"/>
        <v>FFDFD3C0</v>
      </c>
      <c r="D2971" t="s">
        <v>143</v>
      </c>
      <c r="E2971">
        <v>20</v>
      </c>
      <c r="F2971">
        <v>1020</v>
      </c>
      <c r="G2971" t="s">
        <v>144</v>
      </c>
      <c r="J2971" t="s">
        <v>145</v>
      </c>
      <c r="K2971">
        <v>0</v>
      </c>
      <c r="L2971">
        <v>3</v>
      </c>
      <c r="M2971">
        <v>0</v>
      </c>
      <c r="N2971">
        <v>2</v>
      </c>
      <c r="O2971">
        <v>0</v>
      </c>
      <c r="P2971">
        <v>1</v>
      </c>
      <c r="Q2971">
        <v>0</v>
      </c>
      <c r="S2971" t="str">
        <f t="shared" ref="S2971:T2977" si="1079">"19:33:29.000"</f>
        <v>19:33:29.000</v>
      </c>
      <c r="T2971" t="str">
        <f t="shared" si="1079"/>
        <v>19:33:29.000</v>
      </c>
      <c r="U2971" t="str">
        <f t="shared" si="1070"/>
        <v>AC3944</v>
      </c>
      <c r="V2971">
        <v>0</v>
      </c>
      <c r="W2971">
        <v>0</v>
      </c>
      <c r="X2971">
        <v>2</v>
      </c>
      <c r="Y2971">
        <v>0</v>
      </c>
      <c r="AA2971">
        <v>1</v>
      </c>
      <c r="AB2971">
        <v>8</v>
      </c>
      <c r="AC2971">
        <v>3</v>
      </c>
      <c r="AD2971">
        <v>0</v>
      </c>
      <c r="AE2971">
        <v>9</v>
      </c>
      <c r="AF2971" t="s">
        <v>138</v>
      </c>
      <c r="AG2971">
        <v>0</v>
      </c>
      <c r="AH2971">
        <v>3</v>
      </c>
      <c r="AI2971">
        <v>1</v>
      </c>
      <c r="AJ2971">
        <v>0</v>
      </c>
      <c r="AK2971" t="s">
        <v>1000</v>
      </c>
      <c r="AL2971">
        <v>32.720804000000001</v>
      </c>
      <c r="AM2971" t="s">
        <v>1001</v>
      </c>
      <c r="AN2971">
        <v>-116.75411200000001</v>
      </c>
      <c r="AO2971">
        <v>25</v>
      </c>
      <c r="AP2971">
        <v>3600</v>
      </c>
      <c r="AQ2971" t="s">
        <v>129</v>
      </c>
      <c r="AR2971">
        <v>-111</v>
      </c>
      <c r="AS2971">
        <v>-92</v>
      </c>
      <c r="AT2971">
        <v>-960</v>
      </c>
      <c r="BB2971">
        <v>1200</v>
      </c>
      <c r="BC2971">
        <v>1</v>
      </c>
      <c r="BD2971" t="str">
        <f t="shared" si="1071"/>
        <v xml:space="preserve">N887QR  </v>
      </c>
      <c r="BE2971">
        <v>1</v>
      </c>
      <c r="BG2971">
        <v>0</v>
      </c>
      <c r="BH2971">
        <v>0</v>
      </c>
      <c r="BI2971">
        <v>0</v>
      </c>
      <c r="BJ2971">
        <v>3250</v>
      </c>
      <c r="BK2971">
        <v>-350</v>
      </c>
      <c r="BL2971" t="s">
        <v>163</v>
      </c>
      <c r="BM2971">
        <v>1</v>
      </c>
      <c r="BN2971">
        <v>1</v>
      </c>
      <c r="BO2971">
        <v>1</v>
      </c>
      <c r="BP2971">
        <v>0</v>
      </c>
      <c r="BS2971">
        <v>0</v>
      </c>
      <c r="BT2971">
        <v>0</v>
      </c>
      <c r="BU2971">
        <v>0</v>
      </c>
      <c r="CE2971" t="str">
        <f t="shared" ref="CE2971:CE2977" si="1080">"19:33:29.761"</f>
        <v>19:33:29.761</v>
      </c>
      <c r="CF2971">
        <v>761182988</v>
      </c>
      <c r="CS2971">
        <v>0</v>
      </c>
      <c r="CT2971">
        <v>2</v>
      </c>
      <c r="CU2971">
        <v>0</v>
      </c>
      <c r="CV2971">
        <v>2</v>
      </c>
      <c r="CW2971">
        <v>0</v>
      </c>
      <c r="CX2971">
        <v>3</v>
      </c>
      <c r="CY2971">
        <v>7</v>
      </c>
      <c r="CZ2971" t="s">
        <v>131</v>
      </c>
      <c r="DA2971">
        <v>286</v>
      </c>
      <c r="DB2971">
        <v>0</v>
      </c>
      <c r="DC2971" t="s">
        <v>132</v>
      </c>
      <c r="DD2971" t="s">
        <v>133</v>
      </c>
      <c r="DG2971">
        <v>860383</v>
      </c>
      <c r="DI2971">
        <v>1</v>
      </c>
      <c r="DJ2971">
        <v>0</v>
      </c>
      <c r="DK2971">
        <v>0</v>
      </c>
      <c r="DL2971">
        <v>0</v>
      </c>
      <c r="DM2971">
        <v>0</v>
      </c>
      <c r="DN2971">
        <v>1</v>
      </c>
      <c r="DO2971">
        <v>0</v>
      </c>
      <c r="DP2971">
        <v>0</v>
      </c>
      <c r="DQ2971">
        <v>0</v>
      </c>
      <c r="DR2971">
        <v>0</v>
      </c>
      <c r="DS2971">
        <v>0</v>
      </c>
    </row>
    <row r="2972" spans="1:123" x14ac:dyDescent="0.3">
      <c r="A2972" t="str">
        <f>"10/04/2022 19:33:29.980"</f>
        <v>10/04/2022 19:33:29.980</v>
      </c>
      <c r="C2972" t="str">
        <f t="shared" si="1060"/>
        <v>FFDFD3C0</v>
      </c>
      <c r="D2972" t="s">
        <v>141</v>
      </c>
      <c r="E2972">
        <v>3</v>
      </c>
      <c r="H2972">
        <v>3</v>
      </c>
      <c r="I2972" t="s">
        <v>146</v>
      </c>
      <c r="J2972" t="s">
        <v>138</v>
      </c>
      <c r="K2972">
        <v>0</v>
      </c>
      <c r="L2972">
        <v>3</v>
      </c>
      <c r="M2972">
        <v>0</v>
      </c>
      <c r="N2972">
        <v>2</v>
      </c>
      <c r="O2972">
        <v>0</v>
      </c>
      <c r="P2972">
        <v>1</v>
      </c>
      <c r="Q2972">
        <v>0</v>
      </c>
      <c r="S2972" t="str">
        <f t="shared" si="1079"/>
        <v>19:33:29.000</v>
      </c>
      <c r="T2972" t="str">
        <f t="shared" si="1079"/>
        <v>19:33:29.000</v>
      </c>
      <c r="U2972" t="str">
        <f t="shared" si="1070"/>
        <v>AC3944</v>
      </c>
      <c r="V2972">
        <v>0</v>
      </c>
      <c r="W2972">
        <v>0</v>
      </c>
      <c r="X2972">
        <v>2</v>
      </c>
      <c r="Y2972">
        <v>0</v>
      </c>
      <c r="AA2972">
        <v>1</v>
      </c>
      <c r="AB2972">
        <v>8</v>
      </c>
      <c r="AC2972">
        <v>3</v>
      </c>
      <c r="AD2972">
        <v>0</v>
      </c>
      <c r="AE2972">
        <v>9</v>
      </c>
      <c r="AF2972" t="s">
        <v>138</v>
      </c>
      <c r="AG2972">
        <v>0</v>
      </c>
      <c r="AH2972">
        <v>3</v>
      </c>
      <c r="AI2972">
        <v>1</v>
      </c>
      <c r="AJ2972">
        <v>0</v>
      </c>
      <c r="AK2972" t="s">
        <v>1000</v>
      </c>
      <c r="AL2972">
        <v>32.720804000000001</v>
      </c>
      <c r="AM2972" t="s">
        <v>1001</v>
      </c>
      <c r="AN2972">
        <v>-116.75411200000001</v>
      </c>
      <c r="AO2972">
        <v>25</v>
      </c>
      <c r="AP2972">
        <v>3600</v>
      </c>
      <c r="AQ2972" t="s">
        <v>129</v>
      </c>
      <c r="AR2972">
        <v>-111</v>
      </c>
      <c r="AS2972">
        <v>-92</v>
      </c>
      <c r="AT2972">
        <v>-960</v>
      </c>
      <c r="BB2972">
        <v>1200</v>
      </c>
      <c r="BC2972">
        <v>1</v>
      </c>
      <c r="BD2972" t="str">
        <f t="shared" si="1071"/>
        <v xml:space="preserve">N887QR  </v>
      </c>
      <c r="BE2972">
        <v>1</v>
      </c>
      <c r="BG2972">
        <v>0</v>
      </c>
      <c r="BH2972">
        <v>0</v>
      </c>
      <c r="BI2972">
        <v>0</v>
      </c>
      <c r="BJ2972">
        <v>3250</v>
      </c>
      <c r="BK2972">
        <v>-350</v>
      </c>
      <c r="BL2972" t="s">
        <v>163</v>
      </c>
      <c r="BM2972">
        <v>1</v>
      </c>
      <c r="BN2972">
        <v>1</v>
      </c>
      <c r="BO2972">
        <v>1</v>
      </c>
      <c r="BP2972">
        <v>0</v>
      </c>
      <c r="BS2972">
        <v>0</v>
      </c>
      <c r="BT2972">
        <v>0</v>
      </c>
      <c r="BU2972">
        <v>0</v>
      </c>
      <c r="CE2972" t="str">
        <f t="shared" si="1080"/>
        <v>19:33:29.761</v>
      </c>
      <c r="CF2972">
        <v>761182988</v>
      </c>
      <c r="CS2972">
        <v>0</v>
      </c>
      <c r="CT2972">
        <v>2</v>
      </c>
      <c r="CU2972">
        <v>0</v>
      </c>
      <c r="CV2972">
        <v>2</v>
      </c>
      <c r="CW2972">
        <v>0</v>
      </c>
      <c r="CX2972">
        <v>3</v>
      </c>
      <c r="CY2972">
        <v>7</v>
      </c>
      <c r="CZ2972" t="s">
        <v>131</v>
      </c>
      <c r="DA2972">
        <v>286</v>
      </c>
      <c r="DB2972">
        <v>0</v>
      </c>
      <c r="DC2972" t="s">
        <v>132</v>
      </c>
      <c r="DD2972" t="s">
        <v>133</v>
      </c>
      <c r="DG2972">
        <v>860383</v>
      </c>
      <c r="DI2972">
        <v>1</v>
      </c>
      <c r="DJ2972">
        <v>0</v>
      </c>
      <c r="DK2972">
        <v>1</v>
      </c>
      <c r="DL2972">
        <v>0</v>
      </c>
      <c r="DM2972">
        <v>0</v>
      </c>
      <c r="DN2972">
        <v>1</v>
      </c>
      <c r="DO2972">
        <v>0</v>
      </c>
      <c r="DP2972">
        <v>0</v>
      </c>
      <c r="DQ2972">
        <v>0</v>
      </c>
      <c r="DR2972">
        <v>0</v>
      </c>
      <c r="DS2972">
        <v>0</v>
      </c>
    </row>
    <row r="2973" spans="1:123" x14ac:dyDescent="0.3">
      <c r="A2973" t="str">
        <f>"10/04/2022 19:33:29.980"</f>
        <v>10/04/2022 19:33:29.980</v>
      </c>
      <c r="C2973" t="str">
        <f t="shared" si="1060"/>
        <v>FFDFD3C0</v>
      </c>
      <c r="D2973" t="s">
        <v>147</v>
      </c>
      <c r="E2973">
        <v>3</v>
      </c>
      <c r="H2973">
        <v>166</v>
      </c>
      <c r="I2973" t="s">
        <v>144</v>
      </c>
      <c r="J2973" t="s">
        <v>148</v>
      </c>
      <c r="K2973">
        <v>0</v>
      </c>
      <c r="L2973">
        <v>3</v>
      </c>
      <c r="M2973">
        <v>0</v>
      </c>
      <c r="N2973">
        <v>2</v>
      </c>
      <c r="O2973">
        <v>0</v>
      </c>
      <c r="P2973">
        <v>1</v>
      </c>
      <c r="Q2973">
        <v>0</v>
      </c>
      <c r="S2973" t="str">
        <f t="shared" si="1079"/>
        <v>19:33:29.000</v>
      </c>
      <c r="T2973" t="str">
        <f t="shared" si="1079"/>
        <v>19:33:29.000</v>
      </c>
      <c r="U2973" t="str">
        <f t="shared" si="1070"/>
        <v>AC3944</v>
      </c>
      <c r="V2973">
        <v>0</v>
      </c>
      <c r="W2973">
        <v>0</v>
      </c>
      <c r="X2973">
        <v>2</v>
      </c>
      <c r="Y2973">
        <v>0</v>
      </c>
      <c r="AA2973">
        <v>1</v>
      </c>
      <c r="AB2973">
        <v>8</v>
      </c>
      <c r="AC2973">
        <v>3</v>
      </c>
      <c r="AD2973">
        <v>0</v>
      </c>
      <c r="AE2973">
        <v>9</v>
      </c>
      <c r="AF2973" t="s">
        <v>138</v>
      </c>
      <c r="AG2973">
        <v>0</v>
      </c>
      <c r="AH2973">
        <v>3</v>
      </c>
      <c r="AI2973">
        <v>1</v>
      </c>
      <c r="AJ2973">
        <v>0</v>
      </c>
      <c r="AK2973" t="s">
        <v>1000</v>
      </c>
      <c r="AL2973">
        <v>32.720804000000001</v>
      </c>
      <c r="AM2973" t="s">
        <v>1001</v>
      </c>
      <c r="AN2973">
        <v>-116.75411200000001</v>
      </c>
      <c r="AO2973">
        <v>25</v>
      </c>
      <c r="AP2973">
        <v>3600</v>
      </c>
      <c r="AQ2973" t="s">
        <v>129</v>
      </c>
      <c r="AR2973">
        <v>-111</v>
      </c>
      <c r="AS2973">
        <v>-92</v>
      </c>
      <c r="AT2973">
        <v>-960</v>
      </c>
      <c r="BB2973">
        <v>1200</v>
      </c>
      <c r="BC2973">
        <v>1</v>
      </c>
      <c r="BD2973" t="str">
        <f t="shared" si="1071"/>
        <v xml:space="preserve">N887QR  </v>
      </c>
      <c r="BE2973">
        <v>1</v>
      </c>
      <c r="BG2973">
        <v>0</v>
      </c>
      <c r="BH2973">
        <v>0</v>
      </c>
      <c r="BI2973">
        <v>0</v>
      </c>
      <c r="BJ2973">
        <v>3250</v>
      </c>
      <c r="BK2973">
        <v>-350</v>
      </c>
      <c r="BL2973" t="s">
        <v>163</v>
      </c>
      <c r="BM2973">
        <v>1</v>
      </c>
      <c r="BN2973">
        <v>1</v>
      </c>
      <c r="BO2973">
        <v>1</v>
      </c>
      <c r="BP2973">
        <v>0</v>
      </c>
      <c r="BS2973">
        <v>0</v>
      </c>
      <c r="BT2973">
        <v>0</v>
      </c>
      <c r="BU2973">
        <v>0</v>
      </c>
      <c r="CE2973" t="str">
        <f t="shared" si="1080"/>
        <v>19:33:29.761</v>
      </c>
      <c r="CF2973">
        <v>761182988</v>
      </c>
      <c r="CS2973">
        <v>0</v>
      </c>
      <c r="CT2973">
        <v>2</v>
      </c>
      <c r="CU2973">
        <v>0</v>
      </c>
      <c r="CV2973">
        <v>2</v>
      </c>
      <c r="CW2973">
        <v>0</v>
      </c>
      <c r="CX2973">
        <v>3</v>
      </c>
      <c r="CY2973">
        <v>7</v>
      </c>
      <c r="CZ2973" t="s">
        <v>131</v>
      </c>
      <c r="DA2973">
        <v>286</v>
      </c>
      <c r="DB2973">
        <v>0</v>
      </c>
      <c r="DC2973" t="s">
        <v>132</v>
      </c>
      <c r="DD2973" t="s">
        <v>133</v>
      </c>
      <c r="DG2973">
        <v>860383</v>
      </c>
      <c r="DI2973">
        <v>1</v>
      </c>
      <c r="DJ2973">
        <v>0</v>
      </c>
      <c r="DK2973">
        <v>1</v>
      </c>
      <c r="DL2973">
        <v>0</v>
      </c>
      <c r="DM2973">
        <v>0</v>
      </c>
      <c r="DN2973">
        <v>1</v>
      </c>
      <c r="DO2973">
        <v>0</v>
      </c>
      <c r="DP2973">
        <v>0</v>
      </c>
      <c r="DQ2973">
        <v>0</v>
      </c>
      <c r="DR2973">
        <v>0</v>
      </c>
      <c r="DS2973">
        <v>0</v>
      </c>
    </row>
    <row r="2974" spans="1:123" x14ac:dyDescent="0.3">
      <c r="A2974" t="str">
        <f>"10/04/2022 19:33:29.980"</f>
        <v>10/04/2022 19:33:29.980</v>
      </c>
      <c r="C2974" t="str">
        <f t="shared" si="1060"/>
        <v>FFDFD3C0</v>
      </c>
      <c r="D2974" t="s">
        <v>136</v>
      </c>
      <c r="E2974">
        <v>8</v>
      </c>
      <c r="H2974">
        <v>225</v>
      </c>
      <c r="I2974" t="s">
        <v>137</v>
      </c>
      <c r="J2974" t="s">
        <v>138</v>
      </c>
      <c r="K2974">
        <v>0</v>
      </c>
      <c r="L2974">
        <v>3</v>
      </c>
      <c r="M2974">
        <v>0</v>
      </c>
      <c r="N2974">
        <v>2</v>
      </c>
      <c r="O2974">
        <v>0</v>
      </c>
      <c r="P2974">
        <v>1</v>
      </c>
      <c r="Q2974">
        <v>0</v>
      </c>
      <c r="S2974" t="str">
        <f t="shared" si="1079"/>
        <v>19:33:29.000</v>
      </c>
      <c r="T2974" t="str">
        <f t="shared" si="1079"/>
        <v>19:33:29.000</v>
      </c>
      <c r="U2974" t="str">
        <f t="shared" si="1070"/>
        <v>AC3944</v>
      </c>
      <c r="V2974">
        <v>0</v>
      </c>
      <c r="W2974">
        <v>0</v>
      </c>
      <c r="X2974">
        <v>2</v>
      </c>
      <c r="Y2974">
        <v>0</v>
      </c>
      <c r="AA2974">
        <v>1</v>
      </c>
      <c r="AB2974">
        <v>8</v>
      </c>
      <c r="AC2974">
        <v>3</v>
      </c>
      <c r="AD2974">
        <v>0</v>
      </c>
      <c r="AE2974">
        <v>9</v>
      </c>
      <c r="AF2974" t="s">
        <v>138</v>
      </c>
      <c r="AG2974">
        <v>0</v>
      </c>
      <c r="AH2974">
        <v>3</v>
      </c>
      <c r="AI2974">
        <v>1</v>
      </c>
      <c r="AJ2974">
        <v>0</v>
      </c>
      <c r="AK2974" t="s">
        <v>1000</v>
      </c>
      <c r="AL2974">
        <v>32.720804000000001</v>
      </c>
      <c r="AM2974" t="s">
        <v>1001</v>
      </c>
      <c r="AN2974">
        <v>-116.75411200000001</v>
      </c>
      <c r="AO2974">
        <v>25</v>
      </c>
      <c r="AP2974">
        <v>3600</v>
      </c>
      <c r="AQ2974" t="s">
        <v>129</v>
      </c>
      <c r="AR2974">
        <v>-111</v>
      </c>
      <c r="AS2974">
        <v>-92</v>
      </c>
      <c r="AT2974">
        <v>-960</v>
      </c>
      <c r="BB2974">
        <v>1200</v>
      </c>
      <c r="BC2974">
        <v>1</v>
      </c>
      <c r="BD2974" t="str">
        <f t="shared" si="1071"/>
        <v xml:space="preserve">N887QR  </v>
      </c>
      <c r="BE2974">
        <v>1</v>
      </c>
      <c r="BG2974">
        <v>0</v>
      </c>
      <c r="BH2974">
        <v>0</v>
      </c>
      <c r="BI2974">
        <v>0</v>
      </c>
      <c r="BJ2974">
        <v>3250</v>
      </c>
      <c r="BK2974">
        <v>-350</v>
      </c>
      <c r="BL2974" t="s">
        <v>163</v>
      </c>
      <c r="BM2974">
        <v>1</v>
      </c>
      <c r="BN2974">
        <v>1</v>
      </c>
      <c r="BO2974">
        <v>1</v>
      </c>
      <c r="BP2974">
        <v>0</v>
      </c>
      <c r="BS2974">
        <v>0</v>
      </c>
      <c r="BT2974">
        <v>0</v>
      </c>
      <c r="BU2974">
        <v>0</v>
      </c>
      <c r="CE2974" t="str">
        <f t="shared" si="1080"/>
        <v>19:33:29.761</v>
      </c>
      <c r="CF2974">
        <v>761182988</v>
      </c>
      <c r="CS2974">
        <v>0</v>
      </c>
      <c r="CT2974">
        <v>2</v>
      </c>
      <c r="CU2974">
        <v>0</v>
      </c>
      <c r="CV2974">
        <v>2</v>
      </c>
      <c r="CW2974">
        <v>0</v>
      </c>
      <c r="CX2974">
        <v>3</v>
      </c>
      <c r="CY2974">
        <v>7</v>
      </c>
      <c r="CZ2974" t="s">
        <v>131</v>
      </c>
      <c r="DA2974">
        <v>286</v>
      </c>
      <c r="DB2974">
        <v>0</v>
      </c>
      <c r="DC2974" t="s">
        <v>132</v>
      </c>
      <c r="DD2974" t="s">
        <v>133</v>
      </c>
      <c r="DG2974">
        <v>860383</v>
      </c>
      <c r="DI2974">
        <v>1</v>
      </c>
      <c r="DJ2974">
        <v>0</v>
      </c>
      <c r="DK2974">
        <v>1</v>
      </c>
      <c r="DL2974">
        <v>0</v>
      </c>
      <c r="DM2974">
        <v>0</v>
      </c>
      <c r="DN2974">
        <v>1</v>
      </c>
      <c r="DO2974">
        <v>0</v>
      </c>
      <c r="DP2974">
        <v>0</v>
      </c>
      <c r="DQ2974">
        <v>0</v>
      </c>
      <c r="DR2974">
        <v>0</v>
      </c>
      <c r="DS2974">
        <v>0</v>
      </c>
    </row>
    <row r="2975" spans="1:123" x14ac:dyDescent="0.3">
      <c r="A2975" t="str">
        <f>"10/04/2022 19:33:29.980"</f>
        <v>10/04/2022 19:33:29.980</v>
      </c>
      <c r="C2975" t="str">
        <f t="shared" si="1060"/>
        <v>FFDFD3C0</v>
      </c>
      <c r="D2975" t="s">
        <v>123</v>
      </c>
      <c r="E2975">
        <v>7</v>
      </c>
      <c r="F2975">
        <v>2007</v>
      </c>
      <c r="G2975" t="s">
        <v>124</v>
      </c>
      <c r="J2975" t="s">
        <v>125</v>
      </c>
      <c r="K2975">
        <v>0</v>
      </c>
      <c r="L2975">
        <v>3</v>
      </c>
      <c r="M2975">
        <v>0</v>
      </c>
      <c r="N2975">
        <v>2</v>
      </c>
      <c r="O2975">
        <v>0</v>
      </c>
      <c r="P2975">
        <v>1</v>
      </c>
      <c r="Q2975">
        <v>0</v>
      </c>
      <c r="S2975" t="str">
        <f t="shared" si="1079"/>
        <v>19:33:29.000</v>
      </c>
      <c r="T2975" t="str">
        <f t="shared" si="1079"/>
        <v>19:33:29.000</v>
      </c>
      <c r="U2975" t="str">
        <f t="shared" si="1070"/>
        <v>AC3944</v>
      </c>
      <c r="V2975">
        <v>0</v>
      </c>
      <c r="W2975">
        <v>0</v>
      </c>
      <c r="X2975">
        <v>2</v>
      </c>
      <c r="Y2975">
        <v>0</v>
      </c>
      <c r="AA2975">
        <v>1</v>
      </c>
      <c r="AB2975">
        <v>8</v>
      </c>
      <c r="AC2975">
        <v>3</v>
      </c>
      <c r="AD2975">
        <v>0</v>
      </c>
      <c r="AE2975">
        <v>9</v>
      </c>
      <c r="AF2975" t="s">
        <v>138</v>
      </c>
      <c r="AG2975">
        <v>0</v>
      </c>
      <c r="AH2975">
        <v>3</v>
      </c>
      <c r="AI2975">
        <v>1</v>
      </c>
      <c r="AJ2975">
        <v>0</v>
      </c>
      <c r="AK2975" t="s">
        <v>1000</v>
      </c>
      <c r="AL2975">
        <v>32.720804000000001</v>
      </c>
      <c r="AM2975" t="s">
        <v>1001</v>
      </c>
      <c r="AN2975">
        <v>-116.75411200000001</v>
      </c>
      <c r="AO2975">
        <v>25</v>
      </c>
      <c r="AP2975">
        <v>3600</v>
      </c>
      <c r="AQ2975" t="s">
        <v>129</v>
      </c>
      <c r="AR2975">
        <v>-111</v>
      </c>
      <c r="AS2975">
        <v>-92</v>
      </c>
      <c r="AT2975">
        <v>-960</v>
      </c>
      <c r="BB2975">
        <v>1200</v>
      </c>
      <c r="BC2975">
        <v>1</v>
      </c>
      <c r="BD2975" t="str">
        <f t="shared" si="1071"/>
        <v xml:space="preserve">N887QR  </v>
      </c>
      <c r="BE2975">
        <v>1</v>
      </c>
      <c r="BG2975">
        <v>0</v>
      </c>
      <c r="BH2975">
        <v>0</v>
      </c>
      <c r="BI2975">
        <v>0</v>
      </c>
      <c r="BJ2975">
        <v>3250</v>
      </c>
      <c r="BK2975">
        <v>-350</v>
      </c>
      <c r="BL2975" t="s">
        <v>163</v>
      </c>
      <c r="BM2975">
        <v>1</v>
      </c>
      <c r="BN2975">
        <v>1</v>
      </c>
      <c r="BO2975">
        <v>1</v>
      </c>
      <c r="BP2975">
        <v>0</v>
      </c>
      <c r="BS2975">
        <v>0</v>
      </c>
      <c r="BT2975">
        <v>0</v>
      </c>
      <c r="BU2975">
        <v>0</v>
      </c>
      <c r="CE2975" t="str">
        <f t="shared" si="1080"/>
        <v>19:33:29.761</v>
      </c>
      <c r="CF2975">
        <v>761182988</v>
      </c>
      <c r="CS2975">
        <v>0</v>
      </c>
      <c r="CT2975">
        <v>2</v>
      </c>
      <c r="CU2975">
        <v>0</v>
      </c>
      <c r="CV2975">
        <v>2</v>
      </c>
      <c r="CW2975">
        <v>0</v>
      </c>
      <c r="CX2975">
        <v>3</v>
      </c>
      <c r="CY2975">
        <v>7</v>
      </c>
      <c r="CZ2975" t="s">
        <v>131</v>
      </c>
      <c r="DA2975">
        <v>286</v>
      </c>
      <c r="DB2975">
        <v>0</v>
      </c>
      <c r="DC2975" t="s">
        <v>132</v>
      </c>
      <c r="DD2975" t="s">
        <v>133</v>
      </c>
      <c r="DG2975">
        <v>860383</v>
      </c>
      <c r="DI2975">
        <v>1</v>
      </c>
      <c r="DJ2975">
        <v>0</v>
      </c>
      <c r="DK2975">
        <v>1</v>
      </c>
      <c r="DL2975">
        <v>0</v>
      </c>
      <c r="DM2975">
        <v>0</v>
      </c>
      <c r="DN2975">
        <v>1</v>
      </c>
      <c r="DO2975">
        <v>0</v>
      </c>
      <c r="DP2975">
        <v>0</v>
      </c>
      <c r="DQ2975">
        <v>0</v>
      </c>
      <c r="DR2975">
        <v>0</v>
      </c>
      <c r="DS2975">
        <v>0</v>
      </c>
    </row>
    <row r="2976" spans="1:123" x14ac:dyDescent="0.3">
      <c r="A2976" t="str">
        <f>"10/04/2022 19:33:30.027"</f>
        <v>10/04/2022 19:33:30.027</v>
      </c>
      <c r="C2976" t="str">
        <f t="shared" si="1060"/>
        <v>FFDFD3C0</v>
      </c>
      <c r="D2976" t="s">
        <v>134</v>
      </c>
      <c r="E2976">
        <v>15</v>
      </c>
      <c r="J2976" t="s">
        <v>135</v>
      </c>
      <c r="K2976">
        <v>0</v>
      </c>
      <c r="L2976">
        <v>3</v>
      </c>
      <c r="M2976">
        <v>0</v>
      </c>
      <c r="N2976">
        <v>2</v>
      </c>
      <c r="O2976">
        <v>0</v>
      </c>
      <c r="P2976">
        <v>1</v>
      </c>
      <c r="Q2976">
        <v>0</v>
      </c>
      <c r="S2976" t="str">
        <f t="shared" si="1079"/>
        <v>19:33:29.000</v>
      </c>
      <c r="T2976" t="str">
        <f t="shared" si="1079"/>
        <v>19:33:29.000</v>
      </c>
      <c r="U2976" t="str">
        <f t="shared" si="1070"/>
        <v>AC3944</v>
      </c>
      <c r="V2976">
        <v>0</v>
      </c>
      <c r="W2976">
        <v>0</v>
      </c>
      <c r="X2976">
        <v>2</v>
      </c>
      <c r="Y2976">
        <v>0</v>
      </c>
      <c r="AA2976">
        <v>1</v>
      </c>
      <c r="AB2976">
        <v>8</v>
      </c>
      <c r="AC2976">
        <v>3</v>
      </c>
      <c r="AD2976">
        <v>0</v>
      </c>
      <c r="AE2976">
        <v>9</v>
      </c>
      <c r="AF2976" t="s">
        <v>138</v>
      </c>
      <c r="AG2976">
        <v>0</v>
      </c>
      <c r="AH2976">
        <v>3</v>
      </c>
      <c r="AI2976">
        <v>1</v>
      </c>
      <c r="AJ2976">
        <v>0</v>
      </c>
      <c r="AK2976" t="s">
        <v>1000</v>
      </c>
      <c r="AL2976">
        <v>32.720804000000001</v>
      </c>
      <c r="AM2976" t="s">
        <v>1001</v>
      </c>
      <c r="AN2976">
        <v>-116.75411200000001</v>
      </c>
      <c r="AO2976">
        <v>25</v>
      </c>
      <c r="AP2976">
        <v>3600</v>
      </c>
      <c r="AQ2976" t="s">
        <v>129</v>
      </c>
      <c r="AR2976">
        <v>-111</v>
      </c>
      <c r="AS2976">
        <v>-92</v>
      </c>
      <c r="AT2976">
        <v>-960</v>
      </c>
      <c r="BB2976">
        <v>1200</v>
      </c>
      <c r="BC2976">
        <v>1</v>
      </c>
      <c r="BD2976" t="str">
        <f t="shared" si="1071"/>
        <v xml:space="preserve">N887QR  </v>
      </c>
      <c r="BE2976">
        <v>1</v>
      </c>
      <c r="BG2976">
        <v>0</v>
      </c>
      <c r="BH2976">
        <v>0</v>
      </c>
      <c r="BI2976">
        <v>0</v>
      </c>
      <c r="BJ2976">
        <v>3250</v>
      </c>
      <c r="BK2976">
        <v>-350</v>
      </c>
      <c r="BL2976" t="s">
        <v>163</v>
      </c>
      <c r="BM2976">
        <v>1</v>
      </c>
      <c r="BN2976">
        <v>1</v>
      </c>
      <c r="BO2976">
        <v>1</v>
      </c>
      <c r="BP2976">
        <v>0</v>
      </c>
      <c r="BS2976">
        <v>0</v>
      </c>
      <c r="BT2976">
        <v>0</v>
      </c>
      <c r="BU2976">
        <v>0</v>
      </c>
      <c r="CE2976" t="str">
        <f t="shared" si="1080"/>
        <v>19:33:29.761</v>
      </c>
      <c r="CF2976">
        <v>761182988</v>
      </c>
      <c r="CS2976">
        <v>0</v>
      </c>
      <c r="CT2976">
        <v>2</v>
      </c>
      <c r="CU2976">
        <v>0</v>
      </c>
      <c r="CV2976">
        <v>2</v>
      </c>
      <c r="CW2976">
        <v>0</v>
      </c>
      <c r="CX2976">
        <v>3</v>
      </c>
      <c r="CY2976">
        <v>7</v>
      </c>
      <c r="CZ2976" t="s">
        <v>131</v>
      </c>
      <c r="DA2976">
        <v>286</v>
      </c>
      <c r="DB2976">
        <v>0</v>
      </c>
      <c r="DC2976" t="s">
        <v>132</v>
      </c>
      <c r="DD2976" t="s">
        <v>133</v>
      </c>
      <c r="DG2976">
        <v>860383</v>
      </c>
      <c r="DI2976">
        <v>1</v>
      </c>
      <c r="DJ2976">
        <v>0</v>
      </c>
      <c r="DK2976">
        <v>0</v>
      </c>
      <c r="DL2976">
        <v>0</v>
      </c>
      <c r="DM2976">
        <v>0</v>
      </c>
      <c r="DN2976">
        <v>1</v>
      </c>
      <c r="DO2976">
        <v>0</v>
      </c>
      <c r="DP2976">
        <v>0</v>
      </c>
      <c r="DQ2976">
        <v>0</v>
      </c>
      <c r="DR2976">
        <v>0</v>
      </c>
      <c r="DS2976">
        <v>0</v>
      </c>
    </row>
    <row r="2977" spans="1:123" x14ac:dyDescent="0.3">
      <c r="A2977" t="str">
        <f>"10/04/2022 19:33:30.075"</f>
        <v>10/04/2022 19:33:30.075</v>
      </c>
      <c r="C2977" t="str">
        <f t="shared" si="1060"/>
        <v>FFDFD3C0</v>
      </c>
      <c r="D2977" t="s">
        <v>141</v>
      </c>
      <c r="E2977">
        <v>4</v>
      </c>
      <c r="H2977">
        <v>4</v>
      </c>
      <c r="I2977" t="s">
        <v>142</v>
      </c>
      <c r="J2977" t="s">
        <v>138</v>
      </c>
      <c r="K2977">
        <v>0</v>
      </c>
      <c r="L2977">
        <v>3</v>
      </c>
      <c r="M2977">
        <v>0</v>
      </c>
      <c r="N2977">
        <v>2</v>
      </c>
      <c r="O2977">
        <v>0</v>
      </c>
      <c r="P2977">
        <v>1</v>
      </c>
      <c r="Q2977">
        <v>0</v>
      </c>
      <c r="S2977" t="str">
        <f t="shared" si="1079"/>
        <v>19:33:29.000</v>
      </c>
      <c r="T2977" t="str">
        <f t="shared" si="1079"/>
        <v>19:33:29.000</v>
      </c>
      <c r="U2977" t="str">
        <f t="shared" si="1070"/>
        <v>AC3944</v>
      </c>
      <c r="V2977">
        <v>0</v>
      </c>
      <c r="W2977">
        <v>0</v>
      </c>
      <c r="X2977">
        <v>2</v>
      </c>
      <c r="Y2977">
        <v>0</v>
      </c>
      <c r="AA2977">
        <v>1</v>
      </c>
      <c r="AB2977">
        <v>8</v>
      </c>
      <c r="AC2977">
        <v>3</v>
      </c>
      <c r="AD2977">
        <v>0</v>
      </c>
      <c r="AE2977">
        <v>9</v>
      </c>
      <c r="AF2977" t="s">
        <v>138</v>
      </c>
      <c r="AG2977">
        <v>0</v>
      </c>
      <c r="AH2977">
        <v>3</v>
      </c>
      <c r="AI2977">
        <v>1</v>
      </c>
      <c r="AJ2977">
        <v>0</v>
      </c>
      <c r="AK2977" t="s">
        <v>1000</v>
      </c>
      <c r="AL2977">
        <v>32.720804000000001</v>
      </c>
      <c r="AM2977" t="s">
        <v>1001</v>
      </c>
      <c r="AN2977">
        <v>-116.75411200000001</v>
      </c>
      <c r="AO2977">
        <v>25</v>
      </c>
      <c r="AP2977">
        <v>3600</v>
      </c>
      <c r="AQ2977" t="s">
        <v>129</v>
      </c>
      <c r="AR2977">
        <v>-111</v>
      </c>
      <c r="AS2977">
        <v>-92</v>
      </c>
      <c r="AT2977">
        <v>-960</v>
      </c>
      <c r="BB2977">
        <v>1200</v>
      </c>
      <c r="BC2977">
        <v>1</v>
      </c>
      <c r="BD2977" t="str">
        <f t="shared" si="1071"/>
        <v xml:space="preserve">N887QR  </v>
      </c>
      <c r="BE2977">
        <v>1</v>
      </c>
      <c r="BG2977">
        <v>0</v>
      </c>
      <c r="BH2977">
        <v>0</v>
      </c>
      <c r="BI2977">
        <v>0</v>
      </c>
      <c r="BJ2977">
        <v>3250</v>
      </c>
      <c r="BK2977">
        <v>-350</v>
      </c>
      <c r="BL2977" t="s">
        <v>163</v>
      </c>
      <c r="BM2977">
        <v>1</v>
      </c>
      <c r="BN2977">
        <v>1</v>
      </c>
      <c r="BO2977">
        <v>1</v>
      </c>
      <c r="BP2977">
        <v>0</v>
      </c>
      <c r="BS2977">
        <v>0</v>
      </c>
      <c r="BT2977">
        <v>0</v>
      </c>
      <c r="BU2977">
        <v>0</v>
      </c>
      <c r="CE2977" t="str">
        <f t="shared" si="1080"/>
        <v>19:33:29.761</v>
      </c>
      <c r="CF2977">
        <v>761182988</v>
      </c>
      <c r="CS2977">
        <v>0</v>
      </c>
      <c r="CT2977">
        <v>2</v>
      </c>
      <c r="CU2977">
        <v>0</v>
      </c>
      <c r="CV2977">
        <v>2</v>
      </c>
      <c r="CW2977">
        <v>0</v>
      </c>
      <c r="CX2977">
        <v>3</v>
      </c>
      <c r="CY2977">
        <v>7</v>
      </c>
      <c r="CZ2977" t="s">
        <v>131</v>
      </c>
      <c r="DA2977">
        <v>286</v>
      </c>
      <c r="DB2977">
        <v>0</v>
      </c>
      <c r="DC2977" t="s">
        <v>132</v>
      </c>
      <c r="DD2977" t="s">
        <v>133</v>
      </c>
      <c r="DG2977">
        <v>860383</v>
      </c>
      <c r="DI2977">
        <v>1</v>
      </c>
      <c r="DJ2977">
        <v>0</v>
      </c>
      <c r="DK2977">
        <v>1</v>
      </c>
      <c r="DL2977">
        <v>0</v>
      </c>
      <c r="DM2977">
        <v>0</v>
      </c>
      <c r="DN2977">
        <v>1</v>
      </c>
      <c r="DO2977">
        <v>0</v>
      </c>
      <c r="DP2977">
        <v>0</v>
      </c>
      <c r="DQ2977">
        <v>0</v>
      </c>
      <c r="DR2977">
        <v>0</v>
      </c>
      <c r="DS2977">
        <v>0</v>
      </c>
    </row>
    <row r="2978" spans="1:123" x14ac:dyDescent="0.3">
      <c r="A2978" t="str">
        <f t="shared" ref="A2978:A2984" si="1081">"10/04/2022 19:33:32.354"</f>
        <v>10/04/2022 19:33:32.354</v>
      </c>
      <c r="C2978" t="str">
        <f t="shared" si="1060"/>
        <v>FFDFD3C0</v>
      </c>
      <c r="D2978" t="s">
        <v>134</v>
      </c>
      <c r="E2978">
        <v>15</v>
      </c>
      <c r="J2978" t="s">
        <v>135</v>
      </c>
      <c r="K2978">
        <v>0</v>
      </c>
      <c r="L2978">
        <v>3</v>
      </c>
      <c r="M2978">
        <v>0</v>
      </c>
      <c r="N2978">
        <v>2</v>
      </c>
      <c r="O2978">
        <v>0</v>
      </c>
      <c r="P2978">
        <v>1</v>
      </c>
      <c r="Q2978">
        <v>0</v>
      </c>
      <c r="S2978" t="str">
        <f t="shared" ref="S2978:T2984" si="1082">"19:33:32.000"</f>
        <v>19:33:32.000</v>
      </c>
      <c r="T2978" t="str">
        <f t="shared" si="1082"/>
        <v>19:33:32.000</v>
      </c>
      <c r="U2978" t="str">
        <f t="shared" si="1070"/>
        <v>AC3944</v>
      </c>
      <c r="V2978">
        <v>0</v>
      </c>
      <c r="W2978">
        <v>0</v>
      </c>
      <c r="X2978">
        <v>2</v>
      </c>
      <c r="Y2978">
        <v>0</v>
      </c>
      <c r="AA2978">
        <v>1</v>
      </c>
      <c r="AB2978">
        <v>8</v>
      </c>
      <c r="AC2978">
        <v>3</v>
      </c>
      <c r="AD2978">
        <v>0</v>
      </c>
      <c r="AE2978">
        <v>9</v>
      </c>
      <c r="AF2978" t="s">
        <v>138</v>
      </c>
      <c r="AG2978">
        <v>0</v>
      </c>
      <c r="AH2978">
        <v>3</v>
      </c>
      <c r="AI2978">
        <v>1</v>
      </c>
      <c r="AJ2978">
        <v>0</v>
      </c>
      <c r="AK2978" t="s">
        <v>1002</v>
      </c>
      <c r="AL2978">
        <v>32.719903000000002</v>
      </c>
      <c r="AM2978" t="s">
        <v>1003</v>
      </c>
      <c r="AN2978">
        <v>-116.75550699999999</v>
      </c>
      <c r="AO2978">
        <v>25</v>
      </c>
      <c r="AP2978">
        <v>3600</v>
      </c>
      <c r="AQ2978" t="s">
        <v>129</v>
      </c>
      <c r="AR2978">
        <v>-112</v>
      </c>
      <c r="AS2978">
        <v>-89</v>
      </c>
      <c r="AT2978">
        <v>-896</v>
      </c>
      <c r="BB2978">
        <v>1200</v>
      </c>
      <c r="BC2978">
        <v>1</v>
      </c>
      <c r="BD2978" t="str">
        <f t="shared" si="1071"/>
        <v xml:space="preserve">N887QR  </v>
      </c>
      <c r="BE2978">
        <v>1</v>
      </c>
      <c r="BG2978">
        <v>0</v>
      </c>
      <c r="BH2978">
        <v>0</v>
      </c>
      <c r="BI2978">
        <v>0</v>
      </c>
      <c r="BJ2978">
        <v>3250</v>
      </c>
      <c r="BK2978">
        <v>-350</v>
      </c>
      <c r="BL2978" t="s">
        <v>163</v>
      </c>
      <c r="BM2978">
        <v>1</v>
      </c>
      <c r="BN2978">
        <v>1</v>
      </c>
      <c r="BO2978">
        <v>1</v>
      </c>
      <c r="BP2978">
        <v>0</v>
      </c>
      <c r="BS2978">
        <v>0</v>
      </c>
      <c r="BT2978">
        <v>0</v>
      </c>
      <c r="BU2978">
        <v>0</v>
      </c>
      <c r="CE2978" t="str">
        <f t="shared" ref="CE2978:CE2984" si="1083">"19:33:32.049"</f>
        <v>19:33:32.049</v>
      </c>
      <c r="CF2978">
        <v>49189753</v>
      </c>
      <c r="CS2978">
        <v>0</v>
      </c>
      <c r="CT2978">
        <v>2</v>
      </c>
      <c r="CU2978">
        <v>0</v>
      </c>
      <c r="CV2978">
        <v>2</v>
      </c>
      <c r="CW2978">
        <v>0</v>
      </c>
      <c r="CX2978">
        <v>6</v>
      </c>
      <c r="CY2978">
        <v>7</v>
      </c>
      <c r="CZ2978" t="s">
        <v>131</v>
      </c>
      <c r="DA2978">
        <v>286</v>
      </c>
      <c r="DB2978">
        <v>0</v>
      </c>
      <c r="DC2978" t="s">
        <v>132</v>
      </c>
      <c r="DD2978" t="s">
        <v>133</v>
      </c>
      <c r="DG2978">
        <v>860957</v>
      </c>
      <c r="DI2978">
        <v>1</v>
      </c>
      <c r="DJ2978">
        <v>0</v>
      </c>
      <c r="DK2978">
        <v>0</v>
      </c>
      <c r="DL2978">
        <v>0</v>
      </c>
      <c r="DM2978">
        <v>0</v>
      </c>
      <c r="DN2978">
        <v>1</v>
      </c>
      <c r="DO2978">
        <v>0</v>
      </c>
      <c r="DP2978">
        <v>0</v>
      </c>
      <c r="DQ2978">
        <v>0</v>
      </c>
      <c r="DR2978">
        <v>0</v>
      </c>
      <c r="DS2978">
        <v>0</v>
      </c>
    </row>
    <row r="2979" spans="1:123" x14ac:dyDescent="0.3">
      <c r="A2979" t="str">
        <f t="shared" si="1081"/>
        <v>10/04/2022 19:33:32.354</v>
      </c>
      <c r="C2979" t="str">
        <f t="shared" si="1060"/>
        <v>FFDFD3C0</v>
      </c>
      <c r="D2979" t="s">
        <v>143</v>
      </c>
      <c r="E2979">
        <v>20</v>
      </c>
      <c r="F2979">
        <v>1020</v>
      </c>
      <c r="G2979" t="s">
        <v>144</v>
      </c>
      <c r="J2979" t="s">
        <v>145</v>
      </c>
      <c r="K2979">
        <v>0</v>
      </c>
      <c r="L2979">
        <v>3</v>
      </c>
      <c r="M2979">
        <v>0</v>
      </c>
      <c r="N2979">
        <v>2</v>
      </c>
      <c r="O2979">
        <v>0</v>
      </c>
      <c r="P2979">
        <v>1</v>
      </c>
      <c r="Q2979">
        <v>0</v>
      </c>
      <c r="S2979" t="str">
        <f t="shared" si="1082"/>
        <v>19:33:32.000</v>
      </c>
      <c r="T2979" t="str">
        <f t="shared" si="1082"/>
        <v>19:33:32.000</v>
      </c>
      <c r="U2979" t="str">
        <f t="shared" si="1070"/>
        <v>AC3944</v>
      </c>
      <c r="V2979">
        <v>0</v>
      </c>
      <c r="W2979">
        <v>0</v>
      </c>
      <c r="X2979">
        <v>2</v>
      </c>
      <c r="Y2979">
        <v>0</v>
      </c>
      <c r="AA2979">
        <v>1</v>
      </c>
      <c r="AB2979">
        <v>8</v>
      </c>
      <c r="AC2979">
        <v>3</v>
      </c>
      <c r="AD2979">
        <v>0</v>
      </c>
      <c r="AE2979">
        <v>9</v>
      </c>
      <c r="AF2979" t="s">
        <v>138</v>
      </c>
      <c r="AG2979">
        <v>0</v>
      </c>
      <c r="AH2979">
        <v>3</v>
      </c>
      <c r="AI2979">
        <v>1</v>
      </c>
      <c r="AJ2979">
        <v>0</v>
      </c>
      <c r="AK2979" t="s">
        <v>1002</v>
      </c>
      <c r="AL2979">
        <v>32.719903000000002</v>
      </c>
      <c r="AM2979" t="s">
        <v>1003</v>
      </c>
      <c r="AN2979">
        <v>-116.75550699999999</v>
      </c>
      <c r="AO2979">
        <v>25</v>
      </c>
      <c r="AP2979">
        <v>3600</v>
      </c>
      <c r="AQ2979" t="s">
        <v>129</v>
      </c>
      <c r="AR2979">
        <v>-112</v>
      </c>
      <c r="AS2979">
        <v>-89</v>
      </c>
      <c r="AT2979">
        <v>-896</v>
      </c>
      <c r="BB2979">
        <v>1200</v>
      </c>
      <c r="BC2979">
        <v>1</v>
      </c>
      <c r="BD2979" t="str">
        <f t="shared" si="1071"/>
        <v xml:space="preserve">N887QR  </v>
      </c>
      <c r="BE2979">
        <v>1</v>
      </c>
      <c r="BG2979">
        <v>0</v>
      </c>
      <c r="BH2979">
        <v>0</v>
      </c>
      <c r="BI2979">
        <v>0</v>
      </c>
      <c r="BJ2979">
        <v>3250</v>
      </c>
      <c r="BK2979">
        <v>-350</v>
      </c>
      <c r="BL2979" t="s">
        <v>163</v>
      </c>
      <c r="BM2979">
        <v>1</v>
      </c>
      <c r="BN2979">
        <v>1</v>
      </c>
      <c r="BO2979">
        <v>1</v>
      </c>
      <c r="BP2979">
        <v>0</v>
      </c>
      <c r="BS2979">
        <v>0</v>
      </c>
      <c r="BT2979">
        <v>0</v>
      </c>
      <c r="BU2979">
        <v>0</v>
      </c>
      <c r="CE2979" t="str">
        <f t="shared" si="1083"/>
        <v>19:33:32.049</v>
      </c>
      <c r="CF2979">
        <v>49189753</v>
      </c>
      <c r="CS2979">
        <v>0</v>
      </c>
      <c r="CT2979">
        <v>2</v>
      </c>
      <c r="CU2979">
        <v>0</v>
      </c>
      <c r="CV2979">
        <v>2</v>
      </c>
      <c r="CW2979">
        <v>0</v>
      </c>
      <c r="CX2979">
        <v>6</v>
      </c>
      <c r="CY2979">
        <v>7</v>
      </c>
      <c r="CZ2979" t="s">
        <v>131</v>
      </c>
      <c r="DA2979">
        <v>286</v>
      </c>
      <c r="DB2979">
        <v>0</v>
      </c>
      <c r="DC2979" t="s">
        <v>132</v>
      </c>
      <c r="DD2979" t="s">
        <v>133</v>
      </c>
      <c r="DG2979">
        <v>860957</v>
      </c>
      <c r="DI2979">
        <v>1</v>
      </c>
      <c r="DJ2979">
        <v>0</v>
      </c>
      <c r="DK2979">
        <v>1</v>
      </c>
      <c r="DL2979">
        <v>0</v>
      </c>
      <c r="DM2979">
        <v>0</v>
      </c>
      <c r="DN2979">
        <v>1</v>
      </c>
      <c r="DO2979">
        <v>0</v>
      </c>
      <c r="DP2979">
        <v>0</v>
      </c>
      <c r="DQ2979">
        <v>0</v>
      </c>
      <c r="DR2979">
        <v>0</v>
      </c>
      <c r="DS2979">
        <v>0</v>
      </c>
    </row>
    <row r="2980" spans="1:123" x14ac:dyDescent="0.3">
      <c r="A2980" t="str">
        <f t="shared" si="1081"/>
        <v>10/04/2022 19:33:32.354</v>
      </c>
      <c r="C2980" t="str">
        <f t="shared" si="1060"/>
        <v>FFDFD3C0</v>
      </c>
      <c r="D2980" t="s">
        <v>123</v>
      </c>
      <c r="E2980">
        <v>7</v>
      </c>
      <c r="F2980">
        <v>2007</v>
      </c>
      <c r="G2980" t="s">
        <v>124</v>
      </c>
      <c r="J2980" t="s">
        <v>125</v>
      </c>
      <c r="K2980">
        <v>0</v>
      </c>
      <c r="L2980">
        <v>3</v>
      </c>
      <c r="M2980">
        <v>0</v>
      </c>
      <c r="N2980">
        <v>2</v>
      </c>
      <c r="O2980">
        <v>0</v>
      </c>
      <c r="P2980">
        <v>1</v>
      </c>
      <c r="Q2980">
        <v>0</v>
      </c>
      <c r="S2980" t="str">
        <f t="shared" si="1082"/>
        <v>19:33:32.000</v>
      </c>
      <c r="T2980" t="str">
        <f t="shared" si="1082"/>
        <v>19:33:32.000</v>
      </c>
      <c r="U2980" t="str">
        <f t="shared" si="1070"/>
        <v>AC3944</v>
      </c>
      <c r="V2980">
        <v>0</v>
      </c>
      <c r="W2980">
        <v>0</v>
      </c>
      <c r="X2980">
        <v>2</v>
      </c>
      <c r="Y2980">
        <v>0</v>
      </c>
      <c r="AA2980">
        <v>1</v>
      </c>
      <c r="AB2980">
        <v>8</v>
      </c>
      <c r="AC2980">
        <v>3</v>
      </c>
      <c r="AD2980">
        <v>0</v>
      </c>
      <c r="AE2980">
        <v>9</v>
      </c>
      <c r="AF2980" t="s">
        <v>138</v>
      </c>
      <c r="AG2980">
        <v>0</v>
      </c>
      <c r="AH2980">
        <v>3</v>
      </c>
      <c r="AI2980">
        <v>1</v>
      </c>
      <c r="AJ2980">
        <v>0</v>
      </c>
      <c r="AK2980" t="s">
        <v>1002</v>
      </c>
      <c r="AL2980">
        <v>32.719903000000002</v>
      </c>
      <c r="AM2980" t="s">
        <v>1003</v>
      </c>
      <c r="AN2980">
        <v>-116.75550699999999</v>
      </c>
      <c r="AO2980">
        <v>25</v>
      </c>
      <c r="AP2980">
        <v>3600</v>
      </c>
      <c r="AQ2980" t="s">
        <v>129</v>
      </c>
      <c r="AR2980">
        <v>-112</v>
      </c>
      <c r="AS2980">
        <v>-89</v>
      </c>
      <c r="AT2980">
        <v>-896</v>
      </c>
      <c r="BB2980">
        <v>1200</v>
      </c>
      <c r="BC2980">
        <v>1</v>
      </c>
      <c r="BD2980" t="str">
        <f t="shared" si="1071"/>
        <v xml:space="preserve">N887QR  </v>
      </c>
      <c r="BE2980">
        <v>1</v>
      </c>
      <c r="BG2980">
        <v>0</v>
      </c>
      <c r="BH2980">
        <v>0</v>
      </c>
      <c r="BI2980">
        <v>0</v>
      </c>
      <c r="BJ2980">
        <v>3250</v>
      </c>
      <c r="BK2980">
        <v>-350</v>
      </c>
      <c r="BL2980" t="s">
        <v>163</v>
      </c>
      <c r="BM2980">
        <v>1</v>
      </c>
      <c r="BN2980">
        <v>1</v>
      </c>
      <c r="BO2980">
        <v>1</v>
      </c>
      <c r="BP2980">
        <v>0</v>
      </c>
      <c r="BS2980">
        <v>0</v>
      </c>
      <c r="BT2980">
        <v>0</v>
      </c>
      <c r="BU2980">
        <v>0</v>
      </c>
      <c r="CE2980" t="str">
        <f t="shared" si="1083"/>
        <v>19:33:32.049</v>
      </c>
      <c r="CF2980">
        <v>49189753</v>
      </c>
      <c r="CS2980">
        <v>0</v>
      </c>
      <c r="CT2980">
        <v>2</v>
      </c>
      <c r="CU2980">
        <v>0</v>
      </c>
      <c r="CV2980">
        <v>2</v>
      </c>
      <c r="CW2980">
        <v>0</v>
      </c>
      <c r="CX2980">
        <v>6</v>
      </c>
      <c r="CY2980">
        <v>7</v>
      </c>
      <c r="CZ2980" t="s">
        <v>131</v>
      </c>
      <c r="DA2980">
        <v>286</v>
      </c>
      <c r="DB2980">
        <v>0</v>
      </c>
      <c r="DC2980" t="s">
        <v>132</v>
      </c>
      <c r="DD2980" t="s">
        <v>133</v>
      </c>
      <c r="DG2980">
        <v>860957</v>
      </c>
      <c r="DI2980">
        <v>1</v>
      </c>
      <c r="DJ2980">
        <v>0</v>
      </c>
      <c r="DK2980">
        <v>1</v>
      </c>
      <c r="DL2980">
        <v>0</v>
      </c>
      <c r="DM2980">
        <v>0</v>
      </c>
      <c r="DN2980">
        <v>1</v>
      </c>
      <c r="DO2980">
        <v>0</v>
      </c>
      <c r="DP2980">
        <v>0</v>
      </c>
      <c r="DQ2980">
        <v>0</v>
      </c>
      <c r="DR2980">
        <v>0</v>
      </c>
      <c r="DS2980">
        <v>0</v>
      </c>
    </row>
    <row r="2981" spans="1:123" x14ac:dyDescent="0.3">
      <c r="A2981" t="str">
        <f t="shared" si="1081"/>
        <v>10/04/2022 19:33:32.354</v>
      </c>
      <c r="C2981" t="str">
        <f t="shared" si="1060"/>
        <v>FFDFD3C0</v>
      </c>
      <c r="D2981" t="s">
        <v>141</v>
      </c>
      <c r="E2981">
        <v>3</v>
      </c>
      <c r="H2981">
        <v>3</v>
      </c>
      <c r="I2981" t="s">
        <v>146</v>
      </c>
      <c r="J2981" t="s">
        <v>138</v>
      </c>
      <c r="K2981">
        <v>0</v>
      </c>
      <c r="L2981">
        <v>3</v>
      </c>
      <c r="M2981">
        <v>0</v>
      </c>
      <c r="N2981">
        <v>2</v>
      </c>
      <c r="O2981">
        <v>0</v>
      </c>
      <c r="P2981">
        <v>1</v>
      </c>
      <c r="Q2981">
        <v>0</v>
      </c>
      <c r="S2981" t="str">
        <f t="shared" si="1082"/>
        <v>19:33:32.000</v>
      </c>
      <c r="T2981" t="str">
        <f t="shared" si="1082"/>
        <v>19:33:32.000</v>
      </c>
      <c r="U2981" t="str">
        <f t="shared" si="1070"/>
        <v>AC3944</v>
      </c>
      <c r="V2981">
        <v>0</v>
      </c>
      <c r="W2981">
        <v>0</v>
      </c>
      <c r="X2981">
        <v>2</v>
      </c>
      <c r="Y2981">
        <v>0</v>
      </c>
      <c r="AA2981">
        <v>1</v>
      </c>
      <c r="AB2981">
        <v>8</v>
      </c>
      <c r="AC2981">
        <v>3</v>
      </c>
      <c r="AD2981">
        <v>0</v>
      </c>
      <c r="AE2981">
        <v>9</v>
      </c>
      <c r="AF2981" t="s">
        <v>138</v>
      </c>
      <c r="AG2981">
        <v>0</v>
      </c>
      <c r="AH2981">
        <v>3</v>
      </c>
      <c r="AI2981">
        <v>1</v>
      </c>
      <c r="AJ2981">
        <v>0</v>
      </c>
      <c r="AK2981" t="s">
        <v>1002</v>
      </c>
      <c r="AL2981">
        <v>32.719903000000002</v>
      </c>
      <c r="AM2981" t="s">
        <v>1003</v>
      </c>
      <c r="AN2981">
        <v>-116.75550699999999</v>
      </c>
      <c r="AO2981">
        <v>25</v>
      </c>
      <c r="AP2981">
        <v>3600</v>
      </c>
      <c r="AQ2981" t="s">
        <v>129</v>
      </c>
      <c r="AR2981">
        <v>-112</v>
      </c>
      <c r="AS2981">
        <v>-89</v>
      </c>
      <c r="AT2981">
        <v>-896</v>
      </c>
      <c r="BB2981">
        <v>1200</v>
      </c>
      <c r="BC2981">
        <v>1</v>
      </c>
      <c r="BD2981" t="str">
        <f t="shared" si="1071"/>
        <v xml:space="preserve">N887QR  </v>
      </c>
      <c r="BE2981">
        <v>1</v>
      </c>
      <c r="BG2981">
        <v>0</v>
      </c>
      <c r="BH2981">
        <v>0</v>
      </c>
      <c r="BI2981">
        <v>0</v>
      </c>
      <c r="BJ2981">
        <v>3250</v>
      </c>
      <c r="BK2981">
        <v>-350</v>
      </c>
      <c r="BL2981" t="s">
        <v>163</v>
      </c>
      <c r="BM2981">
        <v>1</v>
      </c>
      <c r="BN2981">
        <v>1</v>
      </c>
      <c r="BO2981">
        <v>1</v>
      </c>
      <c r="BP2981">
        <v>0</v>
      </c>
      <c r="BS2981">
        <v>0</v>
      </c>
      <c r="BT2981">
        <v>0</v>
      </c>
      <c r="BU2981">
        <v>0</v>
      </c>
      <c r="CE2981" t="str">
        <f t="shared" si="1083"/>
        <v>19:33:32.049</v>
      </c>
      <c r="CF2981">
        <v>49189753</v>
      </c>
      <c r="CS2981">
        <v>0</v>
      </c>
      <c r="CT2981">
        <v>2</v>
      </c>
      <c r="CU2981">
        <v>0</v>
      </c>
      <c r="CV2981">
        <v>2</v>
      </c>
      <c r="CW2981">
        <v>0</v>
      </c>
      <c r="CX2981">
        <v>6</v>
      </c>
      <c r="CY2981">
        <v>7</v>
      </c>
      <c r="CZ2981" t="s">
        <v>131</v>
      </c>
      <c r="DA2981">
        <v>286</v>
      </c>
      <c r="DB2981">
        <v>0</v>
      </c>
      <c r="DC2981" t="s">
        <v>132</v>
      </c>
      <c r="DD2981" t="s">
        <v>133</v>
      </c>
      <c r="DG2981">
        <v>860957</v>
      </c>
      <c r="DI2981">
        <v>1</v>
      </c>
      <c r="DJ2981">
        <v>0</v>
      </c>
      <c r="DK2981">
        <v>1</v>
      </c>
      <c r="DL2981">
        <v>0</v>
      </c>
      <c r="DM2981">
        <v>0</v>
      </c>
      <c r="DN2981">
        <v>1</v>
      </c>
      <c r="DO2981">
        <v>0</v>
      </c>
      <c r="DP2981">
        <v>0</v>
      </c>
      <c r="DQ2981">
        <v>0</v>
      </c>
      <c r="DR2981">
        <v>0</v>
      </c>
      <c r="DS2981">
        <v>0</v>
      </c>
    </row>
    <row r="2982" spans="1:123" x14ac:dyDescent="0.3">
      <c r="A2982" t="str">
        <f t="shared" si="1081"/>
        <v>10/04/2022 19:33:32.354</v>
      </c>
      <c r="C2982" t="str">
        <f t="shared" si="1060"/>
        <v>FFDFD3C0</v>
      </c>
      <c r="D2982" t="s">
        <v>147</v>
      </c>
      <c r="E2982">
        <v>3</v>
      </c>
      <c r="H2982">
        <v>166</v>
      </c>
      <c r="I2982" t="s">
        <v>144</v>
      </c>
      <c r="J2982" t="s">
        <v>148</v>
      </c>
      <c r="K2982">
        <v>0</v>
      </c>
      <c r="L2982">
        <v>3</v>
      </c>
      <c r="M2982">
        <v>0</v>
      </c>
      <c r="N2982">
        <v>2</v>
      </c>
      <c r="O2982">
        <v>0</v>
      </c>
      <c r="P2982">
        <v>1</v>
      </c>
      <c r="Q2982">
        <v>0</v>
      </c>
      <c r="S2982" t="str">
        <f t="shared" si="1082"/>
        <v>19:33:32.000</v>
      </c>
      <c r="T2982" t="str">
        <f t="shared" si="1082"/>
        <v>19:33:32.000</v>
      </c>
      <c r="U2982" t="str">
        <f t="shared" si="1070"/>
        <v>AC3944</v>
      </c>
      <c r="V2982">
        <v>0</v>
      </c>
      <c r="W2982">
        <v>0</v>
      </c>
      <c r="X2982">
        <v>2</v>
      </c>
      <c r="Y2982">
        <v>0</v>
      </c>
      <c r="AA2982">
        <v>1</v>
      </c>
      <c r="AB2982">
        <v>8</v>
      </c>
      <c r="AC2982">
        <v>3</v>
      </c>
      <c r="AD2982">
        <v>0</v>
      </c>
      <c r="AE2982">
        <v>9</v>
      </c>
      <c r="AF2982" t="s">
        <v>138</v>
      </c>
      <c r="AG2982">
        <v>0</v>
      </c>
      <c r="AH2982">
        <v>3</v>
      </c>
      <c r="AI2982">
        <v>1</v>
      </c>
      <c r="AJ2982">
        <v>0</v>
      </c>
      <c r="AK2982" t="s">
        <v>1002</v>
      </c>
      <c r="AL2982">
        <v>32.719903000000002</v>
      </c>
      <c r="AM2982" t="s">
        <v>1003</v>
      </c>
      <c r="AN2982">
        <v>-116.75550699999999</v>
      </c>
      <c r="AO2982">
        <v>25</v>
      </c>
      <c r="AP2982">
        <v>3600</v>
      </c>
      <c r="AQ2982" t="s">
        <v>129</v>
      </c>
      <c r="AR2982">
        <v>-112</v>
      </c>
      <c r="AS2982">
        <v>-89</v>
      </c>
      <c r="AT2982">
        <v>-896</v>
      </c>
      <c r="BB2982">
        <v>1200</v>
      </c>
      <c r="BC2982">
        <v>1</v>
      </c>
      <c r="BD2982" t="str">
        <f t="shared" si="1071"/>
        <v xml:space="preserve">N887QR  </v>
      </c>
      <c r="BE2982">
        <v>1</v>
      </c>
      <c r="BG2982">
        <v>0</v>
      </c>
      <c r="BH2982">
        <v>0</v>
      </c>
      <c r="BI2982">
        <v>0</v>
      </c>
      <c r="BJ2982">
        <v>3250</v>
      </c>
      <c r="BK2982">
        <v>-350</v>
      </c>
      <c r="BL2982" t="s">
        <v>163</v>
      </c>
      <c r="BM2982">
        <v>1</v>
      </c>
      <c r="BN2982">
        <v>1</v>
      </c>
      <c r="BO2982">
        <v>1</v>
      </c>
      <c r="BP2982">
        <v>0</v>
      </c>
      <c r="BS2982">
        <v>0</v>
      </c>
      <c r="BT2982">
        <v>0</v>
      </c>
      <c r="BU2982">
        <v>0</v>
      </c>
      <c r="CE2982" t="str">
        <f t="shared" si="1083"/>
        <v>19:33:32.049</v>
      </c>
      <c r="CF2982">
        <v>49189753</v>
      </c>
      <c r="CS2982">
        <v>0</v>
      </c>
      <c r="CT2982">
        <v>2</v>
      </c>
      <c r="CU2982">
        <v>0</v>
      </c>
      <c r="CV2982">
        <v>2</v>
      </c>
      <c r="CW2982">
        <v>0</v>
      </c>
      <c r="CX2982">
        <v>6</v>
      </c>
      <c r="CY2982">
        <v>7</v>
      </c>
      <c r="CZ2982" t="s">
        <v>131</v>
      </c>
      <c r="DA2982">
        <v>286</v>
      </c>
      <c r="DB2982">
        <v>0</v>
      </c>
      <c r="DC2982" t="s">
        <v>132</v>
      </c>
      <c r="DD2982" t="s">
        <v>133</v>
      </c>
      <c r="DG2982">
        <v>860957</v>
      </c>
      <c r="DI2982">
        <v>1</v>
      </c>
      <c r="DJ2982">
        <v>0</v>
      </c>
      <c r="DK2982">
        <v>1</v>
      </c>
      <c r="DL2982">
        <v>0</v>
      </c>
      <c r="DM2982">
        <v>0</v>
      </c>
      <c r="DN2982">
        <v>1</v>
      </c>
      <c r="DO2982">
        <v>0</v>
      </c>
      <c r="DP2982">
        <v>0</v>
      </c>
      <c r="DQ2982">
        <v>0</v>
      </c>
      <c r="DR2982">
        <v>0</v>
      </c>
      <c r="DS2982">
        <v>0</v>
      </c>
    </row>
    <row r="2983" spans="1:123" x14ac:dyDescent="0.3">
      <c r="A2983" t="str">
        <f t="shared" si="1081"/>
        <v>10/04/2022 19:33:32.354</v>
      </c>
      <c r="C2983" t="str">
        <f t="shared" ref="C2983:C3046" si="1084">"FFDFD3C0"</f>
        <v>FFDFD3C0</v>
      </c>
      <c r="D2983" t="s">
        <v>136</v>
      </c>
      <c r="E2983">
        <v>8</v>
      </c>
      <c r="H2983">
        <v>225</v>
      </c>
      <c r="I2983" t="s">
        <v>137</v>
      </c>
      <c r="J2983" t="s">
        <v>138</v>
      </c>
      <c r="K2983">
        <v>0</v>
      </c>
      <c r="L2983">
        <v>3</v>
      </c>
      <c r="M2983">
        <v>0</v>
      </c>
      <c r="N2983">
        <v>2</v>
      </c>
      <c r="O2983">
        <v>0</v>
      </c>
      <c r="P2983">
        <v>1</v>
      </c>
      <c r="Q2983">
        <v>0</v>
      </c>
      <c r="S2983" t="str">
        <f t="shared" si="1082"/>
        <v>19:33:32.000</v>
      </c>
      <c r="T2983" t="str">
        <f t="shared" si="1082"/>
        <v>19:33:32.000</v>
      </c>
      <c r="U2983" t="str">
        <f t="shared" si="1070"/>
        <v>AC3944</v>
      </c>
      <c r="V2983">
        <v>0</v>
      </c>
      <c r="W2983">
        <v>0</v>
      </c>
      <c r="X2983">
        <v>2</v>
      </c>
      <c r="Y2983">
        <v>0</v>
      </c>
      <c r="AA2983">
        <v>1</v>
      </c>
      <c r="AB2983">
        <v>8</v>
      </c>
      <c r="AC2983">
        <v>3</v>
      </c>
      <c r="AD2983">
        <v>0</v>
      </c>
      <c r="AE2983">
        <v>9</v>
      </c>
      <c r="AF2983" t="s">
        <v>138</v>
      </c>
      <c r="AG2983">
        <v>0</v>
      </c>
      <c r="AH2983">
        <v>3</v>
      </c>
      <c r="AI2983">
        <v>1</v>
      </c>
      <c r="AJ2983">
        <v>0</v>
      </c>
      <c r="AK2983" t="s">
        <v>1002</v>
      </c>
      <c r="AL2983">
        <v>32.719903000000002</v>
      </c>
      <c r="AM2983" t="s">
        <v>1003</v>
      </c>
      <c r="AN2983">
        <v>-116.75550699999999</v>
      </c>
      <c r="AO2983">
        <v>25</v>
      </c>
      <c r="AP2983">
        <v>3600</v>
      </c>
      <c r="AQ2983" t="s">
        <v>129</v>
      </c>
      <c r="AR2983">
        <v>-112</v>
      </c>
      <c r="AS2983">
        <v>-89</v>
      </c>
      <c r="AT2983">
        <v>-896</v>
      </c>
      <c r="BB2983">
        <v>1200</v>
      </c>
      <c r="BC2983">
        <v>1</v>
      </c>
      <c r="BD2983" t="str">
        <f t="shared" si="1071"/>
        <v xml:space="preserve">N887QR  </v>
      </c>
      <c r="BE2983">
        <v>1</v>
      </c>
      <c r="BG2983">
        <v>0</v>
      </c>
      <c r="BH2983">
        <v>0</v>
      </c>
      <c r="BI2983">
        <v>0</v>
      </c>
      <c r="BJ2983">
        <v>3250</v>
      </c>
      <c r="BK2983">
        <v>-350</v>
      </c>
      <c r="BL2983" t="s">
        <v>163</v>
      </c>
      <c r="BM2983">
        <v>1</v>
      </c>
      <c r="BN2983">
        <v>1</v>
      </c>
      <c r="BO2983">
        <v>1</v>
      </c>
      <c r="BP2983">
        <v>0</v>
      </c>
      <c r="BS2983">
        <v>0</v>
      </c>
      <c r="BT2983">
        <v>0</v>
      </c>
      <c r="BU2983">
        <v>0</v>
      </c>
      <c r="CE2983" t="str">
        <f t="shared" si="1083"/>
        <v>19:33:32.049</v>
      </c>
      <c r="CF2983">
        <v>49189753</v>
      </c>
      <c r="CS2983">
        <v>0</v>
      </c>
      <c r="CT2983">
        <v>2</v>
      </c>
      <c r="CU2983">
        <v>0</v>
      </c>
      <c r="CV2983">
        <v>2</v>
      </c>
      <c r="CW2983">
        <v>0</v>
      </c>
      <c r="CX2983">
        <v>6</v>
      </c>
      <c r="CY2983">
        <v>7</v>
      </c>
      <c r="CZ2983" t="s">
        <v>131</v>
      </c>
      <c r="DA2983">
        <v>286</v>
      </c>
      <c r="DB2983">
        <v>0</v>
      </c>
      <c r="DC2983" t="s">
        <v>132</v>
      </c>
      <c r="DD2983" t="s">
        <v>133</v>
      </c>
      <c r="DG2983">
        <v>860957</v>
      </c>
      <c r="DI2983">
        <v>1</v>
      </c>
      <c r="DJ2983">
        <v>0</v>
      </c>
      <c r="DK2983">
        <v>1</v>
      </c>
      <c r="DL2983">
        <v>0</v>
      </c>
      <c r="DM2983">
        <v>0</v>
      </c>
      <c r="DN2983">
        <v>1</v>
      </c>
      <c r="DO2983">
        <v>0</v>
      </c>
      <c r="DP2983">
        <v>0</v>
      </c>
      <c r="DQ2983">
        <v>0</v>
      </c>
      <c r="DR2983">
        <v>0</v>
      </c>
      <c r="DS2983">
        <v>0</v>
      </c>
    </row>
    <row r="2984" spans="1:123" x14ac:dyDescent="0.3">
      <c r="A2984" t="str">
        <f t="shared" si="1081"/>
        <v>10/04/2022 19:33:32.354</v>
      </c>
      <c r="C2984" t="str">
        <f t="shared" si="1084"/>
        <v>FFDFD3C0</v>
      </c>
      <c r="D2984" t="s">
        <v>141</v>
      </c>
      <c r="E2984">
        <v>4</v>
      </c>
      <c r="H2984">
        <v>4</v>
      </c>
      <c r="I2984" t="s">
        <v>142</v>
      </c>
      <c r="J2984" t="s">
        <v>138</v>
      </c>
      <c r="K2984">
        <v>0</v>
      </c>
      <c r="L2984">
        <v>3</v>
      </c>
      <c r="M2984">
        <v>0</v>
      </c>
      <c r="N2984">
        <v>2</v>
      </c>
      <c r="O2984">
        <v>0</v>
      </c>
      <c r="P2984">
        <v>1</v>
      </c>
      <c r="Q2984">
        <v>0</v>
      </c>
      <c r="S2984" t="str">
        <f t="shared" si="1082"/>
        <v>19:33:32.000</v>
      </c>
      <c r="T2984" t="str">
        <f t="shared" si="1082"/>
        <v>19:33:32.000</v>
      </c>
      <c r="U2984" t="str">
        <f t="shared" si="1070"/>
        <v>AC3944</v>
      </c>
      <c r="V2984">
        <v>0</v>
      </c>
      <c r="W2984">
        <v>0</v>
      </c>
      <c r="X2984">
        <v>2</v>
      </c>
      <c r="Y2984">
        <v>0</v>
      </c>
      <c r="AA2984">
        <v>1</v>
      </c>
      <c r="AB2984">
        <v>8</v>
      </c>
      <c r="AC2984">
        <v>3</v>
      </c>
      <c r="AD2984">
        <v>0</v>
      </c>
      <c r="AE2984">
        <v>9</v>
      </c>
      <c r="AF2984" t="s">
        <v>138</v>
      </c>
      <c r="AG2984">
        <v>0</v>
      </c>
      <c r="AH2984">
        <v>3</v>
      </c>
      <c r="AI2984">
        <v>1</v>
      </c>
      <c r="AJ2984">
        <v>0</v>
      </c>
      <c r="AK2984" t="s">
        <v>1002</v>
      </c>
      <c r="AL2984">
        <v>32.719903000000002</v>
      </c>
      <c r="AM2984" t="s">
        <v>1003</v>
      </c>
      <c r="AN2984">
        <v>-116.75550699999999</v>
      </c>
      <c r="AO2984">
        <v>25</v>
      </c>
      <c r="AP2984">
        <v>3600</v>
      </c>
      <c r="AQ2984" t="s">
        <v>129</v>
      </c>
      <c r="AR2984">
        <v>-112</v>
      </c>
      <c r="AS2984">
        <v>-89</v>
      </c>
      <c r="AT2984">
        <v>-896</v>
      </c>
      <c r="BB2984">
        <v>1200</v>
      </c>
      <c r="BC2984">
        <v>1</v>
      </c>
      <c r="BD2984" t="str">
        <f t="shared" si="1071"/>
        <v xml:space="preserve">N887QR  </v>
      </c>
      <c r="BE2984">
        <v>1</v>
      </c>
      <c r="BG2984">
        <v>0</v>
      </c>
      <c r="BH2984">
        <v>0</v>
      </c>
      <c r="BI2984">
        <v>0</v>
      </c>
      <c r="BJ2984">
        <v>3250</v>
      </c>
      <c r="BK2984">
        <v>-350</v>
      </c>
      <c r="BL2984" t="s">
        <v>163</v>
      </c>
      <c r="BM2984">
        <v>1</v>
      </c>
      <c r="BN2984">
        <v>1</v>
      </c>
      <c r="BO2984">
        <v>1</v>
      </c>
      <c r="BP2984">
        <v>0</v>
      </c>
      <c r="BS2984">
        <v>0</v>
      </c>
      <c r="BT2984">
        <v>0</v>
      </c>
      <c r="BU2984">
        <v>0</v>
      </c>
      <c r="CE2984" t="str">
        <f t="shared" si="1083"/>
        <v>19:33:32.049</v>
      </c>
      <c r="CF2984">
        <v>49189753</v>
      </c>
      <c r="CS2984">
        <v>0</v>
      </c>
      <c r="CT2984">
        <v>2</v>
      </c>
      <c r="CU2984">
        <v>0</v>
      </c>
      <c r="CV2984">
        <v>2</v>
      </c>
      <c r="CW2984">
        <v>0</v>
      </c>
      <c r="CX2984">
        <v>6</v>
      </c>
      <c r="CY2984">
        <v>7</v>
      </c>
      <c r="CZ2984" t="s">
        <v>131</v>
      </c>
      <c r="DA2984">
        <v>286</v>
      </c>
      <c r="DB2984">
        <v>0</v>
      </c>
      <c r="DC2984" t="s">
        <v>132</v>
      </c>
      <c r="DD2984" t="s">
        <v>133</v>
      </c>
      <c r="DG2984">
        <v>860957</v>
      </c>
      <c r="DI2984">
        <v>1</v>
      </c>
      <c r="DJ2984">
        <v>0</v>
      </c>
      <c r="DK2984">
        <v>1</v>
      </c>
      <c r="DL2984">
        <v>0</v>
      </c>
      <c r="DM2984">
        <v>0</v>
      </c>
      <c r="DN2984">
        <v>1</v>
      </c>
      <c r="DO2984">
        <v>0</v>
      </c>
      <c r="DP2984">
        <v>0</v>
      </c>
      <c r="DQ2984">
        <v>0</v>
      </c>
      <c r="DR2984">
        <v>0</v>
      </c>
      <c r="DS2984">
        <v>0</v>
      </c>
    </row>
    <row r="2985" spans="1:123" x14ac:dyDescent="0.3">
      <c r="A2985" t="str">
        <f t="shared" ref="A2985:A2991" si="1085">"10/04/2022 19:33:33.573"</f>
        <v>10/04/2022 19:33:33.573</v>
      </c>
      <c r="C2985" t="str">
        <f t="shared" si="1084"/>
        <v>FFDFD3C0</v>
      </c>
      <c r="D2985" t="s">
        <v>141</v>
      </c>
      <c r="E2985">
        <v>4</v>
      </c>
      <c r="H2985">
        <v>4</v>
      </c>
      <c r="I2985" t="s">
        <v>142</v>
      </c>
      <c r="J2985" t="s">
        <v>138</v>
      </c>
      <c r="K2985">
        <v>0</v>
      </c>
      <c r="L2985">
        <v>3</v>
      </c>
      <c r="M2985">
        <v>0</v>
      </c>
      <c r="N2985">
        <v>2</v>
      </c>
      <c r="O2985">
        <v>0</v>
      </c>
      <c r="P2985">
        <v>1</v>
      </c>
      <c r="Q2985">
        <v>0</v>
      </c>
      <c r="S2985" t="str">
        <f t="shared" ref="S2985:T2991" si="1086">"19:33:33.000"</f>
        <v>19:33:33.000</v>
      </c>
      <c r="T2985" t="str">
        <f t="shared" si="1086"/>
        <v>19:33:33.000</v>
      </c>
      <c r="U2985" t="str">
        <f t="shared" si="1070"/>
        <v>AC3944</v>
      </c>
      <c r="V2985">
        <v>0</v>
      </c>
      <c r="W2985">
        <v>0</v>
      </c>
      <c r="X2985">
        <v>2</v>
      </c>
      <c r="Y2985">
        <v>0</v>
      </c>
      <c r="AA2985">
        <v>1</v>
      </c>
      <c r="AB2985">
        <v>8</v>
      </c>
      <c r="AC2985">
        <v>3</v>
      </c>
      <c r="AD2985">
        <v>0</v>
      </c>
      <c r="AE2985">
        <v>9</v>
      </c>
      <c r="AF2985" t="s">
        <v>138</v>
      </c>
      <c r="AG2985">
        <v>0</v>
      </c>
      <c r="AH2985">
        <v>3</v>
      </c>
      <c r="AI2985">
        <v>1</v>
      </c>
      <c r="AJ2985">
        <v>0</v>
      </c>
      <c r="AK2985" t="s">
        <v>1004</v>
      </c>
      <c r="AL2985">
        <v>32.719473999999998</v>
      </c>
      <c r="AM2985" t="s">
        <v>1005</v>
      </c>
      <c r="AN2985">
        <v>-116.756151</v>
      </c>
      <c r="AO2985">
        <v>25</v>
      </c>
      <c r="AP2985">
        <v>3600</v>
      </c>
      <c r="AQ2985" t="s">
        <v>129</v>
      </c>
      <c r="AR2985">
        <v>-110</v>
      </c>
      <c r="AS2985">
        <v>-88</v>
      </c>
      <c r="AT2985">
        <v>-320</v>
      </c>
      <c r="BB2985">
        <v>1200</v>
      </c>
      <c r="BC2985">
        <v>1</v>
      </c>
      <c r="BD2985" t="str">
        <f t="shared" si="1071"/>
        <v xml:space="preserve">N887QR  </v>
      </c>
      <c r="BE2985">
        <v>1</v>
      </c>
      <c r="BG2985">
        <v>0</v>
      </c>
      <c r="BH2985">
        <v>0</v>
      </c>
      <c r="BI2985">
        <v>0</v>
      </c>
      <c r="BJ2985">
        <v>3275</v>
      </c>
      <c r="BK2985">
        <v>-325</v>
      </c>
      <c r="BL2985" t="s">
        <v>163</v>
      </c>
      <c r="BM2985">
        <v>1</v>
      </c>
      <c r="BN2985">
        <v>1</v>
      </c>
      <c r="BO2985">
        <v>1</v>
      </c>
      <c r="BP2985">
        <v>0</v>
      </c>
      <c r="BS2985">
        <v>0</v>
      </c>
      <c r="BT2985">
        <v>0</v>
      </c>
      <c r="BU2985">
        <v>0</v>
      </c>
      <c r="CE2985" t="str">
        <f t="shared" ref="CE2985:CE2991" si="1087">"19:33:33.331"</f>
        <v>19:33:33.331</v>
      </c>
      <c r="CF2985">
        <v>330693479</v>
      </c>
      <c r="CS2985">
        <v>0</v>
      </c>
      <c r="CT2985">
        <v>2</v>
      </c>
      <c r="CU2985">
        <v>0</v>
      </c>
      <c r="CV2985">
        <v>2</v>
      </c>
      <c r="CW2985">
        <v>0</v>
      </c>
      <c r="CX2985">
        <v>6</v>
      </c>
      <c r="CY2985">
        <v>7</v>
      </c>
      <c r="CZ2985" t="s">
        <v>131</v>
      </c>
      <c r="DA2985">
        <v>286</v>
      </c>
      <c r="DB2985">
        <v>0</v>
      </c>
      <c r="DC2985" t="s">
        <v>132</v>
      </c>
      <c r="DD2985" t="s">
        <v>133</v>
      </c>
      <c r="DG2985">
        <v>861290</v>
      </c>
      <c r="DI2985">
        <v>1</v>
      </c>
      <c r="DJ2985">
        <v>0</v>
      </c>
      <c r="DK2985">
        <v>0</v>
      </c>
      <c r="DL2985">
        <v>0</v>
      </c>
      <c r="DM2985">
        <v>0</v>
      </c>
      <c r="DN2985">
        <v>1</v>
      </c>
      <c r="DO2985">
        <v>0</v>
      </c>
      <c r="DP2985">
        <v>0</v>
      </c>
      <c r="DQ2985">
        <v>0</v>
      </c>
      <c r="DR2985">
        <v>0</v>
      </c>
      <c r="DS2985">
        <v>0</v>
      </c>
    </row>
    <row r="2986" spans="1:123" x14ac:dyDescent="0.3">
      <c r="A2986" t="str">
        <f t="shared" si="1085"/>
        <v>10/04/2022 19:33:33.573</v>
      </c>
      <c r="C2986" t="str">
        <f t="shared" si="1084"/>
        <v>FFDFD3C0</v>
      </c>
      <c r="D2986" t="s">
        <v>136</v>
      </c>
      <c r="E2986">
        <v>8</v>
      </c>
      <c r="H2986">
        <v>225</v>
      </c>
      <c r="I2986" t="s">
        <v>137</v>
      </c>
      <c r="J2986" t="s">
        <v>138</v>
      </c>
      <c r="K2986">
        <v>0</v>
      </c>
      <c r="L2986">
        <v>3</v>
      </c>
      <c r="M2986">
        <v>0</v>
      </c>
      <c r="N2986">
        <v>2</v>
      </c>
      <c r="O2986">
        <v>0</v>
      </c>
      <c r="P2986">
        <v>1</v>
      </c>
      <c r="Q2986">
        <v>0</v>
      </c>
      <c r="S2986" t="str">
        <f t="shared" si="1086"/>
        <v>19:33:33.000</v>
      </c>
      <c r="T2986" t="str">
        <f t="shared" si="1086"/>
        <v>19:33:33.000</v>
      </c>
      <c r="U2986" t="str">
        <f t="shared" si="1070"/>
        <v>AC3944</v>
      </c>
      <c r="V2986">
        <v>0</v>
      </c>
      <c r="W2986">
        <v>0</v>
      </c>
      <c r="X2986">
        <v>2</v>
      </c>
      <c r="Y2986">
        <v>0</v>
      </c>
      <c r="AA2986">
        <v>1</v>
      </c>
      <c r="AB2986">
        <v>8</v>
      </c>
      <c r="AC2986">
        <v>3</v>
      </c>
      <c r="AD2986">
        <v>0</v>
      </c>
      <c r="AE2986">
        <v>9</v>
      </c>
      <c r="AF2986" t="s">
        <v>138</v>
      </c>
      <c r="AG2986">
        <v>0</v>
      </c>
      <c r="AH2986">
        <v>3</v>
      </c>
      <c r="AI2986">
        <v>1</v>
      </c>
      <c r="AJ2986">
        <v>0</v>
      </c>
      <c r="AK2986" t="s">
        <v>1004</v>
      </c>
      <c r="AL2986">
        <v>32.719473999999998</v>
      </c>
      <c r="AM2986" t="s">
        <v>1005</v>
      </c>
      <c r="AN2986">
        <v>-116.756151</v>
      </c>
      <c r="AO2986">
        <v>25</v>
      </c>
      <c r="AP2986">
        <v>3600</v>
      </c>
      <c r="AQ2986" t="s">
        <v>129</v>
      </c>
      <c r="AR2986">
        <v>-110</v>
      </c>
      <c r="AS2986">
        <v>-88</v>
      </c>
      <c r="AT2986">
        <v>-320</v>
      </c>
      <c r="BB2986">
        <v>1200</v>
      </c>
      <c r="BC2986">
        <v>1</v>
      </c>
      <c r="BD2986" t="str">
        <f t="shared" si="1071"/>
        <v xml:space="preserve">N887QR  </v>
      </c>
      <c r="BE2986">
        <v>1</v>
      </c>
      <c r="BG2986">
        <v>0</v>
      </c>
      <c r="BH2986">
        <v>0</v>
      </c>
      <c r="BI2986">
        <v>0</v>
      </c>
      <c r="BJ2986">
        <v>3275</v>
      </c>
      <c r="BK2986">
        <v>-325</v>
      </c>
      <c r="BL2986" t="s">
        <v>163</v>
      </c>
      <c r="BM2986">
        <v>1</v>
      </c>
      <c r="BN2986">
        <v>1</v>
      </c>
      <c r="BO2986">
        <v>1</v>
      </c>
      <c r="BP2986">
        <v>0</v>
      </c>
      <c r="BS2986">
        <v>0</v>
      </c>
      <c r="BT2986">
        <v>0</v>
      </c>
      <c r="BU2986">
        <v>0</v>
      </c>
      <c r="CE2986" t="str">
        <f t="shared" si="1087"/>
        <v>19:33:33.331</v>
      </c>
      <c r="CF2986">
        <v>330693479</v>
      </c>
      <c r="CS2986">
        <v>0</v>
      </c>
      <c r="CT2986">
        <v>2</v>
      </c>
      <c r="CU2986">
        <v>0</v>
      </c>
      <c r="CV2986">
        <v>2</v>
      </c>
      <c r="CW2986">
        <v>0</v>
      </c>
      <c r="CX2986">
        <v>6</v>
      </c>
      <c r="CY2986">
        <v>7</v>
      </c>
      <c r="CZ2986" t="s">
        <v>131</v>
      </c>
      <c r="DA2986">
        <v>286</v>
      </c>
      <c r="DB2986">
        <v>0</v>
      </c>
      <c r="DC2986" t="s">
        <v>132</v>
      </c>
      <c r="DD2986" t="s">
        <v>133</v>
      </c>
      <c r="DG2986">
        <v>861290</v>
      </c>
      <c r="DI2986">
        <v>1</v>
      </c>
      <c r="DJ2986">
        <v>0</v>
      </c>
      <c r="DK2986">
        <v>1</v>
      </c>
      <c r="DL2986">
        <v>0</v>
      </c>
      <c r="DM2986">
        <v>0</v>
      </c>
      <c r="DN2986">
        <v>1</v>
      </c>
      <c r="DO2986">
        <v>0</v>
      </c>
      <c r="DP2986">
        <v>0</v>
      </c>
      <c r="DQ2986">
        <v>0</v>
      </c>
      <c r="DR2986">
        <v>0</v>
      </c>
      <c r="DS2986">
        <v>0</v>
      </c>
    </row>
    <row r="2987" spans="1:123" x14ac:dyDescent="0.3">
      <c r="A2987" t="str">
        <f t="shared" si="1085"/>
        <v>10/04/2022 19:33:33.573</v>
      </c>
      <c r="C2987" t="str">
        <f t="shared" si="1084"/>
        <v>FFDFD3C0</v>
      </c>
      <c r="D2987" t="s">
        <v>147</v>
      </c>
      <c r="E2987">
        <v>3</v>
      </c>
      <c r="H2987">
        <v>166</v>
      </c>
      <c r="I2987" t="s">
        <v>144</v>
      </c>
      <c r="J2987" t="s">
        <v>148</v>
      </c>
      <c r="K2987">
        <v>0</v>
      </c>
      <c r="L2987">
        <v>3</v>
      </c>
      <c r="M2987">
        <v>0</v>
      </c>
      <c r="N2987">
        <v>2</v>
      </c>
      <c r="O2987">
        <v>0</v>
      </c>
      <c r="P2987">
        <v>1</v>
      </c>
      <c r="Q2987">
        <v>0</v>
      </c>
      <c r="S2987" t="str">
        <f t="shared" si="1086"/>
        <v>19:33:33.000</v>
      </c>
      <c r="T2987" t="str">
        <f t="shared" si="1086"/>
        <v>19:33:33.000</v>
      </c>
      <c r="U2987" t="str">
        <f t="shared" si="1070"/>
        <v>AC3944</v>
      </c>
      <c r="V2987">
        <v>0</v>
      </c>
      <c r="W2987">
        <v>0</v>
      </c>
      <c r="X2987">
        <v>2</v>
      </c>
      <c r="Y2987">
        <v>0</v>
      </c>
      <c r="AA2987">
        <v>1</v>
      </c>
      <c r="AB2987">
        <v>8</v>
      </c>
      <c r="AC2987">
        <v>3</v>
      </c>
      <c r="AD2987">
        <v>0</v>
      </c>
      <c r="AE2987">
        <v>9</v>
      </c>
      <c r="AF2987" t="s">
        <v>138</v>
      </c>
      <c r="AG2987">
        <v>0</v>
      </c>
      <c r="AH2987">
        <v>3</v>
      </c>
      <c r="AI2987">
        <v>1</v>
      </c>
      <c r="AJ2987">
        <v>0</v>
      </c>
      <c r="AK2987" t="s">
        <v>1004</v>
      </c>
      <c r="AL2987">
        <v>32.719473999999998</v>
      </c>
      <c r="AM2987" t="s">
        <v>1005</v>
      </c>
      <c r="AN2987">
        <v>-116.756151</v>
      </c>
      <c r="AO2987">
        <v>25</v>
      </c>
      <c r="AP2987">
        <v>3600</v>
      </c>
      <c r="AQ2987" t="s">
        <v>129</v>
      </c>
      <c r="AR2987">
        <v>-110</v>
      </c>
      <c r="AS2987">
        <v>-88</v>
      </c>
      <c r="AT2987">
        <v>-320</v>
      </c>
      <c r="BB2987">
        <v>1200</v>
      </c>
      <c r="BC2987">
        <v>1</v>
      </c>
      <c r="BD2987" t="str">
        <f t="shared" si="1071"/>
        <v xml:space="preserve">N887QR  </v>
      </c>
      <c r="BE2987">
        <v>1</v>
      </c>
      <c r="BG2987">
        <v>0</v>
      </c>
      <c r="BH2987">
        <v>0</v>
      </c>
      <c r="BI2987">
        <v>0</v>
      </c>
      <c r="BJ2987">
        <v>3275</v>
      </c>
      <c r="BK2987">
        <v>-325</v>
      </c>
      <c r="BL2987" t="s">
        <v>163</v>
      </c>
      <c r="BM2987">
        <v>1</v>
      </c>
      <c r="BN2987">
        <v>1</v>
      </c>
      <c r="BO2987">
        <v>1</v>
      </c>
      <c r="BP2987">
        <v>0</v>
      </c>
      <c r="BS2987">
        <v>0</v>
      </c>
      <c r="BT2987">
        <v>0</v>
      </c>
      <c r="BU2987">
        <v>0</v>
      </c>
      <c r="CE2987" t="str">
        <f t="shared" si="1087"/>
        <v>19:33:33.331</v>
      </c>
      <c r="CF2987">
        <v>330693479</v>
      </c>
      <c r="CS2987">
        <v>0</v>
      </c>
      <c r="CT2987">
        <v>2</v>
      </c>
      <c r="CU2987">
        <v>0</v>
      </c>
      <c r="CV2987">
        <v>2</v>
      </c>
      <c r="CW2987">
        <v>0</v>
      </c>
      <c r="CX2987">
        <v>6</v>
      </c>
      <c r="CY2987">
        <v>7</v>
      </c>
      <c r="CZ2987" t="s">
        <v>131</v>
      </c>
      <c r="DA2987">
        <v>286</v>
      </c>
      <c r="DB2987">
        <v>0</v>
      </c>
      <c r="DC2987" t="s">
        <v>132</v>
      </c>
      <c r="DD2987" t="s">
        <v>133</v>
      </c>
      <c r="DG2987">
        <v>861290</v>
      </c>
      <c r="DI2987">
        <v>1</v>
      </c>
      <c r="DJ2987">
        <v>0</v>
      </c>
      <c r="DK2987">
        <v>1</v>
      </c>
      <c r="DL2987">
        <v>0</v>
      </c>
      <c r="DM2987">
        <v>0</v>
      </c>
      <c r="DN2987">
        <v>1</v>
      </c>
      <c r="DO2987">
        <v>0</v>
      </c>
      <c r="DP2987">
        <v>0</v>
      </c>
      <c r="DQ2987">
        <v>0</v>
      </c>
      <c r="DR2987">
        <v>0</v>
      </c>
      <c r="DS2987">
        <v>0</v>
      </c>
    </row>
    <row r="2988" spans="1:123" x14ac:dyDescent="0.3">
      <c r="A2988" t="str">
        <f t="shared" si="1085"/>
        <v>10/04/2022 19:33:33.573</v>
      </c>
      <c r="C2988" t="str">
        <f t="shared" si="1084"/>
        <v>FFDFD3C0</v>
      </c>
      <c r="D2988" t="s">
        <v>143</v>
      </c>
      <c r="E2988">
        <v>20</v>
      </c>
      <c r="F2988">
        <v>1020</v>
      </c>
      <c r="G2988" t="s">
        <v>144</v>
      </c>
      <c r="J2988" t="s">
        <v>145</v>
      </c>
      <c r="K2988">
        <v>0</v>
      </c>
      <c r="L2988">
        <v>3</v>
      </c>
      <c r="M2988">
        <v>0</v>
      </c>
      <c r="N2988">
        <v>2</v>
      </c>
      <c r="O2988">
        <v>0</v>
      </c>
      <c r="P2988">
        <v>1</v>
      </c>
      <c r="Q2988">
        <v>0</v>
      </c>
      <c r="S2988" t="str">
        <f t="shared" si="1086"/>
        <v>19:33:33.000</v>
      </c>
      <c r="T2988" t="str">
        <f t="shared" si="1086"/>
        <v>19:33:33.000</v>
      </c>
      <c r="U2988" t="str">
        <f t="shared" si="1070"/>
        <v>AC3944</v>
      </c>
      <c r="V2988">
        <v>0</v>
      </c>
      <c r="W2988">
        <v>0</v>
      </c>
      <c r="X2988">
        <v>2</v>
      </c>
      <c r="Y2988">
        <v>0</v>
      </c>
      <c r="AA2988">
        <v>1</v>
      </c>
      <c r="AB2988">
        <v>8</v>
      </c>
      <c r="AC2988">
        <v>3</v>
      </c>
      <c r="AD2988">
        <v>0</v>
      </c>
      <c r="AE2988">
        <v>9</v>
      </c>
      <c r="AF2988" t="s">
        <v>138</v>
      </c>
      <c r="AG2988">
        <v>0</v>
      </c>
      <c r="AH2988">
        <v>3</v>
      </c>
      <c r="AI2988">
        <v>1</v>
      </c>
      <c r="AJ2988">
        <v>0</v>
      </c>
      <c r="AK2988" t="s">
        <v>1004</v>
      </c>
      <c r="AL2988">
        <v>32.719473999999998</v>
      </c>
      <c r="AM2988" t="s">
        <v>1005</v>
      </c>
      <c r="AN2988">
        <v>-116.756151</v>
      </c>
      <c r="AO2988">
        <v>25</v>
      </c>
      <c r="AP2988">
        <v>3600</v>
      </c>
      <c r="AQ2988" t="s">
        <v>129</v>
      </c>
      <c r="AR2988">
        <v>-110</v>
      </c>
      <c r="AS2988">
        <v>-88</v>
      </c>
      <c r="AT2988">
        <v>-320</v>
      </c>
      <c r="BB2988">
        <v>1200</v>
      </c>
      <c r="BC2988">
        <v>1</v>
      </c>
      <c r="BD2988" t="str">
        <f t="shared" si="1071"/>
        <v xml:space="preserve">N887QR  </v>
      </c>
      <c r="BE2988">
        <v>1</v>
      </c>
      <c r="BG2988">
        <v>0</v>
      </c>
      <c r="BH2988">
        <v>0</v>
      </c>
      <c r="BI2988">
        <v>0</v>
      </c>
      <c r="BJ2988">
        <v>3275</v>
      </c>
      <c r="BK2988">
        <v>-325</v>
      </c>
      <c r="BL2988" t="s">
        <v>163</v>
      </c>
      <c r="BM2988">
        <v>1</v>
      </c>
      <c r="BN2988">
        <v>1</v>
      </c>
      <c r="BO2988">
        <v>1</v>
      </c>
      <c r="BP2988">
        <v>0</v>
      </c>
      <c r="BS2988">
        <v>0</v>
      </c>
      <c r="BT2988">
        <v>0</v>
      </c>
      <c r="BU2988">
        <v>0</v>
      </c>
      <c r="CE2988" t="str">
        <f t="shared" si="1087"/>
        <v>19:33:33.331</v>
      </c>
      <c r="CF2988">
        <v>330693479</v>
      </c>
      <c r="CS2988">
        <v>0</v>
      </c>
      <c r="CT2988">
        <v>2</v>
      </c>
      <c r="CU2988">
        <v>0</v>
      </c>
      <c r="CV2988">
        <v>2</v>
      </c>
      <c r="CW2988">
        <v>0</v>
      </c>
      <c r="CX2988">
        <v>6</v>
      </c>
      <c r="CY2988">
        <v>7</v>
      </c>
      <c r="CZ2988" t="s">
        <v>131</v>
      </c>
      <c r="DA2988">
        <v>286</v>
      </c>
      <c r="DB2988">
        <v>0</v>
      </c>
      <c r="DC2988" t="s">
        <v>132</v>
      </c>
      <c r="DD2988" t="s">
        <v>133</v>
      </c>
      <c r="DG2988">
        <v>861290</v>
      </c>
      <c r="DI2988">
        <v>1</v>
      </c>
      <c r="DJ2988">
        <v>0</v>
      </c>
      <c r="DK2988">
        <v>0</v>
      </c>
      <c r="DL2988">
        <v>0</v>
      </c>
      <c r="DM2988">
        <v>0</v>
      </c>
      <c r="DN2988">
        <v>1</v>
      </c>
      <c r="DO2988">
        <v>0</v>
      </c>
      <c r="DP2988">
        <v>0</v>
      </c>
      <c r="DQ2988">
        <v>0</v>
      </c>
      <c r="DR2988">
        <v>0</v>
      </c>
      <c r="DS2988">
        <v>0</v>
      </c>
    </row>
    <row r="2989" spans="1:123" x14ac:dyDescent="0.3">
      <c r="A2989" t="str">
        <f t="shared" si="1085"/>
        <v>10/04/2022 19:33:33.573</v>
      </c>
      <c r="C2989" t="str">
        <f t="shared" si="1084"/>
        <v>FFDFD3C0</v>
      </c>
      <c r="D2989" t="s">
        <v>134</v>
      </c>
      <c r="E2989">
        <v>15</v>
      </c>
      <c r="J2989" t="s">
        <v>135</v>
      </c>
      <c r="K2989">
        <v>0</v>
      </c>
      <c r="L2989">
        <v>3</v>
      </c>
      <c r="M2989">
        <v>0</v>
      </c>
      <c r="N2989">
        <v>2</v>
      </c>
      <c r="O2989">
        <v>0</v>
      </c>
      <c r="P2989">
        <v>1</v>
      </c>
      <c r="Q2989">
        <v>0</v>
      </c>
      <c r="S2989" t="str">
        <f t="shared" si="1086"/>
        <v>19:33:33.000</v>
      </c>
      <c r="T2989" t="str">
        <f t="shared" si="1086"/>
        <v>19:33:33.000</v>
      </c>
      <c r="U2989" t="str">
        <f t="shared" si="1070"/>
        <v>AC3944</v>
      </c>
      <c r="V2989">
        <v>0</v>
      </c>
      <c r="W2989">
        <v>0</v>
      </c>
      <c r="X2989">
        <v>2</v>
      </c>
      <c r="Y2989">
        <v>0</v>
      </c>
      <c r="AA2989">
        <v>1</v>
      </c>
      <c r="AB2989">
        <v>8</v>
      </c>
      <c r="AC2989">
        <v>3</v>
      </c>
      <c r="AD2989">
        <v>0</v>
      </c>
      <c r="AE2989">
        <v>9</v>
      </c>
      <c r="AF2989" t="s">
        <v>138</v>
      </c>
      <c r="AG2989">
        <v>0</v>
      </c>
      <c r="AH2989">
        <v>3</v>
      </c>
      <c r="AI2989">
        <v>1</v>
      </c>
      <c r="AJ2989">
        <v>0</v>
      </c>
      <c r="AK2989" t="s">
        <v>1004</v>
      </c>
      <c r="AL2989">
        <v>32.719473999999998</v>
      </c>
      <c r="AM2989" t="s">
        <v>1005</v>
      </c>
      <c r="AN2989">
        <v>-116.756151</v>
      </c>
      <c r="AO2989">
        <v>25</v>
      </c>
      <c r="AP2989">
        <v>3600</v>
      </c>
      <c r="AQ2989" t="s">
        <v>129</v>
      </c>
      <c r="AR2989">
        <v>-110</v>
      </c>
      <c r="AS2989">
        <v>-88</v>
      </c>
      <c r="AT2989">
        <v>-320</v>
      </c>
      <c r="BB2989">
        <v>1200</v>
      </c>
      <c r="BC2989">
        <v>1</v>
      </c>
      <c r="BD2989" t="str">
        <f t="shared" si="1071"/>
        <v xml:space="preserve">N887QR  </v>
      </c>
      <c r="BE2989">
        <v>1</v>
      </c>
      <c r="BG2989">
        <v>0</v>
      </c>
      <c r="BH2989">
        <v>0</v>
      </c>
      <c r="BI2989">
        <v>0</v>
      </c>
      <c r="BJ2989">
        <v>3275</v>
      </c>
      <c r="BK2989">
        <v>-325</v>
      </c>
      <c r="BL2989" t="s">
        <v>163</v>
      </c>
      <c r="BM2989">
        <v>1</v>
      </c>
      <c r="BN2989">
        <v>1</v>
      </c>
      <c r="BO2989">
        <v>1</v>
      </c>
      <c r="BP2989">
        <v>0</v>
      </c>
      <c r="BS2989">
        <v>0</v>
      </c>
      <c r="BT2989">
        <v>0</v>
      </c>
      <c r="BU2989">
        <v>0</v>
      </c>
      <c r="CE2989" t="str">
        <f t="shared" si="1087"/>
        <v>19:33:33.331</v>
      </c>
      <c r="CF2989">
        <v>330693479</v>
      </c>
      <c r="CS2989">
        <v>0</v>
      </c>
      <c r="CT2989">
        <v>2</v>
      </c>
      <c r="CU2989">
        <v>0</v>
      </c>
      <c r="CV2989">
        <v>2</v>
      </c>
      <c r="CW2989">
        <v>0</v>
      </c>
      <c r="CX2989">
        <v>6</v>
      </c>
      <c r="CY2989">
        <v>7</v>
      </c>
      <c r="CZ2989" t="s">
        <v>131</v>
      </c>
      <c r="DA2989">
        <v>286</v>
      </c>
      <c r="DB2989">
        <v>0</v>
      </c>
      <c r="DC2989" t="s">
        <v>132</v>
      </c>
      <c r="DD2989" t="s">
        <v>133</v>
      </c>
      <c r="DG2989">
        <v>861290</v>
      </c>
      <c r="DI2989">
        <v>1</v>
      </c>
      <c r="DJ2989">
        <v>0</v>
      </c>
      <c r="DK2989">
        <v>1</v>
      </c>
      <c r="DL2989">
        <v>0</v>
      </c>
      <c r="DM2989">
        <v>0</v>
      </c>
      <c r="DN2989">
        <v>1</v>
      </c>
      <c r="DO2989">
        <v>0</v>
      </c>
      <c r="DP2989">
        <v>0</v>
      </c>
      <c r="DQ2989">
        <v>0</v>
      </c>
      <c r="DR2989">
        <v>0</v>
      </c>
      <c r="DS2989">
        <v>0</v>
      </c>
    </row>
    <row r="2990" spans="1:123" x14ac:dyDescent="0.3">
      <c r="A2990" t="str">
        <f t="shared" si="1085"/>
        <v>10/04/2022 19:33:33.573</v>
      </c>
      <c r="C2990" t="str">
        <f t="shared" si="1084"/>
        <v>FFDFD3C0</v>
      </c>
      <c r="D2990" t="s">
        <v>123</v>
      </c>
      <c r="E2990">
        <v>7</v>
      </c>
      <c r="F2990">
        <v>2007</v>
      </c>
      <c r="G2990" t="s">
        <v>124</v>
      </c>
      <c r="J2990" t="s">
        <v>125</v>
      </c>
      <c r="K2990">
        <v>0</v>
      </c>
      <c r="L2990">
        <v>3</v>
      </c>
      <c r="M2990">
        <v>0</v>
      </c>
      <c r="N2990">
        <v>2</v>
      </c>
      <c r="O2990">
        <v>0</v>
      </c>
      <c r="P2990">
        <v>1</v>
      </c>
      <c r="Q2990">
        <v>0</v>
      </c>
      <c r="S2990" t="str">
        <f t="shared" si="1086"/>
        <v>19:33:33.000</v>
      </c>
      <c r="T2990" t="str">
        <f t="shared" si="1086"/>
        <v>19:33:33.000</v>
      </c>
      <c r="U2990" t="str">
        <f t="shared" si="1070"/>
        <v>AC3944</v>
      </c>
      <c r="V2990">
        <v>0</v>
      </c>
      <c r="W2990">
        <v>0</v>
      </c>
      <c r="X2990">
        <v>2</v>
      </c>
      <c r="Y2990">
        <v>0</v>
      </c>
      <c r="AA2990">
        <v>1</v>
      </c>
      <c r="AB2990">
        <v>8</v>
      </c>
      <c r="AC2990">
        <v>3</v>
      </c>
      <c r="AD2990">
        <v>0</v>
      </c>
      <c r="AE2990">
        <v>9</v>
      </c>
      <c r="AF2990" t="s">
        <v>138</v>
      </c>
      <c r="AG2990">
        <v>0</v>
      </c>
      <c r="AH2990">
        <v>3</v>
      </c>
      <c r="AI2990">
        <v>1</v>
      </c>
      <c r="AJ2990">
        <v>0</v>
      </c>
      <c r="AK2990" t="s">
        <v>1004</v>
      </c>
      <c r="AL2990">
        <v>32.719473999999998</v>
      </c>
      <c r="AM2990" t="s">
        <v>1005</v>
      </c>
      <c r="AN2990">
        <v>-116.756151</v>
      </c>
      <c r="AO2990">
        <v>25</v>
      </c>
      <c r="AP2990">
        <v>3600</v>
      </c>
      <c r="AQ2990" t="s">
        <v>129</v>
      </c>
      <c r="AR2990">
        <v>-110</v>
      </c>
      <c r="AS2990">
        <v>-88</v>
      </c>
      <c r="AT2990">
        <v>-320</v>
      </c>
      <c r="BB2990">
        <v>1200</v>
      </c>
      <c r="BC2990">
        <v>1</v>
      </c>
      <c r="BD2990" t="str">
        <f t="shared" si="1071"/>
        <v xml:space="preserve">N887QR  </v>
      </c>
      <c r="BE2990">
        <v>1</v>
      </c>
      <c r="BG2990">
        <v>0</v>
      </c>
      <c r="BH2990">
        <v>0</v>
      </c>
      <c r="BI2990">
        <v>0</v>
      </c>
      <c r="BJ2990">
        <v>3275</v>
      </c>
      <c r="BK2990">
        <v>-325</v>
      </c>
      <c r="BL2990" t="s">
        <v>163</v>
      </c>
      <c r="BM2990">
        <v>1</v>
      </c>
      <c r="BN2990">
        <v>1</v>
      </c>
      <c r="BO2990">
        <v>1</v>
      </c>
      <c r="BP2990">
        <v>0</v>
      </c>
      <c r="BS2990">
        <v>0</v>
      </c>
      <c r="BT2990">
        <v>0</v>
      </c>
      <c r="BU2990">
        <v>0</v>
      </c>
      <c r="CE2990" t="str">
        <f t="shared" si="1087"/>
        <v>19:33:33.331</v>
      </c>
      <c r="CF2990">
        <v>330693479</v>
      </c>
      <c r="CS2990">
        <v>0</v>
      </c>
      <c r="CT2990">
        <v>2</v>
      </c>
      <c r="CU2990">
        <v>0</v>
      </c>
      <c r="CV2990">
        <v>2</v>
      </c>
      <c r="CW2990">
        <v>0</v>
      </c>
      <c r="CX2990">
        <v>6</v>
      </c>
      <c r="CY2990">
        <v>7</v>
      </c>
      <c r="CZ2990" t="s">
        <v>131</v>
      </c>
      <c r="DA2990">
        <v>286</v>
      </c>
      <c r="DB2990">
        <v>0</v>
      </c>
      <c r="DC2990" t="s">
        <v>132</v>
      </c>
      <c r="DD2990" t="s">
        <v>133</v>
      </c>
      <c r="DG2990">
        <v>861290</v>
      </c>
      <c r="DI2990">
        <v>1</v>
      </c>
      <c r="DJ2990">
        <v>0</v>
      </c>
      <c r="DK2990">
        <v>1</v>
      </c>
      <c r="DL2990">
        <v>0</v>
      </c>
      <c r="DM2990">
        <v>0</v>
      </c>
      <c r="DN2990">
        <v>1</v>
      </c>
      <c r="DO2990">
        <v>0</v>
      </c>
      <c r="DP2990">
        <v>0</v>
      </c>
      <c r="DQ2990">
        <v>0</v>
      </c>
      <c r="DR2990">
        <v>0</v>
      </c>
      <c r="DS2990">
        <v>0</v>
      </c>
    </row>
    <row r="2991" spans="1:123" x14ac:dyDescent="0.3">
      <c r="A2991" t="str">
        <f t="shared" si="1085"/>
        <v>10/04/2022 19:33:33.573</v>
      </c>
      <c r="C2991" t="str">
        <f t="shared" si="1084"/>
        <v>FFDFD3C0</v>
      </c>
      <c r="D2991" t="s">
        <v>141</v>
      </c>
      <c r="E2991">
        <v>3</v>
      </c>
      <c r="H2991">
        <v>3</v>
      </c>
      <c r="I2991" t="s">
        <v>146</v>
      </c>
      <c r="J2991" t="s">
        <v>138</v>
      </c>
      <c r="K2991">
        <v>0</v>
      </c>
      <c r="L2991">
        <v>3</v>
      </c>
      <c r="M2991">
        <v>0</v>
      </c>
      <c r="N2991">
        <v>2</v>
      </c>
      <c r="O2991">
        <v>0</v>
      </c>
      <c r="P2991">
        <v>1</v>
      </c>
      <c r="Q2991">
        <v>0</v>
      </c>
      <c r="S2991" t="str">
        <f t="shared" si="1086"/>
        <v>19:33:33.000</v>
      </c>
      <c r="T2991" t="str">
        <f t="shared" si="1086"/>
        <v>19:33:33.000</v>
      </c>
      <c r="U2991" t="str">
        <f t="shared" si="1070"/>
        <v>AC3944</v>
      </c>
      <c r="V2991">
        <v>0</v>
      </c>
      <c r="W2991">
        <v>0</v>
      </c>
      <c r="X2991">
        <v>2</v>
      </c>
      <c r="Y2991">
        <v>0</v>
      </c>
      <c r="AA2991">
        <v>1</v>
      </c>
      <c r="AB2991">
        <v>8</v>
      </c>
      <c r="AC2991">
        <v>3</v>
      </c>
      <c r="AD2991">
        <v>0</v>
      </c>
      <c r="AE2991">
        <v>9</v>
      </c>
      <c r="AF2991" t="s">
        <v>138</v>
      </c>
      <c r="AG2991">
        <v>0</v>
      </c>
      <c r="AH2991">
        <v>3</v>
      </c>
      <c r="AI2991">
        <v>1</v>
      </c>
      <c r="AJ2991">
        <v>0</v>
      </c>
      <c r="AK2991" t="s">
        <v>1004</v>
      </c>
      <c r="AL2991">
        <v>32.719473999999998</v>
      </c>
      <c r="AM2991" t="s">
        <v>1005</v>
      </c>
      <c r="AN2991">
        <v>-116.756151</v>
      </c>
      <c r="AO2991">
        <v>25</v>
      </c>
      <c r="AP2991">
        <v>3600</v>
      </c>
      <c r="AQ2991" t="s">
        <v>129</v>
      </c>
      <c r="AR2991">
        <v>-110</v>
      </c>
      <c r="AS2991">
        <v>-88</v>
      </c>
      <c r="AT2991">
        <v>-320</v>
      </c>
      <c r="BB2991">
        <v>1200</v>
      </c>
      <c r="BC2991">
        <v>1</v>
      </c>
      <c r="BD2991" t="str">
        <f t="shared" si="1071"/>
        <v xml:space="preserve">N887QR  </v>
      </c>
      <c r="BE2991">
        <v>1</v>
      </c>
      <c r="BG2991">
        <v>0</v>
      </c>
      <c r="BH2991">
        <v>0</v>
      </c>
      <c r="BI2991">
        <v>0</v>
      </c>
      <c r="BJ2991">
        <v>3275</v>
      </c>
      <c r="BK2991">
        <v>-325</v>
      </c>
      <c r="BL2991" t="s">
        <v>163</v>
      </c>
      <c r="BM2991">
        <v>1</v>
      </c>
      <c r="BN2991">
        <v>1</v>
      </c>
      <c r="BO2991">
        <v>1</v>
      </c>
      <c r="BP2991">
        <v>0</v>
      </c>
      <c r="BS2991">
        <v>0</v>
      </c>
      <c r="BT2991">
        <v>0</v>
      </c>
      <c r="BU2991">
        <v>0</v>
      </c>
      <c r="CE2991" t="str">
        <f t="shared" si="1087"/>
        <v>19:33:33.331</v>
      </c>
      <c r="CF2991">
        <v>330693479</v>
      </c>
      <c r="CS2991">
        <v>0</v>
      </c>
      <c r="CT2991">
        <v>2</v>
      </c>
      <c r="CU2991">
        <v>0</v>
      </c>
      <c r="CV2991">
        <v>2</v>
      </c>
      <c r="CW2991">
        <v>0</v>
      </c>
      <c r="CX2991">
        <v>6</v>
      </c>
      <c r="CY2991">
        <v>7</v>
      </c>
      <c r="CZ2991" t="s">
        <v>131</v>
      </c>
      <c r="DA2991">
        <v>286</v>
      </c>
      <c r="DB2991">
        <v>0</v>
      </c>
      <c r="DC2991" t="s">
        <v>132</v>
      </c>
      <c r="DD2991" t="s">
        <v>133</v>
      </c>
      <c r="DG2991">
        <v>861290</v>
      </c>
      <c r="DI2991">
        <v>1</v>
      </c>
      <c r="DJ2991">
        <v>0</v>
      </c>
      <c r="DK2991">
        <v>1</v>
      </c>
      <c r="DL2991">
        <v>0</v>
      </c>
      <c r="DM2991">
        <v>0</v>
      </c>
      <c r="DN2991">
        <v>1</v>
      </c>
      <c r="DO2991">
        <v>0</v>
      </c>
      <c r="DP2991">
        <v>0</v>
      </c>
      <c r="DQ2991">
        <v>0</v>
      </c>
      <c r="DR2991">
        <v>0</v>
      </c>
      <c r="DS2991">
        <v>0</v>
      </c>
    </row>
    <row r="2992" spans="1:123" x14ac:dyDescent="0.3">
      <c r="A2992" t="str">
        <f t="shared" ref="A2992:A2998" si="1088">"10/04/2022 19:33:34.776"</f>
        <v>10/04/2022 19:33:34.776</v>
      </c>
      <c r="C2992" t="str">
        <f t="shared" si="1084"/>
        <v>FFDFD3C0</v>
      </c>
      <c r="D2992" t="s">
        <v>147</v>
      </c>
      <c r="E2992">
        <v>3</v>
      </c>
      <c r="H2992">
        <v>166</v>
      </c>
      <c r="I2992" t="s">
        <v>144</v>
      </c>
      <c r="J2992" t="s">
        <v>148</v>
      </c>
      <c r="K2992">
        <v>0</v>
      </c>
      <c r="L2992">
        <v>3</v>
      </c>
      <c r="M2992">
        <v>0</v>
      </c>
      <c r="N2992">
        <v>2</v>
      </c>
      <c r="O2992">
        <v>0</v>
      </c>
      <c r="P2992">
        <v>1</v>
      </c>
      <c r="Q2992">
        <v>0</v>
      </c>
      <c r="S2992" t="str">
        <f t="shared" ref="S2992:T3005" si="1089">"19:33:34.000"</f>
        <v>19:33:34.000</v>
      </c>
      <c r="T2992" t="str">
        <f t="shared" si="1089"/>
        <v>19:33:34.000</v>
      </c>
      <c r="U2992" t="str">
        <f t="shared" si="1070"/>
        <v>AC3944</v>
      </c>
      <c r="V2992">
        <v>0</v>
      </c>
      <c r="W2992">
        <v>0</v>
      </c>
      <c r="X2992">
        <v>2</v>
      </c>
      <c r="Y2992">
        <v>0</v>
      </c>
      <c r="AA2992">
        <v>1</v>
      </c>
      <c r="AB2992">
        <v>8</v>
      </c>
      <c r="AC2992">
        <v>3</v>
      </c>
      <c r="AD2992">
        <v>0</v>
      </c>
      <c r="AE2992">
        <v>9</v>
      </c>
      <c r="AF2992" t="s">
        <v>138</v>
      </c>
      <c r="AG2992">
        <v>0</v>
      </c>
      <c r="AH2992">
        <v>3</v>
      </c>
      <c r="AI2992">
        <v>1</v>
      </c>
      <c r="AJ2992">
        <v>0</v>
      </c>
      <c r="AK2992" t="s">
        <v>1006</v>
      </c>
      <c r="AL2992">
        <v>32.719065999999998</v>
      </c>
      <c r="AM2992" t="s">
        <v>1007</v>
      </c>
      <c r="AN2992">
        <v>-116.75675200000001</v>
      </c>
      <c r="AO2992">
        <v>25</v>
      </c>
      <c r="AP2992">
        <v>3600</v>
      </c>
      <c r="AQ2992" t="s">
        <v>129</v>
      </c>
      <c r="AR2992">
        <v>-108</v>
      </c>
      <c r="AS2992">
        <v>-88</v>
      </c>
      <c r="AT2992">
        <v>256</v>
      </c>
      <c r="BB2992">
        <v>1200</v>
      </c>
      <c r="BC2992">
        <v>1</v>
      </c>
      <c r="BD2992" t="str">
        <f t="shared" si="1071"/>
        <v xml:space="preserve">N887QR  </v>
      </c>
      <c r="BE2992">
        <v>1</v>
      </c>
      <c r="BG2992">
        <v>0</v>
      </c>
      <c r="BH2992">
        <v>0</v>
      </c>
      <c r="BI2992">
        <v>0</v>
      </c>
      <c r="BJ2992">
        <v>3275</v>
      </c>
      <c r="BK2992">
        <v>-325</v>
      </c>
      <c r="BL2992" t="s">
        <v>163</v>
      </c>
      <c r="BM2992">
        <v>1</v>
      </c>
      <c r="BN2992">
        <v>1</v>
      </c>
      <c r="BO2992">
        <v>1</v>
      </c>
      <c r="BP2992">
        <v>0</v>
      </c>
      <c r="BS2992">
        <v>0</v>
      </c>
      <c r="BT2992">
        <v>0</v>
      </c>
      <c r="BU2992">
        <v>0</v>
      </c>
      <c r="CE2992" t="str">
        <f t="shared" ref="CE2992:CE2998" si="1090">"19:33:34.512"</f>
        <v>19:33:34.512</v>
      </c>
      <c r="CF2992">
        <v>511946952</v>
      </c>
      <c r="CS2992">
        <v>0</v>
      </c>
      <c r="CT2992">
        <v>2</v>
      </c>
      <c r="CU2992">
        <v>0</v>
      </c>
      <c r="CV2992">
        <v>2</v>
      </c>
      <c r="CW2992">
        <v>2</v>
      </c>
      <c r="CX2992">
        <v>6</v>
      </c>
      <c r="CY2992">
        <v>7</v>
      </c>
      <c r="CZ2992" t="s">
        <v>131</v>
      </c>
      <c r="DA2992">
        <v>286</v>
      </c>
      <c r="DB2992">
        <v>0</v>
      </c>
      <c r="DC2992" t="s">
        <v>132</v>
      </c>
      <c r="DD2992" t="s">
        <v>133</v>
      </c>
      <c r="DG2992">
        <v>861605</v>
      </c>
      <c r="DI2992">
        <v>0</v>
      </c>
      <c r="DJ2992">
        <v>0</v>
      </c>
      <c r="DK2992">
        <v>0</v>
      </c>
      <c r="DL2992">
        <v>0</v>
      </c>
      <c r="DM2992">
        <v>0</v>
      </c>
      <c r="DN2992">
        <v>1</v>
      </c>
      <c r="DO2992">
        <v>0</v>
      </c>
      <c r="DP2992">
        <v>0</v>
      </c>
      <c r="DQ2992">
        <v>0</v>
      </c>
      <c r="DR2992">
        <v>0</v>
      </c>
      <c r="DS2992">
        <v>0</v>
      </c>
    </row>
    <row r="2993" spans="1:123" x14ac:dyDescent="0.3">
      <c r="A2993" t="str">
        <f t="shared" si="1088"/>
        <v>10/04/2022 19:33:34.776</v>
      </c>
      <c r="C2993" t="str">
        <f t="shared" si="1084"/>
        <v>FFDFD3C0</v>
      </c>
      <c r="D2993" t="s">
        <v>141</v>
      </c>
      <c r="E2993">
        <v>4</v>
      </c>
      <c r="H2993">
        <v>4</v>
      </c>
      <c r="I2993" t="s">
        <v>142</v>
      </c>
      <c r="J2993" t="s">
        <v>138</v>
      </c>
      <c r="K2993">
        <v>0</v>
      </c>
      <c r="L2993">
        <v>3</v>
      </c>
      <c r="M2993">
        <v>0</v>
      </c>
      <c r="N2993">
        <v>2</v>
      </c>
      <c r="O2993">
        <v>0</v>
      </c>
      <c r="P2993">
        <v>1</v>
      </c>
      <c r="Q2993">
        <v>0</v>
      </c>
      <c r="S2993" t="str">
        <f t="shared" si="1089"/>
        <v>19:33:34.000</v>
      </c>
      <c r="T2993" t="str">
        <f t="shared" si="1089"/>
        <v>19:33:34.000</v>
      </c>
      <c r="U2993" t="str">
        <f t="shared" si="1070"/>
        <v>AC3944</v>
      </c>
      <c r="V2993">
        <v>0</v>
      </c>
      <c r="W2993">
        <v>0</v>
      </c>
      <c r="X2993">
        <v>2</v>
      </c>
      <c r="Y2993">
        <v>0</v>
      </c>
      <c r="AA2993">
        <v>1</v>
      </c>
      <c r="AB2993">
        <v>8</v>
      </c>
      <c r="AC2993">
        <v>3</v>
      </c>
      <c r="AD2993">
        <v>0</v>
      </c>
      <c r="AE2993">
        <v>9</v>
      </c>
      <c r="AF2993" t="s">
        <v>138</v>
      </c>
      <c r="AG2993">
        <v>0</v>
      </c>
      <c r="AH2993">
        <v>3</v>
      </c>
      <c r="AI2993">
        <v>1</v>
      </c>
      <c r="AJ2993">
        <v>0</v>
      </c>
      <c r="AK2993" t="s">
        <v>1006</v>
      </c>
      <c r="AL2993">
        <v>32.719065999999998</v>
      </c>
      <c r="AM2993" t="s">
        <v>1007</v>
      </c>
      <c r="AN2993">
        <v>-116.75675200000001</v>
      </c>
      <c r="AO2993">
        <v>25</v>
      </c>
      <c r="AP2993">
        <v>3600</v>
      </c>
      <c r="AQ2993" t="s">
        <v>129</v>
      </c>
      <c r="AR2993">
        <v>-108</v>
      </c>
      <c r="AS2993">
        <v>-88</v>
      </c>
      <c r="AT2993">
        <v>256</v>
      </c>
      <c r="BB2993">
        <v>1200</v>
      </c>
      <c r="BC2993">
        <v>1</v>
      </c>
      <c r="BD2993" t="str">
        <f t="shared" si="1071"/>
        <v xml:space="preserve">N887QR  </v>
      </c>
      <c r="BE2993">
        <v>1</v>
      </c>
      <c r="BG2993">
        <v>0</v>
      </c>
      <c r="BH2993">
        <v>0</v>
      </c>
      <c r="BI2993">
        <v>0</v>
      </c>
      <c r="BJ2993">
        <v>3275</v>
      </c>
      <c r="BK2993">
        <v>-325</v>
      </c>
      <c r="BL2993" t="s">
        <v>163</v>
      </c>
      <c r="BM2993">
        <v>1</v>
      </c>
      <c r="BN2993">
        <v>1</v>
      </c>
      <c r="BO2993">
        <v>1</v>
      </c>
      <c r="BP2993">
        <v>0</v>
      </c>
      <c r="BS2993">
        <v>0</v>
      </c>
      <c r="BT2993">
        <v>0</v>
      </c>
      <c r="BU2993">
        <v>0</v>
      </c>
      <c r="CE2993" t="str">
        <f t="shared" si="1090"/>
        <v>19:33:34.512</v>
      </c>
      <c r="CF2993">
        <v>511946952</v>
      </c>
      <c r="CS2993">
        <v>0</v>
      </c>
      <c r="CT2993">
        <v>2</v>
      </c>
      <c r="CU2993">
        <v>0</v>
      </c>
      <c r="CV2993">
        <v>2</v>
      </c>
      <c r="CW2993">
        <v>2</v>
      </c>
      <c r="CX2993">
        <v>6</v>
      </c>
      <c r="CY2993">
        <v>7</v>
      </c>
      <c r="CZ2993" t="s">
        <v>131</v>
      </c>
      <c r="DA2993">
        <v>286</v>
      </c>
      <c r="DB2993">
        <v>0</v>
      </c>
      <c r="DC2993" t="s">
        <v>132</v>
      </c>
      <c r="DD2993" t="s">
        <v>133</v>
      </c>
      <c r="DG2993">
        <v>861605</v>
      </c>
      <c r="DI2993">
        <v>0</v>
      </c>
      <c r="DJ2993">
        <v>0</v>
      </c>
      <c r="DK2993">
        <v>0</v>
      </c>
      <c r="DL2993">
        <v>0</v>
      </c>
      <c r="DM2993">
        <v>0</v>
      </c>
      <c r="DN2993">
        <v>1</v>
      </c>
      <c r="DO2993">
        <v>0</v>
      </c>
      <c r="DP2993">
        <v>0</v>
      </c>
      <c r="DQ2993">
        <v>0</v>
      </c>
      <c r="DR2993">
        <v>0</v>
      </c>
      <c r="DS2993">
        <v>0</v>
      </c>
    </row>
    <row r="2994" spans="1:123" x14ac:dyDescent="0.3">
      <c r="A2994" t="str">
        <f t="shared" si="1088"/>
        <v>10/04/2022 19:33:34.776</v>
      </c>
      <c r="C2994" t="str">
        <f t="shared" si="1084"/>
        <v>FFDFD3C0</v>
      </c>
      <c r="D2994" t="s">
        <v>136</v>
      </c>
      <c r="E2994">
        <v>8</v>
      </c>
      <c r="H2994">
        <v>225</v>
      </c>
      <c r="I2994" t="s">
        <v>137</v>
      </c>
      <c r="J2994" t="s">
        <v>138</v>
      </c>
      <c r="K2994">
        <v>0</v>
      </c>
      <c r="L2994">
        <v>3</v>
      </c>
      <c r="M2994">
        <v>0</v>
      </c>
      <c r="N2994">
        <v>2</v>
      </c>
      <c r="O2994">
        <v>0</v>
      </c>
      <c r="P2994">
        <v>1</v>
      </c>
      <c r="Q2994">
        <v>0</v>
      </c>
      <c r="S2994" t="str">
        <f t="shared" si="1089"/>
        <v>19:33:34.000</v>
      </c>
      <c r="T2994" t="str">
        <f t="shared" si="1089"/>
        <v>19:33:34.000</v>
      </c>
      <c r="U2994" t="str">
        <f t="shared" si="1070"/>
        <v>AC3944</v>
      </c>
      <c r="V2994">
        <v>0</v>
      </c>
      <c r="W2994">
        <v>0</v>
      </c>
      <c r="X2994">
        <v>2</v>
      </c>
      <c r="Y2994">
        <v>0</v>
      </c>
      <c r="AA2994">
        <v>1</v>
      </c>
      <c r="AB2994">
        <v>8</v>
      </c>
      <c r="AC2994">
        <v>3</v>
      </c>
      <c r="AD2994">
        <v>0</v>
      </c>
      <c r="AE2994">
        <v>9</v>
      </c>
      <c r="AF2994" t="s">
        <v>138</v>
      </c>
      <c r="AG2994">
        <v>0</v>
      </c>
      <c r="AH2994">
        <v>3</v>
      </c>
      <c r="AI2994">
        <v>1</v>
      </c>
      <c r="AJ2994">
        <v>0</v>
      </c>
      <c r="AK2994" t="s">
        <v>1006</v>
      </c>
      <c r="AL2994">
        <v>32.719065999999998</v>
      </c>
      <c r="AM2994" t="s">
        <v>1007</v>
      </c>
      <c r="AN2994">
        <v>-116.75675200000001</v>
      </c>
      <c r="AO2994">
        <v>25</v>
      </c>
      <c r="AP2994">
        <v>3600</v>
      </c>
      <c r="AQ2994" t="s">
        <v>129</v>
      </c>
      <c r="AR2994">
        <v>-108</v>
      </c>
      <c r="AS2994">
        <v>-88</v>
      </c>
      <c r="AT2994">
        <v>256</v>
      </c>
      <c r="BB2994">
        <v>1200</v>
      </c>
      <c r="BC2994">
        <v>1</v>
      </c>
      <c r="BD2994" t="str">
        <f t="shared" si="1071"/>
        <v xml:space="preserve">N887QR  </v>
      </c>
      <c r="BE2994">
        <v>1</v>
      </c>
      <c r="BG2994">
        <v>0</v>
      </c>
      <c r="BH2994">
        <v>0</v>
      </c>
      <c r="BI2994">
        <v>0</v>
      </c>
      <c r="BJ2994">
        <v>3275</v>
      </c>
      <c r="BK2994">
        <v>-325</v>
      </c>
      <c r="BL2994" t="s">
        <v>163</v>
      </c>
      <c r="BM2994">
        <v>1</v>
      </c>
      <c r="BN2994">
        <v>1</v>
      </c>
      <c r="BO2994">
        <v>1</v>
      </c>
      <c r="BP2994">
        <v>0</v>
      </c>
      <c r="BS2994">
        <v>0</v>
      </c>
      <c r="BT2994">
        <v>0</v>
      </c>
      <c r="BU2994">
        <v>0</v>
      </c>
      <c r="CE2994" t="str">
        <f t="shared" si="1090"/>
        <v>19:33:34.512</v>
      </c>
      <c r="CF2994">
        <v>511946952</v>
      </c>
      <c r="CS2994">
        <v>0</v>
      </c>
      <c r="CT2994">
        <v>2</v>
      </c>
      <c r="CU2994">
        <v>0</v>
      </c>
      <c r="CV2994">
        <v>2</v>
      </c>
      <c r="CW2994">
        <v>2</v>
      </c>
      <c r="CX2994">
        <v>6</v>
      </c>
      <c r="CY2994">
        <v>7</v>
      </c>
      <c r="CZ2994" t="s">
        <v>131</v>
      </c>
      <c r="DA2994">
        <v>286</v>
      </c>
      <c r="DB2994">
        <v>0</v>
      </c>
      <c r="DC2994" t="s">
        <v>132</v>
      </c>
      <c r="DD2994" t="s">
        <v>133</v>
      </c>
      <c r="DG2994">
        <v>861605</v>
      </c>
      <c r="DI2994">
        <v>0</v>
      </c>
      <c r="DJ2994">
        <v>0</v>
      </c>
      <c r="DK2994">
        <v>1</v>
      </c>
      <c r="DL2994">
        <v>0</v>
      </c>
      <c r="DM2994">
        <v>0</v>
      </c>
      <c r="DN2994">
        <v>1</v>
      </c>
      <c r="DO2994">
        <v>0</v>
      </c>
      <c r="DP2994">
        <v>0</v>
      </c>
      <c r="DQ2994">
        <v>0</v>
      </c>
      <c r="DR2994">
        <v>0</v>
      </c>
      <c r="DS2994">
        <v>0</v>
      </c>
    </row>
    <row r="2995" spans="1:123" x14ac:dyDescent="0.3">
      <c r="A2995" t="str">
        <f t="shared" si="1088"/>
        <v>10/04/2022 19:33:34.776</v>
      </c>
      <c r="C2995" t="str">
        <f t="shared" si="1084"/>
        <v>FFDFD3C0</v>
      </c>
      <c r="D2995" t="s">
        <v>143</v>
      </c>
      <c r="E2995">
        <v>20</v>
      </c>
      <c r="F2995">
        <v>1020</v>
      </c>
      <c r="G2995" t="s">
        <v>144</v>
      </c>
      <c r="J2995" t="s">
        <v>145</v>
      </c>
      <c r="K2995">
        <v>0</v>
      </c>
      <c r="L2995">
        <v>3</v>
      </c>
      <c r="M2995">
        <v>0</v>
      </c>
      <c r="N2995">
        <v>2</v>
      </c>
      <c r="O2995">
        <v>0</v>
      </c>
      <c r="P2995">
        <v>1</v>
      </c>
      <c r="Q2995">
        <v>0</v>
      </c>
      <c r="S2995" t="str">
        <f t="shared" si="1089"/>
        <v>19:33:34.000</v>
      </c>
      <c r="T2995" t="str">
        <f t="shared" si="1089"/>
        <v>19:33:34.000</v>
      </c>
      <c r="U2995" t="str">
        <f t="shared" si="1070"/>
        <v>AC3944</v>
      </c>
      <c r="V2995">
        <v>0</v>
      </c>
      <c r="W2995">
        <v>0</v>
      </c>
      <c r="X2995">
        <v>2</v>
      </c>
      <c r="Y2995">
        <v>0</v>
      </c>
      <c r="AA2995">
        <v>1</v>
      </c>
      <c r="AB2995">
        <v>8</v>
      </c>
      <c r="AC2995">
        <v>3</v>
      </c>
      <c r="AD2995">
        <v>0</v>
      </c>
      <c r="AE2995">
        <v>9</v>
      </c>
      <c r="AF2995" t="s">
        <v>138</v>
      </c>
      <c r="AG2995">
        <v>0</v>
      </c>
      <c r="AH2995">
        <v>3</v>
      </c>
      <c r="AI2995">
        <v>1</v>
      </c>
      <c r="AJ2995">
        <v>0</v>
      </c>
      <c r="AK2995" t="s">
        <v>1006</v>
      </c>
      <c r="AL2995">
        <v>32.719065999999998</v>
      </c>
      <c r="AM2995" t="s">
        <v>1007</v>
      </c>
      <c r="AN2995">
        <v>-116.75675200000001</v>
      </c>
      <c r="AO2995">
        <v>25</v>
      </c>
      <c r="AP2995">
        <v>3600</v>
      </c>
      <c r="AQ2995" t="s">
        <v>129</v>
      </c>
      <c r="AR2995">
        <v>-108</v>
      </c>
      <c r="AS2995">
        <v>-88</v>
      </c>
      <c r="AT2995">
        <v>256</v>
      </c>
      <c r="BB2995">
        <v>1200</v>
      </c>
      <c r="BC2995">
        <v>1</v>
      </c>
      <c r="BD2995" t="str">
        <f t="shared" si="1071"/>
        <v xml:space="preserve">N887QR  </v>
      </c>
      <c r="BE2995">
        <v>1</v>
      </c>
      <c r="BG2995">
        <v>0</v>
      </c>
      <c r="BH2995">
        <v>0</v>
      </c>
      <c r="BI2995">
        <v>0</v>
      </c>
      <c r="BJ2995">
        <v>3275</v>
      </c>
      <c r="BK2995">
        <v>-325</v>
      </c>
      <c r="BL2995" t="s">
        <v>163</v>
      </c>
      <c r="BM2995">
        <v>1</v>
      </c>
      <c r="BN2995">
        <v>1</v>
      </c>
      <c r="BO2995">
        <v>1</v>
      </c>
      <c r="BP2995">
        <v>0</v>
      </c>
      <c r="BS2995">
        <v>0</v>
      </c>
      <c r="BT2995">
        <v>0</v>
      </c>
      <c r="BU2995">
        <v>0</v>
      </c>
      <c r="CE2995" t="str">
        <f t="shared" si="1090"/>
        <v>19:33:34.512</v>
      </c>
      <c r="CF2995">
        <v>511946952</v>
      </c>
      <c r="CS2995">
        <v>0</v>
      </c>
      <c r="CT2995">
        <v>2</v>
      </c>
      <c r="CU2995">
        <v>0</v>
      </c>
      <c r="CV2995">
        <v>2</v>
      </c>
      <c r="CW2995">
        <v>2</v>
      </c>
      <c r="CX2995">
        <v>6</v>
      </c>
      <c r="CY2995">
        <v>7</v>
      </c>
      <c r="CZ2995" t="s">
        <v>131</v>
      </c>
      <c r="DA2995">
        <v>286</v>
      </c>
      <c r="DB2995">
        <v>0</v>
      </c>
      <c r="DC2995" t="s">
        <v>132</v>
      </c>
      <c r="DD2995" t="s">
        <v>133</v>
      </c>
      <c r="DG2995">
        <v>861605</v>
      </c>
      <c r="DI2995">
        <v>0</v>
      </c>
      <c r="DJ2995">
        <v>0</v>
      </c>
      <c r="DK2995">
        <v>1</v>
      </c>
      <c r="DL2995">
        <v>0</v>
      </c>
      <c r="DM2995">
        <v>0</v>
      </c>
      <c r="DN2995">
        <v>1</v>
      </c>
      <c r="DO2995">
        <v>0</v>
      </c>
      <c r="DP2995">
        <v>0</v>
      </c>
      <c r="DQ2995">
        <v>0</v>
      </c>
      <c r="DR2995">
        <v>0</v>
      </c>
      <c r="DS2995">
        <v>0</v>
      </c>
    </row>
    <row r="2996" spans="1:123" x14ac:dyDescent="0.3">
      <c r="A2996" t="str">
        <f t="shared" si="1088"/>
        <v>10/04/2022 19:33:34.776</v>
      </c>
      <c r="C2996" t="str">
        <f t="shared" si="1084"/>
        <v>FFDFD3C0</v>
      </c>
      <c r="D2996" t="s">
        <v>134</v>
      </c>
      <c r="E2996">
        <v>15</v>
      </c>
      <c r="J2996" t="s">
        <v>135</v>
      </c>
      <c r="K2996">
        <v>0</v>
      </c>
      <c r="L2996">
        <v>3</v>
      </c>
      <c r="M2996">
        <v>0</v>
      </c>
      <c r="N2996">
        <v>2</v>
      </c>
      <c r="O2996">
        <v>0</v>
      </c>
      <c r="P2996">
        <v>1</v>
      </c>
      <c r="Q2996">
        <v>0</v>
      </c>
      <c r="S2996" t="str">
        <f t="shared" si="1089"/>
        <v>19:33:34.000</v>
      </c>
      <c r="T2996" t="str">
        <f t="shared" si="1089"/>
        <v>19:33:34.000</v>
      </c>
      <c r="U2996" t="str">
        <f t="shared" si="1070"/>
        <v>AC3944</v>
      </c>
      <c r="V2996">
        <v>0</v>
      </c>
      <c r="W2996">
        <v>0</v>
      </c>
      <c r="X2996">
        <v>2</v>
      </c>
      <c r="Y2996">
        <v>0</v>
      </c>
      <c r="AA2996">
        <v>1</v>
      </c>
      <c r="AB2996">
        <v>8</v>
      </c>
      <c r="AC2996">
        <v>3</v>
      </c>
      <c r="AD2996">
        <v>0</v>
      </c>
      <c r="AE2996">
        <v>9</v>
      </c>
      <c r="AF2996" t="s">
        <v>138</v>
      </c>
      <c r="AG2996">
        <v>0</v>
      </c>
      <c r="AH2996">
        <v>3</v>
      </c>
      <c r="AI2996">
        <v>1</v>
      </c>
      <c r="AJ2996">
        <v>0</v>
      </c>
      <c r="AK2996" t="s">
        <v>1006</v>
      </c>
      <c r="AL2996">
        <v>32.719065999999998</v>
      </c>
      <c r="AM2996" t="s">
        <v>1007</v>
      </c>
      <c r="AN2996">
        <v>-116.75675200000001</v>
      </c>
      <c r="AO2996">
        <v>25</v>
      </c>
      <c r="AP2996">
        <v>3600</v>
      </c>
      <c r="AQ2996" t="s">
        <v>129</v>
      </c>
      <c r="AR2996">
        <v>-108</v>
      </c>
      <c r="AS2996">
        <v>-88</v>
      </c>
      <c r="AT2996">
        <v>256</v>
      </c>
      <c r="BB2996">
        <v>1200</v>
      </c>
      <c r="BC2996">
        <v>1</v>
      </c>
      <c r="BD2996" t="str">
        <f t="shared" si="1071"/>
        <v xml:space="preserve">N887QR  </v>
      </c>
      <c r="BE2996">
        <v>1</v>
      </c>
      <c r="BG2996">
        <v>0</v>
      </c>
      <c r="BH2996">
        <v>0</v>
      </c>
      <c r="BI2996">
        <v>0</v>
      </c>
      <c r="BJ2996">
        <v>3275</v>
      </c>
      <c r="BK2996">
        <v>-325</v>
      </c>
      <c r="BL2996" t="s">
        <v>163</v>
      </c>
      <c r="BM2996">
        <v>1</v>
      </c>
      <c r="BN2996">
        <v>1</v>
      </c>
      <c r="BO2996">
        <v>1</v>
      </c>
      <c r="BP2996">
        <v>0</v>
      </c>
      <c r="BS2996">
        <v>0</v>
      </c>
      <c r="BT2996">
        <v>0</v>
      </c>
      <c r="BU2996">
        <v>0</v>
      </c>
      <c r="CE2996" t="str">
        <f t="shared" si="1090"/>
        <v>19:33:34.512</v>
      </c>
      <c r="CF2996">
        <v>511946952</v>
      </c>
      <c r="CS2996">
        <v>0</v>
      </c>
      <c r="CT2996">
        <v>2</v>
      </c>
      <c r="CU2996">
        <v>0</v>
      </c>
      <c r="CV2996">
        <v>2</v>
      </c>
      <c r="CW2996">
        <v>2</v>
      </c>
      <c r="CX2996">
        <v>6</v>
      </c>
      <c r="CY2996">
        <v>7</v>
      </c>
      <c r="CZ2996" t="s">
        <v>131</v>
      </c>
      <c r="DA2996">
        <v>286</v>
      </c>
      <c r="DB2996">
        <v>0</v>
      </c>
      <c r="DC2996" t="s">
        <v>132</v>
      </c>
      <c r="DD2996" t="s">
        <v>133</v>
      </c>
      <c r="DG2996">
        <v>861605</v>
      </c>
      <c r="DI2996">
        <v>0</v>
      </c>
      <c r="DJ2996">
        <v>0</v>
      </c>
      <c r="DK2996">
        <v>1</v>
      </c>
      <c r="DL2996">
        <v>0</v>
      </c>
      <c r="DM2996">
        <v>0</v>
      </c>
      <c r="DN2996">
        <v>1</v>
      </c>
      <c r="DO2996">
        <v>0</v>
      </c>
      <c r="DP2996">
        <v>0</v>
      </c>
      <c r="DQ2996">
        <v>0</v>
      </c>
      <c r="DR2996">
        <v>0</v>
      </c>
      <c r="DS2996">
        <v>0</v>
      </c>
    </row>
    <row r="2997" spans="1:123" x14ac:dyDescent="0.3">
      <c r="A2997" t="str">
        <f t="shared" si="1088"/>
        <v>10/04/2022 19:33:34.776</v>
      </c>
      <c r="C2997" t="str">
        <f t="shared" si="1084"/>
        <v>FFDFD3C0</v>
      </c>
      <c r="D2997" t="s">
        <v>123</v>
      </c>
      <c r="E2997">
        <v>7</v>
      </c>
      <c r="F2997">
        <v>2007</v>
      </c>
      <c r="G2997" t="s">
        <v>124</v>
      </c>
      <c r="J2997" t="s">
        <v>125</v>
      </c>
      <c r="K2997">
        <v>0</v>
      </c>
      <c r="L2997">
        <v>3</v>
      </c>
      <c r="M2997">
        <v>0</v>
      </c>
      <c r="N2997">
        <v>2</v>
      </c>
      <c r="O2997">
        <v>0</v>
      </c>
      <c r="P2997">
        <v>1</v>
      </c>
      <c r="Q2997">
        <v>0</v>
      </c>
      <c r="S2997" t="str">
        <f t="shared" si="1089"/>
        <v>19:33:34.000</v>
      </c>
      <c r="T2997" t="str">
        <f t="shared" si="1089"/>
        <v>19:33:34.000</v>
      </c>
      <c r="U2997" t="str">
        <f t="shared" si="1070"/>
        <v>AC3944</v>
      </c>
      <c r="V2997">
        <v>0</v>
      </c>
      <c r="W2997">
        <v>0</v>
      </c>
      <c r="X2997">
        <v>2</v>
      </c>
      <c r="Y2997">
        <v>0</v>
      </c>
      <c r="AA2997">
        <v>1</v>
      </c>
      <c r="AB2997">
        <v>8</v>
      </c>
      <c r="AC2997">
        <v>3</v>
      </c>
      <c r="AD2997">
        <v>0</v>
      </c>
      <c r="AE2997">
        <v>9</v>
      </c>
      <c r="AF2997" t="s">
        <v>138</v>
      </c>
      <c r="AG2997">
        <v>0</v>
      </c>
      <c r="AH2997">
        <v>3</v>
      </c>
      <c r="AI2997">
        <v>1</v>
      </c>
      <c r="AJ2997">
        <v>0</v>
      </c>
      <c r="AK2997" t="s">
        <v>1006</v>
      </c>
      <c r="AL2997">
        <v>32.719065999999998</v>
      </c>
      <c r="AM2997" t="s">
        <v>1007</v>
      </c>
      <c r="AN2997">
        <v>-116.75675200000001</v>
      </c>
      <c r="AO2997">
        <v>25</v>
      </c>
      <c r="AP2997">
        <v>3600</v>
      </c>
      <c r="AQ2997" t="s">
        <v>129</v>
      </c>
      <c r="AR2997">
        <v>-108</v>
      </c>
      <c r="AS2997">
        <v>-88</v>
      </c>
      <c r="AT2997">
        <v>256</v>
      </c>
      <c r="BB2997">
        <v>1200</v>
      </c>
      <c r="BC2997">
        <v>1</v>
      </c>
      <c r="BD2997" t="str">
        <f t="shared" si="1071"/>
        <v xml:space="preserve">N887QR  </v>
      </c>
      <c r="BE2997">
        <v>1</v>
      </c>
      <c r="BG2997">
        <v>0</v>
      </c>
      <c r="BH2997">
        <v>0</v>
      </c>
      <c r="BI2997">
        <v>0</v>
      </c>
      <c r="BJ2997">
        <v>3275</v>
      </c>
      <c r="BK2997">
        <v>-325</v>
      </c>
      <c r="BL2997" t="s">
        <v>163</v>
      </c>
      <c r="BM2997">
        <v>1</v>
      </c>
      <c r="BN2997">
        <v>1</v>
      </c>
      <c r="BO2997">
        <v>1</v>
      </c>
      <c r="BP2997">
        <v>0</v>
      </c>
      <c r="BS2997">
        <v>0</v>
      </c>
      <c r="BT2997">
        <v>0</v>
      </c>
      <c r="BU2997">
        <v>0</v>
      </c>
      <c r="CE2997" t="str">
        <f t="shared" si="1090"/>
        <v>19:33:34.512</v>
      </c>
      <c r="CF2997">
        <v>511946952</v>
      </c>
      <c r="CS2997">
        <v>0</v>
      </c>
      <c r="CT2997">
        <v>2</v>
      </c>
      <c r="CU2997">
        <v>0</v>
      </c>
      <c r="CV2997">
        <v>2</v>
      </c>
      <c r="CW2997">
        <v>2</v>
      </c>
      <c r="CX2997">
        <v>6</v>
      </c>
      <c r="CY2997">
        <v>7</v>
      </c>
      <c r="CZ2997" t="s">
        <v>131</v>
      </c>
      <c r="DA2997">
        <v>286</v>
      </c>
      <c r="DB2997">
        <v>0</v>
      </c>
      <c r="DC2997" t="s">
        <v>132</v>
      </c>
      <c r="DD2997" t="s">
        <v>133</v>
      </c>
      <c r="DG2997">
        <v>861605</v>
      </c>
      <c r="DI2997">
        <v>0</v>
      </c>
      <c r="DJ2997">
        <v>0</v>
      </c>
      <c r="DK2997">
        <v>1</v>
      </c>
      <c r="DL2997">
        <v>0</v>
      </c>
      <c r="DM2997">
        <v>0</v>
      </c>
      <c r="DN2997">
        <v>1</v>
      </c>
      <c r="DO2997">
        <v>0</v>
      </c>
      <c r="DP2997">
        <v>0</v>
      </c>
      <c r="DQ2997">
        <v>0</v>
      </c>
      <c r="DR2997">
        <v>0</v>
      </c>
      <c r="DS2997">
        <v>0</v>
      </c>
    </row>
    <row r="2998" spans="1:123" x14ac:dyDescent="0.3">
      <c r="A2998" t="str">
        <f t="shared" si="1088"/>
        <v>10/04/2022 19:33:34.776</v>
      </c>
      <c r="C2998" t="str">
        <f t="shared" si="1084"/>
        <v>FFDFD3C0</v>
      </c>
      <c r="D2998" t="s">
        <v>141</v>
      </c>
      <c r="E2998">
        <v>3</v>
      </c>
      <c r="H2998">
        <v>3</v>
      </c>
      <c r="I2998" t="s">
        <v>146</v>
      </c>
      <c r="J2998" t="s">
        <v>138</v>
      </c>
      <c r="K2998">
        <v>0</v>
      </c>
      <c r="L2998">
        <v>3</v>
      </c>
      <c r="M2998">
        <v>0</v>
      </c>
      <c r="N2998">
        <v>2</v>
      </c>
      <c r="O2998">
        <v>0</v>
      </c>
      <c r="P2998">
        <v>1</v>
      </c>
      <c r="Q2998">
        <v>0</v>
      </c>
      <c r="S2998" t="str">
        <f t="shared" si="1089"/>
        <v>19:33:34.000</v>
      </c>
      <c r="T2998" t="str">
        <f t="shared" si="1089"/>
        <v>19:33:34.000</v>
      </c>
      <c r="U2998" t="str">
        <f t="shared" si="1070"/>
        <v>AC3944</v>
      </c>
      <c r="V2998">
        <v>0</v>
      </c>
      <c r="W2998">
        <v>0</v>
      </c>
      <c r="X2998">
        <v>2</v>
      </c>
      <c r="Y2998">
        <v>0</v>
      </c>
      <c r="AA2998">
        <v>1</v>
      </c>
      <c r="AB2998">
        <v>8</v>
      </c>
      <c r="AC2998">
        <v>3</v>
      </c>
      <c r="AD2998">
        <v>0</v>
      </c>
      <c r="AE2998">
        <v>9</v>
      </c>
      <c r="AF2998" t="s">
        <v>138</v>
      </c>
      <c r="AG2998">
        <v>0</v>
      </c>
      <c r="AH2998">
        <v>3</v>
      </c>
      <c r="AI2998">
        <v>1</v>
      </c>
      <c r="AJ2998">
        <v>0</v>
      </c>
      <c r="AK2998" t="s">
        <v>1006</v>
      </c>
      <c r="AL2998">
        <v>32.719065999999998</v>
      </c>
      <c r="AM2998" t="s">
        <v>1007</v>
      </c>
      <c r="AN2998">
        <v>-116.75675200000001</v>
      </c>
      <c r="AO2998">
        <v>25</v>
      </c>
      <c r="AP2998">
        <v>3600</v>
      </c>
      <c r="AQ2998" t="s">
        <v>129</v>
      </c>
      <c r="AR2998">
        <v>-108</v>
      </c>
      <c r="AS2998">
        <v>-88</v>
      </c>
      <c r="AT2998">
        <v>256</v>
      </c>
      <c r="BB2998">
        <v>1200</v>
      </c>
      <c r="BC2998">
        <v>1</v>
      </c>
      <c r="BD2998" t="str">
        <f t="shared" si="1071"/>
        <v xml:space="preserve">N887QR  </v>
      </c>
      <c r="BE2998">
        <v>1</v>
      </c>
      <c r="BG2998">
        <v>0</v>
      </c>
      <c r="BH2998">
        <v>0</v>
      </c>
      <c r="BI2998">
        <v>0</v>
      </c>
      <c r="BJ2998">
        <v>3275</v>
      </c>
      <c r="BK2998">
        <v>-325</v>
      </c>
      <c r="BL2998" t="s">
        <v>163</v>
      </c>
      <c r="BM2998">
        <v>1</v>
      </c>
      <c r="BN2998">
        <v>1</v>
      </c>
      <c r="BO2998">
        <v>1</v>
      </c>
      <c r="BP2998">
        <v>0</v>
      </c>
      <c r="BS2998">
        <v>0</v>
      </c>
      <c r="BT2998">
        <v>0</v>
      </c>
      <c r="BU2998">
        <v>0</v>
      </c>
      <c r="CE2998" t="str">
        <f t="shared" si="1090"/>
        <v>19:33:34.512</v>
      </c>
      <c r="CF2998">
        <v>511946952</v>
      </c>
      <c r="CS2998">
        <v>0</v>
      </c>
      <c r="CT2998">
        <v>2</v>
      </c>
      <c r="CU2998">
        <v>0</v>
      </c>
      <c r="CV2998">
        <v>2</v>
      </c>
      <c r="CW2998">
        <v>2</v>
      </c>
      <c r="CX2998">
        <v>6</v>
      </c>
      <c r="CY2998">
        <v>7</v>
      </c>
      <c r="CZ2998" t="s">
        <v>131</v>
      </c>
      <c r="DA2998">
        <v>286</v>
      </c>
      <c r="DB2998">
        <v>0</v>
      </c>
      <c r="DC2998" t="s">
        <v>132</v>
      </c>
      <c r="DD2998" t="s">
        <v>133</v>
      </c>
      <c r="DG2998">
        <v>861605</v>
      </c>
      <c r="DI2998">
        <v>0</v>
      </c>
      <c r="DJ2998">
        <v>0</v>
      </c>
      <c r="DK2998">
        <v>1</v>
      </c>
      <c r="DL2998">
        <v>0</v>
      </c>
      <c r="DM2998">
        <v>0</v>
      </c>
      <c r="DN2998">
        <v>1</v>
      </c>
      <c r="DO2998">
        <v>0</v>
      </c>
      <c r="DP2998">
        <v>0</v>
      </c>
      <c r="DQ2998">
        <v>0</v>
      </c>
      <c r="DR2998">
        <v>0</v>
      </c>
      <c r="DS2998">
        <v>0</v>
      </c>
    </row>
    <row r="2999" spans="1:123" x14ac:dyDescent="0.3">
      <c r="A2999" t="str">
        <f t="shared" ref="A2999:A3005" si="1091">"10/04/2022 19:33:35.058"</f>
        <v>10/04/2022 19:33:35.058</v>
      </c>
      <c r="C2999" t="str">
        <f t="shared" si="1084"/>
        <v>FFDFD3C0</v>
      </c>
      <c r="D2999" t="s">
        <v>143</v>
      </c>
      <c r="E2999">
        <v>20</v>
      </c>
      <c r="F2999">
        <v>1020</v>
      </c>
      <c r="G2999" t="s">
        <v>144</v>
      </c>
      <c r="J2999" t="s">
        <v>145</v>
      </c>
      <c r="K2999">
        <v>0</v>
      </c>
      <c r="L2999">
        <v>3</v>
      </c>
      <c r="M2999">
        <v>0</v>
      </c>
      <c r="N2999">
        <v>2</v>
      </c>
      <c r="O2999">
        <v>0</v>
      </c>
      <c r="P2999">
        <v>1</v>
      </c>
      <c r="Q2999">
        <v>0</v>
      </c>
      <c r="S2999" t="str">
        <f t="shared" si="1089"/>
        <v>19:33:34.000</v>
      </c>
      <c r="T2999" t="str">
        <f t="shared" si="1089"/>
        <v>19:33:34.000</v>
      </c>
      <c r="U2999" t="str">
        <f t="shared" si="1070"/>
        <v>AC3944</v>
      </c>
      <c r="V2999">
        <v>0</v>
      </c>
      <c r="W2999">
        <v>0</v>
      </c>
      <c r="X2999">
        <v>2</v>
      </c>
      <c r="Y2999">
        <v>0</v>
      </c>
      <c r="AA2999">
        <v>1</v>
      </c>
      <c r="AB2999">
        <v>8</v>
      </c>
      <c r="AC2999">
        <v>3</v>
      </c>
      <c r="AD2999">
        <v>0</v>
      </c>
      <c r="AE2999">
        <v>9</v>
      </c>
      <c r="AF2999" t="s">
        <v>138</v>
      </c>
      <c r="AG2999">
        <v>0</v>
      </c>
      <c r="AH2999">
        <v>3</v>
      </c>
      <c r="AI2999">
        <v>1</v>
      </c>
      <c r="AJ2999">
        <v>0</v>
      </c>
      <c r="AK2999" t="s">
        <v>1008</v>
      </c>
      <c r="AL2999">
        <v>32.718657999999998</v>
      </c>
      <c r="AM2999" t="s">
        <v>1009</v>
      </c>
      <c r="AN2999">
        <v>-116.757352</v>
      </c>
      <c r="AO2999">
        <v>25</v>
      </c>
      <c r="AP2999">
        <v>3600</v>
      </c>
      <c r="AQ2999" t="s">
        <v>129</v>
      </c>
      <c r="AR2999">
        <v>-106</v>
      </c>
      <c r="AS2999">
        <v>-88</v>
      </c>
      <c r="AT2999">
        <v>256</v>
      </c>
      <c r="BB2999">
        <v>1200</v>
      </c>
      <c r="BC2999">
        <v>1</v>
      </c>
      <c r="BD2999" t="str">
        <f t="shared" si="1071"/>
        <v xml:space="preserve">N887QR  </v>
      </c>
      <c r="BE2999">
        <v>1</v>
      </c>
      <c r="BG2999">
        <v>0</v>
      </c>
      <c r="BH2999">
        <v>0</v>
      </c>
      <c r="BI2999">
        <v>0</v>
      </c>
      <c r="BJ2999">
        <v>3325</v>
      </c>
      <c r="BK2999">
        <v>-275</v>
      </c>
      <c r="BL2999" t="s">
        <v>163</v>
      </c>
      <c r="BM2999">
        <v>1</v>
      </c>
      <c r="BN2999">
        <v>1</v>
      </c>
      <c r="BO2999">
        <v>1</v>
      </c>
      <c r="BP2999">
        <v>0</v>
      </c>
      <c r="BS2999">
        <v>0</v>
      </c>
      <c r="BT2999">
        <v>0</v>
      </c>
      <c r="BU2999">
        <v>0</v>
      </c>
      <c r="CE2999" t="str">
        <f t="shared" ref="CE2999:CE3005" si="1092">"19:33:34.784"</f>
        <v>19:33:34.784</v>
      </c>
      <c r="CF2999">
        <v>783947763</v>
      </c>
      <c r="CS2999">
        <v>0</v>
      </c>
      <c r="CT2999">
        <v>2</v>
      </c>
      <c r="CU2999">
        <v>0</v>
      </c>
      <c r="CV2999">
        <v>2</v>
      </c>
      <c r="CW2999">
        <v>2</v>
      </c>
      <c r="CX2999">
        <v>6</v>
      </c>
      <c r="CY2999">
        <v>7</v>
      </c>
      <c r="CZ2999" t="s">
        <v>131</v>
      </c>
      <c r="DA2999">
        <v>286</v>
      </c>
      <c r="DB2999">
        <v>0</v>
      </c>
      <c r="DC2999" t="s">
        <v>132</v>
      </c>
      <c r="DD2999" t="s">
        <v>133</v>
      </c>
      <c r="DG2999">
        <v>861674</v>
      </c>
      <c r="DI2999">
        <v>0</v>
      </c>
      <c r="DJ2999">
        <v>0</v>
      </c>
      <c r="DK2999">
        <v>0</v>
      </c>
      <c r="DL2999">
        <v>0</v>
      </c>
      <c r="DM2999">
        <v>0</v>
      </c>
      <c r="DN2999">
        <v>1</v>
      </c>
      <c r="DO2999">
        <v>0</v>
      </c>
      <c r="DP2999">
        <v>0</v>
      </c>
      <c r="DQ2999">
        <v>0</v>
      </c>
      <c r="DR2999">
        <v>0</v>
      </c>
      <c r="DS2999">
        <v>0</v>
      </c>
    </row>
    <row r="3000" spans="1:123" x14ac:dyDescent="0.3">
      <c r="A3000" t="str">
        <f t="shared" si="1091"/>
        <v>10/04/2022 19:33:35.058</v>
      </c>
      <c r="C3000" t="str">
        <f t="shared" si="1084"/>
        <v>FFDFD3C0</v>
      </c>
      <c r="D3000" t="s">
        <v>134</v>
      </c>
      <c r="E3000">
        <v>15</v>
      </c>
      <c r="J3000" t="s">
        <v>135</v>
      </c>
      <c r="K3000">
        <v>0</v>
      </c>
      <c r="L3000">
        <v>3</v>
      </c>
      <c r="M3000">
        <v>0</v>
      </c>
      <c r="N3000">
        <v>2</v>
      </c>
      <c r="O3000">
        <v>0</v>
      </c>
      <c r="P3000">
        <v>1</v>
      </c>
      <c r="Q3000">
        <v>0</v>
      </c>
      <c r="S3000" t="str">
        <f t="shared" si="1089"/>
        <v>19:33:34.000</v>
      </c>
      <c r="T3000" t="str">
        <f t="shared" si="1089"/>
        <v>19:33:34.000</v>
      </c>
      <c r="U3000" t="str">
        <f t="shared" si="1070"/>
        <v>AC3944</v>
      </c>
      <c r="V3000">
        <v>0</v>
      </c>
      <c r="W3000">
        <v>0</v>
      </c>
      <c r="X3000">
        <v>2</v>
      </c>
      <c r="Y3000">
        <v>0</v>
      </c>
      <c r="AA3000">
        <v>1</v>
      </c>
      <c r="AB3000">
        <v>8</v>
      </c>
      <c r="AC3000">
        <v>3</v>
      </c>
      <c r="AD3000">
        <v>0</v>
      </c>
      <c r="AE3000">
        <v>9</v>
      </c>
      <c r="AF3000" t="s">
        <v>138</v>
      </c>
      <c r="AG3000">
        <v>0</v>
      </c>
      <c r="AH3000">
        <v>3</v>
      </c>
      <c r="AI3000">
        <v>1</v>
      </c>
      <c r="AJ3000">
        <v>0</v>
      </c>
      <c r="AK3000" t="s">
        <v>1008</v>
      </c>
      <c r="AL3000">
        <v>32.718657999999998</v>
      </c>
      <c r="AM3000" t="s">
        <v>1009</v>
      </c>
      <c r="AN3000">
        <v>-116.757352</v>
      </c>
      <c r="AO3000">
        <v>25</v>
      </c>
      <c r="AP3000">
        <v>3600</v>
      </c>
      <c r="AQ3000" t="s">
        <v>129</v>
      </c>
      <c r="AR3000">
        <v>-106</v>
      </c>
      <c r="AS3000">
        <v>-88</v>
      </c>
      <c r="AT3000">
        <v>256</v>
      </c>
      <c r="BB3000">
        <v>1200</v>
      </c>
      <c r="BC3000">
        <v>1</v>
      </c>
      <c r="BD3000" t="str">
        <f t="shared" si="1071"/>
        <v xml:space="preserve">N887QR  </v>
      </c>
      <c r="BE3000">
        <v>1</v>
      </c>
      <c r="BG3000">
        <v>0</v>
      </c>
      <c r="BH3000">
        <v>0</v>
      </c>
      <c r="BI3000">
        <v>0</v>
      </c>
      <c r="BJ3000">
        <v>3325</v>
      </c>
      <c r="BK3000">
        <v>-275</v>
      </c>
      <c r="BL3000" t="s">
        <v>163</v>
      </c>
      <c r="BM3000">
        <v>1</v>
      </c>
      <c r="BN3000">
        <v>1</v>
      </c>
      <c r="BO3000">
        <v>1</v>
      </c>
      <c r="BP3000">
        <v>0</v>
      </c>
      <c r="BS3000">
        <v>0</v>
      </c>
      <c r="BT3000">
        <v>0</v>
      </c>
      <c r="BU3000">
        <v>0</v>
      </c>
      <c r="CE3000" t="str">
        <f t="shared" si="1092"/>
        <v>19:33:34.784</v>
      </c>
      <c r="CF3000">
        <v>783947763</v>
      </c>
      <c r="CS3000">
        <v>0</v>
      </c>
      <c r="CT3000">
        <v>2</v>
      </c>
      <c r="CU3000">
        <v>0</v>
      </c>
      <c r="CV3000">
        <v>2</v>
      </c>
      <c r="CW3000">
        <v>2</v>
      </c>
      <c r="CX3000">
        <v>6</v>
      </c>
      <c r="CY3000">
        <v>7</v>
      </c>
      <c r="CZ3000" t="s">
        <v>131</v>
      </c>
      <c r="DA3000">
        <v>286</v>
      </c>
      <c r="DB3000">
        <v>0</v>
      </c>
      <c r="DC3000" t="s">
        <v>132</v>
      </c>
      <c r="DD3000" t="s">
        <v>133</v>
      </c>
      <c r="DG3000">
        <v>861674</v>
      </c>
      <c r="DI3000">
        <v>0</v>
      </c>
      <c r="DJ3000">
        <v>0</v>
      </c>
      <c r="DK3000">
        <v>1</v>
      </c>
      <c r="DL3000">
        <v>0</v>
      </c>
      <c r="DM3000">
        <v>0</v>
      </c>
      <c r="DN3000">
        <v>1</v>
      </c>
      <c r="DO3000">
        <v>0</v>
      </c>
      <c r="DP3000">
        <v>0</v>
      </c>
      <c r="DQ3000">
        <v>0</v>
      </c>
      <c r="DR3000">
        <v>0</v>
      </c>
      <c r="DS3000">
        <v>0</v>
      </c>
    </row>
    <row r="3001" spans="1:123" x14ac:dyDescent="0.3">
      <c r="A3001" t="str">
        <f t="shared" si="1091"/>
        <v>10/04/2022 19:33:35.058</v>
      </c>
      <c r="C3001" t="str">
        <f t="shared" si="1084"/>
        <v>FFDFD3C0</v>
      </c>
      <c r="D3001" t="s">
        <v>123</v>
      </c>
      <c r="E3001">
        <v>7</v>
      </c>
      <c r="F3001">
        <v>2007</v>
      </c>
      <c r="G3001" t="s">
        <v>124</v>
      </c>
      <c r="J3001" t="s">
        <v>125</v>
      </c>
      <c r="K3001">
        <v>0</v>
      </c>
      <c r="L3001">
        <v>3</v>
      </c>
      <c r="M3001">
        <v>0</v>
      </c>
      <c r="N3001">
        <v>2</v>
      </c>
      <c r="O3001">
        <v>0</v>
      </c>
      <c r="P3001">
        <v>1</v>
      </c>
      <c r="Q3001">
        <v>0</v>
      </c>
      <c r="S3001" t="str">
        <f t="shared" si="1089"/>
        <v>19:33:34.000</v>
      </c>
      <c r="T3001" t="str">
        <f t="shared" si="1089"/>
        <v>19:33:34.000</v>
      </c>
      <c r="U3001" t="str">
        <f t="shared" si="1070"/>
        <v>AC3944</v>
      </c>
      <c r="V3001">
        <v>0</v>
      </c>
      <c r="W3001">
        <v>0</v>
      </c>
      <c r="X3001">
        <v>2</v>
      </c>
      <c r="Y3001">
        <v>0</v>
      </c>
      <c r="AA3001">
        <v>1</v>
      </c>
      <c r="AB3001">
        <v>8</v>
      </c>
      <c r="AC3001">
        <v>3</v>
      </c>
      <c r="AD3001">
        <v>0</v>
      </c>
      <c r="AE3001">
        <v>9</v>
      </c>
      <c r="AF3001" t="s">
        <v>138</v>
      </c>
      <c r="AG3001">
        <v>0</v>
      </c>
      <c r="AH3001">
        <v>3</v>
      </c>
      <c r="AI3001">
        <v>1</v>
      </c>
      <c r="AJ3001">
        <v>0</v>
      </c>
      <c r="AK3001" t="s">
        <v>1008</v>
      </c>
      <c r="AL3001">
        <v>32.718657999999998</v>
      </c>
      <c r="AM3001" t="s">
        <v>1009</v>
      </c>
      <c r="AN3001">
        <v>-116.757352</v>
      </c>
      <c r="AO3001">
        <v>25</v>
      </c>
      <c r="AP3001">
        <v>3600</v>
      </c>
      <c r="AQ3001" t="s">
        <v>129</v>
      </c>
      <c r="AR3001">
        <v>-106</v>
      </c>
      <c r="AS3001">
        <v>-88</v>
      </c>
      <c r="AT3001">
        <v>256</v>
      </c>
      <c r="BB3001">
        <v>1200</v>
      </c>
      <c r="BC3001">
        <v>1</v>
      </c>
      <c r="BD3001" t="str">
        <f t="shared" si="1071"/>
        <v xml:space="preserve">N887QR  </v>
      </c>
      <c r="BE3001">
        <v>1</v>
      </c>
      <c r="BG3001">
        <v>0</v>
      </c>
      <c r="BH3001">
        <v>0</v>
      </c>
      <c r="BI3001">
        <v>0</v>
      </c>
      <c r="BJ3001">
        <v>3325</v>
      </c>
      <c r="BK3001">
        <v>-275</v>
      </c>
      <c r="BL3001" t="s">
        <v>163</v>
      </c>
      <c r="BM3001">
        <v>1</v>
      </c>
      <c r="BN3001">
        <v>1</v>
      </c>
      <c r="BO3001">
        <v>1</v>
      </c>
      <c r="BP3001">
        <v>0</v>
      </c>
      <c r="BS3001">
        <v>0</v>
      </c>
      <c r="BT3001">
        <v>0</v>
      </c>
      <c r="BU3001">
        <v>0</v>
      </c>
      <c r="CE3001" t="str">
        <f t="shared" si="1092"/>
        <v>19:33:34.784</v>
      </c>
      <c r="CF3001">
        <v>783947763</v>
      </c>
      <c r="CS3001">
        <v>0</v>
      </c>
      <c r="CT3001">
        <v>2</v>
      </c>
      <c r="CU3001">
        <v>0</v>
      </c>
      <c r="CV3001">
        <v>2</v>
      </c>
      <c r="CW3001">
        <v>2</v>
      </c>
      <c r="CX3001">
        <v>6</v>
      </c>
      <c r="CY3001">
        <v>7</v>
      </c>
      <c r="CZ3001" t="s">
        <v>131</v>
      </c>
      <c r="DA3001">
        <v>286</v>
      </c>
      <c r="DB3001">
        <v>0</v>
      </c>
      <c r="DC3001" t="s">
        <v>132</v>
      </c>
      <c r="DD3001" t="s">
        <v>133</v>
      </c>
      <c r="DG3001">
        <v>861674</v>
      </c>
      <c r="DI3001">
        <v>0</v>
      </c>
      <c r="DJ3001">
        <v>0</v>
      </c>
      <c r="DK3001">
        <v>1</v>
      </c>
      <c r="DL3001">
        <v>0</v>
      </c>
      <c r="DM3001">
        <v>0</v>
      </c>
      <c r="DN3001">
        <v>1</v>
      </c>
      <c r="DO3001">
        <v>0</v>
      </c>
      <c r="DP3001">
        <v>0</v>
      </c>
      <c r="DQ3001">
        <v>0</v>
      </c>
      <c r="DR3001">
        <v>0</v>
      </c>
      <c r="DS3001">
        <v>0</v>
      </c>
    </row>
    <row r="3002" spans="1:123" x14ac:dyDescent="0.3">
      <c r="A3002" t="str">
        <f t="shared" si="1091"/>
        <v>10/04/2022 19:33:35.058</v>
      </c>
      <c r="C3002" t="str">
        <f t="shared" si="1084"/>
        <v>FFDFD3C0</v>
      </c>
      <c r="D3002" t="s">
        <v>141</v>
      </c>
      <c r="E3002">
        <v>3</v>
      </c>
      <c r="H3002">
        <v>3</v>
      </c>
      <c r="I3002" t="s">
        <v>146</v>
      </c>
      <c r="J3002" t="s">
        <v>138</v>
      </c>
      <c r="K3002">
        <v>0</v>
      </c>
      <c r="L3002">
        <v>3</v>
      </c>
      <c r="M3002">
        <v>0</v>
      </c>
      <c r="N3002">
        <v>2</v>
      </c>
      <c r="O3002">
        <v>0</v>
      </c>
      <c r="P3002">
        <v>1</v>
      </c>
      <c r="Q3002">
        <v>0</v>
      </c>
      <c r="S3002" t="str">
        <f t="shared" si="1089"/>
        <v>19:33:34.000</v>
      </c>
      <c r="T3002" t="str">
        <f t="shared" si="1089"/>
        <v>19:33:34.000</v>
      </c>
      <c r="U3002" t="str">
        <f t="shared" si="1070"/>
        <v>AC3944</v>
      </c>
      <c r="V3002">
        <v>0</v>
      </c>
      <c r="W3002">
        <v>0</v>
      </c>
      <c r="X3002">
        <v>2</v>
      </c>
      <c r="Y3002">
        <v>0</v>
      </c>
      <c r="AA3002">
        <v>1</v>
      </c>
      <c r="AB3002">
        <v>8</v>
      </c>
      <c r="AC3002">
        <v>3</v>
      </c>
      <c r="AD3002">
        <v>0</v>
      </c>
      <c r="AE3002">
        <v>9</v>
      </c>
      <c r="AF3002" t="s">
        <v>138</v>
      </c>
      <c r="AG3002">
        <v>0</v>
      </c>
      <c r="AH3002">
        <v>3</v>
      </c>
      <c r="AI3002">
        <v>1</v>
      </c>
      <c r="AJ3002">
        <v>0</v>
      </c>
      <c r="AK3002" t="s">
        <v>1008</v>
      </c>
      <c r="AL3002">
        <v>32.718657999999998</v>
      </c>
      <c r="AM3002" t="s">
        <v>1009</v>
      </c>
      <c r="AN3002">
        <v>-116.757352</v>
      </c>
      <c r="AO3002">
        <v>25</v>
      </c>
      <c r="AP3002">
        <v>3600</v>
      </c>
      <c r="AQ3002" t="s">
        <v>129</v>
      </c>
      <c r="AR3002">
        <v>-106</v>
      </c>
      <c r="AS3002">
        <v>-88</v>
      </c>
      <c r="AT3002">
        <v>256</v>
      </c>
      <c r="BB3002">
        <v>1200</v>
      </c>
      <c r="BC3002">
        <v>1</v>
      </c>
      <c r="BD3002" t="str">
        <f t="shared" si="1071"/>
        <v xml:space="preserve">N887QR  </v>
      </c>
      <c r="BE3002">
        <v>1</v>
      </c>
      <c r="BG3002">
        <v>0</v>
      </c>
      <c r="BH3002">
        <v>0</v>
      </c>
      <c r="BI3002">
        <v>0</v>
      </c>
      <c r="BJ3002">
        <v>3325</v>
      </c>
      <c r="BK3002">
        <v>-275</v>
      </c>
      <c r="BL3002" t="s">
        <v>163</v>
      </c>
      <c r="BM3002">
        <v>1</v>
      </c>
      <c r="BN3002">
        <v>1</v>
      </c>
      <c r="BO3002">
        <v>1</v>
      </c>
      <c r="BP3002">
        <v>0</v>
      </c>
      <c r="BS3002">
        <v>0</v>
      </c>
      <c r="BT3002">
        <v>0</v>
      </c>
      <c r="BU3002">
        <v>0</v>
      </c>
      <c r="CE3002" t="str">
        <f t="shared" si="1092"/>
        <v>19:33:34.784</v>
      </c>
      <c r="CF3002">
        <v>783947763</v>
      </c>
      <c r="CS3002">
        <v>0</v>
      </c>
      <c r="CT3002">
        <v>2</v>
      </c>
      <c r="CU3002">
        <v>0</v>
      </c>
      <c r="CV3002">
        <v>2</v>
      </c>
      <c r="CW3002">
        <v>2</v>
      </c>
      <c r="CX3002">
        <v>6</v>
      </c>
      <c r="CY3002">
        <v>7</v>
      </c>
      <c r="CZ3002" t="s">
        <v>131</v>
      </c>
      <c r="DA3002">
        <v>286</v>
      </c>
      <c r="DB3002">
        <v>0</v>
      </c>
      <c r="DC3002" t="s">
        <v>132</v>
      </c>
      <c r="DD3002" t="s">
        <v>133</v>
      </c>
      <c r="DG3002">
        <v>861674</v>
      </c>
      <c r="DI3002">
        <v>0</v>
      </c>
      <c r="DJ3002">
        <v>0</v>
      </c>
      <c r="DK3002">
        <v>1</v>
      </c>
      <c r="DL3002">
        <v>0</v>
      </c>
      <c r="DM3002">
        <v>0</v>
      </c>
      <c r="DN3002">
        <v>1</v>
      </c>
      <c r="DO3002">
        <v>0</v>
      </c>
      <c r="DP3002">
        <v>0</v>
      </c>
      <c r="DQ3002">
        <v>0</v>
      </c>
      <c r="DR3002">
        <v>0</v>
      </c>
      <c r="DS3002">
        <v>0</v>
      </c>
    </row>
    <row r="3003" spans="1:123" x14ac:dyDescent="0.3">
      <c r="A3003" t="str">
        <f t="shared" si="1091"/>
        <v>10/04/2022 19:33:35.058</v>
      </c>
      <c r="C3003" t="str">
        <f t="shared" si="1084"/>
        <v>FFDFD3C0</v>
      </c>
      <c r="D3003" t="s">
        <v>147</v>
      </c>
      <c r="E3003">
        <v>3</v>
      </c>
      <c r="H3003">
        <v>166</v>
      </c>
      <c r="I3003" t="s">
        <v>144</v>
      </c>
      <c r="J3003" t="s">
        <v>148</v>
      </c>
      <c r="K3003">
        <v>0</v>
      </c>
      <c r="L3003">
        <v>3</v>
      </c>
      <c r="M3003">
        <v>0</v>
      </c>
      <c r="N3003">
        <v>2</v>
      </c>
      <c r="O3003">
        <v>0</v>
      </c>
      <c r="P3003">
        <v>1</v>
      </c>
      <c r="Q3003">
        <v>0</v>
      </c>
      <c r="S3003" t="str">
        <f t="shared" si="1089"/>
        <v>19:33:34.000</v>
      </c>
      <c r="T3003" t="str">
        <f t="shared" si="1089"/>
        <v>19:33:34.000</v>
      </c>
      <c r="U3003" t="str">
        <f t="shared" si="1070"/>
        <v>AC3944</v>
      </c>
      <c r="V3003">
        <v>0</v>
      </c>
      <c r="W3003">
        <v>0</v>
      </c>
      <c r="X3003">
        <v>2</v>
      </c>
      <c r="Y3003">
        <v>0</v>
      </c>
      <c r="AA3003">
        <v>1</v>
      </c>
      <c r="AB3003">
        <v>8</v>
      </c>
      <c r="AC3003">
        <v>3</v>
      </c>
      <c r="AD3003">
        <v>0</v>
      </c>
      <c r="AE3003">
        <v>9</v>
      </c>
      <c r="AF3003" t="s">
        <v>138</v>
      </c>
      <c r="AG3003">
        <v>0</v>
      </c>
      <c r="AH3003">
        <v>3</v>
      </c>
      <c r="AI3003">
        <v>1</v>
      </c>
      <c r="AJ3003">
        <v>0</v>
      </c>
      <c r="AK3003" t="s">
        <v>1008</v>
      </c>
      <c r="AL3003">
        <v>32.718657999999998</v>
      </c>
      <c r="AM3003" t="s">
        <v>1009</v>
      </c>
      <c r="AN3003">
        <v>-116.757352</v>
      </c>
      <c r="AO3003">
        <v>25</v>
      </c>
      <c r="AP3003">
        <v>3600</v>
      </c>
      <c r="AQ3003" t="s">
        <v>129</v>
      </c>
      <c r="AR3003">
        <v>-106</v>
      </c>
      <c r="AS3003">
        <v>-88</v>
      </c>
      <c r="AT3003">
        <v>256</v>
      </c>
      <c r="BB3003">
        <v>1200</v>
      </c>
      <c r="BC3003">
        <v>1</v>
      </c>
      <c r="BD3003" t="str">
        <f t="shared" si="1071"/>
        <v xml:space="preserve">N887QR  </v>
      </c>
      <c r="BE3003">
        <v>1</v>
      </c>
      <c r="BG3003">
        <v>0</v>
      </c>
      <c r="BH3003">
        <v>0</v>
      </c>
      <c r="BI3003">
        <v>0</v>
      </c>
      <c r="BJ3003">
        <v>3325</v>
      </c>
      <c r="BK3003">
        <v>-275</v>
      </c>
      <c r="BL3003" t="s">
        <v>163</v>
      </c>
      <c r="BM3003">
        <v>1</v>
      </c>
      <c r="BN3003">
        <v>1</v>
      </c>
      <c r="BO3003">
        <v>1</v>
      </c>
      <c r="BP3003">
        <v>0</v>
      </c>
      <c r="BS3003">
        <v>0</v>
      </c>
      <c r="BT3003">
        <v>0</v>
      </c>
      <c r="BU3003">
        <v>0</v>
      </c>
      <c r="CE3003" t="str">
        <f t="shared" si="1092"/>
        <v>19:33:34.784</v>
      </c>
      <c r="CF3003">
        <v>783947763</v>
      </c>
      <c r="CS3003">
        <v>0</v>
      </c>
      <c r="CT3003">
        <v>2</v>
      </c>
      <c r="CU3003">
        <v>0</v>
      </c>
      <c r="CV3003">
        <v>2</v>
      </c>
      <c r="CW3003">
        <v>2</v>
      </c>
      <c r="CX3003">
        <v>6</v>
      </c>
      <c r="CY3003">
        <v>7</v>
      </c>
      <c r="CZ3003" t="s">
        <v>131</v>
      </c>
      <c r="DA3003">
        <v>286</v>
      </c>
      <c r="DB3003">
        <v>0</v>
      </c>
      <c r="DC3003" t="s">
        <v>132</v>
      </c>
      <c r="DD3003" t="s">
        <v>133</v>
      </c>
      <c r="DG3003">
        <v>861674</v>
      </c>
      <c r="DI3003">
        <v>0</v>
      </c>
      <c r="DJ3003">
        <v>0</v>
      </c>
      <c r="DK3003">
        <v>1</v>
      </c>
      <c r="DL3003">
        <v>0</v>
      </c>
      <c r="DM3003">
        <v>0</v>
      </c>
      <c r="DN3003">
        <v>1</v>
      </c>
      <c r="DO3003">
        <v>0</v>
      </c>
      <c r="DP3003">
        <v>0</v>
      </c>
      <c r="DQ3003">
        <v>0</v>
      </c>
      <c r="DR3003">
        <v>0</v>
      </c>
      <c r="DS3003">
        <v>0</v>
      </c>
    </row>
    <row r="3004" spans="1:123" x14ac:dyDescent="0.3">
      <c r="A3004" t="str">
        <f t="shared" si="1091"/>
        <v>10/04/2022 19:33:35.058</v>
      </c>
      <c r="C3004" t="str">
        <f t="shared" si="1084"/>
        <v>FFDFD3C0</v>
      </c>
      <c r="D3004" t="s">
        <v>141</v>
      </c>
      <c r="E3004">
        <v>4</v>
      </c>
      <c r="H3004">
        <v>4</v>
      </c>
      <c r="I3004" t="s">
        <v>142</v>
      </c>
      <c r="J3004" t="s">
        <v>138</v>
      </c>
      <c r="K3004">
        <v>0</v>
      </c>
      <c r="L3004">
        <v>3</v>
      </c>
      <c r="M3004">
        <v>0</v>
      </c>
      <c r="N3004">
        <v>2</v>
      </c>
      <c r="O3004">
        <v>0</v>
      </c>
      <c r="P3004">
        <v>1</v>
      </c>
      <c r="Q3004">
        <v>0</v>
      </c>
      <c r="S3004" t="str">
        <f t="shared" si="1089"/>
        <v>19:33:34.000</v>
      </c>
      <c r="T3004" t="str">
        <f t="shared" si="1089"/>
        <v>19:33:34.000</v>
      </c>
      <c r="U3004" t="str">
        <f t="shared" si="1070"/>
        <v>AC3944</v>
      </c>
      <c r="V3004">
        <v>0</v>
      </c>
      <c r="W3004">
        <v>0</v>
      </c>
      <c r="X3004">
        <v>2</v>
      </c>
      <c r="Y3004">
        <v>0</v>
      </c>
      <c r="AA3004">
        <v>1</v>
      </c>
      <c r="AB3004">
        <v>8</v>
      </c>
      <c r="AC3004">
        <v>3</v>
      </c>
      <c r="AD3004">
        <v>0</v>
      </c>
      <c r="AE3004">
        <v>9</v>
      </c>
      <c r="AF3004" t="s">
        <v>138</v>
      </c>
      <c r="AG3004">
        <v>0</v>
      </c>
      <c r="AH3004">
        <v>3</v>
      </c>
      <c r="AI3004">
        <v>1</v>
      </c>
      <c r="AJ3004">
        <v>0</v>
      </c>
      <c r="AK3004" t="s">
        <v>1008</v>
      </c>
      <c r="AL3004">
        <v>32.718657999999998</v>
      </c>
      <c r="AM3004" t="s">
        <v>1009</v>
      </c>
      <c r="AN3004">
        <v>-116.757352</v>
      </c>
      <c r="AO3004">
        <v>25</v>
      </c>
      <c r="AP3004">
        <v>3600</v>
      </c>
      <c r="AQ3004" t="s">
        <v>129</v>
      </c>
      <c r="AR3004">
        <v>-106</v>
      </c>
      <c r="AS3004">
        <v>-88</v>
      </c>
      <c r="AT3004">
        <v>256</v>
      </c>
      <c r="BB3004">
        <v>1200</v>
      </c>
      <c r="BC3004">
        <v>1</v>
      </c>
      <c r="BD3004" t="str">
        <f t="shared" si="1071"/>
        <v xml:space="preserve">N887QR  </v>
      </c>
      <c r="BE3004">
        <v>1</v>
      </c>
      <c r="BG3004">
        <v>0</v>
      </c>
      <c r="BH3004">
        <v>0</v>
      </c>
      <c r="BI3004">
        <v>0</v>
      </c>
      <c r="BJ3004">
        <v>3325</v>
      </c>
      <c r="BK3004">
        <v>-275</v>
      </c>
      <c r="BL3004" t="s">
        <v>163</v>
      </c>
      <c r="BM3004">
        <v>1</v>
      </c>
      <c r="BN3004">
        <v>1</v>
      </c>
      <c r="BO3004">
        <v>1</v>
      </c>
      <c r="BP3004">
        <v>0</v>
      </c>
      <c r="BS3004">
        <v>0</v>
      </c>
      <c r="BT3004">
        <v>0</v>
      </c>
      <c r="BU3004">
        <v>0</v>
      </c>
      <c r="CE3004" t="str">
        <f t="shared" si="1092"/>
        <v>19:33:34.784</v>
      </c>
      <c r="CF3004">
        <v>783947763</v>
      </c>
      <c r="CS3004">
        <v>0</v>
      </c>
      <c r="CT3004">
        <v>2</v>
      </c>
      <c r="CU3004">
        <v>0</v>
      </c>
      <c r="CV3004">
        <v>2</v>
      </c>
      <c r="CW3004">
        <v>2</v>
      </c>
      <c r="CX3004">
        <v>6</v>
      </c>
      <c r="CY3004">
        <v>7</v>
      </c>
      <c r="CZ3004" t="s">
        <v>131</v>
      </c>
      <c r="DA3004">
        <v>286</v>
      </c>
      <c r="DB3004">
        <v>0</v>
      </c>
      <c r="DC3004" t="s">
        <v>132</v>
      </c>
      <c r="DD3004" t="s">
        <v>133</v>
      </c>
      <c r="DG3004">
        <v>861674</v>
      </c>
      <c r="DI3004">
        <v>0</v>
      </c>
      <c r="DJ3004">
        <v>0</v>
      </c>
      <c r="DK3004">
        <v>1</v>
      </c>
      <c r="DL3004">
        <v>0</v>
      </c>
      <c r="DM3004">
        <v>0</v>
      </c>
      <c r="DN3004">
        <v>1</v>
      </c>
      <c r="DO3004">
        <v>0</v>
      </c>
      <c r="DP3004">
        <v>0</v>
      </c>
      <c r="DQ3004">
        <v>0</v>
      </c>
      <c r="DR3004">
        <v>0</v>
      </c>
      <c r="DS3004">
        <v>0</v>
      </c>
    </row>
    <row r="3005" spans="1:123" x14ac:dyDescent="0.3">
      <c r="A3005" t="str">
        <f t="shared" si="1091"/>
        <v>10/04/2022 19:33:35.058</v>
      </c>
      <c r="C3005" t="str">
        <f t="shared" si="1084"/>
        <v>FFDFD3C0</v>
      </c>
      <c r="D3005" t="s">
        <v>136</v>
      </c>
      <c r="E3005">
        <v>8</v>
      </c>
      <c r="H3005">
        <v>225</v>
      </c>
      <c r="I3005" t="s">
        <v>137</v>
      </c>
      <c r="J3005" t="s">
        <v>138</v>
      </c>
      <c r="K3005">
        <v>0</v>
      </c>
      <c r="L3005">
        <v>3</v>
      </c>
      <c r="M3005">
        <v>0</v>
      </c>
      <c r="N3005">
        <v>2</v>
      </c>
      <c r="O3005">
        <v>0</v>
      </c>
      <c r="P3005">
        <v>1</v>
      </c>
      <c r="Q3005">
        <v>0</v>
      </c>
      <c r="S3005" t="str">
        <f t="shared" si="1089"/>
        <v>19:33:34.000</v>
      </c>
      <c r="T3005" t="str">
        <f t="shared" si="1089"/>
        <v>19:33:34.000</v>
      </c>
      <c r="U3005" t="str">
        <f t="shared" si="1070"/>
        <v>AC3944</v>
      </c>
      <c r="V3005">
        <v>0</v>
      </c>
      <c r="W3005">
        <v>0</v>
      </c>
      <c r="X3005">
        <v>2</v>
      </c>
      <c r="Y3005">
        <v>0</v>
      </c>
      <c r="AA3005">
        <v>1</v>
      </c>
      <c r="AB3005">
        <v>8</v>
      </c>
      <c r="AC3005">
        <v>3</v>
      </c>
      <c r="AD3005">
        <v>0</v>
      </c>
      <c r="AE3005">
        <v>9</v>
      </c>
      <c r="AF3005" t="s">
        <v>138</v>
      </c>
      <c r="AG3005">
        <v>0</v>
      </c>
      <c r="AH3005">
        <v>3</v>
      </c>
      <c r="AI3005">
        <v>1</v>
      </c>
      <c r="AJ3005">
        <v>0</v>
      </c>
      <c r="AK3005" t="s">
        <v>1008</v>
      </c>
      <c r="AL3005">
        <v>32.718657999999998</v>
      </c>
      <c r="AM3005" t="s">
        <v>1009</v>
      </c>
      <c r="AN3005">
        <v>-116.757352</v>
      </c>
      <c r="AO3005">
        <v>25</v>
      </c>
      <c r="AP3005">
        <v>3600</v>
      </c>
      <c r="AQ3005" t="s">
        <v>129</v>
      </c>
      <c r="AR3005">
        <v>-106</v>
      </c>
      <c r="AS3005">
        <v>-88</v>
      </c>
      <c r="AT3005">
        <v>256</v>
      </c>
      <c r="BB3005">
        <v>1200</v>
      </c>
      <c r="BC3005">
        <v>1</v>
      </c>
      <c r="BD3005" t="str">
        <f t="shared" si="1071"/>
        <v xml:space="preserve">N887QR  </v>
      </c>
      <c r="BE3005">
        <v>1</v>
      </c>
      <c r="BG3005">
        <v>0</v>
      </c>
      <c r="BH3005">
        <v>0</v>
      </c>
      <c r="BI3005">
        <v>0</v>
      </c>
      <c r="BJ3005">
        <v>3325</v>
      </c>
      <c r="BK3005">
        <v>-275</v>
      </c>
      <c r="BL3005" t="s">
        <v>163</v>
      </c>
      <c r="BM3005">
        <v>1</v>
      </c>
      <c r="BN3005">
        <v>1</v>
      </c>
      <c r="BO3005">
        <v>1</v>
      </c>
      <c r="BP3005">
        <v>0</v>
      </c>
      <c r="BS3005">
        <v>0</v>
      </c>
      <c r="BT3005">
        <v>0</v>
      </c>
      <c r="BU3005">
        <v>0</v>
      </c>
      <c r="CE3005" t="str">
        <f t="shared" si="1092"/>
        <v>19:33:34.784</v>
      </c>
      <c r="CF3005">
        <v>783947763</v>
      </c>
      <c r="CS3005">
        <v>0</v>
      </c>
      <c r="CT3005">
        <v>2</v>
      </c>
      <c r="CU3005">
        <v>0</v>
      </c>
      <c r="CV3005">
        <v>2</v>
      </c>
      <c r="CW3005">
        <v>2</v>
      </c>
      <c r="CX3005">
        <v>6</v>
      </c>
      <c r="CY3005">
        <v>7</v>
      </c>
      <c r="CZ3005" t="s">
        <v>131</v>
      </c>
      <c r="DA3005">
        <v>286</v>
      </c>
      <c r="DB3005">
        <v>0</v>
      </c>
      <c r="DC3005" t="s">
        <v>132</v>
      </c>
      <c r="DD3005" t="s">
        <v>133</v>
      </c>
      <c r="DG3005">
        <v>861674</v>
      </c>
      <c r="DI3005">
        <v>0</v>
      </c>
      <c r="DJ3005">
        <v>0</v>
      </c>
      <c r="DK3005">
        <v>1</v>
      </c>
      <c r="DL3005">
        <v>0</v>
      </c>
      <c r="DM3005">
        <v>0</v>
      </c>
      <c r="DN3005">
        <v>1</v>
      </c>
      <c r="DO3005">
        <v>0</v>
      </c>
      <c r="DP3005">
        <v>0</v>
      </c>
      <c r="DQ3005">
        <v>0</v>
      </c>
      <c r="DR3005">
        <v>0</v>
      </c>
      <c r="DS3005">
        <v>0</v>
      </c>
    </row>
    <row r="3006" spans="1:123" x14ac:dyDescent="0.3">
      <c r="A3006" t="str">
        <f t="shared" ref="A3006:A3012" si="1093">"10/04/2022 19:33:36.432"</f>
        <v>10/04/2022 19:33:36.432</v>
      </c>
      <c r="C3006" t="str">
        <f t="shared" si="1084"/>
        <v>FFDFD3C0</v>
      </c>
      <c r="D3006" t="s">
        <v>143</v>
      </c>
      <c r="E3006">
        <v>20</v>
      </c>
      <c r="F3006">
        <v>1020</v>
      </c>
      <c r="G3006" t="s">
        <v>144</v>
      </c>
      <c r="J3006" t="s">
        <v>145</v>
      </c>
      <c r="K3006">
        <v>0</v>
      </c>
      <c r="L3006">
        <v>3</v>
      </c>
      <c r="M3006">
        <v>0</v>
      </c>
      <c r="N3006">
        <v>2</v>
      </c>
      <c r="O3006">
        <v>0</v>
      </c>
      <c r="P3006">
        <v>1</v>
      </c>
      <c r="Q3006">
        <v>0</v>
      </c>
      <c r="S3006" t="str">
        <f t="shared" ref="S3006:T3012" si="1094">"19:33:36.000"</f>
        <v>19:33:36.000</v>
      </c>
      <c r="T3006" t="str">
        <f t="shared" si="1094"/>
        <v>19:33:36.000</v>
      </c>
      <c r="U3006" t="str">
        <f t="shared" si="1070"/>
        <v>AC3944</v>
      </c>
      <c r="V3006">
        <v>0</v>
      </c>
      <c r="W3006">
        <v>0</v>
      </c>
      <c r="X3006">
        <v>2</v>
      </c>
      <c r="Y3006">
        <v>0</v>
      </c>
      <c r="AA3006">
        <v>1</v>
      </c>
      <c r="AB3006">
        <v>8</v>
      </c>
      <c r="AC3006">
        <v>3</v>
      </c>
      <c r="AD3006">
        <v>0</v>
      </c>
      <c r="AE3006">
        <v>9</v>
      </c>
      <c r="AF3006" t="s">
        <v>126</v>
      </c>
      <c r="AG3006">
        <v>0</v>
      </c>
      <c r="AH3006">
        <v>1</v>
      </c>
      <c r="AI3006">
        <v>1</v>
      </c>
      <c r="AJ3006">
        <v>0</v>
      </c>
      <c r="AK3006" t="s">
        <v>1010</v>
      </c>
      <c r="AL3006">
        <v>32.718251000000002</v>
      </c>
      <c r="AM3006" t="s">
        <v>1011</v>
      </c>
      <c r="AN3006">
        <v>-116.757953</v>
      </c>
      <c r="AO3006">
        <v>25</v>
      </c>
      <c r="AP3006">
        <v>3600</v>
      </c>
      <c r="AQ3006" t="s">
        <v>129</v>
      </c>
      <c r="AR3006">
        <v>-102</v>
      </c>
      <c r="AS3006">
        <v>-91</v>
      </c>
      <c r="AT3006">
        <v>832</v>
      </c>
      <c r="BB3006">
        <v>1200</v>
      </c>
      <c r="BC3006">
        <v>1</v>
      </c>
      <c r="BD3006" t="str">
        <f t="shared" si="1071"/>
        <v xml:space="preserve">N887QR  </v>
      </c>
      <c r="BE3006">
        <v>1</v>
      </c>
      <c r="BG3006">
        <v>0</v>
      </c>
      <c r="BH3006">
        <v>0</v>
      </c>
      <c r="BI3006">
        <v>0</v>
      </c>
      <c r="BJ3006">
        <v>3350</v>
      </c>
      <c r="BK3006">
        <v>-250</v>
      </c>
      <c r="BL3006" t="s">
        <v>163</v>
      </c>
      <c r="BM3006">
        <v>1</v>
      </c>
      <c r="BN3006">
        <v>1</v>
      </c>
      <c r="BO3006">
        <v>1</v>
      </c>
      <c r="BP3006">
        <v>0</v>
      </c>
      <c r="BS3006">
        <v>0</v>
      </c>
      <c r="BT3006">
        <v>0</v>
      </c>
      <c r="BU3006">
        <v>0</v>
      </c>
      <c r="CE3006" t="str">
        <f t="shared" ref="CE3006:CE3012" si="1095">"19:33:36.151"</f>
        <v>19:33:36.151</v>
      </c>
      <c r="CF3006">
        <v>151201743</v>
      </c>
      <c r="CS3006">
        <v>0</v>
      </c>
      <c r="CT3006">
        <v>2</v>
      </c>
      <c r="CU3006">
        <v>0</v>
      </c>
      <c r="CV3006">
        <v>2</v>
      </c>
      <c r="CW3006">
        <v>0</v>
      </c>
      <c r="CX3006">
        <v>6</v>
      </c>
      <c r="CY3006">
        <v>7</v>
      </c>
      <c r="CZ3006" t="s">
        <v>131</v>
      </c>
      <c r="DA3006">
        <v>286</v>
      </c>
      <c r="DB3006">
        <v>0</v>
      </c>
      <c r="DC3006" t="s">
        <v>132</v>
      </c>
      <c r="DD3006" t="s">
        <v>133</v>
      </c>
      <c r="DG3006">
        <v>862062</v>
      </c>
      <c r="DI3006">
        <v>0</v>
      </c>
      <c r="DJ3006">
        <v>0</v>
      </c>
      <c r="DK3006">
        <v>0</v>
      </c>
      <c r="DL3006">
        <v>0</v>
      </c>
      <c r="DM3006">
        <v>0</v>
      </c>
      <c r="DN3006">
        <v>1</v>
      </c>
      <c r="DO3006">
        <v>1</v>
      </c>
      <c r="DP3006">
        <v>0</v>
      </c>
      <c r="DQ3006">
        <v>1</v>
      </c>
      <c r="DR3006">
        <v>0</v>
      </c>
      <c r="DS3006">
        <v>0</v>
      </c>
    </row>
    <row r="3007" spans="1:123" x14ac:dyDescent="0.3">
      <c r="A3007" t="str">
        <f t="shared" si="1093"/>
        <v>10/04/2022 19:33:36.432</v>
      </c>
      <c r="C3007" t="str">
        <f t="shared" si="1084"/>
        <v>FFDFD3C0</v>
      </c>
      <c r="D3007" t="s">
        <v>123</v>
      </c>
      <c r="E3007">
        <v>7</v>
      </c>
      <c r="F3007">
        <v>2007</v>
      </c>
      <c r="G3007" t="s">
        <v>124</v>
      </c>
      <c r="J3007" t="s">
        <v>125</v>
      </c>
      <c r="K3007">
        <v>0</v>
      </c>
      <c r="L3007">
        <v>3</v>
      </c>
      <c r="M3007">
        <v>0</v>
      </c>
      <c r="N3007">
        <v>2</v>
      </c>
      <c r="O3007">
        <v>0</v>
      </c>
      <c r="P3007">
        <v>1</v>
      </c>
      <c r="Q3007">
        <v>0</v>
      </c>
      <c r="S3007" t="str">
        <f t="shared" si="1094"/>
        <v>19:33:36.000</v>
      </c>
      <c r="T3007" t="str">
        <f t="shared" si="1094"/>
        <v>19:33:36.000</v>
      </c>
      <c r="U3007" t="str">
        <f t="shared" si="1070"/>
        <v>AC3944</v>
      </c>
      <c r="V3007">
        <v>0</v>
      </c>
      <c r="W3007">
        <v>0</v>
      </c>
      <c r="X3007">
        <v>2</v>
      </c>
      <c r="Y3007">
        <v>0</v>
      </c>
      <c r="AA3007">
        <v>1</v>
      </c>
      <c r="AB3007">
        <v>8</v>
      </c>
      <c r="AC3007">
        <v>3</v>
      </c>
      <c r="AD3007">
        <v>0</v>
      </c>
      <c r="AE3007">
        <v>9</v>
      </c>
      <c r="AF3007" t="s">
        <v>126</v>
      </c>
      <c r="AG3007">
        <v>0</v>
      </c>
      <c r="AH3007">
        <v>1</v>
      </c>
      <c r="AI3007">
        <v>1</v>
      </c>
      <c r="AJ3007">
        <v>0</v>
      </c>
      <c r="AK3007" t="s">
        <v>1010</v>
      </c>
      <c r="AL3007">
        <v>32.718251000000002</v>
      </c>
      <c r="AM3007" t="s">
        <v>1011</v>
      </c>
      <c r="AN3007">
        <v>-116.757953</v>
      </c>
      <c r="AO3007">
        <v>25</v>
      </c>
      <c r="AP3007">
        <v>3600</v>
      </c>
      <c r="AQ3007" t="s">
        <v>129</v>
      </c>
      <c r="AR3007">
        <v>-102</v>
      </c>
      <c r="AS3007">
        <v>-91</v>
      </c>
      <c r="AT3007">
        <v>832</v>
      </c>
      <c r="BB3007">
        <v>1200</v>
      </c>
      <c r="BC3007">
        <v>1</v>
      </c>
      <c r="BD3007" t="str">
        <f t="shared" si="1071"/>
        <v xml:space="preserve">N887QR  </v>
      </c>
      <c r="BE3007">
        <v>1</v>
      </c>
      <c r="BG3007">
        <v>0</v>
      </c>
      <c r="BH3007">
        <v>0</v>
      </c>
      <c r="BI3007">
        <v>0</v>
      </c>
      <c r="BJ3007">
        <v>3350</v>
      </c>
      <c r="BK3007">
        <v>-250</v>
      </c>
      <c r="BL3007" t="s">
        <v>163</v>
      </c>
      <c r="BM3007">
        <v>1</v>
      </c>
      <c r="BN3007">
        <v>1</v>
      </c>
      <c r="BO3007">
        <v>1</v>
      </c>
      <c r="BP3007">
        <v>0</v>
      </c>
      <c r="BS3007">
        <v>0</v>
      </c>
      <c r="BT3007">
        <v>0</v>
      </c>
      <c r="BU3007">
        <v>0</v>
      </c>
      <c r="CE3007" t="str">
        <f t="shared" si="1095"/>
        <v>19:33:36.151</v>
      </c>
      <c r="CF3007">
        <v>151201743</v>
      </c>
      <c r="CS3007">
        <v>0</v>
      </c>
      <c r="CT3007">
        <v>2</v>
      </c>
      <c r="CU3007">
        <v>0</v>
      </c>
      <c r="CV3007">
        <v>2</v>
      </c>
      <c r="CW3007">
        <v>0</v>
      </c>
      <c r="CX3007">
        <v>6</v>
      </c>
      <c r="CY3007">
        <v>7</v>
      </c>
      <c r="CZ3007" t="s">
        <v>131</v>
      </c>
      <c r="DA3007">
        <v>286</v>
      </c>
      <c r="DB3007">
        <v>0</v>
      </c>
      <c r="DC3007" t="s">
        <v>132</v>
      </c>
      <c r="DD3007" t="s">
        <v>133</v>
      </c>
      <c r="DG3007">
        <v>862062</v>
      </c>
      <c r="DI3007">
        <v>0</v>
      </c>
      <c r="DJ3007">
        <v>0</v>
      </c>
      <c r="DK3007">
        <v>1</v>
      </c>
      <c r="DL3007">
        <v>0</v>
      </c>
      <c r="DM3007">
        <v>0</v>
      </c>
      <c r="DN3007">
        <v>1</v>
      </c>
      <c r="DO3007">
        <v>1</v>
      </c>
      <c r="DP3007">
        <v>0</v>
      </c>
      <c r="DQ3007">
        <v>1</v>
      </c>
      <c r="DR3007">
        <v>0</v>
      </c>
      <c r="DS3007">
        <v>0</v>
      </c>
    </row>
    <row r="3008" spans="1:123" x14ac:dyDescent="0.3">
      <c r="A3008" t="str">
        <f t="shared" si="1093"/>
        <v>10/04/2022 19:33:36.432</v>
      </c>
      <c r="C3008" t="str">
        <f t="shared" si="1084"/>
        <v>FFDFD3C0</v>
      </c>
      <c r="D3008" t="s">
        <v>134</v>
      </c>
      <c r="E3008">
        <v>15</v>
      </c>
      <c r="J3008" t="s">
        <v>135</v>
      </c>
      <c r="K3008">
        <v>0</v>
      </c>
      <c r="L3008">
        <v>3</v>
      </c>
      <c r="M3008">
        <v>0</v>
      </c>
      <c r="N3008">
        <v>2</v>
      </c>
      <c r="O3008">
        <v>0</v>
      </c>
      <c r="P3008">
        <v>1</v>
      </c>
      <c r="Q3008">
        <v>0</v>
      </c>
      <c r="S3008" t="str">
        <f t="shared" si="1094"/>
        <v>19:33:36.000</v>
      </c>
      <c r="T3008" t="str">
        <f t="shared" si="1094"/>
        <v>19:33:36.000</v>
      </c>
      <c r="U3008" t="str">
        <f t="shared" si="1070"/>
        <v>AC3944</v>
      </c>
      <c r="V3008">
        <v>0</v>
      </c>
      <c r="W3008">
        <v>0</v>
      </c>
      <c r="X3008">
        <v>2</v>
      </c>
      <c r="Y3008">
        <v>0</v>
      </c>
      <c r="AA3008">
        <v>1</v>
      </c>
      <c r="AB3008">
        <v>8</v>
      </c>
      <c r="AC3008">
        <v>3</v>
      </c>
      <c r="AD3008">
        <v>0</v>
      </c>
      <c r="AE3008">
        <v>9</v>
      </c>
      <c r="AF3008" t="s">
        <v>126</v>
      </c>
      <c r="AG3008">
        <v>0</v>
      </c>
      <c r="AH3008">
        <v>1</v>
      </c>
      <c r="AI3008">
        <v>1</v>
      </c>
      <c r="AJ3008">
        <v>0</v>
      </c>
      <c r="AK3008" t="s">
        <v>1010</v>
      </c>
      <c r="AL3008">
        <v>32.718251000000002</v>
      </c>
      <c r="AM3008" t="s">
        <v>1011</v>
      </c>
      <c r="AN3008">
        <v>-116.757953</v>
      </c>
      <c r="AO3008">
        <v>25</v>
      </c>
      <c r="AP3008">
        <v>3600</v>
      </c>
      <c r="AQ3008" t="s">
        <v>129</v>
      </c>
      <c r="AR3008">
        <v>-102</v>
      </c>
      <c r="AS3008">
        <v>-91</v>
      </c>
      <c r="AT3008">
        <v>832</v>
      </c>
      <c r="BB3008">
        <v>1200</v>
      </c>
      <c r="BC3008">
        <v>1</v>
      </c>
      <c r="BD3008" t="str">
        <f t="shared" si="1071"/>
        <v xml:space="preserve">N887QR  </v>
      </c>
      <c r="BE3008">
        <v>1</v>
      </c>
      <c r="BG3008">
        <v>0</v>
      </c>
      <c r="BH3008">
        <v>0</v>
      </c>
      <c r="BI3008">
        <v>0</v>
      </c>
      <c r="BJ3008">
        <v>3350</v>
      </c>
      <c r="BK3008">
        <v>-250</v>
      </c>
      <c r="BL3008" t="s">
        <v>163</v>
      </c>
      <c r="BM3008">
        <v>1</v>
      </c>
      <c r="BN3008">
        <v>1</v>
      </c>
      <c r="BO3008">
        <v>1</v>
      </c>
      <c r="BP3008">
        <v>0</v>
      </c>
      <c r="BS3008">
        <v>0</v>
      </c>
      <c r="BT3008">
        <v>0</v>
      </c>
      <c r="BU3008">
        <v>0</v>
      </c>
      <c r="CE3008" t="str">
        <f t="shared" si="1095"/>
        <v>19:33:36.151</v>
      </c>
      <c r="CF3008">
        <v>151201743</v>
      </c>
      <c r="CS3008">
        <v>0</v>
      </c>
      <c r="CT3008">
        <v>2</v>
      </c>
      <c r="CU3008">
        <v>0</v>
      </c>
      <c r="CV3008">
        <v>2</v>
      </c>
      <c r="CW3008">
        <v>0</v>
      </c>
      <c r="CX3008">
        <v>6</v>
      </c>
      <c r="CY3008">
        <v>7</v>
      </c>
      <c r="CZ3008" t="s">
        <v>131</v>
      </c>
      <c r="DA3008">
        <v>286</v>
      </c>
      <c r="DB3008">
        <v>0</v>
      </c>
      <c r="DC3008" t="s">
        <v>132</v>
      </c>
      <c r="DD3008" t="s">
        <v>133</v>
      </c>
      <c r="DG3008">
        <v>862062</v>
      </c>
      <c r="DI3008">
        <v>0</v>
      </c>
      <c r="DJ3008">
        <v>0</v>
      </c>
      <c r="DK3008">
        <v>1</v>
      </c>
      <c r="DL3008">
        <v>0</v>
      </c>
      <c r="DM3008">
        <v>0</v>
      </c>
      <c r="DN3008">
        <v>1</v>
      </c>
      <c r="DO3008">
        <v>1</v>
      </c>
      <c r="DP3008">
        <v>0</v>
      </c>
      <c r="DQ3008">
        <v>1</v>
      </c>
      <c r="DR3008">
        <v>0</v>
      </c>
      <c r="DS3008">
        <v>0</v>
      </c>
    </row>
    <row r="3009" spans="1:123" x14ac:dyDescent="0.3">
      <c r="A3009" t="str">
        <f t="shared" si="1093"/>
        <v>10/04/2022 19:33:36.432</v>
      </c>
      <c r="C3009" t="str">
        <f t="shared" si="1084"/>
        <v>FFDFD3C0</v>
      </c>
      <c r="D3009" t="s">
        <v>141</v>
      </c>
      <c r="E3009">
        <v>3</v>
      </c>
      <c r="H3009">
        <v>3</v>
      </c>
      <c r="I3009" t="s">
        <v>146</v>
      </c>
      <c r="J3009" t="s">
        <v>138</v>
      </c>
      <c r="K3009">
        <v>0</v>
      </c>
      <c r="L3009">
        <v>3</v>
      </c>
      <c r="M3009">
        <v>0</v>
      </c>
      <c r="N3009">
        <v>2</v>
      </c>
      <c r="O3009">
        <v>0</v>
      </c>
      <c r="P3009">
        <v>1</v>
      </c>
      <c r="Q3009">
        <v>0</v>
      </c>
      <c r="S3009" t="str">
        <f t="shared" si="1094"/>
        <v>19:33:36.000</v>
      </c>
      <c r="T3009" t="str">
        <f t="shared" si="1094"/>
        <v>19:33:36.000</v>
      </c>
      <c r="U3009" t="str">
        <f t="shared" si="1070"/>
        <v>AC3944</v>
      </c>
      <c r="V3009">
        <v>0</v>
      </c>
      <c r="W3009">
        <v>0</v>
      </c>
      <c r="X3009">
        <v>2</v>
      </c>
      <c r="Y3009">
        <v>0</v>
      </c>
      <c r="AA3009">
        <v>1</v>
      </c>
      <c r="AB3009">
        <v>8</v>
      </c>
      <c r="AC3009">
        <v>3</v>
      </c>
      <c r="AD3009">
        <v>0</v>
      </c>
      <c r="AE3009">
        <v>9</v>
      </c>
      <c r="AF3009" t="s">
        <v>126</v>
      </c>
      <c r="AG3009">
        <v>0</v>
      </c>
      <c r="AH3009">
        <v>1</v>
      </c>
      <c r="AI3009">
        <v>1</v>
      </c>
      <c r="AJ3009">
        <v>0</v>
      </c>
      <c r="AK3009" t="s">
        <v>1010</v>
      </c>
      <c r="AL3009">
        <v>32.718251000000002</v>
      </c>
      <c r="AM3009" t="s">
        <v>1011</v>
      </c>
      <c r="AN3009">
        <v>-116.757953</v>
      </c>
      <c r="AO3009">
        <v>25</v>
      </c>
      <c r="AP3009">
        <v>3600</v>
      </c>
      <c r="AQ3009" t="s">
        <v>129</v>
      </c>
      <c r="AR3009">
        <v>-102</v>
      </c>
      <c r="AS3009">
        <v>-91</v>
      </c>
      <c r="AT3009">
        <v>832</v>
      </c>
      <c r="BB3009">
        <v>1200</v>
      </c>
      <c r="BC3009">
        <v>1</v>
      </c>
      <c r="BD3009" t="str">
        <f t="shared" si="1071"/>
        <v xml:space="preserve">N887QR  </v>
      </c>
      <c r="BE3009">
        <v>1</v>
      </c>
      <c r="BG3009">
        <v>0</v>
      </c>
      <c r="BH3009">
        <v>0</v>
      </c>
      <c r="BI3009">
        <v>0</v>
      </c>
      <c r="BJ3009">
        <v>3350</v>
      </c>
      <c r="BK3009">
        <v>-250</v>
      </c>
      <c r="BL3009" t="s">
        <v>163</v>
      </c>
      <c r="BM3009">
        <v>1</v>
      </c>
      <c r="BN3009">
        <v>1</v>
      </c>
      <c r="BO3009">
        <v>1</v>
      </c>
      <c r="BP3009">
        <v>0</v>
      </c>
      <c r="BS3009">
        <v>0</v>
      </c>
      <c r="BT3009">
        <v>0</v>
      </c>
      <c r="BU3009">
        <v>0</v>
      </c>
      <c r="CE3009" t="str">
        <f t="shared" si="1095"/>
        <v>19:33:36.151</v>
      </c>
      <c r="CF3009">
        <v>151201743</v>
      </c>
      <c r="CS3009">
        <v>0</v>
      </c>
      <c r="CT3009">
        <v>2</v>
      </c>
      <c r="CU3009">
        <v>0</v>
      </c>
      <c r="CV3009">
        <v>2</v>
      </c>
      <c r="CW3009">
        <v>0</v>
      </c>
      <c r="CX3009">
        <v>6</v>
      </c>
      <c r="CY3009">
        <v>7</v>
      </c>
      <c r="CZ3009" t="s">
        <v>131</v>
      </c>
      <c r="DA3009">
        <v>286</v>
      </c>
      <c r="DB3009">
        <v>0</v>
      </c>
      <c r="DC3009" t="s">
        <v>132</v>
      </c>
      <c r="DD3009" t="s">
        <v>133</v>
      </c>
      <c r="DG3009">
        <v>862062</v>
      </c>
      <c r="DI3009">
        <v>0</v>
      </c>
      <c r="DJ3009">
        <v>0</v>
      </c>
      <c r="DK3009">
        <v>1</v>
      </c>
      <c r="DL3009">
        <v>0</v>
      </c>
      <c r="DM3009">
        <v>0</v>
      </c>
      <c r="DN3009">
        <v>1</v>
      </c>
      <c r="DO3009">
        <v>1</v>
      </c>
      <c r="DP3009">
        <v>0</v>
      </c>
      <c r="DQ3009">
        <v>1</v>
      </c>
      <c r="DR3009">
        <v>0</v>
      </c>
      <c r="DS3009">
        <v>0</v>
      </c>
    </row>
    <row r="3010" spans="1:123" x14ac:dyDescent="0.3">
      <c r="A3010" t="str">
        <f t="shared" si="1093"/>
        <v>10/04/2022 19:33:36.432</v>
      </c>
      <c r="C3010" t="str">
        <f t="shared" si="1084"/>
        <v>FFDFD3C0</v>
      </c>
      <c r="D3010" t="s">
        <v>147</v>
      </c>
      <c r="E3010">
        <v>3</v>
      </c>
      <c r="H3010">
        <v>166</v>
      </c>
      <c r="I3010" t="s">
        <v>144</v>
      </c>
      <c r="J3010" t="s">
        <v>148</v>
      </c>
      <c r="K3010">
        <v>0</v>
      </c>
      <c r="L3010">
        <v>3</v>
      </c>
      <c r="M3010">
        <v>0</v>
      </c>
      <c r="N3010">
        <v>2</v>
      </c>
      <c r="O3010">
        <v>0</v>
      </c>
      <c r="P3010">
        <v>1</v>
      </c>
      <c r="Q3010">
        <v>0</v>
      </c>
      <c r="S3010" t="str">
        <f t="shared" si="1094"/>
        <v>19:33:36.000</v>
      </c>
      <c r="T3010" t="str">
        <f t="shared" si="1094"/>
        <v>19:33:36.000</v>
      </c>
      <c r="U3010" t="str">
        <f t="shared" ref="U3010:U3073" si="1096">"AC3944"</f>
        <v>AC3944</v>
      </c>
      <c r="V3010">
        <v>0</v>
      </c>
      <c r="W3010">
        <v>0</v>
      </c>
      <c r="X3010">
        <v>2</v>
      </c>
      <c r="Y3010">
        <v>0</v>
      </c>
      <c r="AA3010">
        <v>1</v>
      </c>
      <c r="AB3010">
        <v>8</v>
      </c>
      <c r="AC3010">
        <v>3</v>
      </c>
      <c r="AD3010">
        <v>0</v>
      </c>
      <c r="AE3010">
        <v>9</v>
      </c>
      <c r="AF3010" t="s">
        <v>126</v>
      </c>
      <c r="AG3010">
        <v>0</v>
      </c>
      <c r="AH3010">
        <v>1</v>
      </c>
      <c r="AI3010">
        <v>1</v>
      </c>
      <c r="AJ3010">
        <v>0</v>
      </c>
      <c r="AK3010" t="s">
        <v>1010</v>
      </c>
      <c r="AL3010">
        <v>32.718251000000002</v>
      </c>
      <c r="AM3010" t="s">
        <v>1011</v>
      </c>
      <c r="AN3010">
        <v>-116.757953</v>
      </c>
      <c r="AO3010">
        <v>25</v>
      </c>
      <c r="AP3010">
        <v>3600</v>
      </c>
      <c r="AQ3010" t="s">
        <v>129</v>
      </c>
      <c r="AR3010">
        <v>-102</v>
      </c>
      <c r="AS3010">
        <v>-91</v>
      </c>
      <c r="AT3010">
        <v>832</v>
      </c>
      <c r="BB3010">
        <v>1200</v>
      </c>
      <c r="BC3010">
        <v>1</v>
      </c>
      <c r="BD3010" t="str">
        <f t="shared" ref="BD3010:BD3073" si="1097">"N887QR  "</f>
        <v xml:space="preserve">N887QR  </v>
      </c>
      <c r="BE3010">
        <v>1</v>
      </c>
      <c r="BG3010">
        <v>0</v>
      </c>
      <c r="BH3010">
        <v>0</v>
      </c>
      <c r="BI3010">
        <v>0</v>
      </c>
      <c r="BJ3010">
        <v>3350</v>
      </c>
      <c r="BK3010">
        <v>-250</v>
      </c>
      <c r="BL3010" t="s">
        <v>163</v>
      </c>
      <c r="BM3010">
        <v>1</v>
      </c>
      <c r="BN3010">
        <v>1</v>
      </c>
      <c r="BO3010">
        <v>1</v>
      </c>
      <c r="BP3010">
        <v>0</v>
      </c>
      <c r="BS3010">
        <v>0</v>
      </c>
      <c r="BT3010">
        <v>0</v>
      </c>
      <c r="BU3010">
        <v>0</v>
      </c>
      <c r="CE3010" t="str">
        <f t="shared" si="1095"/>
        <v>19:33:36.151</v>
      </c>
      <c r="CF3010">
        <v>151201743</v>
      </c>
      <c r="CS3010">
        <v>0</v>
      </c>
      <c r="CT3010">
        <v>2</v>
      </c>
      <c r="CU3010">
        <v>0</v>
      </c>
      <c r="CV3010">
        <v>2</v>
      </c>
      <c r="CW3010">
        <v>0</v>
      </c>
      <c r="CX3010">
        <v>6</v>
      </c>
      <c r="CY3010">
        <v>7</v>
      </c>
      <c r="CZ3010" t="s">
        <v>131</v>
      </c>
      <c r="DA3010">
        <v>286</v>
      </c>
      <c r="DB3010">
        <v>0</v>
      </c>
      <c r="DC3010" t="s">
        <v>132</v>
      </c>
      <c r="DD3010" t="s">
        <v>133</v>
      </c>
      <c r="DG3010">
        <v>862062</v>
      </c>
      <c r="DI3010">
        <v>0</v>
      </c>
      <c r="DJ3010">
        <v>0</v>
      </c>
      <c r="DK3010">
        <v>1</v>
      </c>
      <c r="DL3010">
        <v>0</v>
      </c>
      <c r="DM3010">
        <v>0</v>
      </c>
      <c r="DN3010">
        <v>1</v>
      </c>
      <c r="DO3010">
        <v>1</v>
      </c>
      <c r="DP3010">
        <v>0</v>
      </c>
      <c r="DQ3010">
        <v>1</v>
      </c>
      <c r="DR3010">
        <v>0</v>
      </c>
      <c r="DS3010">
        <v>0</v>
      </c>
    </row>
    <row r="3011" spans="1:123" x14ac:dyDescent="0.3">
      <c r="A3011" t="str">
        <f t="shared" si="1093"/>
        <v>10/04/2022 19:33:36.432</v>
      </c>
      <c r="C3011" t="str">
        <f t="shared" si="1084"/>
        <v>FFDFD3C0</v>
      </c>
      <c r="D3011" t="s">
        <v>141</v>
      </c>
      <c r="E3011">
        <v>4</v>
      </c>
      <c r="H3011">
        <v>4</v>
      </c>
      <c r="I3011" t="s">
        <v>142</v>
      </c>
      <c r="J3011" t="s">
        <v>138</v>
      </c>
      <c r="K3011">
        <v>0</v>
      </c>
      <c r="L3011">
        <v>3</v>
      </c>
      <c r="M3011">
        <v>0</v>
      </c>
      <c r="N3011">
        <v>2</v>
      </c>
      <c r="O3011">
        <v>0</v>
      </c>
      <c r="P3011">
        <v>1</v>
      </c>
      <c r="Q3011">
        <v>0</v>
      </c>
      <c r="S3011" t="str">
        <f t="shared" si="1094"/>
        <v>19:33:36.000</v>
      </c>
      <c r="T3011" t="str">
        <f t="shared" si="1094"/>
        <v>19:33:36.000</v>
      </c>
      <c r="U3011" t="str">
        <f t="shared" si="1096"/>
        <v>AC3944</v>
      </c>
      <c r="V3011">
        <v>0</v>
      </c>
      <c r="W3011">
        <v>0</v>
      </c>
      <c r="X3011">
        <v>2</v>
      </c>
      <c r="Y3011">
        <v>0</v>
      </c>
      <c r="AA3011">
        <v>1</v>
      </c>
      <c r="AB3011">
        <v>8</v>
      </c>
      <c r="AC3011">
        <v>3</v>
      </c>
      <c r="AD3011">
        <v>0</v>
      </c>
      <c r="AE3011">
        <v>9</v>
      </c>
      <c r="AF3011" t="s">
        <v>126</v>
      </c>
      <c r="AG3011">
        <v>0</v>
      </c>
      <c r="AH3011">
        <v>1</v>
      </c>
      <c r="AI3011">
        <v>1</v>
      </c>
      <c r="AJ3011">
        <v>0</v>
      </c>
      <c r="AK3011" t="s">
        <v>1010</v>
      </c>
      <c r="AL3011">
        <v>32.718251000000002</v>
      </c>
      <c r="AM3011" t="s">
        <v>1011</v>
      </c>
      <c r="AN3011">
        <v>-116.757953</v>
      </c>
      <c r="AO3011">
        <v>25</v>
      </c>
      <c r="AP3011">
        <v>3600</v>
      </c>
      <c r="AQ3011" t="s">
        <v>129</v>
      </c>
      <c r="AR3011">
        <v>-102</v>
      </c>
      <c r="AS3011">
        <v>-91</v>
      </c>
      <c r="AT3011">
        <v>832</v>
      </c>
      <c r="BB3011">
        <v>1200</v>
      </c>
      <c r="BC3011">
        <v>1</v>
      </c>
      <c r="BD3011" t="str">
        <f t="shared" si="1097"/>
        <v xml:space="preserve">N887QR  </v>
      </c>
      <c r="BE3011">
        <v>1</v>
      </c>
      <c r="BG3011">
        <v>0</v>
      </c>
      <c r="BH3011">
        <v>0</v>
      </c>
      <c r="BI3011">
        <v>0</v>
      </c>
      <c r="BJ3011">
        <v>3350</v>
      </c>
      <c r="BK3011">
        <v>-250</v>
      </c>
      <c r="BL3011" t="s">
        <v>163</v>
      </c>
      <c r="BM3011">
        <v>1</v>
      </c>
      <c r="BN3011">
        <v>1</v>
      </c>
      <c r="BO3011">
        <v>1</v>
      </c>
      <c r="BP3011">
        <v>0</v>
      </c>
      <c r="BS3011">
        <v>0</v>
      </c>
      <c r="BT3011">
        <v>0</v>
      </c>
      <c r="BU3011">
        <v>0</v>
      </c>
      <c r="CE3011" t="str">
        <f t="shared" si="1095"/>
        <v>19:33:36.151</v>
      </c>
      <c r="CF3011">
        <v>151201743</v>
      </c>
      <c r="CS3011">
        <v>0</v>
      </c>
      <c r="CT3011">
        <v>2</v>
      </c>
      <c r="CU3011">
        <v>0</v>
      </c>
      <c r="CV3011">
        <v>2</v>
      </c>
      <c r="CW3011">
        <v>0</v>
      </c>
      <c r="CX3011">
        <v>6</v>
      </c>
      <c r="CY3011">
        <v>7</v>
      </c>
      <c r="CZ3011" t="s">
        <v>131</v>
      </c>
      <c r="DA3011">
        <v>286</v>
      </c>
      <c r="DB3011">
        <v>0</v>
      </c>
      <c r="DC3011" t="s">
        <v>132</v>
      </c>
      <c r="DD3011" t="s">
        <v>133</v>
      </c>
      <c r="DG3011">
        <v>862062</v>
      </c>
      <c r="DI3011">
        <v>0</v>
      </c>
      <c r="DJ3011">
        <v>0</v>
      </c>
      <c r="DK3011">
        <v>1</v>
      </c>
      <c r="DL3011">
        <v>0</v>
      </c>
      <c r="DM3011">
        <v>0</v>
      </c>
      <c r="DN3011">
        <v>1</v>
      </c>
      <c r="DO3011">
        <v>1</v>
      </c>
      <c r="DP3011">
        <v>0</v>
      </c>
      <c r="DQ3011">
        <v>1</v>
      </c>
      <c r="DR3011">
        <v>0</v>
      </c>
      <c r="DS3011">
        <v>0</v>
      </c>
    </row>
    <row r="3012" spans="1:123" x14ac:dyDescent="0.3">
      <c r="A3012" t="str">
        <f t="shared" si="1093"/>
        <v>10/04/2022 19:33:36.432</v>
      </c>
      <c r="C3012" t="str">
        <f t="shared" si="1084"/>
        <v>FFDFD3C0</v>
      </c>
      <c r="D3012" t="s">
        <v>136</v>
      </c>
      <c r="E3012">
        <v>8</v>
      </c>
      <c r="H3012">
        <v>225</v>
      </c>
      <c r="I3012" t="s">
        <v>137</v>
      </c>
      <c r="J3012" t="s">
        <v>138</v>
      </c>
      <c r="K3012">
        <v>0</v>
      </c>
      <c r="L3012">
        <v>3</v>
      </c>
      <c r="M3012">
        <v>0</v>
      </c>
      <c r="N3012">
        <v>2</v>
      </c>
      <c r="O3012">
        <v>0</v>
      </c>
      <c r="P3012">
        <v>1</v>
      </c>
      <c r="Q3012">
        <v>0</v>
      </c>
      <c r="S3012" t="str">
        <f t="shared" si="1094"/>
        <v>19:33:36.000</v>
      </c>
      <c r="T3012" t="str">
        <f t="shared" si="1094"/>
        <v>19:33:36.000</v>
      </c>
      <c r="U3012" t="str">
        <f t="shared" si="1096"/>
        <v>AC3944</v>
      </c>
      <c r="V3012">
        <v>0</v>
      </c>
      <c r="W3012">
        <v>0</v>
      </c>
      <c r="X3012">
        <v>2</v>
      </c>
      <c r="Y3012">
        <v>0</v>
      </c>
      <c r="AA3012">
        <v>1</v>
      </c>
      <c r="AB3012">
        <v>8</v>
      </c>
      <c r="AC3012">
        <v>3</v>
      </c>
      <c r="AD3012">
        <v>0</v>
      </c>
      <c r="AE3012">
        <v>9</v>
      </c>
      <c r="AF3012" t="s">
        <v>126</v>
      </c>
      <c r="AG3012">
        <v>0</v>
      </c>
      <c r="AH3012">
        <v>1</v>
      </c>
      <c r="AI3012">
        <v>1</v>
      </c>
      <c r="AJ3012">
        <v>0</v>
      </c>
      <c r="AK3012" t="s">
        <v>1010</v>
      </c>
      <c r="AL3012">
        <v>32.718251000000002</v>
      </c>
      <c r="AM3012" t="s">
        <v>1011</v>
      </c>
      <c r="AN3012">
        <v>-116.757953</v>
      </c>
      <c r="AO3012">
        <v>25</v>
      </c>
      <c r="AP3012">
        <v>3600</v>
      </c>
      <c r="AQ3012" t="s">
        <v>129</v>
      </c>
      <c r="AR3012">
        <v>-102</v>
      </c>
      <c r="AS3012">
        <v>-91</v>
      </c>
      <c r="AT3012">
        <v>832</v>
      </c>
      <c r="BB3012">
        <v>1200</v>
      </c>
      <c r="BC3012">
        <v>1</v>
      </c>
      <c r="BD3012" t="str">
        <f t="shared" si="1097"/>
        <v xml:space="preserve">N887QR  </v>
      </c>
      <c r="BE3012">
        <v>1</v>
      </c>
      <c r="BG3012">
        <v>0</v>
      </c>
      <c r="BH3012">
        <v>0</v>
      </c>
      <c r="BI3012">
        <v>0</v>
      </c>
      <c r="BJ3012">
        <v>3350</v>
      </c>
      <c r="BK3012">
        <v>-250</v>
      </c>
      <c r="BL3012" t="s">
        <v>163</v>
      </c>
      <c r="BM3012">
        <v>1</v>
      </c>
      <c r="BN3012">
        <v>1</v>
      </c>
      <c r="BO3012">
        <v>1</v>
      </c>
      <c r="BP3012">
        <v>0</v>
      </c>
      <c r="BS3012">
        <v>0</v>
      </c>
      <c r="BT3012">
        <v>0</v>
      </c>
      <c r="BU3012">
        <v>0</v>
      </c>
      <c r="CE3012" t="str">
        <f t="shared" si="1095"/>
        <v>19:33:36.151</v>
      </c>
      <c r="CF3012">
        <v>151201743</v>
      </c>
      <c r="CS3012">
        <v>0</v>
      </c>
      <c r="CT3012">
        <v>2</v>
      </c>
      <c r="CU3012">
        <v>0</v>
      </c>
      <c r="CV3012">
        <v>2</v>
      </c>
      <c r="CW3012">
        <v>0</v>
      </c>
      <c r="CX3012">
        <v>6</v>
      </c>
      <c r="CY3012">
        <v>7</v>
      </c>
      <c r="CZ3012" t="s">
        <v>131</v>
      </c>
      <c r="DA3012">
        <v>286</v>
      </c>
      <c r="DB3012">
        <v>0</v>
      </c>
      <c r="DC3012" t="s">
        <v>132</v>
      </c>
      <c r="DD3012" t="s">
        <v>133</v>
      </c>
      <c r="DG3012">
        <v>862062</v>
      </c>
      <c r="DI3012">
        <v>0</v>
      </c>
      <c r="DJ3012">
        <v>0</v>
      </c>
      <c r="DK3012">
        <v>1</v>
      </c>
      <c r="DL3012">
        <v>0</v>
      </c>
      <c r="DM3012">
        <v>0</v>
      </c>
      <c r="DN3012">
        <v>1</v>
      </c>
      <c r="DO3012">
        <v>1</v>
      </c>
      <c r="DP3012">
        <v>0</v>
      </c>
      <c r="DQ3012">
        <v>1</v>
      </c>
      <c r="DR3012">
        <v>0</v>
      </c>
      <c r="DS3012">
        <v>0</v>
      </c>
    </row>
    <row r="3013" spans="1:123" x14ac:dyDescent="0.3">
      <c r="A3013" t="str">
        <f>"10/04/2022 19:33:37.604"</f>
        <v>10/04/2022 19:33:37.604</v>
      </c>
      <c r="C3013" t="str">
        <f t="shared" si="1084"/>
        <v>FFDFD3C0</v>
      </c>
      <c r="D3013" t="s">
        <v>134</v>
      </c>
      <c r="E3013">
        <v>15</v>
      </c>
      <c r="J3013" t="s">
        <v>135</v>
      </c>
      <c r="K3013">
        <v>0</v>
      </c>
      <c r="L3013">
        <v>3</v>
      </c>
      <c r="M3013">
        <v>0</v>
      </c>
      <c r="N3013">
        <v>2</v>
      </c>
      <c r="O3013">
        <v>0</v>
      </c>
      <c r="P3013">
        <v>1</v>
      </c>
      <c r="Q3013">
        <v>0</v>
      </c>
      <c r="S3013" t="str">
        <f t="shared" ref="S3013:T3026" si="1098">"19:33:37.000"</f>
        <v>19:33:37.000</v>
      </c>
      <c r="T3013" t="str">
        <f t="shared" si="1098"/>
        <v>19:33:37.000</v>
      </c>
      <c r="U3013" t="str">
        <f t="shared" si="1096"/>
        <v>AC3944</v>
      </c>
      <c r="V3013">
        <v>0</v>
      </c>
      <c r="W3013">
        <v>0</v>
      </c>
      <c r="X3013">
        <v>2</v>
      </c>
      <c r="Y3013">
        <v>0</v>
      </c>
      <c r="AA3013">
        <v>1</v>
      </c>
      <c r="AB3013">
        <v>8</v>
      </c>
      <c r="AC3013">
        <v>3</v>
      </c>
      <c r="AD3013">
        <v>0</v>
      </c>
      <c r="AE3013">
        <v>9</v>
      </c>
      <c r="AF3013" t="s">
        <v>138</v>
      </c>
      <c r="AG3013">
        <v>0</v>
      </c>
      <c r="AH3013">
        <v>3</v>
      </c>
      <c r="AI3013">
        <v>1</v>
      </c>
      <c r="AJ3013">
        <v>0</v>
      </c>
      <c r="AK3013" t="s">
        <v>1012</v>
      </c>
      <c r="AL3013">
        <v>32.717843000000002</v>
      </c>
      <c r="AM3013" t="s">
        <v>1013</v>
      </c>
      <c r="AN3013">
        <v>-116.758511</v>
      </c>
      <c r="AO3013">
        <v>25</v>
      </c>
      <c r="AP3013">
        <v>3700</v>
      </c>
      <c r="AQ3013" t="s">
        <v>129</v>
      </c>
      <c r="AR3013">
        <v>-98</v>
      </c>
      <c r="AS3013">
        <v>-93</v>
      </c>
      <c r="AT3013">
        <v>832</v>
      </c>
      <c r="BB3013">
        <v>1200</v>
      </c>
      <c r="BC3013">
        <v>1</v>
      </c>
      <c r="BD3013" t="str">
        <f t="shared" si="1097"/>
        <v xml:space="preserve">N887QR  </v>
      </c>
      <c r="BE3013">
        <v>1</v>
      </c>
      <c r="BG3013">
        <v>0</v>
      </c>
      <c r="BH3013">
        <v>0</v>
      </c>
      <c r="BI3013">
        <v>0</v>
      </c>
      <c r="BJ3013">
        <v>3350</v>
      </c>
      <c r="BK3013">
        <v>-350</v>
      </c>
      <c r="BL3013" t="s">
        <v>163</v>
      </c>
      <c r="BM3013">
        <v>1</v>
      </c>
      <c r="BN3013">
        <v>1</v>
      </c>
      <c r="BO3013">
        <v>1</v>
      </c>
      <c r="BP3013">
        <v>0</v>
      </c>
      <c r="BS3013">
        <v>0</v>
      </c>
      <c r="BT3013">
        <v>0</v>
      </c>
      <c r="BU3013">
        <v>0</v>
      </c>
      <c r="CE3013" t="str">
        <f t="shared" ref="CE3013:CE3019" si="1099">"19:33:37.414"</f>
        <v>19:33:37.414</v>
      </c>
      <c r="CF3013">
        <v>413705515</v>
      </c>
      <c r="CS3013">
        <v>0</v>
      </c>
      <c r="CT3013">
        <v>2</v>
      </c>
      <c r="CU3013">
        <v>0</v>
      </c>
      <c r="CV3013">
        <v>2</v>
      </c>
      <c r="CW3013">
        <v>0</v>
      </c>
      <c r="CX3013">
        <v>6</v>
      </c>
      <c r="CY3013">
        <v>7</v>
      </c>
      <c r="CZ3013" t="s">
        <v>131</v>
      </c>
      <c r="DA3013">
        <v>286</v>
      </c>
      <c r="DB3013">
        <v>0</v>
      </c>
      <c r="DC3013" t="s">
        <v>132</v>
      </c>
      <c r="DD3013" t="s">
        <v>133</v>
      </c>
      <c r="DG3013">
        <v>862414</v>
      </c>
      <c r="DI3013">
        <v>0</v>
      </c>
      <c r="DJ3013">
        <v>0</v>
      </c>
      <c r="DK3013">
        <v>0</v>
      </c>
      <c r="DL3013">
        <v>0</v>
      </c>
      <c r="DM3013">
        <v>0</v>
      </c>
      <c r="DN3013">
        <v>1</v>
      </c>
      <c r="DO3013">
        <v>0</v>
      </c>
      <c r="DP3013">
        <v>0</v>
      </c>
      <c r="DQ3013">
        <v>0</v>
      </c>
      <c r="DR3013">
        <v>0</v>
      </c>
      <c r="DS3013">
        <v>0</v>
      </c>
    </row>
    <row r="3014" spans="1:123" x14ac:dyDescent="0.3">
      <c r="A3014" t="str">
        <f>"10/04/2022 19:33:37.604"</f>
        <v>10/04/2022 19:33:37.604</v>
      </c>
      <c r="C3014" t="str">
        <f t="shared" si="1084"/>
        <v>FFDFD3C0</v>
      </c>
      <c r="D3014" t="s">
        <v>141</v>
      </c>
      <c r="E3014">
        <v>3</v>
      </c>
      <c r="H3014">
        <v>3</v>
      </c>
      <c r="I3014" t="s">
        <v>146</v>
      </c>
      <c r="J3014" t="s">
        <v>138</v>
      </c>
      <c r="K3014">
        <v>0</v>
      </c>
      <c r="L3014">
        <v>3</v>
      </c>
      <c r="M3014">
        <v>0</v>
      </c>
      <c r="N3014">
        <v>2</v>
      </c>
      <c r="O3014">
        <v>0</v>
      </c>
      <c r="P3014">
        <v>1</v>
      </c>
      <c r="Q3014">
        <v>0</v>
      </c>
      <c r="S3014" t="str">
        <f t="shared" si="1098"/>
        <v>19:33:37.000</v>
      </c>
      <c r="T3014" t="str">
        <f t="shared" si="1098"/>
        <v>19:33:37.000</v>
      </c>
      <c r="U3014" t="str">
        <f t="shared" si="1096"/>
        <v>AC3944</v>
      </c>
      <c r="V3014">
        <v>0</v>
      </c>
      <c r="W3014">
        <v>0</v>
      </c>
      <c r="X3014">
        <v>2</v>
      </c>
      <c r="Y3014">
        <v>0</v>
      </c>
      <c r="AA3014">
        <v>1</v>
      </c>
      <c r="AB3014">
        <v>8</v>
      </c>
      <c r="AC3014">
        <v>3</v>
      </c>
      <c r="AD3014">
        <v>0</v>
      </c>
      <c r="AE3014">
        <v>9</v>
      </c>
      <c r="AF3014" t="s">
        <v>138</v>
      </c>
      <c r="AG3014">
        <v>0</v>
      </c>
      <c r="AH3014">
        <v>3</v>
      </c>
      <c r="AI3014">
        <v>1</v>
      </c>
      <c r="AJ3014">
        <v>0</v>
      </c>
      <c r="AK3014" t="s">
        <v>1012</v>
      </c>
      <c r="AL3014">
        <v>32.717843000000002</v>
      </c>
      <c r="AM3014" t="s">
        <v>1013</v>
      </c>
      <c r="AN3014">
        <v>-116.758511</v>
      </c>
      <c r="AO3014">
        <v>25</v>
      </c>
      <c r="AP3014">
        <v>3700</v>
      </c>
      <c r="AQ3014" t="s">
        <v>129</v>
      </c>
      <c r="AR3014">
        <v>-98</v>
      </c>
      <c r="AS3014">
        <v>-93</v>
      </c>
      <c r="AT3014">
        <v>832</v>
      </c>
      <c r="BB3014">
        <v>1200</v>
      </c>
      <c r="BC3014">
        <v>1</v>
      </c>
      <c r="BD3014" t="str">
        <f t="shared" si="1097"/>
        <v xml:space="preserve">N887QR  </v>
      </c>
      <c r="BE3014">
        <v>1</v>
      </c>
      <c r="BG3014">
        <v>0</v>
      </c>
      <c r="BH3014">
        <v>0</v>
      </c>
      <c r="BI3014">
        <v>0</v>
      </c>
      <c r="BJ3014">
        <v>3350</v>
      </c>
      <c r="BK3014">
        <v>-350</v>
      </c>
      <c r="BL3014" t="s">
        <v>163</v>
      </c>
      <c r="BM3014">
        <v>1</v>
      </c>
      <c r="BN3014">
        <v>1</v>
      </c>
      <c r="BO3014">
        <v>1</v>
      </c>
      <c r="BP3014">
        <v>0</v>
      </c>
      <c r="BS3014">
        <v>0</v>
      </c>
      <c r="BT3014">
        <v>0</v>
      </c>
      <c r="BU3014">
        <v>0</v>
      </c>
      <c r="CE3014" t="str">
        <f t="shared" si="1099"/>
        <v>19:33:37.414</v>
      </c>
      <c r="CF3014">
        <v>413705515</v>
      </c>
      <c r="CS3014">
        <v>0</v>
      </c>
      <c r="CT3014">
        <v>2</v>
      </c>
      <c r="CU3014">
        <v>0</v>
      </c>
      <c r="CV3014">
        <v>2</v>
      </c>
      <c r="CW3014">
        <v>0</v>
      </c>
      <c r="CX3014">
        <v>6</v>
      </c>
      <c r="CY3014">
        <v>7</v>
      </c>
      <c r="CZ3014" t="s">
        <v>131</v>
      </c>
      <c r="DA3014">
        <v>286</v>
      </c>
      <c r="DB3014">
        <v>0</v>
      </c>
      <c r="DC3014" t="s">
        <v>132</v>
      </c>
      <c r="DD3014" t="s">
        <v>133</v>
      </c>
      <c r="DG3014">
        <v>862414</v>
      </c>
      <c r="DI3014">
        <v>0</v>
      </c>
      <c r="DJ3014">
        <v>0</v>
      </c>
      <c r="DK3014">
        <v>1</v>
      </c>
      <c r="DL3014">
        <v>0</v>
      </c>
      <c r="DM3014">
        <v>0</v>
      </c>
      <c r="DN3014">
        <v>1</v>
      </c>
      <c r="DO3014">
        <v>0</v>
      </c>
      <c r="DP3014">
        <v>0</v>
      </c>
      <c r="DQ3014">
        <v>0</v>
      </c>
      <c r="DR3014">
        <v>0</v>
      </c>
      <c r="DS3014">
        <v>0</v>
      </c>
    </row>
    <row r="3015" spans="1:123" x14ac:dyDescent="0.3">
      <c r="A3015" t="str">
        <f>"10/04/2022 19:33:37.698"</f>
        <v>10/04/2022 19:33:37.698</v>
      </c>
      <c r="C3015" t="str">
        <f t="shared" si="1084"/>
        <v>FFDFD3C0</v>
      </c>
      <c r="D3015" t="s">
        <v>147</v>
      </c>
      <c r="E3015">
        <v>3</v>
      </c>
      <c r="H3015">
        <v>166</v>
      </c>
      <c r="I3015" t="s">
        <v>144</v>
      </c>
      <c r="J3015" t="s">
        <v>148</v>
      </c>
      <c r="K3015">
        <v>0</v>
      </c>
      <c r="L3015">
        <v>3</v>
      </c>
      <c r="M3015">
        <v>0</v>
      </c>
      <c r="N3015">
        <v>2</v>
      </c>
      <c r="O3015">
        <v>0</v>
      </c>
      <c r="P3015">
        <v>1</v>
      </c>
      <c r="Q3015">
        <v>0</v>
      </c>
      <c r="S3015" t="str">
        <f t="shared" si="1098"/>
        <v>19:33:37.000</v>
      </c>
      <c r="T3015" t="str">
        <f t="shared" si="1098"/>
        <v>19:33:37.000</v>
      </c>
      <c r="U3015" t="str">
        <f t="shared" si="1096"/>
        <v>AC3944</v>
      </c>
      <c r="V3015">
        <v>0</v>
      </c>
      <c r="W3015">
        <v>0</v>
      </c>
      <c r="X3015">
        <v>2</v>
      </c>
      <c r="Y3015">
        <v>0</v>
      </c>
      <c r="AA3015">
        <v>1</v>
      </c>
      <c r="AB3015">
        <v>8</v>
      </c>
      <c r="AC3015">
        <v>3</v>
      </c>
      <c r="AD3015">
        <v>0</v>
      </c>
      <c r="AE3015">
        <v>9</v>
      </c>
      <c r="AF3015" t="s">
        <v>138</v>
      </c>
      <c r="AG3015">
        <v>0</v>
      </c>
      <c r="AH3015">
        <v>3</v>
      </c>
      <c r="AI3015">
        <v>1</v>
      </c>
      <c r="AJ3015">
        <v>0</v>
      </c>
      <c r="AK3015" t="s">
        <v>1012</v>
      </c>
      <c r="AL3015">
        <v>32.717843000000002</v>
      </c>
      <c r="AM3015" t="s">
        <v>1013</v>
      </c>
      <c r="AN3015">
        <v>-116.758511</v>
      </c>
      <c r="AO3015">
        <v>25</v>
      </c>
      <c r="AP3015">
        <v>3700</v>
      </c>
      <c r="AQ3015" t="s">
        <v>129</v>
      </c>
      <c r="AR3015">
        <v>-98</v>
      </c>
      <c r="AS3015">
        <v>-93</v>
      </c>
      <c r="AT3015">
        <v>832</v>
      </c>
      <c r="BB3015">
        <v>1200</v>
      </c>
      <c r="BC3015">
        <v>1</v>
      </c>
      <c r="BD3015" t="str">
        <f t="shared" si="1097"/>
        <v xml:space="preserve">N887QR  </v>
      </c>
      <c r="BE3015">
        <v>1</v>
      </c>
      <c r="BG3015">
        <v>0</v>
      </c>
      <c r="BH3015">
        <v>0</v>
      </c>
      <c r="BI3015">
        <v>0</v>
      </c>
      <c r="BJ3015">
        <v>3350</v>
      </c>
      <c r="BK3015">
        <v>-350</v>
      </c>
      <c r="BL3015" t="s">
        <v>163</v>
      </c>
      <c r="BM3015">
        <v>1</v>
      </c>
      <c r="BN3015">
        <v>1</v>
      </c>
      <c r="BO3015">
        <v>1</v>
      </c>
      <c r="BP3015">
        <v>0</v>
      </c>
      <c r="BS3015">
        <v>0</v>
      </c>
      <c r="BT3015">
        <v>0</v>
      </c>
      <c r="BU3015">
        <v>0</v>
      </c>
      <c r="CE3015" t="str">
        <f t="shared" si="1099"/>
        <v>19:33:37.414</v>
      </c>
      <c r="CF3015">
        <v>413705515</v>
      </c>
      <c r="CS3015">
        <v>0</v>
      </c>
      <c r="CT3015">
        <v>2</v>
      </c>
      <c r="CU3015">
        <v>0</v>
      </c>
      <c r="CV3015">
        <v>2</v>
      </c>
      <c r="CW3015">
        <v>0</v>
      </c>
      <c r="CX3015">
        <v>6</v>
      </c>
      <c r="CY3015">
        <v>7</v>
      </c>
      <c r="CZ3015" t="s">
        <v>131</v>
      </c>
      <c r="DA3015">
        <v>286</v>
      </c>
      <c r="DB3015">
        <v>0</v>
      </c>
      <c r="DC3015" t="s">
        <v>132</v>
      </c>
      <c r="DD3015" t="s">
        <v>133</v>
      </c>
      <c r="DG3015">
        <v>862414</v>
      </c>
      <c r="DI3015">
        <v>0</v>
      </c>
      <c r="DJ3015">
        <v>0</v>
      </c>
      <c r="DK3015">
        <v>1</v>
      </c>
      <c r="DL3015">
        <v>0</v>
      </c>
      <c r="DM3015">
        <v>0</v>
      </c>
      <c r="DN3015">
        <v>1</v>
      </c>
      <c r="DO3015">
        <v>0</v>
      </c>
      <c r="DP3015">
        <v>0</v>
      </c>
      <c r="DQ3015">
        <v>0</v>
      </c>
      <c r="DR3015">
        <v>0</v>
      </c>
      <c r="DS3015">
        <v>0</v>
      </c>
    </row>
    <row r="3016" spans="1:123" x14ac:dyDescent="0.3">
      <c r="A3016" t="str">
        <f>"10/04/2022 19:33:37.745"</f>
        <v>10/04/2022 19:33:37.745</v>
      </c>
      <c r="C3016" t="str">
        <f t="shared" si="1084"/>
        <v>FFDFD3C0</v>
      </c>
      <c r="D3016" t="s">
        <v>141</v>
      </c>
      <c r="E3016">
        <v>4</v>
      </c>
      <c r="H3016">
        <v>4</v>
      </c>
      <c r="I3016" t="s">
        <v>142</v>
      </c>
      <c r="J3016" t="s">
        <v>138</v>
      </c>
      <c r="K3016">
        <v>0</v>
      </c>
      <c r="L3016">
        <v>3</v>
      </c>
      <c r="M3016">
        <v>0</v>
      </c>
      <c r="N3016">
        <v>2</v>
      </c>
      <c r="O3016">
        <v>0</v>
      </c>
      <c r="P3016">
        <v>1</v>
      </c>
      <c r="Q3016">
        <v>0</v>
      </c>
      <c r="S3016" t="str">
        <f t="shared" si="1098"/>
        <v>19:33:37.000</v>
      </c>
      <c r="T3016" t="str">
        <f t="shared" si="1098"/>
        <v>19:33:37.000</v>
      </c>
      <c r="U3016" t="str">
        <f t="shared" si="1096"/>
        <v>AC3944</v>
      </c>
      <c r="V3016">
        <v>0</v>
      </c>
      <c r="W3016">
        <v>0</v>
      </c>
      <c r="X3016">
        <v>2</v>
      </c>
      <c r="Y3016">
        <v>0</v>
      </c>
      <c r="AA3016">
        <v>1</v>
      </c>
      <c r="AB3016">
        <v>8</v>
      </c>
      <c r="AC3016">
        <v>3</v>
      </c>
      <c r="AD3016">
        <v>0</v>
      </c>
      <c r="AE3016">
        <v>9</v>
      </c>
      <c r="AF3016" t="s">
        <v>138</v>
      </c>
      <c r="AG3016">
        <v>0</v>
      </c>
      <c r="AH3016">
        <v>3</v>
      </c>
      <c r="AI3016">
        <v>1</v>
      </c>
      <c r="AJ3016">
        <v>0</v>
      </c>
      <c r="AK3016" t="s">
        <v>1012</v>
      </c>
      <c r="AL3016">
        <v>32.717843000000002</v>
      </c>
      <c r="AM3016" t="s">
        <v>1013</v>
      </c>
      <c r="AN3016">
        <v>-116.758511</v>
      </c>
      <c r="AO3016">
        <v>25</v>
      </c>
      <c r="AP3016">
        <v>3700</v>
      </c>
      <c r="AQ3016" t="s">
        <v>129</v>
      </c>
      <c r="AR3016">
        <v>-98</v>
      </c>
      <c r="AS3016">
        <v>-93</v>
      </c>
      <c r="AT3016">
        <v>832</v>
      </c>
      <c r="BB3016">
        <v>1200</v>
      </c>
      <c r="BC3016">
        <v>1</v>
      </c>
      <c r="BD3016" t="str">
        <f t="shared" si="1097"/>
        <v xml:space="preserve">N887QR  </v>
      </c>
      <c r="BE3016">
        <v>1</v>
      </c>
      <c r="BG3016">
        <v>0</v>
      </c>
      <c r="BH3016">
        <v>0</v>
      </c>
      <c r="BI3016">
        <v>0</v>
      </c>
      <c r="BJ3016">
        <v>3350</v>
      </c>
      <c r="BK3016">
        <v>-350</v>
      </c>
      <c r="BL3016" t="s">
        <v>163</v>
      </c>
      <c r="BM3016">
        <v>1</v>
      </c>
      <c r="BN3016">
        <v>1</v>
      </c>
      <c r="BO3016">
        <v>1</v>
      </c>
      <c r="BP3016">
        <v>0</v>
      </c>
      <c r="BS3016">
        <v>0</v>
      </c>
      <c r="BT3016">
        <v>0</v>
      </c>
      <c r="BU3016">
        <v>0</v>
      </c>
      <c r="CE3016" t="str">
        <f t="shared" si="1099"/>
        <v>19:33:37.414</v>
      </c>
      <c r="CF3016">
        <v>413705515</v>
      </c>
      <c r="CS3016">
        <v>0</v>
      </c>
      <c r="CT3016">
        <v>2</v>
      </c>
      <c r="CU3016">
        <v>0</v>
      </c>
      <c r="CV3016">
        <v>2</v>
      </c>
      <c r="CW3016">
        <v>0</v>
      </c>
      <c r="CX3016">
        <v>6</v>
      </c>
      <c r="CY3016">
        <v>7</v>
      </c>
      <c r="CZ3016" t="s">
        <v>131</v>
      </c>
      <c r="DA3016">
        <v>286</v>
      </c>
      <c r="DB3016">
        <v>0</v>
      </c>
      <c r="DC3016" t="s">
        <v>132</v>
      </c>
      <c r="DD3016" t="s">
        <v>133</v>
      </c>
      <c r="DG3016">
        <v>862414</v>
      </c>
      <c r="DI3016">
        <v>0</v>
      </c>
      <c r="DJ3016">
        <v>0</v>
      </c>
      <c r="DK3016">
        <v>1</v>
      </c>
      <c r="DL3016">
        <v>0</v>
      </c>
      <c r="DM3016">
        <v>0</v>
      </c>
      <c r="DN3016">
        <v>1</v>
      </c>
      <c r="DO3016">
        <v>0</v>
      </c>
      <c r="DP3016">
        <v>0</v>
      </c>
      <c r="DQ3016">
        <v>0</v>
      </c>
      <c r="DR3016">
        <v>0</v>
      </c>
      <c r="DS3016">
        <v>0</v>
      </c>
    </row>
    <row r="3017" spans="1:123" x14ac:dyDescent="0.3">
      <c r="A3017" t="str">
        <f>"10/04/2022 19:33:37.776"</f>
        <v>10/04/2022 19:33:37.776</v>
      </c>
      <c r="C3017" t="str">
        <f t="shared" si="1084"/>
        <v>FFDFD3C0</v>
      </c>
      <c r="D3017" t="s">
        <v>136</v>
      </c>
      <c r="E3017">
        <v>8</v>
      </c>
      <c r="H3017">
        <v>225</v>
      </c>
      <c r="I3017" t="s">
        <v>137</v>
      </c>
      <c r="J3017" t="s">
        <v>138</v>
      </c>
      <c r="K3017">
        <v>0</v>
      </c>
      <c r="L3017">
        <v>3</v>
      </c>
      <c r="M3017">
        <v>0</v>
      </c>
      <c r="N3017">
        <v>2</v>
      </c>
      <c r="O3017">
        <v>0</v>
      </c>
      <c r="P3017">
        <v>1</v>
      </c>
      <c r="Q3017">
        <v>0</v>
      </c>
      <c r="S3017" t="str">
        <f t="shared" si="1098"/>
        <v>19:33:37.000</v>
      </c>
      <c r="T3017" t="str">
        <f t="shared" si="1098"/>
        <v>19:33:37.000</v>
      </c>
      <c r="U3017" t="str">
        <f t="shared" si="1096"/>
        <v>AC3944</v>
      </c>
      <c r="V3017">
        <v>0</v>
      </c>
      <c r="W3017">
        <v>0</v>
      </c>
      <c r="X3017">
        <v>2</v>
      </c>
      <c r="Y3017">
        <v>0</v>
      </c>
      <c r="AA3017">
        <v>1</v>
      </c>
      <c r="AB3017">
        <v>8</v>
      </c>
      <c r="AC3017">
        <v>3</v>
      </c>
      <c r="AD3017">
        <v>0</v>
      </c>
      <c r="AE3017">
        <v>9</v>
      </c>
      <c r="AF3017" t="s">
        <v>138</v>
      </c>
      <c r="AG3017">
        <v>0</v>
      </c>
      <c r="AH3017">
        <v>3</v>
      </c>
      <c r="AI3017">
        <v>1</v>
      </c>
      <c r="AJ3017">
        <v>0</v>
      </c>
      <c r="AK3017" t="s">
        <v>1012</v>
      </c>
      <c r="AL3017">
        <v>32.717843000000002</v>
      </c>
      <c r="AM3017" t="s">
        <v>1013</v>
      </c>
      <c r="AN3017">
        <v>-116.758511</v>
      </c>
      <c r="AO3017">
        <v>25</v>
      </c>
      <c r="AP3017">
        <v>3700</v>
      </c>
      <c r="AQ3017" t="s">
        <v>129</v>
      </c>
      <c r="AR3017">
        <v>-98</v>
      </c>
      <c r="AS3017">
        <v>-93</v>
      </c>
      <c r="AT3017">
        <v>832</v>
      </c>
      <c r="BB3017">
        <v>1200</v>
      </c>
      <c r="BC3017">
        <v>1</v>
      </c>
      <c r="BD3017" t="str">
        <f t="shared" si="1097"/>
        <v xml:space="preserve">N887QR  </v>
      </c>
      <c r="BE3017">
        <v>1</v>
      </c>
      <c r="BG3017">
        <v>0</v>
      </c>
      <c r="BH3017">
        <v>0</v>
      </c>
      <c r="BI3017">
        <v>0</v>
      </c>
      <c r="BJ3017">
        <v>3350</v>
      </c>
      <c r="BK3017">
        <v>-350</v>
      </c>
      <c r="BL3017" t="s">
        <v>163</v>
      </c>
      <c r="BM3017">
        <v>1</v>
      </c>
      <c r="BN3017">
        <v>1</v>
      </c>
      <c r="BO3017">
        <v>1</v>
      </c>
      <c r="BP3017">
        <v>0</v>
      </c>
      <c r="BS3017">
        <v>0</v>
      </c>
      <c r="BT3017">
        <v>0</v>
      </c>
      <c r="BU3017">
        <v>0</v>
      </c>
      <c r="CE3017" t="str">
        <f t="shared" si="1099"/>
        <v>19:33:37.414</v>
      </c>
      <c r="CF3017">
        <v>413705515</v>
      </c>
      <c r="CS3017">
        <v>0</v>
      </c>
      <c r="CT3017">
        <v>2</v>
      </c>
      <c r="CU3017">
        <v>0</v>
      </c>
      <c r="CV3017">
        <v>2</v>
      </c>
      <c r="CW3017">
        <v>0</v>
      </c>
      <c r="CX3017">
        <v>6</v>
      </c>
      <c r="CY3017">
        <v>7</v>
      </c>
      <c r="CZ3017" t="s">
        <v>131</v>
      </c>
      <c r="DA3017">
        <v>286</v>
      </c>
      <c r="DB3017">
        <v>0</v>
      </c>
      <c r="DC3017" t="s">
        <v>132</v>
      </c>
      <c r="DD3017" t="s">
        <v>133</v>
      </c>
      <c r="DG3017">
        <v>862414</v>
      </c>
      <c r="DI3017">
        <v>0</v>
      </c>
      <c r="DJ3017">
        <v>0</v>
      </c>
      <c r="DK3017">
        <v>1</v>
      </c>
      <c r="DL3017">
        <v>0</v>
      </c>
      <c r="DM3017">
        <v>0</v>
      </c>
      <c r="DN3017">
        <v>1</v>
      </c>
      <c r="DO3017">
        <v>0</v>
      </c>
      <c r="DP3017">
        <v>0</v>
      </c>
      <c r="DQ3017">
        <v>0</v>
      </c>
      <c r="DR3017">
        <v>0</v>
      </c>
      <c r="DS3017">
        <v>0</v>
      </c>
    </row>
    <row r="3018" spans="1:123" x14ac:dyDescent="0.3">
      <c r="A3018" t="str">
        <f>"10/04/2022 19:33:37.776"</f>
        <v>10/04/2022 19:33:37.776</v>
      </c>
      <c r="C3018" t="str">
        <f t="shared" si="1084"/>
        <v>FFDFD3C0</v>
      </c>
      <c r="D3018" t="s">
        <v>143</v>
      </c>
      <c r="E3018">
        <v>20</v>
      </c>
      <c r="F3018">
        <v>1020</v>
      </c>
      <c r="G3018" t="s">
        <v>144</v>
      </c>
      <c r="J3018" t="s">
        <v>145</v>
      </c>
      <c r="K3018">
        <v>0</v>
      </c>
      <c r="L3018">
        <v>3</v>
      </c>
      <c r="M3018">
        <v>0</v>
      </c>
      <c r="N3018">
        <v>2</v>
      </c>
      <c r="O3018">
        <v>0</v>
      </c>
      <c r="P3018">
        <v>1</v>
      </c>
      <c r="Q3018">
        <v>0</v>
      </c>
      <c r="S3018" t="str">
        <f t="shared" si="1098"/>
        <v>19:33:37.000</v>
      </c>
      <c r="T3018" t="str">
        <f t="shared" si="1098"/>
        <v>19:33:37.000</v>
      </c>
      <c r="U3018" t="str">
        <f t="shared" si="1096"/>
        <v>AC3944</v>
      </c>
      <c r="V3018">
        <v>0</v>
      </c>
      <c r="W3018">
        <v>0</v>
      </c>
      <c r="X3018">
        <v>2</v>
      </c>
      <c r="Y3018">
        <v>0</v>
      </c>
      <c r="AA3018">
        <v>1</v>
      </c>
      <c r="AB3018">
        <v>8</v>
      </c>
      <c r="AC3018">
        <v>3</v>
      </c>
      <c r="AD3018">
        <v>0</v>
      </c>
      <c r="AE3018">
        <v>9</v>
      </c>
      <c r="AF3018" t="s">
        <v>138</v>
      </c>
      <c r="AG3018">
        <v>0</v>
      </c>
      <c r="AH3018">
        <v>3</v>
      </c>
      <c r="AI3018">
        <v>1</v>
      </c>
      <c r="AJ3018">
        <v>0</v>
      </c>
      <c r="AK3018" t="s">
        <v>1012</v>
      </c>
      <c r="AL3018">
        <v>32.717843000000002</v>
      </c>
      <c r="AM3018" t="s">
        <v>1013</v>
      </c>
      <c r="AN3018">
        <v>-116.758511</v>
      </c>
      <c r="AO3018">
        <v>25</v>
      </c>
      <c r="AP3018">
        <v>3700</v>
      </c>
      <c r="AQ3018" t="s">
        <v>129</v>
      </c>
      <c r="AR3018">
        <v>-98</v>
      </c>
      <c r="AS3018">
        <v>-93</v>
      </c>
      <c r="AT3018">
        <v>832</v>
      </c>
      <c r="BB3018">
        <v>1200</v>
      </c>
      <c r="BC3018">
        <v>1</v>
      </c>
      <c r="BD3018" t="str">
        <f t="shared" si="1097"/>
        <v xml:space="preserve">N887QR  </v>
      </c>
      <c r="BE3018">
        <v>1</v>
      </c>
      <c r="BG3018">
        <v>0</v>
      </c>
      <c r="BH3018">
        <v>0</v>
      </c>
      <c r="BI3018">
        <v>0</v>
      </c>
      <c r="BJ3018">
        <v>3350</v>
      </c>
      <c r="BK3018">
        <v>-350</v>
      </c>
      <c r="BL3018" t="s">
        <v>163</v>
      </c>
      <c r="BM3018">
        <v>1</v>
      </c>
      <c r="BN3018">
        <v>1</v>
      </c>
      <c r="BO3018">
        <v>1</v>
      </c>
      <c r="BP3018">
        <v>0</v>
      </c>
      <c r="BS3018">
        <v>0</v>
      </c>
      <c r="BT3018">
        <v>0</v>
      </c>
      <c r="BU3018">
        <v>0</v>
      </c>
      <c r="CE3018" t="str">
        <f t="shared" si="1099"/>
        <v>19:33:37.414</v>
      </c>
      <c r="CF3018">
        <v>413705515</v>
      </c>
      <c r="CS3018">
        <v>0</v>
      </c>
      <c r="CT3018">
        <v>2</v>
      </c>
      <c r="CU3018">
        <v>0</v>
      </c>
      <c r="CV3018">
        <v>2</v>
      </c>
      <c r="CW3018">
        <v>0</v>
      </c>
      <c r="CX3018">
        <v>6</v>
      </c>
      <c r="CY3018">
        <v>7</v>
      </c>
      <c r="CZ3018" t="s">
        <v>131</v>
      </c>
      <c r="DA3018">
        <v>286</v>
      </c>
      <c r="DB3018">
        <v>0</v>
      </c>
      <c r="DC3018" t="s">
        <v>132</v>
      </c>
      <c r="DD3018" t="s">
        <v>133</v>
      </c>
      <c r="DG3018">
        <v>862414</v>
      </c>
      <c r="DI3018">
        <v>0</v>
      </c>
      <c r="DJ3018">
        <v>0</v>
      </c>
      <c r="DK3018">
        <v>1</v>
      </c>
      <c r="DL3018">
        <v>0</v>
      </c>
      <c r="DM3018">
        <v>0</v>
      </c>
      <c r="DN3018">
        <v>1</v>
      </c>
      <c r="DO3018">
        <v>0</v>
      </c>
      <c r="DP3018">
        <v>0</v>
      </c>
      <c r="DQ3018">
        <v>0</v>
      </c>
      <c r="DR3018">
        <v>0</v>
      </c>
      <c r="DS3018">
        <v>0</v>
      </c>
    </row>
    <row r="3019" spans="1:123" x14ac:dyDescent="0.3">
      <c r="A3019" t="str">
        <f>"10/04/2022 19:33:37.776"</f>
        <v>10/04/2022 19:33:37.776</v>
      </c>
      <c r="C3019" t="str">
        <f t="shared" si="1084"/>
        <v>FFDFD3C0</v>
      </c>
      <c r="D3019" t="s">
        <v>123</v>
      </c>
      <c r="E3019">
        <v>7</v>
      </c>
      <c r="F3019">
        <v>2007</v>
      </c>
      <c r="G3019" t="s">
        <v>124</v>
      </c>
      <c r="J3019" t="s">
        <v>125</v>
      </c>
      <c r="K3019">
        <v>0</v>
      </c>
      <c r="L3019">
        <v>3</v>
      </c>
      <c r="M3019">
        <v>0</v>
      </c>
      <c r="N3019">
        <v>2</v>
      </c>
      <c r="O3019">
        <v>0</v>
      </c>
      <c r="P3019">
        <v>1</v>
      </c>
      <c r="Q3019">
        <v>0</v>
      </c>
      <c r="S3019" t="str">
        <f t="shared" si="1098"/>
        <v>19:33:37.000</v>
      </c>
      <c r="T3019" t="str">
        <f t="shared" si="1098"/>
        <v>19:33:37.000</v>
      </c>
      <c r="U3019" t="str">
        <f t="shared" si="1096"/>
        <v>AC3944</v>
      </c>
      <c r="V3019">
        <v>0</v>
      </c>
      <c r="W3019">
        <v>0</v>
      </c>
      <c r="X3019">
        <v>2</v>
      </c>
      <c r="Y3019">
        <v>0</v>
      </c>
      <c r="AA3019">
        <v>1</v>
      </c>
      <c r="AB3019">
        <v>8</v>
      </c>
      <c r="AC3019">
        <v>3</v>
      </c>
      <c r="AD3019">
        <v>0</v>
      </c>
      <c r="AE3019">
        <v>9</v>
      </c>
      <c r="AF3019" t="s">
        <v>138</v>
      </c>
      <c r="AG3019">
        <v>0</v>
      </c>
      <c r="AH3019">
        <v>3</v>
      </c>
      <c r="AI3019">
        <v>1</v>
      </c>
      <c r="AJ3019">
        <v>0</v>
      </c>
      <c r="AK3019" t="s">
        <v>1012</v>
      </c>
      <c r="AL3019">
        <v>32.717843000000002</v>
      </c>
      <c r="AM3019" t="s">
        <v>1013</v>
      </c>
      <c r="AN3019">
        <v>-116.758511</v>
      </c>
      <c r="AO3019">
        <v>25</v>
      </c>
      <c r="AP3019">
        <v>3700</v>
      </c>
      <c r="AQ3019" t="s">
        <v>129</v>
      </c>
      <c r="AR3019">
        <v>-98</v>
      </c>
      <c r="AS3019">
        <v>-93</v>
      </c>
      <c r="AT3019">
        <v>832</v>
      </c>
      <c r="BB3019">
        <v>1200</v>
      </c>
      <c r="BC3019">
        <v>1</v>
      </c>
      <c r="BD3019" t="str">
        <f t="shared" si="1097"/>
        <v xml:space="preserve">N887QR  </v>
      </c>
      <c r="BE3019">
        <v>1</v>
      </c>
      <c r="BG3019">
        <v>0</v>
      </c>
      <c r="BH3019">
        <v>0</v>
      </c>
      <c r="BI3019">
        <v>0</v>
      </c>
      <c r="BJ3019">
        <v>3350</v>
      </c>
      <c r="BK3019">
        <v>-350</v>
      </c>
      <c r="BL3019" t="s">
        <v>163</v>
      </c>
      <c r="BM3019">
        <v>1</v>
      </c>
      <c r="BN3019">
        <v>1</v>
      </c>
      <c r="BO3019">
        <v>1</v>
      </c>
      <c r="BP3019">
        <v>0</v>
      </c>
      <c r="BS3019">
        <v>0</v>
      </c>
      <c r="BT3019">
        <v>0</v>
      </c>
      <c r="BU3019">
        <v>0</v>
      </c>
      <c r="CE3019" t="str">
        <f t="shared" si="1099"/>
        <v>19:33:37.414</v>
      </c>
      <c r="CF3019">
        <v>413705515</v>
      </c>
      <c r="CS3019">
        <v>0</v>
      </c>
      <c r="CT3019">
        <v>2</v>
      </c>
      <c r="CU3019">
        <v>0</v>
      </c>
      <c r="CV3019">
        <v>2</v>
      </c>
      <c r="CW3019">
        <v>0</v>
      </c>
      <c r="CX3019">
        <v>6</v>
      </c>
      <c r="CY3019">
        <v>7</v>
      </c>
      <c r="CZ3019" t="s">
        <v>131</v>
      </c>
      <c r="DA3019">
        <v>286</v>
      </c>
      <c r="DB3019">
        <v>0</v>
      </c>
      <c r="DC3019" t="s">
        <v>132</v>
      </c>
      <c r="DD3019" t="s">
        <v>133</v>
      </c>
      <c r="DG3019">
        <v>862414</v>
      </c>
      <c r="DI3019">
        <v>0</v>
      </c>
      <c r="DJ3019">
        <v>0</v>
      </c>
      <c r="DK3019">
        <v>1</v>
      </c>
      <c r="DL3019">
        <v>0</v>
      </c>
      <c r="DM3019">
        <v>0</v>
      </c>
      <c r="DN3019">
        <v>1</v>
      </c>
      <c r="DO3019">
        <v>0</v>
      </c>
      <c r="DP3019">
        <v>0</v>
      </c>
      <c r="DQ3019">
        <v>0</v>
      </c>
      <c r="DR3019">
        <v>0</v>
      </c>
      <c r="DS3019">
        <v>0</v>
      </c>
    </row>
    <row r="3020" spans="1:123" x14ac:dyDescent="0.3">
      <c r="A3020" t="str">
        <f t="shared" ref="A3020:A3026" si="1100">"10/04/2022 19:33:38.104"</f>
        <v>10/04/2022 19:33:38.104</v>
      </c>
      <c r="C3020" t="str">
        <f t="shared" si="1084"/>
        <v>FFDFD3C0</v>
      </c>
      <c r="D3020" t="s">
        <v>123</v>
      </c>
      <c r="E3020">
        <v>7</v>
      </c>
      <c r="F3020">
        <v>2007</v>
      </c>
      <c r="G3020" t="s">
        <v>124</v>
      </c>
      <c r="J3020" t="s">
        <v>125</v>
      </c>
      <c r="K3020">
        <v>0</v>
      </c>
      <c r="L3020">
        <v>3</v>
      </c>
      <c r="M3020">
        <v>0</v>
      </c>
      <c r="N3020">
        <v>2</v>
      </c>
      <c r="O3020">
        <v>0</v>
      </c>
      <c r="P3020">
        <v>1</v>
      </c>
      <c r="Q3020">
        <v>0</v>
      </c>
      <c r="S3020" t="str">
        <f t="shared" si="1098"/>
        <v>19:33:37.000</v>
      </c>
      <c r="T3020" t="str">
        <f t="shared" si="1098"/>
        <v>19:33:37.000</v>
      </c>
      <c r="U3020" t="str">
        <f t="shared" si="1096"/>
        <v>AC3944</v>
      </c>
      <c r="V3020">
        <v>0</v>
      </c>
      <c r="W3020">
        <v>0</v>
      </c>
      <c r="X3020">
        <v>2</v>
      </c>
      <c r="Y3020">
        <v>0</v>
      </c>
      <c r="AA3020">
        <v>1</v>
      </c>
      <c r="AB3020">
        <v>8</v>
      </c>
      <c r="AC3020">
        <v>3</v>
      </c>
      <c r="AD3020">
        <v>0</v>
      </c>
      <c r="AE3020">
        <v>9</v>
      </c>
      <c r="AF3020" t="s">
        <v>138</v>
      </c>
      <c r="AG3020">
        <v>0</v>
      </c>
      <c r="AH3020">
        <v>3</v>
      </c>
      <c r="AI3020">
        <v>1</v>
      </c>
      <c r="AJ3020">
        <v>0</v>
      </c>
      <c r="AK3020" t="s">
        <v>1014</v>
      </c>
      <c r="AL3020">
        <v>32.717500000000001</v>
      </c>
      <c r="AM3020" t="s">
        <v>1015</v>
      </c>
      <c r="AN3020">
        <v>-116.758962</v>
      </c>
      <c r="AO3020">
        <v>25</v>
      </c>
      <c r="AP3020">
        <v>3700</v>
      </c>
      <c r="AQ3020" t="s">
        <v>129</v>
      </c>
      <c r="AR3020">
        <v>-97</v>
      </c>
      <c r="AS3020">
        <v>-94</v>
      </c>
      <c r="AT3020">
        <v>832</v>
      </c>
      <c r="BB3020">
        <v>1200</v>
      </c>
      <c r="BC3020">
        <v>1</v>
      </c>
      <c r="BD3020" t="str">
        <f t="shared" si="1097"/>
        <v xml:space="preserve">N887QR  </v>
      </c>
      <c r="BE3020">
        <v>1</v>
      </c>
      <c r="BG3020">
        <v>0</v>
      </c>
      <c r="BH3020">
        <v>0</v>
      </c>
      <c r="BI3020">
        <v>0</v>
      </c>
      <c r="BJ3020">
        <v>3400</v>
      </c>
      <c r="BK3020">
        <v>-300</v>
      </c>
      <c r="BL3020" t="s">
        <v>163</v>
      </c>
      <c r="BM3020">
        <v>1</v>
      </c>
      <c r="BN3020">
        <v>1</v>
      </c>
      <c r="BO3020">
        <v>1</v>
      </c>
      <c r="BP3020">
        <v>0</v>
      </c>
      <c r="BS3020">
        <v>0</v>
      </c>
      <c r="BT3020">
        <v>0</v>
      </c>
      <c r="BU3020">
        <v>0</v>
      </c>
      <c r="CE3020" t="str">
        <f t="shared" ref="CE3020:CE3026" si="1101">"19:33:37.769"</f>
        <v>19:33:37.769</v>
      </c>
      <c r="CF3020">
        <v>769206573</v>
      </c>
      <c r="CS3020">
        <v>0</v>
      </c>
      <c r="CT3020">
        <v>2</v>
      </c>
      <c r="CU3020">
        <v>0</v>
      </c>
      <c r="CV3020">
        <v>2</v>
      </c>
      <c r="CW3020">
        <v>0</v>
      </c>
      <c r="CX3020">
        <v>6</v>
      </c>
      <c r="CY3020">
        <v>7</v>
      </c>
      <c r="CZ3020" t="s">
        <v>131</v>
      </c>
      <c r="DA3020">
        <v>286</v>
      </c>
      <c r="DB3020">
        <v>0</v>
      </c>
      <c r="DC3020" t="s">
        <v>132</v>
      </c>
      <c r="DD3020" t="s">
        <v>133</v>
      </c>
      <c r="DG3020">
        <v>862510</v>
      </c>
      <c r="DI3020">
        <v>0</v>
      </c>
      <c r="DJ3020">
        <v>0</v>
      </c>
      <c r="DK3020">
        <v>0</v>
      </c>
      <c r="DL3020">
        <v>0</v>
      </c>
      <c r="DM3020">
        <v>0</v>
      </c>
      <c r="DN3020">
        <v>1</v>
      </c>
      <c r="DO3020">
        <v>0</v>
      </c>
      <c r="DP3020">
        <v>0</v>
      </c>
      <c r="DQ3020">
        <v>0</v>
      </c>
      <c r="DR3020">
        <v>0</v>
      </c>
      <c r="DS3020">
        <v>0</v>
      </c>
    </row>
    <row r="3021" spans="1:123" x14ac:dyDescent="0.3">
      <c r="A3021" t="str">
        <f t="shared" si="1100"/>
        <v>10/04/2022 19:33:38.104</v>
      </c>
      <c r="C3021" t="str">
        <f t="shared" si="1084"/>
        <v>FFDFD3C0</v>
      </c>
      <c r="D3021" t="s">
        <v>141</v>
      </c>
      <c r="E3021">
        <v>3</v>
      </c>
      <c r="H3021">
        <v>3</v>
      </c>
      <c r="I3021" t="s">
        <v>146</v>
      </c>
      <c r="J3021" t="s">
        <v>138</v>
      </c>
      <c r="K3021">
        <v>0</v>
      </c>
      <c r="L3021">
        <v>3</v>
      </c>
      <c r="M3021">
        <v>0</v>
      </c>
      <c r="N3021">
        <v>2</v>
      </c>
      <c r="O3021">
        <v>0</v>
      </c>
      <c r="P3021">
        <v>1</v>
      </c>
      <c r="Q3021">
        <v>0</v>
      </c>
      <c r="S3021" t="str">
        <f t="shared" si="1098"/>
        <v>19:33:37.000</v>
      </c>
      <c r="T3021" t="str">
        <f t="shared" si="1098"/>
        <v>19:33:37.000</v>
      </c>
      <c r="U3021" t="str">
        <f t="shared" si="1096"/>
        <v>AC3944</v>
      </c>
      <c r="V3021">
        <v>0</v>
      </c>
      <c r="W3021">
        <v>0</v>
      </c>
      <c r="X3021">
        <v>2</v>
      </c>
      <c r="Y3021">
        <v>0</v>
      </c>
      <c r="AA3021">
        <v>1</v>
      </c>
      <c r="AB3021">
        <v>8</v>
      </c>
      <c r="AC3021">
        <v>3</v>
      </c>
      <c r="AD3021">
        <v>0</v>
      </c>
      <c r="AE3021">
        <v>9</v>
      </c>
      <c r="AF3021" t="s">
        <v>138</v>
      </c>
      <c r="AG3021">
        <v>0</v>
      </c>
      <c r="AH3021">
        <v>3</v>
      </c>
      <c r="AI3021">
        <v>1</v>
      </c>
      <c r="AJ3021">
        <v>0</v>
      </c>
      <c r="AK3021" t="s">
        <v>1014</v>
      </c>
      <c r="AL3021">
        <v>32.717500000000001</v>
      </c>
      <c r="AM3021" t="s">
        <v>1015</v>
      </c>
      <c r="AN3021">
        <v>-116.758962</v>
      </c>
      <c r="AO3021">
        <v>25</v>
      </c>
      <c r="AP3021">
        <v>3700</v>
      </c>
      <c r="AQ3021" t="s">
        <v>129</v>
      </c>
      <c r="AR3021">
        <v>-97</v>
      </c>
      <c r="AS3021">
        <v>-94</v>
      </c>
      <c r="AT3021">
        <v>832</v>
      </c>
      <c r="BB3021">
        <v>1200</v>
      </c>
      <c r="BC3021">
        <v>1</v>
      </c>
      <c r="BD3021" t="str">
        <f t="shared" si="1097"/>
        <v xml:space="preserve">N887QR  </v>
      </c>
      <c r="BE3021">
        <v>1</v>
      </c>
      <c r="BG3021">
        <v>0</v>
      </c>
      <c r="BH3021">
        <v>0</v>
      </c>
      <c r="BI3021">
        <v>0</v>
      </c>
      <c r="BJ3021">
        <v>3400</v>
      </c>
      <c r="BK3021">
        <v>-300</v>
      </c>
      <c r="BL3021" t="s">
        <v>163</v>
      </c>
      <c r="BM3021">
        <v>1</v>
      </c>
      <c r="BN3021">
        <v>1</v>
      </c>
      <c r="BO3021">
        <v>1</v>
      </c>
      <c r="BP3021">
        <v>0</v>
      </c>
      <c r="BS3021">
        <v>0</v>
      </c>
      <c r="BT3021">
        <v>0</v>
      </c>
      <c r="BU3021">
        <v>0</v>
      </c>
      <c r="CE3021" t="str">
        <f t="shared" si="1101"/>
        <v>19:33:37.769</v>
      </c>
      <c r="CF3021">
        <v>769206573</v>
      </c>
      <c r="CS3021">
        <v>0</v>
      </c>
      <c r="CT3021">
        <v>2</v>
      </c>
      <c r="CU3021">
        <v>0</v>
      </c>
      <c r="CV3021">
        <v>2</v>
      </c>
      <c r="CW3021">
        <v>0</v>
      </c>
      <c r="CX3021">
        <v>6</v>
      </c>
      <c r="CY3021">
        <v>7</v>
      </c>
      <c r="CZ3021" t="s">
        <v>131</v>
      </c>
      <c r="DA3021">
        <v>286</v>
      </c>
      <c r="DB3021">
        <v>0</v>
      </c>
      <c r="DC3021" t="s">
        <v>132</v>
      </c>
      <c r="DD3021" t="s">
        <v>133</v>
      </c>
      <c r="DG3021">
        <v>862510</v>
      </c>
      <c r="DI3021">
        <v>0</v>
      </c>
      <c r="DJ3021">
        <v>0</v>
      </c>
      <c r="DK3021">
        <v>1</v>
      </c>
      <c r="DL3021">
        <v>0</v>
      </c>
      <c r="DM3021">
        <v>0</v>
      </c>
      <c r="DN3021">
        <v>1</v>
      </c>
      <c r="DO3021">
        <v>0</v>
      </c>
      <c r="DP3021">
        <v>0</v>
      </c>
      <c r="DQ3021">
        <v>0</v>
      </c>
      <c r="DR3021">
        <v>0</v>
      </c>
      <c r="DS3021">
        <v>0</v>
      </c>
    </row>
    <row r="3022" spans="1:123" x14ac:dyDescent="0.3">
      <c r="A3022" t="str">
        <f t="shared" si="1100"/>
        <v>10/04/2022 19:33:38.104</v>
      </c>
      <c r="C3022" t="str">
        <f t="shared" si="1084"/>
        <v>FFDFD3C0</v>
      </c>
      <c r="D3022" t="s">
        <v>134</v>
      </c>
      <c r="E3022">
        <v>15</v>
      </c>
      <c r="J3022" t="s">
        <v>135</v>
      </c>
      <c r="K3022">
        <v>0</v>
      </c>
      <c r="L3022">
        <v>3</v>
      </c>
      <c r="M3022">
        <v>0</v>
      </c>
      <c r="N3022">
        <v>2</v>
      </c>
      <c r="O3022">
        <v>0</v>
      </c>
      <c r="P3022">
        <v>1</v>
      </c>
      <c r="Q3022">
        <v>0</v>
      </c>
      <c r="S3022" t="str">
        <f t="shared" si="1098"/>
        <v>19:33:37.000</v>
      </c>
      <c r="T3022" t="str">
        <f t="shared" si="1098"/>
        <v>19:33:37.000</v>
      </c>
      <c r="U3022" t="str">
        <f t="shared" si="1096"/>
        <v>AC3944</v>
      </c>
      <c r="V3022">
        <v>0</v>
      </c>
      <c r="W3022">
        <v>0</v>
      </c>
      <c r="X3022">
        <v>2</v>
      </c>
      <c r="Y3022">
        <v>0</v>
      </c>
      <c r="AA3022">
        <v>1</v>
      </c>
      <c r="AB3022">
        <v>8</v>
      </c>
      <c r="AC3022">
        <v>3</v>
      </c>
      <c r="AD3022">
        <v>0</v>
      </c>
      <c r="AE3022">
        <v>9</v>
      </c>
      <c r="AF3022" t="s">
        <v>138</v>
      </c>
      <c r="AG3022">
        <v>0</v>
      </c>
      <c r="AH3022">
        <v>3</v>
      </c>
      <c r="AI3022">
        <v>1</v>
      </c>
      <c r="AJ3022">
        <v>0</v>
      </c>
      <c r="AK3022" t="s">
        <v>1014</v>
      </c>
      <c r="AL3022">
        <v>32.717500000000001</v>
      </c>
      <c r="AM3022" t="s">
        <v>1015</v>
      </c>
      <c r="AN3022">
        <v>-116.758962</v>
      </c>
      <c r="AO3022">
        <v>25</v>
      </c>
      <c r="AP3022">
        <v>3700</v>
      </c>
      <c r="AQ3022" t="s">
        <v>129</v>
      </c>
      <c r="AR3022">
        <v>-97</v>
      </c>
      <c r="AS3022">
        <v>-94</v>
      </c>
      <c r="AT3022">
        <v>832</v>
      </c>
      <c r="BB3022">
        <v>1200</v>
      </c>
      <c r="BC3022">
        <v>1</v>
      </c>
      <c r="BD3022" t="str">
        <f t="shared" si="1097"/>
        <v xml:space="preserve">N887QR  </v>
      </c>
      <c r="BE3022">
        <v>1</v>
      </c>
      <c r="BG3022">
        <v>0</v>
      </c>
      <c r="BH3022">
        <v>0</v>
      </c>
      <c r="BI3022">
        <v>0</v>
      </c>
      <c r="BJ3022">
        <v>3400</v>
      </c>
      <c r="BK3022">
        <v>-300</v>
      </c>
      <c r="BL3022" t="s">
        <v>163</v>
      </c>
      <c r="BM3022">
        <v>1</v>
      </c>
      <c r="BN3022">
        <v>1</v>
      </c>
      <c r="BO3022">
        <v>1</v>
      </c>
      <c r="BP3022">
        <v>0</v>
      </c>
      <c r="BS3022">
        <v>0</v>
      </c>
      <c r="BT3022">
        <v>0</v>
      </c>
      <c r="BU3022">
        <v>0</v>
      </c>
      <c r="CE3022" t="str">
        <f t="shared" si="1101"/>
        <v>19:33:37.769</v>
      </c>
      <c r="CF3022">
        <v>769206573</v>
      </c>
      <c r="CS3022">
        <v>0</v>
      </c>
      <c r="CT3022">
        <v>2</v>
      </c>
      <c r="CU3022">
        <v>0</v>
      </c>
      <c r="CV3022">
        <v>2</v>
      </c>
      <c r="CW3022">
        <v>0</v>
      </c>
      <c r="CX3022">
        <v>6</v>
      </c>
      <c r="CY3022">
        <v>7</v>
      </c>
      <c r="CZ3022" t="s">
        <v>131</v>
      </c>
      <c r="DA3022">
        <v>286</v>
      </c>
      <c r="DB3022">
        <v>0</v>
      </c>
      <c r="DC3022" t="s">
        <v>132</v>
      </c>
      <c r="DD3022" t="s">
        <v>133</v>
      </c>
      <c r="DG3022">
        <v>862510</v>
      </c>
      <c r="DI3022">
        <v>0</v>
      </c>
      <c r="DJ3022">
        <v>0</v>
      </c>
      <c r="DK3022">
        <v>1</v>
      </c>
      <c r="DL3022">
        <v>0</v>
      </c>
      <c r="DM3022">
        <v>0</v>
      </c>
      <c r="DN3022">
        <v>1</v>
      </c>
      <c r="DO3022">
        <v>0</v>
      </c>
      <c r="DP3022">
        <v>0</v>
      </c>
      <c r="DQ3022">
        <v>0</v>
      </c>
      <c r="DR3022">
        <v>0</v>
      </c>
      <c r="DS3022">
        <v>0</v>
      </c>
    </row>
    <row r="3023" spans="1:123" x14ac:dyDescent="0.3">
      <c r="A3023" t="str">
        <f t="shared" si="1100"/>
        <v>10/04/2022 19:33:38.104</v>
      </c>
      <c r="C3023" t="str">
        <f t="shared" si="1084"/>
        <v>FFDFD3C0</v>
      </c>
      <c r="D3023" t="s">
        <v>147</v>
      </c>
      <c r="E3023">
        <v>3</v>
      </c>
      <c r="H3023">
        <v>166</v>
      </c>
      <c r="I3023" t="s">
        <v>144</v>
      </c>
      <c r="J3023" t="s">
        <v>148</v>
      </c>
      <c r="K3023">
        <v>0</v>
      </c>
      <c r="L3023">
        <v>3</v>
      </c>
      <c r="M3023">
        <v>0</v>
      </c>
      <c r="N3023">
        <v>2</v>
      </c>
      <c r="O3023">
        <v>0</v>
      </c>
      <c r="P3023">
        <v>1</v>
      </c>
      <c r="Q3023">
        <v>0</v>
      </c>
      <c r="S3023" t="str">
        <f t="shared" si="1098"/>
        <v>19:33:37.000</v>
      </c>
      <c r="T3023" t="str">
        <f t="shared" si="1098"/>
        <v>19:33:37.000</v>
      </c>
      <c r="U3023" t="str">
        <f t="shared" si="1096"/>
        <v>AC3944</v>
      </c>
      <c r="V3023">
        <v>0</v>
      </c>
      <c r="W3023">
        <v>0</v>
      </c>
      <c r="X3023">
        <v>2</v>
      </c>
      <c r="Y3023">
        <v>0</v>
      </c>
      <c r="AA3023">
        <v>1</v>
      </c>
      <c r="AB3023">
        <v>8</v>
      </c>
      <c r="AC3023">
        <v>3</v>
      </c>
      <c r="AD3023">
        <v>0</v>
      </c>
      <c r="AE3023">
        <v>9</v>
      </c>
      <c r="AF3023" t="s">
        <v>138</v>
      </c>
      <c r="AG3023">
        <v>0</v>
      </c>
      <c r="AH3023">
        <v>3</v>
      </c>
      <c r="AI3023">
        <v>1</v>
      </c>
      <c r="AJ3023">
        <v>0</v>
      </c>
      <c r="AK3023" t="s">
        <v>1014</v>
      </c>
      <c r="AL3023">
        <v>32.717500000000001</v>
      </c>
      <c r="AM3023" t="s">
        <v>1015</v>
      </c>
      <c r="AN3023">
        <v>-116.758962</v>
      </c>
      <c r="AO3023">
        <v>25</v>
      </c>
      <c r="AP3023">
        <v>3700</v>
      </c>
      <c r="AQ3023" t="s">
        <v>129</v>
      </c>
      <c r="AR3023">
        <v>-97</v>
      </c>
      <c r="AS3023">
        <v>-94</v>
      </c>
      <c r="AT3023">
        <v>832</v>
      </c>
      <c r="BB3023">
        <v>1200</v>
      </c>
      <c r="BC3023">
        <v>1</v>
      </c>
      <c r="BD3023" t="str">
        <f t="shared" si="1097"/>
        <v xml:space="preserve">N887QR  </v>
      </c>
      <c r="BE3023">
        <v>1</v>
      </c>
      <c r="BG3023">
        <v>0</v>
      </c>
      <c r="BH3023">
        <v>0</v>
      </c>
      <c r="BI3023">
        <v>0</v>
      </c>
      <c r="BJ3023">
        <v>3400</v>
      </c>
      <c r="BK3023">
        <v>-300</v>
      </c>
      <c r="BL3023" t="s">
        <v>163</v>
      </c>
      <c r="BM3023">
        <v>1</v>
      </c>
      <c r="BN3023">
        <v>1</v>
      </c>
      <c r="BO3023">
        <v>1</v>
      </c>
      <c r="BP3023">
        <v>0</v>
      </c>
      <c r="BS3023">
        <v>0</v>
      </c>
      <c r="BT3023">
        <v>0</v>
      </c>
      <c r="BU3023">
        <v>0</v>
      </c>
      <c r="CE3023" t="str">
        <f t="shared" si="1101"/>
        <v>19:33:37.769</v>
      </c>
      <c r="CF3023">
        <v>769206573</v>
      </c>
      <c r="CS3023">
        <v>0</v>
      </c>
      <c r="CT3023">
        <v>2</v>
      </c>
      <c r="CU3023">
        <v>0</v>
      </c>
      <c r="CV3023">
        <v>2</v>
      </c>
      <c r="CW3023">
        <v>0</v>
      </c>
      <c r="CX3023">
        <v>6</v>
      </c>
      <c r="CY3023">
        <v>7</v>
      </c>
      <c r="CZ3023" t="s">
        <v>131</v>
      </c>
      <c r="DA3023">
        <v>286</v>
      </c>
      <c r="DB3023">
        <v>0</v>
      </c>
      <c r="DC3023" t="s">
        <v>132</v>
      </c>
      <c r="DD3023" t="s">
        <v>133</v>
      </c>
      <c r="DG3023">
        <v>862510</v>
      </c>
      <c r="DI3023">
        <v>0</v>
      </c>
      <c r="DJ3023">
        <v>0</v>
      </c>
      <c r="DK3023">
        <v>1</v>
      </c>
      <c r="DL3023">
        <v>0</v>
      </c>
      <c r="DM3023">
        <v>0</v>
      </c>
      <c r="DN3023">
        <v>1</v>
      </c>
      <c r="DO3023">
        <v>0</v>
      </c>
      <c r="DP3023">
        <v>0</v>
      </c>
      <c r="DQ3023">
        <v>0</v>
      </c>
      <c r="DR3023">
        <v>0</v>
      </c>
      <c r="DS3023">
        <v>0</v>
      </c>
    </row>
    <row r="3024" spans="1:123" x14ac:dyDescent="0.3">
      <c r="A3024" t="str">
        <f t="shared" si="1100"/>
        <v>10/04/2022 19:33:38.104</v>
      </c>
      <c r="C3024" t="str">
        <f t="shared" si="1084"/>
        <v>FFDFD3C0</v>
      </c>
      <c r="D3024" t="s">
        <v>141</v>
      </c>
      <c r="E3024">
        <v>4</v>
      </c>
      <c r="H3024">
        <v>4</v>
      </c>
      <c r="I3024" t="s">
        <v>142</v>
      </c>
      <c r="J3024" t="s">
        <v>138</v>
      </c>
      <c r="K3024">
        <v>0</v>
      </c>
      <c r="L3024">
        <v>3</v>
      </c>
      <c r="M3024">
        <v>0</v>
      </c>
      <c r="N3024">
        <v>2</v>
      </c>
      <c r="O3024">
        <v>0</v>
      </c>
      <c r="P3024">
        <v>1</v>
      </c>
      <c r="Q3024">
        <v>0</v>
      </c>
      <c r="S3024" t="str">
        <f t="shared" si="1098"/>
        <v>19:33:37.000</v>
      </c>
      <c r="T3024" t="str">
        <f t="shared" si="1098"/>
        <v>19:33:37.000</v>
      </c>
      <c r="U3024" t="str">
        <f t="shared" si="1096"/>
        <v>AC3944</v>
      </c>
      <c r="V3024">
        <v>0</v>
      </c>
      <c r="W3024">
        <v>0</v>
      </c>
      <c r="X3024">
        <v>2</v>
      </c>
      <c r="Y3024">
        <v>0</v>
      </c>
      <c r="AA3024">
        <v>1</v>
      </c>
      <c r="AB3024">
        <v>8</v>
      </c>
      <c r="AC3024">
        <v>3</v>
      </c>
      <c r="AD3024">
        <v>0</v>
      </c>
      <c r="AE3024">
        <v>9</v>
      </c>
      <c r="AF3024" t="s">
        <v>138</v>
      </c>
      <c r="AG3024">
        <v>0</v>
      </c>
      <c r="AH3024">
        <v>3</v>
      </c>
      <c r="AI3024">
        <v>1</v>
      </c>
      <c r="AJ3024">
        <v>0</v>
      </c>
      <c r="AK3024" t="s">
        <v>1014</v>
      </c>
      <c r="AL3024">
        <v>32.717500000000001</v>
      </c>
      <c r="AM3024" t="s">
        <v>1015</v>
      </c>
      <c r="AN3024">
        <v>-116.758962</v>
      </c>
      <c r="AO3024">
        <v>25</v>
      </c>
      <c r="AP3024">
        <v>3700</v>
      </c>
      <c r="AQ3024" t="s">
        <v>129</v>
      </c>
      <c r="AR3024">
        <v>-97</v>
      </c>
      <c r="AS3024">
        <v>-94</v>
      </c>
      <c r="AT3024">
        <v>832</v>
      </c>
      <c r="BB3024">
        <v>1200</v>
      </c>
      <c r="BC3024">
        <v>1</v>
      </c>
      <c r="BD3024" t="str">
        <f t="shared" si="1097"/>
        <v xml:space="preserve">N887QR  </v>
      </c>
      <c r="BE3024">
        <v>1</v>
      </c>
      <c r="BG3024">
        <v>0</v>
      </c>
      <c r="BH3024">
        <v>0</v>
      </c>
      <c r="BI3024">
        <v>0</v>
      </c>
      <c r="BJ3024">
        <v>3400</v>
      </c>
      <c r="BK3024">
        <v>-300</v>
      </c>
      <c r="BL3024" t="s">
        <v>163</v>
      </c>
      <c r="BM3024">
        <v>1</v>
      </c>
      <c r="BN3024">
        <v>1</v>
      </c>
      <c r="BO3024">
        <v>1</v>
      </c>
      <c r="BP3024">
        <v>0</v>
      </c>
      <c r="BS3024">
        <v>0</v>
      </c>
      <c r="BT3024">
        <v>0</v>
      </c>
      <c r="BU3024">
        <v>0</v>
      </c>
      <c r="CE3024" t="str">
        <f t="shared" si="1101"/>
        <v>19:33:37.769</v>
      </c>
      <c r="CF3024">
        <v>769206573</v>
      </c>
      <c r="CS3024">
        <v>0</v>
      </c>
      <c r="CT3024">
        <v>2</v>
      </c>
      <c r="CU3024">
        <v>0</v>
      </c>
      <c r="CV3024">
        <v>2</v>
      </c>
      <c r="CW3024">
        <v>0</v>
      </c>
      <c r="CX3024">
        <v>6</v>
      </c>
      <c r="CY3024">
        <v>7</v>
      </c>
      <c r="CZ3024" t="s">
        <v>131</v>
      </c>
      <c r="DA3024">
        <v>286</v>
      </c>
      <c r="DB3024">
        <v>0</v>
      </c>
      <c r="DC3024" t="s">
        <v>132</v>
      </c>
      <c r="DD3024" t="s">
        <v>133</v>
      </c>
      <c r="DG3024">
        <v>862510</v>
      </c>
      <c r="DI3024">
        <v>0</v>
      </c>
      <c r="DJ3024">
        <v>0</v>
      </c>
      <c r="DK3024">
        <v>1</v>
      </c>
      <c r="DL3024">
        <v>0</v>
      </c>
      <c r="DM3024">
        <v>0</v>
      </c>
      <c r="DN3024">
        <v>1</v>
      </c>
      <c r="DO3024">
        <v>0</v>
      </c>
      <c r="DP3024">
        <v>0</v>
      </c>
      <c r="DQ3024">
        <v>0</v>
      </c>
      <c r="DR3024">
        <v>0</v>
      </c>
      <c r="DS3024">
        <v>0</v>
      </c>
    </row>
    <row r="3025" spans="1:123" x14ac:dyDescent="0.3">
      <c r="A3025" t="str">
        <f t="shared" si="1100"/>
        <v>10/04/2022 19:33:38.104</v>
      </c>
      <c r="C3025" t="str">
        <f t="shared" si="1084"/>
        <v>FFDFD3C0</v>
      </c>
      <c r="D3025" t="s">
        <v>136</v>
      </c>
      <c r="E3025">
        <v>8</v>
      </c>
      <c r="H3025">
        <v>225</v>
      </c>
      <c r="I3025" t="s">
        <v>137</v>
      </c>
      <c r="J3025" t="s">
        <v>138</v>
      </c>
      <c r="K3025">
        <v>0</v>
      </c>
      <c r="L3025">
        <v>3</v>
      </c>
      <c r="M3025">
        <v>0</v>
      </c>
      <c r="N3025">
        <v>2</v>
      </c>
      <c r="O3025">
        <v>0</v>
      </c>
      <c r="P3025">
        <v>1</v>
      </c>
      <c r="Q3025">
        <v>0</v>
      </c>
      <c r="S3025" t="str">
        <f t="shared" si="1098"/>
        <v>19:33:37.000</v>
      </c>
      <c r="T3025" t="str">
        <f t="shared" si="1098"/>
        <v>19:33:37.000</v>
      </c>
      <c r="U3025" t="str">
        <f t="shared" si="1096"/>
        <v>AC3944</v>
      </c>
      <c r="V3025">
        <v>0</v>
      </c>
      <c r="W3025">
        <v>0</v>
      </c>
      <c r="X3025">
        <v>2</v>
      </c>
      <c r="Y3025">
        <v>0</v>
      </c>
      <c r="AA3025">
        <v>1</v>
      </c>
      <c r="AB3025">
        <v>8</v>
      </c>
      <c r="AC3025">
        <v>3</v>
      </c>
      <c r="AD3025">
        <v>0</v>
      </c>
      <c r="AE3025">
        <v>9</v>
      </c>
      <c r="AF3025" t="s">
        <v>138</v>
      </c>
      <c r="AG3025">
        <v>0</v>
      </c>
      <c r="AH3025">
        <v>3</v>
      </c>
      <c r="AI3025">
        <v>1</v>
      </c>
      <c r="AJ3025">
        <v>0</v>
      </c>
      <c r="AK3025" t="s">
        <v>1014</v>
      </c>
      <c r="AL3025">
        <v>32.717500000000001</v>
      </c>
      <c r="AM3025" t="s">
        <v>1015</v>
      </c>
      <c r="AN3025">
        <v>-116.758962</v>
      </c>
      <c r="AO3025">
        <v>25</v>
      </c>
      <c r="AP3025">
        <v>3700</v>
      </c>
      <c r="AQ3025" t="s">
        <v>129</v>
      </c>
      <c r="AR3025">
        <v>-97</v>
      </c>
      <c r="AS3025">
        <v>-94</v>
      </c>
      <c r="AT3025">
        <v>832</v>
      </c>
      <c r="BB3025">
        <v>1200</v>
      </c>
      <c r="BC3025">
        <v>1</v>
      </c>
      <c r="BD3025" t="str">
        <f t="shared" si="1097"/>
        <v xml:space="preserve">N887QR  </v>
      </c>
      <c r="BE3025">
        <v>1</v>
      </c>
      <c r="BG3025">
        <v>0</v>
      </c>
      <c r="BH3025">
        <v>0</v>
      </c>
      <c r="BI3025">
        <v>0</v>
      </c>
      <c r="BJ3025">
        <v>3400</v>
      </c>
      <c r="BK3025">
        <v>-300</v>
      </c>
      <c r="BL3025" t="s">
        <v>163</v>
      </c>
      <c r="BM3025">
        <v>1</v>
      </c>
      <c r="BN3025">
        <v>1</v>
      </c>
      <c r="BO3025">
        <v>1</v>
      </c>
      <c r="BP3025">
        <v>0</v>
      </c>
      <c r="BS3025">
        <v>0</v>
      </c>
      <c r="BT3025">
        <v>0</v>
      </c>
      <c r="BU3025">
        <v>0</v>
      </c>
      <c r="CE3025" t="str">
        <f t="shared" si="1101"/>
        <v>19:33:37.769</v>
      </c>
      <c r="CF3025">
        <v>769206573</v>
      </c>
      <c r="CS3025">
        <v>0</v>
      </c>
      <c r="CT3025">
        <v>2</v>
      </c>
      <c r="CU3025">
        <v>0</v>
      </c>
      <c r="CV3025">
        <v>2</v>
      </c>
      <c r="CW3025">
        <v>0</v>
      </c>
      <c r="CX3025">
        <v>6</v>
      </c>
      <c r="CY3025">
        <v>7</v>
      </c>
      <c r="CZ3025" t="s">
        <v>131</v>
      </c>
      <c r="DA3025">
        <v>286</v>
      </c>
      <c r="DB3025">
        <v>0</v>
      </c>
      <c r="DC3025" t="s">
        <v>132</v>
      </c>
      <c r="DD3025" t="s">
        <v>133</v>
      </c>
      <c r="DG3025">
        <v>862510</v>
      </c>
      <c r="DI3025">
        <v>0</v>
      </c>
      <c r="DJ3025">
        <v>0</v>
      </c>
      <c r="DK3025">
        <v>0</v>
      </c>
      <c r="DL3025">
        <v>0</v>
      </c>
      <c r="DM3025">
        <v>0</v>
      </c>
      <c r="DN3025">
        <v>1</v>
      </c>
      <c r="DO3025">
        <v>0</v>
      </c>
      <c r="DP3025">
        <v>0</v>
      </c>
      <c r="DQ3025">
        <v>0</v>
      </c>
      <c r="DR3025">
        <v>0</v>
      </c>
      <c r="DS3025">
        <v>0</v>
      </c>
    </row>
    <row r="3026" spans="1:123" x14ac:dyDescent="0.3">
      <c r="A3026" t="str">
        <f t="shared" si="1100"/>
        <v>10/04/2022 19:33:38.104</v>
      </c>
      <c r="C3026" t="str">
        <f t="shared" si="1084"/>
        <v>FFDFD3C0</v>
      </c>
      <c r="D3026" t="s">
        <v>143</v>
      </c>
      <c r="E3026">
        <v>20</v>
      </c>
      <c r="F3026">
        <v>1020</v>
      </c>
      <c r="G3026" t="s">
        <v>144</v>
      </c>
      <c r="J3026" t="s">
        <v>145</v>
      </c>
      <c r="K3026">
        <v>0</v>
      </c>
      <c r="L3026">
        <v>3</v>
      </c>
      <c r="M3026">
        <v>0</v>
      </c>
      <c r="N3026">
        <v>2</v>
      </c>
      <c r="O3026">
        <v>0</v>
      </c>
      <c r="P3026">
        <v>1</v>
      </c>
      <c r="Q3026">
        <v>0</v>
      </c>
      <c r="S3026" t="str">
        <f t="shared" si="1098"/>
        <v>19:33:37.000</v>
      </c>
      <c r="T3026" t="str">
        <f t="shared" si="1098"/>
        <v>19:33:37.000</v>
      </c>
      <c r="U3026" t="str">
        <f t="shared" si="1096"/>
        <v>AC3944</v>
      </c>
      <c r="V3026">
        <v>0</v>
      </c>
      <c r="W3026">
        <v>0</v>
      </c>
      <c r="X3026">
        <v>2</v>
      </c>
      <c r="Y3026">
        <v>0</v>
      </c>
      <c r="AA3026">
        <v>1</v>
      </c>
      <c r="AB3026">
        <v>8</v>
      </c>
      <c r="AC3026">
        <v>3</v>
      </c>
      <c r="AD3026">
        <v>0</v>
      </c>
      <c r="AE3026">
        <v>9</v>
      </c>
      <c r="AF3026" t="s">
        <v>138</v>
      </c>
      <c r="AG3026">
        <v>0</v>
      </c>
      <c r="AH3026">
        <v>3</v>
      </c>
      <c r="AI3026">
        <v>1</v>
      </c>
      <c r="AJ3026">
        <v>0</v>
      </c>
      <c r="AK3026" t="s">
        <v>1014</v>
      </c>
      <c r="AL3026">
        <v>32.717500000000001</v>
      </c>
      <c r="AM3026" t="s">
        <v>1015</v>
      </c>
      <c r="AN3026">
        <v>-116.758962</v>
      </c>
      <c r="AO3026">
        <v>25</v>
      </c>
      <c r="AP3026">
        <v>3700</v>
      </c>
      <c r="AQ3026" t="s">
        <v>129</v>
      </c>
      <c r="AR3026">
        <v>-97</v>
      </c>
      <c r="AS3026">
        <v>-94</v>
      </c>
      <c r="AT3026">
        <v>832</v>
      </c>
      <c r="BB3026">
        <v>1200</v>
      </c>
      <c r="BC3026">
        <v>1</v>
      </c>
      <c r="BD3026" t="str">
        <f t="shared" si="1097"/>
        <v xml:space="preserve">N887QR  </v>
      </c>
      <c r="BE3026">
        <v>1</v>
      </c>
      <c r="BG3026">
        <v>0</v>
      </c>
      <c r="BH3026">
        <v>0</v>
      </c>
      <c r="BI3026">
        <v>0</v>
      </c>
      <c r="BJ3026">
        <v>3400</v>
      </c>
      <c r="BK3026">
        <v>-300</v>
      </c>
      <c r="BL3026" t="s">
        <v>163</v>
      </c>
      <c r="BM3026">
        <v>1</v>
      </c>
      <c r="BN3026">
        <v>1</v>
      </c>
      <c r="BO3026">
        <v>1</v>
      </c>
      <c r="BP3026">
        <v>0</v>
      </c>
      <c r="BS3026">
        <v>0</v>
      </c>
      <c r="BT3026">
        <v>0</v>
      </c>
      <c r="BU3026">
        <v>0</v>
      </c>
      <c r="CE3026" t="str">
        <f t="shared" si="1101"/>
        <v>19:33:37.769</v>
      </c>
      <c r="CF3026">
        <v>769206573</v>
      </c>
      <c r="CS3026">
        <v>0</v>
      </c>
      <c r="CT3026">
        <v>2</v>
      </c>
      <c r="CU3026">
        <v>0</v>
      </c>
      <c r="CV3026">
        <v>2</v>
      </c>
      <c r="CW3026">
        <v>0</v>
      </c>
      <c r="CX3026">
        <v>6</v>
      </c>
      <c r="CY3026">
        <v>7</v>
      </c>
      <c r="CZ3026" t="s">
        <v>131</v>
      </c>
      <c r="DA3026">
        <v>286</v>
      </c>
      <c r="DB3026">
        <v>0</v>
      </c>
      <c r="DC3026" t="s">
        <v>132</v>
      </c>
      <c r="DD3026" t="s">
        <v>133</v>
      </c>
      <c r="DG3026">
        <v>862510</v>
      </c>
      <c r="DI3026">
        <v>0</v>
      </c>
      <c r="DJ3026">
        <v>0</v>
      </c>
      <c r="DK3026">
        <v>0</v>
      </c>
      <c r="DL3026">
        <v>0</v>
      </c>
      <c r="DM3026">
        <v>0</v>
      </c>
      <c r="DN3026">
        <v>1</v>
      </c>
      <c r="DO3026">
        <v>0</v>
      </c>
      <c r="DP3026">
        <v>0</v>
      </c>
      <c r="DQ3026">
        <v>0</v>
      </c>
      <c r="DR3026">
        <v>0</v>
      </c>
      <c r="DS3026">
        <v>0</v>
      </c>
    </row>
    <row r="3027" spans="1:123" x14ac:dyDescent="0.3">
      <c r="A3027" t="str">
        <f t="shared" ref="A3027:A3033" si="1102">"10/04/2022 19:33:39.292"</f>
        <v>10/04/2022 19:33:39.292</v>
      </c>
      <c r="C3027" t="str">
        <f t="shared" si="1084"/>
        <v>FFDFD3C0</v>
      </c>
      <c r="D3027" t="s">
        <v>123</v>
      </c>
      <c r="E3027">
        <v>7</v>
      </c>
      <c r="F3027">
        <v>2007</v>
      </c>
      <c r="G3027" t="s">
        <v>124</v>
      </c>
      <c r="J3027" t="s">
        <v>125</v>
      </c>
      <c r="K3027">
        <v>0</v>
      </c>
      <c r="L3027">
        <v>3</v>
      </c>
      <c r="M3027">
        <v>0</v>
      </c>
      <c r="N3027">
        <v>2</v>
      </c>
      <c r="O3027">
        <v>0</v>
      </c>
      <c r="P3027">
        <v>1</v>
      </c>
      <c r="Q3027">
        <v>0</v>
      </c>
      <c r="S3027" t="str">
        <f t="shared" ref="S3027:T3040" si="1103">"19:33:39.000"</f>
        <v>19:33:39.000</v>
      </c>
      <c r="T3027" t="str">
        <f t="shared" si="1103"/>
        <v>19:33:39.000</v>
      </c>
      <c r="U3027" t="str">
        <f t="shared" si="1096"/>
        <v>AC3944</v>
      </c>
      <c r="V3027">
        <v>0</v>
      </c>
      <c r="W3027">
        <v>0</v>
      </c>
      <c r="X3027">
        <v>2</v>
      </c>
      <c r="Y3027">
        <v>0</v>
      </c>
      <c r="AA3027">
        <v>1</v>
      </c>
      <c r="AB3027">
        <v>8</v>
      </c>
      <c r="AC3027">
        <v>3</v>
      </c>
      <c r="AD3027">
        <v>0</v>
      </c>
      <c r="AE3027">
        <v>9</v>
      </c>
      <c r="AF3027" t="s">
        <v>138</v>
      </c>
      <c r="AG3027">
        <v>0</v>
      </c>
      <c r="AH3027">
        <v>3</v>
      </c>
      <c r="AI3027">
        <v>1</v>
      </c>
      <c r="AJ3027">
        <v>0</v>
      </c>
      <c r="AK3027" t="s">
        <v>1016</v>
      </c>
      <c r="AL3027">
        <v>32.717049000000003</v>
      </c>
      <c r="AM3027" t="s">
        <v>1017</v>
      </c>
      <c r="AN3027">
        <v>-116.75949799999999</v>
      </c>
      <c r="AO3027">
        <v>25</v>
      </c>
      <c r="AP3027">
        <v>3700</v>
      </c>
      <c r="AQ3027" t="s">
        <v>129</v>
      </c>
      <c r="AR3027">
        <v>-92</v>
      </c>
      <c r="AS3027">
        <v>-96</v>
      </c>
      <c r="AT3027">
        <v>1088</v>
      </c>
      <c r="BB3027">
        <v>1200</v>
      </c>
      <c r="BC3027">
        <v>1</v>
      </c>
      <c r="BD3027" t="str">
        <f t="shared" si="1097"/>
        <v xml:space="preserve">N887QR  </v>
      </c>
      <c r="BE3027">
        <v>1</v>
      </c>
      <c r="BG3027">
        <v>0</v>
      </c>
      <c r="BH3027">
        <v>0</v>
      </c>
      <c r="BI3027">
        <v>0</v>
      </c>
      <c r="BJ3027">
        <v>3400</v>
      </c>
      <c r="BK3027">
        <v>-300</v>
      </c>
      <c r="BL3027" t="s">
        <v>163</v>
      </c>
      <c r="BM3027">
        <v>1</v>
      </c>
      <c r="BN3027">
        <v>1</v>
      </c>
      <c r="BO3027">
        <v>1</v>
      </c>
      <c r="BP3027">
        <v>0</v>
      </c>
      <c r="BS3027">
        <v>0</v>
      </c>
      <c r="BT3027">
        <v>0</v>
      </c>
      <c r="BU3027">
        <v>0</v>
      </c>
      <c r="CE3027" t="str">
        <f t="shared" ref="CE3027:CE3033" si="1104">"19:33:39.022"</f>
        <v>19:33:39.022</v>
      </c>
      <c r="CF3027">
        <v>22460270</v>
      </c>
      <c r="CS3027">
        <v>0</v>
      </c>
      <c r="CT3027">
        <v>2</v>
      </c>
      <c r="CU3027">
        <v>0</v>
      </c>
      <c r="CV3027">
        <v>2</v>
      </c>
      <c r="CW3027">
        <v>0</v>
      </c>
      <c r="CX3027">
        <v>6</v>
      </c>
      <c r="CY3027">
        <v>7</v>
      </c>
      <c r="CZ3027" t="s">
        <v>131</v>
      </c>
      <c r="DA3027">
        <v>286</v>
      </c>
      <c r="DB3027">
        <v>0</v>
      </c>
      <c r="DC3027" t="s">
        <v>132</v>
      </c>
      <c r="DD3027" t="s">
        <v>133</v>
      </c>
      <c r="DG3027">
        <v>862908</v>
      </c>
      <c r="DI3027">
        <v>0</v>
      </c>
      <c r="DJ3027">
        <v>0</v>
      </c>
      <c r="DK3027">
        <v>0</v>
      </c>
      <c r="DL3027">
        <v>0</v>
      </c>
      <c r="DM3027">
        <v>0</v>
      </c>
      <c r="DN3027">
        <v>1</v>
      </c>
      <c r="DO3027">
        <v>0</v>
      </c>
      <c r="DP3027">
        <v>0</v>
      </c>
      <c r="DQ3027">
        <v>0</v>
      </c>
      <c r="DR3027">
        <v>0</v>
      </c>
      <c r="DS3027">
        <v>0</v>
      </c>
    </row>
    <row r="3028" spans="1:123" x14ac:dyDescent="0.3">
      <c r="A3028" t="str">
        <f t="shared" si="1102"/>
        <v>10/04/2022 19:33:39.292</v>
      </c>
      <c r="C3028" t="str">
        <f t="shared" si="1084"/>
        <v>FFDFD3C0</v>
      </c>
      <c r="D3028" t="s">
        <v>141</v>
      </c>
      <c r="E3028">
        <v>3</v>
      </c>
      <c r="H3028">
        <v>3</v>
      </c>
      <c r="I3028" t="s">
        <v>146</v>
      </c>
      <c r="J3028" t="s">
        <v>138</v>
      </c>
      <c r="K3028">
        <v>0</v>
      </c>
      <c r="L3028">
        <v>3</v>
      </c>
      <c r="M3028">
        <v>0</v>
      </c>
      <c r="N3028">
        <v>2</v>
      </c>
      <c r="O3028">
        <v>0</v>
      </c>
      <c r="P3028">
        <v>1</v>
      </c>
      <c r="Q3028">
        <v>0</v>
      </c>
      <c r="S3028" t="str">
        <f t="shared" si="1103"/>
        <v>19:33:39.000</v>
      </c>
      <c r="T3028" t="str">
        <f t="shared" si="1103"/>
        <v>19:33:39.000</v>
      </c>
      <c r="U3028" t="str">
        <f t="shared" si="1096"/>
        <v>AC3944</v>
      </c>
      <c r="V3028">
        <v>0</v>
      </c>
      <c r="W3028">
        <v>0</v>
      </c>
      <c r="X3028">
        <v>2</v>
      </c>
      <c r="Y3028">
        <v>0</v>
      </c>
      <c r="AA3028">
        <v>1</v>
      </c>
      <c r="AB3028">
        <v>8</v>
      </c>
      <c r="AC3028">
        <v>3</v>
      </c>
      <c r="AD3028">
        <v>0</v>
      </c>
      <c r="AE3028">
        <v>9</v>
      </c>
      <c r="AF3028" t="s">
        <v>138</v>
      </c>
      <c r="AG3028">
        <v>0</v>
      </c>
      <c r="AH3028">
        <v>3</v>
      </c>
      <c r="AI3028">
        <v>1</v>
      </c>
      <c r="AJ3028">
        <v>0</v>
      </c>
      <c r="AK3028" t="s">
        <v>1016</v>
      </c>
      <c r="AL3028">
        <v>32.717049000000003</v>
      </c>
      <c r="AM3028" t="s">
        <v>1017</v>
      </c>
      <c r="AN3028">
        <v>-116.75949799999999</v>
      </c>
      <c r="AO3028">
        <v>25</v>
      </c>
      <c r="AP3028">
        <v>3700</v>
      </c>
      <c r="AQ3028" t="s">
        <v>129</v>
      </c>
      <c r="AR3028">
        <v>-92</v>
      </c>
      <c r="AS3028">
        <v>-96</v>
      </c>
      <c r="AT3028">
        <v>1088</v>
      </c>
      <c r="BB3028">
        <v>1200</v>
      </c>
      <c r="BC3028">
        <v>1</v>
      </c>
      <c r="BD3028" t="str">
        <f t="shared" si="1097"/>
        <v xml:space="preserve">N887QR  </v>
      </c>
      <c r="BE3028">
        <v>1</v>
      </c>
      <c r="BG3028">
        <v>0</v>
      </c>
      <c r="BH3028">
        <v>0</v>
      </c>
      <c r="BI3028">
        <v>0</v>
      </c>
      <c r="BJ3028">
        <v>3400</v>
      </c>
      <c r="BK3028">
        <v>-300</v>
      </c>
      <c r="BL3028" t="s">
        <v>163</v>
      </c>
      <c r="BM3028">
        <v>1</v>
      </c>
      <c r="BN3028">
        <v>1</v>
      </c>
      <c r="BO3028">
        <v>1</v>
      </c>
      <c r="BP3028">
        <v>0</v>
      </c>
      <c r="BS3028">
        <v>0</v>
      </c>
      <c r="BT3028">
        <v>0</v>
      </c>
      <c r="BU3028">
        <v>0</v>
      </c>
      <c r="CE3028" t="str">
        <f t="shared" si="1104"/>
        <v>19:33:39.022</v>
      </c>
      <c r="CF3028">
        <v>22460270</v>
      </c>
      <c r="CS3028">
        <v>0</v>
      </c>
      <c r="CT3028">
        <v>2</v>
      </c>
      <c r="CU3028">
        <v>0</v>
      </c>
      <c r="CV3028">
        <v>2</v>
      </c>
      <c r="CW3028">
        <v>0</v>
      </c>
      <c r="CX3028">
        <v>6</v>
      </c>
      <c r="CY3028">
        <v>7</v>
      </c>
      <c r="CZ3028" t="s">
        <v>131</v>
      </c>
      <c r="DA3028">
        <v>286</v>
      </c>
      <c r="DB3028">
        <v>0</v>
      </c>
      <c r="DC3028" t="s">
        <v>132</v>
      </c>
      <c r="DD3028" t="s">
        <v>133</v>
      </c>
      <c r="DG3028">
        <v>862908</v>
      </c>
      <c r="DI3028">
        <v>0</v>
      </c>
      <c r="DJ3028">
        <v>0</v>
      </c>
      <c r="DK3028">
        <v>1</v>
      </c>
      <c r="DL3028">
        <v>0</v>
      </c>
      <c r="DM3028">
        <v>0</v>
      </c>
      <c r="DN3028">
        <v>1</v>
      </c>
      <c r="DO3028">
        <v>0</v>
      </c>
      <c r="DP3028">
        <v>0</v>
      </c>
      <c r="DQ3028">
        <v>0</v>
      </c>
      <c r="DR3028">
        <v>0</v>
      </c>
      <c r="DS3028">
        <v>0</v>
      </c>
    </row>
    <row r="3029" spans="1:123" x14ac:dyDescent="0.3">
      <c r="A3029" t="str">
        <f t="shared" si="1102"/>
        <v>10/04/2022 19:33:39.292</v>
      </c>
      <c r="C3029" t="str">
        <f t="shared" si="1084"/>
        <v>FFDFD3C0</v>
      </c>
      <c r="D3029" t="s">
        <v>134</v>
      </c>
      <c r="E3029">
        <v>15</v>
      </c>
      <c r="J3029" t="s">
        <v>135</v>
      </c>
      <c r="K3029">
        <v>0</v>
      </c>
      <c r="L3029">
        <v>3</v>
      </c>
      <c r="M3029">
        <v>0</v>
      </c>
      <c r="N3029">
        <v>2</v>
      </c>
      <c r="O3029">
        <v>0</v>
      </c>
      <c r="P3029">
        <v>1</v>
      </c>
      <c r="Q3029">
        <v>0</v>
      </c>
      <c r="S3029" t="str">
        <f t="shared" si="1103"/>
        <v>19:33:39.000</v>
      </c>
      <c r="T3029" t="str">
        <f t="shared" si="1103"/>
        <v>19:33:39.000</v>
      </c>
      <c r="U3029" t="str">
        <f t="shared" si="1096"/>
        <v>AC3944</v>
      </c>
      <c r="V3029">
        <v>0</v>
      </c>
      <c r="W3029">
        <v>0</v>
      </c>
      <c r="X3029">
        <v>2</v>
      </c>
      <c r="Y3029">
        <v>0</v>
      </c>
      <c r="AA3029">
        <v>1</v>
      </c>
      <c r="AB3029">
        <v>8</v>
      </c>
      <c r="AC3029">
        <v>3</v>
      </c>
      <c r="AD3029">
        <v>0</v>
      </c>
      <c r="AE3029">
        <v>9</v>
      </c>
      <c r="AF3029" t="s">
        <v>138</v>
      </c>
      <c r="AG3029">
        <v>0</v>
      </c>
      <c r="AH3029">
        <v>3</v>
      </c>
      <c r="AI3029">
        <v>1</v>
      </c>
      <c r="AJ3029">
        <v>0</v>
      </c>
      <c r="AK3029" t="s">
        <v>1016</v>
      </c>
      <c r="AL3029">
        <v>32.717049000000003</v>
      </c>
      <c r="AM3029" t="s">
        <v>1017</v>
      </c>
      <c r="AN3029">
        <v>-116.75949799999999</v>
      </c>
      <c r="AO3029">
        <v>25</v>
      </c>
      <c r="AP3029">
        <v>3700</v>
      </c>
      <c r="AQ3029" t="s">
        <v>129</v>
      </c>
      <c r="AR3029">
        <v>-92</v>
      </c>
      <c r="AS3029">
        <v>-96</v>
      </c>
      <c r="AT3029">
        <v>1088</v>
      </c>
      <c r="BB3029">
        <v>1200</v>
      </c>
      <c r="BC3029">
        <v>1</v>
      </c>
      <c r="BD3029" t="str">
        <f t="shared" si="1097"/>
        <v xml:space="preserve">N887QR  </v>
      </c>
      <c r="BE3029">
        <v>1</v>
      </c>
      <c r="BG3029">
        <v>0</v>
      </c>
      <c r="BH3029">
        <v>0</v>
      </c>
      <c r="BI3029">
        <v>0</v>
      </c>
      <c r="BJ3029">
        <v>3400</v>
      </c>
      <c r="BK3029">
        <v>-300</v>
      </c>
      <c r="BL3029" t="s">
        <v>163</v>
      </c>
      <c r="BM3029">
        <v>1</v>
      </c>
      <c r="BN3029">
        <v>1</v>
      </c>
      <c r="BO3029">
        <v>1</v>
      </c>
      <c r="BP3029">
        <v>0</v>
      </c>
      <c r="BS3029">
        <v>0</v>
      </c>
      <c r="BT3029">
        <v>0</v>
      </c>
      <c r="BU3029">
        <v>0</v>
      </c>
      <c r="CE3029" t="str">
        <f t="shared" si="1104"/>
        <v>19:33:39.022</v>
      </c>
      <c r="CF3029">
        <v>22460270</v>
      </c>
      <c r="CS3029">
        <v>0</v>
      </c>
      <c r="CT3029">
        <v>2</v>
      </c>
      <c r="CU3029">
        <v>0</v>
      </c>
      <c r="CV3029">
        <v>2</v>
      </c>
      <c r="CW3029">
        <v>0</v>
      </c>
      <c r="CX3029">
        <v>6</v>
      </c>
      <c r="CY3029">
        <v>7</v>
      </c>
      <c r="CZ3029" t="s">
        <v>131</v>
      </c>
      <c r="DA3029">
        <v>286</v>
      </c>
      <c r="DB3029">
        <v>0</v>
      </c>
      <c r="DC3029" t="s">
        <v>132</v>
      </c>
      <c r="DD3029" t="s">
        <v>133</v>
      </c>
      <c r="DG3029">
        <v>862908</v>
      </c>
      <c r="DI3029">
        <v>0</v>
      </c>
      <c r="DJ3029">
        <v>0</v>
      </c>
      <c r="DK3029">
        <v>1</v>
      </c>
      <c r="DL3029">
        <v>0</v>
      </c>
      <c r="DM3029">
        <v>0</v>
      </c>
      <c r="DN3029">
        <v>1</v>
      </c>
      <c r="DO3029">
        <v>0</v>
      </c>
      <c r="DP3029">
        <v>0</v>
      </c>
      <c r="DQ3029">
        <v>0</v>
      </c>
      <c r="DR3029">
        <v>0</v>
      </c>
      <c r="DS3029">
        <v>0</v>
      </c>
    </row>
    <row r="3030" spans="1:123" x14ac:dyDescent="0.3">
      <c r="A3030" t="str">
        <f t="shared" si="1102"/>
        <v>10/04/2022 19:33:39.292</v>
      </c>
      <c r="C3030" t="str">
        <f t="shared" si="1084"/>
        <v>FFDFD3C0</v>
      </c>
      <c r="D3030" t="s">
        <v>141</v>
      </c>
      <c r="E3030">
        <v>4</v>
      </c>
      <c r="H3030">
        <v>4</v>
      </c>
      <c r="I3030" t="s">
        <v>142</v>
      </c>
      <c r="J3030" t="s">
        <v>138</v>
      </c>
      <c r="K3030">
        <v>0</v>
      </c>
      <c r="L3030">
        <v>3</v>
      </c>
      <c r="M3030">
        <v>0</v>
      </c>
      <c r="N3030">
        <v>2</v>
      </c>
      <c r="O3030">
        <v>0</v>
      </c>
      <c r="P3030">
        <v>1</v>
      </c>
      <c r="Q3030">
        <v>0</v>
      </c>
      <c r="S3030" t="str">
        <f t="shared" si="1103"/>
        <v>19:33:39.000</v>
      </c>
      <c r="T3030" t="str">
        <f t="shared" si="1103"/>
        <v>19:33:39.000</v>
      </c>
      <c r="U3030" t="str">
        <f t="shared" si="1096"/>
        <v>AC3944</v>
      </c>
      <c r="V3030">
        <v>0</v>
      </c>
      <c r="W3030">
        <v>0</v>
      </c>
      <c r="X3030">
        <v>2</v>
      </c>
      <c r="Y3030">
        <v>0</v>
      </c>
      <c r="AA3030">
        <v>1</v>
      </c>
      <c r="AB3030">
        <v>8</v>
      </c>
      <c r="AC3030">
        <v>3</v>
      </c>
      <c r="AD3030">
        <v>0</v>
      </c>
      <c r="AE3030">
        <v>9</v>
      </c>
      <c r="AF3030" t="s">
        <v>138</v>
      </c>
      <c r="AG3030">
        <v>0</v>
      </c>
      <c r="AH3030">
        <v>3</v>
      </c>
      <c r="AI3030">
        <v>1</v>
      </c>
      <c r="AJ3030">
        <v>0</v>
      </c>
      <c r="AK3030" t="s">
        <v>1016</v>
      </c>
      <c r="AL3030">
        <v>32.717049000000003</v>
      </c>
      <c r="AM3030" t="s">
        <v>1017</v>
      </c>
      <c r="AN3030">
        <v>-116.75949799999999</v>
      </c>
      <c r="AO3030">
        <v>25</v>
      </c>
      <c r="AP3030">
        <v>3700</v>
      </c>
      <c r="AQ3030" t="s">
        <v>129</v>
      </c>
      <c r="AR3030">
        <v>-92</v>
      </c>
      <c r="AS3030">
        <v>-96</v>
      </c>
      <c r="AT3030">
        <v>1088</v>
      </c>
      <c r="BB3030">
        <v>1200</v>
      </c>
      <c r="BC3030">
        <v>1</v>
      </c>
      <c r="BD3030" t="str">
        <f t="shared" si="1097"/>
        <v xml:space="preserve">N887QR  </v>
      </c>
      <c r="BE3030">
        <v>1</v>
      </c>
      <c r="BG3030">
        <v>0</v>
      </c>
      <c r="BH3030">
        <v>0</v>
      </c>
      <c r="BI3030">
        <v>0</v>
      </c>
      <c r="BJ3030">
        <v>3400</v>
      </c>
      <c r="BK3030">
        <v>-300</v>
      </c>
      <c r="BL3030" t="s">
        <v>163</v>
      </c>
      <c r="BM3030">
        <v>1</v>
      </c>
      <c r="BN3030">
        <v>1</v>
      </c>
      <c r="BO3030">
        <v>1</v>
      </c>
      <c r="BP3030">
        <v>0</v>
      </c>
      <c r="BS3030">
        <v>0</v>
      </c>
      <c r="BT3030">
        <v>0</v>
      </c>
      <c r="BU3030">
        <v>0</v>
      </c>
      <c r="CE3030" t="str">
        <f t="shared" si="1104"/>
        <v>19:33:39.022</v>
      </c>
      <c r="CF3030">
        <v>22460270</v>
      </c>
      <c r="CS3030">
        <v>0</v>
      </c>
      <c r="CT3030">
        <v>2</v>
      </c>
      <c r="CU3030">
        <v>0</v>
      </c>
      <c r="CV3030">
        <v>2</v>
      </c>
      <c r="CW3030">
        <v>0</v>
      </c>
      <c r="CX3030">
        <v>6</v>
      </c>
      <c r="CY3030">
        <v>7</v>
      </c>
      <c r="CZ3030" t="s">
        <v>131</v>
      </c>
      <c r="DA3030">
        <v>286</v>
      </c>
      <c r="DB3030">
        <v>0</v>
      </c>
      <c r="DC3030" t="s">
        <v>132</v>
      </c>
      <c r="DD3030" t="s">
        <v>133</v>
      </c>
      <c r="DG3030">
        <v>862908</v>
      </c>
      <c r="DI3030">
        <v>0</v>
      </c>
      <c r="DJ3030">
        <v>0</v>
      </c>
      <c r="DK3030">
        <v>1</v>
      </c>
      <c r="DL3030">
        <v>0</v>
      </c>
      <c r="DM3030">
        <v>0</v>
      </c>
      <c r="DN3030">
        <v>1</v>
      </c>
      <c r="DO3030">
        <v>0</v>
      </c>
      <c r="DP3030">
        <v>0</v>
      </c>
      <c r="DQ3030">
        <v>0</v>
      </c>
      <c r="DR3030">
        <v>0</v>
      </c>
      <c r="DS3030">
        <v>0</v>
      </c>
    </row>
    <row r="3031" spans="1:123" x14ac:dyDescent="0.3">
      <c r="A3031" t="str">
        <f t="shared" si="1102"/>
        <v>10/04/2022 19:33:39.292</v>
      </c>
      <c r="C3031" t="str">
        <f t="shared" si="1084"/>
        <v>FFDFD3C0</v>
      </c>
      <c r="D3031" t="s">
        <v>147</v>
      </c>
      <c r="E3031">
        <v>3</v>
      </c>
      <c r="H3031">
        <v>166</v>
      </c>
      <c r="I3031" t="s">
        <v>144</v>
      </c>
      <c r="J3031" t="s">
        <v>148</v>
      </c>
      <c r="K3031">
        <v>0</v>
      </c>
      <c r="L3031">
        <v>3</v>
      </c>
      <c r="M3031">
        <v>0</v>
      </c>
      <c r="N3031">
        <v>2</v>
      </c>
      <c r="O3031">
        <v>0</v>
      </c>
      <c r="P3031">
        <v>1</v>
      </c>
      <c r="Q3031">
        <v>0</v>
      </c>
      <c r="S3031" t="str">
        <f t="shared" si="1103"/>
        <v>19:33:39.000</v>
      </c>
      <c r="T3031" t="str">
        <f t="shared" si="1103"/>
        <v>19:33:39.000</v>
      </c>
      <c r="U3031" t="str">
        <f t="shared" si="1096"/>
        <v>AC3944</v>
      </c>
      <c r="V3031">
        <v>0</v>
      </c>
      <c r="W3031">
        <v>0</v>
      </c>
      <c r="X3031">
        <v>2</v>
      </c>
      <c r="Y3031">
        <v>0</v>
      </c>
      <c r="AA3031">
        <v>1</v>
      </c>
      <c r="AB3031">
        <v>8</v>
      </c>
      <c r="AC3031">
        <v>3</v>
      </c>
      <c r="AD3031">
        <v>0</v>
      </c>
      <c r="AE3031">
        <v>9</v>
      </c>
      <c r="AF3031" t="s">
        <v>138</v>
      </c>
      <c r="AG3031">
        <v>0</v>
      </c>
      <c r="AH3031">
        <v>3</v>
      </c>
      <c r="AI3031">
        <v>1</v>
      </c>
      <c r="AJ3031">
        <v>0</v>
      </c>
      <c r="AK3031" t="s">
        <v>1016</v>
      </c>
      <c r="AL3031">
        <v>32.717049000000003</v>
      </c>
      <c r="AM3031" t="s">
        <v>1017</v>
      </c>
      <c r="AN3031">
        <v>-116.75949799999999</v>
      </c>
      <c r="AO3031">
        <v>25</v>
      </c>
      <c r="AP3031">
        <v>3700</v>
      </c>
      <c r="AQ3031" t="s">
        <v>129</v>
      </c>
      <c r="AR3031">
        <v>-92</v>
      </c>
      <c r="AS3031">
        <v>-96</v>
      </c>
      <c r="AT3031">
        <v>1088</v>
      </c>
      <c r="BB3031">
        <v>1200</v>
      </c>
      <c r="BC3031">
        <v>1</v>
      </c>
      <c r="BD3031" t="str">
        <f t="shared" si="1097"/>
        <v xml:space="preserve">N887QR  </v>
      </c>
      <c r="BE3031">
        <v>1</v>
      </c>
      <c r="BG3031">
        <v>0</v>
      </c>
      <c r="BH3031">
        <v>0</v>
      </c>
      <c r="BI3031">
        <v>0</v>
      </c>
      <c r="BJ3031">
        <v>3400</v>
      </c>
      <c r="BK3031">
        <v>-300</v>
      </c>
      <c r="BL3031" t="s">
        <v>163</v>
      </c>
      <c r="BM3031">
        <v>1</v>
      </c>
      <c r="BN3031">
        <v>1</v>
      </c>
      <c r="BO3031">
        <v>1</v>
      </c>
      <c r="BP3031">
        <v>0</v>
      </c>
      <c r="BS3031">
        <v>0</v>
      </c>
      <c r="BT3031">
        <v>0</v>
      </c>
      <c r="BU3031">
        <v>0</v>
      </c>
      <c r="CE3031" t="str">
        <f t="shared" si="1104"/>
        <v>19:33:39.022</v>
      </c>
      <c r="CF3031">
        <v>22460270</v>
      </c>
      <c r="CS3031">
        <v>0</v>
      </c>
      <c r="CT3031">
        <v>2</v>
      </c>
      <c r="CU3031">
        <v>0</v>
      </c>
      <c r="CV3031">
        <v>2</v>
      </c>
      <c r="CW3031">
        <v>0</v>
      </c>
      <c r="CX3031">
        <v>6</v>
      </c>
      <c r="CY3031">
        <v>7</v>
      </c>
      <c r="CZ3031" t="s">
        <v>131</v>
      </c>
      <c r="DA3031">
        <v>286</v>
      </c>
      <c r="DB3031">
        <v>0</v>
      </c>
      <c r="DC3031" t="s">
        <v>132</v>
      </c>
      <c r="DD3031" t="s">
        <v>133</v>
      </c>
      <c r="DG3031">
        <v>862908</v>
      </c>
      <c r="DI3031">
        <v>0</v>
      </c>
      <c r="DJ3031">
        <v>0</v>
      </c>
      <c r="DK3031">
        <v>1</v>
      </c>
      <c r="DL3031">
        <v>0</v>
      </c>
      <c r="DM3031">
        <v>0</v>
      </c>
      <c r="DN3031">
        <v>1</v>
      </c>
      <c r="DO3031">
        <v>0</v>
      </c>
      <c r="DP3031">
        <v>0</v>
      </c>
      <c r="DQ3031">
        <v>0</v>
      </c>
      <c r="DR3031">
        <v>0</v>
      </c>
      <c r="DS3031">
        <v>0</v>
      </c>
    </row>
    <row r="3032" spans="1:123" x14ac:dyDescent="0.3">
      <c r="A3032" t="str">
        <f t="shared" si="1102"/>
        <v>10/04/2022 19:33:39.292</v>
      </c>
      <c r="C3032" t="str">
        <f t="shared" si="1084"/>
        <v>FFDFD3C0</v>
      </c>
      <c r="D3032" t="s">
        <v>143</v>
      </c>
      <c r="E3032">
        <v>20</v>
      </c>
      <c r="F3032">
        <v>1020</v>
      </c>
      <c r="G3032" t="s">
        <v>144</v>
      </c>
      <c r="J3032" t="s">
        <v>145</v>
      </c>
      <c r="K3032">
        <v>0</v>
      </c>
      <c r="L3032">
        <v>3</v>
      </c>
      <c r="M3032">
        <v>0</v>
      </c>
      <c r="N3032">
        <v>2</v>
      </c>
      <c r="O3032">
        <v>0</v>
      </c>
      <c r="P3032">
        <v>1</v>
      </c>
      <c r="Q3032">
        <v>0</v>
      </c>
      <c r="S3032" t="str">
        <f t="shared" si="1103"/>
        <v>19:33:39.000</v>
      </c>
      <c r="T3032" t="str">
        <f t="shared" si="1103"/>
        <v>19:33:39.000</v>
      </c>
      <c r="U3032" t="str">
        <f t="shared" si="1096"/>
        <v>AC3944</v>
      </c>
      <c r="V3032">
        <v>0</v>
      </c>
      <c r="W3032">
        <v>0</v>
      </c>
      <c r="X3032">
        <v>2</v>
      </c>
      <c r="Y3032">
        <v>0</v>
      </c>
      <c r="AA3032">
        <v>1</v>
      </c>
      <c r="AB3032">
        <v>8</v>
      </c>
      <c r="AC3032">
        <v>3</v>
      </c>
      <c r="AD3032">
        <v>0</v>
      </c>
      <c r="AE3032">
        <v>9</v>
      </c>
      <c r="AF3032" t="s">
        <v>138</v>
      </c>
      <c r="AG3032">
        <v>0</v>
      </c>
      <c r="AH3032">
        <v>3</v>
      </c>
      <c r="AI3032">
        <v>1</v>
      </c>
      <c r="AJ3032">
        <v>0</v>
      </c>
      <c r="AK3032" t="s">
        <v>1016</v>
      </c>
      <c r="AL3032">
        <v>32.717049000000003</v>
      </c>
      <c r="AM3032" t="s">
        <v>1017</v>
      </c>
      <c r="AN3032">
        <v>-116.75949799999999</v>
      </c>
      <c r="AO3032">
        <v>25</v>
      </c>
      <c r="AP3032">
        <v>3700</v>
      </c>
      <c r="AQ3032" t="s">
        <v>129</v>
      </c>
      <c r="AR3032">
        <v>-92</v>
      </c>
      <c r="AS3032">
        <v>-96</v>
      </c>
      <c r="AT3032">
        <v>1088</v>
      </c>
      <c r="BB3032">
        <v>1200</v>
      </c>
      <c r="BC3032">
        <v>1</v>
      </c>
      <c r="BD3032" t="str">
        <f t="shared" si="1097"/>
        <v xml:space="preserve">N887QR  </v>
      </c>
      <c r="BE3032">
        <v>1</v>
      </c>
      <c r="BG3032">
        <v>0</v>
      </c>
      <c r="BH3032">
        <v>0</v>
      </c>
      <c r="BI3032">
        <v>0</v>
      </c>
      <c r="BJ3032">
        <v>3400</v>
      </c>
      <c r="BK3032">
        <v>-300</v>
      </c>
      <c r="BL3032" t="s">
        <v>163</v>
      </c>
      <c r="BM3032">
        <v>1</v>
      </c>
      <c r="BN3032">
        <v>1</v>
      </c>
      <c r="BO3032">
        <v>1</v>
      </c>
      <c r="BP3032">
        <v>0</v>
      </c>
      <c r="BS3032">
        <v>0</v>
      </c>
      <c r="BT3032">
        <v>0</v>
      </c>
      <c r="BU3032">
        <v>0</v>
      </c>
      <c r="CE3032" t="str">
        <f t="shared" si="1104"/>
        <v>19:33:39.022</v>
      </c>
      <c r="CF3032">
        <v>22460270</v>
      </c>
      <c r="CS3032">
        <v>0</v>
      </c>
      <c r="CT3032">
        <v>2</v>
      </c>
      <c r="CU3032">
        <v>0</v>
      </c>
      <c r="CV3032">
        <v>2</v>
      </c>
      <c r="CW3032">
        <v>0</v>
      </c>
      <c r="CX3032">
        <v>6</v>
      </c>
      <c r="CY3032">
        <v>7</v>
      </c>
      <c r="CZ3032" t="s">
        <v>131</v>
      </c>
      <c r="DA3032">
        <v>286</v>
      </c>
      <c r="DB3032">
        <v>0</v>
      </c>
      <c r="DC3032" t="s">
        <v>132</v>
      </c>
      <c r="DD3032" t="s">
        <v>133</v>
      </c>
      <c r="DG3032">
        <v>862908</v>
      </c>
      <c r="DI3032">
        <v>0</v>
      </c>
      <c r="DJ3032">
        <v>0</v>
      </c>
      <c r="DK3032">
        <v>1</v>
      </c>
      <c r="DL3032">
        <v>0</v>
      </c>
      <c r="DM3032">
        <v>0</v>
      </c>
      <c r="DN3032">
        <v>1</v>
      </c>
      <c r="DO3032">
        <v>0</v>
      </c>
      <c r="DP3032">
        <v>0</v>
      </c>
      <c r="DQ3032">
        <v>0</v>
      </c>
      <c r="DR3032">
        <v>0</v>
      </c>
      <c r="DS3032">
        <v>0</v>
      </c>
    </row>
    <row r="3033" spans="1:123" x14ac:dyDescent="0.3">
      <c r="A3033" t="str">
        <f t="shared" si="1102"/>
        <v>10/04/2022 19:33:39.292</v>
      </c>
      <c r="C3033" t="str">
        <f t="shared" si="1084"/>
        <v>FFDFD3C0</v>
      </c>
      <c r="D3033" t="s">
        <v>136</v>
      </c>
      <c r="E3033">
        <v>8</v>
      </c>
      <c r="H3033">
        <v>225</v>
      </c>
      <c r="I3033" t="s">
        <v>137</v>
      </c>
      <c r="J3033" t="s">
        <v>138</v>
      </c>
      <c r="K3033">
        <v>0</v>
      </c>
      <c r="L3033">
        <v>3</v>
      </c>
      <c r="M3033">
        <v>0</v>
      </c>
      <c r="N3033">
        <v>2</v>
      </c>
      <c r="O3033">
        <v>0</v>
      </c>
      <c r="P3033">
        <v>1</v>
      </c>
      <c r="Q3033">
        <v>0</v>
      </c>
      <c r="S3033" t="str">
        <f t="shared" si="1103"/>
        <v>19:33:39.000</v>
      </c>
      <c r="T3033" t="str">
        <f t="shared" si="1103"/>
        <v>19:33:39.000</v>
      </c>
      <c r="U3033" t="str">
        <f t="shared" si="1096"/>
        <v>AC3944</v>
      </c>
      <c r="V3033">
        <v>0</v>
      </c>
      <c r="W3033">
        <v>0</v>
      </c>
      <c r="X3033">
        <v>2</v>
      </c>
      <c r="Y3033">
        <v>0</v>
      </c>
      <c r="AA3033">
        <v>1</v>
      </c>
      <c r="AB3033">
        <v>8</v>
      </c>
      <c r="AC3033">
        <v>3</v>
      </c>
      <c r="AD3033">
        <v>0</v>
      </c>
      <c r="AE3033">
        <v>9</v>
      </c>
      <c r="AF3033" t="s">
        <v>138</v>
      </c>
      <c r="AG3033">
        <v>0</v>
      </c>
      <c r="AH3033">
        <v>3</v>
      </c>
      <c r="AI3033">
        <v>1</v>
      </c>
      <c r="AJ3033">
        <v>0</v>
      </c>
      <c r="AK3033" t="s">
        <v>1016</v>
      </c>
      <c r="AL3033">
        <v>32.717049000000003</v>
      </c>
      <c r="AM3033" t="s">
        <v>1017</v>
      </c>
      <c r="AN3033">
        <v>-116.75949799999999</v>
      </c>
      <c r="AO3033">
        <v>25</v>
      </c>
      <c r="AP3033">
        <v>3700</v>
      </c>
      <c r="AQ3033" t="s">
        <v>129</v>
      </c>
      <c r="AR3033">
        <v>-92</v>
      </c>
      <c r="AS3033">
        <v>-96</v>
      </c>
      <c r="AT3033">
        <v>1088</v>
      </c>
      <c r="BB3033">
        <v>1200</v>
      </c>
      <c r="BC3033">
        <v>1</v>
      </c>
      <c r="BD3033" t="str">
        <f t="shared" si="1097"/>
        <v xml:space="preserve">N887QR  </v>
      </c>
      <c r="BE3033">
        <v>1</v>
      </c>
      <c r="BG3033">
        <v>0</v>
      </c>
      <c r="BH3033">
        <v>0</v>
      </c>
      <c r="BI3033">
        <v>0</v>
      </c>
      <c r="BJ3033">
        <v>3400</v>
      </c>
      <c r="BK3033">
        <v>-300</v>
      </c>
      <c r="BL3033" t="s">
        <v>163</v>
      </c>
      <c r="BM3033">
        <v>1</v>
      </c>
      <c r="BN3033">
        <v>1</v>
      </c>
      <c r="BO3033">
        <v>1</v>
      </c>
      <c r="BP3033">
        <v>0</v>
      </c>
      <c r="BS3033">
        <v>0</v>
      </c>
      <c r="BT3033">
        <v>0</v>
      </c>
      <c r="BU3033">
        <v>0</v>
      </c>
      <c r="CE3033" t="str">
        <f t="shared" si="1104"/>
        <v>19:33:39.022</v>
      </c>
      <c r="CF3033">
        <v>22460270</v>
      </c>
      <c r="CS3033">
        <v>0</v>
      </c>
      <c r="CT3033">
        <v>2</v>
      </c>
      <c r="CU3033">
        <v>0</v>
      </c>
      <c r="CV3033">
        <v>2</v>
      </c>
      <c r="CW3033">
        <v>0</v>
      </c>
      <c r="CX3033">
        <v>6</v>
      </c>
      <c r="CY3033">
        <v>7</v>
      </c>
      <c r="CZ3033" t="s">
        <v>131</v>
      </c>
      <c r="DA3033">
        <v>286</v>
      </c>
      <c r="DB3033">
        <v>0</v>
      </c>
      <c r="DC3033" t="s">
        <v>132</v>
      </c>
      <c r="DD3033" t="s">
        <v>133</v>
      </c>
      <c r="DG3033">
        <v>862908</v>
      </c>
      <c r="DI3033">
        <v>0</v>
      </c>
      <c r="DJ3033">
        <v>0</v>
      </c>
      <c r="DK3033">
        <v>1</v>
      </c>
      <c r="DL3033">
        <v>0</v>
      </c>
      <c r="DM3033">
        <v>0</v>
      </c>
      <c r="DN3033">
        <v>1</v>
      </c>
      <c r="DO3033">
        <v>0</v>
      </c>
      <c r="DP3033">
        <v>0</v>
      </c>
      <c r="DQ3033">
        <v>0</v>
      </c>
      <c r="DR3033">
        <v>0</v>
      </c>
      <c r="DS3033">
        <v>0</v>
      </c>
    </row>
    <row r="3034" spans="1:123" x14ac:dyDescent="0.3">
      <c r="A3034" t="str">
        <f>"10/04/2022 19:33:40.215"</f>
        <v>10/04/2022 19:33:40.215</v>
      </c>
      <c r="C3034" t="str">
        <f t="shared" si="1084"/>
        <v>FFDFD3C0</v>
      </c>
      <c r="D3034" t="s">
        <v>143</v>
      </c>
      <c r="E3034">
        <v>20</v>
      </c>
      <c r="F3034">
        <v>1020</v>
      </c>
      <c r="G3034" t="s">
        <v>144</v>
      </c>
      <c r="J3034" t="s">
        <v>145</v>
      </c>
      <c r="K3034">
        <v>0</v>
      </c>
      <c r="L3034">
        <v>3</v>
      </c>
      <c r="M3034">
        <v>0</v>
      </c>
      <c r="N3034">
        <v>2</v>
      </c>
      <c r="O3034">
        <v>0</v>
      </c>
      <c r="P3034">
        <v>1</v>
      </c>
      <c r="Q3034">
        <v>0</v>
      </c>
      <c r="S3034" t="str">
        <f t="shared" si="1103"/>
        <v>19:33:39.000</v>
      </c>
      <c r="T3034" t="str">
        <f t="shared" si="1103"/>
        <v>19:33:39.000</v>
      </c>
      <c r="U3034" t="str">
        <f t="shared" si="1096"/>
        <v>AC3944</v>
      </c>
      <c r="V3034">
        <v>0</v>
      </c>
      <c r="W3034">
        <v>0</v>
      </c>
      <c r="X3034">
        <v>2</v>
      </c>
      <c r="Y3034">
        <v>0</v>
      </c>
      <c r="AA3034">
        <v>1</v>
      </c>
      <c r="AB3034">
        <v>8</v>
      </c>
      <c r="AC3034">
        <v>3</v>
      </c>
      <c r="AD3034">
        <v>0</v>
      </c>
      <c r="AE3034">
        <v>9</v>
      </c>
      <c r="AF3034" t="s">
        <v>138</v>
      </c>
      <c r="AG3034">
        <v>0</v>
      </c>
      <c r="AH3034">
        <v>3</v>
      </c>
      <c r="AI3034">
        <v>1</v>
      </c>
      <c r="AJ3034">
        <v>0</v>
      </c>
      <c r="AK3034" t="s">
        <v>1018</v>
      </c>
      <c r="AL3034">
        <v>32.716512999999999</v>
      </c>
      <c r="AM3034" t="s">
        <v>1019</v>
      </c>
      <c r="AN3034">
        <v>-116.760099</v>
      </c>
      <c r="AO3034">
        <v>25</v>
      </c>
      <c r="AP3034">
        <v>3700</v>
      </c>
      <c r="AQ3034" t="s">
        <v>129</v>
      </c>
      <c r="AR3034">
        <v>-87</v>
      </c>
      <c r="AS3034">
        <v>-100</v>
      </c>
      <c r="AT3034">
        <v>1088</v>
      </c>
      <c r="BB3034">
        <v>1200</v>
      </c>
      <c r="BC3034">
        <v>1</v>
      </c>
      <c r="BD3034" t="str">
        <f t="shared" si="1097"/>
        <v xml:space="preserve">N887QR  </v>
      </c>
      <c r="BE3034">
        <v>1</v>
      </c>
      <c r="BG3034">
        <v>0</v>
      </c>
      <c r="BH3034">
        <v>0</v>
      </c>
      <c r="BI3034">
        <v>0</v>
      </c>
      <c r="BJ3034">
        <v>3400</v>
      </c>
      <c r="BK3034">
        <v>-300</v>
      </c>
      <c r="BL3034" t="s">
        <v>163</v>
      </c>
      <c r="BM3034">
        <v>1</v>
      </c>
      <c r="BN3034">
        <v>1</v>
      </c>
      <c r="BO3034">
        <v>1</v>
      </c>
      <c r="BP3034">
        <v>0</v>
      </c>
      <c r="BS3034">
        <v>0</v>
      </c>
      <c r="BT3034">
        <v>0</v>
      </c>
      <c r="BU3034">
        <v>0</v>
      </c>
      <c r="CE3034" t="str">
        <f t="shared" ref="CE3034:CE3040" si="1105">"19:33:39.965"</f>
        <v>19:33:39.965</v>
      </c>
      <c r="CF3034">
        <v>964787527</v>
      </c>
      <c r="CS3034">
        <v>0</v>
      </c>
      <c r="CT3034">
        <v>2</v>
      </c>
      <c r="CU3034">
        <v>0</v>
      </c>
      <c r="CV3034">
        <v>2</v>
      </c>
      <c r="CW3034">
        <v>3</v>
      </c>
      <c r="CX3034">
        <v>5</v>
      </c>
      <c r="CY3034">
        <v>7</v>
      </c>
      <c r="CZ3034" t="s">
        <v>131</v>
      </c>
      <c r="DA3034">
        <v>300</v>
      </c>
      <c r="DB3034">
        <v>0</v>
      </c>
      <c r="DC3034" t="s">
        <v>176</v>
      </c>
      <c r="DD3034" t="s">
        <v>177</v>
      </c>
      <c r="DG3034">
        <v>5427801</v>
      </c>
      <c r="DI3034">
        <v>0</v>
      </c>
      <c r="DJ3034">
        <v>0</v>
      </c>
      <c r="DK3034">
        <v>0</v>
      </c>
      <c r="DL3034">
        <v>0</v>
      </c>
      <c r="DM3034">
        <v>0</v>
      </c>
      <c r="DN3034">
        <v>1</v>
      </c>
      <c r="DO3034">
        <v>0</v>
      </c>
      <c r="DP3034">
        <v>0</v>
      </c>
      <c r="DQ3034">
        <v>0</v>
      </c>
      <c r="DR3034">
        <v>0</v>
      </c>
      <c r="DS3034">
        <v>0</v>
      </c>
    </row>
    <row r="3035" spans="1:123" x14ac:dyDescent="0.3">
      <c r="A3035" t="str">
        <f>"10/04/2022 19:33:40.215"</f>
        <v>10/04/2022 19:33:40.215</v>
      </c>
      <c r="C3035" t="str">
        <f t="shared" si="1084"/>
        <v>FFDFD3C0</v>
      </c>
      <c r="D3035" t="s">
        <v>136</v>
      </c>
      <c r="E3035">
        <v>8</v>
      </c>
      <c r="H3035">
        <v>225</v>
      </c>
      <c r="I3035" t="s">
        <v>137</v>
      </c>
      <c r="J3035" t="s">
        <v>138</v>
      </c>
      <c r="K3035">
        <v>0</v>
      </c>
      <c r="L3035">
        <v>3</v>
      </c>
      <c r="M3035">
        <v>0</v>
      </c>
      <c r="N3035">
        <v>2</v>
      </c>
      <c r="O3035">
        <v>0</v>
      </c>
      <c r="P3035">
        <v>1</v>
      </c>
      <c r="Q3035">
        <v>0</v>
      </c>
      <c r="S3035" t="str">
        <f t="shared" si="1103"/>
        <v>19:33:39.000</v>
      </c>
      <c r="T3035" t="str">
        <f t="shared" si="1103"/>
        <v>19:33:39.000</v>
      </c>
      <c r="U3035" t="str">
        <f t="shared" si="1096"/>
        <v>AC3944</v>
      </c>
      <c r="V3035">
        <v>0</v>
      </c>
      <c r="W3035">
        <v>0</v>
      </c>
      <c r="X3035">
        <v>2</v>
      </c>
      <c r="Y3035">
        <v>0</v>
      </c>
      <c r="AA3035">
        <v>1</v>
      </c>
      <c r="AB3035">
        <v>8</v>
      </c>
      <c r="AC3035">
        <v>3</v>
      </c>
      <c r="AD3035">
        <v>0</v>
      </c>
      <c r="AE3035">
        <v>9</v>
      </c>
      <c r="AF3035" t="s">
        <v>138</v>
      </c>
      <c r="AG3035">
        <v>0</v>
      </c>
      <c r="AH3035">
        <v>3</v>
      </c>
      <c r="AI3035">
        <v>1</v>
      </c>
      <c r="AJ3035">
        <v>0</v>
      </c>
      <c r="AK3035" t="s">
        <v>1018</v>
      </c>
      <c r="AL3035">
        <v>32.716512999999999</v>
      </c>
      <c r="AM3035" t="s">
        <v>1019</v>
      </c>
      <c r="AN3035">
        <v>-116.760099</v>
      </c>
      <c r="AO3035">
        <v>25</v>
      </c>
      <c r="AP3035">
        <v>3700</v>
      </c>
      <c r="AQ3035" t="s">
        <v>129</v>
      </c>
      <c r="AR3035">
        <v>-87</v>
      </c>
      <c r="AS3035">
        <v>-100</v>
      </c>
      <c r="AT3035">
        <v>1088</v>
      </c>
      <c r="BB3035">
        <v>1200</v>
      </c>
      <c r="BC3035">
        <v>1</v>
      </c>
      <c r="BD3035" t="str">
        <f t="shared" si="1097"/>
        <v xml:space="preserve">N887QR  </v>
      </c>
      <c r="BE3035">
        <v>1</v>
      </c>
      <c r="BG3035">
        <v>0</v>
      </c>
      <c r="BH3035">
        <v>0</v>
      </c>
      <c r="BI3035">
        <v>0</v>
      </c>
      <c r="BJ3035">
        <v>3400</v>
      </c>
      <c r="BK3035">
        <v>-300</v>
      </c>
      <c r="BL3035" t="s">
        <v>163</v>
      </c>
      <c r="BM3035">
        <v>1</v>
      </c>
      <c r="BN3035">
        <v>1</v>
      </c>
      <c r="BO3035">
        <v>1</v>
      </c>
      <c r="BP3035">
        <v>0</v>
      </c>
      <c r="BS3035">
        <v>0</v>
      </c>
      <c r="BT3035">
        <v>0</v>
      </c>
      <c r="BU3035">
        <v>0</v>
      </c>
      <c r="CE3035" t="str">
        <f t="shared" si="1105"/>
        <v>19:33:39.965</v>
      </c>
      <c r="CF3035">
        <v>964787527</v>
      </c>
      <c r="CS3035">
        <v>0</v>
      </c>
      <c r="CT3035">
        <v>2</v>
      </c>
      <c r="CU3035">
        <v>0</v>
      </c>
      <c r="CV3035">
        <v>2</v>
      </c>
      <c r="CW3035">
        <v>3</v>
      </c>
      <c r="CX3035">
        <v>5</v>
      </c>
      <c r="CY3035">
        <v>7</v>
      </c>
      <c r="CZ3035" t="s">
        <v>131</v>
      </c>
      <c r="DA3035">
        <v>300</v>
      </c>
      <c r="DB3035">
        <v>0</v>
      </c>
      <c r="DC3035" t="s">
        <v>176</v>
      </c>
      <c r="DD3035" t="s">
        <v>177</v>
      </c>
      <c r="DG3035">
        <v>5427801</v>
      </c>
      <c r="DI3035">
        <v>0</v>
      </c>
      <c r="DJ3035">
        <v>0</v>
      </c>
      <c r="DK3035">
        <v>1</v>
      </c>
      <c r="DL3035">
        <v>0</v>
      </c>
      <c r="DM3035">
        <v>0</v>
      </c>
      <c r="DN3035">
        <v>1</v>
      </c>
      <c r="DO3035">
        <v>0</v>
      </c>
      <c r="DP3035">
        <v>0</v>
      </c>
      <c r="DQ3035">
        <v>0</v>
      </c>
      <c r="DR3035">
        <v>0</v>
      </c>
      <c r="DS3035">
        <v>0</v>
      </c>
    </row>
    <row r="3036" spans="1:123" x14ac:dyDescent="0.3">
      <c r="A3036" t="str">
        <f>"10/04/2022 19:33:40.215"</f>
        <v>10/04/2022 19:33:40.215</v>
      </c>
      <c r="C3036" t="str">
        <f t="shared" si="1084"/>
        <v>FFDFD3C0</v>
      </c>
      <c r="D3036" t="s">
        <v>123</v>
      </c>
      <c r="E3036">
        <v>7</v>
      </c>
      <c r="F3036">
        <v>2007</v>
      </c>
      <c r="G3036" t="s">
        <v>124</v>
      </c>
      <c r="J3036" t="s">
        <v>125</v>
      </c>
      <c r="K3036">
        <v>0</v>
      </c>
      <c r="L3036">
        <v>3</v>
      </c>
      <c r="M3036">
        <v>0</v>
      </c>
      <c r="N3036">
        <v>2</v>
      </c>
      <c r="O3036">
        <v>0</v>
      </c>
      <c r="P3036">
        <v>1</v>
      </c>
      <c r="Q3036">
        <v>0</v>
      </c>
      <c r="S3036" t="str">
        <f t="shared" si="1103"/>
        <v>19:33:39.000</v>
      </c>
      <c r="T3036" t="str">
        <f t="shared" si="1103"/>
        <v>19:33:39.000</v>
      </c>
      <c r="U3036" t="str">
        <f t="shared" si="1096"/>
        <v>AC3944</v>
      </c>
      <c r="V3036">
        <v>0</v>
      </c>
      <c r="W3036">
        <v>0</v>
      </c>
      <c r="X3036">
        <v>2</v>
      </c>
      <c r="Y3036">
        <v>0</v>
      </c>
      <c r="AA3036">
        <v>1</v>
      </c>
      <c r="AB3036">
        <v>8</v>
      </c>
      <c r="AC3036">
        <v>3</v>
      </c>
      <c r="AD3036">
        <v>0</v>
      </c>
      <c r="AE3036">
        <v>9</v>
      </c>
      <c r="AF3036" t="s">
        <v>138</v>
      </c>
      <c r="AG3036">
        <v>0</v>
      </c>
      <c r="AH3036">
        <v>3</v>
      </c>
      <c r="AI3036">
        <v>1</v>
      </c>
      <c r="AJ3036">
        <v>0</v>
      </c>
      <c r="AK3036" t="s">
        <v>1018</v>
      </c>
      <c r="AL3036">
        <v>32.716512999999999</v>
      </c>
      <c r="AM3036" t="s">
        <v>1019</v>
      </c>
      <c r="AN3036">
        <v>-116.760099</v>
      </c>
      <c r="AO3036">
        <v>25</v>
      </c>
      <c r="AP3036">
        <v>3700</v>
      </c>
      <c r="AQ3036" t="s">
        <v>129</v>
      </c>
      <c r="AR3036">
        <v>-87</v>
      </c>
      <c r="AS3036">
        <v>-100</v>
      </c>
      <c r="AT3036">
        <v>1088</v>
      </c>
      <c r="BB3036">
        <v>1200</v>
      </c>
      <c r="BC3036">
        <v>1</v>
      </c>
      <c r="BD3036" t="str">
        <f t="shared" si="1097"/>
        <v xml:space="preserve">N887QR  </v>
      </c>
      <c r="BE3036">
        <v>1</v>
      </c>
      <c r="BG3036">
        <v>0</v>
      </c>
      <c r="BH3036">
        <v>0</v>
      </c>
      <c r="BI3036">
        <v>0</v>
      </c>
      <c r="BJ3036">
        <v>3400</v>
      </c>
      <c r="BK3036">
        <v>-300</v>
      </c>
      <c r="BL3036" t="s">
        <v>163</v>
      </c>
      <c r="BM3036">
        <v>1</v>
      </c>
      <c r="BN3036">
        <v>1</v>
      </c>
      <c r="BO3036">
        <v>1</v>
      </c>
      <c r="BP3036">
        <v>0</v>
      </c>
      <c r="BS3036">
        <v>0</v>
      </c>
      <c r="BT3036">
        <v>0</v>
      </c>
      <c r="BU3036">
        <v>0</v>
      </c>
      <c r="CE3036" t="str">
        <f t="shared" si="1105"/>
        <v>19:33:39.965</v>
      </c>
      <c r="CF3036">
        <v>964787527</v>
      </c>
      <c r="CS3036">
        <v>0</v>
      </c>
      <c r="CT3036">
        <v>2</v>
      </c>
      <c r="CU3036">
        <v>0</v>
      </c>
      <c r="CV3036">
        <v>2</v>
      </c>
      <c r="CW3036">
        <v>3</v>
      </c>
      <c r="CX3036">
        <v>5</v>
      </c>
      <c r="CY3036">
        <v>7</v>
      </c>
      <c r="CZ3036" t="s">
        <v>131</v>
      </c>
      <c r="DA3036">
        <v>300</v>
      </c>
      <c r="DB3036">
        <v>0</v>
      </c>
      <c r="DC3036" t="s">
        <v>176</v>
      </c>
      <c r="DD3036" t="s">
        <v>177</v>
      </c>
      <c r="DG3036">
        <v>5427801</v>
      </c>
      <c r="DI3036">
        <v>0</v>
      </c>
      <c r="DJ3036">
        <v>0</v>
      </c>
      <c r="DK3036">
        <v>1</v>
      </c>
      <c r="DL3036">
        <v>0</v>
      </c>
      <c r="DM3036">
        <v>0</v>
      </c>
      <c r="DN3036">
        <v>1</v>
      </c>
      <c r="DO3036">
        <v>0</v>
      </c>
      <c r="DP3036">
        <v>0</v>
      </c>
      <c r="DQ3036">
        <v>0</v>
      </c>
      <c r="DR3036">
        <v>0</v>
      </c>
      <c r="DS3036">
        <v>0</v>
      </c>
    </row>
    <row r="3037" spans="1:123" x14ac:dyDescent="0.3">
      <c r="A3037" t="str">
        <f>"10/04/2022 19:33:40.293"</f>
        <v>10/04/2022 19:33:40.293</v>
      </c>
      <c r="C3037" t="str">
        <f t="shared" si="1084"/>
        <v>FFDFD3C0</v>
      </c>
      <c r="D3037" t="s">
        <v>141</v>
      </c>
      <c r="E3037">
        <v>3</v>
      </c>
      <c r="H3037">
        <v>3</v>
      </c>
      <c r="I3037" t="s">
        <v>146</v>
      </c>
      <c r="J3037" t="s">
        <v>138</v>
      </c>
      <c r="K3037">
        <v>0</v>
      </c>
      <c r="L3037">
        <v>3</v>
      </c>
      <c r="M3037">
        <v>0</v>
      </c>
      <c r="N3037">
        <v>2</v>
      </c>
      <c r="O3037">
        <v>0</v>
      </c>
      <c r="P3037">
        <v>1</v>
      </c>
      <c r="Q3037">
        <v>0</v>
      </c>
      <c r="S3037" t="str">
        <f t="shared" si="1103"/>
        <v>19:33:39.000</v>
      </c>
      <c r="T3037" t="str">
        <f t="shared" si="1103"/>
        <v>19:33:39.000</v>
      </c>
      <c r="U3037" t="str">
        <f t="shared" si="1096"/>
        <v>AC3944</v>
      </c>
      <c r="V3037">
        <v>0</v>
      </c>
      <c r="W3037">
        <v>0</v>
      </c>
      <c r="X3037">
        <v>2</v>
      </c>
      <c r="Y3037">
        <v>0</v>
      </c>
      <c r="AA3037">
        <v>1</v>
      </c>
      <c r="AB3037">
        <v>8</v>
      </c>
      <c r="AC3037">
        <v>3</v>
      </c>
      <c r="AD3037">
        <v>0</v>
      </c>
      <c r="AE3037">
        <v>9</v>
      </c>
      <c r="AF3037" t="s">
        <v>138</v>
      </c>
      <c r="AG3037">
        <v>0</v>
      </c>
      <c r="AH3037">
        <v>3</v>
      </c>
      <c r="AI3037">
        <v>1</v>
      </c>
      <c r="AJ3037">
        <v>0</v>
      </c>
      <c r="AK3037" t="s">
        <v>1018</v>
      </c>
      <c r="AL3037">
        <v>32.716512999999999</v>
      </c>
      <c r="AM3037" t="s">
        <v>1019</v>
      </c>
      <c r="AN3037">
        <v>-116.760099</v>
      </c>
      <c r="AO3037">
        <v>25</v>
      </c>
      <c r="AP3037">
        <v>3700</v>
      </c>
      <c r="AQ3037" t="s">
        <v>129</v>
      </c>
      <c r="AR3037">
        <v>-87</v>
      </c>
      <c r="AS3037">
        <v>-100</v>
      </c>
      <c r="AT3037">
        <v>1088</v>
      </c>
      <c r="BB3037">
        <v>1200</v>
      </c>
      <c r="BC3037">
        <v>1</v>
      </c>
      <c r="BD3037" t="str">
        <f t="shared" si="1097"/>
        <v xml:space="preserve">N887QR  </v>
      </c>
      <c r="BE3037">
        <v>1</v>
      </c>
      <c r="BG3037">
        <v>0</v>
      </c>
      <c r="BH3037">
        <v>0</v>
      </c>
      <c r="BI3037">
        <v>0</v>
      </c>
      <c r="BJ3037">
        <v>3400</v>
      </c>
      <c r="BK3037">
        <v>-300</v>
      </c>
      <c r="BL3037" t="s">
        <v>163</v>
      </c>
      <c r="BM3037">
        <v>1</v>
      </c>
      <c r="BN3037">
        <v>1</v>
      </c>
      <c r="BO3037">
        <v>1</v>
      </c>
      <c r="BP3037">
        <v>0</v>
      </c>
      <c r="BS3037">
        <v>0</v>
      </c>
      <c r="BT3037">
        <v>0</v>
      </c>
      <c r="BU3037">
        <v>0</v>
      </c>
      <c r="CE3037" t="str">
        <f t="shared" si="1105"/>
        <v>19:33:39.965</v>
      </c>
      <c r="CF3037">
        <v>964787527</v>
      </c>
      <c r="CS3037">
        <v>0</v>
      </c>
      <c r="CT3037">
        <v>2</v>
      </c>
      <c r="CU3037">
        <v>0</v>
      </c>
      <c r="CV3037">
        <v>2</v>
      </c>
      <c r="CW3037">
        <v>3</v>
      </c>
      <c r="CX3037">
        <v>5</v>
      </c>
      <c r="CY3037">
        <v>7</v>
      </c>
      <c r="CZ3037" t="s">
        <v>131</v>
      </c>
      <c r="DA3037">
        <v>300</v>
      </c>
      <c r="DB3037">
        <v>0</v>
      </c>
      <c r="DC3037" t="s">
        <v>176</v>
      </c>
      <c r="DD3037" t="s">
        <v>177</v>
      </c>
      <c r="DG3037">
        <v>5427801</v>
      </c>
      <c r="DI3037">
        <v>0</v>
      </c>
      <c r="DJ3037">
        <v>0</v>
      </c>
      <c r="DK3037">
        <v>1</v>
      </c>
      <c r="DL3037">
        <v>0</v>
      </c>
      <c r="DM3037">
        <v>0</v>
      </c>
      <c r="DN3037">
        <v>1</v>
      </c>
      <c r="DO3037">
        <v>0</v>
      </c>
      <c r="DP3037">
        <v>0</v>
      </c>
      <c r="DQ3037">
        <v>0</v>
      </c>
      <c r="DR3037">
        <v>0</v>
      </c>
      <c r="DS3037">
        <v>0</v>
      </c>
    </row>
    <row r="3038" spans="1:123" x14ac:dyDescent="0.3">
      <c r="A3038" t="str">
        <f>"10/04/2022 19:33:40.293"</f>
        <v>10/04/2022 19:33:40.293</v>
      </c>
      <c r="C3038" t="str">
        <f t="shared" si="1084"/>
        <v>FFDFD3C0</v>
      </c>
      <c r="D3038" t="s">
        <v>134</v>
      </c>
      <c r="E3038">
        <v>15</v>
      </c>
      <c r="J3038" t="s">
        <v>135</v>
      </c>
      <c r="K3038">
        <v>0</v>
      </c>
      <c r="L3038">
        <v>3</v>
      </c>
      <c r="M3038">
        <v>0</v>
      </c>
      <c r="N3038">
        <v>2</v>
      </c>
      <c r="O3038">
        <v>0</v>
      </c>
      <c r="P3038">
        <v>1</v>
      </c>
      <c r="Q3038">
        <v>0</v>
      </c>
      <c r="S3038" t="str">
        <f t="shared" si="1103"/>
        <v>19:33:39.000</v>
      </c>
      <c r="T3038" t="str">
        <f t="shared" si="1103"/>
        <v>19:33:39.000</v>
      </c>
      <c r="U3038" t="str">
        <f t="shared" si="1096"/>
        <v>AC3944</v>
      </c>
      <c r="V3038">
        <v>0</v>
      </c>
      <c r="W3038">
        <v>0</v>
      </c>
      <c r="X3038">
        <v>2</v>
      </c>
      <c r="Y3038">
        <v>0</v>
      </c>
      <c r="AA3038">
        <v>1</v>
      </c>
      <c r="AB3038">
        <v>8</v>
      </c>
      <c r="AC3038">
        <v>3</v>
      </c>
      <c r="AD3038">
        <v>0</v>
      </c>
      <c r="AE3038">
        <v>9</v>
      </c>
      <c r="AF3038" t="s">
        <v>138</v>
      </c>
      <c r="AG3038">
        <v>0</v>
      </c>
      <c r="AH3038">
        <v>3</v>
      </c>
      <c r="AI3038">
        <v>1</v>
      </c>
      <c r="AJ3038">
        <v>0</v>
      </c>
      <c r="AK3038" t="s">
        <v>1018</v>
      </c>
      <c r="AL3038">
        <v>32.716512999999999</v>
      </c>
      <c r="AM3038" t="s">
        <v>1019</v>
      </c>
      <c r="AN3038">
        <v>-116.760099</v>
      </c>
      <c r="AO3038">
        <v>25</v>
      </c>
      <c r="AP3038">
        <v>3700</v>
      </c>
      <c r="AQ3038" t="s">
        <v>129</v>
      </c>
      <c r="AR3038">
        <v>-87</v>
      </c>
      <c r="AS3038">
        <v>-100</v>
      </c>
      <c r="AT3038">
        <v>1088</v>
      </c>
      <c r="BB3038">
        <v>1200</v>
      </c>
      <c r="BC3038">
        <v>1</v>
      </c>
      <c r="BD3038" t="str">
        <f t="shared" si="1097"/>
        <v xml:space="preserve">N887QR  </v>
      </c>
      <c r="BE3038">
        <v>1</v>
      </c>
      <c r="BG3038">
        <v>0</v>
      </c>
      <c r="BH3038">
        <v>0</v>
      </c>
      <c r="BI3038">
        <v>0</v>
      </c>
      <c r="BJ3038">
        <v>3400</v>
      </c>
      <c r="BK3038">
        <v>-300</v>
      </c>
      <c r="BL3038" t="s">
        <v>163</v>
      </c>
      <c r="BM3038">
        <v>1</v>
      </c>
      <c r="BN3038">
        <v>1</v>
      </c>
      <c r="BO3038">
        <v>1</v>
      </c>
      <c r="BP3038">
        <v>0</v>
      </c>
      <c r="BS3038">
        <v>0</v>
      </c>
      <c r="BT3038">
        <v>0</v>
      </c>
      <c r="BU3038">
        <v>0</v>
      </c>
      <c r="CE3038" t="str">
        <f t="shared" si="1105"/>
        <v>19:33:39.965</v>
      </c>
      <c r="CF3038">
        <v>964787527</v>
      </c>
      <c r="CS3038">
        <v>0</v>
      </c>
      <c r="CT3038">
        <v>2</v>
      </c>
      <c r="CU3038">
        <v>0</v>
      </c>
      <c r="CV3038">
        <v>2</v>
      </c>
      <c r="CW3038">
        <v>3</v>
      </c>
      <c r="CX3038">
        <v>5</v>
      </c>
      <c r="CY3038">
        <v>7</v>
      </c>
      <c r="CZ3038" t="s">
        <v>131</v>
      </c>
      <c r="DA3038">
        <v>300</v>
      </c>
      <c r="DB3038">
        <v>0</v>
      </c>
      <c r="DC3038" t="s">
        <v>176</v>
      </c>
      <c r="DD3038" t="s">
        <v>177</v>
      </c>
      <c r="DG3038">
        <v>5427801</v>
      </c>
      <c r="DI3038">
        <v>0</v>
      </c>
      <c r="DJ3038">
        <v>0</v>
      </c>
      <c r="DK3038">
        <v>1</v>
      </c>
      <c r="DL3038">
        <v>0</v>
      </c>
      <c r="DM3038">
        <v>0</v>
      </c>
      <c r="DN3038">
        <v>1</v>
      </c>
      <c r="DO3038">
        <v>0</v>
      </c>
      <c r="DP3038">
        <v>0</v>
      </c>
      <c r="DQ3038">
        <v>0</v>
      </c>
      <c r="DR3038">
        <v>0</v>
      </c>
      <c r="DS3038">
        <v>0</v>
      </c>
    </row>
    <row r="3039" spans="1:123" x14ac:dyDescent="0.3">
      <c r="A3039" t="str">
        <f>"10/04/2022 19:33:40.293"</f>
        <v>10/04/2022 19:33:40.293</v>
      </c>
      <c r="C3039" t="str">
        <f t="shared" si="1084"/>
        <v>FFDFD3C0</v>
      </c>
      <c r="D3039" t="s">
        <v>141</v>
      </c>
      <c r="E3039">
        <v>4</v>
      </c>
      <c r="H3039">
        <v>4</v>
      </c>
      <c r="I3039" t="s">
        <v>142</v>
      </c>
      <c r="J3039" t="s">
        <v>138</v>
      </c>
      <c r="K3039">
        <v>0</v>
      </c>
      <c r="L3039">
        <v>3</v>
      </c>
      <c r="M3039">
        <v>0</v>
      </c>
      <c r="N3039">
        <v>2</v>
      </c>
      <c r="O3039">
        <v>0</v>
      </c>
      <c r="P3039">
        <v>1</v>
      </c>
      <c r="Q3039">
        <v>0</v>
      </c>
      <c r="S3039" t="str">
        <f t="shared" si="1103"/>
        <v>19:33:39.000</v>
      </c>
      <c r="T3039" t="str">
        <f t="shared" si="1103"/>
        <v>19:33:39.000</v>
      </c>
      <c r="U3039" t="str">
        <f t="shared" si="1096"/>
        <v>AC3944</v>
      </c>
      <c r="V3039">
        <v>0</v>
      </c>
      <c r="W3039">
        <v>0</v>
      </c>
      <c r="X3039">
        <v>2</v>
      </c>
      <c r="Y3039">
        <v>0</v>
      </c>
      <c r="AA3039">
        <v>1</v>
      </c>
      <c r="AB3039">
        <v>8</v>
      </c>
      <c r="AC3039">
        <v>3</v>
      </c>
      <c r="AD3039">
        <v>0</v>
      </c>
      <c r="AE3039">
        <v>9</v>
      </c>
      <c r="AF3039" t="s">
        <v>138</v>
      </c>
      <c r="AG3039">
        <v>0</v>
      </c>
      <c r="AH3039">
        <v>3</v>
      </c>
      <c r="AI3039">
        <v>1</v>
      </c>
      <c r="AJ3039">
        <v>0</v>
      </c>
      <c r="AK3039" t="s">
        <v>1018</v>
      </c>
      <c r="AL3039">
        <v>32.716512999999999</v>
      </c>
      <c r="AM3039" t="s">
        <v>1019</v>
      </c>
      <c r="AN3039">
        <v>-116.760099</v>
      </c>
      <c r="AO3039">
        <v>25</v>
      </c>
      <c r="AP3039">
        <v>3700</v>
      </c>
      <c r="AQ3039" t="s">
        <v>129</v>
      </c>
      <c r="AR3039">
        <v>-87</v>
      </c>
      <c r="AS3039">
        <v>-100</v>
      </c>
      <c r="AT3039">
        <v>1088</v>
      </c>
      <c r="BB3039">
        <v>1200</v>
      </c>
      <c r="BC3039">
        <v>1</v>
      </c>
      <c r="BD3039" t="str">
        <f t="shared" si="1097"/>
        <v xml:space="preserve">N887QR  </v>
      </c>
      <c r="BE3039">
        <v>1</v>
      </c>
      <c r="BG3039">
        <v>0</v>
      </c>
      <c r="BH3039">
        <v>0</v>
      </c>
      <c r="BI3039">
        <v>0</v>
      </c>
      <c r="BJ3039">
        <v>3400</v>
      </c>
      <c r="BK3039">
        <v>-300</v>
      </c>
      <c r="BL3039" t="s">
        <v>163</v>
      </c>
      <c r="BM3039">
        <v>1</v>
      </c>
      <c r="BN3039">
        <v>1</v>
      </c>
      <c r="BO3039">
        <v>1</v>
      </c>
      <c r="BP3039">
        <v>0</v>
      </c>
      <c r="BS3039">
        <v>0</v>
      </c>
      <c r="BT3039">
        <v>0</v>
      </c>
      <c r="BU3039">
        <v>0</v>
      </c>
      <c r="CE3039" t="str">
        <f t="shared" si="1105"/>
        <v>19:33:39.965</v>
      </c>
      <c r="CF3039">
        <v>964787527</v>
      </c>
      <c r="CS3039">
        <v>0</v>
      </c>
      <c r="CT3039">
        <v>2</v>
      </c>
      <c r="CU3039">
        <v>0</v>
      </c>
      <c r="CV3039">
        <v>2</v>
      </c>
      <c r="CW3039">
        <v>3</v>
      </c>
      <c r="CX3039">
        <v>5</v>
      </c>
      <c r="CY3039">
        <v>7</v>
      </c>
      <c r="CZ3039" t="s">
        <v>131</v>
      </c>
      <c r="DA3039">
        <v>300</v>
      </c>
      <c r="DB3039">
        <v>0</v>
      </c>
      <c r="DC3039" t="s">
        <v>176</v>
      </c>
      <c r="DD3039" t="s">
        <v>177</v>
      </c>
      <c r="DG3039">
        <v>5427801</v>
      </c>
      <c r="DI3039">
        <v>0</v>
      </c>
      <c r="DJ3039">
        <v>0</v>
      </c>
      <c r="DK3039">
        <v>1</v>
      </c>
      <c r="DL3039">
        <v>0</v>
      </c>
      <c r="DM3039">
        <v>0</v>
      </c>
      <c r="DN3039">
        <v>1</v>
      </c>
      <c r="DO3039">
        <v>0</v>
      </c>
      <c r="DP3039">
        <v>0</v>
      </c>
      <c r="DQ3039">
        <v>0</v>
      </c>
      <c r="DR3039">
        <v>0</v>
      </c>
      <c r="DS3039">
        <v>0</v>
      </c>
    </row>
    <row r="3040" spans="1:123" x14ac:dyDescent="0.3">
      <c r="A3040" t="str">
        <f>"10/04/2022 19:33:40.293"</f>
        <v>10/04/2022 19:33:40.293</v>
      </c>
      <c r="C3040" t="str">
        <f t="shared" si="1084"/>
        <v>FFDFD3C0</v>
      </c>
      <c r="D3040" t="s">
        <v>147</v>
      </c>
      <c r="E3040">
        <v>3</v>
      </c>
      <c r="H3040">
        <v>166</v>
      </c>
      <c r="I3040" t="s">
        <v>144</v>
      </c>
      <c r="J3040" t="s">
        <v>148</v>
      </c>
      <c r="K3040">
        <v>0</v>
      </c>
      <c r="L3040">
        <v>3</v>
      </c>
      <c r="M3040">
        <v>0</v>
      </c>
      <c r="N3040">
        <v>2</v>
      </c>
      <c r="O3040">
        <v>0</v>
      </c>
      <c r="P3040">
        <v>1</v>
      </c>
      <c r="Q3040">
        <v>0</v>
      </c>
      <c r="S3040" t="str">
        <f t="shared" si="1103"/>
        <v>19:33:39.000</v>
      </c>
      <c r="T3040" t="str">
        <f t="shared" si="1103"/>
        <v>19:33:39.000</v>
      </c>
      <c r="U3040" t="str">
        <f t="shared" si="1096"/>
        <v>AC3944</v>
      </c>
      <c r="V3040">
        <v>0</v>
      </c>
      <c r="W3040">
        <v>0</v>
      </c>
      <c r="X3040">
        <v>2</v>
      </c>
      <c r="Y3040">
        <v>0</v>
      </c>
      <c r="AA3040">
        <v>1</v>
      </c>
      <c r="AB3040">
        <v>8</v>
      </c>
      <c r="AC3040">
        <v>3</v>
      </c>
      <c r="AD3040">
        <v>0</v>
      </c>
      <c r="AE3040">
        <v>9</v>
      </c>
      <c r="AF3040" t="s">
        <v>138</v>
      </c>
      <c r="AG3040">
        <v>0</v>
      </c>
      <c r="AH3040">
        <v>3</v>
      </c>
      <c r="AI3040">
        <v>1</v>
      </c>
      <c r="AJ3040">
        <v>0</v>
      </c>
      <c r="AK3040" t="s">
        <v>1018</v>
      </c>
      <c r="AL3040">
        <v>32.716512999999999</v>
      </c>
      <c r="AM3040" t="s">
        <v>1019</v>
      </c>
      <c r="AN3040">
        <v>-116.760099</v>
      </c>
      <c r="AO3040">
        <v>25</v>
      </c>
      <c r="AP3040">
        <v>3700</v>
      </c>
      <c r="AQ3040" t="s">
        <v>129</v>
      </c>
      <c r="AR3040">
        <v>-87</v>
      </c>
      <c r="AS3040">
        <v>-100</v>
      </c>
      <c r="AT3040">
        <v>1088</v>
      </c>
      <c r="BB3040">
        <v>1200</v>
      </c>
      <c r="BC3040">
        <v>1</v>
      </c>
      <c r="BD3040" t="str">
        <f t="shared" si="1097"/>
        <v xml:space="preserve">N887QR  </v>
      </c>
      <c r="BE3040">
        <v>1</v>
      </c>
      <c r="BG3040">
        <v>0</v>
      </c>
      <c r="BH3040">
        <v>0</v>
      </c>
      <c r="BI3040">
        <v>0</v>
      </c>
      <c r="BJ3040">
        <v>3400</v>
      </c>
      <c r="BK3040">
        <v>-300</v>
      </c>
      <c r="BL3040" t="s">
        <v>163</v>
      </c>
      <c r="BM3040">
        <v>1</v>
      </c>
      <c r="BN3040">
        <v>1</v>
      </c>
      <c r="BO3040">
        <v>1</v>
      </c>
      <c r="BP3040">
        <v>0</v>
      </c>
      <c r="BS3040">
        <v>0</v>
      </c>
      <c r="BT3040">
        <v>0</v>
      </c>
      <c r="BU3040">
        <v>0</v>
      </c>
      <c r="CE3040" t="str">
        <f t="shared" si="1105"/>
        <v>19:33:39.965</v>
      </c>
      <c r="CF3040">
        <v>964787527</v>
      </c>
      <c r="CS3040">
        <v>0</v>
      </c>
      <c r="CT3040">
        <v>2</v>
      </c>
      <c r="CU3040">
        <v>0</v>
      </c>
      <c r="CV3040">
        <v>2</v>
      </c>
      <c r="CW3040">
        <v>3</v>
      </c>
      <c r="CX3040">
        <v>5</v>
      </c>
      <c r="CY3040">
        <v>7</v>
      </c>
      <c r="CZ3040" t="s">
        <v>131</v>
      </c>
      <c r="DA3040">
        <v>300</v>
      </c>
      <c r="DB3040">
        <v>0</v>
      </c>
      <c r="DC3040" t="s">
        <v>176</v>
      </c>
      <c r="DD3040" t="s">
        <v>177</v>
      </c>
      <c r="DG3040">
        <v>5427801</v>
      </c>
      <c r="DI3040">
        <v>0</v>
      </c>
      <c r="DJ3040">
        <v>0</v>
      </c>
      <c r="DK3040">
        <v>1</v>
      </c>
      <c r="DL3040">
        <v>0</v>
      </c>
      <c r="DM3040">
        <v>0</v>
      </c>
      <c r="DN3040">
        <v>1</v>
      </c>
      <c r="DO3040">
        <v>0</v>
      </c>
      <c r="DP3040">
        <v>0</v>
      </c>
      <c r="DQ3040">
        <v>0</v>
      </c>
      <c r="DR3040">
        <v>0</v>
      </c>
      <c r="DS3040">
        <v>0</v>
      </c>
    </row>
    <row r="3041" spans="1:123" x14ac:dyDescent="0.3">
      <c r="A3041" t="str">
        <f t="shared" ref="A3041:A3047" si="1106">"10/04/2022 19:33:41.090"</f>
        <v>10/04/2022 19:33:41.090</v>
      </c>
      <c r="C3041" t="str">
        <f t="shared" si="1084"/>
        <v>FFDFD3C0</v>
      </c>
      <c r="D3041" t="s">
        <v>141</v>
      </c>
      <c r="E3041">
        <v>4</v>
      </c>
      <c r="H3041">
        <v>4</v>
      </c>
      <c r="I3041" t="s">
        <v>142</v>
      </c>
      <c r="J3041" t="s">
        <v>138</v>
      </c>
      <c r="K3041">
        <v>0</v>
      </c>
      <c r="L3041">
        <v>3</v>
      </c>
      <c r="M3041">
        <v>0</v>
      </c>
      <c r="N3041">
        <v>2</v>
      </c>
      <c r="O3041">
        <v>0</v>
      </c>
      <c r="P3041">
        <v>1</v>
      </c>
      <c r="Q3041">
        <v>0</v>
      </c>
      <c r="S3041" t="str">
        <f t="shared" ref="S3041:T3047" si="1107">"19:33:40.000"</f>
        <v>19:33:40.000</v>
      </c>
      <c r="T3041" t="str">
        <f t="shared" si="1107"/>
        <v>19:33:40.000</v>
      </c>
      <c r="U3041" t="str">
        <f t="shared" si="1096"/>
        <v>AC3944</v>
      </c>
      <c r="V3041">
        <v>0</v>
      </c>
      <c r="W3041">
        <v>0</v>
      </c>
      <c r="X3041">
        <v>2</v>
      </c>
      <c r="Y3041">
        <v>0</v>
      </c>
      <c r="AA3041">
        <v>1</v>
      </c>
      <c r="AB3041">
        <v>8</v>
      </c>
      <c r="AC3041">
        <v>3</v>
      </c>
      <c r="AD3041">
        <v>0</v>
      </c>
      <c r="AE3041">
        <v>9</v>
      </c>
      <c r="AF3041" t="s">
        <v>138</v>
      </c>
      <c r="AG3041">
        <v>0</v>
      </c>
      <c r="AH3041">
        <v>3</v>
      </c>
      <c r="AI3041">
        <v>1</v>
      </c>
      <c r="AJ3041">
        <v>0</v>
      </c>
      <c r="AK3041" t="s">
        <v>1020</v>
      </c>
      <c r="AL3041">
        <v>32.716040999999997</v>
      </c>
      <c r="AM3041" t="s">
        <v>1021</v>
      </c>
      <c r="AN3041">
        <v>-116.760592</v>
      </c>
      <c r="AO3041">
        <v>25</v>
      </c>
      <c r="AP3041">
        <v>3700</v>
      </c>
      <c r="AQ3041" t="s">
        <v>129</v>
      </c>
      <c r="AR3041">
        <v>-82</v>
      </c>
      <c r="AS3041">
        <v>-103</v>
      </c>
      <c r="AT3041">
        <v>1152</v>
      </c>
      <c r="BB3041">
        <v>1200</v>
      </c>
      <c r="BC3041">
        <v>1</v>
      </c>
      <c r="BD3041" t="str">
        <f t="shared" si="1097"/>
        <v xml:space="preserve">N887QR  </v>
      </c>
      <c r="BE3041">
        <v>1</v>
      </c>
      <c r="BG3041">
        <v>0</v>
      </c>
      <c r="BH3041">
        <v>0</v>
      </c>
      <c r="BI3041">
        <v>0</v>
      </c>
      <c r="BJ3041">
        <v>3475</v>
      </c>
      <c r="BK3041">
        <v>-225</v>
      </c>
      <c r="BL3041" t="s">
        <v>163</v>
      </c>
      <c r="BM3041">
        <v>1</v>
      </c>
      <c r="BN3041">
        <v>1</v>
      </c>
      <c r="BO3041">
        <v>1</v>
      </c>
      <c r="BP3041">
        <v>0</v>
      </c>
      <c r="BS3041">
        <v>0</v>
      </c>
      <c r="BT3041">
        <v>0</v>
      </c>
      <c r="BU3041">
        <v>0</v>
      </c>
      <c r="CE3041" t="str">
        <f t="shared" ref="CE3041:CE3047" si="1108">"19:33:40.806"</f>
        <v>19:33:40.806</v>
      </c>
      <c r="CF3041">
        <v>806290173</v>
      </c>
      <c r="CS3041">
        <v>0</v>
      </c>
      <c r="CT3041">
        <v>2</v>
      </c>
      <c r="CU3041">
        <v>0</v>
      </c>
      <c r="CV3041">
        <v>2</v>
      </c>
      <c r="CW3041">
        <v>0</v>
      </c>
      <c r="CX3041">
        <v>5</v>
      </c>
      <c r="CY3041">
        <v>7</v>
      </c>
      <c r="CZ3041" t="s">
        <v>131</v>
      </c>
      <c r="DA3041">
        <v>300</v>
      </c>
      <c r="DB3041">
        <v>0</v>
      </c>
      <c r="DC3041" t="s">
        <v>176</v>
      </c>
      <c r="DD3041" t="s">
        <v>177</v>
      </c>
      <c r="DG3041">
        <v>5427933</v>
      </c>
      <c r="DI3041">
        <v>1</v>
      </c>
      <c r="DJ3041">
        <v>0</v>
      </c>
      <c r="DK3041">
        <v>0</v>
      </c>
      <c r="DL3041">
        <v>0</v>
      </c>
      <c r="DM3041">
        <v>0</v>
      </c>
      <c r="DN3041">
        <v>1</v>
      </c>
      <c r="DO3041">
        <v>0</v>
      </c>
      <c r="DP3041">
        <v>0</v>
      </c>
      <c r="DQ3041">
        <v>0</v>
      </c>
      <c r="DR3041">
        <v>0</v>
      </c>
      <c r="DS3041">
        <v>0</v>
      </c>
    </row>
    <row r="3042" spans="1:123" x14ac:dyDescent="0.3">
      <c r="A3042" t="str">
        <f t="shared" si="1106"/>
        <v>10/04/2022 19:33:41.090</v>
      </c>
      <c r="C3042" t="str">
        <f t="shared" si="1084"/>
        <v>FFDFD3C0</v>
      </c>
      <c r="D3042" t="s">
        <v>141</v>
      </c>
      <c r="E3042">
        <v>3</v>
      </c>
      <c r="H3042">
        <v>3</v>
      </c>
      <c r="I3042" t="s">
        <v>146</v>
      </c>
      <c r="J3042" t="s">
        <v>138</v>
      </c>
      <c r="K3042">
        <v>0</v>
      </c>
      <c r="L3042">
        <v>3</v>
      </c>
      <c r="M3042">
        <v>0</v>
      </c>
      <c r="N3042">
        <v>2</v>
      </c>
      <c r="O3042">
        <v>0</v>
      </c>
      <c r="P3042">
        <v>1</v>
      </c>
      <c r="Q3042">
        <v>0</v>
      </c>
      <c r="S3042" t="str">
        <f t="shared" si="1107"/>
        <v>19:33:40.000</v>
      </c>
      <c r="T3042" t="str">
        <f t="shared" si="1107"/>
        <v>19:33:40.000</v>
      </c>
      <c r="U3042" t="str">
        <f t="shared" si="1096"/>
        <v>AC3944</v>
      </c>
      <c r="V3042">
        <v>0</v>
      </c>
      <c r="W3042">
        <v>0</v>
      </c>
      <c r="X3042">
        <v>2</v>
      </c>
      <c r="Y3042">
        <v>0</v>
      </c>
      <c r="AA3042">
        <v>1</v>
      </c>
      <c r="AB3042">
        <v>8</v>
      </c>
      <c r="AC3042">
        <v>3</v>
      </c>
      <c r="AD3042">
        <v>0</v>
      </c>
      <c r="AE3042">
        <v>9</v>
      </c>
      <c r="AF3042" t="s">
        <v>138</v>
      </c>
      <c r="AG3042">
        <v>0</v>
      </c>
      <c r="AH3042">
        <v>3</v>
      </c>
      <c r="AI3042">
        <v>1</v>
      </c>
      <c r="AJ3042">
        <v>0</v>
      </c>
      <c r="AK3042" t="s">
        <v>1020</v>
      </c>
      <c r="AL3042">
        <v>32.716040999999997</v>
      </c>
      <c r="AM3042" t="s">
        <v>1021</v>
      </c>
      <c r="AN3042">
        <v>-116.760592</v>
      </c>
      <c r="AO3042">
        <v>25</v>
      </c>
      <c r="AP3042">
        <v>3700</v>
      </c>
      <c r="AQ3042" t="s">
        <v>129</v>
      </c>
      <c r="AR3042">
        <v>-82</v>
      </c>
      <c r="AS3042">
        <v>-103</v>
      </c>
      <c r="AT3042">
        <v>1152</v>
      </c>
      <c r="BB3042">
        <v>1200</v>
      </c>
      <c r="BC3042">
        <v>1</v>
      </c>
      <c r="BD3042" t="str">
        <f t="shared" si="1097"/>
        <v xml:space="preserve">N887QR  </v>
      </c>
      <c r="BE3042">
        <v>1</v>
      </c>
      <c r="BG3042">
        <v>0</v>
      </c>
      <c r="BH3042">
        <v>0</v>
      </c>
      <c r="BI3042">
        <v>0</v>
      </c>
      <c r="BJ3042">
        <v>3475</v>
      </c>
      <c r="BK3042">
        <v>-225</v>
      </c>
      <c r="BL3042" t="s">
        <v>163</v>
      </c>
      <c r="BM3042">
        <v>1</v>
      </c>
      <c r="BN3042">
        <v>1</v>
      </c>
      <c r="BO3042">
        <v>1</v>
      </c>
      <c r="BP3042">
        <v>0</v>
      </c>
      <c r="BS3042">
        <v>0</v>
      </c>
      <c r="BT3042">
        <v>0</v>
      </c>
      <c r="BU3042">
        <v>0</v>
      </c>
      <c r="CE3042" t="str">
        <f t="shared" si="1108"/>
        <v>19:33:40.806</v>
      </c>
      <c r="CF3042">
        <v>806290173</v>
      </c>
      <c r="CS3042">
        <v>0</v>
      </c>
      <c r="CT3042">
        <v>2</v>
      </c>
      <c r="CU3042">
        <v>0</v>
      </c>
      <c r="CV3042">
        <v>2</v>
      </c>
      <c r="CW3042">
        <v>0</v>
      </c>
      <c r="CX3042">
        <v>5</v>
      </c>
      <c r="CY3042">
        <v>7</v>
      </c>
      <c r="CZ3042" t="s">
        <v>131</v>
      </c>
      <c r="DA3042">
        <v>300</v>
      </c>
      <c r="DB3042">
        <v>0</v>
      </c>
      <c r="DC3042" t="s">
        <v>176</v>
      </c>
      <c r="DD3042" t="s">
        <v>177</v>
      </c>
      <c r="DG3042">
        <v>5427933</v>
      </c>
      <c r="DI3042">
        <v>1</v>
      </c>
      <c r="DJ3042">
        <v>0</v>
      </c>
      <c r="DK3042">
        <v>1</v>
      </c>
      <c r="DL3042">
        <v>0</v>
      </c>
      <c r="DM3042">
        <v>0</v>
      </c>
      <c r="DN3042">
        <v>1</v>
      </c>
      <c r="DO3042">
        <v>0</v>
      </c>
      <c r="DP3042">
        <v>0</v>
      </c>
      <c r="DQ3042">
        <v>0</v>
      </c>
      <c r="DR3042">
        <v>0</v>
      </c>
      <c r="DS3042">
        <v>0</v>
      </c>
    </row>
    <row r="3043" spans="1:123" x14ac:dyDescent="0.3">
      <c r="A3043" t="str">
        <f t="shared" si="1106"/>
        <v>10/04/2022 19:33:41.090</v>
      </c>
      <c r="C3043" t="str">
        <f t="shared" si="1084"/>
        <v>FFDFD3C0</v>
      </c>
      <c r="D3043" t="s">
        <v>134</v>
      </c>
      <c r="E3043">
        <v>15</v>
      </c>
      <c r="J3043" t="s">
        <v>135</v>
      </c>
      <c r="K3043">
        <v>0</v>
      </c>
      <c r="L3043">
        <v>3</v>
      </c>
      <c r="M3043">
        <v>0</v>
      </c>
      <c r="N3043">
        <v>2</v>
      </c>
      <c r="O3043">
        <v>0</v>
      </c>
      <c r="P3043">
        <v>1</v>
      </c>
      <c r="Q3043">
        <v>0</v>
      </c>
      <c r="S3043" t="str">
        <f t="shared" si="1107"/>
        <v>19:33:40.000</v>
      </c>
      <c r="T3043" t="str">
        <f t="shared" si="1107"/>
        <v>19:33:40.000</v>
      </c>
      <c r="U3043" t="str">
        <f t="shared" si="1096"/>
        <v>AC3944</v>
      </c>
      <c r="V3043">
        <v>0</v>
      </c>
      <c r="W3043">
        <v>0</v>
      </c>
      <c r="X3043">
        <v>2</v>
      </c>
      <c r="Y3043">
        <v>0</v>
      </c>
      <c r="AA3043">
        <v>1</v>
      </c>
      <c r="AB3043">
        <v>8</v>
      </c>
      <c r="AC3043">
        <v>3</v>
      </c>
      <c r="AD3043">
        <v>0</v>
      </c>
      <c r="AE3043">
        <v>9</v>
      </c>
      <c r="AF3043" t="s">
        <v>138</v>
      </c>
      <c r="AG3043">
        <v>0</v>
      </c>
      <c r="AH3043">
        <v>3</v>
      </c>
      <c r="AI3043">
        <v>1</v>
      </c>
      <c r="AJ3043">
        <v>0</v>
      </c>
      <c r="AK3043" t="s">
        <v>1020</v>
      </c>
      <c r="AL3043">
        <v>32.716040999999997</v>
      </c>
      <c r="AM3043" t="s">
        <v>1021</v>
      </c>
      <c r="AN3043">
        <v>-116.760592</v>
      </c>
      <c r="AO3043">
        <v>25</v>
      </c>
      <c r="AP3043">
        <v>3700</v>
      </c>
      <c r="AQ3043" t="s">
        <v>129</v>
      </c>
      <c r="AR3043">
        <v>-82</v>
      </c>
      <c r="AS3043">
        <v>-103</v>
      </c>
      <c r="AT3043">
        <v>1152</v>
      </c>
      <c r="BB3043">
        <v>1200</v>
      </c>
      <c r="BC3043">
        <v>1</v>
      </c>
      <c r="BD3043" t="str">
        <f t="shared" si="1097"/>
        <v xml:space="preserve">N887QR  </v>
      </c>
      <c r="BE3043">
        <v>1</v>
      </c>
      <c r="BG3043">
        <v>0</v>
      </c>
      <c r="BH3043">
        <v>0</v>
      </c>
      <c r="BI3043">
        <v>0</v>
      </c>
      <c r="BJ3043">
        <v>3475</v>
      </c>
      <c r="BK3043">
        <v>-225</v>
      </c>
      <c r="BL3043" t="s">
        <v>163</v>
      </c>
      <c r="BM3043">
        <v>1</v>
      </c>
      <c r="BN3043">
        <v>1</v>
      </c>
      <c r="BO3043">
        <v>1</v>
      </c>
      <c r="BP3043">
        <v>0</v>
      </c>
      <c r="BS3043">
        <v>0</v>
      </c>
      <c r="BT3043">
        <v>0</v>
      </c>
      <c r="BU3043">
        <v>0</v>
      </c>
      <c r="CE3043" t="str">
        <f t="shared" si="1108"/>
        <v>19:33:40.806</v>
      </c>
      <c r="CF3043">
        <v>806290173</v>
      </c>
      <c r="CS3043">
        <v>0</v>
      </c>
      <c r="CT3043">
        <v>2</v>
      </c>
      <c r="CU3043">
        <v>0</v>
      </c>
      <c r="CV3043">
        <v>2</v>
      </c>
      <c r="CW3043">
        <v>0</v>
      </c>
      <c r="CX3043">
        <v>5</v>
      </c>
      <c r="CY3043">
        <v>7</v>
      </c>
      <c r="CZ3043" t="s">
        <v>131</v>
      </c>
      <c r="DA3043">
        <v>300</v>
      </c>
      <c r="DB3043">
        <v>0</v>
      </c>
      <c r="DC3043" t="s">
        <v>176</v>
      </c>
      <c r="DD3043" t="s">
        <v>177</v>
      </c>
      <c r="DG3043">
        <v>5427933</v>
      </c>
      <c r="DI3043">
        <v>1</v>
      </c>
      <c r="DJ3043">
        <v>0</v>
      </c>
      <c r="DK3043">
        <v>1</v>
      </c>
      <c r="DL3043">
        <v>0</v>
      </c>
      <c r="DM3043">
        <v>0</v>
      </c>
      <c r="DN3043">
        <v>1</v>
      </c>
      <c r="DO3043">
        <v>0</v>
      </c>
      <c r="DP3043">
        <v>0</v>
      </c>
      <c r="DQ3043">
        <v>0</v>
      </c>
      <c r="DR3043">
        <v>0</v>
      </c>
      <c r="DS3043">
        <v>0</v>
      </c>
    </row>
    <row r="3044" spans="1:123" x14ac:dyDescent="0.3">
      <c r="A3044" t="str">
        <f t="shared" si="1106"/>
        <v>10/04/2022 19:33:41.090</v>
      </c>
      <c r="C3044" t="str">
        <f t="shared" si="1084"/>
        <v>FFDFD3C0</v>
      </c>
      <c r="D3044" t="s">
        <v>147</v>
      </c>
      <c r="E3044">
        <v>3</v>
      </c>
      <c r="H3044">
        <v>166</v>
      </c>
      <c r="I3044" t="s">
        <v>144</v>
      </c>
      <c r="J3044" t="s">
        <v>148</v>
      </c>
      <c r="K3044">
        <v>0</v>
      </c>
      <c r="L3044">
        <v>3</v>
      </c>
      <c r="M3044">
        <v>0</v>
      </c>
      <c r="N3044">
        <v>2</v>
      </c>
      <c r="O3044">
        <v>0</v>
      </c>
      <c r="P3044">
        <v>1</v>
      </c>
      <c r="Q3044">
        <v>0</v>
      </c>
      <c r="S3044" t="str">
        <f t="shared" si="1107"/>
        <v>19:33:40.000</v>
      </c>
      <c r="T3044" t="str">
        <f t="shared" si="1107"/>
        <v>19:33:40.000</v>
      </c>
      <c r="U3044" t="str">
        <f t="shared" si="1096"/>
        <v>AC3944</v>
      </c>
      <c r="V3044">
        <v>0</v>
      </c>
      <c r="W3044">
        <v>0</v>
      </c>
      <c r="X3044">
        <v>2</v>
      </c>
      <c r="Y3044">
        <v>0</v>
      </c>
      <c r="AA3044">
        <v>1</v>
      </c>
      <c r="AB3044">
        <v>8</v>
      </c>
      <c r="AC3044">
        <v>3</v>
      </c>
      <c r="AD3044">
        <v>0</v>
      </c>
      <c r="AE3044">
        <v>9</v>
      </c>
      <c r="AF3044" t="s">
        <v>138</v>
      </c>
      <c r="AG3044">
        <v>0</v>
      </c>
      <c r="AH3044">
        <v>3</v>
      </c>
      <c r="AI3044">
        <v>1</v>
      </c>
      <c r="AJ3044">
        <v>0</v>
      </c>
      <c r="AK3044" t="s">
        <v>1020</v>
      </c>
      <c r="AL3044">
        <v>32.716040999999997</v>
      </c>
      <c r="AM3044" t="s">
        <v>1021</v>
      </c>
      <c r="AN3044">
        <v>-116.760592</v>
      </c>
      <c r="AO3044">
        <v>25</v>
      </c>
      <c r="AP3044">
        <v>3700</v>
      </c>
      <c r="AQ3044" t="s">
        <v>129</v>
      </c>
      <c r="AR3044">
        <v>-82</v>
      </c>
      <c r="AS3044">
        <v>-103</v>
      </c>
      <c r="AT3044">
        <v>1152</v>
      </c>
      <c r="BB3044">
        <v>1200</v>
      </c>
      <c r="BC3044">
        <v>1</v>
      </c>
      <c r="BD3044" t="str">
        <f t="shared" si="1097"/>
        <v xml:space="preserve">N887QR  </v>
      </c>
      <c r="BE3044">
        <v>1</v>
      </c>
      <c r="BG3044">
        <v>0</v>
      </c>
      <c r="BH3044">
        <v>0</v>
      </c>
      <c r="BI3044">
        <v>0</v>
      </c>
      <c r="BJ3044">
        <v>3475</v>
      </c>
      <c r="BK3044">
        <v>-225</v>
      </c>
      <c r="BL3044" t="s">
        <v>163</v>
      </c>
      <c r="BM3044">
        <v>1</v>
      </c>
      <c r="BN3044">
        <v>1</v>
      </c>
      <c r="BO3044">
        <v>1</v>
      </c>
      <c r="BP3044">
        <v>0</v>
      </c>
      <c r="BS3044">
        <v>0</v>
      </c>
      <c r="BT3044">
        <v>0</v>
      </c>
      <c r="BU3044">
        <v>0</v>
      </c>
      <c r="CE3044" t="str">
        <f t="shared" si="1108"/>
        <v>19:33:40.806</v>
      </c>
      <c r="CF3044">
        <v>806290173</v>
      </c>
      <c r="CS3044">
        <v>0</v>
      </c>
      <c r="CT3044">
        <v>2</v>
      </c>
      <c r="CU3044">
        <v>0</v>
      </c>
      <c r="CV3044">
        <v>2</v>
      </c>
      <c r="CW3044">
        <v>0</v>
      </c>
      <c r="CX3044">
        <v>5</v>
      </c>
      <c r="CY3044">
        <v>7</v>
      </c>
      <c r="CZ3044" t="s">
        <v>131</v>
      </c>
      <c r="DA3044">
        <v>300</v>
      </c>
      <c r="DB3044">
        <v>0</v>
      </c>
      <c r="DC3044" t="s">
        <v>176</v>
      </c>
      <c r="DD3044" t="s">
        <v>177</v>
      </c>
      <c r="DG3044">
        <v>5427933</v>
      </c>
      <c r="DI3044">
        <v>1</v>
      </c>
      <c r="DJ3044">
        <v>0</v>
      </c>
      <c r="DK3044">
        <v>1</v>
      </c>
      <c r="DL3044">
        <v>0</v>
      </c>
      <c r="DM3044">
        <v>0</v>
      </c>
      <c r="DN3044">
        <v>1</v>
      </c>
      <c r="DO3044">
        <v>0</v>
      </c>
      <c r="DP3044">
        <v>0</v>
      </c>
      <c r="DQ3044">
        <v>0</v>
      </c>
      <c r="DR3044">
        <v>0</v>
      </c>
      <c r="DS3044">
        <v>0</v>
      </c>
    </row>
    <row r="3045" spans="1:123" x14ac:dyDescent="0.3">
      <c r="A3045" t="str">
        <f t="shared" si="1106"/>
        <v>10/04/2022 19:33:41.090</v>
      </c>
      <c r="C3045" t="str">
        <f t="shared" si="1084"/>
        <v>FFDFD3C0</v>
      </c>
      <c r="D3045" t="s">
        <v>143</v>
      </c>
      <c r="E3045">
        <v>20</v>
      </c>
      <c r="F3045">
        <v>1020</v>
      </c>
      <c r="G3045" t="s">
        <v>144</v>
      </c>
      <c r="J3045" t="s">
        <v>145</v>
      </c>
      <c r="K3045">
        <v>0</v>
      </c>
      <c r="L3045">
        <v>3</v>
      </c>
      <c r="M3045">
        <v>0</v>
      </c>
      <c r="N3045">
        <v>2</v>
      </c>
      <c r="O3045">
        <v>0</v>
      </c>
      <c r="P3045">
        <v>1</v>
      </c>
      <c r="Q3045">
        <v>0</v>
      </c>
      <c r="S3045" t="str">
        <f t="shared" si="1107"/>
        <v>19:33:40.000</v>
      </c>
      <c r="T3045" t="str">
        <f t="shared" si="1107"/>
        <v>19:33:40.000</v>
      </c>
      <c r="U3045" t="str">
        <f t="shared" si="1096"/>
        <v>AC3944</v>
      </c>
      <c r="V3045">
        <v>0</v>
      </c>
      <c r="W3045">
        <v>0</v>
      </c>
      <c r="X3045">
        <v>2</v>
      </c>
      <c r="Y3045">
        <v>0</v>
      </c>
      <c r="AA3045">
        <v>1</v>
      </c>
      <c r="AB3045">
        <v>8</v>
      </c>
      <c r="AC3045">
        <v>3</v>
      </c>
      <c r="AD3045">
        <v>0</v>
      </c>
      <c r="AE3045">
        <v>9</v>
      </c>
      <c r="AF3045" t="s">
        <v>138</v>
      </c>
      <c r="AG3045">
        <v>0</v>
      </c>
      <c r="AH3045">
        <v>3</v>
      </c>
      <c r="AI3045">
        <v>1</v>
      </c>
      <c r="AJ3045">
        <v>0</v>
      </c>
      <c r="AK3045" t="s">
        <v>1020</v>
      </c>
      <c r="AL3045">
        <v>32.716040999999997</v>
      </c>
      <c r="AM3045" t="s">
        <v>1021</v>
      </c>
      <c r="AN3045">
        <v>-116.760592</v>
      </c>
      <c r="AO3045">
        <v>25</v>
      </c>
      <c r="AP3045">
        <v>3700</v>
      </c>
      <c r="AQ3045" t="s">
        <v>129</v>
      </c>
      <c r="AR3045">
        <v>-82</v>
      </c>
      <c r="AS3045">
        <v>-103</v>
      </c>
      <c r="AT3045">
        <v>1152</v>
      </c>
      <c r="BB3045">
        <v>1200</v>
      </c>
      <c r="BC3045">
        <v>1</v>
      </c>
      <c r="BD3045" t="str">
        <f t="shared" si="1097"/>
        <v xml:space="preserve">N887QR  </v>
      </c>
      <c r="BE3045">
        <v>1</v>
      </c>
      <c r="BG3045">
        <v>0</v>
      </c>
      <c r="BH3045">
        <v>0</v>
      </c>
      <c r="BI3045">
        <v>0</v>
      </c>
      <c r="BJ3045">
        <v>3475</v>
      </c>
      <c r="BK3045">
        <v>-225</v>
      </c>
      <c r="BL3045" t="s">
        <v>163</v>
      </c>
      <c r="BM3045">
        <v>1</v>
      </c>
      <c r="BN3045">
        <v>1</v>
      </c>
      <c r="BO3045">
        <v>1</v>
      </c>
      <c r="BP3045">
        <v>0</v>
      </c>
      <c r="BS3045">
        <v>0</v>
      </c>
      <c r="BT3045">
        <v>0</v>
      </c>
      <c r="BU3045">
        <v>0</v>
      </c>
      <c r="CE3045" t="str">
        <f t="shared" si="1108"/>
        <v>19:33:40.806</v>
      </c>
      <c r="CF3045">
        <v>806290173</v>
      </c>
      <c r="CS3045">
        <v>0</v>
      </c>
      <c r="CT3045">
        <v>2</v>
      </c>
      <c r="CU3045">
        <v>0</v>
      </c>
      <c r="CV3045">
        <v>2</v>
      </c>
      <c r="CW3045">
        <v>0</v>
      </c>
      <c r="CX3045">
        <v>5</v>
      </c>
      <c r="CY3045">
        <v>7</v>
      </c>
      <c r="CZ3045" t="s">
        <v>131</v>
      </c>
      <c r="DA3045">
        <v>300</v>
      </c>
      <c r="DB3045">
        <v>0</v>
      </c>
      <c r="DC3045" t="s">
        <v>176</v>
      </c>
      <c r="DD3045" t="s">
        <v>177</v>
      </c>
      <c r="DG3045">
        <v>5427933</v>
      </c>
      <c r="DI3045">
        <v>1</v>
      </c>
      <c r="DJ3045">
        <v>0</v>
      </c>
      <c r="DK3045">
        <v>1</v>
      </c>
      <c r="DL3045">
        <v>0</v>
      </c>
      <c r="DM3045">
        <v>0</v>
      </c>
      <c r="DN3045">
        <v>1</v>
      </c>
      <c r="DO3045">
        <v>0</v>
      </c>
      <c r="DP3045">
        <v>0</v>
      </c>
      <c r="DQ3045">
        <v>0</v>
      </c>
      <c r="DR3045">
        <v>0</v>
      </c>
      <c r="DS3045">
        <v>0</v>
      </c>
    </row>
    <row r="3046" spans="1:123" x14ac:dyDescent="0.3">
      <c r="A3046" t="str">
        <f t="shared" si="1106"/>
        <v>10/04/2022 19:33:41.090</v>
      </c>
      <c r="C3046" t="str">
        <f t="shared" si="1084"/>
        <v>FFDFD3C0</v>
      </c>
      <c r="D3046" t="s">
        <v>136</v>
      </c>
      <c r="E3046">
        <v>8</v>
      </c>
      <c r="H3046">
        <v>225</v>
      </c>
      <c r="I3046" t="s">
        <v>137</v>
      </c>
      <c r="J3046" t="s">
        <v>138</v>
      </c>
      <c r="K3046">
        <v>0</v>
      </c>
      <c r="L3046">
        <v>3</v>
      </c>
      <c r="M3046">
        <v>0</v>
      </c>
      <c r="N3046">
        <v>2</v>
      </c>
      <c r="O3046">
        <v>0</v>
      </c>
      <c r="P3046">
        <v>1</v>
      </c>
      <c r="Q3046">
        <v>0</v>
      </c>
      <c r="S3046" t="str">
        <f t="shared" si="1107"/>
        <v>19:33:40.000</v>
      </c>
      <c r="T3046" t="str">
        <f t="shared" si="1107"/>
        <v>19:33:40.000</v>
      </c>
      <c r="U3046" t="str">
        <f t="shared" si="1096"/>
        <v>AC3944</v>
      </c>
      <c r="V3046">
        <v>0</v>
      </c>
      <c r="W3046">
        <v>0</v>
      </c>
      <c r="X3046">
        <v>2</v>
      </c>
      <c r="Y3046">
        <v>0</v>
      </c>
      <c r="AA3046">
        <v>1</v>
      </c>
      <c r="AB3046">
        <v>8</v>
      </c>
      <c r="AC3046">
        <v>3</v>
      </c>
      <c r="AD3046">
        <v>0</v>
      </c>
      <c r="AE3046">
        <v>9</v>
      </c>
      <c r="AF3046" t="s">
        <v>138</v>
      </c>
      <c r="AG3046">
        <v>0</v>
      </c>
      <c r="AH3046">
        <v>3</v>
      </c>
      <c r="AI3046">
        <v>1</v>
      </c>
      <c r="AJ3046">
        <v>0</v>
      </c>
      <c r="AK3046" t="s">
        <v>1020</v>
      </c>
      <c r="AL3046">
        <v>32.716040999999997</v>
      </c>
      <c r="AM3046" t="s">
        <v>1021</v>
      </c>
      <c r="AN3046">
        <v>-116.760592</v>
      </c>
      <c r="AO3046">
        <v>25</v>
      </c>
      <c r="AP3046">
        <v>3700</v>
      </c>
      <c r="AQ3046" t="s">
        <v>129</v>
      </c>
      <c r="AR3046">
        <v>-82</v>
      </c>
      <c r="AS3046">
        <v>-103</v>
      </c>
      <c r="AT3046">
        <v>1152</v>
      </c>
      <c r="BB3046">
        <v>1200</v>
      </c>
      <c r="BC3046">
        <v>1</v>
      </c>
      <c r="BD3046" t="str">
        <f t="shared" si="1097"/>
        <v xml:space="preserve">N887QR  </v>
      </c>
      <c r="BE3046">
        <v>1</v>
      </c>
      <c r="BG3046">
        <v>0</v>
      </c>
      <c r="BH3046">
        <v>0</v>
      </c>
      <c r="BI3046">
        <v>0</v>
      </c>
      <c r="BJ3046">
        <v>3475</v>
      </c>
      <c r="BK3046">
        <v>-225</v>
      </c>
      <c r="BL3046" t="s">
        <v>163</v>
      </c>
      <c r="BM3046">
        <v>1</v>
      </c>
      <c r="BN3046">
        <v>1</v>
      </c>
      <c r="BO3046">
        <v>1</v>
      </c>
      <c r="BP3046">
        <v>0</v>
      </c>
      <c r="BS3046">
        <v>0</v>
      </c>
      <c r="BT3046">
        <v>0</v>
      </c>
      <c r="BU3046">
        <v>0</v>
      </c>
      <c r="CE3046" t="str">
        <f t="shared" si="1108"/>
        <v>19:33:40.806</v>
      </c>
      <c r="CF3046">
        <v>806290173</v>
      </c>
      <c r="CS3046">
        <v>0</v>
      </c>
      <c r="CT3046">
        <v>2</v>
      </c>
      <c r="CU3046">
        <v>0</v>
      </c>
      <c r="CV3046">
        <v>2</v>
      </c>
      <c r="CW3046">
        <v>0</v>
      </c>
      <c r="CX3046">
        <v>5</v>
      </c>
      <c r="CY3046">
        <v>7</v>
      </c>
      <c r="CZ3046" t="s">
        <v>131</v>
      </c>
      <c r="DA3046">
        <v>300</v>
      </c>
      <c r="DB3046">
        <v>0</v>
      </c>
      <c r="DC3046" t="s">
        <v>176</v>
      </c>
      <c r="DD3046" t="s">
        <v>177</v>
      </c>
      <c r="DG3046">
        <v>5427933</v>
      </c>
      <c r="DI3046">
        <v>1</v>
      </c>
      <c r="DJ3046">
        <v>0</v>
      </c>
      <c r="DK3046">
        <v>1</v>
      </c>
      <c r="DL3046">
        <v>0</v>
      </c>
      <c r="DM3046">
        <v>0</v>
      </c>
      <c r="DN3046">
        <v>1</v>
      </c>
      <c r="DO3046">
        <v>0</v>
      </c>
      <c r="DP3046">
        <v>0</v>
      </c>
      <c r="DQ3046">
        <v>0</v>
      </c>
      <c r="DR3046">
        <v>0</v>
      </c>
      <c r="DS3046">
        <v>0</v>
      </c>
    </row>
    <row r="3047" spans="1:123" x14ac:dyDescent="0.3">
      <c r="A3047" t="str">
        <f t="shared" si="1106"/>
        <v>10/04/2022 19:33:41.090</v>
      </c>
      <c r="C3047" t="str">
        <f t="shared" ref="C3047:C3110" si="1109">"FFDFD3C0"</f>
        <v>FFDFD3C0</v>
      </c>
      <c r="D3047" t="s">
        <v>123</v>
      </c>
      <c r="E3047">
        <v>7</v>
      </c>
      <c r="F3047">
        <v>2007</v>
      </c>
      <c r="G3047" t="s">
        <v>124</v>
      </c>
      <c r="J3047" t="s">
        <v>125</v>
      </c>
      <c r="K3047">
        <v>0</v>
      </c>
      <c r="L3047">
        <v>3</v>
      </c>
      <c r="M3047">
        <v>0</v>
      </c>
      <c r="N3047">
        <v>2</v>
      </c>
      <c r="O3047">
        <v>0</v>
      </c>
      <c r="P3047">
        <v>1</v>
      </c>
      <c r="Q3047">
        <v>0</v>
      </c>
      <c r="S3047" t="str">
        <f t="shared" si="1107"/>
        <v>19:33:40.000</v>
      </c>
      <c r="T3047" t="str">
        <f t="shared" si="1107"/>
        <v>19:33:40.000</v>
      </c>
      <c r="U3047" t="str">
        <f t="shared" si="1096"/>
        <v>AC3944</v>
      </c>
      <c r="V3047">
        <v>0</v>
      </c>
      <c r="W3047">
        <v>0</v>
      </c>
      <c r="X3047">
        <v>2</v>
      </c>
      <c r="Y3047">
        <v>0</v>
      </c>
      <c r="AA3047">
        <v>1</v>
      </c>
      <c r="AB3047">
        <v>8</v>
      </c>
      <c r="AC3047">
        <v>3</v>
      </c>
      <c r="AD3047">
        <v>0</v>
      </c>
      <c r="AE3047">
        <v>9</v>
      </c>
      <c r="AF3047" t="s">
        <v>138</v>
      </c>
      <c r="AG3047">
        <v>0</v>
      </c>
      <c r="AH3047">
        <v>3</v>
      </c>
      <c r="AI3047">
        <v>1</v>
      </c>
      <c r="AJ3047">
        <v>0</v>
      </c>
      <c r="AK3047" t="s">
        <v>1020</v>
      </c>
      <c r="AL3047">
        <v>32.716040999999997</v>
      </c>
      <c r="AM3047" t="s">
        <v>1021</v>
      </c>
      <c r="AN3047">
        <v>-116.760592</v>
      </c>
      <c r="AO3047">
        <v>25</v>
      </c>
      <c r="AP3047">
        <v>3700</v>
      </c>
      <c r="AQ3047" t="s">
        <v>129</v>
      </c>
      <c r="AR3047">
        <v>-82</v>
      </c>
      <c r="AS3047">
        <v>-103</v>
      </c>
      <c r="AT3047">
        <v>1152</v>
      </c>
      <c r="BB3047">
        <v>1200</v>
      </c>
      <c r="BC3047">
        <v>1</v>
      </c>
      <c r="BD3047" t="str">
        <f t="shared" si="1097"/>
        <v xml:space="preserve">N887QR  </v>
      </c>
      <c r="BE3047">
        <v>1</v>
      </c>
      <c r="BG3047">
        <v>0</v>
      </c>
      <c r="BH3047">
        <v>0</v>
      </c>
      <c r="BI3047">
        <v>0</v>
      </c>
      <c r="BJ3047">
        <v>3475</v>
      </c>
      <c r="BK3047">
        <v>-225</v>
      </c>
      <c r="BL3047" t="s">
        <v>163</v>
      </c>
      <c r="BM3047">
        <v>1</v>
      </c>
      <c r="BN3047">
        <v>1</v>
      </c>
      <c r="BO3047">
        <v>1</v>
      </c>
      <c r="BP3047">
        <v>0</v>
      </c>
      <c r="BS3047">
        <v>0</v>
      </c>
      <c r="BT3047">
        <v>0</v>
      </c>
      <c r="BU3047">
        <v>0</v>
      </c>
      <c r="CE3047" t="str">
        <f t="shared" si="1108"/>
        <v>19:33:40.806</v>
      </c>
      <c r="CF3047">
        <v>806290173</v>
      </c>
      <c r="CS3047">
        <v>0</v>
      </c>
      <c r="CT3047">
        <v>2</v>
      </c>
      <c r="CU3047">
        <v>0</v>
      </c>
      <c r="CV3047">
        <v>2</v>
      </c>
      <c r="CW3047">
        <v>0</v>
      </c>
      <c r="CX3047">
        <v>5</v>
      </c>
      <c r="CY3047">
        <v>7</v>
      </c>
      <c r="CZ3047" t="s">
        <v>131</v>
      </c>
      <c r="DA3047">
        <v>300</v>
      </c>
      <c r="DB3047">
        <v>0</v>
      </c>
      <c r="DC3047" t="s">
        <v>176</v>
      </c>
      <c r="DD3047" t="s">
        <v>177</v>
      </c>
      <c r="DG3047">
        <v>5427933</v>
      </c>
      <c r="DI3047">
        <v>1</v>
      </c>
      <c r="DJ3047">
        <v>0</v>
      </c>
      <c r="DK3047">
        <v>1</v>
      </c>
      <c r="DL3047">
        <v>0</v>
      </c>
      <c r="DM3047">
        <v>0</v>
      </c>
      <c r="DN3047">
        <v>1</v>
      </c>
      <c r="DO3047">
        <v>0</v>
      </c>
      <c r="DP3047">
        <v>0</v>
      </c>
      <c r="DQ3047">
        <v>0</v>
      </c>
      <c r="DR3047">
        <v>0</v>
      </c>
      <c r="DS3047">
        <v>0</v>
      </c>
    </row>
    <row r="3048" spans="1:123" x14ac:dyDescent="0.3">
      <c r="A3048" t="str">
        <f t="shared" ref="A3048:A3054" si="1110">"10/04/2022 19:33:42.744"</f>
        <v>10/04/2022 19:33:42.744</v>
      </c>
      <c r="C3048" t="str">
        <f t="shared" si="1109"/>
        <v>FFDFD3C0</v>
      </c>
      <c r="D3048" t="s">
        <v>141</v>
      </c>
      <c r="E3048">
        <v>4</v>
      </c>
      <c r="H3048">
        <v>4</v>
      </c>
      <c r="I3048" t="s">
        <v>142</v>
      </c>
      <c r="J3048" t="s">
        <v>138</v>
      </c>
      <c r="K3048">
        <v>0</v>
      </c>
      <c r="L3048">
        <v>3</v>
      </c>
      <c r="M3048">
        <v>0</v>
      </c>
      <c r="N3048">
        <v>2</v>
      </c>
      <c r="O3048">
        <v>0</v>
      </c>
      <c r="P3048">
        <v>1</v>
      </c>
      <c r="Q3048">
        <v>0</v>
      </c>
      <c r="S3048" t="str">
        <f t="shared" ref="S3048:T3054" si="1111">"19:33:42.000"</f>
        <v>19:33:42.000</v>
      </c>
      <c r="T3048" t="str">
        <f t="shared" si="1111"/>
        <v>19:33:42.000</v>
      </c>
      <c r="U3048" t="str">
        <f t="shared" si="1096"/>
        <v>AC3944</v>
      </c>
      <c r="V3048">
        <v>0</v>
      </c>
      <c r="W3048">
        <v>0</v>
      </c>
      <c r="X3048">
        <v>2</v>
      </c>
      <c r="Y3048">
        <v>0</v>
      </c>
      <c r="AA3048">
        <v>1</v>
      </c>
      <c r="AB3048">
        <v>8</v>
      </c>
      <c r="AC3048">
        <v>3</v>
      </c>
      <c r="AD3048">
        <v>0</v>
      </c>
      <c r="AE3048">
        <v>9</v>
      </c>
      <c r="AF3048" t="s">
        <v>138</v>
      </c>
      <c r="AG3048">
        <v>0</v>
      </c>
      <c r="AH3048">
        <v>3</v>
      </c>
      <c r="AI3048">
        <v>1</v>
      </c>
      <c r="AJ3048">
        <v>0</v>
      </c>
      <c r="AK3048" t="s">
        <v>1022</v>
      </c>
      <c r="AL3048">
        <v>32.715569000000002</v>
      </c>
      <c r="AM3048" t="s">
        <v>1023</v>
      </c>
      <c r="AN3048">
        <v>-116.761022</v>
      </c>
      <c r="AO3048">
        <v>25</v>
      </c>
      <c r="AP3048">
        <v>3800</v>
      </c>
      <c r="AQ3048" t="s">
        <v>129</v>
      </c>
      <c r="AR3048">
        <v>-67</v>
      </c>
      <c r="AS3048">
        <v>-111</v>
      </c>
      <c r="AT3048">
        <v>1216</v>
      </c>
      <c r="BB3048">
        <v>1200</v>
      </c>
      <c r="BC3048">
        <v>1</v>
      </c>
      <c r="BD3048" t="str">
        <f t="shared" si="1097"/>
        <v xml:space="preserve">N887QR  </v>
      </c>
      <c r="BE3048">
        <v>1</v>
      </c>
      <c r="BG3048">
        <v>0</v>
      </c>
      <c r="BH3048">
        <v>0</v>
      </c>
      <c r="BI3048">
        <v>0</v>
      </c>
      <c r="BJ3048">
        <v>3475</v>
      </c>
      <c r="BK3048">
        <v>-325</v>
      </c>
      <c r="BL3048" t="s">
        <v>163</v>
      </c>
      <c r="BM3048">
        <v>1</v>
      </c>
      <c r="BN3048">
        <v>1</v>
      </c>
      <c r="BO3048">
        <v>1</v>
      </c>
      <c r="BP3048">
        <v>0</v>
      </c>
      <c r="BS3048">
        <v>0</v>
      </c>
      <c r="BT3048">
        <v>0</v>
      </c>
      <c r="BU3048">
        <v>0</v>
      </c>
      <c r="CE3048" t="str">
        <f t="shared" ref="CE3048:CE3054" si="1112">"19:33:42.338"</f>
        <v>19:33:42.338</v>
      </c>
      <c r="CF3048">
        <v>337795221</v>
      </c>
      <c r="CS3048">
        <v>0</v>
      </c>
      <c r="CT3048">
        <v>2</v>
      </c>
      <c r="CU3048">
        <v>0</v>
      </c>
      <c r="CV3048">
        <v>2</v>
      </c>
      <c r="CW3048">
        <v>0</v>
      </c>
      <c r="CX3048">
        <v>5</v>
      </c>
      <c r="CY3048">
        <v>7</v>
      </c>
      <c r="CZ3048" t="s">
        <v>131</v>
      </c>
      <c r="DA3048">
        <v>300</v>
      </c>
      <c r="DB3048">
        <v>0</v>
      </c>
      <c r="DC3048" t="s">
        <v>176</v>
      </c>
      <c r="DD3048" t="s">
        <v>177</v>
      </c>
      <c r="DG3048">
        <v>5428172</v>
      </c>
      <c r="DI3048">
        <v>1</v>
      </c>
      <c r="DJ3048">
        <v>0</v>
      </c>
      <c r="DK3048">
        <v>0</v>
      </c>
      <c r="DL3048">
        <v>0</v>
      </c>
      <c r="DM3048">
        <v>0</v>
      </c>
      <c r="DN3048">
        <v>1</v>
      </c>
      <c r="DO3048">
        <v>0</v>
      </c>
      <c r="DP3048">
        <v>0</v>
      </c>
      <c r="DQ3048">
        <v>0</v>
      </c>
      <c r="DR3048">
        <v>0</v>
      </c>
      <c r="DS3048">
        <v>0</v>
      </c>
    </row>
    <row r="3049" spans="1:123" x14ac:dyDescent="0.3">
      <c r="A3049" t="str">
        <f t="shared" si="1110"/>
        <v>10/04/2022 19:33:42.744</v>
      </c>
      <c r="C3049" t="str">
        <f t="shared" si="1109"/>
        <v>FFDFD3C0</v>
      </c>
      <c r="D3049" t="s">
        <v>141</v>
      </c>
      <c r="E3049">
        <v>3</v>
      </c>
      <c r="H3049">
        <v>3</v>
      </c>
      <c r="I3049" t="s">
        <v>146</v>
      </c>
      <c r="J3049" t="s">
        <v>138</v>
      </c>
      <c r="K3049">
        <v>0</v>
      </c>
      <c r="L3049">
        <v>3</v>
      </c>
      <c r="M3049">
        <v>0</v>
      </c>
      <c r="N3049">
        <v>2</v>
      </c>
      <c r="O3049">
        <v>0</v>
      </c>
      <c r="P3049">
        <v>1</v>
      </c>
      <c r="Q3049">
        <v>0</v>
      </c>
      <c r="S3049" t="str">
        <f t="shared" si="1111"/>
        <v>19:33:42.000</v>
      </c>
      <c r="T3049" t="str">
        <f t="shared" si="1111"/>
        <v>19:33:42.000</v>
      </c>
      <c r="U3049" t="str">
        <f t="shared" si="1096"/>
        <v>AC3944</v>
      </c>
      <c r="V3049">
        <v>0</v>
      </c>
      <c r="W3049">
        <v>0</v>
      </c>
      <c r="X3049">
        <v>2</v>
      </c>
      <c r="Y3049">
        <v>0</v>
      </c>
      <c r="AA3049">
        <v>1</v>
      </c>
      <c r="AB3049">
        <v>8</v>
      </c>
      <c r="AC3049">
        <v>3</v>
      </c>
      <c r="AD3049">
        <v>0</v>
      </c>
      <c r="AE3049">
        <v>9</v>
      </c>
      <c r="AF3049" t="s">
        <v>138</v>
      </c>
      <c r="AG3049">
        <v>0</v>
      </c>
      <c r="AH3049">
        <v>3</v>
      </c>
      <c r="AI3049">
        <v>1</v>
      </c>
      <c r="AJ3049">
        <v>0</v>
      </c>
      <c r="AK3049" t="s">
        <v>1022</v>
      </c>
      <c r="AL3049">
        <v>32.715569000000002</v>
      </c>
      <c r="AM3049" t="s">
        <v>1023</v>
      </c>
      <c r="AN3049">
        <v>-116.761022</v>
      </c>
      <c r="AO3049">
        <v>25</v>
      </c>
      <c r="AP3049">
        <v>3800</v>
      </c>
      <c r="AQ3049" t="s">
        <v>129</v>
      </c>
      <c r="AR3049">
        <v>-67</v>
      </c>
      <c r="AS3049">
        <v>-111</v>
      </c>
      <c r="AT3049">
        <v>1216</v>
      </c>
      <c r="BB3049">
        <v>1200</v>
      </c>
      <c r="BC3049">
        <v>1</v>
      </c>
      <c r="BD3049" t="str">
        <f t="shared" si="1097"/>
        <v xml:space="preserve">N887QR  </v>
      </c>
      <c r="BE3049">
        <v>1</v>
      </c>
      <c r="BG3049">
        <v>0</v>
      </c>
      <c r="BH3049">
        <v>0</v>
      </c>
      <c r="BI3049">
        <v>0</v>
      </c>
      <c r="BJ3049">
        <v>3475</v>
      </c>
      <c r="BK3049">
        <v>-325</v>
      </c>
      <c r="BL3049" t="s">
        <v>163</v>
      </c>
      <c r="BM3049">
        <v>1</v>
      </c>
      <c r="BN3049">
        <v>1</v>
      </c>
      <c r="BO3049">
        <v>1</v>
      </c>
      <c r="BP3049">
        <v>0</v>
      </c>
      <c r="BS3049">
        <v>0</v>
      </c>
      <c r="BT3049">
        <v>0</v>
      </c>
      <c r="BU3049">
        <v>0</v>
      </c>
      <c r="CE3049" t="str">
        <f t="shared" si="1112"/>
        <v>19:33:42.338</v>
      </c>
      <c r="CF3049">
        <v>337795221</v>
      </c>
      <c r="CS3049">
        <v>0</v>
      </c>
      <c r="CT3049">
        <v>2</v>
      </c>
      <c r="CU3049">
        <v>0</v>
      </c>
      <c r="CV3049">
        <v>2</v>
      </c>
      <c r="CW3049">
        <v>0</v>
      </c>
      <c r="CX3049">
        <v>5</v>
      </c>
      <c r="CY3049">
        <v>7</v>
      </c>
      <c r="CZ3049" t="s">
        <v>131</v>
      </c>
      <c r="DA3049">
        <v>300</v>
      </c>
      <c r="DB3049">
        <v>0</v>
      </c>
      <c r="DC3049" t="s">
        <v>176</v>
      </c>
      <c r="DD3049" t="s">
        <v>177</v>
      </c>
      <c r="DG3049">
        <v>5428172</v>
      </c>
      <c r="DI3049">
        <v>1</v>
      </c>
      <c r="DJ3049">
        <v>0</v>
      </c>
      <c r="DK3049">
        <v>1</v>
      </c>
      <c r="DL3049">
        <v>0</v>
      </c>
      <c r="DM3049">
        <v>0</v>
      </c>
      <c r="DN3049">
        <v>1</v>
      </c>
      <c r="DO3049">
        <v>0</v>
      </c>
      <c r="DP3049">
        <v>0</v>
      </c>
      <c r="DQ3049">
        <v>0</v>
      </c>
      <c r="DR3049">
        <v>0</v>
      </c>
      <c r="DS3049">
        <v>0</v>
      </c>
    </row>
    <row r="3050" spans="1:123" x14ac:dyDescent="0.3">
      <c r="A3050" t="str">
        <f t="shared" si="1110"/>
        <v>10/04/2022 19:33:42.744</v>
      </c>
      <c r="C3050" t="str">
        <f t="shared" si="1109"/>
        <v>FFDFD3C0</v>
      </c>
      <c r="D3050" t="s">
        <v>143</v>
      </c>
      <c r="E3050">
        <v>20</v>
      </c>
      <c r="F3050">
        <v>1020</v>
      </c>
      <c r="G3050" t="s">
        <v>144</v>
      </c>
      <c r="J3050" t="s">
        <v>145</v>
      </c>
      <c r="K3050">
        <v>0</v>
      </c>
      <c r="L3050">
        <v>3</v>
      </c>
      <c r="M3050">
        <v>0</v>
      </c>
      <c r="N3050">
        <v>2</v>
      </c>
      <c r="O3050">
        <v>0</v>
      </c>
      <c r="P3050">
        <v>1</v>
      </c>
      <c r="Q3050">
        <v>0</v>
      </c>
      <c r="S3050" t="str">
        <f t="shared" si="1111"/>
        <v>19:33:42.000</v>
      </c>
      <c r="T3050" t="str">
        <f t="shared" si="1111"/>
        <v>19:33:42.000</v>
      </c>
      <c r="U3050" t="str">
        <f t="shared" si="1096"/>
        <v>AC3944</v>
      </c>
      <c r="V3050">
        <v>0</v>
      </c>
      <c r="W3050">
        <v>0</v>
      </c>
      <c r="X3050">
        <v>2</v>
      </c>
      <c r="Y3050">
        <v>0</v>
      </c>
      <c r="AA3050">
        <v>1</v>
      </c>
      <c r="AB3050">
        <v>8</v>
      </c>
      <c r="AC3050">
        <v>3</v>
      </c>
      <c r="AD3050">
        <v>0</v>
      </c>
      <c r="AE3050">
        <v>9</v>
      </c>
      <c r="AF3050" t="s">
        <v>138</v>
      </c>
      <c r="AG3050">
        <v>0</v>
      </c>
      <c r="AH3050">
        <v>3</v>
      </c>
      <c r="AI3050">
        <v>1</v>
      </c>
      <c r="AJ3050">
        <v>0</v>
      </c>
      <c r="AK3050" t="s">
        <v>1022</v>
      </c>
      <c r="AL3050">
        <v>32.715569000000002</v>
      </c>
      <c r="AM3050" t="s">
        <v>1023</v>
      </c>
      <c r="AN3050">
        <v>-116.761022</v>
      </c>
      <c r="AO3050">
        <v>25</v>
      </c>
      <c r="AP3050">
        <v>3800</v>
      </c>
      <c r="AQ3050" t="s">
        <v>129</v>
      </c>
      <c r="AR3050">
        <v>-67</v>
      </c>
      <c r="AS3050">
        <v>-111</v>
      </c>
      <c r="AT3050">
        <v>1216</v>
      </c>
      <c r="BB3050">
        <v>1200</v>
      </c>
      <c r="BC3050">
        <v>1</v>
      </c>
      <c r="BD3050" t="str">
        <f t="shared" si="1097"/>
        <v xml:space="preserve">N887QR  </v>
      </c>
      <c r="BE3050">
        <v>1</v>
      </c>
      <c r="BG3050">
        <v>0</v>
      </c>
      <c r="BH3050">
        <v>0</v>
      </c>
      <c r="BI3050">
        <v>0</v>
      </c>
      <c r="BJ3050">
        <v>3475</v>
      </c>
      <c r="BK3050">
        <v>-325</v>
      </c>
      <c r="BL3050" t="s">
        <v>163</v>
      </c>
      <c r="BM3050">
        <v>1</v>
      </c>
      <c r="BN3050">
        <v>1</v>
      </c>
      <c r="BO3050">
        <v>1</v>
      </c>
      <c r="BP3050">
        <v>0</v>
      </c>
      <c r="BS3050">
        <v>0</v>
      </c>
      <c r="BT3050">
        <v>0</v>
      </c>
      <c r="BU3050">
        <v>0</v>
      </c>
      <c r="CE3050" t="str">
        <f t="shared" si="1112"/>
        <v>19:33:42.338</v>
      </c>
      <c r="CF3050">
        <v>337795221</v>
      </c>
      <c r="CS3050">
        <v>0</v>
      </c>
      <c r="CT3050">
        <v>2</v>
      </c>
      <c r="CU3050">
        <v>0</v>
      </c>
      <c r="CV3050">
        <v>2</v>
      </c>
      <c r="CW3050">
        <v>0</v>
      </c>
      <c r="CX3050">
        <v>5</v>
      </c>
      <c r="CY3050">
        <v>7</v>
      </c>
      <c r="CZ3050" t="s">
        <v>131</v>
      </c>
      <c r="DA3050">
        <v>300</v>
      </c>
      <c r="DB3050">
        <v>0</v>
      </c>
      <c r="DC3050" t="s">
        <v>176</v>
      </c>
      <c r="DD3050" t="s">
        <v>177</v>
      </c>
      <c r="DG3050">
        <v>5428172</v>
      </c>
      <c r="DI3050">
        <v>1</v>
      </c>
      <c r="DJ3050">
        <v>0</v>
      </c>
      <c r="DK3050">
        <v>1</v>
      </c>
      <c r="DL3050">
        <v>0</v>
      </c>
      <c r="DM3050">
        <v>0</v>
      </c>
      <c r="DN3050">
        <v>1</v>
      </c>
      <c r="DO3050">
        <v>0</v>
      </c>
      <c r="DP3050">
        <v>0</v>
      </c>
      <c r="DQ3050">
        <v>0</v>
      </c>
      <c r="DR3050">
        <v>0</v>
      </c>
      <c r="DS3050">
        <v>0</v>
      </c>
    </row>
    <row r="3051" spans="1:123" x14ac:dyDescent="0.3">
      <c r="A3051" t="str">
        <f t="shared" si="1110"/>
        <v>10/04/2022 19:33:42.744</v>
      </c>
      <c r="C3051" t="str">
        <f t="shared" si="1109"/>
        <v>FFDFD3C0</v>
      </c>
      <c r="D3051" t="s">
        <v>147</v>
      </c>
      <c r="E3051">
        <v>3</v>
      </c>
      <c r="H3051">
        <v>166</v>
      </c>
      <c r="I3051" t="s">
        <v>144</v>
      </c>
      <c r="J3051" t="s">
        <v>148</v>
      </c>
      <c r="K3051">
        <v>0</v>
      </c>
      <c r="L3051">
        <v>3</v>
      </c>
      <c r="M3051">
        <v>0</v>
      </c>
      <c r="N3051">
        <v>2</v>
      </c>
      <c r="O3051">
        <v>0</v>
      </c>
      <c r="P3051">
        <v>1</v>
      </c>
      <c r="Q3051">
        <v>0</v>
      </c>
      <c r="S3051" t="str">
        <f t="shared" si="1111"/>
        <v>19:33:42.000</v>
      </c>
      <c r="T3051" t="str">
        <f t="shared" si="1111"/>
        <v>19:33:42.000</v>
      </c>
      <c r="U3051" t="str">
        <f t="shared" si="1096"/>
        <v>AC3944</v>
      </c>
      <c r="V3051">
        <v>0</v>
      </c>
      <c r="W3051">
        <v>0</v>
      </c>
      <c r="X3051">
        <v>2</v>
      </c>
      <c r="Y3051">
        <v>0</v>
      </c>
      <c r="AA3051">
        <v>1</v>
      </c>
      <c r="AB3051">
        <v>8</v>
      </c>
      <c r="AC3051">
        <v>3</v>
      </c>
      <c r="AD3051">
        <v>0</v>
      </c>
      <c r="AE3051">
        <v>9</v>
      </c>
      <c r="AF3051" t="s">
        <v>138</v>
      </c>
      <c r="AG3051">
        <v>0</v>
      </c>
      <c r="AH3051">
        <v>3</v>
      </c>
      <c r="AI3051">
        <v>1</v>
      </c>
      <c r="AJ3051">
        <v>0</v>
      </c>
      <c r="AK3051" t="s">
        <v>1022</v>
      </c>
      <c r="AL3051">
        <v>32.715569000000002</v>
      </c>
      <c r="AM3051" t="s">
        <v>1023</v>
      </c>
      <c r="AN3051">
        <v>-116.761022</v>
      </c>
      <c r="AO3051">
        <v>25</v>
      </c>
      <c r="AP3051">
        <v>3800</v>
      </c>
      <c r="AQ3051" t="s">
        <v>129</v>
      </c>
      <c r="AR3051">
        <v>-67</v>
      </c>
      <c r="AS3051">
        <v>-111</v>
      </c>
      <c r="AT3051">
        <v>1216</v>
      </c>
      <c r="BB3051">
        <v>1200</v>
      </c>
      <c r="BC3051">
        <v>1</v>
      </c>
      <c r="BD3051" t="str">
        <f t="shared" si="1097"/>
        <v xml:space="preserve">N887QR  </v>
      </c>
      <c r="BE3051">
        <v>1</v>
      </c>
      <c r="BG3051">
        <v>0</v>
      </c>
      <c r="BH3051">
        <v>0</v>
      </c>
      <c r="BI3051">
        <v>0</v>
      </c>
      <c r="BJ3051">
        <v>3475</v>
      </c>
      <c r="BK3051">
        <v>-325</v>
      </c>
      <c r="BL3051" t="s">
        <v>163</v>
      </c>
      <c r="BM3051">
        <v>1</v>
      </c>
      <c r="BN3051">
        <v>1</v>
      </c>
      <c r="BO3051">
        <v>1</v>
      </c>
      <c r="BP3051">
        <v>0</v>
      </c>
      <c r="BS3051">
        <v>0</v>
      </c>
      <c r="BT3051">
        <v>0</v>
      </c>
      <c r="BU3051">
        <v>0</v>
      </c>
      <c r="CE3051" t="str">
        <f t="shared" si="1112"/>
        <v>19:33:42.338</v>
      </c>
      <c r="CF3051">
        <v>337795221</v>
      </c>
      <c r="CS3051">
        <v>0</v>
      </c>
      <c r="CT3051">
        <v>2</v>
      </c>
      <c r="CU3051">
        <v>0</v>
      </c>
      <c r="CV3051">
        <v>2</v>
      </c>
      <c r="CW3051">
        <v>0</v>
      </c>
      <c r="CX3051">
        <v>5</v>
      </c>
      <c r="CY3051">
        <v>7</v>
      </c>
      <c r="CZ3051" t="s">
        <v>131</v>
      </c>
      <c r="DA3051">
        <v>300</v>
      </c>
      <c r="DB3051">
        <v>0</v>
      </c>
      <c r="DC3051" t="s">
        <v>176</v>
      </c>
      <c r="DD3051" t="s">
        <v>177</v>
      </c>
      <c r="DG3051">
        <v>5428172</v>
      </c>
      <c r="DI3051">
        <v>1</v>
      </c>
      <c r="DJ3051">
        <v>0</v>
      </c>
      <c r="DK3051">
        <v>1</v>
      </c>
      <c r="DL3051">
        <v>0</v>
      </c>
      <c r="DM3051">
        <v>0</v>
      </c>
      <c r="DN3051">
        <v>1</v>
      </c>
      <c r="DO3051">
        <v>0</v>
      </c>
      <c r="DP3051">
        <v>0</v>
      </c>
      <c r="DQ3051">
        <v>0</v>
      </c>
      <c r="DR3051">
        <v>0</v>
      </c>
      <c r="DS3051">
        <v>0</v>
      </c>
    </row>
    <row r="3052" spans="1:123" x14ac:dyDescent="0.3">
      <c r="A3052" t="str">
        <f t="shared" si="1110"/>
        <v>10/04/2022 19:33:42.744</v>
      </c>
      <c r="C3052" t="str">
        <f t="shared" si="1109"/>
        <v>FFDFD3C0</v>
      </c>
      <c r="D3052" t="s">
        <v>134</v>
      </c>
      <c r="E3052">
        <v>15</v>
      </c>
      <c r="J3052" t="s">
        <v>135</v>
      </c>
      <c r="K3052">
        <v>0</v>
      </c>
      <c r="L3052">
        <v>3</v>
      </c>
      <c r="M3052">
        <v>0</v>
      </c>
      <c r="N3052">
        <v>2</v>
      </c>
      <c r="O3052">
        <v>0</v>
      </c>
      <c r="P3052">
        <v>1</v>
      </c>
      <c r="Q3052">
        <v>0</v>
      </c>
      <c r="S3052" t="str">
        <f t="shared" si="1111"/>
        <v>19:33:42.000</v>
      </c>
      <c r="T3052" t="str">
        <f t="shared" si="1111"/>
        <v>19:33:42.000</v>
      </c>
      <c r="U3052" t="str">
        <f t="shared" si="1096"/>
        <v>AC3944</v>
      </c>
      <c r="V3052">
        <v>0</v>
      </c>
      <c r="W3052">
        <v>0</v>
      </c>
      <c r="X3052">
        <v>2</v>
      </c>
      <c r="Y3052">
        <v>0</v>
      </c>
      <c r="AA3052">
        <v>1</v>
      </c>
      <c r="AB3052">
        <v>8</v>
      </c>
      <c r="AC3052">
        <v>3</v>
      </c>
      <c r="AD3052">
        <v>0</v>
      </c>
      <c r="AE3052">
        <v>9</v>
      </c>
      <c r="AF3052" t="s">
        <v>138</v>
      </c>
      <c r="AG3052">
        <v>0</v>
      </c>
      <c r="AH3052">
        <v>3</v>
      </c>
      <c r="AI3052">
        <v>1</v>
      </c>
      <c r="AJ3052">
        <v>0</v>
      </c>
      <c r="AK3052" t="s">
        <v>1022</v>
      </c>
      <c r="AL3052">
        <v>32.715569000000002</v>
      </c>
      <c r="AM3052" t="s">
        <v>1023</v>
      </c>
      <c r="AN3052">
        <v>-116.761022</v>
      </c>
      <c r="AO3052">
        <v>25</v>
      </c>
      <c r="AP3052">
        <v>3800</v>
      </c>
      <c r="AQ3052" t="s">
        <v>129</v>
      </c>
      <c r="AR3052">
        <v>-67</v>
      </c>
      <c r="AS3052">
        <v>-111</v>
      </c>
      <c r="AT3052">
        <v>1216</v>
      </c>
      <c r="BB3052">
        <v>1200</v>
      </c>
      <c r="BC3052">
        <v>1</v>
      </c>
      <c r="BD3052" t="str">
        <f t="shared" si="1097"/>
        <v xml:space="preserve">N887QR  </v>
      </c>
      <c r="BE3052">
        <v>1</v>
      </c>
      <c r="BG3052">
        <v>0</v>
      </c>
      <c r="BH3052">
        <v>0</v>
      </c>
      <c r="BI3052">
        <v>0</v>
      </c>
      <c r="BJ3052">
        <v>3475</v>
      </c>
      <c r="BK3052">
        <v>-325</v>
      </c>
      <c r="BL3052" t="s">
        <v>163</v>
      </c>
      <c r="BM3052">
        <v>1</v>
      </c>
      <c r="BN3052">
        <v>1</v>
      </c>
      <c r="BO3052">
        <v>1</v>
      </c>
      <c r="BP3052">
        <v>0</v>
      </c>
      <c r="BS3052">
        <v>0</v>
      </c>
      <c r="BT3052">
        <v>0</v>
      </c>
      <c r="BU3052">
        <v>0</v>
      </c>
      <c r="CE3052" t="str">
        <f t="shared" si="1112"/>
        <v>19:33:42.338</v>
      </c>
      <c r="CF3052">
        <v>337795221</v>
      </c>
      <c r="CS3052">
        <v>0</v>
      </c>
      <c r="CT3052">
        <v>2</v>
      </c>
      <c r="CU3052">
        <v>0</v>
      </c>
      <c r="CV3052">
        <v>2</v>
      </c>
      <c r="CW3052">
        <v>0</v>
      </c>
      <c r="CX3052">
        <v>5</v>
      </c>
      <c r="CY3052">
        <v>7</v>
      </c>
      <c r="CZ3052" t="s">
        <v>131</v>
      </c>
      <c r="DA3052">
        <v>300</v>
      </c>
      <c r="DB3052">
        <v>0</v>
      </c>
      <c r="DC3052" t="s">
        <v>176</v>
      </c>
      <c r="DD3052" t="s">
        <v>177</v>
      </c>
      <c r="DG3052">
        <v>5428172</v>
      </c>
      <c r="DI3052">
        <v>1</v>
      </c>
      <c r="DJ3052">
        <v>0</v>
      </c>
      <c r="DK3052">
        <v>1</v>
      </c>
      <c r="DL3052">
        <v>0</v>
      </c>
      <c r="DM3052">
        <v>0</v>
      </c>
      <c r="DN3052">
        <v>1</v>
      </c>
      <c r="DO3052">
        <v>0</v>
      </c>
      <c r="DP3052">
        <v>0</v>
      </c>
      <c r="DQ3052">
        <v>0</v>
      </c>
      <c r="DR3052">
        <v>0</v>
      </c>
      <c r="DS3052">
        <v>0</v>
      </c>
    </row>
    <row r="3053" spans="1:123" x14ac:dyDescent="0.3">
      <c r="A3053" t="str">
        <f t="shared" si="1110"/>
        <v>10/04/2022 19:33:42.744</v>
      </c>
      <c r="C3053" t="str">
        <f t="shared" si="1109"/>
        <v>FFDFD3C0</v>
      </c>
      <c r="D3053" t="s">
        <v>123</v>
      </c>
      <c r="E3053">
        <v>7</v>
      </c>
      <c r="F3053">
        <v>2007</v>
      </c>
      <c r="G3053" t="s">
        <v>124</v>
      </c>
      <c r="J3053" t="s">
        <v>125</v>
      </c>
      <c r="K3053">
        <v>0</v>
      </c>
      <c r="L3053">
        <v>3</v>
      </c>
      <c r="M3053">
        <v>0</v>
      </c>
      <c r="N3053">
        <v>2</v>
      </c>
      <c r="O3053">
        <v>0</v>
      </c>
      <c r="P3053">
        <v>1</v>
      </c>
      <c r="Q3053">
        <v>0</v>
      </c>
      <c r="S3053" t="str">
        <f t="shared" si="1111"/>
        <v>19:33:42.000</v>
      </c>
      <c r="T3053" t="str">
        <f t="shared" si="1111"/>
        <v>19:33:42.000</v>
      </c>
      <c r="U3053" t="str">
        <f t="shared" si="1096"/>
        <v>AC3944</v>
      </c>
      <c r="V3053">
        <v>0</v>
      </c>
      <c r="W3053">
        <v>0</v>
      </c>
      <c r="X3053">
        <v>2</v>
      </c>
      <c r="Y3053">
        <v>0</v>
      </c>
      <c r="AA3053">
        <v>1</v>
      </c>
      <c r="AB3053">
        <v>8</v>
      </c>
      <c r="AC3053">
        <v>3</v>
      </c>
      <c r="AD3053">
        <v>0</v>
      </c>
      <c r="AE3053">
        <v>9</v>
      </c>
      <c r="AF3053" t="s">
        <v>138</v>
      </c>
      <c r="AG3053">
        <v>0</v>
      </c>
      <c r="AH3053">
        <v>3</v>
      </c>
      <c r="AI3053">
        <v>1</v>
      </c>
      <c r="AJ3053">
        <v>0</v>
      </c>
      <c r="AK3053" t="s">
        <v>1022</v>
      </c>
      <c r="AL3053">
        <v>32.715569000000002</v>
      </c>
      <c r="AM3053" t="s">
        <v>1023</v>
      </c>
      <c r="AN3053">
        <v>-116.761022</v>
      </c>
      <c r="AO3053">
        <v>25</v>
      </c>
      <c r="AP3053">
        <v>3800</v>
      </c>
      <c r="AQ3053" t="s">
        <v>129</v>
      </c>
      <c r="AR3053">
        <v>-67</v>
      </c>
      <c r="AS3053">
        <v>-111</v>
      </c>
      <c r="AT3053">
        <v>1216</v>
      </c>
      <c r="BB3053">
        <v>1200</v>
      </c>
      <c r="BC3053">
        <v>1</v>
      </c>
      <c r="BD3053" t="str">
        <f t="shared" si="1097"/>
        <v xml:space="preserve">N887QR  </v>
      </c>
      <c r="BE3053">
        <v>1</v>
      </c>
      <c r="BG3053">
        <v>0</v>
      </c>
      <c r="BH3053">
        <v>0</v>
      </c>
      <c r="BI3053">
        <v>0</v>
      </c>
      <c r="BJ3053">
        <v>3475</v>
      </c>
      <c r="BK3053">
        <v>-325</v>
      </c>
      <c r="BL3053" t="s">
        <v>163</v>
      </c>
      <c r="BM3053">
        <v>1</v>
      </c>
      <c r="BN3053">
        <v>1</v>
      </c>
      <c r="BO3053">
        <v>1</v>
      </c>
      <c r="BP3053">
        <v>0</v>
      </c>
      <c r="BS3053">
        <v>0</v>
      </c>
      <c r="BT3053">
        <v>0</v>
      </c>
      <c r="BU3053">
        <v>0</v>
      </c>
      <c r="CE3053" t="str">
        <f t="shared" si="1112"/>
        <v>19:33:42.338</v>
      </c>
      <c r="CF3053">
        <v>337795221</v>
      </c>
      <c r="CS3053">
        <v>0</v>
      </c>
      <c r="CT3053">
        <v>2</v>
      </c>
      <c r="CU3053">
        <v>0</v>
      </c>
      <c r="CV3053">
        <v>2</v>
      </c>
      <c r="CW3053">
        <v>0</v>
      </c>
      <c r="CX3053">
        <v>5</v>
      </c>
      <c r="CY3053">
        <v>7</v>
      </c>
      <c r="CZ3053" t="s">
        <v>131</v>
      </c>
      <c r="DA3053">
        <v>300</v>
      </c>
      <c r="DB3053">
        <v>0</v>
      </c>
      <c r="DC3053" t="s">
        <v>176</v>
      </c>
      <c r="DD3053" t="s">
        <v>177</v>
      </c>
      <c r="DG3053">
        <v>5428172</v>
      </c>
      <c r="DI3053">
        <v>1</v>
      </c>
      <c r="DJ3053">
        <v>0</v>
      </c>
      <c r="DK3053">
        <v>1</v>
      </c>
      <c r="DL3053">
        <v>0</v>
      </c>
      <c r="DM3053">
        <v>0</v>
      </c>
      <c r="DN3053">
        <v>1</v>
      </c>
      <c r="DO3053">
        <v>0</v>
      </c>
      <c r="DP3053">
        <v>0</v>
      </c>
      <c r="DQ3053">
        <v>0</v>
      </c>
      <c r="DR3053">
        <v>0</v>
      </c>
      <c r="DS3053">
        <v>0</v>
      </c>
    </row>
    <row r="3054" spans="1:123" x14ac:dyDescent="0.3">
      <c r="A3054" t="str">
        <f t="shared" si="1110"/>
        <v>10/04/2022 19:33:42.744</v>
      </c>
      <c r="C3054" t="str">
        <f t="shared" si="1109"/>
        <v>FFDFD3C0</v>
      </c>
      <c r="D3054" t="s">
        <v>136</v>
      </c>
      <c r="E3054">
        <v>8</v>
      </c>
      <c r="H3054">
        <v>225</v>
      </c>
      <c r="I3054" t="s">
        <v>137</v>
      </c>
      <c r="J3054" t="s">
        <v>138</v>
      </c>
      <c r="K3054">
        <v>0</v>
      </c>
      <c r="L3054">
        <v>3</v>
      </c>
      <c r="M3054">
        <v>0</v>
      </c>
      <c r="N3054">
        <v>2</v>
      </c>
      <c r="O3054">
        <v>0</v>
      </c>
      <c r="P3054">
        <v>1</v>
      </c>
      <c r="Q3054">
        <v>0</v>
      </c>
      <c r="S3054" t="str">
        <f t="shared" si="1111"/>
        <v>19:33:42.000</v>
      </c>
      <c r="T3054" t="str">
        <f t="shared" si="1111"/>
        <v>19:33:42.000</v>
      </c>
      <c r="U3054" t="str">
        <f t="shared" si="1096"/>
        <v>AC3944</v>
      </c>
      <c r="V3054">
        <v>0</v>
      </c>
      <c r="W3054">
        <v>0</v>
      </c>
      <c r="X3054">
        <v>2</v>
      </c>
      <c r="Y3054">
        <v>0</v>
      </c>
      <c r="AA3054">
        <v>1</v>
      </c>
      <c r="AB3054">
        <v>8</v>
      </c>
      <c r="AC3054">
        <v>3</v>
      </c>
      <c r="AD3054">
        <v>0</v>
      </c>
      <c r="AE3054">
        <v>9</v>
      </c>
      <c r="AF3054" t="s">
        <v>138</v>
      </c>
      <c r="AG3054">
        <v>0</v>
      </c>
      <c r="AH3054">
        <v>3</v>
      </c>
      <c r="AI3054">
        <v>1</v>
      </c>
      <c r="AJ3054">
        <v>0</v>
      </c>
      <c r="AK3054" t="s">
        <v>1022</v>
      </c>
      <c r="AL3054">
        <v>32.715569000000002</v>
      </c>
      <c r="AM3054" t="s">
        <v>1023</v>
      </c>
      <c r="AN3054">
        <v>-116.761022</v>
      </c>
      <c r="AO3054">
        <v>25</v>
      </c>
      <c r="AP3054">
        <v>3800</v>
      </c>
      <c r="AQ3054" t="s">
        <v>129</v>
      </c>
      <c r="AR3054">
        <v>-67</v>
      </c>
      <c r="AS3054">
        <v>-111</v>
      </c>
      <c r="AT3054">
        <v>1216</v>
      </c>
      <c r="BB3054">
        <v>1200</v>
      </c>
      <c r="BC3054">
        <v>1</v>
      </c>
      <c r="BD3054" t="str">
        <f t="shared" si="1097"/>
        <v xml:space="preserve">N887QR  </v>
      </c>
      <c r="BE3054">
        <v>1</v>
      </c>
      <c r="BG3054">
        <v>0</v>
      </c>
      <c r="BH3054">
        <v>0</v>
      </c>
      <c r="BI3054">
        <v>0</v>
      </c>
      <c r="BJ3054">
        <v>3475</v>
      </c>
      <c r="BK3054">
        <v>-325</v>
      </c>
      <c r="BL3054" t="s">
        <v>163</v>
      </c>
      <c r="BM3054">
        <v>1</v>
      </c>
      <c r="BN3054">
        <v>1</v>
      </c>
      <c r="BO3054">
        <v>1</v>
      </c>
      <c r="BP3054">
        <v>0</v>
      </c>
      <c r="BS3054">
        <v>0</v>
      </c>
      <c r="BT3054">
        <v>0</v>
      </c>
      <c r="BU3054">
        <v>0</v>
      </c>
      <c r="CE3054" t="str">
        <f t="shared" si="1112"/>
        <v>19:33:42.338</v>
      </c>
      <c r="CF3054">
        <v>337795221</v>
      </c>
      <c r="CS3054">
        <v>0</v>
      </c>
      <c r="CT3054">
        <v>2</v>
      </c>
      <c r="CU3054">
        <v>0</v>
      </c>
      <c r="CV3054">
        <v>2</v>
      </c>
      <c r="CW3054">
        <v>0</v>
      </c>
      <c r="CX3054">
        <v>5</v>
      </c>
      <c r="CY3054">
        <v>7</v>
      </c>
      <c r="CZ3054" t="s">
        <v>131</v>
      </c>
      <c r="DA3054">
        <v>300</v>
      </c>
      <c r="DB3054">
        <v>0</v>
      </c>
      <c r="DC3054" t="s">
        <v>176</v>
      </c>
      <c r="DD3054" t="s">
        <v>177</v>
      </c>
      <c r="DG3054">
        <v>5428172</v>
      </c>
      <c r="DI3054">
        <v>1</v>
      </c>
      <c r="DJ3054">
        <v>0</v>
      </c>
      <c r="DK3054">
        <v>1</v>
      </c>
      <c r="DL3054">
        <v>0</v>
      </c>
      <c r="DM3054">
        <v>0</v>
      </c>
      <c r="DN3054">
        <v>1</v>
      </c>
      <c r="DO3054">
        <v>0</v>
      </c>
      <c r="DP3054">
        <v>0</v>
      </c>
      <c r="DQ3054">
        <v>0</v>
      </c>
      <c r="DR3054">
        <v>0</v>
      </c>
      <c r="DS3054">
        <v>0</v>
      </c>
    </row>
    <row r="3055" spans="1:123" x14ac:dyDescent="0.3">
      <c r="A3055" t="str">
        <f t="shared" ref="A3055:A3061" si="1113">"10/04/2022 19:33:44.729"</f>
        <v>10/04/2022 19:33:44.729</v>
      </c>
      <c r="C3055" t="str">
        <f t="shared" si="1109"/>
        <v>FFDFD3C0</v>
      </c>
      <c r="D3055" t="s">
        <v>143</v>
      </c>
      <c r="E3055">
        <v>20</v>
      </c>
      <c r="F3055">
        <v>1020</v>
      </c>
      <c r="G3055" t="s">
        <v>144</v>
      </c>
      <c r="J3055" t="s">
        <v>145</v>
      </c>
      <c r="K3055">
        <v>0</v>
      </c>
      <c r="L3055">
        <v>3</v>
      </c>
      <c r="M3055">
        <v>0</v>
      </c>
      <c r="N3055">
        <v>2</v>
      </c>
      <c r="O3055">
        <v>0</v>
      </c>
      <c r="P3055">
        <v>1</v>
      </c>
      <c r="Q3055">
        <v>0</v>
      </c>
      <c r="S3055" t="str">
        <f t="shared" ref="S3055:T3061" si="1114">"19:33:44.000"</f>
        <v>19:33:44.000</v>
      </c>
      <c r="T3055" t="str">
        <f t="shared" si="1114"/>
        <v>19:33:44.000</v>
      </c>
      <c r="U3055" t="str">
        <f t="shared" si="1096"/>
        <v>AC3944</v>
      </c>
      <c r="V3055">
        <v>0</v>
      </c>
      <c r="W3055">
        <v>0</v>
      </c>
      <c r="X3055">
        <v>2</v>
      </c>
      <c r="Y3055">
        <v>0</v>
      </c>
      <c r="AA3055">
        <v>1</v>
      </c>
      <c r="AB3055">
        <v>8</v>
      </c>
      <c r="AC3055">
        <v>3</v>
      </c>
      <c r="AD3055">
        <v>0</v>
      </c>
      <c r="AE3055">
        <v>9</v>
      </c>
      <c r="AF3055" t="s">
        <v>138</v>
      </c>
      <c r="AG3055">
        <v>0</v>
      </c>
      <c r="AH3055">
        <v>3</v>
      </c>
      <c r="AI3055">
        <v>1</v>
      </c>
      <c r="AJ3055">
        <v>0</v>
      </c>
      <c r="AK3055" t="s">
        <v>1024</v>
      </c>
      <c r="AL3055">
        <v>32.714517000000001</v>
      </c>
      <c r="AM3055" t="s">
        <v>933</v>
      </c>
      <c r="AN3055">
        <v>-116.76173</v>
      </c>
      <c r="AO3055">
        <v>25</v>
      </c>
      <c r="AP3055">
        <v>3800</v>
      </c>
      <c r="AQ3055" t="s">
        <v>129</v>
      </c>
      <c r="AR3055">
        <v>-42</v>
      </c>
      <c r="AS3055">
        <v>-120</v>
      </c>
      <c r="AT3055">
        <v>1280</v>
      </c>
      <c r="BB3055">
        <v>1200</v>
      </c>
      <c r="BC3055">
        <v>1</v>
      </c>
      <c r="BD3055" t="str">
        <f t="shared" si="1097"/>
        <v xml:space="preserve">N887QR  </v>
      </c>
      <c r="BE3055">
        <v>1</v>
      </c>
      <c r="BG3055">
        <v>0</v>
      </c>
      <c r="BH3055">
        <v>0</v>
      </c>
      <c r="BI3055">
        <v>0</v>
      </c>
      <c r="BJ3055">
        <v>3525</v>
      </c>
      <c r="BK3055">
        <v>-275</v>
      </c>
      <c r="BL3055" t="s">
        <v>163</v>
      </c>
      <c r="BM3055">
        <v>1</v>
      </c>
      <c r="BN3055">
        <v>1</v>
      </c>
      <c r="BO3055">
        <v>1</v>
      </c>
      <c r="BP3055">
        <v>0</v>
      </c>
      <c r="BS3055">
        <v>0</v>
      </c>
      <c r="BT3055">
        <v>0</v>
      </c>
      <c r="BU3055">
        <v>0</v>
      </c>
      <c r="CE3055" t="str">
        <f t="shared" ref="CE3055:CE3061" si="1115">"19:33:44.291"</f>
        <v>19:33:44.291</v>
      </c>
      <c r="CF3055">
        <v>291051694</v>
      </c>
      <c r="CS3055">
        <v>0</v>
      </c>
      <c r="CT3055">
        <v>2</v>
      </c>
      <c r="CU3055">
        <v>0</v>
      </c>
      <c r="CV3055">
        <v>2</v>
      </c>
      <c r="CW3055">
        <v>0</v>
      </c>
      <c r="CX3055">
        <v>5</v>
      </c>
      <c r="CY3055">
        <v>7</v>
      </c>
      <c r="CZ3055" t="s">
        <v>131</v>
      </c>
      <c r="DA3055">
        <v>300</v>
      </c>
      <c r="DB3055">
        <v>0</v>
      </c>
      <c r="DC3055" t="s">
        <v>176</v>
      </c>
      <c r="DD3055" t="s">
        <v>177</v>
      </c>
      <c r="DG3055">
        <v>5428469</v>
      </c>
      <c r="DI3055">
        <v>1</v>
      </c>
      <c r="DJ3055">
        <v>0</v>
      </c>
      <c r="DK3055">
        <v>0</v>
      </c>
      <c r="DL3055">
        <v>0</v>
      </c>
      <c r="DM3055">
        <v>0</v>
      </c>
      <c r="DN3055">
        <v>1</v>
      </c>
      <c r="DO3055">
        <v>0</v>
      </c>
      <c r="DP3055">
        <v>0</v>
      </c>
      <c r="DQ3055">
        <v>0</v>
      </c>
      <c r="DR3055">
        <v>0</v>
      </c>
      <c r="DS3055">
        <v>0</v>
      </c>
    </row>
    <row r="3056" spans="1:123" x14ac:dyDescent="0.3">
      <c r="A3056" t="str">
        <f t="shared" si="1113"/>
        <v>10/04/2022 19:33:44.729</v>
      </c>
      <c r="C3056" t="str">
        <f t="shared" si="1109"/>
        <v>FFDFD3C0</v>
      </c>
      <c r="D3056" t="s">
        <v>141</v>
      </c>
      <c r="E3056">
        <v>3</v>
      </c>
      <c r="H3056">
        <v>3</v>
      </c>
      <c r="I3056" t="s">
        <v>146</v>
      </c>
      <c r="J3056" t="s">
        <v>138</v>
      </c>
      <c r="K3056">
        <v>0</v>
      </c>
      <c r="L3056">
        <v>3</v>
      </c>
      <c r="M3056">
        <v>0</v>
      </c>
      <c r="N3056">
        <v>2</v>
      </c>
      <c r="O3056">
        <v>0</v>
      </c>
      <c r="P3056">
        <v>1</v>
      </c>
      <c r="Q3056">
        <v>0</v>
      </c>
      <c r="S3056" t="str">
        <f t="shared" si="1114"/>
        <v>19:33:44.000</v>
      </c>
      <c r="T3056" t="str">
        <f t="shared" si="1114"/>
        <v>19:33:44.000</v>
      </c>
      <c r="U3056" t="str">
        <f t="shared" si="1096"/>
        <v>AC3944</v>
      </c>
      <c r="V3056">
        <v>0</v>
      </c>
      <c r="W3056">
        <v>0</v>
      </c>
      <c r="X3056">
        <v>2</v>
      </c>
      <c r="Y3056">
        <v>0</v>
      </c>
      <c r="AA3056">
        <v>1</v>
      </c>
      <c r="AB3056">
        <v>8</v>
      </c>
      <c r="AC3056">
        <v>3</v>
      </c>
      <c r="AD3056">
        <v>0</v>
      </c>
      <c r="AE3056">
        <v>9</v>
      </c>
      <c r="AF3056" t="s">
        <v>138</v>
      </c>
      <c r="AG3056">
        <v>0</v>
      </c>
      <c r="AH3056">
        <v>3</v>
      </c>
      <c r="AI3056">
        <v>1</v>
      </c>
      <c r="AJ3056">
        <v>0</v>
      </c>
      <c r="AK3056" t="s">
        <v>1024</v>
      </c>
      <c r="AL3056">
        <v>32.714517000000001</v>
      </c>
      <c r="AM3056" t="s">
        <v>933</v>
      </c>
      <c r="AN3056">
        <v>-116.76173</v>
      </c>
      <c r="AO3056">
        <v>25</v>
      </c>
      <c r="AP3056">
        <v>3800</v>
      </c>
      <c r="AQ3056" t="s">
        <v>129</v>
      </c>
      <c r="AR3056">
        <v>-42</v>
      </c>
      <c r="AS3056">
        <v>-120</v>
      </c>
      <c r="AT3056">
        <v>1280</v>
      </c>
      <c r="BB3056">
        <v>1200</v>
      </c>
      <c r="BC3056">
        <v>1</v>
      </c>
      <c r="BD3056" t="str">
        <f t="shared" si="1097"/>
        <v xml:space="preserve">N887QR  </v>
      </c>
      <c r="BE3056">
        <v>1</v>
      </c>
      <c r="BG3056">
        <v>0</v>
      </c>
      <c r="BH3056">
        <v>0</v>
      </c>
      <c r="BI3056">
        <v>0</v>
      </c>
      <c r="BJ3056">
        <v>3525</v>
      </c>
      <c r="BK3056">
        <v>-275</v>
      </c>
      <c r="BL3056" t="s">
        <v>163</v>
      </c>
      <c r="BM3056">
        <v>1</v>
      </c>
      <c r="BN3056">
        <v>1</v>
      </c>
      <c r="BO3056">
        <v>1</v>
      </c>
      <c r="BP3056">
        <v>0</v>
      </c>
      <c r="BS3056">
        <v>0</v>
      </c>
      <c r="BT3056">
        <v>0</v>
      </c>
      <c r="BU3056">
        <v>0</v>
      </c>
      <c r="CE3056" t="str">
        <f t="shared" si="1115"/>
        <v>19:33:44.291</v>
      </c>
      <c r="CF3056">
        <v>291051694</v>
      </c>
      <c r="CS3056">
        <v>0</v>
      </c>
      <c r="CT3056">
        <v>2</v>
      </c>
      <c r="CU3056">
        <v>0</v>
      </c>
      <c r="CV3056">
        <v>2</v>
      </c>
      <c r="CW3056">
        <v>0</v>
      </c>
      <c r="CX3056">
        <v>5</v>
      </c>
      <c r="CY3056">
        <v>7</v>
      </c>
      <c r="CZ3056" t="s">
        <v>131</v>
      </c>
      <c r="DA3056">
        <v>300</v>
      </c>
      <c r="DB3056">
        <v>0</v>
      </c>
      <c r="DC3056" t="s">
        <v>176</v>
      </c>
      <c r="DD3056" t="s">
        <v>177</v>
      </c>
      <c r="DG3056">
        <v>5428469</v>
      </c>
      <c r="DI3056">
        <v>1</v>
      </c>
      <c r="DJ3056">
        <v>0</v>
      </c>
      <c r="DK3056">
        <v>1</v>
      </c>
      <c r="DL3056">
        <v>0</v>
      </c>
      <c r="DM3056">
        <v>0</v>
      </c>
      <c r="DN3056">
        <v>1</v>
      </c>
      <c r="DO3056">
        <v>0</v>
      </c>
      <c r="DP3056">
        <v>0</v>
      </c>
      <c r="DQ3056">
        <v>0</v>
      </c>
      <c r="DR3056">
        <v>0</v>
      </c>
      <c r="DS3056">
        <v>0</v>
      </c>
    </row>
    <row r="3057" spans="1:123" x14ac:dyDescent="0.3">
      <c r="A3057" t="str">
        <f t="shared" si="1113"/>
        <v>10/04/2022 19:33:44.729</v>
      </c>
      <c r="C3057" t="str">
        <f t="shared" si="1109"/>
        <v>FFDFD3C0</v>
      </c>
      <c r="D3057" t="s">
        <v>147</v>
      </c>
      <c r="E3057">
        <v>3</v>
      </c>
      <c r="H3057">
        <v>166</v>
      </c>
      <c r="I3057" t="s">
        <v>144</v>
      </c>
      <c r="J3057" t="s">
        <v>148</v>
      </c>
      <c r="K3057">
        <v>0</v>
      </c>
      <c r="L3057">
        <v>3</v>
      </c>
      <c r="M3057">
        <v>0</v>
      </c>
      <c r="N3057">
        <v>2</v>
      </c>
      <c r="O3057">
        <v>0</v>
      </c>
      <c r="P3057">
        <v>1</v>
      </c>
      <c r="Q3057">
        <v>0</v>
      </c>
      <c r="S3057" t="str">
        <f t="shared" si="1114"/>
        <v>19:33:44.000</v>
      </c>
      <c r="T3057" t="str">
        <f t="shared" si="1114"/>
        <v>19:33:44.000</v>
      </c>
      <c r="U3057" t="str">
        <f t="shared" si="1096"/>
        <v>AC3944</v>
      </c>
      <c r="V3057">
        <v>0</v>
      </c>
      <c r="W3057">
        <v>0</v>
      </c>
      <c r="X3057">
        <v>2</v>
      </c>
      <c r="Y3057">
        <v>0</v>
      </c>
      <c r="AA3057">
        <v>1</v>
      </c>
      <c r="AB3057">
        <v>8</v>
      </c>
      <c r="AC3057">
        <v>3</v>
      </c>
      <c r="AD3057">
        <v>0</v>
      </c>
      <c r="AE3057">
        <v>9</v>
      </c>
      <c r="AF3057" t="s">
        <v>138</v>
      </c>
      <c r="AG3057">
        <v>0</v>
      </c>
      <c r="AH3057">
        <v>3</v>
      </c>
      <c r="AI3057">
        <v>1</v>
      </c>
      <c r="AJ3057">
        <v>0</v>
      </c>
      <c r="AK3057" t="s">
        <v>1024</v>
      </c>
      <c r="AL3057">
        <v>32.714517000000001</v>
      </c>
      <c r="AM3057" t="s">
        <v>933</v>
      </c>
      <c r="AN3057">
        <v>-116.76173</v>
      </c>
      <c r="AO3057">
        <v>25</v>
      </c>
      <c r="AP3057">
        <v>3800</v>
      </c>
      <c r="AQ3057" t="s">
        <v>129</v>
      </c>
      <c r="AR3057">
        <v>-42</v>
      </c>
      <c r="AS3057">
        <v>-120</v>
      </c>
      <c r="AT3057">
        <v>1280</v>
      </c>
      <c r="BB3057">
        <v>1200</v>
      </c>
      <c r="BC3057">
        <v>1</v>
      </c>
      <c r="BD3057" t="str">
        <f t="shared" si="1097"/>
        <v xml:space="preserve">N887QR  </v>
      </c>
      <c r="BE3057">
        <v>1</v>
      </c>
      <c r="BG3057">
        <v>0</v>
      </c>
      <c r="BH3057">
        <v>0</v>
      </c>
      <c r="BI3057">
        <v>0</v>
      </c>
      <c r="BJ3057">
        <v>3525</v>
      </c>
      <c r="BK3057">
        <v>-275</v>
      </c>
      <c r="BL3057" t="s">
        <v>163</v>
      </c>
      <c r="BM3057">
        <v>1</v>
      </c>
      <c r="BN3057">
        <v>1</v>
      </c>
      <c r="BO3057">
        <v>1</v>
      </c>
      <c r="BP3057">
        <v>0</v>
      </c>
      <c r="BS3057">
        <v>0</v>
      </c>
      <c r="BT3057">
        <v>0</v>
      </c>
      <c r="BU3057">
        <v>0</v>
      </c>
      <c r="CE3057" t="str">
        <f t="shared" si="1115"/>
        <v>19:33:44.291</v>
      </c>
      <c r="CF3057">
        <v>291051694</v>
      </c>
      <c r="CS3057">
        <v>0</v>
      </c>
      <c r="CT3057">
        <v>2</v>
      </c>
      <c r="CU3057">
        <v>0</v>
      </c>
      <c r="CV3057">
        <v>2</v>
      </c>
      <c r="CW3057">
        <v>0</v>
      </c>
      <c r="CX3057">
        <v>5</v>
      </c>
      <c r="CY3057">
        <v>7</v>
      </c>
      <c r="CZ3057" t="s">
        <v>131</v>
      </c>
      <c r="DA3057">
        <v>300</v>
      </c>
      <c r="DB3057">
        <v>0</v>
      </c>
      <c r="DC3057" t="s">
        <v>176</v>
      </c>
      <c r="DD3057" t="s">
        <v>177</v>
      </c>
      <c r="DG3057">
        <v>5428469</v>
      </c>
      <c r="DI3057">
        <v>1</v>
      </c>
      <c r="DJ3057">
        <v>0</v>
      </c>
      <c r="DK3057">
        <v>1</v>
      </c>
      <c r="DL3057">
        <v>0</v>
      </c>
      <c r="DM3057">
        <v>0</v>
      </c>
      <c r="DN3057">
        <v>1</v>
      </c>
      <c r="DO3057">
        <v>0</v>
      </c>
      <c r="DP3057">
        <v>0</v>
      </c>
      <c r="DQ3057">
        <v>0</v>
      </c>
      <c r="DR3057">
        <v>0</v>
      </c>
      <c r="DS3057">
        <v>0</v>
      </c>
    </row>
    <row r="3058" spans="1:123" x14ac:dyDescent="0.3">
      <c r="A3058" t="str">
        <f t="shared" si="1113"/>
        <v>10/04/2022 19:33:44.729</v>
      </c>
      <c r="C3058" t="str">
        <f t="shared" si="1109"/>
        <v>FFDFD3C0</v>
      </c>
      <c r="D3058" t="s">
        <v>123</v>
      </c>
      <c r="E3058">
        <v>7</v>
      </c>
      <c r="F3058">
        <v>2007</v>
      </c>
      <c r="G3058" t="s">
        <v>124</v>
      </c>
      <c r="J3058" t="s">
        <v>125</v>
      </c>
      <c r="K3058">
        <v>0</v>
      </c>
      <c r="L3058">
        <v>3</v>
      </c>
      <c r="M3058">
        <v>0</v>
      </c>
      <c r="N3058">
        <v>2</v>
      </c>
      <c r="O3058">
        <v>0</v>
      </c>
      <c r="P3058">
        <v>1</v>
      </c>
      <c r="Q3058">
        <v>0</v>
      </c>
      <c r="S3058" t="str">
        <f t="shared" si="1114"/>
        <v>19:33:44.000</v>
      </c>
      <c r="T3058" t="str">
        <f t="shared" si="1114"/>
        <v>19:33:44.000</v>
      </c>
      <c r="U3058" t="str">
        <f t="shared" si="1096"/>
        <v>AC3944</v>
      </c>
      <c r="V3058">
        <v>0</v>
      </c>
      <c r="W3058">
        <v>0</v>
      </c>
      <c r="X3058">
        <v>2</v>
      </c>
      <c r="Y3058">
        <v>0</v>
      </c>
      <c r="AA3058">
        <v>1</v>
      </c>
      <c r="AB3058">
        <v>8</v>
      </c>
      <c r="AC3058">
        <v>3</v>
      </c>
      <c r="AD3058">
        <v>0</v>
      </c>
      <c r="AE3058">
        <v>9</v>
      </c>
      <c r="AF3058" t="s">
        <v>138</v>
      </c>
      <c r="AG3058">
        <v>0</v>
      </c>
      <c r="AH3058">
        <v>3</v>
      </c>
      <c r="AI3058">
        <v>1</v>
      </c>
      <c r="AJ3058">
        <v>0</v>
      </c>
      <c r="AK3058" t="s">
        <v>1024</v>
      </c>
      <c r="AL3058">
        <v>32.714517000000001</v>
      </c>
      <c r="AM3058" t="s">
        <v>933</v>
      </c>
      <c r="AN3058">
        <v>-116.76173</v>
      </c>
      <c r="AO3058">
        <v>25</v>
      </c>
      <c r="AP3058">
        <v>3800</v>
      </c>
      <c r="AQ3058" t="s">
        <v>129</v>
      </c>
      <c r="AR3058">
        <v>-42</v>
      </c>
      <c r="AS3058">
        <v>-120</v>
      </c>
      <c r="AT3058">
        <v>1280</v>
      </c>
      <c r="BB3058">
        <v>1200</v>
      </c>
      <c r="BC3058">
        <v>1</v>
      </c>
      <c r="BD3058" t="str">
        <f t="shared" si="1097"/>
        <v xml:space="preserve">N887QR  </v>
      </c>
      <c r="BE3058">
        <v>1</v>
      </c>
      <c r="BG3058">
        <v>0</v>
      </c>
      <c r="BH3058">
        <v>0</v>
      </c>
      <c r="BI3058">
        <v>0</v>
      </c>
      <c r="BJ3058">
        <v>3525</v>
      </c>
      <c r="BK3058">
        <v>-275</v>
      </c>
      <c r="BL3058" t="s">
        <v>163</v>
      </c>
      <c r="BM3058">
        <v>1</v>
      </c>
      <c r="BN3058">
        <v>1</v>
      </c>
      <c r="BO3058">
        <v>1</v>
      </c>
      <c r="BP3058">
        <v>0</v>
      </c>
      <c r="BS3058">
        <v>0</v>
      </c>
      <c r="BT3058">
        <v>0</v>
      </c>
      <c r="BU3058">
        <v>0</v>
      </c>
      <c r="CE3058" t="str">
        <f t="shared" si="1115"/>
        <v>19:33:44.291</v>
      </c>
      <c r="CF3058">
        <v>291051694</v>
      </c>
      <c r="CS3058">
        <v>0</v>
      </c>
      <c r="CT3058">
        <v>2</v>
      </c>
      <c r="CU3058">
        <v>0</v>
      </c>
      <c r="CV3058">
        <v>2</v>
      </c>
      <c r="CW3058">
        <v>0</v>
      </c>
      <c r="CX3058">
        <v>5</v>
      </c>
      <c r="CY3058">
        <v>7</v>
      </c>
      <c r="CZ3058" t="s">
        <v>131</v>
      </c>
      <c r="DA3058">
        <v>300</v>
      </c>
      <c r="DB3058">
        <v>0</v>
      </c>
      <c r="DC3058" t="s">
        <v>176</v>
      </c>
      <c r="DD3058" t="s">
        <v>177</v>
      </c>
      <c r="DG3058">
        <v>5428469</v>
      </c>
      <c r="DI3058">
        <v>1</v>
      </c>
      <c r="DJ3058">
        <v>0</v>
      </c>
      <c r="DK3058">
        <v>1</v>
      </c>
      <c r="DL3058">
        <v>0</v>
      </c>
      <c r="DM3058">
        <v>0</v>
      </c>
      <c r="DN3058">
        <v>1</v>
      </c>
      <c r="DO3058">
        <v>0</v>
      </c>
      <c r="DP3058">
        <v>0</v>
      </c>
      <c r="DQ3058">
        <v>0</v>
      </c>
      <c r="DR3058">
        <v>0</v>
      </c>
      <c r="DS3058">
        <v>0</v>
      </c>
    </row>
    <row r="3059" spans="1:123" x14ac:dyDescent="0.3">
      <c r="A3059" t="str">
        <f t="shared" si="1113"/>
        <v>10/04/2022 19:33:44.729</v>
      </c>
      <c r="C3059" t="str">
        <f t="shared" si="1109"/>
        <v>FFDFD3C0</v>
      </c>
      <c r="D3059" t="s">
        <v>134</v>
      </c>
      <c r="E3059">
        <v>15</v>
      </c>
      <c r="J3059" t="s">
        <v>135</v>
      </c>
      <c r="K3059">
        <v>0</v>
      </c>
      <c r="L3059">
        <v>3</v>
      </c>
      <c r="M3059">
        <v>0</v>
      </c>
      <c r="N3059">
        <v>2</v>
      </c>
      <c r="O3059">
        <v>0</v>
      </c>
      <c r="P3059">
        <v>1</v>
      </c>
      <c r="Q3059">
        <v>0</v>
      </c>
      <c r="S3059" t="str">
        <f t="shared" si="1114"/>
        <v>19:33:44.000</v>
      </c>
      <c r="T3059" t="str">
        <f t="shared" si="1114"/>
        <v>19:33:44.000</v>
      </c>
      <c r="U3059" t="str">
        <f t="shared" si="1096"/>
        <v>AC3944</v>
      </c>
      <c r="V3059">
        <v>0</v>
      </c>
      <c r="W3059">
        <v>0</v>
      </c>
      <c r="X3059">
        <v>2</v>
      </c>
      <c r="Y3059">
        <v>0</v>
      </c>
      <c r="AA3059">
        <v>1</v>
      </c>
      <c r="AB3059">
        <v>8</v>
      </c>
      <c r="AC3059">
        <v>3</v>
      </c>
      <c r="AD3059">
        <v>0</v>
      </c>
      <c r="AE3059">
        <v>9</v>
      </c>
      <c r="AF3059" t="s">
        <v>138</v>
      </c>
      <c r="AG3059">
        <v>0</v>
      </c>
      <c r="AH3059">
        <v>3</v>
      </c>
      <c r="AI3059">
        <v>1</v>
      </c>
      <c r="AJ3059">
        <v>0</v>
      </c>
      <c r="AK3059" t="s">
        <v>1024</v>
      </c>
      <c r="AL3059">
        <v>32.714517000000001</v>
      </c>
      <c r="AM3059" t="s">
        <v>933</v>
      </c>
      <c r="AN3059">
        <v>-116.76173</v>
      </c>
      <c r="AO3059">
        <v>25</v>
      </c>
      <c r="AP3059">
        <v>3800</v>
      </c>
      <c r="AQ3059" t="s">
        <v>129</v>
      </c>
      <c r="AR3059">
        <v>-42</v>
      </c>
      <c r="AS3059">
        <v>-120</v>
      </c>
      <c r="AT3059">
        <v>1280</v>
      </c>
      <c r="BB3059">
        <v>1200</v>
      </c>
      <c r="BC3059">
        <v>1</v>
      </c>
      <c r="BD3059" t="str">
        <f t="shared" si="1097"/>
        <v xml:space="preserve">N887QR  </v>
      </c>
      <c r="BE3059">
        <v>1</v>
      </c>
      <c r="BG3059">
        <v>0</v>
      </c>
      <c r="BH3059">
        <v>0</v>
      </c>
      <c r="BI3059">
        <v>0</v>
      </c>
      <c r="BJ3059">
        <v>3525</v>
      </c>
      <c r="BK3059">
        <v>-275</v>
      </c>
      <c r="BL3059" t="s">
        <v>163</v>
      </c>
      <c r="BM3059">
        <v>1</v>
      </c>
      <c r="BN3059">
        <v>1</v>
      </c>
      <c r="BO3059">
        <v>1</v>
      </c>
      <c r="BP3059">
        <v>0</v>
      </c>
      <c r="BS3059">
        <v>0</v>
      </c>
      <c r="BT3059">
        <v>0</v>
      </c>
      <c r="BU3059">
        <v>0</v>
      </c>
      <c r="CE3059" t="str">
        <f t="shared" si="1115"/>
        <v>19:33:44.291</v>
      </c>
      <c r="CF3059">
        <v>291051694</v>
      </c>
      <c r="CS3059">
        <v>0</v>
      </c>
      <c r="CT3059">
        <v>2</v>
      </c>
      <c r="CU3059">
        <v>0</v>
      </c>
      <c r="CV3059">
        <v>2</v>
      </c>
      <c r="CW3059">
        <v>0</v>
      </c>
      <c r="CX3059">
        <v>5</v>
      </c>
      <c r="CY3059">
        <v>7</v>
      </c>
      <c r="CZ3059" t="s">
        <v>131</v>
      </c>
      <c r="DA3059">
        <v>300</v>
      </c>
      <c r="DB3059">
        <v>0</v>
      </c>
      <c r="DC3059" t="s">
        <v>176</v>
      </c>
      <c r="DD3059" t="s">
        <v>177</v>
      </c>
      <c r="DG3059">
        <v>5428469</v>
      </c>
      <c r="DI3059">
        <v>1</v>
      </c>
      <c r="DJ3059">
        <v>0</v>
      </c>
      <c r="DK3059">
        <v>1</v>
      </c>
      <c r="DL3059">
        <v>0</v>
      </c>
      <c r="DM3059">
        <v>0</v>
      </c>
      <c r="DN3059">
        <v>1</v>
      </c>
      <c r="DO3059">
        <v>0</v>
      </c>
      <c r="DP3059">
        <v>0</v>
      </c>
      <c r="DQ3059">
        <v>0</v>
      </c>
      <c r="DR3059">
        <v>0</v>
      </c>
      <c r="DS3059">
        <v>0</v>
      </c>
    </row>
    <row r="3060" spans="1:123" x14ac:dyDescent="0.3">
      <c r="A3060" t="str">
        <f t="shared" si="1113"/>
        <v>10/04/2022 19:33:44.729</v>
      </c>
      <c r="C3060" t="str">
        <f t="shared" si="1109"/>
        <v>FFDFD3C0</v>
      </c>
      <c r="D3060" t="s">
        <v>136</v>
      </c>
      <c r="E3060">
        <v>8</v>
      </c>
      <c r="H3060">
        <v>225</v>
      </c>
      <c r="I3060" t="s">
        <v>137</v>
      </c>
      <c r="J3060" t="s">
        <v>138</v>
      </c>
      <c r="K3060">
        <v>0</v>
      </c>
      <c r="L3060">
        <v>3</v>
      </c>
      <c r="M3060">
        <v>0</v>
      </c>
      <c r="N3060">
        <v>2</v>
      </c>
      <c r="O3060">
        <v>0</v>
      </c>
      <c r="P3060">
        <v>1</v>
      </c>
      <c r="Q3060">
        <v>0</v>
      </c>
      <c r="S3060" t="str">
        <f t="shared" si="1114"/>
        <v>19:33:44.000</v>
      </c>
      <c r="T3060" t="str">
        <f t="shared" si="1114"/>
        <v>19:33:44.000</v>
      </c>
      <c r="U3060" t="str">
        <f t="shared" si="1096"/>
        <v>AC3944</v>
      </c>
      <c r="V3060">
        <v>0</v>
      </c>
      <c r="W3060">
        <v>0</v>
      </c>
      <c r="X3060">
        <v>2</v>
      </c>
      <c r="Y3060">
        <v>0</v>
      </c>
      <c r="AA3060">
        <v>1</v>
      </c>
      <c r="AB3060">
        <v>8</v>
      </c>
      <c r="AC3060">
        <v>3</v>
      </c>
      <c r="AD3060">
        <v>0</v>
      </c>
      <c r="AE3060">
        <v>9</v>
      </c>
      <c r="AF3060" t="s">
        <v>138</v>
      </c>
      <c r="AG3060">
        <v>0</v>
      </c>
      <c r="AH3060">
        <v>3</v>
      </c>
      <c r="AI3060">
        <v>1</v>
      </c>
      <c r="AJ3060">
        <v>0</v>
      </c>
      <c r="AK3060" t="s">
        <v>1024</v>
      </c>
      <c r="AL3060">
        <v>32.714517000000001</v>
      </c>
      <c r="AM3060" t="s">
        <v>933</v>
      </c>
      <c r="AN3060">
        <v>-116.76173</v>
      </c>
      <c r="AO3060">
        <v>25</v>
      </c>
      <c r="AP3060">
        <v>3800</v>
      </c>
      <c r="AQ3060" t="s">
        <v>129</v>
      </c>
      <c r="AR3060">
        <v>-42</v>
      </c>
      <c r="AS3060">
        <v>-120</v>
      </c>
      <c r="AT3060">
        <v>1280</v>
      </c>
      <c r="BB3060">
        <v>1200</v>
      </c>
      <c r="BC3060">
        <v>1</v>
      </c>
      <c r="BD3060" t="str">
        <f t="shared" si="1097"/>
        <v xml:space="preserve">N887QR  </v>
      </c>
      <c r="BE3060">
        <v>1</v>
      </c>
      <c r="BG3060">
        <v>0</v>
      </c>
      <c r="BH3060">
        <v>0</v>
      </c>
      <c r="BI3060">
        <v>0</v>
      </c>
      <c r="BJ3060">
        <v>3525</v>
      </c>
      <c r="BK3060">
        <v>-275</v>
      </c>
      <c r="BL3060" t="s">
        <v>163</v>
      </c>
      <c r="BM3060">
        <v>1</v>
      </c>
      <c r="BN3060">
        <v>1</v>
      </c>
      <c r="BO3060">
        <v>1</v>
      </c>
      <c r="BP3060">
        <v>0</v>
      </c>
      <c r="BS3060">
        <v>0</v>
      </c>
      <c r="BT3060">
        <v>0</v>
      </c>
      <c r="BU3060">
        <v>0</v>
      </c>
      <c r="CE3060" t="str">
        <f t="shared" si="1115"/>
        <v>19:33:44.291</v>
      </c>
      <c r="CF3060">
        <v>291051694</v>
      </c>
      <c r="CS3060">
        <v>0</v>
      </c>
      <c r="CT3060">
        <v>2</v>
      </c>
      <c r="CU3060">
        <v>0</v>
      </c>
      <c r="CV3060">
        <v>2</v>
      </c>
      <c r="CW3060">
        <v>0</v>
      </c>
      <c r="CX3060">
        <v>5</v>
      </c>
      <c r="CY3060">
        <v>7</v>
      </c>
      <c r="CZ3060" t="s">
        <v>131</v>
      </c>
      <c r="DA3060">
        <v>300</v>
      </c>
      <c r="DB3060">
        <v>0</v>
      </c>
      <c r="DC3060" t="s">
        <v>176</v>
      </c>
      <c r="DD3060" t="s">
        <v>177</v>
      </c>
      <c r="DG3060">
        <v>5428469</v>
      </c>
      <c r="DI3060">
        <v>1</v>
      </c>
      <c r="DJ3060">
        <v>0</v>
      </c>
      <c r="DK3060">
        <v>1</v>
      </c>
      <c r="DL3060">
        <v>0</v>
      </c>
      <c r="DM3060">
        <v>0</v>
      </c>
      <c r="DN3060">
        <v>1</v>
      </c>
      <c r="DO3060">
        <v>0</v>
      </c>
      <c r="DP3060">
        <v>0</v>
      </c>
      <c r="DQ3060">
        <v>0</v>
      </c>
      <c r="DR3060">
        <v>0</v>
      </c>
      <c r="DS3060">
        <v>0</v>
      </c>
    </row>
    <row r="3061" spans="1:123" x14ac:dyDescent="0.3">
      <c r="A3061" t="str">
        <f t="shared" si="1113"/>
        <v>10/04/2022 19:33:44.729</v>
      </c>
      <c r="C3061" t="str">
        <f t="shared" si="1109"/>
        <v>FFDFD3C0</v>
      </c>
      <c r="D3061" t="s">
        <v>141</v>
      </c>
      <c r="E3061">
        <v>4</v>
      </c>
      <c r="H3061">
        <v>4</v>
      </c>
      <c r="I3061" t="s">
        <v>142</v>
      </c>
      <c r="J3061" t="s">
        <v>138</v>
      </c>
      <c r="K3061">
        <v>0</v>
      </c>
      <c r="L3061">
        <v>3</v>
      </c>
      <c r="M3061">
        <v>0</v>
      </c>
      <c r="N3061">
        <v>2</v>
      </c>
      <c r="O3061">
        <v>0</v>
      </c>
      <c r="P3061">
        <v>1</v>
      </c>
      <c r="Q3061">
        <v>0</v>
      </c>
      <c r="S3061" t="str">
        <f t="shared" si="1114"/>
        <v>19:33:44.000</v>
      </c>
      <c r="T3061" t="str">
        <f t="shared" si="1114"/>
        <v>19:33:44.000</v>
      </c>
      <c r="U3061" t="str">
        <f t="shared" si="1096"/>
        <v>AC3944</v>
      </c>
      <c r="V3061">
        <v>0</v>
      </c>
      <c r="W3061">
        <v>0</v>
      </c>
      <c r="X3061">
        <v>2</v>
      </c>
      <c r="Y3061">
        <v>0</v>
      </c>
      <c r="AA3061">
        <v>1</v>
      </c>
      <c r="AB3061">
        <v>8</v>
      </c>
      <c r="AC3061">
        <v>3</v>
      </c>
      <c r="AD3061">
        <v>0</v>
      </c>
      <c r="AE3061">
        <v>9</v>
      </c>
      <c r="AF3061" t="s">
        <v>138</v>
      </c>
      <c r="AG3061">
        <v>0</v>
      </c>
      <c r="AH3061">
        <v>3</v>
      </c>
      <c r="AI3061">
        <v>1</v>
      </c>
      <c r="AJ3061">
        <v>0</v>
      </c>
      <c r="AK3061" t="s">
        <v>1024</v>
      </c>
      <c r="AL3061">
        <v>32.714517000000001</v>
      </c>
      <c r="AM3061" t="s">
        <v>933</v>
      </c>
      <c r="AN3061">
        <v>-116.76173</v>
      </c>
      <c r="AO3061">
        <v>25</v>
      </c>
      <c r="AP3061">
        <v>3800</v>
      </c>
      <c r="AQ3061" t="s">
        <v>129</v>
      </c>
      <c r="AR3061">
        <v>-42</v>
      </c>
      <c r="AS3061">
        <v>-120</v>
      </c>
      <c r="AT3061">
        <v>1280</v>
      </c>
      <c r="BB3061">
        <v>1200</v>
      </c>
      <c r="BC3061">
        <v>1</v>
      </c>
      <c r="BD3061" t="str">
        <f t="shared" si="1097"/>
        <v xml:space="preserve">N887QR  </v>
      </c>
      <c r="BE3061">
        <v>1</v>
      </c>
      <c r="BG3061">
        <v>0</v>
      </c>
      <c r="BH3061">
        <v>0</v>
      </c>
      <c r="BI3061">
        <v>0</v>
      </c>
      <c r="BJ3061">
        <v>3525</v>
      </c>
      <c r="BK3061">
        <v>-275</v>
      </c>
      <c r="BL3061" t="s">
        <v>163</v>
      </c>
      <c r="BM3061">
        <v>1</v>
      </c>
      <c r="BN3061">
        <v>1</v>
      </c>
      <c r="BO3061">
        <v>1</v>
      </c>
      <c r="BP3061">
        <v>0</v>
      </c>
      <c r="BS3061">
        <v>0</v>
      </c>
      <c r="BT3061">
        <v>0</v>
      </c>
      <c r="BU3061">
        <v>0</v>
      </c>
      <c r="CE3061" t="str">
        <f t="shared" si="1115"/>
        <v>19:33:44.291</v>
      </c>
      <c r="CF3061">
        <v>291051694</v>
      </c>
      <c r="CS3061">
        <v>0</v>
      </c>
      <c r="CT3061">
        <v>2</v>
      </c>
      <c r="CU3061">
        <v>0</v>
      </c>
      <c r="CV3061">
        <v>2</v>
      </c>
      <c r="CW3061">
        <v>0</v>
      </c>
      <c r="CX3061">
        <v>5</v>
      </c>
      <c r="CY3061">
        <v>7</v>
      </c>
      <c r="CZ3061" t="s">
        <v>131</v>
      </c>
      <c r="DA3061">
        <v>300</v>
      </c>
      <c r="DB3061">
        <v>0</v>
      </c>
      <c r="DC3061" t="s">
        <v>176</v>
      </c>
      <c r="DD3061" t="s">
        <v>177</v>
      </c>
      <c r="DG3061">
        <v>5428469</v>
      </c>
      <c r="DI3061">
        <v>1</v>
      </c>
      <c r="DJ3061">
        <v>0</v>
      </c>
      <c r="DK3061">
        <v>1</v>
      </c>
      <c r="DL3061">
        <v>0</v>
      </c>
      <c r="DM3061">
        <v>0</v>
      </c>
      <c r="DN3061">
        <v>1</v>
      </c>
      <c r="DO3061">
        <v>0</v>
      </c>
      <c r="DP3061">
        <v>0</v>
      </c>
      <c r="DQ3061">
        <v>0</v>
      </c>
      <c r="DR3061">
        <v>0</v>
      </c>
      <c r="DS3061">
        <v>0</v>
      </c>
    </row>
    <row r="3062" spans="1:123" x14ac:dyDescent="0.3">
      <c r="A3062" t="str">
        <f t="shared" ref="A3062:A3068" si="1116">"10/04/2022 19:33:45.574"</f>
        <v>10/04/2022 19:33:45.574</v>
      </c>
      <c r="C3062" t="str">
        <f t="shared" si="1109"/>
        <v>FFDFD3C0</v>
      </c>
      <c r="D3062" t="s">
        <v>141</v>
      </c>
      <c r="E3062">
        <v>4</v>
      </c>
      <c r="H3062">
        <v>4</v>
      </c>
      <c r="I3062" t="s">
        <v>142</v>
      </c>
      <c r="J3062" t="s">
        <v>138</v>
      </c>
      <c r="K3062">
        <v>0</v>
      </c>
      <c r="L3062">
        <v>3</v>
      </c>
      <c r="M3062">
        <v>0</v>
      </c>
      <c r="N3062">
        <v>2</v>
      </c>
      <c r="O3062">
        <v>0</v>
      </c>
      <c r="P3062">
        <v>1</v>
      </c>
      <c r="Q3062">
        <v>0</v>
      </c>
      <c r="S3062" t="str">
        <f t="shared" ref="S3062:T3068" si="1117">"19:33:45.000"</f>
        <v>19:33:45.000</v>
      </c>
      <c r="T3062" t="str">
        <f t="shared" si="1117"/>
        <v>19:33:45.000</v>
      </c>
      <c r="U3062" t="str">
        <f t="shared" si="1096"/>
        <v>AC3944</v>
      </c>
      <c r="V3062">
        <v>0</v>
      </c>
      <c r="W3062">
        <v>0</v>
      </c>
      <c r="X3062">
        <v>2</v>
      </c>
      <c r="Y3062">
        <v>0</v>
      </c>
      <c r="AA3062">
        <v>1</v>
      </c>
      <c r="AB3062">
        <v>8</v>
      </c>
      <c r="AC3062">
        <v>3</v>
      </c>
      <c r="AD3062">
        <v>0</v>
      </c>
      <c r="AE3062">
        <v>9</v>
      </c>
      <c r="AF3062" t="s">
        <v>138</v>
      </c>
      <c r="AG3062">
        <v>0</v>
      </c>
      <c r="AH3062">
        <v>3</v>
      </c>
      <c r="AI3062">
        <v>1</v>
      </c>
      <c r="AJ3062">
        <v>0</v>
      </c>
      <c r="AK3062" t="s">
        <v>1025</v>
      </c>
      <c r="AL3062">
        <v>32.713959000000003</v>
      </c>
      <c r="AM3062" t="s">
        <v>1026</v>
      </c>
      <c r="AN3062">
        <v>-116.761966</v>
      </c>
      <c r="AO3062">
        <v>25</v>
      </c>
      <c r="AP3062">
        <v>3800</v>
      </c>
      <c r="AQ3062" t="s">
        <v>129</v>
      </c>
      <c r="AR3062">
        <v>-26</v>
      </c>
      <c r="AS3062">
        <v>-125</v>
      </c>
      <c r="AT3062">
        <v>1280</v>
      </c>
      <c r="BB3062">
        <v>1200</v>
      </c>
      <c r="BC3062">
        <v>1</v>
      </c>
      <c r="BD3062" t="str">
        <f t="shared" si="1097"/>
        <v xml:space="preserve">N887QR  </v>
      </c>
      <c r="BE3062">
        <v>1</v>
      </c>
      <c r="BG3062">
        <v>0</v>
      </c>
      <c r="BH3062">
        <v>0</v>
      </c>
      <c r="BI3062">
        <v>0</v>
      </c>
      <c r="BJ3062">
        <v>3525</v>
      </c>
      <c r="BK3062">
        <v>-275</v>
      </c>
      <c r="BL3062" t="s">
        <v>163</v>
      </c>
      <c r="BM3062">
        <v>1</v>
      </c>
      <c r="BN3062">
        <v>1</v>
      </c>
      <c r="BO3062">
        <v>1</v>
      </c>
      <c r="BP3062">
        <v>0</v>
      </c>
      <c r="BS3062">
        <v>0</v>
      </c>
      <c r="BT3062">
        <v>0</v>
      </c>
      <c r="BU3062">
        <v>0</v>
      </c>
      <c r="CE3062" t="str">
        <f t="shared" ref="CE3062:CE3068" si="1118">"19:33:45.308"</f>
        <v>19:33:45.308</v>
      </c>
      <c r="CF3062">
        <v>308305128</v>
      </c>
      <c r="CS3062">
        <v>0</v>
      </c>
      <c r="CT3062">
        <v>2</v>
      </c>
      <c r="CU3062">
        <v>0</v>
      </c>
      <c r="CV3062">
        <v>2</v>
      </c>
      <c r="CW3062">
        <v>0</v>
      </c>
      <c r="CX3062">
        <v>5</v>
      </c>
      <c r="CY3062">
        <v>7</v>
      </c>
      <c r="CZ3062" t="s">
        <v>131</v>
      </c>
      <c r="DA3062">
        <v>300</v>
      </c>
      <c r="DB3062">
        <v>0</v>
      </c>
      <c r="DC3062" t="s">
        <v>176</v>
      </c>
      <c r="DD3062" t="s">
        <v>177</v>
      </c>
      <c r="DG3062">
        <v>5428645</v>
      </c>
      <c r="DI3062">
        <v>1</v>
      </c>
      <c r="DJ3062">
        <v>0</v>
      </c>
      <c r="DK3062">
        <v>0</v>
      </c>
      <c r="DL3062">
        <v>0</v>
      </c>
      <c r="DM3062">
        <v>0</v>
      </c>
      <c r="DN3062">
        <v>1</v>
      </c>
      <c r="DO3062">
        <v>0</v>
      </c>
      <c r="DP3062">
        <v>0</v>
      </c>
      <c r="DQ3062">
        <v>0</v>
      </c>
      <c r="DR3062">
        <v>0</v>
      </c>
      <c r="DS3062">
        <v>0</v>
      </c>
    </row>
    <row r="3063" spans="1:123" x14ac:dyDescent="0.3">
      <c r="A3063" t="str">
        <f t="shared" si="1116"/>
        <v>10/04/2022 19:33:45.574</v>
      </c>
      <c r="C3063" t="str">
        <f t="shared" si="1109"/>
        <v>FFDFD3C0</v>
      </c>
      <c r="D3063" t="s">
        <v>143</v>
      </c>
      <c r="E3063">
        <v>20</v>
      </c>
      <c r="F3063">
        <v>1020</v>
      </c>
      <c r="G3063" t="s">
        <v>144</v>
      </c>
      <c r="J3063" t="s">
        <v>145</v>
      </c>
      <c r="K3063">
        <v>0</v>
      </c>
      <c r="L3063">
        <v>3</v>
      </c>
      <c r="M3063">
        <v>0</v>
      </c>
      <c r="N3063">
        <v>2</v>
      </c>
      <c r="O3063">
        <v>0</v>
      </c>
      <c r="P3063">
        <v>1</v>
      </c>
      <c r="Q3063">
        <v>0</v>
      </c>
      <c r="S3063" t="str">
        <f t="shared" si="1117"/>
        <v>19:33:45.000</v>
      </c>
      <c r="T3063" t="str">
        <f t="shared" si="1117"/>
        <v>19:33:45.000</v>
      </c>
      <c r="U3063" t="str">
        <f t="shared" si="1096"/>
        <v>AC3944</v>
      </c>
      <c r="V3063">
        <v>0</v>
      </c>
      <c r="W3063">
        <v>0</v>
      </c>
      <c r="X3063">
        <v>2</v>
      </c>
      <c r="Y3063">
        <v>0</v>
      </c>
      <c r="AA3063">
        <v>1</v>
      </c>
      <c r="AB3063">
        <v>8</v>
      </c>
      <c r="AC3063">
        <v>3</v>
      </c>
      <c r="AD3063">
        <v>0</v>
      </c>
      <c r="AE3063">
        <v>9</v>
      </c>
      <c r="AF3063" t="s">
        <v>138</v>
      </c>
      <c r="AG3063">
        <v>0</v>
      </c>
      <c r="AH3063">
        <v>3</v>
      </c>
      <c r="AI3063">
        <v>1</v>
      </c>
      <c r="AJ3063">
        <v>0</v>
      </c>
      <c r="AK3063" t="s">
        <v>1025</v>
      </c>
      <c r="AL3063">
        <v>32.713959000000003</v>
      </c>
      <c r="AM3063" t="s">
        <v>1026</v>
      </c>
      <c r="AN3063">
        <v>-116.761966</v>
      </c>
      <c r="AO3063">
        <v>25</v>
      </c>
      <c r="AP3063">
        <v>3800</v>
      </c>
      <c r="AQ3063" t="s">
        <v>129</v>
      </c>
      <c r="AR3063">
        <v>-26</v>
      </c>
      <c r="AS3063">
        <v>-125</v>
      </c>
      <c r="AT3063">
        <v>1280</v>
      </c>
      <c r="BB3063">
        <v>1200</v>
      </c>
      <c r="BC3063">
        <v>1</v>
      </c>
      <c r="BD3063" t="str">
        <f t="shared" si="1097"/>
        <v xml:space="preserve">N887QR  </v>
      </c>
      <c r="BE3063">
        <v>1</v>
      </c>
      <c r="BG3063">
        <v>0</v>
      </c>
      <c r="BH3063">
        <v>0</v>
      </c>
      <c r="BI3063">
        <v>0</v>
      </c>
      <c r="BJ3063">
        <v>3525</v>
      </c>
      <c r="BK3063">
        <v>-275</v>
      </c>
      <c r="BL3063" t="s">
        <v>163</v>
      </c>
      <c r="BM3063">
        <v>1</v>
      </c>
      <c r="BN3063">
        <v>1</v>
      </c>
      <c r="BO3063">
        <v>1</v>
      </c>
      <c r="BP3063">
        <v>0</v>
      </c>
      <c r="BS3063">
        <v>0</v>
      </c>
      <c r="BT3063">
        <v>0</v>
      </c>
      <c r="BU3063">
        <v>0</v>
      </c>
      <c r="CE3063" t="str">
        <f t="shared" si="1118"/>
        <v>19:33:45.308</v>
      </c>
      <c r="CF3063">
        <v>308305128</v>
      </c>
      <c r="CS3063">
        <v>0</v>
      </c>
      <c r="CT3063">
        <v>2</v>
      </c>
      <c r="CU3063">
        <v>0</v>
      </c>
      <c r="CV3063">
        <v>2</v>
      </c>
      <c r="CW3063">
        <v>0</v>
      </c>
      <c r="CX3063">
        <v>5</v>
      </c>
      <c r="CY3063">
        <v>7</v>
      </c>
      <c r="CZ3063" t="s">
        <v>131</v>
      </c>
      <c r="DA3063">
        <v>300</v>
      </c>
      <c r="DB3063">
        <v>0</v>
      </c>
      <c r="DC3063" t="s">
        <v>176</v>
      </c>
      <c r="DD3063" t="s">
        <v>177</v>
      </c>
      <c r="DG3063">
        <v>5428645</v>
      </c>
      <c r="DI3063">
        <v>1</v>
      </c>
      <c r="DJ3063">
        <v>0</v>
      </c>
      <c r="DK3063">
        <v>1</v>
      </c>
      <c r="DL3063">
        <v>0</v>
      </c>
      <c r="DM3063">
        <v>0</v>
      </c>
      <c r="DN3063">
        <v>1</v>
      </c>
      <c r="DO3063">
        <v>0</v>
      </c>
      <c r="DP3063">
        <v>0</v>
      </c>
      <c r="DQ3063">
        <v>0</v>
      </c>
      <c r="DR3063">
        <v>0</v>
      </c>
      <c r="DS3063">
        <v>0</v>
      </c>
    </row>
    <row r="3064" spans="1:123" x14ac:dyDescent="0.3">
      <c r="A3064" t="str">
        <f t="shared" si="1116"/>
        <v>10/04/2022 19:33:45.574</v>
      </c>
      <c r="C3064" t="str">
        <f t="shared" si="1109"/>
        <v>FFDFD3C0</v>
      </c>
      <c r="D3064" t="s">
        <v>141</v>
      </c>
      <c r="E3064">
        <v>3</v>
      </c>
      <c r="H3064">
        <v>3</v>
      </c>
      <c r="I3064" t="s">
        <v>146</v>
      </c>
      <c r="J3064" t="s">
        <v>138</v>
      </c>
      <c r="K3064">
        <v>0</v>
      </c>
      <c r="L3064">
        <v>3</v>
      </c>
      <c r="M3064">
        <v>0</v>
      </c>
      <c r="N3064">
        <v>2</v>
      </c>
      <c r="O3064">
        <v>0</v>
      </c>
      <c r="P3064">
        <v>1</v>
      </c>
      <c r="Q3064">
        <v>0</v>
      </c>
      <c r="S3064" t="str">
        <f t="shared" si="1117"/>
        <v>19:33:45.000</v>
      </c>
      <c r="T3064" t="str">
        <f t="shared" si="1117"/>
        <v>19:33:45.000</v>
      </c>
      <c r="U3064" t="str">
        <f t="shared" si="1096"/>
        <v>AC3944</v>
      </c>
      <c r="V3064">
        <v>0</v>
      </c>
      <c r="W3064">
        <v>0</v>
      </c>
      <c r="X3064">
        <v>2</v>
      </c>
      <c r="Y3064">
        <v>0</v>
      </c>
      <c r="AA3064">
        <v>1</v>
      </c>
      <c r="AB3064">
        <v>8</v>
      </c>
      <c r="AC3064">
        <v>3</v>
      </c>
      <c r="AD3064">
        <v>0</v>
      </c>
      <c r="AE3064">
        <v>9</v>
      </c>
      <c r="AF3064" t="s">
        <v>138</v>
      </c>
      <c r="AG3064">
        <v>0</v>
      </c>
      <c r="AH3064">
        <v>3</v>
      </c>
      <c r="AI3064">
        <v>1</v>
      </c>
      <c r="AJ3064">
        <v>0</v>
      </c>
      <c r="AK3064" t="s">
        <v>1025</v>
      </c>
      <c r="AL3064">
        <v>32.713959000000003</v>
      </c>
      <c r="AM3064" t="s">
        <v>1026</v>
      </c>
      <c r="AN3064">
        <v>-116.761966</v>
      </c>
      <c r="AO3064">
        <v>25</v>
      </c>
      <c r="AP3064">
        <v>3800</v>
      </c>
      <c r="AQ3064" t="s">
        <v>129</v>
      </c>
      <c r="AR3064">
        <v>-26</v>
      </c>
      <c r="AS3064">
        <v>-125</v>
      </c>
      <c r="AT3064">
        <v>1280</v>
      </c>
      <c r="BB3064">
        <v>1200</v>
      </c>
      <c r="BC3064">
        <v>1</v>
      </c>
      <c r="BD3064" t="str">
        <f t="shared" si="1097"/>
        <v xml:space="preserve">N887QR  </v>
      </c>
      <c r="BE3064">
        <v>1</v>
      </c>
      <c r="BG3064">
        <v>0</v>
      </c>
      <c r="BH3064">
        <v>0</v>
      </c>
      <c r="BI3064">
        <v>0</v>
      </c>
      <c r="BJ3064">
        <v>3525</v>
      </c>
      <c r="BK3064">
        <v>-275</v>
      </c>
      <c r="BL3064" t="s">
        <v>163</v>
      </c>
      <c r="BM3064">
        <v>1</v>
      </c>
      <c r="BN3064">
        <v>1</v>
      </c>
      <c r="BO3064">
        <v>1</v>
      </c>
      <c r="BP3064">
        <v>0</v>
      </c>
      <c r="BS3064">
        <v>0</v>
      </c>
      <c r="BT3064">
        <v>0</v>
      </c>
      <c r="BU3064">
        <v>0</v>
      </c>
      <c r="CE3064" t="str">
        <f t="shared" si="1118"/>
        <v>19:33:45.308</v>
      </c>
      <c r="CF3064">
        <v>308305128</v>
      </c>
      <c r="CS3064">
        <v>0</v>
      </c>
      <c r="CT3064">
        <v>2</v>
      </c>
      <c r="CU3064">
        <v>0</v>
      </c>
      <c r="CV3064">
        <v>2</v>
      </c>
      <c r="CW3064">
        <v>0</v>
      </c>
      <c r="CX3064">
        <v>5</v>
      </c>
      <c r="CY3064">
        <v>7</v>
      </c>
      <c r="CZ3064" t="s">
        <v>131</v>
      </c>
      <c r="DA3064">
        <v>300</v>
      </c>
      <c r="DB3064">
        <v>0</v>
      </c>
      <c r="DC3064" t="s">
        <v>176</v>
      </c>
      <c r="DD3064" t="s">
        <v>177</v>
      </c>
      <c r="DG3064">
        <v>5428645</v>
      </c>
      <c r="DI3064">
        <v>1</v>
      </c>
      <c r="DJ3064">
        <v>0</v>
      </c>
      <c r="DK3064">
        <v>1</v>
      </c>
      <c r="DL3064">
        <v>0</v>
      </c>
      <c r="DM3064">
        <v>0</v>
      </c>
      <c r="DN3064">
        <v>1</v>
      </c>
      <c r="DO3064">
        <v>0</v>
      </c>
      <c r="DP3064">
        <v>0</v>
      </c>
      <c r="DQ3064">
        <v>0</v>
      </c>
      <c r="DR3064">
        <v>0</v>
      </c>
      <c r="DS3064">
        <v>0</v>
      </c>
    </row>
    <row r="3065" spans="1:123" x14ac:dyDescent="0.3">
      <c r="A3065" t="str">
        <f t="shared" si="1116"/>
        <v>10/04/2022 19:33:45.574</v>
      </c>
      <c r="C3065" t="str">
        <f t="shared" si="1109"/>
        <v>FFDFD3C0</v>
      </c>
      <c r="D3065" t="s">
        <v>147</v>
      </c>
      <c r="E3065">
        <v>3</v>
      </c>
      <c r="H3065">
        <v>166</v>
      </c>
      <c r="I3065" t="s">
        <v>144</v>
      </c>
      <c r="J3065" t="s">
        <v>148</v>
      </c>
      <c r="K3065">
        <v>0</v>
      </c>
      <c r="L3065">
        <v>3</v>
      </c>
      <c r="M3065">
        <v>0</v>
      </c>
      <c r="N3065">
        <v>2</v>
      </c>
      <c r="O3065">
        <v>0</v>
      </c>
      <c r="P3065">
        <v>1</v>
      </c>
      <c r="Q3065">
        <v>0</v>
      </c>
      <c r="S3065" t="str">
        <f t="shared" si="1117"/>
        <v>19:33:45.000</v>
      </c>
      <c r="T3065" t="str">
        <f t="shared" si="1117"/>
        <v>19:33:45.000</v>
      </c>
      <c r="U3065" t="str">
        <f t="shared" si="1096"/>
        <v>AC3944</v>
      </c>
      <c r="V3065">
        <v>0</v>
      </c>
      <c r="W3065">
        <v>0</v>
      </c>
      <c r="X3065">
        <v>2</v>
      </c>
      <c r="Y3065">
        <v>0</v>
      </c>
      <c r="AA3065">
        <v>1</v>
      </c>
      <c r="AB3065">
        <v>8</v>
      </c>
      <c r="AC3065">
        <v>3</v>
      </c>
      <c r="AD3065">
        <v>0</v>
      </c>
      <c r="AE3065">
        <v>9</v>
      </c>
      <c r="AF3065" t="s">
        <v>138</v>
      </c>
      <c r="AG3065">
        <v>0</v>
      </c>
      <c r="AH3065">
        <v>3</v>
      </c>
      <c r="AI3065">
        <v>1</v>
      </c>
      <c r="AJ3065">
        <v>0</v>
      </c>
      <c r="AK3065" t="s">
        <v>1025</v>
      </c>
      <c r="AL3065">
        <v>32.713959000000003</v>
      </c>
      <c r="AM3065" t="s">
        <v>1026</v>
      </c>
      <c r="AN3065">
        <v>-116.761966</v>
      </c>
      <c r="AO3065">
        <v>25</v>
      </c>
      <c r="AP3065">
        <v>3800</v>
      </c>
      <c r="AQ3065" t="s">
        <v>129</v>
      </c>
      <c r="AR3065">
        <v>-26</v>
      </c>
      <c r="AS3065">
        <v>-125</v>
      </c>
      <c r="AT3065">
        <v>1280</v>
      </c>
      <c r="BB3065">
        <v>1200</v>
      </c>
      <c r="BC3065">
        <v>1</v>
      </c>
      <c r="BD3065" t="str">
        <f t="shared" si="1097"/>
        <v xml:space="preserve">N887QR  </v>
      </c>
      <c r="BE3065">
        <v>1</v>
      </c>
      <c r="BG3065">
        <v>0</v>
      </c>
      <c r="BH3065">
        <v>0</v>
      </c>
      <c r="BI3065">
        <v>0</v>
      </c>
      <c r="BJ3065">
        <v>3525</v>
      </c>
      <c r="BK3065">
        <v>-275</v>
      </c>
      <c r="BL3065" t="s">
        <v>163</v>
      </c>
      <c r="BM3065">
        <v>1</v>
      </c>
      <c r="BN3065">
        <v>1</v>
      </c>
      <c r="BO3065">
        <v>1</v>
      </c>
      <c r="BP3065">
        <v>0</v>
      </c>
      <c r="BS3065">
        <v>0</v>
      </c>
      <c r="BT3065">
        <v>0</v>
      </c>
      <c r="BU3065">
        <v>0</v>
      </c>
      <c r="CE3065" t="str">
        <f t="shared" si="1118"/>
        <v>19:33:45.308</v>
      </c>
      <c r="CF3065">
        <v>308305128</v>
      </c>
      <c r="CS3065">
        <v>0</v>
      </c>
      <c r="CT3065">
        <v>2</v>
      </c>
      <c r="CU3065">
        <v>0</v>
      </c>
      <c r="CV3065">
        <v>2</v>
      </c>
      <c r="CW3065">
        <v>0</v>
      </c>
      <c r="CX3065">
        <v>5</v>
      </c>
      <c r="CY3065">
        <v>7</v>
      </c>
      <c r="CZ3065" t="s">
        <v>131</v>
      </c>
      <c r="DA3065">
        <v>300</v>
      </c>
      <c r="DB3065">
        <v>0</v>
      </c>
      <c r="DC3065" t="s">
        <v>176</v>
      </c>
      <c r="DD3065" t="s">
        <v>177</v>
      </c>
      <c r="DG3065">
        <v>5428645</v>
      </c>
      <c r="DI3065">
        <v>1</v>
      </c>
      <c r="DJ3065">
        <v>0</v>
      </c>
      <c r="DK3065">
        <v>1</v>
      </c>
      <c r="DL3065">
        <v>0</v>
      </c>
      <c r="DM3065">
        <v>0</v>
      </c>
      <c r="DN3065">
        <v>1</v>
      </c>
      <c r="DO3065">
        <v>0</v>
      </c>
      <c r="DP3065">
        <v>0</v>
      </c>
      <c r="DQ3065">
        <v>0</v>
      </c>
      <c r="DR3065">
        <v>0</v>
      </c>
      <c r="DS3065">
        <v>0</v>
      </c>
    </row>
    <row r="3066" spans="1:123" x14ac:dyDescent="0.3">
      <c r="A3066" t="str">
        <f t="shared" si="1116"/>
        <v>10/04/2022 19:33:45.574</v>
      </c>
      <c r="C3066" t="str">
        <f t="shared" si="1109"/>
        <v>FFDFD3C0</v>
      </c>
      <c r="D3066" t="s">
        <v>123</v>
      </c>
      <c r="E3066">
        <v>7</v>
      </c>
      <c r="F3066">
        <v>2007</v>
      </c>
      <c r="G3066" t="s">
        <v>124</v>
      </c>
      <c r="J3066" t="s">
        <v>125</v>
      </c>
      <c r="K3066">
        <v>0</v>
      </c>
      <c r="L3066">
        <v>3</v>
      </c>
      <c r="M3066">
        <v>0</v>
      </c>
      <c r="N3066">
        <v>2</v>
      </c>
      <c r="O3066">
        <v>0</v>
      </c>
      <c r="P3066">
        <v>1</v>
      </c>
      <c r="Q3066">
        <v>0</v>
      </c>
      <c r="S3066" t="str">
        <f t="shared" si="1117"/>
        <v>19:33:45.000</v>
      </c>
      <c r="T3066" t="str">
        <f t="shared" si="1117"/>
        <v>19:33:45.000</v>
      </c>
      <c r="U3066" t="str">
        <f t="shared" si="1096"/>
        <v>AC3944</v>
      </c>
      <c r="V3066">
        <v>0</v>
      </c>
      <c r="W3066">
        <v>0</v>
      </c>
      <c r="X3066">
        <v>2</v>
      </c>
      <c r="Y3066">
        <v>0</v>
      </c>
      <c r="AA3066">
        <v>1</v>
      </c>
      <c r="AB3066">
        <v>8</v>
      </c>
      <c r="AC3066">
        <v>3</v>
      </c>
      <c r="AD3066">
        <v>0</v>
      </c>
      <c r="AE3066">
        <v>9</v>
      </c>
      <c r="AF3066" t="s">
        <v>138</v>
      </c>
      <c r="AG3066">
        <v>0</v>
      </c>
      <c r="AH3066">
        <v>3</v>
      </c>
      <c r="AI3066">
        <v>1</v>
      </c>
      <c r="AJ3066">
        <v>0</v>
      </c>
      <c r="AK3066" t="s">
        <v>1025</v>
      </c>
      <c r="AL3066">
        <v>32.713959000000003</v>
      </c>
      <c r="AM3066" t="s">
        <v>1026</v>
      </c>
      <c r="AN3066">
        <v>-116.761966</v>
      </c>
      <c r="AO3066">
        <v>25</v>
      </c>
      <c r="AP3066">
        <v>3800</v>
      </c>
      <c r="AQ3066" t="s">
        <v>129</v>
      </c>
      <c r="AR3066">
        <v>-26</v>
      </c>
      <c r="AS3066">
        <v>-125</v>
      </c>
      <c r="AT3066">
        <v>1280</v>
      </c>
      <c r="BB3066">
        <v>1200</v>
      </c>
      <c r="BC3066">
        <v>1</v>
      </c>
      <c r="BD3066" t="str">
        <f t="shared" si="1097"/>
        <v xml:space="preserve">N887QR  </v>
      </c>
      <c r="BE3066">
        <v>1</v>
      </c>
      <c r="BG3066">
        <v>0</v>
      </c>
      <c r="BH3066">
        <v>0</v>
      </c>
      <c r="BI3066">
        <v>0</v>
      </c>
      <c r="BJ3066">
        <v>3525</v>
      </c>
      <c r="BK3066">
        <v>-275</v>
      </c>
      <c r="BL3066" t="s">
        <v>163</v>
      </c>
      <c r="BM3066">
        <v>1</v>
      </c>
      <c r="BN3066">
        <v>1</v>
      </c>
      <c r="BO3066">
        <v>1</v>
      </c>
      <c r="BP3066">
        <v>0</v>
      </c>
      <c r="BS3066">
        <v>0</v>
      </c>
      <c r="BT3066">
        <v>0</v>
      </c>
      <c r="BU3066">
        <v>0</v>
      </c>
      <c r="CE3066" t="str">
        <f t="shared" si="1118"/>
        <v>19:33:45.308</v>
      </c>
      <c r="CF3066">
        <v>308305128</v>
      </c>
      <c r="CS3066">
        <v>0</v>
      </c>
      <c r="CT3066">
        <v>2</v>
      </c>
      <c r="CU3066">
        <v>0</v>
      </c>
      <c r="CV3066">
        <v>2</v>
      </c>
      <c r="CW3066">
        <v>0</v>
      </c>
      <c r="CX3066">
        <v>5</v>
      </c>
      <c r="CY3066">
        <v>7</v>
      </c>
      <c r="CZ3066" t="s">
        <v>131</v>
      </c>
      <c r="DA3066">
        <v>300</v>
      </c>
      <c r="DB3066">
        <v>0</v>
      </c>
      <c r="DC3066" t="s">
        <v>176</v>
      </c>
      <c r="DD3066" t="s">
        <v>177</v>
      </c>
      <c r="DG3066">
        <v>5428645</v>
      </c>
      <c r="DI3066">
        <v>1</v>
      </c>
      <c r="DJ3066">
        <v>0</v>
      </c>
      <c r="DK3066">
        <v>1</v>
      </c>
      <c r="DL3066">
        <v>0</v>
      </c>
      <c r="DM3066">
        <v>0</v>
      </c>
      <c r="DN3066">
        <v>1</v>
      </c>
      <c r="DO3066">
        <v>0</v>
      </c>
      <c r="DP3066">
        <v>0</v>
      </c>
      <c r="DQ3066">
        <v>0</v>
      </c>
      <c r="DR3066">
        <v>0</v>
      </c>
      <c r="DS3066">
        <v>0</v>
      </c>
    </row>
    <row r="3067" spans="1:123" x14ac:dyDescent="0.3">
      <c r="A3067" t="str">
        <f t="shared" si="1116"/>
        <v>10/04/2022 19:33:45.574</v>
      </c>
      <c r="C3067" t="str">
        <f t="shared" si="1109"/>
        <v>FFDFD3C0</v>
      </c>
      <c r="D3067" t="s">
        <v>134</v>
      </c>
      <c r="E3067">
        <v>15</v>
      </c>
      <c r="J3067" t="s">
        <v>135</v>
      </c>
      <c r="K3067">
        <v>0</v>
      </c>
      <c r="L3067">
        <v>3</v>
      </c>
      <c r="M3067">
        <v>0</v>
      </c>
      <c r="N3067">
        <v>2</v>
      </c>
      <c r="O3067">
        <v>0</v>
      </c>
      <c r="P3067">
        <v>1</v>
      </c>
      <c r="Q3067">
        <v>0</v>
      </c>
      <c r="S3067" t="str">
        <f t="shared" si="1117"/>
        <v>19:33:45.000</v>
      </c>
      <c r="T3067" t="str">
        <f t="shared" si="1117"/>
        <v>19:33:45.000</v>
      </c>
      <c r="U3067" t="str">
        <f t="shared" si="1096"/>
        <v>AC3944</v>
      </c>
      <c r="V3067">
        <v>0</v>
      </c>
      <c r="W3067">
        <v>0</v>
      </c>
      <c r="X3067">
        <v>2</v>
      </c>
      <c r="Y3067">
        <v>0</v>
      </c>
      <c r="AA3067">
        <v>1</v>
      </c>
      <c r="AB3067">
        <v>8</v>
      </c>
      <c r="AC3067">
        <v>3</v>
      </c>
      <c r="AD3067">
        <v>0</v>
      </c>
      <c r="AE3067">
        <v>9</v>
      </c>
      <c r="AF3067" t="s">
        <v>138</v>
      </c>
      <c r="AG3067">
        <v>0</v>
      </c>
      <c r="AH3067">
        <v>3</v>
      </c>
      <c r="AI3067">
        <v>1</v>
      </c>
      <c r="AJ3067">
        <v>0</v>
      </c>
      <c r="AK3067" t="s">
        <v>1025</v>
      </c>
      <c r="AL3067">
        <v>32.713959000000003</v>
      </c>
      <c r="AM3067" t="s">
        <v>1026</v>
      </c>
      <c r="AN3067">
        <v>-116.761966</v>
      </c>
      <c r="AO3067">
        <v>25</v>
      </c>
      <c r="AP3067">
        <v>3800</v>
      </c>
      <c r="AQ3067" t="s">
        <v>129</v>
      </c>
      <c r="AR3067">
        <v>-26</v>
      </c>
      <c r="AS3067">
        <v>-125</v>
      </c>
      <c r="AT3067">
        <v>1280</v>
      </c>
      <c r="BB3067">
        <v>1200</v>
      </c>
      <c r="BC3067">
        <v>1</v>
      </c>
      <c r="BD3067" t="str">
        <f t="shared" si="1097"/>
        <v xml:space="preserve">N887QR  </v>
      </c>
      <c r="BE3067">
        <v>1</v>
      </c>
      <c r="BG3067">
        <v>0</v>
      </c>
      <c r="BH3067">
        <v>0</v>
      </c>
      <c r="BI3067">
        <v>0</v>
      </c>
      <c r="BJ3067">
        <v>3525</v>
      </c>
      <c r="BK3067">
        <v>-275</v>
      </c>
      <c r="BL3067" t="s">
        <v>163</v>
      </c>
      <c r="BM3067">
        <v>1</v>
      </c>
      <c r="BN3067">
        <v>1</v>
      </c>
      <c r="BO3067">
        <v>1</v>
      </c>
      <c r="BP3067">
        <v>0</v>
      </c>
      <c r="BS3067">
        <v>0</v>
      </c>
      <c r="BT3067">
        <v>0</v>
      </c>
      <c r="BU3067">
        <v>0</v>
      </c>
      <c r="CE3067" t="str">
        <f t="shared" si="1118"/>
        <v>19:33:45.308</v>
      </c>
      <c r="CF3067">
        <v>308305128</v>
      </c>
      <c r="CS3067">
        <v>0</v>
      </c>
      <c r="CT3067">
        <v>2</v>
      </c>
      <c r="CU3067">
        <v>0</v>
      </c>
      <c r="CV3067">
        <v>2</v>
      </c>
      <c r="CW3067">
        <v>0</v>
      </c>
      <c r="CX3067">
        <v>5</v>
      </c>
      <c r="CY3067">
        <v>7</v>
      </c>
      <c r="CZ3067" t="s">
        <v>131</v>
      </c>
      <c r="DA3067">
        <v>300</v>
      </c>
      <c r="DB3067">
        <v>0</v>
      </c>
      <c r="DC3067" t="s">
        <v>176</v>
      </c>
      <c r="DD3067" t="s">
        <v>177</v>
      </c>
      <c r="DG3067">
        <v>5428645</v>
      </c>
      <c r="DI3067">
        <v>1</v>
      </c>
      <c r="DJ3067">
        <v>0</v>
      </c>
      <c r="DK3067">
        <v>1</v>
      </c>
      <c r="DL3067">
        <v>0</v>
      </c>
      <c r="DM3067">
        <v>0</v>
      </c>
      <c r="DN3067">
        <v>1</v>
      </c>
      <c r="DO3067">
        <v>0</v>
      </c>
      <c r="DP3067">
        <v>0</v>
      </c>
      <c r="DQ3067">
        <v>0</v>
      </c>
      <c r="DR3067">
        <v>0</v>
      </c>
      <c r="DS3067">
        <v>0</v>
      </c>
    </row>
    <row r="3068" spans="1:123" x14ac:dyDescent="0.3">
      <c r="A3068" t="str">
        <f t="shared" si="1116"/>
        <v>10/04/2022 19:33:45.574</v>
      </c>
      <c r="C3068" t="str">
        <f t="shared" si="1109"/>
        <v>FFDFD3C0</v>
      </c>
      <c r="D3068" t="s">
        <v>136</v>
      </c>
      <c r="E3068">
        <v>8</v>
      </c>
      <c r="H3068">
        <v>225</v>
      </c>
      <c r="I3068" t="s">
        <v>137</v>
      </c>
      <c r="J3068" t="s">
        <v>138</v>
      </c>
      <c r="K3068">
        <v>0</v>
      </c>
      <c r="L3068">
        <v>3</v>
      </c>
      <c r="M3068">
        <v>0</v>
      </c>
      <c r="N3068">
        <v>2</v>
      </c>
      <c r="O3068">
        <v>0</v>
      </c>
      <c r="P3068">
        <v>1</v>
      </c>
      <c r="Q3068">
        <v>0</v>
      </c>
      <c r="S3068" t="str">
        <f t="shared" si="1117"/>
        <v>19:33:45.000</v>
      </c>
      <c r="T3068" t="str">
        <f t="shared" si="1117"/>
        <v>19:33:45.000</v>
      </c>
      <c r="U3068" t="str">
        <f t="shared" si="1096"/>
        <v>AC3944</v>
      </c>
      <c r="V3068">
        <v>0</v>
      </c>
      <c r="W3068">
        <v>0</v>
      </c>
      <c r="X3068">
        <v>2</v>
      </c>
      <c r="Y3068">
        <v>0</v>
      </c>
      <c r="AA3068">
        <v>1</v>
      </c>
      <c r="AB3068">
        <v>8</v>
      </c>
      <c r="AC3068">
        <v>3</v>
      </c>
      <c r="AD3068">
        <v>0</v>
      </c>
      <c r="AE3068">
        <v>9</v>
      </c>
      <c r="AF3068" t="s">
        <v>138</v>
      </c>
      <c r="AG3068">
        <v>0</v>
      </c>
      <c r="AH3068">
        <v>3</v>
      </c>
      <c r="AI3068">
        <v>1</v>
      </c>
      <c r="AJ3068">
        <v>0</v>
      </c>
      <c r="AK3068" t="s">
        <v>1025</v>
      </c>
      <c r="AL3068">
        <v>32.713959000000003</v>
      </c>
      <c r="AM3068" t="s">
        <v>1026</v>
      </c>
      <c r="AN3068">
        <v>-116.761966</v>
      </c>
      <c r="AO3068">
        <v>25</v>
      </c>
      <c r="AP3068">
        <v>3800</v>
      </c>
      <c r="AQ3068" t="s">
        <v>129</v>
      </c>
      <c r="AR3068">
        <v>-26</v>
      </c>
      <c r="AS3068">
        <v>-125</v>
      </c>
      <c r="AT3068">
        <v>1280</v>
      </c>
      <c r="BB3068">
        <v>1200</v>
      </c>
      <c r="BC3068">
        <v>1</v>
      </c>
      <c r="BD3068" t="str">
        <f t="shared" si="1097"/>
        <v xml:space="preserve">N887QR  </v>
      </c>
      <c r="BE3068">
        <v>1</v>
      </c>
      <c r="BG3068">
        <v>0</v>
      </c>
      <c r="BH3068">
        <v>0</v>
      </c>
      <c r="BI3068">
        <v>0</v>
      </c>
      <c r="BJ3068">
        <v>3525</v>
      </c>
      <c r="BK3068">
        <v>-275</v>
      </c>
      <c r="BL3068" t="s">
        <v>163</v>
      </c>
      <c r="BM3068">
        <v>1</v>
      </c>
      <c r="BN3068">
        <v>1</v>
      </c>
      <c r="BO3068">
        <v>1</v>
      </c>
      <c r="BP3068">
        <v>0</v>
      </c>
      <c r="BS3068">
        <v>0</v>
      </c>
      <c r="BT3068">
        <v>0</v>
      </c>
      <c r="BU3068">
        <v>0</v>
      </c>
      <c r="CE3068" t="str">
        <f t="shared" si="1118"/>
        <v>19:33:45.308</v>
      </c>
      <c r="CF3068">
        <v>308305128</v>
      </c>
      <c r="CS3068">
        <v>0</v>
      </c>
      <c r="CT3068">
        <v>2</v>
      </c>
      <c r="CU3068">
        <v>0</v>
      </c>
      <c r="CV3068">
        <v>2</v>
      </c>
      <c r="CW3068">
        <v>0</v>
      </c>
      <c r="CX3068">
        <v>5</v>
      </c>
      <c r="CY3068">
        <v>7</v>
      </c>
      <c r="CZ3068" t="s">
        <v>131</v>
      </c>
      <c r="DA3068">
        <v>300</v>
      </c>
      <c r="DB3068">
        <v>0</v>
      </c>
      <c r="DC3068" t="s">
        <v>176</v>
      </c>
      <c r="DD3068" t="s">
        <v>177</v>
      </c>
      <c r="DG3068">
        <v>5428645</v>
      </c>
      <c r="DI3068">
        <v>1</v>
      </c>
      <c r="DJ3068">
        <v>0</v>
      </c>
      <c r="DK3068">
        <v>1</v>
      </c>
      <c r="DL3068">
        <v>0</v>
      </c>
      <c r="DM3068">
        <v>0</v>
      </c>
      <c r="DN3068">
        <v>1</v>
      </c>
      <c r="DO3068">
        <v>0</v>
      </c>
      <c r="DP3068">
        <v>0</v>
      </c>
      <c r="DQ3068">
        <v>0</v>
      </c>
      <c r="DR3068">
        <v>0</v>
      </c>
      <c r="DS3068">
        <v>0</v>
      </c>
    </row>
    <row r="3069" spans="1:123" x14ac:dyDescent="0.3">
      <c r="A3069" t="str">
        <f>"10/04/2022 19:33:46.370"</f>
        <v>10/04/2022 19:33:46.370</v>
      </c>
      <c r="C3069" t="str">
        <f t="shared" si="1109"/>
        <v>FFDFD3C0</v>
      </c>
      <c r="D3069" t="s">
        <v>134</v>
      </c>
      <c r="E3069">
        <v>15</v>
      </c>
      <c r="J3069" t="s">
        <v>135</v>
      </c>
      <c r="K3069">
        <v>0</v>
      </c>
      <c r="L3069">
        <v>3</v>
      </c>
      <c r="M3069">
        <v>0</v>
      </c>
      <c r="N3069">
        <v>2</v>
      </c>
      <c r="O3069">
        <v>0</v>
      </c>
      <c r="P3069">
        <v>1</v>
      </c>
      <c r="Q3069">
        <v>0</v>
      </c>
      <c r="S3069" t="str">
        <f t="shared" ref="S3069:T3071" si="1119">"19:33:46.000"</f>
        <v>19:33:46.000</v>
      </c>
      <c r="T3069" t="str">
        <f t="shared" si="1119"/>
        <v>19:33:46.000</v>
      </c>
      <c r="U3069" t="str">
        <f t="shared" si="1096"/>
        <v>AC3944</v>
      </c>
      <c r="V3069">
        <v>0</v>
      </c>
      <c r="W3069">
        <v>0</v>
      </c>
      <c r="X3069">
        <v>2</v>
      </c>
      <c r="Y3069">
        <v>0</v>
      </c>
      <c r="AA3069">
        <v>1</v>
      </c>
      <c r="AB3069">
        <v>8</v>
      </c>
      <c r="AC3069">
        <v>3</v>
      </c>
      <c r="AD3069">
        <v>0</v>
      </c>
      <c r="AE3069">
        <v>9</v>
      </c>
      <c r="AF3069" t="s">
        <v>138</v>
      </c>
      <c r="AG3069">
        <v>0</v>
      </c>
      <c r="AH3069">
        <v>3</v>
      </c>
      <c r="AI3069">
        <v>1</v>
      </c>
      <c r="AJ3069">
        <v>0</v>
      </c>
      <c r="AK3069" t="s">
        <v>1027</v>
      </c>
      <c r="AL3069">
        <v>32.713509000000002</v>
      </c>
      <c r="AM3069" t="s">
        <v>1028</v>
      </c>
      <c r="AN3069">
        <v>-116.762094</v>
      </c>
      <c r="AO3069">
        <v>25</v>
      </c>
      <c r="AP3069">
        <v>3800</v>
      </c>
      <c r="AQ3069" t="s">
        <v>129</v>
      </c>
      <c r="AR3069">
        <v>-13</v>
      </c>
      <c r="AS3069">
        <v>-127</v>
      </c>
      <c r="AT3069">
        <v>1280</v>
      </c>
      <c r="BB3069">
        <v>1200</v>
      </c>
      <c r="BC3069">
        <v>1</v>
      </c>
      <c r="BD3069" t="str">
        <f t="shared" si="1097"/>
        <v xml:space="preserve">N887QR  </v>
      </c>
      <c r="BE3069">
        <v>1</v>
      </c>
      <c r="BG3069">
        <v>0</v>
      </c>
      <c r="BH3069">
        <v>0</v>
      </c>
      <c r="BI3069">
        <v>0</v>
      </c>
      <c r="BJ3069">
        <v>3575</v>
      </c>
      <c r="BK3069">
        <v>-225</v>
      </c>
      <c r="BL3069" t="s">
        <v>163</v>
      </c>
      <c r="BM3069">
        <v>1</v>
      </c>
      <c r="BN3069">
        <v>1</v>
      </c>
      <c r="BO3069">
        <v>1</v>
      </c>
      <c r="BP3069">
        <v>0</v>
      </c>
      <c r="BS3069">
        <v>0</v>
      </c>
      <c r="BT3069">
        <v>0</v>
      </c>
      <c r="BU3069">
        <v>0</v>
      </c>
      <c r="CE3069" t="str">
        <f>"19:33:46.027"</f>
        <v>19:33:46.027</v>
      </c>
      <c r="CF3069">
        <v>27307534</v>
      </c>
      <c r="CS3069">
        <v>0</v>
      </c>
      <c r="CT3069">
        <v>2</v>
      </c>
      <c r="CU3069">
        <v>0</v>
      </c>
      <c r="CV3069">
        <v>2</v>
      </c>
      <c r="CW3069">
        <v>0</v>
      </c>
      <c r="CX3069">
        <v>6</v>
      </c>
      <c r="CY3069">
        <v>7</v>
      </c>
      <c r="CZ3069" t="s">
        <v>131</v>
      </c>
      <c r="DA3069">
        <v>300</v>
      </c>
      <c r="DB3069">
        <v>0</v>
      </c>
      <c r="DC3069" t="s">
        <v>176</v>
      </c>
      <c r="DD3069" t="s">
        <v>177</v>
      </c>
      <c r="DG3069">
        <v>5428766</v>
      </c>
      <c r="DI3069">
        <v>1</v>
      </c>
      <c r="DJ3069">
        <v>0</v>
      </c>
      <c r="DK3069">
        <v>0</v>
      </c>
      <c r="DL3069">
        <v>0</v>
      </c>
      <c r="DM3069">
        <v>0</v>
      </c>
      <c r="DN3069">
        <v>1</v>
      </c>
      <c r="DO3069">
        <v>0</v>
      </c>
      <c r="DP3069">
        <v>0</v>
      </c>
      <c r="DQ3069">
        <v>0</v>
      </c>
      <c r="DR3069">
        <v>0</v>
      </c>
      <c r="DS3069">
        <v>0</v>
      </c>
    </row>
    <row r="3070" spans="1:123" x14ac:dyDescent="0.3">
      <c r="A3070" t="str">
        <f>"10/04/2022 19:33:46.370"</f>
        <v>10/04/2022 19:33:46.370</v>
      </c>
      <c r="C3070" t="str">
        <f t="shared" si="1109"/>
        <v>FFDFD3C0</v>
      </c>
      <c r="D3070" t="s">
        <v>136</v>
      </c>
      <c r="E3070">
        <v>8</v>
      </c>
      <c r="H3070">
        <v>225</v>
      </c>
      <c r="I3070" t="s">
        <v>137</v>
      </c>
      <c r="J3070" t="s">
        <v>138</v>
      </c>
      <c r="K3070">
        <v>0</v>
      </c>
      <c r="L3070">
        <v>3</v>
      </c>
      <c r="M3070">
        <v>0</v>
      </c>
      <c r="N3070">
        <v>2</v>
      </c>
      <c r="O3070">
        <v>0</v>
      </c>
      <c r="P3070">
        <v>1</v>
      </c>
      <c r="Q3070">
        <v>0</v>
      </c>
      <c r="S3070" t="str">
        <f t="shared" si="1119"/>
        <v>19:33:46.000</v>
      </c>
      <c r="T3070" t="str">
        <f t="shared" si="1119"/>
        <v>19:33:46.000</v>
      </c>
      <c r="U3070" t="str">
        <f t="shared" si="1096"/>
        <v>AC3944</v>
      </c>
      <c r="V3070">
        <v>0</v>
      </c>
      <c r="W3070">
        <v>0</v>
      </c>
      <c r="X3070">
        <v>2</v>
      </c>
      <c r="Y3070">
        <v>0</v>
      </c>
      <c r="AA3070">
        <v>1</v>
      </c>
      <c r="AB3070">
        <v>8</v>
      </c>
      <c r="AC3070">
        <v>3</v>
      </c>
      <c r="AD3070">
        <v>0</v>
      </c>
      <c r="AE3070">
        <v>9</v>
      </c>
      <c r="AF3070" t="s">
        <v>138</v>
      </c>
      <c r="AG3070">
        <v>0</v>
      </c>
      <c r="AH3070">
        <v>3</v>
      </c>
      <c r="AI3070">
        <v>1</v>
      </c>
      <c r="AJ3070">
        <v>0</v>
      </c>
      <c r="AK3070" t="s">
        <v>1027</v>
      </c>
      <c r="AL3070">
        <v>32.713509000000002</v>
      </c>
      <c r="AM3070" t="s">
        <v>1028</v>
      </c>
      <c r="AN3070">
        <v>-116.762094</v>
      </c>
      <c r="AO3070">
        <v>25</v>
      </c>
      <c r="AP3070">
        <v>3800</v>
      </c>
      <c r="AQ3070" t="s">
        <v>129</v>
      </c>
      <c r="AR3070">
        <v>-13</v>
      </c>
      <c r="AS3070">
        <v>-127</v>
      </c>
      <c r="AT3070">
        <v>1280</v>
      </c>
      <c r="BB3070">
        <v>1200</v>
      </c>
      <c r="BC3070">
        <v>1</v>
      </c>
      <c r="BD3070" t="str">
        <f t="shared" si="1097"/>
        <v xml:space="preserve">N887QR  </v>
      </c>
      <c r="BE3070">
        <v>1</v>
      </c>
      <c r="BG3070">
        <v>0</v>
      </c>
      <c r="BH3070">
        <v>0</v>
      </c>
      <c r="BI3070">
        <v>0</v>
      </c>
      <c r="BJ3070">
        <v>3575</v>
      </c>
      <c r="BK3070">
        <v>-225</v>
      </c>
      <c r="BL3070" t="s">
        <v>163</v>
      </c>
      <c r="BM3070">
        <v>1</v>
      </c>
      <c r="BN3070">
        <v>1</v>
      </c>
      <c r="BO3070">
        <v>1</v>
      </c>
      <c r="BP3070">
        <v>0</v>
      </c>
      <c r="BS3070">
        <v>0</v>
      </c>
      <c r="BT3070">
        <v>0</v>
      </c>
      <c r="BU3070">
        <v>0</v>
      </c>
      <c r="CE3070" t="str">
        <f>"19:33:46.027"</f>
        <v>19:33:46.027</v>
      </c>
      <c r="CF3070">
        <v>27307534</v>
      </c>
      <c r="CS3070">
        <v>0</v>
      </c>
      <c r="CT3070">
        <v>2</v>
      </c>
      <c r="CU3070">
        <v>0</v>
      </c>
      <c r="CV3070">
        <v>2</v>
      </c>
      <c r="CW3070">
        <v>0</v>
      </c>
      <c r="CX3070">
        <v>6</v>
      </c>
      <c r="CY3070">
        <v>7</v>
      </c>
      <c r="CZ3070" t="s">
        <v>131</v>
      </c>
      <c r="DA3070">
        <v>300</v>
      </c>
      <c r="DB3070">
        <v>0</v>
      </c>
      <c r="DC3070" t="s">
        <v>176</v>
      </c>
      <c r="DD3070" t="s">
        <v>177</v>
      </c>
      <c r="DG3070">
        <v>5428766</v>
      </c>
      <c r="DI3070">
        <v>1</v>
      </c>
      <c r="DJ3070">
        <v>0</v>
      </c>
      <c r="DK3070">
        <v>1</v>
      </c>
      <c r="DL3070">
        <v>0</v>
      </c>
      <c r="DM3070">
        <v>0</v>
      </c>
      <c r="DN3070">
        <v>1</v>
      </c>
      <c r="DO3070">
        <v>0</v>
      </c>
      <c r="DP3070">
        <v>0</v>
      </c>
      <c r="DQ3070">
        <v>0</v>
      </c>
      <c r="DR3070">
        <v>0</v>
      </c>
      <c r="DS3070">
        <v>0</v>
      </c>
    </row>
    <row r="3071" spans="1:123" x14ac:dyDescent="0.3">
      <c r="A3071" t="str">
        <f>"10/04/2022 19:33:46.370"</f>
        <v>10/04/2022 19:33:46.370</v>
      </c>
      <c r="C3071" t="str">
        <f t="shared" si="1109"/>
        <v>FFDFD3C0</v>
      </c>
      <c r="D3071" t="s">
        <v>141</v>
      </c>
      <c r="E3071">
        <v>4</v>
      </c>
      <c r="H3071">
        <v>4</v>
      </c>
      <c r="I3071" t="s">
        <v>142</v>
      </c>
      <c r="J3071" t="s">
        <v>138</v>
      </c>
      <c r="K3071">
        <v>0</v>
      </c>
      <c r="L3071">
        <v>3</v>
      </c>
      <c r="M3071">
        <v>0</v>
      </c>
      <c r="N3071">
        <v>2</v>
      </c>
      <c r="O3071">
        <v>0</v>
      </c>
      <c r="P3071">
        <v>1</v>
      </c>
      <c r="Q3071">
        <v>0</v>
      </c>
      <c r="S3071" t="str">
        <f t="shared" si="1119"/>
        <v>19:33:46.000</v>
      </c>
      <c r="T3071" t="str">
        <f t="shared" si="1119"/>
        <v>19:33:46.000</v>
      </c>
      <c r="U3071" t="str">
        <f t="shared" si="1096"/>
        <v>AC3944</v>
      </c>
      <c r="V3071">
        <v>0</v>
      </c>
      <c r="W3071">
        <v>0</v>
      </c>
      <c r="X3071">
        <v>2</v>
      </c>
      <c r="Y3071">
        <v>0</v>
      </c>
      <c r="AA3071">
        <v>1</v>
      </c>
      <c r="AB3071">
        <v>8</v>
      </c>
      <c r="AC3071">
        <v>3</v>
      </c>
      <c r="AD3071">
        <v>0</v>
      </c>
      <c r="AE3071">
        <v>9</v>
      </c>
      <c r="AF3071" t="s">
        <v>138</v>
      </c>
      <c r="AG3071">
        <v>0</v>
      </c>
      <c r="AH3071">
        <v>3</v>
      </c>
      <c r="AI3071">
        <v>1</v>
      </c>
      <c r="AJ3071">
        <v>0</v>
      </c>
      <c r="AK3071" t="s">
        <v>1027</v>
      </c>
      <c r="AL3071">
        <v>32.713509000000002</v>
      </c>
      <c r="AM3071" t="s">
        <v>1028</v>
      </c>
      <c r="AN3071">
        <v>-116.762094</v>
      </c>
      <c r="AO3071">
        <v>25</v>
      </c>
      <c r="AP3071">
        <v>3800</v>
      </c>
      <c r="AQ3071" t="s">
        <v>129</v>
      </c>
      <c r="AR3071">
        <v>-13</v>
      </c>
      <c r="AS3071">
        <v>-127</v>
      </c>
      <c r="AT3071">
        <v>1280</v>
      </c>
      <c r="BB3071">
        <v>1200</v>
      </c>
      <c r="BC3071">
        <v>1</v>
      </c>
      <c r="BD3071" t="str">
        <f t="shared" si="1097"/>
        <v xml:space="preserve">N887QR  </v>
      </c>
      <c r="BE3071">
        <v>1</v>
      </c>
      <c r="BG3071">
        <v>0</v>
      </c>
      <c r="BH3071">
        <v>0</v>
      </c>
      <c r="BI3071">
        <v>0</v>
      </c>
      <c r="BJ3071">
        <v>3575</v>
      </c>
      <c r="BK3071">
        <v>-225</v>
      </c>
      <c r="BL3071" t="s">
        <v>163</v>
      </c>
      <c r="BM3071">
        <v>1</v>
      </c>
      <c r="BN3071">
        <v>1</v>
      </c>
      <c r="BO3071">
        <v>1</v>
      </c>
      <c r="BP3071">
        <v>0</v>
      </c>
      <c r="BS3071">
        <v>0</v>
      </c>
      <c r="BT3071">
        <v>0</v>
      </c>
      <c r="BU3071">
        <v>0</v>
      </c>
      <c r="CE3071" t="str">
        <f>"19:33:46.027"</f>
        <v>19:33:46.027</v>
      </c>
      <c r="CF3071">
        <v>27307534</v>
      </c>
      <c r="CS3071">
        <v>0</v>
      </c>
      <c r="CT3071">
        <v>2</v>
      </c>
      <c r="CU3071">
        <v>0</v>
      </c>
      <c r="CV3071">
        <v>2</v>
      </c>
      <c r="CW3071">
        <v>0</v>
      </c>
      <c r="CX3071">
        <v>6</v>
      </c>
      <c r="CY3071">
        <v>7</v>
      </c>
      <c r="CZ3071" t="s">
        <v>131</v>
      </c>
      <c r="DA3071">
        <v>300</v>
      </c>
      <c r="DB3071">
        <v>0</v>
      </c>
      <c r="DC3071" t="s">
        <v>176</v>
      </c>
      <c r="DD3071" t="s">
        <v>177</v>
      </c>
      <c r="DG3071">
        <v>5428766</v>
      </c>
      <c r="DI3071">
        <v>1</v>
      </c>
      <c r="DJ3071">
        <v>0</v>
      </c>
      <c r="DK3071">
        <v>1</v>
      </c>
      <c r="DL3071">
        <v>0</v>
      </c>
      <c r="DM3071">
        <v>0</v>
      </c>
      <c r="DN3071">
        <v>1</v>
      </c>
      <c r="DO3071">
        <v>0</v>
      </c>
      <c r="DP3071">
        <v>0</v>
      </c>
      <c r="DQ3071">
        <v>0</v>
      </c>
      <c r="DR3071">
        <v>0</v>
      </c>
      <c r="DS3071">
        <v>0</v>
      </c>
    </row>
    <row r="3072" spans="1:123" x14ac:dyDescent="0.3">
      <c r="A3072" t="str">
        <f t="shared" ref="A3072:A3078" si="1120">"10/04/2022 19:33:47.588"</f>
        <v>10/04/2022 19:33:47.588</v>
      </c>
      <c r="C3072" t="str">
        <f t="shared" si="1109"/>
        <v>FFDFD3C0</v>
      </c>
      <c r="D3072" t="s">
        <v>134</v>
      </c>
      <c r="E3072">
        <v>15</v>
      </c>
      <c r="J3072" t="s">
        <v>135</v>
      </c>
      <c r="K3072">
        <v>0</v>
      </c>
      <c r="L3072">
        <v>3</v>
      </c>
      <c r="M3072">
        <v>0</v>
      </c>
      <c r="N3072">
        <v>2</v>
      </c>
      <c r="O3072">
        <v>0</v>
      </c>
      <c r="P3072">
        <v>1</v>
      </c>
      <c r="Q3072">
        <v>0</v>
      </c>
      <c r="S3072" t="str">
        <f t="shared" ref="S3072:T3085" si="1121">"19:33:47.000"</f>
        <v>19:33:47.000</v>
      </c>
      <c r="T3072" t="str">
        <f t="shared" si="1121"/>
        <v>19:33:47.000</v>
      </c>
      <c r="U3072" t="str">
        <f t="shared" si="1096"/>
        <v>AC3944</v>
      </c>
      <c r="V3072">
        <v>0</v>
      </c>
      <c r="W3072">
        <v>0</v>
      </c>
      <c r="X3072">
        <v>2</v>
      </c>
      <c r="Y3072">
        <v>0</v>
      </c>
      <c r="AA3072">
        <v>1</v>
      </c>
      <c r="AB3072">
        <v>8</v>
      </c>
      <c r="AC3072">
        <v>3</v>
      </c>
      <c r="AD3072">
        <v>0</v>
      </c>
      <c r="AE3072">
        <v>9</v>
      </c>
      <c r="AF3072" t="s">
        <v>138</v>
      </c>
      <c r="AG3072">
        <v>0</v>
      </c>
      <c r="AH3072">
        <v>3</v>
      </c>
      <c r="AI3072">
        <v>1</v>
      </c>
      <c r="AJ3072">
        <v>0</v>
      </c>
      <c r="AK3072" t="s">
        <v>1029</v>
      </c>
      <c r="AL3072">
        <v>32.712907999999999</v>
      </c>
      <c r="AM3072" t="s">
        <v>1030</v>
      </c>
      <c r="AN3072">
        <v>-116.76218</v>
      </c>
      <c r="AO3072">
        <v>25</v>
      </c>
      <c r="AP3072">
        <v>3800</v>
      </c>
      <c r="AQ3072" t="s">
        <v>129</v>
      </c>
      <c r="AR3072">
        <v>6</v>
      </c>
      <c r="AS3072">
        <v>-128</v>
      </c>
      <c r="AT3072">
        <v>1280</v>
      </c>
      <c r="BB3072">
        <v>1200</v>
      </c>
      <c r="BC3072">
        <v>1</v>
      </c>
      <c r="BD3072" t="str">
        <f t="shared" si="1097"/>
        <v xml:space="preserve">N887QR  </v>
      </c>
      <c r="BE3072">
        <v>1</v>
      </c>
      <c r="BG3072">
        <v>0</v>
      </c>
      <c r="BH3072">
        <v>0</v>
      </c>
      <c r="BI3072">
        <v>0</v>
      </c>
      <c r="BJ3072">
        <v>3575</v>
      </c>
      <c r="BK3072">
        <v>-225</v>
      </c>
      <c r="BL3072" t="s">
        <v>163</v>
      </c>
      <c r="BM3072">
        <v>1</v>
      </c>
      <c r="BN3072">
        <v>1</v>
      </c>
      <c r="BO3072">
        <v>1</v>
      </c>
      <c r="BP3072">
        <v>0</v>
      </c>
      <c r="BS3072">
        <v>0</v>
      </c>
      <c r="BT3072">
        <v>0</v>
      </c>
      <c r="BU3072">
        <v>0</v>
      </c>
      <c r="CE3072" t="str">
        <f t="shared" ref="CE3072:CE3078" si="1122">"19:33:47.232"</f>
        <v>19:33:47.232</v>
      </c>
      <c r="CF3072">
        <v>232311554</v>
      </c>
      <c r="CS3072">
        <v>0</v>
      </c>
      <c r="CT3072">
        <v>2</v>
      </c>
      <c r="CU3072">
        <v>0</v>
      </c>
      <c r="CV3072">
        <v>2</v>
      </c>
      <c r="CW3072">
        <v>0</v>
      </c>
      <c r="CX3072">
        <v>6</v>
      </c>
      <c r="CY3072">
        <v>7</v>
      </c>
      <c r="CZ3072" t="s">
        <v>131</v>
      </c>
      <c r="DA3072">
        <v>300</v>
      </c>
      <c r="DB3072">
        <v>0</v>
      </c>
      <c r="DC3072" t="s">
        <v>176</v>
      </c>
      <c r="DD3072" t="s">
        <v>177</v>
      </c>
      <c r="DG3072">
        <v>5428952</v>
      </c>
      <c r="DI3072">
        <v>1</v>
      </c>
      <c r="DJ3072">
        <v>0</v>
      </c>
      <c r="DK3072">
        <v>0</v>
      </c>
      <c r="DL3072">
        <v>0</v>
      </c>
      <c r="DM3072">
        <v>0</v>
      </c>
      <c r="DN3072">
        <v>1</v>
      </c>
      <c r="DO3072">
        <v>0</v>
      </c>
      <c r="DP3072">
        <v>0</v>
      </c>
      <c r="DQ3072">
        <v>0</v>
      </c>
      <c r="DR3072">
        <v>0</v>
      </c>
      <c r="DS3072">
        <v>0</v>
      </c>
    </row>
    <row r="3073" spans="1:123" x14ac:dyDescent="0.3">
      <c r="A3073" t="str">
        <f t="shared" si="1120"/>
        <v>10/04/2022 19:33:47.588</v>
      </c>
      <c r="C3073" t="str">
        <f t="shared" si="1109"/>
        <v>FFDFD3C0</v>
      </c>
      <c r="D3073" t="s">
        <v>136</v>
      </c>
      <c r="E3073">
        <v>8</v>
      </c>
      <c r="H3073">
        <v>225</v>
      </c>
      <c r="I3073" t="s">
        <v>137</v>
      </c>
      <c r="J3073" t="s">
        <v>138</v>
      </c>
      <c r="K3073">
        <v>0</v>
      </c>
      <c r="L3073">
        <v>3</v>
      </c>
      <c r="M3073">
        <v>0</v>
      </c>
      <c r="N3073">
        <v>2</v>
      </c>
      <c r="O3073">
        <v>0</v>
      </c>
      <c r="P3073">
        <v>1</v>
      </c>
      <c r="Q3073">
        <v>0</v>
      </c>
      <c r="S3073" t="str">
        <f t="shared" si="1121"/>
        <v>19:33:47.000</v>
      </c>
      <c r="T3073" t="str">
        <f t="shared" si="1121"/>
        <v>19:33:47.000</v>
      </c>
      <c r="U3073" t="str">
        <f t="shared" si="1096"/>
        <v>AC3944</v>
      </c>
      <c r="V3073">
        <v>0</v>
      </c>
      <c r="W3073">
        <v>0</v>
      </c>
      <c r="X3073">
        <v>2</v>
      </c>
      <c r="Y3073">
        <v>0</v>
      </c>
      <c r="AA3073">
        <v>1</v>
      </c>
      <c r="AB3073">
        <v>8</v>
      </c>
      <c r="AC3073">
        <v>3</v>
      </c>
      <c r="AD3073">
        <v>0</v>
      </c>
      <c r="AE3073">
        <v>9</v>
      </c>
      <c r="AF3073" t="s">
        <v>138</v>
      </c>
      <c r="AG3073">
        <v>0</v>
      </c>
      <c r="AH3073">
        <v>3</v>
      </c>
      <c r="AI3073">
        <v>1</v>
      </c>
      <c r="AJ3073">
        <v>0</v>
      </c>
      <c r="AK3073" t="s">
        <v>1029</v>
      </c>
      <c r="AL3073">
        <v>32.712907999999999</v>
      </c>
      <c r="AM3073" t="s">
        <v>1030</v>
      </c>
      <c r="AN3073">
        <v>-116.76218</v>
      </c>
      <c r="AO3073">
        <v>25</v>
      </c>
      <c r="AP3073">
        <v>3800</v>
      </c>
      <c r="AQ3073" t="s">
        <v>129</v>
      </c>
      <c r="AR3073">
        <v>6</v>
      </c>
      <c r="AS3073">
        <v>-128</v>
      </c>
      <c r="AT3073">
        <v>1280</v>
      </c>
      <c r="BB3073">
        <v>1200</v>
      </c>
      <c r="BC3073">
        <v>1</v>
      </c>
      <c r="BD3073" t="str">
        <f t="shared" si="1097"/>
        <v xml:space="preserve">N887QR  </v>
      </c>
      <c r="BE3073">
        <v>1</v>
      </c>
      <c r="BG3073">
        <v>0</v>
      </c>
      <c r="BH3073">
        <v>0</v>
      </c>
      <c r="BI3073">
        <v>0</v>
      </c>
      <c r="BJ3073">
        <v>3575</v>
      </c>
      <c r="BK3073">
        <v>-225</v>
      </c>
      <c r="BL3073" t="s">
        <v>163</v>
      </c>
      <c r="BM3073">
        <v>1</v>
      </c>
      <c r="BN3073">
        <v>1</v>
      </c>
      <c r="BO3073">
        <v>1</v>
      </c>
      <c r="BP3073">
        <v>0</v>
      </c>
      <c r="BS3073">
        <v>0</v>
      </c>
      <c r="BT3073">
        <v>0</v>
      </c>
      <c r="BU3073">
        <v>0</v>
      </c>
      <c r="CE3073" t="str">
        <f t="shared" si="1122"/>
        <v>19:33:47.232</v>
      </c>
      <c r="CF3073">
        <v>232311554</v>
      </c>
      <c r="CS3073">
        <v>0</v>
      </c>
      <c r="CT3073">
        <v>2</v>
      </c>
      <c r="CU3073">
        <v>0</v>
      </c>
      <c r="CV3073">
        <v>2</v>
      </c>
      <c r="CW3073">
        <v>0</v>
      </c>
      <c r="CX3073">
        <v>6</v>
      </c>
      <c r="CY3073">
        <v>7</v>
      </c>
      <c r="CZ3073" t="s">
        <v>131</v>
      </c>
      <c r="DA3073">
        <v>300</v>
      </c>
      <c r="DB3073">
        <v>0</v>
      </c>
      <c r="DC3073" t="s">
        <v>176</v>
      </c>
      <c r="DD3073" t="s">
        <v>177</v>
      </c>
      <c r="DG3073">
        <v>5428952</v>
      </c>
      <c r="DI3073">
        <v>1</v>
      </c>
      <c r="DJ3073">
        <v>0</v>
      </c>
      <c r="DK3073">
        <v>1</v>
      </c>
      <c r="DL3073">
        <v>0</v>
      </c>
      <c r="DM3073">
        <v>0</v>
      </c>
      <c r="DN3073">
        <v>1</v>
      </c>
      <c r="DO3073">
        <v>0</v>
      </c>
      <c r="DP3073">
        <v>0</v>
      </c>
      <c r="DQ3073">
        <v>0</v>
      </c>
      <c r="DR3073">
        <v>0</v>
      </c>
      <c r="DS3073">
        <v>0</v>
      </c>
    </row>
    <row r="3074" spans="1:123" x14ac:dyDescent="0.3">
      <c r="A3074" t="str">
        <f t="shared" si="1120"/>
        <v>10/04/2022 19:33:47.588</v>
      </c>
      <c r="C3074" t="str">
        <f t="shared" si="1109"/>
        <v>FFDFD3C0</v>
      </c>
      <c r="D3074" t="s">
        <v>141</v>
      </c>
      <c r="E3074">
        <v>4</v>
      </c>
      <c r="H3074">
        <v>4</v>
      </c>
      <c r="I3074" t="s">
        <v>142</v>
      </c>
      <c r="J3074" t="s">
        <v>138</v>
      </c>
      <c r="K3074">
        <v>0</v>
      </c>
      <c r="L3074">
        <v>3</v>
      </c>
      <c r="M3074">
        <v>0</v>
      </c>
      <c r="N3074">
        <v>2</v>
      </c>
      <c r="O3074">
        <v>0</v>
      </c>
      <c r="P3074">
        <v>1</v>
      </c>
      <c r="Q3074">
        <v>0</v>
      </c>
      <c r="S3074" t="str">
        <f t="shared" si="1121"/>
        <v>19:33:47.000</v>
      </c>
      <c r="T3074" t="str">
        <f t="shared" si="1121"/>
        <v>19:33:47.000</v>
      </c>
      <c r="U3074" t="str">
        <f t="shared" ref="U3074:U3137" si="1123">"AC3944"</f>
        <v>AC3944</v>
      </c>
      <c r="V3074">
        <v>0</v>
      </c>
      <c r="W3074">
        <v>0</v>
      </c>
      <c r="X3074">
        <v>2</v>
      </c>
      <c r="Y3074">
        <v>0</v>
      </c>
      <c r="AA3074">
        <v>1</v>
      </c>
      <c r="AB3074">
        <v>8</v>
      </c>
      <c r="AC3074">
        <v>3</v>
      </c>
      <c r="AD3074">
        <v>0</v>
      </c>
      <c r="AE3074">
        <v>9</v>
      </c>
      <c r="AF3074" t="s">
        <v>138</v>
      </c>
      <c r="AG3074">
        <v>0</v>
      </c>
      <c r="AH3074">
        <v>3</v>
      </c>
      <c r="AI3074">
        <v>1</v>
      </c>
      <c r="AJ3074">
        <v>0</v>
      </c>
      <c r="AK3074" t="s">
        <v>1029</v>
      </c>
      <c r="AL3074">
        <v>32.712907999999999</v>
      </c>
      <c r="AM3074" t="s">
        <v>1030</v>
      </c>
      <c r="AN3074">
        <v>-116.76218</v>
      </c>
      <c r="AO3074">
        <v>25</v>
      </c>
      <c r="AP3074">
        <v>3800</v>
      </c>
      <c r="AQ3074" t="s">
        <v>129</v>
      </c>
      <c r="AR3074">
        <v>6</v>
      </c>
      <c r="AS3074">
        <v>-128</v>
      </c>
      <c r="AT3074">
        <v>1280</v>
      </c>
      <c r="BB3074">
        <v>1200</v>
      </c>
      <c r="BC3074">
        <v>1</v>
      </c>
      <c r="BD3074" t="str">
        <f t="shared" ref="BD3074:BD3137" si="1124">"N887QR  "</f>
        <v xml:space="preserve">N887QR  </v>
      </c>
      <c r="BE3074">
        <v>1</v>
      </c>
      <c r="BG3074">
        <v>0</v>
      </c>
      <c r="BH3074">
        <v>0</v>
      </c>
      <c r="BI3074">
        <v>0</v>
      </c>
      <c r="BJ3074">
        <v>3575</v>
      </c>
      <c r="BK3074">
        <v>-225</v>
      </c>
      <c r="BL3074" t="s">
        <v>163</v>
      </c>
      <c r="BM3074">
        <v>1</v>
      </c>
      <c r="BN3074">
        <v>1</v>
      </c>
      <c r="BO3074">
        <v>1</v>
      </c>
      <c r="BP3074">
        <v>0</v>
      </c>
      <c r="BS3074">
        <v>0</v>
      </c>
      <c r="BT3074">
        <v>0</v>
      </c>
      <c r="BU3074">
        <v>0</v>
      </c>
      <c r="CE3074" t="str">
        <f t="shared" si="1122"/>
        <v>19:33:47.232</v>
      </c>
      <c r="CF3074">
        <v>232311554</v>
      </c>
      <c r="CS3074">
        <v>0</v>
      </c>
      <c r="CT3074">
        <v>2</v>
      </c>
      <c r="CU3074">
        <v>0</v>
      </c>
      <c r="CV3074">
        <v>2</v>
      </c>
      <c r="CW3074">
        <v>0</v>
      </c>
      <c r="CX3074">
        <v>6</v>
      </c>
      <c r="CY3074">
        <v>7</v>
      </c>
      <c r="CZ3074" t="s">
        <v>131</v>
      </c>
      <c r="DA3074">
        <v>300</v>
      </c>
      <c r="DB3074">
        <v>0</v>
      </c>
      <c r="DC3074" t="s">
        <v>176</v>
      </c>
      <c r="DD3074" t="s">
        <v>177</v>
      </c>
      <c r="DG3074">
        <v>5428952</v>
      </c>
      <c r="DI3074">
        <v>1</v>
      </c>
      <c r="DJ3074">
        <v>0</v>
      </c>
      <c r="DK3074">
        <v>1</v>
      </c>
      <c r="DL3074">
        <v>0</v>
      </c>
      <c r="DM3074">
        <v>0</v>
      </c>
      <c r="DN3074">
        <v>1</v>
      </c>
      <c r="DO3074">
        <v>0</v>
      </c>
      <c r="DP3074">
        <v>0</v>
      </c>
      <c r="DQ3074">
        <v>0</v>
      </c>
      <c r="DR3074">
        <v>0</v>
      </c>
      <c r="DS3074">
        <v>0</v>
      </c>
    </row>
    <row r="3075" spans="1:123" x14ac:dyDescent="0.3">
      <c r="A3075" t="str">
        <f t="shared" si="1120"/>
        <v>10/04/2022 19:33:47.588</v>
      </c>
      <c r="C3075" t="str">
        <f t="shared" si="1109"/>
        <v>FFDFD3C0</v>
      </c>
      <c r="D3075" t="s">
        <v>143</v>
      </c>
      <c r="E3075">
        <v>20</v>
      </c>
      <c r="F3075">
        <v>1020</v>
      </c>
      <c r="G3075" t="s">
        <v>144</v>
      </c>
      <c r="J3075" t="s">
        <v>145</v>
      </c>
      <c r="K3075">
        <v>0</v>
      </c>
      <c r="L3075">
        <v>3</v>
      </c>
      <c r="M3075">
        <v>0</v>
      </c>
      <c r="N3075">
        <v>2</v>
      </c>
      <c r="O3075">
        <v>0</v>
      </c>
      <c r="P3075">
        <v>1</v>
      </c>
      <c r="Q3075">
        <v>0</v>
      </c>
      <c r="S3075" t="str">
        <f t="shared" si="1121"/>
        <v>19:33:47.000</v>
      </c>
      <c r="T3075" t="str">
        <f t="shared" si="1121"/>
        <v>19:33:47.000</v>
      </c>
      <c r="U3075" t="str">
        <f t="shared" si="1123"/>
        <v>AC3944</v>
      </c>
      <c r="V3075">
        <v>0</v>
      </c>
      <c r="W3075">
        <v>0</v>
      </c>
      <c r="X3075">
        <v>2</v>
      </c>
      <c r="Y3075">
        <v>0</v>
      </c>
      <c r="AA3075">
        <v>1</v>
      </c>
      <c r="AB3075">
        <v>8</v>
      </c>
      <c r="AC3075">
        <v>3</v>
      </c>
      <c r="AD3075">
        <v>0</v>
      </c>
      <c r="AE3075">
        <v>9</v>
      </c>
      <c r="AF3075" t="s">
        <v>138</v>
      </c>
      <c r="AG3075">
        <v>0</v>
      </c>
      <c r="AH3075">
        <v>3</v>
      </c>
      <c r="AI3075">
        <v>1</v>
      </c>
      <c r="AJ3075">
        <v>0</v>
      </c>
      <c r="AK3075" t="s">
        <v>1029</v>
      </c>
      <c r="AL3075">
        <v>32.712907999999999</v>
      </c>
      <c r="AM3075" t="s">
        <v>1030</v>
      </c>
      <c r="AN3075">
        <v>-116.76218</v>
      </c>
      <c r="AO3075">
        <v>25</v>
      </c>
      <c r="AP3075">
        <v>3800</v>
      </c>
      <c r="AQ3075" t="s">
        <v>129</v>
      </c>
      <c r="AR3075">
        <v>6</v>
      </c>
      <c r="AS3075">
        <v>-128</v>
      </c>
      <c r="AT3075">
        <v>1280</v>
      </c>
      <c r="BB3075">
        <v>1200</v>
      </c>
      <c r="BC3075">
        <v>1</v>
      </c>
      <c r="BD3075" t="str">
        <f t="shared" si="1124"/>
        <v xml:space="preserve">N887QR  </v>
      </c>
      <c r="BE3075">
        <v>1</v>
      </c>
      <c r="BG3075">
        <v>0</v>
      </c>
      <c r="BH3075">
        <v>0</v>
      </c>
      <c r="BI3075">
        <v>0</v>
      </c>
      <c r="BJ3075">
        <v>3575</v>
      </c>
      <c r="BK3075">
        <v>-225</v>
      </c>
      <c r="BL3075" t="s">
        <v>163</v>
      </c>
      <c r="BM3075">
        <v>1</v>
      </c>
      <c r="BN3075">
        <v>1</v>
      </c>
      <c r="BO3075">
        <v>1</v>
      </c>
      <c r="BP3075">
        <v>0</v>
      </c>
      <c r="BS3075">
        <v>0</v>
      </c>
      <c r="BT3075">
        <v>0</v>
      </c>
      <c r="BU3075">
        <v>0</v>
      </c>
      <c r="CE3075" t="str">
        <f t="shared" si="1122"/>
        <v>19:33:47.232</v>
      </c>
      <c r="CF3075">
        <v>232311554</v>
      </c>
      <c r="CS3075">
        <v>0</v>
      </c>
      <c r="CT3075">
        <v>2</v>
      </c>
      <c r="CU3075">
        <v>0</v>
      </c>
      <c r="CV3075">
        <v>2</v>
      </c>
      <c r="CW3075">
        <v>0</v>
      </c>
      <c r="CX3075">
        <v>6</v>
      </c>
      <c r="CY3075">
        <v>7</v>
      </c>
      <c r="CZ3075" t="s">
        <v>131</v>
      </c>
      <c r="DA3075">
        <v>300</v>
      </c>
      <c r="DB3075">
        <v>0</v>
      </c>
      <c r="DC3075" t="s">
        <v>176</v>
      </c>
      <c r="DD3075" t="s">
        <v>177</v>
      </c>
      <c r="DG3075">
        <v>5428952</v>
      </c>
      <c r="DI3075">
        <v>1</v>
      </c>
      <c r="DJ3075">
        <v>0</v>
      </c>
      <c r="DK3075">
        <v>1</v>
      </c>
      <c r="DL3075">
        <v>0</v>
      </c>
      <c r="DM3075">
        <v>0</v>
      </c>
      <c r="DN3075">
        <v>1</v>
      </c>
      <c r="DO3075">
        <v>0</v>
      </c>
      <c r="DP3075">
        <v>0</v>
      </c>
      <c r="DQ3075">
        <v>0</v>
      </c>
      <c r="DR3075">
        <v>0</v>
      </c>
      <c r="DS3075">
        <v>0</v>
      </c>
    </row>
    <row r="3076" spans="1:123" x14ac:dyDescent="0.3">
      <c r="A3076" t="str">
        <f t="shared" si="1120"/>
        <v>10/04/2022 19:33:47.588</v>
      </c>
      <c r="C3076" t="str">
        <f t="shared" si="1109"/>
        <v>FFDFD3C0</v>
      </c>
      <c r="D3076" t="s">
        <v>123</v>
      </c>
      <c r="E3076">
        <v>7</v>
      </c>
      <c r="F3076">
        <v>2007</v>
      </c>
      <c r="G3076" t="s">
        <v>124</v>
      </c>
      <c r="J3076" t="s">
        <v>125</v>
      </c>
      <c r="K3076">
        <v>0</v>
      </c>
      <c r="L3076">
        <v>3</v>
      </c>
      <c r="M3076">
        <v>0</v>
      </c>
      <c r="N3076">
        <v>2</v>
      </c>
      <c r="O3076">
        <v>0</v>
      </c>
      <c r="P3076">
        <v>1</v>
      </c>
      <c r="Q3076">
        <v>0</v>
      </c>
      <c r="S3076" t="str">
        <f t="shared" si="1121"/>
        <v>19:33:47.000</v>
      </c>
      <c r="T3076" t="str">
        <f t="shared" si="1121"/>
        <v>19:33:47.000</v>
      </c>
      <c r="U3076" t="str">
        <f t="shared" si="1123"/>
        <v>AC3944</v>
      </c>
      <c r="V3076">
        <v>0</v>
      </c>
      <c r="W3076">
        <v>0</v>
      </c>
      <c r="X3076">
        <v>2</v>
      </c>
      <c r="Y3076">
        <v>0</v>
      </c>
      <c r="AA3076">
        <v>1</v>
      </c>
      <c r="AB3076">
        <v>8</v>
      </c>
      <c r="AC3076">
        <v>3</v>
      </c>
      <c r="AD3076">
        <v>0</v>
      </c>
      <c r="AE3076">
        <v>9</v>
      </c>
      <c r="AF3076" t="s">
        <v>138</v>
      </c>
      <c r="AG3076">
        <v>0</v>
      </c>
      <c r="AH3076">
        <v>3</v>
      </c>
      <c r="AI3076">
        <v>1</v>
      </c>
      <c r="AJ3076">
        <v>0</v>
      </c>
      <c r="AK3076" t="s">
        <v>1029</v>
      </c>
      <c r="AL3076">
        <v>32.712907999999999</v>
      </c>
      <c r="AM3076" t="s">
        <v>1030</v>
      </c>
      <c r="AN3076">
        <v>-116.76218</v>
      </c>
      <c r="AO3076">
        <v>25</v>
      </c>
      <c r="AP3076">
        <v>3800</v>
      </c>
      <c r="AQ3076" t="s">
        <v>129</v>
      </c>
      <c r="AR3076">
        <v>6</v>
      </c>
      <c r="AS3076">
        <v>-128</v>
      </c>
      <c r="AT3076">
        <v>1280</v>
      </c>
      <c r="BB3076">
        <v>1200</v>
      </c>
      <c r="BC3076">
        <v>1</v>
      </c>
      <c r="BD3076" t="str">
        <f t="shared" si="1124"/>
        <v xml:space="preserve">N887QR  </v>
      </c>
      <c r="BE3076">
        <v>1</v>
      </c>
      <c r="BG3076">
        <v>0</v>
      </c>
      <c r="BH3076">
        <v>0</v>
      </c>
      <c r="BI3076">
        <v>0</v>
      </c>
      <c r="BJ3076">
        <v>3575</v>
      </c>
      <c r="BK3076">
        <v>-225</v>
      </c>
      <c r="BL3076" t="s">
        <v>163</v>
      </c>
      <c r="BM3076">
        <v>1</v>
      </c>
      <c r="BN3076">
        <v>1</v>
      </c>
      <c r="BO3076">
        <v>1</v>
      </c>
      <c r="BP3076">
        <v>0</v>
      </c>
      <c r="BS3076">
        <v>0</v>
      </c>
      <c r="BT3076">
        <v>0</v>
      </c>
      <c r="BU3076">
        <v>0</v>
      </c>
      <c r="CE3076" t="str">
        <f t="shared" si="1122"/>
        <v>19:33:47.232</v>
      </c>
      <c r="CF3076">
        <v>232311554</v>
      </c>
      <c r="CS3076">
        <v>0</v>
      </c>
      <c r="CT3076">
        <v>2</v>
      </c>
      <c r="CU3076">
        <v>0</v>
      </c>
      <c r="CV3076">
        <v>2</v>
      </c>
      <c r="CW3076">
        <v>0</v>
      </c>
      <c r="CX3076">
        <v>6</v>
      </c>
      <c r="CY3076">
        <v>7</v>
      </c>
      <c r="CZ3076" t="s">
        <v>131</v>
      </c>
      <c r="DA3076">
        <v>300</v>
      </c>
      <c r="DB3076">
        <v>0</v>
      </c>
      <c r="DC3076" t="s">
        <v>176</v>
      </c>
      <c r="DD3076" t="s">
        <v>177</v>
      </c>
      <c r="DG3076">
        <v>5428952</v>
      </c>
      <c r="DI3076">
        <v>1</v>
      </c>
      <c r="DJ3076">
        <v>0</v>
      </c>
      <c r="DK3076">
        <v>1</v>
      </c>
      <c r="DL3076">
        <v>0</v>
      </c>
      <c r="DM3076">
        <v>0</v>
      </c>
      <c r="DN3076">
        <v>1</v>
      </c>
      <c r="DO3076">
        <v>0</v>
      </c>
      <c r="DP3076">
        <v>0</v>
      </c>
      <c r="DQ3076">
        <v>0</v>
      </c>
      <c r="DR3076">
        <v>0</v>
      </c>
      <c r="DS3076">
        <v>0</v>
      </c>
    </row>
    <row r="3077" spans="1:123" x14ac:dyDescent="0.3">
      <c r="A3077" t="str">
        <f t="shared" si="1120"/>
        <v>10/04/2022 19:33:47.588</v>
      </c>
      <c r="C3077" t="str">
        <f t="shared" si="1109"/>
        <v>FFDFD3C0</v>
      </c>
      <c r="D3077" t="s">
        <v>147</v>
      </c>
      <c r="E3077">
        <v>3</v>
      </c>
      <c r="H3077">
        <v>166</v>
      </c>
      <c r="I3077" t="s">
        <v>144</v>
      </c>
      <c r="J3077" t="s">
        <v>148</v>
      </c>
      <c r="K3077">
        <v>0</v>
      </c>
      <c r="L3077">
        <v>3</v>
      </c>
      <c r="M3077">
        <v>0</v>
      </c>
      <c r="N3077">
        <v>2</v>
      </c>
      <c r="O3077">
        <v>0</v>
      </c>
      <c r="P3077">
        <v>1</v>
      </c>
      <c r="Q3077">
        <v>0</v>
      </c>
      <c r="S3077" t="str">
        <f t="shared" si="1121"/>
        <v>19:33:47.000</v>
      </c>
      <c r="T3077" t="str">
        <f t="shared" si="1121"/>
        <v>19:33:47.000</v>
      </c>
      <c r="U3077" t="str">
        <f t="shared" si="1123"/>
        <v>AC3944</v>
      </c>
      <c r="V3077">
        <v>0</v>
      </c>
      <c r="W3077">
        <v>0</v>
      </c>
      <c r="X3077">
        <v>2</v>
      </c>
      <c r="Y3077">
        <v>0</v>
      </c>
      <c r="AA3077">
        <v>1</v>
      </c>
      <c r="AB3077">
        <v>8</v>
      </c>
      <c r="AC3077">
        <v>3</v>
      </c>
      <c r="AD3077">
        <v>0</v>
      </c>
      <c r="AE3077">
        <v>9</v>
      </c>
      <c r="AF3077" t="s">
        <v>138</v>
      </c>
      <c r="AG3077">
        <v>0</v>
      </c>
      <c r="AH3077">
        <v>3</v>
      </c>
      <c r="AI3077">
        <v>1</v>
      </c>
      <c r="AJ3077">
        <v>0</v>
      </c>
      <c r="AK3077" t="s">
        <v>1029</v>
      </c>
      <c r="AL3077">
        <v>32.712907999999999</v>
      </c>
      <c r="AM3077" t="s">
        <v>1030</v>
      </c>
      <c r="AN3077">
        <v>-116.76218</v>
      </c>
      <c r="AO3077">
        <v>25</v>
      </c>
      <c r="AP3077">
        <v>3800</v>
      </c>
      <c r="AQ3077" t="s">
        <v>129</v>
      </c>
      <c r="AR3077">
        <v>6</v>
      </c>
      <c r="AS3077">
        <v>-128</v>
      </c>
      <c r="AT3077">
        <v>1280</v>
      </c>
      <c r="BB3077">
        <v>1200</v>
      </c>
      <c r="BC3077">
        <v>1</v>
      </c>
      <c r="BD3077" t="str">
        <f t="shared" si="1124"/>
        <v xml:space="preserve">N887QR  </v>
      </c>
      <c r="BE3077">
        <v>1</v>
      </c>
      <c r="BG3077">
        <v>0</v>
      </c>
      <c r="BH3077">
        <v>0</v>
      </c>
      <c r="BI3077">
        <v>0</v>
      </c>
      <c r="BJ3077">
        <v>3575</v>
      </c>
      <c r="BK3077">
        <v>-225</v>
      </c>
      <c r="BL3077" t="s">
        <v>163</v>
      </c>
      <c r="BM3077">
        <v>1</v>
      </c>
      <c r="BN3077">
        <v>1</v>
      </c>
      <c r="BO3077">
        <v>1</v>
      </c>
      <c r="BP3077">
        <v>0</v>
      </c>
      <c r="BS3077">
        <v>0</v>
      </c>
      <c r="BT3077">
        <v>0</v>
      </c>
      <c r="BU3077">
        <v>0</v>
      </c>
      <c r="CE3077" t="str">
        <f t="shared" si="1122"/>
        <v>19:33:47.232</v>
      </c>
      <c r="CF3077">
        <v>232311554</v>
      </c>
      <c r="CS3077">
        <v>0</v>
      </c>
      <c r="CT3077">
        <v>2</v>
      </c>
      <c r="CU3077">
        <v>0</v>
      </c>
      <c r="CV3077">
        <v>2</v>
      </c>
      <c r="CW3077">
        <v>0</v>
      </c>
      <c r="CX3077">
        <v>6</v>
      </c>
      <c r="CY3077">
        <v>7</v>
      </c>
      <c r="CZ3077" t="s">
        <v>131</v>
      </c>
      <c r="DA3077">
        <v>300</v>
      </c>
      <c r="DB3077">
        <v>0</v>
      </c>
      <c r="DC3077" t="s">
        <v>176</v>
      </c>
      <c r="DD3077" t="s">
        <v>177</v>
      </c>
      <c r="DG3077">
        <v>5428952</v>
      </c>
      <c r="DI3077">
        <v>1</v>
      </c>
      <c r="DJ3077">
        <v>0</v>
      </c>
      <c r="DK3077">
        <v>1</v>
      </c>
      <c r="DL3077">
        <v>0</v>
      </c>
      <c r="DM3077">
        <v>0</v>
      </c>
      <c r="DN3077">
        <v>1</v>
      </c>
      <c r="DO3077">
        <v>0</v>
      </c>
      <c r="DP3077">
        <v>0</v>
      </c>
      <c r="DQ3077">
        <v>0</v>
      </c>
      <c r="DR3077">
        <v>0</v>
      </c>
      <c r="DS3077">
        <v>0</v>
      </c>
    </row>
    <row r="3078" spans="1:123" x14ac:dyDescent="0.3">
      <c r="A3078" t="str">
        <f t="shared" si="1120"/>
        <v>10/04/2022 19:33:47.588</v>
      </c>
      <c r="C3078" t="str">
        <f t="shared" si="1109"/>
        <v>FFDFD3C0</v>
      </c>
      <c r="D3078" t="s">
        <v>141</v>
      </c>
      <c r="E3078">
        <v>3</v>
      </c>
      <c r="H3078">
        <v>3</v>
      </c>
      <c r="I3078" t="s">
        <v>146</v>
      </c>
      <c r="J3078" t="s">
        <v>138</v>
      </c>
      <c r="K3078">
        <v>0</v>
      </c>
      <c r="L3078">
        <v>3</v>
      </c>
      <c r="M3078">
        <v>0</v>
      </c>
      <c r="N3078">
        <v>2</v>
      </c>
      <c r="O3078">
        <v>0</v>
      </c>
      <c r="P3078">
        <v>1</v>
      </c>
      <c r="Q3078">
        <v>0</v>
      </c>
      <c r="S3078" t="str">
        <f t="shared" si="1121"/>
        <v>19:33:47.000</v>
      </c>
      <c r="T3078" t="str">
        <f t="shared" si="1121"/>
        <v>19:33:47.000</v>
      </c>
      <c r="U3078" t="str">
        <f t="shared" si="1123"/>
        <v>AC3944</v>
      </c>
      <c r="V3078">
        <v>0</v>
      </c>
      <c r="W3078">
        <v>0</v>
      </c>
      <c r="X3078">
        <v>2</v>
      </c>
      <c r="Y3078">
        <v>0</v>
      </c>
      <c r="AA3078">
        <v>1</v>
      </c>
      <c r="AB3078">
        <v>8</v>
      </c>
      <c r="AC3078">
        <v>3</v>
      </c>
      <c r="AD3078">
        <v>0</v>
      </c>
      <c r="AE3078">
        <v>9</v>
      </c>
      <c r="AF3078" t="s">
        <v>138</v>
      </c>
      <c r="AG3078">
        <v>0</v>
      </c>
      <c r="AH3078">
        <v>3</v>
      </c>
      <c r="AI3078">
        <v>1</v>
      </c>
      <c r="AJ3078">
        <v>0</v>
      </c>
      <c r="AK3078" t="s">
        <v>1029</v>
      </c>
      <c r="AL3078">
        <v>32.712907999999999</v>
      </c>
      <c r="AM3078" t="s">
        <v>1030</v>
      </c>
      <c r="AN3078">
        <v>-116.76218</v>
      </c>
      <c r="AO3078">
        <v>25</v>
      </c>
      <c r="AP3078">
        <v>3800</v>
      </c>
      <c r="AQ3078" t="s">
        <v>129</v>
      </c>
      <c r="AR3078">
        <v>6</v>
      </c>
      <c r="AS3078">
        <v>-128</v>
      </c>
      <c r="AT3078">
        <v>1280</v>
      </c>
      <c r="BB3078">
        <v>1200</v>
      </c>
      <c r="BC3078">
        <v>1</v>
      </c>
      <c r="BD3078" t="str">
        <f t="shared" si="1124"/>
        <v xml:space="preserve">N887QR  </v>
      </c>
      <c r="BE3078">
        <v>1</v>
      </c>
      <c r="BG3078">
        <v>0</v>
      </c>
      <c r="BH3078">
        <v>0</v>
      </c>
      <c r="BI3078">
        <v>0</v>
      </c>
      <c r="BJ3078">
        <v>3575</v>
      </c>
      <c r="BK3078">
        <v>-225</v>
      </c>
      <c r="BL3078" t="s">
        <v>163</v>
      </c>
      <c r="BM3078">
        <v>1</v>
      </c>
      <c r="BN3078">
        <v>1</v>
      </c>
      <c r="BO3078">
        <v>1</v>
      </c>
      <c r="BP3078">
        <v>0</v>
      </c>
      <c r="BS3078">
        <v>0</v>
      </c>
      <c r="BT3078">
        <v>0</v>
      </c>
      <c r="BU3078">
        <v>0</v>
      </c>
      <c r="CE3078" t="str">
        <f t="shared" si="1122"/>
        <v>19:33:47.232</v>
      </c>
      <c r="CF3078">
        <v>232311554</v>
      </c>
      <c r="CS3078">
        <v>0</v>
      </c>
      <c r="CT3078">
        <v>2</v>
      </c>
      <c r="CU3078">
        <v>0</v>
      </c>
      <c r="CV3078">
        <v>2</v>
      </c>
      <c r="CW3078">
        <v>0</v>
      </c>
      <c r="CX3078">
        <v>6</v>
      </c>
      <c r="CY3078">
        <v>7</v>
      </c>
      <c r="CZ3078" t="s">
        <v>131</v>
      </c>
      <c r="DA3078">
        <v>300</v>
      </c>
      <c r="DB3078">
        <v>0</v>
      </c>
      <c r="DC3078" t="s">
        <v>176</v>
      </c>
      <c r="DD3078" t="s">
        <v>177</v>
      </c>
      <c r="DG3078">
        <v>5428952</v>
      </c>
      <c r="DI3078">
        <v>1</v>
      </c>
      <c r="DJ3078">
        <v>0</v>
      </c>
      <c r="DK3078">
        <v>0</v>
      </c>
      <c r="DL3078">
        <v>0</v>
      </c>
      <c r="DM3078">
        <v>0</v>
      </c>
      <c r="DN3078">
        <v>1</v>
      </c>
      <c r="DO3078">
        <v>0</v>
      </c>
      <c r="DP3078">
        <v>0</v>
      </c>
      <c r="DQ3078">
        <v>0</v>
      </c>
      <c r="DR3078">
        <v>0</v>
      </c>
      <c r="DS3078">
        <v>0</v>
      </c>
    </row>
    <row r="3079" spans="1:123" x14ac:dyDescent="0.3">
      <c r="A3079" t="str">
        <f t="shared" ref="A3079:A3085" si="1125">"10/04/2022 19:33:48.245"</f>
        <v>10/04/2022 19:33:48.245</v>
      </c>
      <c r="C3079" t="str">
        <f t="shared" si="1109"/>
        <v>FFDFD3C0</v>
      </c>
      <c r="D3079" t="s">
        <v>134</v>
      </c>
      <c r="E3079">
        <v>15</v>
      </c>
      <c r="J3079" t="s">
        <v>135</v>
      </c>
      <c r="K3079">
        <v>0</v>
      </c>
      <c r="L3079">
        <v>3</v>
      </c>
      <c r="M3079">
        <v>0</v>
      </c>
      <c r="N3079">
        <v>2</v>
      </c>
      <c r="O3079">
        <v>0</v>
      </c>
      <c r="P3079">
        <v>1</v>
      </c>
      <c r="Q3079">
        <v>0</v>
      </c>
      <c r="S3079" t="str">
        <f t="shared" si="1121"/>
        <v>19:33:47.000</v>
      </c>
      <c r="T3079" t="str">
        <f t="shared" si="1121"/>
        <v>19:33:47.000</v>
      </c>
      <c r="U3079" t="str">
        <f t="shared" si="1123"/>
        <v>AC3944</v>
      </c>
      <c r="V3079">
        <v>0</v>
      </c>
      <c r="W3079">
        <v>0</v>
      </c>
      <c r="X3079">
        <v>2</v>
      </c>
      <c r="Y3079">
        <v>0</v>
      </c>
      <c r="AA3079">
        <v>1</v>
      </c>
      <c r="AB3079">
        <v>8</v>
      </c>
      <c r="AC3079">
        <v>3</v>
      </c>
      <c r="AD3079">
        <v>0</v>
      </c>
      <c r="AE3079">
        <v>9</v>
      </c>
      <c r="AF3079" t="s">
        <v>138</v>
      </c>
      <c r="AG3079">
        <v>0</v>
      </c>
      <c r="AH3079">
        <v>3</v>
      </c>
      <c r="AI3079">
        <v>1</v>
      </c>
      <c r="AJ3079">
        <v>0</v>
      </c>
      <c r="AK3079" t="s">
        <v>1031</v>
      </c>
      <c r="AL3079">
        <v>32.712200000000003</v>
      </c>
      <c r="AM3079" t="s">
        <v>1032</v>
      </c>
      <c r="AN3079">
        <v>-116.762159</v>
      </c>
      <c r="AO3079">
        <v>25</v>
      </c>
      <c r="AP3079">
        <v>3800</v>
      </c>
      <c r="AQ3079" t="s">
        <v>129</v>
      </c>
      <c r="AR3079">
        <v>21</v>
      </c>
      <c r="AS3079">
        <v>-127</v>
      </c>
      <c r="AT3079">
        <v>1280</v>
      </c>
      <c r="BB3079">
        <v>1200</v>
      </c>
      <c r="BC3079">
        <v>1</v>
      </c>
      <c r="BD3079" t="str">
        <f t="shared" si="1124"/>
        <v xml:space="preserve">N887QR  </v>
      </c>
      <c r="BE3079">
        <v>1</v>
      </c>
      <c r="BG3079">
        <v>0</v>
      </c>
      <c r="BH3079">
        <v>0</v>
      </c>
      <c r="BI3079">
        <v>0</v>
      </c>
      <c r="BJ3079">
        <v>3575</v>
      </c>
      <c r="BK3079">
        <v>-225</v>
      </c>
      <c r="BL3079" t="s">
        <v>163</v>
      </c>
      <c r="BM3079">
        <v>1</v>
      </c>
      <c r="BN3079">
        <v>1</v>
      </c>
      <c r="BO3079">
        <v>1</v>
      </c>
      <c r="BP3079">
        <v>0</v>
      </c>
      <c r="BS3079">
        <v>0</v>
      </c>
      <c r="BT3079">
        <v>0</v>
      </c>
      <c r="BU3079">
        <v>0</v>
      </c>
      <c r="CE3079" t="str">
        <f t="shared" ref="CE3079:CE3085" si="1126">"19:33:47.951"</f>
        <v>19:33:47.951</v>
      </c>
      <c r="CF3079">
        <v>950563962</v>
      </c>
      <c r="CS3079">
        <v>0</v>
      </c>
      <c r="CT3079">
        <v>2</v>
      </c>
      <c r="CU3079">
        <v>0</v>
      </c>
      <c r="CV3079">
        <v>2</v>
      </c>
      <c r="CW3079">
        <v>0</v>
      </c>
      <c r="CX3079">
        <v>6</v>
      </c>
      <c r="CY3079">
        <v>7</v>
      </c>
      <c r="CZ3079" t="s">
        <v>131</v>
      </c>
      <c r="DA3079">
        <v>300</v>
      </c>
      <c r="DB3079">
        <v>0</v>
      </c>
      <c r="DC3079" t="s">
        <v>176</v>
      </c>
      <c r="DD3079" t="s">
        <v>177</v>
      </c>
      <c r="DG3079">
        <v>5429073</v>
      </c>
      <c r="DI3079">
        <v>1</v>
      </c>
      <c r="DJ3079">
        <v>0</v>
      </c>
      <c r="DK3079">
        <v>0</v>
      </c>
      <c r="DL3079">
        <v>0</v>
      </c>
      <c r="DM3079">
        <v>0</v>
      </c>
      <c r="DN3079">
        <v>1</v>
      </c>
      <c r="DO3079">
        <v>0</v>
      </c>
      <c r="DP3079">
        <v>0</v>
      </c>
      <c r="DQ3079">
        <v>0</v>
      </c>
      <c r="DR3079">
        <v>0</v>
      </c>
      <c r="DS3079">
        <v>0</v>
      </c>
    </row>
    <row r="3080" spans="1:123" x14ac:dyDescent="0.3">
      <c r="A3080" t="str">
        <f t="shared" si="1125"/>
        <v>10/04/2022 19:33:48.245</v>
      </c>
      <c r="C3080" t="str">
        <f t="shared" si="1109"/>
        <v>FFDFD3C0</v>
      </c>
      <c r="D3080" t="s">
        <v>136</v>
      </c>
      <c r="E3080">
        <v>8</v>
      </c>
      <c r="H3080">
        <v>225</v>
      </c>
      <c r="I3080" t="s">
        <v>137</v>
      </c>
      <c r="J3080" t="s">
        <v>138</v>
      </c>
      <c r="K3080">
        <v>0</v>
      </c>
      <c r="L3080">
        <v>3</v>
      </c>
      <c r="M3080">
        <v>0</v>
      </c>
      <c r="N3080">
        <v>2</v>
      </c>
      <c r="O3080">
        <v>0</v>
      </c>
      <c r="P3080">
        <v>1</v>
      </c>
      <c r="Q3080">
        <v>0</v>
      </c>
      <c r="S3080" t="str">
        <f t="shared" si="1121"/>
        <v>19:33:47.000</v>
      </c>
      <c r="T3080" t="str">
        <f t="shared" si="1121"/>
        <v>19:33:47.000</v>
      </c>
      <c r="U3080" t="str">
        <f t="shared" si="1123"/>
        <v>AC3944</v>
      </c>
      <c r="V3080">
        <v>0</v>
      </c>
      <c r="W3080">
        <v>0</v>
      </c>
      <c r="X3080">
        <v>2</v>
      </c>
      <c r="Y3080">
        <v>0</v>
      </c>
      <c r="AA3080">
        <v>1</v>
      </c>
      <c r="AB3080">
        <v>8</v>
      </c>
      <c r="AC3080">
        <v>3</v>
      </c>
      <c r="AD3080">
        <v>0</v>
      </c>
      <c r="AE3080">
        <v>9</v>
      </c>
      <c r="AF3080" t="s">
        <v>138</v>
      </c>
      <c r="AG3080">
        <v>0</v>
      </c>
      <c r="AH3080">
        <v>3</v>
      </c>
      <c r="AI3080">
        <v>1</v>
      </c>
      <c r="AJ3080">
        <v>0</v>
      </c>
      <c r="AK3080" t="s">
        <v>1031</v>
      </c>
      <c r="AL3080">
        <v>32.712200000000003</v>
      </c>
      <c r="AM3080" t="s">
        <v>1032</v>
      </c>
      <c r="AN3080">
        <v>-116.762159</v>
      </c>
      <c r="AO3080">
        <v>25</v>
      </c>
      <c r="AP3080">
        <v>3800</v>
      </c>
      <c r="AQ3080" t="s">
        <v>129</v>
      </c>
      <c r="AR3080">
        <v>21</v>
      </c>
      <c r="AS3080">
        <v>-127</v>
      </c>
      <c r="AT3080">
        <v>1280</v>
      </c>
      <c r="BB3080">
        <v>1200</v>
      </c>
      <c r="BC3080">
        <v>1</v>
      </c>
      <c r="BD3080" t="str">
        <f t="shared" si="1124"/>
        <v xml:space="preserve">N887QR  </v>
      </c>
      <c r="BE3080">
        <v>1</v>
      </c>
      <c r="BG3080">
        <v>0</v>
      </c>
      <c r="BH3080">
        <v>0</v>
      </c>
      <c r="BI3080">
        <v>0</v>
      </c>
      <c r="BJ3080">
        <v>3575</v>
      </c>
      <c r="BK3080">
        <v>-225</v>
      </c>
      <c r="BL3080" t="s">
        <v>163</v>
      </c>
      <c r="BM3080">
        <v>1</v>
      </c>
      <c r="BN3080">
        <v>1</v>
      </c>
      <c r="BO3080">
        <v>1</v>
      </c>
      <c r="BP3080">
        <v>0</v>
      </c>
      <c r="BS3080">
        <v>0</v>
      </c>
      <c r="BT3080">
        <v>0</v>
      </c>
      <c r="BU3080">
        <v>0</v>
      </c>
      <c r="CE3080" t="str">
        <f t="shared" si="1126"/>
        <v>19:33:47.951</v>
      </c>
      <c r="CF3080">
        <v>950563962</v>
      </c>
      <c r="CS3080">
        <v>0</v>
      </c>
      <c r="CT3080">
        <v>2</v>
      </c>
      <c r="CU3080">
        <v>0</v>
      </c>
      <c r="CV3080">
        <v>2</v>
      </c>
      <c r="CW3080">
        <v>0</v>
      </c>
      <c r="CX3080">
        <v>6</v>
      </c>
      <c r="CY3080">
        <v>7</v>
      </c>
      <c r="CZ3080" t="s">
        <v>131</v>
      </c>
      <c r="DA3080">
        <v>300</v>
      </c>
      <c r="DB3080">
        <v>0</v>
      </c>
      <c r="DC3080" t="s">
        <v>176</v>
      </c>
      <c r="DD3080" t="s">
        <v>177</v>
      </c>
      <c r="DG3080">
        <v>5429073</v>
      </c>
      <c r="DI3080">
        <v>1</v>
      </c>
      <c r="DJ3080">
        <v>0</v>
      </c>
      <c r="DK3080">
        <v>1</v>
      </c>
      <c r="DL3080">
        <v>0</v>
      </c>
      <c r="DM3080">
        <v>0</v>
      </c>
      <c r="DN3080">
        <v>1</v>
      </c>
      <c r="DO3080">
        <v>0</v>
      </c>
      <c r="DP3080">
        <v>0</v>
      </c>
      <c r="DQ3080">
        <v>0</v>
      </c>
      <c r="DR3080">
        <v>0</v>
      </c>
      <c r="DS3080">
        <v>0</v>
      </c>
    </row>
    <row r="3081" spans="1:123" x14ac:dyDescent="0.3">
      <c r="A3081" t="str">
        <f t="shared" si="1125"/>
        <v>10/04/2022 19:33:48.245</v>
      </c>
      <c r="C3081" t="str">
        <f t="shared" si="1109"/>
        <v>FFDFD3C0</v>
      </c>
      <c r="D3081" t="s">
        <v>141</v>
      </c>
      <c r="E3081">
        <v>4</v>
      </c>
      <c r="H3081">
        <v>4</v>
      </c>
      <c r="I3081" t="s">
        <v>142</v>
      </c>
      <c r="J3081" t="s">
        <v>138</v>
      </c>
      <c r="K3081">
        <v>0</v>
      </c>
      <c r="L3081">
        <v>3</v>
      </c>
      <c r="M3081">
        <v>0</v>
      </c>
      <c r="N3081">
        <v>2</v>
      </c>
      <c r="O3081">
        <v>0</v>
      </c>
      <c r="P3081">
        <v>1</v>
      </c>
      <c r="Q3081">
        <v>0</v>
      </c>
      <c r="S3081" t="str">
        <f t="shared" si="1121"/>
        <v>19:33:47.000</v>
      </c>
      <c r="T3081" t="str">
        <f t="shared" si="1121"/>
        <v>19:33:47.000</v>
      </c>
      <c r="U3081" t="str">
        <f t="shared" si="1123"/>
        <v>AC3944</v>
      </c>
      <c r="V3081">
        <v>0</v>
      </c>
      <c r="W3081">
        <v>0</v>
      </c>
      <c r="X3081">
        <v>2</v>
      </c>
      <c r="Y3081">
        <v>0</v>
      </c>
      <c r="AA3081">
        <v>1</v>
      </c>
      <c r="AB3081">
        <v>8</v>
      </c>
      <c r="AC3081">
        <v>3</v>
      </c>
      <c r="AD3081">
        <v>0</v>
      </c>
      <c r="AE3081">
        <v>9</v>
      </c>
      <c r="AF3081" t="s">
        <v>138</v>
      </c>
      <c r="AG3081">
        <v>0</v>
      </c>
      <c r="AH3081">
        <v>3</v>
      </c>
      <c r="AI3081">
        <v>1</v>
      </c>
      <c r="AJ3081">
        <v>0</v>
      </c>
      <c r="AK3081" t="s">
        <v>1031</v>
      </c>
      <c r="AL3081">
        <v>32.712200000000003</v>
      </c>
      <c r="AM3081" t="s">
        <v>1032</v>
      </c>
      <c r="AN3081">
        <v>-116.762159</v>
      </c>
      <c r="AO3081">
        <v>25</v>
      </c>
      <c r="AP3081">
        <v>3800</v>
      </c>
      <c r="AQ3081" t="s">
        <v>129</v>
      </c>
      <c r="AR3081">
        <v>21</v>
      </c>
      <c r="AS3081">
        <v>-127</v>
      </c>
      <c r="AT3081">
        <v>1280</v>
      </c>
      <c r="BB3081">
        <v>1200</v>
      </c>
      <c r="BC3081">
        <v>1</v>
      </c>
      <c r="BD3081" t="str">
        <f t="shared" si="1124"/>
        <v xml:space="preserve">N887QR  </v>
      </c>
      <c r="BE3081">
        <v>1</v>
      </c>
      <c r="BG3081">
        <v>0</v>
      </c>
      <c r="BH3081">
        <v>0</v>
      </c>
      <c r="BI3081">
        <v>0</v>
      </c>
      <c r="BJ3081">
        <v>3575</v>
      </c>
      <c r="BK3081">
        <v>-225</v>
      </c>
      <c r="BL3081" t="s">
        <v>163</v>
      </c>
      <c r="BM3081">
        <v>1</v>
      </c>
      <c r="BN3081">
        <v>1</v>
      </c>
      <c r="BO3081">
        <v>1</v>
      </c>
      <c r="BP3081">
        <v>0</v>
      </c>
      <c r="BS3081">
        <v>0</v>
      </c>
      <c r="BT3081">
        <v>0</v>
      </c>
      <c r="BU3081">
        <v>0</v>
      </c>
      <c r="CE3081" t="str">
        <f t="shared" si="1126"/>
        <v>19:33:47.951</v>
      </c>
      <c r="CF3081">
        <v>950563962</v>
      </c>
      <c r="CS3081">
        <v>0</v>
      </c>
      <c r="CT3081">
        <v>2</v>
      </c>
      <c r="CU3081">
        <v>0</v>
      </c>
      <c r="CV3081">
        <v>2</v>
      </c>
      <c r="CW3081">
        <v>0</v>
      </c>
      <c r="CX3081">
        <v>6</v>
      </c>
      <c r="CY3081">
        <v>7</v>
      </c>
      <c r="CZ3081" t="s">
        <v>131</v>
      </c>
      <c r="DA3081">
        <v>300</v>
      </c>
      <c r="DB3081">
        <v>0</v>
      </c>
      <c r="DC3081" t="s">
        <v>176</v>
      </c>
      <c r="DD3081" t="s">
        <v>177</v>
      </c>
      <c r="DG3081">
        <v>5429073</v>
      </c>
      <c r="DI3081">
        <v>1</v>
      </c>
      <c r="DJ3081">
        <v>0</v>
      </c>
      <c r="DK3081">
        <v>0</v>
      </c>
      <c r="DL3081">
        <v>0</v>
      </c>
      <c r="DM3081">
        <v>0</v>
      </c>
      <c r="DN3081">
        <v>1</v>
      </c>
      <c r="DO3081">
        <v>0</v>
      </c>
      <c r="DP3081">
        <v>0</v>
      </c>
      <c r="DQ3081">
        <v>0</v>
      </c>
      <c r="DR3081">
        <v>0</v>
      </c>
      <c r="DS3081">
        <v>0</v>
      </c>
    </row>
    <row r="3082" spans="1:123" x14ac:dyDescent="0.3">
      <c r="A3082" t="str">
        <f t="shared" si="1125"/>
        <v>10/04/2022 19:33:48.245</v>
      </c>
      <c r="C3082" t="str">
        <f t="shared" si="1109"/>
        <v>FFDFD3C0</v>
      </c>
      <c r="D3082" t="s">
        <v>143</v>
      </c>
      <c r="E3082">
        <v>20</v>
      </c>
      <c r="F3082">
        <v>1020</v>
      </c>
      <c r="G3082" t="s">
        <v>144</v>
      </c>
      <c r="J3082" t="s">
        <v>145</v>
      </c>
      <c r="K3082">
        <v>0</v>
      </c>
      <c r="L3082">
        <v>3</v>
      </c>
      <c r="M3082">
        <v>0</v>
      </c>
      <c r="N3082">
        <v>2</v>
      </c>
      <c r="O3082">
        <v>0</v>
      </c>
      <c r="P3082">
        <v>1</v>
      </c>
      <c r="Q3082">
        <v>0</v>
      </c>
      <c r="S3082" t="str">
        <f t="shared" si="1121"/>
        <v>19:33:47.000</v>
      </c>
      <c r="T3082" t="str">
        <f t="shared" si="1121"/>
        <v>19:33:47.000</v>
      </c>
      <c r="U3082" t="str">
        <f t="shared" si="1123"/>
        <v>AC3944</v>
      </c>
      <c r="V3082">
        <v>0</v>
      </c>
      <c r="W3082">
        <v>0</v>
      </c>
      <c r="X3082">
        <v>2</v>
      </c>
      <c r="Y3082">
        <v>0</v>
      </c>
      <c r="AA3082">
        <v>1</v>
      </c>
      <c r="AB3082">
        <v>8</v>
      </c>
      <c r="AC3082">
        <v>3</v>
      </c>
      <c r="AD3082">
        <v>0</v>
      </c>
      <c r="AE3082">
        <v>9</v>
      </c>
      <c r="AF3082" t="s">
        <v>138</v>
      </c>
      <c r="AG3082">
        <v>0</v>
      </c>
      <c r="AH3082">
        <v>3</v>
      </c>
      <c r="AI3082">
        <v>1</v>
      </c>
      <c r="AJ3082">
        <v>0</v>
      </c>
      <c r="AK3082" t="s">
        <v>1031</v>
      </c>
      <c r="AL3082">
        <v>32.712200000000003</v>
      </c>
      <c r="AM3082" t="s">
        <v>1032</v>
      </c>
      <c r="AN3082">
        <v>-116.762159</v>
      </c>
      <c r="AO3082">
        <v>25</v>
      </c>
      <c r="AP3082">
        <v>3800</v>
      </c>
      <c r="AQ3082" t="s">
        <v>129</v>
      </c>
      <c r="AR3082">
        <v>21</v>
      </c>
      <c r="AS3082">
        <v>-127</v>
      </c>
      <c r="AT3082">
        <v>1280</v>
      </c>
      <c r="BB3082">
        <v>1200</v>
      </c>
      <c r="BC3082">
        <v>1</v>
      </c>
      <c r="BD3082" t="str">
        <f t="shared" si="1124"/>
        <v xml:space="preserve">N887QR  </v>
      </c>
      <c r="BE3082">
        <v>1</v>
      </c>
      <c r="BG3082">
        <v>0</v>
      </c>
      <c r="BH3082">
        <v>0</v>
      </c>
      <c r="BI3082">
        <v>0</v>
      </c>
      <c r="BJ3082">
        <v>3575</v>
      </c>
      <c r="BK3082">
        <v>-225</v>
      </c>
      <c r="BL3082" t="s">
        <v>163</v>
      </c>
      <c r="BM3082">
        <v>1</v>
      </c>
      <c r="BN3082">
        <v>1</v>
      </c>
      <c r="BO3082">
        <v>1</v>
      </c>
      <c r="BP3082">
        <v>0</v>
      </c>
      <c r="BS3082">
        <v>0</v>
      </c>
      <c r="BT3082">
        <v>0</v>
      </c>
      <c r="BU3082">
        <v>0</v>
      </c>
      <c r="CE3082" t="str">
        <f t="shared" si="1126"/>
        <v>19:33:47.951</v>
      </c>
      <c r="CF3082">
        <v>950563962</v>
      </c>
      <c r="CS3082">
        <v>0</v>
      </c>
      <c r="CT3082">
        <v>2</v>
      </c>
      <c r="CU3082">
        <v>0</v>
      </c>
      <c r="CV3082">
        <v>2</v>
      </c>
      <c r="CW3082">
        <v>0</v>
      </c>
      <c r="CX3082">
        <v>6</v>
      </c>
      <c r="CY3082">
        <v>7</v>
      </c>
      <c r="CZ3082" t="s">
        <v>131</v>
      </c>
      <c r="DA3082">
        <v>300</v>
      </c>
      <c r="DB3082">
        <v>0</v>
      </c>
      <c r="DC3082" t="s">
        <v>176</v>
      </c>
      <c r="DD3082" t="s">
        <v>177</v>
      </c>
      <c r="DG3082">
        <v>5429073</v>
      </c>
      <c r="DI3082">
        <v>1</v>
      </c>
      <c r="DJ3082">
        <v>0</v>
      </c>
      <c r="DK3082">
        <v>1</v>
      </c>
      <c r="DL3082">
        <v>0</v>
      </c>
      <c r="DM3082">
        <v>0</v>
      </c>
      <c r="DN3082">
        <v>1</v>
      </c>
      <c r="DO3082">
        <v>0</v>
      </c>
      <c r="DP3082">
        <v>0</v>
      </c>
      <c r="DQ3082">
        <v>0</v>
      </c>
      <c r="DR3082">
        <v>0</v>
      </c>
      <c r="DS3082">
        <v>0</v>
      </c>
    </row>
    <row r="3083" spans="1:123" x14ac:dyDescent="0.3">
      <c r="A3083" t="str">
        <f t="shared" si="1125"/>
        <v>10/04/2022 19:33:48.245</v>
      </c>
      <c r="C3083" t="str">
        <f t="shared" si="1109"/>
        <v>FFDFD3C0</v>
      </c>
      <c r="D3083" t="s">
        <v>123</v>
      </c>
      <c r="E3083">
        <v>7</v>
      </c>
      <c r="F3083">
        <v>2007</v>
      </c>
      <c r="G3083" t="s">
        <v>124</v>
      </c>
      <c r="J3083" t="s">
        <v>125</v>
      </c>
      <c r="K3083">
        <v>0</v>
      </c>
      <c r="L3083">
        <v>3</v>
      </c>
      <c r="M3083">
        <v>0</v>
      </c>
      <c r="N3083">
        <v>2</v>
      </c>
      <c r="O3083">
        <v>0</v>
      </c>
      <c r="P3083">
        <v>1</v>
      </c>
      <c r="Q3083">
        <v>0</v>
      </c>
      <c r="S3083" t="str">
        <f t="shared" si="1121"/>
        <v>19:33:47.000</v>
      </c>
      <c r="T3083" t="str">
        <f t="shared" si="1121"/>
        <v>19:33:47.000</v>
      </c>
      <c r="U3083" t="str">
        <f t="shared" si="1123"/>
        <v>AC3944</v>
      </c>
      <c r="V3083">
        <v>0</v>
      </c>
      <c r="W3083">
        <v>0</v>
      </c>
      <c r="X3083">
        <v>2</v>
      </c>
      <c r="Y3083">
        <v>0</v>
      </c>
      <c r="AA3083">
        <v>1</v>
      </c>
      <c r="AB3083">
        <v>8</v>
      </c>
      <c r="AC3083">
        <v>3</v>
      </c>
      <c r="AD3083">
        <v>0</v>
      </c>
      <c r="AE3083">
        <v>9</v>
      </c>
      <c r="AF3083" t="s">
        <v>138</v>
      </c>
      <c r="AG3083">
        <v>0</v>
      </c>
      <c r="AH3083">
        <v>3</v>
      </c>
      <c r="AI3083">
        <v>1</v>
      </c>
      <c r="AJ3083">
        <v>0</v>
      </c>
      <c r="AK3083" t="s">
        <v>1031</v>
      </c>
      <c r="AL3083">
        <v>32.712200000000003</v>
      </c>
      <c r="AM3083" t="s">
        <v>1032</v>
      </c>
      <c r="AN3083">
        <v>-116.762159</v>
      </c>
      <c r="AO3083">
        <v>25</v>
      </c>
      <c r="AP3083">
        <v>3800</v>
      </c>
      <c r="AQ3083" t="s">
        <v>129</v>
      </c>
      <c r="AR3083">
        <v>21</v>
      </c>
      <c r="AS3083">
        <v>-127</v>
      </c>
      <c r="AT3083">
        <v>1280</v>
      </c>
      <c r="BB3083">
        <v>1200</v>
      </c>
      <c r="BC3083">
        <v>1</v>
      </c>
      <c r="BD3083" t="str">
        <f t="shared" si="1124"/>
        <v xml:space="preserve">N887QR  </v>
      </c>
      <c r="BE3083">
        <v>1</v>
      </c>
      <c r="BG3083">
        <v>0</v>
      </c>
      <c r="BH3083">
        <v>0</v>
      </c>
      <c r="BI3083">
        <v>0</v>
      </c>
      <c r="BJ3083">
        <v>3575</v>
      </c>
      <c r="BK3083">
        <v>-225</v>
      </c>
      <c r="BL3083" t="s">
        <v>163</v>
      </c>
      <c r="BM3083">
        <v>1</v>
      </c>
      <c r="BN3083">
        <v>1</v>
      </c>
      <c r="BO3083">
        <v>1</v>
      </c>
      <c r="BP3083">
        <v>0</v>
      </c>
      <c r="BS3083">
        <v>0</v>
      </c>
      <c r="BT3083">
        <v>0</v>
      </c>
      <c r="BU3083">
        <v>0</v>
      </c>
      <c r="CE3083" t="str">
        <f t="shared" si="1126"/>
        <v>19:33:47.951</v>
      </c>
      <c r="CF3083">
        <v>950563962</v>
      </c>
      <c r="CS3083">
        <v>0</v>
      </c>
      <c r="CT3083">
        <v>2</v>
      </c>
      <c r="CU3083">
        <v>0</v>
      </c>
      <c r="CV3083">
        <v>2</v>
      </c>
      <c r="CW3083">
        <v>0</v>
      </c>
      <c r="CX3083">
        <v>6</v>
      </c>
      <c r="CY3083">
        <v>7</v>
      </c>
      <c r="CZ3083" t="s">
        <v>131</v>
      </c>
      <c r="DA3083">
        <v>300</v>
      </c>
      <c r="DB3083">
        <v>0</v>
      </c>
      <c r="DC3083" t="s">
        <v>176</v>
      </c>
      <c r="DD3083" t="s">
        <v>177</v>
      </c>
      <c r="DG3083">
        <v>5429073</v>
      </c>
      <c r="DI3083">
        <v>1</v>
      </c>
      <c r="DJ3083">
        <v>0</v>
      </c>
      <c r="DK3083">
        <v>1</v>
      </c>
      <c r="DL3083">
        <v>0</v>
      </c>
      <c r="DM3083">
        <v>0</v>
      </c>
      <c r="DN3083">
        <v>1</v>
      </c>
      <c r="DO3083">
        <v>0</v>
      </c>
      <c r="DP3083">
        <v>0</v>
      </c>
      <c r="DQ3083">
        <v>0</v>
      </c>
      <c r="DR3083">
        <v>0</v>
      </c>
      <c r="DS3083">
        <v>0</v>
      </c>
    </row>
    <row r="3084" spans="1:123" x14ac:dyDescent="0.3">
      <c r="A3084" t="str">
        <f t="shared" si="1125"/>
        <v>10/04/2022 19:33:48.245</v>
      </c>
      <c r="C3084" t="str">
        <f t="shared" si="1109"/>
        <v>FFDFD3C0</v>
      </c>
      <c r="D3084" t="s">
        <v>147</v>
      </c>
      <c r="E3084">
        <v>3</v>
      </c>
      <c r="H3084">
        <v>166</v>
      </c>
      <c r="I3084" t="s">
        <v>144</v>
      </c>
      <c r="J3084" t="s">
        <v>148</v>
      </c>
      <c r="K3084">
        <v>0</v>
      </c>
      <c r="L3084">
        <v>3</v>
      </c>
      <c r="M3084">
        <v>0</v>
      </c>
      <c r="N3084">
        <v>2</v>
      </c>
      <c r="O3084">
        <v>0</v>
      </c>
      <c r="P3084">
        <v>1</v>
      </c>
      <c r="Q3084">
        <v>0</v>
      </c>
      <c r="S3084" t="str">
        <f t="shared" si="1121"/>
        <v>19:33:47.000</v>
      </c>
      <c r="T3084" t="str">
        <f t="shared" si="1121"/>
        <v>19:33:47.000</v>
      </c>
      <c r="U3084" t="str">
        <f t="shared" si="1123"/>
        <v>AC3944</v>
      </c>
      <c r="V3084">
        <v>0</v>
      </c>
      <c r="W3084">
        <v>0</v>
      </c>
      <c r="X3084">
        <v>2</v>
      </c>
      <c r="Y3084">
        <v>0</v>
      </c>
      <c r="AA3084">
        <v>1</v>
      </c>
      <c r="AB3084">
        <v>8</v>
      </c>
      <c r="AC3084">
        <v>3</v>
      </c>
      <c r="AD3084">
        <v>0</v>
      </c>
      <c r="AE3084">
        <v>9</v>
      </c>
      <c r="AF3084" t="s">
        <v>138</v>
      </c>
      <c r="AG3084">
        <v>0</v>
      </c>
      <c r="AH3084">
        <v>3</v>
      </c>
      <c r="AI3084">
        <v>1</v>
      </c>
      <c r="AJ3084">
        <v>0</v>
      </c>
      <c r="AK3084" t="s">
        <v>1031</v>
      </c>
      <c r="AL3084">
        <v>32.712200000000003</v>
      </c>
      <c r="AM3084" t="s">
        <v>1032</v>
      </c>
      <c r="AN3084">
        <v>-116.762159</v>
      </c>
      <c r="AO3084">
        <v>25</v>
      </c>
      <c r="AP3084">
        <v>3800</v>
      </c>
      <c r="AQ3084" t="s">
        <v>129</v>
      </c>
      <c r="AR3084">
        <v>21</v>
      </c>
      <c r="AS3084">
        <v>-127</v>
      </c>
      <c r="AT3084">
        <v>1280</v>
      </c>
      <c r="BB3084">
        <v>1200</v>
      </c>
      <c r="BC3084">
        <v>1</v>
      </c>
      <c r="BD3084" t="str">
        <f t="shared" si="1124"/>
        <v xml:space="preserve">N887QR  </v>
      </c>
      <c r="BE3084">
        <v>1</v>
      </c>
      <c r="BG3084">
        <v>0</v>
      </c>
      <c r="BH3084">
        <v>0</v>
      </c>
      <c r="BI3084">
        <v>0</v>
      </c>
      <c r="BJ3084">
        <v>3575</v>
      </c>
      <c r="BK3084">
        <v>-225</v>
      </c>
      <c r="BL3084" t="s">
        <v>163</v>
      </c>
      <c r="BM3084">
        <v>1</v>
      </c>
      <c r="BN3084">
        <v>1</v>
      </c>
      <c r="BO3084">
        <v>1</v>
      </c>
      <c r="BP3084">
        <v>0</v>
      </c>
      <c r="BS3084">
        <v>0</v>
      </c>
      <c r="BT3084">
        <v>0</v>
      </c>
      <c r="BU3084">
        <v>0</v>
      </c>
      <c r="CE3084" t="str">
        <f t="shared" si="1126"/>
        <v>19:33:47.951</v>
      </c>
      <c r="CF3084">
        <v>950563962</v>
      </c>
      <c r="CS3084">
        <v>0</v>
      </c>
      <c r="CT3084">
        <v>2</v>
      </c>
      <c r="CU3084">
        <v>0</v>
      </c>
      <c r="CV3084">
        <v>2</v>
      </c>
      <c r="CW3084">
        <v>0</v>
      </c>
      <c r="CX3084">
        <v>6</v>
      </c>
      <c r="CY3084">
        <v>7</v>
      </c>
      <c r="CZ3084" t="s">
        <v>131</v>
      </c>
      <c r="DA3084">
        <v>300</v>
      </c>
      <c r="DB3084">
        <v>0</v>
      </c>
      <c r="DC3084" t="s">
        <v>176</v>
      </c>
      <c r="DD3084" t="s">
        <v>177</v>
      </c>
      <c r="DG3084">
        <v>5429073</v>
      </c>
      <c r="DI3084">
        <v>1</v>
      </c>
      <c r="DJ3084">
        <v>0</v>
      </c>
      <c r="DK3084">
        <v>1</v>
      </c>
      <c r="DL3084">
        <v>0</v>
      </c>
      <c r="DM3084">
        <v>0</v>
      </c>
      <c r="DN3084">
        <v>1</v>
      </c>
      <c r="DO3084">
        <v>0</v>
      </c>
      <c r="DP3084">
        <v>0</v>
      </c>
      <c r="DQ3084">
        <v>0</v>
      </c>
      <c r="DR3084">
        <v>0</v>
      </c>
      <c r="DS3084">
        <v>0</v>
      </c>
    </row>
    <row r="3085" spans="1:123" x14ac:dyDescent="0.3">
      <c r="A3085" t="str">
        <f t="shared" si="1125"/>
        <v>10/04/2022 19:33:48.245</v>
      </c>
      <c r="C3085" t="str">
        <f t="shared" si="1109"/>
        <v>FFDFD3C0</v>
      </c>
      <c r="D3085" t="s">
        <v>141</v>
      </c>
      <c r="E3085">
        <v>3</v>
      </c>
      <c r="H3085">
        <v>3</v>
      </c>
      <c r="I3085" t="s">
        <v>146</v>
      </c>
      <c r="J3085" t="s">
        <v>138</v>
      </c>
      <c r="K3085">
        <v>0</v>
      </c>
      <c r="L3085">
        <v>3</v>
      </c>
      <c r="M3085">
        <v>0</v>
      </c>
      <c r="N3085">
        <v>2</v>
      </c>
      <c r="O3085">
        <v>0</v>
      </c>
      <c r="P3085">
        <v>1</v>
      </c>
      <c r="Q3085">
        <v>0</v>
      </c>
      <c r="S3085" t="str">
        <f t="shared" si="1121"/>
        <v>19:33:47.000</v>
      </c>
      <c r="T3085" t="str">
        <f t="shared" si="1121"/>
        <v>19:33:47.000</v>
      </c>
      <c r="U3085" t="str">
        <f t="shared" si="1123"/>
        <v>AC3944</v>
      </c>
      <c r="V3085">
        <v>0</v>
      </c>
      <c r="W3085">
        <v>0</v>
      </c>
      <c r="X3085">
        <v>2</v>
      </c>
      <c r="Y3085">
        <v>0</v>
      </c>
      <c r="AA3085">
        <v>1</v>
      </c>
      <c r="AB3085">
        <v>8</v>
      </c>
      <c r="AC3085">
        <v>3</v>
      </c>
      <c r="AD3085">
        <v>0</v>
      </c>
      <c r="AE3085">
        <v>9</v>
      </c>
      <c r="AF3085" t="s">
        <v>138</v>
      </c>
      <c r="AG3085">
        <v>0</v>
      </c>
      <c r="AH3085">
        <v>3</v>
      </c>
      <c r="AI3085">
        <v>1</v>
      </c>
      <c r="AJ3085">
        <v>0</v>
      </c>
      <c r="AK3085" t="s">
        <v>1031</v>
      </c>
      <c r="AL3085">
        <v>32.712200000000003</v>
      </c>
      <c r="AM3085" t="s">
        <v>1032</v>
      </c>
      <c r="AN3085">
        <v>-116.762159</v>
      </c>
      <c r="AO3085">
        <v>25</v>
      </c>
      <c r="AP3085">
        <v>3800</v>
      </c>
      <c r="AQ3085" t="s">
        <v>129</v>
      </c>
      <c r="AR3085">
        <v>21</v>
      </c>
      <c r="AS3085">
        <v>-127</v>
      </c>
      <c r="AT3085">
        <v>1280</v>
      </c>
      <c r="BB3085">
        <v>1200</v>
      </c>
      <c r="BC3085">
        <v>1</v>
      </c>
      <c r="BD3085" t="str">
        <f t="shared" si="1124"/>
        <v xml:space="preserve">N887QR  </v>
      </c>
      <c r="BE3085">
        <v>1</v>
      </c>
      <c r="BG3085">
        <v>0</v>
      </c>
      <c r="BH3085">
        <v>0</v>
      </c>
      <c r="BI3085">
        <v>0</v>
      </c>
      <c r="BJ3085">
        <v>3575</v>
      </c>
      <c r="BK3085">
        <v>-225</v>
      </c>
      <c r="BL3085" t="s">
        <v>163</v>
      </c>
      <c r="BM3085">
        <v>1</v>
      </c>
      <c r="BN3085">
        <v>1</v>
      </c>
      <c r="BO3085">
        <v>1</v>
      </c>
      <c r="BP3085">
        <v>0</v>
      </c>
      <c r="BS3085">
        <v>0</v>
      </c>
      <c r="BT3085">
        <v>0</v>
      </c>
      <c r="BU3085">
        <v>0</v>
      </c>
      <c r="CE3085" t="str">
        <f t="shared" si="1126"/>
        <v>19:33:47.951</v>
      </c>
      <c r="CF3085">
        <v>950563962</v>
      </c>
      <c r="CS3085">
        <v>0</v>
      </c>
      <c r="CT3085">
        <v>2</v>
      </c>
      <c r="CU3085">
        <v>0</v>
      </c>
      <c r="CV3085">
        <v>2</v>
      </c>
      <c r="CW3085">
        <v>0</v>
      </c>
      <c r="CX3085">
        <v>6</v>
      </c>
      <c r="CY3085">
        <v>7</v>
      </c>
      <c r="CZ3085" t="s">
        <v>131</v>
      </c>
      <c r="DA3085">
        <v>300</v>
      </c>
      <c r="DB3085">
        <v>0</v>
      </c>
      <c r="DC3085" t="s">
        <v>176</v>
      </c>
      <c r="DD3085" t="s">
        <v>177</v>
      </c>
      <c r="DG3085">
        <v>5429073</v>
      </c>
      <c r="DI3085">
        <v>1</v>
      </c>
      <c r="DJ3085">
        <v>0</v>
      </c>
      <c r="DK3085">
        <v>1</v>
      </c>
      <c r="DL3085">
        <v>0</v>
      </c>
      <c r="DM3085">
        <v>0</v>
      </c>
      <c r="DN3085">
        <v>1</v>
      </c>
      <c r="DO3085">
        <v>0</v>
      </c>
      <c r="DP3085">
        <v>0</v>
      </c>
      <c r="DQ3085">
        <v>0</v>
      </c>
      <c r="DR3085">
        <v>0</v>
      </c>
      <c r="DS3085">
        <v>0</v>
      </c>
    </row>
    <row r="3086" spans="1:123" x14ac:dyDescent="0.3">
      <c r="A3086" t="str">
        <f>"10/04/2022 19:33:49.557"</f>
        <v>10/04/2022 19:33:49.557</v>
      </c>
      <c r="C3086" t="str">
        <f t="shared" si="1109"/>
        <v>FFDFD3C0</v>
      </c>
      <c r="D3086" t="s">
        <v>134</v>
      </c>
      <c r="E3086">
        <v>15</v>
      </c>
      <c r="J3086" t="s">
        <v>135</v>
      </c>
      <c r="K3086">
        <v>0</v>
      </c>
      <c r="L3086">
        <v>3</v>
      </c>
      <c r="M3086">
        <v>0</v>
      </c>
      <c r="N3086">
        <v>2</v>
      </c>
      <c r="O3086">
        <v>0</v>
      </c>
      <c r="P3086">
        <v>1</v>
      </c>
      <c r="Q3086">
        <v>0</v>
      </c>
      <c r="S3086" t="str">
        <f t="shared" ref="S3086:T3092" si="1127">"19:33:49.000"</f>
        <v>19:33:49.000</v>
      </c>
      <c r="T3086" t="str">
        <f t="shared" si="1127"/>
        <v>19:33:49.000</v>
      </c>
      <c r="U3086" t="str">
        <f t="shared" si="1123"/>
        <v>AC3944</v>
      </c>
      <c r="V3086">
        <v>0</v>
      </c>
      <c r="W3086">
        <v>0</v>
      </c>
      <c r="X3086">
        <v>2</v>
      </c>
      <c r="Y3086">
        <v>0</v>
      </c>
      <c r="AA3086">
        <v>1</v>
      </c>
      <c r="AB3086">
        <v>8</v>
      </c>
      <c r="AC3086">
        <v>3</v>
      </c>
      <c r="AD3086">
        <v>0</v>
      </c>
      <c r="AE3086">
        <v>9</v>
      </c>
      <c r="AF3086" t="s">
        <v>138</v>
      </c>
      <c r="AG3086">
        <v>0</v>
      </c>
      <c r="AH3086">
        <v>3</v>
      </c>
      <c r="AI3086">
        <v>1</v>
      </c>
      <c r="AJ3086">
        <v>0</v>
      </c>
      <c r="AK3086" t="s">
        <v>1033</v>
      </c>
      <c r="AL3086">
        <v>32.711599</v>
      </c>
      <c r="AM3086" t="s">
        <v>1034</v>
      </c>
      <c r="AN3086">
        <v>-116.76203</v>
      </c>
      <c r="AO3086">
        <v>25</v>
      </c>
      <c r="AP3086">
        <v>3800</v>
      </c>
      <c r="AQ3086" t="s">
        <v>129</v>
      </c>
      <c r="AR3086">
        <v>47</v>
      </c>
      <c r="AS3086">
        <v>-120</v>
      </c>
      <c r="AT3086">
        <v>1024</v>
      </c>
      <c r="BB3086">
        <v>1200</v>
      </c>
      <c r="BC3086">
        <v>1</v>
      </c>
      <c r="BD3086" t="str">
        <f t="shared" si="1124"/>
        <v xml:space="preserve">N887QR  </v>
      </c>
      <c r="BE3086">
        <v>1</v>
      </c>
      <c r="BG3086">
        <v>0</v>
      </c>
      <c r="BH3086">
        <v>0</v>
      </c>
      <c r="BI3086">
        <v>0</v>
      </c>
      <c r="BJ3086">
        <v>3600</v>
      </c>
      <c r="BK3086">
        <v>-200</v>
      </c>
      <c r="BL3086" t="s">
        <v>163</v>
      </c>
      <c r="BM3086">
        <v>1</v>
      </c>
      <c r="BN3086">
        <v>1</v>
      </c>
      <c r="BO3086">
        <v>1</v>
      </c>
      <c r="BP3086">
        <v>0</v>
      </c>
      <c r="BS3086">
        <v>0</v>
      </c>
      <c r="BT3086">
        <v>0</v>
      </c>
      <c r="BU3086">
        <v>0</v>
      </c>
      <c r="CE3086" t="str">
        <f t="shared" ref="CE3086:CE3092" si="1128">"19:33:49.340"</f>
        <v>19:33:49.340</v>
      </c>
      <c r="CF3086">
        <v>340318664</v>
      </c>
      <c r="CS3086">
        <v>0</v>
      </c>
      <c r="CT3086">
        <v>2</v>
      </c>
      <c r="CU3086">
        <v>0</v>
      </c>
      <c r="CV3086">
        <v>2</v>
      </c>
      <c r="CW3086">
        <v>0</v>
      </c>
      <c r="CX3086">
        <v>5</v>
      </c>
      <c r="CY3086">
        <v>7</v>
      </c>
      <c r="CZ3086" t="s">
        <v>131</v>
      </c>
      <c r="DA3086">
        <v>300</v>
      </c>
      <c r="DB3086">
        <v>0</v>
      </c>
      <c r="DC3086" t="s">
        <v>176</v>
      </c>
      <c r="DD3086" t="s">
        <v>177</v>
      </c>
      <c r="DG3086">
        <v>5429311</v>
      </c>
      <c r="DI3086">
        <v>1</v>
      </c>
      <c r="DJ3086">
        <v>0</v>
      </c>
      <c r="DK3086">
        <v>0</v>
      </c>
      <c r="DL3086">
        <v>0</v>
      </c>
      <c r="DM3086">
        <v>0</v>
      </c>
      <c r="DN3086">
        <v>1</v>
      </c>
      <c r="DO3086">
        <v>0</v>
      </c>
      <c r="DP3086">
        <v>0</v>
      </c>
      <c r="DQ3086">
        <v>0</v>
      </c>
      <c r="DR3086">
        <v>0</v>
      </c>
      <c r="DS3086">
        <v>0</v>
      </c>
    </row>
    <row r="3087" spans="1:123" x14ac:dyDescent="0.3">
      <c r="A3087" t="str">
        <f>"10/04/2022 19:33:49.557"</f>
        <v>10/04/2022 19:33:49.557</v>
      </c>
      <c r="C3087" t="str">
        <f t="shared" si="1109"/>
        <v>FFDFD3C0</v>
      </c>
      <c r="D3087" t="s">
        <v>141</v>
      </c>
      <c r="E3087">
        <v>4</v>
      </c>
      <c r="H3087">
        <v>4</v>
      </c>
      <c r="I3087" t="s">
        <v>142</v>
      </c>
      <c r="J3087" t="s">
        <v>138</v>
      </c>
      <c r="K3087">
        <v>0</v>
      </c>
      <c r="L3087">
        <v>3</v>
      </c>
      <c r="M3087">
        <v>0</v>
      </c>
      <c r="N3087">
        <v>2</v>
      </c>
      <c r="O3087">
        <v>0</v>
      </c>
      <c r="P3087">
        <v>1</v>
      </c>
      <c r="Q3087">
        <v>0</v>
      </c>
      <c r="S3087" t="str">
        <f t="shared" si="1127"/>
        <v>19:33:49.000</v>
      </c>
      <c r="T3087" t="str">
        <f t="shared" si="1127"/>
        <v>19:33:49.000</v>
      </c>
      <c r="U3087" t="str">
        <f t="shared" si="1123"/>
        <v>AC3944</v>
      </c>
      <c r="V3087">
        <v>0</v>
      </c>
      <c r="W3087">
        <v>0</v>
      </c>
      <c r="X3087">
        <v>2</v>
      </c>
      <c r="Y3087">
        <v>0</v>
      </c>
      <c r="AA3087">
        <v>1</v>
      </c>
      <c r="AB3087">
        <v>8</v>
      </c>
      <c r="AC3087">
        <v>3</v>
      </c>
      <c r="AD3087">
        <v>0</v>
      </c>
      <c r="AE3087">
        <v>9</v>
      </c>
      <c r="AF3087" t="s">
        <v>138</v>
      </c>
      <c r="AG3087">
        <v>0</v>
      </c>
      <c r="AH3087">
        <v>3</v>
      </c>
      <c r="AI3087">
        <v>1</v>
      </c>
      <c r="AJ3087">
        <v>0</v>
      </c>
      <c r="AK3087" t="s">
        <v>1033</v>
      </c>
      <c r="AL3087">
        <v>32.711599</v>
      </c>
      <c r="AM3087" t="s">
        <v>1034</v>
      </c>
      <c r="AN3087">
        <v>-116.76203</v>
      </c>
      <c r="AO3087">
        <v>25</v>
      </c>
      <c r="AP3087">
        <v>3800</v>
      </c>
      <c r="AQ3087" t="s">
        <v>129</v>
      </c>
      <c r="AR3087">
        <v>47</v>
      </c>
      <c r="AS3087">
        <v>-120</v>
      </c>
      <c r="AT3087">
        <v>1024</v>
      </c>
      <c r="BB3087">
        <v>1200</v>
      </c>
      <c r="BC3087">
        <v>1</v>
      </c>
      <c r="BD3087" t="str">
        <f t="shared" si="1124"/>
        <v xml:space="preserve">N887QR  </v>
      </c>
      <c r="BE3087">
        <v>1</v>
      </c>
      <c r="BG3087">
        <v>0</v>
      </c>
      <c r="BH3087">
        <v>0</v>
      </c>
      <c r="BI3087">
        <v>0</v>
      </c>
      <c r="BJ3087">
        <v>3600</v>
      </c>
      <c r="BK3087">
        <v>-200</v>
      </c>
      <c r="BL3087" t="s">
        <v>163</v>
      </c>
      <c r="BM3087">
        <v>1</v>
      </c>
      <c r="BN3087">
        <v>1</v>
      </c>
      <c r="BO3087">
        <v>1</v>
      </c>
      <c r="BP3087">
        <v>0</v>
      </c>
      <c r="BS3087">
        <v>0</v>
      </c>
      <c r="BT3087">
        <v>0</v>
      </c>
      <c r="BU3087">
        <v>0</v>
      </c>
      <c r="CE3087" t="str">
        <f t="shared" si="1128"/>
        <v>19:33:49.340</v>
      </c>
      <c r="CF3087">
        <v>340318664</v>
      </c>
      <c r="CS3087">
        <v>0</v>
      </c>
      <c r="CT3087">
        <v>2</v>
      </c>
      <c r="CU3087">
        <v>0</v>
      </c>
      <c r="CV3087">
        <v>2</v>
      </c>
      <c r="CW3087">
        <v>0</v>
      </c>
      <c r="CX3087">
        <v>5</v>
      </c>
      <c r="CY3087">
        <v>7</v>
      </c>
      <c r="CZ3087" t="s">
        <v>131</v>
      </c>
      <c r="DA3087">
        <v>300</v>
      </c>
      <c r="DB3087">
        <v>0</v>
      </c>
      <c r="DC3087" t="s">
        <v>176</v>
      </c>
      <c r="DD3087" t="s">
        <v>177</v>
      </c>
      <c r="DG3087">
        <v>5429311</v>
      </c>
      <c r="DI3087">
        <v>1</v>
      </c>
      <c r="DJ3087">
        <v>0</v>
      </c>
      <c r="DK3087">
        <v>1</v>
      </c>
      <c r="DL3087">
        <v>0</v>
      </c>
      <c r="DM3087">
        <v>0</v>
      </c>
      <c r="DN3087">
        <v>1</v>
      </c>
      <c r="DO3087">
        <v>0</v>
      </c>
      <c r="DP3087">
        <v>0</v>
      </c>
      <c r="DQ3087">
        <v>0</v>
      </c>
      <c r="DR3087">
        <v>0</v>
      </c>
      <c r="DS3087">
        <v>0</v>
      </c>
    </row>
    <row r="3088" spans="1:123" x14ac:dyDescent="0.3">
      <c r="A3088" t="str">
        <f>"10/04/2022 19:33:49.557"</f>
        <v>10/04/2022 19:33:49.557</v>
      </c>
      <c r="C3088" t="str">
        <f t="shared" si="1109"/>
        <v>FFDFD3C0</v>
      </c>
      <c r="D3088" t="s">
        <v>143</v>
      </c>
      <c r="E3088">
        <v>20</v>
      </c>
      <c r="F3088">
        <v>1020</v>
      </c>
      <c r="G3088" t="s">
        <v>144</v>
      </c>
      <c r="J3088" t="s">
        <v>145</v>
      </c>
      <c r="K3088">
        <v>0</v>
      </c>
      <c r="L3088">
        <v>3</v>
      </c>
      <c r="M3088">
        <v>0</v>
      </c>
      <c r="N3088">
        <v>2</v>
      </c>
      <c r="O3088">
        <v>0</v>
      </c>
      <c r="P3088">
        <v>1</v>
      </c>
      <c r="Q3088">
        <v>0</v>
      </c>
      <c r="S3088" t="str">
        <f t="shared" si="1127"/>
        <v>19:33:49.000</v>
      </c>
      <c r="T3088" t="str">
        <f t="shared" si="1127"/>
        <v>19:33:49.000</v>
      </c>
      <c r="U3088" t="str">
        <f t="shared" si="1123"/>
        <v>AC3944</v>
      </c>
      <c r="V3088">
        <v>0</v>
      </c>
      <c r="W3088">
        <v>0</v>
      </c>
      <c r="X3088">
        <v>2</v>
      </c>
      <c r="Y3088">
        <v>0</v>
      </c>
      <c r="AA3088">
        <v>1</v>
      </c>
      <c r="AB3088">
        <v>8</v>
      </c>
      <c r="AC3088">
        <v>3</v>
      </c>
      <c r="AD3088">
        <v>0</v>
      </c>
      <c r="AE3088">
        <v>9</v>
      </c>
      <c r="AF3088" t="s">
        <v>138</v>
      </c>
      <c r="AG3088">
        <v>0</v>
      </c>
      <c r="AH3088">
        <v>3</v>
      </c>
      <c r="AI3088">
        <v>1</v>
      </c>
      <c r="AJ3088">
        <v>0</v>
      </c>
      <c r="AK3088" t="s">
        <v>1033</v>
      </c>
      <c r="AL3088">
        <v>32.711599</v>
      </c>
      <c r="AM3088" t="s">
        <v>1034</v>
      </c>
      <c r="AN3088">
        <v>-116.76203</v>
      </c>
      <c r="AO3088">
        <v>25</v>
      </c>
      <c r="AP3088">
        <v>3800</v>
      </c>
      <c r="AQ3088" t="s">
        <v>129</v>
      </c>
      <c r="AR3088">
        <v>47</v>
      </c>
      <c r="AS3088">
        <v>-120</v>
      </c>
      <c r="AT3088">
        <v>1024</v>
      </c>
      <c r="BB3088">
        <v>1200</v>
      </c>
      <c r="BC3088">
        <v>1</v>
      </c>
      <c r="BD3088" t="str">
        <f t="shared" si="1124"/>
        <v xml:space="preserve">N887QR  </v>
      </c>
      <c r="BE3088">
        <v>1</v>
      </c>
      <c r="BG3088">
        <v>0</v>
      </c>
      <c r="BH3088">
        <v>0</v>
      </c>
      <c r="BI3088">
        <v>0</v>
      </c>
      <c r="BJ3088">
        <v>3600</v>
      </c>
      <c r="BK3088">
        <v>-200</v>
      </c>
      <c r="BL3088" t="s">
        <v>163</v>
      </c>
      <c r="BM3088">
        <v>1</v>
      </c>
      <c r="BN3088">
        <v>1</v>
      </c>
      <c r="BO3088">
        <v>1</v>
      </c>
      <c r="BP3088">
        <v>0</v>
      </c>
      <c r="BS3088">
        <v>0</v>
      </c>
      <c r="BT3088">
        <v>0</v>
      </c>
      <c r="BU3088">
        <v>0</v>
      </c>
      <c r="CE3088" t="str">
        <f t="shared" si="1128"/>
        <v>19:33:49.340</v>
      </c>
      <c r="CF3088">
        <v>340318664</v>
      </c>
      <c r="CS3088">
        <v>0</v>
      </c>
      <c r="CT3088">
        <v>2</v>
      </c>
      <c r="CU3088">
        <v>0</v>
      </c>
      <c r="CV3088">
        <v>2</v>
      </c>
      <c r="CW3088">
        <v>0</v>
      </c>
      <c r="CX3088">
        <v>5</v>
      </c>
      <c r="CY3088">
        <v>7</v>
      </c>
      <c r="CZ3088" t="s">
        <v>131</v>
      </c>
      <c r="DA3088">
        <v>300</v>
      </c>
      <c r="DB3088">
        <v>0</v>
      </c>
      <c r="DC3088" t="s">
        <v>176</v>
      </c>
      <c r="DD3088" t="s">
        <v>177</v>
      </c>
      <c r="DG3088">
        <v>5429311</v>
      </c>
      <c r="DI3088">
        <v>1</v>
      </c>
      <c r="DJ3088">
        <v>0</v>
      </c>
      <c r="DK3088">
        <v>1</v>
      </c>
      <c r="DL3088">
        <v>0</v>
      </c>
      <c r="DM3088">
        <v>0</v>
      </c>
      <c r="DN3088">
        <v>1</v>
      </c>
      <c r="DO3088">
        <v>0</v>
      </c>
      <c r="DP3088">
        <v>0</v>
      </c>
      <c r="DQ3088">
        <v>0</v>
      </c>
      <c r="DR3088">
        <v>0</v>
      </c>
      <c r="DS3088">
        <v>0</v>
      </c>
    </row>
    <row r="3089" spans="1:123" x14ac:dyDescent="0.3">
      <c r="A3089" t="str">
        <f>"10/04/2022 19:33:49.557"</f>
        <v>10/04/2022 19:33:49.557</v>
      </c>
      <c r="C3089" t="str">
        <f t="shared" si="1109"/>
        <v>FFDFD3C0</v>
      </c>
      <c r="D3089" t="s">
        <v>123</v>
      </c>
      <c r="E3089">
        <v>7</v>
      </c>
      <c r="F3089">
        <v>2007</v>
      </c>
      <c r="G3089" t="s">
        <v>124</v>
      </c>
      <c r="J3089" t="s">
        <v>125</v>
      </c>
      <c r="K3089">
        <v>0</v>
      </c>
      <c r="L3089">
        <v>3</v>
      </c>
      <c r="M3089">
        <v>0</v>
      </c>
      <c r="N3089">
        <v>2</v>
      </c>
      <c r="O3089">
        <v>0</v>
      </c>
      <c r="P3089">
        <v>1</v>
      </c>
      <c r="Q3089">
        <v>0</v>
      </c>
      <c r="S3089" t="str">
        <f t="shared" si="1127"/>
        <v>19:33:49.000</v>
      </c>
      <c r="T3089" t="str">
        <f t="shared" si="1127"/>
        <v>19:33:49.000</v>
      </c>
      <c r="U3089" t="str">
        <f t="shared" si="1123"/>
        <v>AC3944</v>
      </c>
      <c r="V3089">
        <v>0</v>
      </c>
      <c r="W3089">
        <v>0</v>
      </c>
      <c r="X3089">
        <v>2</v>
      </c>
      <c r="Y3089">
        <v>0</v>
      </c>
      <c r="AA3089">
        <v>1</v>
      </c>
      <c r="AB3089">
        <v>8</v>
      </c>
      <c r="AC3089">
        <v>3</v>
      </c>
      <c r="AD3089">
        <v>0</v>
      </c>
      <c r="AE3089">
        <v>9</v>
      </c>
      <c r="AF3089" t="s">
        <v>138</v>
      </c>
      <c r="AG3089">
        <v>0</v>
      </c>
      <c r="AH3089">
        <v>3</v>
      </c>
      <c r="AI3089">
        <v>1</v>
      </c>
      <c r="AJ3089">
        <v>0</v>
      </c>
      <c r="AK3089" t="s">
        <v>1033</v>
      </c>
      <c r="AL3089">
        <v>32.711599</v>
      </c>
      <c r="AM3089" t="s">
        <v>1034</v>
      </c>
      <c r="AN3089">
        <v>-116.76203</v>
      </c>
      <c r="AO3089">
        <v>25</v>
      </c>
      <c r="AP3089">
        <v>3800</v>
      </c>
      <c r="AQ3089" t="s">
        <v>129</v>
      </c>
      <c r="AR3089">
        <v>47</v>
      </c>
      <c r="AS3089">
        <v>-120</v>
      </c>
      <c r="AT3089">
        <v>1024</v>
      </c>
      <c r="BB3089">
        <v>1200</v>
      </c>
      <c r="BC3089">
        <v>1</v>
      </c>
      <c r="BD3089" t="str">
        <f t="shared" si="1124"/>
        <v xml:space="preserve">N887QR  </v>
      </c>
      <c r="BE3089">
        <v>1</v>
      </c>
      <c r="BG3089">
        <v>0</v>
      </c>
      <c r="BH3089">
        <v>0</v>
      </c>
      <c r="BI3089">
        <v>0</v>
      </c>
      <c r="BJ3089">
        <v>3600</v>
      </c>
      <c r="BK3089">
        <v>-200</v>
      </c>
      <c r="BL3089" t="s">
        <v>163</v>
      </c>
      <c r="BM3089">
        <v>1</v>
      </c>
      <c r="BN3089">
        <v>1</v>
      </c>
      <c r="BO3089">
        <v>1</v>
      </c>
      <c r="BP3089">
        <v>0</v>
      </c>
      <c r="BS3089">
        <v>0</v>
      </c>
      <c r="BT3089">
        <v>0</v>
      </c>
      <c r="BU3089">
        <v>0</v>
      </c>
      <c r="CE3089" t="str">
        <f t="shared" si="1128"/>
        <v>19:33:49.340</v>
      </c>
      <c r="CF3089">
        <v>340318664</v>
      </c>
      <c r="CS3089">
        <v>0</v>
      </c>
      <c r="CT3089">
        <v>2</v>
      </c>
      <c r="CU3089">
        <v>0</v>
      </c>
      <c r="CV3089">
        <v>2</v>
      </c>
      <c r="CW3089">
        <v>0</v>
      </c>
      <c r="CX3089">
        <v>5</v>
      </c>
      <c r="CY3089">
        <v>7</v>
      </c>
      <c r="CZ3089" t="s">
        <v>131</v>
      </c>
      <c r="DA3089">
        <v>300</v>
      </c>
      <c r="DB3089">
        <v>0</v>
      </c>
      <c r="DC3089" t="s">
        <v>176</v>
      </c>
      <c r="DD3089" t="s">
        <v>177</v>
      </c>
      <c r="DG3089">
        <v>5429311</v>
      </c>
      <c r="DI3089">
        <v>1</v>
      </c>
      <c r="DJ3089">
        <v>0</v>
      </c>
      <c r="DK3089">
        <v>1</v>
      </c>
      <c r="DL3089">
        <v>0</v>
      </c>
      <c r="DM3089">
        <v>0</v>
      </c>
      <c r="DN3089">
        <v>1</v>
      </c>
      <c r="DO3089">
        <v>0</v>
      </c>
      <c r="DP3089">
        <v>0</v>
      </c>
      <c r="DQ3089">
        <v>0</v>
      </c>
      <c r="DR3089">
        <v>0</v>
      </c>
      <c r="DS3089">
        <v>0</v>
      </c>
    </row>
    <row r="3090" spans="1:123" x14ac:dyDescent="0.3">
      <c r="A3090" t="str">
        <f>"10/04/2022 19:33:49.557"</f>
        <v>10/04/2022 19:33:49.557</v>
      </c>
      <c r="C3090" t="str">
        <f t="shared" si="1109"/>
        <v>FFDFD3C0</v>
      </c>
      <c r="D3090" t="s">
        <v>147</v>
      </c>
      <c r="E3090">
        <v>3</v>
      </c>
      <c r="H3090">
        <v>166</v>
      </c>
      <c r="I3090" t="s">
        <v>144</v>
      </c>
      <c r="J3090" t="s">
        <v>148</v>
      </c>
      <c r="K3090">
        <v>0</v>
      </c>
      <c r="L3090">
        <v>3</v>
      </c>
      <c r="M3090">
        <v>0</v>
      </c>
      <c r="N3090">
        <v>2</v>
      </c>
      <c r="O3090">
        <v>0</v>
      </c>
      <c r="P3090">
        <v>1</v>
      </c>
      <c r="Q3090">
        <v>0</v>
      </c>
      <c r="S3090" t="str">
        <f t="shared" si="1127"/>
        <v>19:33:49.000</v>
      </c>
      <c r="T3090" t="str">
        <f t="shared" si="1127"/>
        <v>19:33:49.000</v>
      </c>
      <c r="U3090" t="str">
        <f t="shared" si="1123"/>
        <v>AC3944</v>
      </c>
      <c r="V3090">
        <v>0</v>
      </c>
      <c r="W3090">
        <v>0</v>
      </c>
      <c r="X3090">
        <v>2</v>
      </c>
      <c r="Y3090">
        <v>0</v>
      </c>
      <c r="AA3090">
        <v>1</v>
      </c>
      <c r="AB3090">
        <v>8</v>
      </c>
      <c r="AC3090">
        <v>3</v>
      </c>
      <c r="AD3090">
        <v>0</v>
      </c>
      <c r="AE3090">
        <v>9</v>
      </c>
      <c r="AF3090" t="s">
        <v>138</v>
      </c>
      <c r="AG3090">
        <v>0</v>
      </c>
      <c r="AH3090">
        <v>3</v>
      </c>
      <c r="AI3090">
        <v>1</v>
      </c>
      <c r="AJ3090">
        <v>0</v>
      </c>
      <c r="AK3090" t="s">
        <v>1033</v>
      </c>
      <c r="AL3090">
        <v>32.711599</v>
      </c>
      <c r="AM3090" t="s">
        <v>1034</v>
      </c>
      <c r="AN3090">
        <v>-116.76203</v>
      </c>
      <c r="AO3090">
        <v>25</v>
      </c>
      <c r="AP3090">
        <v>3800</v>
      </c>
      <c r="AQ3090" t="s">
        <v>129</v>
      </c>
      <c r="AR3090">
        <v>47</v>
      </c>
      <c r="AS3090">
        <v>-120</v>
      </c>
      <c r="AT3090">
        <v>1024</v>
      </c>
      <c r="BB3090">
        <v>1200</v>
      </c>
      <c r="BC3090">
        <v>1</v>
      </c>
      <c r="BD3090" t="str">
        <f t="shared" si="1124"/>
        <v xml:space="preserve">N887QR  </v>
      </c>
      <c r="BE3090">
        <v>1</v>
      </c>
      <c r="BG3090">
        <v>0</v>
      </c>
      <c r="BH3090">
        <v>0</v>
      </c>
      <c r="BI3090">
        <v>0</v>
      </c>
      <c r="BJ3090">
        <v>3600</v>
      </c>
      <c r="BK3090">
        <v>-200</v>
      </c>
      <c r="BL3090" t="s">
        <v>163</v>
      </c>
      <c r="BM3090">
        <v>1</v>
      </c>
      <c r="BN3090">
        <v>1</v>
      </c>
      <c r="BO3090">
        <v>1</v>
      </c>
      <c r="BP3090">
        <v>0</v>
      </c>
      <c r="BS3090">
        <v>0</v>
      </c>
      <c r="BT3090">
        <v>0</v>
      </c>
      <c r="BU3090">
        <v>0</v>
      </c>
      <c r="CE3090" t="str">
        <f t="shared" si="1128"/>
        <v>19:33:49.340</v>
      </c>
      <c r="CF3090">
        <v>340318664</v>
      </c>
      <c r="CS3090">
        <v>0</v>
      </c>
      <c r="CT3090">
        <v>2</v>
      </c>
      <c r="CU3090">
        <v>0</v>
      </c>
      <c r="CV3090">
        <v>2</v>
      </c>
      <c r="CW3090">
        <v>0</v>
      </c>
      <c r="CX3090">
        <v>5</v>
      </c>
      <c r="CY3090">
        <v>7</v>
      </c>
      <c r="CZ3090" t="s">
        <v>131</v>
      </c>
      <c r="DA3090">
        <v>300</v>
      </c>
      <c r="DB3090">
        <v>0</v>
      </c>
      <c r="DC3090" t="s">
        <v>176</v>
      </c>
      <c r="DD3090" t="s">
        <v>177</v>
      </c>
      <c r="DG3090">
        <v>5429311</v>
      </c>
      <c r="DI3090">
        <v>1</v>
      </c>
      <c r="DJ3090">
        <v>0</v>
      </c>
      <c r="DK3090">
        <v>1</v>
      </c>
      <c r="DL3090">
        <v>0</v>
      </c>
      <c r="DM3090">
        <v>0</v>
      </c>
      <c r="DN3090">
        <v>1</v>
      </c>
      <c r="DO3090">
        <v>0</v>
      </c>
      <c r="DP3090">
        <v>0</v>
      </c>
      <c r="DQ3090">
        <v>0</v>
      </c>
      <c r="DR3090">
        <v>0</v>
      </c>
      <c r="DS3090">
        <v>0</v>
      </c>
    </row>
    <row r="3091" spans="1:123" x14ac:dyDescent="0.3">
      <c r="A3091" t="str">
        <f>"10/04/2022 19:33:49.635"</f>
        <v>10/04/2022 19:33:49.635</v>
      </c>
      <c r="C3091" t="str">
        <f t="shared" si="1109"/>
        <v>FFDFD3C0</v>
      </c>
      <c r="D3091" t="s">
        <v>141</v>
      </c>
      <c r="E3091">
        <v>3</v>
      </c>
      <c r="H3091">
        <v>3</v>
      </c>
      <c r="I3091" t="s">
        <v>146</v>
      </c>
      <c r="J3091" t="s">
        <v>138</v>
      </c>
      <c r="K3091">
        <v>0</v>
      </c>
      <c r="L3091">
        <v>3</v>
      </c>
      <c r="M3091">
        <v>0</v>
      </c>
      <c r="N3091">
        <v>2</v>
      </c>
      <c r="O3091">
        <v>0</v>
      </c>
      <c r="P3091">
        <v>1</v>
      </c>
      <c r="Q3091">
        <v>0</v>
      </c>
      <c r="S3091" t="str">
        <f t="shared" si="1127"/>
        <v>19:33:49.000</v>
      </c>
      <c r="T3091" t="str">
        <f t="shared" si="1127"/>
        <v>19:33:49.000</v>
      </c>
      <c r="U3091" t="str">
        <f t="shared" si="1123"/>
        <v>AC3944</v>
      </c>
      <c r="V3091">
        <v>0</v>
      </c>
      <c r="W3091">
        <v>0</v>
      </c>
      <c r="X3091">
        <v>2</v>
      </c>
      <c r="Y3091">
        <v>0</v>
      </c>
      <c r="AA3091">
        <v>1</v>
      </c>
      <c r="AB3091">
        <v>8</v>
      </c>
      <c r="AC3091">
        <v>3</v>
      </c>
      <c r="AD3091">
        <v>0</v>
      </c>
      <c r="AE3091">
        <v>9</v>
      </c>
      <c r="AF3091" t="s">
        <v>138</v>
      </c>
      <c r="AG3091">
        <v>0</v>
      </c>
      <c r="AH3091">
        <v>3</v>
      </c>
      <c r="AI3091">
        <v>1</v>
      </c>
      <c r="AJ3091">
        <v>0</v>
      </c>
      <c r="AK3091" t="s">
        <v>1033</v>
      </c>
      <c r="AL3091">
        <v>32.711599</v>
      </c>
      <c r="AM3091" t="s">
        <v>1034</v>
      </c>
      <c r="AN3091">
        <v>-116.76203</v>
      </c>
      <c r="AO3091">
        <v>25</v>
      </c>
      <c r="AP3091">
        <v>3800</v>
      </c>
      <c r="AQ3091" t="s">
        <v>129</v>
      </c>
      <c r="AR3091">
        <v>47</v>
      </c>
      <c r="AS3091">
        <v>-120</v>
      </c>
      <c r="AT3091">
        <v>1024</v>
      </c>
      <c r="BB3091">
        <v>1200</v>
      </c>
      <c r="BC3091">
        <v>1</v>
      </c>
      <c r="BD3091" t="str">
        <f t="shared" si="1124"/>
        <v xml:space="preserve">N887QR  </v>
      </c>
      <c r="BE3091">
        <v>1</v>
      </c>
      <c r="BG3091">
        <v>0</v>
      </c>
      <c r="BH3091">
        <v>0</v>
      </c>
      <c r="BI3091">
        <v>0</v>
      </c>
      <c r="BJ3091">
        <v>3600</v>
      </c>
      <c r="BK3091">
        <v>-200</v>
      </c>
      <c r="BL3091" t="s">
        <v>163</v>
      </c>
      <c r="BM3091">
        <v>1</v>
      </c>
      <c r="BN3091">
        <v>1</v>
      </c>
      <c r="BO3091">
        <v>1</v>
      </c>
      <c r="BP3091">
        <v>0</v>
      </c>
      <c r="BS3091">
        <v>0</v>
      </c>
      <c r="BT3091">
        <v>0</v>
      </c>
      <c r="BU3091">
        <v>0</v>
      </c>
      <c r="CE3091" t="str">
        <f t="shared" si="1128"/>
        <v>19:33:49.340</v>
      </c>
      <c r="CF3091">
        <v>340318664</v>
      </c>
      <c r="CS3091">
        <v>0</v>
      </c>
      <c r="CT3091">
        <v>2</v>
      </c>
      <c r="CU3091">
        <v>0</v>
      </c>
      <c r="CV3091">
        <v>2</v>
      </c>
      <c r="CW3091">
        <v>0</v>
      </c>
      <c r="CX3091">
        <v>5</v>
      </c>
      <c r="CY3091">
        <v>7</v>
      </c>
      <c r="CZ3091" t="s">
        <v>131</v>
      </c>
      <c r="DA3091">
        <v>300</v>
      </c>
      <c r="DB3091">
        <v>0</v>
      </c>
      <c r="DC3091" t="s">
        <v>176</v>
      </c>
      <c r="DD3091" t="s">
        <v>177</v>
      </c>
      <c r="DG3091">
        <v>5429311</v>
      </c>
      <c r="DI3091">
        <v>1</v>
      </c>
      <c r="DJ3091">
        <v>0</v>
      </c>
      <c r="DK3091">
        <v>1</v>
      </c>
      <c r="DL3091">
        <v>0</v>
      </c>
      <c r="DM3091">
        <v>0</v>
      </c>
      <c r="DN3091">
        <v>1</v>
      </c>
      <c r="DO3091">
        <v>0</v>
      </c>
      <c r="DP3091">
        <v>0</v>
      </c>
      <c r="DQ3091">
        <v>0</v>
      </c>
      <c r="DR3091">
        <v>0</v>
      </c>
      <c r="DS3091">
        <v>0</v>
      </c>
    </row>
    <row r="3092" spans="1:123" x14ac:dyDescent="0.3">
      <c r="A3092" t="str">
        <f>"10/04/2022 19:33:49.635"</f>
        <v>10/04/2022 19:33:49.635</v>
      </c>
      <c r="C3092" t="str">
        <f t="shared" si="1109"/>
        <v>FFDFD3C0</v>
      </c>
      <c r="D3092" t="s">
        <v>136</v>
      </c>
      <c r="E3092">
        <v>8</v>
      </c>
      <c r="H3092">
        <v>225</v>
      </c>
      <c r="I3092" t="s">
        <v>137</v>
      </c>
      <c r="J3092" t="s">
        <v>138</v>
      </c>
      <c r="K3092">
        <v>0</v>
      </c>
      <c r="L3092">
        <v>3</v>
      </c>
      <c r="M3092">
        <v>0</v>
      </c>
      <c r="N3092">
        <v>2</v>
      </c>
      <c r="O3092">
        <v>0</v>
      </c>
      <c r="P3092">
        <v>1</v>
      </c>
      <c r="Q3092">
        <v>0</v>
      </c>
      <c r="S3092" t="str">
        <f t="shared" si="1127"/>
        <v>19:33:49.000</v>
      </c>
      <c r="T3092" t="str">
        <f t="shared" si="1127"/>
        <v>19:33:49.000</v>
      </c>
      <c r="U3092" t="str">
        <f t="shared" si="1123"/>
        <v>AC3944</v>
      </c>
      <c r="V3092">
        <v>0</v>
      </c>
      <c r="W3092">
        <v>0</v>
      </c>
      <c r="X3092">
        <v>2</v>
      </c>
      <c r="Y3092">
        <v>0</v>
      </c>
      <c r="AA3092">
        <v>1</v>
      </c>
      <c r="AB3092">
        <v>8</v>
      </c>
      <c r="AC3092">
        <v>3</v>
      </c>
      <c r="AD3092">
        <v>0</v>
      </c>
      <c r="AE3092">
        <v>9</v>
      </c>
      <c r="AF3092" t="s">
        <v>138</v>
      </c>
      <c r="AG3092">
        <v>0</v>
      </c>
      <c r="AH3092">
        <v>3</v>
      </c>
      <c r="AI3092">
        <v>1</v>
      </c>
      <c r="AJ3092">
        <v>0</v>
      </c>
      <c r="AK3092" t="s">
        <v>1033</v>
      </c>
      <c r="AL3092">
        <v>32.711599</v>
      </c>
      <c r="AM3092" t="s">
        <v>1034</v>
      </c>
      <c r="AN3092">
        <v>-116.76203</v>
      </c>
      <c r="AO3092">
        <v>25</v>
      </c>
      <c r="AP3092">
        <v>3800</v>
      </c>
      <c r="AQ3092" t="s">
        <v>129</v>
      </c>
      <c r="AR3092">
        <v>47</v>
      </c>
      <c r="AS3092">
        <v>-120</v>
      </c>
      <c r="AT3092">
        <v>1024</v>
      </c>
      <c r="BB3092">
        <v>1200</v>
      </c>
      <c r="BC3092">
        <v>1</v>
      </c>
      <c r="BD3092" t="str">
        <f t="shared" si="1124"/>
        <v xml:space="preserve">N887QR  </v>
      </c>
      <c r="BE3092">
        <v>1</v>
      </c>
      <c r="BG3092">
        <v>0</v>
      </c>
      <c r="BH3092">
        <v>0</v>
      </c>
      <c r="BI3092">
        <v>0</v>
      </c>
      <c r="BJ3092">
        <v>3600</v>
      </c>
      <c r="BK3092">
        <v>-200</v>
      </c>
      <c r="BL3092" t="s">
        <v>163</v>
      </c>
      <c r="BM3092">
        <v>1</v>
      </c>
      <c r="BN3092">
        <v>1</v>
      </c>
      <c r="BO3092">
        <v>1</v>
      </c>
      <c r="BP3092">
        <v>0</v>
      </c>
      <c r="BS3092">
        <v>0</v>
      </c>
      <c r="BT3092">
        <v>0</v>
      </c>
      <c r="BU3092">
        <v>0</v>
      </c>
      <c r="CE3092" t="str">
        <f t="shared" si="1128"/>
        <v>19:33:49.340</v>
      </c>
      <c r="CF3092">
        <v>340318664</v>
      </c>
      <c r="CS3092">
        <v>0</v>
      </c>
      <c r="CT3092">
        <v>2</v>
      </c>
      <c r="CU3092">
        <v>0</v>
      </c>
      <c r="CV3092">
        <v>2</v>
      </c>
      <c r="CW3092">
        <v>0</v>
      </c>
      <c r="CX3092">
        <v>5</v>
      </c>
      <c r="CY3092">
        <v>7</v>
      </c>
      <c r="CZ3092" t="s">
        <v>131</v>
      </c>
      <c r="DA3092">
        <v>300</v>
      </c>
      <c r="DB3092">
        <v>0</v>
      </c>
      <c r="DC3092" t="s">
        <v>176</v>
      </c>
      <c r="DD3092" t="s">
        <v>177</v>
      </c>
      <c r="DG3092">
        <v>5429311</v>
      </c>
      <c r="DI3092">
        <v>1</v>
      </c>
      <c r="DJ3092">
        <v>0</v>
      </c>
      <c r="DK3092">
        <v>1</v>
      </c>
      <c r="DL3092">
        <v>0</v>
      </c>
      <c r="DM3092">
        <v>0</v>
      </c>
      <c r="DN3092">
        <v>1</v>
      </c>
      <c r="DO3092">
        <v>0</v>
      </c>
      <c r="DP3092">
        <v>0</v>
      </c>
      <c r="DQ3092">
        <v>0</v>
      </c>
      <c r="DR3092">
        <v>0</v>
      </c>
      <c r="DS3092">
        <v>0</v>
      </c>
    </row>
    <row r="3093" spans="1:123" x14ac:dyDescent="0.3">
      <c r="A3093" t="str">
        <f>"10/04/2022 19:33:50.341"</f>
        <v>10/04/2022 19:33:50.341</v>
      </c>
      <c r="C3093" t="str">
        <f t="shared" si="1109"/>
        <v>FFDFD3C0</v>
      </c>
      <c r="D3093" t="s">
        <v>147</v>
      </c>
      <c r="E3093">
        <v>3</v>
      </c>
      <c r="H3093">
        <v>166</v>
      </c>
      <c r="I3093" t="s">
        <v>144</v>
      </c>
      <c r="J3093" t="s">
        <v>148</v>
      </c>
      <c r="K3093">
        <v>0</v>
      </c>
      <c r="L3093">
        <v>3</v>
      </c>
      <c r="M3093">
        <v>0</v>
      </c>
      <c r="N3093">
        <v>2</v>
      </c>
      <c r="O3093">
        <v>0</v>
      </c>
      <c r="P3093">
        <v>1</v>
      </c>
      <c r="Q3093">
        <v>0</v>
      </c>
      <c r="S3093" t="str">
        <f t="shared" ref="S3093:T3106" si="1129">"19:33:50.000"</f>
        <v>19:33:50.000</v>
      </c>
      <c r="T3093" t="str">
        <f t="shared" si="1129"/>
        <v>19:33:50.000</v>
      </c>
      <c r="U3093" t="str">
        <f t="shared" si="1123"/>
        <v>AC3944</v>
      </c>
      <c r="V3093">
        <v>0</v>
      </c>
      <c r="W3093">
        <v>0</v>
      </c>
      <c r="X3093">
        <v>2</v>
      </c>
      <c r="Y3093">
        <v>0</v>
      </c>
      <c r="AA3093">
        <v>1</v>
      </c>
      <c r="AB3093">
        <v>8</v>
      </c>
      <c r="AC3093">
        <v>3</v>
      </c>
      <c r="AD3093">
        <v>0</v>
      </c>
      <c r="AE3093">
        <v>9</v>
      </c>
      <c r="AF3093" t="s">
        <v>138</v>
      </c>
      <c r="AG3093">
        <v>0</v>
      </c>
      <c r="AH3093">
        <v>3</v>
      </c>
      <c r="AI3093">
        <v>1</v>
      </c>
      <c r="AJ3093">
        <v>0</v>
      </c>
      <c r="AK3093" t="s">
        <v>1035</v>
      </c>
      <c r="AL3093">
        <v>32.711041000000002</v>
      </c>
      <c r="AM3093" t="s">
        <v>1036</v>
      </c>
      <c r="AN3093">
        <v>-116.76179399999999</v>
      </c>
      <c r="AO3093">
        <v>25</v>
      </c>
      <c r="AP3093">
        <v>3800</v>
      </c>
      <c r="AQ3093" t="s">
        <v>129</v>
      </c>
      <c r="AR3093">
        <v>58</v>
      </c>
      <c r="AS3093">
        <v>-116</v>
      </c>
      <c r="AT3093">
        <v>1024</v>
      </c>
      <c r="BB3093">
        <v>1200</v>
      </c>
      <c r="BC3093">
        <v>1</v>
      </c>
      <c r="BD3093" t="str">
        <f t="shared" si="1124"/>
        <v xml:space="preserve">N887QR  </v>
      </c>
      <c r="BE3093">
        <v>1</v>
      </c>
      <c r="BG3093">
        <v>0</v>
      </c>
      <c r="BH3093">
        <v>0</v>
      </c>
      <c r="BI3093">
        <v>0</v>
      </c>
      <c r="BJ3093">
        <v>3600</v>
      </c>
      <c r="BK3093">
        <v>-200</v>
      </c>
      <c r="BL3093" t="s">
        <v>163</v>
      </c>
      <c r="BM3093">
        <v>1</v>
      </c>
      <c r="BN3093">
        <v>1</v>
      </c>
      <c r="BO3093">
        <v>1</v>
      </c>
      <c r="BP3093">
        <v>0</v>
      </c>
      <c r="BS3093">
        <v>0</v>
      </c>
      <c r="BT3093">
        <v>0</v>
      </c>
      <c r="BU3093">
        <v>0</v>
      </c>
      <c r="CE3093" t="str">
        <f t="shared" ref="CE3093:CE3099" si="1130">"19:33:50.063"</f>
        <v>19:33:50.063</v>
      </c>
      <c r="CF3093">
        <v>62743171</v>
      </c>
      <c r="CS3093">
        <v>0</v>
      </c>
      <c r="CT3093">
        <v>2</v>
      </c>
      <c r="CU3093">
        <v>0</v>
      </c>
      <c r="CV3093">
        <v>2</v>
      </c>
      <c r="CW3093">
        <v>1</v>
      </c>
      <c r="CX3093">
        <v>5</v>
      </c>
      <c r="CY3093">
        <v>7</v>
      </c>
      <c r="CZ3093" t="s">
        <v>131</v>
      </c>
      <c r="DA3093">
        <v>286</v>
      </c>
      <c r="DB3093">
        <v>0</v>
      </c>
      <c r="DC3093" t="s">
        <v>132</v>
      </c>
      <c r="DD3093" t="s">
        <v>133</v>
      </c>
      <c r="DG3093">
        <v>865791</v>
      </c>
      <c r="DI3093">
        <v>1</v>
      </c>
      <c r="DJ3093">
        <v>0</v>
      </c>
      <c r="DK3093">
        <v>0</v>
      </c>
      <c r="DL3093">
        <v>0</v>
      </c>
      <c r="DM3093">
        <v>0</v>
      </c>
      <c r="DN3093">
        <v>1</v>
      </c>
      <c r="DO3093">
        <v>0</v>
      </c>
      <c r="DP3093">
        <v>0</v>
      </c>
      <c r="DQ3093">
        <v>0</v>
      </c>
      <c r="DR3093">
        <v>0</v>
      </c>
      <c r="DS3093">
        <v>0</v>
      </c>
    </row>
    <row r="3094" spans="1:123" x14ac:dyDescent="0.3">
      <c r="A3094" t="str">
        <f>"10/04/2022 19:33:50.341"</f>
        <v>10/04/2022 19:33:50.341</v>
      </c>
      <c r="C3094" t="str">
        <f t="shared" si="1109"/>
        <v>FFDFD3C0</v>
      </c>
      <c r="D3094" t="s">
        <v>141</v>
      </c>
      <c r="E3094">
        <v>3</v>
      </c>
      <c r="H3094">
        <v>3</v>
      </c>
      <c r="I3094" t="s">
        <v>146</v>
      </c>
      <c r="J3094" t="s">
        <v>138</v>
      </c>
      <c r="K3094">
        <v>0</v>
      </c>
      <c r="L3094">
        <v>3</v>
      </c>
      <c r="M3094">
        <v>0</v>
      </c>
      <c r="N3094">
        <v>2</v>
      </c>
      <c r="O3094">
        <v>0</v>
      </c>
      <c r="P3094">
        <v>1</v>
      </c>
      <c r="Q3094">
        <v>0</v>
      </c>
      <c r="S3094" t="str">
        <f t="shared" si="1129"/>
        <v>19:33:50.000</v>
      </c>
      <c r="T3094" t="str">
        <f t="shared" si="1129"/>
        <v>19:33:50.000</v>
      </c>
      <c r="U3094" t="str">
        <f t="shared" si="1123"/>
        <v>AC3944</v>
      </c>
      <c r="V3094">
        <v>0</v>
      </c>
      <c r="W3094">
        <v>0</v>
      </c>
      <c r="X3094">
        <v>2</v>
      </c>
      <c r="Y3094">
        <v>0</v>
      </c>
      <c r="AA3094">
        <v>1</v>
      </c>
      <c r="AB3094">
        <v>8</v>
      </c>
      <c r="AC3094">
        <v>3</v>
      </c>
      <c r="AD3094">
        <v>0</v>
      </c>
      <c r="AE3094">
        <v>9</v>
      </c>
      <c r="AF3094" t="s">
        <v>138</v>
      </c>
      <c r="AG3094">
        <v>0</v>
      </c>
      <c r="AH3094">
        <v>3</v>
      </c>
      <c r="AI3094">
        <v>1</v>
      </c>
      <c r="AJ3094">
        <v>0</v>
      </c>
      <c r="AK3094" t="s">
        <v>1035</v>
      </c>
      <c r="AL3094">
        <v>32.711041000000002</v>
      </c>
      <c r="AM3094" t="s">
        <v>1036</v>
      </c>
      <c r="AN3094">
        <v>-116.76179399999999</v>
      </c>
      <c r="AO3094">
        <v>25</v>
      </c>
      <c r="AP3094">
        <v>3800</v>
      </c>
      <c r="AQ3094" t="s">
        <v>129</v>
      </c>
      <c r="AR3094">
        <v>58</v>
      </c>
      <c r="AS3094">
        <v>-116</v>
      </c>
      <c r="AT3094">
        <v>1024</v>
      </c>
      <c r="BB3094">
        <v>1200</v>
      </c>
      <c r="BC3094">
        <v>1</v>
      </c>
      <c r="BD3094" t="str">
        <f t="shared" si="1124"/>
        <v xml:space="preserve">N887QR  </v>
      </c>
      <c r="BE3094">
        <v>1</v>
      </c>
      <c r="BG3094">
        <v>0</v>
      </c>
      <c r="BH3094">
        <v>0</v>
      </c>
      <c r="BI3094">
        <v>0</v>
      </c>
      <c r="BJ3094">
        <v>3600</v>
      </c>
      <c r="BK3094">
        <v>-200</v>
      </c>
      <c r="BL3094" t="s">
        <v>163</v>
      </c>
      <c r="BM3094">
        <v>1</v>
      </c>
      <c r="BN3094">
        <v>1</v>
      </c>
      <c r="BO3094">
        <v>1</v>
      </c>
      <c r="BP3094">
        <v>0</v>
      </c>
      <c r="BS3094">
        <v>0</v>
      </c>
      <c r="BT3094">
        <v>0</v>
      </c>
      <c r="BU3094">
        <v>0</v>
      </c>
      <c r="CE3094" t="str">
        <f t="shared" si="1130"/>
        <v>19:33:50.063</v>
      </c>
      <c r="CF3094">
        <v>62743171</v>
      </c>
      <c r="CS3094">
        <v>0</v>
      </c>
      <c r="CT3094">
        <v>2</v>
      </c>
      <c r="CU3094">
        <v>0</v>
      </c>
      <c r="CV3094">
        <v>2</v>
      </c>
      <c r="CW3094">
        <v>1</v>
      </c>
      <c r="CX3094">
        <v>5</v>
      </c>
      <c r="CY3094">
        <v>7</v>
      </c>
      <c r="CZ3094" t="s">
        <v>131</v>
      </c>
      <c r="DA3094">
        <v>286</v>
      </c>
      <c r="DB3094">
        <v>0</v>
      </c>
      <c r="DC3094" t="s">
        <v>132</v>
      </c>
      <c r="DD3094" t="s">
        <v>133</v>
      </c>
      <c r="DG3094">
        <v>865791</v>
      </c>
      <c r="DI3094">
        <v>1</v>
      </c>
      <c r="DJ3094">
        <v>0</v>
      </c>
      <c r="DK3094">
        <v>1</v>
      </c>
      <c r="DL3094">
        <v>0</v>
      </c>
      <c r="DM3094">
        <v>0</v>
      </c>
      <c r="DN3094">
        <v>1</v>
      </c>
      <c r="DO3094">
        <v>0</v>
      </c>
      <c r="DP3094">
        <v>0</v>
      </c>
      <c r="DQ3094">
        <v>0</v>
      </c>
      <c r="DR3094">
        <v>0</v>
      </c>
      <c r="DS3094">
        <v>0</v>
      </c>
    </row>
    <row r="3095" spans="1:123" x14ac:dyDescent="0.3">
      <c r="A3095" t="str">
        <f>"10/04/2022 19:33:50.372"</f>
        <v>10/04/2022 19:33:50.372</v>
      </c>
      <c r="C3095" t="str">
        <f t="shared" si="1109"/>
        <v>FFDFD3C0</v>
      </c>
      <c r="D3095" t="s">
        <v>136</v>
      </c>
      <c r="E3095">
        <v>8</v>
      </c>
      <c r="H3095">
        <v>225</v>
      </c>
      <c r="I3095" t="s">
        <v>137</v>
      </c>
      <c r="J3095" t="s">
        <v>138</v>
      </c>
      <c r="K3095">
        <v>0</v>
      </c>
      <c r="L3095">
        <v>3</v>
      </c>
      <c r="M3095">
        <v>0</v>
      </c>
      <c r="N3095">
        <v>2</v>
      </c>
      <c r="O3095">
        <v>0</v>
      </c>
      <c r="P3095">
        <v>1</v>
      </c>
      <c r="Q3095">
        <v>0</v>
      </c>
      <c r="S3095" t="str">
        <f t="shared" si="1129"/>
        <v>19:33:50.000</v>
      </c>
      <c r="T3095" t="str">
        <f t="shared" si="1129"/>
        <v>19:33:50.000</v>
      </c>
      <c r="U3095" t="str">
        <f t="shared" si="1123"/>
        <v>AC3944</v>
      </c>
      <c r="V3095">
        <v>0</v>
      </c>
      <c r="W3095">
        <v>0</v>
      </c>
      <c r="X3095">
        <v>2</v>
      </c>
      <c r="Y3095">
        <v>0</v>
      </c>
      <c r="AA3095">
        <v>1</v>
      </c>
      <c r="AB3095">
        <v>8</v>
      </c>
      <c r="AC3095">
        <v>3</v>
      </c>
      <c r="AD3095">
        <v>0</v>
      </c>
      <c r="AE3095">
        <v>9</v>
      </c>
      <c r="AF3095" t="s">
        <v>138</v>
      </c>
      <c r="AG3095">
        <v>0</v>
      </c>
      <c r="AH3095">
        <v>3</v>
      </c>
      <c r="AI3095">
        <v>1</v>
      </c>
      <c r="AJ3095">
        <v>0</v>
      </c>
      <c r="AK3095" t="s">
        <v>1035</v>
      </c>
      <c r="AL3095">
        <v>32.711041000000002</v>
      </c>
      <c r="AM3095" t="s">
        <v>1036</v>
      </c>
      <c r="AN3095">
        <v>-116.76179399999999</v>
      </c>
      <c r="AO3095">
        <v>25</v>
      </c>
      <c r="AP3095">
        <v>3800</v>
      </c>
      <c r="AQ3095" t="s">
        <v>129</v>
      </c>
      <c r="AR3095">
        <v>58</v>
      </c>
      <c r="AS3095">
        <v>-116</v>
      </c>
      <c r="AT3095">
        <v>1024</v>
      </c>
      <c r="BB3095">
        <v>1200</v>
      </c>
      <c r="BC3095">
        <v>1</v>
      </c>
      <c r="BD3095" t="str">
        <f t="shared" si="1124"/>
        <v xml:space="preserve">N887QR  </v>
      </c>
      <c r="BE3095">
        <v>1</v>
      </c>
      <c r="BG3095">
        <v>0</v>
      </c>
      <c r="BH3095">
        <v>0</v>
      </c>
      <c r="BI3095">
        <v>0</v>
      </c>
      <c r="BJ3095">
        <v>3600</v>
      </c>
      <c r="BK3095">
        <v>-200</v>
      </c>
      <c r="BL3095" t="s">
        <v>163</v>
      </c>
      <c r="BM3095">
        <v>1</v>
      </c>
      <c r="BN3095">
        <v>1</v>
      </c>
      <c r="BO3095">
        <v>1</v>
      </c>
      <c r="BP3095">
        <v>0</v>
      </c>
      <c r="BS3095">
        <v>0</v>
      </c>
      <c r="BT3095">
        <v>0</v>
      </c>
      <c r="BU3095">
        <v>0</v>
      </c>
      <c r="CE3095" t="str">
        <f t="shared" si="1130"/>
        <v>19:33:50.063</v>
      </c>
      <c r="CF3095">
        <v>62743171</v>
      </c>
      <c r="CS3095">
        <v>0</v>
      </c>
      <c r="CT3095">
        <v>2</v>
      </c>
      <c r="CU3095">
        <v>0</v>
      </c>
      <c r="CV3095">
        <v>2</v>
      </c>
      <c r="CW3095">
        <v>1</v>
      </c>
      <c r="CX3095">
        <v>5</v>
      </c>
      <c r="CY3095">
        <v>7</v>
      </c>
      <c r="CZ3095" t="s">
        <v>131</v>
      </c>
      <c r="DA3095">
        <v>286</v>
      </c>
      <c r="DB3095">
        <v>0</v>
      </c>
      <c r="DC3095" t="s">
        <v>132</v>
      </c>
      <c r="DD3095" t="s">
        <v>133</v>
      </c>
      <c r="DG3095">
        <v>865791</v>
      </c>
      <c r="DI3095">
        <v>1</v>
      </c>
      <c r="DJ3095">
        <v>0</v>
      </c>
      <c r="DK3095">
        <v>1</v>
      </c>
      <c r="DL3095">
        <v>0</v>
      </c>
      <c r="DM3095">
        <v>0</v>
      </c>
      <c r="DN3095">
        <v>1</v>
      </c>
      <c r="DO3095">
        <v>0</v>
      </c>
      <c r="DP3095">
        <v>0</v>
      </c>
      <c r="DQ3095">
        <v>0</v>
      </c>
      <c r="DR3095">
        <v>0</v>
      </c>
      <c r="DS3095">
        <v>0</v>
      </c>
    </row>
    <row r="3096" spans="1:123" x14ac:dyDescent="0.3">
      <c r="A3096" t="str">
        <f>"10/04/2022 19:33:50.372"</f>
        <v>10/04/2022 19:33:50.372</v>
      </c>
      <c r="C3096" t="str">
        <f t="shared" si="1109"/>
        <v>FFDFD3C0</v>
      </c>
      <c r="D3096" t="s">
        <v>141</v>
      </c>
      <c r="E3096">
        <v>4</v>
      </c>
      <c r="H3096">
        <v>4</v>
      </c>
      <c r="I3096" t="s">
        <v>142</v>
      </c>
      <c r="J3096" t="s">
        <v>138</v>
      </c>
      <c r="K3096">
        <v>0</v>
      </c>
      <c r="L3096">
        <v>3</v>
      </c>
      <c r="M3096">
        <v>0</v>
      </c>
      <c r="N3096">
        <v>2</v>
      </c>
      <c r="O3096">
        <v>0</v>
      </c>
      <c r="P3096">
        <v>1</v>
      </c>
      <c r="Q3096">
        <v>0</v>
      </c>
      <c r="S3096" t="str">
        <f t="shared" si="1129"/>
        <v>19:33:50.000</v>
      </c>
      <c r="T3096" t="str">
        <f t="shared" si="1129"/>
        <v>19:33:50.000</v>
      </c>
      <c r="U3096" t="str">
        <f t="shared" si="1123"/>
        <v>AC3944</v>
      </c>
      <c r="V3096">
        <v>0</v>
      </c>
      <c r="W3096">
        <v>0</v>
      </c>
      <c r="X3096">
        <v>2</v>
      </c>
      <c r="Y3096">
        <v>0</v>
      </c>
      <c r="AA3096">
        <v>1</v>
      </c>
      <c r="AB3096">
        <v>8</v>
      </c>
      <c r="AC3096">
        <v>3</v>
      </c>
      <c r="AD3096">
        <v>0</v>
      </c>
      <c r="AE3096">
        <v>9</v>
      </c>
      <c r="AF3096" t="s">
        <v>138</v>
      </c>
      <c r="AG3096">
        <v>0</v>
      </c>
      <c r="AH3096">
        <v>3</v>
      </c>
      <c r="AI3096">
        <v>1</v>
      </c>
      <c r="AJ3096">
        <v>0</v>
      </c>
      <c r="AK3096" t="s">
        <v>1035</v>
      </c>
      <c r="AL3096">
        <v>32.711041000000002</v>
      </c>
      <c r="AM3096" t="s">
        <v>1036</v>
      </c>
      <c r="AN3096">
        <v>-116.76179399999999</v>
      </c>
      <c r="AO3096">
        <v>25</v>
      </c>
      <c r="AP3096">
        <v>3800</v>
      </c>
      <c r="AQ3096" t="s">
        <v>129</v>
      </c>
      <c r="AR3096">
        <v>58</v>
      </c>
      <c r="AS3096">
        <v>-116</v>
      </c>
      <c r="AT3096">
        <v>1024</v>
      </c>
      <c r="BB3096">
        <v>1200</v>
      </c>
      <c r="BC3096">
        <v>1</v>
      </c>
      <c r="BD3096" t="str">
        <f t="shared" si="1124"/>
        <v xml:space="preserve">N887QR  </v>
      </c>
      <c r="BE3096">
        <v>1</v>
      </c>
      <c r="BG3096">
        <v>0</v>
      </c>
      <c r="BH3096">
        <v>0</v>
      </c>
      <c r="BI3096">
        <v>0</v>
      </c>
      <c r="BJ3096">
        <v>3600</v>
      </c>
      <c r="BK3096">
        <v>-200</v>
      </c>
      <c r="BL3096" t="s">
        <v>163</v>
      </c>
      <c r="BM3096">
        <v>1</v>
      </c>
      <c r="BN3096">
        <v>1</v>
      </c>
      <c r="BO3096">
        <v>1</v>
      </c>
      <c r="BP3096">
        <v>0</v>
      </c>
      <c r="BS3096">
        <v>0</v>
      </c>
      <c r="BT3096">
        <v>0</v>
      </c>
      <c r="BU3096">
        <v>0</v>
      </c>
      <c r="CE3096" t="str">
        <f t="shared" si="1130"/>
        <v>19:33:50.063</v>
      </c>
      <c r="CF3096">
        <v>62743171</v>
      </c>
      <c r="CS3096">
        <v>0</v>
      </c>
      <c r="CT3096">
        <v>2</v>
      </c>
      <c r="CU3096">
        <v>0</v>
      </c>
      <c r="CV3096">
        <v>2</v>
      </c>
      <c r="CW3096">
        <v>1</v>
      </c>
      <c r="CX3096">
        <v>5</v>
      </c>
      <c r="CY3096">
        <v>7</v>
      </c>
      <c r="CZ3096" t="s">
        <v>131</v>
      </c>
      <c r="DA3096">
        <v>286</v>
      </c>
      <c r="DB3096">
        <v>0</v>
      </c>
      <c r="DC3096" t="s">
        <v>132</v>
      </c>
      <c r="DD3096" t="s">
        <v>133</v>
      </c>
      <c r="DG3096">
        <v>865791</v>
      </c>
      <c r="DI3096">
        <v>1</v>
      </c>
      <c r="DJ3096">
        <v>0</v>
      </c>
      <c r="DK3096">
        <v>1</v>
      </c>
      <c r="DL3096">
        <v>0</v>
      </c>
      <c r="DM3096">
        <v>0</v>
      </c>
      <c r="DN3096">
        <v>1</v>
      </c>
      <c r="DO3096">
        <v>0</v>
      </c>
      <c r="DP3096">
        <v>0</v>
      </c>
      <c r="DQ3096">
        <v>0</v>
      </c>
      <c r="DR3096">
        <v>0</v>
      </c>
      <c r="DS3096">
        <v>0</v>
      </c>
    </row>
    <row r="3097" spans="1:123" x14ac:dyDescent="0.3">
      <c r="A3097" t="str">
        <f>"10/04/2022 19:33:50.372"</f>
        <v>10/04/2022 19:33:50.372</v>
      </c>
      <c r="C3097" t="str">
        <f t="shared" si="1109"/>
        <v>FFDFD3C0</v>
      </c>
      <c r="D3097" t="s">
        <v>134</v>
      </c>
      <c r="E3097">
        <v>15</v>
      </c>
      <c r="J3097" t="s">
        <v>135</v>
      </c>
      <c r="K3097">
        <v>0</v>
      </c>
      <c r="L3097">
        <v>3</v>
      </c>
      <c r="M3097">
        <v>0</v>
      </c>
      <c r="N3097">
        <v>2</v>
      </c>
      <c r="O3097">
        <v>0</v>
      </c>
      <c r="P3097">
        <v>1</v>
      </c>
      <c r="Q3097">
        <v>0</v>
      </c>
      <c r="S3097" t="str">
        <f t="shared" si="1129"/>
        <v>19:33:50.000</v>
      </c>
      <c r="T3097" t="str">
        <f t="shared" si="1129"/>
        <v>19:33:50.000</v>
      </c>
      <c r="U3097" t="str">
        <f t="shared" si="1123"/>
        <v>AC3944</v>
      </c>
      <c r="V3097">
        <v>0</v>
      </c>
      <c r="W3097">
        <v>0</v>
      </c>
      <c r="X3097">
        <v>2</v>
      </c>
      <c r="Y3097">
        <v>0</v>
      </c>
      <c r="AA3097">
        <v>1</v>
      </c>
      <c r="AB3097">
        <v>8</v>
      </c>
      <c r="AC3097">
        <v>3</v>
      </c>
      <c r="AD3097">
        <v>0</v>
      </c>
      <c r="AE3097">
        <v>9</v>
      </c>
      <c r="AF3097" t="s">
        <v>138</v>
      </c>
      <c r="AG3097">
        <v>0</v>
      </c>
      <c r="AH3097">
        <v>3</v>
      </c>
      <c r="AI3097">
        <v>1</v>
      </c>
      <c r="AJ3097">
        <v>0</v>
      </c>
      <c r="AK3097" t="s">
        <v>1035</v>
      </c>
      <c r="AL3097">
        <v>32.711041000000002</v>
      </c>
      <c r="AM3097" t="s">
        <v>1036</v>
      </c>
      <c r="AN3097">
        <v>-116.76179399999999</v>
      </c>
      <c r="AO3097">
        <v>25</v>
      </c>
      <c r="AP3097">
        <v>3800</v>
      </c>
      <c r="AQ3097" t="s">
        <v>129</v>
      </c>
      <c r="AR3097">
        <v>58</v>
      </c>
      <c r="AS3097">
        <v>-116</v>
      </c>
      <c r="AT3097">
        <v>1024</v>
      </c>
      <c r="BB3097">
        <v>1200</v>
      </c>
      <c r="BC3097">
        <v>1</v>
      </c>
      <c r="BD3097" t="str">
        <f t="shared" si="1124"/>
        <v xml:space="preserve">N887QR  </v>
      </c>
      <c r="BE3097">
        <v>1</v>
      </c>
      <c r="BG3097">
        <v>0</v>
      </c>
      <c r="BH3097">
        <v>0</v>
      </c>
      <c r="BI3097">
        <v>0</v>
      </c>
      <c r="BJ3097">
        <v>3600</v>
      </c>
      <c r="BK3097">
        <v>-200</v>
      </c>
      <c r="BL3097" t="s">
        <v>163</v>
      </c>
      <c r="BM3097">
        <v>1</v>
      </c>
      <c r="BN3097">
        <v>1</v>
      </c>
      <c r="BO3097">
        <v>1</v>
      </c>
      <c r="BP3097">
        <v>0</v>
      </c>
      <c r="BS3097">
        <v>0</v>
      </c>
      <c r="BT3097">
        <v>0</v>
      </c>
      <c r="BU3097">
        <v>0</v>
      </c>
      <c r="CE3097" t="str">
        <f t="shared" si="1130"/>
        <v>19:33:50.063</v>
      </c>
      <c r="CF3097">
        <v>62743171</v>
      </c>
      <c r="CS3097">
        <v>0</v>
      </c>
      <c r="CT3097">
        <v>2</v>
      </c>
      <c r="CU3097">
        <v>0</v>
      </c>
      <c r="CV3097">
        <v>2</v>
      </c>
      <c r="CW3097">
        <v>1</v>
      </c>
      <c r="CX3097">
        <v>5</v>
      </c>
      <c r="CY3097">
        <v>7</v>
      </c>
      <c r="CZ3097" t="s">
        <v>131</v>
      </c>
      <c r="DA3097">
        <v>286</v>
      </c>
      <c r="DB3097">
        <v>0</v>
      </c>
      <c r="DC3097" t="s">
        <v>132</v>
      </c>
      <c r="DD3097" t="s">
        <v>133</v>
      </c>
      <c r="DG3097">
        <v>865791</v>
      </c>
      <c r="DI3097">
        <v>1</v>
      </c>
      <c r="DJ3097">
        <v>0</v>
      </c>
      <c r="DK3097">
        <v>1</v>
      </c>
      <c r="DL3097">
        <v>0</v>
      </c>
      <c r="DM3097">
        <v>0</v>
      </c>
      <c r="DN3097">
        <v>1</v>
      </c>
      <c r="DO3097">
        <v>0</v>
      </c>
      <c r="DP3097">
        <v>0</v>
      </c>
      <c r="DQ3097">
        <v>0</v>
      </c>
      <c r="DR3097">
        <v>0</v>
      </c>
      <c r="DS3097">
        <v>0</v>
      </c>
    </row>
    <row r="3098" spans="1:123" x14ac:dyDescent="0.3">
      <c r="A3098" t="str">
        <f>"10/04/2022 19:33:50.372"</f>
        <v>10/04/2022 19:33:50.372</v>
      </c>
      <c r="C3098" t="str">
        <f t="shared" si="1109"/>
        <v>FFDFD3C0</v>
      </c>
      <c r="D3098" t="s">
        <v>143</v>
      </c>
      <c r="E3098">
        <v>20</v>
      </c>
      <c r="F3098">
        <v>1020</v>
      </c>
      <c r="G3098" t="s">
        <v>144</v>
      </c>
      <c r="J3098" t="s">
        <v>145</v>
      </c>
      <c r="K3098">
        <v>0</v>
      </c>
      <c r="L3098">
        <v>3</v>
      </c>
      <c r="M3098">
        <v>0</v>
      </c>
      <c r="N3098">
        <v>2</v>
      </c>
      <c r="O3098">
        <v>0</v>
      </c>
      <c r="P3098">
        <v>1</v>
      </c>
      <c r="Q3098">
        <v>0</v>
      </c>
      <c r="S3098" t="str">
        <f t="shared" si="1129"/>
        <v>19:33:50.000</v>
      </c>
      <c r="T3098" t="str">
        <f t="shared" si="1129"/>
        <v>19:33:50.000</v>
      </c>
      <c r="U3098" t="str">
        <f t="shared" si="1123"/>
        <v>AC3944</v>
      </c>
      <c r="V3098">
        <v>0</v>
      </c>
      <c r="W3098">
        <v>0</v>
      </c>
      <c r="X3098">
        <v>2</v>
      </c>
      <c r="Y3098">
        <v>0</v>
      </c>
      <c r="AA3098">
        <v>1</v>
      </c>
      <c r="AB3098">
        <v>8</v>
      </c>
      <c r="AC3098">
        <v>3</v>
      </c>
      <c r="AD3098">
        <v>0</v>
      </c>
      <c r="AE3098">
        <v>9</v>
      </c>
      <c r="AF3098" t="s">
        <v>138</v>
      </c>
      <c r="AG3098">
        <v>0</v>
      </c>
      <c r="AH3098">
        <v>3</v>
      </c>
      <c r="AI3098">
        <v>1</v>
      </c>
      <c r="AJ3098">
        <v>0</v>
      </c>
      <c r="AK3098" t="s">
        <v>1035</v>
      </c>
      <c r="AL3098">
        <v>32.711041000000002</v>
      </c>
      <c r="AM3098" t="s">
        <v>1036</v>
      </c>
      <c r="AN3098">
        <v>-116.76179399999999</v>
      </c>
      <c r="AO3098">
        <v>25</v>
      </c>
      <c r="AP3098">
        <v>3800</v>
      </c>
      <c r="AQ3098" t="s">
        <v>129</v>
      </c>
      <c r="AR3098">
        <v>58</v>
      </c>
      <c r="AS3098">
        <v>-116</v>
      </c>
      <c r="AT3098">
        <v>1024</v>
      </c>
      <c r="BB3098">
        <v>1200</v>
      </c>
      <c r="BC3098">
        <v>1</v>
      </c>
      <c r="BD3098" t="str">
        <f t="shared" si="1124"/>
        <v xml:space="preserve">N887QR  </v>
      </c>
      <c r="BE3098">
        <v>1</v>
      </c>
      <c r="BG3098">
        <v>0</v>
      </c>
      <c r="BH3098">
        <v>0</v>
      </c>
      <c r="BI3098">
        <v>0</v>
      </c>
      <c r="BJ3098">
        <v>3600</v>
      </c>
      <c r="BK3098">
        <v>-200</v>
      </c>
      <c r="BL3098" t="s">
        <v>163</v>
      </c>
      <c r="BM3098">
        <v>1</v>
      </c>
      <c r="BN3098">
        <v>1</v>
      </c>
      <c r="BO3098">
        <v>1</v>
      </c>
      <c r="BP3098">
        <v>0</v>
      </c>
      <c r="BS3098">
        <v>0</v>
      </c>
      <c r="BT3098">
        <v>0</v>
      </c>
      <c r="BU3098">
        <v>0</v>
      </c>
      <c r="CE3098" t="str">
        <f t="shared" si="1130"/>
        <v>19:33:50.063</v>
      </c>
      <c r="CF3098">
        <v>62743171</v>
      </c>
      <c r="CS3098">
        <v>0</v>
      </c>
      <c r="CT3098">
        <v>2</v>
      </c>
      <c r="CU3098">
        <v>0</v>
      </c>
      <c r="CV3098">
        <v>2</v>
      </c>
      <c r="CW3098">
        <v>1</v>
      </c>
      <c r="CX3098">
        <v>5</v>
      </c>
      <c r="CY3098">
        <v>7</v>
      </c>
      <c r="CZ3098" t="s">
        <v>131</v>
      </c>
      <c r="DA3098">
        <v>286</v>
      </c>
      <c r="DB3098">
        <v>0</v>
      </c>
      <c r="DC3098" t="s">
        <v>132</v>
      </c>
      <c r="DD3098" t="s">
        <v>133</v>
      </c>
      <c r="DG3098">
        <v>865791</v>
      </c>
      <c r="DI3098">
        <v>1</v>
      </c>
      <c r="DJ3098">
        <v>0</v>
      </c>
      <c r="DK3098">
        <v>1</v>
      </c>
      <c r="DL3098">
        <v>0</v>
      </c>
      <c r="DM3098">
        <v>0</v>
      </c>
      <c r="DN3098">
        <v>1</v>
      </c>
      <c r="DO3098">
        <v>0</v>
      </c>
      <c r="DP3098">
        <v>0</v>
      </c>
      <c r="DQ3098">
        <v>0</v>
      </c>
      <c r="DR3098">
        <v>0</v>
      </c>
      <c r="DS3098">
        <v>0</v>
      </c>
    </row>
    <row r="3099" spans="1:123" x14ac:dyDescent="0.3">
      <c r="A3099" t="str">
        <f>"10/04/2022 19:33:50.450"</f>
        <v>10/04/2022 19:33:50.450</v>
      </c>
      <c r="C3099" t="str">
        <f t="shared" si="1109"/>
        <v>FFDFD3C0</v>
      </c>
      <c r="D3099" t="s">
        <v>123</v>
      </c>
      <c r="E3099">
        <v>7</v>
      </c>
      <c r="F3099">
        <v>2007</v>
      </c>
      <c r="G3099" t="s">
        <v>124</v>
      </c>
      <c r="J3099" t="s">
        <v>125</v>
      </c>
      <c r="K3099">
        <v>0</v>
      </c>
      <c r="L3099">
        <v>3</v>
      </c>
      <c r="M3099">
        <v>0</v>
      </c>
      <c r="N3099">
        <v>2</v>
      </c>
      <c r="O3099">
        <v>0</v>
      </c>
      <c r="P3099">
        <v>1</v>
      </c>
      <c r="Q3099">
        <v>0</v>
      </c>
      <c r="S3099" t="str">
        <f t="shared" si="1129"/>
        <v>19:33:50.000</v>
      </c>
      <c r="T3099" t="str">
        <f t="shared" si="1129"/>
        <v>19:33:50.000</v>
      </c>
      <c r="U3099" t="str">
        <f t="shared" si="1123"/>
        <v>AC3944</v>
      </c>
      <c r="V3099">
        <v>0</v>
      </c>
      <c r="W3099">
        <v>0</v>
      </c>
      <c r="X3099">
        <v>2</v>
      </c>
      <c r="Y3099">
        <v>0</v>
      </c>
      <c r="AA3099">
        <v>1</v>
      </c>
      <c r="AB3099">
        <v>8</v>
      </c>
      <c r="AC3099">
        <v>3</v>
      </c>
      <c r="AD3099">
        <v>0</v>
      </c>
      <c r="AE3099">
        <v>9</v>
      </c>
      <c r="AF3099" t="s">
        <v>138</v>
      </c>
      <c r="AG3099">
        <v>0</v>
      </c>
      <c r="AH3099">
        <v>3</v>
      </c>
      <c r="AI3099">
        <v>1</v>
      </c>
      <c r="AJ3099">
        <v>0</v>
      </c>
      <c r="AK3099" t="s">
        <v>1035</v>
      </c>
      <c r="AL3099">
        <v>32.711041000000002</v>
      </c>
      <c r="AM3099" t="s">
        <v>1036</v>
      </c>
      <c r="AN3099">
        <v>-116.76179399999999</v>
      </c>
      <c r="AO3099">
        <v>25</v>
      </c>
      <c r="AP3099">
        <v>3800</v>
      </c>
      <c r="AQ3099" t="s">
        <v>129</v>
      </c>
      <c r="AR3099">
        <v>58</v>
      </c>
      <c r="AS3099">
        <v>-116</v>
      </c>
      <c r="AT3099">
        <v>1024</v>
      </c>
      <c r="BB3099">
        <v>1200</v>
      </c>
      <c r="BC3099">
        <v>1</v>
      </c>
      <c r="BD3099" t="str">
        <f t="shared" si="1124"/>
        <v xml:space="preserve">N887QR  </v>
      </c>
      <c r="BE3099">
        <v>1</v>
      </c>
      <c r="BG3099">
        <v>0</v>
      </c>
      <c r="BH3099">
        <v>0</v>
      </c>
      <c r="BI3099">
        <v>0</v>
      </c>
      <c r="BJ3099">
        <v>3600</v>
      </c>
      <c r="BK3099">
        <v>-200</v>
      </c>
      <c r="BL3099" t="s">
        <v>163</v>
      </c>
      <c r="BM3099">
        <v>1</v>
      </c>
      <c r="BN3099">
        <v>1</v>
      </c>
      <c r="BO3099">
        <v>1</v>
      </c>
      <c r="BP3099">
        <v>0</v>
      </c>
      <c r="BS3099">
        <v>0</v>
      </c>
      <c r="BT3099">
        <v>0</v>
      </c>
      <c r="BU3099">
        <v>0</v>
      </c>
      <c r="CE3099" t="str">
        <f t="shared" si="1130"/>
        <v>19:33:50.063</v>
      </c>
      <c r="CF3099">
        <v>62743171</v>
      </c>
      <c r="CS3099">
        <v>0</v>
      </c>
      <c r="CT3099">
        <v>2</v>
      </c>
      <c r="CU3099">
        <v>0</v>
      </c>
      <c r="CV3099">
        <v>2</v>
      </c>
      <c r="CW3099">
        <v>1</v>
      </c>
      <c r="CX3099">
        <v>5</v>
      </c>
      <c r="CY3099">
        <v>7</v>
      </c>
      <c r="CZ3099" t="s">
        <v>131</v>
      </c>
      <c r="DA3099">
        <v>286</v>
      </c>
      <c r="DB3099">
        <v>0</v>
      </c>
      <c r="DC3099" t="s">
        <v>132</v>
      </c>
      <c r="DD3099" t="s">
        <v>133</v>
      </c>
      <c r="DG3099">
        <v>865791</v>
      </c>
      <c r="DI3099">
        <v>1</v>
      </c>
      <c r="DJ3099">
        <v>0</v>
      </c>
      <c r="DK3099">
        <v>1</v>
      </c>
      <c r="DL3099">
        <v>0</v>
      </c>
      <c r="DM3099">
        <v>0</v>
      </c>
      <c r="DN3099">
        <v>1</v>
      </c>
      <c r="DO3099">
        <v>0</v>
      </c>
      <c r="DP3099">
        <v>0</v>
      </c>
      <c r="DQ3099">
        <v>0</v>
      </c>
      <c r="DR3099">
        <v>0</v>
      </c>
      <c r="DS3099">
        <v>0</v>
      </c>
    </row>
    <row r="3100" spans="1:123" x14ac:dyDescent="0.3">
      <c r="A3100" t="str">
        <f>"10/04/2022 19:33:51.200"</f>
        <v>10/04/2022 19:33:51.200</v>
      </c>
      <c r="C3100" t="str">
        <f t="shared" si="1109"/>
        <v>FFDFD3C0</v>
      </c>
      <c r="D3100" t="s">
        <v>123</v>
      </c>
      <c r="E3100">
        <v>7</v>
      </c>
      <c r="F3100">
        <v>2007</v>
      </c>
      <c r="G3100" t="s">
        <v>124</v>
      </c>
      <c r="J3100" t="s">
        <v>125</v>
      </c>
      <c r="K3100">
        <v>0</v>
      </c>
      <c r="L3100">
        <v>3</v>
      </c>
      <c r="M3100">
        <v>0</v>
      </c>
      <c r="N3100">
        <v>2</v>
      </c>
      <c r="O3100">
        <v>0</v>
      </c>
      <c r="P3100">
        <v>1</v>
      </c>
      <c r="Q3100">
        <v>0</v>
      </c>
      <c r="S3100" t="str">
        <f t="shared" si="1129"/>
        <v>19:33:50.000</v>
      </c>
      <c r="T3100" t="str">
        <f t="shared" si="1129"/>
        <v>19:33:50.000</v>
      </c>
      <c r="U3100" t="str">
        <f t="shared" si="1123"/>
        <v>AC3944</v>
      </c>
      <c r="V3100">
        <v>0</v>
      </c>
      <c r="W3100">
        <v>0</v>
      </c>
      <c r="X3100">
        <v>2</v>
      </c>
      <c r="Y3100">
        <v>0</v>
      </c>
      <c r="AA3100">
        <v>1</v>
      </c>
      <c r="AB3100">
        <v>8</v>
      </c>
      <c r="AC3100">
        <v>3</v>
      </c>
      <c r="AD3100">
        <v>0</v>
      </c>
      <c r="AE3100">
        <v>9</v>
      </c>
      <c r="AF3100" t="s">
        <v>138</v>
      </c>
      <c r="AG3100">
        <v>0</v>
      </c>
      <c r="AH3100">
        <v>3</v>
      </c>
      <c r="AI3100">
        <v>1</v>
      </c>
      <c r="AJ3100">
        <v>0</v>
      </c>
      <c r="AK3100" t="s">
        <v>1037</v>
      </c>
      <c r="AL3100">
        <v>32.710504999999998</v>
      </c>
      <c r="AM3100" t="s">
        <v>1038</v>
      </c>
      <c r="AN3100">
        <v>-116.76145099999999</v>
      </c>
      <c r="AO3100">
        <v>25</v>
      </c>
      <c r="AP3100">
        <v>3800</v>
      </c>
      <c r="AQ3100" t="s">
        <v>129</v>
      </c>
      <c r="AR3100">
        <v>73</v>
      </c>
      <c r="AS3100">
        <v>-109</v>
      </c>
      <c r="AT3100">
        <v>448</v>
      </c>
      <c r="BB3100">
        <v>1200</v>
      </c>
      <c r="BC3100">
        <v>1</v>
      </c>
      <c r="BD3100" t="str">
        <f t="shared" si="1124"/>
        <v xml:space="preserve">N887QR  </v>
      </c>
      <c r="BE3100">
        <v>1</v>
      </c>
      <c r="BG3100">
        <v>0</v>
      </c>
      <c r="BH3100">
        <v>0</v>
      </c>
      <c r="BI3100">
        <v>0</v>
      </c>
      <c r="BJ3100">
        <v>3575</v>
      </c>
      <c r="BK3100">
        <v>-225</v>
      </c>
      <c r="BL3100" t="s">
        <v>163</v>
      </c>
      <c r="BM3100">
        <v>1</v>
      </c>
      <c r="BN3100">
        <v>1</v>
      </c>
      <c r="BO3100">
        <v>1</v>
      </c>
      <c r="BP3100">
        <v>0</v>
      </c>
      <c r="BS3100">
        <v>0</v>
      </c>
      <c r="BT3100">
        <v>0</v>
      </c>
      <c r="BU3100">
        <v>0</v>
      </c>
      <c r="CE3100" t="str">
        <f t="shared" ref="CE3100:CE3106" si="1131">"19:33:50.840"</f>
        <v>19:33:50.840</v>
      </c>
      <c r="CF3100">
        <v>839745549</v>
      </c>
      <c r="CS3100">
        <v>0</v>
      </c>
      <c r="CT3100">
        <v>2</v>
      </c>
      <c r="CU3100">
        <v>0</v>
      </c>
      <c r="CV3100">
        <v>2</v>
      </c>
      <c r="CW3100">
        <v>0</v>
      </c>
      <c r="CX3100">
        <v>6</v>
      </c>
      <c r="CY3100">
        <v>7</v>
      </c>
      <c r="CZ3100" t="s">
        <v>131</v>
      </c>
      <c r="DA3100">
        <v>286</v>
      </c>
      <c r="DB3100">
        <v>0</v>
      </c>
      <c r="DC3100" t="s">
        <v>132</v>
      </c>
      <c r="DD3100" t="s">
        <v>133</v>
      </c>
      <c r="DG3100">
        <v>865950</v>
      </c>
      <c r="DI3100">
        <v>1</v>
      </c>
      <c r="DJ3100">
        <v>0</v>
      </c>
      <c r="DK3100">
        <v>0</v>
      </c>
      <c r="DL3100">
        <v>0</v>
      </c>
      <c r="DM3100">
        <v>0</v>
      </c>
      <c r="DN3100">
        <v>1</v>
      </c>
      <c r="DO3100">
        <v>0</v>
      </c>
      <c r="DP3100">
        <v>0</v>
      </c>
      <c r="DQ3100">
        <v>0</v>
      </c>
      <c r="DR3100">
        <v>0</v>
      </c>
      <c r="DS3100">
        <v>0</v>
      </c>
    </row>
    <row r="3101" spans="1:123" x14ac:dyDescent="0.3">
      <c r="A3101" t="str">
        <f>"10/04/2022 19:33:51.200"</f>
        <v>10/04/2022 19:33:51.200</v>
      </c>
      <c r="C3101" t="str">
        <f t="shared" si="1109"/>
        <v>FFDFD3C0</v>
      </c>
      <c r="D3101" t="s">
        <v>147</v>
      </c>
      <c r="E3101">
        <v>3</v>
      </c>
      <c r="H3101">
        <v>166</v>
      </c>
      <c r="I3101" t="s">
        <v>144</v>
      </c>
      <c r="J3101" t="s">
        <v>148</v>
      </c>
      <c r="K3101">
        <v>0</v>
      </c>
      <c r="L3101">
        <v>3</v>
      </c>
      <c r="M3101">
        <v>0</v>
      </c>
      <c r="N3101">
        <v>2</v>
      </c>
      <c r="O3101">
        <v>0</v>
      </c>
      <c r="P3101">
        <v>1</v>
      </c>
      <c r="Q3101">
        <v>0</v>
      </c>
      <c r="S3101" t="str">
        <f t="shared" si="1129"/>
        <v>19:33:50.000</v>
      </c>
      <c r="T3101" t="str">
        <f t="shared" si="1129"/>
        <v>19:33:50.000</v>
      </c>
      <c r="U3101" t="str">
        <f t="shared" si="1123"/>
        <v>AC3944</v>
      </c>
      <c r="V3101">
        <v>0</v>
      </c>
      <c r="W3101">
        <v>0</v>
      </c>
      <c r="X3101">
        <v>2</v>
      </c>
      <c r="Y3101">
        <v>0</v>
      </c>
      <c r="AA3101">
        <v>1</v>
      </c>
      <c r="AB3101">
        <v>8</v>
      </c>
      <c r="AC3101">
        <v>3</v>
      </c>
      <c r="AD3101">
        <v>0</v>
      </c>
      <c r="AE3101">
        <v>9</v>
      </c>
      <c r="AF3101" t="s">
        <v>138</v>
      </c>
      <c r="AG3101">
        <v>0</v>
      </c>
      <c r="AH3101">
        <v>3</v>
      </c>
      <c r="AI3101">
        <v>1</v>
      </c>
      <c r="AJ3101">
        <v>0</v>
      </c>
      <c r="AK3101" t="s">
        <v>1037</v>
      </c>
      <c r="AL3101">
        <v>32.710504999999998</v>
      </c>
      <c r="AM3101" t="s">
        <v>1038</v>
      </c>
      <c r="AN3101">
        <v>-116.76145099999999</v>
      </c>
      <c r="AO3101">
        <v>25</v>
      </c>
      <c r="AP3101">
        <v>3800</v>
      </c>
      <c r="AQ3101" t="s">
        <v>129</v>
      </c>
      <c r="AR3101">
        <v>73</v>
      </c>
      <c r="AS3101">
        <v>-109</v>
      </c>
      <c r="AT3101">
        <v>448</v>
      </c>
      <c r="BB3101">
        <v>1200</v>
      </c>
      <c r="BC3101">
        <v>1</v>
      </c>
      <c r="BD3101" t="str">
        <f t="shared" si="1124"/>
        <v xml:space="preserve">N887QR  </v>
      </c>
      <c r="BE3101">
        <v>1</v>
      </c>
      <c r="BG3101">
        <v>0</v>
      </c>
      <c r="BH3101">
        <v>0</v>
      </c>
      <c r="BI3101">
        <v>0</v>
      </c>
      <c r="BJ3101">
        <v>3575</v>
      </c>
      <c r="BK3101">
        <v>-225</v>
      </c>
      <c r="BL3101" t="s">
        <v>163</v>
      </c>
      <c r="BM3101">
        <v>1</v>
      </c>
      <c r="BN3101">
        <v>1</v>
      </c>
      <c r="BO3101">
        <v>1</v>
      </c>
      <c r="BP3101">
        <v>0</v>
      </c>
      <c r="BS3101">
        <v>0</v>
      </c>
      <c r="BT3101">
        <v>0</v>
      </c>
      <c r="BU3101">
        <v>0</v>
      </c>
      <c r="CE3101" t="str">
        <f t="shared" si="1131"/>
        <v>19:33:50.840</v>
      </c>
      <c r="CF3101">
        <v>839745549</v>
      </c>
      <c r="CS3101">
        <v>0</v>
      </c>
      <c r="CT3101">
        <v>2</v>
      </c>
      <c r="CU3101">
        <v>0</v>
      </c>
      <c r="CV3101">
        <v>2</v>
      </c>
      <c r="CW3101">
        <v>0</v>
      </c>
      <c r="CX3101">
        <v>6</v>
      </c>
      <c r="CY3101">
        <v>7</v>
      </c>
      <c r="CZ3101" t="s">
        <v>131</v>
      </c>
      <c r="DA3101">
        <v>286</v>
      </c>
      <c r="DB3101">
        <v>0</v>
      </c>
      <c r="DC3101" t="s">
        <v>132</v>
      </c>
      <c r="DD3101" t="s">
        <v>133</v>
      </c>
      <c r="DG3101">
        <v>865950</v>
      </c>
      <c r="DI3101">
        <v>1</v>
      </c>
      <c r="DJ3101">
        <v>0</v>
      </c>
      <c r="DK3101">
        <v>1</v>
      </c>
      <c r="DL3101">
        <v>0</v>
      </c>
      <c r="DM3101">
        <v>0</v>
      </c>
      <c r="DN3101">
        <v>1</v>
      </c>
      <c r="DO3101">
        <v>0</v>
      </c>
      <c r="DP3101">
        <v>0</v>
      </c>
      <c r="DQ3101">
        <v>0</v>
      </c>
      <c r="DR3101">
        <v>0</v>
      </c>
      <c r="DS3101">
        <v>0</v>
      </c>
    </row>
    <row r="3102" spans="1:123" x14ac:dyDescent="0.3">
      <c r="A3102" t="str">
        <f>"10/04/2022 19:33:51.200"</f>
        <v>10/04/2022 19:33:51.200</v>
      </c>
      <c r="C3102" t="str">
        <f t="shared" si="1109"/>
        <v>FFDFD3C0</v>
      </c>
      <c r="D3102" t="s">
        <v>141</v>
      </c>
      <c r="E3102">
        <v>3</v>
      </c>
      <c r="H3102">
        <v>3</v>
      </c>
      <c r="I3102" t="s">
        <v>146</v>
      </c>
      <c r="J3102" t="s">
        <v>138</v>
      </c>
      <c r="K3102">
        <v>0</v>
      </c>
      <c r="L3102">
        <v>3</v>
      </c>
      <c r="M3102">
        <v>0</v>
      </c>
      <c r="N3102">
        <v>2</v>
      </c>
      <c r="O3102">
        <v>0</v>
      </c>
      <c r="P3102">
        <v>1</v>
      </c>
      <c r="Q3102">
        <v>0</v>
      </c>
      <c r="S3102" t="str">
        <f t="shared" si="1129"/>
        <v>19:33:50.000</v>
      </c>
      <c r="T3102" t="str">
        <f t="shared" si="1129"/>
        <v>19:33:50.000</v>
      </c>
      <c r="U3102" t="str">
        <f t="shared" si="1123"/>
        <v>AC3944</v>
      </c>
      <c r="V3102">
        <v>0</v>
      </c>
      <c r="W3102">
        <v>0</v>
      </c>
      <c r="X3102">
        <v>2</v>
      </c>
      <c r="Y3102">
        <v>0</v>
      </c>
      <c r="AA3102">
        <v>1</v>
      </c>
      <c r="AB3102">
        <v>8</v>
      </c>
      <c r="AC3102">
        <v>3</v>
      </c>
      <c r="AD3102">
        <v>0</v>
      </c>
      <c r="AE3102">
        <v>9</v>
      </c>
      <c r="AF3102" t="s">
        <v>138</v>
      </c>
      <c r="AG3102">
        <v>0</v>
      </c>
      <c r="AH3102">
        <v>3</v>
      </c>
      <c r="AI3102">
        <v>1</v>
      </c>
      <c r="AJ3102">
        <v>0</v>
      </c>
      <c r="AK3102" t="s">
        <v>1037</v>
      </c>
      <c r="AL3102">
        <v>32.710504999999998</v>
      </c>
      <c r="AM3102" t="s">
        <v>1038</v>
      </c>
      <c r="AN3102">
        <v>-116.76145099999999</v>
      </c>
      <c r="AO3102">
        <v>25</v>
      </c>
      <c r="AP3102">
        <v>3800</v>
      </c>
      <c r="AQ3102" t="s">
        <v>129</v>
      </c>
      <c r="AR3102">
        <v>73</v>
      </c>
      <c r="AS3102">
        <v>-109</v>
      </c>
      <c r="AT3102">
        <v>448</v>
      </c>
      <c r="BB3102">
        <v>1200</v>
      </c>
      <c r="BC3102">
        <v>1</v>
      </c>
      <c r="BD3102" t="str">
        <f t="shared" si="1124"/>
        <v xml:space="preserve">N887QR  </v>
      </c>
      <c r="BE3102">
        <v>1</v>
      </c>
      <c r="BG3102">
        <v>0</v>
      </c>
      <c r="BH3102">
        <v>0</v>
      </c>
      <c r="BI3102">
        <v>0</v>
      </c>
      <c r="BJ3102">
        <v>3575</v>
      </c>
      <c r="BK3102">
        <v>-225</v>
      </c>
      <c r="BL3102" t="s">
        <v>163</v>
      </c>
      <c r="BM3102">
        <v>1</v>
      </c>
      <c r="BN3102">
        <v>1</v>
      </c>
      <c r="BO3102">
        <v>1</v>
      </c>
      <c r="BP3102">
        <v>0</v>
      </c>
      <c r="BS3102">
        <v>0</v>
      </c>
      <c r="BT3102">
        <v>0</v>
      </c>
      <c r="BU3102">
        <v>0</v>
      </c>
      <c r="CE3102" t="str">
        <f t="shared" si="1131"/>
        <v>19:33:50.840</v>
      </c>
      <c r="CF3102">
        <v>839745549</v>
      </c>
      <c r="CS3102">
        <v>0</v>
      </c>
      <c r="CT3102">
        <v>2</v>
      </c>
      <c r="CU3102">
        <v>0</v>
      </c>
      <c r="CV3102">
        <v>2</v>
      </c>
      <c r="CW3102">
        <v>0</v>
      </c>
      <c r="CX3102">
        <v>6</v>
      </c>
      <c r="CY3102">
        <v>7</v>
      </c>
      <c r="CZ3102" t="s">
        <v>131</v>
      </c>
      <c r="DA3102">
        <v>286</v>
      </c>
      <c r="DB3102">
        <v>0</v>
      </c>
      <c r="DC3102" t="s">
        <v>132</v>
      </c>
      <c r="DD3102" t="s">
        <v>133</v>
      </c>
      <c r="DG3102">
        <v>865950</v>
      </c>
      <c r="DI3102">
        <v>1</v>
      </c>
      <c r="DJ3102">
        <v>0</v>
      </c>
      <c r="DK3102">
        <v>1</v>
      </c>
      <c r="DL3102">
        <v>0</v>
      </c>
      <c r="DM3102">
        <v>0</v>
      </c>
      <c r="DN3102">
        <v>1</v>
      </c>
      <c r="DO3102">
        <v>0</v>
      </c>
      <c r="DP3102">
        <v>0</v>
      </c>
      <c r="DQ3102">
        <v>0</v>
      </c>
      <c r="DR3102">
        <v>0</v>
      </c>
      <c r="DS3102">
        <v>0</v>
      </c>
    </row>
    <row r="3103" spans="1:123" x14ac:dyDescent="0.3">
      <c r="A3103" t="str">
        <f>"10/04/2022 19:33:51.271"</f>
        <v>10/04/2022 19:33:51.271</v>
      </c>
      <c r="C3103" t="str">
        <f t="shared" si="1109"/>
        <v>FFDFD3C0</v>
      </c>
      <c r="D3103" t="s">
        <v>136</v>
      </c>
      <c r="E3103">
        <v>8</v>
      </c>
      <c r="H3103">
        <v>225</v>
      </c>
      <c r="I3103" t="s">
        <v>137</v>
      </c>
      <c r="J3103" t="s">
        <v>138</v>
      </c>
      <c r="K3103">
        <v>0</v>
      </c>
      <c r="L3103">
        <v>3</v>
      </c>
      <c r="M3103">
        <v>0</v>
      </c>
      <c r="N3103">
        <v>2</v>
      </c>
      <c r="O3103">
        <v>0</v>
      </c>
      <c r="P3103">
        <v>1</v>
      </c>
      <c r="Q3103">
        <v>0</v>
      </c>
      <c r="S3103" t="str">
        <f t="shared" si="1129"/>
        <v>19:33:50.000</v>
      </c>
      <c r="T3103" t="str">
        <f t="shared" si="1129"/>
        <v>19:33:50.000</v>
      </c>
      <c r="U3103" t="str">
        <f t="shared" si="1123"/>
        <v>AC3944</v>
      </c>
      <c r="V3103">
        <v>0</v>
      </c>
      <c r="W3103">
        <v>0</v>
      </c>
      <c r="X3103">
        <v>2</v>
      </c>
      <c r="Y3103">
        <v>0</v>
      </c>
      <c r="AA3103">
        <v>1</v>
      </c>
      <c r="AB3103">
        <v>8</v>
      </c>
      <c r="AC3103">
        <v>3</v>
      </c>
      <c r="AD3103">
        <v>0</v>
      </c>
      <c r="AE3103">
        <v>9</v>
      </c>
      <c r="AF3103" t="s">
        <v>138</v>
      </c>
      <c r="AG3103">
        <v>0</v>
      </c>
      <c r="AH3103">
        <v>3</v>
      </c>
      <c r="AI3103">
        <v>1</v>
      </c>
      <c r="AJ3103">
        <v>0</v>
      </c>
      <c r="AK3103" t="s">
        <v>1037</v>
      </c>
      <c r="AL3103">
        <v>32.710504999999998</v>
      </c>
      <c r="AM3103" t="s">
        <v>1038</v>
      </c>
      <c r="AN3103">
        <v>-116.76145099999999</v>
      </c>
      <c r="AO3103">
        <v>25</v>
      </c>
      <c r="AP3103">
        <v>3800</v>
      </c>
      <c r="AQ3103" t="s">
        <v>129</v>
      </c>
      <c r="AR3103">
        <v>73</v>
      </c>
      <c r="AS3103">
        <v>-109</v>
      </c>
      <c r="AT3103">
        <v>448</v>
      </c>
      <c r="BB3103">
        <v>1200</v>
      </c>
      <c r="BC3103">
        <v>1</v>
      </c>
      <c r="BD3103" t="str">
        <f t="shared" si="1124"/>
        <v xml:space="preserve">N887QR  </v>
      </c>
      <c r="BE3103">
        <v>1</v>
      </c>
      <c r="BG3103">
        <v>0</v>
      </c>
      <c r="BH3103">
        <v>0</v>
      </c>
      <c r="BI3103">
        <v>0</v>
      </c>
      <c r="BJ3103">
        <v>3575</v>
      </c>
      <c r="BK3103">
        <v>-225</v>
      </c>
      <c r="BL3103" t="s">
        <v>163</v>
      </c>
      <c r="BM3103">
        <v>1</v>
      </c>
      <c r="BN3103">
        <v>1</v>
      </c>
      <c r="BO3103">
        <v>1</v>
      </c>
      <c r="BP3103">
        <v>0</v>
      </c>
      <c r="BS3103">
        <v>0</v>
      </c>
      <c r="BT3103">
        <v>0</v>
      </c>
      <c r="BU3103">
        <v>0</v>
      </c>
      <c r="CE3103" t="str">
        <f t="shared" si="1131"/>
        <v>19:33:50.840</v>
      </c>
      <c r="CF3103">
        <v>839745549</v>
      </c>
      <c r="CS3103">
        <v>0</v>
      </c>
      <c r="CT3103">
        <v>2</v>
      </c>
      <c r="CU3103">
        <v>0</v>
      </c>
      <c r="CV3103">
        <v>2</v>
      </c>
      <c r="CW3103">
        <v>0</v>
      </c>
      <c r="CX3103">
        <v>6</v>
      </c>
      <c r="CY3103">
        <v>7</v>
      </c>
      <c r="CZ3103" t="s">
        <v>131</v>
      </c>
      <c r="DA3103">
        <v>286</v>
      </c>
      <c r="DB3103">
        <v>0</v>
      </c>
      <c r="DC3103" t="s">
        <v>132</v>
      </c>
      <c r="DD3103" t="s">
        <v>133</v>
      </c>
      <c r="DG3103">
        <v>865950</v>
      </c>
      <c r="DI3103">
        <v>1</v>
      </c>
      <c r="DJ3103">
        <v>0</v>
      </c>
      <c r="DK3103">
        <v>1</v>
      </c>
      <c r="DL3103">
        <v>0</v>
      </c>
      <c r="DM3103">
        <v>0</v>
      </c>
      <c r="DN3103">
        <v>1</v>
      </c>
      <c r="DO3103">
        <v>0</v>
      </c>
      <c r="DP3103">
        <v>0</v>
      </c>
      <c r="DQ3103">
        <v>0</v>
      </c>
      <c r="DR3103">
        <v>0</v>
      </c>
      <c r="DS3103">
        <v>0</v>
      </c>
    </row>
    <row r="3104" spans="1:123" x14ac:dyDescent="0.3">
      <c r="A3104" t="str">
        <f>"10/04/2022 19:33:51.271"</f>
        <v>10/04/2022 19:33:51.271</v>
      </c>
      <c r="C3104" t="str">
        <f t="shared" si="1109"/>
        <v>FFDFD3C0</v>
      </c>
      <c r="D3104" t="s">
        <v>141</v>
      </c>
      <c r="E3104">
        <v>4</v>
      </c>
      <c r="H3104">
        <v>4</v>
      </c>
      <c r="I3104" t="s">
        <v>142</v>
      </c>
      <c r="J3104" t="s">
        <v>138</v>
      </c>
      <c r="K3104">
        <v>0</v>
      </c>
      <c r="L3104">
        <v>3</v>
      </c>
      <c r="M3104">
        <v>0</v>
      </c>
      <c r="N3104">
        <v>2</v>
      </c>
      <c r="O3104">
        <v>0</v>
      </c>
      <c r="P3104">
        <v>1</v>
      </c>
      <c r="Q3104">
        <v>0</v>
      </c>
      <c r="S3104" t="str">
        <f t="shared" si="1129"/>
        <v>19:33:50.000</v>
      </c>
      <c r="T3104" t="str">
        <f t="shared" si="1129"/>
        <v>19:33:50.000</v>
      </c>
      <c r="U3104" t="str">
        <f t="shared" si="1123"/>
        <v>AC3944</v>
      </c>
      <c r="V3104">
        <v>0</v>
      </c>
      <c r="W3104">
        <v>0</v>
      </c>
      <c r="X3104">
        <v>2</v>
      </c>
      <c r="Y3104">
        <v>0</v>
      </c>
      <c r="AA3104">
        <v>1</v>
      </c>
      <c r="AB3104">
        <v>8</v>
      </c>
      <c r="AC3104">
        <v>3</v>
      </c>
      <c r="AD3104">
        <v>0</v>
      </c>
      <c r="AE3104">
        <v>9</v>
      </c>
      <c r="AF3104" t="s">
        <v>138</v>
      </c>
      <c r="AG3104">
        <v>0</v>
      </c>
      <c r="AH3104">
        <v>3</v>
      </c>
      <c r="AI3104">
        <v>1</v>
      </c>
      <c r="AJ3104">
        <v>0</v>
      </c>
      <c r="AK3104" t="s">
        <v>1037</v>
      </c>
      <c r="AL3104">
        <v>32.710504999999998</v>
      </c>
      <c r="AM3104" t="s">
        <v>1038</v>
      </c>
      <c r="AN3104">
        <v>-116.76145099999999</v>
      </c>
      <c r="AO3104">
        <v>25</v>
      </c>
      <c r="AP3104">
        <v>3800</v>
      </c>
      <c r="AQ3104" t="s">
        <v>129</v>
      </c>
      <c r="AR3104">
        <v>73</v>
      </c>
      <c r="AS3104">
        <v>-109</v>
      </c>
      <c r="AT3104">
        <v>448</v>
      </c>
      <c r="BB3104">
        <v>1200</v>
      </c>
      <c r="BC3104">
        <v>1</v>
      </c>
      <c r="BD3104" t="str">
        <f t="shared" si="1124"/>
        <v xml:space="preserve">N887QR  </v>
      </c>
      <c r="BE3104">
        <v>1</v>
      </c>
      <c r="BG3104">
        <v>0</v>
      </c>
      <c r="BH3104">
        <v>0</v>
      </c>
      <c r="BI3104">
        <v>0</v>
      </c>
      <c r="BJ3104">
        <v>3575</v>
      </c>
      <c r="BK3104">
        <v>-225</v>
      </c>
      <c r="BL3104" t="s">
        <v>163</v>
      </c>
      <c r="BM3104">
        <v>1</v>
      </c>
      <c r="BN3104">
        <v>1</v>
      </c>
      <c r="BO3104">
        <v>1</v>
      </c>
      <c r="BP3104">
        <v>0</v>
      </c>
      <c r="BS3104">
        <v>0</v>
      </c>
      <c r="BT3104">
        <v>0</v>
      </c>
      <c r="BU3104">
        <v>0</v>
      </c>
      <c r="CE3104" t="str">
        <f t="shared" si="1131"/>
        <v>19:33:50.840</v>
      </c>
      <c r="CF3104">
        <v>839745549</v>
      </c>
      <c r="CS3104">
        <v>0</v>
      </c>
      <c r="CT3104">
        <v>2</v>
      </c>
      <c r="CU3104">
        <v>0</v>
      </c>
      <c r="CV3104">
        <v>2</v>
      </c>
      <c r="CW3104">
        <v>0</v>
      </c>
      <c r="CX3104">
        <v>6</v>
      </c>
      <c r="CY3104">
        <v>7</v>
      </c>
      <c r="CZ3104" t="s">
        <v>131</v>
      </c>
      <c r="DA3104">
        <v>286</v>
      </c>
      <c r="DB3104">
        <v>0</v>
      </c>
      <c r="DC3104" t="s">
        <v>132</v>
      </c>
      <c r="DD3104" t="s">
        <v>133</v>
      </c>
      <c r="DG3104">
        <v>865950</v>
      </c>
      <c r="DI3104">
        <v>1</v>
      </c>
      <c r="DJ3104">
        <v>0</v>
      </c>
      <c r="DK3104">
        <v>1</v>
      </c>
      <c r="DL3104">
        <v>0</v>
      </c>
      <c r="DM3104">
        <v>0</v>
      </c>
      <c r="DN3104">
        <v>1</v>
      </c>
      <c r="DO3104">
        <v>0</v>
      </c>
      <c r="DP3104">
        <v>0</v>
      </c>
      <c r="DQ3104">
        <v>0</v>
      </c>
      <c r="DR3104">
        <v>0</v>
      </c>
      <c r="DS3104">
        <v>0</v>
      </c>
    </row>
    <row r="3105" spans="1:123" x14ac:dyDescent="0.3">
      <c r="A3105" t="str">
        <f>"10/04/2022 19:33:51.271"</f>
        <v>10/04/2022 19:33:51.271</v>
      </c>
      <c r="C3105" t="str">
        <f t="shared" si="1109"/>
        <v>FFDFD3C0</v>
      </c>
      <c r="D3105" t="s">
        <v>143</v>
      </c>
      <c r="E3105">
        <v>20</v>
      </c>
      <c r="F3105">
        <v>1020</v>
      </c>
      <c r="G3105" t="s">
        <v>144</v>
      </c>
      <c r="J3105" t="s">
        <v>145</v>
      </c>
      <c r="K3105">
        <v>0</v>
      </c>
      <c r="L3105">
        <v>3</v>
      </c>
      <c r="M3105">
        <v>0</v>
      </c>
      <c r="N3105">
        <v>2</v>
      </c>
      <c r="O3105">
        <v>0</v>
      </c>
      <c r="P3105">
        <v>1</v>
      </c>
      <c r="Q3105">
        <v>0</v>
      </c>
      <c r="S3105" t="str">
        <f t="shared" si="1129"/>
        <v>19:33:50.000</v>
      </c>
      <c r="T3105" t="str">
        <f t="shared" si="1129"/>
        <v>19:33:50.000</v>
      </c>
      <c r="U3105" t="str">
        <f t="shared" si="1123"/>
        <v>AC3944</v>
      </c>
      <c r="V3105">
        <v>0</v>
      </c>
      <c r="W3105">
        <v>0</v>
      </c>
      <c r="X3105">
        <v>2</v>
      </c>
      <c r="Y3105">
        <v>0</v>
      </c>
      <c r="AA3105">
        <v>1</v>
      </c>
      <c r="AB3105">
        <v>8</v>
      </c>
      <c r="AC3105">
        <v>3</v>
      </c>
      <c r="AD3105">
        <v>0</v>
      </c>
      <c r="AE3105">
        <v>9</v>
      </c>
      <c r="AF3105" t="s">
        <v>138</v>
      </c>
      <c r="AG3105">
        <v>0</v>
      </c>
      <c r="AH3105">
        <v>3</v>
      </c>
      <c r="AI3105">
        <v>1</v>
      </c>
      <c r="AJ3105">
        <v>0</v>
      </c>
      <c r="AK3105" t="s">
        <v>1037</v>
      </c>
      <c r="AL3105">
        <v>32.710504999999998</v>
      </c>
      <c r="AM3105" t="s">
        <v>1038</v>
      </c>
      <c r="AN3105">
        <v>-116.76145099999999</v>
      </c>
      <c r="AO3105">
        <v>25</v>
      </c>
      <c r="AP3105">
        <v>3800</v>
      </c>
      <c r="AQ3105" t="s">
        <v>129</v>
      </c>
      <c r="AR3105">
        <v>73</v>
      </c>
      <c r="AS3105">
        <v>-109</v>
      </c>
      <c r="AT3105">
        <v>448</v>
      </c>
      <c r="BB3105">
        <v>1200</v>
      </c>
      <c r="BC3105">
        <v>1</v>
      </c>
      <c r="BD3105" t="str">
        <f t="shared" si="1124"/>
        <v xml:space="preserve">N887QR  </v>
      </c>
      <c r="BE3105">
        <v>1</v>
      </c>
      <c r="BG3105">
        <v>0</v>
      </c>
      <c r="BH3105">
        <v>0</v>
      </c>
      <c r="BI3105">
        <v>0</v>
      </c>
      <c r="BJ3105">
        <v>3575</v>
      </c>
      <c r="BK3105">
        <v>-225</v>
      </c>
      <c r="BL3105" t="s">
        <v>163</v>
      </c>
      <c r="BM3105">
        <v>1</v>
      </c>
      <c r="BN3105">
        <v>1</v>
      </c>
      <c r="BO3105">
        <v>1</v>
      </c>
      <c r="BP3105">
        <v>0</v>
      </c>
      <c r="BS3105">
        <v>0</v>
      </c>
      <c r="BT3105">
        <v>0</v>
      </c>
      <c r="BU3105">
        <v>0</v>
      </c>
      <c r="CE3105" t="str">
        <f t="shared" si="1131"/>
        <v>19:33:50.840</v>
      </c>
      <c r="CF3105">
        <v>839745549</v>
      </c>
      <c r="CS3105">
        <v>0</v>
      </c>
      <c r="CT3105">
        <v>2</v>
      </c>
      <c r="CU3105">
        <v>0</v>
      </c>
      <c r="CV3105">
        <v>2</v>
      </c>
      <c r="CW3105">
        <v>0</v>
      </c>
      <c r="CX3105">
        <v>6</v>
      </c>
      <c r="CY3105">
        <v>7</v>
      </c>
      <c r="CZ3105" t="s">
        <v>131</v>
      </c>
      <c r="DA3105">
        <v>286</v>
      </c>
      <c r="DB3105">
        <v>0</v>
      </c>
      <c r="DC3105" t="s">
        <v>132</v>
      </c>
      <c r="DD3105" t="s">
        <v>133</v>
      </c>
      <c r="DG3105">
        <v>865950</v>
      </c>
      <c r="DI3105">
        <v>1</v>
      </c>
      <c r="DJ3105">
        <v>0</v>
      </c>
      <c r="DK3105">
        <v>1</v>
      </c>
      <c r="DL3105">
        <v>0</v>
      </c>
      <c r="DM3105">
        <v>0</v>
      </c>
      <c r="DN3105">
        <v>1</v>
      </c>
      <c r="DO3105">
        <v>0</v>
      </c>
      <c r="DP3105">
        <v>0</v>
      </c>
      <c r="DQ3105">
        <v>0</v>
      </c>
      <c r="DR3105">
        <v>0</v>
      </c>
      <c r="DS3105">
        <v>0</v>
      </c>
    </row>
    <row r="3106" spans="1:123" x14ac:dyDescent="0.3">
      <c r="A3106" t="str">
        <f>"10/04/2022 19:33:51.271"</f>
        <v>10/04/2022 19:33:51.271</v>
      </c>
      <c r="C3106" t="str">
        <f t="shared" si="1109"/>
        <v>FFDFD3C0</v>
      </c>
      <c r="D3106" t="s">
        <v>134</v>
      </c>
      <c r="E3106">
        <v>15</v>
      </c>
      <c r="J3106" t="s">
        <v>135</v>
      </c>
      <c r="K3106">
        <v>0</v>
      </c>
      <c r="L3106">
        <v>3</v>
      </c>
      <c r="M3106">
        <v>0</v>
      </c>
      <c r="N3106">
        <v>2</v>
      </c>
      <c r="O3106">
        <v>0</v>
      </c>
      <c r="P3106">
        <v>1</v>
      </c>
      <c r="Q3106">
        <v>0</v>
      </c>
      <c r="S3106" t="str">
        <f t="shared" si="1129"/>
        <v>19:33:50.000</v>
      </c>
      <c r="T3106" t="str">
        <f t="shared" si="1129"/>
        <v>19:33:50.000</v>
      </c>
      <c r="U3106" t="str">
        <f t="shared" si="1123"/>
        <v>AC3944</v>
      </c>
      <c r="V3106">
        <v>0</v>
      </c>
      <c r="W3106">
        <v>0</v>
      </c>
      <c r="X3106">
        <v>2</v>
      </c>
      <c r="Y3106">
        <v>0</v>
      </c>
      <c r="AA3106">
        <v>1</v>
      </c>
      <c r="AB3106">
        <v>8</v>
      </c>
      <c r="AC3106">
        <v>3</v>
      </c>
      <c r="AD3106">
        <v>0</v>
      </c>
      <c r="AE3106">
        <v>9</v>
      </c>
      <c r="AF3106" t="s">
        <v>138</v>
      </c>
      <c r="AG3106">
        <v>0</v>
      </c>
      <c r="AH3106">
        <v>3</v>
      </c>
      <c r="AI3106">
        <v>1</v>
      </c>
      <c r="AJ3106">
        <v>0</v>
      </c>
      <c r="AK3106" t="s">
        <v>1037</v>
      </c>
      <c r="AL3106">
        <v>32.710504999999998</v>
      </c>
      <c r="AM3106" t="s">
        <v>1038</v>
      </c>
      <c r="AN3106">
        <v>-116.76145099999999</v>
      </c>
      <c r="AO3106">
        <v>25</v>
      </c>
      <c r="AP3106">
        <v>3800</v>
      </c>
      <c r="AQ3106" t="s">
        <v>129</v>
      </c>
      <c r="AR3106">
        <v>73</v>
      </c>
      <c r="AS3106">
        <v>-109</v>
      </c>
      <c r="AT3106">
        <v>448</v>
      </c>
      <c r="BB3106">
        <v>1200</v>
      </c>
      <c r="BC3106">
        <v>1</v>
      </c>
      <c r="BD3106" t="str">
        <f t="shared" si="1124"/>
        <v xml:space="preserve">N887QR  </v>
      </c>
      <c r="BE3106">
        <v>1</v>
      </c>
      <c r="BG3106">
        <v>0</v>
      </c>
      <c r="BH3106">
        <v>0</v>
      </c>
      <c r="BI3106">
        <v>0</v>
      </c>
      <c r="BJ3106">
        <v>3575</v>
      </c>
      <c r="BK3106">
        <v>-225</v>
      </c>
      <c r="BL3106" t="s">
        <v>163</v>
      </c>
      <c r="BM3106">
        <v>1</v>
      </c>
      <c r="BN3106">
        <v>1</v>
      </c>
      <c r="BO3106">
        <v>1</v>
      </c>
      <c r="BP3106">
        <v>0</v>
      </c>
      <c r="BS3106">
        <v>0</v>
      </c>
      <c r="BT3106">
        <v>0</v>
      </c>
      <c r="BU3106">
        <v>0</v>
      </c>
      <c r="CE3106" t="str">
        <f t="shared" si="1131"/>
        <v>19:33:50.840</v>
      </c>
      <c r="CF3106">
        <v>839745549</v>
      </c>
      <c r="CS3106">
        <v>0</v>
      </c>
      <c r="CT3106">
        <v>2</v>
      </c>
      <c r="CU3106">
        <v>0</v>
      </c>
      <c r="CV3106">
        <v>2</v>
      </c>
      <c r="CW3106">
        <v>0</v>
      </c>
      <c r="CX3106">
        <v>6</v>
      </c>
      <c r="CY3106">
        <v>7</v>
      </c>
      <c r="CZ3106" t="s">
        <v>131</v>
      </c>
      <c r="DA3106">
        <v>286</v>
      </c>
      <c r="DB3106">
        <v>0</v>
      </c>
      <c r="DC3106" t="s">
        <v>132</v>
      </c>
      <c r="DD3106" t="s">
        <v>133</v>
      </c>
      <c r="DG3106">
        <v>865950</v>
      </c>
      <c r="DI3106">
        <v>1</v>
      </c>
      <c r="DJ3106">
        <v>0</v>
      </c>
      <c r="DK3106">
        <v>1</v>
      </c>
      <c r="DL3106">
        <v>0</v>
      </c>
      <c r="DM3106">
        <v>0</v>
      </c>
      <c r="DN3106">
        <v>1</v>
      </c>
      <c r="DO3106">
        <v>0</v>
      </c>
      <c r="DP3106">
        <v>0</v>
      </c>
      <c r="DQ3106">
        <v>0</v>
      </c>
      <c r="DR3106">
        <v>0</v>
      </c>
      <c r="DS3106">
        <v>0</v>
      </c>
    </row>
    <row r="3107" spans="1:123" x14ac:dyDescent="0.3">
      <c r="A3107" t="str">
        <f t="shared" ref="A3107:A3113" si="1132">"10/04/2022 19:33:52.292"</f>
        <v>10/04/2022 19:33:52.292</v>
      </c>
      <c r="C3107" t="str">
        <f t="shared" si="1109"/>
        <v>FFDFD3C0</v>
      </c>
      <c r="D3107" t="s">
        <v>141</v>
      </c>
      <c r="E3107">
        <v>4</v>
      </c>
      <c r="H3107">
        <v>4</v>
      </c>
      <c r="I3107" t="s">
        <v>142</v>
      </c>
      <c r="J3107" t="s">
        <v>138</v>
      </c>
      <c r="K3107">
        <v>0</v>
      </c>
      <c r="L3107">
        <v>3</v>
      </c>
      <c r="M3107">
        <v>0</v>
      </c>
      <c r="N3107">
        <v>2</v>
      </c>
      <c r="O3107">
        <v>0</v>
      </c>
      <c r="P3107">
        <v>1</v>
      </c>
      <c r="Q3107">
        <v>0</v>
      </c>
      <c r="S3107" t="str">
        <f t="shared" ref="S3107:T3113" si="1133">"19:33:51.000"</f>
        <v>19:33:51.000</v>
      </c>
      <c r="T3107" t="str">
        <f t="shared" si="1133"/>
        <v>19:33:51.000</v>
      </c>
      <c r="U3107" t="str">
        <f t="shared" si="1123"/>
        <v>AC3944</v>
      </c>
      <c r="V3107">
        <v>0</v>
      </c>
      <c r="W3107">
        <v>0</v>
      </c>
      <c r="X3107">
        <v>2</v>
      </c>
      <c r="Y3107">
        <v>0</v>
      </c>
      <c r="AA3107">
        <v>1</v>
      </c>
      <c r="AB3107">
        <v>8</v>
      </c>
      <c r="AC3107">
        <v>3</v>
      </c>
      <c r="AD3107">
        <v>0</v>
      </c>
      <c r="AE3107">
        <v>9</v>
      </c>
      <c r="AF3107" t="s">
        <v>138</v>
      </c>
      <c r="AG3107">
        <v>0</v>
      </c>
      <c r="AH3107">
        <v>3</v>
      </c>
      <c r="AI3107">
        <v>1</v>
      </c>
      <c r="AJ3107">
        <v>0</v>
      </c>
      <c r="AK3107" t="s">
        <v>1039</v>
      </c>
      <c r="AL3107">
        <v>32.710011000000002</v>
      </c>
      <c r="AM3107" t="s">
        <v>1023</v>
      </c>
      <c r="AN3107">
        <v>-116.761022</v>
      </c>
      <c r="AO3107">
        <v>25</v>
      </c>
      <c r="AP3107">
        <v>3800</v>
      </c>
      <c r="AQ3107" t="s">
        <v>129</v>
      </c>
      <c r="AR3107">
        <v>93</v>
      </c>
      <c r="AS3107">
        <v>-96</v>
      </c>
      <c r="AT3107">
        <v>448</v>
      </c>
      <c r="BB3107">
        <v>1200</v>
      </c>
      <c r="BC3107">
        <v>1</v>
      </c>
      <c r="BD3107" t="str">
        <f t="shared" si="1124"/>
        <v xml:space="preserve">N887QR  </v>
      </c>
      <c r="BE3107">
        <v>1</v>
      </c>
      <c r="BG3107">
        <v>0</v>
      </c>
      <c r="BH3107">
        <v>0</v>
      </c>
      <c r="BI3107">
        <v>0</v>
      </c>
      <c r="BJ3107">
        <v>3575</v>
      </c>
      <c r="BK3107">
        <v>-225</v>
      </c>
      <c r="BL3107" t="s">
        <v>163</v>
      </c>
      <c r="BM3107">
        <v>1</v>
      </c>
      <c r="BN3107">
        <v>1</v>
      </c>
      <c r="BO3107">
        <v>1</v>
      </c>
      <c r="BP3107">
        <v>0</v>
      </c>
      <c r="BS3107">
        <v>0</v>
      </c>
      <c r="BT3107">
        <v>0</v>
      </c>
      <c r="BU3107">
        <v>0</v>
      </c>
      <c r="CE3107" t="str">
        <f t="shared" ref="CE3107:CE3113" si="1134">"19:33:51.971"</f>
        <v>19:33:51.971</v>
      </c>
      <c r="CF3107">
        <v>971249078</v>
      </c>
      <c r="CS3107">
        <v>0</v>
      </c>
      <c r="CT3107">
        <v>2</v>
      </c>
      <c r="CU3107">
        <v>0</v>
      </c>
      <c r="CV3107">
        <v>2</v>
      </c>
      <c r="CW3107">
        <v>0</v>
      </c>
      <c r="CX3107">
        <v>5</v>
      </c>
      <c r="CY3107">
        <v>7</v>
      </c>
      <c r="CZ3107" t="s">
        <v>131</v>
      </c>
      <c r="DA3107">
        <v>286</v>
      </c>
      <c r="DB3107">
        <v>0</v>
      </c>
      <c r="DC3107" t="s">
        <v>132</v>
      </c>
      <c r="DD3107" t="s">
        <v>133</v>
      </c>
      <c r="DG3107">
        <v>866174</v>
      </c>
      <c r="DI3107">
        <v>1</v>
      </c>
      <c r="DJ3107">
        <v>0</v>
      </c>
      <c r="DK3107">
        <v>0</v>
      </c>
      <c r="DL3107">
        <v>0</v>
      </c>
      <c r="DM3107">
        <v>0</v>
      </c>
      <c r="DN3107">
        <v>1</v>
      </c>
      <c r="DO3107">
        <v>0</v>
      </c>
      <c r="DP3107">
        <v>0</v>
      </c>
      <c r="DQ3107">
        <v>0</v>
      </c>
      <c r="DR3107">
        <v>0</v>
      </c>
      <c r="DS3107">
        <v>0</v>
      </c>
    </row>
    <row r="3108" spans="1:123" x14ac:dyDescent="0.3">
      <c r="A3108" t="str">
        <f t="shared" si="1132"/>
        <v>10/04/2022 19:33:52.292</v>
      </c>
      <c r="C3108" t="str">
        <f t="shared" si="1109"/>
        <v>FFDFD3C0</v>
      </c>
      <c r="D3108" t="s">
        <v>143</v>
      </c>
      <c r="E3108">
        <v>20</v>
      </c>
      <c r="F3108">
        <v>1020</v>
      </c>
      <c r="G3108" t="s">
        <v>144</v>
      </c>
      <c r="J3108" t="s">
        <v>145</v>
      </c>
      <c r="K3108">
        <v>0</v>
      </c>
      <c r="L3108">
        <v>3</v>
      </c>
      <c r="M3108">
        <v>0</v>
      </c>
      <c r="N3108">
        <v>2</v>
      </c>
      <c r="O3108">
        <v>0</v>
      </c>
      <c r="P3108">
        <v>1</v>
      </c>
      <c r="Q3108">
        <v>0</v>
      </c>
      <c r="S3108" t="str">
        <f t="shared" si="1133"/>
        <v>19:33:51.000</v>
      </c>
      <c r="T3108" t="str">
        <f t="shared" si="1133"/>
        <v>19:33:51.000</v>
      </c>
      <c r="U3108" t="str">
        <f t="shared" si="1123"/>
        <v>AC3944</v>
      </c>
      <c r="V3108">
        <v>0</v>
      </c>
      <c r="W3108">
        <v>0</v>
      </c>
      <c r="X3108">
        <v>2</v>
      </c>
      <c r="Y3108">
        <v>0</v>
      </c>
      <c r="AA3108">
        <v>1</v>
      </c>
      <c r="AB3108">
        <v>8</v>
      </c>
      <c r="AC3108">
        <v>3</v>
      </c>
      <c r="AD3108">
        <v>0</v>
      </c>
      <c r="AE3108">
        <v>9</v>
      </c>
      <c r="AF3108" t="s">
        <v>138</v>
      </c>
      <c r="AG3108">
        <v>0</v>
      </c>
      <c r="AH3108">
        <v>3</v>
      </c>
      <c r="AI3108">
        <v>1</v>
      </c>
      <c r="AJ3108">
        <v>0</v>
      </c>
      <c r="AK3108" t="s">
        <v>1039</v>
      </c>
      <c r="AL3108">
        <v>32.710011000000002</v>
      </c>
      <c r="AM3108" t="s">
        <v>1023</v>
      </c>
      <c r="AN3108">
        <v>-116.761022</v>
      </c>
      <c r="AO3108">
        <v>25</v>
      </c>
      <c r="AP3108">
        <v>3800</v>
      </c>
      <c r="AQ3108" t="s">
        <v>129</v>
      </c>
      <c r="AR3108">
        <v>93</v>
      </c>
      <c r="AS3108">
        <v>-96</v>
      </c>
      <c r="AT3108">
        <v>448</v>
      </c>
      <c r="BB3108">
        <v>1200</v>
      </c>
      <c r="BC3108">
        <v>1</v>
      </c>
      <c r="BD3108" t="str">
        <f t="shared" si="1124"/>
        <v xml:space="preserve">N887QR  </v>
      </c>
      <c r="BE3108">
        <v>1</v>
      </c>
      <c r="BG3108">
        <v>0</v>
      </c>
      <c r="BH3108">
        <v>0</v>
      </c>
      <c r="BI3108">
        <v>0</v>
      </c>
      <c r="BJ3108">
        <v>3575</v>
      </c>
      <c r="BK3108">
        <v>-225</v>
      </c>
      <c r="BL3108" t="s">
        <v>163</v>
      </c>
      <c r="BM3108">
        <v>1</v>
      </c>
      <c r="BN3108">
        <v>1</v>
      </c>
      <c r="BO3108">
        <v>1</v>
      </c>
      <c r="BP3108">
        <v>0</v>
      </c>
      <c r="BS3108">
        <v>0</v>
      </c>
      <c r="BT3108">
        <v>0</v>
      </c>
      <c r="BU3108">
        <v>0</v>
      </c>
      <c r="CE3108" t="str">
        <f t="shared" si="1134"/>
        <v>19:33:51.971</v>
      </c>
      <c r="CF3108">
        <v>971249078</v>
      </c>
      <c r="CS3108">
        <v>0</v>
      </c>
      <c r="CT3108">
        <v>2</v>
      </c>
      <c r="CU3108">
        <v>0</v>
      </c>
      <c r="CV3108">
        <v>2</v>
      </c>
      <c r="CW3108">
        <v>0</v>
      </c>
      <c r="CX3108">
        <v>5</v>
      </c>
      <c r="CY3108">
        <v>7</v>
      </c>
      <c r="CZ3108" t="s">
        <v>131</v>
      </c>
      <c r="DA3108">
        <v>286</v>
      </c>
      <c r="DB3108">
        <v>0</v>
      </c>
      <c r="DC3108" t="s">
        <v>132</v>
      </c>
      <c r="DD3108" t="s">
        <v>133</v>
      </c>
      <c r="DG3108">
        <v>866174</v>
      </c>
      <c r="DI3108">
        <v>1</v>
      </c>
      <c r="DJ3108">
        <v>0</v>
      </c>
      <c r="DK3108">
        <v>1</v>
      </c>
      <c r="DL3108">
        <v>0</v>
      </c>
      <c r="DM3108">
        <v>0</v>
      </c>
      <c r="DN3108">
        <v>1</v>
      </c>
      <c r="DO3108">
        <v>0</v>
      </c>
      <c r="DP3108">
        <v>0</v>
      </c>
      <c r="DQ3108">
        <v>0</v>
      </c>
      <c r="DR3108">
        <v>0</v>
      </c>
      <c r="DS3108">
        <v>0</v>
      </c>
    </row>
    <row r="3109" spans="1:123" x14ac:dyDescent="0.3">
      <c r="A3109" t="str">
        <f t="shared" si="1132"/>
        <v>10/04/2022 19:33:52.292</v>
      </c>
      <c r="C3109" t="str">
        <f t="shared" si="1109"/>
        <v>FFDFD3C0</v>
      </c>
      <c r="D3109" t="s">
        <v>136</v>
      </c>
      <c r="E3109">
        <v>8</v>
      </c>
      <c r="H3109">
        <v>225</v>
      </c>
      <c r="I3109" t="s">
        <v>137</v>
      </c>
      <c r="J3109" t="s">
        <v>138</v>
      </c>
      <c r="K3109">
        <v>0</v>
      </c>
      <c r="L3109">
        <v>3</v>
      </c>
      <c r="M3109">
        <v>0</v>
      </c>
      <c r="N3109">
        <v>2</v>
      </c>
      <c r="O3109">
        <v>0</v>
      </c>
      <c r="P3109">
        <v>1</v>
      </c>
      <c r="Q3109">
        <v>0</v>
      </c>
      <c r="S3109" t="str">
        <f t="shared" si="1133"/>
        <v>19:33:51.000</v>
      </c>
      <c r="T3109" t="str">
        <f t="shared" si="1133"/>
        <v>19:33:51.000</v>
      </c>
      <c r="U3109" t="str">
        <f t="shared" si="1123"/>
        <v>AC3944</v>
      </c>
      <c r="V3109">
        <v>0</v>
      </c>
      <c r="W3109">
        <v>0</v>
      </c>
      <c r="X3109">
        <v>2</v>
      </c>
      <c r="Y3109">
        <v>0</v>
      </c>
      <c r="AA3109">
        <v>1</v>
      </c>
      <c r="AB3109">
        <v>8</v>
      </c>
      <c r="AC3109">
        <v>3</v>
      </c>
      <c r="AD3109">
        <v>0</v>
      </c>
      <c r="AE3109">
        <v>9</v>
      </c>
      <c r="AF3109" t="s">
        <v>138</v>
      </c>
      <c r="AG3109">
        <v>0</v>
      </c>
      <c r="AH3109">
        <v>3</v>
      </c>
      <c r="AI3109">
        <v>1</v>
      </c>
      <c r="AJ3109">
        <v>0</v>
      </c>
      <c r="AK3109" t="s">
        <v>1039</v>
      </c>
      <c r="AL3109">
        <v>32.710011000000002</v>
      </c>
      <c r="AM3109" t="s">
        <v>1023</v>
      </c>
      <c r="AN3109">
        <v>-116.761022</v>
      </c>
      <c r="AO3109">
        <v>25</v>
      </c>
      <c r="AP3109">
        <v>3800</v>
      </c>
      <c r="AQ3109" t="s">
        <v>129</v>
      </c>
      <c r="AR3109">
        <v>93</v>
      </c>
      <c r="AS3109">
        <v>-96</v>
      </c>
      <c r="AT3109">
        <v>448</v>
      </c>
      <c r="BB3109">
        <v>1200</v>
      </c>
      <c r="BC3109">
        <v>1</v>
      </c>
      <c r="BD3109" t="str">
        <f t="shared" si="1124"/>
        <v xml:space="preserve">N887QR  </v>
      </c>
      <c r="BE3109">
        <v>1</v>
      </c>
      <c r="BG3109">
        <v>0</v>
      </c>
      <c r="BH3109">
        <v>0</v>
      </c>
      <c r="BI3109">
        <v>0</v>
      </c>
      <c r="BJ3109">
        <v>3575</v>
      </c>
      <c r="BK3109">
        <v>-225</v>
      </c>
      <c r="BL3109" t="s">
        <v>163</v>
      </c>
      <c r="BM3109">
        <v>1</v>
      </c>
      <c r="BN3109">
        <v>1</v>
      </c>
      <c r="BO3109">
        <v>1</v>
      </c>
      <c r="BP3109">
        <v>0</v>
      </c>
      <c r="BS3109">
        <v>0</v>
      </c>
      <c r="BT3109">
        <v>0</v>
      </c>
      <c r="BU3109">
        <v>0</v>
      </c>
      <c r="CE3109" t="str">
        <f t="shared" si="1134"/>
        <v>19:33:51.971</v>
      </c>
      <c r="CF3109">
        <v>971249078</v>
      </c>
      <c r="CS3109">
        <v>0</v>
      </c>
      <c r="CT3109">
        <v>2</v>
      </c>
      <c r="CU3109">
        <v>0</v>
      </c>
      <c r="CV3109">
        <v>2</v>
      </c>
      <c r="CW3109">
        <v>0</v>
      </c>
      <c r="CX3109">
        <v>5</v>
      </c>
      <c r="CY3109">
        <v>7</v>
      </c>
      <c r="CZ3109" t="s">
        <v>131</v>
      </c>
      <c r="DA3109">
        <v>286</v>
      </c>
      <c r="DB3109">
        <v>0</v>
      </c>
      <c r="DC3109" t="s">
        <v>132</v>
      </c>
      <c r="DD3109" t="s">
        <v>133</v>
      </c>
      <c r="DG3109">
        <v>866174</v>
      </c>
      <c r="DI3109">
        <v>1</v>
      </c>
      <c r="DJ3109">
        <v>0</v>
      </c>
      <c r="DK3109">
        <v>1</v>
      </c>
      <c r="DL3109">
        <v>0</v>
      </c>
      <c r="DM3109">
        <v>0</v>
      </c>
      <c r="DN3109">
        <v>1</v>
      </c>
      <c r="DO3109">
        <v>0</v>
      </c>
      <c r="DP3109">
        <v>0</v>
      </c>
      <c r="DQ3109">
        <v>0</v>
      </c>
      <c r="DR3109">
        <v>0</v>
      </c>
      <c r="DS3109">
        <v>0</v>
      </c>
    </row>
    <row r="3110" spans="1:123" x14ac:dyDescent="0.3">
      <c r="A3110" t="str">
        <f t="shared" si="1132"/>
        <v>10/04/2022 19:33:52.292</v>
      </c>
      <c r="C3110" t="str">
        <f t="shared" si="1109"/>
        <v>FFDFD3C0</v>
      </c>
      <c r="D3110" t="s">
        <v>134</v>
      </c>
      <c r="E3110">
        <v>15</v>
      </c>
      <c r="J3110" t="s">
        <v>135</v>
      </c>
      <c r="K3110">
        <v>0</v>
      </c>
      <c r="L3110">
        <v>3</v>
      </c>
      <c r="M3110">
        <v>0</v>
      </c>
      <c r="N3110">
        <v>2</v>
      </c>
      <c r="O3110">
        <v>0</v>
      </c>
      <c r="P3110">
        <v>1</v>
      </c>
      <c r="Q3110">
        <v>0</v>
      </c>
      <c r="S3110" t="str">
        <f t="shared" si="1133"/>
        <v>19:33:51.000</v>
      </c>
      <c r="T3110" t="str">
        <f t="shared" si="1133"/>
        <v>19:33:51.000</v>
      </c>
      <c r="U3110" t="str">
        <f t="shared" si="1123"/>
        <v>AC3944</v>
      </c>
      <c r="V3110">
        <v>0</v>
      </c>
      <c r="W3110">
        <v>0</v>
      </c>
      <c r="X3110">
        <v>2</v>
      </c>
      <c r="Y3110">
        <v>0</v>
      </c>
      <c r="AA3110">
        <v>1</v>
      </c>
      <c r="AB3110">
        <v>8</v>
      </c>
      <c r="AC3110">
        <v>3</v>
      </c>
      <c r="AD3110">
        <v>0</v>
      </c>
      <c r="AE3110">
        <v>9</v>
      </c>
      <c r="AF3110" t="s">
        <v>138</v>
      </c>
      <c r="AG3110">
        <v>0</v>
      </c>
      <c r="AH3110">
        <v>3</v>
      </c>
      <c r="AI3110">
        <v>1</v>
      </c>
      <c r="AJ3110">
        <v>0</v>
      </c>
      <c r="AK3110" t="s">
        <v>1039</v>
      </c>
      <c r="AL3110">
        <v>32.710011000000002</v>
      </c>
      <c r="AM3110" t="s">
        <v>1023</v>
      </c>
      <c r="AN3110">
        <v>-116.761022</v>
      </c>
      <c r="AO3110">
        <v>25</v>
      </c>
      <c r="AP3110">
        <v>3800</v>
      </c>
      <c r="AQ3110" t="s">
        <v>129</v>
      </c>
      <c r="AR3110">
        <v>93</v>
      </c>
      <c r="AS3110">
        <v>-96</v>
      </c>
      <c r="AT3110">
        <v>448</v>
      </c>
      <c r="BB3110">
        <v>1200</v>
      </c>
      <c r="BC3110">
        <v>1</v>
      </c>
      <c r="BD3110" t="str">
        <f t="shared" si="1124"/>
        <v xml:space="preserve">N887QR  </v>
      </c>
      <c r="BE3110">
        <v>1</v>
      </c>
      <c r="BG3110">
        <v>0</v>
      </c>
      <c r="BH3110">
        <v>0</v>
      </c>
      <c r="BI3110">
        <v>0</v>
      </c>
      <c r="BJ3110">
        <v>3575</v>
      </c>
      <c r="BK3110">
        <v>-225</v>
      </c>
      <c r="BL3110" t="s">
        <v>163</v>
      </c>
      <c r="BM3110">
        <v>1</v>
      </c>
      <c r="BN3110">
        <v>1</v>
      </c>
      <c r="BO3110">
        <v>1</v>
      </c>
      <c r="BP3110">
        <v>0</v>
      </c>
      <c r="BS3110">
        <v>0</v>
      </c>
      <c r="BT3110">
        <v>0</v>
      </c>
      <c r="BU3110">
        <v>0</v>
      </c>
      <c r="CE3110" t="str">
        <f t="shared" si="1134"/>
        <v>19:33:51.971</v>
      </c>
      <c r="CF3110">
        <v>971249078</v>
      </c>
      <c r="CS3110">
        <v>0</v>
      </c>
      <c r="CT3110">
        <v>2</v>
      </c>
      <c r="CU3110">
        <v>0</v>
      </c>
      <c r="CV3110">
        <v>2</v>
      </c>
      <c r="CW3110">
        <v>0</v>
      </c>
      <c r="CX3110">
        <v>5</v>
      </c>
      <c r="CY3110">
        <v>7</v>
      </c>
      <c r="CZ3110" t="s">
        <v>131</v>
      </c>
      <c r="DA3110">
        <v>286</v>
      </c>
      <c r="DB3110">
        <v>0</v>
      </c>
      <c r="DC3110" t="s">
        <v>132</v>
      </c>
      <c r="DD3110" t="s">
        <v>133</v>
      </c>
      <c r="DG3110">
        <v>866174</v>
      </c>
      <c r="DI3110">
        <v>1</v>
      </c>
      <c r="DJ3110">
        <v>0</v>
      </c>
      <c r="DK3110">
        <v>1</v>
      </c>
      <c r="DL3110">
        <v>0</v>
      </c>
      <c r="DM3110">
        <v>0</v>
      </c>
      <c r="DN3110">
        <v>1</v>
      </c>
      <c r="DO3110">
        <v>0</v>
      </c>
      <c r="DP3110">
        <v>0</v>
      </c>
      <c r="DQ3110">
        <v>0</v>
      </c>
      <c r="DR3110">
        <v>0</v>
      </c>
      <c r="DS3110">
        <v>0</v>
      </c>
    </row>
    <row r="3111" spans="1:123" x14ac:dyDescent="0.3">
      <c r="A3111" t="str">
        <f t="shared" si="1132"/>
        <v>10/04/2022 19:33:52.292</v>
      </c>
      <c r="C3111" t="str">
        <f t="shared" ref="C3111:C3174" si="1135">"FFDFD3C0"</f>
        <v>FFDFD3C0</v>
      </c>
      <c r="D3111" t="s">
        <v>123</v>
      </c>
      <c r="E3111">
        <v>7</v>
      </c>
      <c r="F3111">
        <v>2007</v>
      </c>
      <c r="G3111" t="s">
        <v>124</v>
      </c>
      <c r="J3111" t="s">
        <v>125</v>
      </c>
      <c r="K3111">
        <v>0</v>
      </c>
      <c r="L3111">
        <v>3</v>
      </c>
      <c r="M3111">
        <v>0</v>
      </c>
      <c r="N3111">
        <v>2</v>
      </c>
      <c r="O3111">
        <v>0</v>
      </c>
      <c r="P3111">
        <v>1</v>
      </c>
      <c r="Q3111">
        <v>0</v>
      </c>
      <c r="S3111" t="str">
        <f t="shared" si="1133"/>
        <v>19:33:51.000</v>
      </c>
      <c r="T3111" t="str">
        <f t="shared" si="1133"/>
        <v>19:33:51.000</v>
      </c>
      <c r="U3111" t="str">
        <f t="shared" si="1123"/>
        <v>AC3944</v>
      </c>
      <c r="V3111">
        <v>0</v>
      </c>
      <c r="W3111">
        <v>0</v>
      </c>
      <c r="X3111">
        <v>2</v>
      </c>
      <c r="Y3111">
        <v>0</v>
      </c>
      <c r="AA3111">
        <v>1</v>
      </c>
      <c r="AB3111">
        <v>8</v>
      </c>
      <c r="AC3111">
        <v>3</v>
      </c>
      <c r="AD3111">
        <v>0</v>
      </c>
      <c r="AE3111">
        <v>9</v>
      </c>
      <c r="AF3111" t="s">
        <v>138</v>
      </c>
      <c r="AG3111">
        <v>0</v>
      </c>
      <c r="AH3111">
        <v>3</v>
      </c>
      <c r="AI3111">
        <v>1</v>
      </c>
      <c r="AJ3111">
        <v>0</v>
      </c>
      <c r="AK3111" t="s">
        <v>1039</v>
      </c>
      <c r="AL3111">
        <v>32.710011000000002</v>
      </c>
      <c r="AM3111" t="s">
        <v>1023</v>
      </c>
      <c r="AN3111">
        <v>-116.761022</v>
      </c>
      <c r="AO3111">
        <v>25</v>
      </c>
      <c r="AP3111">
        <v>3800</v>
      </c>
      <c r="AQ3111" t="s">
        <v>129</v>
      </c>
      <c r="AR3111">
        <v>93</v>
      </c>
      <c r="AS3111">
        <v>-96</v>
      </c>
      <c r="AT3111">
        <v>448</v>
      </c>
      <c r="BB3111">
        <v>1200</v>
      </c>
      <c r="BC3111">
        <v>1</v>
      </c>
      <c r="BD3111" t="str">
        <f t="shared" si="1124"/>
        <v xml:space="preserve">N887QR  </v>
      </c>
      <c r="BE3111">
        <v>1</v>
      </c>
      <c r="BG3111">
        <v>0</v>
      </c>
      <c r="BH3111">
        <v>0</v>
      </c>
      <c r="BI3111">
        <v>0</v>
      </c>
      <c r="BJ3111">
        <v>3575</v>
      </c>
      <c r="BK3111">
        <v>-225</v>
      </c>
      <c r="BL3111" t="s">
        <v>163</v>
      </c>
      <c r="BM3111">
        <v>1</v>
      </c>
      <c r="BN3111">
        <v>1</v>
      </c>
      <c r="BO3111">
        <v>1</v>
      </c>
      <c r="BP3111">
        <v>0</v>
      </c>
      <c r="BS3111">
        <v>0</v>
      </c>
      <c r="BT3111">
        <v>0</v>
      </c>
      <c r="BU3111">
        <v>0</v>
      </c>
      <c r="CE3111" t="str">
        <f t="shared" si="1134"/>
        <v>19:33:51.971</v>
      </c>
      <c r="CF3111">
        <v>971249078</v>
      </c>
      <c r="CS3111">
        <v>0</v>
      </c>
      <c r="CT3111">
        <v>2</v>
      </c>
      <c r="CU3111">
        <v>0</v>
      </c>
      <c r="CV3111">
        <v>2</v>
      </c>
      <c r="CW3111">
        <v>0</v>
      </c>
      <c r="CX3111">
        <v>5</v>
      </c>
      <c r="CY3111">
        <v>7</v>
      </c>
      <c r="CZ3111" t="s">
        <v>131</v>
      </c>
      <c r="DA3111">
        <v>286</v>
      </c>
      <c r="DB3111">
        <v>0</v>
      </c>
      <c r="DC3111" t="s">
        <v>132</v>
      </c>
      <c r="DD3111" t="s">
        <v>133</v>
      </c>
      <c r="DG3111">
        <v>866174</v>
      </c>
      <c r="DI3111">
        <v>1</v>
      </c>
      <c r="DJ3111">
        <v>0</v>
      </c>
      <c r="DK3111">
        <v>1</v>
      </c>
      <c r="DL3111">
        <v>0</v>
      </c>
      <c r="DM3111">
        <v>0</v>
      </c>
      <c r="DN3111">
        <v>1</v>
      </c>
      <c r="DO3111">
        <v>0</v>
      </c>
      <c r="DP3111">
        <v>0</v>
      </c>
      <c r="DQ3111">
        <v>0</v>
      </c>
      <c r="DR3111">
        <v>0</v>
      </c>
      <c r="DS3111">
        <v>0</v>
      </c>
    </row>
    <row r="3112" spans="1:123" x14ac:dyDescent="0.3">
      <c r="A3112" t="str">
        <f t="shared" si="1132"/>
        <v>10/04/2022 19:33:52.292</v>
      </c>
      <c r="C3112" t="str">
        <f t="shared" si="1135"/>
        <v>FFDFD3C0</v>
      </c>
      <c r="D3112" t="s">
        <v>147</v>
      </c>
      <c r="E3112">
        <v>3</v>
      </c>
      <c r="H3112">
        <v>166</v>
      </c>
      <c r="I3112" t="s">
        <v>144</v>
      </c>
      <c r="J3112" t="s">
        <v>148</v>
      </c>
      <c r="K3112">
        <v>0</v>
      </c>
      <c r="L3112">
        <v>3</v>
      </c>
      <c r="M3112">
        <v>0</v>
      </c>
      <c r="N3112">
        <v>2</v>
      </c>
      <c r="O3112">
        <v>0</v>
      </c>
      <c r="P3112">
        <v>1</v>
      </c>
      <c r="Q3112">
        <v>0</v>
      </c>
      <c r="S3112" t="str">
        <f t="shared" si="1133"/>
        <v>19:33:51.000</v>
      </c>
      <c r="T3112" t="str">
        <f t="shared" si="1133"/>
        <v>19:33:51.000</v>
      </c>
      <c r="U3112" t="str">
        <f t="shared" si="1123"/>
        <v>AC3944</v>
      </c>
      <c r="V3112">
        <v>0</v>
      </c>
      <c r="W3112">
        <v>0</v>
      </c>
      <c r="X3112">
        <v>2</v>
      </c>
      <c r="Y3112">
        <v>0</v>
      </c>
      <c r="AA3112">
        <v>1</v>
      </c>
      <c r="AB3112">
        <v>8</v>
      </c>
      <c r="AC3112">
        <v>3</v>
      </c>
      <c r="AD3112">
        <v>0</v>
      </c>
      <c r="AE3112">
        <v>9</v>
      </c>
      <c r="AF3112" t="s">
        <v>138</v>
      </c>
      <c r="AG3112">
        <v>0</v>
      </c>
      <c r="AH3112">
        <v>3</v>
      </c>
      <c r="AI3112">
        <v>1</v>
      </c>
      <c r="AJ3112">
        <v>0</v>
      </c>
      <c r="AK3112" t="s">
        <v>1039</v>
      </c>
      <c r="AL3112">
        <v>32.710011000000002</v>
      </c>
      <c r="AM3112" t="s">
        <v>1023</v>
      </c>
      <c r="AN3112">
        <v>-116.761022</v>
      </c>
      <c r="AO3112">
        <v>25</v>
      </c>
      <c r="AP3112">
        <v>3800</v>
      </c>
      <c r="AQ3112" t="s">
        <v>129</v>
      </c>
      <c r="AR3112">
        <v>93</v>
      </c>
      <c r="AS3112">
        <v>-96</v>
      </c>
      <c r="AT3112">
        <v>448</v>
      </c>
      <c r="BB3112">
        <v>1200</v>
      </c>
      <c r="BC3112">
        <v>1</v>
      </c>
      <c r="BD3112" t="str">
        <f t="shared" si="1124"/>
        <v xml:space="preserve">N887QR  </v>
      </c>
      <c r="BE3112">
        <v>1</v>
      </c>
      <c r="BG3112">
        <v>0</v>
      </c>
      <c r="BH3112">
        <v>0</v>
      </c>
      <c r="BI3112">
        <v>0</v>
      </c>
      <c r="BJ3112">
        <v>3575</v>
      </c>
      <c r="BK3112">
        <v>-225</v>
      </c>
      <c r="BL3112" t="s">
        <v>163</v>
      </c>
      <c r="BM3112">
        <v>1</v>
      </c>
      <c r="BN3112">
        <v>1</v>
      </c>
      <c r="BO3112">
        <v>1</v>
      </c>
      <c r="BP3112">
        <v>0</v>
      </c>
      <c r="BS3112">
        <v>0</v>
      </c>
      <c r="BT3112">
        <v>0</v>
      </c>
      <c r="BU3112">
        <v>0</v>
      </c>
      <c r="CE3112" t="str">
        <f t="shared" si="1134"/>
        <v>19:33:51.971</v>
      </c>
      <c r="CF3112">
        <v>971249078</v>
      </c>
      <c r="CS3112">
        <v>0</v>
      </c>
      <c r="CT3112">
        <v>2</v>
      </c>
      <c r="CU3112">
        <v>0</v>
      </c>
      <c r="CV3112">
        <v>2</v>
      </c>
      <c r="CW3112">
        <v>0</v>
      </c>
      <c r="CX3112">
        <v>5</v>
      </c>
      <c r="CY3112">
        <v>7</v>
      </c>
      <c r="CZ3112" t="s">
        <v>131</v>
      </c>
      <c r="DA3112">
        <v>286</v>
      </c>
      <c r="DB3112">
        <v>0</v>
      </c>
      <c r="DC3112" t="s">
        <v>132</v>
      </c>
      <c r="DD3112" t="s">
        <v>133</v>
      </c>
      <c r="DG3112">
        <v>866174</v>
      </c>
      <c r="DI3112">
        <v>1</v>
      </c>
      <c r="DJ3112">
        <v>0</v>
      </c>
      <c r="DK3112">
        <v>1</v>
      </c>
      <c r="DL3112">
        <v>0</v>
      </c>
      <c r="DM3112">
        <v>0</v>
      </c>
      <c r="DN3112">
        <v>1</v>
      </c>
      <c r="DO3112">
        <v>0</v>
      </c>
      <c r="DP3112">
        <v>0</v>
      </c>
      <c r="DQ3112">
        <v>0</v>
      </c>
      <c r="DR3112">
        <v>0</v>
      </c>
      <c r="DS3112">
        <v>0</v>
      </c>
    </row>
    <row r="3113" spans="1:123" x14ac:dyDescent="0.3">
      <c r="A3113" t="str">
        <f t="shared" si="1132"/>
        <v>10/04/2022 19:33:52.292</v>
      </c>
      <c r="C3113" t="str">
        <f t="shared" si="1135"/>
        <v>FFDFD3C0</v>
      </c>
      <c r="D3113" t="s">
        <v>141</v>
      </c>
      <c r="E3113">
        <v>3</v>
      </c>
      <c r="H3113">
        <v>3</v>
      </c>
      <c r="I3113" t="s">
        <v>146</v>
      </c>
      <c r="J3113" t="s">
        <v>138</v>
      </c>
      <c r="K3113">
        <v>0</v>
      </c>
      <c r="L3113">
        <v>3</v>
      </c>
      <c r="M3113">
        <v>0</v>
      </c>
      <c r="N3113">
        <v>2</v>
      </c>
      <c r="O3113">
        <v>0</v>
      </c>
      <c r="P3113">
        <v>1</v>
      </c>
      <c r="Q3113">
        <v>0</v>
      </c>
      <c r="S3113" t="str">
        <f t="shared" si="1133"/>
        <v>19:33:51.000</v>
      </c>
      <c r="T3113" t="str">
        <f t="shared" si="1133"/>
        <v>19:33:51.000</v>
      </c>
      <c r="U3113" t="str">
        <f t="shared" si="1123"/>
        <v>AC3944</v>
      </c>
      <c r="V3113">
        <v>0</v>
      </c>
      <c r="W3113">
        <v>0</v>
      </c>
      <c r="X3113">
        <v>2</v>
      </c>
      <c r="Y3113">
        <v>0</v>
      </c>
      <c r="AA3113">
        <v>1</v>
      </c>
      <c r="AB3113">
        <v>8</v>
      </c>
      <c r="AC3113">
        <v>3</v>
      </c>
      <c r="AD3113">
        <v>0</v>
      </c>
      <c r="AE3113">
        <v>9</v>
      </c>
      <c r="AF3113" t="s">
        <v>138</v>
      </c>
      <c r="AG3113">
        <v>0</v>
      </c>
      <c r="AH3113">
        <v>3</v>
      </c>
      <c r="AI3113">
        <v>1</v>
      </c>
      <c r="AJ3113">
        <v>0</v>
      </c>
      <c r="AK3113" t="s">
        <v>1039</v>
      </c>
      <c r="AL3113">
        <v>32.710011000000002</v>
      </c>
      <c r="AM3113" t="s">
        <v>1023</v>
      </c>
      <c r="AN3113">
        <v>-116.761022</v>
      </c>
      <c r="AO3113">
        <v>25</v>
      </c>
      <c r="AP3113">
        <v>3800</v>
      </c>
      <c r="AQ3113" t="s">
        <v>129</v>
      </c>
      <c r="AR3113">
        <v>93</v>
      </c>
      <c r="AS3113">
        <v>-96</v>
      </c>
      <c r="AT3113">
        <v>448</v>
      </c>
      <c r="BB3113">
        <v>1200</v>
      </c>
      <c r="BC3113">
        <v>1</v>
      </c>
      <c r="BD3113" t="str">
        <f t="shared" si="1124"/>
        <v xml:space="preserve">N887QR  </v>
      </c>
      <c r="BE3113">
        <v>1</v>
      </c>
      <c r="BG3113">
        <v>0</v>
      </c>
      <c r="BH3113">
        <v>0</v>
      </c>
      <c r="BI3113">
        <v>0</v>
      </c>
      <c r="BJ3113">
        <v>3575</v>
      </c>
      <c r="BK3113">
        <v>-225</v>
      </c>
      <c r="BL3113" t="s">
        <v>163</v>
      </c>
      <c r="BM3113">
        <v>1</v>
      </c>
      <c r="BN3113">
        <v>1</v>
      </c>
      <c r="BO3113">
        <v>1</v>
      </c>
      <c r="BP3113">
        <v>0</v>
      </c>
      <c r="BS3113">
        <v>0</v>
      </c>
      <c r="BT3113">
        <v>0</v>
      </c>
      <c r="BU3113">
        <v>0</v>
      </c>
      <c r="CE3113" t="str">
        <f t="shared" si="1134"/>
        <v>19:33:51.971</v>
      </c>
      <c r="CF3113">
        <v>971249078</v>
      </c>
      <c r="CS3113">
        <v>0</v>
      </c>
      <c r="CT3113">
        <v>2</v>
      </c>
      <c r="CU3113">
        <v>0</v>
      </c>
      <c r="CV3113">
        <v>2</v>
      </c>
      <c r="CW3113">
        <v>0</v>
      </c>
      <c r="CX3113">
        <v>5</v>
      </c>
      <c r="CY3113">
        <v>7</v>
      </c>
      <c r="CZ3113" t="s">
        <v>131</v>
      </c>
      <c r="DA3113">
        <v>286</v>
      </c>
      <c r="DB3113">
        <v>0</v>
      </c>
      <c r="DC3113" t="s">
        <v>132</v>
      </c>
      <c r="DD3113" t="s">
        <v>133</v>
      </c>
      <c r="DG3113">
        <v>866174</v>
      </c>
      <c r="DI3113">
        <v>1</v>
      </c>
      <c r="DJ3113">
        <v>0</v>
      </c>
      <c r="DK3113">
        <v>0</v>
      </c>
      <c r="DL3113">
        <v>0</v>
      </c>
      <c r="DM3113">
        <v>0</v>
      </c>
      <c r="DN3113">
        <v>1</v>
      </c>
      <c r="DO3113">
        <v>0</v>
      </c>
      <c r="DP3113">
        <v>0</v>
      </c>
      <c r="DQ3113">
        <v>0</v>
      </c>
      <c r="DR3113">
        <v>0</v>
      </c>
      <c r="DS3113">
        <v>0</v>
      </c>
    </row>
    <row r="3114" spans="1:123" x14ac:dyDescent="0.3">
      <c r="A3114" t="str">
        <f>"10/04/2022 19:33:53.526"</f>
        <v>10/04/2022 19:33:53.526</v>
      </c>
      <c r="C3114" t="str">
        <f t="shared" si="1135"/>
        <v>FFDFD3C0</v>
      </c>
      <c r="D3114" t="s">
        <v>141</v>
      </c>
      <c r="E3114">
        <v>4</v>
      </c>
      <c r="H3114">
        <v>4</v>
      </c>
      <c r="I3114" t="s">
        <v>142</v>
      </c>
      <c r="J3114" t="s">
        <v>138</v>
      </c>
      <c r="K3114">
        <v>0</v>
      </c>
      <c r="L3114">
        <v>3</v>
      </c>
      <c r="M3114">
        <v>0</v>
      </c>
      <c r="N3114">
        <v>2</v>
      </c>
      <c r="O3114">
        <v>0</v>
      </c>
      <c r="P3114">
        <v>1</v>
      </c>
      <c r="Q3114">
        <v>0</v>
      </c>
      <c r="S3114" t="str">
        <f t="shared" ref="S3114:T3127" si="1136">"19:33:53.000"</f>
        <v>19:33:53.000</v>
      </c>
      <c r="T3114" t="str">
        <f t="shared" si="1136"/>
        <v>19:33:53.000</v>
      </c>
      <c r="U3114" t="str">
        <f t="shared" si="1123"/>
        <v>AC3944</v>
      </c>
      <c r="V3114">
        <v>0</v>
      </c>
      <c r="W3114">
        <v>0</v>
      </c>
      <c r="X3114">
        <v>2</v>
      </c>
      <c r="Y3114">
        <v>0</v>
      </c>
      <c r="AA3114">
        <v>1</v>
      </c>
      <c r="AB3114">
        <v>8</v>
      </c>
      <c r="AC3114">
        <v>3</v>
      </c>
      <c r="AD3114">
        <v>0</v>
      </c>
      <c r="AE3114">
        <v>9</v>
      </c>
      <c r="AF3114" t="s">
        <v>138</v>
      </c>
      <c r="AG3114">
        <v>0</v>
      </c>
      <c r="AH3114">
        <v>3</v>
      </c>
      <c r="AI3114">
        <v>1</v>
      </c>
      <c r="AJ3114">
        <v>0</v>
      </c>
      <c r="AK3114" t="s">
        <v>1040</v>
      </c>
      <c r="AL3114">
        <v>32.709560000000003</v>
      </c>
      <c r="AM3114" t="s">
        <v>1041</v>
      </c>
      <c r="AN3114">
        <v>-116.760507</v>
      </c>
      <c r="AO3114">
        <v>25</v>
      </c>
      <c r="AP3114">
        <v>3800</v>
      </c>
      <c r="AQ3114" t="s">
        <v>129</v>
      </c>
      <c r="AR3114">
        <v>108</v>
      </c>
      <c r="AS3114">
        <v>-82</v>
      </c>
      <c r="AT3114">
        <v>0</v>
      </c>
      <c r="BB3114">
        <v>1200</v>
      </c>
      <c r="BC3114">
        <v>1</v>
      </c>
      <c r="BD3114" t="str">
        <f t="shared" si="1124"/>
        <v xml:space="preserve">N887QR  </v>
      </c>
      <c r="BE3114">
        <v>1</v>
      </c>
      <c r="BG3114">
        <v>0</v>
      </c>
      <c r="BH3114">
        <v>0</v>
      </c>
      <c r="BI3114">
        <v>0</v>
      </c>
      <c r="BJ3114">
        <v>3575</v>
      </c>
      <c r="BK3114">
        <v>-225</v>
      </c>
      <c r="BL3114" t="s">
        <v>163</v>
      </c>
      <c r="BM3114">
        <v>1</v>
      </c>
      <c r="BN3114">
        <v>1</v>
      </c>
      <c r="BO3114">
        <v>1</v>
      </c>
      <c r="BP3114">
        <v>0</v>
      </c>
      <c r="BS3114">
        <v>0</v>
      </c>
      <c r="BT3114">
        <v>0</v>
      </c>
      <c r="BU3114">
        <v>0</v>
      </c>
      <c r="CE3114" t="str">
        <f t="shared" ref="CE3114:CE3120" si="1137">"19:33:53.137"</f>
        <v>19:33:53.137</v>
      </c>
      <c r="CF3114">
        <v>137331610</v>
      </c>
      <c r="CS3114">
        <v>0</v>
      </c>
      <c r="CT3114">
        <v>2</v>
      </c>
      <c r="CU3114">
        <v>0</v>
      </c>
      <c r="CV3114">
        <v>2</v>
      </c>
      <c r="CW3114">
        <v>0</v>
      </c>
      <c r="CX3114">
        <v>3</v>
      </c>
      <c r="CY3114">
        <v>7</v>
      </c>
      <c r="CZ3114" t="s">
        <v>131</v>
      </c>
      <c r="DA3114">
        <v>300</v>
      </c>
      <c r="DB3114">
        <v>0</v>
      </c>
      <c r="DC3114" t="s">
        <v>176</v>
      </c>
      <c r="DD3114" t="s">
        <v>177</v>
      </c>
      <c r="DG3114">
        <v>5429929</v>
      </c>
      <c r="DI3114">
        <v>1</v>
      </c>
      <c r="DJ3114">
        <v>0</v>
      </c>
      <c r="DK3114">
        <v>0</v>
      </c>
      <c r="DL3114">
        <v>0</v>
      </c>
      <c r="DM3114">
        <v>0</v>
      </c>
      <c r="DN3114">
        <v>1</v>
      </c>
      <c r="DO3114">
        <v>0</v>
      </c>
      <c r="DP3114">
        <v>0</v>
      </c>
      <c r="DQ3114">
        <v>0</v>
      </c>
      <c r="DR3114">
        <v>0</v>
      </c>
      <c r="DS3114">
        <v>0</v>
      </c>
    </row>
    <row r="3115" spans="1:123" x14ac:dyDescent="0.3">
      <c r="A3115" t="str">
        <f>"10/04/2022 19:33:53.542"</f>
        <v>10/04/2022 19:33:53.542</v>
      </c>
      <c r="C3115" t="str">
        <f t="shared" si="1135"/>
        <v>FFDFD3C0</v>
      </c>
      <c r="D3115" t="s">
        <v>143</v>
      </c>
      <c r="E3115">
        <v>20</v>
      </c>
      <c r="F3115">
        <v>1020</v>
      </c>
      <c r="G3115" t="s">
        <v>144</v>
      </c>
      <c r="J3115" t="s">
        <v>145</v>
      </c>
      <c r="K3115">
        <v>0</v>
      </c>
      <c r="L3115">
        <v>3</v>
      </c>
      <c r="M3115">
        <v>0</v>
      </c>
      <c r="N3115">
        <v>2</v>
      </c>
      <c r="O3115">
        <v>0</v>
      </c>
      <c r="P3115">
        <v>1</v>
      </c>
      <c r="Q3115">
        <v>0</v>
      </c>
      <c r="S3115" t="str">
        <f t="shared" si="1136"/>
        <v>19:33:53.000</v>
      </c>
      <c r="T3115" t="str">
        <f t="shared" si="1136"/>
        <v>19:33:53.000</v>
      </c>
      <c r="U3115" t="str">
        <f t="shared" si="1123"/>
        <v>AC3944</v>
      </c>
      <c r="V3115">
        <v>0</v>
      </c>
      <c r="W3115">
        <v>0</v>
      </c>
      <c r="X3115">
        <v>2</v>
      </c>
      <c r="Y3115">
        <v>0</v>
      </c>
      <c r="AA3115">
        <v>1</v>
      </c>
      <c r="AB3115">
        <v>8</v>
      </c>
      <c r="AC3115">
        <v>3</v>
      </c>
      <c r="AD3115">
        <v>0</v>
      </c>
      <c r="AE3115">
        <v>9</v>
      </c>
      <c r="AF3115" t="s">
        <v>138</v>
      </c>
      <c r="AG3115">
        <v>0</v>
      </c>
      <c r="AH3115">
        <v>3</v>
      </c>
      <c r="AI3115">
        <v>1</v>
      </c>
      <c r="AJ3115">
        <v>0</v>
      </c>
      <c r="AK3115" t="s">
        <v>1040</v>
      </c>
      <c r="AL3115">
        <v>32.709560000000003</v>
      </c>
      <c r="AM3115" t="s">
        <v>1041</v>
      </c>
      <c r="AN3115">
        <v>-116.760507</v>
      </c>
      <c r="AO3115">
        <v>25</v>
      </c>
      <c r="AP3115">
        <v>3800</v>
      </c>
      <c r="AQ3115" t="s">
        <v>129</v>
      </c>
      <c r="AR3115">
        <v>108</v>
      </c>
      <c r="AS3115">
        <v>-82</v>
      </c>
      <c r="AT3115">
        <v>0</v>
      </c>
      <c r="BB3115">
        <v>1200</v>
      </c>
      <c r="BC3115">
        <v>1</v>
      </c>
      <c r="BD3115" t="str">
        <f t="shared" si="1124"/>
        <v xml:space="preserve">N887QR  </v>
      </c>
      <c r="BE3115">
        <v>1</v>
      </c>
      <c r="BG3115">
        <v>0</v>
      </c>
      <c r="BH3115">
        <v>0</v>
      </c>
      <c r="BI3115">
        <v>0</v>
      </c>
      <c r="BJ3115">
        <v>3575</v>
      </c>
      <c r="BK3115">
        <v>-225</v>
      </c>
      <c r="BL3115" t="s">
        <v>163</v>
      </c>
      <c r="BM3115">
        <v>1</v>
      </c>
      <c r="BN3115">
        <v>1</v>
      </c>
      <c r="BO3115">
        <v>1</v>
      </c>
      <c r="BP3115">
        <v>0</v>
      </c>
      <c r="BS3115">
        <v>0</v>
      </c>
      <c r="BT3115">
        <v>0</v>
      </c>
      <c r="BU3115">
        <v>0</v>
      </c>
      <c r="CE3115" t="str">
        <f t="shared" si="1137"/>
        <v>19:33:53.137</v>
      </c>
      <c r="CF3115">
        <v>137331610</v>
      </c>
      <c r="CS3115">
        <v>0</v>
      </c>
      <c r="CT3115">
        <v>2</v>
      </c>
      <c r="CU3115">
        <v>0</v>
      </c>
      <c r="CV3115">
        <v>2</v>
      </c>
      <c r="CW3115">
        <v>0</v>
      </c>
      <c r="CX3115">
        <v>3</v>
      </c>
      <c r="CY3115">
        <v>7</v>
      </c>
      <c r="CZ3115" t="s">
        <v>131</v>
      </c>
      <c r="DA3115">
        <v>300</v>
      </c>
      <c r="DB3115">
        <v>0</v>
      </c>
      <c r="DC3115" t="s">
        <v>176</v>
      </c>
      <c r="DD3115" t="s">
        <v>177</v>
      </c>
      <c r="DG3115">
        <v>5429929</v>
      </c>
      <c r="DI3115">
        <v>1</v>
      </c>
      <c r="DJ3115">
        <v>0</v>
      </c>
      <c r="DK3115">
        <v>1</v>
      </c>
      <c r="DL3115">
        <v>0</v>
      </c>
      <c r="DM3115">
        <v>0</v>
      </c>
      <c r="DN3115">
        <v>1</v>
      </c>
      <c r="DO3115">
        <v>0</v>
      </c>
      <c r="DP3115">
        <v>0</v>
      </c>
      <c r="DQ3115">
        <v>0</v>
      </c>
      <c r="DR3115">
        <v>0</v>
      </c>
      <c r="DS3115">
        <v>0</v>
      </c>
    </row>
    <row r="3116" spans="1:123" x14ac:dyDescent="0.3">
      <c r="A3116" t="str">
        <f>"10/04/2022 19:33:53.526"</f>
        <v>10/04/2022 19:33:53.526</v>
      </c>
      <c r="C3116" t="str">
        <f t="shared" si="1135"/>
        <v>FFDFD3C0</v>
      </c>
      <c r="D3116" t="s">
        <v>141</v>
      </c>
      <c r="E3116">
        <v>3</v>
      </c>
      <c r="H3116">
        <v>3</v>
      </c>
      <c r="I3116" t="s">
        <v>146</v>
      </c>
      <c r="J3116" t="s">
        <v>138</v>
      </c>
      <c r="K3116">
        <v>0</v>
      </c>
      <c r="L3116">
        <v>3</v>
      </c>
      <c r="M3116">
        <v>0</v>
      </c>
      <c r="N3116">
        <v>2</v>
      </c>
      <c r="O3116">
        <v>0</v>
      </c>
      <c r="P3116">
        <v>1</v>
      </c>
      <c r="Q3116">
        <v>0</v>
      </c>
      <c r="S3116" t="str">
        <f t="shared" si="1136"/>
        <v>19:33:53.000</v>
      </c>
      <c r="T3116" t="str">
        <f t="shared" si="1136"/>
        <v>19:33:53.000</v>
      </c>
      <c r="U3116" t="str">
        <f t="shared" si="1123"/>
        <v>AC3944</v>
      </c>
      <c r="V3116">
        <v>0</v>
      </c>
      <c r="W3116">
        <v>0</v>
      </c>
      <c r="X3116">
        <v>2</v>
      </c>
      <c r="Y3116">
        <v>0</v>
      </c>
      <c r="AA3116">
        <v>1</v>
      </c>
      <c r="AB3116">
        <v>8</v>
      </c>
      <c r="AC3116">
        <v>3</v>
      </c>
      <c r="AD3116">
        <v>0</v>
      </c>
      <c r="AE3116">
        <v>9</v>
      </c>
      <c r="AF3116" t="s">
        <v>138</v>
      </c>
      <c r="AG3116">
        <v>0</v>
      </c>
      <c r="AH3116">
        <v>3</v>
      </c>
      <c r="AI3116">
        <v>1</v>
      </c>
      <c r="AJ3116">
        <v>0</v>
      </c>
      <c r="AK3116" t="s">
        <v>1040</v>
      </c>
      <c r="AL3116">
        <v>32.709560000000003</v>
      </c>
      <c r="AM3116" t="s">
        <v>1041</v>
      </c>
      <c r="AN3116">
        <v>-116.760507</v>
      </c>
      <c r="AO3116">
        <v>25</v>
      </c>
      <c r="AP3116">
        <v>3800</v>
      </c>
      <c r="AQ3116" t="s">
        <v>129</v>
      </c>
      <c r="AR3116">
        <v>108</v>
      </c>
      <c r="AS3116">
        <v>-82</v>
      </c>
      <c r="AT3116">
        <v>0</v>
      </c>
      <c r="BB3116">
        <v>1200</v>
      </c>
      <c r="BC3116">
        <v>1</v>
      </c>
      <c r="BD3116" t="str">
        <f t="shared" si="1124"/>
        <v xml:space="preserve">N887QR  </v>
      </c>
      <c r="BE3116">
        <v>1</v>
      </c>
      <c r="BG3116">
        <v>0</v>
      </c>
      <c r="BH3116">
        <v>0</v>
      </c>
      <c r="BI3116">
        <v>0</v>
      </c>
      <c r="BJ3116">
        <v>3575</v>
      </c>
      <c r="BK3116">
        <v>-225</v>
      </c>
      <c r="BL3116" t="s">
        <v>163</v>
      </c>
      <c r="BM3116">
        <v>1</v>
      </c>
      <c r="BN3116">
        <v>1</v>
      </c>
      <c r="BO3116">
        <v>1</v>
      </c>
      <c r="BP3116">
        <v>0</v>
      </c>
      <c r="BS3116">
        <v>0</v>
      </c>
      <c r="BT3116">
        <v>0</v>
      </c>
      <c r="BU3116">
        <v>0</v>
      </c>
      <c r="CE3116" t="str">
        <f t="shared" si="1137"/>
        <v>19:33:53.137</v>
      </c>
      <c r="CF3116">
        <v>137331610</v>
      </c>
      <c r="CS3116">
        <v>0</v>
      </c>
      <c r="CT3116">
        <v>2</v>
      </c>
      <c r="CU3116">
        <v>0</v>
      </c>
      <c r="CV3116">
        <v>2</v>
      </c>
      <c r="CW3116">
        <v>0</v>
      </c>
      <c r="CX3116">
        <v>3</v>
      </c>
      <c r="CY3116">
        <v>7</v>
      </c>
      <c r="CZ3116" t="s">
        <v>131</v>
      </c>
      <c r="DA3116">
        <v>300</v>
      </c>
      <c r="DB3116">
        <v>0</v>
      </c>
      <c r="DC3116" t="s">
        <v>176</v>
      </c>
      <c r="DD3116" t="s">
        <v>177</v>
      </c>
      <c r="DG3116">
        <v>5429929</v>
      </c>
      <c r="DI3116">
        <v>1</v>
      </c>
      <c r="DJ3116">
        <v>0</v>
      </c>
      <c r="DK3116">
        <v>1</v>
      </c>
      <c r="DL3116">
        <v>0</v>
      </c>
      <c r="DM3116">
        <v>0</v>
      </c>
      <c r="DN3116">
        <v>1</v>
      </c>
      <c r="DO3116">
        <v>0</v>
      </c>
      <c r="DP3116">
        <v>0</v>
      </c>
      <c r="DQ3116">
        <v>0</v>
      </c>
      <c r="DR3116">
        <v>0</v>
      </c>
      <c r="DS3116">
        <v>0</v>
      </c>
    </row>
    <row r="3117" spans="1:123" x14ac:dyDescent="0.3">
      <c r="A3117" t="str">
        <f>"10/04/2022 19:33:53.542"</f>
        <v>10/04/2022 19:33:53.542</v>
      </c>
      <c r="C3117" t="str">
        <f t="shared" si="1135"/>
        <v>FFDFD3C0</v>
      </c>
      <c r="D3117" t="s">
        <v>136</v>
      </c>
      <c r="E3117">
        <v>8</v>
      </c>
      <c r="H3117">
        <v>225</v>
      </c>
      <c r="I3117" t="s">
        <v>137</v>
      </c>
      <c r="J3117" t="s">
        <v>138</v>
      </c>
      <c r="K3117">
        <v>0</v>
      </c>
      <c r="L3117">
        <v>3</v>
      </c>
      <c r="M3117">
        <v>0</v>
      </c>
      <c r="N3117">
        <v>2</v>
      </c>
      <c r="O3117">
        <v>0</v>
      </c>
      <c r="P3117">
        <v>1</v>
      </c>
      <c r="Q3117">
        <v>0</v>
      </c>
      <c r="S3117" t="str">
        <f t="shared" si="1136"/>
        <v>19:33:53.000</v>
      </c>
      <c r="T3117" t="str">
        <f t="shared" si="1136"/>
        <v>19:33:53.000</v>
      </c>
      <c r="U3117" t="str">
        <f t="shared" si="1123"/>
        <v>AC3944</v>
      </c>
      <c r="V3117">
        <v>0</v>
      </c>
      <c r="W3117">
        <v>0</v>
      </c>
      <c r="X3117">
        <v>2</v>
      </c>
      <c r="Y3117">
        <v>0</v>
      </c>
      <c r="AA3117">
        <v>1</v>
      </c>
      <c r="AB3117">
        <v>8</v>
      </c>
      <c r="AC3117">
        <v>3</v>
      </c>
      <c r="AD3117">
        <v>0</v>
      </c>
      <c r="AE3117">
        <v>9</v>
      </c>
      <c r="AF3117" t="s">
        <v>138</v>
      </c>
      <c r="AG3117">
        <v>0</v>
      </c>
      <c r="AH3117">
        <v>3</v>
      </c>
      <c r="AI3117">
        <v>1</v>
      </c>
      <c r="AJ3117">
        <v>0</v>
      </c>
      <c r="AK3117" t="s">
        <v>1040</v>
      </c>
      <c r="AL3117">
        <v>32.709560000000003</v>
      </c>
      <c r="AM3117" t="s">
        <v>1041</v>
      </c>
      <c r="AN3117">
        <v>-116.760507</v>
      </c>
      <c r="AO3117">
        <v>25</v>
      </c>
      <c r="AP3117">
        <v>3800</v>
      </c>
      <c r="AQ3117" t="s">
        <v>129</v>
      </c>
      <c r="AR3117">
        <v>108</v>
      </c>
      <c r="AS3117">
        <v>-82</v>
      </c>
      <c r="AT3117">
        <v>0</v>
      </c>
      <c r="BB3117">
        <v>1200</v>
      </c>
      <c r="BC3117">
        <v>1</v>
      </c>
      <c r="BD3117" t="str">
        <f t="shared" si="1124"/>
        <v xml:space="preserve">N887QR  </v>
      </c>
      <c r="BE3117">
        <v>1</v>
      </c>
      <c r="BG3117">
        <v>0</v>
      </c>
      <c r="BH3117">
        <v>0</v>
      </c>
      <c r="BI3117">
        <v>0</v>
      </c>
      <c r="BJ3117">
        <v>3575</v>
      </c>
      <c r="BK3117">
        <v>-225</v>
      </c>
      <c r="BL3117" t="s">
        <v>163</v>
      </c>
      <c r="BM3117">
        <v>1</v>
      </c>
      <c r="BN3117">
        <v>1</v>
      </c>
      <c r="BO3117">
        <v>1</v>
      </c>
      <c r="BP3117">
        <v>0</v>
      </c>
      <c r="BS3117">
        <v>0</v>
      </c>
      <c r="BT3117">
        <v>0</v>
      </c>
      <c r="BU3117">
        <v>0</v>
      </c>
      <c r="CE3117" t="str">
        <f t="shared" si="1137"/>
        <v>19:33:53.137</v>
      </c>
      <c r="CF3117">
        <v>137331610</v>
      </c>
      <c r="CS3117">
        <v>0</v>
      </c>
      <c r="CT3117">
        <v>2</v>
      </c>
      <c r="CU3117">
        <v>0</v>
      </c>
      <c r="CV3117">
        <v>2</v>
      </c>
      <c r="CW3117">
        <v>0</v>
      </c>
      <c r="CX3117">
        <v>3</v>
      </c>
      <c r="CY3117">
        <v>7</v>
      </c>
      <c r="CZ3117" t="s">
        <v>131</v>
      </c>
      <c r="DA3117">
        <v>300</v>
      </c>
      <c r="DB3117">
        <v>0</v>
      </c>
      <c r="DC3117" t="s">
        <v>176</v>
      </c>
      <c r="DD3117" t="s">
        <v>177</v>
      </c>
      <c r="DG3117">
        <v>5429929</v>
      </c>
      <c r="DI3117">
        <v>1</v>
      </c>
      <c r="DJ3117">
        <v>0</v>
      </c>
      <c r="DK3117">
        <v>1</v>
      </c>
      <c r="DL3117">
        <v>0</v>
      </c>
      <c r="DM3117">
        <v>0</v>
      </c>
      <c r="DN3117">
        <v>1</v>
      </c>
      <c r="DO3117">
        <v>0</v>
      </c>
      <c r="DP3117">
        <v>0</v>
      </c>
      <c r="DQ3117">
        <v>0</v>
      </c>
      <c r="DR3117">
        <v>0</v>
      </c>
      <c r="DS3117">
        <v>0</v>
      </c>
    </row>
    <row r="3118" spans="1:123" x14ac:dyDescent="0.3">
      <c r="A3118" t="str">
        <f>"10/04/2022 19:33:53.542"</f>
        <v>10/04/2022 19:33:53.542</v>
      </c>
      <c r="C3118" t="str">
        <f t="shared" si="1135"/>
        <v>FFDFD3C0</v>
      </c>
      <c r="D3118" t="s">
        <v>123</v>
      </c>
      <c r="E3118">
        <v>7</v>
      </c>
      <c r="F3118">
        <v>2007</v>
      </c>
      <c r="G3118" t="s">
        <v>124</v>
      </c>
      <c r="J3118" t="s">
        <v>125</v>
      </c>
      <c r="K3118">
        <v>0</v>
      </c>
      <c r="L3118">
        <v>3</v>
      </c>
      <c r="M3118">
        <v>0</v>
      </c>
      <c r="N3118">
        <v>2</v>
      </c>
      <c r="O3118">
        <v>0</v>
      </c>
      <c r="P3118">
        <v>1</v>
      </c>
      <c r="Q3118">
        <v>0</v>
      </c>
      <c r="S3118" t="str">
        <f t="shared" si="1136"/>
        <v>19:33:53.000</v>
      </c>
      <c r="T3118" t="str">
        <f t="shared" si="1136"/>
        <v>19:33:53.000</v>
      </c>
      <c r="U3118" t="str">
        <f t="shared" si="1123"/>
        <v>AC3944</v>
      </c>
      <c r="V3118">
        <v>0</v>
      </c>
      <c r="W3118">
        <v>0</v>
      </c>
      <c r="X3118">
        <v>2</v>
      </c>
      <c r="Y3118">
        <v>0</v>
      </c>
      <c r="AA3118">
        <v>1</v>
      </c>
      <c r="AB3118">
        <v>8</v>
      </c>
      <c r="AC3118">
        <v>3</v>
      </c>
      <c r="AD3118">
        <v>0</v>
      </c>
      <c r="AE3118">
        <v>9</v>
      </c>
      <c r="AF3118" t="s">
        <v>138</v>
      </c>
      <c r="AG3118">
        <v>0</v>
      </c>
      <c r="AH3118">
        <v>3</v>
      </c>
      <c r="AI3118">
        <v>1</v>
      </c>
      <c r="AJ3118">
        <v>0</v>
      </c>
      <c r="AK3118" t="s">
        <v>1040</v>
      </c>
      <c r="AL3118">
        <v>32.709560000000003</v>
      </c>
      <c r="AM3118" t="s">
        <v>1041</v>
      </c>
      <c r="AN3118">
        <v>-116.760507</v>
      </c>
      <c r="AO3118">
        <v>25</v>
      </c>
      <c r="AP3118">
        <v>3800</v>
      </c>
      <c r="AQ3118" t="s">
        <v>129</v>
      </c>
      <c r="AR3118">
        <v>108</v>
      </c>
      <c r="AS3118">
        <v>-82</v>
      </c>
      <c r="AT3118">
        <v>0</v>
      </c>
      <c r="BB3118">
        <v>1200</v>
      </c>
      <c r="BC3118">
        <v>1</v>
      </c>
      <c r="BD3118" t="str">
        <f t="shared" si="1124"/>
        <v xml:space="preserve">N887QR  </v>
      </c>
      <c r="BE3118">
        <v>1</v>
      </c>
      <c r="BG3118">
        <v>0</v>
      </c>
      <c r="BH3118">
        <v>0</v>
      </c>
      <c r="BI3118">
        <v>0</v>
      </c>
      <c r="BJ3118">
        <v>3575</v>
      </c>
      <c r="BK3118">
        <v>-225</v>
      </c>
      <c r="BL3118" t="s">
        <v>163</v>
      </c>
      <c r="BM3118">
        <v>1</v>
      </c>
      <c r="BN3118">
        <v>1</v>
      </c>
      <c r="BO3118">
        <v>1</v>
      </c>
      <c r="BP3118">
        <v>0</v>
      </c>
      <c r="BS3118">
        <v>0</v>
      </c>
      <c r="BT3118">
        <v>0</v>
      </c>
      <c r="BU3118">
        <v>0</v>
      </c>
      <c r="CE3118" t="str">
        <f t="shared" si="1137"/>
        <v>19:33:53.137</v>
      </c>
      <c r="CF3118">
        <v>137331610</v>
      </c>
      <c r="CS3118">
        <v>0</v>
      </c>
      <c r="CT3118">
        <v>2</v>
      </c>
      <c r="CU3118">
        <v>0</v>
      </c>
      <c r="CV3118">
        <v>2</v>
      </c>
      <c r="CW3118">
        <v>0</v>
      </c>
      <c r="CX3118">
        <v>3</v>
      </c>
      <c r="CY3118">
        <v>7</v>
      </c>
      <c r="CZ3118" t="s">
        <v>131</v>
      </c>
      <c r="DA3118">
        <v>300</v>
      </c>
      <c r="DB3118">
        <v>0</v>
      </c>
      <c r="DC3118" t="s">
        <v>176</v>
      </c>
      <c r="DD3118" t="s">
        <v>177</v>
      </c>
      <c r="DG3118">
        <v>5429929</v>
      </c>
      <c r="DI3118">
        <v>1</v>
      </c>
      <c r="DJ3118">
        <v>0</v>
      </c>
      <c r="DK3118">
        <v>0</v>
      </c>
      <c r="DL3118">
        <v>0</v>
      </c>
      <c r="DM3118">
        <v>0</v>
      </c>
      <c r="DN3118">
        <v>1</v>
      </c>
      <c r="DO3118">
        <v>0</v>
      </c>
      <c r="DP3118">
        <v>0</v>
      </c>
      <c r="DQ3118">
        <v>0</v>
      </c>
      <c r="DR3118">
        <v>0</v>
      </c>
      <c r="DS3118">
        <v>0</v>
      </c>
    </row>
    <row r="3119" spans="1:123" x14ac:dyDescent="0.3">
      <c r="A3119" t="str">
        <f>"10/04/2022 19:33:53.542"</f>
        <v>10/04/2022 19:33:53.542</v>
      </c>
      <c r="C3119" t="str">
        <f t="shared" si="1135"/>
        <v>FFDFD3C0</v>
      </c>
      <c r="D3119" t="s">
        <v>134</v>
      </c>
      <c r="E3119">
        <v>15</v>
      </c>
      <c r="J3119" t="s">
        <v>135</v>
      </c>
      <c r="K3119">
        <v>0</v>
      </c>
      <c r="L3119">
        <v>3</v>
      </c>
      <c r="M3119">
        <v>0</v>
      </c>
      <c r="N3119">
        <v>2</v>
      </c>
      <c r="O3119">
        <v>0</v>
      </c>
      <c r="P3119">
        <v>1</v>
      </c>
      <c r="Q3119">
        <v>0</v>
      </c>
      <c r="S3119" t="str">
        <f t="shared" si="1136"/>
        <v>19:33:53.000</v>
      </c>
      <c r="T3119" t="str">
        <f t="shared" si="1136"/>
        <v>19:33:53.000</v>
      </c>
      <c r="U3119" t="str">
        <f t="shared" si="1123"/>
        <v>AC3944</v>
      </c>
      <c r="V3119">
        <v>0</v>
      </c>
      <c r="W3119">
        <v>0</v>
      </c>
      <c r="X3119">
        <v>2</v>
      </c>
      <c r="Y3119">
        <v>0</v>
      </c>
      <c r="AA3119">
        <v>1</v>
      </c>
      <c r="AB3119">
        <v>8</v>
      </c>
      <c r="AC3119">
        <v>3</v>
      </c>
      <c r="AD3119">
        <v>0</v>
      </c>
      <c r="AE3119">
        <v>9</v>
      </c>
      <c r="AF3119" t="s">
        <v>138</v>
      </c>
      <c r="AG3119">
        <v>0</v>
      </c>
      <c r="AH3119">
        <v>3</v>
      </c>
      <c r="AI3119">
        <v>1</v>
      </c>
      <c r="AJ3119">
        <v>0</v>
      </c>
      <c r="AK3119" t="s">
        <v>1040</v>
      </c>
      <c r="AL3119">
        <v>32.709560000000003</v>
      </c>
      <c r="AM3119" t="s">
        <v>1041</v>
      </c>
      <c r="AN3119">
        <v>-116.760507</v>
      </c>
      <c r="AO3119">
        <v>25</v>
      </c>
      <c r="AP3119">
        <v>3800</v>
      </c>
      <c r="AQ3119" t="s">
        <v>129</v>
      </c>
      <c r="AR3119">
        <v>108</v>
      </c>
      <c r="AS3119">
        <v>-82</v>
      </c>
      <c r="AT3119">
        <v>0</v>
      </c>
      <c r="BB3119">
        <v>1200</v>
      </c>
      <c r="BC3119">
        <v>1</v>
      </c>
      <c r="BD3119" t="str">
        <f t="shared" si="1124"/>
        <v xml:space="preserve">N887QR  </v>
      </c>
      <c r="BE3119">
        <v>1</v>
      </c>
      <c r="BG3119">
        <v>0</v>
      </c>
      <c r="BH3119">
        <v>0</v>
      </c>
      <c r="BI3119">
        <v>0</v>
      </c>
      <c r="BJ3119">
        <v>3575</v>
      </c>
      <c r="BK3119">
        <v>-225</v>
      </c>
      <c r="BL3119" t="s">
        <v>163</v>
      </c>
      <c r="BM3119">
        <v>1</v>
      </c>
      <c r="BN3119">
        <v>1</v>
      </c>
      <c r="BO3119">
        <v>1</v>
      </c>
      <c r="BP3119">
        <v>0</v>
      </c>
      <c r="BS3119">
        <v>0</v>
      </c>
      <c r="BT3119">
        <v>0</v>
      </c>
      <c r="BU3119">
        <v>0</v>
      </c>
      <c r="CE3119" t="str">
        <f t="shared" si="1137"/>
        <v>19:33:53.137</v>
      </c>
      <c r="CF3119">
        <v>137331610</v>
      </c>
      <c r="CS3119">
        <v>0</v>
      </c>
      <c r="CT3119">
        <v>2</v>
      </c>
      <c r="CU3119">
        <v>0</v>
      </c>
      <c r="CV3119">
        <v>2</v>
      </c>
      <c r="CW3119">
        <v>0</v>
      </c>
      <c r="CX3119">
        <v>3</v>
      </c>
      <c r="CY3119">
        <v>7</v>
      </c>
      <c r="CZ3119" t="s">
        <v>131</v>
      </c>
      <c r="DA3119">
        <v>300</v>
      </c>
      <c r="DB3119">
        <v>0</v>
      </c>
      <c r="DC3119" t="s">
        <v>176</v>
      </c>
      <c r="DD3119" t="s">
        <v>177</v>
      </c>
      <c r="DG3119">
        <v>5429929</v>
      </c>
      <c r="DI3119">
        <v>1</v>
      </c>
      <c r="DJ3119">
        <v>0</v>
      </c>
      <c r="DK3119">
        <v>1</v>
      </c>
      <c r="DL3119">
        <v>0</v>
      </c>
      <c r="DM3119">
        <v>0</v>
      </c>
      <c r="DN3119">
        <v>1</v>
      </c>
      <c r="DO3119">
        <v>0</v>
      </c>
      <c r="DP3119">
        <v>0</v>
      </c>
      <c r="DQ3119">
        <v>0</v>
      </c>
      <c r="DR3119">
        <v>0</v>
      </c>
      <c r="DS3119">
        <v>0</v>
      </c>
    </row>
    <row r="3120" spans="1:123" x14ac:dyDescent="0.3">
      <c r="A3120" t="str">
        <f>"10/04/2022 19:33:53.542"</f>
        <v>10/04/2022 19:33:53.542</v>
      </c>
      <c r="C3120" t="str">
        <f t="shared" si="1135"/>
        <v>FFDFD3C0</v>
      </c>
      <c r="D3120" t="s">
        <v>147</v>
      </c>
      <c r="E3120">
        <v>3</v>
      </c>
      <c r="H3120">
        <v>166</v>
      </c>
      <c r="I3120" t="s">
        <v>144</v>
      </c>
      <c r="J3120" t="s">
        <v>148</v>
      </c>
      <c r="K3120">
        <v>0</v>
      </c>
      <c r="L3120">
        <v>3</v>
      </c>
      <c r="M3120">
        <v>0</v>
      </c>
      <c r="N3120">
        <v>2</v>
      </c>
      <c r="O3120">
        <v>0</v>
      </c>
      <c r="P3120">
        <v>1</v>
      </c>
      <c r="Q3120">
        <v>0</v>
      </c>
      <c r="S3120" t="str">
        <f t="shared" si="1136"/>
        <v>19:33:53.000</v>
      </c>
      <c r="T3120" t="str">
        <f t="shared" si="1136"/>
        <v>19:33:53.000</v>
      </c>
      <c r="U3120" t="str">
        <f t="shared" si="1123"/>
        <v>AC3944</v>
      </c>
      <c r="V3120">
        <v>0</v>
      </c>
      <c r="W3120">
        <v>0</v>
      </c>
      <c r="X3120">
        <v>2</v>
      </c>
      <c r="Y3120">
        <v>0</v>
      </c>
      <c r="AA3120">
        <v>1</v>
      </c>
      <c r="AB3120">
        <v>8</v>
      </c>
      <c r="AC3120">
        <v>3</v>
      </c>
      <c r="AD3120">
        <v>0</v>
      </c>
      <c r="AE3120">
        <v>9</v>
      </c>
      <c r="AF3120" t="s">
        <v>138</v>
      </c>
      <c r="AG3120">
        <v>0</v>
      </c>
      <c r="AH3120">
        <v>3</v>
      </c>
      <c r="AI3120">
        <v>1</v>
      </c>
      <c r="AJ3120">
        <v>0</v>
      </c>
      <c r="AK3120" t="s">
        <v>1040</v>
      </c>
      <c r="AL3120">
        <v>32.709560000000003</v>
      </c>
      <c r="AM3120" t="s">
        <v>1041</v>
      </c>
      <c r="AN3120">
        <v>-116.760507</v>
      </c>
      <c r="AO3120">
        <v>25</v>
      </c>
      <c r="AP3120">
        <v>3800</v>
      </c>
      <c r="AQ3120" t="s">
        <v>129</v>
      </c>
      <c r="AR3120">
        <v>108</v>
      </c>
      <c r="AS3120">
        <v>-82</v>
      </c>
      <c r="AT3120">
        <v>0</v>
      </c>
      <c r="BB3120">
        <v>1200</v>
      </c>
      <c r="BC3120">
        <v>1</v>
      </c>
      <c r="BD3120" t="str">
        <f t="shared" si="1124"/>
        <v xml:space="preserve">N887QR  </v>
      </c>
      <c r="BE3120">
        <v>1</v>
      </c>
      <c r="BG3120">
        <v>0</v>
      </c>
      <c r="BH3120">
        <v>0</v>
      </c>
      <c r="BI3120">
        <v>0</v>
      </c>
      <c r="BJ3120">
        <v>3575</v>
      </c>
      <c r="BK3120">
        <v>-225</v>
      </c>
      <c r="BL3120" t="s">
        <v>163</v>
      </c>
      <c r="BM3120">
        <v>1</v>
      </c>
      <c r="BN3120">
        <v>1</v>
      </c>
      <c r="BO3120">
        <v>1</v>
      </c>
      <c r="BP3120">
        <v>0</v>
      </c>
      <c r="BS3120">
        <v>0</v>
      </c>
      <c r="BT3120">
        <v>0</v>
      </c>
      <c r="BU3120">
        <v>0</v>
      </c>
      <c r="CE3120" t="str">
        <f t="shared" si="1137"/>
        <v>19:33:53.137</v>
      </c>
      <c r="CF3120">
        <v>137331610</v>
      </c>
      <c r="CS3120">
        <v>0</v>
      </c>
      <c r="CT3120">
        <v>2</v>
      </c>
      <c r="CU3120">
        <v>0</v>
      </c>
      <c r="CV3120">
        <v>2</v>
      </c>
      <c r="CW3120">
        <v>0</v>
      </c>
      <c r="CX3120">
        <v>3</v>
      </c>
      <c r="CY3120">
        <v>7</v>
      </c>
      <c r="CZ3120" t="s">
        <v>131</v>
      </c>
      <c r="DA3120">
        <v>300</v>
      </c>
      <c r="DB3120">
        <v>0</v>
      </c>
      <c r="DC3120" t="s">
        <v>176</v>
      </c>
      <c r="DD3120" t="s">
        <v>177</v>
      </c>
      <c r="DG3120">
        <v>5429929</v>
      </c>
      <c r="DI3120">
        <v>1</v>
      </c>
      <c r="DJ3120">
        <v>0</v>
      </c>
      <c r="DK3120">
        <v>1</v>
      </c>
      <c r="DL3120">
        <v>0</v>
      </c>
      <c r="DM3120">
        <v>0</v>
      </c>
      <c r="DN3120">
        <v>1</v>
      </c>
      <c r="DO3120">
        <v>0</v>
      </c>
      <c r="DP3120">
        <v>0</v>
      </c>
      <c r="DQ3120">
        <v>0</v>
      </c>
      <c r="DR3120">
        <v>0</v>
      </c>
      <c r="DS3120">
        <v>0</v>
      </c>
    </row>
    <row r="3121" spans="1:123" x14ac:dyDescent="0.3">
      <c r="A3121" t="str">
        <f t="shared" ref="A3121:A3127" si="1138">"10/04/2022 19:33:54.089"</f>
        <v>10/04/2022 19:33:54.089</v>
      </c>
      <c r="C3121" t="str">
        <f t="shared" si="1135"/>
        <v>FFDFD3C0</v>
      </c>
      <c r="D3121" t="s">
        <v>147</v>
      </c>
      <c r="E3121">
        <v>3</v>
      </c>
      <c r="H3121">
        <v>166</v>
      </c>
      <c r="I3121" t="s">
        <v>144</v>
      </c>
      <c r="J3121" t="s">
        <v>148</v>
      </c>
      <c r="K3121">
        <v>0</v>
      </c>
      <c r="L3121">
        <v>3</v>
      </c>
      <c r="M3121">
        <v>0</v>
      </c>
      <c r="N3121">
        <v>2</v>
      </c>
      <c r="O3121">
        <v>0</v>
      </c>
      <c r="P3121">
        <v>1</v>
      </c>
      <c r="Q3121">
        <v>0</v>
      </c>
      <c r="S3121" t="str">
        <f t="shared" si="1136"/>
        <v>19:33:53.000</v>
      </c>
      <c r="T3121" t="str">
        <f t="shared" si="1136"/>
        <v>19:33:53.000</v>
      </c>
      <c r="U3121" t="str">
        <f t="shared" si="1123"/>
        <v>AC3944</v>
      </c>
      <c r="V3121">
        <v>0</v>
      </c>
      <c r="W3121">
        <v>0</v>
      </c>
      <c r="X3121">
        <v>2</v>
      </c>
      <c r="Y3121">
        <v>0</v>
      </c>
      <c r="AA3121">
        <v>1</v>
      </c>
      <c r="AB3121">
        <v>8</v>
      </c>
      <c r="AC3121">
        <v>3</v>
      </c>
      <c r="AD3121">
        <v>0</v>
      </c>
      <c r="AE3121">
        <v>9</v>
      </c>
      <c r="AF3121" t="s">
        <v>138</v>
      </c>
      <c r="AG3121">
        <v>0</v>
      </c>
      <c r="AH3121">
        <v>3</v>
      </c>
      <c r="AI3121">
        <v>1</v>
      </c>
      <c r="AJ3121">
        <v>0</v>
      </c>
      <c r="AK3121" t="s">
        <v>1042</v>
      </c>
      <c r="AL3121">
        <v>32.709195999999999</v>
      </c>
      <c r="AM3121" t="s">
        <v>1043</v>
      </c>
      <c r="AN3121">
        <v>-116.759884</v>
      </c>
      <c r="AO3121">
        <v>25</v>
      </c>
      <c r="AP3121">
        <v>3800</v>
      </c>
      <c r="AQ3121" t="s">
        <v>129</v>
      </c>
      <c r="AR3121">
        <v>118</v>
      </c>
      <c r="AS3121">
        <v>-70</v>
      </c>
      <c r="AT3121">
        <v>0</v>
      </c>
      <c r="BB3121">
        <v>1200</v>
      </c>
      <c r="BC3121">
        <v>1</v>
      </c>
      <c r="BD3121" t="str">
        <f t="shared" si="1124"/>
        <v xml:space="preserve">N887QR  </v>
      </c>
      <c r="BE3121">
        <v>1</v>
      </c>
      <c r="BG3121">
        <v>0</v>
      </c>
      <c r="BH3121">
        <v>0</v>
      </c>
      <c r="BI3121">
        <v>0</v>
      </c>
      <c r="BJ3121">
        <v>3525</v>
      </c>
      <c r="BK3121">
        <v>-275</v>
      </c>
      <c r="BL3121" t="s">
        <v>163</v>
      </c>
      <c r="BM3121">
        <v>1</v>
      </c>
      <c r="BN3121">
        <v>1</v>
      </c>
      <c r="BO3121">
        <v>1</v>
      </c>
      <c r="BP3121">
        <v>0</v>
      </c>
      <c r="BS3121">
        <v>0</v>
      </c>
      <c r="BT3121">
        <v>0</v>
      </c>
      <c r="BU3121">
        <v>0</v>
      </c>
      <c r="CE3121" t="str">
        <f t="shared" ref="CE3121:CE3127" si="1139">"19:33:53.882"</f>
        <v>19:33:53.882</v>
      </c>
      <c r="CF3121">
        <v>882084094</v>
      </c>
      <c r="CS3121">
        <v>0</v>
      </c>
      <c r="CT3121">
        <v>2</v>
      </c>
      <c r="CU3121">
        <v>0</v>
      </c>
      <c r="CV3121">
        <v>2</v>
      </c>
      <c r="CW3121">
        <v>0</v>
      </c>
      <c r="CX3121">
        <v>3</v>
      </c>
      <c r="CY3121">
        <v>7</v>
      </c>
      <c r="CZ3121" t="s">
        <v>131</v>
      </c>
      <c r="DA3121">
        <v>300</v>
      </c>
      <c r="DB3121">
        <v>0</v>
      </c>
      <c r="DC3121" t="s">
        <v>176</v>
      </c>
      <c r="DD3121" t="s">
        <v>177</v>
      </c>
      <c r="DG3121">
        <v>5430056</v>
      </c>
      <c r="DI3121">
        <v>1</v>
      </c>
      <c r="DJ3121">
        <v>0</v>
      </c>
      <c r="DK3121">
        <v>0</v>
      </c>
      <c r="DL3121">
        <v>0</v>
      </c>
      <c r="DM3121">
        <v>0</v>
      </c>
      <c r="DN3121">
        <v>1</v>
      </c>
      <c r="DO3121">
        <v>0</v>
      </c>
      <c r="DP3121">
        <v>0</v>
      </c>
      <c r="DQ3121">
        <v>0</v>
      </c>
      <c r="DR3121">
        <v>0</v>
      </c>
      <c r="DS3121">
        <v>0</v>
      </c>
    </row>
    <row r="3122" spans="1:123" x14ac:dyDescent="0.3">
      <c r="A3122" t="str">
        <f t="shared" si="1138"/>
        <v>10/04/2022 19:33:54.089</v>
      </c>
      <c r="C3122" t="str">
        <f t="shared" si="1135"/>
        <v>FFDFD3C0</v>
      </c>
      <c r="D3122" t="s">
        <v>141</v>
      </c>
      <c r="E3122">
        <v>3</v>
      </c>
      <c r="H3122">
        <v>3</v>
      </c>
      <c r="I3122" t="s">
        <v>146</v>
      </c>
      <c r="J3122" t="s">
        <v>138</v>
      </c>
      <c r="K3122">
        <v>0</v>
      </c>
      <c r="L3122">
        <v>3</v>
      </c>
      <c r="M3122">
        <v>0</v>
      </c>
      <c r="N3122">
        <v>2</v>
      </c>
      <c r="O3122">
        <v>0</v>
      </c>
      <c r="P3122">
        <v>1</v>
      </c>
      <c r="Q3122">
        <v>0</v>
      </c>
      <c r="S3122" t="str">
        <f t="shared" si="1136"/>
        <v>19:33:53.000</v>
      </c>
      <c r="T3122" t="str">
        <f t="shared" si="1136"/>
        <v>19:33:53.000</v>
      </c>
      <c r="U3122" t="str">
        <f t="shared" si="1123"/>
        <v>AC3944</v>
      </c>
      <c r="V3122">
        <v>0</v>
      </c>
      <c r="W3122">
        <v>0</v>
      </c>
      <c r="X3122">
        <v>2</v>
      </c>
      <c r="Y3122">
        <v>0</v>
      </c>
      <c r="AA3122">
        <v>1</v>
      </c>
      <c r="AB3122">
        <v>8</v>
      </c>
      <c r="AC3122">
        <v>3</v>
      </c>
      <c r="AD3122">
        <v>0</v>
      </c>
      <c r="AE3122">
        <v>9</v>
      </c>
      <c r="AF3122" t="s">
        <v>138</v>
      </c>
      <c r="AG3122">
        <v>0</v>
      </c>
      <c r="AH3122">
        <v>3</v>
      </c>
      <c r="AI3122">
        <v>1</v>
      </c>
      <c r="AJ3122">
        <v>0</v>
      </c>
      <c r="AK3122" t="s">
        <v>1042</v>
      </c>
      <c r="AL3122">
        <v>32.709195999999999</v>
      </c>
      <c r="AM3122" t="s">
        <v>1043</v>
      </c>
      <c r="AN3122">
        <v>-116.759884</v>
      </c>
      <c r="AO3122">
        <v>25</v>
      </c>
      <c r="AP3122">
        <v>3800</v>
      </c>
      <c r="AQ3122" t="s">
        <v>129</v>
      </c>
      <c r="AR3122">
        <v>118</v>
      </c>
      <c r="AS3122">
        <v>-70</v>
      </c>
      <c r="AT3122">
        <v>0</v>
      </c>
      <c r="BB3122">
        <v>1200</v>
      </c>
      <c r="BC3122">
        <v>1</v>
      </c>
      <c r="BD3122" t="str">
        <f t="shared" si="1124"/>
        <v xml:space="preserve">N887QR  </v>
      </c>
      <c r="BE3122">
        <v>1</v>
      </c>
      <c r="BG3122">
        <v>0</v>
      </c>
      <c r="BH3122">
        <v>0</v>
      </c>
      <c r="BI3122">
        <v>0</v>
      </c>
      <c r="BJ3122">
        <v>3525</v>
      </c>
      <c r="BK3122">
        <v>-275</v>
      </c>
      <c r="BL3122" t="s">
        <v>163</v>
      </c>
      <c r="BM3122">
        <v>1</v>
      </c>
      <c r="BN3122">
        <v>1</v>
      </c>
      <c r="BO3122">
        <v>1</v>
      </c>
      <c r="BP3122">
        <v>0</v>
      </c>
      <c r="BS3122">
        <v>0</v>
      </c>
      <c r="BT3122">
        <v>0</v>
      </c>
      <c r="BU3122">
        <v>0</v>
      </c>
      <c r="CE3122" t="str">
        <f t="shared" si="1139"/>
        <v>19:33:53.882</v>
      </c>
      <c r="CF3122">
        <v>882084094</v>
      </c>
      <c r="CS3122">
        <v>0</v>
      </c>
      <c r="CT3122">
        <v>2</v>
      </c>
      <c r="CU3122">
        <v>0</v>
      </c>
      <c r="CV3122">
        <v>2</v>
      </c>
      <c r="CW3122">
        <v>0</v>
      </c>
      <c r="CX3122">
        <v>3</v>
      </c>
      <c r="CY3122">
        <v>7</v>
      </c>
      <c r="CZ3122" t="s">
        <v>131</v>
      </c>
      <c r="DA3122">
        <v>300</v>
      </c>
      <c r="DB3122">
        <v>0</v>
      </c>
      <c r="DC3122" t="s">
        <v>176</v>
      </c>
      <c r="DD3122" t="s">
        <v>177</v>
      </c>
      <c r="DG3122">
        <v>5430056</v>
      </c>
      <c r="DI3122">
        <v>1</v>
      </c>
      <c r="DJ3122">
        <v>0</v>
      </c>
      <c r="DK3122">
        <v>0</v>
      </c>
      <c r="DL3122">
        <v>0</v>
      </c>
      <c r="DM3122">
        <v>0</v>
      </c>
      <c r="DN3122">
        <v>1</v>
      </c>
      <c r="DO3122">
        <v>0</v>
      </c>
      <c r="DP3122">
        <v>0</v>
      </c>
      <c r="DQ3122">
        <v>0</v>
      </c>
      <c r="DR3122">
        <v>0</v>
      </c>
      <c r="DS3122">
        <v>0</v>
      </c>
    </row>
    <row r="3123" spans="1:123" x14ac:dyDescent="0.3">
      <c r="A3123" t="str">
        <f t="shared" si="1138"/>
        <v>10/04/2022 19:33:54.089</v>
      </c>
      <c r="C3123" t="str">
        <f t="shared" si="1135"/>
        <v>FFDFD3C0</v>
      </c>
      <c r="D3123" t="s">
        <v>141</v>
      </c>
      <c r="E3123">
        <v>4</v>
      </c>
      <c r="H3123">
        <v>4</v>
      </c>
      <c r="I3123" t="s">
        <v>142</v>
      </c>
      <c r="J3123" t="s">
        <v>138</v>
      </c>
      <c r="K3123">
        <v>0</v>
      </c>
      <c r="L3123">
        <v>3</v>
      </c>
      <c r="M3123">
        <v>0</v>
      </c>
      <c r="N3123">
        <v>2</v>
      </c>
      <c r="O3123">
        <v>0</v>
      </c>
      <c r="P3123">
        <v>1</v>
      </c>
      <c r="Q3123">
        <v>0</v>
      </c>
      <c r="S3123" t="str">
        <f t="shared" si="1136"/>
        <v>19:33:53.000</v>
      </c>
      <c r="T3123" t="str">
        <f t="shared" si="1136"/>
        <v>19:33:53.000</v>
      </c>
      <c r="U3123" t="str">
        <f t="shared" si="1123"/>
        <v>AC3944</v>
      </c>
      <c r="V3123">
        <v>0</v>
      </c>
      <c r="W3123">
        <v>0</v>
      </c>
      <c r="X3123">
        <v>2</v>
      </c>
      <c r="Y3123">
        <v>0</v>
      </c>
      <c r="AA3123">
        <v>1</v>
      </c>
      <c r="AB3123">
        <v>8</v>
      </c>
      <c r="AC3123">
        <v>3</v>
      </c>
      <c r="AD3123">
        <v>0</v>
      </c>
      <c r="AE3123">
        <v>9</v>
      </c>
      <c r="AF3123" t="s">
        <v>138</v>
      </c>
      <c r="AG3123">
        <v>0</v>
      </c>
      <c r="AH3123">
        <v>3</v>
      </c>
      <c r="AI3123">
        <v>1</v>
      </c>
      <c r="AJ3123">
        <v>0</v>
      </c>
      <c r="AK3123" t="s">
        <v>1042</v>
      </c>
      <c r="AL3123">
        <v>32.709195999999999</v>
      </c>
      <c r="AM3123" t="s">
        <v>1043</v>
      </c>
      <c r="AN3123">
        <v>-116.759884</v>
      </c>
      <c r="AO3123">
        <v>25</v>
      </c>
      <c r="AP3123">
        <v>3800</v>
      </c>
      <c r="AQ3123" t="s">
        <v>129</v>
      </c>
      <c r="AR3123">
        <v>118</v>
      </c>
      <c r="AS3123">
        <v>-70</v>
      </c>
      <c r="AT3123">
        <v>0</v>
      </c>
      <c r="BB3123">
        <v>1200</v>
      </c>
      <c r="BC3123">
        <v>1</v>
      </c>
      <c r="BD3123" t="str">
        <f t="shared" si="1124"/>
        <v xml:space="preserve">N887QR  </v>
      </c>
      <c r="BE3123">
        <v>1</v>
      </c>
      <c r="BG3123">
        <v>0</v>
      </c>
      <c r="BH3123">
        <v>0</v>
      </c>
      <c r="BI3123">
        <v>0</v>
      </c>
      <c r="BJ3123">
        <v>3525</v>
      </c>
      <c r="BK3123">
        <v>-275</v>
      </c>
      <c r="BL3123" t="s">
        <v>163</v>
      </c>
      <c r="BM3123">
        <v>1</v>
      </c>
      <c r="BN3123">
        <v>1</v>
      </c>
      <c r="BO3123">
        <v>1</v>
      </c>
      <c r="BP3123">
        <v>0</v>
      </c>
      <c r="BS3123">
        <v>0</v>
      </c>
      <c r="BT3123">
        <v>0</v>
      </c>
      <c r="BU3123">
        <v>0</v>
      </c>
      <c r="CE3123" t="str">
        <f t="shared" si="1139"/>
        <v>19:33:53.882</v>
      </c>
      <c r="CF3123">
        <v>882084094</v>
      </c>
      <c r="CS3123">
        <v>0</v>
      </c>
      <c r="CT3123">
        <v>2</v>
      </c>
      <c r="CU3123">
        <v>0</v>
      </c>
      <c r="CV3123">
        <v>2</v>
      </c>
      <c r="CW3123">
        <v>0</v>
      </c>
      <c r="CX3123">
        <v>3</v>
      </c>
      <c r="CY3123">
        <v>7</v>
      </c>
      <c r="CZ3123" t="s">
        <v>131</v>
      </c>
      <c r="DA3123">
        <v>300</v>
      </c>
      <c r="DB3123">
        <v>0</v>
      </c>
      <c r="DC3123" t="s">
        <v>176</v>
      </c>
      <c r="DD3123" t="s">
        <v>177</v>
      </c>
      <c r="DG3123">
        <v>5430056</v>
      </c>
      <c r="DI3123">
        <v>1</v>
      </c>
      <c r="DJ3123">
        <v>0</v>
      </c>
      <c r="DK3123">
        <v>1</v>
      </c>
      <c r="DL3123">
        <v>0</v>
      </c>
      <c r="DM3123">
        <v>0</v>
      </c>
      <c r="DN3123">
        <v>1</v>
      </c>
      <c r="DO3123">
        <v>0</v>
      </c>
      <c r="DP3123">
        <v>0</v>
      </c>
      <c r="DQ3123">
        <v>0</v>
      </c>
      <c r="DR3123">
        <v>0</v>
      </c>
      <c r="DS3123">
        <v>0</v>
      </c>
    </row>
    <row r="3124" spans="1:123" x14ac:dyDescent="0.3">
      <c r="A3124" t="str">
        <f t="shared" si="1138"/>
        <v>10/04/2022 19:33:54.089</v>
      </c>
      <c r="C3124" t="str">
        <f t="shared" si="1135"/>
        <v>FFDFD3C0</v>
      </c>
      <c r="D3124" t="s">
        <v>143</v>
      </c>
      <c r="E3124">
        <v>20</v>
      </c>
      <c r="F3124">
        <v>1020</v>
      </c>
      <c r="G3124" t="s">
        <v>144</v>
      </c>
      <c r="J3124" t="s">
        <v>145</v>
      </c>
      <c r="K3124">
        <v>0</v>
      </c>
      <c r="L3124">
        <v>3</v>
      </c>
      <c r="M3124">
        <v>0</v>
      </c>
      <c r="N3124">
        <v>2</v>
      </c>
      <c r="O3124">
        <v>0</v>
      </c>
      <c r="P3124">
        <v>1</v>
      </c>
      <c r="Q3124">
        <v>0</v>
      </c>
      <c r="S3124" t="str">
        <f t="shared" si="1136"/>
        <v>19:33:53.000</v>
      </c>
      <c r="T3124" t="str">
        <f t="shared" si="1136"/>
        <v>19:33:53.000</v>
      </c>
      <c r="U3124" t="str">
        <f t="shared" si="1123"/>
        <v>AC3944</v>
      </c>
      <c r="V3124">
        <v>0</v>
      </c>
      <c r="W3124">
        <v>0</v>
      </c>
      <c r="X3124">
        <v>2</v>
      </c>
      <c r="Y3124">
        <v>0</v>
      </c>
      <c r="AA3124">
        <v>1</v>
      </c>
      <c r="AB3124">
        <v>8</v>
      </c>
      <c r="AC3124">
        <v>3</v>
      </c>
      <c r="AD3124">
        <v>0</v>
      </c>
      <c r="AE3124">
        <v>9</v>
      </c>
      <c r="AF3124" t="s">
        <v>138</v>
      </c>
      <c r="AG3124">
        <v>0</v>
      </c>
      <c r="AH3124">
        <v>3</v>
      </c>
      <c r="AI3124">
        <v>1</v>
      </c>
      <c r="AJ3124">
        <v>0</v>
      </c>
      <c r="AK3124" t="s">
        <v>1042</v>
      </c>
      <c r="AL3124">
        <v>32.709195999999999</v>
      </c>
      <c r="AM3124" t="s">
        <v>1043</v>
      </c>
      <c r="AN3124">
        <v>-116.759884</v>
      </c>
      <c r="AO3124">
        <v>25</v>
      </c>
      <c r="AP3124">
        <v>3800</v>
      </c>
      <c r="AQ3124" t="s">
        <v>129</v>
      </c>
      <c r="AR3124">
        <v>118</v>
      </c>
      <c r="AS3124">
        <v>-70</v>
      </c>
      <c r="AT3124">
        <v>0</v>
      </c>
      <c r="BB3124">
        <v>1200</v>
      </c>
      <c r="BC3124">
        <v>1</v>
      </c>
      <c r="BD3124" t="str">
        <f t="shared" si="1124"/>
        <v xml:space="preserve">N887QR  </v>
      </c>
      <c r="BE3124">
        <v>1</v>
      </c>
      <c r="BG3124">
        <v>0</v>
      </c>
      <c r="BH3124">
        <v>0</v>
      </c>
      <c r="BI3124">
        <v>0</v>
      </c>
      <c r="BJ3124">
        <v>3525</v>
      </c>
      <c r="BK3124">
        <v>-275</v>
      </c>
      <c r="BL3124" t="s">
        <v>163</v>
      </c>
      <c r="BM3124">
        <v>1</v>
      </c>
      <c r="BN3124">
        <v>1</v>
      </c>
      <c r="BO3124">
        <v>1</v>
      </c>
      <c r="BP3124">
        <v>0</v>
      </c>
      <c r="BS3124">
        <v>0</v>
      </c>
      <c r="BT3124">
        <v>0</v>
      </c>
      <c r="BU3124">
        <v>0</v>
      </c>
      <c r="CE3124" t="str">
        <f t="shared" si="1139"/>
        <v>19:33:53.882</v>
      </c>
      <c r="CF3124">
        <v>882084094</v>
      </c>
      <c r="CS3124">
        <v>0</v>
      </c>
      <c r="CT3124">
        <v>2</v>
      </c>
      <c r="CU3124">
        <v>0</v>
      </c>
      <c r="CV3124">
        <v>2</v>
      </c>
      <c r="CW3124">
        <v>0</v>
      </c>
      <c r="CX3124">
        <v>3</v>
      </c>
      <c r="CY3124">
        <v>7</v>
      </c>
      <c r="CZ3124" t="s">
        <v>131</v>
      </c>
      <c r="DA3124">
        <v>300</v>
      </c>
      <c r="DB3124">
        <v>0</v>
      </c>
      <c r="DC3124" t="s">
        <v>176</v>
      </c>
      <c r="DD3124" t="s">
        <v>177</v>
      </c>
      <c r="DG3124">
        <v>5430056</v>
      </c>
      <c r="DI3124">
        <v>1</v>
      </c>
      <c r="DJ3124">
        <v>0</v>
      </c>
      <c r="DK3124">
        <v>1</v>
      </c>
      <c r="DL3124">
        <v>0</v>
      </c>
      <c r="DM3124">
        <v>0</v>
      </c>
      <c r="DN3124">
        <v>1</v>
      </c>
      <c r="DO3124">
        <v>0</v>
      </c>
      <c r="DP3124">
        <v>0</v>
      </c>
      <c r="DQ3124">
        <v>0</v>
      </c>
      <c r="DR3124">
        <v>0</v>
      </c>
      <c r="DS3124">
        <v>0</v>
      </c>
    </row>
    <row r="3125" spans="1:123" x14ac:dyDescent="0.3">
      <c r="A3125" t="str">
        <f t="shared" si="1138"/>
        <v>10/04/2022 19:33:54.089</v>
      </c>
      <c r="C3125" t="str">
        <f t="shared" si="1135"/>
        <v>FFDFD3C0</v>
      </c>
      <c r="D3125" t="s">
        <v>136</v>
      </c>
      <c r="E3125">
        <v>8</v>
      </c>
      <c r="H3125">
        <v>225</v>
      </c>
      <c r="I3125" t="s">
        <v>137</v>
      </c>
      <c r="J3125" t="s">
        <v>138</v>
      </c>
      <c r="K3125">
        <v>0</v>
      </c>
      <c r="L3125">
        <v>3</v>
      </c>
      <c r="M3125">
        <v>0</v>
      </c>
      <c r="N3125">
        <v>2</v>
      </c>
      <c r="O3125">
        <v>0</v>
      </c>
      <c r="P3125">
        <v>1</v>
      </c>
      <c r="Q3125">
        <v>0</v>
      </c>
      <c r="S3125" t="str">
        <f t="shared" si="1136"/>
        <v>19:33:53.000</v>
      </c>
      <c r="T3125" t="str">
        <f t="shared" si="1136"/>
        <v>19:33:53.000</v>
      </c>
      <c r="U3125" t="str">
        <f t="shared" si="1123"/>
        <v>AC3944</v>
      </c>
      <c r="V3125">
        <v>0</v>
      </c>
      <c r="W3125">
        <v>0</v>
      </c>
      <c r="X3125">
        <v>2</v>
      </c>
      <c r="Y3125">
        <v>0</v>
      </c>
      <c r="AA3125">
        <v>1</v>
      </c>
      <c r="AB3125">
        <v>8</v>
      </c>
      <c r="AC3125">
        <v>3</v>
      </c>
      <c r="AD3125">
        <v>0</v>
      </c>
      <c r="AE3125">
        <v>9</v>
      </c>
      <c r="AF3125" t="s">
        <v>138</v>
      </c>
      <c r="AG3125">
        <v>0</v>
      </c>
      <c r="AH3125">
        <v>3</v>
      </c>
      <c r="AI3125">
        <v>1</v>
      </c>
      <c r="AJ3125">
        <v>0</v>
      </c>
      <c r="AK3125" t="s">
        <v>1042</v>
      </c>
      <c r="AL3125">
        <v>32.709195999999999</v>
      </c>
      <c r="AM3125" t="s">
        <v>1043</v>
      </c>
      <c r="AN3125">
        <v>-116.759884</v>
      </c>
      <c r="AO3125">
        <v>25</v>
      </c>
      <c r="AP3125">
        <v>3800</v>
      </c>
      <c r="AQ3125" t="s">
        <v>129</v>
      </c>
      <c r="AR3125">
        <v>118</v>
      </c>
      <c r="AS3125">
        <v>-70</v>
      </c>
      <c r="AT3125">
        <v>0</v>
      </c>
      <c r="BB3125">
        <v>1200</v>
      </c>
      <c r="BC3125">
        <v>1</v>
      </c>
      <c r="BD3125" t="str">
        <f t="shared" si="1124"/>
        <v xml:space="preserve">N887QR  </v>
      </c>
      <c r="BE3125">
        <v>1</v>
      </c>
      <c r="BG3125">
        <v>0</v>
      </c>
      <c r="BH3125">
        <v>0</v>
      </c>
      <c r="BI3125">
        <v>0</v>
      </c>
      <c r="BJ3125">
        <v>3525</v>
      </c>
      <c r="BK3125">
        <v>-275</v>
      </c>
      <c r="BL3125" t="s">
        <v>163</v>
      </c>
      <c r="BM3125">
        <v>1</v>
      </c>
      <c r="BN3125">
        <v>1</v>
      </c>
      <c r="BO3125">
        <v>1</v>
      </c>
      <c r="BP3125">
        <v>0</v>
      </c>
      <c r="BS3125">
        <v>0</v>
      </c>
      <c r="BT3125">
        <v>0</v>
      </c>
      <c r="BU3125">
        <v>0</v>
      </c>
      <c r="CE3125" t="str">
        <f t="shared" si="1139"/>
        <v>19:33:53.882</v>
      </c>
      <c r="CF3125">
        <v>882084094</v>
      </c>
      <c r="CS3125">
        <v>0</v>
      </c>
      <c r="CT3125">
        <v>2</v>
      </c>
      <c r="CU3125">
        <v>0</v>
      </c>
      <c r="CV3125">
        <v>2</v>
      </c>
      <c r="CW3125">
        <v>0</v>
      </c>
      <c r="CX3125">
        <v>3</v>
      </c>
      <c r="CY3125">
        <v>7</v>
      </c>
      <c r="CZ3125" t="s">
        <v>131</v>
      </c>
      <c r="DA3125">
        <v>300</v>
      </c>
      <c r="DB3125">
        <v>0</v>
      </c>
      <c r="DC3125" t="s">
        <v>176</v>
      </c>
      <c r="DD3125" t="s">
        <v>177</v>
      </c>
      <c r="DG3125">
        <v>5430056</v>
      </c>
      <c r="DI3125">
        <v>1</v>
      </c>
      <c r="DJ3125">
        <v>0</v>
      </c>
      <c r="DK3125">
        <v>1</v>
      </c>
      <c r="DL3125">
        <v>0</v>
      </c>
      <c r="DM3125">
        <v>0</v>
      </c>
      <c r="DN3125">
        <v>1</v>
      </c>
      <c r="DO3125">
        <v>0</v>
      </c>
      <c r="DP3125">
        <v>0</v>
      </c>
      <c r="DQ3125">
        <v>0</v>
      </c>
      <c r="DR3125">
        <v>0</v>
      </c>
      <c r="DS3125">
        <v>0</v>
      </c>
    </row>
    <row r="3126" spans="1:123" x14ac:dyDescent="0.3">
      <c r="A3126" t="str">
        <f t="shared" si="1138"/>
        <v>10/04/2022 19:33:54.089</v>
      </c>
      <c r="C3126" t="str">
        <f t="shared" si="1135"/>
        <v>FFDFD3C0</v>
      </c>
      <c r="D3126" t="s">
        <v>123</v>
      </c>
      <c r="E3126">
        <v>7</v>
      </c>
      <c r="F3126">
        <v>2007</v>
      </c>
      <c r="G3126" t="s">
        <v>124</v>
      </c>
      <c r="J3126" t="s">
        <v>125</v>
      </c>
      <c r="K3126">
        <v>0</v>
      </c>
      <c r="L3126">
        <v>3</v>
      </c>
      <c r="M3126">
        <v>0</v>
      </c>
      <c r="N3126">
        <v>2</v>
      </c>
      <c r="O3126">
        <v>0</v>
      </c>
      <c r="P3126">
        <v>1</v>
      </c>
      <c r="Q3126">
        <v>0</v>
      </c>
      <c r="S3126" t="str">
        <f t="shared" si="1136"/>
        <v>19:33:53.000</v>
      </c>
      <c r="T3126" t="str">
        <f t="shared" si="1136"/>
        <v>19:33:53.000</v>
      </c>
      <c r="U3126" t="str">
        <f t="shared" si="1123"/>
        <v>AC3944</v>
      </c>
      <c r="V3126">
        <v>0</v>
      </c>
      <c r="W3126">
        <v>0</v>
      </c>
      <c r="X3126">
        <v>2</v>
      </c>
      <c r="Y3126">
        <v>0</v>
      </c>
      <c r="AA3126">
        <v>1</v>
      </c>
      <c r="AB3126">
        <v>8</v>
      </c>
      <c r="AC3126">
        <v>3</v>
      </c>
      <c r="AD3126">
        <v>0</v>
      </c>
      <c r="AE3126">
        <v>9</v>
      </c>
      <c r="AF3126" t="s">
        <v>138</v>
      </c>
      <c r="AG3126">
        <v>0</v>
      </c>
      <c r="AH3126">
        <v>3</v>
      </c>
      <c r="AI3126">
        <v>1</v>
      </c>
      <c r="AJ3126">
        <v>0</v>
      </c>
      <c r="AK3126" t="s">
        <v>1042</v>
      </c>
      <c r="AL3126">
        <v>32.709195999999999</v>
      </c>
      <c r="AM3126" t="s">
        <v>1043</v>
      </c>
      <c r="AN3126">
        <v>-116.759884</v>
      </c>
      <c r="AO3126">
        <v>25</v>
      </c>
      <c r="AP3126">
        <v>3800</v>
      </c>
      <c r="AQ3126" t="s">
        <v>129</v>
      </c>
      <c r="AR3126">
        <v>118</v>
      </c>
      <c r="AS3126">
        <v>-70</v>
      </c>
      <c r="AT3126">
        <v>0</v>
      </c>
      <c r="BB3126">
        <v>1200</v>
      </c>
      <c r="BC3126">
        <v>1</v>
      </c>
      <c r="BD3126" t="str">
        <f t="shared" si="1124"/>
        <v xml:space="preserve">N887QR  </v>
      </c>
      <c r="BE3126">
        <v>1</v>
      </c>
      <c r="BG3126">
        <v>0</v>
      </c>
      <c r="BH3126">
        <v>0</v>
      </c>
      <c r="BI3126">
        <v>0</v>
      </c>
      <c r="BJ3126">
        <v>3525</v>
      </c>
      <c r="BK3126">
        <v>-275</v>
      </c>
      <c r="BL3126" t="s">
        <v>163</v>
      </c>
      <c r="BM3126">
        <v>1</v>
      </c>
      <c r="BN3126">
        <v>1</v>
      </c>
      <c r="BO3126">
        <v>1</v>
      </c>
      <c r="BP3126">
        <v>0</v>
      </c>
      <c r="BS3126">
        <v>0</v>
      </c>
      <c r="BT3126">
        <v>0</v>
      </c>
      <c r="BU3126">
        <v>0</v>
      </c>
      <c r="CE3126" t="str">
        <f t="shared" si="1139"/>
        <v>19:33:53.882</v>
      </c>
      <c r="CF3126">
        <v>882084094</v>
      </c>
      <c r="CS3126">
        <v>0</v>
      </c>
      <c r="CT3126">
        <v>2</v>
      </c>
      <c r="CU3126">
        <v>0</v>
      </c>
      <c r="CV3126">
        <v>2</v>
      </c>
      <c r="CW3126">
        <v>0</v>
      </c>
      <c r="CX3126">
        <v>3</v>
      </c>
      <c r="CY3126">
        <v>7</v>
      </c>
      <c r="CZ3126" t="s">
        <v>131</v>
      </c>
      <c r="DA3126">
        <v>300</v>
      </c>
      <c r="DB3126">
        <v>0</v>
      </c>
      <c r="DC3126" t="s">
        <v>176</v>
      </c>
      <c r="DD3126" t="s">
        <v>177</v>
      </c>
      <c r="DG3126">
        <v>5430056</v>
      </c>
      <c r="DI3126">
        <v>1</v>
      </c>
      <c r="DJ3126">
        <v>0</v>
      </c>
      <c r="DK3126">
        <v>1</v>
      </c>
      <c r="DL3126">
        <v>0</v>
      </c>
      <c r="DM3126">
        <v>0</v>
      </c>
      <c r="DN3126">
        <v>1</v>
      </c>
      <c r="DO3126">
        <v>0</v>
      </c>
      <c r="DP3126">
        <v>0</v>
      </c>
      <c r="DQ3126">
        <v>0</v>
      </c>
      <c r="DR3126">
        <v>0</v>
      </c>
      <c r="DS3126">
        <v>0</v>
      </c>
    </row>
    <row r="3127" spans="1:123" x14ac:dyDescent="0.3">
      <c r="A3127" t="str">
        <f t="shared" si="1138"/>
        <v>10/04/2022 19:33:54.089</v>
      </c>
      <c r="C3127" t="str">
        <f t="shared" si="1135"/>
        <v>FFDFD3C0</v>
      </c>
      <c r="D3127" t="s">
        <v>134</v>
      </c>
      <c r="E3127">
        <v>15</v>
      </c>
      <c r="J3127" t="s">
        <v>135</v>
      </c>
      <c r="K3127">
        <v>0</v>
      </c>
      <c r="L3127">
        <v>3</v>
      </c>
      <c r="M3127">
        <v>0</v>
      </c>
      <c r="N3127">
        <v>2</v>
      </c>
      <c r="O3127">
        <v>0</v>
      </c>
      <c r="P3127">
        <v>1</v>
      </c>
      <c r="Q3127">
        <v>0</v>
      </c>
      <c r="S3127" t="str">
        <f t="shared" si="1136"/>
        <v>19:33:53.000</v>
      </c>
      <c r="T3127" t="str">
        <f t="shared" si="1136"/>
        <v>19:33:53.000</v>
      </c>
      <c r="U3127" t="str">
        <f t="shared" si="1123"/>
        <v>AC3944</v>
      </c>
      <c r="V3127">
        <v>0</v>
      </c>
      <c r="W3127">
        <v>0</v>
      </c>
      <c r="X3127">
        <v>2</v>
      </c>
      <c r="Y3127">
        <v>0</v>
      </c>
      <c r="AA3127">
        <v>1</v>
      </c>
      <c r="AB3127">
        <v>8</v>
      </c>
      <c r="AC3127">
        <v>3</v>
      </c>
      <c r="AD3127">
        <v>0</v>
      </c>
      <c r="AE3127">
        <v>9</v>
      </c>
      <c r="AF3127" t="s">
        <v>138</v>
      </c>
      <c r="AG3127">
        <v>0</v>
      </c>
      <c r="AH3127">
        <v>3</v>
      </c>
      <c r="AI3127">
        <v>1</v>
      </c>
      <c r="AJ3127">
        <v>0</v>
      </c>
      <c r="AK3127" t="s">
        <v>1042</v>
      </c>
      <c r="AL3127">
        <v>32.709195999999999</v>
      </c>
      <c r="AM3127" t="s">
        <v>1043</v>
      </c>
      <c r="AN3127">
        <v>-116.759884</v>
      </c>
      <c r="AO3127">
        <v>25</v>
      </c>
      <c r="AP3127">
        <v>3800</v>
      </c>
      <c r="AQ3127" t="s">
        <v>129</v>
      </c>
      <c r="AR3127">
        <v>118</v>
      </c>
      <c r="AS3127">
        <v>-70</v>
      </c>
      <c r="AT3127">
        <v>0</v>
      </c>
      <c r="BB3127">
        <v>1200</v>
      </c>
      <c r="BC3127">
        <v>1</v>
      </c>
      <c r="BD3127" t="str">
        <f t="shared" si="1124"/>
        <v xml:space="preserve">N887QR  </v>
      </c>
      <c r="BE3127">
        <v>1</v>
      </c>
      <c r="BG3127">
        <v>0</v>
      </c>
      <c r="BH3127">
        <v>0</v>
      </c>
      <c r="BI3127">
        <v>0</v>
      </c>
      <c r="BJ3127">
        <v>3525</v>
      </c>
      <c r="BK3127">
        <v>-275</v>
      </c>
      <c r="BL3127" t="s">
        <v>163</v>
      </c>
      <c r="BM3127">
        <v>1</v>
      </c>
      <c r="BN3127">
        <v>1</v>
      </c>
      <c r="BO3127">
        <v>1</v>
      </c>
      <c r="BP3127">
        <v>0</v>
      </c>
      <c r="BS3127">
        <v>0</v>
      </c>
      <c r="BT3127">
        <v>0</v>
      </c>
      <c r="BU3127">
        <v>0</v>
      </c>
      <c r="CE3127" t="str">
        <f t="shared" si="1139"/>
        <v>19:33:53.882</v>
      </c>
      <c r="CF3127">
        <v>882084094</v>
      </c>
      <c r="CS3127">
        <v>0</v>
      </c>
      <c r="CT3127">
        <v>2</v>
      </c>
      <c r="CU3127">
        <v>0</v>
      </c>
      <c r="CV3127">
        <v>2</v>
      </c>
      <c r="CW3127">
        <v>0</v>
      </c>
      <c r="CX3127">
        <v>3</v>
      </c>
      <c r="CY3127">
        <v>7</v>
      </c>
      <c r="CZ3127" t="s">
        <v>131</v>
      </c>
      <c r="DA3127">
        <v>300</v>
      </c>
      <c r="DB3127">
        <v>0</v>
      </c>
      <c r="DC3127" t="s">
        <v>176</v>
      </c>
      <c r="DD3127" t="s">
        <v>177</v>
      </c>
      <c r="DG3127">
        <v>5430056</v>
      </c>
      <c r="DI3127">
        <v>1</v>
      </c>
      <c r="DJ3127">
        <v>0</v>
      </c>
      <c r="DK3127">
        <v>1</v>
      </c>
      <c r="DL3127">
        <v>0</v>
      </c>
      <c r="DM3127">
        <v>0</v>
      </c>
      <c r="DN3127">
        <v>1</v>
      </c>
      <c r="DO3127">
        <v>0</v>
      </c>
      <c r="DP3127">
        <v>0</v>
      </c>
      <c r="DQ3127">
        <v>0</v>
      </c>
      <c r="DR3127">
        <v>0</v>
      </c>
      <c r="DS3127">
        <v>0</v>
      </c>
    </row>
    <row r="3128" spans="1:123" x14ac:dyDescent="0.3">
      <c r="A3128" t="str">
        <f>"10/04/2022 19:33:55.184"</f>
        <v>10/04/2022 19:33:55.184</v>
      </c>
      <c r="C3128" t="str">
        <f t="shared" si="1135"/>
        <v>FFDFD3C0</v>
      </c>
      <c r="D3128" t="s">
        <v>147</v>
      </c>
      <c r="E3128">
        <v>3</v>
      </c>
      <c r="H3128">
        <v>166</v>
      </c>
      <c r="I3128" t="s">
        <v>144</v>
      </c>
      <c r="J3128" t="s">
        <v>148</v>
      </c>
      <c r="K3128">
        <v>0</v>
      </c>
      <c r="L3128">
        <v>3</v>
      </c>
      <c r="M3128">
        <v>0</v>
      </c>
      <c r="N3128">
        <v>2</v>
      </c>
      <c r="O3128">
        <v>0</v>
      </c>
      <c r="P3128">
        <v>1</v>
      </c>
      <c r="Q3128">
        <v>0</v>
      </c>
      <c r="S3128" t="str">
        <f t="shared" ref="S3128:T3134" si="1140">"19:33:54.000"</f>
        <v>19:33:54.000</v>
      </c>
      <c r="T3128" t="str">
        <f t="shared" si="1140"/>
        <v>19:33:54.000</v>
      </c>
      <c r="U3128" t="str">
        <f t="shared" si="1123"/>
        <v>AC3944</v>
      </c>
      <c r="V3128">
        <v>0</v>
      </c>
      <c r="W3128">
        <v>0</v>
      </c>
      <c r="X3128">
        <v>2</v>
      </c>
      <c r="Y3128">
        <v>0</v>
      </c>
      <c r="AA3128">
        <v>1</v>
      </c>
      <c r="AB3128">
        <v>8</v>
      </c>
      <c r="AC3128">
        <v>3</v>
      </c>
      <c r="AD3128">
        <v>0</v>
      </c>
      <c r="AE3128">
        <v>9</v>
      </c>
      <c r="AF3128" t="s">
        <v>138</v>
      </c>
      <c r="AG3128">
        <v>0</v>
      </c>
      <c r="AH3128">
        <v>3</v>
      </c>
      <c r="AI3128">
        <v>1</v>
      </c>
      <c r="AJ3128">
        <v>0</v>
      </c>
      <c r="AK3128" t="s">
        <v>1044</v>
      </c>
      <c r="AL3128">
        <v>32.708938000000003</v>
      </c>
      <c r="AM3128" t="s">
        <v>1045</v>
      </c>
      <c r="AN3128">
        <v>-116.759348</v>
      </c>
      <c r="AO3128">
        <v>25</v>
      </c>
      <c r="AP3128">
        <v>3800</v>
      </c>
      <c r="AQ3128" t="s">
        <v>129</v>
      </c>
      <c r="AR3128">
        <v>129</v>
      </c>
      <c r="AS3128">
        <v>-52</v>
      </c>
      <c r="AT3128">
        <v>-448</v>
      </c>
      <c r="BB3128">
        <v>1200</v>
      </c>
      <c r="BC3128">
        <v>1</v>
      </c>
      <c r="BD3128" t="str">
        <f t="shared" si="1124"/>
        <v xml:space="preserve">N887QR  </v>
      </c>
      <c r="BE3128">
        <v>1</v>
      </c>
      <c r="BG3128">
        <v>0</v>
      </c>
      <c r="BH3128">
        <v>0</v>
      </c>
      <c r="BI3128">
        <v>0</v>
      </c>
      <c r="BJ3128">
        <v>3525</v>
      </c>
      <c r="BK3128">
        <v>-275</v>
      </c>
      <c r="BL3128" t="s">
        <v>163</v>
      </c>
      <c r="BM3128">
        <v>1</v>
      </c>
      <c r="BN3128">
        <v>1</v>
      </c>
      <c r="BO3128">
        <v>1</v>
      </c>
      <c r="BP3128">
        <v>0</v>
      </c>
      <c r="BS3128">
        <v>0</v>
      </c>
      <c r="BT3128">
        <v>0</v>
      </c>
      <c r="BU3128">
        <v>0</v>
      </c>
      <c r="CE3128" t="str">
        <f t="shared" ref="CE3128:CE3134" si="1141">"19:33:54.841"</f>
        <v>19:33:54.841</v>
      </c>
      <c r="CF3128">
        <v>840837374</v>
      </c>
      <c r="CS3128">
        <v>0</v>
      </c>
      <c r="CT3128">
        <v>2</v>
      </c>
      <c r="CU3128">
        <v>0</v>
      </c>
      <c r="CV3128">
        <v>2</v>
      </c>
      <c r="CW3128">
        <v>0</v>
      </c>
      <c r="CX3128">
        <v>2</v>
      </c>
      <c r="CY3128">
        <v>7</v>
      </c>
      <c r="CZ3128" t="s">
        <v>131</v>
      </c>
      <c r="DA3128">
        <v>300</v>
      </c>
      <c r="DB3128">
        <v>0</v>
      </c>
      <c r="DC3128" t="s">
        <v>176</v>
      </c>
      <c r="DD3128" t="s">
        <v>177</v>
      </c>
      <c r="DG3128">
        <v>5430219</v>
      </c>
      <c r="DI3128">
        <v>0</v>
      </c>
      <c r="DJ3128">
        <v>0</v>
      </c>
      <c r="DK3128">
        <v>0</v>
      </c>
      <c r="DL3128">
        <v>0</v>
      </c>
      <c r="DM3128">
        <v>0</v>
      </c>
      <c r="DN3128">
        <v>1</v>
      </c>
      <c r="DO3128">
        <v>0</v>
      </c>
      <c r="DP3128">
        <v>0</v>
      </c>
      <c r="DQ3128">
        <v>0</v>
      </c>
      <c r="DR3128">
        <v>0</v>
      </c>
      <c r="DS3128">
        <v>0</v>
      </c>
    </row>
    <row r="3129" spans="1:123" x14ac:dyDescent="0.3">
      <c r="A3129" t="str">
        <f>"10/04/2022 19:33:55.184"</f>
        <v>10/04/2022 19:33:55.184</v>
      </c>
      <c r="C3129" t="str">
        <f t="shared" si="1135"/>
        <v>FFDFD3C0</v>
      </c>
      <c r="D3129" t="s">
        <v>141</v>
      </c>
      <c r="E3129">
        <v>3</v>
      </c>
      <c r="H3129">
        <v>3</v>
      </c>
      <c r="I3129" t="s">
        <v>146</v>
      </c>
      <c r="J3129" t="s">
        <v>138</v>
      </c>
      <c r="K3129">
        <v>0</v>
      </c>
      <c r="L3129">
        <v>3</v>
      </c>
      <c r="M3129">
        <v>0</v>
      </c>
      <c r="N3129">
        <v>2</v>
      </c>
      <c r="O3129">
        <v>0</v>
      </c>
      <c r="P3129">
        <v>1</v>
      </c>
      <c r="Q3129">
        <v>0</v>
      </c>
      <c r="S3129" t="str">
        <f t="shared" si="1140"/>
        <v>19:33:54.000</v>
      </c>
      <c r="T3129" t="str">
        <f t="shared" si="1140"/>
        <v>19:33:54.000</v>
      </c>
      <c r="U3129" t="str">
        <f t="shared" si="1123"/>
        <v>AC3944</v>
      </c>
      <c r="V3129">
        <v>0</v>
      </c>
      <c r="W3129">
        <v>0</v>
      </c>
      <c r="X3129">
        <v>2</v>
      </c>
      <c r="Y3129">
        <v>0</v>
      </c>
      <c r="AA3129">
        <v>1</v>
      </c>
      <c r="AB3129">
        <v>8</v>
      </c>
      <c r="AC3129">
        <v>3</v>
      </c>
      <c r="AD3129">
        <v>0</v>
      </c>
      <c r="AE3129">
        <v>9</v>
      </c>
      <c r="AF3129" t="s">
        <v>138</v>
      </c>
      <c r="AG3129">
        <v>0</v>
      </c>
      <c r="AH3129">
        <v>3</v>
      </c>
      <c r="AI3129">
        <v>1</v>
      </c>
      <c r="AJ3129">
        <v>0</v>
      </c>
      <c r="AK3129" t="s">
        <v>1044</v>
      </c>
      <c r="AL3129">
        <v>32.708938000000003</v>
      </c>
      <c r="AM3129" t="s">
        <v>1045</v>
      </c>
      <c r="AN3129">
        <v>-116.759348</v>
      </c>
      <c r="AO3129">
        <v>25</v>
      </c>
      <c r="AP3129">
        <v>3800</v>
      </c>
      <c r="AQ3129" t="s">
        <v>129</v>
      </c>
      <c r="AR3129">
        <v>129</v>
      </c>
      <c r="AS3129">
        <v>-52</v>
      </c>
      <c r="AT3129">
        <v>-448</v>
      </c>
      <c r="BB3129">
        <v>1200</v>
      </c>
      <c r="BC3129">
        <v>1</v>
      </c>
      <c r="BD3129" t="str">
        <f t="shared" si="1124"/>
        <v xml:space="preserve">N887QR  </v>
      </c>
      <c r="BE3129">
        <v>1</v>
      </c>
      <c r="BG3129">
        <v>0</v>
      </c>
      <c r="BH3129">
        <v>0</v>
      </c>
      <c r="BI3129">
        <v>0</v>
      </c>
      <c r="BJ3129">
        <v>3525</v>
      </c>
      <c r="BK3129">
        <v>-275</v>
      </c>
      <c r="BL3129" t="s">
        <v>163</v>
      </c>
      <c r="BM3129">
        <v>1</v>
      </c>
      <c r="BN3129">
        <v>1</v>
      </c>
      <c r="BO3129">
        <v>1</v>
      </c>
      <c r="BP3129">
        <v>0</v>
      </c>
      <c r="BS3129">
        <v>0</v>
      </c>
      <c r="BT3129">
        <v>0</v>
      </c>
      <c r="BU3129">
        <v>0</v>
      </c>
      <c r="CE3129" t="str">
        <f t="shared" si="1141"/>
        <v>19:33:54.841</v>
      </c>
      <c r="CF3129">
        <v>840837374</v>
      </c>
      <c r="CS3129">
        <v>0</v>
      </c>
      <c r="CT3129">
        <v>2</v>
      </c>
      <c r="CU3129">
        <v>0</v>
      </c>
      <c r="CV3129">
        <v>2</v>
      </c>
      <c r="CW3129">
        <v>0</v>
      </c>
      <c r="CX3129">
        <v>2</v>
      </c>
      <c r="CY3129">
        <v>7</v>
      </c>
      <c r="CZ3129" t="s">
        <v>131</v>
      </c>
      <c r="DA3129">
        <v>300</v>
      </c>
      <c r="DB3129">
        <v>0</v>
      </c>
      <c r="DC3129" t="s">
        <v>176</v>
      </c>
      <c r="DD3129" t="s">
        <v>177</v>
      </c>
      <c r="DG3129">
        <v>5430219</v>
      </c>
      <c r="DI3129">
        <v>0</v>
      </c>
      <c r="DJ3129">
        <v>0</v>
      </c>
      <c r="DK3129">
        <v>1</v>
      </c>
      <c r="DL3129">
        <v>0</v>
      </c>
      <c r="DM3129">
        <v>0</v>
      </c>
      <c r="DN3129">
        <v>1</v>
      </c>
      <c r="DO3129">
        <v>0</v>
      </c>
      <c r="DP3129">
        <v>0</v>
      </c>
      <c r="DQ3129">
        <v>0</v>
      </c>
      <c r="DR3129">
        <v>0</v>
      </c>
      <c r="DS3129">
        <v>0</v>
      </c>
    </row>
    <row r="3130" spans="1:123" x14ac:dyDescent="0.3">
      <c r="A3130" t="str">
        <f>"10/04/2022 19:33:55.184"</f>
        <v>10/04/2022 19:33:55.184</v>
      </c>
      <c r="C3130" t="str">
        <f t="shared" si="1135"/>
        <v>FFDFD3C0</v>
      </c>
      <c r="D3130" t="s">
        <v>141</v>
      </c>
      <c r="E3130">
        <v>4</v>
      </c>
      <c r="H3130">
        <v>4</v>
      </c>
      <c r="I3130" t="s">
        <v>142</v>
      </c>
      <c r="J3130" t="s">
        <v>138</v>
      </c>
      <c r="K3130">
        <v>0</v>
      </c>
      <c r="L3130">
        <v>3</v>
      </c>
      <c r="M3130">
        <v>0</v>
      </c>
      <c r="N3130">
        <v>2</v>
      </c>
      <c r="O3130">
        <v>0</v>
      </c>
      <c r="P3130">
        <v>1</v>
      </c>
      <c r="Q3130">
        <v>0</v>
      </c>
      <c r="S3130" t="str">
        <f t="shared" si="1140"/>
        <v>19:33:54.000</v>
      </c>
      <c r="T3130" t="str">
        <f t="shared" si="1140"/>
        <v>19:33:54.000</v>
      </c>
      <c r="U3130" t="str">
        <f t="shared" si="1123"/>
        <v>AC3944</v>
      </c>
      <c r="V3130">
        <v>0</v>
      </c>
      <c r="W3130">
        <v>0</v>
      </c>
      <c r="X3130">
        <v>2</v>
      </c>
      <c r="Y3130">
        <v>0</v>
      </c>
      <c r="AA3130">
        <v>1</v>
      </c>
      <c r="AB3130">
        <v>8</v>
      </c>
      <c r="AC3130">
        <v>3</v>
      </c>
      <c r="AD3130">
        <v>0</v>
      </c>
      <c r="AE3130">
        <v>9</v>
      </c>
      <c r="AF3130" t="s">
        <v>138</v>
      </c>
      <c r="AG3130">
        <v>0</v>
      </c>
      <c r="AH3130">
        <v>3</v>
      </c>
      <c r="AI3130">
        <v>1</v>
      </c>
      <c r="AJ3130">
        <v>0</v>
      </c>
      <c r="AK3130" t="s">
        <v>1044</v>
      </c>
      <c r="AL3130">
        <v>32.708938000000003</v>
      </c>
      <c r="AM3130" t="s">
        <v>1045</v>
      </c>
      <c r="AN3130">
        <v>-116.759348</v>
      </c>
      <c r="AO3130">
        <v>25</v>
      </c>
      <c r="AP3130">
        <v>3800</v>
      </c>
      <c r="AQ3130" t="s">
        <v>129</v>
      </c>
      <c r="AR3130">
        <v>129</v>
      </c>
      <c r="AS3130">
        <v>-52</v>
      </c>
      <c r="AT3130">
        <v>-448</v>
      </c>
      <c r="BB3130">
        <v>1200</v>
      </c>
      <c r="BC3130">
        <v>1</v>
      </c>
      <c r="BD3130" t="str">
        <f t="shared" si="1124"/>
        <v xml:space="preserve">N887QR  </v>
      </c>
      <c r="BE3130">
        <v>1</v>
      </c>
      <c r="BG3130">
        <v>0</v>
      </c>
      <c r="BH3130">
        <v>0</v>
      </c>
      <c r="BI3130">
        <v>0</v>
      </c>
      <c r="BJ3130">
        <v>3525</v>
      </c>
      <c r="BK3130">
        <v>-275</v>
      </c>
      <c r="BL3130" t="s">
        <v>163</v>
      </c>
      <c r="BM3130">
        <v>1</v>
      </c>
      <c r="BN3130">
        <v>1</v>
      </c>
      <c r="BO3130">
        <v>1</v>
      </c>
      <c r="BP3130">
        <v>0</v>
      </c>
      <c r="BS3130">
        <v>0</v>
      </c>
      <c r="BT3130">
        <v>0</v>
      </c>
      <c r="BU3130">
        <v>0</v>
      </c>
      <c r="CE3130" t="str">
        <f t="shared" si="1141"/>
        <v>19:33:54.841</v>
      </c>
      <c r="CF3130">
        <v>840837374</v>
      </c>
      <c r="CS3130">
        <v>0</v>
      </c>
      <c r="CT3130">
        <v>2</v>
      </c>
      <c r="CU3130">
        <v>0</v>
      </c>
      <c r="CV3130">
        <v>2</v>
      </c>
      <c r="CW3130">
        <v>0</v>
      </c>
      <c r="CX3130">
        <v>2</v>
      </c>
      <c r="CY3130">
        <v>7</v>
      </c>
      <c r="CZ3130" t="s">
        <v>131</v>
      </c>
      <c r="DA3130">
        <v>300</v>
      </c>
      <c r="DB3130">
        <v>0</v>
      </c>
      <c r="DC3130" t="s">
        <v>176</v>
      </c>
      <c r="DD3130" t="s">
        <v>177</v>
      </c>
      <c r="DG3130">
        <v>5430219</v>
      </c>
      <c r="DI3130">
        <v>0</v>
      </c>
      <c r="DJ3130">
        <v>0</v>
      </c>
      <c r="DK3130">
        <v>1</v>
      </c>
      <c r="DL3130">
        <v>0</v>
      </c>
      <c r="DM3130">
        <v>0</v>
      </c>
      <c r="DN3130">
        <v>1</v>
      </c>
      <c r="DO3130">
        <v>0</v>
      </c>
      <c r="DP3130">
        <v>0</v>
      </c>
      <c r="DQ3130">
        <v>0</v>
      </c>
      <c r="DR3130">
        <v>0</v>
      </c>
      <c r="DS3130">
        <v>0</v>
      </c>
    </row>
    <row r="3131" spans="1:123" x14ac:dyDescent="0.3">
      <c r="A3131" t="str">
        <f>"10/04/2022 19:33:55.199"</f>
        <v>10/04/2022 19:33:55.199</v>
      </c>
      <c r="C3131" t="str">
        <f t="shared" si="1135"/>
        <v>FFDFD3C0</v>
      </c>
      <c r="D3131" t="s">
        <v>143</v>
      </c>
      <c r="E3131">
        <v>20</v>
      </c>
      <c r="F3131">
        <v>1020</v>
      </c>
      <c r="G3131" t="s">
        <v>144</v>
      </c>
      <c r="J3131" t="s">
        <v>145</v>
      </c>
      <c r="K3131">
        <v>0</v>
      </c>
      <c r="L3131">
        <v>3</v>
      </c>
      <c r="M3131">
        <v>0</v>
      </c>
      <c r="N3131">
        <v>2</v>
      </c>
      <c r="O3131">
        <v>0</v>
      </c>
      <c r="P3131">
        <v>1</v>
      </c>
      <c r="Q3131">
        <v>0</v>
      </c>
      <c r="S3131" t="str">
        <f t="shared" si="1140"/>
        <v>19:33:54.000</v>
      </c>
      <c r="T3131" t="str">
        <f t="shared" si="1140"/>
        <v>19:33:54.000</v>
      </c>
      <c r="U3131" t="str">
        <f t="shared" si="1123"/>
        <v>AC3944</v>
      </c>
      <c r="V3131">
        <v>0</v>
      </c>
      <c r="W3131">
        <v>0</v>
      </c>
      <c r="X3131">
        <v>2</v>
      </c>
      <c r="Y3131">
        <v>0</v>
      </c>
      <c r="AA3131">
        <v>1</v>
      </c>
      <c r="AB3131">
        <v>8</v>
      </c>
      <c r="AC3131">
        <v>3</v>
      </c>
      <c r="AD3131">
        <v>0</v>
      </c>
      <c r="AE3131">
        <v>9</v>
      </c>
      <c r="AF3131" t="s">
        <v>138</v>
      </c>
      <c r="AG3131">
        <v>0</v>
      </c>
      <c r="AH3131">
        <v>3</v>
      </c>
      <c r="AI3131">
        <v>1</v>
      </c>
      <c r="AJ3131">
        <v>0</v>
      </c>
      <c r="AK3131" t="s">
        <v>1044</v>
      </c>
      <c r="AL3131">
        <v>32.708938000000003</v>
      </c>
      <c r="AM3131" t="s">
        <v>1045</v>
      </c>
      <c r="AN3131">
        <v>-116.759348</v>
      </c>
      <c r="AO3131">
        <v>25</v>
      </c>
      <c r="AP3131">
        <v>3800</v>
      </c>
      <c r="AQ3131" t="s">
        <v>129</v>
      </c>
      <c r="AR3131">
        <v>129</v>
      </c>
      <c r="AS3131">
        <v>-52</v>
      </c>
      <c r="AT3131">
        <v>-448</v>
      </c>
      <c r="BB3131">
        <v>1200</v>
      </c>
      <c r="BC3131">
        <v>1</v>
      </c>
      <c r="BD3131" t="str">
        <f t="shared" si="1124"/>
        <v xml:space="preserve">N887QR  </v>
      </c>
      <c r="BE3131">
        <v>1</v>
      </c>
      <c r="BG3131">
        <v>0</v>
      </c>
      <c r="BH3131">
        <v>0</v>
      </c>
      <c r="BI3131">
        <v>0</v>
      </c>
      <c r="BJ3131">
        <v>3525</v>
      </c>
      <c r="BK3131">
        <v>-275</v>
      </c>
      <c r="BL3131" t="s">
        <v>163</v>
      </c>
      <c r="BM3131">
        <v>1</v>
      </c>
      <c r="BN3131">
        <v>1</v>
      </c>
      <c r="BO3131">
        <v>1</v>
      </c>
      <c r="BP3131">
        <v>0</v>
      </c>
      <c r="BS3131">
        <v>0</v>
      </c>
      <c r="BT3131">
        <v>0</v>
      </c>
      <c r="BU3131">
        <v>0</v>
      </c>
      <c r="CE3131" t="str">
        <f t="shared" si="1141"/>
        <v>19:33:54.841</v>
      </c>
      <c r="CF3131">
        <v>840837374</v>
      </c>
      <c r="CS3131">
        <v>0</v>
      </c>
      <c r="CT3131">
        <v>2</v>
      </c>
      <c r="CU3131">
        <v>0</v>
      </c>
      <c r="CV3131">
        <v>2</v>
      </c>
      <c r="CW3131">
        <v>0</v>
      </c>
      <c r="CX3131">
        <v>2</v>
      </c>
      <c r="CY3131">
        <v>7</v>
      </c>
      <c r="CZ3131" t="s">
        <v>131</v>
      </c>
      <c r="DA3131">
        <v>300</v>
      </c>
      <c r="DB3131">
        <v>0</v>
      </c>
      <c r="DC3131" t="s">
        <v>176</v>
      </c>
      <c r="DD3131" t="s">
        <v>177</v>
      </c>
      <c r="DG3131">
        <v>5430219</v>
      </c>
      <c r="DI3131">
        <v>0</v>
      </c>
      <c r="DJ3131">
        <v>0</v>
      </c>
      <c r="DK3131">
        <v>1</v>
      </c>
      <c r="DL3131">
        <v>0</v>
      </c>
      <c r="DM3131">
        <v>0</v>
      </c>
      <c r="DN3131">
        <v>1</v>
      </c>
      <c r="DO3131">
        <v>0</v>
      </c>
      <c r="DP3131">
        <v>0</v>
      </c>
      <c r="DQ3131">
        <v>0</v>
      </c>
      <c r="DR3131">
        <v>0</v>
      </c>
      <c r="DS3131">
        <v>0</v>
      </c>
    </row>
    <row r="3132" spans="1:123" x14ac:dyDescent="0.3">
      <c r="A3132" t="str">
        <f>"10/04/2022 19:33:55.199"</f>
        <v>10/04/2022 19:33:55.199</v>
      </c>
      <c r="C3132" t="str">
        <f t="shared" si="1135"/>
        <v>FFDFD3C0</v>
      </c>
      <c r="D3132" t="s">
        <v>123</v>
      </c>
      <c r="E3132">
        <v>7</v>
      </c>
      <c r="F3132">
        <v>2007</v>
      </c>
      <c r="G3132" t="s">
        <v>124</v>
      </c>
      <c r="J3132" t="s">
        <v>125</v>
      </c>
      <c r="K3132">
        <v>0</v>
      </c>
      <c r="L3132">
        <v>3</v>
      </c>
      <c r="M3132">
        <v>0</v>
      </c>
      <c r="N3132">
        <v>2</v>
      </c>
      <c r="O3132">
        <v>0</v>
      </c>
      <c r="P3132">
        <v>1</v>
      </c>
      <c r="Q3132">
        <v>0</v>
      </c>
      <c r="S3132" t="str">
        <f t="shared" si="1140"/>
        <v>19:33:54.000</v>
      </c>
      <c r="T3132" t="str">
        <f t="shared" si="1140"/>
        <v>19:33:54.000</v>
      </c>
      <c r="U3132" t="str">
        <f t="shared" si="1123"/>
        <v>AC3944</v>
      </c>
      <c r="V3132">
        <v>0</v>
      </c>
      <c r="W3132">
        <v>0</v>
      </c>
      <c r="X3132">
        <v>2</v>
      </c>
      <c r="Y3132">
        <v>0</v>
      </c>
      <c r="AA3132">
        <v>1</v>
      </c>
      <c r="AB3132">
        <v>8</v>
      </c>
      <c r="AC3132">
        <v>3</v>
      </c>
      <c r="AD3132">
        <v>0</v>
      </c>
      <c r="AE3132">
        <v>9</v>
      </c>
      <c r="AF3132" t="s">
        <v>138</v>
      </c>
      <c r="AG3132">
        <v>0</v>
      </c>
      <c r="AH3132">
        <v>3</v>
      </c>
      <c r="AI3132">
        <v>1</v>
      </c>
      <c r="AJ3132">
        <v>0</v>
      </c>
      <c r="AK3132" t="s">
        <v>1044</v>
      </c>
      <c r="AL3132">
        <v>32.708938000000003</v>
      </c>
      <c r="AM3132" t="s">
        <v>1045</v>
      </c>
      <c r="AN3132">
        <v>-116.759348</v>
      </c>
      <c r="AO3132">
        <v>25</v>
      </c>
      <c r="AP3132">
        <v>3800</v>
      </c>
      <c r="AQ3132" t="s">
        <v>129</v>
      </c>
      <c r="AR3132">
        <v>129</v>
      </c>
      <c r="AS3132">
        <v>-52</v>
      </c>
      <c r="AT3132">
        <v>-448</v>
      </c>
      <c r="BB3132">
        <v>1200</v>
      </c>
      <c r="BC3132">
        <v>1</v>
      </c>
      <c r="BD3132" t="str">
        <f t="shared" si="1124"/>
        <v xml:space="preserve">N887QR  </v>
      </c>
      <c r="BE3132">
        <v>1</v>
      </c>
      <c r="BG3132">
        <v>0</v>
      </c>
      <c r="BH3132">
        <v>0</v>
      </c>
      <c r="BI3132">
        <v>0</v>
      </c>
      <c r="BJ3132">
        <v>3525</v>
      </c>
      <c r="BK3132">
        <v>-275</v>
      </c>
      <c r="BL3132" t="s">
        <v>163</v>
      </c>
      <c r="BM3132">
        <v>1</v>
      </c>
      <c r="BN3132">
        <v>1</v>
      </c>
      <c r="BO3132">
        <v>1</v>
      </c>
      <c r="BP3132">
        <v>0</v>
      </c>
      <c r="BS3132">
        <v>0</v>
      </c>
      <c r="BT3132">
        <v>0</v>
      </c>
      <c r="BU3132">
        <v>0</v>
      </c>
      <c r="CE3132" t="str">
        <f t="shared" si="1141"/>
        <v>19:33:54.841</v>
      </c>
      <c r="CF3132">
        <v>840837374</v>
      </c>
      <c r="CS3132">
        <v>0</v>
      </c>
      <c r="CT3132">
        <v>2</v>
      </c>
      <c r="CU3132">
        <v>0</v>
      </c>
      <c r="CV3132">
        <v>2</v>
      </c>
      <c r="CW3132">
        <v>0</v>
      </c>
      <c r="CX3132">
        <v>2</v>
      </c>
      <c r="CY3132">
        <v>7</v>
      </c>
      <c r="CZ3132" t="s">
        <v>131</v>
      </c>
      <c r="DA3132">
        <v>300</v>
      </c>
      <c r="DB3132">
        <v>0</v>
      </c>
      <c r="DC3132" t="s">
        <v>176</v>
      </c>
      <c r="DD3132" t="s">
        <v>177</v>
      </c>
      <c r="DG3132">
        <v>5430219</v>
      </c>
      <c r="DI3132">
        <v>0</v>
      </c>
      <c r="DJ3132">
        <v>0</v>
      </c>
      <c r="DK3132">
        <v>1</v>
      </c>
      <c r="DL3132">
        <v>0</v>
      </c>
      <c r="DM3132">
        <v>0</v>
      </c>
      <c r="DN3132">
        <v>1</v>
      </c>
      <c r="DO3132">
        <v>0</v>
      </c>
      <c r="DP3132">
        <v>0</v>
      </c>
      <c r="DQ3132">
        <v>0</v>
      </c>
      <c r="DR3132">
        <v>0</v>
      </c>
      <c r="DS3132">
        <v>0</v>
      </c>
    </row>
    <row r="3133" spans="1:123" x14ac:dyDescent="0.3">
      <c r="A3133" t="str">
        <f>"10/04/2022 19:33:55.199"</f>
        <v>10/04/2022 19:33:55.199</v>
      </c>
      <c r="C3133" t="str">
        <f t="shared" si="1135"/>
        <v>FFDFD3C0</v>
      </c>
      <c r="D3133" t="s">
        <v>136</v>
      </c>
      <c r="E3133">
        <v>8</v>
      </c>
      <c r="H3133">
        <v>225</v>
      </c>
      <c r="I3133" t="s">
        <v>137</v>
      </c>
      <c r="J3133" t="s">
        <v>138</v>
      </c>
      <c r="K3133">
        <v>0</v>
      </c>
      <c r="L3133">
        <v>3</v>
      </c>
      <c r="M3133">
        <v>0</v>
      </c>
      <c r="N3133">
        <v>2</v>
      </c>
      <c r="O3133">
        <v>0</v>
      </c>
      <c r="P3133">
        <v>1</v>
      </c>
      <c r="Q3133">
        <v>0</v>
      </c>
      <c r="S3133" t="str">
        <f t="shared" si="1140"/>
        <v>19:33:54.000</v>
      </c>
      <c r="T3133" t="str">
        <f t="shared" si="1140"/>
        <v>19:33:54.000</v>
      </c>
      <c r="U3133" t="str">
        <f t="shared" si="1123"/>
        <v>AC3944</v>
      </c>
      <c r="V3133">
        <v>0</v>
      </c>
      <c r="W3133">
        <v>0</v>
      </c>
      <c r="X3133">
        <v>2</v>
      </c>
      <c r="Y3133">
        <v>0</v>
      </c>
      <c r="AA3133">
        <v>1</v>
      </c>
      <c r="AB3133">
        <v>8</v>
      </c>
      <c r="AC3133">
        <v>3</v>
      </c>
      <c r="AD3133">
        <v>0</v>
      </c>
      <c r="AE3133">
        <v>9</v>
      </c>
      <c r="AF3133" t="s">
        <v>138</v>
      </c>
      <c r="AG3133">
        <v>0</v>
      </c>
      <c r="AH3133">
        <v>3</v>
      </c>
      <c r="AI3133">
        <v>1</v>
      </c>
      <c r="AJ3133">
        <v>0</v>
      </c>
      <c r="AK3133" t="s">
        <v>1044</v>
      </c>
      <c r="AL3133">
        <v>32.708938000000003</v>
      </c>
      <c r="AM3133" t="s">
        <v>1045</v>
      </c>
      <c r="AN3133">
        <v>-116.759348</v>
      </c>
      <c r="AO3133">
        <v>25</v>
      </c>
      <c r="AP3133">
        <v>3800</v>
      </c>
      <c r="AQ3133" t="s">
        <v>129</v>
      </c>
      <c r="AR3133">
        <v>129</v>
      </c>
      <c r="AS3133">
        <v>-52</v>
      </c>
      <c r="AT3133">
        <v>-448</v>
      </c>
      <c r="BB3133">
        <v>1200</v>
      </c>
      <c r="BC3133">
        <v>1</v>
      </c>
      <c r="BD3133" t="str">
        <f t="shared" si="1124"/>
        <v xml:space="preserve">N887QR  </v>
      </c>
      <c r="BE3133">
        <v>1</v>
      </c>
      <c r="BG3133">
        <v>0</v>
      </c>
      <c r="BH3133">
        <v>0</v>
      </c>
      <c r="BI3133">
        <v>0</v>
      </c>
      <c r="BJ3133">
        <v>3525</v>
      </c>
      <c r="BK3133">
        <v>-275</v>
      </c>
      <c r="BL3133" t="s">
        <v>163</v>
      </c>
      <c r="BM3133">
        <v>1</v>
      </c>
      <c r="BN3133">
        <v>1</v>
      </c>
      <c r="BO3133">
        <v>1</v>
      </c>
      <c r="BP3133">
        <v>0</v>
      </c>
      <c r="BS3133">
        <v>0</v>
      </c>
      <c r="BT3133">
        <v>0</v>
      </c>
      <c r="BU3133">
        <v>0</v>
      </c>
      <c r="CE3133" t="str">
        <f t="shared" si="1141"/>
        <v>19:33:54.841</v>
      </c>
      <c r="CF3133">
        <v>840837374</v>
      </c>
      <c r="CS3133">
        <v>0</v>
      </c>
      <c r="CT3133">
        <v>2</v>
      </c>
      <c r="CU3133">
        <v>0</v>
      </c>
      <c r="CV3133">
        <v>2</v>
      </c>
      <c r="CW3133">
        <v>0</v>
      </c>
      <c r="CX3133">
        <v>2</v>
      </c>
      <c r="CY3133">
        <v>7</v>
      </c>
      <c r="CZ3133" t="s">
        <v>131</v>
      </c>
      <c r="DA3133">
        <v>300</v>
      </c>
      <c r="DB3133">
        <v>0</v>
      </c>
      <c r="DC3133" t="s">
        <v>176</v>
      </c>
      <c r="DD3133" t="s">
        <v>177</v>
      </c>
      <c r="DG3133">
        <v>5430219</v>
      </c>
      <c r="DI3133">
        <v>0</v>
      </c>
      <c r="DJ3133">
        <v>0</v>
      </c>
      <c r="DK3133">
        <v>1</v>
      </c>
      <c r="DL3133">
        <v>0</v>
      </c>
      <c r="DM3133">
        <v>0</v>
      </c>
      <c r="DN3133">
        <v>1</v>
      </c>
      <c r="DO3133">
        <v>0</v>
      </c>
      <c r="DP3133">
        <v>0</v>
      </c>
      <c r="DQ3133">
        <v>0</v>
      </c>
      <c r="DR3133">
        <v>0</v>
      </c>
      <c r="DS3133">
        <v>0</v>
      </c>
    </row>
    <row r="3134" spans="1:123" x14ac:dyDescent="0.3">
      <c r="A3134" t="str">
        <f>"10/04/2022 19:33:55.293"</f>
        <v>10/04/2022 19:33:55.293</v>
      </c>
      <c r="C3134" t="str">
        <f t="shared" si="1135"/>
        <v>FFDFD3C0</v>
      </c>
      <c r="D3134" t="s">
        <v>134</v>
      </c>
      <c r="E3134">
        <v>15</v>
      </c>
      <c r="J3134" t="s">
        <v>135</v>
      </c>
      <c r="K3134">
        <v>0</v>
      </c>
      <c r="L3134">
        <v>3</v>
      </c>
      <c r="M3134">
        <v>0</v>
      </c>
      <c r="N3134">
        <v>2</v>
      </c>
      <c r="O3134">
        <v>0</v>
      </c>
      <c r="P3134">
        <v>1</v>
      </c>
      <c r="Q3134">
        <v>0</v>
      </c>
      <c r="S3134" t="str">
        <f t="shared" si="1140"/>
        <v>19:33:54.000</v>
      </c>
      <c r="T3134" t="str">
        <f t="shared" si="1140"/>
        <v>19:33:54.000</v>
      </c>
      <c r="U3134" t="str">
        <f t="shared" si="1123"/>
        <v>AC3944</v>
      </c>
      <c r="V3134">
        <v>0</v>
      </c>
      <c r="W3134">
        <v>0</v>
      </c>
      <c r="X3134">
        <v>2</v>
      </c>
      <c r="Y3134">
        <v>0</v>
      </c>
      <c r="AA3134">
        <v>1</v>
      </c>
      <c r="AB3134">
        <v>8</v>
      </c>
      <c r="AC3134">
        <v>3</v>
      </c>
      <c r="AD3134">
        <v>0</v>
      </c>
      <c r="AE3134">
        <v>9</v>
      </c>
      <c r="AF3134" t="s">
        <v>138</v>
      </c>
      <c r="AG3134">
        <v>0</v>
      </c>
      <c r="AH3134">
        <v>3</v>
      </c>
      <c r="AI3134">
        <v>1</v>
      </c>
      <c r="AJ3134">
        <v>0</v>
      </c>
      <c r="AK3134" t="s">
        <v>1044</v>
      </c>
      <c r="AL3134">
        <v>32.708938000000003</v>
      </c>
      <c r="AM3134" t="s">
        <v>1045</v>
      </c>
      <c r="AN3134">
        <v>-116.759348</v>
      </c>
      <c r="AO3134">
        <v>25</v>
      </c>
      <c r="AP3134">
        <v>3800</v>
      </c>
      <c r="AQ3134" t="s">
        <v>129</v>
      </c>
      <c r="AR3134">
        <v>129</v>
      </c>
      <c r="AS3134">
        <v>-52</v>
      </c>
      <c r="AT3134">
        <v>-448</v>
      </c>
      <c r="BB3134">
        <v>1200</v>
      </c>
      <c r="BC3134">
        <v>1</v>
      </c>
      <c r="BD3134" t="str">
        <f t="shared" si="1124"/>
        <v xml:space="preserve">N887QR  </v>
      </c>
      <c r="BE3134">
        <v>1</v>
      </c>
      <c r="BG3134">
        <v>0</v>
      </c>
      <c r="BH3134">
        <v>0</v>
      </c>
      <c r="BI3134">
        <v>0</v>
      </c>
      <c r="BJ3134">
        <v>3525</v>
      </c>
      <c r="BK3134">
        <v>-275</v>
      </c>
      <c r="BL3134" t="s">
        <v>163</v>
      </c>
      <c r="BM3134">
        <v>1</v>
      </c>
      <c r="BN3134">
        <v>1</v>
      </c>
      <c r="BO3134">
        <v>1</v>
      </c>
      <c r="BP3134">
        <v>0</v>
      </c>
      <c r="BS3134">
        <v>0</v>
      </c>
      <c r="BT3134">
        <v>0</v>
      </c>
      <c r="BU3134">
        <v>0</v>
      </c>
      <c r="CE3134" t="str">
        <f t="shared" si="1141"/>
        <v>19:33:54.841</v>
      </c>
      <c r="CF3134">
        <v>840837374</v>
      </c>
      <c r="CS3134">
        <v>0</v>
      </c>
      <c r="CT3134">
        <v>2</v>
      </c>
      <c r="CU3134">
        <v>0</v>
      </c>
      <c r="CV3134">
        <v>2</v>
      </c>
      <c r="CW3134">
        <v>0</v>
      </c>
      <c r="CX3134">
        <v>2</v>
      </c>
      <c r="CY3134">
        <v>7</v>
      </c>
      <c r="CZ3134" t="s">
        <v>131</v>
      </c>
      <c r="DA3134">
        <v>300</v>
      </c>
      <c r="DB3134">
        <v>0</v>
      </c>
      <c r="DC3134" t="s">
        <v>176</v>
      </c>
      <c r="DD3134" t="s">
        <v>177</v>
      </c>
      <c r="DG3134">
        <v>5430219</v>
      </c>
      <c r="DI3134">
        <v>0</v>
      </c>
      <c r="DJ3134">
        <v>0</v>
      </c>
      <c r="DK3134">
        <v>1</v>
      </c>
      <c r="DL3134">
        <v>0</v>
      </c>
      <c r="DM3134">
        <v>0</v>
      </c>
      <c r="DN3134">
        <v>1</v>
      </c>
      <c r="DO3134">
        <v>0</v>
      </c>
      <c r="DP3134">
        <v>0</v>
      </c>
      <c r="DQ3134">
        <v>0</v>
      </c>
      <c r="DR3134">
        <v>0</v>
      </c>
      <c r="DS3134">
        <v>0</v>
      </c>
    </row>
    <row r="3135" spans="1:123" x14ac:dyDescent="0.3">
      <c r="A3135" t="str">
        <f>"10/04/2022 19:33:56.291"</f>
        <v>10/04/2022 19:33:56.291</v>
      </c>
      <c r="C3135" t="str">
        <f t="shared" si="1135"/>
        <v>FFDFD3C0</v>
      </c>
      <c r="D3135" t="s">
        <v>141</v>
      </c>
      <c r="E3135">
        <v>3</v>
      </c>
      <c r="H3135">
        <v>3</v>
      </c>
      <c r="I3135" t="s">
        <v>146</v>
      </c>
      <c r="J3135" t="s">
        <v>138</v>
      </c>
      <c r="K3135">
        <v>0</v>
      </c>
      <c r="L3135">
        <v>3</v>
      </c>
      <c r="M3135">
        <v>0</v>
      </c>
      <c r="N3135">
        <v>2</v>
      </c>
      <c r="O3135">
        <v>0</v>
      </c>
      <c r="P3135">
        <v>1</v>
      </c>
      <c r="Q3135">
        <v>0</v>
      </c>
      <c r="S3135" t="str">
        <f t="shared" ref="S3135:T3141" si="1142">"19:33:56.000"</f>
        <v>19:33:56.000</v>
      </c>
      <c r="T3135" t="str">
        <f t="shared" si="1142"/>
        <v>19:33:56.000</v>
      </c>
      <c r="U3135" t="str">
        <f t="shared" si="1123"/>
        <v>AC3944</v>
      </c>
      <c r="V3135">
        <v>0</v>
      </c>
      <c r="W3135">
        <v>0</v>
      </c>
      <c r="X3135">
        <v>2</v>
      </c>
      <c r="Y3135">
        <v>0</v>
      </c>
      <c r="AA3135">
        <v>1</v>
      </c>
      <c r="AB3135">
        <v>8</v>
      </c>
      <c r="AC3135">
        <v>3</v>
      </c>
      <c r="AD3135">
        <v>0</v>
      </c>
      <c r="AE3135">
        <v>9</v>
      </c>
      <c r="AF3135" t="s">
        <v>138</v>
      </c>
      <c r="AG3135">
        <v>0</v>
      </c>
      <c r="AH3135">
        <v>3</v>
      </c>
      <c r="AI3135">
        <v>1</v>
      </c>
      <c r="AJ3135">
        <v>0</v>
      </c>
      <c r="AK3135" t="s">
        <v>1046</v>
      </c>
      <c r="AL3135">
        <v>32.708702000000002</v>
      </c>
      <c r="AM3135" t="s">
        <v>1047</v>
      </c>
      <c r="AN3135">
        <v>-116.758618</v>
      </c>
      <c r="AO3135">
        <v>25</v>
      </c>
      <c r="AP3135">
        <v>3800</v>
      </c>
      <c r="AQ3135" t="s">
        <v>129</v>
      </c>
      <c r="AR3135">
        <v>138</v>
      </c>
      <c r="AS3135">
        <v>-29</v>
      </c>
      <c r="AT3135">
        <v>-448</v>
      </c>
      <c r="BB3135">
        <v>1200</v>
      </c>
      <c r="BC3135">
        <v>1</v>
      </c>
      <c r="BD3135" t="str">
        <f t="shared" si="1124"/>
        <v xml:space="preserve">N887QR  </v>
      </c>
      <c r="BE3135">
        <v>1</v>
      </c>
      <c r="BG3135">
        <v>0</v>
      </c>
      <c r="BH3135">
        <v>0</v>
      </c>
      <c r="BI3135">
        <v>0</v>
      </c>
      <c r="BJ3135">
        <v>3525</v>
      </c>
      <c r="BK3135">
        <v>-275</v>
      </c>
      <c r="BL3135" t="s">
        <v>163</v>
      </c>
      <c r="BM3135">
        <v>1</v>
      </c>
      <c r="BN3135">
        <v>1</v>
      </c>
      <c r="BO3135">
        <v>1</v>
      </c>
      <c r="BP3135">
        <v>0</v>
      </c>
      <c r="BS3135">
        <v>0</v>
      </c>
      <c r="BT3135">
        <v>0</v>
      </c>
      <c r="BU3135">
        <v>0</v>
      </c>
      <c r="CE3135" t="str">
        <f t="shared" ref="CE3135:CE3141" si="1143">"19:33:56.000"</f>
        <v>19:33:56.000</v>
      </c>
      <c r="CF3135">
        <v>341237</v>
      </c>
      <c r="CS3135">
        <v>0</v>
      </c>
      <c r="CT3135">
        <v>2</v>
      </c>
      <c r="CU3135">
        <v>0</v>
      </c>
      <c r="CV3135">
        <v>2</v>
      </c>
      <c r="CW3135">
        <v>0</v>
      </c>
      <c r="CX3135">
        <v>1</v>
      </c>
      <c r="CY3135">
        <v>7</v>
      </c>
      <c r="CZ3135" t="s">
        <v>131</v>
      </c>
      <c r="DA3135">
        <v>300</v>
      </c>
      <c r="DB3135">
        <v>0</v>
      </c>
      <c r="DC3135" t="s">
        <v>176</v>
      </c>
      <c r="DD3135" t="s">
        <v>177</v>
      </c>
      <c r="DG3135">
        <v>5430406</v>
      </c>
      <c r="DI3135">
        <v>0</v>
      </c>
      <c r="DJ3135">
        <v>0</v>
      </c>
      <c r="DK3135">
        <v>0</v>
      </c>
      <c r="DL3135">
        <v>0</v>
      </c>
      <c r="DM3135">
        <v>0</v>
      </c>
      <c r="DN3135">
        <v>1</v>
      </c>
      <c r="DO3135">
        <v>0</v>
      </c>
      <c r="DP3135">
        <v>0</v>
      </c>
      <c r="DQ3135">
        <v>0</v>
      </c>
      <c r="DR3135">
        <v>0</v>
      </c>
      <c r="DS3135">
        <v>0</v>
      </c>
    </row>
    <row r="3136" spans="1:123" x14ac:dyDescent="0.3">
      <c r="A3136" t="str">
        <f>"10/04/2022 19:33:56.291"</f>
        <v>10/04/2022 19:33:56.291</v>
      </c>
      <c r="C3136" t="str">
        <f t="shared" si="1135"/>
        <v>FFDFD3C0</v>
      </c>
      <c r="D3136" t="s">
        <v>141</v>
      </c>
      <c r="E3136">
        <v>4</v>
      </c>
      <c r="H3136">
        <v>4</v>
      </c>
      <c r="I3136" t="s">
        <v>142</v>
      </c>
      <c r="J3136" t="s">
        <v>138</v>
      </c>
      <c r="K3136">
        <v>0</v>
      </c>
      <c r="L3136">
        <v>3</v>
      </c>
      <c r="M3136">
        <v>0</v>
      </c>
      <c r="N3136">
        <v>2</v>
      </c>
      <c r="O3136">
        <v>0</v>
      </c>
      <c r="P3136">
        <v>1</v>
      </c>
      <c r="Q3136">
        <v>0</v>
      </c>
      <c r="S3136" t="str">
        <f t="shared" si="1142"/>
        <v>19:33:56.000</v>
      </c>
      <c r="T3136" t="str">
        <f t="shared" si="1142"/>
        <v>19:33:56.000</v>
      </c>
      <c r="U3136" t="str">
        <f t="shared" si="1123"/>
        <v>AC3944</v>
      </c>
      <c r="V3136">
        <v>0</v>
      </c>
      <c r="W3136">
        <v>0</v>
      </c>
      <c r="X3136">
        <v>2</v>
      </c>
      <c r="Y3136">
        <v>0</v>
      </c>
      <c r="AA3136">
        <v>1</v>
      </c>
      <c r="AB3136">
        <v>8</v>
      </c>
      <c r="AC3136">
        <v>3</v>
      </c>
      <c r="AD3136">
        <v>0</v>
      </c>
      <c r="AE3136">
        <v>9</v>
      </c>
      <c r="AF3136" t="s">
        <v>138</v>
      </c>
      <c r="AG3136">
        <v>0</v>
      </c>
      <c r="AH3136">
        <v>3</v>
      </c>
      <c r="AI3136">
        <v>1</v>
      </c>
      <c r="AJ3136">
        <v>0</v>
      </c>
      <c r="AK3136" t="s">
        <v>1046</v>
      </c>
      <c r="AL3136">
        <v>32.708702000000002</v>
      </c>
      <c r="AM3136" t="s">
        <v>1047</v>
      </c>
      <c r="AN3136">
        <v>-116.758618</v>
      </c>
      <c r="AO3136">
        <v>25</v>
      </c>
      <c r="AP3136">
        <v>3800</v>
      </c>
      <c r="AQ3136" t="s">
        <v>129</v>
      </c>
      <c r="AR3136">
        <v>138</v>
      </c>
      <c r="AS3136">
        <v>-29</v>
      </c>
      <c r="AT3136">
        <v>-448</v>
      </c>
      <c r="BB3136">
        <v>1200</v>
      </c>
      <c r="BC3136">
        <v>1</v>
      </c>
      <c r="BD3136" t="str">
        <f t="shared" si="1124"/>
        <v xml:space="preserve">N887QR  </v>
      </c>
      <c r="BE3136">
        <v>1</v>
      </c>
      <c r="BG3136">
        <v>0</v>
      </c>
      <c r="BH3136">
        <v>0</v>
      </c>
      <c r="BI3136">
        <v>0</v>
      </c>
      <c r="BJ3136">
        <v>3525</v>
      </c>
      <c r="BK3136">
        <v>-275</v>
      </c>
      <c r="BL3136" t="s">
        <v>163</v>
      </c>
      <c r="BM3136">
        <v>1</v>
      </c>
      <c r="BN3136">
        <v>1</v>
      </c>
      <c r="BO3136">
        <v>1</v>
      </c>
      <c r="BP3136">
        <v>0</v>
      </c>
      <c r="BS3136">
        <v>0</v>
      </c>
      <c r="BT3136">
        <v>0</v>
      </c>
      <c r="BU3136">
        <v>0</v>
      </c>
      <c r="CE3136" t="str">
        <f t="shared" si="1143"/>
        <v>19:33:56.000</v>
      </c>
      <c r="CF3136">
        <v>341237</v>
      </c>
      <c r="CS3136">
        <v>0</v>
      </c>
      <c r="CT3136">
        <v>2</v>
      </c>
      <c r="CU3136">
        <v>0</v>
      </c>
      <c r="CV3136">
        <v>2</v>
      </c>
      <c r="CW3136">
        <v>0</v>
      </c>
      <c r="CX3136">
        <v>1</v>
      </c>
      <c r="CY3136">
        <v>7</v>
      </c>
      <c r="CZ3136" t="s">
        <v>131</v>
      </c>
      <c r="DA3136">
        <v>300</v>
      </c>
      <c r="DB3136">
        <v>0</v>
      </c>
      <c r="DC3136" t="s">
        <v>176</v>
      </c>
      <c r="DD3136" t="s">
        <v>177</v>
      </c>
      <c r="DG3136">
        <v>5430406</v>
      </c>
      <c r="DI3136">
        <v>0</v>
      </c>
      <c r="DJ3136">
        <v>0</v>
      </c>
      <c r="DK3136">
        <v>1</v>
      </c>
      <c r="DL3136">
        <v>0</v>
      </c>
      <c r="DM3136">
        <v>0</v>
      </c>
      <c r="DN3136">
        <v>1</v>
      </c>
      <c r="DO3136">
        <v>0</v>
      </c>
      <c r="DP3136">
        <v>0</v>
      </c>
      <c r="DQ3136">
        <v>0</v>
      </c>
      <c r="DR3136">
        <v>0</v>
      </c>
      <c r="DS3136">
        <v>0</v>
      </c>
    </row>
    <row r="3137" spans="1:123" x14ac:dyDescent="0.3">
      <c r="A3137" t="str">
        <f>"10/04/2022 19:33:56.354"</f>
        <v>10/04/2022 19:33:56.354</v>
      </c>
      <c r="C3137" t="str">
        <f t="shared" si="1135"/>
        <v>FFDFD3C0</v>
      </c>
      <c r="D3137" t="s">
        <v>143</v>
      </c>
      <c r="E3137">
        <v>20</v>
      </c>
      <c r="F3137">
        <v>1020</v>
      </c>
      <c r="G3137" t="s">
        <v>144</v>
      </c>
      <c r="J3137" t="s">
        <v>145</v>
      </c>
      <c r="K3137">
        <v>0</v>
      </c>
      <c r="L3137">
        <v>3</v>
      </c>
      <c r="M3137">
        <v>0</v>
      </c>
      <c r="N3137">
        <v>2</v>
      </c>
      <c r="O3137">
        <v>0</v>
      </c>
      <c r="P3137">
        <v>1</v>
      </c>
      <c r="Q3137">
        <v>0</v>
      </c>
      <c r="S3137" t="str">
        <f t="shared" si="1142"/>
        <v>19:33:56.000</v>
      </c>
      <c r="T3137" t="str">
        <f t="shared" si="1142"/>
        <v>19:33:56.000</v>
      </c>
      <c r="U3137" t="str">
        <f t="shared" si="1123"/>
        <v>AC3944</v>
      </c>
      <c r="V3137">
        <v>0</v>
      </c>
      <c r="W3137">
        <v>0</v>
      </c>
      <c r="X3137">
        <v>2</v>
      </c>
      <c r="Y3137">
        <v>0</v>
      </c>
      <c r="AA3137">
        <v>1</v>
      </c>
      <c r="AB3137">
        <v>8</v>
      </c>
      <c r="AC3137">
        <v>3</v>
      </c>
      <c r="AD3137">
        <v>0</v>
      </c>
      <c r="AE3137">
        <v>9</v>
      </c>
      <c r="AF3137" t="s">
        <v>138</v>
      </c>
      <c r="AG3137">
        <v>0</v>
      </c>
      <c r="AH3137">
        <v>3</v>
      </c>
      <c r="AI3137">
        <v>1</v>
      </c>
      <c r="AJ3137">
        <v>0</v>
      </c>
      <c r="AK3137" t="s">
        <v>1046</v>
      </c>
      <c r="AL3137">
        <v>32.708702000000002</v>
      </c>
      <c r="AM3137" t="s">
        <v>1047</v>
      </c>
      <c r="AN3137">
        <v>-116.758618</v>
      </c>
      <c r="AO3137">
        <v>25</v>
      </c>
      <c r="AP3137">
        <v>3800</v>
      </c>
      <c r="AQ3137" t="s">
        <v>129</v>
      </c>
      <c r="AR3137">
        <v>138</v>
      </c>
      <c r="AS3137">
        <v>-29</v>
      </c>
      <c r="AT3137">
        <v>-448</v>
      </c>
      <c r="BB3137">
        <v>1200</v>
      </c>
      <c r="BC3137">
        <v>1</v>
      </c>
      <c r="BD3137" t="str">
        <f t="shared" si="1124"/>
        <v xml:space="preserve">N887QR  </v>
      </c>
      <c r="BE3137">
        <v>1</v>
      </c>
      <c r="BG3137">
        <v>0</v>
      </c>
      <c r="BH3137">
        <v>0</v>
      </c>
      <c r="BI3137">
        <v>0</v>
      </c>
      <c r="BJ3137">
        <v>3525</v>
      </c>
      <c r="BK3137">
        <v>-275</v>
      </c>
      <c r="BL3137" t="s">
        <v>163</v>
      </c>
      <c r="BM3137">
        <v>1</v>
      </c>
      <c r="BN3137">
        <v>1</v>
      </c>
      <c r="BO3137">
        <v>1</v>
      </c>
      <c r="BP3137">
        <v>0</v>
      </c>
      <c r="BS3137">
        <v>0</v>
      </c>
      <c r="BT3137">
        <v>0</v>
      </c>
      <c r="BU3137">
        <v>0</v>
      </c>
      <c r="CE3137" t="str">
        <f t="shared" si="1143"/>
        <v>19:33:56.000</v>
      </c>
      <c r="CF3137">
        <v>341237</v>
      </c>
      <c r="CS3137">
        <v>0</v>
      </c>
      <c r="CT3137">
        <v>2</v>
      </c>
      <c r="CU3137">
        <v>0</v>
      </c>
      <c r="CV3137">
        <v>2</v>
      </c>
      <c r="CW3137">
        <v>0</v>
      </c>
      <c r="CX3137">
        <v>1</v>
      </c>
      <c r="CY3137">
        <v>7</v>
      </c>
      <c r="CZ3137" t="s">
        <v>131</v>
      </c>
      <c r="DA3137">
        <v>300</v>
      </c>
      <c r="DB3137">
        <v>0</v>
      </c>
      <c r="DC3137" t="s">
        <v>176</v>
      </c>
      <c r="DD3137" t="s">
        <v>177</v>
      </c>
      <c r="DG3137">
        <v>5430406</v>
      </c>
      <c r="DI3137">
        <v>0</v>
      </c>
      <c r="DJ3137">
        <v>0</v>
      </c>
      <c r="DK3137">
        <v>1</v>
      </c>
      <c r="DL3137">
        <v>0</v>
      </c>
      <c r="DM3137">
        <v>0</v>
      </c>
      <c r="DN3137">
        <v>1</v>
      </c>
      <c r="DO3137">
        <v>0</v>
      </c>
      <c r="DP3137">
        <v>0</v>
      </c>
      <c r="DQ3137">
        <v>0</v>
      </c>
      <c r="DR3137">
        <v>0</v>
      </c>
      <c r="DS3137">
        <v>0</v>
      </c>
    </row>
    <row r="3138" spans="1:123" x14ac:dyDescent="0.3">
      <c r="A3138" t="str">
        <f>"10/04/2022 19:33:56.400"</f>
        <v>10/04/2022 19:33:56.400</v>
      </c>
      <c r="C3138" t="str">
        <f t="shared" si="1135"/>
        <v>FFDFD3C0</v>
      </c>
      <c r="D3138" t="s">
        <v>123</v>
      </c>
      <c r="E3138">
        <v>7</v>
      </c>
      <c r="F3138">
        <v>2007</v>
      </c>
      <c r="G3138" t="s">
        <v>124</v>
      </c>
      <c r="J3138" t="s">
        <v>125</v>
      </c>
      <c r="K3138">
        <v>0</v>
      </c>
      <c r="L3138">
        <v>3</v>
      </c>
      <c r="M3138">
        <v>0</v>
      </c>
      <c r="N3138">
        <v>2</v>
      </c>
      <c r="O3138">
        <v>0</v>
      </c>
      <c r="P3138">
        <v>1</v>
      </c>
      <c r="Q3138">
        <v>0</v>
      </c>
      <c r="S3138" t="str">
        <f t="shared" si="1142"/>
        <v>19:33:56.000</v>
      </c>
      <c r="T3138" t="str">
        <f t="shared" si="1142"/>
        <v>19:33:56.000</v>
      </c>
      <c r="U3138" t="str">
        <f t="shared" ref="U3138:U3201" si="1144">"AC3944"</f>
        <v>AC3944</v>
      </c>
      <c r="V3138">
        <v>0</v>
      </c>
      <c r="W3138">
        <v>0</v>
      </c>
      <c r="X3138">
        <v>2</v>
      </c>
      <c r="Y3138">
        <v>0</v>
      </c>
      <c r="AA3138">
        <v>1</v>
      </c>
      <c r="AB3138">
        <v>8</v>
      </c>
      <c r="AC3138">
        <v>3</v>
      </c>
      <c r="AD3138">
        <v>0</v>
      </c>
      <c r="AE3138">
        <v>9</v>
      </c>
      <c r="AF3138" t="s">
        <v>138</v>
      </c>
      <c r="AG3138">
        <v>0</v>
      </c>
      <c r="AH3138">
        <v>3</v>
      </c>
      <c r="AI3138">
        <v>1</v>
      </c>
      <c r="AJ3138">
        <v>0</v>
      </c>
      <c r="AK3138" t="s">
        <v>1046</v>
      </c>
      <c r="AL3138">
        <v>32.708702000000002</v>
      </c>
      <c r="AM3138" t="s">
        <v>1047</v>
      </c>
      <c r="AN3138">
        <v>-116.758618</v>
      </c>
      <c r="AO3138">
        <v>25</v>
      </c>
      <c r="AP3138">
        <v>3800</v>
      </c>
      <c r="AQ3138" t="s">
        <v>129</v>
      </c>
      <c r="AR3138">
        <v>138</v>
      </c>
      <c r="AS3138">
        <v>-29</v>
      </c>
      <c r="AT3138">
        <v>-448</v>
      </c>
      <c r="BB3138">
        <v>1200</v>
      </c>
      <c r="BC3138">
        <v>1</v>
      </c>
      <c r="BD3138" t="str">
        <f t="shared" ref="BD3138:BD3201" si="1145">"N887QR  "</f>
        <v xml:space="preserve">N887QR  </v>
      </c>
      <c r="BE3138">
        <v>1</v>
      </c>
      <c r="BG3138">
        <v>0</v>
      </c>
      <c r="BH3138">
        <v>0</v>
      </c>
      <c r="BI3138">
        <v>0</v>
      </c>
      <c r="BJ3138">
        <v>3525</v>
      </c>
      <c r="BK3138">
        <v>-275</v>
      </c>
      <c r="BL3138" t="s">
        <v>163</v>
      </c>
      <c r="BM3138">
        <v>1</v>
      </c>
      <c r="BN3138">
        <v>1</v>
      </c>
      <c r="BO3138">
        <v>1</v>
      </c>
      <c r="BP3138">
        <v>0</v>
      </c>
      <c r="BS3138">
        <v>0</v>
      </c>
      <c r="BT3138">
        <v>0</v>
      </c>
      <c r="BU3138">
        <v>0</v>
      </c>
      <c r="CE3138" t="str">
        <f t="shared" si="1143"/>
        <v>19:33:56.000</v>
      </c>
      <c r="CF3138">
        <v>341237</v>
      </c>
      <c r="CS3138">
        <v>0</v>
      </c>
      <c r="CT3138">
        <v>2</v>
      </c>
      <c r="CU3138">
        <v>0</v>
      </c>
      <c r="CV3138">
        <v>2</v>
      </c>
      <c r="CW3138">
        <v>0</v>
      </c>
      <c r="CX3138">
        <v>1</v>
      </c>
      <c r="CY3138">
        <v>7</v>
      </c>
      <c r="CZ3138" t="s">
        <v>131</v>
      </c>
      <c r="DA3138">
        <v>300</v>
      </c>
      <c r="DB3138">
        <v>0</v>
      </c>
      <c r="DC3138" t="s">
        <v>176</v>
      </c>
      <c r="DD3138" t="s">
        <v>177</v>
      </c>
      <c r="DG3138">
        <v>5430406</v>
      </c>
      <c r="DI3138">
        <v>0</v>
      </c>
      <c r="DJ3138">
        <v>0</v>
      </c>
      <c r="DK3138">
        <v>1</v>
      </c>
      <c r="DL3138">
        <v>0</v>
      </c>
      <c r="DM3138">
        <v>0</v>
      </c>
      <c r="DN3138">
        <v>1</v>
      </c>
      <c r="DO3138">
        <v>0</v>
      </c>
      <c r="DP3138">
        <v>0</v>
      </c>
      <c r="DQ3138">
        <v>0</v>
      </c>
      <c r="DR3138">
        <v>0</v>
      </c>
      <c r="DS3138">
        <v>0</v>
      </c>
    </row>
    <row r="3139" spans="1:123" x14ac:dyDescent="0.3">
      <c r="A3139" t="str">
        <f>"10/04/2022 19:33:56.400"</f>
        <v>10/04/2022 19:33:56.400</v>
      </c>
      <c r="C3139" t="str">
        <f t="shared" si="1135"/>
        <v>FFDFD3C0</v>
      </c>
      <c r="D3139" t="s">
        <v>136</v>
      </c>
      <c r="E3139">
        <v>8</v>
      </c>
      <c r="H3139">
        <v>225</v>
      </c>
      <c r="I3139" t="s">
        <v>137</v>
      </c>
      <c r="J3139" t="s">
        <v>138</v>
      </c>
      <c r="K3139">
        <v>0</v>
      </c>
      <c r="L3139">
        <v>3</v>
      </c>
      <c r="M3139">
        <v>0</v>
      </c>
      <c r="N3139">
        <v>2</v>
      </c>
      <c r="O3139">
        <v>0</v>
      </c>
      <c r="P3139">
        <v>1</v>
      </c>
      <c r="Q3139">
        <v>0</v>
      </c>
      <c r="S3139" t="str">
        <f t="shared" si="1142"/>
        <v>19:33:56.000</v>
      </c>
      <c r="T3139" t="str">
        <f t="shared" si="1142"/>
        <v>19:33:56.000</v>
      </c>
      <c r="U3139" t="str">
        <f t="shared" si="1144"/>
        <v>AC3944</v>
      </c>
      <c r="V3139">
        <v>0</v>
      </c>
      <c r="W3139">
        <v>0</v>
      </c>
      <c r="X3139">
        <v>2</v>
      </c>
      <c r="Y3139">
        <v>0</v>
      </c>
      <c r="AA3139">
        <v>1</v>
      </c>
      <c r="AB3139">
        <v>8</v>
      </c>
      <c r="AC3139">
        <v>3</v>
      </c>
      <c r="AD3139">
        <v>0</v>
      </c>
      <c r="AE3139">
        <v>9</v>
      </c>
      <c r="AF3139" t="s">
        <v>138</v>
      </c>
      <c r="AG3139">
        <v>0</v>
      </c>
      <c r="AH3139">
        <v>3</v>
      </c>
      <c r="AI3139">
        <v>1</v>
      </c>
      <c r="AJ3139">
        <v>0</v>
      </c>
      <c r="AK3139" t="s">
        <v>1046</v>
      </c>
      <c r="AL3139">
        <v>32.708702000000002</v>
      </c>
      <c r="AM3139" t="s">
        <v>1047</v>
      </c>
      <c r="AN3139">
        <v>-116.758618</v>
      </c>
      <c r="AO3139">
        <v>25</v>
      </c>
      <c r="AP3139">
        <v>3800</v>
      </c>
      <c r="AQ3139" t="s">
        <v>129</v>
      </c>
      <c r="AR3139">
        <v>138</v>
      </c>
      <c r="AS3139">
        <v>-29</v>
      </c>
      <c r="AT3139">
        <v>-448</v>
      </c>
      <c r="BB3139">
        <v>1200</v>
      </c>
      <c r="BC3139">
        <v>1</v>
      </c>
      <c r="BD3139" t="str">
        <f t="shared" si="1145"/>
        <v xml:space="preserve">N887QR  </v>
      </c>
      <c r="BE3139">
        <v>1</v>
      </c>
      <c r="BG3139">
        <v>0</v>
      </c>
      <c r="BH3139">
        <v>0</v>
      </c>
      <c r="BI3139">
        <v>0</v>
      </c>
      <c r="BJ3139">
        <v>3525</v>
      </c>
      <c r="BK3139">
        <v>-275</v>
      </c>
      <c r="BL3139" t="s">
        <v>163</v>
      </c>
      <c r="BM3139">
        <v>1</v>
      </c>
      <c r="BN3139">
        <v>1</v>
      </c>
      <c r="BO3139">
        <v>1</v>
      </c>
      <c r="BP3139">
        <v>0</v>
      </c>
      <c r="BS3139">
        <v>0</v>
      </c>
      <c r="BT3139">
        <v>0</v>
      </c>
      <c r="BU3139">
        <v>0</v>
      </c>
      <c r="CE3139" t="str">
        <f t="shared" si="1143"/>
        <v>19:33:56.000</v>
      </c>
      <c r="CF3139">
        <v>341237</v>
      </c>
      <c r="CS3139">
        <v>0</v>
      </c>
      <c r="CT3139">
        <v>2</v>
      </c>
      <c r="CU3139">
        <v>0</v>
      </c>
      <c r="CV3139">
        <v>2</v>
      </c>
      <c r="CW3139">
        <v>0</v>
      </c>
      <c r="CX3139">
        <v>1</v>
      </c>
      <c r="CY3139">
        <v>7</v>
      </c>
      <c r="CZ3139" t="s">
        <v>131</v>
      </c>
      <c r="DA3139">
        <v>300</v>
      </c>
      <c r="DB3139">
        <v>0</v>
      </c>
      <c r="DC3139" t="s">
        <v>176</v>
      </c>
      <c r="DD3139" t="s">
        <v>177</v>
      </c>
      <c r="DG3139">
        <v>5430406</v>
      </c>
      <c r="DI3139">
        <v>0</v>
      </c>
      <c r="DJ3139">
        <v>0</v>
      </c>
      <c r="DK3139">
        <v>1</v>
      </c>
      <c r="DL3139">
        <v>0</v>
      </c>
      <c r="DM3139">
        <v>0</v>
      </c>
      <c r="DN3139">
        <v>1</v>
      </c>
      <c r="DO3139">
        <v>0</v>
      </c>
      <c r="DP3139">
        <v>0</v>
      </c>
      <c r="DQ3139">
        <v>0</v>
      </c>
      <c r="DR3139">
        <v>0</v>
      </c>
      <c r="DS3139">
        <v>0</v>
      </c>
    </row>
    <row r="3140" spans="1:123" x14ac:dyDescent="0.3">
      <c r="A3140" t="str">
        <f>"10/04/2022 19:33:56.416"</f>
        <v>10/04/2022 19:33:56.416</v>
      </c>
      <c r="C3140" t="str">
        <f t="shared" si="1135"/>
        <v>FFDFD3C0</v>
      </c>
      <c r="D3140" t="s">
        <v>147</v>
      </c>
      <c r="E3140">
        <v>3</v>
      </c>
      <c r="H3140">
        <v>166</v>
      </c>
      <c r="I3140" t="s">
        <v>144</v>
      </c>
      <c r="J3140" t="s">
        <v>148</v>
      </c>
      <c r="K3140">
        <v>0</v>
      </c>
      <c r="L3140">
        <v>3</v>
      </c>
      <c r="M3140">
        <v>0</v>
      </c>
      <c r="N3140">
        <v>2</v>
      </c>
      <c r="O3140">
        <v>0</v>
      </c>
      <c r="P3140">
        <v>1</v>
      </c>
      <c r="Q3140">
        <v>0</v>
      </c>
      <c r="S3140" t="str">
        <f t="shared" si="1142"/>
        <v>19:33:56.000</v>
      </c>
      <c r="T3140" t="str">
        <f t="shared" si="1142"/>
        <v>19:33:56.000</v>
      </c>
      <c r="U3140" t="str">
        <f t="shared" si="1144"/>
        <v>AC3944</v>
      </c>
      <c r="V3140">
        <v>0</v>
      </c>
      <c r="W3140">
        <v>0</v>
      </c>
      <c r="X3140">
        <v>2</v>
      </c>
      <c r="Y3140">
        <v>0</v>
      </c>
      <c r="AA3140">
        <v>1</v>
      </c>
      <c r="AB3140">
        <v>8</v>
      </c>
      <c r="AC3140">
        <v>3</v>
      </c>
      <c r="AD3140">
        <v>0</v>
      </c>
      <c r="AE3140">
        <v>9</v>
      </c>
      <c r="AF3140" t="s">
        <v>138</v>
      </c>
      <c r="AG3140">
        <v>0</v>
      </c>
      <c r="AH3140">
        <v>3</v>
      </c>
      <c r="AI3140">
        <v>1</v>
      </c>
      <c r="AJ3140">
        <v>0</v>
      </c>
      <c r="AK3140" t="s">
        <v>1046</v>
      </c>
      <c r="AL3140">
        <v>32.708702000000002</v>
      </c>
      <c r="AM3140" t="s">
        <v>1047</v>
      </c>
      <c r="AN3140">
        <v>-116.758618</v>
      </c>
      <c r="AO3140">
        <v>25</v>
      </c>
      <c r="AP3140">
        <v>3800</v>
      </c>
      <c r="AQ3140" t="s">
        <v>129</v>
      </c>
      <c r="AR3140">
        <v>138</v>
      </c>
      <c r="AS3140">
        <v>-29</v>
      </c>
      <c r="AT3140">
        <v>-448</v>
      </c>
      <c r="BB3140">
        <v>1200</v>
      </c>
      <c r="BC3140">
        <v>1</v>
      </c>
      <c r="BD3140" t="str">
        <f t="shared" si="1145"/>
        <v xml:space="preserve">N887QR  </v>
      </c>
      <c r="BE3140">
        <v>1</v>
      </c>
      <c r="BG3140">
        <v>0</v>
      </c>
      <c r="BH3140">
        <v>0</v>
      </c>
      <c r="BI3140">
        <v>0</v>
      </c>
      <c r="BJ3140">
        <v>3525</v>
      </c>
      <c r="BK3140">
        <v>-275</v>
      </c>
      <c r="BL3140" t="s">
        <v>163</v>
      </c>
      <c r="BM3140">
        <v>1</v>
      </c>
      <c r="BN3140">
        <v>1</v>
      </c>
      <c r="BO3140">
        <v>1</v>
      </c>
      <c r="BP3140">
        <v>0</v>
      </c>
      <c r="BS3140">
        <v>0</v>
      </c>
      <c r="BT3140">
        <v>0</v>
      </c>
      <c r="BU3140">
        <v>0</v>
      </c>
      <c r="CE3140" t="str">
        <f t="shared" si="1143"/>
        <v>19:33:56.000</v>
      </c>
      <c r="CF3140">
        <v>341237</v>
      </c>
      <c r="CS3140">
        <v>0</v>
      </c>
      <c r="CT3140">
        <v>2</v>
      </c>
      <c r="CU3140">
        <v>0</v>
      </c>
      <c r="CV3140">
        <v>2</v>
      </c>
      <c r="CW3140">
        <v>0</v>
      </c>
      <c r="CX3140">
        <v>1</v>
      </c>
      <c r="CY3140">
        <v>7</v>
      </c>
      <c r="CZ3140" t="s">
        <v>131</v>
      </c>
      <c r="DA3140">
        <v>300</v>
      </c>
      <c r="DB3140">
        <v>0</v>
      </c>
      <c r="DC3140" t="s">
        <v>176</v>
      </c>
      <c r="DD3140" t="s">
        <v>177</v>
      </c>
      <c r="DG3140">
        <v>5430406</v>
      </c>
      <c r="DI3140">
        <v>0</v>
      </c>
      <c r="DJ3140">
        <v>0</v>
      </c>
      <c r="DK3140">
        <v>1</v>
      </c>
      <c r="DL3140">
        <v>0</v>
      </c>
      <c r="DM3140">
        <v>0</v>
      </c>
      <c r="DN3140">
        <v>1</v>
      </c>
      <c r="DO3140">
        <v>0</v>
      </c>
      <c r="DP3140">
        <v>0</v>
      </c>
      <c r="DQ3140">
        <v>0</v>
      </c>
      <c r="DR3140">
        <v>0</v>
      </c>
      <c r="DS3140">
        <v>0</v>
      </c>
    </row>
    <row r="3141" spans="1:123" x14ac:dyDescent="0.3">
      <c r="A3141" t="str">
        <f>"10/04/2022 19:33:56.416"</f>
        <v>10/04/2022 19:33:56.416</v>
      </c>
      <c r="C3141" t="str">
        <f t="shared" si="1135"/>
        <v>FFDFD3C0</v>
      </c>
      <c r="D3141" t="s">
        <v>134</v>
      </c>
      <c r="E3141">
        <v>15</v>
      </c>
      <c r="J3141" t="s">
        <v>135</v>
      </c>
      <c r="K3141">
        <v>0</v>
      </c>
      <c r="L3141">
        <v>3</v>
      </c>
      <c r="M3141">
        <v>0</v>
      </c>
      <c r="N3141">
        <v>2</v>
      </c>
      <c r="O3141">
        <v>0</v>
      </c>
      <c r="P3141">
        <v>1</v>
      </c>
      <c r="Q3141">
        <v>0</v>
      </c>
      <c r="S3141" t="str">
        <f t="shared" si="1142"/>
        <v>19:33:56.000</v>
      </c>
      <c r="T3141" t="str">
        <f t="shared" si="1142"/>
        <v>19:33:56.000</v>
      </c>
      <c r="U3141" t="str">
        <f t="shared" si="1144"/>
        <v>AC3944</v>
      </c>
      <c r="V3141">
        <v>0</v>
      </c>
      <c r="W3141">
        <v>0</v>
      </c>
      <c r="X3141">
        <v>2</v>
      </c>
      <c r="Y3141">
        <v>0</v>
      </c>
      <c r="AA3141">
        <v>1</v>
      </c>
      <c r="AB3141">
        <v>8</v>
      </c>
      <c r="AC3141">
        <v>3</v>
      </c>
      <c r="AD3141">
        <v>0</v>
      </c>
      <c r="AE3141">
        <v>9</v>
      </c>
      <c r="AF3141" t="s">
        <v>138</v>
      </c>
      <c r="AG3141">
        <v>0</v>
      </c>
      <c r="AH3141">
        <v>3</v>
      </c>
      <c r="AI3141">
        <v>1</v>
      </c>
      <c r="AJ3141">
        <v>0</v>
      </c>
      <c r="AK3141" t="s">
        <v>1046</v>
      </c>
      <c r="AL3141">
        <v>32.708702000000002</v>
      </c>
      <c r="AM3141" t="s">
        <v>1047</v>
      </c>
      <c r="AN3141">
        <v>-116.758618</v>
      </c>
      <c r="AO3141">
        <v>25</v>
      </c>
      <c r="AP3141">
        <v>3800</v>
      </c>
      <c r="AQ3141" t="s">
        <v>129</v>
      </c>
      <c r="AR3141">
        <v>138</v>
      </c>
      <c r="AS3141">
        <v>-29</v>
      </c>
      <c r="AT3141">
        <v>-448</v>
      </c>
      <c r="BB3141">
        <v>1200</v>
      </c>
      <c r="BC3141">
        <v>1</v>
      </c>
      <c r="BD3141" t="str">
        <f t="shared" si="1145"/>
        <v xml:space="preserve">N887QR  </v>
      </c>
      <c r="BE3141">
        <v>1</v>
      </c>
      <c r="BG3141">
        <v>0</v>
      </c>
      <c r="BH3141">
        <v>0</v>
      </c>
      <c r="BI3141">
        <v>0</v>
      </c>
      <c r="BJ3141">
        <v>3525</v>
      </c>
      <c r="BK3141">
        <v>-275</v>
      </c>
      <c r="BL3141" t="s">
        <v>163</v>
      </c>
      <c r="BM3141">
        <v>1</v>
      </c>
      <c r="BN3141">
        <v>1</v>
      </c>
      <c r="BO3141">
        <v>1</v>
      </c>
      <c r="BP3141">
        <v>0</v>
      </c>
      <c r="BS3141">
        <v>0</v>
      </c>
      <c r="BT3141">
        <v>0</v>
      </c>
      <c r="BU3141">
        <v>0</v>
      </c>
      <c r="CE3141" t="str">
        <f t="shared" si="1143"/>
        <v>19:33:56.000</v>
      </c>
      <c r="CF3141">
        <v>341237</v>
      </c>
      <c r="CS3141">
        <v>0</v>
      </c>
      <c r="CT3141">
        <v>2</v>
      </c>
      <c r="CU3141">
        <v>0</v>
      </c>
      <c r="CV3141">
        <v>2</v>
      </c>
      <c r="CW3141">
        <v>0</v>
      </c>
      <c r="CX3141">
        <v>1</v>
      </c>
      <c r="CY3141">
        <v>7</v>
      </c>
      <c r="CZ3141" t="s">
        <v>131</v>
      </c>
      <c r="DA3141">
        <v>300</v>
      </c>
      <c r="DB3141">
        <v>0</v>
      </c>
      <c r="DC3141" t="s">
        <v>176</v>
      </c>
      <c r="DD3141" t="s">
        <v>177</v>
      </c>
      <c r="DG3141">
        <v>5430406</v>
      </c>
      <c r="DI3141">
        <v>0</v>
      </c>
      <c r="DJ3141">
        <v>0</v>
      </c>
      <c r="DK3141">
        <v>1</v>
      </c>
      <c r="DL3141">
        <v>0</v>
      </c>
      <c r="DM3141">
        <v>0</v>
      </c>
      <c r="DN3141">
        <v>1</v>
      </c>
      <c r="DO3141">
        <v>0</v>
      </c>
      <c r="DP3141">
        <v>0</v>
      </c>
      <c r="DQ3141">
        <v>0</v>
      </c>
      <c r="DR3141">
        <v>0</v>
      </c>
      <c r="DS3141">
        <v>0</v>
      </c>
    </row>
    <row r="3142" spans="1:123" x14ac:dyDescent="0.3">
      <c r="A3142" t="str">
        <f>"10/04/2022 19:33:57.527"</f>
        <v>10/04/2022 19:33:57.527</v>
      </c>
      <c r="C3142" t="str">
        <f t="shared" si="1135"/>
        <v>FFDFD3C0</v>
      </c>
      <c r="D3142" t="s">
        <v>141</v>
      </c>
      <c r="E3142">
        <v>3</v>
      </c>
      <c r="H3142">
        <v>3</v>
      </c>
      <c r="I3142" t="s">
        <v>146</v>
      </c>
      <c r="J3142" t="s">
        <v>138</v>
      </c>
      <c r="K3142">
        <v>0</v>
      </c>
      <c r="L3142">
        <v>3</v>
      </c>
      <c r="M3142">
        <v>0</v>
      </c>
      <c r="N3142">
        <v>2</v>
      </c>
      <c r="O3142">
        <v>0</v>
      </c>
      <c r="P3142">
        <v>1</v>
      </c>
      <c r="Q3142">
        <v>0</v>
      </c>
      <c r="S3142" t="str">
        <f t="shared" ref="S3142:T3148" si="1146">"19:33:57.000"</f>
        <v>19:33:57.000</v>
      </c>
      <c r="T3142" t="str">
        <f t="shared" si="1146"/>
        <v>19:33:57.000</v>
      </c>
      <c r="U3142" t="str">
        <f t="shared" si="1144"/>
        <v>AC3944</v>
      </c>
      <c r="V3142">
        <v>0</v>
      </c>
      <c r="W3142">
        <v>0</v>
      </c>
      <c r="X3142">
        <v>2</v>
      </c>
      <c r="Y3142">
        <v>0</v>
      </c>
      <c r="AA3142">
        <v>1</v>
      </c>
      <c r="AB3142">
        <v>8</v>
      </c>
      <c r="AC3142">
        <v>3</v>
      </c>
      <c r="AD3142">
        <v>0</v>
      </c>
      <c r="AE3142">
        <v>9</v>
      </c>
      <c r="AF3142" t="s">
        <v>138</v>
      </c>
      <c r="AG3142">
        <v>0</v>
      </c>
      <c r="AH3142">
        <v>3</v>
      </c>
      <c r="AI3142">
        <v>1</v>
      </c>
      <c r="AJ3142">
        <v>0</v>
      </c>
      <c r="AK3142" t="s">
        <v>1048</v>
      </c>
      <c r="AL3142">
        <v>32.708551999999997</v>
      </c>
      <c r="AM3142" t="s">
        <v>1049</v>
      </c>
      <c r="AN3142">
        <v>-116.757717</v>
      </c>
      <c r="AO3142">
        <v>25</v>
      </c>
      <c r="AP3142">
        <v>3800</v>
      </c>
      <c r="AQ3142" t="s">
        <v>129</v>
      </c>
      <c r="AR3142">
        <v>143</v>
      </c>
      <c r="AS3142">
        <v>-5</v>
      </c>
      <c r="AT3142">
        <v>-768</v>
      </c>
      <c r="BB3142">
        <v>1200</v>
      </c>
      <c r="BC3142">
        <v>1</v>
      </c>
      <c r="BD3142" t="str">
        <f t="shared" si="1145"/>
        <v xml:space="preserve">N887QR  </v>
      </c>
      <c r="BE3142">
        <v>1</v>
      </c>
      <c r="BG3142">
        <v>0</v>
      </c>
      <c r="BH3142">
        <v>0</v>
      </c>
      <c r="BI3142">
        <v>0</v>
      </c>
      <c r="BJ3142">
        <v>3475</v>
      </c>
      <c r="BK3142">
        <v>-325</v>
      </c>
      <c r="BL3142" t="s">
        <v>163</v>
      </c>
      <c r="BM3142">
        <v>1</v>
      </c>
      <c r="BN3142">
        <v>1</v>
      </c>
      <c r="BO3142">
        <v>1</v>
      </c>
      <c r="BP3142">
        <v>0</v>
      </c>
      <c r="BS3142">
        <v>0</v>
      </c>
      <c r="BT3142">
        <v>0</v>
      </c>
      <c r="BU3142">
        <v>0</v>
      </c>
      <c r="CE3142" t="str">
        <f t="shared" ref="CE3142:CE3148" si="1147">"19:33:57.155"</f>
        <v>19:33:57.155</v>
      </c>
      <c r="CF3142">
        <v>154515774</v>
      </c>
      <c r="CS3142">
        <v>0</v>
      </c>
      <c r="CT3142">
        <v>2</v>
      </c>
      <c r="CU3142">
        <v>0</v>
      </c>
      <c r="CV3142">
        <v>2</v>
      </c>
      <c r="CW3142">
        <v>0</v>
      </c>
      <c r="CX3142">
        <v>6</v>
      </c>
      <c r="CY3142">
        <v>7</v>
      </c>
      <c r="CZ3142" t="s">
        <v>131</v>
      </c>
      <c r="DA3142">
        <v>286</v>
      </c>
      <c r="DB3142">
        <v>0</v>
      </c>
      <c r="DC3142" t="s">
        <v>132</v>
      </c>
      <c r="DD3142" t="s">
        <v>133</v>
      </c>
      <c r="DG3142">
        <v>867283</v>
      </c>
      <c r="DI3142">
        <v>0</v>
      </c>
      <c r="DJ3142">
        <v>0</v>
      </c>
      <c r="DK3142">
        <v>0</v>
      </c>
      <c r="DL3142">
        <v>0</v>
      </c>
      <c r="DM3142">
        <v>0</v>
      </c>
      <c r="DN3142">
        <v>1</v>
      </c>
      <c r="DO3142">
        <v>0</v>
      </c>
      <c r="DP3142">
        <v>0</v>
      </c>
      <c r="DQ3142">
        <v>0</v>
      </c>
      <c r="DR3142">
        <v>0</v>
      </c>
      <c r="DS3142">
        <v>0</v>
      </c>
    </row>
    <row r="3143" spans="1:123" x14ac:dyDescent="0.3">
      <c r="A3143" t="str">
        <f>"10/04/2022 19:33:57.543"</f>
        <v>10/04/2022 19:33:57.543</v>
      </c>
      <c r="C3143" t="str">
        <f t="shared" si="1135"/>
        <v>FFDFD3C0</v>
      </c>
      <c r="D3143" t="s">
        <v>143</v>
      </c>
      <c r="E3143">
        <v>20</v>
      </c>
      <c r="F3143">
        <v>1020</v>
      </c>
      <c r="G3143" t="s">
        <v>144</v>
      </c>
      <c r="J3143" t="s">
        <v>145</v>
      </c>
      <c r="K3143">
        <v>0</v>
      </c>
      <c r="L3143">
        <v>3</v>
      </c>
      <c r="M3143">
        <v>0</v>
      </c>
      <c r="N3143">
        <v>2</v>
      </c>
      <c r="O3143">
        <v>0</v>
      </c>
      <c r="P3143">
        <v>1</v>
      </c>
      <c r="Q3143">
        <v>0</v>
      </c>
      <c r="S3143" t="str">
        <f t="shared" si="1146"/>
        <v>19:33:57.000</v>
      </c>
      <c r="T3143" t="str">
        <f t="shared" si="1146"/>
        <v>19:33:57.000</v>
      </c>
      <c r="U3143" t="str">
        <f t="shared" si="1144"/>
        <v>AC3944</v>
      </c>
      <c r="V3143">
        <v>0</v>
      </c>
      <c r="W3143">
        <v>0</v>
      </c>
      <c r="X3143">
        <v>2</v>
      </c>
      <c r="Y3143">
        <v>0</v>
      </c>
      <c r="AA3143">
        <v>1</v>
      </c>
      <c r="AB3143">
        <v>8</v>
      </c>
      <c r="AC3143">
        <v>3</v>
      </c>
      <c r="AD3143">
        <v>0</v>
      </c>
      <c r="AE3143">
        <v>9</v>
      </c>
      <c r="AF3143" t="s">
        <v>138</v>
      </c>
      <c r="AG3143">
        <v>0</v>
      </c>
      <c r="AH3143">
        <v>3</v>
      </c>
      <c r="AI3143">
        <v>1</v>
      </c>
      <c r="AJ3143">
        <v>0</v>
      </c>
      <c r="AK3143" t="s">
        <v>1048</v>
      </c>
      <c r="AL3143">
        <v>32.708551999999997</v>
      </c>
      <c r="AM3143" t="s">
        <v>1049</v>
      </c>
      <c r="AN3143">
        <v>-116.757717</v>
      </c>
      <c r="AO3143">
        <v>25</v>
      </c>
      <c r="AP3143">
        <v>3800</v>
      </c>
      <c r="AQ3143" t="s">
        <v>129</v>
      </c>
      <c r="AR3143">
        <v>143</v>
      </c>
      <c r="AS3143">
        <v>-5</v>
      </c>
      <c r="AT3143">
        <v>-768</v>
      </c>
      <c r="BB3143">
        <v>1200</v>
      </c>
      <c r="BC3143">
        <v>1</v>
      </c>
      <c r="BD3143" t="str">
        <f t="shared" si="1145"/>
        <v xml:space="preserve">N887QR  </v>
      </c>
      <c r="BE3143">
        <v>1</v>
      </c>
      <c r="BG3143">
        <v>0</v>
      </c>
      <c r="BH3143">
        <v>0</v>
      </c>
      <c r="BI3143">
        <v>0</v>
      </c>
      <c r="BJ3143">
        <v>3475</v>
      </c>
      <c r="BK3143">
        <v>-325</v>
      </c>
      <c r="BL3143" t="s">
        <v>163</v>
      </c>
      <c r="BM3143">
        <v>1</v>
      </c>
      <c r="BN3143">
        <v>1</v>
      </c>
      <c r="BO3143">
        <v>1</v>
      </c>
      <c r="BP3143">
        <v>0</v>
      </c>
      <c r="BS3143">
        <v>0</v>
      </c>
      <c r="BT3143">
        <v>0</v>
      </c>
      <c r="BU3143">
        <v>0</v>
      </c>
      <c r="CE3143" t="str">
        <f t="shared" si="1147"/>
        <v>19:33:57.155</v>
      </c>
      <c r="CF3143">
        <v>154515774</v>
      </c>
      <c r="CS3143">
        <v>0</v>
      </c>
      <c r="CT3143">
        <v>2</v>
      </c>
      <c r="CU3143">
        <v>0</v>
      </c>
      <c r="CV3143">
        <v>2</v>
      </c>
      <c r="CW3143">
        <v>0</v>
      </c>
      <c r="CX3143">
        <v>6</v>
      </c>
      <c r="CY3143">
        <v>7</v>
      </c>
      <c r="CZ3143" t="s">
        <v>131</v>
      </c>
      <c r="DA3143">
        <v>286</v>
      </c>
      <c r="DB3143">
        <v>0</v>
      </c>
      <c r="DC3143" t="s">
        <v>132</v>
      </c>
      <c r="DD3143" t="s">
        <v>133</v>
      </c>
      <c r="DG3143">
        <v>867283</v>
      </c>
      <c r="DI3143">
        <v>0</v>
      </c>
      <c r="DJ3143">
        <v>0</v>
      </c>
      <c r="DK3143">
        <v>1</v>
      </c>
      <c r="DL3143">
        <v>0</v>
      </c>
      <c r="DM3143">
        <v>0</v>
      </c>
      <c r="DN3143">
        <v>1</v>
      </c>
      <c r="DO3143">
        <v>0</v>
      </c>
      <c r="DP3143">
        <v>0</v>
      </c>
      <c r="DQ3143">
        <v>0</v>
      </c>
      <c r="DR3143">
        <v>0</v>
      </c>
      <c r="DS3143">
        <v>0</v>
      </c>
    </row>
    <row r="3144" spans="1:123" x14ac:dyDescent="0.3">
      <c r="A3144" t="str">
        <f>"10/04/2022 19:33:57.543"</f>
        <v>10/04/2022 19:33:57.543</v>
      </c>
      <c r="C3144" t="str">
        <f t="shared" si="1135"/>
        <v>FFDFD3C0</v>
      </c>
      <c r="D3144" t="s">
        <v>123</v>
      </c>
      <c r="E3144">
        <v>7</v>
      </c>
      <c r="F3144">
        <v>2007</v>
      </c>
      <c r="G3144" t="s">
        <v>124</v>
      </c>
      <c r="J3144" t="s">
        <v>125</v>
      </c>
      <c r="K3144">
        <v>0</v>
      </c>
      <c r="L3144">
        <v>3</v>
      </c>
      <c r="M3144">
        <v>0</v>
      </c>
      <c r="N3144">
        <v>2</v>
      </c>
      <c r="O3144">
        <v>0</v>
      </c>
      <c r="P3144">
        <v>1</v>
      </c>
      <c r="Q3144">
        <v>0</v>
      </c>
      <c r="S3144" t="str">
        <f t="shared" si="1146"/>
        <v>19:33:57.000</v>
      </c>
      <c r="T3144" t="str">
        <f t="shared" si="1146"/>
        <v>19:33:57.000</v>
      </c>
      <c r="U3144" t="str">
        <f t="shared" si="1144"/>
        <v>AC3944</v>
      </c>
      <c r="V3144">
        <v>0</v>
      </c>
      <c r="W3144">
        <v>0</v>
      </c>
      <c r="X3144">
        <v>2</v>
      </c>
      <c r="Y3144">
        <v>0</v>
      </c>
      <c r="AA3144">
        <v>1</v>
      </c>
      <c r="AB3144">
        <v>8</v>
      </c>
      <c r="AC3144">
        <v>3</v>
      </c>
      <c r="AD3144">
        <v>0</v>
      </c>
      <c r="AE3144">
        <v>9</v>
      </c>
      <c r="AF3144" t="s">
        <v>138</v>
      </c>
      <c r="AG3144">
        <v>0</v>
      </c>
      <c r="AH3144">
        <v>3</v>
      </c>
      <c r="AI3144">
        <v>1</v>
      </c>
      <c r="AJ3144">
        <v>0</v>
      </c>
      <c r="AK3144" t="s">
        <v>1048</v>
      </c>
      <c r="AL3144">
        <v>32.708551999999997</v>
      </c>
      <c r="AM3144" t="s">
        <v>1049</v>
      </c>
      <c r="AN3144">
        <v>-116.757717</v>
      </c>
      <c r="AO3144">
        <v>25</v>
      </c>
      <c r="AP3144">
        <v>3800</v>
      </c>
      <c r="AQ3144" t="s">
        <v>129</v>
      </c>
      <c r="AR3144">
        <v>143</v>
      </c>
      <c r="AS3144">
        <v>-5</v>
      </c>
      <c r="AT3144">
        <v>-768</v>
      </c>
      <c r="BB3144">
        <v>1200</v>
      </c>
      <c r="BC3144">
        <v>1</v>
      </c>
      <c r="BD3144" t="str">
        <f t="shared" si="1145"/>
        <v xml:space="preserve">N887QR  </v>
      </c>
      <c r="BE3144">
        <v>1</v>
      </c>
      <c r="BG3144">
        <v>0</v>
      </c>
      <c r="BH3144">
        <v>0</v>
      </c>
      <c r="BI3144">
        <v>0</v>
      </c>
      <c r="BJ3144">
        <v>3475</v>
      </c>
      <c r="BK3144">
        <v>-325</v>
      </c>
      <c r="BL3144" t="s">
        <v>163</v>
      </c>
      <c r="BM3144">
        <v>1</v>
      </c>
      <c r="BN3144">
        <v>1</v>
      </c>
      <c r="BO3144">
        <v>1</v>
      </c>
      <c r="BP3144">
        <v>0</v>
      </c>
      <c r="BS3144">
        <v>0</v>
      </c>
      <c r="BT3144">
        <v>0</v>
      </c>
      <c r="BU3144">
        <v>0</v>
      </c>
      <c r="CE3144" t="str">
        <f t="shared" si="1147"/>
        <v>19:33:57.155</v>
      </c>
      <c r="CF3144">
        <v>154515774</v>
      </c>
      <c r="CS3144">
        <v>0</v>
      </c>
      <c r="CT3144">
        <v>2</v>
      </c>
      <c r="CU3144">
        <v>0</v>
      </c>
      <c r="CV3144">
        <v>2</v>
      </c>
      <c r="CW3144">
        <v>0</v>
      </c>
      <c r="CX3144">
        <v>6</v>
      </c>
      <c r="CY3144">
        <v>7</v>
      </c>
      <c r="CZ3144" t="s">
        <v>131</v>
      </c>
      <c r="DA3144">
        <v>286</v>
      </c>
      <c r="DB3144">
        <v>0</v>
      </c>
      <c r="DC3144" t="s">
        <v>132</v>
      </c>
      <c r="DD3144" t="s">
        <v>133</v>
      </c>
      <c r="DG3144">
        <v>867283</v>
      </c>
      <c r="DI3144">
        <v>0</v>
      </c>
      <c r="DJ3144">
        <v>0</v>
      </c>
      <c r="DK3144">
        <v>0</v>
      </c>
      <c r="DL3144">
        <v>0</v>
      </c>
      <c r="DM3144">
        <v>0</v>
      </c>
      <c r="DN3144">
        <v>1</v>
      </c>
      <c r="DO3144">
        <v>0</v>
      </c>
      <c r="DP3144">
        <v>0</v>
      </c>
      <c r="DQ3144">
        <v>0</v>
      </c>
      <c r="DR3144">
        <v>0</v>
      </c>
      <c r="DS3144">
        <v>0</v>
      </c>
    </row>
    <row r="3145" spans="1:123" x14ac:dyDescent="0.3">
      <c r="A3145" t="str">
        <f>"10/04/2022 19:33:57.543"</f>
        <v>10/04/2022 19:33:57.543</v>
      </c>
      <c r="C3145" t="str">
        <f t="shared" si="1135"/>
        <v>FFDFD3C0</v>
      </c>
      <c r="D3145" t="s">
        <v>136</v>
      </c>
      <c r="E3145">
        <v>8</v>
      </c>
      <c r="H3145">
        <v>225</v>
      </c>
      <c r="I3145" t="s">
        <v>137</v>
      </c>
      <c r="J3145" t="s">
        <v>138</v>
      </c>
      <c r="K3145">
        <v>0</v>
      </c>
      <c r="L3145">
        <v>3</v>
      </c>
      <c r="M3145">
        <v>0</v>
      </c>
      <c r="N3145">
        <v>2</v>
      </c>
      <c r="O3145">
        <v>0</v>
      </c>
      <c r="P3145">
        <v>1</v>
      </c>
      <c r="Q3145">
        <v>0</v>
      </c>
      <c r="S3145" t="str">
        <f t="shared" si="1146"/>
        <v>19:33:57.000</v>
      </c>
      <c r="T3145" t="str">
        <f t="shared" si="1146"/>
        <v>19:33:57.000</v>
      </c>
      <c r="U3145" t="str">
        <f t="shared" si="1144"/>
        <v>AC3944</v>
      </c>
      <c r="V3145">
        <v>0</v>
      </c>
      <c r="W3145">
        <v>0</v>
      </c>
      <c r="X3145">
        <v>2</v>
      </c>
      <c r="Y3145">
        <v>0</v>
      </c>
      <c r="AA3145">
        <v>1</v>
      </c>
      <c r="AB3145">
        <v>8</v>
      </c>
      <c r="AC3145">
        <v>3</v>
      </c>
      <c r="AD3145">
        <v>0</v>
      </c>
      <c r="AE3145">
        <v>9</v>
      </c>
      <c r="AF3145" t="s">
        <v>138</v>
      </c>
      <c r="AG3145">
        <v>0</v>
      </c>
      <c r="AH3145">
        <v>3</v>
      </c>
      <c r="AI3145">
        <v>1</v>
      </c>
      <c r="AJ3145">
        <v>0</v>
      </c>
      <c r="AK3145" t="s">
        <v>1048</v>
      </c>
      <c r="AL3145">
        <v>32.708551999999997</v>
      </c>
      <c r="AM3145" t="s">
        <v>1049</v>
      </c>
      <c r="AN3145">
        <v>-116.757717</v>
      </c>
      <c r="AO3145">
        <v>25</v>
      </c>
      <c r="AP3145">
        <v>3800</v>
      </c>
      <c r="AQ3145" t="s">
        <v>129</v>
      </c>
      <c r="AR3145">
        <v>143</v>
      </c>
      <c r="AS3145">
        <v>-5</v>
      </c>
      <c r="AT3145">
        <v>-768</v>
      </c>
      <c r="BB3145">
        <v>1200</v>
      </c>
      <c r="BC3145">
        <v>1</v>
      </c>
      <c r="BD3145" t="str">
        <f t="shared" si="1145"/>
        <v xml:space="preserve">N887QR  </v>
      </c>
      <c r="BE3145">
        <v>1</v>
      </c>
      <c r="BG3145">
        <v>0</v>
      </c>
      <c r="BH3145">
        <v>0</v>
      </c>
      <c r="BI3145">
        <v>0</v>
      </c>
      <c r="BJ3145">
        <v>3475</v>
      </c>
      <c r="BK3145">
        <v>-325</v>
      </c>
      <c r="BL3145" t="s">
        <v>163</v>
      </c>
      <c r="BM3145">
        <v>1</v>
      </c>
      <c r="BN3145">
        <v>1</v>
      </c>
      <c r="BO3145">
        <v>1</v>
      </c>
      <c r="BP3145">
        <v>0</v>
      </c>
      <c r="BS3145">
        <v>0</v>
      </c>
      <c r="BT3145">
        <v>0</v>
      </c>
      <c r="BU3145">
        <v>0</v>
      </c>
      <c r="CE3145" t="str">
        <f t="shared" si="1147"/>
        <v>19:33:57.155</v>
      </c>
      <c r="CF3145">
        <v>154515774</v>
      </c>
      <c r="CS3145">
        <v>0</v>
      </c>
      <c r="CT3145">
        <v>2</v>
      </c>
      <c r="CU3145">
        <v>0</v>
      </c>
      <c r="CV3145">
        <v>2</v>
      </c>
      <c r="CW3145">
        <v>0</v>
      </c>
      <c r="CX3145">
        <v>6</v>
      </c>
      <c r="CY3145">
        <v>7</v>
      </c>
      <c r="CZ3145" t="s">
        <v>131</v>
      </c>
      <c r="DA3145">
        <v>286</v>
      </c>
      <c r="DB3145">
        <v>0</v>
      </c>
      <c r="DC3145" t="s">
        <v>132</v>
      </c>
      <c r="DD3145" t="s">
        <v>133</v>
      </c>
      <c r="DG3145">
        <v>867283</v>
      </c>
      <c r="DI3145">
        <v>0</v>
      </c>
      <c r="DJ3145">
        <v>0</v>
      </c>
      <c r="DK3145">
        <v>1</v>
      </c>
      <c r="DL3145">
        <v>0</v>
      </c>
      <c r="DM3145">
        <v>0</v>
      </c>
      <c r="DN3145">
        <v>1</v>
      </c>
      <c r="DO3145">
        <v>0</v>
      </c>
      <c r="DP3145">
        <v>0</v>
      </c>
      <c r="DQ3145">
        <v>0</v>
      </c>
      <c r="DR3145">
        <v>0</v>
      </c>
      <c r="DS3145">
        <v>0</v>
      </c>
    </row>
    <row r="3146" spans="1:123" x14ac:dyDescent="0.3">
      <c r="A3146" t="str">
        <f>"10/04/2022 19:33:57.574"</f>
        <v>10/04/2022 19:33:57.574</v>
      </c>
      <c r="C3146" t="str">
        <f t="shared" si="1135"/>
        <v>FFDFD3C0</v>
      </c>
      <c r="D3146" t="s">
        <v>134</v>
      </c>
      <c r="E3146">
        <v>15</v>
      </c>
      <c r="J3146" t="s">
        <v>135</v>
      </c>
      <c r="K3146">
        <v>0</v>
      </c>
      <c r="L3146">
        <v>3</v>
      </c>
      <c r="M3146">
        <v>0</v>
      </c>
      <c r="N3146">
        <v>2</v>
      </c>
      <c r="O3146">
        <v>0</v>
      </c>
      <c r="P3146">
        <v>1</v>
      </c>
      <c r="Q3146">
        <v>0</v>
      </c>
      <c r="S3146" t="str">
        <f t="shared" si="1146"/>
        <v>19:33:57.000</v>
      </c>
      <c r="T3146" t="str">
        <f t="shared" si="1146"/>
        <v>19:33:57.000</v>
      </c>
      <c r="U3146" t="str">
        <f t="shared" si="1144"/>
        <v>AC3944</v>
      </c>
      <c r="V3146">
        <v>0</v>
      </c>
      <c r="W3146">
        <v>0</v>
      </c>
      <c r="X3146">
        <v>2</v>
      </c>
      <c r="Y3146">
        <v>0</v>
      </c>
      <c r="AA3146">
        <v>1</v>
      </c>
      <c r="AB3146">
        <v>8</v>
      </c>
      <c r="AC3146">
        <v>3</v>
      </c>
      <c r="AD3146">
        <v>0</v>
      </c>
      <c r="AE3146">
        <v>9</v>
      </c>
      <c r="AF3146" t="s">
        <v>138</v>
      </c>
      <c r="AG3146">
        <v>0</v>
      </c>
      <c r="AH3146">
        <v>3</v>
      </c>
      <c r="AI3146">
        <v>1</v>
      </c>
      <c r="AJ3146">
        <v>0</v>
      </c>
      <c r="AK3146" t="s">
        <v>1048</v>
      </c>
      <c r="AL3146">
        <v>32.708551999999997</v>
      </c>
      <c r="AM3146" t="s">
        <v>1049</v>
      </c>
      <c r="AN3146">
        <v>-116.757717</v>
      </c>
      <c r="AO3146">
        <v>25</v>
      </c>
      <c r="AP3146">
        <v>3800</v>
      </c>
      <c r="AQ3146" t="s">
        <v>129</v>
      </c>
      <c r="AR3146">
        <v>143</v>
      </c>
      <c r="AS3146">
        <v>-5</v>
      </c>
      <c r="AT3146">
        <v>-768</v>
      </c>
      <c r="BB3146">
        <v>1200</v>
      </c>
      <c r="BC3146">
        <v>1</v>
      </c>
      <c r="BD3146" t="str">
        <f t="shared" si="1145"/>
        <v xml:space="preserve">N887QR  </v>
      </c>
      <c r="BE3146">
        <v>1</v>
      </c>
      <c r="BG3146">
        <v>0</v>
      </c>
      <c r="BH3146">
        <v>0</v>
      </c>
      <c r="BI3146">
        <v>0</v>
      </c>
      <c r="BJ3146">
        <v>3475</v>
      </c>
      <c r="BK3146">
        <v>-325</v>
      </c>
      <c r="BL3146" t="s">
        <v>163</v>
      </c>
      <c r="BM3146">
        <v>1</v>
      </c>
      <c r="BN3146">
        <v>1</v>
      </c>
      <c r="BO3146">
        <v>1</v>
      </c>
      <c r="BP3146">
        <v>0</v>
      </c>
      <c r="BS3146">
        <v>0</v>
      </c>
      <c r="BT3146">
        <v>0</v>
      </c>
      <c r="BU3146">
        <v>0</v>
      </c>
      <c r="CE3146" t="str">
        <f t="shared" si="1147"/>
        <v>19:33:57.155</v>
      </c>
      <c r="CF3146">
        <v>154515774</v>
      </c>
      <c r="CS3146">
        <v>0</v>
      </c>
      <c r="CT3146">
        <v>2</v>
      </c>
      <c r="CU3146">
        <v>0</v>
      </c>
      <c r="CV3146">
        <v>2</v>
      </c>
      <c r="CW3146">
        <v>0</v>
      </c>
      <c r="CX3146">
        <v>6</v>
      </c>
      <c r="CY3146">
        <v>7</v>
      </c>
      <c r="CZ3146" t="s">
        <v>131</v>
      </c>
      <c r="DA3146">
        <v>286</v>
      </c>
      <c r="DB3146">
        <v>0</v>
      </c>
      <c r="DC3146" t="s">
        <v>132</v>
      </c>
      <c r="DD3146" t="s">
        <v>133</v>
      </c>
      <c r="DG3146">
        <v>867283</v>
      </c>
      <c r="DI3146">
        <v>0</v>
      </c>
      <c r="DJ3146">
        <v>0</v>
      </c>
      <c r="DK3146">
        <v>1</v>
      </c>
      <c r="DL3146">
        <v>0</v>
      </c>
      <c r="DM3146">
        <v>0</v>
      </c>
      <c r="DN3146">
        <v>1</v>
      </c>
      <c r="DO3146">
        <v>0</v>
      </c>
      <c r="DP3146">
        <v>0</v>
      </c>
      <c r="DQ3146">
        <v>0</v>
      </c>
      <c r="DR3146">
        <v>0</v>
      </c>
      <c r="DS3146">
        <v>0</v>
      </c>
    </row>
    <row r="3147" spans="1:123" x14ac:dyDescent="0.3">
      <c r="A3147" t="str">
        <f>"10/04/2022 19:33:57.574"</f>
        <v>10/04/2022 19:33:57.574</v>
      </c>
      <c r="C3147" t="str">
        <f t="shared" si="1135"/>
        <v>FFDFD3C0</v>
      </c>
      <c r="D3147" t="s">
        <v>147</v>
      </c>
      <c r="E3147">
        <v>3</v>
      </c>
      <c r="H3147">
        <v>166</v>
      </c>
      <c r="I3147" t="s">
        <v>144</v>
      </c>
      <c r="J3147" t="s">
        <v>148</v>
      </c>
      <c r="K3147">
        <v>0</v>
      </c>
      <c r="L3147">
        <v>3</v>
      </c>
      <c r="M3147">
        <v>0</v>
      </c>
      <c r="N3147">
        <v>2</v>
      </c>
      <c r="O3147">
        <v>0</v>
      </c>
      <c r="P3147">
        <v>1</v>
      </c>
      <c r="Q3147">
        <v>0</v>
      </c>
      <c r="S3147" t="str">
        <f t="shared" si="1146"/>
        <v>19:33:57.000</v>
      </c>
      <c r="T3147" t="str">
        <f t="shared" si="1146"/>
        <v>19:33:57.000</v>
      </c>
      <c r="U3147" t="str">
        <f t="shared" si="1144"/>
        <v>AC3944</v>
      </c>
      <c r="V3147">
        <v>0</v>
      </c>
      <c r="W3147">
        <v>0</v>
      </c>
      <c r="X3147">
        <v>2</v>
      </c>
      <c r="Y3147">
        <v>0</v>
      </c>
      <c r="AA3147">
        <v>1</v>
      </c>
      <c r="AB3147">
        <v>8</v>
      </c>
      <c r="AC3147">
        <v>3</v>
      </c>
      <c r="AD3147">
        <v>0</v>
      </c>
      <c r="AE3147">
        <v>9</v>
      </c>
      <c r="AF3147" t="s">
        <v>138</v>
      </c>
      <c r="AG3147">
        <v>0</v>
      </c>
      <c r="AH3147">
        <v>3</v>
      </c>
      <c r="AI3147">
        <v>1</v>
      </c>
      <c r="AJ3147">
        <v>0</v>
      </c>
      <c r="AK3147" t="s">
        <v>1048</v>
      </c>
      <c r="AL3147">
        <v>32.708551999999997</v>
      </c>
      <c r="AM3147" t="s">
        <v>1049</v>
      </c>
      <c r="AN3147">
        <v>-116.757717</v>
      </c>
      <c r="AO3147">
        <v>25</v>
      </c>
      <c r="AP3147">
        <v>3800</v>
      </c>
      <c r="AQ3147" t="s">
        <v>129</v>
      </c>
      <c r="AR3147">
        <v>143</v>
      </c>
      <c r="AS3147">
        <v>-5</v>
      </c>
      <c r="AT3147">
        <v>-768</v>
      </c>
      <c r="BB3147">
        <v>1200</v>
      </c>
      <c r="BC3147">
        <v>1</v>
      </c>
      <c r="BD3147" t="str">
        <f t="shared" si="1145"/>
        <v xml:space="preserve">N887QR  </v>
      </c>
      <c r="BE3147">
        <v>1</v>
      </c>
      <c r="BG3147">
        <v>0</v>
      </c>
      <c r="BH3147">
        <v>0</v>
      </c>
      <c r="BI3147">
        <v>0</v>
      </c>
      <c r="BJ3147">
        <v>3475</v>
      </c>
      <c r="BK3147">
        <v>-325</v>
      </c>
      <c r="BL3147" t="s">
        <v>163</v>
      </c>
      <c r="BM3147">
        <v>1</v>
      </c>
      <c r="BN3147">
        <v>1</v>
      </c>
      <c r="BO3147">
        <v>1</v>
      </c>
      <c r="BP3147">
        <v>0</v>
      </c>
      <c r="BS3147">
        <v>0</v>
      </c>
      <c r="BT3147">
        <v>0</v>
      </c>
      <c r="BU3147">
        <v>0</v>
      </c>
      <c r="CE3147" t="str">
        <f t="shared" si="1147"/>
        <v>19:33:57.155</v>
      </c>
      <c r="CF3147">
        <v>154515774</v>
      </c>
      <c r="CS3147">
        <v>0</v>
      </c>
      <c r="CT3147">
        <v>2</v>
      </c>
      <c r="CU3147">
        <v>0</v>
      </c>
      <c r="CV3147">
        <v>2</v>
      </c>
      <c r="CW3147">
        <v>0</v>
      </c>
      <c r="CX3147">
        <v>6</v>
      </c>
      <c r="CY3147">
        <v>7</v>
      </c>
      <c r="CZ3147" t="s">
        <v>131</v>
      </c>
      <c r="DA3147">
        <v>286</v>
      </c>
      <c r="DB3147">
        <v>0</v>
      </c>
      <c r="DC3147" t="s">
        <v>132</v>
      </c>
      <c r="DD3147" t="s">
        <v>133</v>
      </c>
      <c r="DG3147">
        <v>867283</v>
      </c>
      <c r="DI3147">
        <v>0</v>
      </c>
      <c r="DJ3147">
        <v>0</v>
      </c>
      <c r="DK3147">
        <v>1</v>
      </c>
      <c r="DL3147">
        <v>0</v>
      </c>
      <c r="DM3147">
        <v>0</v>
      </c>
      <c r="DN3147">
        <v>1</v>
      </c>
      <c r="DO3147">
        <v>0</v>
      </c>
      <c r="DP3147">
        <v>0</v>
      </c>
      <c r="DQ3147">
        <v>0</v>
      </c>
      <c r="DR3147">
        <v>0</v>
      </c>
      <c r="DS3147">
        <v>0</v>
      </c>
    </row>
    <row r="3148" spans="1:123" x14ac:dyDescent="0.3">
      <c r="A3148" t="str">
        <f>"10/04/2022 19:33:57.574"</f>
        <v>10/04/2022 19:33:57.574</v>
      </c>
      <c r="C3148" t="str">
        <f t="shared" si="1135"/>
        <v>FFDFD3C0</v>
      </c>
      <c r="D3148" t="s">
        <v>141</v>
      </c>
      <c r="E3148">
        <v>4</v>
      </c>
      <c r="H3148">
        <v>4</v>
      </c>
      <c r="I3148" t="s">
        <v>142</v>
      </c>
      <c r="J3148" t="s">
        <v>138</v>
      </c>
      <c r="K3148">
        <v>0</v>
      </c>
      <c r="L3148">
        <v>3</v>
      </c>
      <c r="M3148">
        <v>0</v>
      </c>
      <c r="N3148">
        <v>2</v>
      </c>
      <c r="O3148">
        <v>0</v>
      </c>
      <c r="P3148">
        <v>1</v>
      </c>
      <c r="Q3148">
        <v>0</v>
      </c>
      <c r="S3148" t="str">
        <f t="shared" si="1146"/>
        <v>19:33:57.000</v>
      </c>
      <c r="T3148" t="str">
        <f t="shared" si="1146"/>
        <v>19:33:57.000</v>
      </c>
      <c r="U3148" t="str">
        <f t="shared" si="1144"/>
        <v>AC3944</v>
      </c>
      <c r="V3148">
        <v>0</v>
      </c>
      <c r="W3148">
        <v>0</v>
      </c>
      <c r="X3148">
        <v>2</v>
      </c>
      <c r="Y3148">
        <v>0</v>
      </c>
      <c r="AA3148">
        <v>1</v>
      </c>
      <c r="AB3148">
        <v>8</v>
      </c>
      <c r="AC3148">
        <v>3</v>
      </c>
      <c r="AD3148">
        <v>0</v>
      </c>
      <c r="AE3148">
        <v>9</v>
      </c>
      <c r="AF3148" t="s">
        <v>138</v>
      </c>
      <c r="AG3148">
        <v>0</v>
      </c>
      <c r="AH3148">
        <v>3</v>
      </c>
      <c r="AI3148">
        <v>1</v>
      </c>
      <c r="AJ3148">
        <v>0</v>
      </c>
      <c r="AK3148" t="s">
        <v>1048</v>
      </c>
      <c r="AL3148">
        <v>32.708551999999997</v>
      </c>
      <c r="AM3148" t="s">
        <v>1049</v>
      </c>
      <c r="AN3148">
        <v>-116.757717</v>
      </c>
      <c r="AO3148">
        <v>25</v>
      </c>
      <c r="AP3148">
        <v>3800</v>
      </c>
      <c r="AQ3148" t="s">
        <v>129</v>
      </c>
      <c r="AR3148">
        <v>143</v>
      </c>
      <c r="AS3148">
        <v>-5</v>
      </c>
      <c r="AT3148">
        <v>-768</v>
      </c>
      <c r="BB3148">
        <v>1200</v>
      </c>
      <c r="BC3148">
        <v>1</v>
      </c>
      <c r="BD3148" t="str">
        <f t="shared" si="1145"/>
        <v xml:space="preserve">N887QR  </v>
      </c>
      <c r="BE3148">
        <v>1</v>
      </c>
      <c r="BG3148">
        <v>0</v>
      </c>
      <c r="BH3148">
        <v>0</v>
      </c>
      <c r="BI3148">
        <v>0</v>
      </c>
      <c r="BJ3148">
        <v>3475</v>
      </c>
      <c r="BK3148">
        <v>-325</v>
      </c>
      <c r="BL3148" t="s">
        <v>163</v>
      </c>
      <c r="BM3148">
        <v>1</v>
      </c>
      <c r="BN3148">
        <v>1</v>
      </c>
      <c r="BO3148">
        <v>1</v>
      </c>
      <c r="BP3148">
        <v>0</v>
      </c>
      <c r="BS3148">
        <v>0</v>
      </c>
      <c r="BT3148">
        <v>0</v>
      </c>
      <c r="BU3148">
        <v>0</v>
      </c>
      <c r="CE3148" t="str">
        <f t="shared" si="1147"/>
        <v>19:33:57.155</v>
      </c>
      <c r="CF3148">
        <v>154515774</v>
      </c>
      <c r="CS3148">
        <v>0</v>
      </c>
      <c r="CT3148">
        <v>2</v>
      </c>
      <c r="CU3148">
        <v>0</v>
      </c>
      <c r="CV3148">
        <v>2</v>
      </c>
      <c r="CW3148">
        <v>0</v>
      </c>
      <c r="CX3148">
        <v>6</v>
      </c>
      <c r="CY3148">
        <v>7</v>
      </c>
      <c r="CZ3148" t="s">
        <v>131</v>
      </c>
      <c r="DA3148">
        <v>286</v>
      </c>
      <c r="DB3148">
        <v>0</v>
      </c>
      <c r="DC3148" t="s">
        <v>132</v>
      </c>
      <c r="DD3148" t="s">
        <v>133</v>
      </c>
      <c r="DG3148">
        <v>867283</v>
      </c>
      <c r="DI3148">
        <v>0</v>
      </c>
      <c r="DJ3148">
        <v>0</v>
      </c>
      <c r="DK3148">
        <v>1</v>
      </c>
      <c r="DL3148">
        <v>0</v>
      </c>
      <c r="DM3148">
        <v>0</v>
      </c>
      <c r="DN3148">
        <v>1</v>
      </c>
      <c r="DO3148">
        <v>0</v>
      </c>
      <c r="DP3148">
        <v>0</v>
      </c>
      <c r="DQ3148">
        <v>0</v>
      </c>
      <c r="DR3148">
        <v>0</v>
      </c>
      <c r="DS3148">
        <v>0</v>
      </c>
    </row>
    <row r="3149" spans="1:123" x14ac:dyDescent="0.3">
      <c r="A3149" t="str">
        <f t="shared" ref="A3149:A3155" si="1148">"10/04/2022 19:33:58.465"</f>
        <v>10/04/2022 19:33:58.465</v>
      </c>
      <c r="C3149" t="str">
        <f t="shared" si="1135"/>
        <v>FFDFD3C0</v>
      </c>
      <c r="D3149" t="s">
        <v>141</v>
      </c>
      <c r="E3149">
        <v>3</v>
      </c>
      <c r="H3149">
        <v>3</v>
      </c>
      <c r="I3149" t="s">
        <v>146</v>
      </c>
      <c r="J3149" t="s">
        <v>138</v>
      </c>
      <c r="K3149">
        <v>0</v>
      </c>
      <c r="L3149">
        <v>3</v>
      </c>
      <c r="M3149">
        <v>0</v>
      </c>
      <c r="N3149">
        <v>2</v>
      </c>
      <c r="O3149">
        <v>0</v>
      </c>
      <c r="P3149">
        <v>1</v>
      </c>
      <c r="Q3149">
        <v>0</v>
      </c>
      <c r="S3149" t="str">
        <f t="shared" ref="S3149:T3162" si="1149">"19:33:58.000"</f>
        <v>19:33:58.000</v>
      </c>
      <c r="T3149" t="str">
        <f t="shared" si="1149"/>
        <v>19:33:58.000</v>
      </c>
      <c r="U3149" t="str">
        <f t="shared" si="1144"/>
        <v>AC3944</v>
      </c>
      <c r="V3149">
        <v>0</v>
      </c>
      <c r="W3149">
        <v>0</v>
      </c>
      <c r="X3149">
        <v>2</v>
      </c>
      <c r="Y3149">
        <v>0</v>
      </c>
      <c r="AA3149">
        <v>1</v>
      </c>
      <c r="AB3149">
        <v>8</v>
      </c>
      <c r="AC3149">
        <v>3</v>
      </c>
      <c r="AD3149">
        <v>0</v>
      </c>
      <c r="AE3149">
        <v>9</v>
      </c>
      <c r="AF3149" t="s">
        <v>138</v>
      </c>
      <c r="AG3149">
        <v>0</v>
      </c>
      <c r="AH3149">
        <v>3</v>
      </c>
      <c r="AI3149">
        <v>1</v>
      </c>
      <c r="AJ3149">
        <v>0</v>
      </c>
      <c r="AK3149" t="s">
        <v>1050</v>
      </c>
      <c r="AL3149">
        <v>32.708508999999999</v>
      </c>
      <c r="AM3149" t="s">
        <v>1051</v>
      </c>
      <c r="AN3149">
        <v>-116.756923</v>
      </c>
      <c r="AO3149">
        <v>25</v>
      </c>
      <c r="AP3149">
        <v>3800</v>
      </c>
      <c r="AQ3149" t="s">
        <v>129</v>
      </c>
      <c r="AR3149">
        <v>143</v>
      </c>
      <c r="AS3149">
        <v>13</v>
      </c>
      <c r="AT3149">
        <v>-960</v>
      </c>
      <c r="BB3149">
        <v>1200</v>
      </c>
      <c r="BC3149">
        <v>1</v>
      </c>
      <c r="BD3149" t="str">
        <f t="shared" si="1145"/>
        <v xml:space="preserve">N887QR  </v>
      </c>
      <c r="BE3149">
        <v>1</v>
      </c>
      <c r="BG3149">
        <v>0</v>
      </c>
      <c r="BH3149">
        <v>0</v>
      </c>
      <c r="BI3149">
        <v>0</v>
      </c>
      <c r="BJ3149">
        <v>3475</v>
      </c>
      <c r="BK3149">
        <v>-325</v>
      </c>
      <c r="BL3149" t="s">
        <v>163</v>
      </c>
      <c r="BM3149">
        <v>1</v>
      </c>
      <c r="BN3149">
        <v>1</v>
      </c>
      <c r="BO3149">
        <v>1</v>
      </c>
      <c r="BP3149">
        <v>0</v>
      </c>
      <c r="BS3149">
        <v>0</v>
      </c>
      <c r="BT3149">
        <v>0</v>
      </c>
      <c r="BU3149">
        <v>0</v>
      </c>
      <c r="CE3149" t="str">
        <f t="shared" ref="CE3149:CE3155" si="1150">"19:33:58.134"</f>
        <v>19:33:58.134</v>
      </c>
      <c r="CF3149">
        <v>133769027</v>
      </c>
      <c r="CS3149">
        <v>0</v>
      </c>
      <c r="CT3149">
        <v>2</v>
      </c>
      <c r="CU3149">
        <v>0</v>
      </c>
      <c r="CV3149">
        <v>2</v>
      </c>
      <c r="CW3149">
        <v>0</v>
      </c>
      <c r="CX3149">
        <v>6</v>
      </c>
      <c r="CY3149">
        <v>7</v>
      </c>
      <c r="CZ3149" t="s">
        <v>131</v>
      </c>
      <c r="DA3149">
        <v>286</v>
      </c>
      <c r="DB3149">
        <v>0</v>
      </c>
      <c r="DC3149" t="s">
        <v>132</v>
      </c>
      <c r="DD3149" t="s">
        <v>133</v>
      </c>
      <c r="DG3149">
        <v>867493</v>
      </c>
      <c r="DI3149">
        <v>0</v>
      </c>
      <c r="DJ3149">
        <v>0</v>
      </c>
      <c r="DK3149">
        <v>0</v>
      </c>
      <c r="DL3149">
        <v>0</v>
      </c>
      <c r="DM3149">
        <v>0</v>
      </c>
      <c r="DN3149">
        <v>1</v>
      </c>
      <c r="DO3149">
        <v>0</v>
      </c>
      <c r="DP3149">
        <v>0</v>
      </c>
      <c r="DQ3149">
        <v>0</v>
      </c>
      <c r="DR3149">
        <v>0</v>
      </c>
      <c r="DS3149">
        <v>0</v>
      </c>
    </row>
    <row r="3150" spans="1:123" x14ac:dyDescent="0.3">
      <c r="A3150" t="str">
        <f t="shared" si="1148"/>
        <v>10/04/2022 19:33:58.465</v>
      </c>
      <c r="C3150" t="str">
        <f t="shared" si="1135"/>
        <v>FFDFD3C0</v>
      </c>
      <c r="D3150" t="s">
        <v>143</v>
      </c>
      <c r="E3150">
        <v>20</v>
      </c>
      <c r="F3150">
        <v>1020</v>
      </c>
      <c r="G3150" t="s">
        <v>144</v>
      </c>
      <c r="J3150" t="s">
        <v>145</v>
      </c>
      <c r="K3150">
        <v>0</v>
      </c>
      <c r="L3150">
        <v>3</v>
      </c>
      <c r="M3150">
        <v>0</v>
      </c>
      <c r="N3150">
        <v>2</v>
      </c>
      <c r="O3150">
        <v>0</v>
      </c>
      <c r="P3150">
        <v>1</v>
      </c>
      <c r="Q3150">
        <v>0</v>
      </c>
      <c r="S3150" t="str">
        <f t="shared" si="1149"/>
        <v>19:33:58.000</v>
      </c>
      <c r="T3150" t="str">
        <f t="shared" si="1149"/>
        <v>19:33:58.000</v>
      </c>
      <c r="U3150" t="str">
        <f t="shared" si="1144"/>
        <v>AC3944</v>
      </c>
      <c r="V3150">
        <v>0</v>
      </c>
      <c r="W3150">
        <v>0</v>
      </c>
      <c r="X3150">
        <v>2</v>
      </c>
      <c r="Y3150">
        <v>0</v>
      </c>
      <c r="AA3150">
        <v>1</v>
      </c>
      <c r="AB3150">
        <v>8</v>
      </c>
      <c r="AC3150">
        <v>3</v>
      </c>
      <c r="AD3150">
        <v>0</v>
      </c>
      <c r="AE3150">
        <v>9</v>
      </c>
      <c r="AF3150" t="s">
        <v>138</v>
      </c>
      <c r="AG3150">
        <v>0</v>
      </c>
      <c r="AH3150">
        <v>3</v>
      </c>
      <c r="AI3150">
        <v>1</v>
      </c>
      <c r="AJ3150">
        <v>0</v>
      </c>
      <c r="AK3150" t="s">
        <v>1050</v>
      </c>
      <c r="AL3150">
        <v>32.708508999999999</v>
      </c>
      <c r="AM3150" t="s">
        <v>1051</v>
      </c>
      <c r="AN3150">
        <v>-116.756923</v>
      </c>
      <c r="AO3150">
        <v>25</v>
      </c>
      <c r="AP3150">
        <v>3800</v>
      </c>
      <c r="AQ3150" t="s">
        <v>129</v>
      </c>
      <c r="AR3150">
        <v>143</v>
      </c>
      <c r="AS3150">
        <v>13</v>
      </c>
      <c r="AT3150">
        <v>-960</v>
      </c>
      <c r="BB3150">
        <v>1200</v>
      </c>
      <c r="BC3150">
        <v>1</v>
      </c>
      <c r="BD3150" t="str">
        <f t="shared" si="1145"/>
        <v xml:space="preserve">N887QR  </v>
      </c>
      <c r="BE3150">
        <v>1</v>
      </c>
      <c r="BG3150">
        <v>0</v>
      </c>
      <c r="BH3150">
        <v>0</v>
      </c>
      <c r="BI3150">
        <v>0</v>
      </c>
      <c r="BJ3150">
        <v>3475</v>
      </c>
      <c r="BK3150">
        <v>-325</v>
      </c>
      <c r="BL3150" t="s">
        <v>163</v>
      </c>
      <c r="BM3150">
        <v>1</v>
      </c>
      <c r="BN3150">
        <v>1</v>
      </c>
      <c r="BO3150">
        <v>1</v>
      </c>
      <c r="BP3150">
        <v>0</v>
      </c>
      <c r="BS3150">
        <v>0</v>
      </c>
      <c r="BT3150">
        <v>0</v>
      </c>
      <c r="BU3150">
        <v>0</v>
      </c>
      <c r="CE3150" t="str">
        <f t="shared" si="1150"/>
        <v>19:33:58.134</v>
      </c>
      <c r="CF3150">
        <v>133769027</v>
      </c>
      <c r="CS3150">
        <v>0</v>
      </c>
      <c r="CT3150">
        <v>2</v>
      </c>
      <c r="CU3150">
        <v>0</v>
      </c>
      <c r="CV3150">
        <v>2</v>
      </c>
      <c r="CW3150">
        <v>0</v>
      </c>
      <c r="CX3150">
        <v>6</v>
      </c>
      <c r="CY3150">
        <v>7</v>
      </c>
      <c r="CZ3150" t="s">
        <v>131</v>
      </c>
      <c r="DA3150">
        <v>286</v>
      </c>
      <c r="DB3150">
        <v>0</v>
      </c>
      <c r="DC3150" t="s">
        <v>132</v>
      </c>
      <c r="DD3150" t="s">
        <v>133</v>
      </c>
      <c r="DG3150">
        <v>867493</v>
      </c>
      <c r="DI3150">
        <v>0</v>
      </c>
      <c r="DJ3150">
        <v>0</v>
      </c>
      <c r="DK3150">
        <v>1</v>
      </c>
      <c r="DL3150">
        <v>0</v>
      </c>
      <c r="DM3150">
        <v>0</v>
      </c>
      <c r="DN3150">
        <v>1</v>
      </c>
      <c r="DO3150">
        <v>0</v>
      </c>
      <c r="DP3150">
        <v>0</v>
      </c>
      <c r="DQ3150">
        <v>0</v>
      </c>
      <c r="DR3150">
        <v>0</v>
      </c>
      <c r="DS3150">
        <v>0</v>
      </c>
    </row>
    <row r="3151" spans="1:123" x14ac:dyDescent="0.3">
      <c r="A3151" t="str">
        <f t="shared" si="1148"/>
        <v>10/04/2022 19:33:58.465</v>
      </c>
      <c r="C3151" t="str">
        <f t="shared" si="1135"/>
        <v>FFDFD3C0</v>
      </c>
      <c r="D3151" t="s">
        <v>123</v>
      </c>
      <c r="E3151">
        <v>7</v>
      </c>
      <c r="F3151">
        <v>2007</v>
      </c>
      <c r="G3151" t="s">
        <v>124</v>
      </c>
      <c r="J3151" t="s">
        <v>125</v>
      </c>
      <c r="K3151">
        <v>0</v>
      </c>
      <c r="L3151">
        <v>3</v>
      </c>
      <c r="M3151">
        <v>0</v>
      </c>
      <c r="N3151">
        <v>2</v>
      </c>
      <c r="O3151">
        <v>0</v>
      </c>
      <c r="P3151">
        <v>1</v>
      </c>
      <c r="Q3151">
        <v>0</v>
      </c>
      <c r="S3151" t="str">
        <f t="shared" si="1149"/>
        <v>19:33:58.000</v>
      </c>
      <c r="T3151" t="str">
        <f t="shared" si="1149"/>
        <v>19:33:58.000</v>
      </c>
      <c r="U3151" t="str">
        <f t="shared" si="1144"/>
        <v>AC3944</v>
      </c>
      <c r="V3151">
        <v>0</v>
      </c>
      <c r="W3151">
        <v>0</v>
      </c>
      <c r="X3151">
        <v>2</v>
      </c>
      <c r="Y3151">
        <v>0</v>
      </c>
      <c r="AA3151">
        <v>1</v>
      </c>
      <c r="AB3151">
        <v>8</v>
      </c>
      <c r="AC3151">
        <v>3</v>
      </c>
      <c r="AD3151">
        <v>0</v>
      </c>
      <c r="AE3151">
        <v>9</v>
      </c>
      <c r="AF3151" t="s">
        <v>138</v>
      </c>
      <c r="AG3151">
        <v>0</v>
      </c>
      <c r="AH3151">
        <v>3</v>
      </c>
      <c r="AI3151">
        <v>1</v>
      </c>
      <c r="AJ3151">
        <v>0</v>
      </c>
      <c r="AK3151" t="s">
        <v>1050</v>
      </c>
      <c r="AL3151">
        <v>32.708508999999999</v>
      </c>
      <c r="AM3151" t="s">
        <v>1051</v>
      </c>
      <c r="AN3151">
        <v>-116.756923</v>
      </c>
      <c r="AO3151">
        <v>25</v>
      </c>
      <c r="AP3151">
        <v>3800</v>
      </c>
      <c r="AQ3151" t="s">
        <v>129</v>
      </c>
      <c r="AR3151">
        <v>143</v>
      </c>
      <c r="AS3151">
        <v>13</v>
      </c>
      <c r="AT3151">
        <v>-960</v>
      </c>
      <c r="BB3151">
        <v>1200</v>
      </c>
      <c r="BC3151">
        <v>1</v>
      </c>
      <c r="BD3151" t="str">
        <f t="shared" si="1145"/>
        <v xml:space="preserve">N887QR  </v>
      </c>
      <c r="BE3151">
        <v>1</v>
      </c>
      <c r="BG3151">
        <v>0</v>
      </c>
      <c r="BH3151">
        <v>0</v>
      </c>
      <c r="BI3151">
        <v>0</v>
      </c>
      <c r="BJ3151">
        <v>3475</v>
      </c>
      <c r="BK3151">
        <v>-325</v>
      </c>
      <c r="BL3151" t="s">
        <v>163</v>
      </c>
      <c r="BM3151">
        <v>1</v>
      </c>
      <c r="BN3151">
        <v>1</v>
      </c>
      <c r="BO3151">
        <v>1</v>
      </c>
      <c r="BP3151">
        <v>0</v>
      </c>
      <c r="BS3151">
        <v>0</v>
      </c>
      <c r="BT3151">
        <v>0</v>
      </c>
      <c r="BU3151">
        <v>0</v>
      </c>
      <c r="CE3151" t="str">
        <f t="shared" si="1150"/>
        <v>19:33:58.134</v>
      </c>
      <c r="CF3151">
        <v>133769027</v>
      </c>
      <c r="CS3151">
        <v>0</v>
      </c>
      <c r="CT3151">
        <v>2</v>
      </c>
      <c r="CU3151">
        <v>0</v>
      </c>
      <c r="CV3151">
        <v>2</v>
      </c>
      <c r="CW3151">
        <v>0</v>
      </c>
      <c r="CX3151">
        <v>6</v>
      </c>
      <c r="CY3151">
        <v>7</v>
      </c>
      <c r="CZ3151" t="s">
        <v>131</v>
      </c>
      <c r="DA3151">
        <v>286</v>
      </c>
      <c r="DB3151">
        <v>0</v>
      </c>
      <c r="DC3151" t="s">
        <v>132</v>
      </c>
      <c r="DD3151" t="s">
        <v>133</v>
      </c>
      <c r="DG3151">
        <v>867493</v>
      </c>
      <c r="DI3151">
        <v>0</v>
      </c>
      <c r="DJ3151">
        <v>0</v>
      </c>
      <c r="DK3151">
        <v>1</v>
      </c>
      <c r="DL3151">
        <v>0</v>
      </c>
      <c r="DM3151">
        <v>0</v>
      </c>
      <c r="DN3151">
        <v>1</v>
      </c>
      <c r="DO3151">
        <v>0</v>
      </c>
      <c r="DP3151">
        <v>0</v>
      </c>
      <c r="DQ3151">
        <v>0</v>
      </c>
      <c r="DR3151">
        <v>0</v>
      </c>
      <c r="DS3151">
        <v>0</v>
      </c>
    </row>
    <row r="3152" spans="1:123" x14ac:dyDescent="0.3">
      <c r="A3152" t="str">
        <f t="shared" si="1148"/>
        <v>10/04/2022 19:33:58.465</v>
      </c>
      <c r="C3152" t="str">
        <f t="shared" si="1135"/>
        <v>FFDFD3C0</v>
      </c>
      <c r="D3152" t="s">
        <v>136</v>
      </c>
      <c r="E3152">
        <v>8</v>
      </c>
      <c r="H3152">
        <v>225</v>
      </c>
      <c r="I3152" t="s">
        <v>137</v>
      </c>
      <c r="J3152" t="s">
        <v>138</v>
      </c>
      <c r="K3152">
        <v>0</v>
      </c>
      <c r="L3152">
        <v>3</v>
      </c>
      <c r="M3152">
        <v>0</v>
      </c>
      <c r="N3152">
        <v>2</v>
      </c>
      <c r="O3152">
        <v>0</v>
      </c>
      <c r="P3152">
        <v>1</v>
      </c>
      <c r="Q3152">
        <v>0</v>
      </c>
      <c r="S3152" t="str">
        <f t="shared" si="1149"/>
        <v>19:33:58.000</v>
      </c>
      <c r="T3152" t="str">
        <f t="shared" si="1149"/>
        <v>19:33:58.000</v>
      </c>
      <c r="U3152" t="str">
        <f t="shared" si="1144"/>
        <v>AC3944</v>
      </c>
      <c r="V3152">
        <v>0</v>
      </c>
      <c r="W3152">
        <v>0</v>
      </c>
      <c r="X3152">
        <v>2</v>
      </c>
      <c r="Y3152">
        <v>0</v>
      </c>
      <c r="AA3152">
        <v>1</v>
      </c>
      <c r="AB3152">
        <v>8</v>
      </c>
      <c r="AC3152">
        <v>3</v>
      </c>
      <c r="AD3152">
        <v>0</v>
      </c>
      <c r="AE3152">
        <v>9</v>
      </c>
      <c r="AF3152" t="s">
        <v>138</v>
      </c>
      <c r="AG3152">
        <v>0</v>
      </c>
      <c r="AH3152">
        <v>3</v>
      </c>
      <c r="AI3152">
        <v>1</v>
      </c>
      <c r="AJ3152">
        <v>0</v>
      </c>
      <c r="AK3152" t="s">
        <v>1050</v>
      </c>
      <c r="AL3152">
        <v>32.708508999999999</v>
      </c>
      <c r="AM3152" t="s">
        <v>1051</v>
      </c>
      <c r="AN3152">
        <v>-116.756923</v>
      </c>
      <c r="AO3152">
        <v>25</v>
      </c>
      <c r="AP3152">
        <v>3800</v>
      </c>
      <c r="AQ3152" t="s">
        <v>129</v>
      </c>
      <c r="AR3152">
        <v>143</v>
      </c>
      <c r="AS3152">
        <v>13</v>
      </c>
      <c r="AT3152">
        <v>-960</v>
      </c>
      <c r="BB3152">
        <v>1200</v>
      </c>
      <c r="BC3152">
        <v>1</v>
      </c>
      <c r="BD3152" t="str">
        <f t="shared" si="1145"/>
        <v xml:space="preserve">N887QR  </v>
      </c>
      <c r="BE3152">
        <v>1</v>
      </c>
      <c r="BG3152">
        <v>0</v>
      </c>
      <c r="BH3152">
        <v>0</v>
      </c>
      <c r="BI3152">
        <v>0</v>
      </c>
      <c r="BJ3152">
        <v>3475</v>
      </c>
      <c r="BK3152">
        <v>-325</v>
      </c>
      <c r="BL3152" t="s">
        <v>163</v>
      </c>
      <c r="BM3152">
        <v>1</v>
      </c>
      <c r="BN3152">
        <v>1</v>
      </c>
      <c r="BO3152">
        <v>1</v>
      </c>
      <c r="BP3152">
        <v>0</v>
      </c>
      <c r="BS3152">
        <v>0</v>
      </c>
      <c r="BT3152">
        <v>0</v>
      </c>
      <c r="BU3152">
        <v>0</v>
      </c>
      <c r="CE3152" t="str">
        <f t="shared" si="1150"/>
        <v>19:33:58.134</v>
      </c>
      <c r="CF3152">
        <v>133769027</v>
      </c>
      <c r="CS3152">
        <v>0</v>
      </c>
      <c r="CT3152">
        <v>2</v>
      </c>
      <c r="CU3152">
        <v>0</v>
      </c>
      <c r="CV3152">
        <v>2</v>
      </c>
      <c r="CW3152">
        <v>0</v>
      </c>
      <c r="CX3152">
        <v>6</v>
      </c>
      <c r="CY3152">
        <v>7</v>
      </c>
      <c r="CZ3152" t="s">
        <v>131</v>
      </c>
      <c r="DA3152">
        <v>286</v>
      </c>
      <c r="DB3152">
        <v>0</v>
      </c>
      <c r="DC3152" t="s">
        <v>132</v>
      </c>
      <c r="DD3152" t="s">
        <v>133</v>
      </c>
      <c r="DG3152">
        <v>867493</v>
      </c>
      <c r="DI3152">
        <v>0</v>
      </c>
      <c r="DJ3152">
        <v>0</v>
      </c>
      <c r="DK3152">
        <v>0</v>
      </c>
      <c r="DL3152">
        <v>0</v>
      </c>
      <c r="DM3152">
        <v>0</v>
      </c>
      <c r="DN3152">
        <v>1</v>
      </c>
      <c r="DO3152">
        <v>0</v>
      </c>
      <c r="DP3152">
        <v>0</v>
      </c>
      <c r="DQ3152">
        <v>0</v>
      </c>
      <c r="DR3152">
        <v>0</v>
      </c>
      <c r="DS3152">
        <v>0</v>
      </c>
    </row>
    <row r="3153" spans="1:123" x14ac:dyDescent="0.3">
      <c r="A3153" t="str">
        <f t="shared" si="1148"/>
        <v>10/04/2022 19:33:58.465</v>
      </c>
      <c r="C3153" t="str">
        <f t="shared" si="1135"/>
        <v>FFDFD3C0</v>
      </c>
      <c r="D3153" t="s">
        <v>147</v>
      </c>
      <c r="E3153">
        <v>3</v>
      </c>
      <c r="H3153">
        <v>166</v>
      </c>
      <c r="I3153" t="s">
        <v>144</v>
      </c>
      <c r="J3153" t="s">
        <v>148</v>
      </c>
      <c r="K3153">
        <v>0</v>
      </c>
      <c r="L3153">
        <v>3</v>
      </c>
      <c r="M3153">
        <v>0</v>
      </c>
      <c r="N3153">
        <v>2</v>
      </c>
      <c r="O3153">
        <v>0</v>
      </c>
      <c r="P3153">
        <v>1</v>
      </c>
      <c r="Q3153">
        <v>0</v>
      </c>
      <c r="S3153" t="str">
        <f t="shared" si="1149"/>
        <v>19:33:58.000</v>
      </c>
      <c r="T3153" t="str">
        <f t="shared" si="1149"/>
        <v>19:33:58.000</v>
      </c>
      <c r="U3153" t="str">
        <f t="shared" si="1144"/>
        <v>AC3944</v>
      </c>
      <c r="V3153">
        <v>0</v>
      </c>
      <c r="W3153">
        <v>0</v>
      </c>
      <c r="X3153">
        <v>2</v>
      </c>
      <c r="Y3153">
        <v>0</v>
      </c>
      <c r="AA3153">
        <v>1</v>
      </c>
      <c r="AB3153">
        <v>8</v>
      </c>
      <c r="AC3153">
        <v>3</v>
      </c>
      <c r="AD3153">
        <v>0</v>
      </c>
      <c r="AE3153">
        <v>9</v>
      </c>
      <c r="AF3153" t="s">
        <v>138</v>
      </c>
      <c r="AG3153">
        <v>0</v>
      </c>
      <c r="AH3153">
        <v>3</v>
      </c>
      <c r="AI3153">
        <v>1</v>
      </c>
      <c r="AJ3153">
        <v>0</v>
      </c>
      <c r="AK3153" t="s">
        <v>1050</v>
      </c>
      <c r="AL3153">
        <v>32.708508999999999</v>
      </c>
      <c r="AM3153" t="s">
        <v>1051</v>
      </c>
      <c r="AN3153">
        <v>-116.756923</v>
      </c>
      <c r="AO3153">
        <v>25</v>
      </c>
      <c r="AP3153">
        <v>3800</v>
      </c>
      <c r="AQ3153" t="s">
        <v>129</v>
      </c>
      <c r="AR3153">
        <v>143</v>
      </c>
      <c r="AS3153">
        <v>13</v>
      </c>
      <c r="AT3153">
        <v>-960</v>
      </c>
      <c r="BB3153">
        <v>1200</v>
      </c>
      <c r="BC3153">
        <v>1</v>
      </c>
      <c r="BD3153" t="str">
        <f t="shared" si="1145"/>
        <v xml:space="preserve">N887QR  </v>
      </c>
      <c r="BE3153">
        <v>1</v>
      </c>
      <c r="BG3153">
        <v>0</v>
      </c>
      <c r="BH3153">
        <v>0</v>
      </c>
      <c r="BI3153">
        <v>0</v>
      </c>
      <c r="BJ3153">
        <v>3475</v>
      </c>
      <c r="BK3153">
        <v>-325</v>
      </c>
      <c r="BL3153" t="s">
        <v>163</v>
      </c>
      <c r="BM3153">
        <v>1</v>
      </c>
      <c r="BN3153">
        <v>1</v>
      </c>
      <c r="BO3153">
        <v>1</v>
      </c>
      <c r="BP3153">
        <v>0</v>
      </c>
      <c r="BS3153">
        <v>0</v>
      </c>
      <c r="BT3153">
        <v>0</v>
      </c>
      <c r="BU3153">
        <v>0</v>
      </c>
      <c r="CE3153" t="str">
        <f t="shared" si="1150"/>
        <v>19:33:58.134</v>
      </c>
      <c r="CF3153">
        <v>133769027</v>
      </c>
      <c r="CS3153">
        <v>0</v>
      </c>
      <c r="CT3153">
        <v>2</v>
      </c>
      <c r="CU3153">
        <v>0</v>
      </c>
      <c r="CV3153">
        <v>2</v>
      </c>
      <c r="CW3153">
        <v>0</v>
      </c>
      <c r="CX3153">
        <v>6</v>
      </c>
      <c r="CY3153">
        <v>7</v>
      </c>
      <c r="CZ3153" t="s">
        <v>131</v>
      </c>
      <c r="DA3153">
        <v>286</v>
      </c>
      <c r="DB3153">
        <v>0</v>
      </c>
      <c r="DC3153" t="s">
        <v>132</v>
      </c>
      <c r="DD3153" t="s">
        <v>133</v>
      </c>
      <c r="DG3153">
        <v>867493</v>
      </c>
      <c r="DI3153">
        <v>0</v>
      </c>
      <c r="DJ3153">
        <v>0</v>
      </c>
      <c r="DK3153">
        <v>1</v>
      </c>
      <c r="DL3153">
        <v>0</v>
      </c>
      <c r="DM3153">
        <v>0</v>
      </c>
      <c r="DN3153">
        <v>1</v>
      </c>
      <c r="DO3153">
        <v>0</v>
      </c>
      <c r="DP3153">
        <v>0</v>
      </c>
      <c r="DQ3153">
        <v>0</v>
      </c>
      <c r="DR3153">
        <v>0</v>
      </c>
      <c r="DS3153">
        <v>0</v>
      </c>
    </row>
    <row r="3154" spans="1:123" x14ac:dyDescent="0.3">
      <c r="A3154" t="str">
        <f t="shared" si="1148"/>
        <v>10/04/2022 19:33:58.465</v>
      </c>
      <c r="C3154" t="str">
        <f t="shared" si="1135"/>
        <v>FFDFD3C0</v>
      </c>
      <c r="D3154" t="s">
        <v>134</v>
      </c>
      <c r="E3154">
        <v>15</v>
      </c>
      <c r="J3154" t="s">
        <v>135</v>
      </c>
      <c r="K3154">
        <v>0</v>
      </c>
      <c r="L3154">
        <v>3</v>
      </c>
      <c r="M3154">
        <v>0</v>
      </c>
      <c r="N3154">
        <v>2</v>
      </c>
      <c r="O3154">
        <v>0</v>
      </c>
      <c r="P3154">
        <v>1</v>
      </c>
      <c r="Q3154">
        <v>0</v>
      </c>
      <c r="S3154" t="str">
        <f t="shared" si="1149"/>
        <v>19:33:58.000</v>
      </c>
      <c r="T3154" t="str">
        <f t="shared" si="1149"/>
        <v>19:33:58.000</v>
      </c>
      <c r="U3154" t="str">
        <f t="shared" si="1144"/>
        <v>AC3944</v>
      </c>
      <c r="V3154">
        <v>0</v>
      </c>
      <c r="W3154">
        <v>0</v>
      </c>
      <c r="X3154">
        <v>2</v>
      </c>
      <c r="Y3154">
        <v>0</v>
      </c>
      <c r="AA3154">
        <v>1</v>
      </c>
      <c r="AB3154">
        <v>8</v>
      </c>
      <c r="AC3154">
        <v>3</v>
      </c>
      <c r="AD3154">
        <v>0</v>
      </c>
      <c r="AE3154">
        <v>9</v>
      </c>
      <c r="AF3154" t="s">
        <v>138</v>
      </c>
      <c r="AG3154">
        <v>0</v>
      </c>
      <c r="AH3154">
        <v>3</v>
      </c>
      <c r="AI3154">
        <v>1</v>
      </c>
      <c r="AJ3154">
        <v>0</v>
      </c>
      <c r="AK3154" t="s">
        <v>1050</v>
      </c>
      <c r="AL3154">
        <v>32.708508999999999</v>
      </c>
      <c r="AM3154" t="s">
        <v>1051</v>
      </c>
      <c r="AN3154">
        <v>-116.756923</v>
      </c>
      <c r="AO3154">
        <v>25</v>
      </c>
      <c r="AP3154">
        <v>3800</v>
      </c>
      <c r="AQ3154" t="s">
        <v>129</v>
      </c>
      <c r="AR3154">
        <v>143</v>
      </c>
      <c r="AS3154">
        <v>13</v>
      </c>
      <c r="AT3154">
        <v>-960</v>
      </c>
      <c r="BB3154">
        <v>1200</v>
      </c>
      <c r="BC3154">
        <v>1</v>
      </c>
      <c r="BD3154" t="str">
        <f t="shared" si="1145"/>
        <v xml:space="preserve">N887QR  </v>
      </c>
      <c r="BE3154">
        <v>1</v>
      </c>
      <c r="BG3154">
        <v>0</v>
      </c>
      <c r="BH3154">
        <v>0</v>
      </c>
      <c r="BI3154">
        <v>0</v>
      </c>
      <c r="BJ3154">
        <v>3475</v>
      </c>
      <c r="BK3154">
        <v>-325</v>
      </c>
      <c r="BL3154" t="s">
        <v>163</v>
      </c>
      <c r="BM3154">
        <v>1</v>
      </c>
      <c r="BN3154">
        <v>1</v>
      </c>
      <c r="BO3154">
        <v>1</v>
      </c>
      <c r="BP3154">
        <v>0</v>
      </c>
      <c r="BS3154">
        <v>0</v>
      </c>
      <c r="BT3154">
        <v>0</v>
      </c>
      <c r="BU3154">
        <v>0</v>
      </c>
      <c r="CE3154" t="str">
        <f t="shared" si="1150"/>
        <v>19:33:58.134</v>
      </c>
      <c r="CF3154">
        <v>133769027</v>
      </c>
      <c r="CS3154">
        <v>0</v>
      </c>
      <c r="CT3154">
        <v>2</v>
      </c>
      <c r="CU3154">
        <v>0</v>
      </c>
      <c r="CV3154">
        <v>2</v>
      </c>
      <c r="CW3154">
        <v>0</v>
      </c>
      <c r="CX3154">
        <v>6</v>
      </c>
      <c r="CY3154">
        <v>7</v>
      </c>
      <c r="CZ3154" t="s">
        <v>131</v>
      </c>
      <c r="DA3154">
        <v>286</v>
      </c>
      <c r="DB3154">
        <v>0</v>
      </c>
      <c r="DC3154" t="s">
        <v>132</v>
      </c>
      <c r="DD3154" t="s">
        <v>133</v>
      </c>
      <c r="DG3154">
        <v>867493</v>
      </c>
      <c r="DI3154">
        <v>0</v>
      </c>
      <c r="DJ3154">
        <v>0</v>
      </c>
      <c r="DK3154">
        <v>1</v>
      </c>
      <c r="DL3154">
        <v>0</v>
      </c>
      <c r="DM3154">
        <v>0</v>
      </c>
      <c r="DN3154">
        <v>1</v>
      </c>
      <c r="DO3154">
        <v>0</v>
      </c>
      <c r="DP3154">
        <v>0</v>
      </c>
      <c r="DQ3154">
        <v>0</v>
      </c>
      <c r="DR3154">
        <v>0</v>
      </c>
      <c r="DS3154">
        <v>0</v>
      </c>
    </row>
    <row r="3155" spans="1:123" x14ac:dyDescent="0.3">
      <c r="A3155" t="str">
        <f t="shared" si="1148"/>
        <v>10/04/2022 19:33:58.465</v>
      </c>
      <c r="C3155" t="str">
        <f t="shared" si="1135"/>
        <v>FFDFD3C0</v>
      </c>
      <c r="D3155" t="s">
        <v>141</v>
      </c>
      <c r="E3155">
        <v>4</v>
      </c>
      <c r="H3155">
        <v>4</v>
      </c>
      <c r="I3155" t="s">
        <v>142</v>
      </c>
      <c r="J3155" t="s">
        <v>138</v>
      </c>
      <c r="K3155">
        <v>0</v>
      </c>
      <c r="L3155">
        <v>3</v>
      </c>
      <c r="M3155">
        <v>0</v>
      </c>
      <c r="N3155">
        <v>2</v>
      </c>
      <c r="O3155">
        <v>0</v>
      </c>
      <c r="P3155">
        <v>1</v>
      </c>
      <c r="Q3155">
        <v>0</v>
      </c>
      <c r="S3155" t="str">
        <f t="shared" si="1149"/>
        <v>19:33:58.000</v>
      </c>
      <c r="T3155" t="str">
        <f t="shared" si="1149"/>
        <v>19:33:58.000</v>
      </c>
      <c r="U3155" t="str">
        <f t="shared" si="1144"/>
        <v>AC3944</v>
      </c>
      <c r="V3155">
        <v>0</v>
      </c>
      <c r="W3155">
        <v>0</v>
      </c>
      <c r="X3155">
        <v>2</v>
      </c>
      <c r="Y3155">
        <v>0</v>
      </c>
      <c r="AA3155">
        <v>1</v>
      </c>
      <c r="AB3155">
        <v>8</v>
      </c>
      <c r="AC3155">
        <v>3</v>
      </c>
      <c r="AD3155">
        <v>0</v>
      </c>
      <c r="AE3155">
        <v>9</v>
      </c>
      <c r="AF3155" t="s">
        <v>138</v>
      </c>
      <c r="AG3155">
        <v>0</v>
      </c>
      <c r="AH3155">
        <v>3</v>
      </c>
      <c r="AI3155">
        <v>1</v>
      </c>
      <c r="AJ3155">
        <v>0</v>
      </c>
      <c r="AK3155" t="s">
        <v>1050</v>
      </c>
      <c r="AL3155">
        <v>32.708508999999999</v>
      </c>
      <c r="AM3155" t="s">
        <v>1051</v>
      </c>
      <c r="AN3155">
        <v>-116.756923</v>
      </c>
      <c r="AO3155">
        <v>25</v>
      </c>
      <c r="AP3155">
        <v>3800</v>
      </c>
      <c r="AQ3155" t="s">
        <v>129</v>
      </c>
      <c r="AR3155">
        <v>143</v>
      </c>
      <c r="AS3155">
        <v>13</v>
      </c>
      <c r="AT3155">
        <v>-960</v>
      </c>
      <c r="BB3155">
        <v>1200</v>
      </c>
      <c r="BC3155">
        <v>1</v>
      </c>
      <c r="BD3155" t="str">
        <f t="shared" si="1145"/>
        <v xml:space="preserve">N887QR  </v>
      </c>
      <c r="BE3155">
        <v>1</v>
      </c>
      <c r="BG3155">
        <v>0</v>
      </c>
      <c r="BH3155">
        <v>0</v>
      </c>
      <c r="BI3155">
        <v>0</v>
      </c>
      <c r="BJ3155">
        <v>3475</v>
      </c>
      <c r="BK3155">
        <v>-325</v>
      </c>
      <c r="BL3155" t="s">
        <v>163</v>
      </c>
      <c r="BM3155">
        <v>1</v>
      </c>
      <c r="BN3155">
        <v>1</v>
      </c>
      <c r="BO3155">
        <v>1</v>
      </c>
      <c r="BP3155">
        <v>0</v>
      </c>
      <c r="BS3155">
        <v>0</v>
      </c>
      <c r="BT3155">
        <v>0</v>
      </c>
      <c r="BU3155">
        <v>0</v>
      </c>
      <c r="CE3155" t="str">
        <f t="shared" si="1150"/>
        <v>19:33:58.134</v>
      </c>
      <c r="CF3155">
        <v>133769027</v>
      </c>
      <c r="CS3155">
        <v>0</v>
      </c>
      <c r="CT3155">
        <v>2</v>
      </c>
      <c r="CU3155">
        <v>0</v>
      </c>
      <c r="CV3155">
        <v>2</v>
      </c>
      <c r="CW3155">
        <v>0</v>
      </c>
      <c r="CX3155">
        <v>6</v>
      </c>
      <c r="CY3155">
        <v>7</v>
      </c>
      <c r="CZ3155" t="s">
        <v>131</v>
      </c>
      <c r="DA3155">
        <v>286</v>
      </c>
      <c r="DB3155">
        <v>0</v>
      </c>
      <c r="DC3155" t="s">
        <v>132</v>
      </c>
      <c r="DD3155" t="s">
        <v>133</v>
      </c>
      <c r="DG3155">
        <v>867493</v>
      </c>
      <c r="DI3155">
        <v>0</v>
      </c>
      <c r="DJ3155">
        <v>0</v>
      </c>
      <c r="DK3155">
        <v>1</v>
      </c>
      <c r="DL3155">
        <v>0</v>
      </c>
      <c r="DM3155">
        <v>0</v>
      </c>
      <c r="DN3155">
        <v>1</v>
      </c>
      <c r="DO3155">
        <v>0</v>
      </c>
      <c r="DP3155">
        <v>0</v>
      </c>
      <c r="DQ3155">
        <v>0</v>
      </c>
      <c r="DR3155">
        <v>0</v>
      </c>
      <c r="DS3155">
        <v>0</v>
      </c>
    </row>
    <row r="3156" spans="1:123" x14ac:dyDescent="0.3">
      <c r="A3156" t="str">
        <f>"10/04/2022 19:33:59.246"</f>
        <v>10/04/2022 19:33:59.246</v>
      </c>
      <c r="C3156" t="str">
        <f t="shared" si="1135"/>
        <v>FFDFD3C0</v>
      </c>
      <c r="D3156" t="s">
        <v>136</v>
      </c>
      <c r="E3156">
        <v>8</v>
      </c>
      <c r="H3156">
        <v>225</v>
      </c>
      <c r="I3156" t="s">
        <v>137</v>
      </c>
      <c r="J3156" t="s">
        <v>138</v>
      </c>
      <c r="K3156">
        <v>0</v>
      </c>
      <c r="L3156">
        <v>3</v>
      </c>
      <c r="M3156">
        <v>0</v>
      </c>
      <c r="N3156">
        <v>2</v>
      </c>
      <c r="O3156">
        <v>0</v>
      </c>
      <c r="P3156">
        <v>1</v>
      </c>
      <c r="Q3156">
        <v>0</v>
      </c>
      <c r="S3156" t="str">
        <f t="shared" si="1149"/>
        <v>19:33:58.000</v>
      </c>
      <c r="T3156" t="str">
        <f t="shared" si="1149"/>
        <v>19:33:58.000</v>
      </c>
      <c r="U3156" t="str">
        <f t="shared" si="1144"/>
        <v>AC3944</v>
      </c>
      <c r="V3156">
        <v>0</v>
      </c>
      <c r="W3156">
        <v>0</v>
      </c>
      <c r="X3156">
        <v>2</v>
      </c>
      <c r="Y3156">
        <v>0</v>
      </c>
      <c r="AA3156">
        <v>1</v>
      </c>
      <c r="AB3156">
        <v>8</v>
      </c>
      <c r="AC3156">
        <v>3</v>
      </c>
      <c r="AD3156">
        <v>0</v>
      </c>
      <c r="AE3156">
        <v>9</v>
      </c>
      <c r="AF3156" t="s">
        <v>138</v>
      </c>
      <c r="AG3156">
        <v>0</v>
      </c>
      <c r="AH3156">
        <v>3</v>
      </c>
      <c r="AI3156">
        <v>1</v>
      </c>
      <c r="AJ3156">
        <v>0</v>
      </c>
      <c r="AK3156" t="s">
        <v>1048</v>
      </c>
      <c r="AL3156">
        <v>32.708551999999997</v>
      </c>
      <c r="AM3156" t="s">
        <v>1052</v>
      </c>
      <c r="AN3156">
        <v>-116.756129</v>
      </c>
      <c r="AO3156">
        <v>25</v>
      </c>
      <c r="AP3156">
        <v>3800</v>
      </c>
      <c r="AQ3156" t="s">
        <v>129</v>
      </c>
      <c r="AR3156">
        <v>143</v>
      </c>
      <c r="AS3156">
        <v>25</v>
      </c>
      <c r="AT3156">
        <v>-960</v>
      </c>
      <c r="BB3156">
        <v>1200</v>
      </c>
      <c r="BC3156">
        <v>1</v>
      </c>
      <c r="BD3156" t="str">
        <f t="shared" si="1145"/>
        <v xml:space="preserve">N887QR  </v>
      </c>
      <c r="BE3156">
        <v>1</v>
      </c>
      <c r="BG3156">
        <v>0</v>
      </c>
      <c r="BH3156">
        <v>0</v>
      </c>
      <c r="BI3156">
        <v>0</v>
      </c>
      <c r="BJ3156">
        <v>3450</v>
      </c>
      <c r="BK3156">
        <v>-350</v>
      </c>
      <c r="BL3156" t="s">
        <v>163</v>
      </c>
      <c r="BM3156">
        <v>1</v>
      </c>
      <c r="BN3156">
        <v>1</v>
      </c>
      <c r="BO3156">
        <v>1</v>
      </c>
      <c r="BP3156">
        <v>0</v>
      </c>
      <c r="BS3156">
        <v>0</v>
      </c>
      <c r="BT3156">
        <v>0</v>
      </c>
      <c r="BU3156">
        <v>0</v>
      </c>
      <c r="CE3156" t="str">
        <f t="shared" ref="CE3156:CE3162" si="1151">"19:33:58.888"</f>
        <v>19:33:58.888</v>
      </c>
      <c r="CF3156">
        <v>888021655</v>
      </c>
      <c r="CS3156">
        <v>0</v>
      </c>
      <c r="CT3156">
        <v>2</v>
      </c>
      <c r="CU3156">
        <v>0</v>
      </c>
      <c r="CV3156">
        <v>2</v>
      </c>
      <c r="CW3156">
        <v>0</v>
      </c>
      <c r="CX3156">
        <v>6</v>
      </c>
      <c r="CY3156">
        <v>7</v>
      </c>
      <c r="CZ3156" t="s">
        <v>131</v>
      </c>
      <c r="DA3156">
        <v>286</v>
      </c>
      <c r="DB3156">
        <v>0</v>
      </c>
      <c r="DC3156" t="s">
        <v>132</v>
      </c>
      <c r="DD3156" t="s">
        <v>133</v>
      </c>
      <c r="DG3156">
        <v>867692</v>
      </c>
      <c r="DI3156">
        <v>0</v>
      </c>
      <c r="DJ3156">
        <v>0</v>
      </c>
      <c r="DK3156">
        <v>0</v>
      </c>
      <c r="DL3156">
        <v>0</v>
      </c>
      <c r="DM3156">
        <v>0</v>
      </c>
      <c r="DN3156">
        <v>1</v>
      </c>
      <c r="DO3156">
        <v>0</v>
      </c>
      <c r="DP3156">
        <v>0</v>
      </c>
      <c r="DQ3156">
        <v>0</v>
      </c>
      <c r="DR3156">
        <v>0</v>
      </c>
      <c r="DS3156">
        <v>0</v>
      </c>
    </row>
    <row r="3157" spans="1:123" x14ac:dyDescent="0.3">
      <c r="A3157" t="str">
        <f>"10/04/2022 19:33:59.246"</f>
        <v>10/04/2022 19:33:59.246</v>
      </c>
      <c r="C3157" t="str">
        <f t="shared" si="1135"/>
        <v>FFDFD3C0</v>
      </c>
      <c r="D3157" t="s">
        <v>141</v>
      </c>
      <c r="E3157">
        <v>4</v>
      </c>
      <c r="H3157">
        <v>4</v>
      </c>
      <c r="I3157" t="s">
        <v>142</v>
      </c>
      <c r="J3157" t="s">
        <v>138</v>
      </c>
      <c r="K3157">
        <v>0</v>
      </c>
      <c r="L3157">
        <v>3</v>
      </c>
      <c r="M3157">
        <v>0</v>
      </c>
      <c r="N3157">
        <v>2</v>
      </c>
      <c r="O3157">
        <v>0</v>
      </c>
      <c r="P3157">
        <v>1</v>
      </c>
      <c r="Q3157">
        <v>0</v>
      </c>
      <c r="S3157" t="str">
        <f t="shared" si="1149"/>
        <v>19:33:58.000</v>
      </c>
      <c r="T3157" t="str">
        <f t="shared" si="1149"/>
        <v>19:33:58.000</v>
      </c>
      <c r="U3157" t="str">
        <f t="shared" si="1144"/>
        <v>AC3944</v>
      </c>
      <c r="V3157">
        <v>0</v>
      </c>
      <c r="W3157">
        <v>0</v>
      </c>
      <c r="X3157">
        <v>2</v>
      </c>
      <c r="Y3157">
        <v>0</v>
      </c>
      <c r="AA3157">
        <v>1</v>
      </c>
      <c r="AB3157">
        <v>8</v>
      </c>
      <c r="AC3157">
        <v>3</v>
      </c>
      <c r="AD3157">
        <v>0</v>
      </c>
      <c r="AE3157">
        <v>9</v>
      </c>
      <c r="AF3157" t="s">
        <v>138</v>
      </c>
      <c r="AG3157">
        <v>0</v>
      </c>
      <c r="AH3157">
        <v>3</v>
      </c>
      <c r="AI3157">
        <v>1</v>
      </c>
      <c r="AJ3157">
        <v>0</v>
      </c>
      <c r="AK3157" t="s">
        <v>1048</v>
      </c>
      <c r="AL3157">
        <v>32.708551999999997</v>
      </c>
      <c r="AM3157" t="s">
        <v>1052</v>
      </c>
      <c r="AN3157">
        <v>-116.756129</v>
      </c>
      <c r="AO3157">
        <v>25</v>
      </c>
      <c r="AP3157">
        <v>3800</v>
      </c>
      <c r="AQ3157" t="s">
        <v>129</v>
      </c>
      <c r="AR3157">
        <v>143</v>
      </c>
      <c r="AS3157">
        <v>25</v>
      </c>
      <c r="AT3157">
        <v>-960</v>
      </c>
      <c r="BB3157">
        <v>1200</v>
      </c>
      <c r="BC3157">
        <v>1</v>
      </c>
      <c r="BD3157" t="str">
        <f t="shared" si="1145"/>
        <v xml:space="preserve">N887QR  </v>
      </c>
      <c r="BE3157">
        <v>1</v>
      </c>
      <c r="BG3157">
        <v>0</v>
      </c>
      <c r="BH3157">
        <v>0</v>
      </c>
      <c r="BI3157">
        <v>0</v>
      </c>
      <c r="BJ3157">
        <v>3450</v>
      </c>
      <c r="BK3157">
        <v>-350</v>
      </c>
      <c r="BL3157" t="s">
        <v>163</v>
      </c>
      <c r="BM3157">
        <v>1</v>
      </c>
      <c r="BN3157">
        <v>1</v>
      </c>
      <c r="BO3157">
        <v>1</v>
      </c>
      <c r="BP3157">
        <v>0</v>
      </c>
      <c r="BS3157">
        <v>0</v>
      </c>
      <c r="BT3157">
        <v>0</v>
      </c>
      <c r="BU3157">
        <v>0</v>
      </c>
      <c r="CE3157" t="str">
        <f t="shared" si="1151"/>
        <v>19:33:58.888</v>
      </c>
      <c r="CF3157">
        <v>888021655</v>
      </c>
      <c r="CS3157">
        <v>0</v>
      </c>
      <c r="CT3157">
        <v>2</v>
      </c>
      <c r="CU3157">
        <v>0</v>
      </c>
      <c r="CV3157">
        <v>2</v>
      </c>
      <c r="CW3157">
        <v>0</v>
      </c>
      <c r="CX3157">
        <v>6</v>
      </c>
      <c r="CY3157">
        <v>7</v>
      </c>
      <c r="CZ3157" t="s">
        <v>131</v>
      </c>
      <c r="DA3157">
        <v>286</v>
      </c>
      <c r="DB3157">
        <v>0</v>
      </c>
      <c r="DC3157" t="s">
        <v>132</v>
      </c>
      <c r="DD3157" t="s">
        <v>133</v>
      </c>
      <c r="DG3157">
        <v>867692</v>
      </c>
      <c r="DI3157">
        <v>0</v>
      </c>
      <c r="DJ3157">
        <v>0</v>
      </c>
      <c r="DK3157">
        <v>1</v>
      </c>
      <c r="DL3157">
        <v>0</v>
      </c>
      <c r="DM3157">
        <v>0</v>
      </c>
      <c r="DN3157">
        <v>1</v>
      </c>
      <c r="DO3157">
        <v>0</v>
      </c>
      <c r="DP3157">
        <v>0</v>
      </c>
      <c r="DQ3157">
        <v>0</v>
      </c>
      <c r="DR3157">
        <v>0</v>
      </c>
      <c r="DS3157">
        <v>0</v>
      </c>
    </row>
    <row r="3158" spans="1:123" x14ac:dyDescent="0.3">
      <c r="A3158" t="str">
        <f>"10/04/2022 19:33:59.246"</f>
        <v>10/04/2022 19:33:59.246</v>
      </c>
      <c r="C3158" t="str">
        <f t="shared" si="1135"/>
        <v>FFDFD3C0</v>
      </c>
      <c r="D3158" t="s">
        <v>147</v>
      </c>
      <c r="E3158">
        <v>3</v>
      </c>
      <c r="H3158">
        <v>166</v>
      </c>
      <c r="I3158" t="s">
        <v>144</v>
      </c>
      <c r="J3158" t="s">
        <v>148</v>
      </c>
      <c r="K3158">
        <v>0</v>
      </c>
      <c r="L3158">
        <v>3</v>
      </c>
      <c r="M3158">
        <v>0</v>
      </c>
      <c r="N3158">
        <v>2</v>
      </c>
      <c r="O3158">
        <v>0</v>
      </c>
      <c r="P3158">
        <v>1</v>
      </c>
      <c r="Q3158">
        <v>0</v>
      </c>
      <c r="S3158" t="str">
        <f t="shared" si="1149"/>
        <v>19:33:58.000</v>
      </c>
      <c r="T3158" t="str">
        <f t="shared" si="1149"/>
        <v>19:33:58.000</v>
      </c>
      <c r="U3158" t="str">
        <f t="shared" si="1144"/>
        <v>AC3944</v>
      </c>
      <c r="V3158">
        <v>0</v>
      </c>
      <c r="W3158">
        <v>0</v>
      </c>
      <c r="X3158">
        <v>2</v>
      </c>
      <c r="Y3158">
        <v>0</v>
      </c>
      <c r="AA3158">
        <v>1</v>
      </c>
      <c r="AB3158">
        <v>8</v>
      </c>
      <c r="AC3158">
        <v>3</v>
      </c>
      <c r="AD3158">
        <v>0</v>
      </c>
      <c r="AE3158">
        <v>9</v>
      </c>
      <c r="AF3158" t="s">
        <v>138</v>
      </c>
      <c r="AG3158">
        <v>0</v>
      </c>
      <c r="AH3158">
        <v>3</v>
      </c>
      <c r="AI3158">
        <v>1</v>
      </c>
      <c r="AJ3158">
        <v>0</v>
      </c>
      <c r="AK3158" t="s">
        <v>1048</v>
      </c>
      <c r="AL3158">
        <v>32.708551999999997</v>
      </c>
      <c r="AM3158" t="s">
        <v>1052</v>
      </c>
      <c r="AN3158">
        <v>-116.756129</v>
      </c>
      <c r="AO3158">
        <v>25</v>
      </c>
      <c r="AP3158">
        <v>3800</v>
      </c>
      <c r="AQ3158" t="s">
        <v>129</v>
      </c>
      <c r="AR3158">
        <v>143</v>
      </c>
      <c r="AS3158">
        <v>25</v>
      </c>
      <c r="AT3158">
        <v>-960</v>
      </c>
      <c r="BB3158">
        <v>1200</v>
      </c>
      <c r="BC3158">
        <v>1</v>
      </c>
      <c r="BD3158" t="str">
        <f t="shared" si="1145"/>
        <v xml:space="preserve">N887QR  </v>
      </c>
      <c r="BE3158">
        <v>1</v>
      </c>
      <c r="BG3158">
        <v>0</v>
      </c>
      <c r="BH3158">
        <v>0</v>
      </c>
      <c r="BI3158">
        <v>0</v>
      </c>
      <c r="BJ3158">
        <v>3450</v>
      </c>
      <c r="BK3158">
        <v>-350</v>
      </c>
      <c r="BL3158" t="s">
        <v>163</v>
      </c>
      <c r="BM3158">
        <v>1</v>
      </c>
      <c r="BN3158">
        <v>1</v>
      </c>
      <c r="BO3158">
        <v>1</v>
      </c>
      <c r="BP3158">
        <v>0</v>
      </c>
      <c r="BS3158">
        <v>0</v>
      </c>
      <c r="BT3158">
        <v>0</v>
      </c>
      <c r="BU3158">
        <v>0</v>
      </c>
      <c r="CE3158" t="str">
        <f t="shared" si="1151"/>
        <v>19:33:58.888</v>
      </c>
      <c r="CF3158">
        <v>888021655</v>
      </c>
      <c r="CS3158">
        <v>0</v>
      </c>
      <c r="CT3158">
        <v>2</v>
      </c>
      <c r="CU3158">
        <v>0</v>
      </c>
      <c r="CV3158">
        <v>2</v>
      </c>
      <c r="CW3158">
        <v>0</v>
      </c>
      <c r="CX3158">
        <v>6</v>
      </c>
      <c r="CY3158">
        <v>7</v>
      </c>
      <c r="CZ3158" t="s">
        <v>131</v>
      </c>
      <c r="DA3158">
        <v>286</v>
      </c>
      <c r="DB3158">
        <v>0</v>
      </c>
      <c r="DC3158" t="s">
        <v>132</v>
      </c>
      <c r="DD3158" t="s">
        <v>133</v>
      </c>
      <c r="DG3158">
        <v>867692</v>
      </c>
      <c r="DI3158">
        <v>0</v>
      </c>
      <c r="DJ3158">
        <v>0</v>
      </c>
      <c r="DK3158">
        <v>1</v>
      </c>
      <c r="DL3158">
        <v>0</v>
      </c>
      <c r="DM3158">
        <v>0</v>
      </c>
      <c r="DN3158">
        <v>1</v>
      </c>
      <c r="DO3158">
        <v>0</v>
      </c>
      <c r="DP3158">
        <v>0</v>
      </c>
      <c r="DQ3158">
        <v>0</v>
      </c>
      <c r="DR3158">
        <v>0</v>
      </c>
      <c r="DS3158">
        <v>0</v>
      </c>
    </row>
    <row r="3159" spans="1:123" x14ac:dyDescent="0.3">
      <c r="A3159" t="str">
        <f>"10/04/2022 19:33:59.277"</f>
        <v>10/04/2022 19:33:59.277</v>
      </c>
      <c r="C3159" t="str">
        <f t="shared" si="1135"/>
        <v>FFDFD3C0</v>
      </c>
      <c r="D3159" t="s">
        <v>134</v>
      </c>
      <c r="E3159">
        <v>15</v>
      </c>
      <c r="J3159" t="s">
        <v>135</v>
      </c>
      <c r="K3159">
        <v>0</v>
      </c>
      <c r="L3159">
        <v>3</v>
      </c>
      <c r="M3159">
        <v>0</v>
      </c>
      <c r="N3159">
        <v>2</v>
      </c>
      <c r="O3159">
        <v>0</v>
      </c>
      <c r="P3159">
        <v>1</v>
      </c>
      <c r="Q3159">
        <v>0</v>
      </c>
      <c r="S3159" t="str">
        <f t="shared" si="1149"/>
        <v>19:33:58.000</v>
      </c>
      <c r="T3159" t="str">
        <f t="shared" si="1149"/>
        <v>19:33:58.000</v>
      </c>
      <c r="U3159" t="str">
        <f t="shared" si="1144"/>
        <v>AC3944</v>
      </c>
      <c r="V3159">
        <v>0</v>
      </c>
      <c r="W3159">
        <v>0</v>
      </c>
      <c r="X3159">
        <v>2</v>
      </c>
      <c r="Y3159">
        <v>0</v>
      </c>
      <c r="AA3159">
        <v>1</v>
      </c>
      <c r="AB3159">
        <v>8</v>
      </c>
      <c r="AC3159">
        <v>3</v>
      </c>
      <c r="AD3159">
        <v>0</v>
      </c>
      <c r="AE3159">
        <v>9</v>
      </c>
      <c r="AF3159" t="s">
        <v>138</v>
      </c>
      <c r="AG3159">
        <v>0</v>
      </c>
      <c r="AH3159">
        <v>3</v>
      </c>
      <c r="AI3159">
        <v>1</v>
      </c>
      <c r="AJ3159">
        <v>0</v>
      </c>
      <c r="AK3159" t="s">
        <v>1048</v>
      </c>
      <c r="AL3159">
        <v>32.708551999999997</v>
      </c>
      <c r="AM3159" t="s">
        <v>1052</v>
      </c>
      <c r="AN3159">
        <v>-116.756129</v>
      </c>
      <c r="AO3159">
        <v>25</v>
      </c>
      <c r="AP3159">
        <v>3800</v>
      </c>
      <c r="AQ3159" t="s">
        <v>129</v>
      </c>
      <c r="AR3159">
        <v>143</v>
      </c>
      <c r="AS3159">
        <v>25</v>
      </c>
      <c r="AT3159">
        <v>-960</v>
      </c>
      <c r="BB3159">
        <v>1200</v>
      </c>
      <c r="BC3159">
        <v>1</v>
      </c>
      <c r="BD3159" t="str">
        <f t="shared" si="1145"/>
        <v xml:space="preserve">N887QR  </v>
      </c>
      <c r="BE3159">
        <v>1</v>
      </c>
      <c r="BG3159">
        <v>0</v>
      </c>
      <c r="BH3159">
        <v>0</v>
      </c>
      <c r="BI3159">
        <v>0</v>
      </c>
      <c r="BJ3159">
        <v>3450</v>
      </c>
      <c r="BK3159">
        <v>-350</v>
      </c>
      <c r="BL3159" t="s">
        <v>163</v>
      </c>
      <c r="BM3159">
        <v>1</v>
      </c>
      <c r="BN3159">
        <v>1</v>
      </c>
      <c r="BO3159">
        <v>1</v>
      </c>
      <c r="BP3159">
        <v>0</v>
      </c>
      <c r="BS3159">
        <v>0</v>
      </c>
      <c r="BT3159">
        <v>0</v>
      </c>
      <c r="BU3159">
        <v>0</v>
      </c>
      <c r="CE3159" t="str">
        <f t="shared" si="1151"/>
        <v>19:33:58.888</v>
      </c>
      <c r="CF3159">
        <v>888021655</v>
      </c>
      <c r="CS3159">
        <v>0</v>
      </c>
      <c r="CT3159">
        <v>2</v>
      </c>
      <c r="CU3159">
        <v>0</v>
      </c>
      <c r="CV3159">
        <v>2</v>
      </c>
      <c r="CW3159">
        <v>0</v>
      </c>
      <c r="CX3159">
        <v>6</v>
      </c>
      <c r="CY3159">
        <v>7</v>
      </c>
      <c r="CZ3159" t="s">
        <v>131</v>
      </c>
      <c r="DA3159">
        <v>286</v>
      </c>
      <c r="DB3159">
        <v>0</v>
      </c>
      <c r="DC3159" t="s">
        <v>132</v>
      </c>
      <c r="DD3159" t="s">
        <v>133</v>
      </c>
      <c r="DG3159">
        <v>867692</v>
      </c>
      <c r="DI3159">
        <v>0</v>
      </c>
      <c r="DJ3159">
        <v>0</v>
      </c>
      <c r="DK3159">
        <v>1</v>
      </c>
      <c r="DL3159">
        <v>0</v>
      </c>
      <c r="DM3159">
        <v>0</v>
      </c>
      <c r="DN3159">
        <v>1</v>
      </c>
      <c r="DO3159">
        <v>0</v>
      </c>
      <c r="DP3159">
        <v>0</v>
      </c>
      <c r="DQ3159">
        <v>0</v>
      </c>
      <c r="DR3159">
        <v>0</v>
      </c>
      <c r="DS3159">
        <v>0</v>
      </c>
    </row>
    <row r="3160" spans="1:123" x14ac:dyDescent="0.3">
      <c r="A3160" t="str">
        <f>"10/04/2022 19:33:59.277"</f>
        <v>10/04/2022 19:33:59.277</v>
      </c>
      <c r="C3160" t="str">
        <f t="shared" si="1135"/>
        <v>FFDFD3C0</v>
      </c>
      <c r="D3160" t="s">
        <v>141</v>
      </c>
      <c r="E3160">
        <v>3</v>
      </c>
      <c r="H3160">
        <v>3</v>
      </c>
      <c r="I3160" t="s">
        <v>146</v>
      </c>
      <c r="J3160" t="s">
        <v>138</v>
      </c>
      <c r="K3160">
        <v>0</v>
      </c>
      <c r="L3160">
        <v>3</v>
      </c>
      <c r="M3160">
        <v>0</v>
      </c>
      <c r="N3160">
        <v>2</v>
      </c>
      <c r="O3160">
        <v>0</v>
      </c>
      <c r="P3160">
        <v>1</v>
      </c>
      <c r="Q3160">
        <v>0</v>
      </c>
      <c r="S3160" t="str">
        <f t="shared" si="1149"/>
        <v>19:33:58.000</v>
      </c>
      <c r="T3160" t="str">
        <f t="shared" si="1149"/>
        <v>19:33:58.000</v>
      </c>
      <c r="U3160" t="str">
        <f t="shared" si="1144"/>
        <v>AC3944</v>
      </c>
      <c r="V3160">
        <v>0</v>
      </c>
      <c r="W3160">
        <v>0</v>
      </c>
      <c r="X3160">
        <v>2</v>
      </c>
      <c r="Y3160">
        <v>0</v>
      </c>
      <c r="AA3160">
        <v>1</v>
      </c>
      <c r="AB3160">
        <v>8</v>
      </c>
      <c r="AC3160">
        <v>3</v>
      </c>
      <c r="AD3160">
        <v>0</v>
      </c>
      <c r="AE3160">
        <v>9</v>
      </c>
      <c r="AF3160" t="s">
        <v>138</v>
      </c>
      <c r="AG3160">
        <v>0</v>
      </c>
      <c r="AH3160">
        <v>3</v>
      </c>
      <c r="AI3160">
        <v>1</v>
      </c>
      <c r="AJ3160">
        <v>0</v>
      </c>
      <c r="AK3160" t="s">
        <v>1048</v>
      </c>
      <c r="AL3160">
        <v>32.708551999999997</v>
      </c>
      <c r="AM3160" t="s">
        <v>1052</v>
      </c>
      <c r="AN3160">
        <v>-116.756129</v>
      </c>
      <c r="AO3160">
        <v>25</v>
      </c>
      <c r="AP3160">
        <v>3800</v>
      </c>
      <c r="AQ3160" t="s">
        <v>129</v>
      </c>
      <c r="AR3160">
        <v>143</v>
      </c>
      <c r="AS3160">
        <v>25</v>
      </c>
      <c r="AT3160">
        <v>-960</v>
      </c>
      <c r="BB3160">
        <v>1200</v>
      </c>
      <c r="BC3160">
        <v>1</v>
      </c>
      <c r="BD3160" t="str">
        <f t="shared" si="1145"/>
        <v xml:space="preserve">N887QR  </v>
      </c>
      <c r="BE3160">
        <v>1</v>
      </c>
      <c r="BG3160">
        <v>0</v>
      </c>
      <c r="BH3160">
        <v>0</v>
      </c>
      <c r="BI3160">
        <v>0</v>
      </c>
      <c r="BJ3160">
        <v>3450</v>
      </c>
      <c r="BK3160">
        <v>-350</v>
      </c>
      <c r="BL3160" t="s">
        <v>163</v>
      </c>
      <c r="BM3160">
        <v>1</v>
      </c>
      <c r="BN3160">
        <v>1</v>
      </c>
      <c r="BO3160">
        <v>1</v>
      </c>
      <c r="BP3160">
        <v>0</v>
      </c>
      <c r="BS3160">
        <v>0</v>
      </c>
      <c r="BT3160">
        <v>0</v>
      </c>
      <c r="BU3160">
        <v>0</v>
      </c>
      <c r="CE3160" t="str">
        <f t="shared" si="1151"/>
        <v>19:33:58.888</v>
      </c>
      <c r="CF3160">
        <v>888021655</v>
      </c>
      <c r="CS3160">
        <v>0</v>
      </c>
      <c r="CT3160">
        <v>2</v>
      </c>
      <c r="CU3160">
        <v>0</v>
      </c>
      <c r="CV3160">
        <v>2</v>
      </c>
      <c r="CW3160">
        <v>0</v>
      </c>
      <c r="CX3160">
        <v>6</v>
      </c>
      <c r="CY3160">
        <v>7</v>
      </c>
      <c r="CZ3160" t="s">
        <v>131</v>
      </c>
      <c r="DA3160">
        <v>286</v>
      </c>
      <c r="DB3160">
        <v>0</v>
      </c>
      <c r="DC3160" t="s">
        <v>132</v>
      </c>
      <c r="DD3160" t="s">
        <v>133</v>
      </c>
      <c r="DG3160">
        <v>867692</v>
      </c>
      <c r="DI3160">
        <v>0</v>
      </c>
      <c r="DJ3160">
        <v>0</v>
      </c>
      <c r="DK3160">
        <v>1</v>
      </c>
      <c r="DL3160">
        <v>0</v>
      </c>
      <c r="DM3160">
        <v>0</v>
      </c>
      <c r="DN3160">
        <v>1</v>
      </c>
      <c r="DO3160">
        <v>0</v>
      </c>
      <c r="DP3160">
        <v>0</v>
      </c>
      <c r="DQ3160">
        <v>0</v>
      </c>
      <c r="DR3160">
        <v>0</v>
      </c>
      <c r="DS3160">
        <v>0</v>
      </c>
    </row>
    <row r="3161" spans="1:123" x14ac:dyDescent="0.3">
      <c r="A3161" t="str">
        <f>"10/04/2022 19:33:59.277"</f>
        <v>10/04/2022 19:33:59.277</v>
      </c>
      <c r="C3161" t="str">
        <f t="shared" si="1135"/>
        <v>FFDFD3C0</v>
      </c>
      <c r="D3161" t="s">
        <v>143</v>
      </c>
      <c r="E3161">
        <v>20</v>
      </c>
      <c r="F3161">
        <v>1020</v>
      </c>
      <c r="G3161" t="s">
        <v>144</v>
      </c>
      <c r="J3161" t="s">
        <v>145</v>
      </c>
      <c r="K3161">
        <v>0</v>
      </c>
      <c r="L3161">
        <v>3</v>
      </c>
      <c r="M3161">
        <v>0</v>
      </c>
      <c r="N3161">
        <v>2</v>
      </c>
      <c r="O3161">
        <v>0</v>
      </c>
      <c r="P3161">
        <v>1</v>
      </c>
      <c r="Q3161">
        <v>0</v>
      </c>
      <c r="S3161" t="str">
        <f t="shared" si="1149"/>
        <v>19:33:58.000</v>
      </c>
      <c r="T3161" t="str">
        <f t="shared" si="1149"/>
        <v>19:33:58.000</v>
      </c>
      <c r="U3161" t="str">
        <f t="shared" si="1144"/>
        <v>AC3944</v>
      </c>
      <c r="V3161">
        <v>0</v>
      </c>
      <c r="W3161">
        <v>0</v>
      </c>
      <c r="X3161">
        <v>2</v>
      </c>
      <c r="Y3161">
        <v>0</v>
      </c>
      <c r="AA3161">
        <v>1</v>
      </c>
      <c r="AB3161">
        <v>8</v>
      </c>
      <c r="AC3161">
        <v>3</v>
      </c>
      <c r="AD3161">
        <v>0</v>
      </c>
      <c r="AE3161">
        <v>9</v>
      </c>
      <c r="AF3161" t="s">
        <v>138</v>
      </c>
      <c r="AG3161">
        <v>0</v>
      </c>
      <c r="AH3161">
        <v>3</v>
      </c>
      <c r="AI3161">
        <v>1</v>
      </c>
      <c r="AJ3161">
        <v>0</v>
      </c>
      <c r="AK3161" t="s">
        <v>1048</v>
      </c>
      <c r="AL3161">
        <v>32.708551999999997</v>
      </c>
      <c r="AM3161" t="s">
        <v>1052</v>
      </c>
      <c r="AN3161">
        <v>-116.756129</v>
      </c>
      <c r="AO3161">
        <v>25</v>
      </c>
      <c r="AP3161">
        <v>3800</v>
      </c>
      <c r="AQ3161" t="s">
        <v>129</v>
      </c>
      <c r="AR3161">
        <v>143</v>
      </c>
      <c r="AS3161">
        <v>25</v>
      </c>
      <c r="AT3161">
        <v>-960</v>
      </c>
      <c r="BB3161">
        <v>1200</v>
      </c>
      <c r="BC3161">
        <v>1</v>
      </c>
      <c r="BD3161" t="str">
        <f t="shared" si="1145"/>
        <v xml:space="preserve">N887QR  </v>
      </c>
      <c r="BE3161">
        <v>1</v>
      </c>
      <c r="BG3161">
        <v>0</v>
      </c>
      <c r="BH3161">
        <v>0</v>
      </c>
      <c r="BI3161">
        <v>0</v>
      </c>
      <c r="BJ3161">
        <v>3450</v>
      </c>
      <c r="BK3161">
        <v>-350</v>
      </c>
      <c r="BL3161" t="s">
        <v>163</v>
      </c>
      <c r="BM3161">
        <v>1</v>
      </c>
      <c r="BN3161">
        <v>1</v>
      </c>
      <c r="BO3161">
        <v>1</v>
      </c>
      <c r="BP3161">
        <v>0</v>
      </c>
      <c r="BS3161">
        <v>0</v>
      </c>
      <c r="BT3161">
        <v>0</v>
      </c>
      <c r="BU3161">
        <v>0</v>
      </c>
      <c r="CE3161" t="str">
        <f t="shared" si="1151"/>
        <v>19:33:58.888</v>
      </c>
      <c r="CF3161">
        <v>888021655</v>
      </c>
      <c r="CS3161">
        <v>0</v>
      </c>
      <c r="CT3161">
        <v>2</v>
      </c>
      <c r="CU3161">
        <v>0</v>
      </c>
      <c r="CV3161">
        <v>2</v>
      </c>
      <c r="CW3161">
        <v>0</v>
      </c>
      <c r="CX3161">
        <v>6</v>
      </c>
      <c r="CY3161">
        <v>7</v>
      </c>
      <c r="CZ3161" t="s">
        <v>131</v>
      </c>
      <c r="DA3161">
        <v>286</v>
      </c>
      <c r="DB3161">
        <v>0</v>
      </c>
      <c r="DC3161" t="s">
        <v>132</v>
      </c>
      <c r="DD3161" t="s">
        <v>133</v>
      </c>
      <c r="DG3161">
        <v>867692</v>
      </c>
      <c r="DI3161">
        <v>0</v>
      </c>
      <c r="DJ3161">
        <v>0</v>
      </c>
      <c r="DK3161">
        <v>1</v>
      </c>
      <c r="DL3161">
        <v>0</v>
      </c>
      <c r="DM3161">
        <v>0</v>
      </c>
      <c r="DN3161">
        <v>1</v>
      </c>
      <c r="DO3161">
        <v>0</v>
      </c>
      <c r="DP3161">
        <v>0</v>
      </c>
      <c r="DQ3161">
        <v>0</v>
      </c>
      <c r="DR3161">
        <v>0</v>
      </c>
      <c r="DS3161">
        <v>0</v>
      </c>
    </row>
    <row r="3162" spans="1:123" x14ac:dyDescent="0.3">
      <c r="A3162" t="str">
        <f>"10/04/2022 19:33:59.277"</f>
        <v>10/04/2022 19:33:59.277</v>
      </c>
      <c r="C3162" t="str">
        <f t="shared" si="1135"/>
        <v>FFDFD3C0</v>
      </c>
      <c r="D3162" t="s">
        <v>123</v>
      </c>
      <c r="E3162">
        <v>7</v>
      </c>
      <c r="F3162">
        <v>2007</v>
      </c>
      <c r="G3162" t="s">
        <v>124</v>
      </c>
      <c r="J3162" t="s">
        <v>125</v>
      </c>
      <c r="K3162">
        <v>0</v>
      </c>
      <c r="L3162">
        <v>3</v>
      </c>
      <c r="M3162">
        <v>0</v>
      </c>
      <c r="N3162">
        <v>2</v>
      </c>
      <c r="O3162">
        <v>0</v>
      </c>
      <c r="P3162">
        <v>1</v>
      </c>
      <c r="Q3162">
        <v>0</v>
      </c>
      <c r="S3162" t="str">
        <f t="shared" si="1149"/>
        <v>19:33:58.000</v>
      </c>
      <c r="T3162" t="str">
        <f t="shared" si="1149"/>
        <v>19:33:58.000</v>
      </c>
      <c r="U3162" t="str">
        <f t="shared" si="1144"/>
        <v>AC3944</v>
      </c>
      <c r="V3162">
        <v>0</v>
      </c>
      <c r="W3162">
        <v>0</v>
      </c>
      <c r="X3162">
        <v>2</v>
      </c>
      <c r="Y3162">
        <v>0</v>
      </c>
      <c r="AA3162">
        <v>1</v>
      </c>
      <c r="AB3162">
        <v>8</v>
      </c>
      <c r="AC3162">
        <v>3</v>
      </c>
      <c r="AD3162">
        <v>0</v>
      </c>
      <c r="AE3162">
        <v>9</v>
      </c>
      <c r="AF3162" t="s">
        <v>138</v>
      </c>
      <c r="AG3162">
        <v>0</v>
      </c>
      <c r="AH3162">
        <v>3</v>
      </c>
      <c r="AI3162">
        <v>1</v>
      </c>
      <c r="AJ3162">
        <v>0</v>
      </c>
      <c r="AK3162" t="s">
        <v>1048</v>
      </c>
      <c r="AL3162">
        <v>32.708551999999997</v>
      </c>
      <c r="AM3162" t="s">
        <v>1052</v>
      </c>
      <c r="AN3162">
        <v>-116.756129</v>
      </c>
      <c r="AO3162">
        <v>25</v>
      </c>
      <c r="AP3162">
        <v>3800</v>
      </c>
      <c r="AQ3162" t="s">
        <v>129</v>
      </c>
      <c r="AR3162">
        <v>143</v>
      </c>
      <c r="AS3162">
        <v>25</v>
      </c>
      <c r="AT3162">
        <v>-960</v>
      </c>
      <c r="BB3162">
        <v>1200</v>
      </c>
      <c r="BC3162">
        <v>1</v>
      </c>
      <c r="BD3162" t="str">
        <f t="shared" si="1145"/>
        <v xml:space="preserve">N887QR  </v>
      </c>
      <c r="BE3162">
        <v>1</v>
      </c>
      <c r="BG3162">
        <v>0</v>
      </c>
      <c r="BH3162">
        <v>0</v>
      </c>
      <c r="BI3162">
        <v>0</v>
      </c>
      <c r="BJ3162">
        <v>3450</v>
      </c>
      <c r="BK3162">
        <v>-350</v>
      </c>
      <c r="BL3162" t="s">
        <v>163</v>
      </c>
      <c r="BM3162">
        <v>1</v>
      </c>
      <c r="BN3162">
        <v>1</v>
      </c>
      <c r="BO3162">
        <v>1</v>
      </c>
      <c r="BP3162">
        <v>0</v>
      </c>
      <c r="BS3162">
        <v>0</v>
      </c>
      <c r="BT3162">
        <v>0</v>
      </c>
      <c r="BU3162">
        <v>0</v>
      </c>
      <c r="CE3162" t="str">
        <f t="shared" si="1151"/>
        <v>19:33:58.888</v>
      </c>
      <c r="CF3162">
        <v>888021655</v>
      </c>
      <c r="CS3162">
        <v>0</v>
      </c>
      <c r="CT3162">
        <v>2</v>
      </c>
      <c r="CU3162">
        <v>0</v>
      </c>
      <c r="CV3162">
        <v>2</v>
      </c>
      <c r="CW3162">
        <v>0</v>
      </c>
      <c r="CX3162">
        <v>6</v>
      </c>
      <c r="CY3162">
        <v>7</v>
      </c>
      <c r="CZ3162" t="s">
        <v>131</v>
      </c>
      <c r="DA3162">
        <v>286</v>
      </c>
      <c r="DB3162">
        <v>0</v>
      </c>
      <c r="DC3162" t="s">
        <v>132</v>
      </c>
      <c r="DD3162" t="s">
        <v>133</v>
      </c>
      <c r="DG3162">
        <v>867692</v>
      </c>
      <c r="DI3162">
        <v>0</v>
      </c>
      <c r="DJ3162">
        <v>0</v>
      </c>
      <c r="DK3162">
        <v>1</v>
      </c>
      <c r="DL3162">
        <v>0</v>
      </c>
      <c r="DM3162">
        <v>0</v>
      </c>
      <c r="DN3162">
        <v>1</v>
      </c>
      <c r="DO3162">
        <v>0</v>
      </c>
      <c r="DP3162">
        <v>0</v>
      </c>
      <c r="DQ3162">
        <v>0</v>
      </c>
      <c r="DR3162">
        <v>0</v>
      </c>
      <c r="DS3162">
        <v>0</v>
      </c>
    </row>
    <row r="3163" spans="1:123" x14ac:dyDescent="0.3">
      <c r="A3163" t="str">
        <f>"10/04/2022 19:34:00.544"</f>
        <v>10/04/2022 19:34:00.544</v>
      </c>
      <c r="C3163" t="str">
        <f t="shared" si="1135"/>
        <v>FFDFD3C0</v>
      </c>
      <c r="D3163" t="s">
        <v>141</v>
      </c>
      <c r="E3163">
        <v>4</v>
      </c>
      <c r="H3163">
        <v>4</v>
      </c>
      <c r="I3163" t="s">
        <v>142</v>
      </c>
      <c r="J3163" t="s">
        <v>138</v>
      </c>
      <c r="K3163">
        <v>0</v>
      </c>
      <c r="L3163">
        <v>3</v>
      </c>
      <c r="M3163">
        <v>0</v>
      </c>
      <c r="N3163">
        <v>2</v>
      </c>
      <c r="O3163">
        <v>0</v>
      </c>
      <c r="P3163">
        <v>1</v>
      </c>
      <c r="Q3163">
        <v>0</v>
      </c>
      <c r="S3163" t="str">
        <f t="shared" ref="S3163:T3169" si="1152">"19:34:00.000"</f>
        <v>19:34:00.000</v>
      </c>
      <c r="T3163" t="str">
        <f t="shared" si="1152"/>
        <v>19:34:00.000</v>
      </c>
      <c r="U3163" t="str">
        <f t="shared" si="1144"/>
        <v>AC3944</v>
      </c>
      <c r="V3163">
        <v>0</v>
      </c>
      <c r="W3163">
        <v>0</v>
      </c>
      <c r="X3163">
        <v>2</v>
      </c>
      <c r="Y3163">
        <v>0</v>
      </c>
      <c r="AA3163">
        <v>1</v>
      </c>
      <c r="AB3163">
        <v>8</v>
      </c>
      <c r="AC3163">
        <v>3</v>
      </c>
      <c r="AD3163">
        <v>0</v>
      </c>
      <c r="AE3163">
        <v>9</v>
      </c>
      <c r="AF3163" t="s">
        <v>138</v>
      </c>
      <c r="AG3163">
        <v>0</v>
      </c>
      <c r="AH3163">
        <v>3</v>
      </c>
      <c r="AI3163">
        <v>1</v>
      </c>
      <c r="AJ3163">
        <v>0</v>
      </c>
      <c r="AK3163" t="s">
        <v>1053</v>
      </c>
      <c r="AL3163">
        <v>32.708723999999997</v>
      </c>
      <c r="AM3163" t="s">
        <v>1054</v>
      </c>
      <c r="AN3163">
        <v>-116.755335</v>
      </c>
      <c r="AO3163">
        <v>25</v>
      </c>
      <c r="AP3163">
        <v>3800</v>
      </c>
      <c r="AQ3163" t="s">
        <v>129</v>
      </c>
      <c r="AR3163">
        <v>137</v>
      </c>
      <c r="AS3163">
        <v>55</v>
      </c>
      <c r="AT3163">
        <v>-1088</v>
      </c>
      <c r="BB3163">
        <v>1200</v>
      </c>
      <c r="BC3163">
        <v>1</v>
      </c>
      <c r="BD3163" t="str">
        <f t="shared" si="1145"/>
        <v xml:space="preserve">N887QR  </v>
      </c>
      <c r="BE3163">
        <v>1</v>
      </c>
      <c r="BG3163">
        <v>0</v>
      </c>
      <c r="BH3163">
        <v>0</v>
      </c>
      <c r="BI3163">
        <v>0</v>
      </c>
      <c r="BJ3163">
        <v>3425</v>
      </c>
      <c r="BK3163">
        <v>-375</v>
      </c>
      <c r="BL3163" t="s">
        <v>163</v>
      </c>
      <c r="BM3163">
        <v>1</v>
      </c>
      <c r="BN3163">
        <v>1</v>
      </c>
      <c r="BO3163">
        <v>1</v>
      </c>
      <c r="BP3163">
        <v>0</v>
      </c>
      <c r="BS3163">
        <v>0</v>
      </c>
      <c r="BT3163">
        <v>0</v>
      </c>
      <c r="BU3163">
        <v>0</v>
      </c>
      <c r="CE3163" t="str">
        <f t="shared" ref="CE3163:CE3169" si="1153">"19:34:00.286"</f>
        <v>19:34:00.286</v>
      </c>
      <c r="CF3163">
        <v>285776264</v>
      </c>
      <c r="CS3163">
        <v>0</v>
      </c>
      <c r="CT3163">
        <v>2</v>
      </c>
      <c r="CU3163">
        <v>0</v>
      </c>
      <c r="CV3163">
        <v>2</v>
      </c>
      <c r="CW3163">
        <v>0</v>
      </c>
      <c r="CX3163">
        <v>6</v>
      </c>
      <c r="CY3163">
        <v>7</v>
      </c>
      <c r="CZ3163" t="s">
        <v>131</v>
      </c>
      <c r="DA3163">
        <v>286</v>
      </c>
      <c r="DB3163">
        <v>0</v>
      </c>
      <c r="DC3163" t="s">
        <v>132</v>
      </c>
      <c r="DD3163" t="s">
        <v>133</v>
      </c>
      <c r="DG3163">
        <v>868006</v>
      </c>
      <c r="DI3163">
        <v>0</v>
      </c>
      <c r="DJ3163">
        <v>0</v>
      </c>
      <c r="DK3163">
        <v>0</v>
      </c>
      <c r="DL3163">
        <v>0</v>
      </c>
      <c r="DM3163">
        <v>0</v>
      </c>
      <c r="DN3163">
        <v>1</v>
      </c>
      <c r="DO3163">
        <v>0</v>
      </c>
      <c r="DP3163">
        <v>0</v>
      </c>
      <c r="DQ3163">
        <v>0</v>
      </c>
      <c r="DR3163">
        <v>0</v>
      </c>
      <c r="DS3163">
        <v>0</v>
      </c>
    </row>
    <row r="3164" spans="1:123" x14ac:dyDescent="0.3">
      <c r="A3164" t="str">
        <f>"10/04/2022 19:34:00.544"</f>
        <v>10/04/2022 19:34:00.544</v>
      </c>
      <c r="C3164" t="str">
        <f t="shared" si="1135"/>
        <v>FFDFD3C0</v>
      </c>
      <c r="D3164" t="s">
        <v>147</v>
      </c>
      <c r="E3164">
        <v>3</v>
      </c>
      <c r="H3164">
        <v>166</v>
      </c>
      <c r="I3164" t="s">
        <v>144</v>
      </c>
      <c r="J3164" t="s">
        <v>148</v>
      </c>
      <c r="K3164">
        <v>0</v>
      </c>
      <c r="L3164">
        <v>3</v>
      </c>
      <c r="M3164">
        <v>0</v>
      </c>
      <c r="N3164">
        <v>2</v>
      </c>
      <c r="O3164">
        <v>0</v>
      </c>
      <c r="P3164">
        <v>1</v>
      </c>
      <c r="Q3164">
        <v>0</v>
      </c>
      <c r="S3164" t="str">
        <f t="shared" si="1152"/>
        <v>19:34:00.000</v>
      </c>
      <c r="T3164" t="str">
        <f t="shared" si="1152"/>
        <v>19:34:00.000</v>
      </c>
      <c r="U3164" t="str">
        <f t="shared" si="1144"/>
        <v>AC3944</v>
      </c>
      <c r="V3164">
        <v>0</v>
      </c>
      <c r="W3164">
        <v>0</v>
      </c>
      <c r="X3164">
        <v>2</v>
      </c>
      <c r="Y3164">
        <v>0</v>
      </c>
      <c r="AA3164">
        <v>1</v>
      </c>
      <c r="AB3164">
        <v>8</v>
      </c>
      <c r="AC3164">
        <v>3</v>
      </c>
      <c r="AD3164">
        <v>0</v>
      </c>
      <c r="AE3164">
        <v>9</v>
      </c>
      <c r="AF3164" t="s">
        <v>138</v>
      </c>
      <c r="AG3164">
        <v>0</v>
      </c>
      <c r="AH3164">
        <v>3</v>
      </c>
      <c r="AI3164">
        <v>1</v>
      </c>
      <c r="AJ3164">
        <v>0</v>
      </c>
      <c r="AK3164" t="s">
        <v>1053</v>
      </c>
      <c r="AL3164">
        <v>32.708723999999997</v>
      </c>
      <c r="AM3164" t="s">
        <v>1054</v>
      </c>
      <c r="AN3164">
        <v>-116.755335</v>
      </c>
      <c r="AO3164">
        <v>25</v>
      </c>
      <c r="AP3164">
        <v>3800</v>
      </c>
      <c r="AQ3164" t="s">
        <v>129</v>
      </c>
      <c r="AR3164">
        <v>137</v>
      </c>
      <c r="AS3164">
        <v>55</v>
      </c>
      <c r="AT3164">
        <v>-1088</v>
      </c>
      <c r="BB3164">
        <v>1200</v>
      </c>
      <c r="BC3164">
        <v>1</v>
      </c>
      <c r="BD3164" t="str">
        <f t="shared" si="1145"/>
        <v xml:space="preserve">N887QR  </v>
      </c>
      <c r="BE3164">
        <v>1</v>
      </c>
      <c r="BG3164">
        <v>0</v>
      </c>
      <c r="BH3164">
        <v>0</v>
      </c>
      <c r="BI3164">
        <v>0</v>
      </c>
      <c r="BJ3164">
        <v>3425</v>
      </c>
      <c r="BK3164">
        <v>-375</v>
      </c>
      <c r="BL3164" t="s">
        <v>163</v>
      </c>
      <c r="BM3164">
        <v>1</v>
      </c>
      <c r="BN3164">
        <v>1</v>
      </c>
      <c r="BO3164">
        <v>1</v>
      </c>
      <c r="BP3164">
        <v>0</v>
      </c>
      <c r="BS3164">
        <v>0</v>
      </c>
      <c r="BT3164">
        <v>0</v>
      </c>
      <c r="BU3164">
        <v>0</v>
      </c>
      <c r="CE3164" t="str">
        <f t="shared" si="1153"/>
        <v>19:34:00.286</v>
      </c>
      <c r="CF3164">
        <v>285776264</v>
      </c>
      <c r="CS3164">
        <v>0</v>
      </c>
      <c r="CT3164">
        <v>2</v>
      </c>
      <c r="CU3164">
        <v>0</v>
      </c>
      <c r="CV3164">
        <v>2</v>
      </c>
      <c r="CW3164">
        <v>0</v>
      </c>
      <c r="CX3164">
        <v>6</v>
      </c>
      <c r="CY3164">
        <v>7</v>
      </c>
      <c r="CZ3164" t="s">
        <v>131</v>
      </c>
      <c r="DA3164">
        <v>286</v>
      </c>
      <c r="DB3164">
        <v>0</v>
      </c>
      <c r="DC3164" t="s">
        <v>132</v>
      </c>
      <c r="DD3164" t="s">
        <v>133</v>
      </c>
      <c r="DG3164">
        <v>868006</v>
      </c>
      <c r="DI3164">
        <v>0</v>
      </c>
      <c r="DJ3164">
        <v>0</v>
      </c>
      <c r="DK3164">
        <v>1</v>
      </c>
      <c r="DL3164">
        <v>0</v>
      </c>
      <c r="DM3164">
        <v>0</v>
      </c>
      <c r="DN3164">
        <v>1</v>
      </c>
      <c r="DO3164">
        <v>0</v>
      </c>
      <c r="DP3164">
        <v>0</v>
      </c>
      <c r="DQ3164">
        <v>0</v>
      </c>
      <c r="DR3164">
        <v>0</v>
      </c>
      <c r="DS3164">
        <v>0</v>
      </c>
    </row>
    <row r="3165" spans="1:123" x14ac:dyDescent="0.3">
      <c r="A3165" t="str">
        <f>"10/04/2022 19:34:00.606"</f>
        <v>10/04/2022 19:34:00.606</v>
      </c>
      <c r="C3165" t="str">
        <f t="shared" si="1135"/>
        <v>FFDFD3C0</v>
      </c>
      <c r="D3165" t="s">
        <v>143</v>
      </c>
      <c r="E3165">
        <v>20</v>
      </c>
      <c r="F3165">
        <v>1020</v>
      </c>
      <c r="G3165" t="s">
        <v>144</v>
      </c>
      <c r="J3165" t="s">
        <v>145</v>
      </c>
      <c r="K3165">
        <v>0</v>
      </c>
      <c r="L3165">
        <v>3</v>
      </c>
      <c r="M3165">
        <v>0</v>
      </c>
      <c r="N3165">
        <v>2</v>
      </c>
      <c r="O3165">
        <v>0</v>
      </c>
      <c r="P3165">
        <v>1</v>
      </c>
      <c r="Q3165">
        <v>0</v>
      </c>
      <c r="S3165" t="str">
        <f t="shared" si="1152"/>
        <v>19:34:00.000</v>
      </c>
      <c r="T3165" t="str">
        <f t="shared" si="1152"/>
        <v>19:34:00.000</v>
      </c>
      <c r="U3165" t="str">
        <f t="shared" si="1144"/>
        <v>AC3944</v>
      </c>
      <c r="V3165">
        <v>0</v>
      </c>
      <c r="W3165">
        <v>0</v>
      </c>
      <c r="X3165">
        <v>2</v>
      </c>
      <c r="Y3165">
        <v>0</v>
      </c>
      <c r="AA3165">
        <v>1</v>
      </c>
      <c r="AB3165">
        <v>8</v>
      </c>
      <c r="AC3165">
        <v>3</v>
      </c>
      <c r="AD3165">
        <v>0</v>
      </c>
      <c r="AE3165">
        <v>9</v>
      </c>
      <c r="AF3165" t="s">
        <v>138</v>
      </c>
      <c r="AG3165">
        <v>0</v>
      </c>
      <c r="AH3165">
        <v>3</v>
      </c>
      <c r="AI3165">
        <v>1</v>
      </c>
      <c r="AJ3165">
        <v>0</v>
      </c>
      <c r="AK3165" t="s">
        <v>1053</v>
      </c>
      <c r="AL3165">
        <v>32.708723999999997</v>
      </c>
      <c r="AM3165" t="s">
        <v>1054</v>
      </c>
      <c r="AN3165">
        <v>-116.755335</v>
      </c>
      <c r="AO3165">
        <v>25</v>
      </c>
      <c r="AP3165">
        <v>3800</v>
      </c>
      <c r="AQ3165" t="s">
        <v>129</v>
      </c>
      <c r="AR3165">
        <v>137</v>
      </c>
      <c r="AS3165">
        <v>55</v>
      </c>
      <c r="AT3165">
        <v>-1088</v>
      </c>
      <c r="BB3165">
        <v>1200</v>
      </c>
      <c r="BC3165">
        <v>1</v>
      </c>
      <c r="BD3165" t="str">
        <f t="shared" si="1145"/>
        <v xml:space="preserve">N887QR  </v>
      </c>
      <c r="BE3165">
        <v>1</v>
      </c>
      <c r="BG3165">
        <v>0</v>
      </c>
      <c r="BH3165">
        <v>0</v>
      </c>
      <c r="BI3165">
        <v>0</v>
      </c>
      <c r="BJ3165">
        <v>3425</v>
      </c>
      <c r="BK3165">
        <v>-375</v>
      </c>
      <c r="BL3165" t="s">
        <v>163</v>
      </c>
      <c r="BM3165">
        <v>1</v>
      </c>
      <c r="BN3165">
        <v>1</v>
      </c>
      <c r="BO3165">
        <v>1</v>
      </c>
      <c r="BP3165">
        <v>0</v>
      </c>
      <c r="BS3165">
        <v>0</v>
      </c>
      <c r="BT3165">
        <v>0</v>
      </c>
      <c r="BU3165">
        <v>0</v>
      </c>
      <c r="CE3165" t="str">
        <f t="shared" si="1153"/>
        <v>19:34:00.286</v>
      </c>
      <c r="CF3165">
        <v>285776264</v>
      </c>
      <c r="CS3165">
        <v>0</v>
      </c>
      <c r="CT3165">
        <v>2</v>
      </c>
      <c r="CU3165">
        <v>0</v>
      </c>
      <c r="CV3165">
        <v>2</v>
      </c>
      <c r="CW3165">
        <v>0</v>
      </c>
      <c r="CX3165">
        <v>6</v>
      </c>
      <c r="CY3165">
        <v>7</v>
      </c>
      <c r="CZ3165" t="s">
        <v>131</v>
      </c>
      <c r="DA3165">
        <v>286</v>
      </c>
      <c r="DB3165">
        <v>0</v>
      </c>
      <c r="DC3165" t="s">
        <v>132</v>
      </c>
      <c r="DD3165" t="s">
        <v>133</v>
      </c>
      <c r="DG3165">
        <v>868006</v>
      </c>
      <c r="DI3165">
        <v>0</v>
      </c>
      <c r="DJ3165">
        <v>0</v>
      </c>
      <c r="DK3165">
        <v>1</v>
      </c>
      <c r="DL3165">
        <v>0</v>
      </c>
      <c r="DM3165">
        <v>0</v>
      </c>
      <c r="DN3165">
        <v>1</v>
      </c>
      <c r="DO3165">
        <v>0</v>
      </c>
      <c r="DP3165">
        <v>0</v>
      </c>
      <c r="DQ3165">
        <v>0</v>
      </c>
      <c r="DR3165">
        <v>0</v>
      </c>
      <c r="DS3165">
        <v>0</v>
      </c>
    </row>
    <row r="3166" spans="1:123" x14ac:dyDescent="0.3">
      <c r="A3166" t="str">
        <f>"10/04/2022 19:34:00.606"</f>
        <v>10/04/2022 19:34:00.606</v>
      </c>
      <c r="C3166" t="str">
        <f t="shared" si="1135"/>
        <v>FFDFD3C0</v>
      </c>
      <c r="D3166" t="s">
        <v>141</v>
      </c>
      <c r="E3166">
        <v>3</v>
      </c>
      <c r="H3166">
        <v>3</v>
      </c>
      <c r="I3166" t="s">
        <v>146</v>
      </c>
      <c r="J3166" t="s">
        <v>138</v>
      </c>
      <c r="K3166">
        <v>0</v>
      </c>
      <c r="L3166">
        <v>3</v>
      </c>
      <c r="M3166">
        <v>0</v>
      </c>
      <c r="N3166">
        <v>2</v>
      </c>
      <c r="O3166">
        <v>0</v>
      </c>
      <c r="P3166">
        <v>1</v>
      </c>
      <c r="Q3166">
        <v>0</v>
      </c>
      <c r="S3166" t="str">
        <f t="shared" si="1152"/>
        <v>19:34:00.000</v>
      </c>
      <c r="T3166" t="str">
        <f t="shared" si="1152"/>
        <v>19:34:00.000</v>
      </c>
      <c r="U3166" t="str">
        <f t="shared" si="1144"/>
        <v>AC3944</v>
      </c>
      <c r="V3166">
        <v>0</v>
      </c>
      <c r="W3166">
        <v>0</v>
      </c>
      <c r="X3166">
        <v>2</v>
      </c>
      <c r="Y3166">
        <v>0</v>
      </c>
      <c r="AA3166">
        <v>1</v>
      </c>
      <c r="AB3166">
        <v>8</v>
      </c>
      <c r="AC3166">
        <v>3</v>
      </c>
      <c r="AD3166">
        <v>0</v>
      </c>
      <c r="AE3166">
        <v>9</v>
      </c>
      <c r="AF3166" t="s">
        <v>138</v>
      </c>
      <c r="AG3166">
        <v>0</v>
      </c>
      <c r="AH3166">
        <v>3</v>
      </c>
      <c r="AI3166">
        <v>1</v>
      </c>
      <c r="AJ3166">
        <v>0</v>
      </c>
      <c r="AK3166" t="s">
        <v>1053</v>
      </c>
      <c r="AL3166">
        <v>32.708723999999997</v>
      </c>
      <c r="AM3166" t="s">
        <v>1054</v>
      </c>
      <c r="AN3166">
        <v>-116.755335</v>
      </c>
      <c r="AO3166">
        <v>25</v>
      </c>
      <c r="AP3166">
        <v>3800</v>
      </c>
      <c r="AQ3166" t="s">
        <v>129</v>
      </c>
      <c r="AR3166">
        <v>137</v>
      </c>
      <c r="AS3166">
        <v>55</v>
      </c>
      <c r="AT3166">
        <v>-1088</v>
      </c>
      <c r="BB3166">
        <v>1200</v>
      </c>
      <c r="BC3166">
        <v>1</v>
      </c>
      <c r="BD3166" t="str">
        <f t="shared" si="1145"/>
        <v xml:space="preserve">N887QR  </v>
      </c>
      <c r="BE3166">
        <v>1</v>
      </c>
      <c r="BG3166">
        <v>0</v>
      </c>
      <c r="BH3166">
        <v>0</v>
      </c>
      <c r="BI3166">
        <v>0</v>
      </c>
      <c r="BJ3166">
        <v>3425</v>
      </c>
      <c r="BK3166">
        <v>-375</v>
      </c>
      <c r="BL3166" t="s">
        <v>163</v>
      </c>
      <c r="BM3166">
        <v>1</v>
      </c>
      <c r="BN3166">
        <v>1</v>
      </c>
      <c r="BO3166">
        <v>1</v>
      </c>
      <c r="BP3166">
        <v>0</v>
      </c>
      <c r="BS3166">
        <v>0</v>
      </c>
      <c r="BT3166">
        <v>0</v>
      </c>
      <c r="BU3166">
        <v>0</v>
      </c>
      <c r="CE3166" t="str">
        <f t="shared" si="1153"/>
        <v>19:34:00.286</v>
      </c>
      <c r="CF3166">
        <v>285776264</v>
      </c>
      <c r="CS3166">
        <v>0</v>
      </c>
      <c r="CT3166">
        <v>2</v>
      </c>
      <c r="CU3166">
        <v>0</v>
      </c>
      <c r="CV3166">
        <v>2</v>
      </c>
      <c r="CW3166">
        <v>0</v>
      </c>
      <c r="CX3166">
        <v>6</v>
      </c>
      <c r="CY3166">
        <v>7</v>
      </c>
      <c r="CZ3166" t="s">
        <v>131</v>
      </c>
      <c r="DA3166">
        <v>286</v>
      </c>
      <c r="DB3166">
        <v>0</v>
      </c>
      <c r="DC3166" t="s">
        <v>132</v>
      </c>
      <c r="DD3166" t="s">
        <v>133</v>
      </c>
      <c r="DG3166">
        <v>868006</v>
      </c>
      <c r="DI3166">
        <v>0</v>
      </c>
      <c r="DJ3166">
        <v>0</v>
      </c>
      <c r="DK3166">
        <v>1</v>
      </c>
      <c r="DL3166">
        <v>0</v>
      </c>
      <c r="DM3166">
        <v>0</v>
      </c>
      <c r="DN3166">
        <v>1</v>
      </c>
      <c r="DO3166">
        <v>0</v>
      </c>
      <c r="DP3166">
        <v>0</v>
      </c>
      <c r="DQ3166">
        <v>0</v>
      </c>
      <c r="DR3166">
        <v>0</v>
      </c>
      <c r="DS3166">
        <v>0</v>
      </c>
    </row>
    <row r="3167" spans="1:123" x14ac:dyDescent="0.3">
      <c r="A3167" t="str">
        <f>"10/04/2022 19:34:00.606"</f>
        <v>10/04/2022 19:34:00.606</v>
      </c>
      <c r="C3167" t="str">
        <f t="shared" si="1135"/>
        <v>FFDFD3C0</v>
      </c>
      <c r="D3167" t="s">
        <v>134</v>
      </c>
      <c r="E3167">
        <v>15</v>
      </c>
      <c r="J3167" t="s">
        <v>135</v>
      </c>
      <c r="K3167">
        <v>0</v>
      </c>
      <c r="L3167">
        <v>3</v>
      </c>
      <c r="M3167">
        <v>0</v>
      </c>
      <c r="N3167">
        <v>2</v>
      </c>
      <c r="O3167">
        <v>0</v>
      </c>
      <c r="P3167">
        <v>1</v>
      </c>
      <c r="Q3167">
        <v>0</v>
      </c>
      <c r="S3167" t="str">
        <f t="shared" si="1152"/>
        <v>19:34:00.000</v>
      </c>
      <c r="T3167" t="str">
        <f t="shared" si="1152"/>
        <v>19:34:00.000</v>
      </c>
      <c r="U3167" t="str">
        <f t="shared" si="1144"/>
        <v>AC3944</v>
      </c>
      <c r="V3167">
        <v>0</v>
      </c>
      <c r="W3167">
        <v>0</v>
      </c>
      <c r="X3167">
        <v>2</v>
      </c>
      <c r="Y3167">
        <v>0</v>
      </c>
      <c r="AA3167">
        <v>1</v>
      </c>
      <c r="AB3167">
        <v>8</v>
      </c>
      <c r="AC3167">
        <v>3</v>
      </c>
      <c r="AD3167">
        <v>0</v>
      </c>
      <c r="AE3167">
        <v>9</v>
      </c>
      <c r="AF3167" t="s">
        <v>138</v>
      </c>
      <c r="AG3167">
        <v>0</v>
      </c>
      <c r="AH3167">
        <v>3</v>
      </c>
      <c r="AI3167">
        <v>1</v>
      </c>
      <c r="AJ3167">
        <v>0</v>
      </c>
      <c r="AK3167" t="s">
        <v>1053</v>
      </c>
      <c r="AL3167">
        <v>32.708723999999997</v>
      </c>
      <c r="AM3167" t="s">
        <v>1054</v>
      </c>
      <c r="AN3167">
        <v>-116.755335</v>
      </c>
      <c r="AO3167">
        <v>25</v>
      </c>
      <c r="AP3167">
        <v>3800</v>
      </c>
      <c r="AQ3167" t="s">
        <v>129</v>
      </c>
      <c r="AR3167">
        <v>137</v>
      </c>
      <c r="AS3167">
        <v>55</v>
      </c>
      <c r="AT3167">
        <v>-1088</v>
      </c>
      <c r="BB3167">
        <v>1200</v>
      </c>
      <c r="BC3167">
        <v>1</v>
      </c>
      <c r="BD3167" t="str">
        <f t="shared" si="1145"/>
        <v xml:space="preserve">N887QR  </v>
      </c>
      <c r="BE3167">
        <v>1</v>
      </c>
      <c r="BG3167">
        <v>0</v>
      </c>
      <c r="BH3167">
        <v>0</v>
      </c>
      <c r="BI3167">
        <v>0</v>
      </c>
      <c r="BJ3167">
        <v>3425</v>
      </c>
      <c r="BK3167">
        <v>-375</v>
      </c>
      <c r="BL3167" t="s">
        <v>163</v>
      </c>
      <c r="BM3167">
        <v>1</v>
      </c>
      <c r="BN3167">
        <v>1</v>
      </c>
      <c r="BO3167">
        <v>1</v>
      </c>
      <c r="BP3167">
        <v>0</v>
      </c>
      <c r="BS3167">
        <v>0</v>
      </c>
      <c r="BT3167">
        <v>0</v>
      </c>
      <c r="BU3167">
        <v>0</v>
      </c>
      <c r="CE3167" t="str">
        <f t="shared" si="1153"/>
        <v>19:34:00.286</v>
      </c>
      <c r="CF3167">
        <v>285776264</v>
      </c>
      <c r="CS3167">
        <v>0</v>
      </c>
      <c r="CT3167">
        <v>2</v>
      </c>
      <c r="CU3167">
        <v>0</v>
      </c>
      <c r="CV3167">
        <v>2</v>
      </c>
      <c r="CW3167">
        <v>0</v>
      </c>
      <c r="CX3167">
        <v>6</v>
      </c>
      <c r="CY3167">
        <v>7</v>
      </c>
      <c r="CZ3167" t="s">
        <v>131</v>
      </c>
      <c r="DA3167">
        <v>286</v>
      </c>
      <c r="DB3167">
        <v>0</v>
      </c>
      <c r="DC3167" t="s">
        <v>132</v>
      </c>
      <c r="DD3167" t="s">
        <v>133</v>
      </c>
      <c r="DG3167">
        <v>868006</v>
      </c>
      <c r="DI3167">
        <v>0</v>
      </c>
      <c r="DJ3167">
        <v>0</v>
      </c>
      <c r="DK3167">
        <v>1</v>
      </c>
      <c r="DL3167">
        <v>0</v>
      </c>
      <c r="DM3167">
        <v>0</v>
      </c>
      <c r="DN3167">
        <v>1</v>
      </c>
      <c r="DO3167">
        <v>0</v>
      </c>
      <c r="DP3167">
        <v>0</v>
      </c>
      <c r="DQ3167">
        <v>0</v>
      </c>
      <c r="DR3167">
        <v>0</v>
      </c>
      <c r="DS3167">
        <v>0</v>
      </c>
    </row>
    <row r="3168" spans="1:123" x14ac:dyDescent="0.3">
      <c r="A3168" t="str">
        <f>"10/04/2022 19:34:00.638"</f>
        <v>10/04/2022 19:34:00.638</v>
      </c>
      <c r="C3168" t="str">
        <f t="shared" si="1135"/>
        <v>FFDFD3C0</v>
      </c>
      <c r="D3168" t="s">
        <v>123</v>
      </c>
      <c r="E3168">
        <v>7</v>
      </c>
      <c r="F3168">
        <v>2007</v>
      </c>
      <c r="G3168" t="s">
        <v>124</v>
      </c>
      <c r="J3168" t="s">
        <v>125</v>
      </c>
      <c r="K3168">
        <v>0</v>
      </c>
      <c r="L3168">
        <v>3</v>
      </c>
      <c r="M3168">
        <v>0</v>
      </c>
      <c r="N3168">
        <v>2</v>
      </c>
      <c r="O3168">
        <v>0</v>
      </c>
      <c r="P3168">
        <v>1</v>
      </c>
      <c r="Q3168">
        <v>0</v>
      </c>
      <c r="S3168" t="str">
        <f t="shared" si="1152"/>
        <v>19:34:00.000</v>
      </c>
      <c r="T3168" t="str">
        <f t="shared" si="1152"/>
        <v>19:34:00.000</v>
      </c>
      <c r="U3168" t="str">
        <f t="shared" si="1144"/>
        <v>AC3944</v>
      </c>
      <c r="V3168">
        <v>0</v>
      </c>
      <c r="W3168">
        <v>0</v>
      </c>
      <c r="X3168">
        <v>2</v>
      </c>
      <c r="Y3168">
        <v>0</v>
      </c>
      <c r="AA3168">
        <v>1</v>
      </c>
      <c r="AB3168">
        <v>8</v>
      </c>
      <c r="AC3168">
        <v>3</v>
      </c>
      <c r="AD3168">
        <v>0</v>
      </c>
      <c r="AE3168">
        <v>9</v>
      </c>
      <c r="AF3168" t="s">
        <v>138</v>
      </c>
      <c r="AG3168">
        <v>0</v>
      </c>
      <c r="AH3168">
        <v>3</v>
      </c>
      <c r="AI3168">
        <v>1</v>
      </c>
      <c r="AJ3168">
        <v>0</v>
      </c>
      <c r="AK3168" t="s">
        <v>1053</v>
      </c>
      <c r="AL3168">
        <v>32.708723999999997</v>
      </c>
      <c r="AM3168" t="s">
        <v>1054</v>
      </c>
      <c r="AN3168">
        <v>-116.755335</v>
      </c>
      <c r="AO3168">
        <v>25</v>
      </c>
      <c r="AP3168">
        <v>3800</v>
      </c>
      <c r="AQ3168" t="s">
        <v>129</v>
      </c>
      <c r="AR3168">
        <v>137</v>
      </c>
      <c r="AS3168">
        <v>55</v>
      </c>
      <c r="AT3168">
        <v>-1088</v>
      </c>
      <c r="BB3168">
        <v>1200</v>
      </c>
      <c r="BC3168">
        <v>1</v>
      </c>
      <c r="BD3168" t="str">
        <f t="shared" si="1145"/>
        <v xml:space="preserve">N887QR  </v>
      </c>
      <c r="BE3168">
        <v>1</v>
      </c>
      <c r="BG3168">
        <v>0</v>
      </c>
      <c r="BH3168">
        <v>0</v>
      </c>
      <c r="BI3168">
        <v>0</v>
      </c>
      <c r="BJ3168">
        <v>3425</v>
      </c>
      <c r="BK3168">
        <v>-375</v>
      </c>
      <c r="BL3168" t="s">
        <v>163</v>
      </c>
      <c r="BM3168">
        <v>1</v>
      </c>
      <c r="BN3168">
        <v>1</v>
      </c>
      <c r="BO3168">
        <v>1</v>
      </c>
      <c r="BP3168">
        <v>0</v>
      </c>
      <c r="BS3168">
        <v>0</v>
      </c>
      <c r="BT3168">
        <v>0</v>
      </c>
      <c r="BU3168">
        <v>0</v>
      </c>
      <c r="CE3168" t="str">
        <f t="shared" si="1153"/>
        <v>19:34:00.286</v>
      </c>
      <c r="CF3168">
        <v>285776264</v>
      </c>
      <c r="CS3168">
        <v>0</v>
      </c>
      <c r="CT3168">
        <v>2</v>
      </c>
      <c r="CU3168">
        <v>0</v>
      </c>
      <c r="CV3168">
        <v>2</v>
      </c>
      <c r="CW3168">
        <v>0</v>
      </c>
      <c r="CX3168">
        <v>6</v>
      </c>
      <c r="CY3168">
        <v>7</v>
      </c>
      <c r="CZ3168" t="s">
        <v>131</v>
      </c>
      <c r="DA3168">
        <v>286</v>
      </c>
      <c r="DB3168">
        <v>0</v>
      </c>
      <c r="DC3168" t="s">
        <v>132</v>
      </c>
      <c r="DD3168" t="s">
        <v>133</v>
      </c>
      <c r="DG3168">
        <v>868006</v>
      </c>
      <c r="DI3168">
        <v>0</v>
      </c>
      <c r="DJ3168">
        <v>0</v>
      </c>
      <c r="DK3168">
        <v>1</v>
      </c>
      <c r="DL3168">
        <v>0</v>
      </c>
      <c r="DM3168">
        <v>0</v>
      </c>
      <c r="DN3168">
        <v>1</v>
      </c>
      <c r="DO3168">
        <v>0</v>
      </c>
      <c r="DP3168">
        <v>0</v>
      </c>
      <c r="DQ3168">
        <v>0</v>
      </c>
      <c r="DR3168">
        <v>0</v>
      </c>
      <c r="DS3168">
        <v>0</v>
      </c>
    </row>
    <row r="3169" spans="1:123" x14ac:dyDescent="0.3">
      <c r="A3169" t="str">
        <f>"10/04/2022 19:34:00.638"</f>
        <v>10/04/2022 19:34:00.638</v>
      </c>
      <c r="C3169" t="str">
        <f t="shared" si="1135"/>
        <v>FFDFD3C0</v>
      </c>
      <c r="D3169" t="s">
        <v>136</v>
      </c>
      <c r="E3169">
        <v>8</v>
      </c>
      <c r="H3169">
        <v>225</v>
      </c>
      <c r="I3169" t="s">
        <v>137</v>
      </c>
      <c r="J3169" t="s">
        <v>138</v>
      </c>
      <c r="K3169">
        <v>0</v>
      </c>
      <c r="L3169">
        <v>3</v>
      </c>
      <c r="M3169">
        <v>0</v>
      </c>
      <c r="N3169">
        <v>2</v>
      </c>
      <c r="O3169">
        <v>0</v>
      </c>
      <c r="P3169">
        <v>1</v>
      </c>
      <c r="Q3169">
        <v>0</v>
      </c>
      <c r="S3169" t="str">
        <f t="shared" si="1152"/>
        <v>19:34:00.000</v>
      </c>
      <c r="T3169" t="str">
        <f t="shared" si="1152"/>
        <v>19:34:00.000</v>
      </c>
      <c r="U3169" t="str">
        <f t="shared" si="1144"/>
        <v>AC3944</v>
      </c>
      <c r="V3169">
        <v>0</v>
      </c>
      <c r="W3169">
        <v>0</v>
      </c>
      <c r="X3169">
        <v>2</v>
      </c>
      <c r="Y3169">
        <v>0</v>
      </c>
      <c r="AA3169">
        <v>1</v>
      </c>
      <c r="AB3169">
        <v>8</v>
      </c>
      <c r="AC3169">
        <v>3</v>
      </c>
      <c r="AD3169">
        <v>0</v>
      </c>
      <c r="AE3169">
        <v>9</v>
      </c>
      <c r="AF3169" t="s">
        <v>138</v>
      </c>
      <c r="AG3169">
        <v>0</v>
      </c>
      <c r="AH3169">
        <v>3</v>
      </c>
      <c r="AI3169">
        <v>1</v>
      </c>
      <c r="AJ3169">
        <v>0</v>
      </c>
      <c r="AK3169" t="s">
        <v>1053</v>
      </c>
      <c r="AL3169">
        <v>32.708723999999997</v>
      </c>
      <c r="AM3169" t="s">
        <v>1054</v>
      </c>
      <c r="AN3169">
        <v>-116.755335</v>
      </c>
      <c r="AO3169">
        <v>25</v>
      </c>
      <c r="AP3169">
        <v>3800</v>
      </c>
      <c r="AQ3169" t="s">
        <v>129</v>
      </c>
      <c r="AR3169">
        <v>137</v>
      </c>
      <c r="AS3169">
        <v>55</v>
      </c>
      <c r="AT3169">
        <v>-1088</v>
      </c>
      <c r="BB3169">
        <v>1200</v>
      </c>
      <c r="BC3169">
        <v>1</v>
      </c>
      <c r="BD3169" t="str">
        <f t="shared" si="1145"/>
        <v xml:space="preserve">N887QR  </v>
      </c>
      <c r="BE3169">
        <v>1</v>
      </c>
      <c r="BG3169">
        <v>0</v>
      </c>
      <c r="BH3169">
        <v>0</v>
      </c>
      <c r="BI3169">
        <v>0</v>
      </c>
      <c r="BJ3169">
        <v>3425</v>
      </c>
      <c r="BK3169">
        <v>-375</v>
      </c>
      <c r="BL3169" t="s">
        <v>163</v>
      </c>
      <c r="BM3169">
        <v>1</v>
      </c>
      <c r="BN3169">
        <v>1</v>
      </c>
      <c r="BO3169">
        <v>1</v>
      </c>
      <c r="BP3169">
        <v>0</v>
      </c>
      <c r="BS3169">
        <v>0</v>
      </c>
      <c r="BT3169">
        <v>0</v>
      </c>
      <c r="BU3169">
        <v>0</v>
      </c>
      <c r="CE3169" t="str">
        <f t="shared" si="1153"/>
        <v>19:34:00.286</v>
      </c>
      <c r="CF3169">
        <v>285776264</v>
      </c>
      <c r="CS3169">
        <v>0</v>
      </c>
      <c r="CT3169">
        <v>2</v>
      </c>
      <c r="CU3169">
        <v>0</v>
      </c>
      <c r="CV3169">
        <v>2</v>
      </c>
      <c r="CW3169">
        <v>0</v>
      </c>
      <c r="CX3169">
        <v>6</v>
      </c>
      <c r="CY3169">
        <v>7</v>
      </c>
      <c r="CZ3169" t="s">
        <v>131</v>
      </c>
      <c r="DA3169">
        <v>286</v>
      </c>
      <c r="DB3169">
        <v>0</v>
      </c>
      <c r="DC3169" t="s">
        <v>132</v>
      </c>
      <c r="DD3169" t="s">
        <v>133</v>
      </c>
      <c r="DG3169">
        <v>868006</v>
      </c>
      <c r="DI3169">
        <v>0</v>
      </c>
      <c r="DJ3169">
        <v>0</v>
      </c>
      <c r="DK3169">
        <v>1</v>
      </c>
      <c r="DL3169">
        <v>0</v>
      </c>
      <c r="DM3169">
        <v>0</v>
      </c>
      <c r="DN3169">
        <v>1</v>
      </c>
      <c r="DO3169">
        <v>0</v>
      </c>
      <c r="DP3169">
        <v>0</v>
      </c>
      <c r="DQ3169">
        <v>0</v>
      </c>
      <c r="DR3169">
        <v>0</v>
      </c>
      <c r="DS3169">
        <v>0</v>
      </c>
    </row>
    <row r="3170" spans="1:123" x14ac:dyDescent="0.3">
      <c r="A3170" t="str">
        <f>"10/04/2022 19:34:01.407"</f>
        <v>10/04/2022 19:34:01.407</v>
      </c>
      <c r="C3170" t="str">
        <f t="shared" si="1135"/>
        <v>FFDFD3C0</v>
      </c>
      <c r="D3170" t="s">
        <v>147</v>
      </c>
      <c r="E3170">
        <v>3</v>
      </c>
      <c r="H3170">
        <v>166</v>
      </c>
      <c r="I3170" t="s">
        <v>144</v>
      </c>
      <c r="J3170" t="s">
        <v>148</v>
      </c>
      <c r="K3170">
        <v>0</v>
      </c>
      <c r="L3170">
        <v>3</v>
      </c>
      <c r="M3170">
        <v>0</v>
      </c>
      <c r="N3170">
        <v>2</v>
      </c>
      <c r="O3170">
        <v>0</v>
      </c>
      <c r="P3170">
        <v>1</v>
      </c>
      <c r="Q3170">
        <v>0</v>
      </c>
      <c r="S3170" t="str">
        <f t="shared" ref="S3170:T3173" si="1154">"19:34:01.000"</f>
        <v>19:34:01.000</v>
      </c>
      <c r="T3170" t="str">
        <f t="shared" si="1154"/>
        <v>19:34:01.000</v>
      </c>
      <c r="U3170" t="str">
        <f t="shared" si="1144"/>
        <v>AC3944</v>
      </c>
      <c r="V3170">
        <v>0</v>
      </c>
      <c r="W3170">
        <v>0</v>
      </c>
      <c r="X3170">
        <v>2</v>
      </c>
      <c r="Y3170">
        <v>0</v>
      </c>
      <c r="AA3170">
        <v>1</v>
      </c>
      <c r="AB3170">
        <v>8</v>
      </c>
      <c r="AC3170">
        <v>3</v>
      </c>
      <c r="AD3170">
        <v>0</v>
      </c>
      <c r="AE3170">
        <v>9</v>
      </c>
      <c r="AF3170" t="s">
        <v>138</v>
      </c>
      <c r="AG3170">
        <v>0</v>
      </c>
      <c r="AH3170">
        <v>3</v>
      </c>
      <c r="AI3170">
        <v>1</v>
      </c>
      <c r="AJ3170">
        <v>0</v>
      </c>
      <c r="AK3170" t="s">
        <v>1055</v>
      </c>
      <c r="AL3170">
        <v>32.708959999999998</v>
      </c>
      <c r="AM3170" t="s">
        <v>1056</v>
      </c>
      <c r="AN3170">
        <v>-116.754563</v>
      </c>
      <c r="AO3170">
        <v>25</v>
      </c>
      <c r="AP3170">
        <v>3700</v>
      </c>
      <c r="AQ3170" t="s">
        <v>129</v>
      </c>
      <c r="AR3170">
        <v>129</v>
      </c>
      <c r="AS3170">
        <v>72</v>
      </c>
      <c r="AT3170">
        <v>-1088</v>
      </c>
      <c r="BB3170">
        <v>1200</v>
      </c>
      <c r="BC3170">
        <v>1</v>
      </c>
      <c r="BD3170" t="str">
        <f t="shared" si="1145"/>
        <v xml:space="preserve">N887QR  </v>
      </c>
      <c r="BE3170">
        <v>1</v>
      </c>
      <c r="BG3170">
        <v>0</v>
      </c>
      <c r="BH3170">
        <v>0</v>
      </c>
      <c r="BI3170">
        <v>0</v>
      </c>
      <c r="BJ3170">
        <v>3425</v>
      </c>
      <c r="BK3170">
        <v>-275</v>
      </c>
      <c r="BL3170" t="s">
        <v>163</v>
      </c>
      <c r="BM3170">
        <v>1</v>
      </c>
      <c r="BN3170">
        <v>1</v>
      </c>
      <c r="BO3170">
        <v>1</v>
      </c>
      <c r="BP3170">
        <v>0</v>
      </c>
      <c r="BS3170">
        <v>0</v>
      </c>
      <c r="BT3170">
        <v>0</v>
      </c>
      <c r="BU3170">
        <v>0</v>
      </c>
      <c r="CE3170" t="str">
        <f>"19:34:01.045"</f>
        <v>19:34:01.045</v>
      </c>
      <c r="CF3170">
        <v>44778860</v>
      </c>
      <c r="CS3170">
        <v>0</v>
      </c>
      <c r="CT3170">
        <v>2</v>
      </c>
      <c r="CU3170">
        <v>0</v>
      </c>
      <c r="CV3170">
        <v>2</v>
      </c>
      <c r="CW3170">
        <v>0</v>
      </c>
      <c r="CX3170">
        <v>7</v>
      </c>
      <c r="CY3170">
        <v>7</v>
      </c>
      <c r="CZ3170" t="s">
        <v>131</v>
      </c>
      <c r="DA3170">
        <v>286</v>
      </c>
      <c r="DB3170">
        <v>0</v>
      </c>
      <c r="DC3170" t="s">
        <v>132</v>
      </c>
      <c r="DD3170" t="s">
        <v>133</v>
      </c>
      <c r="DG3170">
        <v>868202</v>
      </c>
      <c r="DI3170">
        <v>1</v>
      </c>
      <c r="DJ3170">
        <v>0</v>
      </c>
      <c r="DK3170">
        <v>0</v>
      </c>
      <c r="DL3170">
        <v>0</v>
      </c>
      <c r="DM3170">
        <v>0</v>
      </c>
      <c r="DN3170">
        <v>1</v>
      </c>
      <c r="DO3170">
        <v>0</v>
      </c>
      <c r="DP3170">
        <v>0</v>
      </c>
      <c r="DQ3170">
        <v>0</v>
      </c>
      <c r="DR3170">
        <v>0</v>
      </c>
      <c r="DS3170">
        <v>0</v>
      </c>
    </row>
    <row r="3171" spans="1:123" x14ac:dyDescent="0.3">
      <c r="A3171" t="str">
        <f>"10/04/2022 19:34:01.407"</f>
        <v>10/04/2022 19:34:01.407</v>
      </c>
      <c r="C3171" t="str">
        <f t="shared" si="1135"/>
        <v>FFDFD3C0</v>
      </c>
      <c r="D3171" t="s">
        <v>143</v>
      </c>
      <c r="E3171">
        <v>20</v>
      </c>
      <c r="F3171">
        <v>1020</v>
      </c>
      <c r="G3171" t="s">
        <v>144</v>
      </c>
      <c r="J3171" t="s">
        <v>145</v>
      </c>
      <c r="K3171">
        <v>0</v>
      </c>
      <c r="L3171">
        <v>3</v>
      </c>
      <c r="M3171">
        <v>0</v>
      </c>
      <c r="N3171">
        <v>2</v>
      </c>
      <c r="O3171">
        <v>0</v>
      </c>
      <c r="P3171">
        <v>1</v>
      </c>
      <c r="Q3171">
        <v>0</v>
      </c>
      <c r="S3171" t="str">
        <f t="shared" si="1154"/>
        <v>19:34:01.000</v>
      </c>
      <c r="T3171" t="str">
        <f t="shared" si="1154"/>
        <v>19:34:01.000</v>
      </c>
      <c r="U3171" t="str">
        <f t="shared" si="1144"/>
        <v>AC3944</v>
      </c>
      <c r="V3171">
        <v>0</v>
      </c>
      <c r="W3171">
        <v>0</v>
      </c>
      <c r="X3171">
        <v>2</v>
      </c>
      <c r="Y3171">
        <v>0</v>
      </c>
      <c r="AA3171">
        <v>1</v>
      </c>
      <c r="AB3171">
        <v>8</v>
      </c>
      <c r="AC3171">
        <v>3</v>
      </c>
      <c r="AD3171">
        <v>0</v>
      </c>
      <c r="AE3171">
        <v>9</v>
      </c>
      <c r="AF3171" t="s">
        <v>138</v>
      </c>
      <c r="AG3171">
        <v>0</v>
      </c>
      <c r="AH3171">
        <v>3</v>
      </c>
      <c r="AI3171">
        <v>1</v>
      </c>
      <c r="AJ3171">
        <v>0</v>
      </c>
      <c r="AK3171" t="s">
        <v>1055</v>
      </c>
      <c r="AL3171">
        <v>32.708959999999998</v>
      </c>
      <c r="AM3171" t="s">
        <v>1056</v>
      </c>
      <c r="AN3171">
        <v>-116.754563</v>
      </c>
      <c r="AO3171">
        <v>25</v>
      </c>
      <c r="AP3171">
        <v>3700</v>
      </c>
      <c r="AQ3171" t="s">
        <v>129</v>
      </c>
      <c r="AR3171">
        <v>129</v>
      </c>
      <c r="AS3171">
        <v>72</v>
      </c>
      <c r="AT3171">
        <v>-1088</v>
      </c>
      <c r="BB3171">
        <v>1200</v>
      </c>
      <c r="BC3171">
        <v>1</v>
      </c>
      <c r="BD3171" t="str">
        <f t="shared" si="1145"/>
        <v xml:space="preserve">N887QR  </v>
      </c>
      <c r="BE3171">
        <v>1</v>
      </c>
      <c r="BG3171">
        <v>0</v>
      </c>
      <c r="BH3171">
        <v>0</v>
      </c>
      <c r="BI3171">
        <v>0</v>
      </c>
      <c r="BJ3171">
        <v>3425</v>
      </c>
      <c r="BK3171">
        <v>-275</v>
      </c>
      <c r="BL3171" t="s">
        <v>163</v>
      </c>
      <c r="BM3171">
        <v>1</v>
      </c>
      <c r="BN3171">
        <v>1</v>
      </c>
      <c r="BO3171">
        <v>1</v>
      </c>
      <c r="BP3171">
        <v>0</v>
      </c>
      <c r="BS3171">
        <v>0</v>
      </c>
      <c r="BT3171">
        <v>0</v>
      </c>
      <c r="BU3171">
        <v>0</v>
      </c>
      <c r="CE3171" t="str">
        <f>"19:34:01.045"</f>
        <v>19:34:01.045</v>
      </c>
      <c r="CF3171">
        <v>44778860</v>
      </c>
      <c r="CS3171">
        <v>0</v>
      </c>
      <c r="CT3171">
        <v>2</v>
      </c>
      <c r="CU3171">
        <v>0</v>
      </c>
      <c r="CV3171">
        <v>2</v>
      </c>
      <c r="CW3171">
        <v>0</v>
      </c>
      <c r="CX3171">
        <v>7</v>
      </c>
      <c r="CY3171">
        <v>7</v>
      </c>
      <c r="CZ3171" t="s">
        <v>131</v>
      </c>
      <c r="DA3171">
        <v>286</v>
      </c>
      <c r="DB3171">
        <v>0</v>
      </c>
      <c r="DC3171" t="s">
        <v>132</v>
      </c>
      <c r="DD3171" t="s">
        <v>133</v>
      </c>
      <c r="DG3171">
        <v>868202</v>
      </c>
      <c r="DI3171">
        <v>1</v>
      </c>
      <c r="DJ3171">
        <v>0</v>
      </c>
      <c r="DK3171">
        <v>1</v>
      </c>
      <c r="DL3171">
        <v>0</v>
      </c>
      <c r="DM3171">
        <v>0</v>
      </c>
      <c r="DN3171">
        <v>1</v>
      </c>
      <c r="DO3171">
        <v>0</v>
      </c>
      <c r="DP3171">
        <v>0</v>
      </c>
      <c r="DQ3171">
        <v>0</v>
      </c>
      <c r="DR3171">
        <v>0</v>
      </c>
      <c r="DS3171">
        <v>0</v>
      </c>
    </row>
    <row r="3172" spans="1:123" x14ac:dyDescent="0.3">
      <c r="A3172" t="str">
        <f>"10/04/2022 19:34:01.407"</f>
        <v>10/04/2022 19:34:01.407</v>
      </c>
      <c r="C3172" t="str">
        <f t="shared" si="1135"/>
        <v>FFDFD3C0</v>
      </c>
      <c r="D3172" t="s">
        <v>141</v>
      </c>
      <c r="E3172">
        <v>3</v>
      </c>
      <c r="H3172">
        <v>3</v>
      </c>
      <c r="I3172" t="s">
        <v>146</v>
      </c>
      <c r="J3172" t="s">
        <v>138</v>
      </c>
      <c r="K3172">
        <v>0</v>
      </c>
      <c r="L3172">
        <v>3</v>
      </c>
      <c r="M3172">
        <v>0</v>
      </c>
      <c r="N3172">
        <v>2</v>
      </c>
      <c r="O3172">
        <v>0</v>
      </c>
      <c r="P3172">
        <v>1</v>
      </c>
      <c r="Q3172">
        <v>0</v>
      </c>
      <c r="S3172" t="str">
        <f t="shared" si="1154"/>
        <v>19:34:01.000</v>
      </c>
      <c r="T3172" t="str">
        <f t="shared" si="1154"/>
        <v>19:34:01.000</v>
      </c>
      <c r="U3172" t="str">
        <f t="shared" si="1144"/>
        <v>AC3944</v>
      </c>
      <c r="V3172">
        <v>0</v>
      </c>
      <c r="W3172">
        <v>0</v>
      </c>
      <c r="X3172">
        <v>2</v>
      </c>
      <c r="Y3172">
        <v>0</v>
      </c>
      <c r="AA3172">
        <v>1</v>
      </c>
      <c r="AB3172">
        <v>8</v>
      </c>
      <c r="AC3172">
        <v>3</v>
      </c>
      <c r="AD3172">
        <v>0</v>
      </c>
      <c r="AE3172">
        <v>9</v>
      </c>
      <c r="AF3172" t="s">
        <v>138</v>
      </c>
      <c r="AG3172">
        <v>0</v>
      </c>
      <c r="AH3172">
        <v>3</v>
      </c>
      <c r="AI3172">
        <v>1</v>
      </c>
      <c r="AJ3172">
        <v>0</v>
      </c>
      <c r="AK3172" t="s">
        <v>1055</v>
      </c>
      <c r="AL3172">
        <v>32.708959999999998</v>
      </c>
      <c r="AM3172" t="s">
        <v>1056</v>
      </c>
      <c r="AN3172">
        <v>-116.754563</v>
      </c>
      <c r="AO3172">
        <v>25</v>
      </c>
      <c r="AP3172">
        <v>3700</v>
      </c>
      <c r="AQ3172" t="s">
        <v>129</v>
      </c>
      <c r="AR3172">
        <v>129</v>
      </c>
      <c r="AS3172">
        <v>72</v>
      </c>
      <c r="AT3172">
        <v>-1088</v>
      </c>
      <c r="BB3172">
        <v>1200</v>
      </c>
      <c r="BC3172">
        <v>1</v>
      </c>
      <c r="BD3172" t="str">
        <f t="shared" si="1145"/>
        <v xml:space="preserve">N887QR  </v>
      </c>
      <c r="BE3172">
        <v>1</v>
      </c>
      <c r="BG3172">
        <v>0</v>
      </c>
      <c r="BH3172">
        <v>0</v>
      </c>
      <c r="BI3172">
        <v>0</v>
      </c>
      <c r="BJ3172">
        <v>3425</v>
      </c>
      <c r="BK3172">
        <v>-275</v>
      </c>
      <c r="BL3172" t="s">
        <v>163</v>
      </c>
      <c r="BM3172">
        <v>1</v>
      </c>
      <c r="BN3172">
        <v>1</v>
      </c>
      <c r="BO3172">
        <v>1</v>
      </c>
      <c r="BP3172">
        <v>0</v>
      </c>
      <c r="BS3172">
        <v>0</v>
      </c>
      <c r="BT3172">
        <v>0</v>
      </c>
      <c r="BU3172">
        <v>0</v>
      </c>
      <c r="CE3172" t="str">
        <f>"19:34:01.045"</f>
        <v>19:34:01.045</v>
      </c>
      <c r="CF3172">
        <v>44778860</v>
      </c>
      <c r="CS3172">
        <v>0</v>
      </c>
      <c r="CT3172">
        <v>2</v>
      </c>
      <c r="CU3172">
        <v>0</v>
      </c>
      <c r="CV3172">
        <v>2</v>
      </c>
      <c r="CW3172">
        <v>0</v>
      </c>
      <c r="CX3172">
        <v>7</v>
      </c>
      <c r="CY3172">
        <v>7</v>
      </c>
      <c r="CZ3172" t="s">
        <v>131</v>
      </c>
      <c r="DA3172">
        <v>286</v>
      </c>
      <c r="DB3172">
        <v>0</v>
      </c>
      <c r="DC3172" t="s">
        <v>132</v>
      </c>
      <c r="DD3172" t="s">
        <v>133</v>
      </c>
      <c r="DG3172">
        <v>868202</v>
      </c>
      <c r="DI3172">
        <v>1</v>
      </c>
      <c r="DJ3172">
        <v>0</v>
      </c>
      <c r="DK3172">
        <v>1</v>
      </c>
      <c r="DL3172">
        <v>0</v>
      </c>
      <c r="DM3172">
        <v>0</v>
      </c>
      <c r="DN3172">
        <v>1</v>
      </c>
      <c r="DO3172">
        <v>0</v>
      </c>
      <c r="DP3172">
        <v>0</v>
      </c>
      <c r="DQ3172">
        <v>0</v>
      </c>
      <c r="DR3172">
        <v>0</v>
      </c>
      <c r="DS3172">
        <v>0</v>
      </c>
    </row>
    <row r="3173" spans="1:123" x14ac:dyDescent="0.3">
      <c r="A3173" t="str">
        <f>"10/04/2022 19:34:01.407"</f>
        <v>10/04/2022 19:34:01.407</v>
      </c>
      <c r="C3173" t="str">
        <f t="shared" si="1135"/>
        <v>FFDFD3C0</v>
      </c>
      <c r="D3173" t="s">
        <v>134</v>
      </c>
      <c r="E3173">
        <v>15</v>
      </c>
      <c r="J3173" t="s">
        <v>135</v>
      </c>
      <c r="K3173">
        <v>0</v>
      </c>
      <c r="L3173">
        <v>3</v>
      </c>
      <c r="M3173">
        <v>0</v>
      </c>
      <c r="N3173">
        <v>2</v>
      </c>
      <c r="O3173">
        <v>0</v>
      </c>
      <c r="P3173">
        <v>1</v>
      </c>
      <c r="Q3173">
        <v>0</v>
      </c>
      <c r="S3173" t="str">
        <f t="shared" si="1154"/>
        <v>19:34:01.000</v>
      </c>
      <c r="T3173" t="str">
        <f t="shared" si="1154"/>
        <v>19:34:01.000</v>
      </c>
      <c r="U3173" t="str">
        <f t="shared" si="1144"/>
        <v>AC3944</v>
      </c>
      <c r="V3173">
        <v>0</v>
      </c>
      <c r="W3173">
        <v>0</v>
      </c>
      <c r="X3173">
        <v>2</v>
      </c>
      <c r="Y3173">
        <v>0</v>
      </c>
      <c r="AA3173">
        <v>1</v>
      </c>
      <c r="AB3173">
        <v>8</v>
      </c>
      <c r="AC3173">
        <v>3</v>
      </c>
      <c r="AD3173">
        <v>0</v>
      </c>
      <c r="AE3173">
        <v>9</v>
      </c>
      <c r="AF3173" t="s">
        <v>138</v>
      </c>
      <c r="AG3173">
        <v>0</v>
      </c>
      <c r="AH3173">
        <v>3</v>
      </c>
      <c r="AI3173">
        <v>1</v>
      </c>
      <c r="AJ3173">
        <v>0</v>
      </c>
      <c r="AK3173" t="s">
        <v>1055</v>
      </c>
      <c r="AL3173">
        <v>32.708959999999998</v>
      </c>
      <c r="AM3173" t="s">
        <v>1056</v>
      </c>
      <c r="AN3173">
        <v>-116.754563</v>
      </c>
      <c r="AO3173">
        <v>25</v>
      </c>
      <c r="AP3173">
        <v>3700</v>
      </c>
      <c r="AQ3173" t="s">
        <v>129</v>
      </c>
      <c r="AR3173">
        <v>129</v>
      </c>
      <c r="AS3173">
        <v>72</v>
      </c>
      <c r="AT3173">
        <v>-1088</v>
      </c>
      <c r="BB3173">
        <v>1200</v>
      </c>
      <c r="BC3173">
        <v>1</v>
      </c>
      <c r="BD3173" t="str">
        <f t="shared" si="1145"/>
        <v xml:space="preserve">N887QR  </v>
      </c>
      <c r="BE3173">
        <v>1</v>
      </c>
      <c r="BG3173">
        <v>0</v>
      </c>
      <c r="BH3173">
        <v>0</v>
      </c>
      <c r="BI3173">
        <v>0</v>
      </c>
      <c r="BJ3173">
        <v>3425</v>
      </c>
      <c r="BK3173">
        <v>-275</v>
      </c>
      <c r="BL3173" t="s">
        <v>163</v>
      </c>
      <c r="BM3173">
        <v>1</v>
      </c>
      <c r="BN3173">
        <v>1</v>
      </c>
      <c r="BO3173">
        <v>1</v>
      </c>
      <c r="BP3173">
        <v>0</v>
      </c>
      <c r="BS3173">
        <v>0</v>
      </c>
      <c r="BT3173">
        <v>0</v>
      </c>
      <c r="BU3173">
        <v>0</v>
      </c>
      <c r="CE3173" t="str">
        <f>"19:34:01.045"</f>
        <v>19:34:01.045</v>
      </c>
      <c r="CF3173">
        <v>44778860</v>
      </c>
      <c r="CS3173">
        <v>0</v>
      </c>
      <c r="CT3173">
        <v>2</v>
      </c>
      <c r="CU3173">
        <v>0</v>
      </c>
      <c r="CV3173">
        <v>2</v>
      </c>
      <c r="CW3173">
        <v>0</v>
      </c>
      <c r="CX3173">
        <v>7</v>
      </c>
      <c r="CY3173">
        <v>7</v>
      </c>
      <c r="CZ3173" t="s">
        <v>131</v>
      </c>
      <c r="DA3173">
        <v>286</v>
      </c>
      <c r="DB3173">
        <v>0</v>
      </c>
      <c r="DC3173" t="s">
        <v>132</v>
      </c>
      <c r="DD3173" t="s">
        <v>133</v>
      </c>
      <c r="DG3173">
        <v>868202</v>
      </c>
      <c r="DI3173">
        <v>1</v>
      </c>
      <c r="DJ3173">
        <v>0</v>
      </c>
      <c r="DK3173">
        <v>1</v>
      </c>
      <c r="DL3173">
        <v>0</v>
      </c>
      <c r="DM3173">
        <v>0</v>
      </c>
      <c r="DN3173">
        <v>1</v>
      </c>
      <c r="DO3173">
        <v>0</v>
      </c>
      <c r="DP3173">
        <v>0</v>
      </c>
      <c r="DQ3173">
        <v>0</v>
      </c>
      <c r="DR3173">
        <v>0</v>
      </c>
      <c r="DS3173">
        <v>0</v>
      </c>
    </row>
    <row r="3174" spans="1:123" x14ac:dyDescent="0.3">
      <c r="A3174" t="str">
        <f t="shared" ref="A3174:A3180" si="1155">"10/04/2022 19:34:02.563"</f>
        <v>10/04/2022 19:34:02.563</v>
      </c>
      <c r="C3174" t="str">
        <f t="shared" si="1135"/>
        <v>FFDFD3C0</v>
      </c>
      <c r="D3174" t="s">
        <v>136</v>
      </c>
      <c r="E3174">
        <v>8</v>
      </c>
      <c r="H3174">
        <v>225</v>
      </c>
      <c r="I3174" t="s">
        <v>137</v>
      </c>
      <c r="J3174" t="s">
        <v>138</v>
      </c>
      <c r="K3174">
        <v>0</v>
      </c>
      <c r="L3174">
        <v>3</v>
      </c>
      <c r="M3174">
        <v>0</v>
      </c>
      <c r="N3174">
        <v>2</v>
      </c>
      <c r="O3174">
        <v>0</v>
      </c>
      <c r="P3174">
        <v>1</v>
      </c>
      <c r="Q3174">
        <v>0</v>
      </c>
      <c r="S3174" t="str">
        <f t="shared" ref="S3174:T3180" si="1156">"19:34:02.000"</f>
        <v>19:34:02.000</v>
      </c>
      <c r="T3174" t="str">
        <f t="shared" si="1156"/>
        <v>19:34:02.000</v>
      </c>
      <c r="U3174" t="str">
        <f t="shared" si="1144"/>
        <v>AC3944</v>
      </c>
      <c r="V3174">
        <v>0</v>
      </c>
      <c r="W3174">
        <v>0</v>
      </c>
      <c r="X3174">
        <v>2</v>
      </c>
      <c r="Y3174">
        <v>0</v>
      </c>
      <c r="AA3174">
        <v>1</v>
      </c>
      <c r="AB3174">
        <v>8</v>
      </c>
      <c r="AC3174">
        <v>3</v>
      </c>
      <c r="AD3174">
        <v>0</v>
      </c>
      <c r="AE3174">
        <v>9</v>
      </c>
      <c r="AF3174" t="s">
        <v>138</v>
      </c>
      <c r="AG3174">
        <v>0</v>
      </c>
      <c r="AH3174">
        <v>3</v>
      </c>
      <c r="AI3174">
        <v>1</v>
      </c>
      <c r="AJ3174">
        <v>0</v>
      </c>
      <c r="AK3174" t="s">
        <v>1057</v>
      </c>
      <c r="AL3174">
        <v>32.709302999999998</v>
      </c>
      <c r="AM3174" t="s">
        <v>1058</v>
      </c>
      <c r="AN3174">
        <v>-116.753855</v>
      </c>
      <c r="AO3174">
        <v>25</v>
      </c>
      <c r="AP3174">
        <v>3700</v>
      </c>
      <c r="AQ3174" t="s">
        <v>129</v>
      </c>
      <c r="AR3174">
        <v>114</v>
      </c>
      <c r="AS3174">
        <v>95</v>
      </c>
      <c r="AT3174">
        <v>-1024</v>
      </c>
      <c r="BB3174">
        <v>1200</v>
      </c>
      <c r="BC3174">
        <v>1</v>
      </c>
      <c r="BD3174" t="str">
        <f t="shared" si="1145"/>
        <v xml:space="preserve">N887QR  </v>
      </c>
      <c r="BE3174">
        <v>1</v>
      </c>
      <c r="BG3174">
        <v>0</v>
      </c>
      <c r="BH3174">
        <v>0</v>
      </c>
      <c r="BI3174">
        <v>0</v>
      </c>
      <c r="BJ3174">
        <v>3375</v>
      </c>
      <c r="BK3174">
        <v>-325</v>
      </c>
      <c r="BL3174" t="s">
        <v>163</v>
      </c>
      <c r="BM3174">
        <v>1</v>
      </c>
      <c r="BN3174">
        <v>1</v>
      </c>
      <c r="BO3174">
        <v>1</v>
      </c>
      <c r="BP3174">
        <v>0</v>
      </c>
      <c r="BS3174">
        <v>0</v>
      </c>
      <c r="BT3174">
        <v>0</v>
      </c>
      <c r="BU3174">
        <v>0</v>
      </c>
      <c r="CE3174" t="str">
        <f t="shared" ref="CE3174:CE3180" si="1157">"19:34:02.260"</f>
        <v>19:34:02.260</v>
      </c>
      <c r="CF3174">
        <v>259783013</v>
      </c>
      <c r="CS3174">
        <v>0</v>
      </c>
      <c r="CT3174">
        <v>2</v>
      </c>
      <c r="CU3174">
        <v>0</v>
      </c>
      <c r="CV3174">
        <v>2</v>
      </c>
      <c r="CW3174">
        <v>0</v>
      </c>
      <c r="CX3174">
        <v>6</v>
      </c>
      <c r="CY3174">
        <v>7</v>
      </c>
      <c r="CZ3174" t="s">
        <v>131</v>
      </c>
      <c r="DA3174">
        <v>286</v>
      </c>
      <c r="DB3174">
        <v>0</v>
      </c>
      <c r="DC3174" t="s">
        <v>132</v>
      </c>
      <c r="DD3174" t="s">
        <v>133</v>
      </c>
      <c r="DG3174">
        <v>868481</v>
      </c>
      <c r="DI3174">
        <v>1</v>
      </c>
      <c r="DJ3174">
        <v>0</v>
      </c>
      <c r="DK3174">
        <v>0</v>
      </c>
      <c r="DL3174">
        <v>0</v>
      </c>
      <c r="DM3174">
        <v>0</v>
      </c>
      <c r="DN3174">
        <v>1</v>
      </c>
      <c r="DO3174">
        <v>0</v>
      </c>
      <c r="DP3174">
        <v>0</v>
      </c>
      <c r="DQ3174">
        <v>0</v>
      </c>
      <c r="DR3174">
        <v>0</v>
      </c>
      <c r="DS3174">
        <v>0</v>
      </c>
    </row>
    <row r="3175" spans="1:123" x14ac:dyDescent="0.3">
      <c r="A3175" t="str">
        <f t="shared" si="1155"/>
        <v>10/04/2022 19:34:02.563</v>
      </c>
      <c r="C3175" t="str">
        <f t="shared" ref="C3175:C3238" si="1158">"FFDFD3C0"</f>
        <v>FFDFD3C0</v>
      </c>
      <c r="D3175" t="s">
        <v>141</v>
      </c>
      <c r="E3175">
        <v>4</v>
      </c>
      <c r="H3175">
        <v>4</v>
      </c>
      <c r="I3175" t="s">
        <v>142</v>
      </c>
      <c r="J3175" t="s">
        <v>138</v>
      </c>
      <c r="K3175">
        <v>0</v>
      </c>
      <c r="L3175">
        <v>3</v>
      </c>
      <c r="M3175">
        <v>0</v>
      </c>
      <c r="N3175">
        <v>2</v>
      </c>
      <c r="O3175">
        <v>0</v>
      </c>
      <c r="P3175">
        <v>1</v>
      </c>
      <c r="Q3175">
        <v>0</v>
      </c>
      <c r="S3175" t="str">
        <f t="shared" si="1156"/>
        <v>19:34:02.000</v>
      </c>
      <c r="T3175" t="str">
        <f t="shared" si="1156"/>
        <v>19:34:02.000</v>
      </c>
      <c r="U3175" t="str">
        <f t="shared" si="1144"/>
        <v>AC3944</v>
      </c>
      <c r="V3175">
        <v>0</v>
      </c>
      <c r="W3175">
        <v>0</v>
      </c>
      <c r="X3175">
        <v>2</v>
      </c>
      <c r="Y3175">
        <v>0</v>
      </c>
      <c r="AA3175">
        <v>1</v>
      </c>
      <c r="AB3175">
        <v>8</v>
      </c>
      <c r="AC3175">
        <v>3</v>
      </c>
      <c r="AD3175">
        <v>0</v>
      </c>
      <c r="AE3175">
        <v>9</v>
      </c>
      <c r="AF3175" t="s">
        <v>138</v>
      </c>
      <c r="AG3175">
        <v>0</v>
      </c>
      <c r="AH3175">
        <v>3</v>
      </c>
      <c r="AI3175">
        <v>1</v>
      </c>
      <c r="AJ3175">
        <v>0</v>
      </c>
      <c r="AK3175" t="s">
        <v>1057</v>
      </c>
      <c r="AL3175">
        <v>32.709302999999998</v>
      </c>
      <c r="AM3175" t="s">
        <v>1058</v>
      </c>
      <c r="AN3175">
        <v>-116.753855</v>
      </c>
      <c r="AO3175">
        <v>25</v>
      </c>
      <c r="AP3175">
        <v>3700</v>
      </c>
      <c r="AQ3175" t="s">
        <v>129</v>
      </c>
      <c r="AR3175">
        <v>114</v>
      </c>
      <c r="AS3175">
        <v>95</v>
      </c>
      <c r="AT3175">
        <v>-1024</v>
      </c>
      <c r="BB3175">
        <v>1200</v>
      </c>
      <c r="BC3175">
        <v>1</v>
      </c>
      <c r="BD3175" t="str">
        <f t="shared" si="1145"/>
        <v xml:space="preserve">N887QR  </v>
      </c>
      <c r="BE3175">
        <v>1</v>
      </c>
      <c r="BG3175">
        <v>0</v>
      </c>
      <c r="BH3175">
        <v>0</v>
      </c>
      <c r="BI3175">
        <v>0</v>
      </c>
      <c r="BJ3175">
        <v>3375</v>
      </c>
      <c r="BK3175">
        <v>-325</v>
      </c>
      <c r="BL3175" t="s">
        <v>163</v>
      </c>
      <c r="BM3175">
        <v>1</v>
      </c>
      <c r="BN3175">
        <v>1</v>
      </c>
      <c r="BO3175">
        <v>1</v>
      </c>
      <c r="BP3175">
        <v>0</v>
      </c>
      <c r="BS3175">
        <v>0</v>
      </c>
      <c r="BT3175">
        <v>0</v>
      </c>
      <c r="BU3175">
        <v>0</v>
      </c>
      <c r="CE3175" t="str">
        <f t="shared" si="1157"/>
        <v>19:34:02.260</v>
      </c>
      <c r="CF3175">
        <v>259783013</v>
      </c>
      <c r="CS3175">
        <v>0</v>
      </c>
      <c r="CT3175">
        <v>2</v>
      </c>
      <c r="CU3175">
        <v>0</v>
      </c>
      <c r="CV3175">
        <v>2</v>
      </c>
      <c r="CW3175">
        <v>0</v>
      </c>
      <c r="CX3175">
        <v>6</v>
      </c>
      <c r="CY3175">
        <v>7</v>
      </c>
      <c r="CZ3175" t="s">
        <v>131</v>
      </c>
      <c r="DA3175">
        <v>286</v>
      </c>
      <c r="DB3175">
        <v>0</v>
      </c>
      <c r="DC3175" t="s">
        <v>132</v>
      </c>
      <c r="DD3175" t="s">
        <v>133</v>
      </c>
      <c r="DG3175">
        <v>868481</v>
      </c>
      <c r="DI3175">
        <v>1</v>
      </c>
      <c r="DJ3175">
        <v>0</v>
      </c>
      <c r="DK3175">
        <v>1</v>
      </c>
      <c r="DL3175">
        <v>0</v>
      </c>
      <c r="DM3175">
        <v>0</v>
      </c>
      <c r="DN3175">
        <v>1</v>
      </c>
      <c r="DO3175">
        <v>0</v>
      </c>
      <c r="DP3175">
        <v>0</v>
      </c>
      <c r="DQ3175">
        <v>0</v>
      </c>
      <c r="DR3175">
        <v>0</v>
      </c>
      <c r="DS3175">
        <v>0</v>
      </c>
    </row>
    <row r="3176" spans="1:123" x14ac:dyDescent="0.3">
      <c r="A3176" t="str">
        <f t="shared" si="1155"/>
        <v>10/04/2022 19:34:02.563</v>
      </c>
      <c r="C3176" t="str">
        <f t="shared" si="1158"/>
        <v>FFDFD3C0</v>
      </c>
      <c r="D3176" t="s">
        <v>147</v>
      </c>
      <c r="E3176">
        <v>3</v>
      </c>
      <c r="H3176">
        <v>166</v>
      </c>
      <c r="I3176" t="s">
        <v>144</v>
      </c>
      <c r="J3176" t="s">
        <v>148</v>
      </c>
      <c r="K3176">
        <v>0</v>
      </c>
      <c r="L3176">
        <v>3</v>
      </c>
      <c r="M3176">
        <v>0</v>
      </c>
      <c r="N3176">
        <v>2</v>
      </c>
      <c r="O3176">
        <v>0</v>
      </c>
      <c r="P3176">
        <v>1</v>
      </c>
      <c r="Q3176">
        <v>0</v>
      </c>
      <c r="S3176" t="str">
        <f t="shared" si="1156"/>
        <v>19:34:02.000</v>
      </c>
      <c r="T3176" t="str">
        <f t="shared" si="1156"/>
        <v>19:34:02.000</v>
      </c>
      <c r="U3176" t="str">
        <f t="shared" si="1144"/>
        <v>AC3944</v>
      </c>
      <c r="V3176">
        <v>0</v>
      </c>
      <c r="W3176">
        <v>0</v>
      </c>
      <c r="X3176">
        <v>2</v>
      </c>
      <c r="Y3176">
        <v>0</v>
      </c>
      <c r="AA3176">
        <v>1</v>
      </c>
      <c r="AB3176">
        <v>8</v>
      </c>
      <c r="AC3176">
        <v>3</v>
      </c>
      <c r="AD3176">
        <v>0</v>
      </c>
      <c r="AE3176">
        <v>9</v>
      </c>
      <c r="AF3176" t="s">
        <v>138</v>
      </c>
      <c r="AG3176">
        <v>0</v>
      </c>
      <c r="AH3176">
        <v>3</v>
      </c>
      <c r="AI3176">
        <v>1</v>
      </c>
      <c r="AJ3176">
        <v>0</v>
      </c>
      <c r="AK3176" t="s">
        <v>1057</v>
      </c>
      <c r="AL3176">
        <v>32.709302999999998</v>
      </c>
      <c r="AM3176" t="s">
        <v>1058</v>
      </c>
      <c r="AN3176">
        <v>-116.753855</v>
      </c>
      <c r="AO3176">
        <v>25</v>
      </c>
      <c r="AP3176">
        <v>3700</v>
      </c>
      <c r="AQ3176" t="s">
        <v>129</v>
      </c>
      <c r="AR3176">
        <v>114</v>
      </c>
      <c r="AS3176">
        <v>95</v>
      </c>
      <c r="AT3176">
        <v>-1024</v>
      </c>
      <c r="BB3176">
        <v>1200</v>
      </c>
      <c r="BC3176">
        <v>1</v>
      </c>
      <c r="BD3176" t="str">
        <f t="shared" si="1145"/>
        <v xml:space="preserve">N887QR  </v>
      </c>
      <c r="BE3176">
        <v>1</v>
      </c>
      <c r="BG3176">
        <v>0</v>
      </c>
      <c r="BH3176">
        <v>0</v>
      </c>
      <c r="BI3176">
        <v>0</v>
      </c>
      <c r="BJ3176">
        <v>3375</v>
      </c>
      <c r="BK3176">
        <v>-325</v>
      </c>
      <c r="BL3176" t="s">
        <v>163</v>
      </c>
      <c r="BM3176">
        <v>1</v>
      </c>
      <c r="BN3176">
        <v>1</v>
      </c>
      <c r="BO3176">
        <v>1</v>
      </c>
      <c r="BP3176">
        <v>0</v>
      </c>
      <c r="BS3176">
        <v>0</v>
      </c>
      <c r="BT3176">
        <v>0</v>
      </c>
      <c r="BU3176">
        <v>0</v>
      </c>
      <c r="CE3176" t="str">
        <f t="shared" si="1157"/>
        <v>19:34:02.260</v>
      </c>
      <c r="CF3176">
        <v>259783013</v>
      </c>
      <c r="CS3176">
        <v>0</v>
      </c>
      <c r="CT3176">
        <v>2</v>
      </c>
      <c r="CU3176">
        <v>0</v>
      </c>
      <c r="CV3176">
        <v>2</v>
      </c>
      <c r="CW3176">
        <v>0</v>
      </c>
      <c r="CX3176">
        <v>6</v>
      </c>
      <c r="CY3176">
        <v>7</v>
      </c>
      <c r="CZ3176" t="s">
        <v>131</v>
      </c>
      <c r="DA3176">
        <v>286</v>
      </c>
      <c r="DB3176">
        <v>0</v>
      </c>
      <c r="DC3176" t="s">
        <v>132</v>
      </c>
      <c r="DD3176" t="s">
        <v>133</v>
      </c>
      <c r="DG3176">
        <v>868481</v>
      </c>
      <c r="DI3176">
        <v>1</v>
      </c>
      <c r="DJ3176">
        <v>0</v>
      </c>
      <c r="DK3176">
        <v>1</v>
      </c>
      <c r="DL3176">
        <v>0</v>
      </c>
      <c r="DM3176">
        <v>0</v>
      </c>
      <c r="DN3176">
        <v>1</v>
      </c>
      <c r="DO3176">
        <v>0</v>
      </c>
      <c r="DP3176">
        <v>0</v>
      </c>
      <c r="DQ3176">
        <v>0</v>
      </c>
      <c r="DR3176">
        <v>0</v>
      </c>
      <c r="DS3176">
        <v>0</v>
      </c>
    </row>
    <row r="3177" spans="1:123" x14ac:dyDescent="0.3">
      <c r="A3177" t="str">
        <f t="shared" si="1155"/>
        <v>10/04/2022 19:34:02.563</v>
      </c>
      <c r="C3177" t="str">
        <f t="shared" si="1158"/>
        <v>FFDFD3C0</v>
      </c>
      <c r="D3177" t="s">
        <v>143</v>
      </c>
      <c r="E3177">
        <v>20</v>
      </c>
      <c r="F3177">
        <v>1020</v>
      </c>
      <c r="G3177" t="s">
        <v>144</v>
      </c>
      <c r="J3177" t="s">
        <v>145</v>
      </c>
      <c r="K3177">
        <v>0</v>
      </c>
      <c r="L3177">
        <v>3</v>
      </c>
      <c r="M3177">
        <v>0</v>
      </c>
      <c r="N3177">
        <v>2</v>
      </c>
      <c r="O3177">
        <v>0</v>
      </c>
      <c r="P3177">
        <v>1</v>
      </c>
      <c r="Q3177">
        <v>0</v>
      </c>
      <c r="S3177" t="str">
        <f t="shared" si="1156"/>
        <v>19:34:02.000</v>
      </c>
      <c r="T3177" t="str">
        <f t="shared" si="1156"/>
        <v>19:34:02.000</v>
      </c>
      <c r="U3177" t="str">
        <f t="shared" si="1144"/>
        <v>AC3944</v>
      </c>
      <c r="V3177">
        <v>0</v>
      </c>
      <c r="W3177">
        <v>0</v>
      </c>
      <c r="X3177">
        <v>2</v>
      </c>
      <c r="Y3177">
        <v>0</v>
      </c>
      <c r="AA3177">
        <v>1</v>
      </c>
      <c r="AB3177">
        <v>8</v>
      </c>
      <c r="AC3177">
        <v>3</v>
      </c>
      <c r="AD3177">
        <v>0</v>
      </c>
      <c r="AE3177">
        <v>9</v>
      </c>
      <c r="AF3177" t="s">
        <v>138</v>
      </c>
      <c r="AG3177">
        <v>0</v>
      </c>
      <c r="AH3177">
        <v>3</v>
      </c>
      <c r="AI3177">
        <v>1</v>
      </c>
      <c r="AJ3177">
        <v>0</v>
      </c>
      <c r="AK3177" t="s">
        <v>1057</v>
      </c>
      <c r="AL3177">
        <v>32.709302999999998</v>
      </c>
      <c r="AM3177" t="s">
        <v>1058</v>
      </c>
      <c r="AN3177">
        <v>-116.753855</v>
      </c>
      <c r="AO3177">
        <v>25</v>
      </c>
      <c r="AP3177">
        <v>3700</v>
      </c>
      <c r="AQ3177" t="s">
        <v>129</v>
      </c>
      <c r="AR3177">
        <v>114</v>
      </c>
      <c r="AS3177">
        <v>95</v>
      </c>
      <c r="AT3177">
        <v>-1024</v>
      </c>
      <c r="BB3177">
        <v>1200</v>
      </c>
      <c r="BC3177">
        <v>1</v>
      </c>
      <c r="BD3177" t="str">
        <f t="shared" si="1145"/>
        <v xml:space="preserve">N887QR  </v>
      </c>
      <c r="BE3177">
        <v>1</v>
      </c>
      <c r="BG3177">
        <v>0</v>
      </c>
      <c r="BH3177">
        <v>0</v>
      </c>
      <c r="BI3177">
        <v>0</v>
      </c>
      <c r="BJ3177">
        <v>3375</v>
      </c>
      <c r="BK3177">
        <v>-325</v>
      </c>
      <c r="BL3177" t="s">
        <v>163</v>
      </c>
      <c r="BM3177">
        <v>1</v>
      </c>
      <c r="BN3177">
        <v>1</v>
      </c>
      <c r="BO3177">
        <v>1</v>
      </c>
      <c r="BP3177">
        <v>0</v>
      </c>
      <c r="BS3177">
        <v>0</v>
      </c>
      <c r="BT3177">
        <v>0</v>
      </c>
      <c r="BU3177">
        <v>0</v>
      </c>
      <c r="CE3177" t="str">
        <f t="shared" si="1157"/>
        <v>19:34:02.260</v>
      </c>
      <c r="CF3177">
        <v>259783013</v>
      </c>
      <c r="CS3177">
        <v>0</v>
      </c>
      <c r="CT3177">
        <v>2</v>
      </c>
      <c r="CU3177">
        <v>0</v>
      </c>
      <c r="CV3177">
        <v>2</v>
      </c>
      <c r="CW3177">
        <v>0</v>
      </c>
      <c r="CX3177">
        <v>6</v>
      </c>
      <c r="CY3177">
        <v>7</v>
      </c>
      <c r="CZ3177" t="s">
        <v>131</v>
      </c>
      <c r="DA3177">
        <v>286</v>
      </c>
      <c r="DB3177">
        <v>0</v>
      </c>
      <c r="DC3177" t="s">
        <v>132</v>
      </c>
      <c r="DD3177" t="s">
        <v>133</v>
      </c>
      <c r="DG3177">
        <v>868481</v>
      </c>
      <c r="DI3177">
        <v>1</v>
      </c>
      <c r="DJ3177">
        <v>0</v>
      </c>
      <c r="DK3177">
        <v>1</v>
      </c>
      <c r="DL3177">
        <v>0</v>
      </c>
      <c r="DM3177">
        <v>0</v>
      </c>
      <c r="DN3177">
        <v>1</v>
      </c>
      <c r="DO3177">
        <v>0</v>
      </c>
      <c r="DP3177">
        <v>0</v>
      </c>
      <c r="DQ3177">
        <v>0</v>
      </c>
      <c r="DR3177">
        <v>0</v>
      </c>
      <c r="DS3177">
        <v>0</v>
      </c>
    </row>
    <row r="3178" spans="1:123" x14ac:dyDescent="0.3">
      <c r="A3178" t="str">
        <f t="shared" si="1155"/>
        <v>10/04/2022 19:34:02.563</v>
      </c>
      <c r="C3178" t="str">
        <f t="shared" si="1158"/>
        <v>FFDFD3C0</v>
      </c>
      <c r="D3178" t="s">
        <v>141</v>
      </c>
      <c r="E3178">
        <v>3</v>
      </c>
      <c r="H3178">
        <v>3</v>
      </c>
      <c r="I3178" t="s">
        <v>146</v>
      </c>
      <c r="J3178" t="s">
        <v>138</v>
      </c>
      <c r="K3178">
        <v>0</v>
      </c>
      <c r="L3178">
        <v>3</v>
      </c>
      <c r="M3178">
        <v>0</v>
      </c>
      <c r="N3178">
        <v>2</v>
      </c>
      <c r="O3178">
        <v>0</v>
      </c>
      <c r="P3178">
        <v>1</v>
      </c>
      <c r="Q3178">
        <v>0</v>
      </c>
      <c r="S3178" t="str">
        <f t="shared" si="1156"/>
        <v>19:34:02.000</v>
      </c>
      <c r="T3178" t="str">
        <f t="shared" si="1156"/>
        <v>19:34:02.000</v>
      </c>
      <c r="U3178" t="str">
        <f t="shared" si="1144"/>
        <v>AC3944</v>
      </c>
      <c r="V3178">
        <v>0</v>
      </c>
      <c r="W3178">
        <v>0</v>
      </c>
      <c r="X3178">
        <v>2</v>
      </c>
      <c r="Y3178">
        <v>0</v>
      </c>
      <c r="AA3178">
        <v>1</v>
      </c>
      <c r="AB3178">
        <v>8</v>
      </c>
      <c r="AC3178">
        <v>3</v>
      </c>
      <c r="AD3178">
        <v>0</v>
      </c>
      <c r="AE3178">
        <v>9</v>
      </c>
      <c r="AF3178" t="s">
        <v>138</v>
      </c>
      <c r="AG3178">
        <v>0</v>
      </c>
      <c r="AH3178">
        <v>3</v>
      </c>
      <c r="AI3178">
        <v>1</v>
      </c>
      <c r="AJ3178">
        <v>0</v>
      </c>
      <c r="AK3178" t="s">
        <v>1057</v>
      </c>
      <c r="AL3178">
        <v>32.709302999999998</v>
      </c>
      <c r="AM3178" t="s">
        <v>1058</v>
      </c>
      <c r="AN3178">
        <v>-116.753855</v>
      </c>
      <c r="AO3178">
        <v>25</v>
      </c>
      <c r="AP3178">
        <v>3700</v>
      </c>
      <c r="AQ3178" t="s">
        <v>129</v>
      </c>
      <c r="AR3178">
        <v>114</v>
      </c>
      <c r="AS3178">
        <v>95</v>
      </c>
      <c r="AT3178">
        <v>-1024</v>
      </c>
      <c r="BB3178">
        <v>1200</v>
      </c>
      <c r="BC3178">
        <v>1</v>
      </c>
      <c r="BD3178" t="str">
        <f t="shared" si="1145"/>
        <v xml:space="preserve">N887QR  </v>
      </c>
      <c r="BE3178">
        <v>1</v>
      </c>
      <c r="BG3178">
        <v>0</v>
      </c>
      <c r="BH3178">
        <v>0</v>
      </c>
      <c r="BI3178">
        <v>0</v>
      </c>
      <c r="BJ3178">
        <v>3375</v>
      </c>
      <c r="BK3178">
        <v>-325</v>
      </c>
      <c r="BL3178" t="s">
        <v>163</v>
      </c>
      <c r="BM3178">
        <v>1</v>
      </c>
      <c r="BN3178">
        <v>1</v>
      </c>
      <c r="BO3178">
        <v>1</v>
      </c>
      <c r="BP3178">
        <v>0</v>
      </c>
      <c r="BS3178">
        <v>0</v>
      </c>
      <c r="BT3178">
        <v>0</v>
      </c>
      <c r="BU3178">
        <v>0</v>
      </c>
      <c r="CE3178" t="str">
        <f t="shared" si="1157"/>
        <v>19:34:02.260</v>
      </c>
      <c r="CF3178">
        <v>259783013</v>
      </c>
      <c r="CS3178">
        <v>0</v>
      </c>
      <c r="CT3178">
        <v>2</v>
      </c>
      <c r="CU3178">
        <v>0</v>
      </c>
      <c r="CV3178">
        <v>2</v>
      </c>
      <c r="CW3178">
        <v>0</v>
      </c>
      <c r="CX3178">
        <v>6</v>
      </c>
      <c r="CY3178">
        <v>7</v>
      </c>
      <c r="CZ3178" t="s">
        <v>131</v>
      </c>
      <c r="DA3178">
        <v>286</v>
      </c>
      <c r="DB3178">
        <v>0</v>
      </c>
      <c r="DC3178" t="s">
        <v>132</v>
      </c>
      <c r="DD3178" t="s">
        <v>133</v>
      </c>
      <c r="DG3178">
        <v>868481</v>
      </c>
      <c r="DI3178">
        <v>1</v>
      </c>
      <c r="DJ3178">
        <v>0</v>
      </c>
      <c r="DK3178">
        <v>1</v>
      </c>
      <c r="DL3178">
        <v>0</v>
      </c>
      <c r="DM3178">
        <v>0</v>
      </c>
      <c r="DN3178">
        <v>1</v>
      </c>
      <c r="DO3178">
        <v>0</v>
      </c>
      <c r="DP3178">
        <v>0</v>
      </c>
      <c r="DQ3178">
        <v>0</v>
      </c>
      <c r="DR3178">
        <v>0</v>
      </c>
      <c r="DS3178">
        <v>0</v>
      </c>
    </row>
    <row r="3179" spans="1:123" x14ac:dyDescent="0.3">
      <c r="A3179" t="str">
        <f t="shared" si="1155"/>
        <v>10/04/2022 19:34:02.563</v>
      </c>
      <c r="C3179" t="str">
        <f t="shared" si="1158"/>
        <v>FFDFD3C0</v>
      </c>
      <c r="D3179" t="s">
        <v>123</v>
      </c>
      <c r="E3179">
        <v>7</v>
      </c>
      <c r="F3179">
        <v>2007</v>
      </c>
      <c r="G3179" t="s">
        <v>124</v>
      </c>
      <c r="J3179" t="s">
        <v>125</v>
      </c>
      <c r="K3179">
        <v>0</v>
      </c>
      <c r="L3179">
        <v>3</v>
      </c>
      <c r="M3179">
        <v>0</v>
      </c>
      <c r="N3179">
        <v>2</v>
      </c>
      <c r="O3179">
        <v>0</v>
      </c>
      <c r="P3179">
        <v>1</v>
      </c>
      <c r="Q3179">
        <v>0</v>
      </c>
      <c r="S3179" t="str">
        <f t="shared" si="1156"/>
        <v>19:34:02.000</v>
      </c>
      <c r="T3179" t="str">
        <f t="shared" si="1156"/>
        <v>19:34:02.000</v>
      </c>
      <c r="U3179" t="str">
        <f t="shared" si="1144"/>
        <v>AC3944</v>
      </c>
      <c r="V3179">
        <v>0</v>
      </c>
      <c r="W3179">
        <v>0</v>
      </c>
      <c r="X3179">
        <v>2</v>
      </c>
      <c r="Y3179">
        <v>0</v>
      </c>
      <c r="AA3179">
        <v>1</v>
      </c>
      <c r="AB3179">
        <v>8</v>
      </c>
      <c r="AC3179">
        <v>3</v>
      </c>
      <c r="AD3179">
        <v>0</v>
      </c>
      <c r="AE3179">
        <v>9</v>
      </c>
      <c r="AF3179" t="s">
        <v>138</v>
      </c>
      <c r="AG3179">
        <v>0</v>
      </c>
      <c r="AH3179">
        <v>3</v>
      </c>
      <c r="AI3179">
        <v>1</v>
      </c>
      <c r="AJ3179">
        <v>0</v>
      </c>
      <c r="AK3179" t="s">
        <v>1057</v>
      </c>
      <c r="AL3179">
        <v>32.709302999999998</v>
      </c>
      <c r="AM3179" t="s">
        <v>1058</v>
      </c>
      <c r="AN3179">
        <v>-116.753855</v>
      </c>
      <c r="AO3179">
        <v>25</v>
      </c>
      <c r="AP3179">
        <v>3700</v>
      </c>
      <c r="AQ3179" t="s">
        <v>129</v>
      </c>
      <c r="AR3179">
        <v>114</v>
      </c>
      <c r="AS3179">
        <v>95</v>
      </c>
      <c r="AT3179">
        <v>-1024</v>
      </c>
      <c r="BB3179">
        <v>1200</v>
      </c>
      <c r="BC3179">
        <v>1</v>
      </c>
      <c r="BD3179" t="str">
        <f t="shared" si="1145"/>
        <v xml:space="preserve">N887QR  </v>
      </c>
      <c r="BE3179">
        <v>1</v>
      </c>
      <c r="BG3179">
        <v>0</v>
      </c>
      <c r="BH3179">
        <v>0</v>
      </c>
      <c r="BI3179">
        <v>0</v>
      </c>
      <c r="BJ3179">
        <v>3375</v>
      </c>
      <c r="BK3179">
        <v>-325</v>
      </c>
      <c r="BL3179" t="s">
        <v>163</v>
      </c>
      <c r="BM3179">
        <v>1</v>
      </c>
      <c r="BN3179">
        <v>1</v>
      </c>
      <c r="BO3179">
        <v>1</v>
      </c>
      <c r="BP3179">
        <v>0</v>
      </c>
      <c r="BS3179">
        <v>0</v>
      </c>
      <c r="BT3179">
        <v>0</v>
      </c>
      <c r="BU3179">
        <v>0</v>
      </c>
      <c r="CE3179" t="str">
        <f t="shared" si="1157"/>
        <v>19:34:02.260</v>
      </c>
      <c r="CF3179">
        <v>259783013</v>
      </c>
      <c r="CS3179">
        <v>0</v>
      </c>
      <c r="CT3179">
        <v>2</v>
      </c>
      <c r="CU3179">
        <v>0</v>
      </c>
      <c r="CV3179">
        <v>2</v>
      </c>
      <c r="CW3179">
        <v>0</v>
      </c>
      <c r="CX3179">
        <v>6</v>
      </c>
      <c r="CY3179">
        <v>7</v>
      </c>
      <c r="CZ3179" t="s">
        <v>131</v>
      </c>
      <c r="DA3179">
        <v>286</v>
      </c>
      <c r="DB3179">
        <v>0</v>
      </c>
      <c r="DC3179" t="s">
        <v>132</v>
      </c>
      <c r="DD3179" t="s">
        <v>133</v>
      </c>
      <c r="DG3179">
        <v>868481</v>
      </c>
      <c r="DI3179">
        <v>1</v>
      </c>
      <c r="DJ3179">
        <v>0</v>
      </c>
      <c r="DK3179">
        <v>1</v>
      </c>
      <c r="DL3179">
        <v>0</v>
      </c>
      <c r="DM3179">
        <v>0</v>
      </c>
      <c r="DN3179">
        <v>1</v>
      </c>
      <c r="DO3179">
        <v>0</v>
      </c>
      <c r="DP3179">
        <v>0</v>
      </c>
      <c r="DQ3179">
        <v>0</v>
      </c>
      <c r="DR3179">
        <v>0</v>
      </c>
      <c r="DS3179">
        <v>0</v>
      </c>
    </row>
    <row r="3180" spans="1:123" x14ac:dyDescent="0.3">
      <c r="A3180" t="str">
        <f t="shared" si="1155"/>
        <v>10/04/2022 19:34:02.563</v>
      </c>
      <c r="C3180" t="str">
        <f t="shared" si="1158"/>
        <v>FFDFD3C0</v>
      </c>
      <c r="D3180" t="s">
        <v>134</v>
      </c>
      <c r="E3180">
        <v>15</v>
      </c>
      <c r="J3180" t="s">
        <v>135</v>
      </c>
      <c r="K3180">
        <v>0</v>
      </c>
      <c r="L3180">
        <v>3</v>
      </c>
      <c r="M3180">
        <v>0</v>
      </c>
      <c r="N3180">
        <v>2</v>
      </c>
      <c r="O3180">
        <v>0</v>
      </c>
      <c r="P3180">
        <v>1</v>
      </c>
      <c r="Q3180">
        <v>0</v>
      </c>
      <c r="S3180" t="str">
        <f t="shared" si="1156"/>
        <v>19:34:02.000</v>
      </c>
      <c r="T3180" t="str">
        <f t="shared" si="1156"/>
        <v>19:34:02.000</v>
      </c>
      <c r="U3180" t="str">
        <f t="shared" si="1144"/>
        <v>AC3944</v>
      </c>
      <c r="V3180">
        <v>0</v>
      </c>
      <c r="W3180">
        <v>0</v>
      </c>
      <c r="X3180">
        <v>2</v>
      </c>
      <c r="Y3180">
        <v>0</v>
      </c>
      <c r="AA3180">
        <v>1</v>
      </c>
      <c r="AB3180">
        <v>8</v>
      </c>
      <c r="AC3180">
        <v>3</v>
      </c>
      <c r="AD3180">
        <v>0</v>
      </c>
      <c r="AE3180">
        <v>9</v>
      </c>
      <c r="AF3180" t="s">
        <v>138</v>
      </c>
      <c r="AG3180">
        <v>0</v>
      </c>
      <c r="AH3180">
        <v>3</v>
      </c>
      <c r="AI3180">
        <v>1</v>
      </c>
      <c r="AJ3180">
        <v>0</v>
      </c>
      <c r="AK3180" t="s">
        <v>1057</v>
      </c>
      <c r="AL3180">
        <v>32.709302999999998</v>
      </c>
      <c r="AM3180" t="s">
        <v>1058</v>
      </c>
      <c r="AN3180">
        <v>-116.753855</v>
      </c>
      <c r="AO3180">
        <v>25</v>
      </c>
      <c r="AP3180">
        <v>3700</v>
      </c>
      <c r="AQ3180" t="s">
        <v>129</v>
      </c>
      <c r="AR3180">
        <v>114</v>
      </c>
      <c r="AS3180">
        <v>95</v>
      </c>
      <c r="AT3180">
        <v>-1024</v>
      </c>
      <c r="BB3180">
        <v>1200</v>
      </c>
      <c r="BC3180">
        <v>1</v>
      </c>
      <c r="BD3180" t="str">
        <f t="shared" si="1145"/>
        <v xml:space="preserve">N887QR  </v>
      </c>
      <c r="BE3180">
        <v>1</v>
      </c>
      <c r="BG3180">
        <v>0</v>
      </c>
      <c r="BH3180">
        <v>0</v>
      </c>
      <c r="BI3180">
        <v>0</v>
      </c>
      <c r="BJ3180">
        <v>3375</v>
      </c>
      <c r="BK3180">
        <v>-325</v>
      </c>
      <c r="BL3180" t="s">
        <v>163</v>
      </c>
      <c r="BM3180">
        <v>1</v>
      </c>
      <c r="BN3180">
        <v>1</v>
      </c>
      <c r="BO3180">
        <v>1</v>
      </c>
      <c r="BP3180">
        <v>0</v>
      </c>
      <c r="BS3180">
        <v>0</v>
      </c>
      <c r="BT3180">
        <v>0</v>
      </c>
      <c r="BU3180">
        <v>0</v>
      </c>
      <c r="CE3180" t="str">
        <f t="shared" si="1157"/>
        <v>19:34:02.260</v>
      </c>
      <c r="CF3180">
        <v>259783013</v>
      </c>
      <c r="CS3180">
        <v>0</v>
      </c>
      <c r="CT3180">
        <v>2</v>
      </c>
      <c r="CU3180">
        <v>0</v>
      </c>
      <c r="CV3180">
        <v>2</v>
      </c>
      <c r="CW3180">
        <v>0</v>
      </c>
      <c r="CX3180">
        <v>6</v>
      </c>
      <c r="CY3180">
        <v>7</v>
      </c>
      <c r="CZ3180" t="s">
        <v>131</v>
      </c>
      <c r="DA3180">
        <v>286</v>
      </c>
      <c r="DB3180">
        <v>0</v>
      </c>
      <c r="DC3180" t="s">
        <v>132</v>
      </c>
      <c r="DD3180" t="s">
        <v>133</v>
      </c>
      <c r="DG3180">
        <v>868481</v>
      </c>
      <c r="DI3180">
        <v>1</v>
      </c>
      <c r="DJ3180">
        <v>0</v>
      </c>
      <c r="DK3180">
        <v>1</v>
      </c>
      <c r="DL3180">
        <v>0</v>
      </c>
      <c r="DM3180">
        <v>0</v>
      </c>
      <c r="DN3180">
        <v>1</v>
      </c>
      <c r="DO3180">
        <v>0</v>
      </c>
      <c r="DP3180">
        <v>0</v>
      </c>
      <c r="DQ3180">
        <v>0</v>
      </c>
      <c r="DR3180">
        <v>0</v>
      </c>
      <c r="DS3180">
        <v>0</v>
      </c>
    </row>
    <row r="3181" spans="1:123" x14ac:dyDescent="0.3">
      <c r="A3181" t="str">
        <f>"10/04/2022 19:34:03.266"</f>
        <v>10/04/2022 19:34:03.266</v>
      </c>
      <c r="C3181" t="str">
        <f t="shared" si="1158"/>
        <v>FFDFD3C0</v>
      </c>
      <c r="D3181" t="s">
        <v>143</v>
      </c>
      <c r="E3181">
        <v>20</v>
      </c>
      <c r="F3181">
        <v>1020</v>
      </c>
      <c r="G3181" t="s">
        <v>144</v>
      </c>
      <c r="J3181" t="s">
        <v>145</v>
      </c>
      <c r="K3181">
        <v>0</v>
      </c>
      <c r="L3181">
        <v>3</v>
      </c>
      <c r="M3181">
        <v>0</v>
      </c>
      <c r="N3181">
        <v>2</v>
      </c>
      <c r="O3181">
        <v>0</v>
      </c>
      <c r="P3181">
        <v>1</v>
      </c>
      <c r="Q3181">
        <v>0</v>
      </c>
      <c r="S3181" t="str">
        <f t="shared" ref="S3181:T3187" si="1159">"19:34:03.000"</f>
        <v>19:34:03.000</v>
      </c>
      <c r="T3181" t="str">
        <f t="shared" si="1159"/>
        <v>19:34:03.000</v>
      </c>
      <c r="U3181" t="str">
        <f t="shared" si="1144"/>
        <v>AC3944</v>
      </c>
      <c r="V3181">
        <v>0</v>
      </c>
      <c r="W3181">
        <v>0</v>
      </c>
      <c r="X3181">
        <v>2</v>
      </c>
      <c r="Y3181">
        <v>0</v>
      </c>
      <c r="AA3181">
        <v>1</v>
      </c>
      <c r="AB3181">
        <v>8</v>
      </c>
      <c r="AC3181">
        <v>3</v>
      </c>
      <c r="AD3181">
        <v>0</v>
      </c>
      <c r="AE3181">
        <v>9</v>
      </c>
      <c r="AF3181" t="s">
        <v>138</v>
      </c>
      <c r="AG3181">
        <v>0</v>
      </c>
      <c r="AH3181">
        <v>3</v>
      </c>
      <c r="AI3181">
        <v>1</v>
      </c>
      <c r="AJ3181">
        <v>0</v>
      </c>
      <c r="AK3181" t="s">
        <v>1059</v>
      </c>
      <c r="AL3181">
        <v>32.709645999999999</v>
      </c>
      <c r="AM3181" t="s">
        <v>961</v>
      </c>
      <c r="AN3181">
        <v>-116.75331799999999</v>
      </c>
      <c r="AO3181">
        <v>25</v>
      </c>
      <c r="AP3181">
        <v>3700</v>
      </c>
      <c r="AQ3181" t="s">
        <v>129</v>
      </c>
      <c r="AR3181">
        <v>100</v>
      </c>
      <c r="AS3181">
        <v>109</v>
      </c>
      <c r="AT3181">
        <v>-1024</v>
      </c>
      <c r="BB3181">
        <v>1200</v>
      </c>
      <c r="BC3181">
        <v>1</v>
      </c>
      <c r="BD3181" t="str">
        <f t="shared" si="1145"/>
        <v xml:space="preserve">N887QR  </v>
      </c>
      <c r="BE3181">
        <v>1</v>
      </c>
      <c r="BG3181">
        <v>0</v>
      </c>
      <c r="BH3181">
        <v>0</v>
      </c>
      <c r="BI3181">
        <v>0</v>
      </c>
      <c r="BJ3181">
        <v>3375</v>
      </c>
      <c r="BK3181">
        <v>-325</v>
      </c>
      <c r="BL3181" t="s">
        <v>163</v>
      </c>
      <c r="BM3181">
        <v>1</v>
      </c>
      <c r="BN3181">
        <v>1</v>
      </c>
      <c r="BO3181">
        <v>1</v>
      </c>
      <c r="BP3181">
        <v>0</v>
      </c>
      <c r="BS3181">
        <v>0</v>
      </c>
      <c r="BT3181">
        <v>0</v>
      </c>
      <c r="BU3181">
        <v>0</v>
      </c>
      <c r="CE3181" t="str">
        <f t="shared" ref="CE3181:CE3187" si="1160">"19:34:03.027"</f>
        <v>19:34:03.027</v>
      </c>
      <c r="CF3181">
        <v>26785635</v>
      </c>
      <c r="CS3181">
        <v>0</v>
      </c>
      <c r="CT3181">
        <v>2</v>
      </c>
      <c r="CU3181">
        <v>0</v>
      </c>
      <c r="CV3181">
        <v>2</v>
      </c>
      <c r="CW3181">
        <v>0</v>
      </c>
      <c r="CX3181">
        <v>6</v>
      </c>
      <c r="CY3181">
        <v>7</v>
      </c>
      <c r="CZ3181" t="s">
        <v>131</v>
      </c>
      <c r="DA3181">
        <v>286</v>
      </c>
      <c r="DB3181">
        <v>0</v>
      </c>
      <c r="DC3181" t="s">
        <v>132</v>
      </c>
      <c r="DD3181" t="s">
        <v>133</v>
      </c>
      <c r="DG3181">
        <v>868664</v>
      </c>
      <c r="DI3181">
        <v>1</v>
      </c>
      <c r="DJ3181">
        <v>0</v>
      </c>
      <c r="DK3181">
        <v>0</v>
      </c>
      <c r="DL3181">
        <v>0</v>
      </c>
      <c r="DM3181">
        <v>0</v>
      </c>
      <c r="DN3181">
        <v>1</v>
      </c>
      <c r="DO3181">
        <v>0</v>
      </c>
      <c r="DP3181">
        <v>0</v>
      </c>
      <c r="DQ3181">
        <v>0</v>
      </c>
      <c r="DR3181">
        <v>0</v>
      </c>
      <c r="DS3181">
        <v>0</v>
      </c>
    </row>
    <row r="3182" spans="1:123" x14ac:dyDescent="0.3">
      <c r="A3182" t="str">
        <f>"10/04/2022 19:34:03.266"</f>
        <v>10/04/2022 19:34:03.266</v>
      </c>
      <c r="C3182" t="str">
        <f t="shared" si="1158"/>
        <v>FFDFD3C0</v>
      </c>
      <c r="D3182" t="s">
        <v>147</v>
      </c>
      <c r="E3182">
        <v>3</v>
      </c>
      <c r="H3182">
        <v>166</v>
      </c>
      <c r="I3182" t="s">
        <v>144</v>
      </c>
      <c r="J3182" t="s">
        <v>148</v>
      </c>
      <c r="K3182">
        <v>0</v>
      </c>
      <c r="L3182">
        <v>3</v>
      </c>
      <c r="M3182">
        <v>0</v>
      </c>
      <c r="N3182">
        <v>2</v>
      </c>
      <c r="O3182">
        <v>0</v>
      </c>
      <c r="P3182">
        <v>1</v>
      </c>
      <c r="Q3182">
        <v>0</v>
      </c>
      <c r="S3182" t="str">
        <f t="shared" si="1159"/>
        <v>19:34:03.000</v>
      </c>
      <c r="T3182" t="str">
        <f t="shared" si="1159"/>
        <v>19:34:03.000</v>
      </c>
      <c r="U3182" t="str">
        <f t="shared" si="1144"/>
        <v>AC3944</v>
      </c>
      <c r="V3182">
        <v>0</v>
      </c>
      <c r="W3182">
        <v>0</v>
      </c>
      <c r="X3182">
        <v>2</v>
      </c>
      <c r="Y3182">
        <v>0</v>
      </c>
      <c r="AA3182">
        <v>1</v>
      </c>
      <c r="AB3182">
        <v>8</v>
      </c>
      <c r="AC3182">
        <v>3</v>
      </c>
      <c r="AD3182">
        <v>0</v>
      </c>
      <c r="AE3182">
        <v>9</v>
      </c>
      <c r="AF3182" t="s">
        <v>138</v>
      </c>
      <c r="AG3182">
        <v>0</v>
      </c>
      <c r="AH3182">
        <v>3</v>
      </c>
      <c r="AI3182">
        <v>1</v>
      </c>
      <c r="AJ3182">
        <v>0</v>
      </c>
      <c r="AK3182" t="s">
        <v>1059</v>
      </c>
      <c r="AL3182">
        <v>32.709645999999999</v>
      </c>
      <c r="AM3182" t="s">
        <v>961</v>
      </c>
      <c r="AN3182">
        <v>-116.75331799999999</v>
      </c>
      <c r="AO3182">
        <v>25</v>
      </c>
      <c r="AP3182">
        <v>3700</v>
      </c>
      <c r="AQ3182" t="s">
        <v>129</v>
      </c>
      <c r="AR3182">
        <v>100</v>
      </c>
      <c r="AS3182">
        <v>109</v>
      </c>
      <c r="AT3182">
        <v>-1024</v>
      </c>
      <c r="BB3182">
        <v>1200</v>
      </c>
      <c r="BC3182">
        <v>1</v>
      </c>
      <c r="BD3182" t="str">
        <f t="shared" si="1145"/>
        <v xml:space="preserve">N887QR  </v>
      </c>
      <c r="BE3182">
        <v>1</v>
      </c>
      <c r="BG3182">
        <v>0</v>
      </c>
      <c r="BH3182">
        <v>0</v>
      </c>
      <c r="BI3182">
        <v>0</v>
      </c>
      <c r="BJ3182">
        <v>3375</v>
      </c>
      <c r="BK3182">
        <v>-325</v>
      </c>
      <c r="BL3182" t="s">
        <v>163</v>
      </c>
      <c r="BM3182">
        <v>1</v>
      </c>
      <c r="BN3182">
        <v>1</v>
      </c>
      <c r="BO3182">
        <v>1</v>
      </c>
      <c r="BP3182">
        <v>0</v>
      </c>
      <c r="BS3182">
        <v>0</v>
      </c>
      <c r="BT3182">
        <v>0</v>
      </c>
      <c r="BU3182">
        <v>0</v>
      </c>
      <c r="CE3182" t="str">
        <f t="shared" si="1160"/>
        <v>19:34:03.027</v>
      </c>
      <c r="CF3182">
        <v>26785635</v>
      </c>
      <c r="CS3182">
        <v>0</v>
      </c>
      <c r="CT3182">
        <v>2</v>
      </c>
      <c r="CU3182">
        <v>0</v>
      </c>
      <c r="CV3182">
        <v>2</v>
      </c>
      <c r="CW3182">
        <v>0</v>
      </c>
      <c r="CX3182">
        <v>6</v>
      </c>
      <c r="CY3182">
        <v>7</v>
      </c>
      <c r="CZ3182" t="s">
        <v>131</v>
      </c>
      <c r="DA3182">
        <v>286</v>
      </c>
      <c r="DB3182">
        <v>0</v>
      </c>
      <c r="DC3182" t="s">
        <v>132</v>
      </c>
      <c r="DD3182" t="s">
        <v>133</v>
      </c>
      <c r="DG3182">
        <v>868664</v>
      </c>
      <c r="DI3182">
        <v>1</v>
      </c>
      <c r="DJ3182">
        <v>0</v>
      </c>
      <c r="DK3182">
        <v>1</v>
      </c>
      <c r="DL3182">
        <v>0</v>
      </c>
      <c r="DM3182">
        <v>0</v>
      </c>
      <c r="DN3182">
        <v>1</v>
      </c>
      <c r="DO3182">
        <v>0</v>
      </c>
      <c r="DP3182">
        <v>0</v>
      </c>
      <c r="DQ3182">
        <v>0</v>
      </c>
      <c r="DR3182">
        <v>0</v>
      </c>
      <c r="DS3182">
        <v>0</v>
      </c>
    </row>
    <row r="3183" spans="1:123" x14ac:dyDescent="0.3">
      <c r="A3183" t="str">
        <f>"10/04/2022 19:34:03.266"</f>
        <v>10/04/2022 19:34:03.266</v>
      </c>
      <c r="C3183" t="str">
        <f t="shared" si="1158"/>
        <v>FFDFD3C0</v>
      </c>
      <c r="D3183" t="s">
        <v>123</v>
      </c>
      <c r="E3183">
        <v>7</v>
      </c>
      <c r="F3183">
        <v>2007</v>
      </c>
      <c r="G3183" t="s">
        <v>124</v>
      </c>
      <c r="J3183" t="s">
        <v>125</v>
      </c>
      <c r="K3183">
        <v>0</v>
      </c>
      <c r="L3183">
        <v>3</v>
      </c>
      <c r="M3183">
        <v>0</v>
      </c>
      <c r="N3183">
        <v>2</v>
      </c>
      <c r="O3183">
        <v>0</v>
      </c>
      <c r="P3183">
        <v>1</v>
      </c>
      <c r="Q3183">
        <v>0</v>
      </c>
      <c r="S3183" t="str">
        <f t="shared" si="1159"/>
        <v>19:34:03.000</v>
      </c>
      <c r="T3183" t="str">
        <f t="shared" si="1159"/>
        <v>19:34:03.000</v>
      </c>
      <c r="U3183" t="str">
        <f t="shared" si="1144"/>
        <v>AC3944</v>
      </c>
      <c r="V3183">
        <v>0</v>
      </c>
      <c r="W3183">
        <v>0</v>
      </c>
      <c r="X3183">
        <v>2</v>
      </c>
      <c r="Y3183">
        <v>0</v>
      </c>
      <c r="AA3183">
        <v>1</v>
      </c>
      <c r="AB3183">
        <v>8</v>
      </c>
      <c r="AC3183">
        <v>3</v>
      </c>
      <c r="AD3183">
        <v>0</v>
      </c>
      <c r="AE3183">
        <v>9</v>
      </c>
      <c r="AF3183" t="s">
        <v>138</v>
      </c>
      <c r="AG3183">
        <v>0</v>
      </c>
      <c r="AH3183">
        <v>3</v>
      </c>
      <c r="AI3183">
        <v>1</v>
      </c>
      <c r="AJ3183">
        <v>0</v>
      </c>
      <c r="AK3183" t="s">
        <v>1059</v>
      </c>
      <c r="AL3183">
        <v>32.709645999999999</v>
      </c>
      <c r="AM3183" t="s">
        <v>961</v>
      </c>
      <c r="AN3183">
        <v>-116.75331799999999</v>
      </c>
      <c r="AO3183">
        <v>25</v>
      </c>
      <c r="AP3183">
        <v>3700</v>
      </c>
      <c r="AQ3183" t="s">
        <v>129</v>
      </c>
      <c r="AR3183">
        <v>100</v>
      </c>
      <c r="AS3183">
        <v>109</v>
      </c>
      <c r="AT3183">
        <v>-1024</v>
      </c>
      <c r="BB3183">
        <v>1200</v>
      </c>
      <c r="BC3183">
        <v>1</v>
      </c>
      <c r="BD3183" t="str">
        <f t="shared" si="1145"/>
        <v xml:space="preserve">N887QR  </v>
      </c>
      <c r="BE3183">
        <v>1</v>
      </c>
      <c r="BG3183">
        <v>0</v>
      </c>
      <c r="BH3183">
        <v>0</v>
      </c>
      <c r="BI3183">
        <v>0</v>
      </c>
      <c r="BJ3183">
        <v>3375</v>
      </c>
      <c r="BK3183">
        <v>-325</v>
      </c>
      <c r="BL3183" t="s">
        <v>163</v>
      </c>
      <c r="BM3183">
        <v>1</v>
      </c>
      <c r="BN3183">
        <v>1</v>
      </c>
      <c r="BO3183">
        <v>1</v>
      </c>
      <c r="BP3183">
        <v>0</v>
      </c>
      <c r="BS3183">
        <v>0</v>
      </c>
      <c r="BT3183">
        <v>0</v>
      </c>
      <c r="BU3183">
        <v>0</v>
      </c>
      <c r="CE3183" t="str">
        <f t="shared" si="1160"/>
        <v>19:34:03.027</v>
      </c>
      <c r="CF3183">
        <v>26785635</v>
      </c>
      <c r="CS3183">
        <v>0</v>
      </c>
      <c r="CT3183">
        <v>2</v>
      </c>
      <c r="CU3183">
        <v>0</v>
      </c>
      <c r="CV3183">
        <v>2</v>
      </c>
      <c r="CW3183">
        <v>0</v>
      </c>
      <c r="CX3183">
        <v>6</v>
      </c>
      <c r="CY3183">
        <v>7</v>
      </c>
      <c r="CZ3183" t="s">
        <v>131</v>
      </c>
      <c r="DA3183">
        <v>286</v>
      </c>
      <c r="DB3183">
        <v>0</v>
      </c>
      <c r="DC3183" t="s">
        <v>132</v>
      </c>
      <c r="DD3183" t="s">
        <v>133</v>
      </c>
      <c r="DG3183">
        <v>868664</v>
      </c>
      <c r="DI3183">
        <v>1</v>
      </c>
      <c r="DJ3183">
        <v>0</v>
      </c>
      <c r="DK3183">
        <v>1</v>
      </c>
      <c r="DL3183">
        <v>0</v>
      </c>
      <c r="DM3183">
        <v>0</v>
      </c>
      <c r="DN3183">
        <v>1</v>
      </c>
      <c r="DO3183">
        <v>0</v>
      </c>
      <c r="DP3183">
        <v>0</v>
      </c>
      <c r="DQ3183">
        <v>0</v>
      </c>
      <c r="DR3183">
        <v>0</v>
      </c>
      <c r="DS3183">
        <v>0</v>
      </c>
    </row>
    <row r="3184" spans="1:123" x14ac:dyDescent="0.3">
      <c r="A3184" t="str">
        <f>"10/04/2022 19:34:03.266"</f>
        <v>10/04/2022 19:34:03.266</v>
      </c>
      <c r="C3184" t="str">
        <f t="shared" si="1158"/>
        <v>FFDFD3C0</v>
      </c>
      <c r="D3184" t="s">
        <v>141</v>
      </c>
      <c r="E3184">
        <v>3</v>
      </c>
      <c r="H3184">
        <v>3</v>
      </c>
      <c r="I3184" t="s">
        <v>146</v>
      </c>
      <c r="J3184" t="s">
        <v>138</v>
      </c>
      <c r="K3184">
        <v>0</v>
      </c>
      <c r="L3184">
        <v>3</v>
      </c>
      <c r="M3184">
        <v>0</v>
      </c>
      <c r="N3184">
        <v>2</v>
      </c>
      <c r="O3184">
        <v>0</v>
      </c>
      <c r="P3184">
        <v>1</v>
      </c>
      <c r="Q3184">
        <v>0</v>
      </c>
      <c r="S3184" t="str">
        <f t="shared" si="1159"/>
        <v>19:34:03.000</v>
      </c>
      <c r="T3184" t="str">
        <f t="shared" si="1159"/>
        <v>19:34:03.000</v>
      </c>
      <c r="U3184" t="str">
        <f t="shared" si="1144"/>
        <v>AC3944</v>
      </c>
      <c r="V3184">
        <v>0</v>
      </c>
      <c r="W3184">
        <v>0</v>
      </c>
      <c r="X3184">
        <v>2</v>
      </c>
      <c r="Y3184">
        <v>0</v>
      </c>
      <c r="AA3184">
        <v>1</v>
      </c>
      <c r="AB3184">
        <v>8</v>
      </c>
      <c r="AC3184">
        <v>3</v>
      </c>
      <c r="AD3184">
        <v>0</v>
      </c>
      <c r="AE3184">
        <v>9</v>
      </c>
      <c r="AF3184" t="s">
        <v>138</v>
      </c>
      <c r="AG3184">
        <v>0</v>
      </c>
      <c r="AH3184">
        <v>3</v>
      </c>
      <c r="AI3184">
        <v>1</v>
      </c>
      <c r="AJ3184">
        <v>0</v>
      </c>
      <c r="AK3184" t="s">
        <v>1059</v>
      </c>
      <c r="AL3184">
        <v>32.709645999999999</v>
      </c>
      <c r="AM3184" t="s">
        <v>961</v>
      </c>
      <c r="AN3184">
        <v>-116.75331799999999</v>
      </c>
      <c r="AO3184">
        <v>25</v>
      </c>
      <c r="AP3184">
        <v>3700</v>
      </c>
      <c r="AQ3184" t="s">
        <v>129</v>
      </c>
      <c r="AR3184">
        <v>100</v>
      </c>
      <c r="AS3184">
        <v>109</v>
      </c>
      <c r="AT3184">
        <v>-1024</v>
      </c>
      <c r="BB3184">
        <v>1200</v>
      </c>
      <c r="BC3184">
        <v>1</v>
      </c>
      <c r="BD3184" t="str">
        <f t="shared" si="1145"/>
        <v xml:space="preserve">N887QR  </v>
      </c>
      <c r="BE3184">
        <v>1</v>
      </c>
      <c r="BG3184">
        <v>0</v>
      </c>
      <c r="BH3184">
        <v>0</v>
      </c>
      <c r="BI3184">
        <v>0</v>
      </c>
      <c r="BJ3184">
        <v>3375</v>
      </c>
      <c r="BK3184">
        <v>-325</v>
      </c>
      <c r="BL3184" t="s">
        <v>163</v>
      </c>
      <c r="BM3184">
        <v>1</v>
      </c>
      <c r="BN3184">
        <v>1</v>
      </c>
      <c r="BO3184">
        <v>1</v>
      </c>
      <c r="BP3184">
        <v>0</v>
      </c>
      <c r="BS3184">
        <v>0</v>
      </c>
      <c r="BT3184">
        <v>0</v>
      </c>
      <c r="BU3184">
        <v>0</v>
      </c>
      <c r="CE3184" t="str">
        <f t="shared" si="1160"/>
        <v>19:34:03.027</v>
      </c>
      <c r="CF3184">
        <v>26785635</v>
      </c>
      <c r="CS3184">
        <v>0</v>
      </c>
      <c r="CT3184">
        <v>2</v>
      </c>
      <c r="CU3184">
        <v>0</v>
      </c>
      <c r="CV3184">
        <v>2</v>
      </c>
      <c r="CW3184">
        <v>0</v>
      </c>
      <c r="CX3184">
        <v>6</v>
      </c>
      <c r="CY3184">
        <v>7</v>
      </c>
      <c r="CZ3184" t="s">
        <v>131</v>
      </c>
      <c r="DA3184">
        <v>286</v>
      </c>
      <c r="DB3184">
        <v>0</v>
      </c>
      <c r="DC3184" t="s">
        <v>132</v>
      </c>
      <c r="DD3184" t="s">
        <v>133</v>
      </c>
      <c r="DG3184">
        <v>868664</v>
      </c>
      <c r="DI3184">
        <v>1</v>
      </c>
      <c r="DJ3184">
        <v>0</v>
      </c>
      <c r="DK3184">
        <v>1</v>
      </c>
      <c r="DL3184">
        <v>0</v>
      </c>
      <c r="DM3184">
        <v>0</v>
      </c>
      <c r="DN3184">
        <v>1</v>
      </c>
      <c r="DO3184">
        <v>0</v>
      </c>
      <c r="DP3184">
        <v>0</v>
      </c>
      <c r="DQ3184">
        <v>0</v>
      </c>
      <c r="DR3184">
        <v>0</v>
      </c>
      <c r="DS3184">
        <v>0</v>
      </c>
    </row>
    <row r="3185" spans="1:123" x14ac:dyDescent="0.3">
      <c r="A3185" t="str">
        <f>"10/04/2022 19:34:03.282"</f>
        <v>10/04/2022 19:34:03.282</v>
      </c>
      <c r="C3185" t="str">
        <f t="shared" si="1158"/>
        <v>FFDFD3C0</v>
      </c>
      <c r="D3185" t="s">
        <v>134</v>
      </c>
      <c r="E3185">
        <v>15</v>
      </c>
      <c r="J3185" t="s">
        <v>135</v>
      </c>
      <c r="K3185">
        <v>0</v>
      </c>
      <c r="L3185">
        <v>3</v>
      </c>
      <c r="M3185">
        <v>0</v>
      </c>
      <c r="N3185">
        <v>2</v>
      </c>
      <c r="O3185">
        <v>0</v>
      </c>
      <c r="P3185">
        <v>1</v>
      </c>
      <c r="Q3185">
        <v>0</v>
      </c>
      <c r="S3185" t="str">
        <f t="shared" si="1159"/>
        <v>19:34:03.000</v>
      </c>
      <c r="T3185" t="str">
        <f t="shared" si="1159"/>
        <v>19:34:03.000</v>
      </c>
      <c r="U3185" t="str">
        <f t="shared" si="1144"/>
        <v>AC3944</v>
      </c>
      <c r="V3185">
        <v>0</v>
      </c>
      <c r="W3185">
        <v>0</v>
      </c>
      <c r="X3185">
        <v>2</v>
      </c>
      <c r="Y3185">
        <v>0</v>
      </c>
      <c r="AA3185">
        <v>1</v>
      </c>
      <c r="AB3185">
        <v>8</v>
      </c>
      <c r="AC3185">
        <v>3</v>
      </c>
      <c r="AD3185">
        <v>0</v>
      </c>
      <c r="AE3185">
        <v>9</v>
      </c>
      <c r="AF3185" t="s">
        <v>138</v>
      </c>
      <c r="AG3185">
        <v>0</v>
      </c>
      <c r="AH3185">
        <v>3</v>
      </c>
      <c r="AI3185">
        <v>1</v>
      </c>
      <c r="AJ3185">
        <v>0</v>
      </c>
      <c r="AK3185" t="s">
        <v>1059</v>
      </c>
      <c r="AL3185">
        <v>32.709645999999999</v>
      </c>
      <c r="AM3185" t="s">
        <v>961</v>
      </c>
      <c r="AN3185">
        <v>-116.75331799999999</v>
      </c>
      <c r="AO3185">
        <v>25</v>
      </c>
      <c r="AP3185">
        <v>3700</v>
      </c>
      <c r="AQ3185" t="s">
        <v>129</v>
      </c>
      <c r="AR3185">
        <v>100</v>
      </c>
      <c r="AS3185">
        <v>109</v>
      </c>
      <c r="AT3185">
        <v>-1024</v>
      </c>
      <c r="BB3185">
        <v>1200</v>
      </c>
      <c r="BC3185">
        <v>1</v>
      </c>
      <c r="BD3185" t="str">
        <f t="shared" si="1145"/>
        <v xml:space="preserve">N887QR  </v>
      </c>
      <c r="BE3185">
        <v>1</v>
      </c>
      <c r="BG3185">
        <v>0</v>
      </c>
      <c r="BH3185">
        <v>0</v>
      </c>
      <c r="BI3185">
        <v>0</v>
      </c>
      <c r="BJ3185">
        <v>3375</v>
      </c>
      <c r="BK3185">
        <v>-325</v>
      </c>
      <c r="BL3185" t="s">
        <v>163</v>
      </c>
      <c r="BM3185">
        <v>1</v>
      </c>
      <c r="BN3185">
        <v>1</v>
      </c>
      <c r="BO3185">
        <v>1</v>
      </c>
      <c r="BP3185">
        <v>0</v>
      </c>
      <c r="BS3185">
        <v>0</v>
      </c>
      <c r="BT3185">
        <v>0</v>
      </c>
      <c r="BU3185">
        <v>0</v>
      </c>
      <c r="CE3185" t="str">
        <f t="shared" si="1160"/>
        <v>19:34:03.027</v>
      </c>
      <c r="CF3185">
        <v>26785635</v>
      </c>
      <c r="CS3185">
        <v>0</v>
      </c>
      <c r="CT3185">
        <v>2</v>
      </c>
      <c r="CU3185">
        <v>0</v>
      </c>
      <c r="CV3185">
        <v>2</v>
      </c>
      <c r="CW3185">
        <v>0</v>
      </c>
      <c r="CX3185">
        <v>6</v>
      </c>
      <c r="CY3185">
        <v>7</v>
      </c>
      <c r="CZ3185" t="s">
        <v>131</v>
      </c>
      <c r="DA3185">
        <v>286</v>
      </c>
      <c r="DB3185">
        <v>0</v>
      </c>
      <c r="DC3185" t="s">
        <v>132</v>
      </c>
      <c r="DD3185" t="s">
        <v>133</v>
      </c>
      <c r="DG3185">
        <v>868664</v>
      </c>
      <c r="DI3185">
        <v>1</v>
      </c>
      <c r="DJ3185">
        <v>0</v>
      </c>
      <c r="DK3185">
        <v>1</v>
      </c>
      <c r="DL3185">
        <v>0</v>
      </c>
      <c r="DM3185">
        <v>0</v>
      </c>
      <c r="DN3185">
        <v>1</v>
      </c>
      <c r="DO3185">
        <v>0</v>
      </c>
      <c r="DP3185">
        <v>0</v>
      </c>
      <c r="DQ3185">
        <v>0</v>
      </c>
      <c r="DR3185">
        <v>0</v>
      </c>
      <c r="DS3185">
        <v>0</v>
      </c>
    </row>
    <row r="3186" spans="1:123" x14ac:dyDescent="0.3">
      <c r="A3186" t="str">
        <f>"10/04/2022 19:34:03.282"</f>
        <v>10/04/2022 19:34:03.282</v>
      </c>
      <c r="C3186" t="str">
        <f t="shared" si="1158"/>
        <v>FFDFD3C0</v>
      </c>
      <c r="D3186" t="s">
        <v>136</v>
      </c>
      <c r="E3186">
        <v>8</v>
      </c>
      <c r="H3186">
        <v>225</v>
      </c>
      <c r="I3186" t="s">
        <v>137</v>
      </c>
      <c r="J3186" t="s">
        <v>138</v>
      </c>
      <c r="K3186">
        <v>0</v>
      </c>
      <c r="L3186">
        <v>3</v>
      </c>
      <c r="M3186">
        <v>0</v>
      </c>
      <c r="N3186">
        <v>2</v>
      </c>
      <c r="O3186">
        <v>0</v>
      </c>
      <c r="P3186">
        <v>1</v>
      </c>
      <c r="Q3186">
        <v>0</v>
      </c>
      <c r="S3186" t="str">
        <f t="shared" si="1159"/>
        <v>19:34:03.000</v>
      </c>
      <c r="T3186" t="str">
        <f t="shared" si="1159"/>
        <v>19:34:03.000</v>
      </c>
      <c r="U3186" t="str">
        <f t="shared" si="1144"/>
        <v>AC3944</v>
      </c>
      <c r="V3186">
        <v>0</v>
      </c>
      <c r="W3186">
        <v>0</v>
      </c>
      <c r="X3186">
        <v>2</v>
      </c>
      <c r="Y3186">
        <v>0</v>
      </c>
      <c r="AA3186">
        <v>1</v>
      </c>
      <c r="AB3186">
        <v>8</v>
      </c>
      <c r="AC3186">
        <v>3</v>
      </c>
      <c r="AD3186">
        <v>0</v>
      </c>
      <c r="AE3186">
        <v>9</v>
      </c>
      <c r="AF3186" t="s">
        <v>138</v>
      </c>
      <c r="AG3186">
        <v>0</v>
      </c>
      <c r="AH3186">
        <v>3</v>
      </c>
      <c r="AI3186">
        <v>1</v>
      </c>
      <c r="AJ3186">
        <v>0</v>
      </c>
      <c r="AK3186" t="s">
        <v>1059</v>
      </c>
      <c r="AL3186">
        <v>32.709645999999999</v>
      </c>
      <c r="AM3186" t="s">
        <v>961</v>
      </c>
      <c r="AN3186">
        <v>-116.75331799999999</v>
      </c>
      <c r="AO3186">
        <v>25</v>
      </c>
      <c r="AP3186">
        <v>3700</v>
      </c>
      <c r="AQ3186" t="s">
        <v>129</v>
      </c>
      <c r="AR3186">
        <v>100</v>
      </c>
      <c r="AS3186">
        <v>109</v>
      </c>
      <c r="AT3186">
        <v>-1024</v>
      </c>
      <c r="BB3186">
        <v>1200</v>
      </c>
      <c r="BC3186">
        <v>1</v>
      </c>
      <c r="BD3186" t="str">
        <f t="shared" si="1145"/>
        <v xml:space="preserve">N887QR  </v>
      </c>
      <c r="BE3186">
        <v>1</v>
      </c>
      <c r="BG3186">
        <v>0</v>
      </c>
      <c r="BH3186">
        <v>0</v>
      </c>
      <c r="BI3186">
        <v>0</v>
      </c>
      <c r="BJ3186">
        <v>3375</v>
      </c>
      <c r="BK3186">
        <v>-325</v>
      </c>
      <c r="BL3186" t="s">
        <v>163</v>
      </c>
      <c r="BM3186">
        <v>1</v>
      </c>
      <c r="BN3186">
        <v>1</v>
      </c>
      <c r="BO3186">
        <v>1</v>
      </c>
      <c r="BP3186">
        <v>0</v>
      </c>
      <c r="BS3186">
        <v>0</v>
      </c>
      <c r="BT3186">
        <v>0</v>
      </c>
      <c r="BU3186">
        <v>0</v>
      </c>
      <c r="CE3186" t="str">
        <f t="shared" si="1160"/>
        <v>19:34:03.027</v>
      </c>
      <c r="CF3186">
        <v>26785635</v>
      </c>
      <c r="CS3186">
        <v>0</v>
      </c>
      <c r="CT3186">
        <v>2</v>
      </c>
      <c r="CU3186">
        <v>0</v>
      </c>
      <c r="CV3186">
        <v>2</v>
      </c>
      <c r="CW3186">
        <v>0</v>
      </c>
      <c r="CX3186">
        <v>6</v>
      </c>
      <c r="CY3186">
        <v>7</v>
      </c>
      <c r="CZ3186" t="s">
        <v>131</v>
      </c>
      <c r="DA3186">
        <v>286</v>
      </c>
      <c r="DB3186">
        <v>0</v>
      </c>
      <c r="DC3186" t="s">
        <v>132</v>
      </c>
      <c r="DD3186" t="s">
        <v>133</v>
      </c>
      <c r="DG3186">
        <v>868664</v>
      </c>
      <c r="DI3186">
        <v>1</v>
      </c>
      <c r="DJ3186">
        <v>0</v>
      </c>
      <c r="DK3186">
        <v>1</v>
      </c>
      <c r="DL3186">
        <v>0</v>
      </c>
      <c r="DM3186">
        <v>0</v>
      </c>
      <c r="DN3186">
        <v>1</v>
      </c>
      <c r="DO3186">
        <v>0</v>
      </c>
      <c r="DP3186">
        <v>0</v>
      </c>
      <c r="DQ3186">
        <v>0</v>
      </c>
      <c r="DR3186">
        <v>0</v>
      </c>
      <c r="DS3186">
        <v>0</v>
      </c>
    </row>
    <row r="3187" spans="1:123" x14ac:dyDescent="0.3">
      <c r="A3187" t="str">
        <f>"10/04/2022 19:34:03.282"</f>
        <v>10/04/2022 19:34:03.282</v>
      </c>
      <c r="C3187" t="str">
        <f t="shared" si="1158"/>
        <v>FFDFD3C0</v>
      </c>
      <c r="D3187" t="s">
        <v>141</v>
      </c>
      <c r="E3187">
        <v>4</v>
      </c>
      <c r="H3187">
        <v>4</v>
      </c>
      <c r="I3187" t="s">
        <v>142</v>
      </c>
      <c r="J3187" t="s">
        <v>138</v>
      </c>
      <c r="K3187">
        <v>0</v>
      </c>
      <c r="L3187">
        <v>3</v>
      </c>
      <c r="M3187">
        <v>0</v>
      </c>
      <c r="N3187">
        <v>2</v>
      </c>
      <c r="O3187">
        <v>0</v>
      </c>
      <c r="P3187">
        <v>1</v>
      </c>
      <c r="Q3187">
        <v>0</v>
      </c>
      <c r="S3187" t="str">
        <f t="shared" si="1159"/>
        <v>19:34:03.000</v>
      </c>
      <c r="T3187" t="str">
        <f t="shared" si="1159"/>
        <v>19:34:03.000</v>
      </c>
      <c r="U3187" t="str">
        <f t="shared" si="1144"/>
        <v>AC3944</v>
      </c>
      <c r="V3187">
        <v>0</v>
      </c>
      <c r="W3187">
        <v>0</v>
      </c>
      <c r="X3187">
        <v>2</v>
      </c>
      <c r="Y3187">
        <v>0</v>
      </c>
      <c r="AA3187">
        <v>1</v>
      </c>
      <c r="AB3187">
        <v>8</v>
      </c>
      <c r="AC3187">
        <v>3</v>
      </c>
      <c r="AD3187">
        <v>0</v>
      </c>
      <c r="AE3187">
        <v>9</v>
      </c>
      <c r="AF3187" t="s">
        <v>138</v>
      </c>
      <c r="AG3187">
        <v>0</v>
      </c>
      <c r="AH3187">
        <v>3</v>
      </c>
      <c r="AI3187">
        <v>1</v>
      </c>
      <c r="AJ3187">
        <v>0</v>
      </c>
      <c r="AK3187" t="s">
        <v>1059</v>
      </c>
      <c r="AL3187">
        <v>32.709645999999999</v>
      </c>
      <c r="AM3187" t="s">
        <v>961</v>
      </c>
      <c r="AN3187">
        <v>-116.75331799999999</v>
      </c>
      <c r="AO3187">
        <v>25</v>
      </c>
      <c r="AP3187">
        <v>3700</v>
      </c>
      <c r="AQ3187" t="s">
        <v>129</v>
      </c>
      <c r="AR3187">
        <v>100</v>
      </c>
      <c r="AS3187">
        <v>109</v>
      </c>
      <c r="AT3187">
        <v>-1024</v>
      </c>
      <c r="BB3187">
        <v>1200</v>
      </c>
      <c r="BC3187">
        <v>1</v>
      </c>
      <c r="BD3187" t="str">
        <f t="shared" si="1145"/>
        <v xml:space="preserve">N887QR  </v>
      </c>
      <c r="BE3187">
        <v>1</v>
      </c>
      <c r="BG3187">
        <v>0</v>
      </c>
      <c r="BH3187">
        <v>0</v>
      </c>
      <c r="BI3187">
        <v>0</v>
      </c>
      <c r="BJ3187">
        <v>3375</v>
      </c>
      <c r="BK3187">
        <v>-325</v>
      </c>
      <c r="BL3187" t="s">
        <v>163</v>
      </c>
      <c r="BM3187">
        <v>1</v>
      </c>
      <c r="BN3187">
        <v>1</v>
      </c>
      <c r="BO3187">
        <v>1</v>
      </c>
      <c r="BP3187">
        <v>0</v>
      </c>
      <c r="BS3187">
        <v>0</v>
      </c>
      <c r="BT3187">
        <v>0</v>
      </c>
      <c r="BU3187">
        <v>0</v>
      </c>
      <c r="CE3187" t="str">
        <f t="shared" si="1160"/>
        <v>19:34:03.027</v>
      </c>
      <c r="CF3187">
        <v>26785635</v>
      </c>
      <c r="CS3187">
        <v>0</v>
      </c>
      <c r="CT3187">
        <v>2</v>
      </c>
      <c r="CU3187">
        <v>0</v>
      </c>
      <c r="CV3187">
        <v>2</v>
      </c>
      <c r="CW3187">
        <v>0</v>
      </c>
      <c r="CX3187">
        <v>6</v>
      </c>
      <c r="CY3187">
        <v>7</v>
      </c>
      <c r="CZ3187" t="s">
        <v>131</v>
      </c>
      <c r="DA3187">
        <v>286</v>
      </c>
      <c r="DB3187">
        <v>0</v>
      </c>
      <c r="DC3187" t="s">
        <v>132</v>
      </c>
      <c r="DD3187" t="s">
        <v>133</v>
      </c>
      <c r="DG3187">
        <v>868664</v>
      </c>
      <c r="DI3187">
        <v>1</v>
      </c>
      <c r="DJ3187">
        <v>0</v>
      </c>
      <c r="DK3187">
        <v>1</v>
      </c>
      <c r="DL3187">
        <v>0</v>
      </c>
      <c r="DM3187">
        <v>0</v>
      </c>
      <c r="DN3187">
        <v>1</v>
      </c>
      <c r="DO3187">
        <v>0</v>
      </c>
      <c r="DP3187">
        <v>0</v>
      </c>
      <c r="DQ3187">
        <v>0</v>
      </c>
      <c r="DR3187">
        <v>0</v>
      </c>
      <c r="DS3187">
        <v>0</v>
      </c>
    </row>
    <row r="3188" spans="1:123" x14ac:dyDescent="0.3">
      <c r="A3188" t="str">
        <f>"10/04/2022 19:34:04.564"</f>
        <v>10/04/2022 19:34:04.564</v>
      </c>
      <c r="C3188" t="str">
        <f t="shared" si="1158"/>
        <v>FFDFD3C0</v>
      </c>
      <c r="D3188" t="s">
        <v>141</v>
      </c>
      <c r="E3188">
        <v>3</v>
      </c>
      <c r="H3188">
        <v>3</v>
      </c>
      <c r="I3188" t="s">
        <v>146</v>
      </c>
      <c r="J3188" t="s">
        <v>138</v>
      </c>
      <c r="K3188">
        <v>0</v>
      </c>
      <c r="L3188">
        <v>3</v>
      </c>
      <c r="M3188">
        <v>0</v>
      </c>
      <c r="N3188">
        <v>2</v>
      </c>
      <c r="O3188">
        <v>0</v>
      </c>
      <c r="P3188">
        <v>1</v>
      </c>
      <c r="Q3188">
        <v>0</v>
      </c>
      <c r="S3188" t="str">
        <f t="shared" ref="S3188:T3201" si="1161">"19:34:04.000"</f>
        <v>19:34:04.000</v>
      </c>
      <c r="T3188" t="str">
        <f t="shared" si="1161"/>
        <v>19:34:04.000</v>
      </c>
      <c r="U3188" t="str">
        <f t="shared" si="1144"/>
        <v>AC3944</v>
      </c>
      <c r="V3188">
        <v>0</v>
      </c>
      <c r="W3188">
        <v>0</v>
      </c>
      <c r="X3188">
        <v>2</v>
      </c>
      <c r="Y3188">
        <v>0</v>
      </c>
      <c r="AA3188">
        <v>1</v>
      </c>
      <c r="AB3188">
        <v>8</v>
      </c>
      <c r="AC3188">
        <v>3</v>
      </c>
      <c r="AD3188">
        <v>0</v>
      </c>
      <c r="AE3188">
        <v>9</v>
      </c>
      <c r="AF3188" t="s">
        <v>138</v>
      </c>
      <c r="AG3188">
        <v>0</v>
      </c>
      <c r="AH3188">
        <v>3</v>
      </c>
      <c r="AI3188">
        <v>1</v>
      </c>
      <c r="AJ3188">
        <v>0</v>
      </c>
      <c r="AK3188" t="s">
        <v>1060</v>
      </c>
      <c r="AL3188">
        <v>32.710160999999999</v>
      </c>
      <c r="AM3188" t="s">
        <v>1061</v>
      </c>
      <c r="AN3188">
        <v>-116.75275999999999</v>
      </c>
      <c r="AO3188">
        <v>25</v>
      </c>
      <c r="AP3188">
        <v>3700</v>
      </c>
      <c r="AQ3188" t="s">
        <v>129</v>
      </c>
      <c r="AR3188">
        <v>77</v>
      </c>
      <c r="AS3188">
        <v>127</v>
      </c>
      <c r="AT3188">
        <v>-896</v>
      </c>
      <c r="BB3188">
        <v>1200</v>
      </c>
      <c r="BC3188">
        <v>1</v>
      </c>
      <c r="BD3188" t="str">
        <f t="shared" si="1145"/>
        <v xml:space="preserve">N887QR  </v>
      </c>
      <c r="BE3188">
        <v>1</v>
      </c>
      <c r="BG3188">
        <v>0</v>
      </c>
      <c r="BH3188">
        <v>0</v>
      </c>
      <c r="BI3188">
        <v>0</v>
      </c>
      <c r="BJ3188">
        <v>3375</v>
      </c>
      <c r="BK3188">
        <v>-325</v>
      </c>
      <c r="BL3188" t="s">
        <v>163</v>
      </c>
      <c r="BM3188">
        <v>1</v>
      </c>
      <c r="BN3188">
        <v>1</v>
      </c>
      <c r="BO3188">
        <v>1</v>
      </c>
      <c r="BP3188">
        <v>0</v>
      </c>
      <c r="BS3188">
        <v>0</v>
      </c>
      <c r="BT3188">
        <v>0</v>
      </c>
      <c r="BU3188">
        <v>0</v>
      </c>
      <c r="CE3188" t="str">
        <f t="shared" ref="CE3188:CE3194" si="1162">"19:34:04.255"</f>
        <v>19:34:04.255</v>
      </c>
      <c r="CF3188">
        <v>254539876</v>
      </c>
      <c r="CS3188">
        <v>0</v>
      </c>
      <c r="CT3188">
        <v>2</v>
      </c>
      <c r="CU3188">
        <v>0</v>
      </c>
      <c r="CV3188">
        <v>2</v>
      </c>
      <c r="CW3188">
        <v>0</v>
      </c>
      <c r="CX3188">
        <v>4</v>
      </c>
      <c r="CY3188">
        <v>7</v>
      </c>
      <c r="CZ3188" t="s">
        <v>131</v>
      </c>
      <c r="DA3188">
        <v>286</v>
      </c>
      <c r="DB3188">
        <v>0</v>
      </c>
      <c r="DC3188" t="s">
        <v>132</v>
      </c>
      <c r="DD3188" t="s">
        <v>133</v>
      </c>
      <c r="DG3188">
        <v>868927</v>
      </c>
      <c r="DI3188">
        <v>1</v>
      </c>
      <c r="DJ3188">
        <v>0</v>
      </c>
      <c r="DK3188">
        <v>0</v>
      </c>
      <c r="DL3188">
        <v>0</v>
      </c>
      <c r="DM3188">
        <v>0</v>
      </c>
      <c r="DN3188">
        <v>1</v>
      </c>
      <c r="DO3188">
        <v>0</v>
      </c>
      <c r="DP3188">
        <v>0</v>
      </c>
      <c r="DQ3188">
        <v>0</v>
      </c>
      <c r="DR3188">
        <v>0</v>
      </c>
      <c r="DS3188">
        <v>0</v>
      </c>
    </row>
    <row r="3189" spans="1:123" x14ac:dyDescent="0.3">
      <c r="A3189" t="str">
        <f>"10/04/2022 19:34:04.564"</f>
        <v>10/04/2022 19:34:04.564</v>
      </c>
      <c r="C3189" t="str">
        <f t="shared" si="1158"/>
        <v>FFDFD3C0</v>
      </c>
      <c r="D3189" t="s">
        <v>134</v>
      </c>
      <c r="E3189">
        <v>15</v>
      </c>
      <c r="J3189" t="s">
        <v>135</v>
      </c>
      <c r="K3189">
        <v>0</v>
      </c>
      <c r="L3189">
        <v>3</v>
      </c>
      <c r="M3189">
        <v>0</v>
      </c>
      <c r="N3189">
        <v>2</v>
      </c>
      <c r="O3189">
        <v>0</v>
      </c>
      <c r="P3189">
        <v>1</v>
      </c>
      <c r="Q3189">
        <v>0</v>
      </c>
      <c r="S3189" t="str">
        <f t="shared" si="1161"/>
        <v>19:34:04.000</v>
      </c>
      <c r="T3189" t="str">
        <f t="shared" si="1161"/>
        <v>19:34:04.000</v>
      </c>
      <c r="U3189" t="str">
        <f t="shared" si="1144"/>
        <v>AC3944</v>
      </c>
      <c r="V3189">
        <v>0</v>
      </c>
      <c r="W3189">
        <v>0</v>
      </c>
      <c r="X3189">
        <v>2</v>
      </c>
      <c r="Y3189">
        <v>0</v>
      </c>
      <c r="AA3189">
        <v>1</v>
      </c>
      <c r="AB3189">
        <v>8</v>
      </c>
      <c r="AC3189">
        <v>3</v>
      </c>
      <c r="AD3189">
        <v>0</v>
      </c>
      <c r="AE3189">
        <v>9</v>
      </c>
      <c r="AF3189" t="s">
        <v>138</v>
      </c>
      <c r="AG3189">
        <v>0</v>
      </c>
      <c r="AH3189">
        <v>3</v>
      </c>
      <c r="AI3189">
        <v>1</v>
      </c>
      <c r="AJ3189">
        <v>0</v>
      </c>
      <c r="AK3189" t="s">
        <v>1060</v>
      </c>
      <c r="AL3189">
        <v>32.710160999999999</v>
      </c>
      <c r="AM3189" t="s">
        <v>1061</v>
      </c>
      <c r="AN3189">
        <v>-116.75275999999999</v>
      </c>
      <c r="AO3189">
        <v>25</v>
      </c>
      <c r="AP3189">
        <v>3700</v>
      </c>
      <c r="AQ3189" t="s">
        <v>129</v>
      </c>
      <c r="AR3189">
        <v>77</v>
      </c>
      <c r="AS3189">
        <v>127</v>
      </c>
      <c r="AT3189">
        <v>-896</v>
      </c>
      <c r="BB3189">
        <v>1200</v>
      </c>
      <c r="BC3189">
        <v>1</v>
      </c>
      <c r="BD3189" t="str">
        <f t="shared" si="1145"/>
        <v xml:space="preserve">N887QR  </v>
      </c>
      <c r="BE3189">
        <v>1</v>
      </c>
      <c r="BG3189">
        <v>0</v>
      </c>
      <c r="BH3189">
        <v>0</v>
      </c>
      <c r="BI3189">
        <v>0</v>
      </c>
      <c r="BJ3189">
        <v>3375</v>
      </c>
      <c r="BK3189">
        <v>-325</v>
      </c>
      <c r="BL3189" t="s">
        <v>163</v>
      </c>
      <c r="BM3189">
        <v>1</v>
      </c>
      <c r="BN3189">
        <v>1</v>
      </c>
      <c r="BO3189">
        <v>1</v>
      </c>
      <c r="BP3189">
        <v>0</v>
      </c>
      <c r="BS3189">
        <v>0</v>
      </c>
      <c r="BT3189">
        <v>0</v>
      </c>
      <c r="BU3189">
        <v>0</v>
      </c>
      <c r="CE3189" t="str">
        <f t="shared" si="1162"/>
        <v>19:34:04.255</v>
      </c>
      <c r="CF3189">
        <v>254539876</v>
      </c>
      <c r="CS3189">
        <v>0</v>
      </c>
      <c r="CT3189">
        <v>2</v>
      </c>
      <c r="CU3189">
        <v>0</v>
      </c>
      <c r="CV3189">
        <v>2</v>
      </c>
      <c r="CW3189">
        <v>0</v>
      </c>
      <c r="CX3189">
        <v>4</v>
      </c>
      <c r="CY3189">
        <v>7</v>
      </c>
      <c r="CZ3189" t="s">
        <v>131</v>
      </c>
      <c r="DA3189">
        <v>286</v>
      </c>
      <c r="DB3189">
        <v>0</v>
      </c>
      <c r="DC3189" t="s">
        <v>132</v>
      </c>
      <c r="DD3189" t="s">
        <v>133</v>
      </c>
      <c r="DG3189">
        <v>868927</v>
      </c>
      <c r="DI3189">
        <v>1</v>
      </c>
      <c r="DJ3189">
        <v>0</v>
      </c>
      <c r="DK3189">
        <v>1</v>
      </c>
      <c r="DL3189">
        <v>0</v>
      </c>
      <c r="DM3189">
        <v>0</v>
      </c>
      <c r="DN3189">
        <v>1</v>
      </c>
      <c r="DO3189">
        <v>0</v>
      </c>
      <c r="DP3189">
        <v>0</v>
      </c>
      <c r="DQ3189">
        <v>0</v>
      </c>
      <c r="DR3189">
        <v>0</v>
      </c>
      <c r="DS3189">
        <v>0</v>
      </c>
    </row>
    <row r="3190" spans="1:123" x14ac:dyDescent="0.3">
      <c r="A3190" t="str">
        <f>"10/04/2022 19:34:04.564"</f>
        <v>10/04/2022 19:34:04.564</v>
      </c>
      <c r="C3190" t="str">
        <f t="shared" si="1158"/>
        <v>FFDFD3C0</v>
      </c>
      <c r="D3190" t="s">
        <v>136</v>
      </c>
      <c r="E3190">
        <v>8</v>
      </c>
      <c r="H3190">
        <v>225</v>
      </c>
      <c r="I3190" t="s">
        <v>137</v>
      </c>
      <c r="J3190" t="s">
        <v>138</v>
      </c>
      <c r="K3190">
        <v>0</v>
      </c>
      <c r="L3190">
        <v>3</v>
      </c>
      <c r="M3190">
        <v>0</v>
      </c>
      <c r="N3190">
        <v>2</v>
      </c>
      <c r="O3190">
        <v>0</v>
      </c>
      <c r="P3190">
        <v>1</v>
      </c>
      <c r="Q3190">
        <v>0</v>
      </c>
      <c r="S3190" t="str">
        <f t="shared" si="1161"/>
        <v>19:34:04.000</v>
      </c>
      <c r="T3190" t="str">
        <f t="shared" si="1161"/>
        <v>19:34:04.000</v>
      </c>
      <c r="U3190" t="str">
        <f t="shared" si="1144"/>
        <v>AC3944</v>
      </c>
      <c r="V3190">
        <v>0</v>
      </c>
      <c r="W3190">
        <v>0</v>
      </c>
      <c r="X3190">
        <v>2</v>
      </c>
      <c r="Y3190">
        <v>0</v>
      </c>
      <c r="AA3190">
        <v>1</v>
      </c>
      <c r="AB3190">
        <v>8</v>
      </c>
      <c r="AC3190">
        <v>3</v>
      </c>
      <c r="AD3190">
        <v>0</v>
      </c>
      <c r="AE3190">
        <v>9</v>
      </c>
      <c r="AF3190" t="s">
        <v>138</v>
      </c>
      <c r="AG3190">
        <v>0</v>
      </c>
      <c r="AH3190">
        <v>3</v>
      </c>
      <c r="AI3190">
        <v>1</v>
      </c>
      <c r="AJ3190">
        <v>0</v>
      </c>
      <c r="AK3190" t="s">
        <v>1060</v>
      </c>
      <c r="AL3190">
        <v>32.710160999999999</v>
      </c>
      <c r="AM3190" t="s">
        <v>1061</v>
      </c>
      <c r="AN3190">
        <v>-116.75275999999999</v>
      </c>
      <c r="AO3190">
        <v>25</v>
      </c>
      <c r="AP3190">
        <v>3700</v>
      </c>
      <c r="AQ3190" t="s">
        <v>129</v>
      </c>
      <c r="AR3190">
        <v>77</v>
      </c>
      <c r="AS3190">
        <v>127</v>
      </c>
      <c r="AT3190">
        <v>-896</v>
      </c>
      <c r="BB3190">
        <v>1200</v>
      </c>
      <c r="BC3190">
        <v>1</v>
      </c>
      <c r="BD3190" t="str">
        <f t="shared" si="1145"/>
        <v xml:space="preserve">N887QR  </v>
      </c>
      <c r="BE3190">
        <v>1</v>
      </c>
      <c r="BG3190">
        <v>0</v>
      </c>
      <c r="BH3190">
        <v>0</v>
      </c>
      <c r="BI3190">
        <v>0</v>
      </c>
      <c r="BJ3190">
        <v>3375</v>
      </c>
      <c r="BK3190">
        <v>-325</v>
      </c>
      <c r="BL3190" t="s">
        <v>163</v>
      </c>
      <c r="BM3190">
        <v>1</v>
      </c>
      <c r="BN3190">
        <v>1</v>
      </c>
      <c r="BO3190">
        <v>1</v>
      </c>
      <c r="BP3190">
        <v>0</v>
      </c>
      <c r="BS3190">
        <v>0</v>
      </c>
      <c r="BT3190">
        <v>0</v>
      </c>
      <c r="BU3190">
        <v>0</v>
      </c>
      <c r="CE3190" t="str">
        <f t="shared" si="1162"/>
        <v>19:34:04.255</v>
      </c>
      <c r="CF3190">
        <v>254539876</v>
      </c>
      <c r="CS3190">
        <v>0</v>
      </c>
      <c r="CT3190">
        <v>2</v>
      </c>
      <c r="CU3190">
        <v>0</v>
      </c>
      <c r="CV3190">
        <v>2</v>
      </c>
      <c r="CW3190">
        <v>0</v>
      </c>
      <c r="CX3190">
        <v>4</v>
      </c>
      <c r="CY3190">
        <v>7</v>
      </c>
      <c r="CZ3190" t="s">
        <v>131</v>
      </c>
      <c r="DA3190">
        <v>286</v>
      </c>
      <c r="DB3190">
        <v>0</v>
      </c>
      <c r="DC3190" t="s">
        <v>132</v>
      </c>
      <c r="DD3190" t="s">
        <v>133</v>
      </c>
      <c r="DG3190">
        <v>868927</v>
      </c>
      <c r="DI3190">
        <v>1</v>
      </c>
      <c r="DJ3190">
        <v>0</v>
      </c>
      <c r="DK3190">
        <v>1</v>
      </c>
      <c r="DL3190">
        <v>0</v>
      </c>
      <c r="DM3190">
        <v>0</v>
      </c>
      <c r="DN3190">
        <v>1</v>
      </c>
      <c r="DO3190">
        <v>0</v>
      </c>
      <c r="DP3190">
        <v>0</v>
      </c>
      <c r="DQ3190">
        <v>0</v>
      </c>
      <c r="DR3190">
        <v>0</v>
      </c>
      <c r="DS3190">
        <v>0</v>
      </c>
    </row>
    <row r="3191" spans="1:123" x14ac:dyDescent="0.3">
      <c r="A3191" t="str">
        <f>"10/04/2022 19:34:04.564"</f>
        <v>10/04/2022 19:34:04.564</v>
      </c>
      <c r="C3191" t="str">
        <f t="shared" si="1158"/>
        <v>FFDFD3C0</v>
      </c>
      <c r="D3191" t="s">
        <v>141</v>
      </c>
      <c r="E3191">
        <v>4</v>
      </c>
      <c r="H3191">
        <v>4</v>
      </c>
      <c r="I3191" t="s">
        <v>142</v>
      </c>
      <c r="J3191" t="s">
        <v>138</v>
      </c>
      <c r="K3191">
        <v>0</v>
      </c>
      <c r="L3191">
        <v>3</v>
      </c>
      <c r="M3191">
        <v>0</v>
      </c>
      <c r="N3191">
        <v>2</v>
      </c>
      <c r="O3191">
        <v>0</v>
      </c>
      <c r="P3191">
        <v>1</v>
      </c>
      <c r="Q3191">
        <v>0</v>
      </c>
      <c r="S3191" t="str">
        <f t="shared" si="1161"/>
        <v>19:34:04.000</v>
      </c>
      <c r="T3191" t="str">
        <f t="shared" si="1161"/>
        <v>19:34:04.000</v>
      </c>
      <c r="U3191" t="str">
        <f t="shared" si="1144"/>
        <v>AC3944</v>
      </c>
      <c r="V3191">
        <v>0</v>
      </c>
      <c r="W3191">
        <v>0</v>
      </c>
      <c r="X3191">
        <v>2</v>
      </c>
      <c r="Y3191">
        <v>0</v>
      </c>
      <c r="AA3191">
        <v>1</v>
      </c>
      <c r="AB3191">
        <v>8</v>
      </c>
      <c r="AC3191">
        <v>3</v>
      </c>
      <c r="AD3191">
        <v>0</v>
      </c>
      <c r="AE3191">
        <v>9</v>
      </c>
      <c r="AF3191" t="s">
        <v>138</v>
      </c>
      <c r="AG3191">
        <v>0</v>
      </c>
      <c r="AH3191">
        <v>3</v>
      </c>
      <c r="AI3191">
        <v>1</v>
      </c>
      <c r="AJ3191">
        <v>0</v>
      </c>
      <c r="AK3191" t="s">
        <v>1060</v>
      </c>
      <c r="AL3191">
        <v>32.710160999999999</v>
      </c>
      <c r="AM3191" t="s">
        <v>1061</v>
      </c>
      <c r="AN3191">
        <v>-116.75275999999999</v>
      </c>
      <c r="AO3191">
        <v>25</v>
      </c>
      <c r="AP3191">
        <v>3700</v>
      </c>
      <c r="AQ3191" t="s">
        <v>129</v>
      </c>
      <c r="AR3191">
        <v>77</v>
      </c>
      <c r="AS3191">
        <v>127</v>
      </c>
      <c r="AT3191">
        <v>-896</v>
      </c>
      <c r="BB3191">
        <v>1200</v>
      </c>
      <c r="BC3191">
        <v>1</v>
      </c>
      <c r="BD3191" t="str">
        <f t="shared" si="1145"/>
        <v xml:space="preserve">N887QR  </v>
      </c>
      <c r="BE3191">
        <v>1</v>
      </c>
      <c r="BG3191">
        <v>0</v>
      </c>
      <c r="BH3191">
        <v>0</v>
      </c>
      <c r="BI3191">
        <v>0</v>
      </c>
      <c r="BJ3191">
        <v>3375</v>
      </c>
      <c r="BK3191">
        <v>-325</v>
      </c>
      <c r="BL3191" t="s">
        <v>163</v>
      </c>
      <c r="BM3191">
        <v>1</v>
      </c>
      <c r="BN3191">
        <v>1</v>
      </c>
      <c r="BO3191">
        <v>1</v>
      </c>
      <c r="BP3191">
        <v>0</v>
      </c>
      <c r="BS3191">
        <v>0</v>
      </c>
      <c r="BT3191">
        <v>0</v>
      </c>
      <c r="BU3191">
        <v>0</v>
      </c>
      <c r="CE3191" t="str">
        <f t="shared" si="1162"/>
        <v>19:34:04.255</v>
      </c>
      <c r="CF3191">
        <v>254539876</v>
      </c>
      <c r="CS3191">
        <v>0</v>
      </c>
      <c r="CT3191">
        <v>2</v>
      </c>
      <c r="CU3191">
        <v>0</v>
      </c>
      <c r="CV3191">
        <v>2</v>
      </c>
      <c r="CW3191">
        <v>0</v>
      </c>
      <c r="CX3191">
        <v>4</v>
      </c>
      <c r="CY3191">
        <v>7</v>
      </c>
      <c r="CZ3191" t="s">
        <v>131</v>
      </c>
      <c r="DA3191">
        <v>286</v>
      </c>
      <c r="DB3191">
        <v>0</v>
      </c>
      <c r="DC3191" t="s">
        <v>132</v>
      </c>
      <c r="DD3191" t="s">
        <v>133</v>
      </c>
      <c r="DG3191">
        <v>868927</v>
      </c>
      <c r="DI3191">
        <v>1</v>
      </c>
      <c r="DJ3191">
        <v>0</v>
      </c>
      <c r="DK3191">
        <v>1</v>
      </c>
      <c r="DL3191">
        <v>0</v>
      </c>
      <c r="DM3191">
        <v>0</v>
      </c>
      <c r="DN3191">
        <v>1</v>
      </c>
      <c r="DO3191">
        <v>0</v>
      </c>
      <c r="DP3191">
        <v>0</v>
      </c>
      <c r="DQ3191">
        <v>0</v>
      </c>
      <c r="DR3191">
        <v>0</v>
      </c>
      <c r="DS3191">
        <v>0</v>
      </c>
    </row>
    <row r="3192" spans="1:123" x14ac:dyDescent="0.3">
      <c r="A3192" t="str">
        <f>"10/04/2022 19:34:04.626"</f>
        <v>10/04/2022 19:34:04.626</v>
      </c>
      <c r="C3192" t="str">
        <f t="shared" si="1158"/>
        <v>FFDFD3C0</v>
      </c>
      <c r="D3192" t="s">
        <v>143</v>
      </c>
      <c r="E3192">
        <v>20</v>
      </c>
      <c r="F3192">
        <v>1020</v>
      </c>
      <c r="G3192" t="s">
        <v>144</v>
      </c>
      <c r="J3192" t="s">
        <v>145</v>
      </c>
      <c r="K3192">
        <v>0</v>
      </c>
      <c r="L3192">
        <v>3</v>
      </c>
      <c r="M3192">
        <v>0</v>
      </c>
      <c r="N3192">
        <v>2</v>
      </c>
      <c r="O3192">
        <v>0</v>
      </c>
      <c r="P3192">
        <v>1</v>
      </c>
      <c r="Q3192">
        <v>0</v>
      </c>
      <c r="S3192" t="str">
        <f t="shared" si="1161"/>
        <v>19:34:04.000</v>
      </c>
      <c r="T3192" t="str">
        <f t="shared" si="1161"/>
        <v>19:34:04.000</v>
      </c>
      <c r="U3192" t="str">
        <f t="shared" si="1144"/>
        <v>AC3944</v>
      </c>
      <c r="V3192">
        <v>0</v>
      </c>
      <c r="W3192">
        <v>0</v>
      </c>
      <c r="X3192">
        <v>2</v>
      </c>
      <c r="Y3192">
        <v>0</v>
      </c>
      <c r="AA3192">
        <v>1</v>
      </c>
      <c r="AB3192">
        <v>8</v>
      </c>
      <c r="AC3192">
        <v>3</v>
      </c>
      <c r="AD3192">
        <v>0</v>
      </c>
      <c r="AE3192">
        <v>9</v>
      </c>
      <c r="AF3192" t="s">
        <v>138</v>
      </c>
      <c r="AG3192">
        <v>0</v>
      </c>
      <c r="AH3192">
        <v>3</v>
      </c>
      <c r="AI3192">
        <v>1</v>
      </c>
      <c r="AJ3192">
        <v>0</v>
      </c>
      <c r="AK3192" t="s">
        <v>1060</v>
      </c>
      <c r="AL3192">
        <v>32.710160999999999</v>
      </c>
      <c r="AM3192" t="s">
        <v>1061</v>
      </c>
      <c r="AN3192">
        <v>-116.75275999999999</v>
      </c>
      <c r="AO3192">
        <v>25</v>
      </c>
      <c r="AP3192">
        <v>3700</v>
      </c>
      <c r="AQ3192" t="s">
        <v>129</v>
      </c>
      <c r="AR3192">
        <v>77</v>
      </c>
      <c r="AS3192">
        <v>127</v>
      </c>
      <c r="AT3192">
        <v>-896</v>
      </c>
      <c r="BB3192">
        <v>1200</v>
      </c>
      <c r="BC3192">
        <v>1</v>
      </c>
      <c r="BD3192" t="str">
        <f t="shared" si="1145"/>
        <v xml:space="preserve">N887QR  </v>
      </c>
      <c r="BE3192">
        <v>1</v>
      </c>
      <c r="BG3192">
        <v>0</v>
      </c>
      <c r="BH3192">
        <v>0</v>
      </c>
      <c r="BI3192">
        <v>0</v>
      </c>
      <c r="BJ3192">
        <v>3375</v>
      </c>
      <c r="BK3192">
        <v>-325</v>
      </c>
      <c r="BL3192" t="s">
        <v>163</v>
      </c>
      <c r="BM3192">
        <v>1</v>
      </c>
      <c r="BN3192">
        <v>1</v>
      </c>
      <c r="BO3192">
        <v>1</v>
      </c>
      <c r="BP3192">
        <v>0</v>
      </c>
      <c r="BS3192">
        <v>0</v>
      </c>
      <c r="BT3192">
        <v>0</v>
      </c>
      <c r="BU3192">
        <v>0</v>
      </c>
      <c r="CE3192" t="str">
        <f t="shared" si="1162"/>
        <v>19:34:04.255</v>
      </c>
      <c r="CF3192">
        <v>254539876</v>
      </c>
      <c r="CS3192">
        <v>0</v>
      </c>
      <c r="CT3192">
        <v>2</v>
      </c>
      <c r="CU3192">
        <v>0</v>
      </c>
      <c r="CV3192">
        <v>2</v>
      </c>
      <c r="CW3192">
        <v>0</v>
      </c>
      <c r="CX3192">
        <v>4</v>
      </c>
      <c r="CY3192">
        <v>7</v>
      </c>
      <c r="CZ3192" t="s">
        <v>131</v>
      </c>
      <c r="DA3192">
        <v>286</v>
      </c>
      <c r="DB3192">
        <v>0</v>
      </c>
      <c r="DC3192" t="s">
        <v>132</v>
      </c>
      <c r="DD3192" t="s">
        <v>133</v>
      </c>
      <c r="DG3192">
        <v>868927</v>
      </c>
      <c r="DI3192">
        <v>1</v>
      </c>
      <c r="DJ3192">
        <v>0</v>
      </c>
      <c r="DK3192">
        <v>1</v>
      </c>
      <c r="DL3192">
        <v>0</v>
      </c>
      <c r="DM3192">
        <v>0</v>
      </c>
      <c r="DN3192">
        <v>1</v>
      </c>
      <c r="DO3192">
        <v>0</v>
      </c>
      <c r="DP3192">
        <v>0</v>
      </c>
      <c r="DQ3192">
        <v>0</v>
      </c>
      <c r="DR3192">
        <v>0</v>
      </c>
      <c r="DS3192">
        <v>0</v>
      </c>
    </row>
    <row r="3193" spans="1:123" x14ac:dyDescent="0.3">
      <c r="A3193" t="str">
        <f>"10/04/2022 19:34:04.626"</f>
        <v>10/04/2022 19:34:04.626</v>
      </c>
      <c r="C3193" t="str">
        <f t="shared" si="1158"/>
        <v>FFDFD3C0</v>
      </c>
      <c r="D3193" t="s">
        <v>147</v>
      </c>
      <c r="E3193">
        <v>3</v>
      </c>
      <c r="H3193">
        <v>166</v>
      </c>
      <c r="I3193" t="s">
        <v>144</v>
      </c>
      <c r="J3193" t="s">
        <v>148</v>
      </c>
      <c r="K3193">
        <v>0</v>
      </c>
      <c r="L3193">
        <v>3</v>
      </c>
      <c r="M3193">
        <v>0</v>
      </c>
      <c r="N3193">
        <v>2</v>
      </c>
      <c r="O3193">
        <v>0</v>
      </c>
      <c r="P3193">
        <v>1</v>
      </c>
      <c r="Q3193">
        <v>0</v>
      </c>
      <c r="S3193" t="str">
        <f t="shared" si="1161"/>
        <v>19:34:04.000</v>
      </c>
      <c r="T3193" t="str">
        <f t="shared" si="1161"/>
        <v>19:34:04.000</v>
      </c>
      <c r="U3193" t="str">
        <f t="shared" si="1144"/>
        <v>AC3944</v>
      </c>
      <c r="V3193">
        <v>0</v>
      </c>
      <c r="W3193">
        <v>0</v>
      </c>
      <c r="X3193">
        <v>2</v>
      </c>
      <c r="Y3193">
        <v>0</v>
      </c>
      <c r="AA3193">
        <v>1</v>
      </c>
      <c r="AB3193">
        <v>8</v>
      </c>
      <c r="AC3193">
        <v>3</v>
      </c>
      <c r="AD3193">
        <v>0</v>
      </c>
      <c r="AE3193">
        <v>9</v>
      </c>
      <c r="AF3193" t="s">
        <v>138</v>
      </c>
      <c r="AG3193">
        <v>0</v>
      </c>
      <c r="AH3193">
        <v>3</v>
      </c>
      <c r="AI3193">
        <v>1</v>
      </c>
      <c r="AJ3193">
        <v>0</v>
      </c>
      <c r="AK3193" t="s">
        <v>1060</v>
      </c>
      <c r="AL3193">
        <v>32.710160999999999</v>
      </c>
      <c r="AM3193" t="s">
        <v>1061</v>
      </c>
      <c r="AN3193">
        <v>-116.75275999999999</v>
      </c>
      <c r="AO3193">
        <v>25</v>
      </c>
      <c r="AP3193">
        <v>3700</v>
      </c>
      <c r="AQ3193" t="s">
        <v>129</v>
      </c>
      <c r="AR3193">
        <v>77</v>
      </c>
      <c r="AS3193">
        <v>127</v>
      </c>
      <c r="AT3193">
        <v>-896</v>
      </c>
      <c r="BB3193">
        <v>1200</v>
      </c>
      <c r="BC3193">
        <v>1</v>
      </c>
      <c r="BD3193" t="str">
        <f t="shared" si="1145"/>
        <v xml:space="preserve">N887QR  </v>
      </c>
      <c r="BE3193">
        <v>1</v>
      </c>
      <c r="BG3193">
        <v>0</v>
      </c>
      <c r="BH3193">
        <v>0</v>
      </c>
      <c r="BI3193">
        <v>0</v>
      </c>
      <c r="BJ3193">
        <v>3375</v>
      </c>
      <c r="BK3193">
        <v>-325</v>
      </c>
      <c r="BL3193" t="s">
        <v>163</v>
      </c>
      <c r="BM3193">
        <v>1</v>
      </c>
      <c r="BN3193">
        <v>1</v>
      </c>
      <c r="BO3193">
        <v>1</v>
      </c>
      <c r="BP3193">
        <v>0</v>
      </c>
      <c r="BS3193">
        <v>0</v>
      </c>
      <c r="BT3193">
        <v>0</v>
      </c>
      <c r="BU3193">
        <v>0</v>
      </c>
      <c r="CE3193" t="str">
        <f t="shared" si="1162"/>
        <v>19:34:04.255</v>
      </c>
      <c r="CF3193">
        <v>254539876</v>
      </c>
      <c r="CS3193">
        <v>0</v>
      </c>
      <c r="CT3193">
        <v>2</v>
      </c>
      <c r="CU3193">
        <v>0</v>
      </c>
      <c r="CV3193">
        <v>2</v>
      </c>
      <c r="CW3193">
        <v>0</v>
      </c>
      <c r="CX3193">
        <v>4</v>
      </c>
      <c r="CY3193">
        <v>7</v>
      </c>
      <c r="CZ3193" t="s">
        <v>131</v>
      </c>
      <c r="DA3193">
        <v>286</v>
      </c>
      <c r="DB3193">
        <v>0</v>
      </c>
      <c r="DC3193" t="s">
        <v>132</v>
      </c>
      <c r="DD3193" t="s">
        <v>133</v>
      </c>
      <c r="DG3193">
        <v>868927</v>
      </c>
      <c r="DI3193">
        <v>1</v>
      </c>
      <c r="DJ3193">
        <v>0</v>
      </c>
      <c r="DK3193">
        <v>1</v>
      </c>
      <c r="DL3193">
        <v>0</v>
      </c>
      <c r="DM3193">
        <v>0</v>
      </c>
      <c r="DN3193">
        <v>1</v>
      </c>
      <c r="DO3193">
        <v>0</v>
      </c>
      <c r="DP3193">
        <v>0</v>
      </c>
      <c r="DQ3193">
        <v>0</v>
      </c>
      <c r="DR3193">
        <v>0</v>
      </c>
      <c r="DS3193">
        <v>0</v>
      </c>
    </row>
    <row r="3194" spans="1:123" x14ac:dyDescent="0.3">
      <c r="A3194" t="str">
        <f>"10/04/2022 19:34:04.626"</f>
        <v>10/04/2022 19:34:04.626</v>
      </c>
      <c r="C3194" t="str">
        <f t="shared" si="1158"/>
        <v>FFDFD3C0</v>
      </c>
      <c r="D3194" t="s">
        <v>123</v>
      </c>
      <c r="E3194">
        <v>7</v>
      </c>
      <c r="F3194">
        <v>2007</v>
      </c>
      <c r="G3194" t="s">
        <v>124</v>
      </c>
      <c r="J3194" t="s">
        <v>125</v>
      </c>
      <c r="K3194">
        <v>0</v>
      </c>
      <c r="L3194">
        <v>3</v>
      </c>
      <c r="M3194">
        <v>0</v>
      </c>
      <c r="N3194">
        <v>2</v>
      </c>
      <c r="O3194">
        <v>0</v>
      </c>
      <c r="P3194">
        <v>1</v>
      </c>
      <c r="Q3194">
        <v>0</v>
      </c>
      <c r="S3194" t="str">
        <f t="shared" si="1161"/>
        <v>19:34:04.000</v>
      </c>
      <c r="T3194" t="str">
        <f t="shared" si="1161"/>
        <v>19:34:04.000</v>
      </c>
      <c r="U3194" t="str">
        <f t="shared" si="1144"/>
        <v>AC3944</v>
      </c>
      <c r="V3194">
        <v>0</v>
      </c>
      <c r="W3194">
        <v>0</v>
      </c>
      <c r="X3194">
        <v>2</v>
      </c>
      <c r="Y3194">
        <v>0</v>
      </c>
      <c r="AA3194">
        <v>1</v>
      </c>
      <c r="AB3194">
        <v>8</v>
      </c>
      <c r="AC3194">
        <v>3</v>
      </c>
      <c r="AD3194">
        <v>0</v>
      </c>
      <c r="AE3194">
        <v>9</v>
      </c>
      <c r="AF3194" t="s">
        <v>138</v>
      </c>
      <c r="AG3194">
        <v>0</v>
      </c>
      <c r="AH3194">
        <v>3</v>
      </c>
      <c r="AI3194">
        <v>1</v>
      </c>
      <c r="AJ3194">
        <v>0</v>
      </c>
      <c r="AK3194" t="s">
        <v>1060</v>
      </c>
      <c r="AL3194">
        <v>32.710160999999999</v>
      </c>
      <c r="AM3194" t="s">
        <v>1061</v>
      </c>
      <c r="AN3194">
        <v>-116.75275999999999</v>
      </c>
      <c r="AO3194">
        <v>25</v>
      </c>
      <c r="AP3194">
        <v>3700</v>
      </c>
      <c r="AQ3194" t="s">
        <v>129</v>
      </c>
      <c r="AR3194">
        <v>77</v>
      </c>
      <c r="AS3194">
        <v>127</v>
      </c>
      <c r="AT3194">
        <v>-896</v>
      </c>
      <c r="BB3194">
        <v>1200</v>
      </c>
      <c r="BC3194">
        <v>1</v>
      </c>
      <c r="BD3194" t="str">
        <f t="shared" si="1145"/>
        <v xml:space="preserve">N887QR  </v>
      </c>
      <c r="BE3194">
        <v>1</v>
      </c>
      <c r="BG3194">
        <v>0</v>
      </c>
      <c r="BH3194">
        <v>0</v>
      </c>
      <c r="BI3194">
        <v>0</v>
      </c>
      <c r="BJ3194">
        <v>3375</v>
      </c>
      <c r="BK3194">
        <v>-325</v>
      </c>
      <c r="BL3194" t="s">
        <v>163</v>
      </c>
      <c r="BM3194">
        <v>1</v>
      </c>
      <c r="BN3194">
        <v>1</v>
      </c>
      <c r="BO3194">
        <v>1</v>
      </c>
      <c r="BP3194">
        <v>0</v>
      </c>
      <c r="BS3194">
        <v>0</v>
      </c>
      <c r="BT3194">
        <v>0</v>
      </c>
      <c r="BU3194">
        <v>0</v>
      </c>
      <c r="CE3194" t="str">
        <f t="shared" si="1162"/>
        <v>19:34:04.255</v>
      </c>
      <c r="CF3194">
        <v>254539876</v>
      </c>
      <c r="CS3194">
        <v>0</v>
      </c>
      <c r="CT3194">
        <v>2</v>
      </c>
      <c r="CU3194">
        <v>0</v>
      </c>
      <c r="CV3194">
        <v>2</v>
      </c>
      <c r="CW3194">
        <v>0</v>
      </c>
      <c r="CX3194">
        <v>4</v>
      </c>
      <c r="CY3194">
        <v>7</v>
      </c>
      <c r="CZ3194" t="s">
        <v>131</v>
      </c>
      <c r="DA3194">
        <v>286</v>
      </c>
      <c r="DB3194">
        <v>0</v>
      </c>
      <c r="DC3194" t="s">
        <v>132</v>
      </c>
      <c r="DD3194" t="s">
        <v>133</v>
      </c>
      <c r="DG3194">
        <v>868927</v>
      </c>
      <c r="DI3194">
        <v>1</v>
      </c>
      <c r="DJ3194">
        <v>0</v>
      </c>
      <c r="DK3194">
        <v>1</v>
      </c>
      <c r="DL3194">
        <v>0</v>
      </c>
      <c r="DM3194">
        <v>0</v>
      </c>
      <c r="DN3194">
        <v>1</v>
      </c>
      <c r="DO3194">
        <v>0</v>
      </c>
      <c r="DP3194">
        <v>0</v>
      </c>
      <c r="DQ3194">
        <v>0</v>
      </c>
      <c r="DR3194">
        <v>0</v>
      </c>
      <c r="DS3194">
        <v>0</v>
      </c>
    </row>
    <row r="3195" spans="1:123" x14ac:dyDescent="0.3">
      <c r="A3195" t="str">
        <f t="shared" ref="A3195:A3201" si="1163">"10/04/2022 19:34:05.237"</f>
        <v>10/04/2022 19:34:05.237</v>
      </c>
      <c r="C3195" t="str">
        <f t="shared" si="1158"/>
        <v>FFDFD3C0</v>
      </c>
      <c r="D3195" t="s">
        <v>141</v>
      </c>
      <c r="E3195">
        <v>4</v>
      </c>
      <c r="H3195">
        <v>4</v>
      </c>
      <c r="I3195" t="s">
        <v>142</v>
      </c>
      <c r="J3195" t="s">
        <v>138</v>
      </c>
      <c r="K3195">
        <v>0</v>
      </c>
      <c r="L3195">
        <v>3</v>
      </c>
      <c r="M3195">
        <v>0</v>
      </c>
      <c r="N3195">
        <v>2</v>
      </c>
      <c r="O3195">
        <v>0</v>
      </c>
      <c r="P3195">
        <v>1</v>
      </c>
      <c r="Q3195">
        <v>0</v>
      </c>
      <c r="S3195" t="str">
        <f t="shared" si="1161"/>
        <v>19:34:04.000</v>
      </c>
      <c r="T3195" t="str">
        <f t="shared" si="1161"/>
        <v>19:34:04.000</v>
      </c>
      <c r="U3195" t="str">
        <f t="shared" si="1144"/>
        <v>AC3944</v>
      </c>
      <c r="V3195">
        <v>0</v>
      </c>
      <c r="W3195">
        <v>0</v>
      </c>
      <c r="X3195">
        <v>2</v>
      </c>
      <c r="Y3195">
        <v>0</v>
      </c>
      <c r="AA3195">
        <v>1</v>
      </c>
      <c r="AB3195">
        <v>8</v>
      </c>
      <c r="AC3195">
        <v>3</v>
      </c>
      <c r="AD3195">
        <v>0</v>
      </c>
      <c r="AE3195">
        <v>9</v>
      </c>
      <c r="AF3195" t="s">
        <v>138</v>
      </c>
      <c r="AG3195">
        <v>0</v>
      </c>
      <c r="AH3195">
        <v>3</v>
      </c>
      <c r="AI3195">
        <v>1</v>
      </c>
      <c r="AJ3195">
        <v>0</v>
      </c>
      <c r="AK3195" t="s">
        <v>1062</v>
      </c>
      <c r="AL3195">
        <v>32.710847999999999</v>
      </c>
      <c r="AM3195" t="s">
        <v>1063</v>
      </c>
      <c r="AN3195">
        <v>-116.752224</v>
      </c>
      <c r="AO3195">
        <v>25</v>
      </c>
      <c r="AP3195">
        <v>3700</v>
      </c>
      <c r="AQ3195" t="s">
        <v>129</v>
      </c>
      <c r="AR3195">
        <v>63</v>
      </c>
      <c r="AS3195">
        <v>134</v>
      </c>
      <c r="AT3195">
        <v>-896</v>
      </c>
      <c r="BB3195">
        <v>1200</v>
      </c>
      <c r="BC3195">
        <v>1</v>
      </c>
      <c r="BD3195" t="str">
        <f t="shared" si="1145"/>
        <v xml:space="preserve">N887QR  </v>
      </c>
      <c r="BE3195">
        <v>1</v>
      </c>
      <c r="BG3195">
        <v>0</v>
      </c>
      <c r="BH3195">
        <v>0</v>
      </c>
      <c r="BI3195">
        <v>0</v>
      </c>
      <c r="BJ3195">
        <v>3350</v>
      </c>
      <c r="BK3195">
        <v>-350</v>
      </c>
      <c r="BL3195" t="s">
        <v>163</v>
      </c>
      <c r="BM3195">
        <v>1</v>
      </c>
      <c r="BN3195">
        <v>1</v>
      </c>
      <c r="BO3195">
        <v>1</v>
      </c>
      <c r="BP3195">
        <v>0</v>
      </c>
      <c r="BS3195">
        <v>0.04</v>
      </c>
      <c r="BT3195">
        <v>0</v>
      </c>
      <c r="BU3195">
        <v>0</v>
      </c>
      <c r="CE3195" t="str">
        <f t="shared" ref="CE3195:CE3201" si="1164">"19:34:04.836"</f>
        <v>19:34:04.836</v>
      </c>
      <c r="CF3195">
        <v>835619435</v>
      </c>
      <c r="CS3195">
        <v>0</v>
      </c>
      <c r="CT3195">
        <v>2</v>
      </c>
      <c r="CU3195">
        <v>0</v>
      </c>
      <c r="CV3195">
        <v>2</v>
      </c>
      <c r="CW3195">
        <v>0</v>
      </c>
      <c r="CX3195">
        <v>3</v>
      </c>
      <c r="CY3195">
        <v>7</v>
      </c>
      <c r="CZ3195" t="s">
        <v>131</v>
      </c>
      <c r="DA3195">
        <v>300</v>
      </c>
      <c r="DB3195">
        <v>0</v>
      </c>
      <c r="DC3195" t="s">
        <v>176</v>
      </c>
      <c r="DD3195" t="s">
        <v>177</v>
      </c>
      <c r="DG3195">
        <v>5431835</v>
      </c>
      <c r="DI3195">
        <v>1</v>
      </c>
      <c r="DJ3195">
        <v>0</v>
      </c>
      <c r="DK3195">
        <v>0</v>
      </c>
      <c r="DL3195">
        <v>0</v>
      </c>
      <c r="DM3195">
        <v>0</v>
      </c>
      <c r="DN3195">
        <v>1</v>
      </c>
      <c r="DO3195">
        <v>0</v>
      </c>
      <c r="DP3195">
        <v>0</v>
      </c>
      <c r="DQ3195">
        <v>0</v>
      </c>
      <c r="DR3195">
        <v>0</v>
      </c>
      <c r="DS3195">
        <v>0</v>
      </c>
    </row>
    <row r="3196" spans="1:123" x14ac:dyDescent="0.3">
      <c r="A3196" t="str">
        <f t="shared" si="1163"/>
        <v>10/04/2022 19:34:05.237</v>
      </c>
      <c r="C3196" t="str">
        <f t="shared" si="1158"/>
        <v>FFDFD3C0</v>
      </c>
      <c r="D3196" t="s">
        <v>143</v>
      </c>
      <c r="E3196">
        <v>20</v>
      </c>
      <c r="F3196">
        <v>1020</v>
      </c>
      <c r="G3196" t="s">
        <v>144</v>
      </c>
      <c r="J3196" t="s">
        <v>145</v>
      </c>
      <c r="K3196">
        <v>0</v>
      </c>
      <c r="L3196">
        <v>3</v>
      </c>
      <c r="M3196">
        <v>0</v>
      </c>
      <c r="N3196">
        <v>2</v>
      </c>
      <c r="O3196">
        <v>0</v>
      </c>
      <c r="P3196">
        <v>1</v>
      </c>
      <c r="Q3196">
        <v>0</v>
      </c>
      <c r="S3196" t="str">
        <f t="shared" si="1161"/>
        <v>19:34:04.000</v>
      </c>
      <c r="T3196" t="str">
        <f t="shared" si="1161"/>
        <v>19:34:04.000</v>
      </c>
      <c r="U3196" t="str">
        <f t="shared" si="1144"/>
        <v>AC3944</v>
      </c>
      <c r="V3196">
        <v>0</v>
      </c>
      <c r="W3196">
        <v>0</v>
      </c>
      <c r="X3196">
        <v>2</v>
      </c>
      <c r="Y3196">
        <v>0</v>
      </c>
      <c r="AA3196">
        <v>1</v>
      </c>
      <c r="AB3196">
        <v>8</v>
      </c>
      <c r="AC3196">
        <v>3</v>
      </c>
      <c r="AD3196">
        <v>0</v>
      </c>
      <c r="AE3196">
        <v>9</v>
      </c>
      <c r="AF3196" t="s">
        <v>138</v>
      </c>
      <c r="AG3196">
        <v>0</v>
      </c>
      <c r="AH3196">
        <v>3</v>
      </c>
      <c r="AI3196">
        <v>1</v>
      </c>
      <c r="AJ3196">
        <v>0</v>
      </c>
      <c r="AK3196" t="s">
        <v>1062</v>
      </c>
      <c r="AL3196">
        <v>32.710847999999999</v>
      </c>
      <c r="AM3196" t="s">
        <v>1063</v>
      </c>
      <c r="AN3196">
        <v>-116.752224</v>
      </c>
      <c r="AO3196">
        <v>25</v>
      </c>
      <c r="AP3196">
        <v>3700</v>
      </c>
      <c r="AQ3196" t="s">
        <v>129</v>
      </c>
      <c r="AR3196">
        <v>63</v>
      </c>
      <c r="AS3196">
        <v>134</v>
      </c>
      <c r="AT3196">
        <v>-896</v>
      </c>
      <c r="BB3196">
        <v>1200</v>
      </c>
      <c r="BC3196">
        <v>1</v>
      </c>
      <c r="BD3196" t="str">
        <f t="shared" si="1145"/>
        <v xml:space="preserve">N887QR  </v>
      </c>
      <c r="BE3196">
        <v>1</v>
      </c>
      <c r="BG3196">
        <v>0</v>
      </c>
      <c r="BH3196">
        <v>0</v>
      </c>
      <c r="BI3196">
        <v>0</v>
      </c>
      <c r="BJ3196">
        <v>3350</v>
      </c>
      <c r="BK3196">
        <v>-350</v>
      </c>
      <c r="BL3196" t="s">
        <v>163</v>
      </c>
      <c r="BM3196">
        <v>1</v>
      </c>
      <c r="BN3196">
        <v>1</v>
      </c>
      <c r="BO3196">
        <v>1</v>
      </c>
      <c r="BP3196">
        <v>0</v>
      </c>
      <c r="BS3196">
        <v>0.04</v>
      </c>
      <c r="BT3196">
        <v>0</v>
      </c>
      <c r="BU3196">
        <v>0</v>
      </c>
      <c r="CE3196" t="str">
        <f t="shared" si="1164"/>
        <v>19:34:04.836</v>
      </c>
      <c r="CF3196">
        <v>835619435</v>
      </c>
      <c r="CS3196">
        <v>0</v>
      </c>
      <c r="CT3196">
        <v>2</v>
      </c>
      <c r="CU3196">
        <v>0</v>
      </c>
      <c r="CV3196">
        <v>2</v>
      </c>
      <c r="CW3196">
        <v>0</v>
      </c>
      <c r="CX3196">
        <v>3</v>
      </c>
      <c r="CY3196">
        <v>7</v>
      </c>
      <c r="CZ3196" t="s">
        <v>131</v>
      </c>
      <c r="DA3196">
        <v>300</v>
      </c>
      <c r="DB3196">
        <v>0</v>
      </c>
      <c r="DC3196" t="s">
        <v>176</v>
      </c>
      <c r="DD3196" t="s">
        <v>177</v>
      </c>
      <c r="DG3196">
        <v>5431835</v>
      </c>
      <c r="DI3196">
        <v>1</v>
      </c>
      <c r="DJ3196">
        <v>0</v>
      </c>
      <c r="DK3196">
        <v>1</v>
      </c>
      <c r="DL3196">
        <v>0</v>
      </c>
      <c r="DM3196">
        <v>0</v>
      </c>
      <c r="DN3196">
        <v>1</v>
      </c>
      <c r="DO3196">
        <v>0</v>
      </c>
      <c r="DP3196">
        <v>0</v>
      </c>
      <c r="DQ3196">
        <v>0</v>
      </c>
      <c r="DR3196">
        <v>0</v>
      </c>
      <c r="DS3196">
        <v>0</v>
      </c>
    </row>
    <row r="3197" spans="1:123" x14ac:dyDescent="0.3">
      <c r="A3197" t="str">
        <f t="shared" si="1163"/>
        <v>10/04/2022 19:34:05.237</v>
      </c>
      <c r="C3197" t="str">
        <f t="shared" si="1158"/>
        <v>FFDFD3C0</v>
      </c>
      <c r="D3197" t="s">
        <v>147</v>
      </c>
      <c r="E3197">
        <v>3</v>
      </c>
      <c r="H3197">
        <v>166</v>
      </c>
      <c r="I3197" t="s">
        <v>144</v>
      </c>
      <c r="J3197" t="s">
        <v>148</v>
      </c>
      <c r="K3197">
        <v>0</v>
      </c>
      <c r="L3197">
        <v>3</v>
      </c>
      <c r="M3197">
        <v>0</v>
      </c>
      <c r="N3197">
        <v>2</v>
      </c>
      <c r="O3197">
        <v>0</v>
      </c>
      <c r="P3197">
        <v>1</v>
      </c>
      <c r="Q3197">
        <v>0</v>
      </c>
      <c r="S3197" t="str">
        <f t="shared" si="1161"/>
        <v>19:34:04.000</v>
      </c>
      <c r="T3197" t="str">
        <f t="shared" si="1161"/>
        <v>19:34:04.000</v>
      </c>
      <c r="U3197" t="str">
        <f t="shared" si="1144"/>
        <v>AC3944</v>
      </c>
      <c r="V3197">
        <v>0</v>
      </c>
      <c r="W3197">
        <v>0</v>
      </c>
      <c r="X3197">
        <v>2</v>
      </c>
      <c r="Y3197">
        <v>0</v>
      </c>
      <c r="AA3197">
        <v>1</v>
      </c>
      <c r="AB3197">
        <v>8</v>
      </c>
      <c r="AC3197">
        <v>3</v>
      </c>
      <c r="AD3197">
        <v>0</v>
      </c>
      <c r="AE3197">
        <v>9</v>
      </c>
      <c r="AF3197" t="s">
        <v>138</v>
      </c>
      <c r="AG3197">
        <v>0</v>
      </c>
      <c r="AH3197">
        <v>3</v>
      </c>
      <c r="AI3197">
        <v>1</v>
      </c>
      <c r="AJ3197">
        <v>0</v>
      </c>
      <c r="AK3197" t="s">
        <v>1062</v>
      </c>
      <c r="AL3197">
        <v>32.710847999999999</v>
      </c>
      <c r="AM3197" t="s">
        <v>1063</v>
      </c>
      <c r="AN3197">
        <v>-116.752224</v>
      </c>
      <c r="AO3197">
        <v>25</v>
      </c>
      <c r="AP3197">
        <v>3700</v>
      </c>
      <c r="AQ3197" t="s">
        <v>129</v>
      </c>
      <c r="AR3197">
        <v>63</v>
      </c>
      <c r="AS3197">
        <v>134</v>
      </c>
      <c r="AT3197">
        <v>-896</v>
      </c>
      <c r="BB3197">
        <v>1200</v>
      </c>
      <c r="BC3197">
        <v>1</v>
      </c>
      <c r="BD3197" t="str">
        <f t="shared" si="1145"/>
        <v xml:space="preserve">N887QR  </v>
      </c>
      <c r="BE3197">
        <v>1</v>
      </c>
      <c r="BG3197">
        <v>0</v>
      </c>
      <c r="BH3197">
        <v>0</v>
      </c>
      <c r="BI3197">
        <v>0</v>
      </c>
      <c r="BJ3197">
        <v>3350</v>
      </c>
      <c r="BK3197">
        <v>-350</v>
      </c>
      <c r="BL3197" t="s">
        <v>163</v>
      </c>
      <c r="BM3197">
        <v>1</v>
      </c>
      <c r="BN3197">
        <v>1</v>
      </c>
      <c r="BO3197">
        <v>1</v>
      </c>
      <c r="BP3197">
        <v>0</v>
      </c>
      <c r="BS3197">
        <v>0.04</v>
      </c>
      <c r="BT3197">
        <v>0</v>
      </c>
      <c r="BU3197">
        <v>0</v>
      </c>
      <c r="CE3197" t="str">
        <f t="shared" si="1164"/>
        <v>19:34:04.836</v>
      </c>
      <c r="CF3197">
        <v>835619435</v>
      </c>
      <c r="CS3197">
        <v>0</v>
      </c>
      <c r="CT3197">
        <v>2</v>
      </c>
      <c r="CU3197">
        <v>0</v>
      </c>
      <c r="CV3197">
        <v>2</v>
      </c>
      <c r="CW3197">
        <v>0</v>
      </c>
      <c r="CX3197">
        <v>3</v>
      </c>
      <c r="CY3197">
        <v>7</v>
      </c>
      <c r="CZ3197" t="s">
        <v>131</v>
      </c>
      <c r="DA3197">
        <v>300</v>
      </c>
      <c r="DB3197">
        <v>0</v>
      </c>
      <c r="DC3197" t="s">
        <v>176</v>
      </c>
      <c r="DD3197" t="s">
        <v>177</v>
      </c>
      <c r="DG3197">
        <v>5431835</v>
      </c>
      <c r="DI3197">
        <v>1</v>
      </c>
      <c r="DJ3197">
        <v>0</v>
      </c>
      <c r="DK3197">
        <v>1</v>
      </c>
      <c r="DL3197">
        <v>0</v>
      </c>
      <c r="DM3197">
        <v>0</v>
      </c>
      <c r="DN3197">
        <v>1</v>
      </c>
      <c r="DO3197">
        <v>0</v>
      </c>
      <c r="DP3197">
        <v>0</v>
      </c>
      <c r="DQ3197">
        <v>0</v>
      </c>
      <c r="DR3197">
        <v>0</v>
      </c>
      <c r="DS3197">
        <v>0</v>
      </c>
    </row>
    <row r="3198" spans="1:123" x14ac:dyDescent="0.3">
      <c r="A3198" t="str">
        <f t="shared" si="1163"/>
        <v>10/04/2022 19:34:05.237</v>
      </c>
      <c r="C3198" t="str">
        <f t="shared" si="1158"/>
        <v>FFDFD3C0</v>
      </c>
      <c r="D3198" t="s">
        <v>123</v>
      </c>
      <c r="E3198">
        <v>7</v>
      </c>
      <c r="F3198">
        <v>2007</v>
      </c>
      <c r="G3198" t="s">
        <v>124</v>
      </c>
      <c r="J3198" t="s">
        <v>125</v>
      </c>
      <c r="K3198">
        <v>0</v>
      </c>
      <c r="L3198">
        <v>3</v>
      </c>
      <c r="M3198">
        <v>0</v>
      </c>
      <c r="N3198">
        <v>2</v>
      </c>
      <c r="O3198">
        <v>0</v>
      </c>
      <c r="P3198">
        <v>1</v>
      </c>
      <c r="Q3198">
        <v>0</v>
      </c>
      <c r="S3198" t="str">
        <f t="shared" si="1161"/>
        <v>19:34:04.000</v>
      </c>
      <c r="T3198" t="str">
        <f t="shared" si="1161"/>
        <v>19:34:04.000</v>
      </c>
      <c r="U3198" t="str">
        <f t="shared" si="1144"/>
        <v>AC3944</v>
      </c>
      <c r="V3198">
        <v>0</v>
      </c>
      <c r="W3198">
        <v>0</v>
      </c>
      <c r="X3198">
        <v>2</v>
      </c>
      <c r="Y3198">
        <v>0</v>
      </c>
      <c r="AA3198">
        <v>1</v>
      </c>
      <c r="AB3198">
        <v>8</v>
      </c>
      <c r="AC3198">
        <v>3</v>
      </c>
      <c r="AD3198">
        <v>0</v>
      </c>
      <c r="AE3198">
        <v>9</v>
      </c>
      <c r="AF3198" t="s">
        <v>138</v>
      </c>
      <c r="AG3198">
        <v>0</v>
      </c>
      <c r="AH3198">
        <v>3</v>
      </c>
      <c r="AI3198">
        <v>1</v>
      </c>
      <c r="AJ3198">
        <v>0</v>
      </c>
      <c r="AK3198" t="s">
        <v>1062</v>
      </c>
      <c r="AL3198">
        <v>32.710847999999999</v>
      </c>
      <c r="AM3198" t="s">
        <v>1063</v>
      </c>
      <c r="AN3198">
        <v>-116.752224</v>
      </c>
      <c r="AO3198">
        <v>25</v>
      </c>
      <c r="AP3198">
        <v>3700</v>
      </c>
      <c r="AQ3198" t="s">
        <v>129</v>
      </c>
      <c r="AR3198">
        <v>63</v>
      </c>
      <c r="AS3198">
        <v>134</v>
      </c>
      <c r="AT3198">
        <v>-896</v>
      </c>
      <c r="BB3198">
        <v>1200</v>
      </c>
      <c r="BC3198">
        <v>1</v>
      </c>
      <c r="BD3198" t="str">
        <f t="shared" si="1145"/>
        <v xml:space="preserve">N887QR  </v>
      </c>
      <c r="BE3198">
        <v>1</v>
      </c>
      <c r="BG3198">
        <v>0</v>
      </c>
      <c r="BH3198">
        <v>0</v>
      </c>
      <c r="BI3198">
        <v>0</v>
      </c>
      <c r="BJ3198">
        <v>3350</v>
      </c>
      <c r="BK3198">
        <v>-350</v>
      </c>
      <c r="BL3198" t="s">
        <v>163</v>
      </c>
      <c r="BM3198">
        <v>1</v>
      </c>
      <c r="BN3198">
        <v>1</v>
      </c>
      <c r="BO3198">
        <v>1</v>
      </c>
      <c r="BP3198">
        <v>0</v>
      </c>
      <c r="BS3198">
        <v>0.04</v>
      </c>
      <c r="BT3198">
        <v>0</v>
      </c>
      <c r="BU3198">
        <v>0</v>
      </c>
      <c r="CE3198" t="str">
        <f t="shared" si="1164"/>
        <v>19:34:04.836</v>
      </c>
      <c r="CF3198">
        <v>835619435</v>
      </c>
      <c r="CS3198">
        <v>0</v>
      </c>
      <c r="CT3198">
        <v>2</v>
      </c>
      <c r="CU3198">
        <v>0</v>
      </c>
      <c r="CV3198">
        <v>2</v>
      </c>
      <c r="CW3198">
        <v>0</v>
      </c>
      <c r="CX3198">
        <v>3</v>
      </c>
      <c r="CY3198">
        <v>7</v>
      </c>
      <c r="CZ3198" t="s">
        <v>131</v>
      </c>
      <c r="DA3198">
        <v>300</v>
      </c>
      <c r="DB3198">
        <v>0</v>
      </c>
      <c r="DC3198" t="s">
        <v>176</v>
      </c>
      <c r="DD3198" t="s">
        <v>177</v>
      </c>
      <c r="DG3198">
        <v>5431835</v>
      </c>
      <c r="DI3198">
        <v>1</v>
      </c>
      <c r="DJ3198">
        <v>0</v>
      </c>
      <c r="DK3198">
        <v>1</v>
      </c>
      <c r="DL3198">
        <v>0</v>
      </c>
      <c r="DM3198">
        <v>0</v>
      </c>
      <c r="DN3198">
        <v>1</v>
      </c>
      <c r="DO3198">
        <v>0</v>
      </c>
      <c r="DP3198">
        <v>0</v>
      </c>
      <c r="DQ3198">
        <v>0</v>
      </c>
      <c r="DR3198">
        <v>0</v>
      </c>
      <c r="DS3198">
        <v>0</v>
      </c>
    </row>
    <row r="3199" spans="1:123" x14ac:dyDescent="0.3">
      <c r="A3199" t="str">
        <f t="shared" si="1163"/>
        <v>10/04/2022 19:34:05.237</v>
      </c>
      <c r="C3199" t="str">
        <f t="shared" si="1158"/>
        <v>FFDFD3C0</v>
      </c>
      <c r="D3199" t="s">
        <v>141</v>
      </c>
      <c r="E3199">
        <v>3</v>
      </c>
      <c r="H3199">
        <v>3</v>
      </c>
      <c r="I3199" t="s">
        <v>146</v>
      </c>
      <c r="J3199" t="s">
        <v>138</v>
      </c>
      <c r="K3199">
        <v>0</v>
      </c>
      <c r="L3199">
        <v>3</v>
      </c>
      <c r="M3199">
        <v>0</v>
      </c>
      <c r="N3199">
        <v>2</v>
      </c>
      <c r="O3199">
        <v>0</v>
      </c>
      <c r="P3199">
        <v>1</v>
      </c>
      <c r="Q3199">
        <v>0</v>
      </c>
      <c r="S3199" t="str">
        <f t="shared" si="1161"/>
        <v>19:34:04.000</v>
      </c>
      <c r="T3199" t="str">
        <f t="shared" si="1161"/>
        <v>19:34:04.000</v>
      </c>
      <c r="U3199" t="str">
        <f t="shared" si="1144"/>
        <v>AC3944</v>
      </c>
      <c r="V3199">
        <v>0</v>
      </c>
      <c r="W3199">
        <v>0</v>
      </c>
      <c r="X3199">
        <v>2</v>
      </c>
      <c r="Y3199">
        <v>0</v>
      </c>
      <c r="AA3199">
        <v>1</v>
      </c>
      <c r="AB3199">
        <v>8</v>
      </c>
      <c r="AC3199">
        <v>3</v>
      </c>
      <c r="AD3199">
        <v>0</v>
      </c>
      <c r="AE3199">
        <v>9</v>
      </c>
      <c r="AF3199" t="s">
        <v>138</v>
      </c>
      <c r="AG3199">
        <v>0</v>
      </c>
      <c r="AH3199">
        <v>3</v>
      </c>
      <c r="AI3199">
        <v>1</v>
      </c>
      <c r="AJ3199">
        <v>0</v>
      </c>
      <c r="AK3199" t="s">
        <v>1062</v>
      </c>
      <c r="AL3199">
        <v>32.710847999999999</v>
      </c>
      <c r="AM3199" t="s">
        <v>1063</v>
      </c>
      <c r="AN3199">
        <v>-116.752224</v>
      </c>
      <c r="AO3199">
        <v>25</v>
      </c>
      <c r="AP3199">
        <v>3700</v>
      </c>
      <c r="AQ3199" t="s">
        <v>129</v>
      </c>
      <c r="AR3199">
        <v>63</v>
      </c>
      <c r="AS3199">
        <v>134</v>
      </c>
      <c r="AT3199">
        <v>-896</v>
      </c>
      <c r="BB3199">
        <v>1200</v>
      </c>
      <c r="BC3199">
        <v>1</v>
      </c>
      <c r="BD3199" t="str">
        <f t="shared" si="1145"/>
        <v xml:space="preserve">N887QR  </v>
      </c>
      <c r="BE3199">
        <v>1</v>
      </c>
      <c r="BG3199">
        <v>0</v>
      </c>
      <c r="BH3199">
        <v>0</v>
      </c>
      <c r="BI3199">
        <v>0</v>
      </c>
      <c r="BJ3199">
        <v>3350</v>
      </c>
      <c r="BK3199">
        <v>-350</v>
      </c>
      <c r="BL3199" t="s">
        <v>163</v>
      </c>
      <c r="BM3199">
        <v>1</v>
      </c>
      <c r="BN3199">
        <v>1</v>
      </c>
      <c r="BO3199">
        <v>1</v>
      </c>
      <c r="BP3199">
        <v>0</v>
      </c>
      <c r="BS3199">
        <v>0.04</v>
      </c>
      <c r="BT3199">
        <v>0</v>
      </c>
      <c r="BU3199">
        <v>0</v>
      </c>
      <c r="CE3199" t="str">
        <f t="shared" si="1164"/>
        <v>19:34:04.836</v>
      </c>
      <c r="CF3199">
        <v>835619435</v>
      </c>
      <c r="CS3199">
        <v>0</v>
      </c>
      <c r="CT3199">
        <v>2</v>
      </c>
      <c r="CU3199">
        <v>0</v>
      </c>
      <c r="CV3199">
        <v>2</v>
      </c>
      <c r="CW3199">
        <v>0</v>
      </c>
      <c r="CX3199">
        <v>3</v>
      </c>
      <c r="CY3199">
        <v>7</v>
      </c>
      <c r="CZ3199" t="s">
        <v>131</v>
      </c>
      <c r="DA3199">
        <v>300</v>
      </c>
      <c r="DB3199">
        <v>0</v>
      </c>
      <c r="DC3199" t="s">
        <v>176</v>
      </c>
      <c r="DD3199" t="s">
        <v>177</v>
      </c>
      <c r="DG3199">
        <v>5431835</v>
      </c>
      <c r="DI3199">
        <v>1</v>
      </c>
      <c r="DJ3199">
        <v>0</v>
      </c>
      <c r="DK3199">
        <v>1</v>
      </c>
      <c r="DL3199">
        <v>0</v>
      </c>
      <c r="DM3199">
        <v>0</v>
      </c>
      <c r="DN3199">
        <v>1</v>
      </c>
      <c r="DO3199">
        <v>0</v>
      </c>
      <c r="DP3199">
        <v>0</v>
      </c>
      <c r="DQ3199">
        <v>0</v>
      </c>
      <c r="DR3199">
        <v>0</v>
      </c>
      <c r="DS3199">
        <v>0</v>
      </c>
    </row>
    <row r="3200" spans="1:123" x14ac:dyDescent="0.3">
      <c r="A3200" t="str">
        <f t="shared" si="1163"/>
        <v>10/04/2022 19:34:05.237</v>
      </c>
      <c r="C3200" t="str">
        <f t="shared" si="1158"/>
        <v>FFDFD3C0</v>
      </c>
      <c r="D3200" t="s">
        <v>134</v>
      </c>
      <c r="E3200">
        <v>15</v>
      </c>
      <c r="J3200" t="s">
        <v>135</v>
      </c>
      <c r="K3200">
        <v>0</v>
      </c>
      <c r="L3200">
        <v>3</v>
      </c>
      <c r="M3200">
        <v>0</v>
      </c>
      <c r="N3200">
        <v>2</v>
      </c>
      <c r="O3200">
        <v>0</v>
      </c>
      <c r="P3200">
        <v>1</v>
      </c>
      <c r="Q3200">
        <v>0</v>
      </c>
      <c r="S3200" t="str">
        <f t="shared" si="1161"/>
        <v>19:34:04.000</v>
      </c>
      <c r="T3200" t="str">
        <f t="shared" si="1161"/>
        <v>19:34:04.000</v>
      </c>
      <c r="U3200" t="str">
        <f t="shared" si="1144"/>
        <v>AC3944</v>
      </c>
      <c r="V3200">
        <v>0</v>
      </c>
      <c r="W3200">
        <v>0</v>
      </c>
      <c r="X3200">
        <v>2</v>
      </c>
      <c r="Y3200">
        <v>0</v>
      </c>
      <c r="AA3200">
        <v>1</v>
      </c>
      <c r="AB3200">
        <v>8</v>
      </c>
      <c r="AC3200">
        <v>3</v>
      </c>
      <c r="AD3200">
        <v>0</v>
      </c>
      <c r="AE3200">
        <v>9</v>
      </c>
      <c r="AF3200" t="s">
        <v>138</v>
      </c>
      <c r="AG3200">
        <v>0</v>
      </c>
      <c r="AH3200">
        <v>3</v>
      </c>
      <c r="AI3200">
        <v>1</v>
      </c>
      <c r="AJ3200">
        <v>0</v>
      </c>
      <c r="AK3200" t="s">
        <v>1062</v>
      </c>
      <c r="AL3200">
        <v>32.710847999999999</v>
      </c>
      <c r="AM3200" t="s">
        <v>1063</v>
      </c>
      <c r="AN3200">
        <v>-116.752224</v>
      </c>
      <c r="AO3200">
        <v>25</v>
      </c>
      <c r="AP3200">
        <v>3700</v>
      </c>
      <c r="AQ3200" t="s">
        <v>129</v>
      </c>
      <c r="AR3200">
        <v>63</v>
      </c>
      <c r="AS3200">
        <v>134</v>
      </c>
      <c r="AT3200">
        <v>-896</v>
      </c>
      <c r="BB3200">
        <v>1200</v>
      </c>
      <c r="BC3200">
        <v>1</v>
      </c>
      <c r="BD3200" t="str">
        <f t="shared" si="1145"/>
        <v xml:space="preserve">N887QR  </v>
      </c>
      <c r="BE3200">
        <v>1</v>
      </c>
      <c r="BG3200">
        <v>0</v>
      </c>
      <c r="BH3200">
        <v>0</v>
      </c>
      <c r="BI3200">
        <v>0</v>
      </c>
      <c r="BJ3200">
        <v>3350</v>
      </c>
      <c r="BK3200">
        <v>-350</v>
      </c>
      <c r="BL3200" t="s">
        <v>163</v>
      </c>
      <c r="BM3200">
        <v>1</v>
      </c>
      <c r="BN3200">
        <v>1</v>
      </c>
      <c r="BO3200">
        <v>1</v>
      </c>
      <c r="BP3200">
        <v>0</v>
      </c>
      <c r="BS3200">
        <v>0.04</v>
      </c>
      <c r="BT3200">
        <v>0</v>
      </c>
      <c r="BU3200">
        <v>0</v>
      </c>
      <c r="CE3200" t="str">
        <f t="shared" si="1164"/>
        <v>19:34:04.836</v>
      </c>
      <c r="CF3200">
        <v>835619435</v>
      </c>
      <c r="CS3200">
        <v>0</v>
      </c>
      <c r="CT3200">
        <v>2</v>
      </c>
      <c r="CU3200">
        <v>0</v>
      </c>
      <c r="CV3200">
        <v>2</v>
      </c>
      <c r="CW3200">
        <v>0</v>
      </c>
      <c r="CX3200">
        <v>3</v>
      </c>
      <c r="CY3200">
        <v>7</v>
      </c>
      <c r="CZ3200" t="s">
        <v>131</v>
      </c>
      <c r="DA3200">
        <v>300</v>
      </c>
      <c r="DB3200">
        <v>0</v>
      </c>
      <c r="DC3200" t="s">
        <v>176</v>
      </c>
      <c r="DD3200" t="s">
        <v>177</v>
      </c>
      <c r="DG3200">
        <v>5431835</v>
      </c>
      <c r="DI3200">
        <v>1</v>
      </c>
      <c r="DJ3200">
        <v>0</v>
      </c>
      <c r="DK3200">
        <v>0</v>
      </c>
      <c r="DL3200">
        <v>0</v>
      </c>
      <c r="DM3200">
        <v>0</v>
      </c>
      <c r="DN3200">
        <v>1</v>
      </c>
      <c r="DO3200">
        <v>0</v>
      </c>
      <c r="DP3200">
        <v>0</v>
      </c>
      <c r="DQ3200">
        <v>0</v>
      </c>
      <c r="DR3200">
        <v>0</v>
      </c>
      <c r="DS3200">
        <v>0</v>
      </c>
    </row>
    <row r="3201" spans="1:123" x14ac:dyDescent="0.3">
      <c r="A3201" t="str">
        <f t="shared" si="1163"/>
        <v>10/04/2022 19:34:05.237</v>
      </c>
      <c r="C3201" t="str">
        <f t="shared" si="1158"/>
        <v>FFDFD3C0</v>
      </c>
      <c r="D3201" t="s">
        <v>136</v>
      </c>
      <c r="E3201">
        <v>8</v>
      </c>
      <c r="H3201">
        <v>225</v>
      </c>
      <c r="I3201" t="s">
        <v>137</v>
      </c>
      <c r="J3201" t="s">
        <v>138</v>
      </c>
      <c r="K3201">
        <v>0</v>
      </c>
      <c r="L3201">
        <v>3</v>
      </c>
      <c r="M3201">
        <v>0</v>
      </c>
      <c r="N3201">
        <v>2</v>
      </c>
      <c r="O3201">
        <v>0</v>
      </c>
      <c r="P3201">
        <v>1</v>
      </c>
      <c r="Q3201">
        <v>0</v>
      </c>
      <c r="S3201" t="str">
        <f t="shared" si="1161"/>
        <v>19:34:04.000</v>
      </c>
      <c r="T3201" t="str">
        <f t="shared" si="1161"/>
        <v>19:34:04.000</v>
      </c>
      <c r="U3201" t="str">
        <f t="shared" si="1144"/>
        <v>AC3944</v>
      </c>
      <c r="V3201">
        <v>0</v>
      </c>
      <c r="W3201">
        <v>0</v>
      </c>
      <c r="X3201">
        <v>2</v>
      </c>
      <c r="Y3201">
        <v>0</v>
      </c>
      <c r="AA3201">
        <v>1</v>
      </c>
      <c r="AB3201">
        <v>8</v>
      </c>
      <c r="AC3201">
        <v>3</v>
      </c>
      <c r="AD3201">
        <v>0</v>
      </c>
      <c r="AE3201">
        <v>9</v>
      </c>
      <c r="AF3201" t="s">
        <v>138</v>
      </c>
      <c r="AG3201">
        <v>0</v>
      </c>
      <c r="AH3201">
        <v>3</v>
      </c>
      <c r="AI3201">
        <v>1</v>
      </c>
      <c r="AJ3201">
        <v>0</v>
      </c>
      <c r="AK3201" t="s">
        <v>1062</v>
      </c>
      <c r="AL3201">
        <v>32.710847999999999</v>
      </c>
      <c r="AM3201" t="s">
        <v>1063</v>
      </c>
      <c r="AN3201">
        <v>-116.752224</v>
      </c>
      <c r="AO3201">
        <v>25</v>
      </c>
      <c r="AP3201">
        <v>3700</v>
      </c>
      <c r="AQ3201" t="s">
        <v>129</v>
      </c>
      <c r="AR3201">
        <v>63</v>
      </c>
      <c r="AS3201">
        <v>134</v>
      </c>
      <c r="AT3201">
        <v>-896</v>
      </c>
      <c r="BB3201">
        <v>1200</v>
      </c>
      <c r="BC3201">
        <v>1</v>
      </c>
      <c r="BD3201" t="str">
        <f t="shared" si="1145"/>
        <v xml:space="preserve">N887QR  </v>
      </c>
      <c r="BE3201">
        <v>1</v>
      </c>
      <c r="BG3201">
        <v>0</v>
      </c>
      <c r="BH3201">
        <v>0</v>
      </c>
      <c r="BI3201">
        <v>0</v>
      </c>
      <c r="BJ3201">
        <v>3350</v>
      </c>
      <c r="BK3201">
        <v>-350</v>
      </c>
      <c r="BL3201" t="s">
        <v>163</v>
      </c>
      <c r="BM3201">
        <v>1</v>
      </c>
      <c r="BN3201">
        <v>1</v>
      </c>
      <c r="BO3201">
        <v>1</v>
      </c>
      <c r="BP3201">
        <v>0</v>
      </c>
      <c r="BS3201">
        <v>0.04</v>
      </c>
      <c r="BT3201">
        <v>0</v>
      </c>
      <c r="BU3201">
        <v>0</v>
      </c>
      <c r="CE3201" t="str">
        <f t="shared" si="1164"/>
        <v>19:34:04.836</v>
      </c>
      <c r="CF3201">
        <v>835619435</v>
      </c>
      <c r="CS3201">
        <v>0</v>
      </c>
      <c r="CT3201">
        <v>2</v>
      </c>
      <c r="CU3201">
        <v>0</v>
      </c>
      <c r="CV3201">
        <v>2</v>
      </c>
      <c r="CW3201">
        <v>0</v>
      </c>
      <c r="CX3201">
        <v>3</v>
      </c>
      <c r="CY3201">
        <v>7</v>
      </c>
      <c r="CZ3201" t="s">
        <v>131</v>
      </c>
      <c r="DA3201">
        <v>300</v>
      </c>
      <c r="DB3201">
        <v>0</v>
      </c>
      <c r="DC3201" t="s">
        <v>176</v>
      </c>
      <c r="DD3201" t="s">
        <v>177</v>
      </c>
      <c r="DG3201">
        <v>5431835</v>
      </c>
      <c r="DI3201">
        <v>1</v>
      </c>
      <c r="DJ3201">
        <v>0</v>
      </c>
      <c r="DK3201">
        <v>1</v>
      </c>
      <c r="DL3201">
        <v>0</v>
      </c>
      <c r="DM3201">
        <v>0</v>
      </c>
      <c r="DN3201">
        <v>1</v>
      </c>
      <c r="DO3201">
        <v>0</v>
      </c>
      <c r="DP3201">
        <v>0</v>
      </c>
      <c r="DQ3201">
        <v>0</v>
      </c>
      <c r="DR3201">
        <v>0</v>
      </c>
      <c r="DS3201">
        <v>0</v>
      </c>
    </row>
    <row r="3202" spans="1:123" x14ac:dyDescent="0.3">
      <c r="A3202" t="str">
        <f t="shared" ref="A3202:A3208" si="1165">"10/04/2022 19:34:06.158"</f>
        <v>10/04/2022 19:34:06.158</v>
      </c>
      <c r="C3202" t="str">
        <f t="shared" si="1158"/>
        <v>FFDFD3C0</v>
      </c>
      <c r="D3202" t="s">
        <v>123</v>
      </c>
      <c r="E3202">
        <v>7</v>
      </c>
      <c r="F3202">
        <v>2007</v>
      </c>
      <c r="G3202" t="s">
        <v>124</v>
      </c>
      <c r="J3202" t="s">
        <v>125</v>
      </c>
      <c r="K3202">
        <v>0</v>
      </c>
      <c r="L3202">
        <v>3</v>
      </c>
      <c r="M3202">
        <v>0</v>
      </c>
      <c r="N3202">
        <v>2</v>
      </c>
      <c r="O3202">
        <v>0</v>
      </c>
      <c r="P3202">
        <v>1</v>
      </c>
      <c r="Q3202">
        <v>0</v>
      </c>
      <c r="S3202" t="str">
        <f t="shared" ref="S3202:T3208" si="1166">"19:34:05.000"</f>
        <v>19:34:05.000</v>
      </c>
      <c r="T3202" t="str">
        <f t="shared" si="1166"/>
        <v>19:34:05.000</v>
      </c>
      <c r="U3202" t="str">
        <f t="shared" ref="U3202:U3265" si="1167">"AC3944"</f>
        <v>AC3944</v>
      </c>
      <c r="V3202">
        <v>0</v>
      </c>
      <c r="W3202">
        <v>0</v>
      </c>
      <c r="X3202">
        <v>2</v>
      </c>
      <c r="Y3202">
        <v>0</v>
      </c>
      <c r="AA3202">
        <v>1</v>
      </c>
      <c r="AB3202">
        <v>8</v>
      </c>
      <c r="AC3202">
        <v>3</v>
      </c>
      <c r="AD3202">
        <v>0</v>
      </c>
      <c r="AE3202">
        <v>9</v>
      </c>
      <c r="AF3202" t="s">
        <v>138</v>
      </c>
      <c r="AG3202">
        <v>0</v>
      </c>
      <c r="AH3202">
        <v>3</v>
      </c>
      <c r="AI3202">
        <v>1</v>
      </c>
      <c r="AJ3202">
        <v>0</v>
      </c>
      <c r="AK3202" t="s">
        <v>1064</v>
      </c>
      <c r="AL3202">
        <v>32.711512999999997</v>
      </c>
      <c r="AM3202" t="s">
        <v>1065</v>
      </c>
      <c r="AN3202">
        <v>-116.751902</v>
      </c>
      <c r="AO3202">
        <v>25</v>
      </c>
      <c r="AP3202">
        <v>3700</v>
      </c>
      <c r="AQ3202" t="s">
        <v>129</v>
      </c>
      <c r="AR3202">
        <v>38</v>
      </c>
      <c r="AS3202">
        <v>142</v>
      </c>
      <c r="AT3202">
        <v>-896</v>
      </c>
      <c r="BB3202">
        <v>1200</v>
      </c>
      <c r="BC3202">
        <v>1</v>
      </c>
      <c r="BD3202" t="str">
        <f t="shared" ref="BD3202:BD3265" si="1168">"N887QR  "</f>
        <v xml:space="preserve">N887QR  </v>
      </c>
      <c r="BE3202">
        <v>1</v>
      </c>
      <c r="BG3202">
        <v>0</v>
      </c>
      <c r="BH3202">
        <v>0</v>
      </c>
      <c r="BI3202">
        <v>0</v>
      </c>
      <c r="BJ3202">
        <v>3350</v>
      </c>
      <c r="BK3202">
        <v>-350</v>
      </c>
      <c r="BL3202" t="s">
        <v>163</v>
      </c>
      <c r="BM3202">
        <v>1</v>
      </c>
      <c r="BN3202">
        <v>1</v>
      </c>
      <c r="BO3202">
        <v>1</v>
      </c>
      <c r="BP3202">
        <v>0</v>
      </c>
      <c r="BS3202">
        <v>0.04</v>
      </c>
      <c r="BT3202">
        <v>0</v>
      </c>
      <c r="BU3202">
        <v>0</v>
      </c>
      <c r="CE3202" t="str">
        <f t="shared" ref="CE3202:CE3208" si="1169">"19:34:05.873"</f>
        <v>19:34:05.873</v>
      </c>
      <c r="CF3202">
        <v>873372588</v>
      </c>
      <c r="CS3202">
        <v>0</v>
      </c>
      <c r="CT3202">
        <v>2</v>
      </c>
      <c r="CU3202">
        <v>0</v>
      </c>
      <c r="CV3202">
        <v>2</v>
      </c>
      <c r="CW3202">
        <v>0</v>
      </c>
      <c r="CX3202">
        <v>3</v>
      </c>
      <c r="CY3202">
        <v>7</v>
      </c>
      <c r="CZ3202" t="s">
        <v>131</v>
      </c>
      <c r="DA3202">
        <v>300</v>
      </c>
      <c r="DB3202">
        <v>0</v>
      </c>
      <c r="DC3202" t="s">
        <v>176</v>
      </c>
      <c r="DD3202" t="s">
        <v>177</v>
      </c>
      <c r="DG3202">
        <v>5432002</v>
      </c>
      <c r="DI3202">
        <v>1</v>
      </c>
      <c r="DJ3202">
        <v>0</v>
      </c>
      <c r="DK3202">
        <v>0</v>
      </c>
      <c r="DL3202">
        <v>0</v>
      </c>
      <c r="DM3202">
        <v>0</v>
      </c>
      <c r="DN3202">
        <v>1</v>
      </c>
      <c r="DO3202">
        <v>0</v>
      </c>
      <c r="DP3202">
        <v>0</v>
      </c>
      <c r="DQ3202">
        <v>0</v>
      </c>
      <c r="DR3202">
        <v>0</v>
      </c>
      <c r="DS3202">
        <v>0</v>
      </c>
    </row>
    <row r="3203" spans="1:123" x14ac:dyDescent="0.3">
      <c r="A3203" t="str">
        <f t="shared" si="1165"/>
        <v>10/04/2022 19:34:06.158</v>
      </c>
      <c r="C3203" t="str">
        <f t="shared" si="1158"/>
        <v>FFDFD3C0</v>
      </c>
      <c r="D3203" t="s">
        <v>147</v>
      </c>
      <c r="E3203">
        <v>3</v>
      </c>
      <c r="H3203">
        <v>166</v>
      </c>
      <c r="I3203" t="s">
        <v>144</v>
      </c>
      <c r="J3203" t="s">
        <v>148</v>
      </c>
      <c r="K3203">
        <v>0</v>
      </c>
      <c r="L3203">
        <v>3</v>
      </c>
      <c r="M3203">
        <v>0</v>
      </c>
      <c r="N3203">
        <v>2</v>
      </c>
      <c r="O3203">
        <v>0</v>
      </c>
      <c r="P3203">
        <v>1</v>
      </c>
      <c r="Q3203">
        <v>0</v>
      </c>
      <c r="S3203" t="str">
        <f t="shared" si="1166"/>
        <v>19:34:05.000</v>
      </c>
      <c r="T3203" t="str">
        <f t="shared" si="1166"/>
        <v>19:34:05.000</v>
      </c>
      <c r="U3203" t="str">
        <f t="shared" si="1167"/>
        <v>AC3944</v>
      </c>
      <c r="V3203">
        <v>0</v>
      </c>
      <c r="W3203">
        <v>0</v>
      </c>
      <c r="X3203">
        <v>2</v>
      </c>
      <c r="Y3203">
        <v>0</v>
      </c>
      <c r="AA3203">
        <v>1</v>
      </c>
      <c r="AB3203">
        <v>8</v>
      </c>
      <c r="AC3203">
        <v>3</v>
      </c>
      <c r="AD3203">
        <v>0</v>
      </c>
      <c r="AE3203">
        <v>9</v>
      </c>
      <c r="AF3203" t="s">
        <v>138</v>
      </c>
      <c r="AG3203">
        <v>0</v>
      </c>
      <c r="AH3203">
        <v>3</v>
      </c>
      <c r="AI3203">
        <v>1</v>
      </c>
      <c r="AJ3203">
        <v>0</v>
      </c>
      <c r="AK3203" t="s">
        <v>1064</v>
      </c>
      <c r="AL3203">
        <v>32.711512999999997</v>
      </c>
      <c r="AM3203" t="s">
        <v>1065</v>
      </c>
      <c r="AN3203">
        <v>-116.751902</v>
      </c>
      <c r="AO3203">
        <v>25</v>
      </c>
      <c r="AP3203">
        <v>3700</v>
      </c>
      <c r="AQ3203" t="s">
        <v>129</v>
      </c>
      <c r="AR3203">
        <v>38</v>
      </c>
      <c r="AS3203">
        <v>142</v>
      </c>
      <c r="AT3203">
        <v>-896</v>
      </c>
      <c r="BB3203">
        <v>1200</v>
      </c>
      <c r="BC3203">
        <v>1</v>
      </c>
      <c r="BD3203" t="str">
        <f t="shared" si="1168"/>
        <v xml:space="preserve">N887QR  </v>
      </c>
      <c r="BE3203">
        <v>1</v>
      </c>
      <c r="BG3203">
        <v>0</v>
      </c>
      <c r="BH3203">
        <v>0</v>
      </c>
      <c r="BI3203">
        <v>0</v>
      </c>
      <c r="BJ3203">
        <v>3350</v>
      </c>
      <c r="BK3203">
        <v>-350</v>
      </c>
      <c r="BL3203" t="s">
        <v>163</v>
      </c>
      <c r="BM3203">
        <v>1</v>
      </c>
      <c r="BN3203">
        <v>1</v>
      </c>
      <c r="BO3203">
        <v>1</v>
      </c>
      <c r="BP3203">
        <v>0</v>
      </c>
      <c r="BS3203">
        <v>0.04</v>
      </c>
      <c r="BT3203">
        <v>0</v>
      </c>
      <c r="BU3203">
        <v>0</v>
      </c>
      <c r="CE3203" t="str">
        <f t="shared" si="1169"/>
        <v>19:34:05.873</v>
      </c>
      <c r="CF3203">
        <v>873372588</v>
      </c>
      <c r="CS3203">
        <v>0</v>
      </c>
      <c r="CT3203">
        <v>2</v>
      </c>
      <c r="CU3203">
        <v>0</v>
      </c>
      <c r="CV3203">
        <v>2</v>
      </c>
      <c r="CW3203">
        <v>0</v>
      </c>
      <c r="CX3203">
        <v>3</v>
      </c>
      <c r="CY3203">
        <v>7</v>
      </c>
      <c r="CZ3203" t="s">
        <v>131</v>
      </c>
      <c r="DA3203">
        <v>300</v>
      </c>
      <c r="DB3203">
        <v>0</v>
      </c>
      <c r="DC3203" t="s">
        <v>176</v>
      </c>
      <c r="DD3203" t="s">
        <v>177</v>
      </c>
      <c r="DG3203">
        <v>5432002</v>
      </c>
      <c r="DI3203">
        <v>1</v>
      </c>
      <c r="DJ3203">
        <v>0</v>
      </c>
      <c r="DK3203">
        <v>1</v>
      </c>
      <c r="DL3203">
        <v>0</v>
      </c>
      <c r="DM3203">
        <v>0</v>
      </c>
      <c r="DN3203">
        <v>1</v>
      </c>
      <c r="DO3203">
        <v>0</v>
      </c>
      <c r="DP3203">
        <v>0</v>
      </c>
      <c r="DQ3203">
        <v>0</v>
      </c>
      <c r="DR3203">
        <v>0</v>
      </c>
      <c r="DS3203">
        <v>0</v>
      </c>
    </row>
    <row r="3204" spans="1:123" x14ac:dyDescent="0.3">
      <c r="A3204" t="str">
        <f t="shared" si="1165"/>
        <v>10/04/2022 19:34:06.158</v>
      </c>
      <c r="C3204" t="str">
        <f t="shared" si="1158"/>
        <v>FFDFD3C0</v>
      </c>
      <c r="D3204" t="s">
        <v>141</v>
      </c>
      <c r="E3204">
        <v>3</v>
      </c>
      <c r="H3204">
        <v>3</v>
      </c>
      <c r="I3204" t="s">
        <v>146</v>
      </c>
      <c r="J3204" t="s">
        <v>138</v>
      </c>
      <c r="K3204">
        <v>0</v>
      </c>
      <c r="L3204">
        <v>3</v>
      </c>
      <c r="M3204">
        <v>0</v>
      </c>
      <c r="N3204">
        <v>2</v>
      </c>
      <c r="O3204">
        <v>0</v>
      </c>
      <c r="P3204">
        <v>1</v>
      </c>
      <c r="Q3204">
        <v>0</v>
      </c>
      <c r="S3204" t="str">
        <f t="shared" si="1166"/>
        <v>19:34:05.000</v>
      </c>
      <c r="T3204" t="str">
        <f t="shared" si="1166"/>
        <v>19:34:05.000</v>
      </c>
      <c r="U3204" t="str">
        <f t="shared" si="1167"/>
        <v>AC3944</v>
      </c>
      <c r="V3204">
        <v>0</v>
      </c>
      <c r="W3204">
        <v>0</v>
      </c>
      <c r="X3204">
        <v>2</v>
      </c>
      <c r="Y3204">
        <v>0</v>
      </c>
      <c r="AA3204">
        <v>1</v>
      </c>
      <c r="AB3204">
        <v>8</v>
      </c>
      <c r="AC3204">
        <v>3</v>
      </c>
      <c r="AD3204">
        <v>0</v>
      </c>
      <c r="AE3204">
        <v>9</v>
      </c>
      <c r="AF3204" t="s">
        <v>138</v>
      </c>
      <c r="AG3204">
        <v>0</v>
      </c>
      <c r="AH3204">
        <v>3</v>
      </c>
      <c r="AI3204">
        <v>1</v>
      </c>
      <c r="AJ3204">
        <v>0</v>
      </c>
      <c r="AK3204" t="s">
        <v>1064</v>
      </c>
      <c r="AL3204">
        <v>32.711512999999997</v>
      </c>
      <c r="AM3204" t="s">
        <v>1065</v>
      </c>
      <c r="AN3204">
        <v>-116.751902</v>
      </c>
      <c r="AO3204">
        <v>25</v>
      </c>
      <c r="AP3204">
        <v>3700</v>
      </c>
      <c r="AQ3204" t="s">
        <v>129</v>
      </c>
      <c r="AR3204">
        <v>38</v>
      </c>
      <c r="AS3204">
        <v>142</v>
      </c>
      <c r="AT3204">
        <v>-896</v>
      </c>
      <c r="BB3204">
        <v>1200</v>
      </c>
      <c r="BC3204">
        <v>1</v>
      </c>
      <c r="BD3204" t="str">
        <f t="shared" si="1168"/>
        <v xml:space="preserve">N887QR  </v>
      </c>
      <c r="BE3204">
        <v>1</v>
      </c>
      <c r="BG3204">
        <v>0</v>
      </c>
      <c r="BH3204">
        <v>0</v>
      </c>
      <c r="BI3204">
        <v>0</v>
      </c>
      <c r="BJ3204">
        <v>3350</v>
      </c>
      <c r="BK3204">
        <v>-350</v>
      </c>
      <c r="BL3204" t="s">
        <v>163</v>
      </c>
      <c r="BM3204">
        <v>1</v>
      </c>
      <c r="BN3204">
        <v>1</v>
      </c>
      <c r="BO3204">
        <v>1</v>
      </c>
      <c r="BP3204">
        <v>0</v>
      </c>
      <c r="BS3204">
        <v>0.04</v>
      </c>
      <c r="BT3204">
        <v>0</v>
      </c>
      <c r="BU3204">
        <v>0</v>
      </c>
      <c r="CE3204" t="str">
        <f t="shared" si="1169"/>
        <v>19:34:05.873</v>
      </c>
      <c r="CF3204">
        <v>873372588</v>
      </c>
      <c r="CS3204">
        <v>0</v>
      </c>
      <c r="CT3204">
        <v>2</v>
      </c>
      <c r="CU3204">
        <v>0</v>
      </c>
      <c r="CV3204">
        <v>2</v>
      </c>
      <c r="CW3204">
        <v>0</v>
      </c>
      <c r="CX3204">
        <v>3</v>
      </c>
      <c r="CY3204">
        <v>7</v>
      </c>
      <c r="CZ3204" t="s">
        <v>131</v>
      </c>
      <c r="DA3204">
        <v>300</v>
      </c>
      <c r="DB3204">
        <v>0</v>
      </c>
      <c r="DC3204" t="s">
        <v>176</v>
      </c>
      <c r="DD3204" t="s">
        <v>177</v>
      </c>
      <c r="DG3204">
        <v>5432002</v>
      </c>
      <c r="DI3204">
        <v>1</v>
      </c>
      <c r="DJ3204">
        <v>0</v>
      </c>
      <c r="DK3204">
        <v>1</v>
      </c>
      <c r="DL3204">
        <v>0</v>
      </c>
      <c r="DM3204">
        <v>0</v>
      </c>
      <c r="DN3204">
        <v>1</v>
      </c>
      <c r="DO3204">
        <v>0</v>
      </c>
      <c r="DP3204">
        <v>0</v>
      </c>
      <c r="DQ3204">
        <v>0</v>
      </c>
      <c r="DR3204">
        <v>0</v>
      </c>
      <c r="DS3204">
        <v>0</v>
      </c>
    </row>
    <row r="3205" spans="1:123" x14ac:dyDescent="0.3">
      <c r="A3205" t="str">
        <f t="shared" si="1165"/>
        <v>10/04/2022 19:34:06.158</v>
      </c>
      <c r="C3205" t="str">
        <f t="shared" si="1158"/>
        <v>FFDFD3C0</v>
      </c>
      <c r="D3205" t="s">
        <v>134</v>
      </c>
      <c r="E3205">
        <v>15</v>
      </c>
      <c r="J3205" t="s">
        <v>135</v>
      </c>
      <c r="K3205">
        <v>0</v>
      </c>
      <c r="L3205">
        <v>3</v>
      </c>
      <c r="M3205">
        <v>0</v>
      </c>
      <c r="N3205">
        <v>2</v>
      </c>
      <c r="O3205">
        <v>0</v>
      </c>
      <c r="P3205">
        <v>1</v>
      </c>
      <c r="Q3205">
        <v>0</v>
      </c>
      <c r="S3205" t="str">
        <f t="shared" si="1166"/>
        <v>19:34:05.000</v>
      </c>
      <c r="T3205" t="str">
        <f t="shared" si="1166"/>
        <v>19:34:05.000</v>
      </c>
      <c r="U3205" t="str">
        <f t="shared" si="1167"/>
        <v>AC3944</v>
      </c>
      <c r="V3205">
        <v>0</v>
      </c>
      <c r="W3205">
        <v>0</v>
      </c>
      <c r="X3205">
        <v>2</v>
      </c>
      <c r="Y3205">
        <v>0</v>
      </c>
      <c r="AA3205">
        <v>1</v>
      </c>
      <c r="AB3205">
        <v>8</v>
      </c>
      <c r="AC3205">
        <v>3</v>
      </c>
      <c r="AD3205">
        <v>0</v>
      </c>
      <c r="AE3205">
        <v>9</v>
      </c>
      <c r="AF3205" t="s">
        <v>138</v>
      </c>
      <c r="AG3205">
        <v>0</v>
      </c>
      <c r="AH3205">
        <v>3</v>
      </c>
      <c r="AI3205">
        <v>1</v>
      </c>
      <c r="AJ3205">
        <v>0</v>
      </c>
      <c r="AK3205" t="s">
        <v>1064</v>
      </c>
      <c r="AL3205">
        <v>32.711512999999997</v>
      </c>
      <c r="AM3205" t="s">
        <v>1065</v>
      </c>
      <c r="AN3205">
        <v>-116.751902</v>
      </c>
      <c r="AO3205">
        <v>25</v>
      </c>
      <c r="AP3205">
        <v>3700</v>
      </c>
      <c r="AQ3205" t="s">
        <v>129</v>
      </c>
      <c r="AR3205">
        <v>38</v>
      </c>
      <c r="AS3205">
        <v>142</v>
      </c>
      <c r="AT3205">
        <v>-896</v>
      </c>
      <c r="BB3205">
        <v>1200</v>
      </c>
      <c r="BC3205">
        <v>1</v>
      </c>
      <c r="BD3205" t="str">
        <f t="shared" si="1168"/>
        <v xml:space="preserve">N887QR  </v>
      </c>
      <c r="BE3205">
        <v>1</v>
      </c>
      <c r="BG3205">
        <v>0</v>
      </c>
      <c r="BH3205">
        <v>0</v>
      </c>
      <c r="BI3205">
        <v>0</v>
      </c>
      <c r="BJ3205">
        <v>3350</v>
      </c>
      <c r="BK3205">
        <v>-350</v>
      </c>
      <c r="BL3205" t="s">
        <v>163</v>
      </c>
      <c r="BM3205">
        <v>1</v>
      </c>
      <c r="BN3205">
        <v>1</v>
      </c>
      <c r="BO3205">
        <v>1</v>
      </c>
      <c r="BP3205">
        <v>0</v>
      </c>
      <c r="BS3205">
        <v>0.04</v>
      </c>
      <c r="BT3205">
        <v>0</v>
      </c>
      <c r="BU3205">
        <v>0</v>
      </c>
      <c r="CE3205" t="str">
        <f t="shared" si="1169"/>
        <v>19:34:05.873</v>
      </c>
      <c r="CF3205">
        <v>873372588</v>
      </c>
      <c r="CS3205">
        <v>0</v>
      </c>
      <c r="CT3205">
        <v>2</v>
      </c>
      <c r="CU3205">
        <v>0</v>
      </c>
      <c r="CV3205">
        <v>2</v>
      </c>
      <c r="CW3205">
        <v>0</v>
      </c>
      <c r="CX3205">
        <v>3</v>
      </c>
      <c r="CY3205">
        <v>7</v>
      </c>
      <c r="CZ3205" t="s">
        <v>131</v>
      </c>
      <c r="DA3205">
        <v>300</v>
      </c>
      <c r="DB3205">
        <v>0</v>
      </c>
      <c r="DC3205" t="s">
        <v>176</v>
      </c>
      <c r="DD3205" t="s">
        <v>177</v>
      </c>
      <c r="DG3205">
        <v>5432002</v>
      </c>
      <c r="DI3205">
        <v>1</v>
      </c>
      <c r="DJ3205">
        <v>0</v>
      </c>
      <c r="DK3205">
        <v>1</v>
      </c>
      <c r="DL3205">
        <v>0</v>
      </c>
      <c r="DM3205">
        <v>0</v>
      </c>
      <c r="DN3205">
        <v>1</v>
      </c>
      <c r="DO3205">
        <v>0</v>
      </c>
      <c r="DP3205">
        <v>0</v>
      </c>
      <c r="DQ3205">
        <v>0</v>
      </c>
      <c r="DR3205">
        <v>0</v>
      </c>
      <c r="DS3205">
        <v>0</v>
      </c>
    </row>
    <row r="3206" spans="1:123" x14ac:dyDescent="0.3">
      <c r="A3206" t="str">
        <f t="shared" si="1165"/>
        <v>10/04/2022 19:34:06.158</v>
      </c>
      <c r="C3206" t="str">
        <f t="shared" si="1158"/>
        <v>FFDFD3C0</v>
      </c>
      <c r="D3206" t="s">
        <v>136</v>
      </c>
      <c r="E3206">
        <v>8</v>
      </c>
      <c r="H3206">
        <v>225</v>
      </c>
      <c r="I3206" t="s">
        <v>137</v>
      </c>
      <c r="J3206" t="s">
        <v>138</v>
      </c>
      <c r="K3206">
        <v>0</v>
      </c>
      <c r="L3206">
        <v>3</v>
      </c>
      <c r="M3206">
        <v>0</v>
      </c>
      <c r="N3206">
        <v>2</v>
      </c>
      <c r="O3206">
        <v>0</v>
      </c>
      <c r="P3206">
        <v>1</v>
      </c>
      <c r="Q3206">
        <v>0</v>
      </c>
      <c r="S3206" t="str">
        <f t="shared" si="1166"/>
        <v>19:34:05.000</v>
      </c>
      <c r="T3206" t="str">
        <f t="shared" si="1166"/>
        <v>19:34:05.000</v>
      </c>
      <c r="U3206" t="str">
        <f t="shared" si="1167"/>
        <v>AC3944</v>
      </c>
      <c r="V3206">
        <v>0</v>
      </c>
      <c r="W3206">
        <v>0</v>
      </c>
      <c r="X3206">
        <v>2</v>
      </c>
      <c r="Y3206">
        <v>0</v>
      </c>
      <c r="AA3206">
        <v>1</v>
      </c>
      <c r="AB3206">
        <v>8</v>
      </c>
      <c r="AC3206">
        <v>3</v>
      </c>
      <c r="AD3206">
        <v>0</v>
      </c>
      <c r="AE3206">
        <v>9</v>
      </c>
      <c r="AF3206" t="s">
        <v>138</v>
      </c>
      <c r="AG3206">
        <v>0</v>
      </c>
      <c r="AH3206">
        <v>3</v>
      </c>
      <c r="AI3206">
        <v>1</v>
      </c>
      <c r="AJ3206">
        <v>0</v>
      </c>
      <c r="AK3206" t="s">
        <v>1064</v>
      </c>
      <c r="AL3206">
        <v>32.711512999999997</v>
      </c>
      <c r="AM3206" t="s">
        <v>1065</v>
      </c>
      <c r="AN3206">
        <v>-116.751902</v>
      </c>
      <c r="AO3206">
        <v>25</v>
      </c>
      <c r="AP3206">
        <v>3700</v>
      </c>
      <c r="AQ3206" t="s">
        <v>129</v>
      </c>
      <c r="AR3206">
        <v>38</v>
      </c>
      <c r="AS3206">
        <v>142</v>
      </c>
      <c r="AT3206">
        <v>-896</v>
      </c>
      <c r="BB3206">
        <v>1200</v>
      </c>
      <c r="BC3206">
        <v>1</v>
      </c>
      <c r="BD3206" t="str">
        <f t="shared" si="1168"/>
        <v xml:space="preserve">N887QR  </v>
      </c>
      <c r="BE3206">
        <v>1</v>
      </c>
      <c r="BG3206">
        <v>0</v>
      </c>
      <c r="BH3206">
        <v>0</v>
      </c>
      <c r="BI3206">
        <v>0</v>
      </c>
      <c r="BJ3206">
        <v>3350</v>
      </c>
      <c r="BK3206">
        <v>-350</v>
      </c>
      <c r="BL3206" t="s">
        <v>163</v>
      </c>
      <c r="BM3206">
        <v>1</v>
      </c>
      <c r="BN3206">
        <v>1</v>
      </c>
      <c r="BO3206">
        <v>1</v>
      </c>
      <c r="BP3206">
        <v>0</v>
      </c>
      <c r="BS3206">
        <v>0.04</v>
      </c>
      <c r="BT3206">
        <v>0</v>
      </c>
      <c r="BU3206">
        <v>0</v>
      </c>
      <c r="CE3206" t="str">
        <f t="shared" si="1169"/>
        <v>19:34:05.873</v>
      </c>
      <c r="CF3206">
        <v>873372588</v>
      </c>
      <c r="CS3206">
        <v>0</v>
      </c>
      <c r="CT3206">
        <v>2</v>
      </c>
      <c r="CU3206">
        <v>0</v>
      </c>
      <c r="CV3206">
        <v>2</v>
      </c>
      <c r="CW3206">
        <v>0</v>
      </c>
      <c r="CX3206">
        <v>3</v>
      </c>
      <c r="CY3206">
        <v>7</v>
      </c>
      <c r="CZ3206" t="s">
        <v>131</v>
      </c>
      <c r="DA3206">
        <v>300</v>
      </c>
      <c r="DB3206">
        <v>0</v>
      </c>
      <c r="DC3206" t="s">
        <v>176</v>
      </c>
      <c r="DD3206" t="s">
        <v>177</v>
      </c>
      <c r="DG3206">
        <v>5432002</v>
      </c>
      <c r="DI3206">
        <v>1</v>
      </c>
      <c r="DJ3206">
        <v>0</v>
      </c>
      <c r="DK3206">
        <v>1</v>
      </c>
      <c r="DL3206">
        <v>0</v>
      </c>
      <c r="DM3206">
        <v>0</v>
      </c>
      <c r="DN3206">
        <v>1</v>
      </c>
      <c r="DO3206">
        <v>0</v>
      </c>
      <c r="DP3206">
        <v>0</v>
      </c>
      <c r="DQ3206">
        <v>0</v>
      </c>
      <c r="DR3206">
        <v>0</v>
      </c>
      <c r="DS3206">
        <v>0</v>
      </c>
    </row>
    <row r="3207" spans="1:123" x14ac:dyDescent="0.3">
      <c r="A3207" t="str">
        <f t="shared" si="1165"/>
        <v>10/04/2022 19:34:06.158</v>
      </c>
      <c r="C3207" t="str">
        <f t="shared" si="1158"/>
        <v>FFDFD3C0</v>
      </c>
      <c r="D3207" t="s">
        <v>141</v>
      </c>
      <c r="E3207">
        <v>4</v>
      </c>
      <c r="H3207">
        <v>4</v>
      </c>
      <c r="I3207" t="s">
        <v>142</v>
      </c>
      <c r="J3207" t="s">
        <v>138</v>
      </c>
      <c r="K3207">
        <v>0</v>
      </c>
      <c r="L3207">
        <v>3</v>
      </c>
      <c r="M3207">
        <v>0</v>
      </c>
      <c r="N3207">
        <v>2</v>
      </c>
      <c r="O3207">
        <v>0</v>
      </c>
      <c r="P3207">
        <v>1</v>
      </c>
      <c r="Q3207">
        <v>0</v>
      </c>
      <c r="S3207" t="str">
        <f t="shared" si="1166"/>
        <v>19:34:05.000</v>
      </c>
      <c r="T3207" t="str">
        <f t="shared" si="1166"/>
        <v>19:34:05.000</v>
      </c>
      <c r="U3207" t="str">
        <f t="shared" si="1167"/>
        <v>AC3944</v>
      </c>
      <c r="V3207">
        <v>0</v>
      </c>
      <c r="W3207">
        <v>0</v>
      </c>
      <c r="X3207">
        <v>2</v>
      </c>
      <c r="Y3207">
        <v>0</v>
      </c>
      <c r="AA3207">
        <v>1</v>
      </c>
      <c r="AB3207">
        <v>8</v>
      </c>
      <c r="AC3207">
        <v>3</v>
      </c>
      <c r="AD3207">
        <v>0</v>
      </c>
      <c r="AE3207">
        <v>9</v>
      </c>
      <c r="AF3207" t="s">
        <v>138</v>
      </c>
      <c r="AG3207">
        <v>0</v>
      </c>
      <c r="AH3207">
        <v>3</v>
      </c>
      <c r="AI3207">
        <v>1</v>
      </c>
      <c r="AJ3207">
        <v>0</v>
      </c>
      <c r="AK3207" t="s">
        <v>1064</v>
      </c>
      <c r="AL3207">
        <v>32.711512999999997</v>
      </c>
      <c r="AM3207" t="s">
        <v>1065</v>
      </c>
      <c r="AN3207">
        <v>-116.751902</v>
      </c>
      <c r="AO3207">
        <v>25</v>
      </c>
      <c r="AP3207">
        <v>3700</v>
      </c>
      <c r="AQ3207" t="s">
        <v>129</v>
      </c>
      <c r="AR3207">
        <v>38</v>
      </c>
      <c r="AS3207">
        <v>142</v>
      </c>
      <c r="AT3207">
        <v>-896</v>
      </c>
      <c r="BB3207">
        <v>1200</v>
      </c>
      <c r="BC3207">
        <v>1</v>
      </c>
      <c r="BD3207" t="str">
        <f t="shared" si="1168"/>
        <v xml:space="preserve">N887QR  </v>
      </c>
      <c r="BE3207">
        <v>1</v>
      </c>
      <c r="BG3207">
        <v>0</v>
      </c>
      <c r="BH3207">
        <v>0</v>
      </c>
      <c r="BI3207">
        <v>0</v>
      </c>
      <c r="BJ3207">
        <v>3350</v>
      </c>
      <c r="BK3207">
        <v>-350</v>
      </c>
      <c r="BL3207" t="s">
        <v>163</v>
      </c>
      <c r="BM3207">
        <v>1</v>
      </c>
      <c r="BN3207">
        <v>1</v>
      </c>
      <c r="BO3207">
        <v>1</v>
      </c>
      <c r="BP3207">
        <v>0</v>
      </c>
      <c r="BS3207">
        <v>0.04</v>
      </c>
      <c r="BT3207">
        <v>0</v>
      </c>
      <c r="BU3207">
        <v>0</v>
      </c>
      <c r="CE3207" t="str">
        <f t="shared" si="1169"/>
        <v>19:34:05.873</v>
      </c>
      <c r="CF3207">
        <v>873372588</v>
      </c>
      <c r="CS3207">
        <v>0</v>
      </c>
      <c r="CT3207">
        <v>2</v>
      </c>
      <c r="CU3207">
        <v>0</v>
      </c>
      <c r="CV3207">
        <v>2</v>
      </c>
      <c r="CW3207">
        <v>0</v>
      </c>
      <c r="CX3207">
        <v>3</v>
      </c>
      <c r="CY3207">
        <v>7</v>
      </c>
      <c r="CZ3207" t="s">
        <v>131</v>
      </c>
      <c r="DA3207">
        <v>300</v>
      </c>
      <c r="DB3207">
        <v>0</v>
      </c>
      <c r="DC3207" t="s">
        <v>176</v>
      </c>
      <c r="DD3207" t="s">
        <v>177</v>
      </c>
      <c r="DG3207">
        <v>5432002</v>
      </c>
      <c r="DI3207">
        <v>1</v>
      </c>
      <c r="DJ3207">
        <v>0</v>
      </c>
      <c r="DK3207">
        <v>1</v>
      </c>
      <c r="DL3207">
        <v>0</v>
      </c>
      <c r="DM3207">
        <v>0</v>
      </c>
      <c r="DN3207">
        <v>1</v>
      </c>
      <c r="DO3207">
        <v>0</v>
      </c>
      <c r="DP3207">
        <v>0</v>
      </c>
      <c r="DQ3207">
        <v>0</v>
      </c>
      <c r="DR3207">
        <v>0</v>
      </c>
      <c r="DS3207">
        <v>0</v>
      </c>
    </row>
    <row r="3208" spans="1:123" x14ac:dyDescent="0.3">
      <c r="A3208" t="str">
        <f t="shared" si="1165"/>
        <v>10/04/2022 19:34:06.158</v>
      </c>
      <c r="C3208" t="str">
        <f t="shared" si="1158"/>
        <v>FFDFD3C0</v>
      </c>
      <c r="D3208" t="s">
        <v>143</v>
      </c>
      <c r="E3208">
        <v>20</v>
      </c>
      <c r="F3208">
        <v>1020</v>
      </c>
      <c r="G3208" t="s">
        <v>144</v>
      </c>
      <c r="J3208" t="s">
        <v>145</v>
      </c>
      <c r="K3208">
        <v>0</v>
      </c>
      <c r="L3208">
        <v>3</v>
      </c>
      <c r="M3208">
        <v>0</v>
      </c>
      <c r="N3208">
        <v>2</v>
      </c>
      <c r="O3208">
        <v>0</v>
      </c>
      <c r="P3208">
        <v>1</v>
      </c>
      <c r="Q3208">
        <v>0</v>
      </c>
      <c r="S3208" t="str">
        <f t="shared" si="1166"/>
        <v>19:34:05.000</v>
      </c>
      <c r="T3208" t="str">
        <f t="shared" si="1166"/>
        <v>19:34:05.000</v>
      </c>
      <c r="U3208" t="str">
        <f t="shared" si="1167"/>
        <v>AC3944</v>
      </c>
      <c r="V3208">
        <v>0</v>
      </c>
      <c r="W3208">
        <v>0</v>
      </c>
      <c r="X3208">
        <v>2</v>
      </c>
      <c r="Y3208">
        <v>0</v>
      </c>
      <c r="AA3208">
        <v>1</v>
      </c>
      <c r="AB3208">
        <v>8</v>
      </c>
      <c r="AC3208">
        <v>3</v>
      </c>
      <c r="AD3208">
        <v>0</v>
      </c>
      <c r="AE3208">
        <v>9</v>
      </c>
      <c r="AF3208" t="s">
        <v>138</v>
      </c>
      <c r="AG3208">
        <v>0</v>
      </c>
      <c r="AH3208">
        <v>3</v>
      </c>
      <c r="AI3208">
        <v>1</v>
      </c>
      <c r="AJ3208">
        <v>0</v>
      </c>
      <c r="AK3208" t="s">
        <v>1064</v>
      </c>
      <c r="AL3208">
        <v>32.711512999999997</v>
      </c>
      <c r="AM3208" t="s">
        <v>1065</v>
      </c>
      <c r="AN3208">
        <v>-116.751902</v>
      </c>
      <c r="AO3208">
        <v>25</v>
      </c>
      <c r="AP3208">
        <v>3700</v>
      </c>
      <c r="AQ3208" t="s">
        <v>129</v>
      </c>
      <c r="AR3208">
        <v>38</v>
      </c>
      <c r="AS3208">
        <v>142</v>
      </c>
      <c r="AT3208">
        <v>-896</v>
      </c>
      <c r="BB3208">
        <v>1200</v>
      </c>
      <c r="BC3208">
        <v>1</v>
      </c>
      <c r="BD3208" t="str">
        <f t="shared" si="1168"/>
        <v xml:space="preserve">N887QR  </v>
      </c>
      <c r="BE3208">
        <v>1</v>
      </c>
      <c r="BG3208">
        <v>0</v>
      </c>
      <c r="BH3208">
        <v>0</v>
      </c>
      <c r="BI3208">
        <v>0</v>
      </c>
      <c r="BJ3208">
        <v>3350</v>
      </c>
      <c r="BK3208">
        <v>-350</v>
      </c>
      <c r="BL3208" t="s">
        <v>163</v>
      </c>
      <c r="BM3208">
        <v>1</v>
      </c>
      <c r="BN3208">
        <v>1</v>
      </c>
      <c r="BO3208">
        <v>1</v>
      </c>
      <c r="BP3208">
        <v>0</v>
      </c>
      <c r="BS3208">
        <v>0.04</v>
      </c>
      <c r="BT3208">
        <v>0</v>
      </c>
      <c r="BU3208">
        <v>0</v>
      </c>
      <c r="CE3208" t="str">
        <f t="shared" si="1169"/>
        <v>19:34:05.873</v>
      </c>
      <c r="CF3208">
        <v>873372588</v>
      </c>
      <c r="CS3208">
        <v>0</v>
      </c>
      <c r="CT3208">
        <v>2</v>
      </c>
      <c r="CU3208">
        <v>0</v>
      </c>
      <c r="CV3208">
        <v>2</v>
      </c>
      <c r="CW3208">
        <v>0</v>
      </c>
      <c r="CX3208">
        <v>3</v>
      </c>
      <c r="CY3208">
        <v>7</v>
      </c>
      <c r="CZ3208" t="s">
        <v>131</v>
      </c>
      <c r="DA3208">
        <v>300</v>
      </c>
      <c r="DB3208">
        <v>0</v>
      </c>
      <c r="DC3208" t="s">
        <v>176</v>
      </c>
      <c r="DD3208" t="s">
        <v>177</v>
      </c>
      <c r="DG3208">
        <v>5432002</v>
      </c>
      <c r="DI3208">
        <v>1</v>
      </c>
      <c r="DJ3208">
        <v>0</v>
      </c>
      <c r="DK3208">
        <v>1</v>
      </c>
      <c r="DL3208">
        <v>0</v>
      </c>
      <c r="DM3208">
        <v>0</v>
      </c>
      <c r="DN3208">
        <v>1</v>
      </c>
      <c r="DO3208">
        <v>0</v>
      </c>
      <c r="DP3208">
        <v>0</v>
      </c>
      <c r="DQ3208">
        <v>0</v>
      </c>
      <c r="DR3208">
        <v>0</v>
      </c>
      <c r="DS3208">
        <v>0</v>
      </c>
    </row>
    <row r="3209" spans="1:123" x14ac:dyDescent="0.3">
      <c r="A3209" t="str">
        <f>"10/04/2022 19:34:07.339"</f>
        <v>10/04/2022 19:34:07.339</v>
      </c>
      <c r="C3209" t="str">
        <f t="shared" si="1158"/>
        <v>FFDFD3C0</v>
      </c>
      <c r="D3209" t="s">
        <v>147</v>
      </c>
      <c r="E3209">
        <v>3</v>
      </c>
      <c r="H3209">
        <v>166</v>
      </c>
      <c r="I3209" t="s">
        <v>144</v>
      </c>
      <c r="J3209" t="s">
        <v>148</v>
      </c>
      <c r="K3209">
        <v>0</v>
      </c>
      <c r="L3209">
        <v>3</v>
      </c>
      <c r="M3209">
        <v>0</v>
      </c>
      <c r="N3209">
        <v>2</v>
      </c>
      <c r="O3209">
        <v>0</v>
      </c>
      <c r="P3209">
        <v>1</v>
      </c>
      <c r="Q3209">
        <v>0</v>
      </c>
      <c r="S3209" t="str">
        <f>"19:34:07.000"</f>
        <v>19:34:07.000</v>
      </c>
      <c r="T3209" t="str">
        <f>"19:34:07.000"</f>
        <v>19:34:07.000</v>
      </c>
      <c r="U3209" t="str">
        <f t="shared" si="1167"/>
        <v>AC3944</v>
      </c>
      <c r="V3209">
        <v>0</v>
      </c>
      <c r="W3209">
        <v>0</v>
      </c>
      <c r="X3209">
        <v>2</v>
      </c>
      <c r="Y3209">
        <v>0</v>
      </c>
      <c r="AA3209">
        <v>1</v>
      </c>
      <c r="AB3209">
        <v>8</v>
      </c>
      <c r="AC3209">
        <v>3</v>
      </c>
      <c r="AD3209">
        <v>0</v>
      </c>
      <c r="AE3209">
        <v>9</v>
      </c>
      <c r="AF3209" t="s">
        <v>138</v>
      </c>
      <c r="AG3209">
        <v>0</v>
      </c>
      <c r="AH3209">
        <v>3</v>
      </c>
      <c r="AI3209">
        <v>1</v>
      </c>
      <c r="AJ3209">
        <v>0</v>
      </c>
      <c r="AK3209" t="s">
        <v>1066</v>
      </c>
      <c r="AL3209">
        <v>32.712178000000002</v>
      </c>
      <c r="AM3209" t="s">
        <v>1067</v>
      </c>
      <c r="AN3209">
        <v>-116.75172999999999</v>
      </c>
      <c r="AO3209">
        <v>25</v>
      </c>
      <c r="AP3209">
        <v>3700</v>
      </c>
      <c r="AQ3209" t="s">
        <v>129</v>
      </c>
      <c r="AR3209">
        <v>8</v>
      </c>
      <c r="AS3209">
        <v>145</v>
      </c>
      <c r="AT3209">
        <v>-896</v>
      </c>
      <c r="BB3209">
        <v>1200</v>
      </c>
      <c r="BC3209">
        <v>1</v>
      </c>
      <c r="BD3209" t="str">
        <f t="shared" si="1168"/>
        <v xml:space="preserve">N887QR  </v>
      </c>
      <c r="BE3209">
        <v>1</v>
      </c>
      <c r="BG3209">
        <v>0</v>
      </c>
      <c r="BH3209">
        <v>0</v>
      </c>
      <c r="BI3209">
        <v>0</v>
      </c>
      <c r="BJ3209">
        <v>3325</v>
      </c>
      <c r="BK3209">
        <v>-375</v>
      </c>
      <c r="BL3209" t="s">
        <v>163</v>
      </c>
      <c r="BM3209">
        <v>1</v>
      </c>
      <c r="BN3209">
        <v>1</v>
      </c>
      <c r="BO3209">
        <v>1</v>
      </c>
      <c r="BP3209">
        <v>0</v>
      </c>
      <c r="BS3209">
        <v>0.04</v>
      </c>
      <c r="BT3209">
        <v>0</v>
      </c>
      <c r="BU3209">
        <v>0</v>
      </c>
      <c r="CE3209" t="str">
        <f>"19:34:07.070"</f>
        <v>19:34:07.070</v>
      </c>
      <c r="CF3209">
        <v>69799490</v>
      </c>
      <c r="CS3209">
        <v>0</v>
      </c>
      <c r="CT3209">
        <v>2</v>
      </c>
      <c r="CU3209">
        <v>0</v>
      </c>
      <c r="CV3209">
        <v>2</v>
      </c>
      <c r="CW3209">
        <v>0</v>
      </c>
      <c r="CX3209">
        <v>4</v>
      </c>
      <c r="CY3209">
        <v>7</v>
      </c>
      <c r="CZ3209" t="s">
        <v>131</v>
      </c>
      <c r="DA3209">
        <v>286</v>
      </c>
      <c r="DB3209">
        <v>0</v>
      </c>
      <c r="DC3209" t="s">
        <v>132</v>
      </c>
      <c r="DD3209" t="s">
        <v>133</v>
      </c>
      <c r="DG3209">
        <v>869532</v>
      </c>
      <c r="DI3209">
        <v>1</v>
      </c>
      <c r="DJ3209">
        <v>0</v>
      </c>
      <c r="DK3209">
        <v>0</v>
      </c>
      <c r="DL3209">
        <v>0</v>
      </c>
      <c r="DM3209">
        <v>0</v>
      </c>
      <c r="DN3209">
        <v>1</v>
      </c>
      <c r="DO3209">
        <v>0</v>
      </c>
      <c r="DP3209">
        <v>0</v>
      </c>
      <c r="DQ3209">
        <v>0</v>
      </c>
      <c r="DR3209">
        <v>0</v>
      </c>
      <c r="DS3209">
        <v>0</v>
      </c>
    </row>
    <row r="3210" spans="1:123" x14ac:dyDescent="0.3">
      <c r="A3210" t="str">
        <f>"10/04/2022 19:34:07.339"</f>
        <v>10/04/2022 19:34:07.339</v>
      </c>
      <c r="C3210" t="str">
        <f t="shared" si="1158"/>
        <v>FFDFD3C0</v>
      </c>
      <c r="D3210" t="s">
        <v>143</v>
      </c>
      <c r="E3210">
        <v>20</v>
      </c>
      <c r="F3210">
        <v>1020</v>
      </c>
      <c r="G3210" t="s">
        <v>144</v>
      </c>
      <c r="J3210" t="s">
        <v>145</v>
      </c>
      <c r="K3210">
        <v>0</v>
      </c>
      <c r="L3210">
        <v>3</v>
      </c>
      <c r="M3210">
        <v>0</v>
      </c>
      <c r="N3210">
        <v>2</v>
      </c>
      <c r="O3210">
        <v>0</v>
      </c>
      <c r="P3210">
        <v>1</v>
      </c>
      <c r="Q3210">
        <v>0</v>
      </c>
      <c r="S3210" t="str">
        <f>"19:34:07.000"</f>
        <v>19:34:07.000</v>
      </c>
      <c r="T3210" t="str">
        <f>"19:34:07.000"</f>
        <v>19:34:07.000</v>
      </c>
      <c r="U3210" t="str">
        <f t="shared" si="1167"/>
        <v>AC3944</v>
      </c>
      <c r="V3210">
        <v>0</v>
      </c>
      <c r="W3210">
        <v>0</v>
      </c>
      <c r="X3210">
        <v>2</v>
      </c>
      <c r="Y3210">
        <v>0</v>
      </c>
      <c r="AA3210">
        <v>1</v>
      </c>
      <c r="AB3210">
        <v>8</v>
      </c>
      <c r="AC3210">
        <v>3</v>
      </c>
      <c r="AD3210">
        <v>0</v>
      </c>
      <c r="AE3210">
        <v>9</v>
      </c>
      <c r="AF3210" t="s">
        <v>138</v>
      </c>
      <c r="AG3210">
        <v>0</v>
      </c>
      <c r="AH3210">
        <v>3</v>
      </c>
      <c r="AI3210">
        <v>1</v>
      </c>
      <c r="AJ3210">
        <v>0</v>
      </c>
      <c r="AK3210" t="s">
        <v>1066</v>
      </c>
      <c r="AL3210">
        <v>32.712178000000002</v>
      </c>
      <c r="AM3210" t="s">
        <v>1067</v>
      </c>
      <c r="AN3210">
        <v>-116.75172999999999</v>
      </c>
      <c r="AO3210">
        <v>25</v>
      </c>
      <c r="AP3210">
        <v>3700</v>
      </c>
      <c r="AQ3210" t="s">
        <v>129</v>
      </c>
      <c r="AR3210">
        <v>8</v>
      </c>
      <c r="AS3210">
        <v>145</v>
      </c>
      <c r="AT3210">
        <v>-896</v>
      </c>
      <c r="BB3210">
        <v>1200</v>
      </c>
      <c r="BC3210">
        <v>1</v>
      </c>
      <c r="BD3210" t="str">
        <f t="shared" si="1168"/>
        <v xml:space="preserve">N887QR  </v>
      </c>
      <c r="BE3210">
        <v>1</v>
      </c>
      <c r="BG3210">
        <v>0</v>
      </c>
      <c r="BH3210">
        <v>0</v>
      </c>
      <c r="BI3210">
        <v>0</v>
      </c>
      <c r="BJ3210">
        <v>3325</v>
      </c>
      <c r="BK3210">
        <v>-375</v>
      </c>
      <c r="BL3210" t="s">
        <v>163</v>
      </c>
      <c r="BM3210">
        <v>1</v>
      </c>
      <c r="BN3210">
        <v>1</v>
      </c>
      <c r="BO3210">
        <v>1</v>
      </c>
      <c r="BP3210">
        <v>0</v>
      </c>
      <c r="BS3210">
        <v>0.04</v>
      </c>
      <c r="BT3210">
        <v>0</v>
      </c>
      <c r="BU3210">
        <v>0</v>
      </c>
      <c r="CE3210" t="str">
        <f>"19:34:07.070"</f>
        <v>19:34:07.070</v>
      </c>
      <c r="CF3210">
        <v>69799490</v>
      </c>
      <c r="CS3210">
        <v>0</v>
      </c>
      <c r="CT3210">
        <v>2</v>
      </c>
      <c r="CU3210">
        <v>0</v>
      </c>
      <c r="CV3210">
        <v>2</v>
      </c>
      <c r="CW3210">
        <v>0</v>
      </c>
      <c r="CX3210">
        <v>4</v>
      </c>
      <c r="CY3210">
        <v>7</v>
      </c>
      <c r="CZ3210" t="s">
        <v>131</v>
      </c>
      <c r="DA3210">
        <v>286</v>
      </c>
      <c r="DB3210">
        <v>0</v>
      </c>
      <c r="DC3210" t="s">
        <v>132</v>
      </c>
      <c r="DD3210" t="s">
        <v>133</v>
      </c>
      <c r="DG3210">
        <v>869532</v>
      </c>
      <c r="DI3210">
        <v>1</v>
      </c>
      <c r="DJ3210">
        <v>0</v>
      </c>
      <c r="DK3210">
        <v>1</v>
      </c>
      <c r="DL3210">
        <v>0</v>
      </c>
      <c r="DM3210">
        <v>0</v>
      </c>
      <c r="DN3210">
        <v>1</v>
      </c>
      <c r="DO3210">
        <v>0</v>
      </c>
      <c r="DP3210">
        <v>0</v>
      </c>
      <c r="DQ3210">
        <v>0</v>
      </c>
      <c r="DR3210">
        <v>0</v>
      </c>
      <c r="DS3210">
        <v>0</v>
      </c>
    </row>
    <row r="3211" spans="1:123" x14ac:dyDescent="0.3">
      <c r="A3211" t="str">
        <f>"10/04/2022 19:34:08.620"</f>
        <v>10/04/2022 19:34:08.620</v>
      </c>
      <c r="C3211" t="str">
        <f t="shared" si="1158"/>
        <v>FFDFD3C0</v>
      </c>
      <c r="D3211" t="s">
        <v>141</v>
      </c>
      <c r="E3211">
        <v>4</v>
      </c>
      <c r="H3211">
        <v>4</v>
      </c>
      <c r="I3211" t="s">
        <v>142</v>
      </c>
      <c r="J3211" t="s">
        <v>138</v>
      </c>
      <c r="K3211">
        <v>0</v>
      </c>
      <c r="L3211">
        <v>3</v>
      </c>
      <c r="M3211">
        <v>0</v>
      </c>
      <c r="N3211">
        <v>2</v>
      </c>
      <c r="O3211">
        <v>0</v>
      </c>
      <c r="P3211">
        <v>1</v>
      </c>
      <c r="Q3211">
        <v>0</v>
      </c>
      <c r="S3211" t="str">
        <f t="shared" ref="S3211:T3217" si="1170">"19:34:08.000"</f>
        <v>19:34:08.000</v>
      </c>
      <c r="T3211" t="str">
        <f t="shared" si="1170"/>
        <v>19:34:08.000</v>
      </c>
      <c r="U3211" t="str">
        <f t="shared" si="1167"/>
        <v>AC3944</v>
      </c>
      <c r="V3211">
        <v>0</v>
      </c>
      <c r="W3211">
        <v>0</v>
      </c>
      <c r="X3211">
        <v>2</v>
      </c>
      <c r="Y3211">
        <v>0</v>
      </c>
      <c r="AA3211">
        <v>1</v>
      </c>
      <c r="AB3211">
        <v>8</v>
      </c>
      <c r="AC3211">
        <v>3</v>
      </c>
      <c r="AD3211">
        <v>0</v>
      </c>
      <c r="AE3211">
        <v>9</v>
      </c>
      <c r="AF3211" t="s">
        <v>138</v>
      </c>
      <c r="AG3211">
        <v>0</v>
      </c>
      <c r="AH3211">
        <v>3</v>
      </c>
      <c r="AI3211">
        <v>1</v>
      </c>
      <c r="AJ3211">
        <v>0</v>
      </c>
      <c r="AK3211" t="s">
        <v>1068</v>
      </c>
      <c r="AL3211">
        <v>32.712865000000001</v>
      </c>
      <c r="AM3211" t="s">
        <v>1069</v>
      </c>
      <c r="AN3211">
        <v>-116.751688</v>
      </c>
      <c r="AO3211">
        <v>25</v>
      </c>
      <c r="AP3211">
        <v>3700</v>
      </c>
      <c r="AQ3211" t="s">
        <v>129</v>
      </c>
      <c r="AR3211">
        <v>-11</v>
      </c>
      <c r="AS3211">
        <v>147</v>
      </c>
      <c r="AT3211">
        <v>-832</v>
      </c>
      <c r="BB3211">
        <v>1200</v>
      </c>
      <c r="BC3211">
        <v>1</v>
      </c>
      <c r="BD3211" t="str">
        <f t="shared" si="1168"/>
        <v xml:space="preserve">N887QR  </v>
      </c>
      <c r="BE3211">
        <v>1</v>
      </c>
      <c r="BG3211">
        <v>0</v>
      </c>
      <c r="BH3211">
        <v>0</v>
      </c>
      <c r="BI3211">
        <v>0</v>
      </c>
      <c r="BJ3211">
        <v>3300</v>
      </c>
      <c r="BK3211">
        <v>-400</v>
      </c>
      <c r="BL3211" t="s">
        <v>163</v>
      </c>
      <c r="BM3211">
        <v>1</v>
      </c>
      <c r="BN3211">
        <v>1</v>
      </c>
      <c r="BO3211">
        <v>1</v>
      </c>
      <c r="BP3211">
        <v>0</v>
      </c>
      <c r="BS3211">
        <v>0.04</v>
      </c>
      <c r="BT3211">
        <v>0</v>
      </c>
      <c r="BU3211">
        <v>0</v>
      </c>
      <c r="CE3211" t="str">
        <f t="shared" ref="CE3211:CE3217" si="1171">"19:34:08.310"</f>
        <v>19:34:08.310</v>
      </c>
      <c r="CF3211">
        <v>310129797</v>
      </c>
      <c r="CS3211">
        <v>0</v>
      </c>
      <c r="CT3211">
        <v>2</v>
      </c>
      <c r="CU3211">
        <v>0</v>
      </c>
      <c r="CV3211">
        <v>2</v>
      </c>
      <c r="CW3211">
        <v>0</v>
      </c>
      <c r="CX3211">
        <v>4</v>
      </c>
      <c r="CY3211">
        <v>7</v>
      </c>
      <c r="CZ3211" t="s">
        <v>131</v>
      </c>
      <c r="DA3211">
        <v>300</v>
      </c>
      <c r="DB3211">
        <v>0</v>
      </c>
      <c r="DC3211" t="s">
        <v>176</v>
      </c>
      <c r="DD3211" t="s">
        <v>177</v>
      </c>
      <c r="DG3211">
        <v>5432382</v>
      </c>
      <c r="DI3211">
        <v>1</v>
      </c>
      <c r="DJ3211">
        <v>0</v>
      </c>
      <c r="DK3211">
        <v>0</v>
      </c>
      <c r="DL3211">
        <v>0</v>
      </c>
      <c r="DM3211">
        <v>0</v>
      </c>
      <c r="DN3211">
        <v>1</v>
      </c>
      <c r="DO3211">
        <v>0</v>
      </c>
      <c r="DP3211">
        <v>0</v>
      </c>
      <c r="DQ3211">
        <v>0</v>
      </c>
      <c r="DR3211">
        <v>0</v>
      </c>
      <c r="DS3211">
        <v>0</v>
      </c>
    </row>
    <row r="3212" spans="1:123" x14ac:dyDescent="0.3">
      <c r="A3212" t="str">
        <f>"10/04/2022 19:34:08.620"</f>
        <v>10/04/2022 19:34:08.620</v>
      </c>
      <c r="C3212" t="str">
        <f t="shared" si="1158"/>
        <v>FFDFD3C0</v>
      </c>
      <c r="D3212" t="s">
        <v>136</v>
      </c>
      <c r="E3212">
        <v>8</v>
      </c>
      <c r="H3212">
        <v>225</v>
      </c>
      <c r="I3212" t="s">
        <v>137</v>
      </c>
      <c r="J3212" t="s">
        <v>138</v>
      </c>
      <c r="K3212">
        <v>0</v>
      </c>
      <c r="L3212">
        <v>3</v>
      </c>
      <c r="M3212">
        <v>0</v>
      </c>
      <c r="N3212">
        <v>2</v>
      </c>
      <c r="O3212">
        <v>0</v>
      </c>
      <c r="P3212">
        <v>1</v>
      </c>
      <c r="Q3212">
        <v>0</v>
      </c>
      <c r="S3212" t="str">
        <f t="shared" si="1170"/>
        <v>19:34:08.000</v>
      </c>
      <c r="T3212" t="str">
        <f t="shared" si="1170"/>
        <v>19:34:08.000</v>
      </c>
      <c r="U3212" t="str">
        <f t="shared" si="1167"/>
        <v>AC3944</v>
      </c>
      <c r="V3212">
        <v>0</v>
      </c>
      <c r="W3212">
        <v>0</v>
      </c>
      <c r="X3212">
        <v>2</v>
      </c>
      <c r="Y3212">
        <v>0</v>
      </c>
      <c r="AA3212">
        <v>1</v>
      </c>
      <c r="AB3212">
        <v>8</v>
      </c>
      <c r="AC3212">
        <v>3</v>
      </c>
      <c r="AD3212">
        <v>0</v>
      </c>
      <c r="AE3212">
        <v>9</v>
      </c>
      <c r="AF3212" t="s">
        <v>138</v>
      </c>
      <c r="AG3212">
        <v>0</v>
      </c>
      <c r="AH3212">
        <v>3</v>
      </c>
      <c r="AI3212">
        <v>1</v>
      </c>
      <c r="AJ3212">
        <v>0</v>
      </c>
      <c r="AK3212" t="s">
        <v>1068</v>
      </c>
      <c r="AL3212">
        <v>32.712865000000001</v>
      </c>
      <c r="AM3212" t="s">
        <v>1069</v>
      </c>
      <c r="AN3212">
        <v>-116.751688</v>
      </c>
      <c r="AO3212">
        <v>25</v>
      </c>
      <c r="AP3212">
        <v>3700</v>
      </c>
      <c r="AQ3212" t="s">
        <v>129</v>
      </c>
      <c r="AR3212">
        <v>-11</v>
      </c>
      <c r="AS3212">
        <v>147</v>
      </c>
      <c r="AT3212">
        <v>-832</v>
      </c>
      <c r="BB3212">
        <v>1200</v>
      </c>
      <c r="BC3212">
        <v>1</v>
      </c>
      <c r="BD3212" t="str">
        <f t="shared" si="1168"/>
        <v xml:space="preserve">N887QR  </v>
      </c>
      <c r="BE3212">
        <v>1</v>
      </c>
      <c r="BG3212">
        <v>0</v>
      </c>
      <c r="BH3212">
        <v>0</v>
      </c>
      <c r="BI3212">
        <v>0</v>
      </c>
      <c r="BJ3212">
        <v>3300</v>
      </c>
      <c r="BK3212">
        <v>-400</v>
      </c>
      <c r="BL3212" t="s">
        <v>163</v>
      </c>
      <c r="BM3212">
        <v>1</v>
      </c>
      <c r="BN3212">
        <v>1</v>
      </c>
      <c r="BO3212">
        <v>1</v>
      </c>
      <c r="BP3212">
        <v>0</v>
      </c>
      <c r="BS3212">
        <v>0.04</v>
      </c>
      <c r="BT3212">
        <v>0</v>
      </c>
      <c r="BU3212">
        <v>0</v>
      </c>
      <c r="CE3212" t="str">
        <f t="shared" si="1171"/>
        <v>19:34:08.310</v>
      </c>
      <c r="CF3212">
        <v>310129797</v>
      </c>
      <c r="CS3212">
        <v>0</v>
      </c>
      <c r="CT3212">
        <v>2</v>
      </c>
      <c r="CU3212">
        <v>0</v>
      </c>
      <c r="CV3212">
        <v>2</v>
      </c>
      <c r="CW3212">
        <v>0</v>
      </c>
      <c r="CX3212">
        <v>4</v>
      </c>
      <c r="CY3212">
        <v>7</v>
      </c>
      <c r="CZ3212" t="s">
        <v>131</v>
      </c>
      <c r="DA3212">
        <v>300</v>
      </c>
      <c r="DB3212">
        <v>0</v>
      </c>
      <c r="DC3212" t="s">
        <v>176</v>
      </c>
      <c r="DD3212" t="s">
        <v>177</v>
      </c>
      <c r="DG3212">
        <v>5432382</v>
      </c>
      <c r="DI3212">
        <v>1</v>
      </c>
      <c r="DJ3212">
        <v>0</v>
      </c>
      <c r="DK3212">
        <v>1</v>
      </c>
      <c r="DL3212">
        <v>0</v>
      </c>
      <c r="DM3212">
        <v>0</v>
      </c>
      <c r="DN3212">
        <v>1</v>
      </c>
      <c r="DO3212">
        <v>0</v>
      </c>
      <c r="DP3212">
        <v>0</v>
      </c>
      <c r="DQ3212">
        <v>0</v>
      </c>
      <c r="DR3212">
        <v>0</v>
      </c>
      <c r="DS3212">
        <v>0</v>
      </c>
    </row>
    <row r="3213" spans="1:123" x14ac:dyDescent="0.3">
      <c r="A3213" t="str">
        <f>"10/04/2022 19:34:08.651"</f>
        <v>10/04/2022 19:34:08.651</v>
      </c>
      <c r="C3213" t="str">
        <f t="shared" si="1158"/>
        <v>FFDFD3C0</v>
      </c>
      <c r="D3213" t="s">
        <v>143</v>
      </c>
      <c r="E3213">
        <v>20</v>
      </c>
      <c r="F3213">
        <v>1020</v>
      </c>
      <c r="G3213" t="s">
        <v>144</v>
      </c>
      <c r="J3213" t="s">
        <v>145</v>
      </c>
      <c r="K3213">
        <v>0</v>
      </c>
      <c r="L3213">
        <v>3</v>
      </c>
      <c r="M3213">
        <v>0</v>
      </c>
      <c r="N3213">
        <v>2</v>
      </c>
      <c r="O3213">
        <v>0</v>
      </c>
      <c r="P3213">
        <v>1</v>
      </c>
      <c r="Q3213">
        <v>0</v>
      </c>
      <c r="S3213" t="str">
        <f t="shared" si="1170"/>
        <v>19:34:08.000</v>
      </c>
      <c r="T3213" t="str">
        <f t="shared" si="1170"/>
        <v>19:34:08.000</v>
      </c>
      <c r="U3213" t="str">
        <f t="shared" si="1167"/>
        <v>AC3944</v>
      </c>
      <c r="V3213">
        <v>0</v>
      </c>
      <c r="W3213">
        <v>0</v>
      </c>
      <c r="X3213">
        <v>2</v>
      </c>
      <c r="Y3213">
        <v>0</v>
      </c>
      <c r="AA3213">
        <v>1</v>
      </c>
      <c r="AB3213">
        <v>8</v>
      </c>
      <c r="AC3213">
        <v>3</v>
      </c>
      <c r="AD3213">
        <v>0</v>
      </c>
      <c r="AE3213">
        <v>9</v>
      </c>
      <c r="AF3213" t="s">
        <v>138</v>
      </c>
      <c r="AG3213">
        <v>0</v>
      </c>
      <c r="AH3213">
        <v>3</v>
      </c>
      <c r="AI3213">
        <v>1</v>
      </c>
      <c r="AJ3213">
        <v>0</v>
      </c>
      <c r="AK3213" t="s">
        <v>1068</v>
      </c>
      <c r="AL3213">
        <v>32.712865000000001</v>
      </c>
      <c r="AM3213" t="s">
        <v>1069</v>
      </c>
      <c r="AN3213">
        <v>-116.751688</v>
      </c>
      <c r="AO3213">
        <v>25</v>
      </c>
      <c r="AP3213">
        <v>3700</v>
      </c>
      <c r="AQ3213" t="s">
        <v>129</v>
      </c>
      <c r="AR3213">
        <v>-11</v>
      </c>
      <c r="AS3213">
        <v>147</v>
      </c>
      <c r="AT3213">
        <v>-832</v>
      </c>
      <c r="BB3213">
        <v>1200</v>
      </c>
      <c r="BC3213">
        <v>1</v>
      </c>
      <c r="BD3213" t="str">
        <f t="shared" si="1168"/>
        <v xml:space="preserve">N887QR  </v>
      </c>
      <c r="BE3213">
        <v>1</v>
      </c>
      <c r="BG3213">
        <v>0</v>
      </c>
      <c r="BH3213">
        <v>0</v>
      </c>
      <c r="BI3213">
        <v>0</v>
      </c>
      <c r="BJ3213">
        <v>3300</v>
      </c>
      <c r="BK3213">
        <v>-400</v>
      </c>
      <c r="BL3213" t="s">
        <v>163</v>
      </c>
      <c r="BM3213">
        <v>1</v>
      </c>
      <c r="BN3213">
        <v>1</v>
      </c>
      <c r="BO3213">
        <v>1</v>
      </c>
      <c r="BP3213">
        <v>0</v>
      </c>
      <c r="BS3213">
        <v>0.04</v>
      </c>
      <c r="BT3213">
        <v>0</v>
      </c>
      <c r="BU3213">
        <v>0</v>
      </c>
      <c r="CE3213" t="str">
        <f t="shared" si="1171"/>
        <v>19:34:08.310</v>
      </c>
      <c r="CF3213">
        <v>310129797</v>
      </c>
      <c r="CS3213">
        <v>0</v>
      </c>
      <c r="CT3213">
        <v>2</v>
      </c>
      <c r="CU3213">
        <v>0</v>
      </c>
      <c r="CV3213">
        <v>2</v>
      </c>
      <c r="CW3213">
        <v>0</v>
      </c>
      <c r="CX3213">
        <v>4</v>
      </c>
      <c r="CY3213">
        <v>7</v>
      </c>
      <c r="CZ3213" t="s">
        <v>131</v>
      </c>
      <c r="DA3213">
        <v>300</v>
      </c>
      <c r="DB3213">
        <v>0</v>
      </c>
      <c r="DC3213" t="s">
        <v>176</v>
      </c>
      <c r="DD3213" t="s">
        <v>177</v>
      </c>
      <c r="DG3213">
        <v>5432382</v>
      </c>
      <c r="DI3213">
        <v>1</v>
      </c>
      <c r="DJ3213">
        <v>0</v>
      </c>
      <c r="DK3213">
        <v>1</v>
      </c>
      <c r="DL3213">
        <v>0</v>
      </c>
      <c r="DM3213">
        <v>0</v>
      </c>
      <c r="DN3213">
        <v>1</v>
      </c>
      <c r="DO3213">
        <v>0</v>
      </c>
      <c r="DP3213">
        <v>0</v>
      </c>
      <c r="DQ3213">
        <v>0</v>
      </c>
      <c r="DR3213">
        <v>0</v>
      </c>
      <c r="DS3213">
        <v>0</v>
      </c>
    </row>
    <row r="3214" spans="1:123" x14ac:dyDescent="0.3">
      <c r="A3214" t="str">
        <f>"10/04/2022 19:34:08.651"</f>
        <v>10/04/2022 19:34:08.651</v>
      </c>
      <c r="C3214" t="str">
        <f t="shared" si="1158"/>
        <v>FFDFD3C0</v>
      </c>
      <c r="D3214" t="s">
        <v>134</v>
      </c>
      <c r="E3214">
        <v>15</v>
      </c>
      <c r="J3214" t="s">
        <v>135</v>
      </c>
      <c r="K3214">
        <v>0</v>
      </c>
      <c r="L3214">
        <v>3</v>
      </c>
      <c r="M3214">
        <v>0</v>
      </c>
      <c r="N3214">
        <v>2</v>
      </c>
      <c r="O3214">
        <v>0</v>
      </c>
      <c r="P3214">
        <v>1</v>
      </c>
      <c r="Q3214">
        <v>0</v>
      </c>
      <c r="S3214" t="str">
        <f t="shared" si="1170"/>
        <v>19:34:08.000</v>
      </c>
      <c r="T3214" t="str">
        <f t="shared" si="1170"/>
        <v>19:34:08.000</v>
      </c>
      <c r="U3214" t="str">
        <f t="shared" si="1167"/>
        <v>AC3944</v>
      </c>
      <c r="V3214">
        <v>0</v>
      </c>
      <c r="W3214">
        <v>0</v>
      </c>
      <c r="X3214">
        <v>2</v>
      </c>
      <c r="Y3214">
        <v>0</v>
      </c>
      <c r="AA3214">
        <v>1</v>
      </c>
      <c r="AB3214">
        <v>8</v>
      </c>
      <c r="AC3214">
        <v>3</v>
      </c>
      <c r="AD3214">
        <v>0</v>
      </c>
      <c r="AE3214">
        <v>9</v>
      </c>
      <c r="AF3214" t="s">
        <v>138</v>
      </c>
      <c r="AG3214">
        <v>0</v>
      </c>
      <c r="AH3214">
        <v>3</v>
      </c>
      <c r="AI3214">
        <v>1</v>
      </c>
      <c r="AJ3214">
        <v>0</v>
      </c>
      <c r="AK3214" t="s">
        <v>1068</v>
      </c>
      <c r="AL3214">
        <v>32.712865000000001</v>
      </c>
      <c r="AM3214" t="s">
        <v>1069</v>
      </c>
      <c r="AN3214">
        <v>-116.751688</v>
      </c>
      <c r="AO3214">
        <v>25</v>
      </c>
      <c r="AP3214">
        <v>3700</v>
      </c>
      <c r="AQ3214" t="s">
        <v>129</v>
      </c>
      <c r="AR3214">
        <v>-11</v>
      </c>
      <c r="AS3214">
        <v>147</v>
      </c>
      <c r="AT3214">
        <v>-832</v>
      </c>
      <c r="BB3214">
        <v>1200</v>
      </c>
      <c r="BC3214">
        <v>1</v>
      </c>
      <c r="BD3214" t="str">
        <f t="shared" si="1168"/>
        <v xml:space="preserve">N887QR  </v>
      </c>
      <c r="BE3214">
        <v>1</v>
      </c>
      <c r="BG3214">
        <v>0</v>
      </c>
      <c r="BH3214">
        <v>0</v>
      </c>
      <c r="BI3214">
        <v>0</v>
      </c>
      <c r="BJ3214">
        <v>3300</v>
      </c>
      <c r="BK3214">
        <v>-400</v>
      </c>
      <c r="BL3214" t="s">
        <v>163</v>
      </c>
      <c r="BM3214">
        <v>1</v>
      </c>
      <c r="BN3214">
        <v>1</v>
      </c>
      <c r="BO3214">
        <v>1</v>
      </c>
      <c r="BP3214">
        <v>0</v>
      </c>
      <c r="BS3214">
        <v>0.04</v>
      </c>
      <c r="BT3214">
        <v>0</v>
      </c>
      <c r="BU3214">
        <v>0</v>
      </c>
      <c r="CE3214" t="str">
        <f t="shared" si="1171"/>
        <v>19:34:08.310</v>
      </c>
      <c r="CF3214">
        <v>310129797</v>
      </c>
      <c r="CS3214">
        <v>0</v>
      </c>
      <c r="CT3214">
        <v>2</v>
      </c>
      <c r="CU3214">
        <v>0</v>
      </c>
      <c r="CV3214">
        <v>2</v>
      </c>
      <c r="CW3214">
        <v>0</v>
      </c>
      <c r="CX3214">
        <v>4</v>
      </c>
      <c r="CY3214">
        <v>7</v>
      </c>
      <c r="CZ3214" t="s">
        <v>131</v>
      </c>
      <c r="DA3214">
        <v>300</v>
      </c>
      <c r="DB3214">
        <v>0</v>
      </c>
      <c r="DC3214" t="s">
        <v>176</v>
      </c>
      <c r="DD3214" t="s">
        <v>177</v>
      </c>
      <c r="DG3214">
        <v>5432382</v>
      </c>
      <c r="DI3214">
        <v>1</v>
      </c>
      <c r="DJ3214">
        <v>0</v>
      </c>
      <c r="DK3214">
        <v>1</v>
      </c>
      <c r="DL3214">
        <v>0</v>
      </c>
      <c r="DM3214">
        <v>0</v>
      </c>
      <c r="DN3214">
        <v>1</v>
      </c>
      <c r="DO3214">
        <v>0</v>
      </c>
      <c r="DP3214">
        <v>0</v>
      </c>
      <c r="DQ3214">
        <v>0</v>
      </c>
      <c r="DR3214">
        <v>0</v>
      </c>
      <c r="DS3214">
        <v>0</v>
      </c>
    </row>
    <row r="3215" spans="1:123" x14ac:dyDescent="0.3">
      <c r="A3215" t="str">
        <f>"10/04/2022 19:34:08.651"</f>
        <v>10/04/2022 19:34:08.651</v>
      </c>
      <c r="C3215" t="str">
        <f t="shared" si="1158"/>
        <v>FFDFD3C0</v>
      </c>
      <c r="D3215" t="s">
        <v>123</v>
      </c>
      <c r="E3215">
        <v>7</v>
      </c>
      <c r="F3215">
        <v>2007</v>
      </c>
      <c r="G3215" t="s">
        <v>124</v>
      </c>
      <c r="J3215" t="s">
        <v>125</v>
      </c>
      <c r="K3215">
        <v>0</v>
      </c>
      <c r="L3215">
        <v>3</v>
      </c>
      <c r="M3215">
        <v>0</v>
      </c>
      <c r="N3215">
        <v>2</v>
      </c>
      <c r="O3215">
        <v>0</v>
      </c>
      <c r="P3215">
        <v>1</v>
      </c>
      <c r="Q3215">
        <v>0</v>
      </c>
      <c r="S3215" t="str">
        <f t="shared" si="1170"/>
        <v>19:34:08.000</v>
      </c>
      <c r="T3215" t="str">
        <f t="shared" si="1170"/>
        <v>19:34:08.000</v>
      </c>
      <c r="U3215" t="str">
        <f t="shared" si="1167"/>
        <v>AC3944</v>
      </c>
      <c r="V3215">
        <v>0</v>
      </c>
      <c r="W3215">
        <v>0</v>
      </c>
      <c r="X3215">
        <v>2</v>
      </c>
      <c r="Y3215">
        <v>0</v>
      </c>
      <c r="AA3215">
        <v>1</v>
      </c>
      <c r="AB3215">
        <v>8</v>
      </c>
      <c r="AC3215">
        <v>3</v>
      </c>
      <c r="AD3215">
        <v>0</v>
      </c>
      <c r="AE3215">
        <v>9</v>
      </c>
      <c r="AF3215" t="s">
        <v>138</v>
      </c>
      <c r="AG3215">
        <v>0</v>
      </c>
      <c r="AH3215">
        <v>3</v>
      </c>
      <c r="AI3215">
        <v>1</v>
      </c>
      <c r="AJ3215">
        <v>0</v>
      </c>
      <c r="AK3215" t="s">
        <v>1068</v>
      </c>
      <c r="AL3215">
        <v>32.712865000000001</v>
      </c>
      <c r="AM3215" t="s">
        <v>1069</v>
      </c>
      <c r="AN3215">
        <v>-116.751688</v>
      </c>
      <c r="AO3215">
        <v>25</v>
      </c>
      <c r="AP3215">
        <v>3700</v>
      </c>
      <c r="AQ3215" t="s">
        <v>129</v>
      </c>
      <c r="AR3215">
        <v>-11</v>
      </c>
      <c r="AS3215">
        <v>147</v>
      </c>
      <c r="AT3215">
        <v>-832</v>
      </c>
      <c r="BB3215">
        <v>1200</v>
      </c>
      <c r="BC3215">
        <v>1</v>
      </c>
      <c r="BD3215" t="str">
        <f t="shared" si="1168"/>
        <v xml:space="preserve">N887QR  </v>
      </c>
      <c r="BE3215">
        <v>1</v>
      </c>
      <c r="BG3215">
        <v>0</v>
      </c>
      <c r="BH3215">
        <v>0</v>
      </c>
      <c r="BI3215">
        <v>0</v>
      </c>
      <c r="BJ3215">
        <v>3300</v>
      </c>
      <c r="BK3215">
        <v>-400</v>
      </c>
      <c r="BL3215" t="s">
        <v>163</v>
      </c>
      <c r="BM3215">
        <v>1</v>
      </c>
      <c r="BN3215">
        <v>1</v>
      </c>
      <c r="BO3215">
        <v>1</v>
      </c>
      <c r="BP3215">
        <v>0</v>
      </c>
      <c r="BS3215">
        <v>0.04</v>
      </c>
      <c r="BT3215">
        <v>0</v>
      </c>
      <c r="BU3215">
        <v>0</v>
      </c>
      <c r="CE3215" t="str">
        <f t="shared" si="1171"/>
        <v>19:34:08.310</v>
      </c>
      <c r="CF3215">
        <v>310129797</v>
      </c>
      <c r="CS3215">
        <v>0</v>
      </c>
      <c r="CT3215">
        <v>2</v>
      </c>
      <c r="CU3215">
        <v>0</v>
      </c>
      <c r="CV3215">
        <v>2</v>
      </c>
      <c r="CW3215">
        <v>0</v>
      </c>
      <c r="CX3215">
        <v>4</v>
      </c>
      <c r="CY3215">
        <v>7</v>
      </c>
      <c r="CZ3215" t="s">
        <v>131</v>
      </c>
      <c r="DA3215">
        <v>300</v>
      </c>
      <c r="DB3215">
        <v>0</v>
      </c>
      <c r="DC3215" t="s">
        <v>176</v>
      </c>
      <c r="DD3215" t="s">
        <v>177</v>
      </c>
      <c r="DG3215">
        <v>5432382</v>
      </c>
      <c r="DI3215">
        <v>1</v>
      </c>
      <c r="DJ3215">
        <v>0</v>
      </c>
      <c r="DK3215">
        <v>1</v>
      </c>
      <c r="DL3215">
        <v>0</v>
      </c>
      <c r="DM3215">
        <v>0</v>
      </c>
      <c r="DN3215">
        <v>1</v>
      </c>
      <c r="DO3215">
        <v>0</v>
      </c>
      <c r="DP3215">
        <v>0</v>
      </c>
      <c r="DQ3215">
        <v>0</v>
      </c>
      <c r="DR3215">
        <v>0</v>
      </c>
      <c r="DS3215">
        <v>0</v>
      </c>
    </row>
    <row r="3216" spans="1:123" x14ac:dyDescent="0.3">
      <c r="A3216" t="str">
        <f>"10/04/2022 19:34:08.651"</f>
        <v>10/04/2022 19:34:08.651</v>
      </c>
      <c r="C3216" t="str">
        <f t="shared" si="1158"/>
        <v>FFDFD3C0</v>
      </c>
      <c r="D3216" t="s">
        <v>147</v>
      </c>
      <c r="E3216">
        <v>3</v>
      </c>
      <c r="H3216">
        <v>166</v>
      </c>
      <c r="I3216" t="s">
        <v>144</v>
      </c>
      <c r="J3216" t="s">
        <v>148</v>
      </c>
      <c r="K3216">
        <v>0</v>
      </c>
      <c r="L3216">
        <v>3</v>
      </c>
      <c r="M3216">
        <v>0</v>
      </c>
      <c r="N3216">
        <v>2</v>
      </c>
      <c r="O3216">
        <v>0</v>
      </c>
      <c r="P3216">
        <v>1</v>
      </c>
      <c r="Q3216">
        <v>0</v>
      </c>
      <c r="S3216" t="str">
        <f t="shared" si="1170"/>
        <v>19:34:08.000</v>
      </c>
      <c r="T3216" t="str">
        <f t="shared" si="1170"/>
        <v>19:34:08.000</v>
      </c>
      <c r="U3216" t="str">
        <f t="shared" si="1167"/>
        <v>AC3944</v>
      </c>
      <c r="V3216">
        <v>0</v>
      </c>
      <c r="W3216">
        <v>0</v>
      </c>
      <c r="X3216">
        <v>2</v>
      </c>
      <c r="Y3216">
        <v>0</v>
      </c>
      <c r="AA3216">
        <v>1</v>
      </c>
      <c r="AB3216">
        <v>8</v>
      </c>
      <c r="AC3216">
        <v>3</v>
      </c>
      <c r="AD3216">
        <v>0</v>
      </c>
      <c r="AE3216">
        <v>9</v>
      </c>
      <c r="AF3216" t="s">
        <v>138</v>
      </c>
      <c r="AG3216">
        <v>0</v>
      </c>
      <c r="AH3216">
        <v>3</v>
      </c>
      <c r="AI3216">
        <v>1</v>
      </c>
      <c r="AJ3216">
        <v>0</v>
      </c>
      <c r="AK3216" t="s">
        <v>1068</v>
      </c>
      <c r="AL3216">
        <v>32.712865000000001</v>
      </c>
      <c r="AM3216" t="s">
        <v>1069</v>
      </c>
      <c r="AN3216">
        <v>-116.751688</v>
      </c>
      <c r="AO3216">
        <v>25</v>
      </c>
      <c r="AP3216">
        <v>3700</v>
      </c>
      <c r="AQ3216" t="s">
        <v>129</v>
      </c>
      <c r="AR3216">
        <v>-11</v>
      </c>
      <c r="AS3216">
        <v>147</v>
      </c>
      <c r="AT3216">
        <v>-832</v>
      </c>
      <c r="BB3216">
        <v>1200</v>
      </c>
      <c r="BC3216">
        <v>1</v>
      </c>
      <c r="BD3216" t="str">
        <f t="shared" si="1168"/>
        <v xml:space="preserve">N887QR  </v>
      </c>
      <c r="BE3216">
        <v>1</v>
      </c>
      <c r="BG3216">
        <v>0</v>
      </c>
      <c r="BH3216">
        <v>0</v>
      </c>
      <c r="BI3216">
        <v>0</v>
      </c>
      <c r="BJ3216">
        <v>3300</v>
      </c>
      <c r="BK3216">
        <v>-400</v>
      </c>
      <c r="BL3216" t="s">
        <v>163</v>
      </c>
      <c r="BM3216">
        <v>1</v>
      </c>
      <c r="BN3216">
        <v>1</v>
      </c>
      <c r="BO3216">
        <v>1</v>
      </c>
      <c r="BP3216">
        <v>0</v>
      </c>
      <c r="BS3216">
        <v>0.04</v>
      </c>
      <c r="BT3216">
        <v>0</v>
      </c>
      <c r="BU3216">
        <v>0</v>
      </c>
      <c r="CE3216" t="str">
        <f t="shared" si="1171"/>
        <v>19:34:08.310</v>
      </c>
      <c r="CF3216">
        <v>310129797</v>
      </c>
      <c r="CS3216">
        <v>0</v>
      </c>
      <c r="CT3216">
        <v>2</v>
      </c>
      <c r="CU3216">
        <v>0</v>
      </c>
      <c r="CV3216">
        <v>2</v>
      </c>
      <c r="CW3216">
        <v>0</v>
      </c>
      <c r="CX3216">
        <v>4</v>
      </c>
      <c r="CY3216">
        <v>7</v>
      </c>
      <c r="CZ3216" t="s">
        <v>131</v>
      </c>
      <c r="DA3216">
        <v>300</v>
      </c>
      <c r="DB3216">
        <v>0</v>
      </c>
      <c r="DC3216" t="s">
        <v>176</v>
      </c>
      <c r="DD3216" t="s">
        <v>177</v>
      </c>
      <c r="DG3216">
        <v>5432382</v>
      </c>
      <c r="DI3216">
        <v>1</v>
      </c>
      <c r="DJ3216">
        <v>0</v>
      </c>
      <c r="DK3216">
        <v>1</v>
      </c>
      <c r="DL3216">
        <v>0</v>
      </c>
      <c r="DM3216">
        <v>0</v>
      </c>
      <c r="DN3216">
        <v>1</v>
      </c>
      <c r="DO3216">
        <v>0</v>
      </c>
      <c r="DP3216">
        <v>0</v>
      </c>
      <c r="DQ3216">
        <v>0</v>
      </c>
      <c r="DR3216">
        <v>0</v>
      </c>
      <c r="DS3216">
        <v>0</v>
      </c>
    </row>
    <row r="3217" spans="1:123" x14ac:dyDescent="0.3">
      <c r="A3217" t="str">
        <f>"10/04/2022 19:34:08.651"</f>
        <v>10/04/2022 19:34:08.651</v>
      </c>
      <c r="C3217" t="str">
        <f t="shared" si="1158"/>
        <v>FFDFD3C0</v>
      </c>
      <c r="D3217" t="s">
        <v>141</v>
      </c>
      <c r="E3217">
        <v>3</v>
      </c>
      <c r="H3217">
        <v>3</v>
      </c>
      <c r="I3217" t="s">
        <v>146</v>
      </c>
      <c r="J3217" t="s">
        <v>138</v>
      </c>
      <c r="K3217">
        <v>0</v>
      </c>
      <c r="L3217">
        <v>3</v>
      </c>
      <c r="M3217">
        <v>0</v>
      </c>
      <c r="N3217">
        <v>2</v>
      </c>
      <c r="O3217">
        <v>0</v>
      </c>
      <c r="P3217">
        <v>1</v>
      </c>
      <c r="Q3217">
        <v>0</v>
      </c>
      <c r="S3217" t="str">
        <f t="shared" si="1170"/>
        <v>19:34:08.000</v>
      </c>
      <c r="T3217" t="str">
        <f t="shared" si="1170"/>
        <v>19:34:08.000</v>
      </c>
      <c r="U3217" t="str">
        <f t="shared" si="1167"/>
        <v>AC3944</v>
      </c>
      <c r="V3217">
        <v>0</v>
      </c>
      <c r="W3217">
        <v>0</v>
      </c>
      <c r="X3217">
        <v>2</v>
      </c>
      <c r="Y3217">
        <v>0</v>
      </c>
      <c r="AA3217">
        <v>1</v>
      </c>
      <c r="AB3217">
        <v>8</v>
      </c>
      <c r="AC3217">
        <v>3</v>
      </c>
      <c r="AD3217">
        <v>0</v>
      </c>
      <c r="AE3217">
        <v>9</v>
      </c>
      <c r="AF3217" t="s">
        <v>138</v>
      </c>
      <c r="AG3217">
        <v>0</v>
      </c>
      <c r="AH3217">
        <v>3</v>
      </c>
      <c r="AI3217">
        <v>1</v>
      </c>
      <c r="AJ3217">
        <v>0</v>
      </c>
      <c r="AK3217" t="s">
        <v>1068</v>
      </c>
      <c r="AL3217">
        <v>32.712865000000001</v>
      </c>
      <c r="AM3217" t="s">
        <v>1069</v>
      </c>
      <c r="AN3217">
        <v>-116.751688</v>
      </c>
      <c r="AO3217">
        <v>25</v>
      </c>
      <c r="AP3217">
        <v>3700</v>
      </c>
      <c r="AQ3217" t="s">
        <v>129</v>
      </c>
      <c r="AR3217">
        <v>-11</v>
      </c>
      <c r="AS3217">
        <v>147</v>
      </c>
      <c r="AT3217">
        <v>-832</v>
      </c>
      <c r="BB3217">
        <v>1200</v>
      </c>
      <c r="BC3217">
        <v>1</v>
      </c>
      <c r="BD3217" t="str">
        <f t="shared" si="1168"/>
        <v xml:space="preserve">N887QR  </v>
      </c>
      <c r="BE3217">
        <v>1</v>
      </c>
      <c r="BG3217">
        <v>0</v>
      </c>
      <c r="BH3217">
        <v>0</v>
      </c>
      <c r="BI3217">
        <v>0</v>
      </c>
      <c r="BJ3217">
        <v>3300</v>
      </c>
      <c r="BK3217">
        <v>-400</v>
      </c>
      <c r="BL3217" t="s">
        <v>163</v>
      </c>
      <c r="BM3217">
        <v>1</v>
      </c>
      <c r="BN3217">
        <v>1</v>
      </c>
      <c r="BO3217">
        <v>1</v>
      </c>
      <c r="BP3217">
        <v>0</v>
      </c>
      <c r="BS3217">
        <v>0.04</v>
      </c>
      <c r="BT3217">
        <v>0</v>
      </c>
      <c r="BU3217">
        <v>0</v>
      </c>
      <c r="CE3217" t="str">
        <f t="shared" si="1171"/>
        <v>19:34:08.310</v>
      </c>
      <c r="CF3217">
        <v>310129797</v>
      </c>
      <c r="CS3217">
        <v>0</v>
      </c>
      <c r="CT3217">
        <v>2</v>
      </c>
      <c r="CU3217">
        <v>0</v>
      </c>
      <c r="CV3217">
        <v>2</v>
      </c>
      <c r="CW3217">
        <v>0</v>
      </c>
      <c r="CX3217">
        <v>4</v>
      </c>
      <c r="CY3217">
        <v>7</v>
      </c>
      <c r="CZ3217" t="s">
        <v>131</v>
      </c>
      <c r="DA3217">
        <v>300</v>
      </c>
      <c r="DB3217">
        <v>0</v>
      </c>
      <c r="DC3217" t="s">
        <v>176</v>
      </c>
      <c r="DD3217" t="s">
        <v>177</v>
      </c>
      <c r="DG3217">
        <v>5432382</v>
      </c>
      <c r="DI3217">
        <v>1</v>
      </c>
      <c r="DJ3217">
        <v>0</v>
      </c>
      <c r="DK3217">
        <v>1</v>
      </c>
      <c r="DL3217">
        <v>0</v>
      </c>
      <c r="DM3217">
        <v>0</v>
      </c>
      <c r="DN3217">
        <v>1</v>
      </c>
      <c r="DO3217">
        <v>0</v>
      </c>
      <c r="DP3217">
        <v>0</v>
      </c>
      <c r="DQ3217">
        <v>0</v>
      </c>
      <c r="DR3217">
        <v>0</v>
      </c>
      <c r="DS3217">
        <v>0</v>
      </c>
    </row>
    <row r="3218" spans="1:123" x14ac:dyDescent="0.3">
      <c r="A3218" t="str">
        <f t="shared" ref="A3218:A3224" si="1172">"10/04/2022 19:34:09.589"</f>
        <v>10/04/2022 19:34:09.589</v>
      </c>
      <c r="C3218" t="str">
        <f t="shared" si="1158"/>
        <v>FFDFD3C0</v>
      </c>
      <c r="D3218" t="s">
        <v>141</v>
      </c>
      <c r="E3218">
        <v>4</v>
      </c>
      <c r="H3218">
        <v>4</v>
      </c>
      <c r="I3218" t="s">
        <v>142</v>
      </c>
      <c r="J3218" t="s">
        <v>138</v>
      </c>
      <c r="K3218">
        <v>0</v>
      </c>
      <c r="L3218">
        <v>3</v>
      </c>
      <c r="M3218">
        <v>0</v>
      </c>
      <c r="N3218">
        <v>2</v>
      </c>
      <c r="O3218">
        <v>0</v>
      </c>
      <c r="P3218">
        <v>1</v>
      </c>
      <c r="Q3218">
        <v>0</v>
      </c>
      <c r="S3218" t="str">
        <f t="shared" ref="S3218:T3231" si="1173">"19:34:09.000"</f>
        <v>19:34:09.000</v>
      </c>
      <c r="T3218" t="str">
        <f t="shared" si="1173"/>
        <v>19:34:09.000</v>
      </c>
      <c r="U3218" t="str">
        <f t="shared" si="1167"/>
        <v>AC3944</v>
      </c>
      <c r="V3218">
        <v>0</v>
      </c>
      <c r="W3218">
        <v>0</v>
      </c>
      <c r="X3218">
        <v>2</v>
      </c>
      <c r="Y3218">
        <v>0</v>
      </c>
      <c r="AA3218">
        <v>1</v>
      </c>
      <c r="AB3218">
        <v>8</v>
      </c>
      <c r="AC3218">
        <v>3</v>
      </c>
      <c r="AD3218">
        <v>0</v>
      </c>
      <c r="AE3218">
        <v>9</v>
      </c>
      <c r="AF3218" t="s">
        <v>138</v>
      </c>
      <c r="AG3218">
        <v>0</v>
      </c>
      <c r="AH3218">
        <v>3</v>
      </c>
      <c r="AI3218">
        <v>1</v>
      </c>
      <c r="AJ3218">
        <v>0</v>
      </c>
      <c r="AK3218" t="s">
        <v>1070</v>
      </c>
      <c r="AL3218">
        <v>32.713572999999997</v>
      </c>
      <c r="AM3218" t="s">
        <v>1071</v>
      </c>
      <c r="AN3218">
        <v>-116.751752</v>
      </c>
      <c r="AO3218">
        <v>25</v>
      </c>
      <c r="AP3218">
        <v>3700</v>
      </c>
      <c r="AQ3218" t="s">
        <v>129</v>
      </c>
      <c r="AR3218">
        <v>-26</v>
      </c>
      <c r="AS3218">
        <v>145</v>
      </c>
      <c r="AT3218">
        <v>-832</v>
      </c>
      <c r="BB3218">
        <v>1200</v>
      </c>
      <c r="BC3218">
        <v>1</v>
      </c>
      <c r="BD3218" t="str">
        <f t="shared" si="1168"/>
        <v xml:space="preserve">N887QR  </v>
      </c>
      <c r="BE3218">
        <v>1</v>
      </c>
      <c r="BG3218">
        <v>0</v>
      </c>
      <c r="BH3218">
        <v>0</v>
      </c>
      <c r="BI3218">
        <v>0</v>
      </c>
      <c r="BJ3218">
        <v>3300</v>
      </c>
      <c r="BK3218">
        <v>-400</v>
      </c>
      <c r="BL3218" t="s">
        <v>163</v>
      </c>
      <c r="BM3218">
        <v>1</v>
      </c>
      <c r="BN3218">
        <v>1</v>
      </c>
      <c r="BO3218">
        <v>1</v>
      </c>
      <c r="BP3218">
        <v>0</v>
      </c>
      <c r="BS3218">
        <v>0.04</v>
      </c>
      <c r="BT3218">
        <v>0</v>
      </c>
      <c r="BU3218">
        <v>0</v>
      </c>
      <c r="CE3218" t="str">
        <f t="shared" ref="CE3218:CE3224" si="1174">"19:34:09.323"</f>
        <v>19:34:09.323</v>
      </c>
      <c r="CF3218">
        <v>322882716</v>
      </c>
      <c r="CS3218">
        <v>0</v>
      </c>
      <c r="CT3218">
        <v>2</v>
      </c>
      <c r="CU3218">
        <v>0</v>
      </c>
      <c r="CV3218">
        <v>2</v>
      </c>
      <c r="CW3218">
        <v>0</v>
      </c>
      <c r="CX3218">
        <v>5</v>
      </c>
      <c r="CY3218">
        <v>7</v>
      </c>
      <c r="CZ3218" t="s">
        <v>131</v>
      </c>
      <c r="DA3218">
        <v>300</v>
      </c>
      <c r="DB3218">
        <v>0</v>
      </c>
      <c r="DC3218" t="s">
        <v>176</v>
      </c>
      <c r="DD3218" t="s">
        <v>177</v>
      </c>
      <c r="DG3218">
        <v>5432554</v>
      </c>
      <c r="DI3218">
        <v>1</v>
      </c>
      <c r="DJ3218">
        <v>0</v>
      </c>
      <c r="DK3218">
        <v>0</v>
      </c>
      <c r="DL3218">
        <v>0</v>
      </c>
      <c r="DM3218">
        <v>0</v>
      </c>
      <c r="DN3218">
        <v>1</v>
      </c>
      <c r="DO3218">
        <v>0</v>
      </c>
      <c r="DP3218">
        <v>0</v>
      </c>
      <c r="DQ3218">
        <v>0</v>
      </c>
      <c r="DR3218">
        <v>0</v>
      </c>
      <c r="DS3218">
        <v>0</v>
      </c>
    </row>
    <row r="3219" spans="1:123" x14ac:dyDescent="0.3">
      <c r="A3219" t="str">
        <f t="shared" si="1172"/>
        <v>10/04/2022 19:34:09.589</v>
      </c>
      <c r="C3219" t="str">
        <f t="shared" si="1158"/>
        <v>FFDFD3C0</v>
      </c>
      <c r="D3219" t="s">
        <v>136</v>
      </c>
      <c r="E3219">
        <v>8</v>
      </c>
      <c r="H3219">
        <v>225</v>
      </c>
      <c r="I3219" t="s">
        <v>137</v>
      </c>
      <c r="J3219" t="s">
        <v>138</v>
      </c>
      <c r="K3219">
        <v>0</v>
      </c>
      <c r="L3219">
        <v>3</v>
      </c>
      <c r="M3219">
        <v>0</v>
      </c>
      <c r="N3219">
        <v>2</v>
      </c>
      <c r="O3219">
        <v>0</v>
      </c>
      <c r="P3219">
        <v>1</v>
      </c>
      <c r="Q3219">
        <v>0</v>
      </c>
      <c r="S3219" t="str">
        <f t="shared" si="1173"/>
        <v>19:34:09.000</v>
      </c>
      <c r="T3219" t="str">
        <f t="shared" si="1173"/>
        <v>19:34:09.000</v>
      </c>
      <c r="U3219" t="str">
        <f t="shared" si="1167"/>
        <v>AC3944</v>
      </c>
      <c r="V3219">
        <v>0</v>
      </c>
      <c r="W3219">
        <v>0</v>
      </c>
      <c r="X3219">
        <v>2</v>
      </c>
      <c r="Y3219">
        <v>0</v>
      </c>
      <c r="AA3219">
        <v>1</v>
      </c>
      <c r="AB3219">
        <v>8</v>
      </c>
      <c r="AC3219">
        <v>3</v>
      </c>
      <c r="AD3219">
        <v>0</v>
      </c>
      <c r="AE3219">
        <v>9</v>
      </c>
      <c r="AF3219" t="s">
        <v>138</v>
      </c>
      <c r="AG3219">
        <v>0</v>
      </c>
      <c r="AH3219">
        <v>3</v>
      </c>
      <c r="AI3219">
        <v>1</v>
      </c>
      <c r="AJ3219">
        <v>0</v>
      </c>
      <c r="AK3219" t="s">
        <v>1070</v>
      </c>
      <c r="AL3219">
        <v>32.713572999999997</v>
      </c>
      <c r="AM3219" t="s">
        <v>1071</v>
      </c>
      <c r="AN3219">
        <v>-116.751752</v>
      </c>
      <c r="AO3219">
        <v>25</v>
      </c>
      <c r="AP3219">
        <v>3700</v>
      </c>
      <c r="AQ3219" t="s">
        <v>129</v>
      </c>
      <c r="AR3219">
        <v>-26</v>
      </c>
      <c r="AS3219">
        <v>145</v>
      </c>
      <c r="AT3219">
        <v>-832</v>
      </c>
      <c r="BB3219">
        <v>1200</v>
      </c>
      <c r="BC3219">
        <v>1</v>
      </c>
      <c r="BD3219" t="str">
        <f t="shared" si="1168"/>
        <v xml:space="preserve">N887QR  </v>
      </c>
      <c r="BE3219">
        <v>1</v>
      </c>
      <c r="BG3219">
        <v>0</v>
      </c>
      <c r="BH3219">
        <v>0</v>
      </c>
      <c r="BI3219">
        <v>0</v>
      </c>
      <c r="BJ3219">
        <v>3300</v>
      </c>
      <c r="BK3219">
        <v>-400</v>
      </c>
      <c r="BL3219" t="s">
        <v>163</v>
      </c>
      <c r="BM3219">
        <v>1</v>
      </c>
      <c r="BN3219">
        <v>1</v>
      </c>
      <c r="BO3219">
        <v>1</v>
      </c>
      <c r="BP3219">
        <v>0</v>
      </c>
      <c r="BS3219">
        <v>0.04</v>
      </c>
      <c r="BT3219">
        <v>0</v>
      </c>
      <c r="BU3219">
        <v>0</v>
      </c>
      <c r="CE3219" t="str">
        <f t="shared" si="1174"/>
        <v>19:34:09.323</v>
      </c>
      <c r="CF3219">
        <v>322882716</v>
      </c>
      <c r="CS3219">
        <v>0</v>
      </c>
      <c r="CT3219">
        <v>2</v>
      </c>
      <c r="CU3219">
        <v>0</v>
      </c>
      <c r="CV3219">
        <v>2</v>
      </c>
      <c r="CW3219">
        <v>0</v>
      </c>
      <c r="CX3219">
        <v>5</v>
      </c>
      <c r="CY3219">
        <v>7</v>
      </c>
      <c r="CZ3219" t="s">
        <v>131</v>
      </c>
      <c r="DA3219">
        <v>300</v>
      </c>
      <c r="DB3219">
        <v>0</v>
      </c>
      <c r="DC3219" t="s">
        <v>176</v>
      </c>
      <c r="DD3219" t="s">
        <v>177</v>
      </c>
      <c r="DG3219">
        <v>5432554</v>
      </c>
      <c r="DI3219">
        <v>1</v>
      </c>
      <c r="DJ3219">
        <v>0</v>
      </c>
      <c r="DK3219">
        <v>1</v>
      </c>
      <c r="DL3219">
        <v>0</v>
      </c>
      <c r="DM3219">
        <v>0</v>
      </c>
      <c r="DN3219">
        <v>1</v>
      </c>
      <c r="DO3219">
        <v>0</v>
      </c>
      <c r="DP3219">
        <v>0</v>
      </c>
      <c r="DQ3219">
        <v>0</v>
      </c>
      <c r="DR3219">
        <v>0</v>
      </c>
      <c r="DS3219">
        <v>0</v>
      </c>
    </row>
    <row r="3220" spans="1:123" x14ac:dyDescent="0.3">
      <c r="A3220" t="str">
        <f t="shared" si="1172"/>
        <v>10/04/2022 19:34:09.589</v>
      </c>
      <c r="C3220" t="str">
        <f t="shared" si="1158"/>
        <v>FFDFD3C0</v>
      </c>
      <c r="D3220" t="s">
        <v>143</v>
      </c>
      <c r="E3220">
        <v>20</v>
      </c>
      <c r="F3220">
        <v>1020</v>
      </c>
      <c r="G3220" t="s">
        <v>144</v>
      </c>
      <c r="J3220" t="s">
        <v>145</v>
      </c>
      <c r="K3220">
        <v>0</v>
      </c>
      <c r="L3220">
        <v>3</v>
      </c>
      <c r="M3220">
        <v>0</v>
      </c>
      <c r="N3220">
        <v>2</v>
      </c>
      <c r="O3220">
        <v>0</v>
      </c>
      <c r="P3220">
        <v>1</v>
      </c>
      <c r="Q3220">
        <v>0</v>
      </c>
      <c r="S3220" t="str">
        <f t="shared" si="1173"/>
        <v>19:34:09.000</v>
      </c>
      <c r="T3220" t="str">
        <f t="shared" si="1173"/>
        <v>19:34:09.000</v>
      </c>
      <c r="U3220" t="str">
        <f t="shared" si="1167"/>
        <v>AC3944</v>
      </c>
      <c r="V3220">
        <v>0</v>
      </c>
      <c r="W3220">
        <v>0</v>
      </c>
      <c r="X3220">
        <v>2</v>
      </c>
      <c r="Y3220">
        <v>0</v>
      </c>
      <c r="AA3220">
        <v>1</v>
      </c>
      <c r="AB3220">
        <v>8</v>
      </c>
      <c r="AC3220">
        <v>3</v>
      </c>
      <c r="AD3220">
        <v>0</v>
      </c>
      <c r="AE3220">
        <v>9</v>
      </c>
      <c r="AF3220" t="s">
        <v>138</v>
      </c>
      <c r="AG3220">
        <v>0</v>
      </c>
      <c r="AH3220">
        <v>3</v>
      </c>
      <c r="AI3220">
        <v>1</v>
      </c>
      <c r="AJ3220">
        <v>0</v>
      </c>
      <c r="AK3220" t="s">
        <v>1070</v>
      </c>
      <c r="AL3220">
        <v>32.713572999999997</v>
      </c>
      <c r="AM3220" t="s">
        <v>1071</v>
      </c>
      <c r="AN3220">
        <v>-116.751752</v>
      </c>
      <c r="AO3220">
        <v>25</v>
      </c>
      <c r="AP3220">
        <v>3700</v>
      </c>
      <c r="AQ3220" t="s">
        <v>129</v>
      </c>
      <c r="AR3220">
        <v>-26</v>
      </c>
      <c r="AS3220">
        <v>145</v>
      </c>
      <c r="AT3220">
        <v>-832</v>
      </c>
      <c r="BB3220">
        <v>1200</v>
      </c>
      <c r="BC3220">
        <v>1</v>
      </c>
      <c r="BD3220" t="str">
        <f t="shared" si="1168"/>
        <v xml:space="preserve">N887QR  </v>
      </c>
      <c r="BE3220">
        <v>1</v>
      </c>
      <c r="BG3220">
        <v>0</v>
      </c>
      <c r="BH3220">
        <v>0</v>
      </c>
      <c r="BI3220">
        <v>0</v>
      </c>
      <c r="BJ3220">
        <v>3300</v>
      </c>
      <c r="BK3220">
        <v>-400</v>
      </c>
      <c r="BL3220" t="s">
        <v>163</v>
      </c>
      <c r="BM3220">
        <v>1</v>
      </c>
      <c r="BN3220">
        <v>1</v>
      </c>
      <c r="BO3220">
        <v>1</v>
      </c>
      <c r="BP3220">
        <v>0</v>
      </c>
      <c r="BS3220">
        <v>0.04</v>
      </c>
      <c r="BT3220">
        <v>0</v>
      </c>
      <c r="BU3220">
        <v>0</v>
      </c>
      <c r="CE3220" t="str">
        <f t="shared" si="1174"/>
        <v>19:34:09.323</v>
      </c>
      <c r="CF3220">
        <v>322882716</v>
      </c>
      <c r="CS3220">
        <v>0</v>
      </c>
      <c r="CT3220">
        <v>2</v>
      </c>
      <c r="CU3220">
        <v>0</v>
      </c>
      <c r="CV3220">
        <v>2</v>
      </c>
      <c r="CW3220">
        <v>0</v>
      </c>
      <c r="CX3220">
        <v>5</v>
      </c>
      <c r="CY3220">
        <v>7</v>
      </c>
      <c r="CZ3220" t="s">
        <v>131</v>
      </c>
      <c r="DA3220">
        <v>300</v>
      </c>
      <c r="DB3220">
        <v>0</v>
      </c>
      <c r="DC3220" t="s">
        <v>176</v>
      </c>
      <c r="DD3220" t="s">
        <v>177</v>
      </c>
      <c r="DG3220">
        <v>5432554</v>
      </c>
      <c r="DI3220">
        <v>1</v>
      </c>
      <c r="DJ3220">
        <v>0</v>
      </c>
      <c r="DK3220">
        <v>1</v>
      </c>
      <c r="DL3220">
        <v>0</v>
      </c>
      <c r="DM3220">
        <v>0</v>
      </c>
      <c r="DN3220">
        <v>1</v>
      </c>
      <c r="DO3220">
        <v>0</v>
      </c>
      <c r="DP3220">
        <v>0</v>
      </c>
      <c r="DQ3220">
        <v>0</v>
      </c>
      <c r="DR3220">
        <v>0</v>
      </c>
      <c r="DS3220">
        <v>0</v>
      </c>
    </row>
    <row r="3221" spans="1:123" x14ac:dyDescent="0.3">
      <c r="A3221" t="str">
        <f t="shared" si="1172"/>
        <v>10/04/2022 19:34:09.589</v>
      </c>
      <c r="C3221" t="str">
        <f t="shared" si="1158"/>
        <v>FFDFD3C0</v>
      </c>
      <c r="D3221" t="s">
        <v>134</v>
      </c>
      <c r="E3221">
        <v>15</v>
      </c>
      <c r="J3221" t="s">
        <v>135</v>
      </c>
      <c r="K3221">
        <v>0</v>
      </c>
      <c r="L3221">
        <v>3</v>
      </c>
      <c r="M3221">
        <v>0</v>
      </c>
      <c r="N3221">
        <v>2</v>
      </c>
      <c r="O3221">
        <v>0</v>
      </c>
      <c r="P3221">
        <v>1</v>
      </c>
      <c r="Q3221">
        <v>0</v>
      </c>
      <c r="S3221" t="str">
        <f t="shared" si="1173"/>
        <v>19:34:09.000</v>
      </c>
      <c r="T3221" t="str">
        <f t="shared" si="1173"/>
        <v>19:34:09.000</v>
      </c>
      <c r="U3221" t="str">
        <f t="shared" si="1167"/>
        <v>AC3944</v>
      </c>
      <c r="V3221">
        <v>0</v>
      </c>
      <c r="W3221">
        <v>0</v>
      </c>
      <c r="X3221">
        <v>2</v>
      </c>
      <c r="Y3221">
        <v>0</v>
      </c>
      <c r="AA3221">
        <v>1</v>
      </c>
      <c r="AB3221">
        <v>8</v>
      </c>
      <c r="AC3221">
        <v>3</v>
      </c>
      <c r="AD3221">
        <v>0</v>
      </c>
      <c r="AE3221">
        <v>9</v>
      </c>
      <c r="AF3221" t="s">
        <v>138</v>
      </c>
      <c r="AG3221">
        <v>0</v>
      </c>
      <c r="AH3221">
        <v>3</v>
      </c>
      <c r="AI3221">
        <v>1</v>
      </c>
      <c r="AJ3221">
        <v>0</v>
      </c>
      <c r="AK3221" t="s">
        <v>1070</v>
      </c>
      <c r="AL3221">
        <v>32.713572999999997</v>
      </c>
      <c r="AM3221" t="s">
        <v>1071</v>
      </c>
      <c r="AN3221">
        <v>-116.751752</v>
      </c>
      <c r="AO3221">
        <v>25</v>
      </c>
      <c r="AP3221">
        <v>3700</v>
      </c>
      <c r="AQ3221" t="s">
        <v>129</v>
      </c>
      <c r="AR3221">
        <v>-26</v>
      </c>
      <c r="AS3221">
        <v>145</v>
      </c>
      <c r="AT3221">
        <v>-832</v>
      </c>
      <c r="BB3221">
        <v>1200</v>
      </c>
      <c r="BC3221">
        <v>1</v>
      </c>
      <c r="BD3221" t="str">
        <f t="shared" si="1168"/>
        <v xml:space="preserve">N887QR  </v>
      </c>
      <c r="BE3221">
        <v>1</v>
      </c>
      <c r="BG3221">
        <v>0</v>
      </c>
      <c r="BH3221">
        <v>0</v>
      </c>
      <c r="BI3221">
        <v>0</v>
      </c>
      <c r="BJ3221">
        <v>3300</v>
      </c>
      <c r="BK3221">
        <v>-400</v>
      </c>
      <c r="BL3221" t="s">
        <v>163</v>
      </c>
      <c r="BM3221">
        <v>1</v>
      </c>
      <c r="BN3221">
        <v>1</v>
      </c>
      <c r="BO3221">
        <v>1</v>
      </c>
      <c r="BP3221">
        <v>0</v>
      </c>
      <c r="BS3221">
        <v>0.04</v>
      </c>
      <c r="BT3221">
        <v>0</v>
      </c>
      <c r="BU3221">
        <v>0</v>
      </c>
      <c r="CE3221" t="str">
        <f t="shared" si="1174"/>
        <v>19:34:09.323</v>
      </c>
      <c r="CF3221">
        <v>322882716</v>
      </c>
      <c r="CS3221">
        <v>0</v>
      </c>
      <c r="CT3221">
        <v>2</v>
      </c>
      <c r="CU3221">
        <v>0</v>
      </c>
      <c r="CV3221">
        <v>2</v>
      </c>
      <c r="CW3221">
        <v>0</v>
      </c>
      <c r="CX3221">
        <v>5</v>
      </c>
      <c r="CY3221">
        <v>7</v>
      </c>
      <c r="CZ3221" t="s">
        <v>131</v>
      </c>
      <c r="DA3221">
        <v>300</v>
      </c>
      <c r="DB3221">
        <v>0</v>
      </c>
      <c r="DC3221" t="s">
        <v>176</v>
      </c>
      <c r="DD3221" t="s">
        <v>177</v>
      </c>
      <c r="DG3221">
        <v>5432554</v>
      </c>
      <c r="DI3221">
        <v>1</v>
      </c>
      <c r="DJ3221">
        <v>0</v>
      </c>
      <c r="DK3221">
        <v>1</v>
      </c>
      <c r="DL3221">
        <v>0</v>
      </c>
      <c r="DM3221">
        <v>0</v>
      </c>
      <c r="DN3221">
        <v>1</v>
      </c>
      <c r="DO3221">
        <v>0</v>
      </c>
      <c r="DP3221">
        <v>0</v>
      </c>
      <c r="DQ3221">
        <v>0</v>
      </c>
      <c r="DR3221">
        <v>0</v>
      </c>
      <c r="DS3221">
        <v>0</v>
      </c>
    </row>
    <row r="3222" spans="1:123" x14ac:dyDescent="0.3">
      <c r="A3222" t="str">
        <f t="shared" si="1172"/>
        <v>10/04/2022 19:34:09.589</v>
      </c>
      <c r="C3222" t="str">
        <f t="shared" si="1158"/>
        <v>FFDFD3C0</v>
      </c>
      <c r="D3222" t="s">
        <v>123</v>
      </c>
      <c r="E3222">
        <v>7</v>
      </c>
      <c r="F3222">
        <v>2007</v>
      </c>
      <c r="G3222" t="s">
        <v>124</v>
      </c>
      <c r="J3222" t="s">
        <v>125</v>
      </c>
      <c r="K3222">
        <v>0</v>
      </c>
      <c r="L3222">
        <v>3</v>
      </c>
      <c r="M3222">
        <v>0</v>
      </c>
      <c r="N3222">
        <v>2</v>
      </c>
      <c r="O3222">
        <v>0</v>
      </c>
      <c r="P3222">
        <v>1</v>
      </c>
      <c r="Q3222">
        <v>0</v>
      </c>
      <c r="S3222" t="str">
        <f t="shared" si="1173"/>
        <v>19:34:09.000</v>
      </c>
      <c r="T3222" t="str">
        <f t="shared" si="1173"/>
        <v>19:34:09.000</v>
      </c>
      <c r="U3222" t="str">
        <f t="shared" si="1167"/>
        <v>AC3944</v>
      </c>
      <c r="V3222">
        <v>0</v>
      </c>
      <c r="W3222">
        <v>0</v>
      </c>
      <c r="X3222">
        <v>2</v>
      </c>
      <c r="Y3222">
        <v>0</v>
      </c>
      <c r="AA3222">
        <v>1</v>
      </c>
      <c r="AB3222">
        <v>8</v>
      </c>
      <c r="AC3222">
        <v>3</v>
      </c>
      <c r="AD3222">
        <v>0</v>
      </c>
      <c r="AE3222">
        <v>9</v>
      </c>
      <c r="AF3222" t="s">
        <v>138</v>
      </c>
      <c r="AG3222">
        <v>0</v>
      </c>
      <c r="AH3222">
        <v>3</v>
      </c>
      <c r="AI3222">
        <v>1</v>
      </c>
      <c r="AJ3222">
        <v>0</v>
      </c>
      <c r="AK3222" t="s">
        <v>1070</v>
      </c>
      <c r="AL3222">
        <v>32.713572999999997</v>
      </c>
      <c r="AM3222" t="s">
        <v>1071</v>
      </c>
      <c r="AN3222">
        <v>-116.751752</v>
      </c>
      <c r="AO3222">
        <v>25</v>
      </c>
      <c r="AP3222">
        <v>3700</v>
      </c>
      <c r="AQ3222" t="s">
        <v>129</v>
      </c>
      <c r="AR3222">
        <v>-26</v>
      </c>
      <c r="AS3222">
        <v>145</v>
      </c>
      <c r="AT3222">
        <v>-832</v>
      </c>
      <c r="BB3222">
        <v>1200</v>
      </c>
      <c r="BC3222">
        <v>1</v>
      </c>
      <c r="BD3222" t="str">
        <f t="shared" si="1168"/>
        <v xml:space="preserve">N887QR  </v>
      </c>
      <c r="BE3222">
        <v>1</v>
      </c>
      <c r="BG3222">
        <v>0</v>
      </c>
      <c r="BH3222">
        <v>0</v>
      </c>
      <c r="BI3222">
        <v>0</v>
      </c>
      <c r="BJ3222">
        <v>3300</v>
      </c>
      <c r="BK3222">
        <v>-400</v>
      </c>
      <c r="BL3222" t="s">
        <v>163</v>
      </c>
      <c r="BM3222">
        <v>1</v>
      </c>
      <c r="BN3222">
        <v>1</v>
      </c>
      <c r="BO3222">
        <v>1</v>
      </c>
      <c r="BP3222">
        <v>0</v>
      </c>
      <c r="BS3222">
        <v>0.04</v>
      </c>
      <c r="BT3222">
        <v>0</v>
      </c>
      <c r="BU3222">
        <v>0</v>
      </c>
      <c r="CE3222" t="str">
        <f t="shared" si="1174"/>
        <v>19:34:09.323</v>
      </c>
      <c r="CF3222">
        <v>322882716</v>
      </c>
      <c r="CS3222">
        <v>0</v>
      </c>
      <c r="CT3222">
        <v>2</v>
      </c>
      <c r="CU3222">
        <v>0</v>
      </c>
      <c r="CV3222">
        <v>2</v>
      </c>
      <c r="CW3222">
        <v>0</v>
      </c>
      <c r="CX3222">
        <v>5</v>
      </c>
      <c r="CY3222">
        <v>7</v>
      </c>
      <c r="CZ3222" t="s">
        <v>131</v>
      </c>
      <c r="DA3222">
        <v>300</v>
      </c>
      <c r="DB3222">
        <v>0</v>
      </c>
      <c r="DC3222" t="s">
        <v>176</v>
      </c>
      <c r="DD3222" t="s">
        <v>177</v>
      </c>
      <c r="DG3222">
        <v>5432554</v>
      </c>
      <c r="DI3222">
        <v>1</v>
      </c>
      <c r="DJ3222">
        <v>0</v>
      </c>
      <c r="DK3222">
        <v>1</v>
      </c>
      <c r="DL3222">
        <v>0</v>
      </c>
      <c r="DM3222">
        <v>0</v>
      </c>
      <c r="DN3222">
        <v>1</v>
      </c>
      <c r="DO3222">
        <v>0</v>
      </c>
      <c r="DP3222">
        <v>0</v>
      </c>
      <c r="DQ3222">
        <v>0</v>
      </c>
      <c r="DR3222">
        <v>0</v>
      </c>
      <c r="DS3222">
        <v>0</v>
      </c>
    </row>
    <row r="3223" spans="1:123" x14ac:dyDescent="0.3">
      <c r="A3223" t="str">
        <f t="shared" si="1172"/>
        <v>10/04/2022 19:34:09.589</v>
      </c>
      <c r="C3223" t="str">
        <f t="shared" si="1158"/>
        <v>FFDFD3C0</v>
      </c>
      <c r="D3223" t="s">
        <v>147</v>
      </c>
      <c r="E3223">
        <v>3</v>
      </c>
      <c r="H3223">
        <v>166</v>
      </c>
      <c r="I3223" t="s">
        <v>144</v>
      </c>
      <c r="J3223" t="s">
        <v>148</v>
      </c>
      <c r="K3223">
        <v>0</v>
      </c>
      <c r="L3223">
        <v>3</v>
      </c>
      <c r="M3223">
        <v>0</v>
      </c>
      <c r="N3223">
        <v>2</v>
      </c>
      <c r="O3223">
        <v>0</v>
      </c>
      <c r="P3223">
        <v>1</v>
      </c>
      <c r="Q3223">
        <v>0</v>
      </c>
      <c r="S3223" t="str">
        <f t="shared" si="1173"/>
        <v>19:34:09.000</v>
      </c>
      <c r="T3223" t="str">
        <f t="shared" si="1173"/>
        <v>19:34:09.000</v>
      </c>
      <c r="U3223" t="str">
        <f t="shared" si="1167"/>
        <v>AC3944</v>
      </c>
      <c r="V3223">
        <v>0</v>
      </c>
      <c r="W3223">
        <v>0</v>
      </c>
      <c r="X3223">
        <v>2</v>
      </c>
      <c r="Y3223">
        <v>0</v>
      </c>
      <c r="AA3223">
        <v>1</v>
      </c>
      <c r="AB3223">
        <v>8</v>
      </c>
      <c r="AC3223">
        <v>3</v>
      </c>
      <c r="AD3223">
        <v>0</v>
      </c>
      <c r="AE3223">
        <v>9</v>
      </c>
      <c r="AF3223" t="s">
        <v>138</v>
      </c>
      <c r="AG3223">
        <v>0</v>
      </c>
      <c r="AH3223">
        <v>3</v>
      </c>
      <c r="AI3223">
        <v>1</v>
      </c>
      <c r="AJ3223">
        <v>0</v>
      </c>
      <c r="AK3223" t="s">
        <v>1070</v>
      </c>
      <c r="AL3223">
        <v>32.713572999999997</v>
      </c>
      <c r="AM3223" t="s">
        <v>1071</v>
      </c>
      <c r="AN3223">
        <v>-116.751752</v>
      </c>
      <c r="AO3223">
        <v>25</v>
      </c>
      <c r="AP3223">
        <v>3700</v>
      </c>
      <c r="AQ3223" t="s">
        <v>129</v>
      </c>
      <c r="AR3223">
        <v>-26</v>
      </c>
      <c r="AS3223">
        <v>145</v>
      </c>
      <c r="AT3223">
        <v>-832</v>
      </c>
      <c r="BB3223">
        <v>1200</v>
      </c>
      <c r="BC3223">
        <v>1</v>
      </c>
      <c r="BD3223" t="str">
        <f t="shared" si="1168"/>
        <v xml:space="preserve">N887QR  </v>
      </c>
      <c r="BE3223">
        <v>1</v>
      </c>
      <c r="BG3223">
        <v>0</v>
      </c>
      <c r="BH3223">
        <v>0</v>
      </c>
      <c r="BI3223">
        <v>0</v>
      </c>
      <c r="BJ3223">
        <v>3300</v>
      </c>
      <c r="BK3223">
        <v>-400</v>
      </c>
      <c r="BL3223" t="s">
        <v>163</v>
      </c>
      <c r="BM3223">
        <v>1</v>
      </c>
      <c r="BN3223">
        <v>1</v>
      </c>
      <c r="BO3223">
        <v>1</v>
      </c>
      <c r="BP3223">
        <v>0</v>
      </c>
      <c r="BS3223">
        <v>0.04</v>
      </c>
      <c r="BT3223">
        <v>0</v>
      </c>
      <c r="BU3223">
        <v>0</v>
      </c>
      <c r="CE3223" t="str">
        <f t="shared" si="1174"/>
        <v>19:34:09.323</v>
      </c>
      <c r="CF3223">
        <v>322882716</v>
      </c>
      <c r="CS3223">
        <v>0</v>
      </c>
      <c r="CT3223">
        <v>2</v>
      </c>
      <c r="CU3223">
        <v>0</v>
      </c>
      <c r="CV3223">
        <v>2</v>
      </c>
      <c r="CW3223">
        <v>0</v>
      </c>
      <c r="CX3223">
        <v>5</v>
      </c>
      <c r="CY3223">
        <v>7</v>
      </c>
      <c r="CZ3223" t="s">
        <v>131</v>
      </c>
      <c r="DA3223">
        <v>300</v>
      </c>
      <c r="DB3223">
        <v>0</v>
      </c>
      <c r="DC3223" t="s">
        <v>176</v>
      </c>
      <c r="DD3223" t="s">
        <v>177</v>
      </c>
      <c r="DG3223">
        <v>5432554</v>
      </c>
      <c r="DI3223">
        <v>1</v>
      </c>
      <c r="DJ3223">
        <v>0</v>
      </c>
      <c r="DK3223">
        <v>1</v>
      </c>
      <c r="DL3223">
        <v>0</v>
      </c>
      <c r="DM3223">
        <v>0</v>
      </c>
      <c r="DN3223">
        <v>1</v>
      </c>
      <c r="DO3223">
        <v>0</v>
      </c>
      <c r="DP3223">
        <v>0</v>
      </c>
      <c r="DQ3223">
        <v>0</v>
      </c>
      <c r="DR3223">
        <v>0</v>
      </c>
      <c r="DS3223">
        <v>0</v>
      </c>
    </row>
    <row r="3224" spans="1:123" x14ac:dyDescent="0.3">
      <c r="A3224" t="str">
        <f t="shared" si="1172"/>
        <v>10/04/2022 19:34:09.589</v>
      </c>
      <c r="C3224" t="str">
        <f t="shared" si="1158"/>
        <v>FFDFD3C0</v>
      </c>
      <c r="D3224" t="s">
        <v>141</v>
      </c>
      <c r="E3224">
        <v>3</v>
      </c>
      <c r="H3224">
        <v>3</v>
      </c>
      <c r="I3224" t="s">
        <v>146</v>
      </c>
      <c r="J3224" t="s">
        <v>138</v>
      </c>
      <c r="K3224">
        <v>0</v>
      </c>
      <c r="L3224">
        <v>3</v>
      </c>
      <c r="M3224">
        <v>0</v>
      </c>
      <c r="N3224">
        <v>2</v>
      </c>
      <c r="O3224">
        <v>0</v>
      </c>
      <c r="P3224">
        <v>1</v>
      </c>
      <c r="Q3224">
        <v>0</v>
      </c>
      <c r="S3224" t="str">
        <f t="shared" si="1173"/>
        <v>19:34:09.000</v>
      </c>
      <c r="T3224" t="str">
        <f t="shared" si="1173"/>
        <v>19:34:09.000</v>
      </c>
      <c r="U3224" t="str">
        <f t="shared" si="1167"/>
        <v>AC3944</v>
      </c>
      <c r="V3224">
        <v>0</v>
      </c>
      <c r="W3224">
        <v>0</v>
      </c>
      <c r="X3224">
        <v>2</v>
      </c>
      <c r="Y3224">
        <v>0</v>
      </c>
      <c r="AA3224">
        <v>1</v>
      </c>
      <c r="AB3224">
        <v>8</v>
      </c>
      <c r="AC3224">
        <v>3</v>
      </c>
      <c r="AD3224">
        <v>0</v>
      </c>
      <c r="AE3224">
        <v>9</v>
      </c>
      <c r="AF3224" t="s">
        <v>138</v>
      </c>
      <c r="AG3224">
        <v>0</v>
      </c>
      <c r="AH3224">
        <v>3</v>
      </c>
      <c r="AI3224">
        <v>1</v>
      </c>
      <c r="AJ3224">
        <v>0</v>
      </c>
      <c r="AK3224" t="s">
        <v>1070</v>
      </c>
      <c r="AL3224">
        <v>32.713572999999997</v>
      </c>
      <c r="AM3224" t="s">
        <v>1071</v>
      </c>
      <c r="AN3224">
        <v>-116.751752</v>
      </c>
      <c r="AO3224">
        <v>25</v>
      </c>
      <c r="AP3224">
        <v>3700</v>
      </c>
      <c r="AQ3224" t="s">
        <v>129</v>
      </c>
      <c r="AR3224">
        <v>-26</v>
      </c>
      <c r="AS3224">
        <v>145</v>
      </c>
      <c r="AT3224">
        <v>-832</v>
      </c>
      <c r="BB3224">
        <v>1200</v>
      </c>
      <c r="BC3224">
        <v>1</v>
      </c>
      <c r="BD3224" t="str">
        <f t="shared" si="1168"/>
        <v xml:space="preserve">N887QR  </v>
      </c>
      <c r="BE3224">
        <v>1</v>
      </c>
      <c r="BG3224">
        <v>0</v>
      </c>
      <c r="BH3224">
        <v>0</v>
      </c>
      <c r="BI3224">
        <v>0</v>
      </c>
      <c r="BJ3224">
        <v>3300</v>
      </c>
      <c r="BK3224">
        <v>-400</v>
      </c>
      <c r="BL3224" t="s">
        <v>163</v>
      </c>
      <c r="BM3224">
        <v>1</v>
      </c>
      <c r="BN3224">
        <v>1</v>
      </c>
      <c r="BO3224">
        <v>1</v>
      </c>
      <c r="BP3224">
        <v>0</v>
      </c>
      <c r="BS3224">
        <v>0.04</v>
      </c>
      <c r="BT3224">
        <v>0</v>
      </c>
      <c r="BU3224">
        <v>0</v>
      </c>
      <c r="CE3224" t="str">
        <f t="shared" si="1174"/>
        <v>19:34:09.323</v>
      </c>
      <c r="CF3224">
        <v>322882716</v>
      </c>
      <c r="CS3224">
        <v>0</v>
      </c>
      <c r="CT3224">
        <v>2</v>
      </c>
      <c r="CU3224">
        <v>0</v>
      </c>
      <c r="CV3224">
        <v>2</v>
      </c>
      <c r="CW3224">
        <v>0</v>
      </c>
      <c r="CX3224">
        <v>5</v>
      </c>
      <c r="CY3224">
        <v>7</v>
      </c>
      <c r="CZ3224" t="s">
        <v>131</v>
      </c>
      <c r="DA3224">
        <v>300</v>
      </c>
      <c r="DB3224">
        <v>0</v>
      </c>
      <c r="DC3224" t="s">
        <v>176</v>
      </c>
      <c r="DD3224" t="s">
        <v>177</v>
      </c>
      <c r="DG3224">
        <v>5432554</v>
      </c>
      <c r="DI3224">
        <v>1</v>
      </c>
      <c r="DJ3224">
        <v>0</v>
      </c>
      <c r="DK3224">
        <v>1</v>
      </c>
      <c r="DL3224">
        <v>0</v>
      </c>
      <c r="DM3224">
        <v>0</v>
      </c>
      <c r="DN3224">
        <v>1</v>
      </c>
      <c r="DO3224">
        <v>0</v>
      </c>
      <c r="DP3224">
        <v>0</v>
      </c>
      <c r="DQ3224">
        <v>0</v>
      </c>
      <c r="DR3224">
        <v>0</v>
      </c>
      <c r="DS3224">
        <v>0</v>
      </c>
    </row>
    <row r="3225" spans="1:123" x14ac:dyDescent="0.3">
      <c r="A3225" t="str">
        <f>"10/04/2022 19:34:09.964"</f>
        <v>10/04/2022 19:34:09.964</v>
      </c>
      <c r="C3225" t="str">
        <f t="shared" si="1158"/>
        <v>FFDFD3C0</v>
      </c>
      <c r="D3225" t="s">
        <v>136</v>
      </c>
      <c r="E3225">
        <v>8</v>
      </c>
      <c r="H3225">
        <v>225</v>
      </c>
      <c r="I3225" t="s">
        <v>137</v>
      </c>
      <c r="J3225" t="s">
        <v>138</v>
      </c>
      <c r="K3225">
        <v>0</v>
      </c>
      <c r="L3225">
        <v>3</v>
      </c>
      <c r="M3225">
        <v>0</v>
      </c>
      <c r="N3225">
        <v>2</v>
      </c>
      <c r="O3225">
        <v>0</v>
      </c>
      <c r="P3225">
        <v>1</v>
      </c>
      <c r="Q3225">
        <v>0</v>
      </c>
      <c r="S3225" t="str">
        <f t="shared" si="1173"/>
        <v>19:34:09.000</v>
      </c>
      <c r="T3225" t="str">
        <f t="shared" si="1173"/>
        <v>19:34:09.000</v>
      </c>
      <c r="U3225" t="str">
        <f t="shared" si="1167"/>
        <v>AC3944</v>
      </c>
      <c r="V3225">
        <v>0</v>
      </c>
      <c r="W3225">
        <v>0</v>
      </c>
      <c r="X3225">
        <v>2</v>
      </c>
      <c r="Y3225">
        <v>0</v>
      </c>
      <c r="AA3225">
        <v>1</v>
      </c>
      <c r="AB3225">
        <v>8</v>
      </c>
      <c r="AC3225">
        <v>3</v>
      </c>
      <c r="AD3225">
        <v>0</v>
      </c>
      <c r="AE3225">
        <v>9</v>
      </c>
      <c r="AF3225" t="s">
        <v>138</v>
      </c>
      <c r="AG3225">
        <v>0</v>
      </c>
      <c r="AH3225">
        <v>3</v>
      </c>
      <c r="AI3225">
        <v>1</v>
      </c>
      <c r="AJ3225">
        <v>0</v>
      </c>
      <c r="AK3225" t="s">
        <v>1072</v>
      </c>
      <c r="AL3225">
        <v>32.714281</v>
      </c>
      <c r="AM3225" t="s">
        <v>1065</v>
      </c>
      <c r="AN3225">
        <v>-116.751902</v>
      </c>
      <c r="AO3225">
        <v>25</v>
      </c>
      <c r="AP3225">
        <v>3700</v>
      </c>
      <c r="AQ3225" t="s">
        <v>129</v>
      </c>
      <c r="AR3225">
        <v>-33</v>
      </c>
      <c r="AS3225">
        <v>144</v>
      </c>
      <c r="AT3225">
        <v>-832</v>
      </c>
      <c r="BB3225">
        <v>1200</v>
      </c>
      <c r="BC3225">
        <v>1</v>
      </c>
      <c r="BD3225" t="str">
        <f t="shared" si="1168"/>
        <v xml:space="preserve">N887QR  </v>
      </c>
      <c r="BE3225">
        <v>1</v>
      </c>
      <c r="BG3225">
        <v>0</v>
      </c>
      <c r="BH3225">
        <v>0</v>
      </c>
      <c r="BI3225">
        <v>0</v>
      </c>
      <c r="BJ3225">
        <v>3275</v>
      </c>
      <c r="BK3225">
        <v>-425</v>
      </c>
      <c r="BL3225" t="s">
        <v>163</v>
      </c>
      <c r="BM3225">
        <v>1</v>
      </c>
      <c r="BN3225">
        <v>1</v>
      </c>
      <c r="BO3225">
        <v>1</v>
      </c>
      <c r="BP3225">
        <v>0</v>
      </c>
      <c r="BS3225">
        <v>0.04</v>
      </c>
      <c r="BT3225">
        <v>0</v>
      </c>
      <c r="BU3225">
        <v>0</v>
      </c>
      <c r="CE3225" t="str">
        <f t="shared" ref="CE3225:CE3231" si="1175">"19:34:09.761"</f>
        <v>19:34:09.761</v>
      </c>
      <c r="CF3225">
        <v>760634055</v>
      </c>
      <c r="CS3225">
        <v>0</v>
      </c>
      <c r="CT3225">
        <v>2</v>
      </c>
      <c r="CU3225">
        <v>0</v>
      </c>
      <c r="CV3225">
        <v>2</v>
      </c>
      <c r="CW3225">
        <v>0</v>
      </c>
      <c r="CX3225">
        <v>5</v>
      </c>
      <c r="CY3225">
        <v>7</v>
      </c>
      <c r="CZ3225" t="s">
        <v>131</v>
      </c>
      <c r="DA3225">
        <v>300</v>
      </c>
      <c r="DB3225">
        <v>0</v>
      </c>
      <c r="DC3225" t="s">
        <v>176</v>
      </c>
      <c r="DD3225" t="s">
        <v>177</v>
      </c>
      <c r="DG3225">
        <v>5432632</v>
      </c>
      <c r="DI3225">
        <v>1</v>
      </c>
      <c r="DJ3225">
        <v>0</v>
      </c>
      <c r="DK3225">
        <v>0</v>
      </c>
      <c r="DL3225">
        <v>0</v>
      </c>
      <c r="DM3225">
        <v>0</v>
      </c>
      <c r="DN3225">
        <v>1</v>
      </c>
      <c r="DO3225">
        <v>0</v>
      </c>
      <c r="DP3225">
        <v>0</v>
      </c>
      <c r="DQ3225">
        <v>0</v>
      </c>
      <c r="DR3225">
        <v>0</v>
      </c>
      <c r="DS3225">
        <v>0</v>
      </c>
    </row>
    <row r="3226" spans="1:123" x14ac:dyDescent="0.3">
      <c r="A3226" t="str">
        <f>"10/04/2022 19:34:09.964"</f>
        <v>10/04/2022 19:34:09.964</v>
      </c>
      <c r="C3226" t="str">
        <f t="shared" si="1158"/>
        <v>FFDFD3C0</v>
      </c>
      <c r="D3226" t="s">
        <v>143</v>
      </c>
      <c r="E3226">
        <v>20</v>
      </c>
      <c r="F3226">
        <v>1020</v>
      </c>
      <c r="G3226" t="s">
        <v>144</v>
      </c>
      <c r="J3226" t="s">
        <v>145</v>
      </c>
      <c r="K3226">
        <v>0</v>
      </c>
      <c r="L3226">
        <v>3</v>
      </c>
      <c r="M3226">
        <v>0</v>
      </c>
      <c r="N3226">
        <v>2</v>
      </c>
      <c r="O3226">
        <v>0</v>
      </c>
      <c r="P3226">
        <v>1</v>
      </c>
      <c r="Q3226">
        <v>0</v>
      </c>
      <c r="S3226" t="str">
        <f t="shared" si="1173"/>
        <v>19:34:09.000</v>
      </c>
      <c r="T3226" t="str">
        <f t="shared" si="1173"/>
        <v>19:34:09.000</v>
      </c>
      <c r="U3226" t="str">
        <f t="shared" si="1167"/>
        <v>AC3944</v>
      </c>
      <c r="V3226">
        <v>0</v>
      </c>
      <c r="W3226">
        <v>0</v>
      </c>
      <c r="X3226">
        <v>2</v>
      </c>
      <c r="Y3226">
        <v>0</v>
      </c>
      <c r="AA3226">
        <v>1</v>
      </c>
      <c r="AB3226">
        <v>8</v>
      </c>
      <c r="AC3226">
        <v>3</v>
      </c>
      <c r="AD3226">
        <v>0</v>
      </c>
      <c r="AE3226">
        <v>9</v>
      </c>
      <c r="AF3226" t="s">
        <v>138</v>
      </c>
      <c r="AG3226">
        <v>0</v>
      </c>
      <c r="AH3226">
        <v>3</v>
      </c>
      <c r="AI3226">
        <v>1</v>
      </c>
      <c r="AJ3226">
        <v>0</v>
      </c>
      <c r="AK3226" t="s">
        <v>1072</v>
      </c>
      <c r="AL3226">
        <v>32.714281</v>
      </c>
      <c r="AM3226" t="s">
        <v>1065</v>
      </c>
      <c r="AN3226">
        <v>-116.751902</v>
      </c>
      <c r="AO3226">
        <v>25</v>
      </c>
      <c r="AP3226">
        <v>3700</v>
      </c>
      <c r="AQ3226" t="s">
        <v>129</v>
      </c>
      <c r="AR3226">
        <v>-33</v>
      </c>
      <c r="AS3226">
        <v>144</v>
      </c>
      <c r="AT3226">
        <v>-832</v>
      </c>
      <c r="BB3226">
        <v>1200</v>
      </c>
      <c r="BC3226">
        <v>1</v>
      </c>
      <c r="BD3226" t="str">
        <f t="shared" si="1168"/>
        <v xml:space="preserve">N887QR  </v>
      </c>
      <c r="BE3226">
        <v>1</v>
      </c>
      <c r="BG3226">
        <v>0</v>
      </c>
      <c r="BH3226">
        <v>0</v>
      </c>
      <c r="BI3226">
        <v>0</v>
      </c>
      <c r="BJ3226">
        <v>3275</v>
      </c>
      <c r="BK3226">
        <v>-425</v>
      </c>
      <c r="BL3226" t="s">
        <v>163</v>
      </c>
      <c r="BM3226">
        <v>1</v>
      </c>
      <c r="BN3226">
        <v>1</v>
      </c>
      <c r="BO3226">
        <v>1</v>
      </c>
      <c r="BP3226">
        <v>0</v>
      </c>
      <c r="BS3226">
        <v>0.04</v>
      </c>
      <c r="BT3226">
        <v>0</v>
      </c>
      <c r="BU3226">
        <v>0</v>
      </c>
      <c r="CE3226" t="str">
        <f t="shared" si="1175"/>
        <v>19:34:09.761</v>
      </c>
      <c r="CF3226">
        <v>760634055</v>
      </c>
      <c r="CS3226">
        <v>0</v>
      </c>
      <c r="CT3226">
        <v>2</v>
      </c>
      <c r="CU3226">
        <v>0</v>
      </c>
      <c r="CV3226">
        <v>2</v>
      </c>
      <c r="CW3226">
        <v>0</v>
      </c>
      <c r="CX3226">
        <v>5</v>
      </c>
      <c r="CY3226">
        <v>7</v>
      </c>
      <c r="CZ3226" t="s">
        <v>131</v>
      </c>
      <c r="DA3226">
        <v>300</v>
      </c>
      <c r="DB3226">
        <v>0</v>
      </c>
      <c r="DC3226" t="s">
        <v>176</v>
      </c>
      <c r="DD3226" t="s">
        <v>177</v>
      </c>
      <c r="DG3226">
        <v>5432632</v>
      </c>
      <c r="DI3226">
        <v>1</v>
      </c>
      <c r="DJ3226">
        <v>0</v>
      </c>
      <c r="DK3226">
        <v>1</v>
      </c>
      <c r="DL3226">
        <v>0</v>
      </c>
      <c r="DM3226">
        <v>0</v>
      </c>
      <c r="DN3226">
        <v>1</v>
      </c>
      <c r="DO3226">
        <v>0</v>
      </c>
      <c r="DP3226">
        <v>0</v>
      </c>
      <c r="DQ3226">
        <v>0</v>
      </c>
      <c r="DR3226">
        <v>0</v>
      </c>
      <c r="DS3226">
        <v>0</v>
      </c>
    </row>
    <row r="3227" spans="1:123" x14ac:dyDescent="0.3">
      <c r="A3227" t="str">
        <f>"10/04/2022 19:34:09.964"</f>
        <v>10/04/2022 19:34:09.964</v>
      </c>
      <c r="C3227" t="str">
        <f t="shared" si="1158"/>
        <v>FFDFD3C0</v>
      </c>
      <c r="D3227" t="s">
        <v>134</v>
      </c>
      <c r="E3227">
        <v>15</v>
      </c>
      <c r="J3227" t="s">
        <v>135</v>
      </c>
      <c r="K3227">
        <v>0</v>
      </c>
      <c r="L3227">
        <v>3</v>
      </c>
      <c r="M3227">
        <v>0</v>
      </c>
      <c r="N3227">
        <v>2</v>
      </c>
      <c r="O3227">
        <v>0</v>
      </c>
      <c r="P3227">
        <v>1</v>
      </c>
      <c r="Q3227">
        <v>0</v>
      </c>
      <c r="S3227" t="str">
        <f t="shared" si="1173"/>
        <v>19:34:09.000</v>
      </c>
      <c r="T3227" t="str">
        <f t="shared" si="1173"/>
        <v>19:34:09.000</v>
      </c>
      <c r="U3227" t="str">
        <f t="shared" si="1167"/>
        <v>AC3944</v>
      </c>
      <c r="V3227">
        <v>0</v>
      </c>
      <c r="W3227">
        <v>0</v>
      </c>
      <c r="X3227">
        <v>2</v>
      </c>
      <c r="Y3227">
        <v>0</v>
      </c>
      <c r="AA3227">
        <v>1</v>
      </c>
      <c r="AB3227">
        <v>8</v>
      </c>
      <c r="AC3227">
        <v>3</v>
      </c>
      <c r="AD3227">
        <v>0</v>
      </c>
      <c r="AE3227">
        <v>9</v>
      </c>
      <c r="AF3227" t="s">
        <v>138</v>
      </c>
      <c r="AG3227">
        <v>0</v>
      </c>
      <c r="AH3227">
        <v>3</v>
      </c>
      <c r="AI3227">
        <v>1</v>
      </c>
      <c r="AJ3227">
        <v>0</v>
      </c>
      <c r="AK3227" t="s">
        <v>1072</v>
      </c>
      <c r="AL3227">
        <v>32.714281</v>
      </c>
      <c r="AM3227" t="s">
        <v>1065</v>
      </c>
      <c r="AN3227">
        <v>-116.751902</v>
      </c>
      <c r="AO3227">
        <v>25</v>
      </c>
      <c r="AP3227">
        <v>3700</v>
      </c>
      <c r="AQ3227" t="s">
        <v>129</v>
      </c>
      <c r="AR3227">
        <v>-33</v>
      </c>
      <c r="AS3227">
        <v>144</v>
      </c>
      <c r="AT3227">
        <v>-832</v>
      </c>
      <c r="BB3227">
        <v>1200</v>
      </c>
      <c r="BC3227">
        <v>1</v>
      </c>
      <c r="BD3227" t="str">
        <f t="shared" si="1168"/>
        <v xml:space="preserve">N887QR  </v>
      </c>
      <c r="BE3227">
        <v>1</v>
      </c>
      <c r="BG3227">
        <v>0</v>
      </c>
      <c r="BH3227">
        <v>0</v>
      </c>
      <c r="BI3227">
        <v>0</v>
      </c>
      <c r="BJ3227">
        <v>3275</v>
      </c>
      <c r="BK3227">
        <v>-425</v>
      </c>
      <c r="BL3227" t="s">
        <v>163</v>
      </c>
      <c r="BM3227">
        <v>1</v>
      </c>
      <c r="BN3227">
        <v>1</v>
      </c>
      <c r="BO3227">
        <v>1</v>
      </c>
      <c r="BP3227">
        <v>0</v>
      </c>
      <c r="BS3227">
        <v>0.04</v>
      </c>
      <c r="BT3227">
        <v>0</v>
      </c>
      <c r="BU3227">
        <v>0</v>
      </c>
      <c r="CE3227" t="str">
        <f t="shared" si="1175"/>
        <v>19:34:09.761</v>
      </c>
      <c r="CF3227">
        <v>760634055</v>
      </c>
      <c r="CS3227">
        <v>0</v>
      </c>
      <c r="CT3227">
        <v>2</v>
      </c>
      <c r="CU3227">
        <v>0</v>
      </c>
      <c r="CV3227">
        <v>2</v>
      </c>
      <c r="CW3227">
        <v>0</v>
      </c>
      <c r="CX3227">
        <v>5</v>
      </c>
      <c r="CY3227">
        <v>7</v>
      </c>
      <c r="CZ3227" t="s">
        <v>131</v>
      </c>
      <c r="DA3227">
        <v>300</v>
      </c>
      <c r="DB3227">
        <v>0</v>
      </c>
      <c r="DC3227" t="s">
        <v>176</v>
      </c>
      <c r="DD3227" t="s">
        <v>177</v>
      </c>
      <c r="DG3227">
        <v>5432632</v>
      </c>
      <c r="DI3227">
        <v>1</v>
      </c>
      <c r="DJ3227">
        <v>0</v>
      </c>
      <c r="DK3227">
        <v>1</v>
      </c>
      <c r="DL3227">
        <v>0</v>
      </c>
      <c r="DM3227">
        <v>0</v>
      </c>
      <c r="DN3227">
        <v>1</v>
      </c>
      <c r="DO3227">
        <v>0</v>
      </c>
      <c r="DP3227">
        <v>0</v>
      </c>
      <c r="DQ3227">
        <v>0</v>
      </c>
      <c r="DR3227">
        <v>0</v>
      </c>
      <c r="DS3227">
        <v>0</v>
      </c>
    </row>
    <row r="3228" spans="1:123" x14ac:dyDescent="0.3">
      <c r="A3228" t="str">
        <f>"10/04/2022 19:34:10.042"</f>
        <v>10/04/2022 19:34:10.042</v>
      </c>
      <c r="C3228" t="str">
        <f t="shared" si="1158"/>
        <v>FFDFD3C0</v>
      </c>
      <c r="D3228" t="s">
        <v>123</v>
      </c>
      <c r="E3228">
        <v>7</v>
      </c>
      <c r="F3228">
        <v>2007</v>
      </c>
      <c r="G3228" t="s">
        <v>124</v>
      </c>
      <c r="J3228" t="s">
        <v>125</v>
      </c>
      <c r="K3228">
        <v>0</v>
      </c>
      <c r="L3228">
        <v>3</v>
      </c>
      <c r="M3228">
        <v>0</v>
      </c>
      <c r="N3228">
        <v>2</v>
      </c>
      <c r="O3228">
        <v>0</v>
      </c>
      <c r="P3228">
        <v>1</v>
      </c>
      <c r="Q3228">
        <v>0</v>
      </c>
      <c r="S3228" t="str">
        <f t="shared" si="1173"/>
        <v>19:34:09.000</v>
      </c>
      <c r="T3228" t="str">
        <f t="shared" si="1173"/>
        <v>19:34:09.000</v>
      </c>
      <c r="U3228" t="str">
        <f t="shared" si="1167"/>
        <v>AC3944</v>
      </c>
      <c r="V3228">
        <v>0</v>
      </c>
      <c r="W3228">
        <v>0</v>
      </c>
      <c r="X3228">
        <v>2</v>
      </c>
      <c r="Y3228">
        <v>0</v>
      </c>
      <c r="AA3228">
        <v>1</v>
      </c>
      <c r="AB3228">
        <v>8</v>
      </c>
      <c r="AC3228">
        <v>3</v>
      </c>
      <c r="AD3228">
        <v>0</v>
      </c>
      <c r="AE3228">
        <v>9</v>
      </c>
      <c r="AF3228" t="s">
        <v>138</v>
      </c>
      <c r="AG3228">
        <v>0</v>
      </c>
      <c r="AH3228">
        <v>3</v>
      </c>
      <c r="AI3228">
        <v>1</v>
      </c>
      <c r="AJ3228">
        <v>0</v>
      </c>
      <c r="AK3228" t="s">
        <v>1072</v>
      </c>
      <c r="AL3228">
        <v>32.714281</v>
      </c>
      <c r="AM3228" t="s">
        <v>1065</v>
      </c>
      <c r="AN3228">
        <v>-116.751902</v>
      </c>
      <c r="AO3228">
        <v>25</v>
      </c>
      <c r="AP3228">
        <v>3700</v>
      </c>
      <c r="AQ3228" t="s">
        <v>129</v>
      </c>
      <c r="AR3228">
        <v>-33</v>
      </c>
      <c r="AS3228">
        <v>144</v>
      </c>
      <c r="AT3228">
        <v>-832</v>
      </c>
      <c r="BB3228">
        <v>1200</v>
      </c>
      <c r="BC3228">
        <v>1</v>
      </c>
      <c r="BD3228" t="str">
        <f t="shared" si="1168"/>
        <v xml:space="preserve">N887QR  </v>
      </c>
      <c r="BE3228">
        <v>1</v>
      </c>
      <c r="BG3228">
        <v>0</v>
      </c>
      <c r="BH3228">
        <v>0</v>
      </c>
      <c r="BI3228">
        <v>0</v>
      </c>
      <c r="BJ3228">
        <v>3275</v>
      </c>
      <c r="BK3228">
        <v>-425</v>
      </c>
      <c r="BL3228" t="s">
        <v>163</v>
      </c>
      <c r="BM3228">
        <v>1</v>
      </c>
      <c r="BN3228">
        <v>1</v>
      </c>
      <c r="BO3228">
        <v>1</v>
      </c>
      <c r="BP3228">
        <v>0</v>
      </c>
      <c r="BS3228">
        <v>0.04</v>
      </c>
      <c r="BT3228">
        <v>0</v>
      </c>
      <c r="BU3228">
        <v>0</v>
      </c>
      <c r="CE3228" t="str">
        <f t="shared" si="1175"/>
        <v>19:34:09.761</v>
      </c>
      <c r="CF3228">
        <v>760634055</v>
      </c>
      <c r="CS3228">
        <v>0</v>
      </c>
      <c r="CT3228">
        <v>2</v>
      </c>
      <c r="CU3228">
        <v>0</v>
      </c>
      <c r="CV3228">
        <v>2</v>
      </c>
      <c r="CW3228">
        <v>0</v>
      </c>
      <c r="CX3228">
        <v>5</v>
      </c>
      <c r="CY3228">
        <v>7</v>
      </c>
      <c r="CZ3228" t="s">
        <v>131</v>
      </c>
      <c r="DA3228">
        <v>300</v>
      </c>
      <c r="DB3228">
        <v>0</v>
      </c>
      <c r="DC3228" t="s">
        <v>176</v>
      </c>
      <c r="DD3228" t="s">
        <v>177</v>
      </c>
      <c r="DG3228">
        <v>5432632</v>
      </c>
      <c r="DI3228">
        <v>1</v>
      </c>
      <c r="DJ3228">
        <v>0</v>
      </c>
      <c r="DK3228">
        <v>1</v>
      </c>
      <c r="DL3228">
        <v>0</v>
      </c>
      <c r="DM3228">
        <v>0</v>
      </c>
      <c r="DN3228">
        <v>1</v>
      </c>
      <c r="DO3228">
        <v>0</v>
      </c>
      <c r="DP3228">
        <v>0</v>
      </c>
      <c r="DQ3228">
        <v>0</v>
      </c>
      <c r="DR3228">
        <v>0</v>
      </c>
      <c r="DS3228">
        <v>0</v>
      </c>
    </row>
    <row r="3229" spans="1:123" x14ac:dyDescent="0.3">
      <c r="A3229" t="str">
        <f>"10/04/2022 19:34:10.042"</f>
        <v>10/04/2022 19:34:10.042</v>
      </c>
      <c r="C3229" t="str">
        <f t="shared" si="1158"/>
        <v>FFDFD3C0</v>
      </c>
      <c r="D3229" t="s">
        <v>147</v>
      </c>
      <c r="E3229">
        <v>3</v>
      </c>
      <c r="H3229">
        <v>166</v>
      </c>
      <c r="I3229" t="s">
        <v>144</v>
      </c>
      <c r="J3229" t="s">
        <v>148</v>
      </c>
      <c r="K3229">
        <v>0</v>
      </c>
      <c r="L3229">
        <v>3</v>
      </c>
      <c r="M3229">
        <v>0</v>
      </c>
      <c r="N3229">
        <v>2</v>
      </c>
      <c r="O3229">
        <v>0</v>
      </c>
      <c r="P3229">
        <v>1</v>
      </c>
      <c r="Q3229">
        <v>0</v>
      </c>
      <c r="S3229" t="str">
        <f t="shared" si="1173"/>
        <v>19:34:09.000</v>
      </c>
      <c r="T3229" t="str">
        <f t="shared" si="1173"/>
        <v>19:34:09.000</v>
      </c>
      <c r="U3229" t="str">
        <f t="shared" si="1167"/>
        <v>AC3944</v>
      </c>
      <c r="V3229">
        <v>0</v>
      </c>
      <c r="W3229">
        <v>0</v>
      </c>
      <c r="X3229">
        <v>2</v>
      </c>
      <c r="Y3229">
        <v>0</v>
      </c>
      <c r="AA3229">
        <v>1</v>
      </c>
      <c r="AB3229">
        <v>8</v>
      </c>
      <c r="AC3229">
        <v>3</v>
      </c>
      <c r="AD3229">
        <v>0</v>
      </c>
      <c r="AE3229">
        <v>9</v>
      </c>
      <c r="AF3229" t="s">
        <v>138</v>
      </c>
      <c r="AG3229">
        <v>0</v>
      </c>
      <c r="AH3229">
        <v>3</v>
      </c>
      <c r="AI3229">
        <v>1</v>
      </c>
      <c r="AJ3229">
        <v>0</v>
      </c>
      <c r="AK3229" t="s">
        <v>1072</v>
      </c>
      <c r="AL3229">
        <v>32.714281</v>
      </c>
      <c r="AM3229" t="s">
        <v>1065</v>
      </c>
      <c r="AN3229">
        <v>-116.751902</v>
      </c>
      <c r="AO3229">
        <v>25</v>
      </c>
      <c r="AP3229">
        <v>3700</v>
      </c>
      <c r="AQ3229" t="s">
        <v>129</v>
      </c>
      <c r="AR3229">
        <v>-33</v>
      </c>
      <c r="AS3229">
        <v>144</v>
      </c>
      <c r="AT3229">
        <v>-832</v>
      </c>
      <c r="BB3229">
        <v>1200</v>
      </c>
      <c r="BC3229">
        <v>1</v>
      </c>
      <c r="BD3229" t="str">
        <f t="shared" si="1168"/>
        <v xml:space="preserve">N887QR  </v>
      </c>
      <c r="BE3229">
        <v>1</v>
      </c>
      <c r="BG3229">
        <v>0</v>
      </c>
      <c r="BH3229">
        <v>0</v>
      </c>
      <c r="BI3229">
        <v>0</v>
      </c>
      <c r="BJ3229">
        <v>3275</v>
      </c>
      <c r="BK3229">
        <v>-425</v>
      </c>
      <c r="BL3229" t="s">
        <v>163</v>
      </c>
      <c r="BM3229">
        <v>1</v>
      </c>
      <c r="BN3229">
        <v>1</v>
      </c>
      <c r="BO3229">
        <v>1</v>
      </c>
      <c r="BP3229">
        <v>0</v>
      </c>
      <c r="BS3229">
        <v>0.04</v>
      </c>
      <c r="BT3229">
        <v>0</v>
      </c>
      <c r="BU3229">
        <v>0</v>
      </c>
      <c r="CE3229" t="str">
        <f t="shared" si="1175"/>
        <v>19:34:09.761</v>
      </c>
      <c r="CF3229">
        <v>760634055</v>
      </c>
      <c r="CS3229">
        <v>0</v>
      </c>
      <c r="CT3229">
        <v>2</v>
      </c>
      <c r="CU3229">
        <v>0</v>
      </c>
      <c r="CV3229">
        <v>2</v>
      </c>
      <c r="CW3229">
        <v>0</v>
      </c>
      <c r="CX3229">
        <v>5</v>
      </c>
      <c r="CY3229">
        <v>7</v>
      </c>
      <c r="CZ3229" t="s">
        <v>131</v>
      </c>
      <c r="DA3229">
        <v>300</v>
      </c>
      <c r="DB3229">
        <v>0</v>
      </c>
      <c r="DC3229" t="s">
        <v>176</v>
      </c>
      <c r="DD3229" t="s">
        <v>177</v>
      </c>
      <c r="DG3229">
        <v>5432632</v>
      </c>
      <c r="DI3229">
        <v>1</v>
      </c>
      <c r="DJ3229">
        <v>0</v>
      </c>
      <c r="DK3229">
        <v>1</v>
      </c>
      <c r="DL3229">
        <v>0</v>
      </c>
      <c r="DM3229">
        <v>0</v>
      </c>
      <c r="DN3229">
        <v>1</v>
      </c>
      <c r="DO3229">
        <v>0</v>
      </c>
      <c r="DP3229">
        <v>0</v>
      </c>
      <c r="DQ3229">
        <v>0</v>
      </c>
      <c r="DR3229">
        <v>0</v>
      </c>
      <c r="DS3229">
        <v>0</v>
      </c>
    </row>
    <row r="3230" spans="1:123" x14ac:dyDescent="0.3">
      <c r="A3230" t="str">
        <f>"10/04/2022 19:34:10.042"</f>
        <v>10/04/2022 19:34:10.042</v>
      </c>
      <c r="C3230" t="str">
        <f t="shared" si="1158"/>
        <v>FFDFD3C0</v>
      </c>
      <c r="D3230" t="s">
        <v>141</v>
      </c>
      <c r="E3230">
        <v>3</v>
      </c>
      <c r="H3230">
        <v>3</v>
      </c>
      <c r="I3230" t="s">
        <v>146</v>
      </c>
      <c r="J3230" t="s">
        <v>138</v>
      </c>
      <c r="K3230">
        <v>0</v>
      </c>
      <c r="L3230">
        <v>3</v>
      </c>
      <c r="M3230">
        <v>0</v>
      </c>
      <c r="N3230">
        <v>2</v>
      </c>
      <c r="O3230">
        <v>0</v>
      </c>
      <c r="P3230">
        <v>1</v>
      </c>
      <c r="Q3230">
        <v>0</v>
      </c>
      <c r="S3230" t="str">
        <f t="shared" si="1173"/>
        <v>19:34:09.000</v>
      </c>
      <c r="T3230" t="str">
        <f t="shared" si="1173"/>
        <v>19:34:09.000</v>
      </c>
      <c r="U3230" t="str">
        <f t="shared" si="1167"/>
        <v>AC3944</v>
      </c>
      <c r="V3230">
        <v>0</v>
      </c>
      <c r="W3230">
        <v>0</v>
      </c>
      <c r="X3230">
        <v>2</v>
      </c>
      <c r="Y3230">
        <v>0</v>
      </c>
      <c r="AA3230">
        <v>1</v>
      </c>
      <c r="AB3230">
        <v>8</v>
      </c>
      <c r="AC3230">
        <v>3</v>
      </c>
      <c r="AD3230">
        <v>0</v>
      </c>
      <c r="AE3230">
        <v>9</v>
      </c>
      <c r="AF3230" t="s">
        <v>138</v>
      </c>
      <c r="AG3230">
        <v>0</v>
      </c>
      <c r="AH3230">
        <v>3</v>
      </c>
      <c r="AI3230">
        <v>1</v>
      </c>
      <c r="AJ3230">
        <v>0</v>
      </c>
      <c r="AK3230" t="s">
        <v>1072</v>
      </c>
      <c r="AL3230">
        <v>32.714281</v>
      </c>
      <c r="AM3230" t="s">
        <v>1065</v>
      </c>
      <c r="AN3230">
        <v>-116.751902</v>
      </c>
      <c r="AO3230">
        <v>25</v>
      </c>
      <c r="AP3230">
        <v>3700</v>
      </c>
      <c r="AQ3230" t="s">
        <v>129</v>
      </c>
      <c r="AR3230">
        <v>-33</v>
      </c>
      <c r="AS3230">
        <v>144</v>
      </c>
      <c r="AT3230">
        <v>-832</v>
      </c>
      <c r="BB3230">
        <v>1200</v>
      </c>
      <c r="BC3230">
        <v>1</v>
      </c>
      <c r="BD3230" t="str">
        <f t="shared" si="1168"/>
        <v xml:space="preserve">N887QR  </v>
      </c>
      <c r="BE3230">
        <v>1</v>
      </c>
      <c r="BG3230">
        <v>0</v>
      </c>
      <c r="BH3230">
        <v>0</v>
      </c>
      <c r="BI3230">
        <v>0</v>
      </c>
      <c r="BJ3230">
        <v>3275</v>
      </c>
      <c r="BK3230">
        <v>-425</v>
      </c>
      <c r="BL3230" t="s">
        <v>163</v>
      </c>
      <c r="BM3230">
        <v>1</v>
      </c>
      <c r="BN3230">
        <v>1</v>
      </c>
      <c r="BO3230">
        <v>1</v>
      </c>
      <c r="BP3230">
        <v>0</v>
      </c>
      <c r="BS3230">
        <v>0.04</v>
      </c>
      <c r="BT3230">
        <v>0</v>
      </c>
      <c r="BU3230">
        <v>0</v>
      </c>
      <c r="CE3230" t="str">
        <f t="shared" si="1175"/>
        <v>19:34:09.761</v>
      </c>
      <c r="CF3230">
        <v>760634055</v>
      </c>
      <c r="CS3230">
        <v>0</v>
      </c>
      <c r="CT3230">
        <v>2</v>
      </c>
      <c r="CU3230">
        <v>0</v>
      </c>
      <c r="CV3230">
        <v>2</v>
      </c>
      <c r="CW3230">
        <v>0</v>
      </c>
      <c r="CX3230">
        <v>5</v>
      </c>
      <c r="CY3230">
        <v>7</v>
      </c>
      <c r="CZ3230" t="s">
        <v>131</v>
      </c>
      <c r="DA3230">
        <v>300</v>
      </c>
      <c r="DB3230">
        <v>0</v>
      </c>
      <c r="DC3230" t="s">
        <v>176</v>
      </c>
      <c r="DD3230" t="s">
        <v>177</v>
      </c>
      <c r="DG3230">
        <v>5432632</v>
      </c>
      <c r="DI3230">
        <v>1</v>
      </c>
      <c r="DJ3230">
        <v>0</v>
      </c>
      <c r="DK3230">
        <v>1</v>
      </c>
      <c r="DL3230">
        <v>0</v>
      </c>
      <c r="DM3230">
        <v>0</v>
      </c>
      <c r="DN3230">
        <v>1</v>
      </c>
      <c r="DO3230">
        <v>0</v>
      </c>
      <c r="DP3230">
        <v>0</v>
      </c>
      <c r="DQ3230">
        <v>0</v>
      </c>
      <c r="DR3230">
        <v>0</v>
      </c>
      <c r="DS3230">
        <v>0</v>
      </c>
    </row>
    <row r="3231" spans="1:123" x14ac:dyDescent="0.3">
      <c r="A3231" t="str">
        <f>"10/04/2022 19:34:10.042"</f>
        <v>10/04/2022 19:34:10.042</v>
      </c>
      <c r="C3231" t="str">
        <f t="shared" si="1158"/>
        <v>FFDFD3C0</v>
      </c>
      <c r="D3231" t="s">
        <v>141</v>
      </c>
      <c r="E3231">
        <v>4</v>
      </c>
      <c r="H3231">
        <v>4</v>
      </c>
      <c r="I3231" t="s">
        <v>142</v>
      </c>
      <c r="J3231" t="s">
        <v>138</v>
      </c>
      <c r="K3231">
        <v>0</v>
      </c>
      <c r="L3231">
        <v>3</v>
      </c>
      <c r="M3231">
        <v>0</v>
      </c>
      <c r="N3231">
        <v>2</v>
      </c>
      <c r="O3231">
        <v>0</v>
      </c>
      <c r="P3231">
        <v>1</v>
      </c>
      <c r="Q3231">
        <v>0</v>
      </c>
      <c r="S3231" t="str">
        <f t="shared" si="1173"/>
        <v>19:34:09.000</v>
      </c>
      <c r="T3231" t="str">
        <f t="shared" si="1173"/>
        <v>19:34:09.000</v>
      </c>
      <c r="U3231" t="str">
        <f t="shared" si="1167"/>
        <v>AC3944</v>
      </c>
      <c r="V3231">
        <v>0</v>
      </c>
      <c r="W3231">
        <v>0</v>
      </c>
      <c r="X3231">
        <v>2</v>
      </c>
      <c r="Y3231">
        <v>0</v>
      </c>
      <c r="AA3231">
        <v>1</v>
      </c>
      <c r="AB3231">
        <v>8</v>
      </c>
      <c r="AC3231">
        <v>3</v>
      </c>
      <c r="AD3231">
        <v>0</v>
      </c>
      <c r="AE3231">
        <v>9</v>
      </c>
      <c r="AF3231" t="s">
        <v>138</v>
      </c>
      <c r="AG3231">
        <v>0</v>
      </c>
      <c r="AH3231">
        <v>3</v>
      </c>
      <c r="AI3231">
        <v>1</v>
      </c>
      <c r="AJ3231">
        <v>0</v>
      </c>
      <c r="AK3231" t="s">
        <v>1072</v>
      </c>
      <c r="AL3231">
        <v>32.714281</v>
      </c>
      <c r="AM3231" t="s">
        <v>1065</v>
      </c>
      <c r="AN3231">
        <v>-116.751902</v>
      </c>
      <c r="AO3231">
        <v>25</v>
      </c>
      <c r="AP3231">
        <v>3700</v>
      </c>
      <c r="AQ3231" t="s">
        <v>129</v>
      </c>
      <c r="AR3231">
        <v>-33</v>
      </c>
      <c r="AS3231">
        <v>144</v>
      </c>
      <c r="AT3231">
        <v>-832</v>
      </c>
      <c r="BB3231">
        <v>1200</v>
      </c>
      <c r="BC3231">
        <v>1</v>
      </c>
      <c r="BD3231" t="str">
        <f t="shared" si="1168"/>
        <v xml:space="preserve">N887QR  </v>
      </c>
      <c r="BE3231">
        <v>1</v>
      </c>
      <c r="BG3231">
        <v>0</v>
      </c>
      <c r="BH3231">
        <v>0</v>
      </c>
      <c r="BI3231">
        <v>0</v>
      </c>
      <c r="BJ3231">
        <v>3275</v>
      </c>
      <c r="BK3231">
        <v>-425</v>
      </c>
      <c r="BL3231" t="s">
        <v>163</v>
      </c>
      <c r="BM3231">
        <v>1</v>
      </c>
      <c r="BN3231">
        <v>1</v>
      </c>
      <c r="BO3231">
        <v>1</v>
      </c>
      <c r="BP3231">
        <v>0</v>
      </c>
      <c r="BS3231">
        <v>0.04</v>
      </c>
      <c r="BT3231">
        <v>0</v>
      </c>
      <c r="BU3231">
        <v>0</v>
      </c>
      <c r="CE3231" t="str">
        <f t="shared" si="1175"/>
        <v>19:34:09.761</v>
      </c>
      <c r="CF3231">
        <v>760634055</v>
      </c>
      <c r="CS3231">
        <v>0</v>
      </c>
      <c r="CT3231">
        <v>2</v>
      </c>
      <c r="CU3231">
        <v>0</v>
      </c>
      <c r="CV3231">
        <v>2</v>
      </c>
      <c r="CW3231">
        <v>0</v>
      </c>
      <c r="CX3231">
        <v>5</v>
      </c>
      <c r="CY3231">
        <v>7</v>
      </c>
      <c r="CZ3231" t="s">
        <v>131</v>
      </c>
      <c r="DA3231">
        <v>300</v>
      </c>
      <c r="DB3231">
        <v>0</v>
      </c>
      <c r="DC3231" t="s">
        <v>176</v>
      </c>
      <c r="DD3231" t="s">
        <v>177</v>
      </c>
      <c r="DG3231">
        <v>5432632</v>
      </c>
      <c r="DI3231">
        <v>1</v>
      </c>
      <c r="DJ3231">
        <v>0</v>
      </c>
      <c r="DK3231">
        <v>1</v>
      </c>
      <c r="DL3231">
        <v>0</v>
      </c>
      <c r="DM3231">
        <v>0</v>
      </c>
      <c r="DN3231">
        <v>1</v>
      </c>
      <c r="DO3231">
        <v>0</v>
      </c>
      <c r="DP3231">
        <v>0</v>
      </c>
      <c r="DQ3231">
        <v>0</v>
      </c>
      <c r="DR3231">
        <v>0</v>
      </c>
      <c r="DS3231">
        <v>0</v>
      </c>
    </row>
    <row r="3232" spans="1:123" x14ac:dyDescent="0.3">
      <c r="A3232" t="str">
        <f>"10/04/2022 19:34:12.713"</f>
        <v>10/04/2022 19:34:12.713</v>
      </c>
      <c r="C3232" t="str">
        <f t="shared" si="1158"/>
        <v>FFDFD3C0</v>
      </c>
      <c r="D3232" t="s">
        <v>143</v>
      </c>
      <c r="E3232">
        <v>20</v>
      </c>
      <c r="F3232">
        <v>1020</v>
      </c>
      <c r="G3232" t="s">
        <v>144</v>
      </c>
      <c r="J3232" t="s">
        <v>145</v>
      </c>
      <c r="K3232">
        <v>0</v>
      </c>
      <c r="L3232">
        <v>3</v>
      </c>
      <c r="M3232">
        <v>0</v>
      </c>
      <c r="N3232">
        <v>2</v>
      </c>
      <c r="O3232">
        <v>0</v>
      </c>
      <c r="P3232">
        <v>1</v>
      </c>
      <c r="Q3232">
        <v>0</v>
      </c>
      <c r="S3232" t="str">
        <f t="shared" ref="S3232:T3238" si="1176">"19:34:12.000"</f>
        <v>19:34:12.000</v>
      </c>
      <c r="T3232" t="str">
        <f t="shared" si="1176"/>
        <v>19:34:12.000</v>
      </c>
      <c r="U3232" t="str">
        <f t="shared" si="1167"/>
        <v>AC3944</v>
      </c>
      <c r="V3232">
        <v>0</v>
      </c>
      <c r="W3232">
        <v>0</v>
      </c>
      <c r="X3232">
        <v>2</v>
      </c>
      <c r="Y3232">
        <v>0</v>
      </c>
      <c r="AA3232">
        <v>1</v>
      </c>
      <c r="AB3232">
        <v>8</v>
      </c>
      <c r="AC3232">
        <v>3</v>
      </c>
      <c r="AD3232">
        <v>0</v>
      </c>
      <c r="AE3232">
        <v>9</v>
      </c>
      <c r="AF3232" t="s">
        <v>138</v>
      </c>
      <c r="AG3232">
        <v>0</v>
      </c>
      <c r="AH3232">
        <v>3</v>
      </c>
      <c r="AI3232">
        <v>1</v>
      </c>
      <c r="AJ3232">
        <v>0</v>
      </c>
      <c r="AK3232" t="s">
        <v>1073</v>
      </c>
      <c r="AL3232">
        <v>32.715482999999999</v>
      </c>
      <c r="AM3232" t="s">
        <v>1074</v>
      </c>
      <c r="AN3232">
        <v>-116.75228799999999</v>
      </c>
      <c r="AO3232">
        <v>25</v>
      </c>
      <c r="AP3232">
        <v>3700</v>
      </c>
      <c r="AQ3232" t="s">
        <v>129</v>
      </c>
      <c r="AR3232">
        <v>-48</v>
      </c>
      <c r="AS3232">
        <v>136</v>
      </c>
      <c r="AT3232">
        <v>-448</v>
      </c>
      <c r="BB3232">
        <v>1200</v>
      </c>
      <c r="BC3232">
        <v>1</v>
      </c>
      <c r="BD3232" t="str">
        <f t="shared" si="1168"/>
        <v xml:space="preserve">N887QR  </v>
      </c>
      <c r="BE3232">
        <v>1</v>
      </c>
      <c r="BG3232">
        <v>0</v>
      </c>
      <c r="BH3232">
        <v>0</v>
      </c>
      <c r="BI3232">
        <v>0</v>
      </c>
      <c r="BJ3232">
        <v>3275</v>
      </c>
      <c r="BK3232">
        <v>-425</v>
      </c>
      <c r="BL3232" t="s">
        <v>163</v>
      </c>
      <c r="BM3232">
        <v>1</v>
      </c>
      <c r="BN3232">
        <v>1</v>
      </c>
      <c r="BO3232">
        <v>1</v>
      </c>
      <c r="BP3232">
        <v>0</v>
      </c>
      <c r="BS3232">
        <v>0.04</v>
      </c>
      <c r="BT3232">
        <v>0</v>
      </c>
      <c r="BU3232">
        <v>0</v>
      </c>
      <c r="CE3232" t="str">
        <f t="shared" ref="CE3232:CE3238" si="1177">"19:34:12.421"</f>
        <v>19:34:12.421</v>
      </c>
      <c r="CF3232">
        <v>421141895</v>
      </c>
      <c r="CS3232">
        <v>0</v>
      </c>
      <c r="CT3232">
        <v>2</v>
      </c>
      <c r="CU3232">
        <v>0</v>
      </c>
      <c r="CV3232">
        <v>2</v>
      </c>
      <c r="CW3232">
        <v>0</v>
      </c>
      <c r="CX3232">
        <v>5</v>
      </c>
      <c r="CY3232">
        <v>7</v>
      </c>
      <c r="CZ3232" t="s">
        <v>131</v>
      </c>
      <c r="DA3232">
        <v>300</v>
      </c>
      <c r="DB3232">
        <v>0</v>
      </c>
      <c r="DC3232" t="s">
        <v>176</v>
      </c>
      <c r="DD3232" t="s">
        <v>177</v>
      </c>
      <c r="DG3232">
        <v>5433049</v>
      </c>
      <c r="DI3232">
        <v>1</v>
      </c>
      <c r="DJ3232">
        <v>0</v>
      </c>
      <c r="DK3232">
        <v>0</v>
      </c>
      <c r="DL3232">
        <v>0</v>
      </c>
      <c r="DM3232">
        <v>0</v>
      </c>
      <c r="DN3232">
        <v>1</v>
      </c>
      <c r="DO3232">
        <v>0</v>
      </c>
      <c r="DP3232">
        <v>0</v>
      </c>
      <c r="DQ3232">
        <v>0</v>
      </c>
      <c r="DR3232">
        <v>0</v>
      </c>
      <c r="DS3232">
        <v>0</v>
      </c>
    </row>
    <row r="3233" spans="1:123" x14ac:dyDescent="0.3">
      <c r="A3233" t="str">
        <f>"10/04/2022 19:34:12.744"</f>
        <v>10/04/2022 19:34:12.744</v>
      </c>
      <c r="C3233" t="str">
        <f t="shared" si="1158"/>
        <v>FFDFD3C0</v>
      </c>
      <c r="D3233" t="s">
        <v>123</v>
      </c>
      <c r="E3233">
        <v>7</v>
      </c>
      <c r="F3233">
        <v>2007</v>
      </c>
      <c r="G3233" t="s">
        <v>124</v>
      </c>
      <c r="J3233" t="s">
        <v>125</v>
      </c>
      <c r="K3233">
        <v>0</v>
      </c>
      <c r="L3233">
        <v>3</v>
      </c>
      <c r="M3233">
        <v>0</v>
      </c>
      <c r="N3233">
        <v>2</v>
      </c>
      <c r="O3233">
        <v>0</v>
      </c>
      <c r="P3233">
        <v>1</v>
      </c>
      <c r="Q3233">
        <v>0</v>
      </c>
      <c r="S3233" t="str">
        <f t="shared" si="1176"/>
        <v>19:34:12.000</v>
      </c>
      <c r="T3233" t="str">
        <f t="shared" si="1176"/>
        <v>19:34:12.000</v>
      </c>
      <c r="U3233" t="str">
        <f t="shared" si="1167"/>
        <v>AC3944</v>
      </c>
      <c r="V3233">
        <v>0</v>
      </c>
      <c r="W3233">
        <v>0</v>
      </c>
      <c r="X3233">
        <v>2</v>
      </c>
      <c r="Y3233">
        <v>0</v>
      </c>
      <c r="AA3233">
        <v>1</v>
      </c>
      <c r="AB3233">
        <v>8</v>
      </c>
      <c r="AC3233">
        <v>3</v>
      </c>
      <c r="AD3233">
        <v>0</v>
      </c>
      <c r="AE3233">
        <v>9</v>
      </c>
      <c r="AF3233" t="s">
        <v>138</v>
      </c>
      <c r="AG3233">
        <v>0</v>
      </c>
      <c r="AH3233">
        <v>3</v>
      </c>
      <c r="AI3233">
        <v>1</v>
      </c>
      <c r="AJ3233">
        <v>0</v>
      </c>
      <c r="AK3233" t="s">
        <v>1073</v>
      </c>
      <c r="AL3233">
        <v>32.715482999999999</v>
      </c>
      <c r="AM3233" t="s">
        <v>1074</v>
      </c>
      <c r="AN3233">
        <v>-116.75228799999999</v>
      </c>
      <c r="AO3233">
        <v>25</v>
      </c>
      <c r="AP3233">
        <v>3700</v>
      </c>
      <c r="AQ3233" t="s">
        <v>129</v>
      </c>
      <c r="AR3233">
        <v>-48</v>
      </c>
      <c r="AS3233">
        <v>136</v>
      </c>
      <c r="AT3233">
        <v>-448</v>
      </c>
      <c r="BB3233">
        <v>1200</v>
      </c>
      <c r="BC3233">
        <v>1</v>
      </c>
      <c r="BD3233" t="str">
        <f t="shared" si="1168"/>
        <v xml:space="preserve">N887QR  </v>
      </c>
      <c r="BE3233">
        <v>1</v>
      </c>
      <c r="BG3233">
        <v>0</v>
      </c>
      <c r="BH3233">
        <v>0</v>
      </c>
      <c r="BI3233">
        <v>0</v>
      </c>
      <c r="BJ3233">
        <v>3275</v>
      </c>
      <c r="BK3233">
        <v>-425</v>
      </c>
      <c r="BL3233" t="s">
        <v>163</v>
      </c>
      <c r="BM3233">
        <v>1</v>
      </c>
      <c r="BN3233">
        <v>1</v>
      </c>
      <c r="BO3233">
        <v>1</v>
      </c>
      <c r="BP3233">
        <v>0</v>
      </c>
      <c r="BS3233">
        <v>0.04</v>
      </c>
      <c r="BT3233">
        <v>0</v>
      </c>
      <c r="BU3233">
        <v>0</v>
      </c>
      <c r="CE3233" t="str">
        <f t="shared" si="1177"/>
        <v>19:34:12.421</v>
      </c>
      <c r="CF3233">
        <v>421141895</v>
      </c>
      <c r="CS3233">
        <v>0</v>
      </c>
      <c r="CT3233">
        <v>2</v>
      </c>
      <c r="CU3233">
        <v>0</v>
      </c>
      <c r="CV3233">
        <v>2</v>
      </c>
      <c r="CW3233">
        <v>0</v>
      </c>
      <c r="CX3233">
        <v>5</v>
      </c>
      <c r="CY3233">
        <v>7</v>
      </c>
      <c r="CZ3233" t="s">
        <v>131</v>
      </c>
      <c r="DA3233">
        <v>300</v>
      </c>
      <c r="DB3233">
        <v>0</v>
      </c>
      <c r="DC3233" t="s">
        <v>176</v>
      </c>
      <c r="DD3233" t="s">
        <v>177</v>
      </c>
      <c r="DG3233">
        <v>5433049</v>
      </c>
      <c r="DI3233">
        <v>1</v>
      </c>
      <c r="DJ3233">
        <v>0</v>
      </c>
      <c r="DK3233">
        <v>0</v>
      </c>
      <c r="DL3233">
        <v>0</v>
      </c>
      <c r="DM3233">
        <v>0</v>
      </c>
      <c r="DN3233">
        <v>1</v>
      </c>
      <c r="DO3233">
        <v>0</v>
      </c>
      <c r="DP3233">
        <v>0</v>
      </c>
      <c r="DQ3233">
        <v>0</v>
      </c>
      <c r="DR3233">
        <v>0</v>
      </c>
      <c r="DS3233">
        <v>0</v>
      </c>
    </row>
    <row r="3234" spans="1:123" x14ac:dyDescent="0.3">
      <c r="A3234" t="str">
        <f>"10/04/2022 19:34:12.744"</f>
        <v>10/04/2022 19:34:12.744</v>
      </c>
      <c r="C3234" t="str">
        <f t="shared" si="1158"/>
        <v>FFDFD3C0</v>
      </c>
      <c r="D3234" t="s">
        <v>134</v>
      </c>
      <c r="E3234">
        <v>15</v>
      </c>
      <c r="J3234" t="s">
        <v>135</v>
      </c>
      <c r="K3234">
        <v>0</v>
      </c>
      <c r="L3234">
        <v>3</v>
      </c>
      <c r="M3234">
        <v>0</v>
      </c>
      <c r="N3234">
        <v>2</v>
      </c>
      <c r="O3234">
        <v>0</v>
      </c>
      <c r="P3234">
        <v>1</v>
      </c>
      <c r="Q3234">
        <v>0</v>
      </c>
      <c r="S3234" t="str">
        <f t="shared" si="1176"/>
        <v>19:34:12.000</v>
      </c>
      <c r="T3234" t="str">
        <f t="shared" si="1176"/>
        <v>19:34:12.000</v>
      </c>
      <c r="U3234" t="str">
        <f t="shared" si="1167"/>
        <v>AC3944</v>
      </c>
      <c r="V3234">
        <v>0</v>
      </c>
      <c r="W3234">
        <v>0</v>
      </c>
      <c r="X3234">
        <v>2</v>
      </c>
      <c r="Y3234">
        <v>0</v>
      </c>
      <c r="AA3234">
        <v>1</v>
      </c>
      <c r="AB3234">
        <v>8</v>
      </c>
      <c r="AC3234">
        <v>3</v>
      </c>
      <c r="AD3234">
        <v>0</v>
      </c>
      <c r="AE3234">
        <v>9</v>
      </c>
      <c r="AF3234" t="s">
        <v>138</v>
      </c>
      <c r="AG3234">
        <v>0</v>
      </c>
      <c r="AH3234">
        <v>3</v>
      </c>
      <c r="AI3234">
        <v>1</v>
      </c>
      <c r="AJ3234">
        <v>0</v>
      </c>
      <c r="AK3234" t="s">
        <v>1073</v>
      </c>
      <c r="AL3234">
        <v>32.715482999999999</v>
      </c>
      <c r="AM3234" t="s">
        <v>1074</v>
      </c>
      <c r="AN3234">
        <v>-116.75228799999999</v>
      </c>
      <c r="AO3234">
        <v>25</v>
      </c>
      <c r="AP3234">
        <v>3700</v>
      </c>
      <c r="AQ3234" t="s">
        <v>129</v>
      </c>
      <c r="AR3234">
        <v>-48</v>
      </c>
      <c r="AS3234">
        <v>136</v>
      </c>
      <c r="AT3234">
        <v>-448</v>
      </c>
      <c r="BB3234">
        <v>1200</v>
      </c>
      <c r="BC3234">
        <v>1</v>
      </c>
      <c r="BD3234" t="str">
        <f t="shared" si="1168"/>
        <v xml:space="preserve">N887QR  </v>
      </c>
      <c r="BE3234">
        <v>1</v>
      </c>
      <c r="BG3234">
        <v>0</v>
      </c>
      <c r="BH3234">
        <v>0</v>
      </c>
      <c r="BI3234">
        <v>0</v>
      </c>
      <c r="BJ3234">
        <v>3275</v>
      </c>
      <c r="BK3234">
        <v>-425</v>
      </c>
      <c r="BL3234" t="s">
        <v>163</v>
      </c>
      <c r="BM3234">
        <v>1</v>
      </c>
      <c r="BN3234">
        <v>1</v>
      </c>
      <c r="BO3234">
        <v>1</v>
      </c>
      <c r="BP3234">
        <v>0</v>
      </c>
      <c r="BS3234">
        <v>0.04</v>
      </c>
      <c r="BT3234">
        <v>0</v>
      </c>
      <c r="BU3234">
        <v>0</v>
      </c>
      <c r="CE3234" t="str">
        <f t="shared" si="1177"/>
        <v>19:34:12.421</v>
      </c>
      <c r="CF3234">
        <v>421141895</v>
      </c>
      <c r="CS3234">
        <v>0</v>
      </c>
      <c r="CT3234">
        <v>2</v>
      </c>
      <c r="CU3234">
        <v>0</v>
      </c>
      <c r="CV3234">
        <v>2</v>
      </c>
      <c r="CW3234">
        <v>0</v>
      </c>
      <c r="CX3234">
        <v>5</v>
      </c>
      <c r="CY3234">
        <v>7</v>
      </c>
      <c r="CZ3234" t="s">
        <v>131</v>
      </c>
      <c r="DA3234">
        <v>300</v>
      </c>
      <c r="DB3234">
        <v>0</v>
      </c>
      <c r="DC3234" t="s">
        <v>176</v>
      </c>
      <c r="DD3234" t="s">
        <v>177</v>
      </c>
      <c r="DG3234">
        <v>5433049</v>
      </c>
      <c r="DI3234">
        <v>1</v>
      </c>
      <c r="DJ3234">
        <v>0</v>
      </c>
      <c r="DK3234">
        <v>1</v>
      </c>
      <c r="DL3234">
        <v>0</v>
      </c>
      <c r="DM3234">
        <v>0</v>
      </c>
      <c r="DN3234">
        <v>1</v>
      </c>
      <c r="DO3234">
        <v>0</v>
      </c>
      <c r="DP3234">
        <v>0</v>
      </c>
      <c r="DQ3234">
        <v>0</v>
      </c>
      <c r="DR3234">
        <v>0</v>
      </c>
      <c r="DS3234">
        <v>0</v>
      </c>
    </row>
    <row r="3235" spans="1:123" x14ac:dyDescent="0.3">
      <c r="A3235" t="str">
        <f>"10/04/2022 19:34:12.744"</f>
        <v>10/04/2022 19:34:12.744</v>
      </c>
      <c r="C3235" t="str">
        <f t="shared" si="1158"/>
        <v>FFDFD3C0</v>
      </c>
      <c r="D3235" t="s">
        <v>147</v>
      </c>
      <c r="E3235">
        <v>3</v>
      </c>
      <c r="H3235">
        <v>166</v>
      </c>
      <c r="I3235" t="s">
        <v>144</v>
      </c>
      <c r="J3235" t="s">
        <v>148</v>
      </c>
      <c r="K3235">
        <v>0</v>
      </c>
      <c r="L3235">
        <v>3</v>
      </c>
      <c r="M3235">
        <v>0</v>
      </c>
      <c r="N3235">
        <v>2</v>
      </c>
      <c r="O3235">
        <v>0</v>
      </c>
      <c r="P3235">
        <v>1</v>
      </c>
      <c r="Q3235">
        <v>0</v>
      </c>
      <c r="S3235" t="str">
        <f t="shared" si="1176"/>
        <v>19:34:12.000</v>
      </c>
      <c r="T3235" t="str">
        <f t="shared" si="1176"/>
        <v>19:34:12.000</v>
      </c>
      <c r="U3235" t="str">
        <f t="shared" si="1167"/>
        <v>AC3944</v>
      </c>
      <c r="V3235">
        <v>0</v>
      </c>
      <c r="W3235">
        <v>0</v>
      </c>
      <c r="X3235">
        <v>2</v>
      </c>
      <c r="Y3235">
        <v>0</v>
      </c>
      <c r="AA3235">
        <v>1</v>
      </c>
      <c r="AB3235">
        <v>8</v>
      </c>
      <c r="AC3235">
        <v>3</v>
      </c>
      <c r="AD3235">
        <v>0</v>
      </c>
      <c r="AE3235">
        <v>9</v>
      </c>
      <c r="AF3235" t="s">
        <v>138</v>
      </c>
      <c r="AG3235">
        <v>0</v>
      </c>
      <c r="AH3235">
        <v>3</v>
      </c>
      <c r="AI3235">
        <v>1</v>
      </c>
      <c r="AJ3235">
        <v>0</v>
      </c>
      <c r="AK3235" t="s">
        <v>1073</v>
      </c>
      <c r="AL3235">
        <v>32.715482999999999</v>
      </c>
      <c r="AM3235" t="s">
        <v>1074</v>
      </c>
      <c r="AN3235">
        <v>-116.75228799999999</v>
      </c>
      <c r="AO3235">
        <v>25</v>
      </c>
      <c r="AP3235">
        <v>3700</v>
      </c>
      <c r="AQ3235" t="s">
        <v>129</v>
      </c>
      <c r="AR3235">
        <v>-48</v>
      </c>
      <c r="AS3235">
        <v>136</v>
      </c>
      <c r="AT3235">
        <v>-448</v>
      </c>
      <c r="BB3235">
        <v>1200</v>
      </c>
      <c r="BC3235">
        <v>1</v>
      </c>
      <c r="BD3235" t="str">
        <f t="shared" si="1168"/>
        <v xml:space="preserve">N887QR  </v>
      </c>
      <c r="BE3235">
        <v>1</v>
      </c>
      <c r="BG3235">
        <v>0</v>
      </c>
      <c r="BH3235">
        <v>0</v>
      </c>
      <c r="BI3235">
        <v>0</v>
      </c>
      <c r="BJ3235">
        <v>3275</v>
      </c>
      <c r="BK3235">
        <v>-425</v>
      </c>
      <c r="BL3235" t="s">
        <v>163</v>
      </c>
      <c r="BM3235">
        <v>1</v>
      </c>
      <c r="BN3235">
        <v>1</v>
      </c>
      <c r="BO3235">
        <v>1</v>
      </c>
      <c r="BP3235">
        <v>0</v>
      </c>
      <c r="BS3235">
        <v>0.04</v>
      </c>
      <c r="BT3235">
        <v>0</v>
      </c>
      <c r="BU3235">
        <v>0</v>
      </c>
      <c r="CE3235" t="str">
        <f t="shared" si="1177"/>
        <v>19:34:12.421</v>
      </c>
      <c r="CF3235">
        <v>421141895</v>
      </c>
      <c r="CS3235">
        <v>0</v>
      </c>
      <c r="CT3235">
        <v>2</v>
      </c>
      <c r="CU3235">
        <v>0</v>
      </c>
      <c r="CV3235">
        <v>2</v>
      </c>
      <c r="CW3235">
        <v>0</v>
      </c>
      <c r="CX3235">
        <v>5</v>
      </c>
      <c r="CY3235">
        <v>7</v>
      </c>
      <c r="CZ3235" t="s">
        <v>131</v>
      </c>
      <c r="DA3235">
        <v>300</v>
      </c>
      <c r="DB3235">
        <v>0</v>
      </c>
      <c r="DC3235" t="s">
        <v>176</v>
      </c>
      <c r="DD3235" t="s">
        <v>177</v>
      </c>
      <c r="DG3235">
        <v>5433049</v>
      </c>
      <c r="DI3235">
        <v>1</v>
      </c>
      <c r="DJ3235">
        <v>0</v>
      </c>
      <c r="DK3235">
        <v>1</v>
      </c>
      <c r="DL3235">
        <v>0</v>
      </c>
      <c r="DM3235">
        <v>0</v>
      </c>
      <c r="DN3235">
        <v>1</v>
      </c>
      <c r="DO3235">
        <v>0</v>
      </c>
      <c r="DP3235">
        <v>0</v>
      </c>
      <c r="DQ3235">
        <v>0</v>
      </c>
      <c r="DR3235">
        <v>0</v>
      </c>
      <c r="DS3235">
        <v>0</v>
      </c>
    </row>
    <row r="3236" spans="1:123" x14ac:dyDescent="0.3">
      <c r="A3236" t="str">
        <f>"10/04/2022 19:34:12.744"</f>
        <v>10/04/2022 19:34:12.744</v>
      </c>
      <c r="C3236" t="str">
        <f t="shared" si="1158"/>
        <v>FFDFD3C0</v>
      </c>
      <c r="D3236" t="s">
        <v>141</v>
      </c>
      <c r="E3236">
        <v>3</v>
      </c>
      <c r="H3236">
        <v>3</v>
      </c>
      <c r="I3236" t="s">
        <v>146</v>
      </c>
      <c r="J3236" t="s">
        <v>138</v>
      </c>
      <c r="K3236">
        <v>0</v>
      </c>
      <c r="L3236">
        <v>3</v>
      </c>
      <c r="M3236">
        <v>0</v>
      </c>
      <c r="N3236">
        <v>2</v>
      </c>
      <c r="O3236">
        <v>0</v>
      </c>
      <c r="P3236">
        <v>1</v>
      </c>
      <c r="Q3236">
        <v>0</v>
      </c>
      <c r="S3236" t="str">
        <f t="shared" si="1176"/>
        <v>19:34:12.000</v>
      </c>
      <c r="T3236" t="str">
        <f t="shared" si="1176"/>
        <v>19:34:12.000</v>
      </c>
      <c r="U3236" t="str">
        <f t="shared" si="1167"/>
        <v>AC3944</v>
      </c>
      <c r="V3236">
        <v>0</v>
      </c>
      <c r="W3236">
        <v>0</v>
      </c>
      <c r="X3236">
        <v>2</v>
      </c>
      <c r="Y3236">
        <v>0</v>
      </c>
      <c r="AA3236">
        <v>1</v>
      </c>
      <c r="AB3236">
        <v>8</v>
      </c>
      <c r="AC3236">
        <v>3</v>
      </c>
      <c r="AD3236">
        <v>0</v>
      </c>
      <c r="AE3236">
        <v>9</v>
      </c>
      <c r="AF3236" t="s">
        <v>138</v>
      </c>
      <c r="AG3236">
        <v>0</v>
      </c>
      <c r="AH3236">
        <v>3</v>
      </c>
      <c r="AI3236">
        <v>1</v>
      </c>
      <c r="AJ3236">
        <v>0</v>
      </c>
      <c r="AK3236" t="s">
        <v>1073</v>
      </c>
      <c r="AL3236">
        <v>32.715482999999999</v>
      </c>
      <c r="AM3236" t="s">
        <v>1074</v>
      </c>
      <c r="AN3236">
        <v>-116.75228799999999</v>
      </c>
      <c r="AO3236">
        <v>25</v>
      </c>
      <c r="AP3236">
        <v>3700</v>
      </c>
      <c r="AQ3236" t="s">
        <v>129</v>
      </c>
      <c r="AR3236">
        <v>-48</v>
      </c>
      <c r="AS3236">
        <v>136</v>
      </c>
      <c r="AT3236">
        <v>-448</v>
      </c>
      <c r="BB3236">
        <v>1200</v>
      </c>
      <c r="BC3236">
        <v>1</v>
      </c>
      <c r="BD3236" t="str">
        <f t="shared" si="1168"/>
        <v xml:space="preserve">N887QR  </v>
      </c>
      <c r="BE3236">
        <v>1</v>
      </c>
      <c r="BG3236">
        <v>0</v>
      </c>
      <c r="BH3236">
        <v>0</v>
      </c>
      <c r="BI3236">
        <v>0</v>
      </c>
      <c r="BJ3236">
        <v>3275</v>
      </c>
      <c r="BK3236">
        <v>-425</v>
      </c>
      <c r="BL3236" t="s">
        <v>163</v>
      </c>
      <c r="BM3236">
        <v>1</v>
      </c>
      <c r="BN3236">
        <v>1</v>
      </c>
      <c r="BO3236">
        <v>1</v>
      </c>
      <c r="BP3236">
        <v>0</v>
      </c>
      <c r="BS3236">
        <v>0.04</v>
      </c>
      <c r="BT3236">
        <v>0</v>
      </c>
      <c r="BU3236">
        <v>0</v>
      </c>
      <c r="CE3236" t="str">
        <f t="shared" si="1177"/>
        <v>19:34:12.421</v>
      </c>
      <c r="CF3236">
        <v>421141895</v>
      </c>
      <c r="CS3236">
        <v>0</v>
      </c>
      <c r="CT3236">
        <v>2</v>
      </c>
      <c r="CU3236">
        <v>0</v>
      </c>
      <c r="CV3236">
        <v>2</v>
      </c>
      <c r="CW3236">
        <v>0</v>
      </c>
      <c r="CX3236">
        <v>5</v>
      </c>
      <c r="CY3236">
        <v>7</v>
      </c>
      <c r="CZ3236" t="s">
        <v>131</v>
      </c>
      <c r="DA3236">
        <v>300</v>
      </c>
      <c r="DB3236">
        <v>0</v>
      </c>
      <c r="DC3236" t="s">
        <v>176</v>
      </c>
      <c r="DD3236" t="s">
        <v>177</v>
      </c>
      <c r="DG3236">
        <v>5433049</v>
      </c>
      <c r="DI3236">
        <v>1</v>
      </c>
      <c r="DJ3236">
        <v>0</v>
      </c>
      <c r="DK3236">
        <v>1</v>
      </c>
      <c r="DL3236">
        <v>0</v>
      </c>
      <c r="DM3236">
        <v>0</v>
      </c>
      <c r="DN3236">
        <v>1</v>
      </c>
      <c r="DO3236">
        <v>0</v>
      </c>
      <c r="DP3236">
        <v>0</v>
      </c>
      <c r="DQ3236">
        <v>0</v>
      </c>
      <c r="DR3236">
        <v>0</v>
      </c>
      <c r="DS3236">
        <v>0</v>
      </c>
    </row>
    <row r="3237" spans="1:123" x14ac:dyDescent="0.3">
      <c r="A3237" t="str">
        <f>"10/04/2022 19:34:12.744"</f>
        <v>10/04/2022 19:34:12.744</v>
      </c>
      <c r="C3237" t="str">
        <f t="shared" si="1158"/>
        <v>FFDFD3C0</v>
      </c>
      <c r="D3237" t="s">
        <v>141</v>
      </c>
      <c r="E3237">
        <v>4</v>
      </c>
      <c r="H3237">
        <v>4</v>
      </c>
      <c r="I3237" t="s">
        <v>142</v>
      </c>
      <c r="J3237" t="s">
        <v>138</v>
      </c>
      <c r="K3237">
        <v>0</v>
      </c>
      <c r="L3237">
        <v>3</v>
      </c>
      <c r="M3237">
        <v>0</v>
      </c>
      <c r="N3237">
        <v>2</v>
      </c>
      <c r="O3237">
        <v>0</v>
      </c>
      <c r="P3237">
        <v>1</v>
      </c>
      <c r="Q3237">
        <v>0</v>
      </c>
      <c r="S3237" t="str">
        <f t="shared" si="1176"/>
        <v>19:34:12.000</v>
      </c>
      <c r="T3237" t="str">
        <f t="shared" si="1176"/>
        <v>19:34:12.000</v>
      </c>
      <c r="U3237" t="str">
        <f t="shared" si="1167"/>
        <v>AC3944</v>
      </c>
      <c r="V3237">
        <v>0</v>
      </c>
      <c r="W3237">
        <v>0</v>
      </c>
      <c r="X3237">
        <v>2</v>
      </c>
      <c r="Y3237">
        <v>0</v>
      </c>
      <c r="AA3237">
        <v>1</v>
      </c>
      <c r="AB3237">
        <v>8</v>
      </c>
      <c r="AC3237">
        <v>3</v>
      </c>
      <c r="AD3237">
        <v>0</v>
      </c>
      <c r="AE3237">
        <v>9</v>
      </c>
      <c r="AF3237" t="s">
        <v>138</v>
      </c>
      <c r="AG3237">
        <v>0</v>
      </c>
      <c r="AH3237">
        <v>3</v>
      </c>
      <c r="AI3237">
        <v>1</v>
      </c>
      <c r="AJ3237">
        <v>0</v>
      </c>
      <c r="AK3237" t="s">
        <v>1073</v>
      </c>
      <c r="AL3237">
        <v>32.715482999999999</v>
      </c>
      <c r="AM3237" t="s">
        <v>1074</v>
      </c>
      <c r="AN3237">
        <v>-116.75228799999999</v>
      </c>
      <c r="AO3237">
        <v>25</v>
      </c>
      <c r="AP3237">
        <v>3700</v>
      </c>
      <c r="AQ3237" t="s">
        <v>129</v>
      </c>
      <c r="AR3237">
        <v>-48</v>
      </c>
      <c r="AS3237">
        <v>136</v>
      </c>
      <c r="AT3237">
        <v>-448</v>
      </c>
      <c r="BB3237">
        <v>1200</v>
      </c>
      <c r="BC3237">
        <v>1</v>
      </c>
      <c r="BD3237" t="str">
        <f t="shared" si="1168"/>
        <v xml:space="preserve">N887QR  </v>
      </c>
      <c r="BE3237">
        <v>1</v>
      </c>
      <c r="BG3237">
        <v>0</v>
      </c>
      <c r="BH3237">
        <v>0</v>
      </c>
      <c r="BI3237">
        <v>0</v>
      </c>
      <c r="BJ3237">
        <v>3275</v>
      </c>
      <c r="BK3237">
        <v>-425</v>
      </c>
      <c r="BL3237" t="s">
        <v>163</v>
      </c>
      <c r="BM3237">
        <v>1</v>
      </c>
      <c r="BN3237">
        <v>1</v>
      </c>
      <c r="BO3237">
        <v>1</v>
      </c>
      <c r="BP3237">
        <v>0</v>
      </c>
      <c r="BS3237">
        <v>0.04</v>
      </c>
      <c r="BT3237">
        <v>0</v>
      </c>
      <c r="BU3237">
        <v>0</v>
      </c>
      <c r="CE3237" t="str">
        <f t="shared" si="1177"/>
        <v>19:34:12.421</v>
      </c>
      <c r="CF3237">
        <v>421141895</v>
      </c>
      <c r="CS3237">
        <v>0</v>
      </c>
      <c r="CT3237">
        <v>2</v>
      </c>
      <c r="CU3237">
        <v>0</v>
      </c>
      <c r="CV3237">
        <v>2</v>
      </c>
      <c r="CW3237">
        <v>0</v>
      </c>
      <c r="CX3237">
        <v>5</v>
      </c>
      <c r="CY3237">
        <v>7</v>
      </c>
      <c r="CZ3237" t="s">
        <v>131</v>
      </c>
      <c r="DA3237">
        <v>300</v>
      </c>
      <c r="DB3237">
        <v>0</v>
      </c>
      <c r="DC3237" t="s">
        <v>176</v>
      </c>
      <c r="DD3237" t="s">
        <v>177</v>
      </c>
      <c r="DG3237">
        <v>5433049</v>
      </c>
      <c r="DI3237">
        <v>1</v>
      </c>
      <c r="DJ3237">
        <v>0</v>
      </c>
      <c r="DK3237">
        <v>1</v>
      </c>
      <c r="DL3237">
        <v>0</v>
      </c>
      <c r="DM3237">
        <v>0</v>
      </c>
      <c r="DN3237">
        <v>1</v>
      </c>
      <c r="DO3237">
        <v>0</v>
      </c>
      <c r="DP3237">
        <v>0</v>
      </c>
      <c r="DQ3237">
        <v>0</v>
      </c>
      <c r="DR3237">
        <v>0</v>
      </c>
      <c r="DS3237">
        <v>0</v>
      </c>
    </row>
    <row r="3238" spans="1:123" x14ac:dyDescent="0.3">
      <c r="A3238" t="str">
        <f>"10/04/2022 19:34:12.760"</f>
        <v>10/04/2022 19:34:12.760</v>
      </c>
      <c r="C3238" t="str">
        <f t="shared" si="1158"/>
        <v>FFDFD3C0</v>
      </c>
      <c r="D3238" t="s">
        <v>136</v>
      </c>
      <c r="E3238">
        <v>8</v>
      </c>
      <c r="H3238">
        <v>225</v>
      </c>
      <c r="I3238" t="s">
        <v>137</v>
      </c>
      <c r="J3238" t="s">
        <v>138</v>
      </c>
      <c r="K3238">
        <v>0</v>
      </c>
      <c r="L3238">
        <v>3</v>
      </c>
      <c r="M3238">
        <v>0</v>
      </c>
      <c r="N3238">
        <v>2</v>
      </c>
      <c r="O3238">
        <v>0</v>
      </c>
      <c r="P3238">
        <v>1</v>
      </c>
      <c r="Q3238">
        <v>0</v>
      </c>
      <c r="S3238" t="str">
        <f t="shared" si="1176"/>
        <v>19:34:12.000</v>
      </c>
      <c r="T3238" t="str">
        <f t="shared" si="1176"/>
        <v>19:34:12.000</v>
      </c>
      <c r="U3238" t="str">
        <f t="shared" si="1167"/>
        <v>AC3944</v>
      </c>
      <c r="V3238">
        <v>0</v>
      </c>
      <c r="W3238">
        <v>0</v>
      </c>
      <c r="X3238">
        <v>2</v>
      </c>
      <c r="Y3238">
        <v>0</v>
      </c>
      <c r="AA3238">
        <v>1</v>
      </c>
      <c r="AB3238">
        <v>8</v>
      </c>
      <c r="AC3238">
        <v>3</v>
      </c>
      <c r="AD3238">
        <v>0</v>
      </c>
      <c r="AE3238">
        <v>9</v>
      </c>
      <c r="AF3238" t="s">
        <v>138</v>
      </c>
      <c r="AG3238">
        <v>0</v>
      </c>
      <c r="AH3238">
        <v>3</v>
      </c>
      <c r="AI3238">
        <v>1</v>
      </c>
      <c r="AJ3238">
        <v>0</v>
      </c>
      <c r="AK3238" t="s">
        <v>1073</v>
      </c>
      <c r="AL3238">
        <v>32.715482999999999</v>
      </c>
      <c r="AM3238" t="s">
        <v>1074</v>
      </c>
      <c r="AN3238">
        <v>-116.75228799999999</v>
      </c>
      <c r="AO3238">
        <v>25</v>
      </c>
      <c r="AP3238">
        <v>3700</v>
      </c>
      <c r="AQ3238" t="s">
        <v>129</v>
      </c>
      <c r="AR3238">
        <v>-48</v>
      </c>
      <c r="AS3238">
        <v>136</v>
      </c>
      <c r="AT3238">
        <v>-448</v>
      </c>
      <c r="BB3238">
        <v>1200</v>
      </c>
      <c r="BC3238">
        <v>1</v>
      </c>
      <c r="BD3238" t="str">
        <f t="shared" si="1168"/>
        <v xml:space="preserve">N887QR  </v>
      </c>
      <c r="BE3238">
        <v>1</v>
      </c>
      <c r="BG3238">
        <v>0</v>
      </c>
      <c r="BH3238">
        <v>0</v>
      </c>
      <c r="BI3238">
        <v>0</v>
      </c>
      <c r="BJ3238">
        <v>3275</v>
      </c>
      <c r="BK3238">
        <v>-425</v>
      </c>
      <c r="BL3238" t="s">
        <v>163</v>
      </c>
      <c r="BM3238">
        <v>1</v>
      </c>
      <c r="BN3238">
        <v>1</v>
      </c>
      <c r="BO3238">
        <v>1</v>
      </c>
      <c r="BP3238">
        <v>0</v>
      </c>
      <c r="BS3238">
        <v>0.04</v>
      </c>
      <c r="BT3238">
        <v>0</v>
      </c>
      <c r="BU3238">
        <v>0</v>
      </c>
      <c r="CE3238" t="str">
        <f t="shared" si="1177"/>
        <v>19:34:12.421</v>
      </c>
      <c r="CF3238">
        <v>421141895</v>
      </c>
      <c r="CS3238">
        <v>0</v>
      </c>
      <c r="CT3238">
        <v>2</v>
      </c>
      <c r="CU3238">
        <v>0</v>
      </c>
      <c r="CV3238">
        <v>2</v>
      </c>
      <c r="CW3238">
        <v>0</v>
      </c>
      <c r="CX3238">
        <v>5</v>
      </c>
      <c r="CY3238">
        <v>7</v>
      </c>
      <c r="CZ3238" t="s">
        <v>131</v>
      </c>
      <c r="DA3238">
        <v>300</v>
      </c>
      <c r="DB3238">
        <v>0</v>
      </c>
      <c r="DC3238" t="s">
        <v>176</v>
      </c>
      <c r="DD3238" t="s">
        <v>177</v>
      </c>
      <c r="DG3238">
        <v>5433049</v>
      </c>
      <c r="DI3238">
        <v>1</v>
      </c>
      <c r="DJ3238">
        <v>0</v>
      </c>
      <c r="DK3238">
        <v>1</v>
      </c>
      <c r="DL3238">
        <v>0</v>
      </c>
      <c r="DM3238">
        <v>0</v>
      </c>
      <c r="DN3238">
        <v>1</v>
      </c>
      <c r="DO3238">
        <v>0</v>
      </c>
      <c r="DP3238">
        <v>0</v>
      </c>
      <c r="DQ3238">
        <v>0</v>
      </c>
      <c r="DR3238">
        <v>0</v>
      </c>
      <c r="DS3238">
        <v>0</v>
      </c>
    </row>
    <row r="3239" spans="1:123" x14ac:dyDescent="0.3">
      <c r="A3239" t="str">
        <f t="shared" ref="A3239:A3245" si="1178">"10/04/2022 19:34:13.698"</f>
        <v>10/04/2022 19:34:13.698</v>
      </c>
      <c r="C3239" t="str">
        <f t="shared" ref="C3239:C3302" si="1179">"FFDFD3C0"</f>
        <v>FFDFD3C0</v>
      </c>
      <c r="D3239" t="s">
        <v>136</v>
      </c>
      <c r="E3239">
        <v>8</v>
      </c>
      <c r="H3239">
        <v>225</v>
      </c>
      <c r="I3239" t="s">
        <v>137</v>
      </c>
      <c r="J3239" t="s">
        <v>138</v>
      </c>
      <c r="K3239">
        <v>0</v>
      </c>
      <c r="L3239">
        <v>3</v>
      </c>
      <c r="M3239">
        <v>0</v>
      </c>
      <c r="N3239">
        <v>2</v>
      </c>
      <c r="O3239">
        <v>0</v>
      </c>
      <c r="P3239">
        <v>1</v>
      </c>
      <c r="Q3239">
        <v>0</v>
      </c>
      <c r="S3239" t="str">
        <f t="shared" ref="S3239:T3245" si="1180">"19:34:13.000"</f>
        <v>19:34:13.000</v>
      </c>
      <c r="T3239" t="str">
        <f t="shared" si="1180"/>
        <v>19:34:13.000</v>
      </c>
      <c r="U3239" t="str">
        <f t="shared" si="1167"/>
        <v>AC3944</v>
      </c>
      <c r="V3239">
        <v>0</v>
      </c>
      <c r="W3239">
        <v>0</v>
      </c>
      <c r="X3239">
        <v>2</v>
      </c>
      <c r="Y3239">
        <v>0</v>
      </c>
      <c r="AA3239">
        <v>1</v>
      </c>
      <c r="AB3239">
        <v>8</v>
      </c>
      <c r="AC3239">
        <v>3</v>
      </c>
      <c r="AD3239">
        <v>0</v>
      </c>
      <c r="AE3239">
        <v>9</v>
      </c>
      <c r="AF3239" t="s">
        <v>138</v>
      </c>
      <c r="AG3239">
        <v>0</v>
      </c>
      <c r="AH3239">
        <v>3</v>
      </c>
      <c r="AI3239">
        <v>1</v>
      </c>
      <c r="AJ3239">
        <v>0</v>
      </c>
      <c r="AK3239" t="s">
        <v>1075</v>
      </c>
      <c r="AL3239">
        <v>32.716126000000003</v>
      </c>
      <c r="AM3239" t="s">
        <v>1076</v>
      </c>
      <c r="AN3239">
        <v>-116.752546</v>
      </c>
      <c r="AO3239">
        <v>25</v>
      </c>
      <c r="AP3239">
        <v>3700</v>
      </c>
      <c r="AQ3239" t="s">
        <v>129</v>
      </c>
      <c r="AR3239">
        <v>-46</v>
      </c>
      <c r="AS3239">
        <v>135</v>
      </c>
      <c r="AT3239">
        <v>-448</v>
      </c>
      <c r="BB3239">
        <v>1200</v>
      </c>
      <c r="BC3239">
        <v>1</v>
      </c>
      <c r="BD3239" t="str">
        <f t="shared" si="1168"/>
        <v xml:space="preserve">N887QR  </v>
      </c>
      <c r="BE3239">
        <v>1</v>
      </c>
      <c r="BG3239">
        <v>0</v>
      </c>
      <c r="BH3239">
        <v>0</v>
      </c>
      <c r="BI3239">
        <v>0</v>
      </c>
      <c r="BJ3239">
        <v>3300</v>
      </c>
      <c r="BK3239">
        <v>-400</v>
      </c>
      <c r="BL3239" t="s">
        <v>163</v>
      </c>
      <c r="BM3239">
        <v>1</v>
      </c>
      <c r="BN3239">
        <v>1</v>
      </c>
      <c r="BO3239">
        <v>1</v>
      </c>
      <c r="BP3239">
        <v>0</v>
      </c>
      <c r="BS3239">
        <v>0.04</v>
      </c>
      <c r="BT3239">
        <v>0</v>
      </c>
      <c r="BU3239">
        <v>0</v>
      </c>
      <c r="CE3239" t="str">
        <f t="shared" ref="CE3239:CE3245" si="1181">"19:34:13.464"</f>
        <v>19:34:13.464</v>
      </c>
      <c r="CF3239">
        <v>463644926</v>
      </c>
      <c r="CS3239">
        <v>0</v>
      </c>
      <c r="CT3239">
        <v>2</v>
      </c>
      <c r="CU3239">
        <v>0</v>
      </c>
      <c r="CV3239">
        <v>2</v>
      </c>
      <c r="CW3239">
        <v>0</v>
      </c>
      <c r="CX3239">
        <v>5</v>
      </c>
      <c r="CY3239">
        <v>7</v>
      </c>
      <c r="CZ3239" t="s">
        <v>131</v>
      </c>
      <c r="DA3239">
        <v>300</v>
      </c>
      <c r="DB3239">
        <v>0</v>
      </c>
      <c r="DC3239" t="s">
        <v>176</v>
      </c>
      <c r="DD3239" t="s">
        <v>177</v>
      </c>
      <c r="DG3239">
        <v>5433212</v>
      </c>
      <c r="DI3239">
        <v>1</v>
      </c>
      <c r="DJ3239">
        <v>0</v>
      </c>
      <c r="DK3239">
        <v>0</v>
      </c>
      <c r="DL3239">
        <v>0</v>
      </c>
      <c r="DM3239">
        <v>0</v>
      </c>
      <c r="DN3239">
        <v>1</v>
      </c>
      <c r="DO3239">
        <v>0</v>
      </c>
      <c r="DP3239">
        <v>0</v>
      </c>
      <c r="DQ3239">
        <v>0</v>
      </c>
      <c r="DR3239">
        <v>0</v>
      </c>
      <c r="DS3239">
        <v>0</v>
      </c>
    </row>
    <row r="3240" spans="1:123" x14ac:dyDescent="0.3">
      <c r="A3240" t="str">
        <f t="shared" si="1178"/>
        <v>10/04/2022 19:34:13.698</v>
      </c>
      <c r="C3240" t="str">
        <f t="shared" si="1179"/>
        <v>FFDFD3C0</v>
      </c>
      <c r="D3240" t="s">
        <v>143</v>
      </c>
      <c r="E3240">
        <v>20</v>
      </c>
      <c r="F3240">
        <v>1020</v>
      </c>
      <c r="G3240" t="s">
        <v>144</v>
      </c>
      <c r="J3240" t="s">
        <v>145</v>
      </c>
      <c r="K3240">
        <v>0</v>
      </c>
      <c r="L3240">
        <v>3</v>
      </c>
      <c r="M3240">
        <v>0</v>
      </c>
      <c r="N3240">
        <v>2</v>
      </c>
      <c r="O3240">
        <v>0</v>
      </c>
      <c r="P3240">
        <v>1</v>
      </c>
      <c r="Q3240">
        <v>0</v>
      </c>
      <c r="S3240" t="str">
        <f t="shared" si="1180"/>
        <v>19:34:13.000</v>
      </c>
      <c r="T3240" t="str">
        <f t="shared" si="1180"/>
        <v>19:34:13.000</v>
      </c>
      <c r="U3240" t="str">
        <f t="shared" si="1167"/>
        <v>AC3944</v>
      </c>
      <c r="V3240">
        <v>0</v>
      </c>
      <c r="W3240">
        <v>0</v>
      </c>
      <c r="X3240">
        <v>2</v>
      </c>
      <c r="Y3240">
        <v>0</v>
      </c>
      <c r="AA3240">
        <v>1</v>
      </c>
      <c r="AB3240">
        <v>8</v>
      </c>
      <c r="AC3240">
        <v>3</v>
      </c>
      <c r="AD3240">
        <v>0</v>
      </c>
      <c r="AE3240">
        <v>9</v>
      </c>
      <c r="AF3240" t="s">
        <v>138</v>
      </c>
      <c r="AG3240">
        <v>0</v>
      </c>
      <c r="AH3240">
        <v>3</v>
      </c>
      <c r="AI3240">
        <v>1</v>
      </c>
      <c r="AJ3240">
        <v>0</v>
      </c>
      <c r="AK3240" t="s">
        <v>1075</v>
      </c>
      <c r="AL3240">
        <v>32.716126000000003</v>
      </c>
      <c r="AM3240" t="s">
        <v>1076</v>
      </c>
      <c r="AN3240">
        <v>-116.752546</v>
      </c>
      <c r="AO3240">
        <v>25</v>
      </c>
      <c r="AP3240">
        <v>3700</v>
      </c>
      <c r="AQ3240" t="s">
        <v>129</v>
      </c>
      <c r="AR3240">
        <v>-46</v>
      </c>
      <c r="AS3240">
        <v>135</v>
      </c>
      <c r="AT3240">
        <v>-448</v>
      </c>
      <c r="BB3240">
        <v>1200</v>
      </c>
      <c r="BC3240">
        <v>1</v>
      </c>
      <c r="BD3240" t="str">
        <f t="shared" si="1168"/>
        <v xml:space="preserve">N887QR  </v>
      </c>
      <c r="BE3240">
        <v>1</v>
      </c>
      <c r="BG3240">
        <v>0</v>
      </c>
      <c r="BH3240">
        <v>0</v>
      </c>
      <c r="BI3240">
        <v>0</v>
      </c>
      <c r="BJ3240">
        <v>3300</v>
      </c>
      <c r="BK3240">
        <v>-400</v>
      </c>
      <c r="BL3240" t="s">
        <v>163</v>
      </c>
      <c r="BM3240">
        <v>1</v>
      </c>
      <c r="BN3240">
        <v>1</v>
      </c>
      <c r="BO3240">
        <v>1</v>
      </c>
      <c r="BP3240">
        <v>0</v>
      </c>
      <c r="BS3240">
        <v>0.04</v>
      </c>
      <c r="BT3240">
        <v>0</v>
      </c>
      <c r="BU3240">
        <v>0</v>
      </c>
      <c r="CE3240" t="str">
        <f t="shared" si="1181"/>
        <v>19:34:13.464</v>
      </c>
      <c r="CF3240">
        <v>463644926</v>
      </c>
      <c r="CS3240">
        <v>0</v>
      </c>
      <c r="CT3240">
        <v>2</v>
      </c>
      <c r="CU3240">
        <v>0</v>
      </c>
      <c r="CV3240">
        <v>2</v>
      </c>
      <c r="CW3240">
        <v>0</v>
      </c>
      <c r="CX3240">
        <v>5</v>
      </c>
      <c r="CY3240">
        <v>7</v>
      </c>
      <c r="CZ3240" t="s">
        <v>131</v>
      </c>
      <c r="DA3240">
        <v>300</v>
      </c>
      <c r="DB3240">
        <v>0</v>
      </c>
      <c r="DC3240" t="s">
        <v>176</v>
      </c>
      <c r="DD3240" t="s">
        <v>177</v>
      </c>
      <c r="DG3240">
        <v>5433212</v>
      </c>
      <c r="DI3240">
        <v>1</v>
      </c>
      <c r="DJ3240">
        <v>0</v>
      </c>
      <c r="DK3240">
        <v>1</v>
      </c>
      <c r="DL3240">
        <v>0</v>
      </c>
      <c r="DM3240">
        <v>0</v>
      </c>
      <c r="DN3240">
        <v>1</v>
      </c>
      <c r="DO3240">
        <v>0</v>
      </c>
      <c r="DP3240">
        <v>0</v>
      </c>
      <c r="DQ3240">
        <v>0</v>
      </c>
      <c r="DR3240">
        <v>0</v>
      </c>
      <c r="DS3240">
        <v>0</v>
      </c>
    </row>
    <row r="3241" spans="1:123" x14ac:dyDescent="0.3">
      <c r="A3241" t="str">
        <f t="shared" si="1178"/>
        <v>10/04/2022 19:34:13.698</v>
      </c>
      <c r="C3241" t="str">
        <f t="shared" si="1179"/>
        <v>FFDFD3C0</v>
      </c>
      <c r="D3241" t="s">
        <v>123</v>
      </c>
      <c r="E3241">
        <v>7</v>
      </c>
      <c r="F3241">
        <v>2007</v>
      </c>
      <c r="G3241" t="s">
        <v>124</v>
      </c>
      <c r="J3241" t="s">
        <v>125</v>
      </c>
      <c r="K3241">
        <v>0</v>
      </c>
      <c r="L3241">
        <v>3</v>
      </c>
      <c r="M3241">
        <v>0</v>
      </c>
      <c r="N3241">
        <v>2</v>
      </c>
      <c r="O3241">
        <v>0</v>
      </c>
      <c r="P3241">
        <v>1</v>
      </c>
      <c r="Q3241">
        <v>0</v>
      </c>
      <c r="S3241" t="str">
        <f t="shared" si="1180"/>
        <v>19:34:13.000</v>
      </c>
      <c r="T3241" t="str">
        <f t="shared" si="1180"/>
        <v>19:34:13.000</v>
      </c>
      <c r="U3241" t="str">
        <f t="shared" si="1167"/>
        <v>AC3944</v>
      </c>
      <c r="V3241">
        <v>0</v>
      </c>
      <c r="W3241">
        <v>0</v>
      </c>
      <c r="X3241">
        <v>2</v>
      </c>
      <c r="Y3241">
        <v>0</v>
      </c>
      <c r="AA3241">
        <v>1</v>
      </c>
      <c r="AB3241">
        <v>8</v>
      </c>
      <c r="AC3241">
        <v>3</v>
      </c>
      <c r="AD3241">
        <v>0</v>
      </c>
      <c r="AE3241">
        <v>9</v>
      </c>
      <c r="AF3241" t="s">
        <v>138</v>
      </c>
      <c r="AG3241">
        <v>0</v>
      </c>
      <c r="AH3241">
        <v>3</v>
      </c>
      <c r="AI3241">
        <v>1</v>
      </c>
      <c r="AJ3241">
        <v>0</v>
      </c>
      <c r="AK3241" t="s">
        <v>1075</v>
      </c>
      <c r="AL3241">
        <v>32.716126000000003</v>
      </c>
      <c r="AM3241" t="s">
        <v>1076</v>
      </c>
      <c r="AN3241">
        <v>-116.752546</v>
      </c>
      <c r="AO3241">
        <v>25</v>
      </c>
      <c r="AP3241">
        <v>3700</v>
      </c>
      <c r="AQ3241" t="s">
        <v>129</v>
      </c>
      <c r="AR3241">
        <v>-46</v>
      </c>
      <c r="AS3241">
        <v>135</v>
      </c>
      <c r="AT3241">
        <v>-448</v>
      </c>
      <c r="BB3241">
        <v>1200</v>
      </c>
      <c r="BC3241">
        <v>1</v>
      </c>
      <c r="BD3241" t="str">
        <f t="shared" si="1168"/>
        <v xml:space="preserve">N887QR  </v>
      </c>
      <c r="BE3241">
        <v>1</v>
      </c>
      <c r="BG3241">
        <v>0</v>
      </c>
      <c r="BH3241">
        <v>0</v>
      </c>
      <c r="BI3241">
        <v>0</v>
      </c>
      <c r="BJ3241">
        <v>3300</v>
      </c>
      <c r="BK3241">
        <v>-400</v>
      </c>
      <c r="BL3241" t="s">
        <v>163</v>
      </c>
      <c r="BM3241">
        <v>1</v>
      </c>
      <c r="BN3241">
        <v>1</v>
      </c>
      <c r="BO3241">
        <v>1</v>
      </c>
      <c r="BP3241">
        <v>0</v>
      </c>
      <c r="BS3241">
        <v>0.04</v>
      </c>
      <c r="BT3241">
        <v>0</v>
      </c>
      <c r="BU3241">
        <v>0</v>
      </c>
      <c r="CE3241" t="str">
        <f t="shared" si="1181"/>
        <v>19:34:13.464</v>
      </c>
      <c r="CF3241">
        <v>463644926</v>
      </c>
      <c r="CS3241">
        <v>0</v>
      </c>
      <c r="CT3241">
        <v>2</v>
      </c>
      <c r="CU3241">
        <v>0</v>
      </c>
      <c r="CV3241">
        <v>2</v>
      </c>
      <c r="CW3241">
        <v>0</v>
      </c>
      <c r="CX3241">
        <v>5</v>
      </c>
      <c r="CY3241">
        <v>7</v>
      </c>
      <c r="CZ3241" t="s">
        <v>131</v>
      </c>
      <c r="DA3241">
        <v>300</v>
      </c>
      <c r="DB3241">
        <v>0</v>
      </c>
      <c r="DC3241" t="s">
        <v>176</v>
      </c>
      <c r="DD3241" t="s">
        <v>177</v>
      </c>
      <c r="DG3241">
        <v>5433212</v>
      </c>
      <c r="DI3241">
        <v>1</v>
      </c>
      <c r="DJ3241">
        <v>0</v>
      </c>
      <c r="DK3241">
        <v>1</v>
      </c>
      <c r="DL3241">
        <v>0</v>
      </c>
      <c r="DM3241">
        <v>0</v>
      </c>
      <c r="DN3241">
        <v>1</v>
      </c>
      <c r="DO3241">
        <v>0</v>
      </c>
      <c r="DP3241">
        <v>0</v>
      </c>
      <c r="DQ3241">
        <v>0</v>
      </c>
      <c r="DR3241">
        <v>0</v>
      </c>
      <c r="DS3241">
        <v>0</v>
      </c>
    </row>
    <row r="3242" spans="1:123" x14ac:dyDescent="0.3">
      <c r="A3242" t="str">
        <f t="shared" si="1178"/>
        <v>10/04/2022 19:34:13.698</v>
      </c>
      <c r="C3242" t="str">
        <f t="shared" si="1179"/>
        <v>FFDFD3C0</v>
      </c>
      <c r="D3242" t="s">
        <v>147</v>
      </c>
      <c r="E3242">
        <v>3</v>
      </c>
      <c r="H3242">
        <v>166</v>
      </c>
      <c r="I3242" t="s">
        <v>144</v>
      </c>
      <c r="J3242" t="s">
        <v>148</v>
      </c>
      <c r="K3242">
        <v>0</v>
      </c>
      <c r="L3242">
        <v>3</v>
      </c>
      <c r="M3242">
        <v>0</v>
      </c>
      <c r="N3242">
        <v>2</v>
      </c>
      <c r="O3242">
        <v>0</v>
      </c>
      <c r="P3242">
        <v>1</v>
      </c>
      <c r="Q3242">
        <v>0</v>
      </c>
      <c r="S3242" t="str">
        <f t="shared" si="1180"/>
        <v>19:34:13.000</v>
      </c>
      <c r="T3242" t="str">
        <f t="shared" si="1180"/>
        <v>19:34:13.000</v>
      </c>
      <c r="U3242" t="str">
        <f t="shared" si="1167"/>
        <v>AC3944</v>
      </c>
      <c r="V3242">
        <v>0</v>
      </c>
      <c r="W3242">
        <v>0</v>
      </c>
      <c r="X3242">
        <v>2</v>
      </c>
      <c r="Y3242">
        <v>0</v>
      </c>
      <c r="AA3242">
        <v>1</v>
      </c>
      <c r="AB3242">
        <v>8</v>
      </c>
      <c r="AC3242">
        <v>3</v>
      </c>
      <c r="AD3242">
        <v>0</v>
      </c>
      <c r="AE3242">
        <v>9</v>
      </c>
      <c r="AF3242" t="s">
        <v>138</v>
      </c>
      <c r="AG3242">
        <v>0</v>
      </c>
      <c r="AH3242">
        <v>3</v>
      </c>
      <c r="AI3242">
        <v>1</v>
      </c>
      <c r="AJ3242">
        <v>0</v>
      </c>
      <c r="AK3242" t="s">
        <v>1075</v>
      </c>
      <c r="AL3242">
        <v>32.716126000000003</v>
      </c>
      <c r="AM3242" t="s">
        <v>1076</v>
      </c>
      <c r="AN3242">
        <v>-116.752546</v>
      </c>
      <c r="AO3242">
        <v>25</v>
      </c>
      <c r="AP3242">
        <v>3700</v>
      </c>
      <c r="AQ3242" t="s">
        <v>129</v>
      </c>
      <c r="AR3242">
        <v>-46</v>
      </c>
      <c r="AS3242">
        <v>135</v>
      </c>
      <c r="AT3242">
        <v>-448</v>
      </c>
      <c r="BB3242">
        <v>1200</v>
      </c>
      <c r="BC3242">
        <v>1</v>
      </c>
      <c r="BD3242" t="str">
        <f t="shared" si="1168"/>
        <v xml:space="preserve">N887QR  </v>
      </c>
      <c r="BE3242">
        <v>1</v>
      </c>
      <c r="BG3242">
        <v>0</v>
      </c>
      <c r="BH3242">
        <v>0</v>
      </c>
      <c r="BI3242">
        <v>0</v>
      </c>
      <c r="BJ3242">
        <v>3300</v>
      </c>
      <c r="BK3242">
        <v>-400</v>
      </c>
      <c r="BL3242" t="s">
        <v>163</v>
      </c>
      <c r="BM3242">
        <v>1</v>
      </c>
      <c r="BN3242">
        <v>1</v>
      </c>
      <c r="BO3242">
        <v>1</v>
      </c>
      <c r="BP3242">
        <v>0</v>
      </c>
      <c r="BS3242">
        <v>0.04</v>
      </c>
      <c r="BT3242">
        <v>0</v>
      </c>
      <c r="BU3242">
        <v>0</v>
      </c>
      <c r="CE3242" t="str">
        <f t="shared" si="1181"/>
        <v>19:34:13.464</v>
      </c>
      <c r="CF3242">
        <v>463644926</v>
      </c>
      <c r="CS3242">
        <v>0</v>
      </c>
      <c r="CT3242">
        <v>2</v>
      </c>
      <c r="CU3242">
        <v>0</v>
      </c>
      <c r="CV3242">
        <v>2</v>
      </c>
      <c r="CW3242">
        <v>0</v>
      </c>
      <c r="CX3242">
        <v>5</v>
      </c>
      <c r="CY3242">
        <v>7</v>
      </c>
      <c r="CZ3242" t="s">
        <v>131</v>
      </c>
      <c r="DA3242">
        <v>300</v>
      </c>
      <c r="DB3242">
        <v>0</v>
      </c>
      <c r="DC3242" t="s">
        <v>176</v>
      </c>
      <c r="DD3242" t="s">
        <v>177</v>
      </c>
      <c r="DG3242">
        <v>5433212</v>
      </c>
      <c r="DI3242">
        <v>1</v>
      </c>
      <c r="DJ3242">
        <v>0</v>
      </c>
      <c r="DK3242">
        <v>1</v>
      </c>
      <c r="DL3242">
        <v>0</v>
      </c>
      <c r="DM3242">
        <v>0</v>
      </c>
      <c r="DN3242">
        <v>1</v>
      </c>
      <c r="DO3242">
        <v>0</v>
      </c>
      <c r="DP3242">
        <v>0</v>
      </c>
      <c r="DQ3242">
        <v>0</v>
      </c>
      <c r="DR3242">
        <v>0</v>
      </c>
      <c r="DS3242">
        <v>0</v>
      </c>
    </row>
    <row r="3243" spans="1:123" x14ac:dyDescent="0.3">
      <c r="A3243" t="str">
        <f t="shared" si="1178"/>
        <v>10/04/2022 19:34:13.698</v>
      </c>
      <c r="C3243" t="str">
        <f t="shared" si="1179"/>
        <v>FFDFD3C0</v>
      </c>
      <c r="D3243" t="s">
        <v>134</v>
      </c>
      <c r="E3243">
        <v>15</v>
      </c>
      <c r="J3243" t="s">
        <v>135</v>
      </c>
      <c r="K3243">
        <v>0</v>
      </c>
      <c r="L3243">
        <v>3</v>
      </c>
      <c r="M3243">
        <v>0</v>
      </c>
      <c r="N3243">
        <v>2</v>
      </c>
      <c r="O3243">
        <v>0</v>
      </c>
      <c r="P3243">
        <v>1</v>
      </c>
      <c r="Q3243">
        <v>0</v>
      </c>
      <c r="S3243" t="str">
        <f t="shared" si="1180"/>
        <v>19:34:13.000</v>
      </c>
      <c r="T3243" t="str">
        <f t="shared" si="1180"/>
        <v>19:34:13.000</v>
      </c>
      <c r="U3243" t="str">
        <f t="shared" si="1167"/>
        <v>AC3944</v>
      </c>
      <c r="V3243">
        <v>0</v>
      </c>
      <c r="W3243">
        <v>0</v>
      </c>
      <c r="X3243">
        <v>2</v>
      </c>
      <c r="Y3243">
        <v>0</v>
      </c>
      <c r="AA3243">
        <v>1</v>
      </c>
      <c r="AB3243">
        <v>8</v>
      </c>
      <c r="AC3243">
        <v>3</v>
      </c>
      <c r="AD3243">
        <v>0</v>
      </c>
      <c r="AE3243">
        <v>9</v>
      </c>
      <c r="AF3243" t="s">
        <v>138</v>
      </c>
      <c r="AG3243">
        <v>0</v>
      </c>
      <c r="AH3243">
        <v>3</v>
      </c>
      <c r="AI3243">
        <v>1</v>
      </c>
      <c r="AJ3243">
        <v>0</v>
      </c>
      <c r="AK3243" t="s">
        <v>1075</v>
      </c>
      <c r="AL3243">
        <v>32.716126000000003</v>
      </c>
      <c r="AM3243" t="s">
        <v>1076</v>
      </c>
      <c r="AN3243">
        <v>-116.752546</v>
      </c>
      <c r="AO3243">
        <v>25</v>
      </c>
      <c r="AP3243">
        <v>3700</v>
      </c>
      <c r="AQ3243" t="s">
        <v>129</v>
      </c>
      <c r="AR3243">
        <v>-46</v>
      </c>
      <c r="AS3243">
        <v>135</v>
      </c>
      <c r="AT3243">
        <v>-448</v>
      </c>
      <c r="BB3243">
        <v>1200</v>
      </c>
      <c r="BC3243">
        <v>1</v>
      </c>
      <c r="BD3243" t="str">
        <f t="shared" si="1168"/>
        <v xml:space="preserve">N887QR  </v>
      </c>
      <c r="BE3243">
        <v>1</v>
      </c>
      <c r="BG3243">
        <v>0</v>
      </c>
      <c r="BH3243">
        <v>0</v>
      </c>
      <c r="BI3243">
        <v>0</v>
      </c>
      <c r="BJ3243">
        <v>3300</v>
      </c>
      <c r="BK3243">
        <v>-400</v>
      </c>
      <c r="BL3243" t="s">
        <v>163</v>
      </c>
      <c r="BM3243">
        <v>1</v>
      </c>
      <c r="BN3243">
        <v>1</v>
      </c>
      <c r="BO3243">
        <v>1</v>
      </c>
      <c r="BP3243">
        <v>0</v>
      </c>
      <c r="BS3243">
        <v>0.04</v>
      </c>
      <c r="BT3243">
        <v>0</v>
      </c>
      <c r="BU3243">
        <v>0</v>
      </c>
      <c r="CE3243" t="str">
        <f t="shared" si="1181"/>
        <v>19:34:13.464</v>
      </c>
      <c r="CF3243">
        <v>463644926</v>
      </c>
      <c r="CS3243">
        <v>0</v>
      </c>
      <c r="CT3243">
        <v>2</v>
      </c>
      <c r="CU3243">
        <v>0</v>
      </c>
      <c r="CV3243">
        <v>2</v>
      </c>
      <c r="CW3243">
        <v>0</v>
      </c>
      <c r="CX3243">
        <v>5</v>
      </c>
      <c r="CY3243">
        <v>7</v>
      </c>
      <c r="CZ3243" t="s">
        <v>131</v>
      </c>
      <c r="DA3243">
        <v>300</v>
      </c>
      <c r="DB3243">
        <v>0</v>
      </c>
      <c r="DC3243" t="s">
        <v>176</v>
      </c>
      <c r="DD3243" t="s">
        <v>177</v>
      </c>
      <c r="DG3243">
        <v>5433212</v>
      </c>
      <c r="DI3243">
        <v>1</v>
      </c>
      <c r="DJ3243">
        <v>0</v>
      </c>
      <c r="DK3243">
        <v>1</v>
      </c>
      <c r="DL3243">
        <v>0</v>
      </c>
      <c r="DM3243">
        <v>0</v>
      </c>
      <c r="DN3243">
        <v>1</v>
      </c>
      <c r="DO3243">
        <v>0</v>
      </c>
      <c r="DP3243">
        <v>0</v>
      </c>
      <c r="DQ3243">
        <v>0</v>
      </c>
      <c r="DR3243">
        <v>0</v>
      </c>
      <c r="DS3243">
        <v>0</v>
      </c>
    </row>
    <row r="3244" spans="1:123" x14ac:dyDescent="0.3">
      <c r="A3244" t="str">
        <f t="shared" si="1178"/>
        <v>10/04/2022 19:34:13.698</v>
      </c>
      <c r="C3244" t="str">
        <f t="shared" si="1179"/>
        <v>FFDFD3C0</v>
      </c>
      <c r="D3244" t="s">
        <v>141</v>
      </c>
      <c r="E3244">
        <v>3</v>
      </c>
      <c r="H3244">
        <v>3</v>
      </c>
      <c r="I3244" t="s">
        <v>146</v>
      </c>
      <c r="J3244" t="s">
        <v>138</v>
      </c>
      <c r="K3244">
        <v>0</v>
      </c>
      <c r="L3244">
        <v>3</v>
      </c>
      <c r="M3244">
        <v>0</v>
      </c>
      <c r="N3244">
        <v>2</v>
      </c>
      <c r="O3244">
        <v>0</v>
      </c>
      <c r="P3244">
        <v>1</v>
      </c>
      <c r="Q3244">
        <v>0</v>
      </c>
      <c r="S3244" t="str">
        <f t="shared" si="1180"/>
        <v>19:34:13.000</v>
      </c>
      <c r="T3244" t="str">
        <f t="shared" si="1180"/>
        <v>19:34:13.000</v>
      </c>
      <c r="U3244" t="str">
        <f t="shared" si="1167"/>
        <v>AC3944</v>
      </c>
      <c r="V3244">
        <v>0</v>
      </c>
      <c r="W3244">
        <v>0</v>
      </c>
      <c r="X3244">
        <v>2</v>
      </c>
      <c r="Y3244">
        <v>0</v>
      </c>
      <c r="AA3244">
        <v>1</v>
      </c>
      <c r="AB3244">
        <v>8</v>
      </c>
      <c r="AC3244">
        <v>3</v>
      </c>
      <c r="AD3244">
        <v>0</v>
      </c>
      <c r="AE3244">
        <v>9</v>
      </c>
      <c r="AF3244" t="s">
        <v>138</v>
      </c>
      <c r="AG3244">
        <v>0</v>
      </c>
      <c r="AH3244">
        <v>3</v>
      </c>
      <c r="AI3244">
        <v>1</v>
      </c>
      <c r="AJ3244">
        <v>0</v>
      </c>
      <c r="AK3244" t="s">
        <v>1075</v>
      </c>
      <c r="AL3244">
        <v>32.716126000000003</v>
      </c>
      <c r="AM3244" t="s">
        <v>1076</v>
      </c>
      <c r="AN3244">
        <v>-116.752546</v>
      </c>
      <c r="AO3244">
        <v>25</v>
      </c>
      <c r="AP3244">
        <v>3700</v>
      </c>
      <c r="AQ3244" t="s">
        <v>129</v>
      </c>
      <c r="AR3244">
        <v>-46</v>
      </c>
      <c r="AS3244">
        <v>135</v>
      </c>
      <c r="AT3244">
        <v>-448</v>
      </c>
      <c r="BB3244">
        <v>1200</v>
      </c>
      <c r="BC3244">
        <v>1</v>
      </c>
      <c r="BD3244" t="str">
        <f t="shared" si="1168"/>
        <v xml:space="preserve">N887QR  </v>
      </c>
      <c r="BE3244">
        <v>1</v>
      </c>
      <c r="BG3244">
        <v>0</v>
      </c>
      <c r="BH3244">
        <v>0</v>
      </c>
      <c r="BI3244">
        <v>0</v>
      </c>
      <c r="BJ3244">
        <v>3300</v>
      </c>
      <c r="BK3244">
        <v>-400</v>
      </c>
      <c r="BL3244" t="s">
        <v>163</v>
      </c>
      <c r="BM3244">
        <v>1</v>
      </c>
      <c r="BN3244">
        <v>1</v>
      </c>
      <c r="BO3244">
        <v>1</v>
      </c>
      <c r="BP3244">
        <v>0</v>
      </c>
      <c r="BS3244">
        <v>0.04</v>
      </c>
      <c r="BT3244">
        <v>0</v>
      </c>
      <c r="BU3244">
        <v>0</v>
      </c>
      <c r="CE3244" t="str">
        <f t="shared" si="1181"/>
        <v>19:34:13.464</v>
      </c>
      <c r="CF3244">
        <v>463644926</v>
      </c>
      <c r="CS3244">
        <v>0</v>
      </c>
      <c r="CT3244">
        <v>2</v>
      </c>
      <c r="CU3244">
        <v>0</v>
      </c>
      <c r="CV3244">
        <v>2</v>
      </c>
      <c r="CW3244">
        <v>0</v>
      </c>
      <c r="CX3244">
        <v>5</v>
      </c>
      <c r="CY3244">
        <v>7</v>
      </c>
      <c r="CZ3244" t="s">
        <v>131</v>
      </c>
      <c r="DA3244">
        <v>300</v>
      </c>
      <c r="DB3244">
        <v>0</v>
      </c>
      <c r="DC3244" t="s">
        <v>176</v>
      </c>
      <c r="DD3244" t="s">
        <v>177</v>
      </c>
      <c r="DG3244">
        <v>5433212</v>
      </c>
      <c r="DI3244">
        <v>1</v>
      </c>
      <c r="DJ3244">
        <v>0</v>
      </c>
      <c r="DK3244">
        <v>1</v>
      </c>
      <c r="DL3244">
        <v>0</v>
      </c>
      <c r="DM3244">
        <v>0</v>
      </c>
      <c r="DN3244">
        <v>1</v>
      </c>
      <c r="DO3244">
        <v>0</v>
      </c>
      <c r="DP3244">
        <v>0</v>
      </c>
      <c r="DQ3244">
        <v>0</v>
      </c>
      <c r="DR3244">
        <v>0</v>
      </c>
      <c r="DS3244">
        <v>0</v>
      </c>
    </row>
    <row r="3245" spans="1:123" x14ac:dyDescent="0.3">
      <c r="A3245" t="str">
        <f t="shared" si="1178"/>
        <v>10/04/2022 19:34:13.698</v>
      </c>
      <c r="C3245" t="str">
        <f t="shared" si="1179"/>
        <v>FFDFD3C0</v>
      </c>
      <c r="D3245" t="s">
        <v>141</v>
      </c>
      <c r="E3245">
        <v>4</v>
      </c>
      <c r="H3245">
        <v>4</v>
      </c>
      <c r="I3245" t="s">
        <v>142</v>
      </c>
      <c r="J3245" t="s">
        <v>138</v>
      </c>
      <c r="K3245">
        <v>0</v>
      </c>
      <c r="L3245">
        <v>3</v>
      </c>
      <c r="M3245">
        <v>0</v>
      </c>
      <c r="N3245">
        <v>2</v>
      </c>
      <c r="O3245">
        <v>0</v>
      </c>
      <c r="P3245">
        <v>1</v>
      </c>
      <c r="Q3245">
        <v>0</v>
      </c>
      <c r="S3245" t="str">
        <f t="shared" si="1180"/>
        <v>19:34:13.000</v>
      </c>
      <c r="T3245" t="str">
        <f t="shared" si="1180"/>
        <v>19:34:13.000</v>
      </c>
      <c r="U3245" t="str">
        <f t="shared" si="1167"/>
        <v>AC3944</v>
      </c>
      <c r="V3245">
        <v>0</v>
      </c>
      <c r="W3245">
        <v>0</v>
      </c>
      <c r="X3245">
        <v>2</v>
      </c>
      <c r="Y3245">
        <v>0</v>
      </c>
      <c r="AA3245">
        <v>1</v>
      </c>
      <c r="AB3245">
        <v>8</v>
      </c>
      <c r="AC3245">
        <v>3</v>
      </c>
      <c r="AD3245">
        <v>0</v>
      </c>
      <c r="AE3245">
        <v>9</v>
      </c>
      <c r="AF3245" t="s">
        <v>138</v>
      </c>
      <c r="AG3245">
        <v>0</v>
      </c>
      <c r="AH3245">
        <v>3</v>
      </c>
      <c r="AI3245">
        <v>1</v>
      </c>
      <c r="AJ3245">
        <v>0</v>
      </c>
      <c r="AK3245" t="s">
        <v>1075</v>
      </c>
      <c r="AL3245">
        <v>32.716126000000003</v>
      </c>
      <c r="AM3245" t="s">
        <v>1076</v>
      </c>
      <c r="AN3245">
        <v>-116.752546</v>
      </c>
      <c r="AO3245">
        <v>25</v>
      </c>
      <c r="AP3245">
        <v>3700</v>
      </c>
      <c r="AQ3245" t="s">
        <v>129</v>
      </c>
      <c r="AR3245">
        <v>-46</v>
      </c>
      <c r="AS3245">
        <v>135</v>
      </c>
      <c r="AT3245">
        <v>-448</v>
      </c>
      <c r="BB3245">
        <v>1200</v>
      </c>
      <c r="BC3245">
        <v>1</v>
      </c>
      <c r="BD3245" t="str">
        <f t="shared" si="1168"/>
        <v xml:space="preserve">N887QR  </v>
      </c>
      <c r="BE3245">
        <v>1</v>
      </c>
      <c r="BG3245">
        <v>0</v>
      </c>
      <c r="BH3245">
        <v>0</v>
      </c>
      <c r="BI3245">
        <v>0</v>
      </c>
      <c r="BJ3245">
        <v>3300</v>
      </c>
      <c r="BK3245">
        <v>-400</v>
      </c>
      <c r="BL3245" t="s">
        <v>163</v>
      </c>
      <c r="BM3245">
        <v>1</v>
      </c>
      <c r="BN3245">
        <v>1</v>
      </c>
      <c r="BO3245">
        <v>1</v>
      </c>
      <c r="BP3245">
        <v>0</v>
      </c>
      <c r="BS3245">
        <v>0.04</v>
      </c>
      <c r="BT3245">
        <v>0</v>
      </c>
      <c r="BU3245">
        <v>0</v>
      </c>
      <c r="CE3245" t="str">
        <f t="shared" si="1181"/>
        <v>19:34:13.464</v>
      </c>
      <c r="CF3245">
        <v>463644926</v>
      </c>
      <c r="CS3245">
        <v>0</v>
      </c>
      <c r="CT3245">
        <v>2</v>
      </c>
      <c r="CU3245">
        <v>0</v>
      </c>
      <c r="CV3245">
        <v>2</v>
      </c>
      <c r="CW3245">
        <v>0</v>
      </c>
      <c r="CX3245">
        <v>5</v>
      </c>
      <c r="CY3245">
        <v>7</v>
      </c>
      <c r="CZ3245" t="s">
        <v>131</v>
      </c>
      <c r="DA3245">
        <v>300</v>
      </c>
      <c r="DB3245">
        <v>0</v>
      </c>
      <c r="DC3245" t="s">
        <v>176</v>
      </c>
      <c r="DD3245" t="s">
        <v>177</v>
      </c>
      <c r="DG3245">
        <v>5433212</v>
      </c>
      <c r="DI3245">
        <v>1</v>
      </c>
      <c r="DJ3245">
        <v>0</v>
      </c>
      <c r="DK3245">
        <v>1</v>
      </c>
      <c r="DL3245">
        <v>0</v>
      </c>
      <c r="DM3245">
        <v>0</v>
      </c>
      <c r="DN3245">
        <v>1</v>
      </c>
      <c r="DO3245">
        <v>0</v>
      </c>
      <c r="DP3245">
        <v>0</v>
      </c>
      <c r="DQ3245">
        <v>0</v>
      </c>
      <c r="DR3245">
        <v>0</v>
      </c>
      <c r="DS3245">
        <v>0</v>
      </c>
    </row>
    <row r="3246" spans="1:123" x14ac:dyDescent="0.3">
      <c r="A3246" t="str">
        <f>"10/04/2022 19:34:14.745"</f>
        <v>10/04/2022 19:34:14.745</v>
      </c>
      <c r="C3246" t="str">
        <f t="shared" si="1179"/>
        <v>FFDFD3C0</v>
      </c>
      <c r="D3246" t="s">
        <v>143</v>
      </c>
      <c r="E3246">
        <v>20</v>
      </c>
      <c r="F3246">
        <v>1020</v>
      </c>
      <c r="G3246" t="s">
        <v>144</v>
      </c>
      <c r="J3246" t="s">
        <v>145</v>
      </c>
      <c r="K3246">
        <v>0</v>
      </c>
      <c r="L3246">
        <v>3</v>
      </c>
      <c r="M3246">
        <v>0</v>
      </c>
      <c r="N3246">
        <v>2</v>
      </c>
      <c r="O3246">
        <v>0</v>
      </c>
      <c r="P3246">
        <v>1</v>
      </c>
      <c r="Q3246">
        <v>0</v>
      </c>
      <c r="S3246" t="str">
        <f t="shared" ref="S3246:T3259" si="1182">"19:34:14.000"</f>
        <v>19:34:14.000</v>
      </c>
      <c r="T3246" t="str">
        <f t="shared" si="1182"/>
        <v>19:34:14.000</v>
      </c>
      <c r="U3246" t="str">
        <f t="shared" si="1167"/>
        <v>AC3944</v>
      </c>
      <c r="V3246">
        <v>0</v>
      </c>
      <c r="W3246">
        <v>0</v>
      </c>
      <c r="X3246">
        <v>2</v>
      </c>
      <c r="Y3246">
        <v>0</v>
      </c>
      <c r="AA3246">
        <v>1</v>
      </c>
      <c r="AB3246">
        <v>8</v>
      </c>
      <c r="AC3246">
        <v>3</v>
      </c>
      <c r="AD3246">
        <v>0</v>
      </c>
      <c r="AE3246">
        <v>9</v>
      </c>
      <c r="AF3246" t="s">
        <v>138</v>
      </c>
      <c r="AG3246">
        <v>0</v>
      </c>
      <c r="AH3246">
        <v>3</v>
      </c>
      <c r="AI3246">
        <v>1</v>
      </c>
      <c r="AJ3246">
        <v>0</v>
      </c>
      <c r="AK3246" t="s">
        <v>1077</v>
      </c>
      <c r="AL3246">
        <v>32.716876999999997</v>
      </c>
      <c r="AM3246" t="s">
        <v>1078</v>
      </c>
      <c r="AN3246">
        <v>-116.75286800000001</v>
      </c>
      <c r="AO3246">
        <v>25</v>
      </c>
      <c r="AP3246">
        <v>3700</v>
      </c>
      <c r="AQ3246" t="s">
        <v>129</v>
      </c>
      <c r="AR3246">
        <v>-43</v>
      </c>
      <c r="AS3246">
        <v>135</v>
      </c>
      <c r="AT3246">
        <v>0</v>
      </c>
      <c r="BB3246">
        <v>1200</v>
      </c>
      <c r="BC3246">
        <v>1</v>
      </c>
      <c r="BD3246" t="str">
        <f t="shared" si="1168"/>
        <v xml:space="preserve">N887QR  </v>
      </c>
      <c r="BE3246">
        <v>1</v>
      </c>
      <c r="BG3246">
        <v>0</v>
      </c>
      <c r="BH3246">
        <v>0</v>
      </c>
      <c r="BI3246">
        <v>0</v>
      </c>
      <c r="BJ3246">
        <v>3300</v>
      </c>
      <c r="BK3246">
        <v>-400</v>
      </c>
      <c r="BL3246" t="s">
        <v>163</v>
      </c>
      <c r="BM3246">
        <v>1</v>
      </c>
      <c r="BN3246">
        <v>1</v>
      </c>
      <c r="BO3246">
        <v>1</v>
      </c>
      <c r="BP3246">
        <v>0</v>
      </c>
      <c r="BS3246">
        <v>0.04</v>
      </c>
      <c r="BT3246">
        <v>0</v>
      </c>
      <c r="BU3246">
        <v>0</v>
      </c>
      <c r="CE3246" t="str">
        <f t="shared" ref="CE3246:CE3252" si="1183">"19:34:14.490"</f>
        <v>19:34:14.490</v>
      </c>
      <c r="CF3246">
        <v>490147960</v>
      </c>
      <c r="CS3246">
        <v>0</v>
      </c>
      <c r="CT3246">
        <v>2</v>
      </c>
      <c r="CU3246">
        <v>0</v>
      </c>
      <c r="CV3246">
        <v>2</v>
      </c>
      <c r="CW3246">
        <v>0</v>
      </c>
      <c r="CX3246">
        <v>5</v>
      </c>
      <c r="CY3246">
        <v>7</v>
      </c>
      <c r="CZ3246" t="s">
        <v>131</v>
      </c>
      <c r="DA3246">
        <v>300</v>
      </c>
      <c r="DB3246">
        <v>0</v>
      </c>
      <c r="DC3246" t="s">
        <v>176</v>
      </c>
      <c r="DD3246" t="s">
        <v>177</v>
      </c>
      <c r="DG3246">
        <v>5433365</v>
      </c>
      <c r="DI3246">
        <v>0</v>
      </c>
      <c r="DJ3246">
        <v>0</v>
      </c>
      <c r="DK3246">
        <v>0</v>
      </c>
      <c r="DL3246">
        <v>0</v>
      </c>
      <c r="DM3246">
        <v>0</v>
      </c>
      <c r="DN3246">
        <v>1</v>
      </c>
      <c r="DO3246">
        <v>0</v>
      </c>
      <c r="DP3246">
        <v>0</v>
      </c>
      <c r="DQ3246">
        <v>0</v>
      </c>
      <c r="DR3246">
        <v>0</v>
      </c>
      <c r="DS3246">
        <v>0</v>
      </c>
    </row>
    <row r="3247" spans="1:123" x14ac:dyDescent="0.3">
      <c r="A3247" t="str">
        <f>"10/04/2022 19:34:14.745"</f>
        <v>10/04/2022 19:34:14.745</v>
      </c>
      <c r="C3247" t="str">
        <f t="shared" si="1179"/>
        <v>FFDFD3C0</v>
      </c>
      <c r="D3247" t="s">
        <v>136</v>
      </c>
      <c r="E3247">
        <v>8</v>
      </c>
      <c r="H3247">
        <v>225</v>
      </c>
      <c r="I3247" t="s">
        <v>137</v>
      </c>
      <c r="J3247" t="s">
        <v>138</v>
      </c>
      <c r="K3247">
        <v>0</v>
      </c>
      <c r="L3247">
        <v>3</v>
      </c>
      <c r="M3247">
        <v>0</v>
      </c>
      <c r="N3247">
        <v>2</v>
      </c>
      <c r="O3247">
        <v>0</v>
      </c>
      <c r="P3247">
        <v>1</v>
      </c>
      <c r="Q3247">
        <v>0</v>
      </c>
      <c r="S3247" t="str">
        <f t="shared" si="1182"/>
        <v>19:34:14.000</v>
      </c>
      <c r="T3247" t="str">
        <f t="shared" si="1182"/>
        <v>19:34:14.000</v>
      </c>
      <c r="U3247" t="str">
        <f t="shared" si="1167"/>
        <v>AC3944</v>
      </c>
      <c r="V3247">
        <v>0</v>
      </c>
      <c r="W3247">
        <v>0</v>
      </c>
      <c r="X3247">
        <v>2</v>
      </c>
      <c r="Y3247">
        <v>0</v>
      </c>
      <c r="AA3247">
        <v>1</v>
      </c>
      <c r="AB3247">
        <v>8</v>
      </c>
      <c r="AC3247">
        <v>3</v>
      </c>
      <c r="AD3247">
        <v>0</v>
      </c>
      <c r="AE3247">
        <v>9</v>
      </c>
      <c r="AF3247" t="s">
        <v>138</v>
      </c>
      <c r="AG3247">
        <v>0</v>
      </c>
      <c r="AH3247">
        <v>3</v>
      </c>
      <c r="AI3247">
        <v>1</v>
      </c>
      <c r="AJ3247">
        <v>0</v>
      </c>
      <c r="AK3247" t="s">
        <v>1077</v>
      </c>
      <c r="AL3247">
        <v>32.716876999999997</v>
      </c>
      <c r="AM3247" t="s">
        <v>1078</v>
      </c>
      <c r="AN3247">
        <v>-116.75286800000001</v>
      </c>
      <c r="AO3247">
        <v>25</v>
      </c>
      <c r="AP3247">
        <v>3700</v>
      </c>
      <c r="AQ3247" t="s">
        <v>129</v>
      </c>
      <c r="AR3247">
        <v>-43</v>
      </c>
      <c r="AS3247">
        <v>135</v>
      </c>
      <c r="AT3247">
        <v>0</v>
      </c>
      <c r="BB3247">
        <v>1200</v>
      </c>
      <c r="BC3247">
        <v>1</v>
      </c>
      <c r="BD3247" t="str">
        <f t="shared" si="1168"/>
        <v xml:space="preserve">N887QR  </v>
      </c>
      <c r="BE3247">
        <v>1</v>
      </c>
      <c r="BG3247">
        <v>0</v>
      </c>
      <c r="BH3247">
        <v>0</v>
      </c>
      <c r="BI3247">
        <v>0</v>
      </c>
      <c r="BJ3247">
        <v>3300</v>
      </c>
      <c r="BK3247">
        <v>-400</v>
      </c>
      <c r="BL3247" t="s">
        <v>163</v>
      </c>
      <c r="BM3247">
        <v>1</v>
      </c>
      <c r="BN3247">
        <v>1</v>
      </c>
      <c r="BO3247">
        <v>1</v>
      </c>
      <c r="BP3247">
        <v>0</v>
      </c>
      <c r="BS3247">
        <v>0.04</v>
      </c>
      <c r="BT3247">
        <v>0</v>
      </c>
      <c r="BU3247">
        <v>0</v>
      </c>
      <c r="CE3247" t="str">
        <f t="shared" si="1183"/>
        <v>19:34:14.490</v>
      </c>
      <c r="CF3247">
        <v>490147960</v>
      </c>
      <c r="CS3247">
        <v>0</v>
      </c>
      <c r="CT3247">
        <v>2</v>
      </c>
      <c r="CU3247">
        <v>0</v>
      </c>
      <c r="CV3247">
        <v>2</v>
      </c>
      <c r="CW3247">
        <v>0</v>
      </c>
      <c r="CX3247">
        <v>5</v>
      </c>
      <c r="CY3247">
        <v>7</v>
      </c>
      <c r="CZ3247" t="s">
        <v>131</v>
      </c>
      <c r="DA3247">
        <v>300</v>
      </c>
      <c r="DB3247">
        <v>0</v>
      </c>
      <c r="DC3247" t="s">
        <v>176</v>
      </c>
      <c r="DD3247" t="s">
        <v>177</v>
      </c>
      <c r="DG3247">
        <v>5433365</v>
      </c>
      <c r="DI3247">
        <v>0</v>
      </c>
      <c r="DJ3247">
        <v>0</v>
      </c>
      <c r="DK3247">
        <v>1</v>
      </c>
      <c r="DL3247">
        <v>0</v>
      </c>
      <c r="DM3247">
        <v>0</v>
      </c>
      <c r="DN3247">
        <v>1</v>
      </c>
      <c r="DO3247">
        <v>0</v>
      </c>
      <c r="DP3247">
        <v>0</v>
      </c>
      <c r="DQ3247">
        <v>0</v>
      </c>
      <c r="DR3247">
        <v>0</v>
      </c>
      <c r="DS3247">
        <v>0</v>
      </c>
    </row>
    <row r="3248" spans="1:123" x14ac:dyDescent="0.3">
      <c r="A3248" t="str">
        <f>"10/04/2022 19:34:14.745"</f>
        <v>10/04/2022 19:34:14.745</v>
      </c>
      <c r="C3248" t="str">
        <f t="shared" si="1179"/>
        <v>FFDFD3C0</v>
      </c>
      <c r="D3248" t="s">
        <v>123</v>
      </c>
      <c r="E3248">
        <v>7</v>
      </c>
      <c r="F3248">
        <v>2007</v>
      </c>
      <c r="G3248" t="s">
        <v>124</v>
      </c>
      <c r="J3248" t="s">
        <v>125</v>
      </c>
      <c r="K3248">
        <v>0</v>
      </c>
      <c r="L3248">
        <v>3</v>
      </c>
      <c r="M3248">
        <v>0</v>
      </c>
      <c r="N3248">
        <v>2</v>
      </c>
      <c r="O3248">
        <v>0</v>
      </c>
      <c r="P3248">
        <v>1</v>
      </c>
      <c r="Q3248">
        <v>0</v>
      </c>
      <c r="S3248" t="str">
        <f t="shared" si="1182"/>
        <v>19:34:14.000</v>
      </c>
      <c r="T3248" t="str">
        <f t="shared" si="1182"/>
        <v>19:34:14.000</v>
      </c>
      <c r="U3248" t="str">
        <f t="shared" si="1167"/>
        <v>AC3944</v>
      </c>
      <c r="V3248">
        <v>0</v>
      </c>
      <c r="W3248">
        <v>0</v>
      </c>
      <c r="X3248">
        <v>2</v>
      </c>
      <c r="Y3248">
        <v>0</v>
      </c>
      <c r="AA3248">
        <v>1</v>
      </c>
      <c r="AB3248">
        <v>8</v>
      </c>
      <c r="AC3248">
        <v>3</v>
      </c>
      <c r="AD3248">
        <v>0</v>
      </c>
      <c r="AE3248">
        <v>9</v>
      </c>
      <c r="AF3248" t="s">
        <v>138</v>
      </c>
      <c r="AG3248">
        <v>0</v>
      </c>
      <c r="AH3248">
        <v>3</v>
      </c>
      <c r="AI3248">
        <v>1</v>
      </c>
      <c r="AJ3248">
        <v>0</v>
      </c>
      <c r="AK3248" t="s">
        <v>1077</v>
      </c>
      <c r="AL3248">
        <v>32.716876999999997</v>
      </c>
      <c r="AM3248" t="s">
        <v>1078</v>
      </c>
      <c r="AN3248">
        <v>-116.75286800000001</v>
      </c>
      <c r="AO3248">
        <v>25</v>
      </c>
      <c r="AP3248">
        <v>3700</v>
      </c>
      <c r="AQ3248" t="s">
        <v>129</v>
      </c>
      <c r="AR3248">
        <v>-43</v>
      </c>
      <c r="AS3248">
        <v>135</v>
      </c>
      <c r="AT3248">
        <v>0</v>
      </c>
      <c r="BB3248">
        <v>1200</v>
      </c>
      <c r="BC3248">
        <v>1</v>
      </c>
      <c r="BD3248" t="str">
        <f t="shared" si="1168"/>
        <v xml:space="preserve">N887QR  </v>
      </c>
      <c r="BE3248">
        <v>1</v>
      </c>
      <c r="BG3248">
        <v>0</v>
      </c>
      <c r="BH3248">
        <v>0</v>
      </c>
      <c r="BI3248">
        <v>0</v>
      </c>
      <c r="BJ3248">
        <v>3300</v>
      </c>
      <c r="BK3248">
        <v>-400</v>
      </c>
      <c r="BL3248" t="s">
        <v>163</v>
      </c>
      <c r="BM3248">
        <v>1</v>
      </c>
      <c r="BN3248">
        <v>1</v>
      </c>
      <c r="BO3248">
        <v>1</v>
      </c>
      <c r="BP3248">
        <v>0</v>
      </c>
      <c r="BS3248">
        <v>0.04</v>
      </c>
      <c r="BT3248">
        <v>0</v>
      </c>
      <c r="BU3248">
        <v>0</v>
      </c>
      <c r="CE3248" t="str">
        <f t="shared" si="1183"/>
        <v>19:34:14.490</v>
      </c>
      <c r="CF3248">
        <v>490147960</v>
      </c>
      <c r="CS3248">
        <v>0</v>
      </c>
      <c r="CT3248">
        <v>2</v>
      </c>
      <c r="CU3248">
        <v>0</v>
      </c>
      <c r="CV3248">
        <v>2</v>
      </c>
      <c r="CW3248">
        <v>0</v>
      </c>
      <c r="CX3248">
        <v>5</v>
      </c>
      <c r="CY3248">
        <v>7</v>
      </c>
      <c r="CZ3248" t="s">
        <v>131</v>
      </c>
      <c r="DA3248">
        <v>300</v>
      </c>
      <c r="DB3248">
        <v>0</v>
      </c>
      <c r="DC3248" t="s">
        <v>176</v>
      </c>
      <c r="DD3248" t="s">
        <v>177</v>
      </c>
      <c r="DG3248">
        <v>5433365</v>
      </c>
      <c r="DI3248">
        <v>0</v>
      </c>
      <c r="DJ3248">
        <v>0</v>
      </c>
      <c r="DK3248">
        <v>1</v>
      </c>
      <c r="DL3248">
        <v>0</v>
      </c>
      <c r="DM3248">
        <v>0</v>
      </c>
      <c r="DN3248">
        <v>1</v>
      </c>
      <c r="DO3248">
        <v>0</v>
      </c>
      <c r="DP3248">
        <v>0</v>
      </c>
      <c r="DQ3248">
        <v>0</v>
      </c>
      <c r="DR3248">
        <v>0</v>
      </c>
      <c r="DS3248">
        <v>0</v>
      </c>
    </row>
    <row r="3249" spans="1:123" x14ac:dyDescent="0.3">
      <c r="A3249" t="str">
        <f>"10/04/2022 19:34:14.745"</f>
        <v>10/04/2022 19:34:14.745</v>
      </c>
      <c r="C3249" t="str">
        <f t="shared" si="1179"/>
        <v>FFDFD3C0</v>
      </c>
      <c r="D3249" t="s">
        <v>147</v>
      </c>
      <c r="E3249">
        <v>3</v>
      </c>
      <c r="H3249">
        <v>166</v>
      </c>
      <c r="I3249" t="s">
        <v>144</v>
      </c>
      <c r="J3249" t="s">
        <v>148</v>
      </c>
      <c r="K3249">
        <v>0</v>
      </c>
      <c r="L3249">
        <v>3</v>
      </c>
      <c r="M3249">
        <v>0</v>
      </c>
      <c r="N3249">
        <v>2</v>
      </c>
      <c r="O3249">
        <v>0</v>
      </c>
      <c r="P3249">
        <v>1</v>
      </c>
      <c r="Q3249">
        <v>0</v>
      </c>
      <c r="S3249" t="str">
        <f t="shared" si="1182"/>
        <v>19:34:14.000</v>
      </c>
      <c r="T3249" t="str">
        <f t="shared" si="1182"/>
        <v>19:34:14.000</v>
      </c>
      <c r="U3249" t="str">
        <f t="shared" si="1167"/>
        <v>AC3944</v>
      </c>
      <c r="V3249">
        <v>0</v>
      </c>
      <c r="W3249">
        <v>0</v>
      </c>
      <c r="X3249">
        <v>2</v>
      </c>
      <c r="Y3249">
        <v>0</v>
      </c>
      <c r="AA3249">
        <v>1</v>
      </c>
      <c r="AB3249">
        <v>8</v>
      </c>
      <c r="AC3249">
        <v>3</v>
      </c>
      <c r="AD3249">
        <v>0</v>
      </c>
      <c r="AE3249">
        <v>9</v>
      </c>
      <c r="AF3249" t="s">
        <v>138</v>
      </c>
      <c r="AG3249">
        <v>0</v>
      </c>
      <c r="AH3249">
        <v>3</v>
      </c>
      <c r="AI3249">
        <v>1</v>
      </c>
      <c r="AJ3249">
        <v>0</v>
      </c>
      <c r="AK3249" t="s">
        <v>1077</v>
      </c>
      <c r="AL3249">
        <v>32.716876999999997</v>
      </c>
      <c r="AM3249" t="s">
        <v>1078</v>
      </c>
      <c r="AN3249">
        <v>-116.75286800000001</v>
      </c>
      <c r="AO3249">
        <v>25</v>
      </c>
      <c r="AP3249">
        <v>3700</v>
      </c>
      <c r="AQ3249" t="s">
        <v>129</v>
      </c>
      <c r="AR3249">
        <v>-43</v>
      </c>
      <c r="AS3249">
        <v>135</v>
      </c>
      <c r="AT3249">
        <v>0</v>
      </c>
      <c r="BB3249">
        <v>1200</v>
      </c>
      <c r="BC3249">
        <v>1</v>
      </c>
      <c r="BD3249" t="str">
        <f t="shared" si="1168"/>
        <v xml:space="preserve">N887QR  </v>
      </c>
      <c r="BE3249">
        <v>1</v>
      </c>
      <c r="BG3249">
        <v>0</v>
      </c>
      <c r="BH3249">
        <v>0</v>
      </c>
      <c r="BI3249">
        <v>0</v>
      </c>
      <c r="BJ3249">
        <v>3300</v>
      </c>
      <c r="BK3249">
        <v>-400</v>
      </c>
      <c r="BL3249" t="s">
        <v>163</v>
      </c>
      <c r="BM3249">
        <v>1</v>
      </c>
      <c r="BN3249">
        <v>1</v>
      </c>
      <c r="BO3249">
        <v>1</v>
      </c>
      <c r="BP3249">
        <v>0</v>
      </c>
      <c r="BS3249">
        <v>0.04</v>
      </c>
      <c r="BT3249">
        <v>0</v>
      </c>
      <c r="BU3249">
        <v>0</v>
      </c>
      <c r="CE3249" t="str">
        <f t="shared" si="1183"/>
        <v>19:34:14.490</v>
      </c>
      <c r="CF3249">
        <v>490147960</v>
      </c>
      <c r="CS3249">
        <v>0</v>
      </c>
      <c r="CT3249">
        <v>2</v>
      </c>
      <c r="CU3249">
        <v>0</v>
      </c>
      <c r="CV3249">
        <v>2</v>
      </c>
      <c r="CW3249">
        <v>0</v>
      </c>
      <c r="CX3249">
        <v>5</v>
      </c>
      <c r="CY3249">
        <v>7</v>
      </c>
      <c r="CZ3249" t="s">
        <v>131</v>
      </c>
      <c r="DA3249">
        <v>300</v>
      </c>
      <c r="DB3249">
        <v>0</v>
      </c>
      <c r="DC3249" t="s">
        <v>176</v>
      </c>
      <c r="DD3249" t="s">
        <v>177</v>
      </c>
      <c r="DG3249">
        <v>5433365</v>
      </c>
      <c r="DI3249">
        <v>0</v>
      </c>
      <c r="DJ3249">
        <v>0</v>
      </c>
      <c r="DK3249">
        <v>1</v>
      </c>
      <c r="DL3249">
        <v>0</v>
      </c>
      <c r="DM3249">
        <v>0</v>
      </c>
      <c r="DN3249">
        <v>1</v>
      </c>
      <c r="DO3249">
        <v>0</v>
      </c>
      <c r="DP3249">
        <v>0</v>
      </c>
      <c r="DQ3249">
        <v>0</v>
      </c>
      <c r="DR3249">
        <v>0</v>
      </c>
      <c r="DS3249">
        <v>0</v>
      </c>
    </row>
    <row r="3250" spans="1:123" x14ac:dyDescent="0.3">
      <c r="A3250" t="str">
        <f>"10/04/2022 19:34:14.745"</f>
        <v>10/04/2022 19:34:14.745</v>
      </c>
      <c r="C3250" t="str">
        <f t="shared" si="1179"/>
        <v>FFDFD3C0</v>
      </c>
      <c r="D3250" t="s">
        <v>134</v>
      </c>
      <c r="E3250">
        <v>15</v>
      </c>
      <c r="J3250" t="s">
        <v>135</v>
      </c>
      <c r="K3250">
        <v>0</v>
      </c>
      <c r="L3250">
        <v>3</v>
      </c>
      <c r="M3250">
        <v>0</v>
      </c>
      <c r="N3250">
        <v>2</v>
      </c>
      <c r="O3250">
        <v>0</v>
      </c>
      <c r="P3250">
        <v>1</v>
      </c>
      <c r="Q3250">
        <v>0</v>
      </c>
      <c r="S3250" t="str">
        <f t="shared" si="1182"/>
        <v>19:34:14.000</v>
      </c>
      <c r="T3250" t="str">
        <f t="shared" si="1182"/>
        <v>19:34:14.000</v>
      </c>
      <c r="U3250" t="str">
        <f t="shared" si="1167"/>
        <v>AC3944</v>
      </c>
      <c r="V3250">
        <v>0</v>
      </c>
      <c r="W3250">
        <v>0</v>
      </c>
      <c r="X3250">
        <v>2</v>
      </c>
      <c r="Y3250">
        <v>0</v>
      </c>
      <c r="AA3250">
        <v>1</v>
      </c>
      <c r="AB3250">
        <v>8</v>
      </c>
      <c r="AC3250">
        <v>3</v>
      </c>
      <c r="AD3250">
        <v>0</v>
      </c>
      <c r="AE3250">
        <v>9</v>
      </c>
      <c r="AF3250" t="s">
        <v>138</v>
      </c>
      <c r="AG3250">
        <v>0</v>
      </c>
      <c r="AH3250">
        <v>3</v>
      </c>
      <c r="AI3250">
        <v>1</v>
      </c>
      <c r="AJ3250">
        <v>0</v>
      </c>
      <c r="AK3250" t="s">
        <v>1077</v>
      </c>
      <c r="AL3250">
        <v>32.716876999999997</v>
      </c>
      <c r="AM3250" t="s">
        <v>1078</v>
      </c>
      <c r="AN3250">
        <v>-116.75286800000001</v>
      </c>
      <c r="AO3250">
        <v>25</v>
      </c>
      <c r="AP3250">
        <v>3700</v>
      </c>
      <c r="AQ3250" t="s">
        <v>129</v>
      </c>
      <c r="AR3250">
        <v>-43</v>
      </c>
      <c r="AS3250">
        <v>135</v>
      </c>
      <c r="AT3250">
        <v>0</v>
      </c>
      <c r="BB3250">
        <v>1200</v>
      </c>
      <c r="BC3250">
        <v>1</v>
      </c>
      <c r="BD3250" t="str">
        <f t="shared" si="1168"/>
        <v xml:space="preserve">N887QR  </v>
      </c>
      <c r="BE3250">
        <v>1</v>
      </c>
      <c r="BG3250">
        <v>0</v>
      </c>
      <c r="BH3250">
        <v>0</v>
      </c>
      <c r="BI3250">
        <v>0</v>
      </c>
      <c r="BJ3250">
        <v>3300</v>
      </c>
      <c r="BK3250">
        <v>-400</v>
      </c>
      <c r="BL3250" t="s">
        <v>163</v>
      </c>
      <c r="BM3250">
        <v>1</v>
      </c>
      <c r="BN3250">
        <v>1</v>
      </c>
      <c r="BO3250">
        <v>1</v>
      </c>
      <c r="BP3250">
        <v>0</v>
      </c>
      <c r="BS3250">
        <v>0.04</v>
      </c>
      <c r="BT3250">
        <v>0</v>
      </c>
      <c r="BU3250">
        <v>0</v>
      </c>
      <c r="CE3250" t="str">
        <f t="shared" si="1183"/>
        <v>19:34:14.490</v>
      </c>
      <c r="CF3250">
        <v>490147960</v>
      </c>
      <c r="CS3250">
        <v>0</v>
      </c>
      <c r="CT3250">
        <v>2</v>
      </c>
      <c r="CU3250">
        <v>0</v>
      </c>
      <c r="CV3250">
        <v>2</v>
      </c>
      <c r="CW3250">
        <v>0</v>
      </c>
      <c r="CX3250">
        <v>5</v>
      </c>
      <c r="CY3250">
        <v>7</v>
      </c>
      <c r="CZ3250" t="s">
        <v>131</v>
      </c>
      <c r="DA3250">
        <v>300</v>
      </c>
      <c r="DB3250">
        <v>0</v>
      </c>
      <c r="DC3250" t="s">
        <v>176</v>
      </c>
      <c r="DD3250" t="s">
        <v>177</v>
      </c>
      <c r="DG3250">
        <v>5433365</v>
      </c>
      <c r="DI3250">
        <v>0</v>
      </c>
      <c r="DJ3250">
        <v>0</v>
      </c>
      <c r="DK3250">
        <v>1</v>
      </c>
      <c r="DL3250">
        <v>0</v>
      </c>
      <c r="DM3250">
        <v>0</v>
      </c>
      <c r="DN3250">
        <v>1</v>
      </c>
      <c r="DO3250">
        <v>0</v>
      </c>
      <c r="DP3250">
        <v>0</v>
      </c>
      <c r="DQ3250">
        <v>0</v>
      </c>
      <c r="DR3250">
        <v>0</v>
      </c>
      <c r="DS3250">
        <v>0</v>
      </c>
    </row>
    <row r="3251" spans="1:123" x14ac:dyDescent="0.3">
      <c r="A3251" t="str">
        <f>"10/04/2022 19:34:14.776"</f>
        <v>10/04/2022 19:34:14.776</v>
      </c>
      <c r="C3251" t="str">
        <f t="shared" si="1179"/>
        <v>FFDFD3C0</v>
      </c>
      <c r="D3251" t="s">
        <v>141</v>
      </c>
      <c r="E3251">
        <v>3</v>
      </c>
      <c r="H3251">
        <v>3</v>
      </c>
      <c r="I3251" t="s">
        <v>146</v>
      </c>
      <c r="J3251" t="s">
        <v>138</v>
      </c>
      <c r="K3251">
        <v>0</v>
      </c>
      <c r="L3251">
        <v>3</v>
      </c>
      <c r="M3251">
        <v>0</v>
      </c>
      <c r="N3251">
        <v>2</v>
      </c>
      <c r="O3251">
        <v>0</v>
      </c>
      <c r="P3251">
        <v>1</v>
      </c>
      <c r="Q3251">
        <v>0</v>
      </c>
      <c r="S3251" t="str">
        <f t="shared" si="1182"/>
        <v>19:34:14.000</v>
      </c>
      <c r="T3251" t="str">
        <f t="shared" si="1182"/>
        <v>19:34:14.000</v>
      </c>
      <c r="U3251" t="str">
        <f t="shared" si="1167"/>
        <v>AC3944</v>
      </c>
      <c r="V3251">
        <v>0</v>
      </c>
      <c r="W3251">
        <v>0</v>
      </c>
      <c r="X3251">
        <v>2</v>
      </c>
      <c r="Y3251">
        <v>0</v>
      </c>
      <c r="AA3251">
        <v>1</v>
      </c>
      <c r="AB3251">
        <v>8</v>
      </c>
      <c r="AC3251">
        <v>3</v>
      </c>
      <c r="AD3251">
        <v>0</v>
      </c>
      <c r="AE3251">
        <v>9</v>
      </c>
      <c r="AF3251" t="s">
        <v>138</v>
      </c>
      <c r="AG3251">
        <v>0</v>
      </c>
      <c r="AH3251">
        <v>3</v>
      </c>
      <c r="AI3251">
        <v>1</v>
      </c>
      <c r="AJ3251">
        <v>0</v>
      </c>
      <c r="AK3251" t="s">
        <v>1077</v>
      </c>
      <c r="AL3251">
        <v>32.716876999999997</v>
      </c>
      <c r="AM3251" t="s">
        <v>1078</v>
      </c>
      <c r="AN3251">
        <v>-116.75286800000001</v>
      </c>
      <c r="AO3251">
        <v>25</v>
      </c>
      <c r="AP3251">
        <v>3700</v>
      </c>
      <c r="AQ3251" t="s">
        <v>129</v>
      </c>
      <c r="AR3251">
        <v>-43</v>
      </c>
      <c r="AS3251">
        <v>135</v>
      </c>
      <c r="AT3251">
        <v>0</v>
      </c>
      <c r="BB3251">
        <v>1200</v>
      </c>
      <c r="BC3251">
        <v>1</v>
      </c>
      <c r="BD3251" t="str">
        <f t="shared" si="1168"/>
        <v xml:space="preserve">N887QR  </v>
      </c>
      <c r="BE3251">
        <v>1</v>
      </c>
      <c r="BG3251">
        <v>0</v>
      </c>
      <c r="BH3251">
        <v>0</v>
      </c>
      <c r="BI3251">
        <v>0</v>
      </c>
      <c r="BJ3251">
        <v>3300</v>
      </c>
      <c r="BK3251">
        <v>-400</v>
      </c>
      <c r="BL3251" t="s">
        <v>163</v>
      </c>
      <c r="BM3251">
        <v>1</v>
      </c>
      <c r="BN3251">
        <v>1</v>
      </c>
      <c r="BO3251">
        <v>1</v>
      </c>
      <c r="BP3251">
        <v>0</v>
      </c>
      <c r="BS3251">
        <v>0.04</v>
      </c>
      <c r="BT3251">
        <v>0</v>
      </c>
      <c r="BU3251">
        <v>0</v>
      </c>
      <c r="CE3251" t="str">
        <f t="shared" si="1183"/>
        <v>19:34:14.490</v>
      </c>
      <c r="CF3251">
        <v>490147960</v>
      </c>
      <c r="CS3251">
        <v>0</v>
      </c>
      <c r="CT3251">
        <v>2</v>
      </c>
      <c r="CU3251">
        <v>0</v>
      </c>
      <c r="CV3251">
        <v>2</v>
      </c>
      <c r="CW3251">
        <v>0</v>
      </c>
      <c r="CX3251">
        <v>5</v>
      </c>
      <c r="CY3251">
        <v>7</v>
      </c>
      <c r="CZ3251" t="s">
        <v>131</v>
      </c>
      <c r="DA3251">
        <v>300</v>
      </c>
      <c r="DB3251">
        <v>0</v>
      </c>
      <c r="DC3251" t="s">
        <v>176</v>
      </c>
      <c r="DD3251" t="s">
        <v>177</v>
      </c>
      <c r="DG3251">
        <v>5433365</v>
      </c>
      <c r="DI3251">
        <v>0</v>
      </c>
      <c r="DJ3251">
        <v>0</v>
      </c>
      <c r="DK3251">
        <v>1</v>
      </c>
      <c r="DL3251">
        <v>0</v>
      </c>
      <c r="DM3251">
        <v>0</v>
      </c>
      <c r="DN3251">
        <v>1</v>
      </c>
      <c r="DO3251">
        <v>0</v>
      </c>
      <c r="DP3251">
        <v>0</v>
      </c>
      <c r="DQ3251">
        <v>0</v>
      </c>
      <c r="DR3251">
        <v>0</v>
      </c>
      <c r="DS3251">
        <v>0</v>
      </c>
    </row>
    <row r="3252" spans="1:123" x14ac:dyDescent="0.3">
      <c r="A3252" t="str">
        <f>"10/04/2022 19:34:14.792"</f>
        <v>10/04/2022 19:34:14.792</v>
      </c>
      <c r="C3252" t="str">
        <f t="shared" si="1179"/>
        <v>FFDFD3C0</v>
      </c>
      <c r="D3252" t="s">
        <v>141</v>
      </c>
      <c r="E3252">
        <v>4</v>
      </c>
      <c r="H3252">
        <v>4</v>
      </c>
      <c r="I3252" t="s">
        <v>142</v>
      </c>
      <c r="J3252" t="s">
        <v>138</v>
      </c>
      <c r="K3252">
        <v>0</v>
      </c>
      <c r="L3252">
        <v>3</v>
      </c>
      <c r="M3252">
        <v>0</v>
      </c>
      <c r="N3252">
        <v>2</v>
      </c>
      <c r="O3252">
        <v>0</v>
      </c>
      <c r="P3252">
        <v>1</v>
      </c>
      <c r="Q3252">
        <v>0</v>
      </c>
      <c r="S3252" t="str">
        <f t="shared" si="1182"/>
        <v>19:34:14.000</v>
      </c>
      <c r="T3252" t="str">
        <f t="shared" si="1182"/>
        <v>19:34:14.000</v>
      </c>
      <c r="U3252" t="str">
        <f t="shared" si="1167"/>
        <v>AC3944</v>
      </c>
      <c r="V3252">
        <v>0</v>
      </c>
      <c r="W3252">
        <v>0</v>
      </c>
      <c r="X3252">
        <v>2</v>
      </c>
      <c r="Y3252">
        <v>0</v>
      </c>
      <c r="AA3252">
        <v>1</v>
      </c>
      <c r="AB3252">
        <v>8</v>
      </c>
      <c r="AC3252">
        <v>3</v>
      </c>
      <c r="AD3252">
        <v>0</v>
      </c>
      <c r="AE3252">
        <v>9</v>
      </c>
      <c r="AF3252" t="s">
        <v>138</v>
      </c>
      <c r="AG3252">
        <v>0</v>
      </c>
      <c r="AH3252">
        <v>3</v>
      </c>
      <c r="AI3252">
        <v>1</v>
      </c>
      <c r="AJ3252">
        <v>0</v>
      </c>
      <c r="AK3252" t="s">
        <v>1077</v>
      </c>
      <c r="AL3252">
        <v>32.716876999999997</v>
      </c>
      <c r="AM3252" t="s">
        <v>1078</v>
      </c>
      <c r="AN3252">
        <v>-116.75286800000001</v>
      </c>
      <c r="AO3252">
        <v>25</v>
      </c>
      <c r="AP3252">
        <v>3700</v>
      </c>
      <c r="AQ3252" t="s">
        <v>129</v>
      </c>
      <c r="AR3252">
        <v>-43</v>
      </c>
      <c r="AS3252">
        <v>135</v>
      </c>
      <c r="AT3252">
        <v>0</v>
      </c>
      <c r="BB3252">
        <v>1200</v>
      </c>
      <c r="BC3252">
        <v>1</v>
      </c>
      <c r="BD3252" t="str">
        <f t="shared" si="1168"/>
        <v xml:space="preserve">N887QR  </v>
      </c>
      <c r="BE3252">
        <v>1</v>
      </c>
      <c r="BG3252">
        <v>0</v>
      </c>
      <c r="BH3252">
        <v>0</v>
      </c>
      <c r="BI3252">
        <v>0</v>
      </c>
      <c r="BJ3252">
        <v>3300</v>
      </c>
      <c r="BK3252">
        <v>-400</v>
      </c>
      <c r="BL3252" t="s">
        <v>163</v>
      </c>
      <c r="BM3252">
        <v>1</v>
      </c>
      <c r="BN3252">
        <v>1</v>
      </c>
      <c r="BO3252">
        <v>1</v>
      </c>
      <c r="BP3252">
        <v>0</v>
      </c>
      <c r="BS3252">
        <v>0.04</v>
      </c>
      <c r="BT3252">
        <v>0</v>
      </c>
      <c r="BU3252">
        <v>0</v>
      </c>
      <c r="CE3252" t="str">
        <f t="shared" si="1183"/>
        <v>19:34:14.490</v>
      </c>
      <c r="CF3252">
        <v>490147960</v>
      </c>
      <c r="CS3252">
        <v>0</v>
      </c>
      <c r="CT3252">
        <v>2</v>
      </c>
      <c r="CU3252">
        <v>0</v>
      </c>
      <c r="CV3252">
        <v>2</v>
      </c>
      <c r="CW3252">
        <v>0</v>
      </c>
      <c r="CX3252">
        <v>5</v>
      </c>
      <c r="CY3252">
        <v>7</v>
      </c>
      <c r="CZ3252" t="s">
        <v>131</v>
      </c>
      <c r="DA3252">
        <v>300</v>
      </c>
      <c r="DB3252">
        <v>0</v>
      </c>
      <c r="DC3252" t="s">
        <v>176</v>
      </c>
      <c r="DD3252" t="s">
        <v>177</v>
      </c>
      <c r="DG3252">
        <v>5433365</v>
      </c>
      <c r="DI3252">
        <v>0</v>
      </c>
      <c r="DJ3252">
        <v>0</v>
      </c>
      <c r="DK3252">
        <v>1</v>
      </c>
      <c r="DL3252">
        <v>0</v>
      </c>
      <c r="DM3252">
        <v>0</v>
      </c>
      <c r="DN3252">
        <v>1</v>
      </c>
      <c r="DO3252">
        <v>0</v>
      </c>
      <c r="DP3252">
        <v>0</v>
      </c>
      <c r="DQ3252">
        <v>0</v>
      </c>
      <c r="DR3252">
        <v>0</v>
      </c>
      <c r="DS3252">
        <v>0</v>
      </c>
    </row>
    <row r="3253" spans="1:123" x14ac:dyDescent="0.3">
      <c r="A3253" t="str">
        <f t="shared" ref="A3253:A3259" si="1184">"10/04/2022 19:34:15.105"</f>
        <v>10/04/2022 19:34:15.105</v>
      </c>
      <c r="C3253" t="str">
        <f t="shared" si="1179"/>
        <v>FFDFD3C0</v>
      </c>
      <c r="D3253" t="s">
        <v>147</v>
      </c>
      <c r="E3253">
        <v>3</v>
      </c>
      <c r="H3253">
        <v>166</v>
      </c>
      <c r="I3253" t="s">
        <v>144</v>
      </c>
      <c r="J3253" t="s">
        <v>148</v>
      </c>
      <c r="K3253">
        <v>0</v>
      </c>
      <c r="L3253">
        <v>3</v>
      </c>
      <c r="M3253">
        <v>0</v>
      </c>
      <c r="N3253">
        <v>2</v>
      </c>
      <c r="O3253">
        <v>0</v>
      </c>
      <c r="P3253">
        <v>1</v>
      </c>
      <c r="Q3253">
        <v>0</v>
      </c>
      <c r="S3253" t="str">
        <f t="shared" si="1182"/>
        <v>19:34:14.000</v>
      </c>
      <c r="T3253" t="str">
        <f t="shared" si="1182"/>
        <v>19:34:14.000</v>
      </c>
      <c r="U3253" t="str">
        <f t="shared" si="1167"/>
        <v>AC3944</v>
      </c>
      <c r="V3253">
        <v>0</v>
      </c>
      <c r="W3253">
        <v>0</v>
      </c>
      <c r="X3253">
        <v>2</v>
      </c>
      <c r="Y3253">
        <v>0</v>
      </c>
      <c r="AA3253">
        <v>1</v>
      </c>
      <c r="AB3253">
        <v>8</v>
      </c>
      <c r="AC3253">
        <v>3</v>
      </c>
      <c r="AD3253">
        <v>0</v>
      </c>
      <c r="AE3253">
        <v>9</v>
      </c>
      <c r="AF3253" t="s">
        <v>138</v>
      </c>
      <c r="AG3253">
        <v>0</v>
      </c>
      <c r="AH3253">
        <v>3</v>
      </c>
      <c r="AI3253">
        <v>1</v>
      </c>
      <c r="AJ3253">
        <v>0</v>
      </c>
      <c r="AK3253" t="s">
        <v>1079</v>
      </c>
      <c r="AL3253">
        <v>32.717520999999998</v>
      </c>
      <c r="AM3253" t="s">
        <v>1080</v>
      </c>
      <c r="AN3253">
        <v>-116.75310399999999</v>
      </c>
      <c r="AO3253">
        <v>25</v>
      </c>
      <c r="AP3253">
        <v>3700</v>
      </c>
      <c r="AQ3253" t="s">
        <v>129</v>
      </c>
      <c r="AR3253">
        <v>-42</v>
      </c>
      <c r="AS3253">
        <v>134</v>
      </c>
      <c r="AT3253">
        <v>0</v>
      </c>
      <c r="BB3253">
        <v>1200</v>
      </c>
      <c r="BC3253">
        <v>1</v>
      </c>
      <c r="BD3253" t="str">
        <f t="shared" si="1168"/>
        <v xml:space="preserve">N887QR  </v>
      </c>
      <c r="BE3253">
        <v>1</v>
      </c>
      <c r="BG3253">
        <v>0</v>
      </c>
      <c r="BH3253">
        <v>0</v>
      </c>
      <c r="BI3253">
        <v>0</v>
      </c>
      <c r="BJ3253">
        <v>3325</v>
      </c>
      <c r="BK3253">
        <v>-375</v>
      </c>
      <c r="BL3253" t="s">
        <v>163</v>
      </c>
      <c r="BM3253">
        <v>1</v>
      </c>
      <c r="BN3253">
        <v>1</v>
      </c>
      <c r="BO3253">
        <v>1</v>
      </c>
      <c r="BP3253">
        <v>0</v>
      </c>
      <c r="BS3253">
        <v>0</v>
      </c>
      <c r="BT3253">
        <v>0</v>
      </c>
      <c r="BU3253">
        <v>0</v>
      </c>
      <c r="CE3253" t="str">
        <f t="shared" ref="CE3253:CE3259" si="1185">"19:34:14.749"</f>
        <v>19:34:14.749</v>
      </c>
      <c r="CF3253">
        <v>749302530</v>
      </c>
      <c r="CS3253">
        <v>0</v>
      </c>
      <c r="CT3253">
        <v>2</v>
      </c>
      <c r="CU3253">
        <v>0</v>
      </c>
      <c r="CV3253">
        <v>2</v>
      </c>
      <c r="CW3253">
        <v>0</v>
      </c>
      <c r="CX3253">
        <v>4</v>
      </c>
      <c r="CY3253">
        <v>7</v>
      </c>
      <c r="CZ3253" t="s">
        <v>131</v>
      </c>
      <c r="DA3253">
        <v>296</v>
      </c>
      <c r="DB3253">
        <v>0</v>
      </c>
      <c r="DC3253" t="s">
        <v>816</v>
      </c>
      <c r="DD3253" t="s">
        <v>817</v>
      </c>
      <c r="DG3253">
        <v>11111392</v>
      </c>
      <c r="DI3253">
        <v>0</v>
      </c>
      <c r="DJ3253">
        <v>0</v>
      </c>
      <c r="DK3253">
        <v>0</v>
      </c>
      <c r="DL3253">
        <v>0</v>
      </c>
      <c r="DM3253">
        <v>0</v>
      </c>
      <c r="DN3253">
        <v>1</v>
      </c>
      <c r="DO3253">
        <v>0</v>
      </c>
      <c r="DP3253">
        <v>0</v>
      </c>
      <c r="DQ3253">
        <v>0</v>
      </c>
      <c r="DR3253">
        <v>0</v>
      </c>
      <c r="DS3253">
        <v>0</v>
      </c>
    </row>
    <row r="3254" spans="1:123" x14ac:dyDescent="0.3">
      <c r="A3254" t="str">
        <f t="shared" si="1184"/>
        <v>10/04/2022 19:34:15.105</v>
      </c>
      <c r="C3254" t="str">
        <f t="shared" si="1179"/>
        <v>FFDFD3C0</v>
      </c>
      <c r="D3254" t="s">
        <v>134</v>
      </c>
      <c r="E3254">
        <v>15</v>
      </c>
      <c r="J3254" t="s">
        <v>135</v>
      </c>
      <c r="K3254">
        <v>0</v>
      </c>
      <c r="L3254">
        <v>3</v>
      </c>
      <c r="M3254">
        <v>0</v>
      </c>
      <c r="N3254">
        <v>2</v>
      </c>
      <c r="O3254">
        <v>0</v>
      </c>
      <c r="P3254">
        <v>1</v>
      </c>
      <c r="Q3254">
        <v>0</v>
      </c>
      <c r="S3254" t="str">
        <f t="shared" si="1182"/>
        <v>19:34:14.000</v>
      </c>
      <c r="T3254" t="str">
        <f t="shared" si="1182"/>
        <v>19:34:14.000</v>
      </c>
      <c r="U3254" t="str">
        <f t="shared" si="1167"/>
        <v>AC3944</v>
      </c>
      <c r="V3254">
        <v>0</v>
      </c>
      <c r="W3254">
        <v>0</v>
      </c>
      <c r="X3254">
        <v>2</v>
      </c>
      <c r="Y3254">
        <v>0</v>
      </c>
      <c r="AA3254">
        <v>1</v>
      </c>
      <c r="AB3254">
        <v>8</v>
      </c>
      <c r="AC3254">
        <v>3</v>
      </c>
      <c r="AD3254">
        <v>0</v>
      </c>
      <c r="AE3254">
        <v>9</v>
      </c>
      <c r="AF3254" t="s">
        <v>138</v>
      </c>
      <c r="AG3254">
        <v>0</v>
      </c>
      <c r="AH3254">
        <v>3</v>
      </c>
      <c r="AI3254">
        <v>1</v>
      </c>
      <c r="AJ3254">
        <v>0</v>
      </c>
      <c r="AK3254" t="s">
        <v>1079</v>
      </c>
      <c r="AL3254">
        <v>32.717520999999998</v>
      </c>
      <c r="AM3254" t="s">
        <v>1080</v>
      </c>
      <c r="AN3254">
        <v>-116.75310399999999</v>
      </c>
      <c r="AO3254">
        <v>25</v>
      </c>
      <c r="AP3254">
        <v>3700</v>
      </c>
      <c r="AQ3254" t="s">
        <v>129</v>
      </c>
      <c r="AR3254">
        <v>-42</v>
      </c>
      <c r="AS3254">
        <v>134</v>
      </c>
      <c r="AT3254">
        <v>0</v>
      </c>
      <c r="BB3254">
        <v>1200</v>
      </c>
      <c r="BC3254">
        <v>1</v>
      </c>
      <c r="BD3254" t="str">
        <f t="shared" si="1168"/>
        <v xml:space="preserve">N887QR  </v>
      </c>
      <c r="BE3254">
        <v>1</v>
      </c>
      <c r="BG3254">
        <v>0</v>
      </c>
      <c r="BH3254">
        <v>0</v>
      </c>
      <c r="BI3254">
        <v>0</v>
      </c>
      <c r="BJ3254">
        <v>3325</v>
      </c>
      <c r="BK3254">
        <v>-375</v>
      </c>
      <c r="BL3254" t="s">
        <v>163</v>
      </c>
      <c r="BM3254">
        <v>1</v>
      </c>
      <c r="BN3254">
        <v>1</v>
      </c>
      <c r="BO3254">
        <v>1</v>
      </c>
      <c r="BP3254">
        <v>0</v>
      </c>
      <c r="BS3254">
        <v>0</v>
      </c>
      <c r="BT3254">
        <v>0</v>
      </c>
      <c r="BU3254">
        <v>0</v>
      </c>
      <c r="CE3254" t="str">
        <f t="shared" si="1185"/>
        <v>19:34:14.749</v>
      </c>
      <c r="CF3254">
        <v>749302530</v>
      </c>
      <c r="CS3254">
        <v>0</v>
      </c>
      <c r="CT3254">
        <v>2</v>
      </c>
      <c r="CU3254">
        <v>0</v>
      </c>
      <c r="CV3254">
        <v>2</v>
      </c>
      <c r="CW3254">
        <v>0</v>
      </c>
      <c r="CX3254">
        <v>4</v>
      </c>
      <c r="CY3254">
        <v>7</v>
      </c>
      <c r="CZ3254" t="s">
        <v>131</v>
      </c>
      <c r="DA3254">
        <v>296</v>
      </c>
      <c r="DB3254">
        <v>0</v>
      </c>
      <c r="DC3254" t="s">
        <v>816</v>
      </c>
      <c r="DD3254" t="s">
        <v>817</v>
      </c>
      <c r="DG3254">
        <v>11111392</v>
      </c>
      <c r="DI3254">
        <v>0</v>
      </c>
      <c r="DJ3254">
        <v>0</v>
      </c>
      <c r="DK3254">
        <v>1</v>
      </c>
      <c r="DL3254">
        <v>0</v>
      </c>
      <c r="DM3254">
        <v>0</v>
      </c>
      <c r="DN3254">
        <v>1</v>
      </c>
      <c r="DO3254">
        <v>0</v>
      </c>
      <c r="DP3254">
        <v>0</v>
      </c>
      <c r="DQ3254">
        <v>0</v>
      </c>
      <c r="DR3254">
        <v>0</v>
      </c>
      <c r="DS3254">
        <v>0</v>
      </c>
    </row>
    <row r="3255" spans="1:123" x14ac:dyDescent="0.3">
      <c r="A3255" t="str">
        <f t="shared" si="1184"/>
        <v>10/04/2022 19:34:15.105</v>
      </c>
      <c r="C3255" t="str">
        <f t="shared" si="1179"/>
        <v>FFDFD3C0</v>
      </c>
      <c r="D3255" t="s">
        <v>141</v>
      </c>
      <c r="E3255">
        <v>3</v>
      </c>
      <c r="H3255">
        <v>3</v>
      </c>
      <c r="I3255" t="s">
        <v>146</v>
      </c>
      <c r="J3255" t="s">
        <v>138</v>
      </c>
      <c r="K3255">
        <v>0</v>
      </c>
      <c r="L3255">
        <v>3</v>
      </c>
      <c r="M3255">
        <v>0</v>
      </c>
      <c r="N3255">
        <v>2</v>
      </c>
      <c r="O3255">
        <v>0</v>
      </c>
      <c r="P3255">
        <v>1</v>
      </c>
      <c r="Q3255">
        <v>0</v>
      </c>
      <c r="S3255" t="str">
        <f t="shared" si="1182"/>
        <v>19:34:14.000</v>
      </c>
      <c r="T3255" t="str">
        <f t="shared" si="1182"/>
        <v>19:34:14.000</v>
      </c>
      <c r="U3255" t="str">
        <f t="shared" si="1167"/>
        <v>AC3944</v>
      </c>
      <c r="V3255">
        <v>0</v>
      </c>
      <c r="W3255">
        <v>0</v>
      </c>
      <c r="X3255">
        <v>2</v>
      </c>
      <c r="Y3255">
        <v>0</v>
      </c>
      <c r="AA3255">
        <v>1</v>
      </c>
      <c r="AB3255">
        <v>8</v>
      </c>
      <c r="AC3255">
        <v>3</v>
      </c>
      <c r="AD3255">
        <v>0</v>
      </c>
      <c r="AE3255">
        <v>9</v>
      </c>
      <c r="AF3255" t="s">
        <v>138</v>
      </c>
      <c r="AG3255">
        <v>0</v>
      </c>
      <c r="AH3255">
        <v>3</v>
      </c>
      <c r="AI3255">
        <v>1</v>
      </c>
      <c r="AJ3255">
        <v>0</v>
      </c>
      <c r="AK3255" t="s">
        <v>1079</v>
      </c>
      <c r="AL3255">
        <v>32.717520999999998</v>
      </c>
      <c r="AM3255" t="s">
        <v>1080</v>
      </c>
      <c r="AN3255">
        <v>-116.75310399999999</v>
      </c>
      <c r="AO3255">
        <v>25</v>
      </c>
      <c r="AP3255">
        <v>3700</v>
      </c>
      <c r="AQ3255" t="s">
        <v>129</v>
      </c>
      <c r="AR3255">
        <v>-42</v>
      </c>
      <c r="AS3255">
        <v>134</v>
      </c>
      <c r="AT3255">
        <v>0</v>
      </c>
      <c r="BB3255">
        <v>1200</v>
      </c>
      <c r="BC3255">
        <v>1</v>
      </c>
      <c r="BD3255" t="str">
        <f t="shared" si="1168"/>
        <v xml:space="preserve">N887QR  </v>
      </c>
      <c r="BE3255">
        <v>1</v>
      </c>
      <c r="BG3255">
        <v>0</v>
      </c>
      <c r="BH3255">
        <v>0</v>
      </c>
      <c r="BI3255">
        <v>0</v>
      </c>
      <c r="BJ3255">
        <v>3325</v>
      </c>
      <c r="BK3255">
        <v>-375</v>
      </c>
      <c r="BL3255" t="s">
        <v>163</v>
      </c>
      <c r="BM3255">
        <v>1</v>
      </c>
      <c r="BN3255">
        <v>1</v>
      </c>
      <c r="BO3255">
        <v>1</v>
      </c>
      <c r="BP3255">
        <v>0</v>
      </c>
      <c r="BS3255">
        <v>0</v>
      </c>
      <c r="BT3255">
        <v>0</v>
      </c>
      <c r="BU3255">
        <v>0</v>
      </c>
      <c r="CE3255" t="str">
        <f t="shared" si="1185"/>
        <v>19:34:14.749</v>
      </c>
      <c r="CF3255">
        <v>749302530</v>
      </c>
      <c r="CS3255">
        <v>0</v>
      </c>
      <c r="CT3255">
        <v>2</v>
      </c>
      <c r="CU3255">
        <v>0</v>
      </c>
      <c r="CV3255">
        <v>2</v>
      </c>
      <c r="CW3255">
        <v>0</v>
      </c>
      <c r="CX3255">
        <v>4</v>
      </c>
      <c r="CY3255">
        <v>7</v>
      </c>
      <c r="CZ3255" t="s">
        <v>131</v>
      </c>
      <c r="DA3255">
        <v>296</v>
      </c>
      <c r="DB3255">
        <v>0</v>
      </c>
      <c r="DC3255" t="s">
        <v>816</v>
      </c>
      <c r="DD3255" t="s">
        <v>817</v>
      </c>
      <c r="DG3255">
        <v>11111392</v>
      </c>
      <c r="DI3255">
        <v>0</v>
      </c>
      <c r="DJ3255">
        <v>0</v>
      </c>
      <c r="DK3255">
        <v>1</v>
      </c>
      <c r="DL3255">
        <v>0</v>
      </c>
      <c r="DM3255">
        <v>0</v>
      </c>
      <c r="DN3255">
        <v>1</v>
      </c>
      <c r="DO3255">
        <v>0</v>
      </c>
      <c r="DP3255">
        <v>0</v>
      </c>
      <c r="DQ3255">
        <v>0</v>
      </c>
      <c r="DR3255">
        <v>0</v>
      </c>
      <c r="DS3255">
        <v>0</v>
      </c>
    </row>
    <row r="3256" spans="1:123" x14ac:dyDescent="0.3">
      <c r="A3256" t="str">
        <f t="shared" si="1184"/>
        <v>10/04/2022 19:34:15.105</v>
      </c>
      <c r="C3256" t="str">
        <f t="shared" si="1179"/>
        <v>FFDFD3C0</v>
      </c>
      <c r="D3256" t="s">
        <v>141</v>
      </c>
      <c r="E3256">
        <v>4</v>
      </c>
      <c r="H3256">
        <v>4</v>
      </c>
      <c r="I3256" t="s">
        <v>142</v>
      </c>
      <c r="J3256" t="s">
        <v>138</v>
      </c>
      <c r="K3256">
        <v>0</v>
      </c>
      <c r="L3256">
        <v>3</v>
      </c>
      <c r="M3256">
        <v>0</v>
      </c>
      <c r="N3256">
        <v>2</v>
      </c>
      <c r="O3256">
        <v>0</v>
      </c>
      <c r="P3256">
        <v>1</v>
      </c>
      <c r="Q3256">
        <v>0</v>
      </c>
      <c r="S3256" t="str">
        <f t="shared" si="1182"/>
        <v>19:34:14.000</v>
      </c>
      <c r="T3256" t="str">
        <f t="shared" si="1182"/>
        <v>19:34:14.000</v>
      </c>
      <c r="U3256" t="str">
        <f t="shared" si="1167"/>
        <v>AC3944</v>
      </c>
      <c r="V3256">
        <v>0</v>
      </c>
      <c r="W3256">
        <v>0</v>
      </c>
      <c r="X3256">
        <v>2</v>
      </c>
      <c r="Y3256">
        <v>0</v>
      </c>
      <c r="AA3256">
        <v>1</v>
      </c>
      <c r="AB3256">
        <v>8</v>
      </c>
      <c r="AC3256">
        <v>3</v>
      </c>
      <c r="AD3256">
        <v>0</v>
      </c>
      <c r="AE3256">
        <v>9</v>
      </c>
      <c r="AF3256" t="s">
        <v>138</v>
      </c>
      <c r="AG3256">
        <v>0</v>
      </c>
      <c r="AH3256">
        <v>3</v>
      </c>
      <c r="AI3256">
        <v>1</v>
      </c>
      <c r="AJ3256">
        <v>0</v>
      </c>
      <c r="AK3256" t="s">
        <v>1079</v>
      </c>
      <c r="AL3256">
        <v>32.717520999999998</v>
      </c>
      <c r="AM3256" t="s">
        <v>1080</v>
      </c>
      <c r="AN3256">
        <v>-116.75310399999999</v>
      </c>
      <c r="AO3256">
        <v>25</v>
      </c>
      <c r="AP3256">
        <v>3700</v>
      </c>
      <c r="AQ3256" t="s">
        <v>129</v>
      </c>
      <c r="AR3256">
        <v>-42</v>
      </c>
      <c r="AS3256">
        <v>134</v>
      </c>
      <c r="AT3256">
        <v>0</v>
      </c>
      <c r="BB3256">
        <v>1200</v>
      </c>
      <c r="BC3256">
        <v>1</v>
      </c>
      <c r="BD3256" t="str">
        <f t="shared" si="1168"/>
        <v xml:space="preserve">N887QR  </v>
      </c>
      <c r="BE3256">
        <v>1</v>
      </c>
      <c r="BG3256">
        <v>0</v>
      </c>
      <c r="BH3256">
        <v>0</v>
      </c>
      <c r="BI3256">
        <v>0</v>
      </c>
      <c r="BJ3256">
        <v>3325</v>
      </c>
      <c r="BK3256">
        <v>-375</v>
      </c>
      <c r="BL3256" t="s">
        <v>163</v>
      </c>
      <c r="BM3256">
        <v>1</v>
      </c>
      <c r="BN3256">
        <v>1</v>
      </c>
      <c r="BO3256">
        <v>1</v>
      </c>
      <c r="BP3256">
        <v>0</v>
      </c>
      <c r="BS3256">
        <v>0</v>
      </c>
      <c r="BT3256">
        <v>0</v>
      </c>
      <c r="BU3256">
        <v>0</v>
      </c>
      <c r="CE3256" t="str">
        <f t="shared" si="1185"/>
        <v>19:34:14.749</v>
      </c>
      <c r="CF3256">
        <v>749302530</v>
      </c>
      <c r="CS3256">
        <v>0</v>
      </c>
      <c r="CT3256">
        <v>2</v>
      </c>
      <c r="CU3256">
        <v>0</v>
      </c>
      <c r="CV3256">
        <v>2</v>
      </c>
      <c r="CW3256">
        <v>0</v>
      </c>
      <c r="CX3256">
        <v>4</v>
      </c>
      <c r="CY3256">
        <v>7</v>
      </c>
      <c r="CZ3256" t="s">
        <v>131</v>
      </c>
      <c r="DA3256">
        <v>296</v>
      </c>
      <c r="DB3256">
        <v>0</v>
      </c>
      <c r="DC3256" t="s">
        <v>816</v>
      </c>
      <c r="DD3256" t="s">
        <v>817</v>
      </c>
      <c r="DG3256">
        <v>11111392</v>
      </c>
      <c r="DI3256">
        <v>0</v>
      </c>
      <c r="DJ3256">
        <v>0</v>
      </c>
      <c r="DK3256">
        <v>1</v>
      </c>
      <c r="DL3256">
        <v>0</v>
      </c>
      <c r="DM3256">
        <v>0</v>
      </c>
      <c r="DN3256">
        <v>1</v>
      </c>
      <c r="DO3256">
        <v>0</v>
      </c>
      <c r="DP3256">
        <v>0</v>
      </c>
      <c r="DQ3256">
        <v>0</v>
      </c>
      <c r="DR3256">
        <v>0</v>
      </c>
      <c r="DS3256">
        <v>0</v>
      </c>
    </row>
    <row r="3257" spans="1:123" x14ac:dyDescent="0.3">
      <c r="A3257" t="str">
        <f t="shared" si="1184"/>
        <v>10/04/2022 19:34:15.105</v>
      </c>
      <c r="C3257" t="str">
        <f t="shared" si="1179"/>
        <v>FFDFD3C0</v>
      </c>
      <c r="D3257" t="s">
        <v>136</v>
      </c>
      <c r="E3257">
        <v>8</v>
      </c>
      <c r="H3257">
        <v>225</v>
      </c>
      <c r="I3257" t="s">
        <v>137</v>
      </c>
      <c r="J3257" t="s">
        <v>138</v>
      </c>
      <c r="K3257">
        <v>0</v>
      </c>
      <c r="L3257">
        <v>3</v>
      </c>
      <c r="M3257">
        <v>0</v>
      </c>
      <c r="N3257">
        <v>2</v>
      </c>
      <c r="O3257">
        <v>0</v>
      </c>
      <c r="P3257">
        <v>1</v>
      </c>
      <c r="Q3257">
        <v>0</v>
      </c>
      <c r="S3257" t="str">
        <f t="shared" si="1182"/>
        <v>19:34:14.000</v>
      </c>
      <c r="T3257" t="str">
        <f t="shared" si="1182"/>
        <v>19:34:14.000</v>
      </c>
      <c r="U3257" t="str">
        <f t="shared" si="1167"/>
        <v>AC3944</v>
      </c>
      <c r="V3257">
        <v>0</v>
      </c>
      <c r="W3257">
        <v>0</v>
      </c>
      <c r="X3257">
        <v>2</v>
      </c>
      <c r="Y3257">
        <v>0</v>
      </c>
      <c r="AA3257">
        <v>1</v>
      </c>
      <c r="AB3257">
        <v>8</v>
      </c>
      <c r="AC3257">
        <v>3</v>
      </c>
      <c r="AD3257">
        <v>0</v>
      </c>
      <c r="AE3257">
        <v>9</v>
      </c>
      <c r="AF3257" t="s">
        <v>138</v>
      </c>
      <c r="AG3257">
        <v>0</v>
      </c>
      <c r="AH3257">
        <v>3</v>
      </c>
      <c r="AI3257">
        <v>1</v>
      </c>
      <c r="AJ3257">
        <v>0</v>
      </c>
      <c r="AK3257" t="s">
        <v>1079</v>
      </c>
      <c r="AL3257">
        <v>32.717520999999998</v>
      </c>
      <c r="AM3257" t="s">
        <v>1080</v>
      </c>
      <c r="AN3257">
        <v>-116.75310399999999</v>
      </c>
      <c r="AO3257">
        <v>25</v>
      </c>
      <c r="AP3257">
        <v>3700</v>
      </c>
      <c r="AQ3257" t="s">
        <v>129</v>
      </c>
      <c r="AR3257">
        <v>-42</v>
      </c>
      <c r="AS3257">
        <v>134</v>
      </c>
      <c r="AT3257">
        <v>0</v>
      </c>
      <c r="BB3257">
        <v>1200</v>
      </c>
      <c r="BC3257">
        <v>1</v>
      </c>
      <c r="BD3257" t="str">
        <f t="shared" si="1168"/>
        <v xml:space="preserve">N887QR  </v>
      </c>
      <c r="BE3257">
        <v>1</v>
      </c>
      <c r="BG3257">
        <v>0</v>
      </c>
      <c r="BH3257">
        <v>0</v>
      </c>
      <c r="BI3257">
        <v>0</v>
      </c>
      <c r="BJ3257">
        <v>3325</v>
      </c>
      <c r="BK3257">
        <v>-375</v>
      </c>
      <c r="BL3257" t="s">
        <v>163</v>
      </c>
      <c r="BM3257">
        <v>1</v>
      </c>
      <c r="BN3257">
        <v>1</v>
      </c>
      <c r="BO3257">
        <v>1</v>
      </c>
      <c r="BP3257">
        <v>0</v>
      </c>
      <c r="BS3257">
        <v>0</v>
      </c>
      <c r="BT3257">
        <v>0</v>
      </c>
      <c r="BU3257">
        <v>0</v>
      </c>
      <c r="CE3257" t="str">
        <f t="shared" si="1185"/>
        <v>19:34:14.749</v>
      </c>
      <c r="CF3257">
        <v>749302530</v>
      </c>
      <c r="CS3257">
        <v>0</v>
      </c>
      <c r="CT3257">
        <v>2</v>
      </c>
      <c r="CU3257">
        <v>0</v>
      </c>
      <c r="CV3257">
        <v>2</v>
      </c>
      <c r="CW3257">
        <v>0</v>
      </c>
      <c r="CX3257">
        <v>4</v>
      </c>
      <c r="CY3257">
        <v>7</v>
      </c>
      <c r="CZ3257" t="s">
        <v>131</v>
      </c>
      <c r="DA3257">
        <v>296</v>
      </c>
      <c r="DB3257">
        <v>0</v>
      </c>
      <c r="DC3257" t="s">
        <v>816</v>
      </c>
      <c r="DD3257" t="s">
        <v>817</v>
      </c>
      <c r="DG3257">
        <v>11111392</v>
      </c>
      <c r="DI3257">
        <v>0</v>
      </c>
      <c r="DJ3257">
        <v>0</v>
      </c>
      <c r="DK3257">
        <v>1</v>
      </c>
      <c r="DL3257">
        <v>0</v>
      </c>
      <c r="DM3257">
        <v>0</v>
      </c>
      <c r="DN3257">
        <v>1</v>
      </c>
      <c r="DO3257">
        <v>0</v>
      </c>
      <c r="DP3257">
        <v>0</v>
      </c>
      <c r="DQ3257">
        <v>0</v>
      </c>
      <c r="DR3257">
        <v>0</v>
      </c>
      <c r="DS3257">
        <v>0</v>
      </c>
    </row>
    <row r="3258" spans="1:123" x14ac:dyDescent="0.3">
      <c r="A3258" t="str">
        <f t="shared" si="1184"/>
        <v>10/04/2022 19:34:15.105</v>
      </c>
      <c r="C3258" t="str">
        <f t="shared" si="1179"/>
        <v>FFDFD3C0</v>
      </c>
      <c r="D3258" t="s">
        <v>143</v>
      </c>
      <c r="E3258">
        <v>20</v>
      </c>
      <c r="F3258">
        <v>1020</v>
      </c>
      <c r="G3258" t="s">
        <v>144</v>
      </c>
      <c r="J3258" t="s">
        <v>145</v>
      </c>
      <c r="K3258">
        <v>0</v>
      </c>
      <c r="L3258">
        <v>3</v>
      </c>
      <c r="M3258">
        <v>0</v>
      </c>
      <c r="N3258">
        <v>2</v>
      </c>
      <c r="O3258">
        <v>0</v>
      </c>
      <c r="P3258">
        <v>1</v>
      </c>
      <c r="Q3258">
        <v>0</v>
      </c>
      <c r="S3258" t="str">
        <f t="shared" si="1182"/>
        <v>19:34:14.000</v>
      </c>
      <c r="T3258" t="str">
        <f t="shared" si="1182"/>
        <v>19:34:14.000</v>
      </c>
      <c r="U3258" t="str">
        <f t="shared" si="1167"/>
        <v>AC3944</v>
      </c>
      <c r="V3258">
        <v>0</v>
      </c>
      <c r="W3258">
        <v>0</v>
      </c>
      <c r="X3258">
        <v>2</v>
      </c>
      <c r="Y3258">
        <v>0</v>
      </c>
      <c r="AA3258">
        <v>1</v>
      </c>
      <c r="AB3258">
        <v>8</v>
      </c>
      <c r="AC3258">
        <v>3</v>
      </c>
      <c r="AD3258">
        <v>0</v>
      </c>
      <c r="AE3258">
        <v>9</v>
      </c>
      <c r="AF3258" t="s">
        <v>138</v>
      </c>
      <c r="AG3258">
        <v>0</v>
      </c>
      <c r="AH3258">
        <v>3</v>
      </c>
      <c r="AI3258">
        <v>1</v>
      </c>
      <c r="AJ3258">
        <v>0</v>
      </c>
      <c r="AK3258" t="s">
        <v>1079</v>
      </c>
      <c r="AL3258">
        <v>32.717520999999998</v>
      </c>
      <c r="AM3258" t="s">
        <v>1080</v>
      </c>
      <c r="AN3258">
        <v>-116.75310399999999</v>
      </c>
      <c r="AO3258">
        <v>25</v>
      </c>
      <c r="AP3258">
        <v>3700</v>
      </c>
      <c r="AQ3258" t="s">
        <v>129</v>
      </c>
      <c r="AR3258">
        <v>-42</v>
      </c>
      <c r="AS3258">
        <v>134</v>
      </c>
      <c r="AT3258">
        <v>0</v>
      </c>
      <c r="BB3258">
        <v>1200</v>
      </c>
      <c r="BC3258">
        <v>1</v>
      </c>
      <c r="BD3258" t="str">
        <f t="shared" si="1168"/>
        <v xml:space="preserve">N887QR  </v>
      </c>
      <c r="BE3258">
        <v>1</v>
      </c>
      <c r="BG3258">
        <v>0</v>
      </c>
      <c r="BH3258">
        <v>0</v>
      </c>
      <c r="BI3258">
        <v>0</v>
      </c>
      <c r="BJ3258">
        <v>3325</v>
      </c>
      <c r="BK3258">
        <v>-375</v>
      </c>
      <c r="BL3258" t="s">
        <v>163</v>
      </c>
      <c r="BM3258">
        <v>1</v>
      </c>
      <c r="BN3258">
        <v>1</v>
      </c>
      <c r="BO3258">
        <v>1</v>
      </c>
      <c r="BP3258">
        <v>0</v>
      </c>
      <c r="BS3258">
        <v>0</v>
      </c>
      <c r="BT3258">
        <v>0</v>
      </c>
      <c r="BU3258">
        <v>0</v>
      </c>
      <c r="CE3258" t="str">
        <f t="shared" si="1185"/>
        <v>19:34:14.749</v>
      </c>
      <c r="CF3258">
        <v>749302530</v>
      </c>
      <c r="CS3258">
        <v>0</v>
      </c>
      <c r="CT3258">
        <v>2</v>
      </c>
      <c r="CU3258">
        <v>0</v>
      </c>
      <c r="CV3258">
        <v>2</v>
      </c>
      <c r="CW3258">
        <v>0</v>
      </c>
      <c r="CX3258">
        <v>4</v>
      </c>
      <c r="CY3258">
        <v>7</v>
      </c>
      <c r="CZ3258" t="s">
        <v>131</v>
      </c>
      <c r="DA3258">
        <v>296</v>
      </c>
      <c r="DB3258">
        <v>0</v>
      </c>
      <c r="DC3258" t="s">
        <v>816</v>
      </c>
      <c r="DD3258" t="s">
        <v>817</v>
      </c>
      <c r="DG3258">
        <v>11111392</v>
      </c>
      <c r="DI3258">
        <v>0</v>
      </c>
      <c r="DJ3258">
        <v>0</v>
      </c>
      <c r="DK3258">
        <v>1</v>
      </c>
      <c r="DL3258">
        <v>0</v>
      </c>
      <c r="DM3258">
        <v>0</v>
      </c>
      <c r="DN3258">
        <v>1</v>
      </c>
      <c r="DO3258">
        <v>0</v>
      </c>
      <c r="DP3258">
        <v>0</v>
      </c>
      <c r="DQ3258">
        <v>0</v>
      </c>
      <c r="DR3258">
        <v>0</v>
      </c>
      <c r="DS3258">
        <v>0</v>
      </c>
    </row>
    <row r="3259" spans="1:123" x14ac:dyDescent="0.3">
      <c r="A3259" t="str">
        <f t="shared" si="1184"/>
        <v>10/04/2022 19:34:15.105</v>
      </c>
      <c r="C3259" t="str">
        <f t="shared" si="1179"/>
        <v>FFDFD3C0</v>
      </c>
      <c r="D3259" t="s">
        <v>123</v>
      </c>
      <c r="E3259">
        <v>7</v>
      </c>
      <c r="F3259">
        <v>2007</v>
      </c>
      <c r="G3259" t="s">
        <v>124</v>
      </c>
      <c r="J3259" t="s">
        <v>125</v>
      </c>
      <c r="K3259">
        <v>0</v>
      </c>
      <c r="L3259">
        <v>3</v>
      </c>
      <c r="M3259">
        <v>0</v>
      </c>
      <c r="N3259">
        <v>2</v>
      </c>
      <c r="O3259">
        <v>0</v>
      </c>
      <c r="P3259">
        <v>1</v>
      </c>
      <c r="Q3259">
        <v>0</v>
      </c>
      <c r="S3259" t="str">
        <f t="shared" si="1182"/>
        <v>19:34:14.000</v>
      </c>
      <c r="T3259" t="str">
        <f t="shared" si="1182"/>
        <v>19:34:14.000</v>
      </c>
      <c r="U3259" t="str">
        <f t="shared" si="1167"/>
        <v>AC3944</v>
      </c>
      <c r="V3259">
        <v>0</v>
      </c>
      <c r="W3259">
        <v>0</v>
      </c>
      <c r="X3259">
        <v>2</v>
      </c>
      <c r="Y3259">
        <v>0</v>
      </c>
      <c r="AA3259">
        <v>1</v>
      </c>
      <c r="AB3259">
        <v>8</v>
      </c>
      <c r="AC3259">
        <v>3</v>
      </c>
      <c r="AD3259">
        <v>0</v>
      </c>
      <c r="AE3259">
        <v>9</v>
      </c>
      <c r="AF3259" t="s">
        <v>138</v>
      </c>
      <c r="AG3259">
        <v>0</v>
      </c>
      <c r="AH3259">
        <v>3</v>
      </c>
      <c r="AI3259">
        <v>1</v>
      </c>
      <c r="AJ3259">
        <v>0</v>
      </c>
      <c r="AK3259" t="s">
        <v>1079</v>
      </c>
      <c r="AL3259">
        <v>32.717520999999998</v>
      </c>
      <c r="AM3259" t="s">
        <v>1080</v>
      </c>
      <c r="AN3259">
        <v>-116.75310399999999</v>
      </c>
      <c r="AO3259">
        <v>25</v>
      </c>
      <c r="AP3259">
        <v>3700</v>
      </c>
      <c r="AQ3259" t="s">
        <v>129</v>
      </c>
      <c r="AR3259">
        <v>-42</v>
      </c>
      <c r="AS3259">
        <v>134</v>
      </c>
      <c r="AT3259">
        <v>0</v>
      </c>
      <c r="BB3259">
        <v>1200</v>
      </c>
      <c r="BC3259">
        <v>1</v>
      </c>
      <c r="BD3259" t="str">
        <f t="shared" si="1168"/>
        <v xml:space="preserve">N887QR  </v>
      </c>
      <c r="BE3259">
        <v>1</v>
      </c>
      <c r="BG3259">
        <v>0</v>
      </c>
      <c r="BH3259">
        <v>0</v>
      </c>
      <c r="BI3259">
        <v>0</v>
      </c>
      <c r="BJ3259">
        <v>3325</v>
      </c>
      <c r="BK3259">
        <v>-375</v>
      </c>
      <c r="BL3259" t="s">
        <v>163</v>
      </c>
      <c r="BM3259">
        <v>1</v>
      </c>
      <c r="BN3259">
        <v>1</v>
      </c>
      <c r="BO3259">
        <v>1</v>
      </c>
      <c r="BP3259">
        <v>0</v>
      </c>
      <c r="BS3259">
        <v>0</v>
      </c>
      <c r="BT3259">
        <v>0</v>
      </c>
      <c r="BU3259">
        <v>0</v>
      </c>
      <c r="CE3259" t="str">
        <f t="shared" si="1185"/>
        <v>19:34:14.749</v>
      </c>
      <c r="CF3259">
        <v>749302530</v>
      </c>
      <c r="CS3259">
        <v>0</v>
      </c>
      <c r="CT3259">
        <v>2</v>
      </c>
      <c r="CU3259">
        <v>0</v>
      </c>
      <c r="CV3259">
        <v>2</v>
      </c>
      <c r="CW3259">
        <v>0</v>
      </c>
      <c r="CX3259">
        <v>4</v>
      </c>
      <c r="CY3259">
        <v>7</v>
      </c>
      <c r="CZ3259" t="s">
        <v>131</v>
      </c>
      <c r="DA3259">
        <v>296</v>
      </c>
      <c r="DB3259">
        <v>0</v>
      </c>
      <c r="DC3259" t="s">
        <v>816</v>
      </c>
      <c r="DD3259" t="s">
        <v>817</v>
      </c>
      <c r="DG3259">
        <v>11111392</v>
      </c>
      <c r="DI3259">
        <v>0</v>
      </c>
      <c r="DJ3259">
        <v>0</v>
      </c>
      <c r="DK3259">
        <v>1</v>
      </c>
      <c r="DL3259">
        <v>0</v>
      </c>
      <c r="DM3259">
        <v>0</v>
      </c>
      <c r="DN3259">
        <v>1</v>
      </c>
      <c r="DO3259">
        <v>0</v>
      </c>
      <c r="DP3259">
        <v>0</v>
      </c>
      <c r="DQ3259">
        <v>0</v>
      </c>
      <c r="DR3259">
        <v>0</v>
      </c>
      <c r="DS3259">
        <v>0</v>
      </c>
    </row>
    <row r="3260" spans="1:123" x14ac:dyDescent="0.3">
      <c r="A3260" t="str">
        <f>"10/04/2022 19:34:16.274"</f>
        <v>10/04/2022 19:34:16.274</v>
      </c>
      <c r="C3260" t="str">
        <f t="shared" si="1179"/>
        <v>FFDFD3C0</v>
      </c>
      <c r="D3260" t="s">
        <v>147</v>
      </c>
      <c r="E3260">
        <v>3</v>
      </c>
      <c r="H3260">
        <v>166</v>
      </c>
      <c r="I3260" t="s">
        <v>144</v>
      </c>
      <c r="J3260" t="s">
        <v>148</v>
      </c>
      <c r="K3260">
        <v>0</v>
      </c>
      <c r="L3260">
        <v>3</v>
      </c>
      <c r="M3260">
        <v>0</v>
      </c>
      <c r="N3260">
        <v>2</v>
      </c>
      <c r="O3260">
        <v>0</v>
      </c>
      <c r="P3260">
        <v>1</v>
      </c>
      <c r="Q3260">
        <v>0</v>
      </c>
      <c r="S3260" t="str">
        <f t="shared" ref="S3260:T3266" si="1186">"19:34:15.000"</f>
        <v>19:34:15.000</v>
      </c>
      <c r="T3260" t="str">
        <f t="shared" si="1186"/>
        <v>19:34:15.000</v>
      </c>
      <c r="U3260" t="str">
        <f t="shared" si="1167"/>
        <v>AC3944</v>
      </c>
      <c r="V3260">
        <v>0</v>
      </c>
      <c r="W3260">
        <v>0</v>
      </c>
      <c r="X3260">
        <v>2</v>
      </c>
      <c r="Y3260">
        <v>0</v>
      </c>
      <c r="AA3260">
        <v>1</v>
      </c>
      <c r="AB3260">
        <v>8</v>
      </c>
      <c r="AC3260">
        <v>3</v>
      </c>
      <c r="AD3260">
        <v>0</v>
      </c>
      <c r="AE3260">
        <v>9</v>
      </c>
      <c r="AF3260" t="s">
        <v>138</v>
      </c>
      <c r="AG3260">
        <v>0</v>
      </c>
      <c r="AH3260">
        <v>3</v>
      </c>
      <c r="AI3260">
        <v>1</v>
      </c>
      <c r="AJ3260">
        <v>0</v>
      </c>
      <c r="AK3260" t="s">
        <v>1081</v>
      </c>
      <c r="AL3260">
        <v>32.718142999999998</v>
      </c>
      <c r="AM3260" t="s">
        <v>1082</v>
      </c>
      <c r="AN3260">
        <v>-116.753361</v>
      </c>
      <c r="AO3260">
        <v>25</v>
      </c>
      <c r="AP3260">
        <v>3700</v>
      </c>
      <c r="AQ3260" t="s">
        <v>129</v>
      </c>
      <c r="AR3260">
        <v>-38</v>
      </c>
      <c r="AS3260">
        <v>134</v>
      </c>
      <c r="AT3260">
        <v>0</v>
      </c>
      <c r="BB3260">
        <v>1200</v>
      </c>
      <c r="BC3260">
        <v>1</v>
      </c>
      <c r="BD3260" t="str">
        <f t="shared" si="1168"/>
        <v xml:space="preserve">N887QR  </v>
      </c>
      <c r="BE3260">
        <v>1</v>
      </c>
      <c r="BG3260">
        <v>0</v>
      </c>
      <c r="BH3260">
        <v>0</v>
      </c>
      <c r="BI3260">
        <v>0</v>
      </c>
      <c r="BJ3260">
        <v>3350</v>
      </c>
      <c r="BK3260">
        <v>-350</v>
      </c>
      <c r="BL3260" t="s">
        <v>163</v>
      </c>
      <c r="BM3260">
        <v>1</v>
      </c>
      <c r="BN3260">
        <v>1</v>
      </c>
      <c r="BO3260">
        <v>1</v>
      </c>
      <c r="BP3260">
        <v>0</v>
      </c>
      <c r="BS3260">
        <v>0</v>
      </c>
      <c r="BT3260">
        <v>0</v>
      </c>
      <c r="BU3260">
        <v>0</v>
      </c>
      <c r="CE3260" t="str">
        <f t="shared" ref="CE3260:CE3266" si="1187">"19:34:15.970"</f>
        <v>19:34:15.970</v>
      </c>
      <c r="CF3260">
        <v>969652332</v>
      </c>
      <c r="CS3260">
        <v>0</v>
      </c>
      <c r="CT3260">
        <v>2</v>
      </c>
      <c r="CU3260">
        <v>0</v>
      </c>
      <c r="CV3260">
        <v>2</v>
      </c>
      <c r="CW3260">
        <v>0</v>
      </c>
      <c r="CX3260">
        <v>5</v>
      </c>
      <c r="CY3260">
        <v>7</v>
      </c>
      <c r="CZ3260" t="s">
        <v>131</v>
      </c>
      <c r="DA3260">
        <v>300</v>
      </c>
      <c r="DB3260">
        <v>0</v>
      </c>
      <c r="DC3260" t="s">
        <v>176</v>
      </c>
      <c r="DD3260" t="s">
        <v>177</v>
      </c>
      <c r="DG3260">
        <v>5433608</v>
      </c>
      <c r="DI3260">
        <v>0</v>
      </c>
      <c r="DJ3260">
        <v>0</v>
      </c>
      <c r="DK3260">
        <v>0</v>
      </c>
      <c r="DL3260">
        <v>0</v>
      </c>
      <c r="DM3260">
        <v>0</v>
      </c>
      <c r="DN3260">
        <v>1</v>
      </c>
      <c r="DO3260">
        <v>0</v>
      </c>
      <c r="DP3260">
        <v>0</v>
      </c>
      <c r="DQ3260">
        <v>0</v>
      </c>
      <c r="DR3260">
        <v>0</v>
      </c>
      <c r="DS3260">
        <v>0</v>
      </c>
    </row>
    <row r="3261" spans="1:123" x14ac:dyDescent="0.3">
      <c r="A3261" t="str">
        <f>"10/04/2022 19:34:16.275"</f>
        <v>10/04/2022 19:34:16.275</v>
      </c>
      <c r="C3261" t="str">
        <f t="shared" si="1179"/>
        <v>FFDFD3C0</v>
      </c>
      <c r="D3261" t="s">
        <v>141</v>
      </c>
      <c r="E3261">
        <v>4</v>
      </c>
      <c r="H3261">
        <v>4</v>
      </c>
      <c r="I3261" t="s">
        <v>142</v>
      </c>
      <c r="J3261" t="s">
        <v>138</v>
      </c>
      <c r="K3261">
        <v>0</v>
      </c>
      <c r="L3261">
        <v>3</v>
      </c>
      <c r="M3261">
        <v>0</v>
      </c>
      <c r="N3261">
        <v>2</v>
      </c>
      <c r="O3261">
        <v>0</v>
      </c>
      <c r="P3261">
        <v>1</v>
      </c>
      <c r="Q3261">
        <v>0</v>
      </c>
      <c r="S3261" t="str">
        <f t="shared" si="1186"/>
        <v>19:34:15.000</v>
      </c>
      <c r="T3261" t="str">
        <f t="shared" si="1186"/>
        <v>19:34:15.000</v>
      </c>
      <c r="U3261" t="str">
        <f t="shared" si="1167"/>
        <v>AC3944</v>
      </c>
      <c r="V3261">
        <v>0</v>
      </c>
      <c r="W3261">
        <v>0</v>
      </c>
      <c r="X3261">
        <v>2</v>
      </c>
      <c r="Y3261">
        <v>0</v>
      </c>
      <c r="AA3261">
        <v>1</v>
      </c>
      <c r="AB3261">
        <v>8</v>
      </c>
      <c r="AC3261">
        <v>3</v>
      </c>
      <c r="AD3261">
        <v>0</v>
      </c>
      <c r="AE3261">
        <v>9</v>
      </c>
      <c r="AF3261" t="s">
        <v>138</v>
      </c>
      <c r="AG3261">
        <v>0</v>
      </c>
      <c r="AH3261">
        <v>3</v>
      </c>
      <c r="AI3261">
        <v>1</v>
      </c>
      <c r="AJ3261">
        <v>0</v>
      </c>
      <c r="AK3261" t="s">
        <v>1081</v>
      </c>
      <c r="AL3261">
        <v>32.718142999999998</v>
      </c>
      <c r="AM3261" t="s">
        <v>1082</v>
      </c>
      <c r="AN3261">
        <v>-116.753361</v>
      </c>
      <c r="AO3261">
        <v>25</v>
      </c>
      <c r="AP3261">
        <v>3700</v>
      </c>
      <c r="AQ3261" t="s">
        <v>129</v>
      </c>
      <c r="AR3261">
        <v>-38</v>
      </c>
      <c r="AS3261">
        <v>134</v>
      </c>
      <c r="AT3261">
        <v>0</v>
      </c>
      <c r="BB3261">
        <v>1200</v>
      </c>
      <c r="BC3261">
        <v>1</v>
      </c>
      <c r="BD3261" t="str">
        <f t="shared" si="1168"/>
        <v xml:space="preserve">N887QR  </v>
      </c>
      <c r="BE3261">
        <v>1</v>
      </c>
      <c r="BG3261">
        <v>0</v>
      </c>
      <c r="BH3261">
        <v>0</v>
      </c>
      <c r="BI3261">
        <v>0</v>
      </c>
      <c r="BJ3261">
        <v>3350</v>
      </c>
      <c r="BK3261">
        <v>-350</v>
      </c>
      <c r="BL3261" t="s">
        <v>163</v>
      </c>
      <c r="BM3261">
        <v>1</v>
      </c>
      <c r="BN3261">
        <v>1</v>
      </c>
      <c r="BO3261">
        <v>1</v>
      </c>
      <c r="BP3261">
        <v>0</v>
      </c>
      <c r="BS3261">
        <v>0</v>
      </c>
      <c r="BT3261">
        <v>0</v>
      </c>
      <c r="BU3261">
        <v>0</v>
      </c>
      <c r="CE3261" t="str">
        <f t="shared" si="1187"/>
        <v>19:34:15.970</v>
      </c>
      <c r="CF3261">
        <v>969652332</v>
      </c>
      <c r="CS3261">
        <v>0</v>
      </c>
      <c r="CT3261">
        <v>2</v>
      </c>
      <c r="CU3261">
        <v>0</v>
      </c>
      <c r="CV3261">
        <v>2</v>
      </c>
      <c r="CW3261">
        <v>0</v>
      </c>
      <c r="CX3261">
        <v>5</v>
      </c>
      <c r="CY3261">
        <v>7</v>
      </c>
      <c r="CZ3261" t="s">
        <v>131</v>
      </c>
      <c r="DA3261">
        <v>300</v>
      </c>
      <c r="DB3261">
        <v>0</v>
      </c>
      <c r="DC3261" t="s">
        <v>176</v>
      </c>
      <c r="DD3261" t="s">
        <v>177</v>
      </c>
      <c r="DG3261">
        <v>5433608</v>
      </c>
      <c r="DI3261">
        <v>0</v>
      </c>
      <c r="DJ3261">
        <v>0</v>
      </c>
      <c r="DK3261">
        <v>1</v>
      </c>
      <c r="DL3261">
        <v>0</v>
      </c>
      <c r="DM3261">
        <v>0</v>
      </c>
      <c r="DN3261">
        <v>1</v>
      </c>
      <c r="DO3261">
        <v>0</v>
      </c>
      <c r="DP3261">
        <v>0</v>
      </c>
      <c r="DQ3261">
        <v>0</v>
      </c>
      <c r="DR3261">
        <v>0</v>
      </c>
      <c r="DS3261">
        <v>0</v>
      </c>
    </row>
    <row r="3262" spans="1:123" x14ac:dyDescent="0.3">
      <c r="A3262" t="str">
        <f>"10/04/2022 19:34:16.275"</f>
        <v>10/04/2022 19:34:16.275</v>
      </c>
      <c r="C3262" t="str">
        <f t="shared" si="1179"/>
        <v>FFDFD3C0</v>
      </c>
      <c r="D3262" t="s">
        <v>141</v>
      </c>
      <c r="E3262">
        <v>3</v>
      </c>
      <c r="H3262">
        <v>3</v>
      </c>
      <c r="I3262" t="s">
        <v>146</v>
      </c>
      <c r="J3262" t="s">
        <v>138</v>
      </c>
      <c r="K3262">
        <v>0</v>
      </c>
      <c r="L3262">
        <v>3</v>
      </c>
      <c r="M3262">
        <v>0</v>
      </c>
      <c r="N3262">
        <v>2</v>
      </c>
      <c r="O3262">
        <v>0</v>
      </c>
      <c r="P3262">
        <v>1</v>
      </c>
      <c r="Q3262">
        <v>0</v>
      </c>
      <c r="S3262" t="str">
        <f t="shared" si="1186"/>
        <v>19:34:15.000</v>
      </c>
      <c r="T3262" t="str">
        <f t="shared" si="1186"/>
        <v>19:34:15.000</v>
      </c>
      <c r="U3262" t="str">
        <f t="shared" si="1167"/>
        <v>AC3944</v>
      </c>
      <c r="V3262">
        <v>0</v>
      </c>
      <c r="W3262">
        <v>0</v>
      </c>
      <c r="X3262">
        <v>2</v>
      </c>
      <c r="Y3262">
        <v>0</v>
      </c>
      <c r="AA3262">
        <v>1</v>
      </c>
      <c r="AB3262">
        <v>8</v>
      </c>
      <c r="AC3262">
        <v>3</v>
      </c>
      <c r="AD3262">
        <v>0</v>
      </c>
      <c r="AE3262">
        <v>9</v>
      </c>
      <c r="AF3262" t="s">
        <v>138</v>
      </c>
      <c r="AG3262">
        <v>0</v>
      </c>
      <c r="AH3262">
        <v>3</v>
      </c>
      <c r="AI3262">
        <v>1</v>
      </c>
      <c r="AJ3262">
        <v>0</v>
      </c>
      <c r="AK3262" t="s">
        <v>1081</v>
      </c>
      <c r="AL3262">
        <v>32.718142999999998</v>
      </c>
      <c r="AM3262" t="s">
        <v>1082</v>
      </c>
      <c r="AN3262">
        <v>-116.753361</v>
      </c>
      <c r="AO3262">
        <v>25</v>
      </c>
      <c r="AP3262">
        <v>3700</v>
      </c>
      <c r="AQ3262" t="s">
        <v>129</v>
      </c>
      <c r="AR3262">
        <v>-38</v>
      </c>
      <c r="AS3262">
        <v>134</v>
      </c>
      <c r="AT3262">
        <v>0</v>
      </c>
      <c r="BB3262">
        <v>1200</v>
      </c>
      <c r="BC3262">
        <v>1</v>
      </c>
      <c r="BD3262" t="str">
        <f t="shared" si="1168"/>
        <v xml:space="preserve">N887QR  </v>
      </c>
      <c r="BE3262">
        <v>1</v>
      </c>
      <c r="BG3262">
        <v>0</v>
      </c>
      <c r="BH3262">
        <v>0</v>
      </c>
      <c r="BI3262">
        <v>0</v>
      </c>
      <c r="BJ3262">
        <v>3350</v>
      </c>
      <c r="BK3262">
        <v>-350</v>
      </c>
      <c r="BL3262" t="s">
        <v>163</v>
      </c>
      <c r="BM3262">
        <v>1</v>
      </c>
      <c r="BN3262">
        <v>1</v>
      </c>
      <c r="BO3262">
        <v>1</v>
      </c>
      <c r="BP3262">
        <v>0</v>
      </c>
      <c r="BS3262">
        <v>0</v>
      </c>
      <c r="BT3262">
        <v>0</v>
      </c>
      <c r="BU3262">
        <v>0</v>
      </c>
      <c r="CE3262" t="str">
        <f t="shared" si="1187"/>
        <v>19:34:15.970</v>
      </c>
      <c r="CF3262">
        <v>969652332</v>
      </c>
      <c r="CS3262">
        <v>0</v>
      </c>
      <c r="CT3262">
        <v>2</v>
      </c>
      <c r="CU3262">
        <v>0</v>
      </c>
      <c r="CV3262">
        <v>2</v>
      </c>
      <c r="CW3262">
        <v>0</v>
      </c>
      <c r="CX3262">
        <v>5</v>
      </c>
      <c r="CY3262">
        <v>7</v>
      </c>
      <c r="CZ3262" t="s">
        <v>131</v>
      </c>
      <c r="DA3262">
        <v>300</v>
      </c>
      <c r="DB3262">
        <v>0</v>
      </c>
      <c r="DC3262" t="s">
        <v>176</v>
      </c>
      <c r="DD3262" t="s">
        <v>177</v>
      </c>
      <c r="DG3262">
        <v>5433608</v>
      </c>
      <c r="DI3262">
        <v>0</v>
      </c>
      <c r="DJ3262">
        <v>0</v>
      </c>
      <c r="DK3262">
        <v>1</v>
      </c>
      <c r="DL3262">
        <v>0</v>
      </c>
      <c r="DM3262">
        <v>0</v>
      </c>
      <c r="DN3262">
        <v>1</v>
      </c>
      <c r="DO3262">
        <v>0</v>
      </c>
      <c r="DP3262">
        <v>0</v>
      </c>
      <c r="DQ3262">
        <v>0</v>
      </c>
      <c r="DR3262">
        <v>0</v>
      </c>
      <c r="DS3262">
        <v>0</v>
      </c>
    </row>
    <row r="3263" spans="1:123" x14ac:dyDescent="0.3">
      <c r="A3263" t="str">
        <f>"10/04/2022 19:34:16.275"</f>
        <v>10/04/2022 19:34:16.275</v>
      </c>
      <c r="C3263" t="str">
        <f t="shared" si="1179"/>
        <v>FFDFD3C0</v>
      </c>
      <c r="D3263" t="s">
        <v>134</v>
      </c>
      <c r="E3263">
        <v>15</v>
      </c>
      <c r="J3263" t="s">
        <v>135</v>
      </c>
      <c r="K3263">
        <v>0</v>
      </c>
      <c r="L3263">
        <v>3</v>
      </c>
      <c r="M3263">
        <v>0</v>
      </c>
      <c r="N3263">
        <v>2</v>
      </c>
      <c r="O3263">
        <v>0</v>
      </c>
      <c r="P3263">
        <v>1</v>
      </c>
      <c r="Q3263">
        <v>0</v>
      </c>
      <c r="S3263" t="str">
        <f t="shared" si="1186"/>
        <v>19:34:15.000</v>
      </c>
      <c r="T3263" t="str">
        <f t="shared" si="1186"/>
        <v>19:34:15.000</v>
      </c>
      <c r="U3263" t="str">
        <f t="shared" si="1167"/>
        <v>AC3944</v>
      </c>
      <c r="V3263">
        <v>0</v>
      </c>
      <c r="W3263">
        <v>0</v>
      </c>
      <c r="X3263">
        <v>2</v>
      </c>
      <c r="Y3263">
        <v>0</v>
      </c>
      <c r="AA3263">
        <v>1</v>
      </c>
      <c r="AB3263">
        <v>8</v>
      </c>
      <c r="AC3263">
        <v>3</v>
      </c>
      <c r="AD3263">
        <v>0</v>
      </c>
      <c r="AE3263">
        <v>9</v>
      </c>
      <c r="AF3263" t="s">
        <v>138</v>
      </c>
      <c r="AG3263">
        <v>0</v>
      </c>
      <c r="AH3263">
        <v>3</v>
      </c>
      <c r="AI3263">
        <v>1</v>
      </c>
      <c r="AJ3263">
        <v>0</v>
      </c>
      <c r="AK3263" t="s">
        <v>1081</v>
      </c>
      <c r="AL3263">
        <v>32.718142999999998</v>
      </c>
      <c r="AM3263" t="s">
        <v>1082</v>
      </c>
      <c r="AN3263">
        <v>-116.753361</v>
      </c>
      <c r="AO3263">
        <v>25</v>
      </c>
      <c r="AP3263">
        <v>3700</v>
      </c>
      <c r="AQ3263" t="s">
        <v>129</v>
      </c>
      <c r="AR3263">
        <v>-38</v>
      </c>
      <c r="AS3263">
        <v>134</v>
      </c>
      <c r="AT3263">
        <v>0</v>
      </c>
      <c r="BB3263">
        <v>1200</v>
      </c>
      <c r="BC3263">
        <v>1</v>
      </c>
      <c r="BD3263" t="str">
        <f t="shared" si="1168"/>
        <v xml:space="preserve">N887QR  </v>
      </c>
      <c r="BE3263">
        <v>1</v>
      </c>
      <c r="BG3263">
        <v>0</v>
      </c>
      <c r="BH3263">
        <v>0</v>
      </c>
      <c r="BI3263">
        <v>0</v>
      </c>
      <c r="BJ3263">
        <v>3350</v>
      </c>
      <c r="BK3263">
        <v>-350</v>
      </c>
      <c r="BL3263" t="s">
        <v>163</v>
      </c>
      <c r="BM3263">
        <v>1</v>
      </c>
      <c r="BN3263">
        <v>1</v>
      </c>
      <c r="BO3263">
        <v>1</v>
      </c>
      <c r="BP3263">
        <v>0</v>
      </c>
      <c r="BS3263">
        <v>0</v>
      </c>
      <c r="BT3263">
        <v>0</v>
      </c>
      <c r="BU3263">
        <v>0</v>
      </c>
      <c r="CE3263" t="str">
        <f t="shared" si="1187"/>
        <v>19:34:15.970</v>
      </c>
      <c r="CF3263">
        <v>969652332</v>
      </c>
      <c r="CS3263">
        <v>0</v>
      </c>
      <c r="CT3263">
        <v>2</v>
      </c>
      <c r="CU3263">
        <v>0</v>
      </c>
      <c r="CV3263">
        <v>2</v>
      </c>
      <c r="CW3263">
        <v>0</v>
      </c>
      <c r="CX3263">
        <v>5</v>
      </c>
      <c r="CY3263">
        <v>7</v>
      </c>
      <c r="CZ3263" t="s">
        <v>131</v>
      </c>
      <c r="DA3263">
        <v>300</v>
      </c>
      <c r="DB3263">
        <v>0</v>
      </c>
      <c r="DC3263" t="s">
        <v>176</v>
      </c>
      <c r="DD3263" t="s">
        <v>177</v>
      </c>
      <c r="DG3263">
        <v>5433608</v>
      </c>
      <c r="DI3263">
        <v>0</v>
      </c>
      <c r="DJ3263">
        <v>0</v>
      </c>
      <c r="DK3263">
        <v>1</v>
      </c>
      <c r="DL3263">
        <v>0</v>
      </c>
      <c r="DM3263">
        <v>0</v>
      </c>
      <c r="DN3263">
        <v>1</v>
      </c>
      <c r="DO3263">
        <v>0</v>
      </c>
      <c r="DP3263">
        <v>0</v>
      </c>
      <c r="DQ3263">
        <v>0</v>
      </c>
      <c r="DR3263">
        <v>0</v>
      </c>
      <c r="DS3263">
        <v>0</v>
      </c>
    </row>
    <row r="3264" spans="1:123" x14ac:dyDescent="0.3">
      <c r="A3264" t="str">
        <f>"10/04/2022 19:34:16.275"</f>
        <v>10/04/2022 19:34:16.275</v>
      </c>
      <c r="C3264" t="str">
        <f t="shared" si="1179"/>
        <v>FFDFD3C0</v>
      </c>
      <c r="D3264" t="s">
        <v>143</v>
      </c>
      <c r="E3264">
        <v>20</v>
      </c>
      <c r="F3264">
        <v>1020</v>
      </c>
      <c r="G3264" t="s">
        <v>144</v>
      </c>
      <c r="J3264" t="s">
        <v>145</v>
      </c>
      <c r="K3264">
        <v>0</v>
      </c>
      <c r="L3264">
        <v>3</v>
      </c>
      <c r="M3264">
        <v>0</v>
      </c>
      <c r="N3264">
        <v>2</v>
      </c>
      <c r="O3264">
        <v>0</v>
      </c>
      <c r="P3264">
        <v>1</v>
      </c>
      <c r="Q3264">
        <v>0</v>
      </c>
      <c r="S3264" t="str">
        <f t="shared" si="1186"/>
        <v>19:34:15.000</v>
      </c>
      <c r="T3264" t="str">
        <f t="shared" si="1186"/>
        <v>19:34:15.000</v>
      </c>
      <c r="U3264" t="str">
        <f t="shared" si="1167"/>
        <v>AC3944</v>
      </c>
      <c r="V3264">
        <v>0</v>
      </c>
      <c r="W3264">
        <v>0</v>
      </c>
      <c r="X3264">
        <v>2</v>
      </c>
      <c r="Y3264">
        <v>0</v>
      </c>
      <c r="AA3264">
        <v>1</v>
      </c>
      <c r="AB3264">
        <v>8</v>
      </c>
      <c r="AC3264">
        <v>3</v>
      </c>
      <c r="AD3264">
        <v>0</v>
      </c>
      <c r="AE3264">
        <v>9</v>
      </c>
      <c r="AF3264" t="s">
        <v>138</v>
      </c>
      <c r="AG3264">
        <v>0</v>
      </c>
      <c r="AH3264">
        <v>3</v>
      </c>
      <c r="AI3264">
        <v>1</v>
      </c>
      <c r="AJ3264">
        <v>0</v>
      </c>
      <c r="AK3264" t="s">
        <v>1081</v>
      </c>
      <c r="AL3264">
        <v>32.718142999999998</v>
      </c>
      <c r="AM3264" t="s">
        <v>1082</v>
      </c>
      <c r="AN3264">
        <v>-116.753361</v>
      </c>
      <c r="AO3264">
        <v>25</v>
      </c>
      <c r="AP3264">
        <v>3700</v>
      </c>
      <c r="AQ3264" t="s">
        <v>129</v>
      </c>
      <c r="AR3264">
        <v>-38</v>
      </c>
      <c r="AS3264">
        <v>134</v>
      </c>
      <c r="AT3264">
        <v>0</v>
      </c>
      <c r="BB3264">
        <v>1200</v>
      </c>
      <c r="BC3264">
        <v>1</v>
      </c>
      <c r="BD3264" t="str">
        <f t="shared" si="1168"/>
        <v xml:space="preserve">N887QR  </v>
      </c>
      <c r="BE3264">
        <v>1</v>
      </c>
      <c r="BG3264">
        <v>0</v>
      </c>
      <c r="BH3264">
        <v>0</v>
      </c>
      <c r="BI3264">
        <v>0</v>
      </c>
      <c r="BJ3264">
        <v>3350</v>
      </c>
      <c r="BK3264">
        <v>-350</v>
      </c>
      <c r="BL3264" t="s">
        <v>163</v>
      </c>
      <c r="BM3264">
        <v>1</v>
      </c>
      <c r="BN3264">
        <v>1</v>
      </c>
      <c r="BO3264">
        <v>1</v>
      </c>
      <c r="BP3264">
        <v>0</v>
      </c>
      <c r="BS3264">
        <v>0</v>
      </c>
      <c r="BT3264">
        <v>0</v>
      </c>
      <c r="BU3264">
        <v>0</v>
      </c>
      <c r="CE3264" t="str">
        <f t="shared" si="1187"/>
        <v>19:34:15.970</v>
      </c>
      <c r="CF3264">
        <v>969652332</v>
      </c>
      <c r="CS3264">
        <v>0</v>
      </c>
      <c r="CT3264">
        <v>2</v>
      </c>
      <c r="CU3264">
        <v>0</v>
      </c>
      <c r="CV3264">
        <v>2</v>
      </c>
      <c r="CW3264">
        <v>0</v>
      </c>
      <c r="CX3264">
        <v>5</v>
      </c>
      <c r="CY3264">
        <v>7</v>
      </c>
      <c r="CZ3264" t="s">
        <v>131</v>
      </c>
      <c r="DA3264">
        <v>300</v>
      </c>
      <c r="DB3264">
        <v>0</v>
      </c>
      <c r="DC3264" t="s">
        <v>176</v>
      </c>
      <c r="DD3264" t="s">
        <v>177</v>
      </c>
      <c r="DG3264">
        <v>5433608</v>
      </c>
      <c r="DI3264">
        <v>0</v>
      </c>
      <c r="DJ3264">
        <v>0</v>
      </c>
      <c r="DK3264">
        <v>1</v>
      </c>
      <c r="DL3264">
        <v>0</v>
      </c>
      <c r="DM3264">
        <v>0</v>
      </c>
      <c r="DN3264">
        <v>1</v>
      </c>
      <c r="DO3264">
        <v>0</v>
      </c>
      <c r="DP3264">
        <v>0</v>
      </c>
      <c r="DQ3264">
        <v>0</v>
      </c>
      <c r="DR3264">
        <v>0</v>
      </c>
      <c r="DS3264">
        <v>0</v>
      </c>
    </row>
    <row r="3265" spans="1:123" x14ac:dyDescent="0.3">
      <c r="A3265" t="str">
        <f>"10/04/2022 19:34:16.275"</f>
        <v>10/04/2022 19:34:16.275</v>
      </c>
      <c r="C3265" t="str">
        <f t="shared" si="1179"/>
        <v>FFDFD3C0</v>
      </c>
      <c r="D3265" t="s">
        <v>136</v>
      </c>
      <c r="E3265">
        <v>8</v>
      </c>
      <c r="H3265">
        <v>225</v>
      </c>
      <c r="I3265" t="s">
        <v>137</v>
      </c>
      <c r="J3265" t="s">
        <v>138</v>
      </c>
      <c r="K3265">
        <v>0</v>
      </c>
      <c r="L3265">
        <v>3</v>
      </c>
      <c r="M3265">
        <v>0</v>
      </c>
      <c r="N3265">
        <v>2</v>
      </c>
      <c r="O3265">
        <v>0</v>
      </c>
      <c r="P3265">
        <v>1</v>
      </c>
      <c r="Q3265">
        <v>0</v>
      </c>
      <c r="S3265" t="str">
        <f t="shared" si="1186"/>
        <v>19:34:15.000</v>
      </c>
      <c r="T3265" t="str">
        <f t="shared" si="1186"/>
        <v>19:34:15.000</v>
      </c>
      <c r="U3265" t="str">
        <f t="shared" si="1167"/>
        <v>AC3944</v>
      </c>
      <c r="V3265">
        <v>0</v>
      </c>
      <c r="W3265">
        <v>0</v>
      </c>
      <c r="X3265">
        <v>2</v>
      </c>
      <c r="Y3265">
        <v>0</v>
      </c>
      <c r="AA3265">
        <v>1</v>
      </c>
      <c r="AB3265">
        <v>8</v>
      </c>
      <c r="AC3265">
        <v>3</v>
      </c>
      <c r="AD3265">
        <v>0</v>
      </c>
      <c r="AE3265">
        <v>9</v>
      </c>
      <c r="AF3265" t="s">
        <v>138</v>
      </c>
      <c r="AG3265">
        <v>0</v>
      </c>
      <c r="AH3265">
        <v>3</v>
      </c>
      <c r="AI3265">
        <v>1</v>
      </c>
      <c r="AJ3265">
        <v>0</v>
      </c>
      <c r="AK3265" t="s">
        <v>1081</v>
      </c>
      <c r="AL3265">
        <v>32.718142999999998</v>
      </c>
      <c r="AM3265" t="s">
        <v>1082</v>
      </c>
      <c r="AN3265">
        <v>-116.753361</v>
      </c>
      <c r="AO3265">
        <v>25</v>
      </c>
      <c r="AP3265">
        <v>3700</v>
      </c>
      <c r="AQ3265" t="s">
        <v>129</v>
      </c>
      <c r="AR3265">
        <v>-38</v>
      </c>
      <c r="AS3265">
        <v>134</v>
      </c>
      <c r="AT3265">
        <v>0</v>
      </c>
      <c r="BB3265">
        <v>1200</v>
      </c>
      <c r="BC3265">
        <v>1</v>
      </c>
      <c r="BD3265" t="str">
        <f t="shared" si="1168"/>
        <v xml:space="preserve">N887QR  </v>
      </c>
      <c r="BE3265">
        <v>1</v>
      </c>
      <c r="BG3265">
        <v>0</v>
      </c>
      <c r="BH3265">
        <v>0</v>
      </c>
      <c r="BI3265">
        <v>0</v>
      </c>
      <c r="BJ3265">
        <v>3350</v>
      </c>
      <c r="BK3265">
        <v>-350</v>
      </c>
      <c r="BL3265" t="s">
        <v>163</v>
      </c>
      <c r="BM3265">
        <v>1</v>
      </c>
      <c r="BN3265">
        <v>1</v>
      </c>
      <c r="BO3265">
        <v>1</v>
      </c>
      <c r="BP3265">
        <v>0</v>
      </c>
      <c r="BS3265">
        <v>0</v>
      </c>
      <c r="BT3265">
        <v>0</v>
      </c>
      <c r="BU3265">
        <v>0</v>
      </c>
      <c r="CE3265" t="str">
        <f t="shared" si="1187"/>
        <v>19:34:15.970</v>
      </c>
      <c r="CF3265">
        <v>969652332</v>
      </c>
      <c r="CS3265">
        <v>0</v>
      </c>
      <c r="CT3265">
        <v>2</v>
      </c>
      <c r="CU3265">
        <v>0</v>
      </c>
      <c r="CV3265">
        <v>2</v>
      </c>
      <c r="CW3265">
        <v>0</v>
      </c>
      <c r="CX3265">
        <v>5</v>
      </c>
      <c r="CY3265">
        <v>7</v>
      </c>
      <c r="CZ3265" t="s">
        <v>131</v>
      </c>
      <c r="DA3265">
        <v>300</v>
      </c>
      <c r="DB3265">
        <v>0</v>
      </c>
      <c r="DC3265" t="s">
        <v>176</v>
      </c>
      <c r="DD3265" t="s">
        <v>177</v>
      </c>
      <c r="DG3265">
        <v>5433608</v>
      </c>
      <c r="DI3265">
        <v>0</v>
      </c>
      <c r="DJ3265">
        <v>0</v>
      </c>
      <c r="DK3265">
        <v>1</v>
      </c>
      <c r="DL3265">
        <v>0</v>
      </c>
      <c r="DM3265">
        <v>0</v>
      </c>
      <c r="DN3265">
        <v>1</v>
      </c>
      <c r="DO3265">
        <v>0</v>
      </c>
      <c r="DP3265">
        <v>0</v>
      </c>
      <c r="DQ3265">
        <v>0</v>
      </c>
      <c r="DR3265">
        <v>0</v>
      </c>
      <c r="DS3265">
        <v>0</v>
      </c>
    </row>
    <row r="3266" spans="1:123" x14ac:dyDescent="0.3">
      <c r="A3266" t="str">
        <f>"10/04/2022 19:34:16.276"</f>
        <v>10/04/2022 19:34:16.276</v>
      </c>
      <c r="C3266" t="str">
        <f t="shared" si="1179"/>
        <v>FFDFD3C0</v>
      </c>
      <c r="D3266" t="s">
        <v>123</v>
      </c>
      <c r="E3266">
        <v>7</v>
      </c>
      <c r="F3266">
        <v>2007</v>
      </c>
      <c r="G3266" t="s">
        <v>124</v>
      </c>
      <c r="J3266" t="s">
        <v>125</v>
      </c>
      <c r="K3266">
        <v>0</v>
      </c>
      <c r="L3266">
        <v>3</v>
      </c>
      <c r="M3266">
        <v>0</v>
      </c>
      <c r="N3266">
        <v>2</v>
      </c>
      <c r="O3266">
        <v>0</v>
      </c>
      <c r="P3266">
        <v>1</v>
      </c>
      <c r="Q3266">
        <v>0</v>
      </c>
      <c r="S3266" t="str">
        <f t="shared" si="1186"/>
        <v>19:34:15.000</v>
      </c>
      <c r="T3266" t="str">
        <f t="shared" si="1186"/>
        <v>19:34:15.000</v>
      </c>
      <c r="U3266" t="str">
        <f t="shared" ref="U3266:U3329" si="1188">"AC3944"</f>
        <v>AC3944</v>
      </c>
      <c r="V3266">
        <v>0</v>
      </c>
      <c r="W3266">
        <v>0</v>
      </c>
      <c r="X3266">
        <v>2</v>
      </c>
      <c r="Y3266">
        <v>0</v>
      </c>
      <c r="AA3266">
        <v>1</v>
      </c>
      <c r="AB3266">
        <v>8</v>
      </c>
      <c r="AC3266">
        <v>3</v>
      </c>
      <c r="AD3266">
        <v>0</v>
      </c>
      <c r="AE3266">
        <v>9</v>
      </c>
      <c r="AF3266" t="s">
        <v>138</v>
      </c>
      <c r="AG3266">
        <v>0</v>
      </c>
      <c r="AH3266">
        <v>3</v>
      </c>
      <c r="AI3266">
        <v>1</v>
      </c>
      <c r="AJ3266">
        <v>0</v>
      </c>
      <c r="AK3266" t="s">
        <v>1081</v>
      </c>
      <c r="AL3266">
        <v>32.718142999999998</v>
      </c>
      <c r="AM3266" t="s">
        <v>1082</v>
      </c>
      <c r="AN3266">
        <v>-116.753361</v>
      </c>
      <c r="AO3266">
        <v>25</v>
      </c>
      <c r="AP3266">
        <v>3700</v>
      </c>
      <c r="AQ3266" t="s">
        <v>129</v>
      </c>
      <c r="AR3266">
        <v>-38</v>
      </c>
      <c r="AS3266">
        <v>134</v>
      </c>
      <c r="AT3266">
        <v>0</v>
      </c>
      <c r="BB3266">
        <v>1200</v>
      </c>
      <c r="BC3266">
        <v>1</v>
      </c>
      <c r="BD3266" t="str">
        <f t="shared" ref="BD3266:BD3329" si="1189">"N887QR  "</f>
        <v xml:space="preserve">N887QR  </v>
      </c>
      <c r="BE3266">
        <v>1</v>
      </c>
      <c r="BG3266">
        <v>0</v>
      </c>
      <c r="BH3266">
        <v>0</v>
      </c>
      <c r="BI3266">
        <v>0</v>
      </c>
      <c r="BJ3266">
        <v>3350</v>
      </c>
      <c r="BK3266">
        <v>-350</v>
      </c>
      <c r="BL3266" t="s">
        <v>163</v>
      </c>
      <c r="BM3266">
        <v>1</v>
      </c>
      <c r="BN3266">
        <v>1</v>
      </c>
      <c r="BO3266">
        <v>1</v>
      </c>
      <c r="BP3266">
        <v>0</v>
      </c>
      <c r="BS3266">
        <v>0</v>
      </c>
      <c r="BT3266">
        <v>0</v>
      </c>
      <c r="BU3266">
        <v>0</v>
      </c>
      <c r="CE3266" t="str">
        <f t="shared" si="1187"/>
        <v>19:34:15.970</v>
      </c>
      <c r="CF3266">
        <v>969652332</v>
      </c>
      <c r="CS3266">
        <v>0</v>
      </c>
      <c r="CT3266">
        <v>2</v>
      </c>
      <c r="CU3266">
        <v>0</v>
      </c>
      <c r="CV3266">
        <v>2</v>
      </c>
      <c r="CW3266">
        <v>0</v>
      </c>
      <c r="CX3266">
        <v>5</v>
      </c>
      <c r="CY3266">
        <v>7</v>
      </c>
      <c r="CZ3266" t="s">
        <v>131</v>
      </c>
      <c r="DA3266">
        <v>300</v>
      </c>
      <c r="DB3266">
        <v>0</v>
      </c>
      <c r="DC3266" t="s">
        <v>176</v>
      </c>
      <c r="DD3266" t="s">
        <v>177</v>
      </c>
      <c r="DG3266">
        <v>5433608</v>
      </c>
      <c r="DI3266">
        <v>0</v>
      </c>
      <c r="DJ3266">
        <v>0</v>
      </c>
      <c r="DK3266">
        <v>1</v>
      </c>
      <c r="DL3266">
        <v>0</v>
      </c>
      <c r="DM3266">
        <v>0</v>
      </c>
      <c r="DN3266">
        <v>1</v>
      </c>
      <c r="DO3266">
        <v>0</v>
      </c>
      <c r="DP3266">
        <v>0</v>
      </c>
      <c r="DQ3266">
        <v>0</v>
      </c>
      <c r="DR3266">
        <v>0</v>
      </c>
      <c r="DS3266">
        <v>0</v>
      </c>
    </row>
    <row r="3267" spans="1:123" x14ac:dyDescent="0.3">
      <c r="A3267" t="str">
        <f>"10/04/2022 19:34:17.760"</f>
        <v>10/04/2022 19:34:17.760</v>
      </c>
      <c r="C3267" t="str">
        <f t="shared" si="1179"/>
        <v>FFDFD3C0</v>
      </c>
      <c r="D3267" t="s">
        <v>147</v>
      </c>
      <c r="E3267">
        <v>3</v>
      </c>
      <c r="H3267">
        <v>166</v>
      </c>
      <c r="I3267" t="s">
        <v>144</v>
      </c>
      <c r="J3267" t="s">
        <v>148</v>
      </c>
      <c r="K3267">
        <v>0</v>
      </c>
      <c r="L3267">
        <v>3</v>
      </c>
      <c r="M3267">
        <v>0</v>
      </c>
      <c r="N3267">
        <v>2</v>
      </c>
      <c r="O3267">
        <v>0</v>
      </c>
      <c r="P3267">
        <v>1</v>
      </c>
      <c r="Q3267">
        <v>0</v>
      </c>
      <c r="S3267" t="str">
        <f t="shared" ref="S3267:T3275" si="1190">"19:34:17.000"</f>
        <v>19:34:17.000</v>
      </c>
      <c r="T3267" t="str">
        <f t="shared" si="1190"/>
        <v>19:34:17.000</v>
      </c>
      <c r="U3267" t="str">
        <f t="shared" si="1188"/>
        <v>AC3944</v>
      </c>
      <c r="V3267">
        <v>0</v>
      </c>
      <c r="W3267">
        <v>0</v>
      </c>
      <c r="X3267">
        <v>2</v>
      </c>
      <c r="Y3267">
        <v>0</v>
      </c>
      <c r="AA3267">
        <v>1</v>
      </c>
      <c r="AB3267">
        <v>8</v>
      </c>
      <c r="AC3267">
        <v>3</v>
      </c>
      <c r="AD3267">
        <v>0</v>
      </c>
      <c r="AE3267">
        <v>9</v>
      </c>
      <c r="AF3267" t="s">
        <v>138</v>
      </c>
      <c r="AG3267">
        <v>0</v>
      </c>
      <c r="AH3267">
        <v>3</v>
      </c>
      <c r="AI3267">
        <v>1</v>
      </c>
      <c r="AJ3267">
        <v>0</v>
      </c>
      <c r="AK3267" t="s">
        <v>1083</v>
      </c>
      <c r="AL3267">
        <v>32.718766000000002</v>
      </c>
      <c r="AM3267" t="s">
        <v>1084</v>
      </c>
      <c r="AN3267">
        <v>-116.75355399999999</v>
      </c>
      <c r="AO3267">
        <v>25</v>
      </c>
      <c r="AP3267">
        <v>3700</v>
      </c>
      <c r="AQ3267" t="s">
        <v>129</v>
      </c>
      <c r="AR3267">
        <v>-28</v>
      </c>
      <c r="AS3267">
        <v>134</v>
      </c>
      <c r="AT3267">
        <v>448</v>
      </c>
      <c r="BB3267">
        <v>1200</v>
      </c>
      <c r="BC3267">
        <v>1</v>
      </c>
      <c r="BD3267" t="str">
        <f t="shared" si="1189"/>
        <v xml:space="preserve">N887QR  </v>
      </c>
      <c r="BE3267">
        <v>1</v>
      </c>
      <c r="BG3267">
        <v>0</v>
      </c>
      <c r="BH3267">
        <v>0</v>
      </c>
      <c r="BI3267">
        <v>0</v>
      </c>
      <c r="BJ3267">
        <v>3350</v>
      </c>
      <c r="BK3267">
        <v>-350</v>
      </c>
      <c r="BL3267" t="s">
        <v>163</v>
      </c>
      <c r="BM3267">
        <v>1</v>
      </c>
      <c r="BN3267">
        <v>1</v>
      </c>
      <c r="BO3267">
        <v>1</v>
      </c>
      <c r="BP3267">
        <v>0</v>
      </c>
      <c r="BS3267">
        <v>0</v>
      </c>
      <c r="BT3267">
        <v>0</v>
      </c>
      <c r="BU3267">
        <v>0</v>
      </c>
      <c r="CE3267" t="str">
        <f>"19:34:17.443"</f>
        <v>19:34:17.443</v>
      </c>
      <c r="CF3267">
        <v>442906706</v>
      </c>
      <c r="CS3267">
        <v>0</v>
      </c>
      <c r="CT3267">
        <v>2</v>
      </c>
      <c r="CU3267">
        <v>0</v>
      </c>
      <c r="CV3267">
        <v>2</v>
      </c>
      <c r="CW3267">
        <v>0</v>
      </c>
      <c r="CX3267">
        <v>5</v>
      </c>
      <c r="CY3267">
        <v>7</v>
      </c>
      <c r="CZ3267" t="s">
        <v>131</v>
      </c>
      <c r="DA3267">
        <v>300</v>
      </c>
      <c r="DB3267">
        <v>0</v>
      </c>
      <c r="DC3267" t="s">
        <v>176</v>
      </c>
      <c r="DD3267" t="s">
        <v>177</v>
      </c>
      <c r="DG3267">
        <v>5433833</v>
      </c>
      <c r="DI3267">
        <v>0</v>
      </c>
      <c r="DJ3267">
        <v>0</v>
      </c>
      <c r="DK3267">
        <v>0</v>
      </c>
      <c r="DL3267">
        <v>0</v>
      </c>
      <c r="DM3267">
        <v>0</v>
      </c>
      <c r="DN3267">
        <v>1</v>
      </c>
      <c r="DO3267">
        <v>0</v>
      </c>
      <c r="DP3267">
        <v>0</v>
      </c>
      <c r="DQ3267">
        <v>0</v>
      </c>
      <c r="DR3267">
        <v>0</v>
      </c>
      <c r="DS3267">
        <v>0</v>
      </c>
    </row>
    <row r="3268" spans="1:123" x14ac:dyDescent="0.3">
      <c r="A3268" t="str">
        <f>"10/04/2022 19:34:17.760"</f>
        <v>10/04/2022 19:34:17.760</v>
      </c>
      <c r="C3268" t="str">
        <f t="shared" si="1179"/>
        <v>FFDFD3C0</v>
      </c>
      <c r="D3268" t="s">
        <v>141</v>
      </c>
      <c r="E3268">
        <v>4</v>
      </c>
      <c r="H3268">
        <v>4</v>
      </c>
      <c r="I3268" t="s">
        <v>142</v>
      </c>
      <c r="J3268" t="s">
        <v>138</v>
      </c>
      <c r="K3268">
        <v>0</v>
      </c>
      <c r="L3268">
        <v>3</v>
      </c>
      <c r="M3268">
        <v>0</v>
      </c>
      <c r="N3268">
        <v>2</v>
      </c>
      <c r="O3268">
        <v>0</v>
      </c>
      <c r="P3268">
        <v>1</v>
      </c>
      <c r="Q3268">
        <v>0</v>
      </c>
      <c r="S3268" t="str">
        <f t="shared" si="1190"/>
        <v>19:34:17.000</v>
      </c>
      <c r="T3268" t="str">
        <f t="shared" si="1190"/>
        <v>19:34:17.000</v>
      </c>
      <c r="U3268" t="str">
        <f t="shared" si="1188"/>
        <v>AC3944</v>
      </c>
      <c r="V3268">
        <v>0</v>
      </c>
      <c r="W3268">
        <v>0</v>
      </c>
      <c r="X3268">
        <v>2</v>
      </c>
      <c r="Y3268">
        <v>0</v>
      </c>
      <c r="AA3268">
        <v>1</v>
      </c>
      <c r="AB3268">
        <v>8</v>
      </c>
      <c r="AC3268">
        <v>3</v>
      </c>
      <c r="AD3268">
        <v>0</v>
      </c>
      <c r="AE3268">
        <v>9</v>
      </c>
      <c r="AF3268" t="s">
        <v>138</v>
      </c>
      <c r="AG3268">
        <v>0</v>
      </c>
      <c r="AH3268">
        <v>3</v>
      </c>
      <c r="AI3268">
        <v>1</v>
      </c>
      <c r="AJ3268">
        <v>0</v>
      </c>
      <c r="AK3268" t="s">
        <v>1083</v>
      </c>
      <c r="AL3268">
        <v>32.718766000000002</v>
      </c>
      <c r="AM3268" t="s">
        <v>1084</v>
      </c>
      <c r="AN3268">
        <v>-116.75355399999999</v>
      </c>
      <c r="AO3268">
        <v>25</v>
      </c>
      <c r="AP3268">
        <v>3700</v>
      </c>
      <c r="AQ3268" t="s">
        <v>129</v>
      </c>
      <c r="AR3268">
        <v>-28</v>
      </c>
      <c r="AS3268">
        <v>134</v>
      </c>
      <c r="AT3268">
        <v>448</v>
      </c>
      <c r="BB3268">
        <v>1200</v>
      </c>
      <c r="BC3268">
        <v>1</v>
      </c>
      <c r="BD3268" t="str">
        <f t="shared" si="1189"/>
        <v xml:space="preserve">N887QR  </v>
      </c>
      <c r="BE3268">
        <v>1</v>
      </c>
      <c r="BG3268">
        <v>0</v>
      </c>
      <c r="BH3268">
        <v>0</v>
      </c>
      <c r="BI3268">
        <v>0</v>
      </c>
      <c r="BJ3268">
        <v>3350</v>
      </c>
      <c r="BK3268">
        <v>-350</v>
      </c>
      <c r="BL3268" t="s">
        <v>163</v>
      </c>
      <c r="BM3268">
        <v>1</v>
      </c>
      <c r="BN3268">
        <v>1</v>
      </c>
      <c r="BO3268">
        <v>1</v>
      </c>
      <c r="BP3268">
        <v>0</v>
      </c>
      <c r="BS3268">
        <v>0</v>
      </c>
      <c r="BT3268">
        <v>0</v>
      </c>
      <c r="BU3268">
        <v>0</v>
      </c>
      <c r="CE3268" t="str">
        <f>"19:34:17.443"</f>
        <v>19:34:17.443</v>
      </c>
      <c r="CF3268">
        <v>442906706</v>
      </c>
      <c r="CS3268">
        <v>0</v>
      </c>
      <c r="CT3268">
        <v>2</v>
      </c>
      <c r="CU3268">
        <v>0</v>
      </c>
      <c r="CV3268">
        <v>2</v>
      </c>
      <c r="CW3268">
        <v>0</v>
      </c>
      <c r="CX3268">
        <v>5</v>
      </c>
      <c r="CY3268">
        <v>7</v>
      </c>
      <c r="CZ3268" t="s">
        <v>131</v>
      </c>
      <c r="DA3268">
        <v>300</v>
      </c>
      <c r="DB3268">
        <v>0</v>
      </c>
      <c r="DC3268" t="s">
        <v>176</v>
      </c>
      <c r="DD3268" t="s">
        <v>177</v>
      </c>
      <c r="DG3268">
        <v>5433833</v>
      </c>
      <c r="DI3268">
        <v>0</v>
      </c>
      <c r="DJ3268">
        <v>0</v>
      </c>
      <c r="DK3268">
        <v>1</v>
      </c>
      <c r="DL3268">
        <v>0</v>
      </c>
      <c r="DM3268">
        <v>0</v>
      </c>
      <c r="DN3268">
        <v>1</v>
      </c>
      <c r="DO3268">
        <v>0</v>
      </c>
      <c r="DP3268">
        <v>0</v>
      </c>
      <c r="DQ3268">
        <v>0</v>
      </c>
      <c r="DR3268">
        <v>0</v>
      </c>
      <c r="DS3268">
        <v>0</v>
      </c>
    </row>
    <row r="3269" spans="1:123" x14ac:dyDescent="0.3">
      <c r="A3269" t="str">
        <f>"10/04/2022 19:34:18.073"</f>
        <v>10/04/2022 19:34:18.073</v>
      </c>
      <c r="C3269" t="str">
        <f t="shared" si="1179"/>
        <v>FFDFD3C0</v>
      </c>
      <c r="D3269" t="s">
        <v>147</v>
      </c>
      <c r="E3269">
        <v>3</v>
      </c>
      <c r="H3269">
        <v>166</v>
      </c>
      <c r="I3269" t="s">
        <v>144</v>
      </c>
      <c r="J3269" t="s">
        <v>148</v>
      </c>
      <c r="K3269">
        <v>0</v>
      </c>
      <c r="L3269">
        <v>3</v>
      </c>
      <c r="M3269">
        <v>0</v>
      </c>
      <c r="N3269">
        <v>2</v>
      </c>
      <c r="O3269">
        <v>0</v>
      </c>
      <c r="P3269">
        <v>1</v>
      </c>
      <c r="Q3269">
        <v>0</v>
      </c>
      <c r="S3269" t="str">
        <f t="shared" si="1190"/>
        <v>19:34:17.000</v>
      </c>
      <c r="T3269" t="str">
        <f t="shared" si="1190"/>
        <v>19:34:17.000</v>
      </c>
      <c r="U3269" t="str">
        <f t="shared" si="1188"/>
        <v>AC3944</v>
      </c>
      <c r="V3269">
        <v>0</v>
      </c>
      <c r="W3269">
        <v>0</v>
      </c>
      <c r="X3269">
        <v>2</v>
      </c>
      <c r="Y3269">
        <v>0</v>
      </c>
      <c r="AA3269">
        <v>1</v>
      </c>
      <c r="AB3269">
        <v>8</v>
      </c>
      <c r="AC3269">
        <v>3</v>
      </c>
      <c r="AD3269">
        <v>0</v>
      </c>
      <c r="AE3269">
        <v>9</v>
      </c>
      <c r="AF3269" t="s">
        <v>138</v>
      </c>
      <c r="AG3269">
        <v>0</v>
      </c>
      <c r="AH3269">
        <v>3</v>
      </c>
      <c r="AI3269">
        <v>1</v>
      </c>
      <c r="AJ3269">
        <v>0</v>
      </c>
      <c r="AK3269" t="s">
        <v>1085</v>
      </c>
      <c r="AL3269">
        <v>32.719388000000002</v>
      </c>
      <c r="AM3269" t="s">
        <v>1086</v>
      </c>
      <c r="AN3269">
        <v>-116.753747</v>
      </c>
      <c r="AO3269">
        <v>25</v>
      </c>
      <c r="AP3269">
        <v>3700</v>
      </c>
      <c r="AQ3269" t="s">
        <v>129</v>
      </c>
      <c r="AR3269">
        <v>-25</v>
      </c>
      <c r="AS3269">
        <v>135</v>
      </c>
      <c r="AT3269">
        <v>448</v>
      </c>
      <c r="BB3269">
        <v>1200</v>
      </c>
      <c r="BC3269">
        <v>1</v>
      </c>
      <c r="BD3269" t="str">
        <f t="shared" si="1189"/>
        <v xml:space="preserve">N887QR  </v>
      </c>
      <c r="BE3269">
        <v>1</v>
      </c>
      <c r="BG3269">
        <v>0</v>
      </c>
      <c r="BH3269">
        <v>0</v>
      </c>
      <c r="BI3269">
        <v>0</v>
      </c>
      <c r="BJ3269">
        <v>3375</v>
      </c>
      <c r="BK3269">
        <v>-325</v>
      </c>
      <c r="BL3269" t="s">
        <v>163</v>
      </c>
      <c r="BM3269">
        <v>1</v>
      </c>
      <c r="BN3269">
        <v>1</v>
      </c>
      <c r="BO3269">
        <v>1</v>
      </c>
      <c r="BP3269">
        <v>0</v>
      </c>
      <c r="BS3269">
        <v>0</v>
      </c>
      <c r="BT3269">
        <v>0</v>
      </c>
      <c r="BU3269">
        <v>0</v>
      </c>
      <c r="CE3269" t="str">
        <f t="shared" ref="CE3269:CE3275" si="1191">"19:34:17.859"</f>
        <v>19:34:17.859</v>
      </c>
      <c r="CF3269">
        <v>859085590</v>
      </c>
      <c r="CS3269">
        <v>0</v>
      </c>
      <c r="CT3269">
        <v>2</v>
      </c>
      <c r="CU3269">
        <v>0</v>
      </c>
      <c r="CV3269">
        <v>2</v>
      </c>
      <c r="CW3269">
        <v>0</v>
      </c>
      <c r="CX3269">
        <v>6</v>
      </c>
      <c r="CY3269">
        <v>7</v>
      </c>
      <c r="CZ3269" t="s">
        <v>131</v>
      </c>
      <c r="DA3269">
        <v>286</v>
      </c>
      <c r="DB3269">
        <v>0</v>
      </c>
      <c r="DC3269" t="s">
        <v>132</v>
      </c>
      <c r="DD3269" t="s">
        <v>133</v>
      </c>
      <c r="DG3269">
        <v>871962</v>
      </c>
      <c r="DI3269">
        <v>0</v>
      </c>
      <c r="DJ3269">
        <v>0</v>
      </c>
      <c r="DK3269">
        <v>0</v>
      </c>
      <c r="DL3269">
        <v>0</v>
      </c>
      <c r="DM3269">
        <v>0</v>
      </c>
      <c r="DN3269">
        <v>1</v>
      </c>
      <c r="DO3269">
        <v>0</v>
      </c>
      <c r="DP3269">
        <v>0</v>
      </c>
      <c r="DQ3269">
        <v>0</v>
      </c>
      <c r="DR3269">
        <v>0</v>
      </c>
      <c r="DS3269">
        <v>0</v>
      </c>
    </row>
    <row r="3270" spans="1:123" x14ac:dyDescent="0.3">
      <c r="A3270" t="str">
        <f>"10/04/2022 19:34:18.073"</f>
        <v>10/04/2022 19:34:18.073</v>
      </c>
      <c r="C3270" t="str">
        <f t="shared" si="1179"/>
        <v>FFDFD3C0</v>
      </c>
      <c r="D3270" t="s">
        <v>141</v>
      </c>
      <c r="E3270">
        <v>4</v>
      </c>
      <c r="H3270">
        <v>4</v>
      </c>
      <c r="I3270" t="s">
        <v>142</v>
      </c>
      <c r="J3270" t="s">
        <v>138</v>
      </c>
      <c r="K3270">
        <v>0</v>
      </c>
      <c r="L3270">
        <v>3</v>
      </c>
      <c r="M3270">
        <v>0</v>
      </c>
      <c r="N3270">
        <v>2</v>
      </c>
      <c r="O3270">
        <v>0</v>
      </c>
      <c r="P3270">
        <v>1</v>
      </c>
      <c r="Q3270">
        <v>0</v>
      </c>
      <c r="S3270" t="str">
        <f t="shared" si="1190"/>
        <v>19:34:17.000</v>
      </c>
      <c r="T3270" t="str">
        <f t="shared" si="1190"/>
        <v>19:34:17.000</v>
      </c>
      <c r="U3270" t="str">
        <f t="shared" si="1188"/>
        <v>AC3944</v>
      </c>
      <c r="V3270">
        <v>0</v>
      </c>
      <c r="W3270">
        <v>0</v>
      </c>
      <c r="X3270">
        <v>2</v>
      </c>
      <c r="Y3270">
        <v>0</v>
      </c>
      <c r="AA3270">
        <v>1</v>
      </c>
      <c r="AB3270">
        <v>8</v>
      </c>
      <c r="AC3270">
        <v>3</v>
      </c>
      <c r="AD3270">
        <v>0</v>
      </c>
      <c r="AE3270">
        <v>9</v>
      </c>
      <c r="AF3270" t="s">
        <v>138</v>
      </c>
      <c r="AG3270">
        <v>0</v>
      </c>
      <c r="AH3270">
        <v>3</v>
      </c>
      <c r="AI3270">
        <v>1</v>
      </c>
      <c r="AJ3270">
        <v>0</v>
      </c>
      <c r="AK3270" t="s">
        <v>1085</v>
      </c>
      <c r="AL3270">
        <v>32.719388000000002</v>
      </c>
      <c r="AM3270" t="s">
        <v>1086</v>
      </c>
      <c r="AN3270">
        <v>-116.753747</v>
      </c>
      <c r="AO3270">
        <v>25</v>
      </c>
      <c r="AP3270">
        <v>3700</v>
      </c>
      <c r="AQ3270" t="s">
        <v>129</v>
      </c>
      <c r="AR3270">
        <v>-25</v>
      </c>
      <c r="AS3270">
        <v>135</v>
      </c>
      <c r="AT3270">
        <v>448</v>
      </c>
      <c r="BB3270">
        <v>1200</v>
      </c>
      <c r="BC3270">
        <v>1</v>
      </c>
      <c r="BD3270" t="str">
        <f t="shared" si="1189"/>
        <v xml:space="preserve">N887QR  </v>
      </c>
      <c r="BE3270">
        <v>1</v>
      </c>
      <c r="BG3270">
        <v>0</v>
      </c>
      <c r="BH3270">
        <v>0</v>
      </c>
      <c r="BI3270">
        <v>0</v>
      </c>
      <c r="BJ3270">
        <v>3375</v>
      </c>
      <c r="BK3270">
        <v>-325</v>
      </c>
      <c r="BL3270" t="s">
        <v>163</v>
      </c>
      <c r="BM3270">
        <v>1</v>
      </c>
      <c r="BN3270">
        <v>1</v>
      </c>
      <c r="BO3270">
        <v>1</v>
      </c>
      <c r="BP3270">
        <v>0</v>
      </c>
      <c r="BS3270">
        <v>0</v>
      </c>
      <c r="BT3270">
        <v>0</v>
      </c>
      <c r="BU3270">
        <v>0</v>
      </c>
      <c r="CE3270" t="str">
        <f t="shared" si="1191"/>
        <v>19:34:17.859</v>
      </c>
      <c r="CF3270">
        <v>859085590</v>
      </c>
      <c r="CS3270">
        <v>0</v>
      </c>
      <c r="CT3270">
        <v>2</v>
      </c>
      <c r="CU3270">
        <v>0</v>
      </c>
      <c r="CV3270">
        <v>2</v>
      </c>
      <c r="CW3270">
        <v>0</v>
      </c>
      <c r="CX3270">
        <v>6</v>
      </c>
      <c r="CY3270">
        <v>7</v>
      </c>
      <c r="CZ3270" t="s">
        <v>131</v>
      </c>
      <c r="DA3270">
        <v>286</v>
      </c>
      <c r="DB3270">
        <v>0</v>
      </c>
      <c r="DC3270" t="s">
        <v>132</v>
      </c>
      <c r="DD3270" t="s">
        <v>133</v>
      </c>
      <c r="DG3270">
        <v>871962</v>
      </c>
      <c r="DI3270">
        <v>0</v>
      </c>
      <c r="DJ3270">
        <v>0</v>
      </c>
      <c r="DK3270">
        <v>1</v>
      </c>
      <c r="DL3270">
        <v>0</v>
      </c>
      <c r="DM3270">
        <v>0</v>
      </c>
      <c r="DN3270">
        <v>1</v>
      </c>
      <c r="DO3270">
        <v>0</v>
      </c>
      <c r="DP3270">
        <v>0</v>
      </c>
      <c r="DQ3270">
        <v>0</v>
      </c>
      <c r="DR3270">
        <v>0</v>
      </c>
      <c r="DS3270">
        <v>0</v>
      </c>
    </row>
    <row r="3271" spans="1:123" x14ac:dyDescent="0.3">
      <c r="A3271" t="str">
        <f>"10/04/2022 19:34:18.182"</f>
        <v>10/04/2022 19:34:18.182</v>
      </c>
      <c r="C3271" t="str">
        <f t="shared" si="1179"/>
        <v>FFDFD3C0</v>
      </c>
      <c r="D3271" t="s">
        <v>141</v>
      </c>
      <c r="E3271">
        <v>3</v>
      </c>
      <c r="H3271">
        <v>3</v>
      </c>
      <c r="I3271" t="s">
        <v>146</v>
      </c>
      <c r="J3271" t="s">
        <v>138</v>
      </c>
      <c r="K3271">
        <v>0</v>
      </c>
      <c r="L3271">
        <v>3</v>
      </c>
      <c r="M3271">
        <v>0</v>
      </c>
      <c r="N3271">
        <v>2</v>
      </c>
      <c r="O3271">
        <v>0</v>
      </c>
      <c r="P3271">
        <v>1</v>
      </c>
      <c r="Q3271">
        <v>0</v>
      </c>
      <c r="S3271" t="str">
        <f t="shared" si="1190"/>
        <v>19:34:17.000</v>
      </c>
      <c r="T3271" t="str">
        <f t="shared" si="1190"/>
        <v>19:34:17.000</v>
      </c>
      <c r="U3271" t="str">
        <f t="shared" si="1188"/>
        <v>AC3944</v>
      </c>
      <c r="V3271">
        <v>0</v>
      </c>
      <c r="W3271">
        <v>0</v>
      </c>
      <c r="X3271">
        <v>2</v>
      </c>
      <c r="Y3271">
        <v>0</v>
      </c>
      <c r="AA3271">
        <v>1</v>
      </c>
      <c r="AB3271">
        <v>8</v>
      </c>
      <c r="AC3271">
        <v>3</v>
      </c>
      <c r="AD3271">
        <v>0</v>
      </c>
      <c r="AE3271">
        <v>9</v>
      </c>
      <c r="AF3271" t="s">
        <v>138</v>
      </c>
      <c r="AG3271">
        <v>0</v>
      </c>
      <c r="AH3271">
        <v>3</v>
      </c>
      <c r="AI3271">
        <v>1</v>
      </c>
      <c r="AJ3271">
        <v>0</v>
      </c>
      <c r="AK3271" t="s">
        <v>1085</v>
      </c>
      <c r="AL3271">
        <v>32.719388000000002</v>
      </c>
      <c r="AM3271" t="s">
        <v>1086</v>
      </c>
      <c r="AN3271">
        <v>-116.753747</v>
      </c>
      <c r="AO3271">
        <v>25</v>
      </c>
      <c r="AP3271">
        <v>3700</v>
      </c>
      <c r="AQ3271" t="s">
        <v>129</v>
      </c>
      <c r="AR3271">
        <v>-25</v>
      </c>
      <c r="AS3271">
        <v>135</v>
      </c>
      <c r="AT3271">
        <v>448</v>
      </c>
      <c r="BB3271">
        <v>1200</v>
      </c>
      <c r="BC3271">
        <v>1</v>
      </c>
      <c r="BD3271" t="str">
        <f t="shared" si="1189"/>
        <v xml:space="preserve">N887QR  </v>
      </c>
      <c r="BE3271">
        <v>1</v>
      </c>
      <c r="BG3271">
        <v>0</v>
      </c>
      <c r="BH3271">
        <v>0</v>
      </c>
      <c r="BI3271">
        <v>0</v>
      </c>
      <c r="BJ3271">
        <v>3375</v>
      </c>
      <c r="BK3271">
        <v>-325</v>
      </c>
      <c r="BL3271" t="s">
        <v>163</v>
      </c>
      <c r="BM3271">
        <v>1</v>
      </c>
      <c r="BN3271">
        <v>1</v>
      </c>
      <c r="BO3271">
        <v>1</v>
      </c>
      <c r="BP3271">
        <v>0</v>
      </c>
      <c r="BS3271">
        <v>0</v>
      </c>
      <c r="BT3271">
        <v>0</v>
      </c>
      <c r="BU3271">
        <v>0</v>
      </c>
      <c r="CE3271" t="str">
        <f t="shared" si="1191"/>
        <v>19:34:17.859</v>
      </c>
      <c r="CF3271">
        <v>859085590</v>
      </c>
      <c r="CS3271">
        <v>0</v>
      </c>
      <c r="CT3271">
        <v>2</v>
      </c>
      <c r="CU3271">
        <v>0</v>
      </c>
      <c r="CV3271">
        <v>2</v>
      </c>
      <c r="CW3271">
        <v>0</v>
      </c>
      <c r="CX3271">
        <v>6</v>
      </c>
      <c r="CY3271">
        <v>7</v>
      </c>
      <c r="CZ3271" t="s">
        <v>131</v>
      </c>
      <c r="DA3271">
        <v>286</v>
      </c>
      <c r="DB3271">
        <v>0</v>
      </c>
      <c r="DC3271" t="s">
        <v>132</v>
      </c>
      <c r="DD3271" t="s">
        <v>133</v>
      </c>
      <c r="DG3271">
        <v>871962</v>
      </c>
      <c r="DI3271">
        <v>0</v>
      </c>
      <c r="DJ3271">
        <v>0</v>
      </c>
      <c r="DK3271">
        <v>1</v>
      </c>
      <c r="DL3271">
        <v>0</v>
      </c>
      <c r="DM3271">
        <v>0</v>
      </c>
      <c r="DN3271">
        <v>1</v>
      </c>
      <c r="DO3271">
        <v>0</v>
      </c>
      <c r="DP3271">
        <v>0</v>
      </c>
      <c r="DQ3271">
        <v>0</v>
      </c>
      <c r="DR3271">
        <v>0</v>
      </c>
      <c r="DS3271">
        <v>0</v>
      </c>
    </row>
    <row r="3272" spans="1:123" x14ac:dyDescent="0.3">
      <c r="A3272" t="str">
        <f>"10/04/2022 19:34:18.182"</f>
        <v>10/04/2022 19:34:18.182</v>
      </c>
      <c r="C3272" t="str">
        <f t="shared" si="1179"/>
        <v>FFDFD3C0</v>
      </c>
      <c r="D3272" t="s">
        <v>143</v>
      </c>
      <c r="E3272">
        <v>20</v>
      </c>
      <c r="F3272">
        <v>1020</v>
      </c>
      <c r="G3272" t="s">
        <v>144</v>
      </c>
      <c r="J3272" t="s">
        <v>145</v>
      </c>
      <c r="K3272">
        <v>0</v>
      </c>
      <c r="L3272">
        <v>3</v>
      </c>
      <c r="M3272">
        <v>0</v>
      </c>
      <c r="N3272">
        <v>2</v>
      </c>
      <c r="O3272">
        <v>0</v>
      </c>
      <c r="P3272">
        <v>1</v>
      </c>
      <c r="Q3272">
        <v>0</v>
      </c>
      <c r="S3272" t="str">
        <f t="shared" si="1190"/>
        <v>19:34:17.000</v>
      </c>
      <c r="T3272" t="str">
        <f t="shared" si="1190"/>
        <v>19:34:17.000</v>
      </c>
      <c r="U3272" t="str">
        <f t="shared" si="1188"/>
        <v>AC3944</v>
      </c>
      <c r="V3272">
        <v>0</v>
      </c>
      <c r="W3272">
        <v>0</v>
      </c>
      <c r="X3272">
        <v>2</v>
      </c>
      <c r="Y3272">
        <v>0</v>
      </c>
      <c r="AA3272">
        <v>1</v>
      </c>
      <c r="AB3272">
        <v>8</v>
      </c>
      <c r="AC3272">
        <v>3</v>
      </c>
      <c r="AD3272">
        <v>0</v>
      </c>
      <c r="AE3272">
        <v>9</v>
      </c>
      <c r="AF3272" t="s">
        <v>138</v>
      </c>
      <c r="AG3272">
        <v>0</v>
      </c>
      <c r="AH3272">
        <v>3</v>
      </c>
      <c r="AI3272">
        <v>1</v>
      </c>
      <c r="AJ3272">
        <v>0</v>
      </c>
      <c r="AK3272" t="s">
        <v>1085</v>
      </c>
      <c r="AL3272">
        <v>32.719388000000002</v>
      </c>
      <c r="AM3272" t="s">
        <v>1086</v>
      </c>
      <c r="AN3272">
        <v>-116.753747</v>
      </c>
      <c r="AO3272">
        <v>25</v>
      </c>
      <c r="AP3272">
        <v>3700</v>
      </c>
      <c r="AQ3272" t="s">
        <v>129</v>
      </c>
      <c r="AR3272">
        <v>-25</v>
      </c>
      <c r="AS3272">
        <v>135</v>
      </c>
      <c r="AT3272">
        <v>448</v>
      </c>
      <c r="BB3272">
        <v>1200</v>
      </c>
      <c r="BC3272">
        <v>1</v>
      </c>
      <c r="BD3272" t="str">
        <f t="shared" si="1189"/>
        <v xml:space="preserve">N887QR  </v>
      </c>
      <c r="BE3272">
        <v>1</v>
      </c>
      <c r="BG3272">
        <v>0</v>
      </c>
      <c r="BH3272">
        <v>0</v>
      </c>
      <c r="BI3272">
        <v>0</v>
      </c>
      <c r="BJ3272">
        <v>3375</v>
      </c>
      <c r="BK3272">
        <v>-325</v>
      </c>
      <c r="BL3272" t="s">
        <v>163</v>
      </c>
      <c r="BM3272">
        <v>1</v>
      </c>
      <c r="BN3272">
        <v>1</v>
      </c>
      <c r="BO3272">
        <v>1</v>
      </c>
      <c r="BP3272">
        <v>0</v>
      </c>
      <c r="BS3272">
        <v>0</v>
      </c>
      <c r="BT3272">
        <v>0</v>
      </c>
      <c r="BU3272">
        <v>0</v>
      </c>
      <c r="CE3272" t="str">
        <f t="shared" si="1191"/>
        <v>19:34:17.859</v>
      </c>
      <c r="CF3272">
        <v>859085590</v>
      </c>
      <c r="CS3272">
        <v>0</v>
      </c>
      <c r="CT3272">
        <v>2</v>
      </c>
      <c r="CU3272">
        <v>0</v>
      </c>
      <c r="CV3272">
        <v>2</v>
      </c>
      <c r="CW3272">
        <v>0</v>
      </c>
      <c r="CX3272">
        <v>6</v>
      </c>
      <c r="CY3272">
        <v>7</v>
      </c>
      <c r="CZ3272" t="s">
        <v>131</v>
      </c>
      <c r="DA3272">
        <v>286</v>
      </c>
      <c r="DB3272">
        <v>0</v>
      </c>
      <c r="DC3272" t="s">
        <v>132</v>
      </c>
      <c r="DD3272" t="s">
        <v>133</v>
      </c>
      <c r="DG3272">
        <v>871962</v>
      </c>
      <c r="DI3272">
        <v>0</v>
      </c>
      <c r="DJ3272">
        <v>0</v>
      </c>
      <c r="DK3272">
        <v>1</v>
      </c>
      <c r="DL3272">
        <v>0</v>
      </c>
      <c r="DM3272">
        <v>0</v>
      </c>
      <c r="DN3272">
        <v>1</v>
      </c>
      <c r="DO3272">
        <v>0</v>
      </c>
      <c r="DP3272">
        <v>0</v>
      </c>
      <c r="DQ3272">
        <v>0</v>
      </c>
      <c r="DR3272">
        <v>0</v>
      </c>
      <c r="DS3272">
        <v>0</v>
      </c>
    </row>
    <row r="3273" spans="1:123" x14ac:dyDescent="0.3">
      <c r="A3273" t="str">
        <f>"10/04/2022 19:34:18.182"</f>
        <v>10/04/2022 19:34:18.182</v>
      </c>
      <c r="C3273" t="str">
        <f t="shared" si="1179"/>
        <v>FFDFD3C0</v>
      </c>
      <c r="D3273" t="s">
        <v>134</v>
      </c>
      <c r="E3273">
        <v>15</v>
      </c>
      <c r="J3273" t="s">
        <v>135</v>
      </c>
      <c r="K3273">
        <v>0</v>
      </c>
      <c r="L3273">
        <v>3</v>
      </c>
      <c r="M3273">
        <v>0</v>
      </c>
      <c r="N3273">
        <v>2</v>
      </c>
      <c r="O3273">
        <v>0</v>
      </c>
      <c r="P3273">
        <v>1</v>
      </c>
      <c r="Q3273">
        <v>0</v>
      </c>
      <c r="S3273" t="str">
        <f t="shared" si="1190"/>
        <v>19:34:17.000</v>
      </c>
      <c r="T3273" t="str">
        <f t="shared" si="1190"/>
        <v>19:34:17.000</v>
      </c>
      <c r="U3273" t="str">
        <f t="shared" si="1188"/>
        <v>AC3944</v>
      </c>
      <c r="V3273">
        <v>0</v>
      </c>
      <c r="W3273">
        <v>0</v>
      </c>
      <c r="X3273">
        <v>2</v>
      </c>
      <c r="Y3273">
        <v>0</v>
      </c>
      <c r="AA3273">
        <v>1</v>
      </c>
      <c r="AB3273">
        <v>8</v>
      </c>
      <c r="AC3273">
        <v>3</v>
      </c>
      <c r="AD3273">
        <v>0</v>
      </c>
      <c r="AE3273">
        <v>9</v>
      </c>
      <c r="AF3273" t="s">
        <v>138</v>
      </c>
      <c r="AG3273">
        <v>0</v>
      </c>
      <c r="AH3273">
        <v>3</v>
      </c>
      <c r="AI3273">
        <v>1</v>
      </c>
      <c r="AJ3273">
        <v>0</v>
      </c>
      <c r="AK3273" t="s">
        <v>1085</v>
      </c>
      <c r="AL3273">
        <v>32.719388000000002</v>
      </c>
      <c r="AM3273" t="s">
        <v>1086</v>
      </c>
      <c r="AN3273">
        <v>-116.753747</v>
      </c>
      <c r="AO3273">
        <v>25</v>
      </c>
      <c r="AP3273">
        <v>3700</v>
      </c>
      <c r="AQ3273" t="s">
        <v>129</v>
      </c>
      <c r="AR3273">
        <v>-25</v>
      </c>
      <c r="AS3273">
        <v>135</v>
      </c>
      <c r="AT3273">
        <v>448</v>
      </c>
      <c r="BB3273">
        <v>1200</v>
      </c>
      <c r="BC3273">
        <v>1</v>
      </c>
      <c r="BD3273" t="str">
        <f t="shared" si="1189"/>
        <v xml:space="preserve">N887QR  </v>
      </c>
      <c r="BE3273">
        <v>1</v>
      </c>
      <c r="BG3273">
        <v>0</v>
      </c>
      <c r="BH3273">
        <v>0</v>
      </c>
      <c r="BI3273">
        <v>0</v>
      </c>
      <c r="BJ3273">
        <v>3375</v>
      </c>
      <c r="BK3273">
        <v>-325</v>
      </c>
      <c r="BL3273" t="s">
        <v>163</v>
      </c>
      <c r="BM3273">
        <v>1</v>
      </c>
      <c r="BN3273">
        <v>1</v>
      </c>
      <c r="BO3273">
        <v>1</v>
      </c>
      <c r="BP3273">
        <v>0</v>
      </c>
      <c r="BS3273">
        <v>0</v>
      </c>
      <c r="BT3273">
        <v>0</v>
      </c>
      <c r="BU3273">
        <v>0</v>
      </c>
      <c r="CE3273" t="str">
        <f t="shared" si="1191"/>
        <v>19:34:17.859</v>
      </c>
      <c r="CF3273">
        <v>859085590</v>
      </c>
      <c r="CS3273">
        <v>0</v>
      </c>
      <c r="CT3273">
        <v>2</v>
      </c>
      <c r="CU3273">
        <v>0</v>
      </c>
      <c r="CV3273">
        <v>2</v>
      </c>
      <c r="CW3273">
        <v>0</v>
      </c>
      <c r="CX3273">
        <v>6</v>
      </c>
      <c r="CY3273">
        <v>7</v>
      </c>
      <c r="CZ3273" t="s">
        <v>131</v>
      </c>
      <c r="DA3273">
        <v>286</v>
      </c>
      <c r="DB3273">
        <v>0</v>
      </c>
      <c r="DC3273" t="s">
        <v>132</v>
      </c>
      <c r="DD3273" t="s">
        <v>133</v>
      </c>
      <c r="DG3273">
        <v>871962</v>
      </c>
      <c r="DI3273">
        <v>0</v>
      </c>
      <c r="DJ3273">
        <v>0</v>
      </c>
      <c r="DK3273">
        <v>1</v>
      </c>
      <c r="DL3273">
        <v>0</v>
      </c>
      <c r="DM3273">
        <v>0</v>
      </c>
      <c r="DN3273">
        <v>1</v>
      </c>
      <c r="DO3273">
        <v>0</v>
      </c>
      <c r="DP3273">
        <v>0</v>
      </c>
      <c r="DQ3273">
        <v>0</v>
      </c>
      <c r="DR3273">
        <v>0</v>
      </c>
      <c r="DS3273">
        <v>0</v>
      </c>
    </row>
    <row r="3274" spans="1:123" x14ac:dyDescent="0.3">
      <c r="A3274" t="str">
        <f>"10/04/2022 19:34:18.182"</f>
        <v>10/04/2022 19:34:18.182</v>
      </c>
      <c r="C3274" t="str">
        <f t="shared" si="1179"/>
        <v>FFDFD3C0</v>
      </c>
      <c r="D3274" t="s">
        <v>136</v>
      </c>
      <c r="E3274">
        <v>8</v>
      </c>
      <c r="H3274">
        <v>225</v>
      </c>
      <c r="I3274" t="s">
        <v>137</v>
      </c>
      <c r="J3274" t="s">
        <v>138</v>
      </c>
      <c r="K3274">
        <v>0</v>
      </c>
      <c r="L3274">
        <v>3</v>
      </c>
      <c r="M3274">
        <v>0</v>
      </c>
      <c r="N3274">
        <v>2</v>
      </c>
      <c r="O3274">
        <v>0</v>
      </c>
      <c r="P3274">
        <v>1</v>
      </c>
      <c r="Q3274">
        <v>0</v>
      </c>
      <c r="S3274" t="str">
        <f t="shared" si="1190"/>
        <v>19:34:17.000</v>
      </c>
      <c r="T3274" t="str">
        <f t="shared" si="1190"/>
        <v>19:34:17.000</v>
      </c>
      <c r="U3274" t="str">
        <f t="shared" si="1188"/>
        <v>AC3944</v>
      </c>
      <c r="V3274">
        <v>0</v>
      </c>
      <c r="W3274">
        <v>0</v>
      </c>
      <c r="X3274">
        <v>2</v>
      </c>
      <c r="Y3274">
        <v>0</v>
      </c>
      <c r="AA3274">
        <v>1</v>
      </c>
      <c r="AB3274">
        <v>8</v>
      </c>
      <c r="AC3274">
        <v>3</v>
      </c>
      <c r="AD3274">
        <v>0</v>
      </c>
      <c r="AE3274">
        <v>9</v>
      </c>
      <c r="AF3274" t="s">
        <v>138</v>
      </c>
      <c r="AG3274">
        <v>0</v>
      </c>
      <c r="AH3274">
        <v>3</v>
      </c>
      <c r="AI3274">
        <v>1</v>
      </c>
      <c r="AJ3274">
        <v>0</v>
      </c>
      <c r="AK3274" t="s">
        <v>1085</v>
      </c>
      <c r="AL3274">
        <v>32.719388000000002</v>
      </c>
      <c r="AM3274" t="s">
        <v>1086</v>
      </c>
      <c r="AN3274">
        <v>-116.753747</v>
      </c>
      <c r="AO3274">
        <v>25</v>
      </c>
      <c r="AP3274">
        <v>3700</v>
      </c>
      <c r="AQ3274" t="s">
        <v>129</v>
      </c>
      <c r="AR3274">
        <v>-25</v>
      </c>
      <c r="AS3274">
        <v>135</v>
      </c>
      <c r="AT3274">
        <v>448</v>
      </c>
      <c r="BB3274">
        <v>1200</v>
      </c>
      <c r="BC3274">
        <v>1</v>
      </c>
      <c r="BD3274" t="str">
        <f t="shared" si="1189"/>
        <v xml:space="preserve">N887QR  </v>
      </c>
      <c r="BE3274">
        <v>1</v>
      </c>
      <c r="BG3274">
        <v>0</v>
      </c>
      <c r="BH3274">
        <v>0</v>
      </c>
      <c r="BI3274">
        <v>0</v>
      </c>
      <c r="BJ3274">
        <v>3375</v>
      </c>
      <c r="BK3274">
        <v>-325</v>
      </c>
      <c r="BL3274" t="s">
        <v>163</v>
      </c>
      <c r="BM3274">
        <v>1</v>
      </c>
      <c r="BN3274">
        <v>1</v>
      </c>
      <c r="BO3274">
        <v>1</v>
      </c>
      <c r="BP3274">
        <v>0</v>
      </c>
      <c r="BS3274">
        <v>0</v>
      </c>
      <c r="BT3274">
        <v>0</v>
      </c>
      <c r="BU3274">
        <v>0</v>
      </c>
      <c r="CE3274" t="str">
        <f t="shared" si="1191"/>
        <v>19:34:17.859</v>
      </c>
      <c r="CF3274">
        <v>859085590</v>
      </c>
      <c r="CS3274">
        <v>0</v>
      </c>
      <c r="CT3274">
        <v>2</v>
      </c>
      <c r="CU3274">
        <v>0</v>
      </c>
      <c r="CV3274">
        <v>2</v>
      </c>
      <c r="CW3274">
        <v>0</v>
      </c>
      <c r="CX3274">
        <v>6</v>
      </c>
      <c r="CY3274">
        <v>7</v>
      </c>
      <c r="CZ3274" t="s">
        <v>131</v>
      </c>
      <c r="DA3274">
        <v>286</v>
      </c>
      <c r="DB3274">
        <v>0</v>
      </c>
      <c r="DC3274" t="s">
        <v>132</v>
      </c>
      <c r="DD3274" t="s">
        <v>133</v>
      </c>
      <c r="DG3274">
        <v>871962</v>
      </c>
      <c r="DI3274">
        <v>0</v>
      </c>
      <c r="DJ3274">
        <v>0</v>
      </c>
      <c r="DK3274">
        <v>1</v>
      </c>
      <c r="DL3274">
        <v>0</v>
      </c>
      <c r="DM3274">
        <v>0</v>
      </c>
      <c r="DN3274">
        <v>1</v>
      </c>
      <c r="DO3274">
        <v>0</v>
      </c>
      <c r="DP3274">
        <v>0</v>
      </c>
      <c r="DQ3274">
        <v>0</v>
      </c>
      <c r="DR3274">
        <v>0</v>
      </c>
      <c r="DS3274">
        <v>0</v>
      </c>
    </row>
    <row r="3275" spans="1:123" x14ac:dyDescent="0.3">
      <c r="A3275" t="str">
        <f>"10/04/2022 19:34:18.182"</f>
        <v>10/04/2022 19:34:18.182</v>
      </c>
      <c r="C3275" t="str">
        <f t="shared" si="1179"/>
        <v>FFDFD3C0</v>
      </c>
      <c r="D3275" t="s">
        <v>123</v>
      </c>
      <c r="E3275">
        <v>7</v>
      </c>
      <c r="F3275">
        <v>2007</v>
      </c>
      <c r="G3275" t="s">
        <v>124</v>
      </c>
      <c r="J3275" t="s">
        <v>125</v>
      </c>
      <c r="K3275">
        <v>0</v>
      </c>
      <c r="L3275">
        <v>3</v>
      </c>
      <c r="M3275">
        <v>0</v>
      </c>
      <c r="N3275">
        <v>2</v>
      </c>
      <c r="O3275">
        <v>0</v>
      </c>
      <c r="P3275">
        <v>1</v>
      </c>
      <c r="Q3275">
        <v>0</v>
      </c>
      <c r="S3275" t="str">
        <f t="shared" si="1190"/>
        <v>19:34:17.000</v>
      </c>
      <c r="T3275" t="str">
        <f t="shared" si="1190"/>
        <v>19:34:17.000</v>
      </c>
      <c r="U3275" t="str">
        <f t="shared" si="1188"/>
        <v>AC3944</v>
      </c>
      <c r="V3275">
        <v>0</v>
      </c>
      <c r="W3275">
        <v>0</v>
      </c>
      <c r="X3275">
        <v>2</v>
      </c>
      <c r="Y3275">
        <v>0</v>
      </c>
      <c r="AA3275">
        <v>1</v>
      </c>
      <c r="AB3275">
        <v>8</v>
      </c>
      <c r="AC3275">
        <v>3</v>
      </c>
      <c r="AD3275">
        <v>0</v>
      </c>
      <c r="AE3275">
        <v>9</v>
      </c>
      <c r="AF3275" t="s">
        <v>138</v>
      </c>
      <c r="AG3275">
        <v>0</v>
      </c>
      <c r="AH3275">
        <v>3</v>
      </c>
      <c r="AI3275">
        <v>1</v>
      </c>
      <c r="AJ3275">
        <v>0</v>
      </c>
      <c r="AK3275" t="s">
        <v>1085</v>
      </c>
      <c r="AL3275">
        <v>32.719388000000002</v>
      </c>
      <c r="AM3275" t="s">
        <v>1086</v>
      </c>
      <c r="AN3275">
        <v>-116.753747</v>
      </c>
      <c r="AO3275">
        <v>25</v>
      </c>
      <c r="AP3275">
        <v>3700</v>
      </c>
      <c r="AQ3275" t="s">
        <v>129</v>
      </c>
      <c r="AR3275">
        <v>-25</v>
      </c>
      <c r="AS3275">
        <v>135</v>
      </c>
      <c r="AT3275">
        <v>448</v>
      </c>
      <c r="BB3275">
        <v>1200</v>
      </c>
      <c r="BC3275">
        <v>1</v>
      </c>
      <c r="BD3275" t="str">
        <f t="shared" si="1189"/>
        <v xml:space="preserve">N887QR  </v>
      </c>
      <c r="BE3275">
        <v>1</v>
      </c>
      <c r="BG3275">
        <v>0</v>
      </c>
      <c r="BH3275">
        <v>0</v>
      </c>
      <c r="BI3275">
        <v>0</v>
      </c>
      <c r="BJ3275">
        <v>3375</v>
      </c>
      <c r="BK3275">
        <v>-325</v>
      </c>
      <c r="BL3275" t="s">
        <v>163</v>
      </c>
      <c r="BM3275">
        <v>1</v>
      </c>
      <c r="BN3275">
        <v>1</v>
      </c>
      <c r="BO3275">
        <v>1</v>
      </c>
      <c r="BP3275">
        <v>0</v>
      </c>
      <c r="BS3275">
        <v>0</v>
      </c>
      <c r="BT3275">
        <v>0</v>
      </c>
      <c r="BU3275">
        <v>0</v>
      </c>
      <c r="CE3275" t="str">
        <f t="shared" si="1191"/>
        <v>19:34:17.859</v>
      </c>
      <c r="CF3275">
        <v>859085590</v>
      </c>
      <c r="CS3275">
        <v>0</v>
      </c>
      <c r="CT3275">
        <v>2</v>
      </c>
      <c r="CU3275">
        <v>0</v>
      </c>
      <c r="CV3275">
        <v>2</v>
      </c>
      <c r="CW3275">
        <v>0</v>
      </c>
      <c r="CX3275">
        <v>6</v>
      </c>
      <c r="CY3275">
        <v>7</v>
      </c>
      <c r="CZ3275" t="s">
        <v>131</v>
      </c>
      <c r="DA3275">
        <v>286</v>
      </c>
      <c r="DB3275">
        <v>0</v>
      </c>
      <c r="DC3275" t="s">
        <v>132</v>
      </c>
      <c r="DD3275" t="s">
        <v>133</v>
      </c>
      <c r="DG3275">
        <v>871962</v>
      </c>
      <c r="DI3275">
        <v>0</v>
      </c>
      <c r="DJ3275">
        <v>0</v>
      </c>
      <c r="DK3275">
        <v>1</v>
      </c>
      <c r="DL3275">
        <v>0</v>
      </c>
      <c r="DM3275">
        <v>0</v>
      </c>
      <c r="DN3275">
        <v>1</v>
      </c>
      <c r="DO3275">
        <v>0</v>
      </c>
      <c r="DP3275">
        <v>0</v>
      </c>
      <c r="DQ3275">
        <v>0</v>
      </c>
      <c r="DR3275">
        <v>0</v>
      </c>
      <c r="DS3275">
        <v>0</v>
      </c>
    </row>
    <row r="3276" spans="1:123" x14ac:dyDescent="0.3">
      <c r="A3276" t="str">
        <f>"10/04/2022 19:34:19.370"</f>
        <v>10/04/2022 19:34:19.370</v>
      </c>
      <c r="C3276" t="str">
        <f t="shared" si="1179"/>
        <v>FFDFD3C0</v>
      </c>
      <c r="D3276" t="s">
        <v>136</v>
      </c>
      <c r="E3276">
        <v>8</v>
      </c>
      <c r="H3276">
        <v>225</v>
      </c>
      <c r="I3276" t="s">
        <v>137</v>
      </c>
      <c r="J3276" t="s">
        <v>138</v>
      </c>
      <c r="K3276">
        <v>0</v>
      </c>
      <c r="L3276">
        <v>3</v>
      </c>
      <c r="M3276">
        <v>0</v>
      </c>
      <c r="N3276">
        <v>2</v>
      </c>
      <c r="O3276">
        <v>0</v>
      </c>
      <c r="P3276">
        <v>1</v>
      </c>
      <c r="Q3276">
        <v>0</v>
      </c>
      <c r="S3276" t="str">
        <f t="shared" ref="S3276:T3281" si="1192">"19:34:18.000"</f>
        <v>19:34:18.000</v>
      </c>
      <c r="T3276" t="str">
        <f t="shared" si="1192"/>
        <v>19:34:18.000</v>
      </c>
      <c r="U3276" t="str">
        <f t="shared" si="1188"/>
        <v>AC3944</v>
      </c>
      <c r="V3276">
        <v>0</v>
      </c>
      <c r="W3276">
        <v>0</v>
      </c>
      <c r="X3276">
        <v>2</v>
      </c>
      <c r="Y3276">
        <v>0</v>
      </c>
      <c r="AA3276">
        <v>1</v>
      </c>
      <c r="AB3276">
        <v>8</v>
      </c>
      <c r="AC3276">
        <v>3</v>
      </c>
      <c r="AD3276">
        <v>0</v>
      </c>
      <c r="AE3276">
        <v>9</v>
      </c>
      <c r="AF3276" t="s">
        <v>138</v>
      </c>
      <c r="AG3276">
        <v>0</v>
      </c>
      <c r="AH3276">
        <v>3</v>
      </c>
      <c r="AI3276">
        <v>1</v>
      </c>
      <c r="AJ3276">
        <v>0</v>
      </c>
      <c r="AK3276" t="s">
        <v>1002</v>
      </c>
      <c r="AL3276">
        <v>32.719903000000002</v>
      </c>
      <c r="AM3276" t="s">
        <v>1087</v>
      </c>
      <c r="AN3276">
        <v>-116.753833</v>
      </c>
      <c r="AO3276">
        <v>25</v>
      </c>
      <c r="AP3276">
        <v>3700</v>
      </c>
      <c r="AQ3276" t="s">
        <v>129</v>
      </c>
      <c r="AR3276">
        <v>-15</v>
      </c>
      <c r="AS3276">
        <v>135</v>
      </c>
      <c r="AT3276">
        <v>896</v>
      </c>
      <c r="BB3276">
        <v>1200</v>
      </c>
      <c r="BC3276">
        <v>1</v>
      </c>
      <c r="BD3276" t="str">
        <f t="shared" si="1189"/>
        <v xml:space="preserve">N887QR  </v>
      </c>
      <c r="BE3276">
        <v>1</v>
      </c>
      <c r="BG3276">
        <v>0</v>
      </c>
      <c r="BH3276">
        <v>0</v>
      </c>
      <c r="BI3276">
        <v>0</v>
      </c>
      <c r="BJ3276">
        <v>3375</v>
      </c>
      <c r="BK3276">
        <v>-325</v>
      </c>
      <c r="BL3276" t="s">
        <v>163</v>
      </c>
      <c r="BM3276">
        <v>1</v>
      </c>
      <c r="BN3276">
        <v>1</v>
      </c>
      <c r="BO3276">
        <v>1</v>
      </c>
      <c r="BP3276">
        <v>0</v>
      </c>
      <c r="BS3276">
        <v>0</v>
      </c>
      <c r="BT3276">
        <v>0</v>
      </c>
      <c r="BU3276">
        <v>0</v>
      </c>
      <c r="CE3276" t="str">
        <f t="shared" ref="CE3276:CE3281" si="1193">"19:34:18.946"</f>
        <v>19:34:18.946</v>
      </c>
      <c r="CF3276">
        <v>945589260</v>
      </c>
      <c r="CS3276">
        <v>0</v>
      </c>
      <c r="CT3276">
        <v>2</v>
      </c>
      <c r="CU3276">
        <v>0</v>
      </c>
      <c r="CV3276">
        <v>2</v>
      </c>
      <c r="CW3276">
        <v>0</v>
      </c>
      <c r="CX3276">
        <v>7</v>
      </c>
      <c r="CY3276">
        <v>7</v>
      </c>
      <c r="CZ3276" t="s">
        <v>131</v>
      </c>
      <c r="DA3276">
        <v>286</v>
      </c>
      <c r="DB3276">
        <v>0</v>
      </c>
      <c r="DC3276" t="s">
        <v>132</v>
      </c>
      <c r="DD3276" t="s">
        <v>133</v>
      </c>
      <c r="DG3276">
        <v>872274</v>
      </c>
      <c r="DI3276">
        <v>0</v>
      </c>
      <c r="DJ3276">
        <v>0</v>
      </c>
      <c r="DK3276">
        <v>0</v>
      </c>
      <c r="DL3276">
        <v>0</v>
      </c>
      <c r="DM3276">
        <v>0</v>
      </c>
      <c r="DN3276">
        <v>1</v>
      </c>
      <c r="DO3276">
        <v>0</v>
      </c>
      <c r="DP3276">
        <v>0</v>
      </c>
      <c r="DQ3276">
        <v>0</v>
      </c>
      <c r="DR3276">
        <v>0</v>
      </c>
      <c r="DS3276">
        <v>0</v>
      </c>
    </row>
    <row r="3277" spans="1:123" x14ac:dyDescent="0.3">
      <c r="A3277" t="str">
        <f>"10/04/2022 19:34:19.370"</f>
        <v>10/04/2022 19:34:19.370</v>
      </c>
      <c r="C3277" t="str">
        <f t="shared" si="1179"/>
        <v>FFDFD3C0</v>
      </c>
      <c r="D3277" t="s">
        <v>123</v>
      </c>
      <c r="E3277">
        <v>7</v>
      </c>
      <c r="F3277">
        <v>2007</v>
      </c>
      <c r="G3277" t="s">
        <v>124</v>
      </c>
      <c r="J3277" t="s">
        <v>125</v>
      </c>
      <c r="K3277">
        <v>0</v>
      </c>
      <c r="L3277">
        <v>3</v>
      </c>
      <c r="M3277">
        <v>0</v>
      </c>
      <c r="N3277">
        <v>2</v>
      </c>
      <c r="O3277">
        <v>0</v>
      </c>
      <c r="P3277">
        <v>1</v>
      </c>
      <c r="Q3277">
        <v>0</v>
      </c>
      <c r="S3277" t="str">
        <f t="shared" si="1192"/>
        <v>19:34:18.000</v>
      </c>
      <c r="T3277" t="str">
        <f t="shared" si="1192"/>
        <v>19:34:18.000</v>
      </c>
      <c r="U3277" t="str">
        <f t="shared" si="1188"/>
        <v>AC3944</v>
      </c>
      <c r="V3277">
        <v>0</v>
      </c>
      <c r="W3277">
        <v>0</v>
      </c>
      <c r="X3277">
        <v>2</v>
      </c>
      <c r="Y3277">
        <v>0</v>
      </c>
      <c r="AA3277">
        <v>1</v>
      </c>
      <c r="AB3277">
        <v>8</v>
      </c>
      <c r="AC3277">
        <v>3</v>
      </c>
      <c r="AD3277">
        <v>0</v>
      </c>
      <c r="AE3277">
        <v>9</v>
      </c>
      <c r="AF3277" t="s">
        <v>138</v>
      </c>
      <c r="AG3277">
        <v>0</v>
      </c>
      <c r="AH3277">
        <v>3</v>
      </c>
      <c r="AI3277">
        <v>1</v>
      </c>
      <c r="AJ3277">
        <v>0</v>
      </c>
      <c r="AK3277" t="s">
        <v>1002</v>
      </c>
      <c r="AL3277">
        <v>32.719903000000002</v>
      </c>
      <c r="AM3277" t="s">
        <v>1087</v>
      </c>
      <c r="AN3277">
        <v>-116.753833</v>
      </c>
      <c r="AO3277">
        <v>25</v>
      </c>
      <c r="AP3277">
        <v>3700</v>
      </c>
      <c r="AQ3277" t="s">
        <v>129</v>
      </c>
      <c r="AR3277">
        <v>-15</v>
      </c>
      <c r="AS3277">
        <v>135</v>
      </c>
      <c r="AT3277">
        <v>896</v>
      </c>
      <c r="BB3277">
        <v>1200</v>
      </c>
      <c r="BC3277">
        <v>1</v>
      </c>
      <c r="BD3277" t="str">
        <f t="shared" si="1189"/>
        <v xml:space="preserve">N887QR  </v>
      </c>
      <c r="BE3277">
        <v>1</v>
      </c>
      <c r="BG3277">
        <v>0</v>
      </c>
      <c r="BH3277">
        <v>0</v>
      </c>
      <c r="BI3277">
        <v>0</v>
      </c>
      <c r="BJ3277">
        <v>3375</v>
      </c>
      <c r="BK3277">
        <v>-325</v>
      </c>
      <c r="BL3277" t="s">
        <v>163</v>
      </c>
      <c r="BM3277">
        <v>1</v>
      </c>
      <c r="BN3277">
        <v>1</v>
      </c>
      <c r="BO3277">
        <v>1</v>
      </c>
      <c r="BP3277">
        <v>0</v>
      </c>
      <c r="BS3277">
        <v>0</v>
      </c>
      <c r="BT3277">
        <v>0</v>
      </c>
      <c r="BU3277">
        <v>0</v>
      </c>
      <c r="CE3277" t="str">
        <f t="shared" si="1193"/>
        <v>19:34:18.946</v>
      </c>
      <c r="CF3277">
        <v>945589260</v>
      </c>
      <c r="CS3277">
        <v>0</v>
      </c>
      <c r="CT3277">
        <v>2</v>
      </c>
      <c r="CU3277">
        <v>0</v>
      </c>
      <c r="CV3277">
        <v>2</v>
      </c>
      <c r="CW3277">
        <v>0</v>
      </c>
      <c r="CX3277">
        <v>7</v>
      </c>
      <c r="CY3277">
        <v>7</v>
      </c>
      <c r="CZ3277" t="s">
        <v>131</v>
      </c>
      <c r="DA3277">
        <v>286</v>
      </c>
      <c r="DB3277">
        <v>0</v>
      </c>
      <c r="DC3277" t="s">
        <v>132</v>
      </c>
      <c r="DD3277" t="s">
        <v>133</v>
      </c>
      <c r="DG3277">
        <v>872274</v>
      </c>
      <c r="DI3277">
        <v>0</v>
      </c>
      <c r="DJ3277">
        <v>0</v>
      </c>
      <c r="DK3277">
        <v>1</v>
      </c>
      <c r="DL3277">
        <v>0</v>
      </c>
      <c r="DM3277">
        <v>0</v>
      </c>
      <c r="DN3277">
        <v>1</v>
      </c>
      <c r="DO3277">
        <v>0</v>
      </c>
      <c r="DP3277">
        <v>0</v>
      </c>
      <c r="DQ3277">
        <v>0</v>
      </c>
      <c r="DR3277">
        <v>0</v>
      </c>
      <c r="DS3277">
        <v>0</v>
      </c>
    </row>
    <row r="3278" spans="1:123" x14ac:dyDescent="0.3">
      <c r="A3278" t="str">
        <f>"10/04/2022 19:34:19.401"</f>
        <v>10/04/2022 19:34:19.401</v>
      </c>
      <c r="C3278" t="str">
        <f t="shared" si="1179"/>
        <v>FFDFD3C0</v>
      </c>
      <c r="D3278" t="s">
        <v>147</v>
      </c>
      <c r="E3278">
        <v>3</v>
      </c>
      <c r="H3278">
        <v>166</v>
      </c>
      <c r="I3278" t="s">
        <v>144</v>
      </c>
      <c r="J3278" t="s">
        <v>148</v>
      </c>
      <c r="K3278">
        <v>0</v>
      </c>
      <c r="L3278">
        <v>3</v>
      </c>
      <c r="M3278">
        <v>0</v>
      </c>
      <c r="N3278">
        <v>2</v>
      </c>
      <c r="O3278">
        <v>0</v>
      </c>
      <c r="P3278">
        <v>1</v>
      </c>
      <c r="Q3278">
        <v>0</v>
      </c>
      <c r="S3278" t="str">
        <f t="shared" si="1192"/>
        <v>19:34:18.000</v>
      </c>
      <c r="T3278" t="str">
        <f t="shared" si="1192"/>
        <v>19:34:18.000</v>
      </c>
      <c r="U3278" t="str">
        <f t="shared" si="1188"/>
        <v>AC3944</v>
      </c>
      <c r="V3278">
        <v>0</v>
      </c>
      <c r="W3278">
        <v>0</v>
      </c>
      <c r="X3278">
        <v>2</v>
      </c>
      <c r="Y3278">
        <v>0</v>
      </c>
      <c r="AA3278">
        <v>1</v>
      </c>
      <c r="AB3278">
        <v>8</v>
      </c>
      <c r="AC3278">
        <v>3</v>
      </c>
      <c r="AD3278">
        <v>0</v>
      </c>
      <c r="AE3278">
        <v>9</v>
      </c>
      <c r="AF3278" t="s">
        <v>138</v>
      </c>
      <c r="AG3278">
        <v>0</v>
      </c>
      <c r="AH3278">
        <v>3</v>
      </c>
      <c r="AI3278">
        <v>1</v>
      </c>
      <c r="AJ3278">
        <v>0</v>
      </c>
      <c r="AK3278" t="s">
        <v>1002</v>
      </c>
      <c r="AL3278">
        <v>32.719903000000002</v>
      </c>
      <c r="AM3278" t="s">
        <v>1087</v>
      </c>
      <c r="AN3278">
        <v>-116.753833</v>
      </c>
      <c r="AO3278">
        <v>25</v>
      </c>
      <c r="AP3278">
        <v>3700</v>
      </c>
      <c r="AQ3278" t="s">
        <v>129</v>
      </c>
      <c r="AR3278">
        <v>-15</v>
      </c>
      <c r="AS3278">
        <v>135</v>
      </c>
      <c r="AT3278">
        <v>896</v>
      </c>
      <c r="BB3278">
        <v>1200</v>
      </c>
      <c r="BC3278">
        <v>1</v>
      </c>
      <c r="BD3278" t="str">
        <f t="shared" si="1189"/>
        <v xml:space="preserve">N887QR  </v>
      </c>
      <c r="BE3278">
        <v>1</v>
      </c>
      <c r="BG3278">
        <v>0</v>
      </c>
      <c r="BH3278">
        <v>0</v>
      </c>
      <c r="BI3278">
        <v>0</v>
      </c>
      <c r="BJ3278">
        <v>3375</v>
      </c>
      <c r="BK3278">
        <v>-325</v>
      </c>
      <c r="BL3278" t="s">
        <v>163</v>
      </c>
      <c r="BM3278">
        <v>1</v>
      </c>
      <c r="BN3278">
        <v>1</v>
      </c>
      <c r="BO3278">
        <v>1</v>
      </c>
      <c r="BP3278">
        <v>0</v>
      </c>
      <c r="BS3278">
        <v>0</v>
      </c>
      <c r="BT3278">
        <v>0</v>
      </c>
      <c r="BU3278">
        <v>0</v>
      </c>
      <c r="CE3278" t="str">
        <f t="shared" si="1193"/>
        <v>19:34:18.946</v>
      </c>
      <c r="CF3278">
        <v>945589260</v>
      </c>
      <c r="CS3278">
        <v>0</v>
      </c>
      <c r="CT3278">
        <v>2</v>
      </c>
      <c r="CU3278">
        <v>0</v>
      </c>
      <c r="CV3278">
        <v>2</v>
      </c>
      <c r="CW3278">
        <v>0</v>
      </c>
      <c r="CX3278">
        <v>7</v>
      </c>
      <c r="CY3278">
        <v>7</v>
      </c>
      <c r="CZ3278" t="s">
        <v>131</v>
      </c>
      <c r="DA3278">
        <v>286</v>
      </c>
      <c r="DB3278">
        <v>0</v>
      </c>
      <c r="DC3278" t="s">
        <v>132</v>
      </c>
      <c r="DD3278" t="s">
        <v>133</v>
      </c>
      <c r="DG3278">
        <v>872274</v>
      </c>
      <c r="DI3278">
        <v>0</v>
      </c>
      <c r="DJ3278">
        <v>0</v>
      </c>
      <c r="DK3278">
        <v>1</v>
      </c>
      <c r="DL3278">
        <v>0</v>
      </c>
      <c r="DM3278">
        <v>0</v>
      </c>
      <c r="DN3278">
        <v>1</v>
      </c>
      <c r="DO3278">
        <v>0</v>
      </c>
      <c r="DP3278">
        <v>0</v>
      </c>
      <c r="DQ3278">
        <v>0</v>
      </c>
      <c r="DR3278">
        <v>0</v>
      </c>
      <c r="DS3278">
        <v>0</v>
      </c>
    </row>
    <row r="3279" spans="1:123" x14ac:dyDescent="0.3">
      <c r="A3279" t="str">
        <f>"10/04/2022 19:34:19.401"</f>
        <v>10/04/2022 19:34:19.401</v>
      </c>
      <c r="C3279" t="str">
        <f t="shared" si="1179"/>
        <v>FFDFD3C0</v>
      </c>
      <c r="D3279" t="s">
        <v>143</v>
      </c>
      <c r="E3279">
        <v>20</v>
      </c>
      <c r="F3279">
        <v>1020</v>
      </c>
      <c r="G3279" t="s">
        <v>144</v>
      </c>
      <c r="J3279" t="s">
        <v>145</v>
      </c>
      <c r="K3279">
        <v>0</v>
      </c>
      <c r="L3279">
        <v>3</v>
      </c>
      <c r="M3279">
        <v>0</v>
      </c>
      <c r="N3279">
        <v>2</v>
      </c>
      <c r="O3279">
        <v>0</v>
      </c>
      <c r="P3279">
        <v>1</v>
      </c>
      <c r="Q3279">
        <v>0</v>
      </c>
      <c r="S3279" t="str">
        <f t="shared" si="1192"/>
        <v>19:34:18.000</v>
      </c>
      <c r="T3279" t="str">
        <f t="shared" si="1192"/>
        <v>19:34:18.000</v>
      </c>
      <c r="U3279" t="str">
        <f t="shared" si="1188"/>
        <v>AC3944</v>
      </c>
      <c r="V3279">
        <v>0</v>
      </c>
      <c r="W3279">
        <v>0</v>
      </c>
      <c r="X3279">
        <v>2</v>
      </c>
      <c r="Y3279">
        <v>0</v>
      </c>
      <c r="AA3279">
        <v>1</v>
      </c>
      <c r="AB3279">
        <v>8</v>
      </c>
      <c r="AC3279">
        <v>3</v>
      </c>
      <c r="AD3279">
        <v>0</v>
      </c>
      <c r="AE3279">
        <v>9</v>
      </c>
      <c r="AF3279" t="s">
        <v>138</v>
      </c>
      <c r="AG3279">
        <v>0</v>
      </c>
      <c r="AH3279">
        <v>3</v>
      </c>
      <c r="AI3279">
        <v>1</v>
      </c>
      <c r="AJ3279">
        <v>0</v>
      </c>
      <c r="AK3279" t="s">
        <v>1002</v>
      </c>
      <c r="AL3279">
        <v>32.719903000000002</v>
      </c>
      <c r="AM3279" t="s">
        <v>1087</v>
      </c>
      <c r="AN3279">
        <v>-116.753833</v>
      </c>
      <c r="AO3279">
        <v>25</v>
      </c>
      <c r="AP3279">
        <v>3700</v>
      </c>
      <c r="AQ3279" t="s">
        <v>129</v>
      </c>
      <c r="AR3279">
        <v>-15</v>
      </c>
      <c r="AS3279">
        <v>135</v>
      </c>
      <c r="AT3279">
        <v>896</v>
      </c>
      <c r="BB3279">
        <v>1200</v>
      </c>
      <c r="BC3279">
        <v>1</v>
      </c>
      <c r="BD3279" t="str">
        <f t="shared" si="1189"/>
        <v xml:space="preserve">N887QR  </v>
      </c>
      <c r="BE3279">
        <v>1</v>
      </c>
      <c r="BG3279">
        <v>0</v>
      </c>
      <c r="BH3279">
        <v>0</v>
      </c>
      <c r="BI3279">
        <v>0</v>
      </c>
      <c r="BJ3279">
        <v>3375</v>
      </c>
      <c r="BK3279">
        <v>-325</v>
      </c>
      <c r="BL3279" t="s">
        <v>163</v>
      </c>
      <c r="BM3279">
        <v>1</v>
      </c>
      <c r="BN3279">
        <v>1</v>
      </c>
      <c r="BO3279">
        <v>1</v>
      </c>
      <c r="BP3279">
        <v>0</v>
      </c>
      <c r="BS3279">
        <v>0</v>
      </c>
      <c r="BT3279">
        <v>0</v>
      </c>
      <c r="BU3279">
        <v>0</v>
      </c>
      <c r="CE3279" t="str">
        <f t="shared" si="1193"/>
        <v>19:34:18.946</v>
      </c>
      <c r="CF3279">
        <v>945589260</v>
      </c>
      <c r="CS3279">
        <v>0</v>
      </c>
      <c r="CT3279">
        <v>2</v>
      </c>
      <c r="CU3279">
        <v>0</v>
      </c>
      <c r="CV3279">
        <v>2</v>
      </c>
      <c r="CW3279">
        <v>0</v>
      </c>
      <c r="CX3279">
        <v>7</v>
      </c>
      <c r="CY3279">
        <v>7</v>
      </c>
      <c r="CZ3279" t="s">
        <v>131</v>
      </c>
      <c r="DA3279">
        <v>286</v>
      </c>
      <c r="DB3279">
        <v>0</v>
      </c>
      <c r="DC3279" t="s">
        <v>132</v>
      </c>
      <c r="DD3279" t="s">
        <v>133</v>
      </c>
      <c r="DG3279">
        <v>872274</v>
      </c>
      <c r="DI3279">
        <v>0</v>
      </c>
      <c r="DJ3279">
        <v>0</v>
      </c>
      <c r="DK3279">
        <v>1</v>
      </c>
      <c r="DL3279">
        <v>0</v>
      </c>
      <c r="DM3279">
        <v>0</v>
      </c>
      <c r="DN3279">
        <v>1</v>
      </c>
      <c r="DO3279">
        <v>0</v>
      </c>
      <c r="DP3279">
        <v>0</v>
      </c>
      <c r="DQ3279">
        <v>0</v>
      </c>
      <c r="DR3279">
        <v>0</v>
      </c>
      <c r="DS3279">
        <v>0</v>
      </c>
    </row>
    <row r="3280" spans="1:123" x14ac:dyDescent="0.3">
      <c r="A3280" t="str">
        <f>"10/04/2022 19:34:19.401"</f>
        <v>10/04/2022 19:34:19.401</v>
      </c>
      <c r="C3280" t="str">
        <f t="shared" si="1179"/>
        <v>FFDFD3C0</v>
      </c>
      <c r="D3280" t="s">
        <v>141</v>
      </c>
      <c r="E3280">
        <v>3</v>
      </c>
      <c r="H3280">
        <v>3</v>
      </c>
      <c r="I3280" t="s">
        <v>146</v>
      </c>
      <c r="J3280" t="s">
        <v>138</v>
      </c>
      <c r="K3280">
        <v>0</v>
      </c>
      <c r="L3280">
        <v>3</v>
      </c>
      <c r="M3280">
        <v>0</v>
      </c>
      <c r="N3280">
        <v>2</v>
      </c>
      <c r="O3280">
        <v>0</v>
      </c>
      <c r="P3280">
        <v>1</v>
      </c>
      <c r="Q3280">
        <v>0</v>
      </c>
      <c r="S3280" t="str">
        <f t="shared" si="1192"/>
        <v>19:34:18.000</v>
      </c>
      <c r="T3280" t="str">
        <f t="shared" si="1192"/>
        <v>19:34:18.000</v>
      </c>
      <c r="U3280" t="str">
        <f t="shared" si="1188"/>
        <v>AC3944</v>
      </c>
      <c r="V3280">
        <v>0</v>
      </c>
      <c r="W3280">
        <v>0</v>
      </c>
      <c r="X3280">
        <v>2</v>
      </c>
      <c r="Y3280">
        <v>0</v>
      </c>
      <c r="AA3280">
        <v>1</v>
      </c>
      <c r="AB3280">
        <v>8</v>
      </c>
      <c r="AC3280">
        <v>3</v>
      </c>
      <c r="AD3280">
        <v>0</v>
      </c>
      <c r="AE3280">
        <v>9</v>
      </c>
      <c r="AF3280" t="s">
        <v>138</v>
      </c>
      <c r="AG3280">
        <v>0</v>
      </c>
      <c r="AH3280">
        <v>3</v>
      </c>
      <c r="AI3280">
        <v>1</v>
      </c>
      <c r="AJ3280">
        <v>0</v>
      </c>
      <c r="AK3280" t="s">
        <v>1002</v>
      </c>
      <c r="AL3280">
        <v>32.719903000000002</v>
      </c>
      <c r="AM3280" t="s">
        <v>1087</v>
      </c>
      <c r="AN3280">
        <v>-116.753833</v>
      </c>
      <c r="AO3280">
        <v>25</v>
      </c>
      <c r="AP3280">
        <v>3700</v>
      </c>
      <c r="AQ3280" t="s">
        <v>129</v>
      </c>
      <c r="AR3280">
        <v>-15</v>
      </c>
      <c r="AS3280">
        <v>135</v>
      </c>
      <c r="AT3280">
        <v>896</v>
      </c>
      <c r="BB3280">
        <v>1200</v>
      </c>
      <c r="BC3280">
        <v>1</v>
      </c>
      <c r="BD3280" t="str">
        <f t="shared" si="1189"/>
        <v xml:space="preserve">N887QR  </v>
      </c>
      <c r="BE3280">
        <v>1</v>
      </c>
      <c r="BG3280">
        <v>0</v>
      </c>
      <c r="BH3280">
        <v>0</v>
      </c>
      <c r="BI3280">
        <v>0</v>
      </c>
      <c r="BJ3280">
        <v>3375</v>
      </c>
      <c r="BK3280">
        <v>-325</v>
      </c>
      <c r="BL3280" t="s">
        <v>163</v>
      </c>
      <c r="BM3280">
        <v>1</v>
      </c>
      <c r="BN3280">
        <v>1</v>
      </c>
      <c r="BO3280">
        <v>1</v>
      </c>
      <c r="BP3280">
        <v>0</v>
      </c>
      <c r="BS3280">
        <v>0</v>
      </c>
      <c r="BT3280">
        <v>0</v>
      </c>
      <c r="BU3280">
        <v>0</v>
      </c>
      <c r="CE3280" t="str">
        <f t="shared" si="1193"/>
        <v>19:34:18.946</v>
      </c>
      <c r="CF3280">
        <v>945589260</v>
      </c>
      <c r="CS3280">
        <v>0</v>
      </c>
      <c r="CT3280">
        <v>2</v>
      </c>
      <c r="CU3280">
        <v>0</v>
      </c>
      <c r="CV3280">
        <v>2</v>
      </c>
      <c r="CW3280">
        <v>0</v>
      </c>
      <c r="CX3280">
        <v>7</v>
      </c>
      <c r="CY3280">
        <v>7</v>
      </c>
      <c r="CZ3280" t="s">
        <v>131</v>
      </c>
      <c r="DA3280">
        <v>286</v>
      </c>
      <c r="DB3280">
        <v>0</v>
      </c>
      <c r="DC3280" t="s">
        <v>132</v>
      </c>
      <c r="DD3280" t="s">
        <v>133</v>
      </c>
      <c r="DG3280">
        <v>872274</v>
      </c>
      <c r="DI3280">
        <v>0</v>
      </c>
      <c r="DJ3280">
        <v>0</v>
      </c>
      <c r="DK3280">
        <v>1</v>
      </c>
      <c r="DL3280">
        <v>0</v>
      </c>
      <c r="DM3280">
        <v>0</v>
      </c>
      <c r="DN3280">
        <v>1</v>
      </c>
      <c r="DO3280">
        <v>0</v>
      </c>
      <c r="DP3280">
        <v>0</v>
      </c>
      <c r="DQ3280">
        <v>0</v>
      </c>
      <c r="DR3280">
        <v>0</v>
      </c>
      <c r="DS3280">
        <v>0</v>
      </c>
    </row>
    <row r="3281" spans="1:123" x14ac:dyDescent="0.3">
      <c r="A3281" t="str">
        <f>"10/04/2022 19:34:19.401"</f>
        <v>10/04/2022 19:34:19.401</v>
      </c>
      <c r="C3281" t="str">
        <f t="shared" si="1179"/>
        <v>FFDFD3C0</v>
      </c>
      <c r="D3281" t="s">
        <v>134</v>
      </c>
      <c r="E3281">
        <v>15</v>
      </c>
      <c r="J3281" t="s">
        <v>135</v>
      </c>
      <c r="K3281">
        <v>0</v>
      </c>
      <c r="L3281">
        <v>3</v>
      </c>
      <c r="M3281">
        <v>0</v>
      </c>
      <c r="N3281">
        <v>2</v>
      </c>
      <c r="O3281">
        <v>0</v>
      </c>
      <c r="P3281">
        <v>1</v>
      </c>
      <c r="Q3281">
        <v>0</v>
      </c>
      <c r="S3281" t="str">
        <f t="shared" si="1192"/>
        <v>19:34:18.000</v>
      </c>
      <c r="T3281" t="str">
        <f t="shared" si="1192"/>
        <v>19:34:18.000</v>
      </c>
      <c r="U3281" t="str">
        <f t="shared" si="1188"/>
        <v>AC3944</v>
      </c>
      <c r="V3281">
        <v>0</v>
      </c>
      <c r="W3281">
        <v>0</v>
      </c>
      <c r="X3281">
        <v>2</v>
      </c>
      <c r="Y3281">
        <v>0</v>
      </c>
      <c r="AA3281">
        <v>1</v>
      </c>
      <c r="AB3281">
        <v>8</v>
      </c>
      <c r="AC3281">
        <v>3</v>
      </c>
      <c r="AD3281">
        <v>0</v>
      </c>
      <c r="AE3281">
        <v>9</v>
      </c>
      <c r="AF3281" t="s">
        <v>138</v>
      </c>
      <c r="AG3281">
        <v>0</v>
      </c>
      <c r="AH3281">
        <v>3</v>
      </c>
      <c r="AI3281">
        <v>1</v>
      </c>
      <c r="AJ3281">
        <v>0</v>
      </c>
      <c r="AK3281" t="s">
        <v>1002</v>
      </c>
      <c r="AL3281">
        <v>32.719903000000002</v>
      </c>
      <c r="AM3281" t="s">
        <v>1087</v>
      </c>
      <c r="AN3281">
        <v>-116.753833</v>
      </c>
      <c r="AO3281">
        <v>25</v>
      </c>
      <c r="AP3281">
        <v>3700</v>
      </c>
      <c r="AQ3281" t="s">
        <v>129</v>
      </c>
      <c r="AR3281">
        <v>-15</v>
      </c>
      <c r="AS3281">
        <v>135</v>
      </c>
      <c r="AT3281">
        <v>896</v>
      </c>
      <c r="BB3281">
        <v>1200</v>
      </c>
      <c r="BC3281">
        <v>1</v>
      </c>
      <c r="BD3281" t="str">
        <f t="shared" si="1189"/>
        <v xml:space="preserve">N887QR  </v>
      </c>
      <c r="BE3281">
        <v>1</v>
      </c>
      <c r="BG3281">
        <v>0</v>
      </c>
      <c r="BH3281">
        <v>0</v>
      </c>
      <c r="BI3281">
        <v>0</v>
      </c>
      <c r="BJ3281">
        <v>3375</v>
      </c>
      <c r="BK3281">
        <v>-325</v>
      </c>
      <c r="BL3281" t="s">
        <v>163</v>
      </c>
      <c r="BM3281">
        <v>1</v>
      </c>
      <c r="BN3281">
        <v>1</v>
      </c>
      <c r="BO3281">
        <v>1</v>
      </c>
      <c r="BP3281">
        <v>0</v>
      </c>
      <c r="BS3281">
        <v>0</v>
      </c>
      <c r="BT3281">
        <v>0</v>
      </c>
      <c r="BU3281">
        <v>0</v>
      </c>
      <c r="CE3281" t="str">
        <f t="shared" si="1193"/>
        <v>19:34:18.946</v>
      </c>
      <c r="CF3281">
        <v>945589260</v>
      </c>
      <c r="CS3281">
        <v>0</v>
      </c>
      <c r="CT3281">
        <v>2</v>
      </c>
      <c r="CU3281">
        <v>0</v>
      </c>
      <c r="CV3281">
        <v>2</v>
      </c>
      <c r="CW3281">
        <v>0</v>
      </c>
      <c r="CX3281">
        <v>7</v>
      </c>
      <c r="CY3281">
        <v>7</v>
      </c>
      <c r="CZ3281" t="s">
        <v>131</v>
      </c>
      <c r="DA3281">
        <v>286</v>
      </c>
      <c r="DB3281">
        <v>0</v>
      </c>
      <c r="DC3281" t="s">
        <v>132</v>
      </c>
      <c r="DD3281" t="s">
        <v>133</v>
      </c>
      <c r="DG3281">
        <v>872274</v>
      </c>
      <c r="DI3281">
        <v>0</v>
      </c>
      <c r="DJ3281">
        <v>0</v>
      </c>
      <c r="DK3281">
        <v>1</v>
      </c>
      <c r="DL3281">
        <v>0</v>
      </c>
      <c r="DM3281">
        <v>0</v>
      </c>
      <c r="DN3281">
        <v>1</v>
      </c>
      <c r="DO3281">
        <v>0</v>
      </c>
      <c r="DP3281">
        <v>0</v>
      </c>
      <c r="DQ3281">
        <v>0</v>
      </c>
      <c r="DR3281">
        <v>0</v>
      </c>
      <c r="DS3281">
        <v>0</v>
      </c>
    </row>
    <row r="3282" spans="1:123" x14ac:dyDescent="0.3">
      <c r="A3282" t="str">
        <f t="shared" ref="A3282:A3288" si="1194">"10/04/2022 19:34:20.277"</f>
        <v>10/04/2022 19:34:20.277</v>
      </c>
      <c r="C3282" t="str">
        <f t="shared" si="1179"/>
        <v>FFDFD3C0</v>
      </c>
      <c r="D3282" t="s">
        <v>141</v>
      </c>
      <c r="E3282">
        <v>4</v>
      </c>
      <c r="H3282">
        <v>4</v>
      </c>
      <c r="I3282" t="s">
        <v>142</v>
      </c>
      <c r="J3282" t="s">
        <v>138</v>
      </c>
      <c r="K3282">
        <v>0</v>
      </c>
      <c r="L3282">
        <v>3</v>
      </c>
      <c r="M3282">
        <v>0</v>
      </c>
      <c r="N3282">
        <v>2</v>
      </c>
      <c r="O3282">
        <v>0</v>
      </c>
      <c r="P3282">
        <v>1</v>
      </c>
      <c r="Q3282">
        <v>0</v>
      </c>
      <c r="S3282" t="str">
        <f t="shared" ref="S3282:T3288" si="1195">"19:34:19.000"</f>
        <v>19:34:19.000</v>
      </c>
      <c r="T3282" t="str">
        <f t="shared" si="1195"/>
        <v>19:34:19.000</v>
      </c>
      <c r="U3282" t="str">
        <f t="shared" si="1188"/>
        <v>AC3944</v>
      </c>
      <c r="V3282">
        <v>0</v>
      </c>
      <c r="W3282">
        <v>0</v>
      </c>
      <c r="X3282">
        <v>2</v>
      </c>
      <c r="Y3282">
        <v>0</v>
      </c>
      <c r="AA3282">
        <v>1</v>
      </c>
      <c r="AB3282">
        <v>8</v>
      </c>
      <c r="AC3282">
        <v>3</v>
      </c>
      <c r="AD3282">
        <v>0</v>
      </c>
      <c r="AE3282">
        <v>9</v>
      </c>
      <c r="AF3282" t="s">
        <v>138</v>
      </c>
      <c r="AG3282">
        <v>0</v>
      </c>
      <c r="AH3282">
        <v>3</v>
      </c>
      <c r="AI3282">
        <v>1</v>
      </c>
      <c r="AJ3282">
        <v>0</v>
      </c>
      <c r="AK3282" t="s">
        <v>1088</v>
      </c>
      <c r="AL3282">
        <v>32.720525000000002</v>
      </c>
      <c r="AM3282" t="s">
        <v>1089</v>
      </c>
      <c r="AN3282">
        <v>-116.753941</v>
      </c>
      <c r="AO3282">
        <v>25</v>
      </c>
      <c r="AP3282">
        <v>3700</v>
      </c>
      <c r="AQ3282" t="s">
        <v>129</v>
      </c>
      <c r="AR3282">
        <v>-3</v>
      </c>
      <c r="AS3282">
        <v>136</v>
      </c>
      <c r="AT3282">
        <v>896</v>
      </c>
      <c r="BB3282">
        <v>1200</v>
      </c>
      <c r="BC3282">
        <v>1</v>
      </c>
      <c r="BD3282" t="str">
        <f t="shared" si="1189"/>
        <v xml:space="preserve">N887QR  </v>
      </c>
      <c r="BE3282">
        <v>1</v>
      </c>
      <c r="BG3282">
        <v>0</v>
      </c>
      <c r="BH3282">
        <v>0</v>
      </c>
      <c r="BI3282">
        <v>0</v>
      </c>
      <c r="BJ3282">
        <v>3375</v>
      </c>
      <c r="BK3282">
        <v>-325</v>
      </c>
      <c r="BL3282" t="s">
        <v>163</v>
      </c>
      <c r="BM3282">
        <v>1</v>
      </c>
      <c r="BN3282">
        <v>1</v>
      </c>
      <c r="BO3282">
        <v>1</v>
      </c>
      <c r="BP3282">
        <v>0</v>
      </c>
      <c r="BS3282">
        <v>0</v>
      </c>
      <c r="BT3282">
        <v>0</v>
      </c>
      <c r="BU3282">
        <v>0</v>
      </c>
      <c r="CE3282" t="str">
        <f t="shared" ref="CE3282:CE3288" si="1196">"19:34:19.960"</f>
        <v>19:34:19.960</v>
      </c>
      <c r="CF3282">
        <v>959592680</v>
      </c>
      <c r="CS3282">
        <v>0</v>
      </c>
      <c r="CT3282">
        <v>2</v>
      </c>
      <c r="CU3282">
        <v>0</v>
      </c>
      <c r="CV3282">
        <v>2</v>
      </c>
      <c r="CW3282">
        <v>0</v>
      </c>
      <c r="CX3282">
        <v>6</v>
      </c>
      <c r="CY3282">
        <v>7</v>
      </c>
      <c r="CZ3282" t="s">
        <v>131</v>
      </c>
      <c r="DA3282">
        <v>286</v>
      </c>
      <c r="DB3282">
        <v>0</v>
      </c>
      <c r="DC3282" t="s">
        <v>132</v>
      </c>
      <c r="DD3282" t="s">
        <v>133</v>
      </c>
      <c r="DG3282">
        <v>872545</v>
      </c>
      <c r="DI3282">
        <v>0</v>
      </c>
      <c r="DJ3282">
        <v>0</v>
      </c>
      <c r="DK3282">
        <v>0</v>
      </c>
      <c r="DL3282">
        <v>0</v>
      </c>
      <c r="DM3282">
        <v>0</v>
      </c>
      <c r="DN3282">
        <v>1</v>
      </c>
      <c r="DO3282">
        <v>0</v>
      </c>
      <c r="DP3282">
        <v>0</v>
      </c>
      <c r="DQ3282">
        <v>0</v>
      </c>
      <c r="DR3282">
        <v>0</v>
      </c>
      <c r="DS3282">
        <v>0</v>
      </c>
    </row>
    <row r="3283" spans="1:123" x14ac:dyDescent="0.3">
      <c r="A3283" t="str">
        <f t="shared" si="1194"/>
        <v>10/04/2022 19:34:20.277</v>
      </c>
      <c r="C3283" t="str">
        <f t="shared" si="1179"/>
        <v>FFDFD3C0</v>
      </c>
      <c r="D3283" t="s">
        <v>147</v>
      </c>
      <c r="E3283">
        <v>3</v>
      </c>
      <c r="H3283">
        <v>166</v>
      </c>
      <c r="I3283" t="s">
        <v>144</v>
      </c>
      <c r="J3283" t="s">
        <v>148</v>
      </c>
      <c r="K3283">
        <v>0</v>
      </c>
      <c r="L3283">
        <v>3</v>
      </c>
      <c r="M3283">
        <v>0</v>
      </c>
      <c r="N3283">
        <v>2</v>
      </c>
      <c r="O3283">
        <v>0</v>
      </c>
      <c r="P3283">
        <v>1</v>
      </c>
      <c r="Q3283">
        <v>0</v>
      </c>
      <c r="S3283" t="str">
        <f t="shared" si="1195"/>
        <v>19:34:19.000</v>
      </c>
      <c r="T3283" t="str">
        <f t="shared" si="1195"/>
        <v>19:34:19.000</v>
      </c>
      <c r="U3283" t="str">
        <f t="shared" si="1188"/>
        <v>AC3944</v>
      </c>
      <c r="V3283">
        <v>0</v>
      </c>
      <c r="W3283">
        <v>0</v>
      </c>
      <c r="X3283">
        <v>2</v>
      </c>
      <c r="Y3283">
        <v>0</v>
      </c>
      <c r="AA3283">
        <v>1</v>
      </c>
      <c r="AB3283">
        <v>8</v>
      </c>
      <c r="AC3283">
        <v>3</v>
      </c>
      <c r="AD3283">
        <v>0</v>
      </c>
      <c r="AE3283">
        <v>9</v>
      </c>
      <c r="AF3283" t="s">
        <v>138</v>
      </c>
      <c r="AG3283">
        <v>0</v>
      </c>
      <c r="AH3283">
        <v>3</v>
      </c>
      <c r="AI3283">
        <v>1</v>
      </c>
      <c r="AJ3283">
        <v>0</v>
      </c>
      <c r="AK3283" t="s">
        <v>1088</v>
      </c>
      <c r="AL3283">
        <v>32.720525000000002</v>
      </c>
      <c r="AM3283" t="s">
        <v>1089</v>
      </c>
      <c r="AN3283">
        <v>-116.753941</v>
      </c>
      <c r="AO3283">
        <v>25</v>
      </c>
      <c r="AP3283">
        <v>3700</v>
      </c>
      <c r="AQ3283" t="s">
        <v>129</v>
      </c>
      <c r="AR3283">
        <v>-3</v>
      </c>
      <c r="AS3283">
        <v>136</v>
      </c>
      <c r="AT3283">
        <v>896</v>
      </c>
      <c r="BB3283">
        <v>1200</v>
      </c>
      <c r="BC3283">
        <v>1</v>
      </c>
      <c r="BD3283" t="str">
        <f t="shared" si="1189"/>
        <v xml:space="preserve">N887QR  </v>
      </c>
      <c r="BE3283">
        <v>1</v>
      </c>
      <c r="BG3283">
        <v>0</v>
      </c>
      <c r="BH3283">
        <v>0</v>
      </c>
      <c r="BI3283">
        <v>0</v>
      </c>
      <c r="BJ3283">
        <v>3375</v>
      </c>
      <c r="BK3283">
        <v>-325</v>
      </c>
      <c r="BL3283" t="s">
        <v>163</v>
      </c>
      <c r="BM3283">
        <v>1</v>
      </c>
      <c r="BN3283">
        <v>1</v>
      </c>
      <c r="BO3283">
        <v>1</v>
      </c>
      <c r="BP3283">
        <v>0</v>
      </c>
      <c r="BS3283">
        <v>0</v>
      </c>
      <c r="BT3283">
        <v>0</v>
      </c>
      <c r="BU3283">
        <v>0</v>
      </c>
      <c r="CE3283" t="str">
        <f t="shared" si="1196"/>
        <v>19:34:19.960</v>
      </c>
      <c r="CF3283">
        <v>959592680</v>
      </c>
      <c r="CS3283">
        <v>0</v>
      </c>
      <c r="CT3283">
        <v>2</v>
      </c>
      <c r="CU3283">
        <v>0</v>
      </c>
      <c r="CV3283">
        <v>2</v>
      </c>
      <c r="CW3283">
        <v>0</v>
      </c>
      <c r="CX3283">
        <v>6</v>
      </c>
      <c r="CY3283">
        <v>7</v>
      </c>
      <c r="CZ3283" t="s">
        <v>131</v>
      </c>
      <c r="DA3283">
        <v>286</v>
      </c>
      <c r="DB3283">
        <v>0</v>
      </c>
      <c r="DC3283" t="s">
        <v>132</v>
      </c>
      <c r="DD3283" t="s">
        <v>133</v>
      </c>
      <c r="DG3283">
        <v>872545</v>
      </c>
      <c r="DI3283">
        <v>0</v>
      </c>
      <c r="DJ3283">
        <v>0</v>
      </c>
      <c r="DK3283">
        <v>1</v>
      </c>
      <c r="DL3283">
        <v>0</v>
      </c>
      <c r="DM3283">
        <v>0</v>
      </c>
      <c r="DN3283">
        <v>1</v>
      </c>
      <c r="DO3283">
        <v>0</v>
      </c>
      <c r="DP3283">
        <v>0</v>
      </c>
      <c r="DQ3283">
        <v>0</v>
      </c>
      <c r="DR3283">
        <v>0</v>
      </c>
      <c r="DS3283">
        <v>0</v>
      </c>
    </row>
    <row r="3284" spans="1:123" x14ac:dyDescent="0.3">
      <c r="A3284" t="str">
        <f t="shared" si="1194"/>
        <v>10/04/2022 19:34:20.277</v>
      </c>
      <c r="C3284" t="str">
        <f t="shared" si="1179"/>
        <v>FFDFD3C0</v>
      </c>
      <c r="D3284" t="s">
        <v>143</v>
      </c>
      <c r="E3284">
        <v>20</v>
      </c>
      <c r="F3284">
        <v>1020</v>
      </c>
      <c r="G3284" t="s">
        <v>144</v>
      </c>
      <c r="J3284" t="s">
        <v>145</v>
      </c>
      <c r="K3284">
        <v>0</v>
      </c>
      <c r="L3284">
        <v>3</v>
      </c>
      <c r="M3284">
        <v>0</v>
      </c>
      <c r="N3284">
        <v>2</v>
      </c>
      <c r="O3284">
        <v>0</v>
      </c>
      <c r="P3284">
        <v>1</v>
      </c>
      <c r="Q3284">
        <v>0</v>
      </c>
      <c r="S3284" t="str">
        <f t="shared" si="1195"/>
        <v>19:34:19.000</v>
      </c>
      <c r="T3284" t="str">
        <f t="shared" si="1195"/>
        <v>19:34:19.000</v>
      </c>
      <c r="U3284" t="str">
        <f t="shared" si="1188"/>
        <v>AC3944</v>
      </c>
      <c r="V3284">
        <v>0</v>
      </c>
      <c r="W3284">
        <v>0</v>
      </c>
      <c r="X3284">
        <v>2</v>
      </c>
      <c r="Y3284">
        <v>0</v>
      </c>
      <c r="AA3284">
        <v>1</v>
      </c>
      <c r="AB3284">
        <v>8</v>
      </c>
      <c r="AC3284">
        <v>3</v>
      </c>
      <c r="AD3284">
        <v>0</v>
      </c>
      <c r="AE3284">
        <v>9</v>
      </c>
      <c r="AF3284" t="s">
        <v>138</v>
      </c>
      <c r="AG3284">
        <v>0</v>
      </c>
      <c r="AH3284">
        <v>3</v>
      </c>
      <c r="AI3284">
        <v>1</v>
      </c>
      <c r="AJ3284">
        <v>0</v>
      </c>
      <c r="AK3284" t="s">
        <v>1088</v>
      </c>
      <c r="AL3284">
        <v>32.720525000000002</v>
      </c>
      <c r="AM3284" t="s">
        <v>1089</v>
      </c>
      <c r="AN3284">
        <v>-116.753941</v>
      </c>
      <c r="AO3284">
        <v>25</v>
      </c>
      <c r="AP3284">
        <v>3700</v>
      </c>
      <c r="AQ3284" t="s">
        <v>129</v>
      </c>
      <c r="AR3284">
        <v>-3</v>
      </c>
      <c r="AS3284">
        <v>136</v>
      </c>
      <c r="AT3284">
        <v>896</v>
      </c>
      <c r="BB3284">
        <v>1200</v>
      </c>
      <c r="BC3284">
        <v>1</v>
      </c>
      <c r="BD3284" t="str">
        <f t="shared" si="1189"/>
        <v xml:space="preserve">N887QR  </v>
      </c>
      <c r="BE3284">
        <v>1</v>
      </c>
      <c r="BG3284">
        <v>0</v>
      </c>
      <c r="BH3284">
        <v>0</v>
      </c>
      <c r="BI3284">
        <v>0</v>
      </c>
      <c r="BJ3284">
        <v>3375</v>
      </c>
      <c r="BK3284">
        <v>-325</v>
      </c>
      <c r="BL3284" t="s">
        <v>163</v>
      </c>
      <c r="BM3284">
        <v>1</v>
      </c>
      <c r="BN3284">
        <v>1</v>
      </c>
      <c r="BO3284">
        <v>1</v>
      </c>
      <c r="BP3284">
        <v>0</v>
      </c>
      <c r="BS3284">
        <v>0</v>
      </c>
      <c r="BT3284">
        <v>0</v>
      </c>
      <c r="BU3284">
        <v>0</v>
      </c>
      <c r="CE3284" t="str">
        <f t="shared" si="1196"/>
        <v>19:34:19.960</v>
      </c>
      <c r="CF3284">
        <v>959592680</v>
      </c>
      <c r="CS3284">
        <v>0</v>
      </c>
      <c r="CT3284">
        <v>2</v>
      </c>
      <c r="CU3284">
        <v>0</v>
      </c>
      <c r="CV3284">
        <v>2</v>
      </c>
      <c r="CW3284">
        <v>0</v>
      </c>
      <c r="CX3284">
        <v>6</v>
      </c>
      <c r="CY3284">
        <v>7</v>
      </c>
      <c r="CZ3284" t="s">
        <v>131</v>
      </c>
      <c r="DA3284">
        <v>286</v>
      </c>
      <c r="DB3284">
        <v>0</v>
      </c>
      <c r="DC3284" t="s">
        <v>132</v>
      </c>
      <c r="DD3284" t="s">
        <v>133</v>
      </c>
      <c r="DG3284">
        <v>872545</v>
      </c>
      <c r="DI3284">
        <v>0</v>
      </c>
      <c r="DJ3284">
        <v>0</v>
      </c>
      <c r="DK3284">
        <v>1</v>
      </c>
      <c r="DL3284">
        <v>0</v>
      </c>
      <c r="DM3284">
        <v>0</v>
      </c>
      <c r="DN3284">
        <v>1</v>
      </c>
      <c r="DO3284">
        <v>0</v>
      </c>
      <c r="DP3284">
        <v>0</v>
      </c>
      <c r="DQ3284">
        <v>0</v>
      </c>
      <c r="DR3284">
        <v>0</v>
      </c>
      <c r="DS3284">
        <v>0</v>
      </c>
    </row>
    <row r="3285" spans="1:123" x14ac:dyDescent="0.3">
      <c r="A3285" t="str">
        <f t="shared" si="1194"/>
        <v>10/04/2022 19:34:20.277</v>
      </c>
      <c r="C3285" t="str">
        <f t="shared" si="1179"/>
        <v>FFDFD3C0</v>
      </c>
      <c r="D3285" t="s">
        <v>141</v>
      </c>
      <c r="E3285">
        <v>3</v>
      </c>
      <c r="H3285">
        <v>3</v>
      </c>
      <c r="I3285" t="s">
        <v>146</v>
      </c>
      <c r="J3285" t="s">
        <v>138</v>
      </c>
      <c r="K3285">
        <v>0</v>
      </c>
      <c r="L3285">
        <v>3</v>
      </c>
      <c r="M3285">
        <v>0</v>
      </c>
      <c r="N3285">
        <v>2</v>
      </c>
      <c r="O3285">
        <v>0</v>
      </c>
      <c r="P3285">
        <v>1</v>
      </c>
      <c r="Q3285">
        <v>0</v>
      </c>
      <c r="S3285" t="str">
        <f t="shared" si="1195"/>
        <v>19:34:19.000</v>
      </c>
      <c r="T3285" t="str">
        <f t="shared" si="1195"/>
        <v>19:34:19.000</v>
      </c>
      <c r="U3285" t="str">
        <f t="shared" si="1188"/>
        <v>AC3944</v>
      </c>
      <c r="V3285">
        <v>0</v>
      </c>
      <c r="W3285">
        <v>0</v>
      </c>
      <c r="X3285">
        <v>2</v>
      </c>
      <c r="Y3285">
        <v>0</v>
      </c>
      <c r="AA3285">
        <v>1</v>
      </c>
      <c r="AB3285">
        <v>8</v>
      </c>
      <c r="AC3285">
        <v>3</v>
      </c>
      <c r="AD3285">
        <v>0</v>
      </c>
      <c r="AE3285">
        <v>9</v>
      </c>
      <c r="AF3285" t="s">
        <v>138</v>
      </c>
      <c r="AG3285">
        <v>0</v>
      </c>
      <c r="AH3285">
        <v>3</v>
      </c>
      <c r="AI3285">
        <v>1</v>
      </c>
      <c r="AJ3285">
        <v>0</v>
      </c>
      <c r="AK3285" t="s">
        <v>1088</v>
      </c>
      <c r="AL3285">
        <v>32.720525000000002</v>
      </c>
      <c r="AM3285" t="s">
        <v>1089</v>
      </c>
      <c r="AN3285">
        <v>-116.753941</v>
      </c>
      <c r="AO3285">
        <v>25</v>
      </c>
      <c r="AP3285">
        <v>3700</v>
      </c>
      <c r="AQ3285" t="s">
        <v>129</v>
      </c>
      <c r="AR3285">
        <v>-3</v>
      </c>
      <c r="AS3285">
        <v>136</v>
      </c>
      <c r="AT3285">
        <v>896</v>
      </c>
      <c r="BB3285">
        <v>1200</v>
      </c>
      <c r="BC3285">
        <v>1</v>
      </c>
      <c r="BD3285" t="str">
        <f t="shared" si="1189"/>
        <v xml:space="preserve">N887QR  </v>
      </c>
      <c r="BE3285">
        <v>1</v>
      </c>
      <c r="BG3285">
        <v>0</v>
      </c>
      <c r="BH3285">
        <v>0</v>
      </c>
      <c r="BI3285">
        <v>0</v>
      </c>
      <c r="BJ3285">
        <v>3375</v>
      </c>
      <c r="BK3285">
        <v>-325</v>
      </c>
      <c r="BL3285" t="s">
        <v>163</v>
      </c>
      <c r="BM3285">
        <v>1</v>
      </c>
      <c r="BN3285">
        <v>1</v>
      </c>
      <c r="BO3285">
        <v>1</v>
      </c>
      <c r="BP3285">
        <v>0</v>
      </c>
      <c r="BS3285">
        <v>0</v>
      </c>
      <c r="BT3285">
        <v>0</v>
      </c>
      <c r="BU3285">
        <v>0</v>
      </c>
      <c r="CE3285" t="str">
        <f t="shared" si="1196"/>
        <v>19:34:19.960</v>
      </c>
      <c r="CF3285">
        <v>959592680</v>
      </c>
      <c r="CS3285">
        <v>0</v>
      </c>
      <c r="CT3285">
        <v>2</v>
      </c>
      <c r="CU3285">
        <v>0</v>
      </c>
      <c r="CV3285">
        <v>2</v>
      </c>
      <c r="CW3285">
        <v>0</v>
      </c>
      <c r="CX3285">
        <v>6</v>
      </c>
      <c r="CY3285">
        <v>7</v>
      </c>
      <c r="CZ3285" t="s">
        <v>131</v>
      </c>
      <c r="DA3285">
        <v>286</v>
      </c>
      <c r="DB3285">
        <v>0</v>
      </c>
      <c r="DC3285" t="s">
        <v>132</v>
      </c>
      <c r="DD3285" t="s">
        <v>133</v>
      </c>
      <c r="DG3285">
        <v>872545</v>
      </c>
      <c r="DI3285">
        <v>0</v>
      </c>
      <c r="DJ3285">
        <v>0</v>
      </c>
      <c r="DK3285">
        <v>1</v>
      </c>
      <c r="DL3285">
        <v>0</v>
      </c>
      <c r="DM3285">
        <v>0</v>
      </c>
      <c r="DN3285">
        <v>1</v>
      </c>
      <c r="DO3285">
        <v>0</v>
      </c>
      <c r="DP3285">
        <v>0</v>
      </c>
      <c r="DQ3285">
        <v>0</v>
      </c>
      <c r="DR3285">
        <v>0</v>
      </c>
      <c r="DS3285">
        <v>0</v>
      </c>
    </row>
    <row r="3286" spans="1:123" x14ac:dyDescent="0.3">
      <c r="A3286" t="str">
        <f t="shared" si="1194"/>
        <v>10/04/2022 19:34:20.277</v>
      </c>
      <c r="C3286" t="str">
        <f t="shared" si="1179"/>
        <v>FFDFD3C0</v>
      </c>
      <c r="D3286" t="s">
        <v>134</v>
      </c>
      <c r="E3286">
        <v>15</v>
      </c>
      <c r="J3286" t="s">
        <v>135</v>
      </c>
      <c r="K3286">
        <v>0</v>
      </c>
      <c r="L3286">
        <v>3</v>
      </c>
      <c r="M3286">
        <v>0</v>
      </c>
      <c r="N3286">
        <v>2</v>
      </c>
      <c r="O3286">
        <v>0</v>
      </c>
      <c r="P3286">
        <v>1</v>
      </c>
      <c r="Q3286">
        <v>0</v>
      </c>
      <c r="S3286" t="str">
        <f t="shared" si="1195"/>
        <v>19:34:19.000</v>
      </c>
      <c r="T3286" t="str">
        <f t="shared" si="1195"/>
        <v>19:34:19.000</v>
      </c>
      <c r="U3286" t="str">
        <f t="shared" si="1188"/>
        <v>AC3944</v>
      </c>
      <c r="V3286">
        <v>0</v>
      </c>
      <c r="W3286">
        <v>0</v>
      </c>
      <c r="X3286">
        <v>2</v>
      </c>
      <c r="Y3286">
        <v>0</v>
      </c>
      <c r="AA3286">
        <v>1</v>
      </c>
      <c r="AB3286">
        <v>8</v>
      </c>
      <c r="AC3286">
        <v>3</v>
      </c>
      <c r="AD3286">
        <v>0</v>
      </c>
      <c r="AE3286">
        <v>9</v>
      </c>
      <c r="AF3286" t="s">
        <v>138</v>
      </c>
      <c r="AG3286">
        <v>0</v>
      </c>
      <c r="AH3286">
        <v>3</v>
      </c>
      <c r="AI3286">
        <v>1</v>
      </c>
      <c r="AJ3286">
        <v>0</v>
      </c>
      <c r="AK3286" t="s">
        <v>1088</v>
      </c>
      <c r="AL3286">
        <v>32.720525000000002</v>
      </c>
      <c r="AM3286" t="s">
        <v>1089</v>
      </c>
      <c r="AN3286">
        <v>-116.753941</v>
      </c>
      <c r="AO3286">
        <v>25</v>
      </c>
      <c r="AP3286">
        <v>3700</v>
      </c>
      <c r="AQ3286" t="s">
        <v>129</v>
      </c>
      <c r="AR3286">
        <v>-3</v>
      </c>
      <c r="AS3286">
        <v>136</v>
      </c>
      <c r="AT3286">
        <v>896</v>
      </c>
      <c r="BB3286">
        <v>1200</v>
      </c>
      <c r="BC3286">
        <v>1</v>
      </c>
      <c r="BD3286" t="str">
        <f t="shared" si="1189"/>
        <v xml:space="preserve">N887QR  </v>
      </c>
      <c r="BE3286">
        <v>1</v>
      </c>
      <c r="BG3286">
        <v>0</v>
      </c>
      <c r="BH3286">
        <v>0</v>
      </c>
      <c r="BI3286">
        <v>0</v>
      </c>
      <c r="BJ3286">
        <v>3375</v>
      </c>
      <c r="BK3286">
        <v>-325</v>
      </c>
      <c r="BL3286" t="s">
        <v>163</v>
      </c>
      <c r="BM3286">
        <v>1</v>
      </c>
      <c r="BN3286">
        <v>1</v>
      </c>
      <c r="BO3286">
        <v>1</v>
      </c>
      <c r="BP3286">
        <v>0</v>
      </c>
      <c r="BS3286">
        <v>0</v>
      </c>
      <c r="BT3286">
        <v>0</v>
      </c>
      <c r="BU3286">
        <v>0</v>
      </c>
      <c r="CE3286" t="str">
        <f t="shared" si="1196"/>
        <v>19:34:19.960</v>
      </c>
      <c r="CF3286">
        <v>959592680</v>
      </c>
      <c r="CS3286">
        <v>0</v>
      </c>
      <c r="CT3286">
        <v>2</v>
      </c>
      <c r="CU3286">
        <v>0</v>
      </c>
      <c r="CV3286">
        <v>2</v>
      </c>
      <c r="CW3286">
        <v>0</v>
      </c>
      <c r="CX3286">
        <v>6</v>
      </c>
      <c r="CY3286">
        <v>7</v>
      </c>
      <c r="CZ3286" t="s">
        <v>131</v>
      </c>
      <c r="DA3286">
        <v>286</v>
      </c>
      <c r="DB3286">
        <v>0</v>
      </c>
      <c r="DC3286" t="s">
        <v>132</v>
      </c>
      <c r="DD3286" t="s">
        <v>133</v>
      </c>
      <c r="DG3286">
        <v>872545</v>
      </c>
      <c r="DI3286">
        <v>0</v>
      </c>
      <c r="DJ3286">
        <v>0</v>
      </c>
      <c r="DK3286">
        <v>1</v>
      </c>
      <c r="DL3286">
        <v>0</v>
      </c>
      <c r="DM3286">
        <v>0</v>
      </c>
      <c r="DN3286">
        <v>1</v>
      </c>
      <c r="DO3286">
        <v>0</v>
      </c>
      <c r="DP3286">
        <v>0</v>
      </c>
      <c r="DQ3286">
        <v>0</v>
      </c>
      <c r="DR3286">
        <v>0</v>
      </c>
      <c r="DS3286">
        <v>0</v>
      </c>
    </row>
    <row r="3287" spans="1:123" x14ac:dyDescent="0.3">
      <c r="A3287" t="str">
        <f t="shared" si="1194"/>
        <v>10/04/2022 19:34:20.277</v>
      </c>
      <c r="C3287" t="str">
        <f t="shared" si="1179"/>
        <v>FFDFD3C0</v>
      </c>
      <c r="D3287" t="s">
        <v>123</v>
      </c>
      <c r="E3287">
        <v>7</v>
      </c>
      <c r="F3287">
        <v>2007</v>
      </c>
      <c r="G3287" t="s">
        <v>124</v>
      </c>
      <c r="J3287" t="s">
        <v>125</v>
      </c>
      <c r="K3287">
        <v>0</v>
      </c>
      <c r="L3287">
        <v>3</v>
      </c>
      <c r="M3287">
        <v>0</v>
      </c>
      <c r="N3287">
        <v>2</v>
      </c>
      <c r="O3287">
        <v>0</v>
      </c>
      <c r="P3287">
        <v>1</v>
      </c>
      <c r="Q3287">
        <v>0</v>
      </c>
      <c r="S3287" t="str">
        <f t="shared" si="1195"/>
        <v>19:34:19.000</v>
      </c>
      <c r="T3287" t="str">
        <f t="shared" si="1195"/>
        <v>19:34:19.000</v>
      </c>
      <c r="U3287" t="str">
        <f t="shared" si="1188"/>
        <v>AC3944</v>
      </c>
      <c r="V3287">
        <v>0</v>
      </c>
      <c r="W3287">
        <v>0</v>
      </c>
      <c r="X3287">
        <v>2</v>
      </c>
      <c r="Y3287">
        <v>0</v>
      </c>
      <c r="AA3287">
        <v>1</v>
      </c>
      <c r="AB3287">
        <v>8</v>
      </c>
      <c r="AC3287">
        <v>3</v>
      </c>
      <c r="AD3287">
        <v>0</v>
      </c>
      <c r="AE3287">
        <v>9</v>
      </c>
      <c r="AF3287" t="s">
        <v>138</v>
      </c>
      <c r="AG3287">
        <v>0</v>
      </c>
      <c r="AH3287">
        <v>3</v>
      </c>
      <c r="AI3287">
        <v>1</v>
      </c>
      <c r="AJ3287">
        <v>0</v>
      </c>
      <c r="AK3287" t="s">
        <v>1088</v>
      </c>
      <c r="AL3287">
        <v>32.720525000000002</v>
      </c>
      <c r="AM3287" t="s">
        <v>1089</v>
      </c>
      <c r="AN3287">
        <v>-116.753941</v>
      </c>
      <c r="AO3287">
        <v>25</v>
      </c>
      <c r="AP3287">
        <v>3700</v>
      </c>
      <c r="AQ3287" t="s">
        <v>129</v>
      </c>
      <c r="AR3287">
        <v>-3</v>
      </c>
      <c r="AS3287">
        <v>136</v>
      </c>
      <c r="AT3287">
        <v>896</v>
      </c>
      <c r="BB3287">
        <v>1200</v>
      </c>
      <c r="BC3287">
        <v>1</v>
      </c>
      <c r="BD3287" t="str">
        <f t="shared" si="1189"/>
        <v xml:space="preserve">N887QR  </v>
      </c>
      <c r="BE3287">
        <v>1</v>
      </c>
      <c r="BG3287">
        <v>0</v>
      </c>
      <c r="BH3287">
        <v>0</v>
      </c>
      <c r="BI3287">
        <v>0</v>
      </c>
      <c r="BJ3287">
        <v>3375</v>
      </c>
      <c r="BK3287">
        <v>-325</v>
      </c>
      <c r="BL3287" t="s">
        <v>163</v>
      </c>
      <c r="BM3287">
        <v>1</v>
      </c>
      <c r="BN3287">
        <v>1</v>
      </c>
      <c r="BO3287">
        <v>1</v>
      </c>
      <c r="BP3287">
        <v>0</v>
      </c>
      <c r="BS3287">
        <v>0</v>
      </c>
      <c r="BT3287">
        <v>0</v>
      </c>
      <c r="BU3287">
        <v>0</v>
      </c>
      <c r="CE3287" t="str">
        <f t="shared" si="1196"/>
        <v>19:34:19.960</v>
      </c>
      <c r="CF3287">
        <v>959592680</v>
      </c>
      <c r="CS3287">
        <v>0</v>
      </c>
      <c r="CT3287">
        <v>2</v>
      </c>
      <c r="CU3287">
        <v>0</v>
      </c>
      <c r="CV3287">
        <v>2</v>
      </c>
      <c r="CW3287">
        <v>0</v>
      </c>
      <c r="CX3287">
        <v>6</v>
      </c>
      <c r="CY3287">
        <v>7</v>
      </c>
      <c r="CZ3287" t="s">
        <v>131</v>
      </c>
      <c r="DA3287">
        <v>286</v>
      </c>
      <c r="DB3287">
        <v>0</v>
      </c>
      <c r="DC3287" t="s">
        <v>132</v>
      </c>
      <c r="DD3287" t="s">
        <v>133</v>
      </c>
      <c r="DG3287">
        <v>872545</v>
      </c>
      <c r="DI3287">
        <v>0</v>
      </c>
      <c r="DJ3287">
        <v>0</v>
      </c>
      <c r="DK3287">
        <v>1</v>
      </c>
      <c r="DL3287">
        <v>0</v>
      </c>
      <c r="DM3287">
        <v>0</v>
      </c>
      <c r="DN3287">
        <v>1</v>
      </c>
      <c r="DO3287">
        <v>0</v>
      </c>
      <c r="DP3287">
        <v>0</v>
      </c>
      <c r="DQ3287">
        <v>0</v>
      </c>
      <c r="DR3287">
        <v>0</v>
      </c>
      <c r="DS3287">
        <v>0</v>
      </c>
    </row>
    <row r="3288" spans="1:123" x14ac:dyDescent="0.3">
      <c r="A3288" t="str">
        <f t="shared" si="1194"/>
        <v>10/04/2022 19:34:20.277</v>
      </c>
      <c r="C3288" t="str">
        <f t="shared" si="1179"/>
        <v>FFDFD3C0</v>
      </c>
      <c r="D3288" t="s">
        <v>136</v>
      </c>
      <c r="E3288">
        <v>8</v>
      </c>
      <c r="H3288">
        <v>225</v>
      </c>
      <c r="I3288" t="s">
        <v>137</v>
      </c>
      <c r="J3288" t="s">
        <v>138</v>
      </c>
      <c r="K3288">
        <v>0</v>
      </c>
      <c r="L3288">
        <v>3</v>
      </c>
      <c r="M3288">
        <v>0</v>
      </c>
      <c r="N3288">
        <v>2</v>
      </c>
      <c r="O3288">
        <v>0</v>
      </c>
      <c r="P3288">
        <v>1</v>
      </c>
      <c r="Q3288">
        <v>0</v>
      </c>
      <c r="S3288" t="str">
        <f t="shared" si="1195"/>
        <v>19:34:19.000</v>
      </c>
      <c r="T3288" t="str">
        <f t="shared" si="1195"/>
        <v>19:34:19.000</v>
      </c>
      <c r="U3288" t="str">
        <f t="shared" si="1188"/>
        <v>AC3944</v>
      </c>
      <c r="V3288">
        <v>0</v>
      </c>
      <c r="W3288">
        <v>0</v>
      </c>
      <c r="X3288">
        <v>2</v>
      </c>
      <c r="Y3288">
        <v>0</v>
      </c>
      <c r="AA3288">
        <v>1</v>
      </c>
      <c r="AB3288">
        <v>8</v>
      </c>
      <c r="AC3288">
        <v>3</v>
      </c>
      <c r="AD3288">
        <v>0</v>
      </c>
      <c r="AE3288">
        <v>9</v>
      </c>
      <c r="AF3288" t="s">
        <v>138</v>
      </c>
      <c r="AG3288">
        <v>0</v>
      </c>
      <c r="AH3288">
        <v>3</v>
      </c>
      <c r="AI3288">
        <v>1</v>
      </c>
      <c r="AJ3288">
        <v>0</v>
      </c>
      <c r="AK3288" t="s">
        <v>1088</v>
      </c>
      <c r="AL3288">
        <v>32.720525000000002</v>
      </c>
      <c r="AM3288" t="s">
        <v>1089</v>
      </c>
      <c r="AN3288">
        <v>-116.753941</v>
      </c>
      <c r="AO3288">
        <v>25</v>
      </c>
      <c r="AP3288">
        <v>3700</v>
      </c>
      <c r="AQ3288" t="s">
        <v>129</v>
      </c>
      <c r="AR3288">
        <v>-3</v>
      </c>
      <c r="AS3288">
        <v>136</v>
      </c>
      <c r="AT3288">
        <v>896</v>
      </c>
      <c r="BB3288">
        <v>1200</v>
      </c>
      <c r="BC3288">
        <v>1</v>
      </c>
      <c r="BD3288" t="str">
        <f t="shared" si="1189"/>
        <v xml:space="preserve">N887QR  </v>
      </c>
      <c r="BE3288">
        <v>1</v>
      </c>
      <c r="BG3288">
        <v>0</v>
      </c>
      <c r="BH3288">
        <v>0</v>
      </c>
      <c r="BI3288">
        <v>0</v>
      </c>
      <c r="BJ3288">
        <v>3375</v>
      </c>
      <c r="BK3288">
        <v>-325</v>
      </c>
      <c r="BL3288" t="s">
        <v>163</v>
      </c>
      <c r="BM3288">
        <v>1</v>
      </c>
      <c r="BN3288">
        <v>1</v>
      </c>
      <c r="BO3288">
        <v>1</v>
      </c>
      <c r="BP3288">
        <v>0</v>
      </c>
      <c r="BS3288">
        <v>0</v>
      </c>
      <c r="BT3288">
        <v>0</v>
      </c>
      <c r="BU3288">
        <v>0</v>
      </c>
      <c r="CE3288" t="str">
        <f t="shared" si="1196"/>
        <v>19:34:19.960</v>
      </c>
      <c r="CF3288">
        <v>959592680</v>
      </c>
      <c r="CS3288">
        <v>0</v>
      </c>
      <c r="CT3288">
        <v>2</v>
      </c>
      <c r="CU3288">
        <v>0</v>
      </c>
      <c r="CV3288">
        <v>2</v>
      </c>
      <c r="CW3288">
        <v>0</v>
      </c>
      <c r="CX3288">
        <v>6</v>
      </c>
      <c r="CY3288">
        <v>7</v>
      </c>
      <c r="CZ3288" t="s">
        <v>131</v>
      </c>
      <c r="DA3288">
        <v>286</v>
      </c>
      <c r="DB3288">
        <v>0</v>
      </c>
      <c r="DC3288" t="s">
        <v>132</v>
      </c>
      <c r="DD3288" t="s">
        <v>133</v>
      </c>
      <c r="DG3288">
        <v>872545</v>
      </c>
      <c r="DI3288">
        <v>0</v>
      </c>
      <c r="DJ3288">
        <v>0</v>
      </c>
      <c r="DK3288">
        <v>1</v>
      </c>
      <c r="DL3288">
        <v>0</v>
      </c>
      <c r="DM3288">
        <v>0</v>
      </c>
      <c r="DN3288">
        <v>1</v>
      </c>
      <c r="DO3288">
        <v>0</v>
      </c>
      <c r="DP3288">
        <v>0</v>
      </c>
      <c r="DQ3288">
        <v>0</v>
      </c>
      <c r="DR3288">
        <v>0</v>
      </c>
      <c r="DS3288">
        <v>0</v>
      </c>
    </row>
    <row r="3289" spans="1:123" x14ac:dyDescent="0.3">
      <c r="A3289" t="str">
        <f>"10/04/2022 19:34:21.667"</f>
        <v>10/04/2022 19:34:21.667</v>
      </c>
      <c r="C3289" t="str">
        <f t="shared" si="1179"/>
        <v>FFDFD3C0</v>
      </c>
      <c r="D3289" t="s">
        <v>136</v>
      </c>
      <c r="E3289">
        <v>8</v>
      </c>
      <c r="H3289">
        <v>225</v>
      </c>
      <c r="I3289" t="s">
        <v>137</v>
      </c>
      <c r="J3289" t="s">
        <v>138</v>
      </c>
      <c r="K3289">
        <v>0</v>
      </c>
      <c r="L3289">
        <v>3</v>
      </c>
      <c r="M3289">
        <v>0</v>
      </c>
      <c r="N3289">
        <v>2</v>
      </c>
      <c r="O3289">
        <v>0</v>
      </c>
      <c r="P3289">
        <v>1</v>
      </c>
      <c r="Q3289">
        <v>0</v>
      </c>
      <c r="S3289" t="str">
        <f t="shared" ref="S3289:T3302" si="1197">"19:34:21.000"</f>
        <v>19:34:21.000</v>
      </c>
      <c r="T3289" t="str">
        <f t="shared" si="1197"/>
        <v>19:34:21.000</v>
      </c>
      <c r="U3289" t="str">
        <f t="shared" si="1188"/>
        <v>AC3944</v>
      </c>
      <c r="V3289">
        <v>0</v>
      </c>
      <c r="W3289">
        <v>0</v>
      </c>
      <c r="X3289">
        <v>2</v>
      </c>
      <c r="Y3289">
        <v>0</v>
      </c>
      <c r="AA3289">
        <v>1</v>
      </c>
      <c r="AB3289">
        <v>8</v>
      </c>
      <c r="AC3289">
        <v>3</v>
      </c>
      <c r="AD3289">
        <v>0</v>
      </c>
      <c r="AE3289">
        <v>9</v>
      </c>
      <c r="AF3289" t="s">
        <v>138</v>
      </c>
      <c r="AG3289">
        <v>0</v>
      </c>
      <c r="AH3289">
        <v>3</v>
      </c>
      <c r="AI3289">
        <v>1</v>
      </c>
      <c r="AJ3289">
        <v>0</v>
      </c>
      <c r="AK3289" t="s">
        <v>998</v>
      </c>
      <c r="AL3289">
        <v>32.721169000000003</v>
      </c>
      <c r="AM3289" t="s">
        <v>1089</v>
      </c>
      <c r="AN3289">
        <v>-116.753941</v>
      </c>
      <c r="AO3289">
        <v>25</v>
      </c>
      <c r="AP3289">
        <v>3800</v>
      </c>
      <c r="AQ3289" t="s">
        <v>129</v>
      </c>
      <c r="AR3289">
        <v>16</v>
      </c>
      <c r="AS3289">
        <v>133</v>
      </c>
      <c r="AT3289">
        <v>1088</v>
      </c>
      <c r="BB3289">
        <v>1200</v>
      </c>
      <c r="BC3289">
        <v>1</v>
      </c>
      <c r="BD3289" t="str">
        <f t="shared" si="1189"/>
        <v xml:space="preserve">N887QR  </v>
      </c>
      <c r="BE3289">
        <v>1</v>
      </c>
      <c r="BG3289">
        <v>0</v>
      </c>
      <c r="BH3289">
        <v>0</v>
      </c>
      <c r="BI3289">
        <v>0</v>
      </c>
      <c r="BJ3289">
        <v>3450</v>
      </c>
      <c r="BK3289">
        <v>-350</v>
      </c>
      <c r="BL3289" t="s">
        <v>163</v>
      </c>
      <c r="BM3289">
        <v>1</v>
      </c>
      <c r="BN3289">
        <v>1</v>
      </c>
      <c r="BO3289">
        <v>1</v>
      </c>
      <c r="BP3289">
        <v>0</v>
      </c>
      <c r="BS3289">
        <v>0.04</v>
      </c>
      <c r="BT3289">
        <v>0</v>
      </c>
      <c r="BU3289">
        <v>0</v>
      </c>
      <c r="CE3289" t="str">
        <f t="shared" ref="CE3289:CE3295" si="1198">"19:34:21.461"</f>
        <v>19:34:21.461</v>
      </c>
      <c r="CF3289">
        <v>460847777</v>
      </c>
      <c r="CS3289">
        <v>0</v>
      </c>
      <c r="CT3289">
        <v>2</v>
      </c>
      <c r="CU3289">
        <v>0</v>
      </c>
      <c r="CV3289">
        <v>2</v>
      </c>
      <c r="CW3289">
        <v>1</v>
      </c>
      <c r="CX3289">
        <v>6</v>
      </c>
      <c r="CY3289">
        <v>7</v>
      </c>
      <c r="CZ3289" t="s">
        <v>131</v>
      </c>
      <c r="DA3289">
        <v>286</v>
      </c>
      <c r="DB3289">
        <v>0</v>
      </c>
      <c r="DC3289" t="s">
        <v>132</v>
      </c>
      <c r="DD3289" t="s">
        <v>133</v>
      </c>
      <c r="DG3289">
        <v>872912</v>
      </c>
      <c r="DI3289">
        <v>1</v>
      </c>
      <c r="DJ3289">
        <v>0</v>
      </c>
      <c r="DK3289">
        <v>0</v>
      </c>
      <c r="DL3289">
        <v>0</v>
      </c>
      <c r="DM3289">
        <v>0</v>
      </c>
      <c r="DN3289">
        <v>1</v>
      </c>
      <c r="DO3289">
        <v>0</v>
      </c>
      <c r="DP3289">
        <v>0</v>
      </c>
      <c r="DQ3289">
        <v>0</v>
      </c>
      <c r="DR3289">
        <v>0</v>
      </c>
      <c r="DS3289">
        <v>0</v>
      </c>
    </row>
    <row r="3290" spans="1:123" x14ac:dyDescent="0.3">
      <c r="A3290" t="str">
        <f>"10/04/2022 19:34:21.667"</f>
        <v>10/04/2022 19:34:21.667</v>
      </c>
      <c r="C3290" t="str">
        <f t="shared" si="1179"/>
        <v>FFDFD3C0</v>
      </c>
      <c r="D3290" t="s">
        <v>141</v>
      </c>
      <c r="E3290">
        <v>4</v>
      </c>
      <c r="H3290">
        <v>4</v>
      </c>
      <c r="I3290" t="s">
        <v>142</v>
      </c>
      <c r="J3290" t="s">
        <v>138</v>
      </c>
      <c r="K3290">
        <v>0</v>
      </c>
      <c r="L3290">
        <v>3</v>
      </c>
      <c r="M3290">
        <v>0</v>
      </c>
      <c r="N3290">
        <v>2</v>
      </c>
      <c r="O3290">
        <v>0</v>
      </c>
      <c r="P3290">
        <v>1</v>
      </c>
      <c r="Q3290">
        <v>0</v>
      </c>
      <c r="S3290" t="str">
        <f t="shared" si="1197"/>
        <v>19:34:21.000</v>
      </c>
      <c r="T3290" t="str">
        <f t="shared" si="1197"/>
        <v>19:34:21.000</v>
      </c>
      <c r="U3290" t="str">
        <f t="shared" si="1188"/>
        <v>AC3944</v>
      </c>
      <c r="V3290">
        <v>0</v>
      </c>
      <c r="W3290">
        <v>0</v>
      </c>
      <c r="X3290">
        <v>2</v>
      </c>
      <c r="Y3290">
        <v>0</v>
      </c>
      <c r="AA3290">
        <v>1</v>
      </c>
      <c r="AB3290">
        <v>8</v>
      </c>
      <c r="AC3290">
        <v>3</v>
      </c>
      <c r="AD3290">
        <v>0</v>
      </c>
      <c r="AE3290">
        <v>9</v>
      </c>
      <c r="AF3290" t="s">
        <v>138</v>
      </c>
      <c r="AG3290">
        <v>0</v>
      </c>
      <c r="AH3290">
        <v>3</v>
      </c>
      <c r="AI3290">
        <v>1</v>
      </c>
      <c r="AJ3290">
        <v>0</v>
      </c>
      <c r="AK3290" t="s">
        <v>998</v>
      </c>
      <c r="AL3290">
        <v>32.721169000000003</v>
      </c>
      <c r="AM3290" t="s">
        <v>1089</v>
      </c>
      <c r="AN3290">
        <v>-116.753941</v>
      </c>
      <c r="AO3290">
        <v>25</v>
      </c>
      <c r="AP3290">
        <v>3800</v>
      </c>
      <c r="AQ3290" t="s">
        <v>129</v>
      </c>
      <c r="AR3290">
        <v>16</v>
      </c>
      <c r="AS3290">
        <v>133</v>
      </c>
      <c r="AT3290">
        <v>1088</v>
      </c>
      <c r="BB3290">
        <v>1200</v>
      </c>
      <c r="BC3290">
        <v>1</v>
      </c>
      <c r="BD3290" t="str">
        <f t="shared" si="1189"/>
        <v xml:space="preserve">N887QR  </v>
      </c>
      <c r="BE3290">
        <v>1</v>
      </c>
      <c r="BG3290">
        <v>0</v>
      </c>
      <c r="BH3290">
        <v>0</v>
      </c>
      <c r="BI3290">
        <v>0</v>
      </c>
      <c r="BJ3290">
        <v>3450</v>
      </c>
      <c r="BK3290">
        <v>-350</v>
      </c>
      <c r="BL3290" t="s">
        <v>163</v>
      </c>
      <c r="BM3290">
        <v>1</v>
      </c>
      <c r="BN3290">
        <v>1</v>
      </c>
      <c r="BO3290">
        <v>1</v>
      </c>
      <c r="BP3290">
        <v>0</v>
      </c>
      <c r="BS3290">
        <v>0.04</v>
      </c>
      <c r="BT3290">
        <v>0</v>
      </c>
      <c r="BU3290">
        <v>0</v>
      </c>
      <c r="CE3290" t="str">
        <f t="shared" si="1198"/>
        <v>19:34:21.461</v>
      </c>
      <c r="CF3290">
        <v>460847777</v>
      </c>
      <c r="CS3290">
        <v>0</v>
      </c>
      <c r="CT3290">
        <v>2</v>
      </c>
      <c r="CU3290">
        <v>0</v>
      </c>
      <c r="CV3290">
        <v>2</v>
      </c>
      <c r="CW3290">
        <v>1</v>
      </c>
      <c r="CX3290">
        <v>6</v>
      </c>
      <c r="CY3290">
        <v>7</v>
      </c>
      <c r="CZ3290" t="s">
        <v>131</v>
      </c>
      <c r="DA3290">
        <v>286</v>
      </c>
      <c r="DB3290">
        <v>0</v>
      </c>
      <c r="DC3290" t="s">
        <v>132</v>
      </c>
      <c r="DD3290" t="s">
        <v>133</v>
      </c>
      <c r="DG3290">
        <v>872912</v>
      </c>
      <c r="DI3290">
        <v>1</v>
      </c>
      <c r="DJ3290">
        <v>0</v>
      </c>
      <c r="DK3290">
        <v>1</v>
      </c>
      <c r="DL3290">
        <v>0</v>
      </c>
      <c r="DM3290">
        <v>0</v>
      </c>
      <c r="DN3290">
        <v>1</v>
      </c>
      <c r="DO3290">
        <v>0</v>
      </c>
      <c r="DP3290">
        <v>0</v>
      </c>
      <c r="DQ3290">
        <v>0</v>
      </c>
      <c r="DR3290">
        <v>0</v>
      </c>
      <c r="DS3290">
        <v>0</v>
      </c>
    </row>
    <row r="3291" spans="1:123" x14ac:dyDescent="0.3">
      <c r="A3291" t="str">
        <f>"10/04/2022 19:34:21.667"</f>
        <v>10/04/2022 19:34:21.667</v>
      </c>
      <c r="C3291" t="str">
        <f t="shared" si="1179"/>
        <v>FFDFD3C0</v>
      </c>
      <c r="D3291" t="s">
        <v>134</v>
      </c>
      <c r="E3291">
        <v>15</v>
      </c>
      <c r="J3291" t="s">
        <v>135</v>
      </c>
      <c r="K3291">
        <v>0</v>
      </c>
      <c r="L3291">
        <v>3</v>
      </c>
      <c r="M3291">
        <v>0</v>
      </c>
      <c r="N3291">
        <v>2</v>
      </c>
      <c r="O3291">
        <v>0</v>
      </c>
      <c r="P3291">
        <v>1</v>
      </c>
      <c r="Q3291">
        <v>0</v>
      </c>
      <c r="S3291" t="str">
        <f t="shared" si="1197"/>
        <v>19:34:21.000</v>
      </c>
      <c r="T3291" t="str">
        <f t="shared" si="1197"/>
        <v>19:34:21.000</v>
      </c>
      <c r="U3291" t="str">
        <f t="shared" si="1188"/>
        <v>AC3944</v>
      </c>
      <c r="V3291">
        <v>0</v>
      </c>
      <c r="W3291">
        <v>0</v>
      </c>
      <c r="X3291">
        <v>2</v>
      </c>
      <c r="Y3291">
        <v>0</v>
      </c>
      <c r="AA3291">
        <v>1</v>
      </c>
      <c r="AB3291">
        <v>8</v>
      </c>
      <c r="AC3291">
        <v>3</v>
      </c>
      <c r="AD3291">
        <v>0</v>
      </c>
      <c r="AE3291">
        <v>9</v>
      </c>
      <c r="AF3291" t="s">
        <v>138</v>
      </c>
      <c r="AG3291">
        <v>0</v>
      </c>
      <c r="AH3291">
        <v>3</v>
      </c>
      <c r="AI3291">
        <v>1</v>
      </c>
      <c r="AJ3291">
        <v>0</v>
      </c>
      <c r="AK3291" t="s">
        <v>998</v>
      </c>
      <c r="AL3291">
        <v>32.721169000000003</v>
      </c>
      <c r="AM3291" t="s">
        <v>1089</v>
      </c>
      <c r="AN3291">
        <v>-116.753941</v>
      </c>
      <c r="AO3291">
        <v>25</v>
      </c>
      <c r="AP3291">
        <v>3800</v>
      </c>
      <c r="AQ3291" t="s">
        <v>129</v>
      </c>
      <c r="AR3291">
        <v>16</v>
      </c>
      <c r="AS3291">
        <v>133</v>
      </c>
      <c r="AT3291">
        <v>1088</v>
      </c>
      <c r="BB3291">
        <v>1200</v>
      </c>
      <c r="BC3291">
        <v>1</v>
      </c>
      <c r="BD3291" t="str">
        <f t="shared" si="1189"/>
        <v xml:space="preserve">N887QR  </v>
      </c>
      <c r="BE3291">
        <v>1</v>
      </c>
      <c r="BG3291">
        <v>0</v>
      </c>
      <c r="BH3291">
        <v>0</v>
      </c>
      <c r="BI3291">
        <v>0</v>
      </c>
      <c r="BJ3291">
        <v>3450</v>
      </c>
      <c r="BK3291">
        <v>-350</v>
      </c>
      <c r="BL3291" t="s">
        <v>163</v>
      </c>
      <c r="BM3291">
        <v>1</v>
      </c>
      <c r="BN3291">
        <v>1</v>
      </c>
      <c r="BO3291">
        <v>1</v>
      </c>
      <c r="BP3291">
        <v>0</v>
      </c>
      <c r="BS3291">
        <v>0.04</v>
      </c>
      <c r="BT3291">
        <v>0</v>
      </c>
      <c r="BU3291">
        <v>0</v>
      </c>
      <c r="CE3291" t="str">
        <f t="shared" si="1198"/>
        <v>19:34:21.461</v>
      </c>
      <c r="CF3291">
        <v>460847777</v>
      </c>
      <c r="CS3291">
        <v>0</v>
      </c>
      <c r="CT3291">
        <v>2</v>
      </c>
      <c r="CU3291">
        <v>0</v>
      </c>
      <c r="CV3291">
        <v>2</v>
      </c>
      <c r="CW3291">
        <v>1</v>
      </c>
      <c r="CX3291">
        <v>6</v>
      </c>
      <c r="CY3291">
        <v>7</v>
      </c>
      <c r="CZ3291" t="s">
        <v>131</v>
      </c>
      <c r="DA3291">
        <v>286</v>
      </c>
      <c r="DB3291">
        <v>0</v>
      </c>
      <c r="DC3291" t="s">
        <v>132</v>
      </c>
      <c r="DD3291" t="s">
        <v>133</v>
      </c>
      <c r="DG3291">
        <v>872912</v>
      </c>
      <c r="DI3291">
        <v>1</v>
      </c>
      <c r="DJ3291">
        <v>0</v>
      </c>
      <c r="DK3291">
        <v>1</v>
      </c>
      <c r="DL3291">
        <v>0</v>
      </c>
      <c r="DM3291">
        <v>0</v>
      </c>
      <c r="DN3291">
        <v>1</v>
      </c>
      <c r="DO3291">
        <v>0</v>
      </c>
      <c r="DP3291">
        <v>0</v>
      </c>
      <c r="DQ3291">
        <v>0</v>
      </c>
      <c r="DR3291">
        <v>0</v>
      </c>
      <c r="DS3291">
        <v>0</v>
      </c>
    </row>
    <row r="3292" spans="1:123" x14ac:dyDescent="0.3">
      <c r="A3292" t="str">
        <f>"10/04/2022 19:34:21.761"</f>
        <v>10/04/2022 19:34:21.761</v>
      </c>
      <c r="C3292" t="str">
        <f t="shared" si="1179"/>
        <v>FFDFD3C0</v>
      </c>
      <c r="D3292" t="s">
        <v>147</v>
      </c>
      <c r="E3292">
        <v>3</v>
      </c>
      <c r="H3292">
        <v>166</v>
      </c>
      <c r="I3292" t="s">
        <v>144</v>
      </c>
      <c r="J3292" t="s">
        <v>148</v>
      </c>
      <c r="K3292">
        <v>0</v>
      </c>
      <c r="L3292">
        <v>3</v>
      </c>
      <c r="M3292">
        <v>0</v>
      </c>
      <c r="N3292">
        <v>2</v>
      </c>
      <c r="O3292">
        <v>0</v>
      </c>
      <c r="P3292">
        <v>1</v>
      </c>
      <c r="Q3292">
        <v>0</v>
      </c>
      <c r="S3292" t="str">
        <f t="shared" si="1197"/>
        <v>19:34:21.000</v>
      </c>
      <c r="T3292" t="str">
        <f t="shared" si="1197"/>
        <v>19:34:21.000</v>
      </c>
      <c r="U3292" t="str">
        <f t="shared" si="1188"/>
        <v>AC3944</v>
      </c>
      <c r="V3292">
        <v>0</v>
      </c>
      <c r="W3292">
        <v>0</v>
      </c>
      <c r="X3292">
        <v>2</v>
      </c>
      <c r="Y3292">
        <v>0</v>
      </c>
      <c r="AA3292">
        <v>1</v>
      </c>
      <c r="AB3292">
        <v>8</v>
      </c>
      <c r="AC3292">
        <v>3</v>
      </c>
      <c r="AD3292">
        <v>0</v>
      </c>
      <c r="AE3292">
        <v>9</v>
      </c>
      <c r="AF3292" t="s">
        <v>138</v>
      </c>
      <c r="AG3292">
        <v>0</v>
      </c>
      <c r="AH3292">
        <v>3</v>
      </c>
      <c r="AI3292">
        <v>1</v>
      </c>
      <c r="AJ3292">
        <v>0</v>
      </c>
      <c r="AK3292" t="s">
        <v>998</v>
      </c>
      <c r="AL3292">
        <v>32.721169000000003</v>
      </c>
      <c r="AM3292" t="s">
        <v>1089</v>
      </c>
      <c r="AN3292">
        <v>-116.753941</v>
      </c>
      <c r="AO3292">
        <v>25</v>
      </c>
      <c r="AP3292">
        <v>3800</v>
      </c>
      <c r="AQ3292" t="s">
        <v>129</v>
      </c>
      <c r="AR3292">
        <v>16</v>
      </c>
      <c r="AS3292">
        <v>133</v>
      </c>
      <c r="AT3292">
        <v>1088</v>
      </c>
      <c r="BB3292">
        <v>1200</v>
      </c>
      <c r="BC3292">
        <v>1</v>
      </c>
      <c r="BD3292" t="str">
        <f t="shared" si="1189"/>
        <v xml:space="preserve">N887QR  </v>
      </c>
      <c r="BE3292">
        <v>1</v>
      </c>
      <c r="BG3292">
        <v>0</v>
      </c>
      <c r="BH3292">
        <v>0</v>
      </c>
      <c r="BI3292">
        <v>0</v>
      </c>
      <c r="BJ3292">
        <v>3450</v>
      </c>
      <c r="BK3292">
        <v>-350</v>
      </c>
      <c r="BL3292" t="s">
        <v>163</v>
      </c>
      <c r="BM3292">
        <v>1</v>
      </c>
      <c r="BN3292">
        <v>1</v>
      </c>
      <c r="BO3292">
        <v>1</v>
      </c>
      <c r="BP3292">
        <v>0</v>
      </c>
      <c r="BS3292">
        <v>0.04</v>
      </c>
      <c r="BT3292">
        <v>0</v>
      </c>
      <c r="BU3292">
        <v>0</v>
      </c>
      <c r="CE3292" t="str">
        <f t="shared" si="1198"/>
        <v>19:34:21.461</v>
      </c>
      <c r="CF3292">
        <v>460847777</v>
      </c>
      <c r="CS3292">
        <v>0</v>
      </c>
      <c r="CT3292">
        <v>2</v>
      </c>
      <c r="CU3292">
        <v>0</v>
      </c>
      <c r="CV3292">
        <v>2</v>
      </c>
      <c r="CW3292">
        <v>1</v>
      </c>
      <c r="CX3292">
        <v>6</v>
      </c>
      <c r="CY3292">
        <v>7</v>
      </c>
      <c r="CZ3292" t="s">
        <v>131</v>
      </c>
      <c r="DA3292">
        <v>286</v>
      </c>
      <c r="DB3292">
        <v>0</v>
      </c>
      <c r="DC3292" t="s">
        <v>132</v>
      </c>
      <c r="DD3292" t="s">
        <v>133</v>
      </c>
      <c r="DG3292">
        <v>872912</v>
      </c>
      <c r="DI3292">
        <v>1</v>
      </c>
      <c r="DJ3292">
        <v>0</v>
      </c>
      <c r="DK3292">
        <v>1</v>
      </c>
      <c r="DL3292">
        <v>0</v>
      </c>
      <c r="DM3292">
        <v>0</v>
      </c>
      <c r="DN3292">
        <v>1</v>
      </c>
      <c r="DO3292">
        <v>0</v>
      </c>
      <c r="DP3292">
        <v>0</v>
      </c>
      <c r="DQ3292">
        <v>0</v>
      </c>
      <c r="DR3292">
        <v>0</v>
      </c>
      <c r="DS3292">
        <v>0</v>
      </c>
    </row>
    <row r="3293" spans="1:123" x14ac:dyDescent="0.3">
      <c r="A3293" t="str">
        <f>"10/04/2022 19:34:21.761"</f>
        <v>10/04/2022 19:34:21.761</v>
      </c>
      <c r="C3293" t="str">
        <f t="shared" si="1179"/>
        <v>FFDFD3C0</v>
      </c>
      <c r="D3293" t="s">
        <v>143</v>
      </c>
      <c r="E3293">
        <v>20</v>
      </c>
      <c r="F3293">
        <v>1020</v>
      </c>
      <c r="G3293" t="s">
        <v>144</v>
      </c>
      <c r="J3293" t="s">
        <v>145</v>
      </c>
      <c r="K3293">
        <v>0</v>
      </c>
      <c r="L3293">
        <v>3</v>
      </c>
      <c r="M3293">
        <v>0</v>
      </c>
      <c r="N3293">
        <v>2</v>
      </c>
      <c r="O3293">
        <v>0</v>
      </c>
      <c r="P3293">
        <v>1</v>
      </c>
      <c r="Q3293">
        <v>0</v>
      </c>
      <c r="S3293" t="str">
        <f t="shared" si="1197"/>
        <v>19:34:21.000</v>
      </c>
      <c r="T3293" t="str">
        <f t="shared" si="1197"/>
        <v>19:34:21.000</v>
      </c>
      <c r="U3293" t="str">
        <f t="shared" si="1188"/>
        <v>AC3944</v>
      </c>
      <c r="V3293">
        <v>0</v>
      </c>
      <c r="W3293">
        <v>0</v>
      </c>
      <c r="X3293">
        <v>2</v>
      </c>
      <c r="Y3293">
        <v>0</v>
      </c>
      <c r="AA3293">
        <v>1</v>
      </c>
      <c r="AB3293">
        <v>8</v>
      </c>
      <c r="AC3293">
        <v>3</v>
      </c>
      <c r="AD3293">
        <v>0</v>
      </c>
      <c r="AE3293">
        <v>9</v>
      </c>
      <c r="AF3293" t="s">
        <v>138</v>
      </c>
      <c r="AG3293">
        <v>0</v>
      </c>
      <c r="AH3293">
        <v>3</v>
      </c>
      <c r="AI3293">
        <v>1</v>
      </c>
      <c r="AJ3293">
        <v>0</v>
      </c>
      <c r="AK3293" t="s">
        <v>998</v>
      </c>
      <c r="AL3293">
        <v>32.721169000000003</v>
      </c>
      <c r="AM3293" t="s">
        <v>1089</v>
      </c>
      <c r="AN3293">
        <v>-116.753941</v>
      </c>
      <c r="AO3293">
        <v>25</v>
      </c>
      <c r="AP3293">
        <v>3800</v>
      </c>
      <c r="AQ3293" t="s">
        <v>129</v>
      </c>
      <c r="AR3293">
        <v>16</v>
      </c>
      <c r="AS3293">
        <v>133</v>
      </c>
      <c r="AT3293">
        <v>1088</v>
      </c>
      <c r="BB3293">
        <v>1200</v>
      </c>
      <c r="BC3293">
        <v>1</v>
      </c>
      <c r="BD3293" t="str">
        <f t="shared" si="1189"/>
        <v xml:space="preserve">N887QR  </v>
      </c>
      <c r="BE3293">
        <v>1</v>
      </c>
      <c r="BG3293">
        <v>0</v>
      </c>
      <c r="BH3293">
        <v>0</v>
      </c>
      <c r="BI3293">
        <v>0</v>
      </c>
      <c r="BJ3293">
        <v>3450</v>
      </c>
      <c r="BK3293">
        <v>-350</v>
      </c>
      <c r="BL3293" t="s">
        <v>163</v>
      </c>
      <c r="BM3293">
        <v>1</v>
      </c>
      <c r="BN3293">
        <v>1</v>
      </c>
      <c r="BO3293">
        <v>1</v>
      </c>
      <c r="BP3293">
        <v>0</v>
      </c>
      <c r="BS3293">
        <v>0.04</v>
      </c>
      <c r="BT3293">
        <v>0</v>
      </c>
      <c r="BU3293">
        <v>0</v>
      </c>
      <c r="CE3293" t="str">
        <f t="shared" si="1198"/>
        <v>19:34:21.461</v>
      </c>
      <c r="CF3293">
        <v>460847777</v>
      </c>
      <c r="CS3293">
        <v>0</v>
      </c>
      <c r="CT3293">
        <v>2</v>
      </c>
      <c r="CU3293">
        <v>0</v>
      </c>
      <c r="CV3293">
        <v>2</v>
      </c>
      <c r="CW3293">
        <v>1</v>
      </c>
      <c r="CX3293">
        <v>6</v>
      </c>
      <c r="CY3293">
        <v>7</v>
      </c>
      <c r="CZ3293" t="s">
        <v>131</v>
      </c>
      <c r="DA3293">
        <v>286</v>
      </c>
      <c r="DB3293">
        <v>0</v>
      </c>
      <c r="DC3293" t="s">
        <v>132</v>
      </c>
      <c r="DD3293" t="s">
        <v>133</v>
      </c>
      <c r="DG3293">
        <v>872912</v>
      </c>
      <c r="DI3293">
        <v>1</v>
      </c>
      <c r="DJ3293">
        <v>0</v>
      </c>
      <c r="DK3293">
        <v>1</v>
      </c>
      <c r="DL3293">
        <v>0</v>
      </c>
      <c r="DM3293">
        <v>0</v>
      </c>
      <c r="DN3293">
        <v>1</v>
      </c>
      <c r="DO3293">
        <v>0</v>
      </c>
      <c r="DP3293">
        <v>0</v>
      </c>
      <c r="DQ3293">
        <v>0</v>
      </c>
      <c r="DR3293">
        <v>0</v>
      </c>
      <c r="DS3293">
        <v>0</v>
      </c>
    </row>
    <row r="3294" spans="1:123" x14ac:dyDescent="0.3">
      <c r="A3294" t="str">
        <f>"10/04/2022 19:34:21.761"</f>
        <v>10/04/2022 19:34:21.761</v>
      </c>
      <c r="C3294" t="str">
        <f t="shared" si="1179"/>
        <v>FFDFD3C0</v>
      </c>
      <c r="D3294" t="s">
        <v>141</v>
      </c>
      <c r="E3294">
        <v>3</v>
      </c>
      <c r="H3294">
        <v>3</v>
      </c>
      <c r="I3294" t="s">
        <v>146</v>
      </c>
      <c r="J3294" t="s">
        <v>138</v>
      </c>
      <c r="K3294">
        <v>0</v>
      </c>
      <c r="L3294">
        <v>3</v>
      </c>
      <c r="M3294">
        <v>0</v>
      </c>
      <c r="N3294">
        <v>2</v>
      </c>
      <c r="O3294">
        <v>0</v>
      </c>
      <c r="P3294">
        <v>1</v>
      </c>
      <c r="Q3294">
        <v>0</v>
      </c>
      <c r="S3294" t="str">
        <f t="shared" si="1197"/>
        <v>19:34:21.000</v>
      </c>
      <c r="T3294" t="str">
        <f t="shared" si="1197"/>
        <v>19:34:21.000</v>
      </c>
      <c r="U3294" t="str">
        <f t="shared" si="1188"/>
        <v>AC3944</v>
      </c>
      <c r="V3294">
        <v>0</v>
      </c>
      <c r="W3294">
        <v>0</v>
      </c>
      <c r="X3294">
        <v>2</v>
      </c>
      <c r="Y3294">
        <v>0</v>
      </c>
      <c r="AA3294">
        <v>1</v>
      </c>
      <c r="AB3294">
        <v>8</v>
      </c>
      <c r="AC3294">
        <v>3</v>
      </c>
      <c r="AD3294">
        <v>0</v>
      </c>
      <c r="AE3294">
        <v>9</v>
      </c>
      <c r="AF3294" t="s">
        <v>138</v>
      </c>
      <c r="AG3294">
        <v>0</v>
      </c>
      <c r="AH3294">
        <v>3</v>
      </c>
      <c r="AI3294">
        <v>1</v>
      </c>
      <c r="AJ3294">
        <v>0</v>
      </c>
      <c r="AK3294" t="s">
        <v>998</v>
      </c>
      <c r="AL3294">
        <v>32.721169000000003</v>
      </c>
      <c r="AM3294" t="s">
        <v>1089</v>
      </c>
      <c r="AN3294">
        <v>-116.753941</v>
      </c>
      <c r="AO3294">
        <v>25</v>
      </c>
      <c r="AP3294">
        <v>3800</v>
      </c>
      <c r="AQ3294" t="s">
        <v>129</v>
      </c>
      <c r="AR3294">
        <v>16</v>
      </c>
      <c r="AS3294">
        <v>133</v>
      </c>
      <c r="AT3294">
        <v>1088</v>
      </c>
      <c r="BB3294">
        <v>1200</v>
      </c>
      <c r="BC3294">
        <v>1</v>
      </c>
      <c r="BD3294" t="str">
        <f t="shared" si="1189"/>
        <v xml:space="preserve">N887QR  </v>
      </c>
      <c r="BE3294">
        <v>1</v>
      </c>
      <c r="BG3294">
        <v>0</v>
      </c>
      <c r="BH3294">
        <v>0</v>
      </c>
      <c r="BI3294">
        <v>0</v>
      </c>
      <c r="BJ3294">
        <v>3450</v>
      </c>
      <c r="BK3294">
        <v>-350</v>
      </c>
      <c r="BL3294" t="s">
        <v>163</v>
      </c>
      <c r="BM3294">
        <v>1</v>
      </c>
      <c r="BN3294">
        <v>1</v>
      </c>
      <c r="BO3294">
        <v>1</v>
      </c>
      <c r="BP3294">
        <v>0</v>
      </c>
      <c r="BS3294">
        <v>0.04</v>
      </c>
      <c r="BT3294">
        <v>0</v>
      </c>
      <c r="BU3294">
        <v>0</v>
      </c>
      <c r="CE3294" t="str">
        <f t="shared" si="1198"/>
        <v>19:34:21.461</v>
      </c>
      <c r="CF3294">
        <v>460847777</v>
      </c>
      <c r="CS3294">
        <v>0</v>
      </c>
      <c r="CT3294">
        <v>2</v>
      </c>
      <c r="CU3294">
        <v>0</v>
      </c>
      <c r="CV3294">
        <v>2</v>
      </c>
      <c r="CW3294">
        <v>1</v>
      </c>
      <c r="CX3294">
        <v>6</v>
      </c>
      <c r="CY3294">
        <v>7</v>
      </c>
      <c r="CZ3294" t="s">
        <v>131</v>
      </c>
      <c r="DA3294">
        <v>286</v>
      </c>
      <c r="DB3294">
        <v>0</v>
      </c>
      <c r="DC3294" t="s">
        <v>132</v>
      </c>
      <c r="DD3294" t="s">
        <v>133</v>
      </c>
      <c r="DG3294">
        <v>872912</v>
      </c>
      <c r="DI3294">
        <v>1</v>
      </c>
      <c r="DJ3294">
        <v>0</v>
      </c>
      <c r="DK3294">
        <v>1</v>
      </c>
      <c r="DL3294">
        <v>0</v>
      </c>
      <c r="DM3294">
        <v>0</v>
      </c>
      <c r="DN3294">
        <v>1</v>
      </c>
      <c r="DO3294">
        <v>0</v>
      </c>
      <c r="DP3294">
        <v>0</v>
      </c>
      <c r="DQ3294">
        <v>0</v>
      </c>
      <c r="DR3294">
        <v>0</v>
      </c>
      <c r="DS3294">
        <v>0</v>
      </c>
    </row>
    <row r="3295" spans="1:123" x14ac:dyDescent="0.3">
      <c r="A3295" t="str">
        <f>"10/04/2022 19:34:21.761"</f>
        <v>10/04/2022 19:34:21.761</v>
      </c>
      <c r="C3295" t="str">
        <f t="shared" si="1179"/>
        <v>FFDFD3C0</v>
      </c>
      <c r="D3295" t="s">
        <v>123</v>
      </c>
      <c r="E3295">
        <v>7</v>
      </c>
      <c r="F3295">
        <v>2007</v>
      </c>
      <c r="G3295" t="s">
        <v>124</v>
      </c>
      <c r="J3295" t="s">
        <v>125</v>
      </c>
      <c r="K3295">
        <v>0</v>
      </c>
      <c r="L3295">
        <v>3</v>
      </c>
      <c r="M3295">
        <v>0</v>
      </c>
      <c r="N3295">
        <v>2</v>
      </c>
      <c r="O3295">
        <v>0</v>
      </c>
      <c r="P3295">
        <v>1</v>
      </c>
      <c r="Q3295">
        <v>0</v>
      </c>
      <c r="S3295" t="str">
        <f t="shared" si="1197"/>
        <v>19:34:21.000</v>
      </c>
      <c r="T3295" t="str">
        <f t="shared" si="1197"/>
        <v>19:34:21.000</v>
      </c>
      <c r="U3295" t="str">
        <f t="shared" si="1188"/>
        <v>AC3944</v>
      </c>
      <c r="V3295">
        <v>0</v>
      </c>
      <c r="W3295">
        <v>0</v>
      </c>
      <c r="X3295">
        <v>2</v>
      </c>
      <c r="Y3295">
        <v>0</v>
      </c>
      <c r="AA3295">
        <v>1</v>
      </c>
      <c r="AB3295">
        <v>8</v>
      </c>
      <c r="AC3295">
        <v>3</v>
      </c>
      <c r="AD3295">
        <v>0</v>
      </c>
      <c r="AE3295">
        <v>9</v>
      </c>
      <c r="AF3295" t="s">
        <v>138</v>
      </c>
      <c r="AG3295">
        <v>0</v>
      </c>
      <c r="AH3295">
        <v>3</v>
      </c>
      <c r="AI3295">
        <v>1</v>
      </c>
      <c r="AJ3295">
        <v>0</v>
      </c>
      <c r="AK3295" t="s">
        <v>998</v>
      </c>
      <c r="AL3295">
        <v>32.721169000000003</v>
      </c>
      <c r="AM3295" t="s">
        <v>1089</v>
      </c>
      <c r="AN3295">
        <v>-116.753941</v>
      </c>
      <c r="AO3295">
        <v>25</v>
      </c>
      <c r="AP3295">
        <v>3800</v>
      </c>
      <c r="AQ3295" t="s">
        <v>129</v>
      </c>
      <c r="AR3295">
        <v>16</v>
      </c>
      <c r="AS3295">
        <v>133</v>
      </c>
      <c r="AT3295">
        <v>1088</v>
      </c>
      <c r="BB3295">
        <v>1200</v>
      </c>
      <c r="BC3295">
        <v>1</v>
      </c>
      <c r="BD3295" t="str">
        <f t="shared" si="1189"/>
        <v xml:space="preserve">N887QR  </v>
      </c>
      <c r="BE3295">
        <v>1</v>
      </c>
      <c r="BG3295">
        <v>0</v>
      </c>
      <c r="BH3295">
        <v>0</v>
      </c>
      <c r="BI3295">
        <v>0</v>
      </c>
      <c r="BJ3295">
        <v>3450</v>
      </c>
      <c r="BK3295">
        <v>-350</v>
      </c>
      <c r="BL3295" t="s">
        <v>163</v>
      </c>
      <c r="BM3295">
        <v>1</v>
      </c>
      <c r="BN3295">
        <v>1</v>
      </c>
      <c r="BO3295">
        <v>1</v>
      </c>
      <c r="BP3295">
        <v>0</v>
      </c>
      <c r="BS3295">
        <v>0.04</v>
      </c>
      <c r="BT3295">
        <v>0</v>
      </c>
      <c r="BU3295">
        <v>0</v>
      </c>
      <c r="CE3295" t="str">
        <f t="shared" si="1198"/>
        <v>19:34:21.461</v>
      </c>
      <c r="CF3295">
        <v>460847777</v>
      </c>
      <c r="CS3295">
        <v>0</v>
      </c>
      <c r="CT3295">
        <v>2</v>
      </c>
      <c r="CU3295">
        <v>0</v>
      </c>
      <c r="CV3295">
        <v>2</v>
      </c>
      <c r="CW3295">
        <v>1</v>
      </c>
      <c r="CX3295">
        <v>6</v>
      </c>
      <c r="CY3295">
        <v>7</v>
      </c>
      <c r="CZ3295" t="s">
        <v>131</v>
      </c>
      <c r="DA3295">
        <v>286</v>
      </c>
      <c r="DB3295">
        <v>0</v>
      </c>
      <c r="DC3295" t="s">
        <v>132</v>
      </c>
      <c r="DD3295" t="s">
        <v>133</v>
      </c>
      <c r="DG3295">
        <v>872912</v>
      </c>
      <c r="DI3295">
        <v>1</v>
      </c>
      <c r="DJ3295">
        <v>0</v>
      </c>
      <c r="DK3295">
        <v>1</v>
      </c>
      <c r="DL3295">
        <v>0</v>
      </c>
      <c r="DM3295">
        <v>0</v>
      </c>
      <c r="DN3295">
        <v>1</v>
      </c>
      <c r="DO3295">
        <v>0</v>
      </c>
      <c r="DP3295">
        <v>0</v>
      </c>
      <c r="DQ3295">
        <v>0</v>
      </c>
      <c r="DR3295">
        <v>0</v>
      </c>
      <c r="DS3295">
        <v>0</v>
      </c>
    </row>
    <row r="3296" spans="1:123" x14ac:dyDescent="0.3">
      <c r="A3296" t="str">
        <f t="shared" ref="A3296:A3302" si="1199">"10/04/2022 19:34:22.151"</f>
        <v>10/04/2022 19:34:22.151</v>
      </c>
      <c r="C3296" t="str">
        <f t="shared" si="1179"/>
        <v>FFDFD3C0</v>
      </c>
      <c r="D3296" t="s">
        <v>123</v>
      </c>
      <c r="E3296">
        <v>7</v>
      </c>
      <c r="F3296">
        <v>2007</v>
      </c>
      <c r="G3296" t="s">
        <v>124</v>
      </c>
      <c r="J3296" t="s">
        <v>125</v>
      </c>
      <c r="K3296">
        <v>0</v>
      </c>
      <c r="L3296">
        <v>3</v>
      </c>
      <c r="M3296">
        <v>0</v>
      </c>
      <c r="N3296">
        <v>2</v>
      </c>
      <c r="O3296">
        <v>0</v>
      </c>
      <c r="P3296">
        <v>1</v>
      </c>
      <c r="Q3296">
        <v>0</v>
      </c>
      <c r="S3296" t="str">
        <f t="shared" si="1197"/>
        <v>19:34:21.000</v>
      </c>
      <c r="T3296" t="str">
        <f t="shared" si="1197"/>
        <v>19:34:21.000</v>
      </c>
      <c r="U3296" t="str">
        <f t="shared" si="1188"/>
        <v>AC3944</v>
      </c>
      <c r="V3296">
        <v>0</v>
      </c>
      <c r="W3296">
        <v>0</v>
      </c>
      <c r="X3296">
        <v>2</v>
      </c>
      <c r="Y3296">
        <v>0</v>
      </c>
      <c r="AA3296">
        <v>1</v>
      </c>
      <c r="AB3296">
        <v>8</v>
      </c>
      <c r="AC3296">
        <v>3</v>
      </c>
      <c r="AD3296">
        <v>0</v>
      </c>
      <c r="AE3296">
        <v>9</v>
      </c>
      <c r="AF3296" t="s">
        <v>138</v>
      </c>
      <c r="AG3296">
        <v>0</v>
      </c>
      <c r="AH3296">
        <v>3</v>
      </c>
      <c r="AI3296">
        <v>1</v>
      </c>
      <c r="AJ3296">
        <v>0</v>
      </c>
      <c r="AK3296" t="s">
        <v>1090</v>
      </c>
      <c r="AL3296">
        <v>32.721899000000001</v>
      </c>
      <c r="AM3296" t="s">
        <v>1091</v>
      </c>
      <c r="AN3296">
        <v>-116.75387600000001</v>
      </c>
      <c r="AO3296">
        <v>25</v>
      </c>
      <c r="AP3296">
        <v>3800</v>
      </c>
      <c r="AQ3296" t="s">
        <v>129</v>
      </c>
      <c r="AR3296">
        <v>21</v>
      </c>
      <c r="AS3296">
        <v>131</v>
      </c>
      <c r="AT3296">
        <v>1088</v>
      </c>
      <c r="BB3296">
        <v>1200</v>
      </c>
      <c r="BC3296">
        <v>1</v>
      </c>
      <c r="BD3296" t="str">
        <f t="shared" si="1189"/>
        <v xml:space="preserve">N887QR  </v>
      </c>
      <c r="BE3296">
        <v>1</v>
      </c>
      <c r="BG3296">
        <v>0</v>
      </c>
      <c r="BH3296">
        <v>0</v>
      </c>
      <c r="BI3296">
        <v>0</v>
      </c>
      <c r="BJ3296">
        <v>3450</v>
      </c>
      <c r="BK3296">
        <v>-350</v>
      </c>
      <c r="BL3296" t="s">
        <v>163</v>
      </c>
      <c r="BM3296">
        <v>1</v>
      </c>
      <c r="BN3296">
        <v>1</v>
      </c>
      <c r="BO3296">
        <v>1</v>
      </c>
      <c r="BP3296">
        <v>0</v>
      </c>
      <c r="BS3296">
        <v>0.04</v>
      </c>
      <c r="BT3296">
        <v>0</v>
      </c>
      <c r="BU3296">
        <v>0</v>
      </c>
      <c r="CE3296" t="str">
        <f t="shared" ref="CE3296:CE3302" si="1200">"19:34:21.876"</f>
        <v>19:34:21.876</v>
      </c>
      <c r="CF3296">
        <v>875599182</v>
      </c>
      <c r="CS3296">
        <v>0</v>
      </c>
      <c r="CT3296">
        <v>2</v>
      </c>
      <c r="CU3296">
        <v>0</v>
      </c>
      <c r="CV3296">
        <v>2</v>
      </c>
      <c r="CW3296">
        <v>1</v>
      </c>
      <c r="CX3296">
        <v>6</v>
      </c>
      <c r="CY3296">
        <v>7</v>
      </c>
      <c r="CZ3296" t="s">
        <v>131</v>
      </c>
      <c r="DA3296">
        <v>286</v>
      </c>
      <c r="DB3296">
        <v>0</v>
      </c>
      <c r="DC3296" t="s">
        <v>132</v>
      </c>
      <c r="DD3296" t="s">
        <v>133</v>
      </c>
      <c r="DG3296">
        <v>873067</v>
      </c>
      <c r="DI3296">
        <v>1</v>
      </c>
      <c r="DJ3296">
        <v>0</v>
      </c>
      <c r="DK3296">
        <v>0</v>
      </c>
      <c r="DL3296">
        <v>0</v>
      </c>
      <c r="DM3296">
        <v>0</v>
      </c>
      <c r="DN3296">
        <v>1</v>
      </c>
      <c r="DO3296">
        <v>0</v>
      </c>
      <c r="DP3296">
        <v>0</v>
      </c>
      <c r="DQ3296">
        <v>0</v>
      </c>
      <c r="DR3296">
        <v>0</v>
      </c>
      <c r="DS3296">
        <v>0</v>
      </c>
    </row>
    <row r="3297" spans="1:123" x14ac:dyDescent="0.3">
      <c r="A3297" t="str">
        <f t="shared" si="1199"/>
        <v>10/04/2022 19:34:22.151</v>
      </c>
      <c r="C3297" t="str">
        <f t="shared" si="1179"/>
        <v>FFDFD3C0</v>
      </c>
      <c r="D3297" t="s">
        <v>136</v>
      </c>
      <c r="E3297">
        <v>8</v>
      </c>
      <c r="H3297">
        <v>225</v>
      </c>
      <c r="I3297" t="s">
        <v>137</v>
      </c>
      <c r="J3297" t="s">
        <v>138</v>
      </c>
      <c r="K3297">
        <v>0</v>
      </c>
      <c r="L3297">
        <v>3</v>
      </c>
      <c r="M3297">
        <v>0</v>
      </c>
      <c r="N3297">
        <v>2</v>
      </c>
      <c r="O3297">
        <v>0</v>
      </c>
      <c r="P3297">
        <v>1</v>
      </c>
      <c r="Q3297">
        <v>0</v>
      </c>
      <c r="S3297" t="str">
        <f t="shared" si="1197"/>
        <v>19:34:21.000</v>
      </c>
      <c r="T3297" t="str">
        <f t="shared" si="1197"/>
        <v>19:34:21.000</v>
      </c>
      <c r="U3297" t="str">
        <f t="shared" si="1188"/>
        <v>AC3944</v>
      </c>
      <c r="V3297">
        <v>0</v>
      </c>
      <c r="W3297">
        <v>0</v>
      </c>
      <c r="X3297">
        <v>2</v>
      </c>
      <c r="Y3297">
        <v>0</v>
      </c>
      <c r="AA3297">
        <v>1</v>
      </c>
      <c r="AB3297">
        <v>8</v>
      </c>
      <c r="AC3297">
        <v>3</v>
      </c>
      <c r="AD3297">
        <v>0</v>
      </c>
      <c r="AE3297">
        <v>9</v>
      </c>
      <c r="AF3297" t="s">
        <v>138</v>
      </c>
      <c r="AG3297">
        <v>0</v>
      </c>
      <c r="AH3297">
        <v>3</v>
      </c>
      <c r="AI3297">
        <v>1</v>
      </c>
      <c r="AJ3297">
        <v>0</v>
      </c>
      <c r="AK3297" t="s">
        <v>1090</v>
      </c>
      <c r="AL3297">
        <v>32.721899000000001</v>
      </c>
      <c r="AM3297" t="s">
        <v>1091</v>
      </c>
      <c r="AN3297">
        <v>-116.75387600000001</v>
      </c>
      <c r="AO3297">
        <v>25</v>
      </c>
      <c r="AP3297">
        <v>3800</v>
      </c>
      <c r="AQ3297" t="s">
        <v>129</v>
      </c>
      <c r="AR3297">
        <v>21</v>
      </c>
      <c r="AS3297">
        <v>131</v>
      </c>
      <c r="AT3297">
        <v>1088</v>
      </c>
      <c r="BB3297">
        <v>1200</v>
      </c>
      <c r="BC3297">
        <v>1</v>
      </c>
      <c r="BD3297" t="str">
        <f t="shared" si="1189"/>
        <v xml:space="preserve">N887QR  </v>
      </c>
      <c r="BE3297">
        <v>1</v>
      </c>
      <c r="BG3297">
        <v>0</v>
      </c>
      <c r="BH3297">
        <v>0</v>
      </c>
      <c r="BI3297">
        <v>0</v>
      </c>
      <c r="BJ3297">
        <v>3450</v>
      </c>
      <c r="BK3297">
        <v>-350</v>
      </c>
      <c r="BL3297" t="s">
        <v>163</v>
      </c>
      <c r="BM3297">
        <v>1</v>
      </c>
      <c r="BN3297">
        <v>1</v>
      </c>
      <c r="BO3297">
        <v>1</v>
      </c>
      <c r="BP3297">
        <v>0</v>
      </c>
      <c r="BS3297">
        <v>0.04</v>
      </c>
      <c r="BT3297">
        <v>0</v>
      </c>
      <c r="BU3297">
        <v>0</v>
      </c>
      <c r="CE3297" t="str">
        <f t="shared" si="1200"/>
        <v>19:34:21.876</v>
      </c>
      <c r="CF3297">
        <v>875599182</v>
      </c>
      <c r="CS3297">
        <v>0</v>
      </c>
      <c r="CT3297">
        <v>2</v>
      </c>
      <c r="CU3297">
        <v>0</v>
      </c>
      <c r="CV3297">
        <v>2</v>
      </c>
      <c r="CW3297">
        <v>1</v>
      </c>
      <c r="CX3297">
        <v>6</v>
      </c>
      <c r="CY3297">
        <v>7</v>
      </c>
      <c r="CZ3297" t="s">
        <v>131</v>
      </c>
      <c r="DA3297">
        <v>286</v>
      </c>
      <c r="DB3297">
        <v>0</v>
      </c>
      <c r="DC3297" t="s">
        <v>132</v>
      </c>
      <c r="DD3297" t="s">
        <v>133</v>
      </c>
      <c r="DG3297">
        <v>873067</v>
      </c>
      <c r="DI3297">
        <v>1</v>
      </c>
      <c r="DJ3297">
        <v>0</v>
      </c>
      <c r="DK3297">
        <v>1</v>
      </c>
      <c r="DL3297">
        <v>0</v>
      </c>
      <c r="DM3297">
        <v>0</v>
      </c>
      <c r="DN3297">
        <v>1</v>
      </c>
      <c r="DO3297">
        <v>0</v>
      </c>
      <c r="DP3297">
        <v>0</v>
      </c>
      <c r="DQ3297">
        <v>0</v>
      </c>
      <c r="DR3297">
        <v>0</v>
      </c>
      <c r="DS3297">
        <v>0</v>
      </c>
    </row>
    <row r="3298" spans="1:123" x14ac:dyDescent="0.3">
      <c r="A3298" t="str">
        <f t="shared" si="1199"/>
        <v>10/04/2022 19:34:22.151</v>
      </c>
      <c r="C3298" t="str">
        <f t="shared" si="1179"/>
        <v>FFDFD3C0</v>
      </c>
      <c r="D3298" t="s">
        <v>134</v>
      </c>
      <c r="E3298">
        <v>15</v>
      </c>
      <c r="J3298" t="s">
        <v>135</v>
      </c>
      <c r="K3298">
        <v>0</v>
      </c>
      <c r="L3298">
        <v>3</v>
      </c>
      <c r="M3298">
        <v>0</v>
      </c>
      <c r="N3298">
        <v>2</v>
      </c>
      <c r="O3298">
        <v>0</v>
      </c>
      <c r="P3298">
        <v>1</v>
      </c>
      <c r="Q3298">
        <v>0</v>
      </c>
      <c r="S3298" t="str">
        <f t="shared" si="1197"/>
        <v>19:34:21.000</v>
      </c>
      <c r="T3298" t="str">
        <f t="shared" si="1197"/>
        <v>19:34:21.000</v>
      </c>
      <c r="U3298" t="str">
        <f t="shared" si="1188"/>
        <v>AC3944</v>
      </c>
      <c r="V3298">
        <v>0</v>
      </c>
      <c r="W3298">
        <v>0</v>
      </c>
      <c r="X3298">
        <v>2</v>
      </c>
      <c r="Y3298">
        <v>0</v>
      </c>
      <c r="AA3298">
        <v>1</v>
      </c>
      <c r="AB3298">
        <v>8</v>
      </c>
      <c r="AC3298">
        <v>3</v>
      </c>
      <c r="AD3298">
        <v>0</v>
      </c>
      <c r="AE3298">
        <v>9</v>
      </c>
      <c r="AF3298" t="s">
        <v>138</v>
      </c>
      <c r="AG3298">
        <v>0</v>
      </c>
      <c r="AH3298">
        <v>3</v>
      </c>
      <c r="AI3298">
        <v>1</v>
      </c>
      <c r="AJ3298">
        <v>0</v>
      </c>
      <c r="AK3298" t="s">
        <v>1090</v>
      </c>
      <c r="AL3298">
        <v>32.721899000000001</v>
      </c>
      <c r="AM3298" t="s">
        <v>1091</v>
      </c>
      <c r="AN3298">
        <v>-116.75387600000001</v>
      </c>
      <c r="AO3298">
        <v>25</v>
      </c>
      <c r="AP3298">
        <v>3800</v>
      </c>
      <c r="AQ3298" t="s">
        <v>129</v>
      </c>
      <c r="AR3298">
        <v>21</v>
      </c>
      <c r="AS3298">
        <v>131</v>
      </c>
      <c r="AT3298">
        <v>1088</v>
      </c>
      <c r="BB3298">
        <v>1200</v>
      </c>
      <c r="BC3298">
        <v>1</v>
      </c>
      <c r="BD3298" t="str">
        <f t="shared" si="1189"/>
        <v xml:space="preserve">N887QR  </v>
      </c>
      <c r="BE3298">
        <v>1</v>
      </c>
      <c r="BG3298">
        <v>0</v>
      </c>
      <c r="BH3298">
        <v>0</v>
      </c>
      <c r="BI3298">
        <v>0</v>
      </c>
      <c r="BJ3298">
        <v>3450</v>
      </c>
      <c r="BK3298">
        <v>-350</v>
      </c>
      <c r="BL3298" t="s">
        <v>163</v>
      </c>
      <c r="BM3298">
        <v>1</v>
      </c>
      <c r="BN3298">
        <v>1</v>
      </c>
      <c r="BO3298">
        <v>1</v>
      </c>
      <c r="BP3298">
        <v>0</v>
      </c>
      <c r="BS3298">
        <v>0.04</v>
      </c>
      <c r="BT3298">
        <v>0</v>
      </c>
      <c r="BU3298">
        <v>0</v>
      </c>
      <c r="CE3298" t="str">
        <f t="shared" si="1200"/>
        <v>19:34:21.876</v>
      </c>
      <c r="CF3298">
        <v>875599182</v>
      </c>
      <c r="CS3298">
        <v>0</v>
      </c>
      <c r="CT3298">
        <v>2</v>
      </c>
      <c r="CU3298">
        <v>0</v>
      </c>
      <c r="CV3298">
        <v>2</v>
      </c>
      <c r="CW3298">
        <v>1</v>
      </c>
      <c r="CX3298">
        <v>6</v>
      </c>
      <c r="CY3298">
        <v>7</v>
      </c>
      <c r="CZ3298" t="s">
        <v>131</v>
      </c>
      <c r="DA3298">
        <v>286</v>
      </c>
      <c r="DB3298">
        <v>0</v>
      </c>
      <c r="DC3298" t="s">
        <v>132</v>
      </c>
      <c r="DD3298" t="s">
        <v>133</v>
      </c>
      <c r="DG3298">
        <v>873067</v>
      </c>
      <c r="DI3298">
        <v>1</v>
      </c>
      <c r="DJ3298">
        <v>0</v>
      </c>
      <c r="DK3298">
        <v>1</v>
      </c>
      <c r="DL3298">
        <v>0</v>
      </c>
      <c r="DM3298">
        <v>0</v>
      </c>
      <c r="DN3298">
        <v>1</v>
      </c>
      <c r="DO3298">
        <v>0</v>
      </c>
      <c r="DP3298">
        <v>0</v>
      </c>
      <c r="DQ3298">
        <v>0</v>
      </c>
      <c r="DR3298">
        <v>0</v>
      </c>
      <c r="DS3298">
        <v>0</v>
      </c>
    </row>
    <row r="3299" spans="1:123" x14ac:dyDescent="0.3">
      <c r="A3299" t="str">
        <f t="shared" si="1199"/>
        <v>10/04/2022 19:34:22.151</v>
      </c>
      <c r="C3299" t="str">
        <f t="shared" si="1179"/>
        <v>FFDFD3C0</v>
      </c>
      <c r="D3299" t="s">
        <v>141</v>
      </c>
      <c r="E3299">
        <v>4</v>
      </c>
      <c r="H3299">
        <v>4</v>
      </c>
      <c r="I3299" t="s">
        <v>142</v>
      </c>
      <c r="J3299" t="s">
        <v>138</v>
      </c>
      <c r="K3299">
        <v>0</v>
      </c>
      <c r="L3299">
        <v>3</v>
      </c>
      <c r="M3299">
        <v>0</v>
      </c>
      <c r="N3299">
        <v>2</v>
      </c>
      <c r="O3299">
        <v>0</v>
      </c>
      <c r="P3299">
        <v>1</v>
      </c>
      <c r="Q3299">
        <v>0</v>
      </c>
      <c r="S3299" t="str">
        <f t="shared" si="1197"/>
        <v>19:34:21.000</v>
      </c>
      <c r="T3299" t="str">
        <f t="shared" si="1197"/>
        <v>19:34:21.000</v>
      </c>
      <c r="U3299" t="str">
        <f t="shared" si="1188"/>
        <v>AC3944</v>
      </c>
      <c r="V3299">
        <v>0</v>
      </c>
      <c r="W3299">
        <v>0</v>
      </c>
      <c r="X3299">
        <v>2</v>
      </c>
      <c r="Y3299">
        <v>0</v>
      </c>
      <c r="AA3299">
        <v>1</v>
      </c>
      <c r="AB3299">
        <v>8</v>
      </c>
      <c r="AC3299">
        <v>3</v>
      </c>
      <c r="AD3299">
        <v>0</v>
      </c>
      <c r="AE3299">
        <v>9</v>
      </c>
      <c r="AF3299" t="s">
        <v>138</v>
      </c>
      <c r="AG3299">
        <v>0</v>
      </c>
      <c r="AH3299">
        <v>3</v>
      </c>
      <c r="AI3299">
        <v>1</v>
      </c>
      <c r="AJ3299">
        <v>0</v>
      </c>
      <c r="AK3299" t="s">
        <v>1090</v>
      </c>
      <c r="AL3299">
        <v>32.721899000000001</v>
      </c>
      <c r="AM3299" t="s">
        <v>1091</v>
      </c>
      <c r="AN3299">
        <v>-116.75387600000001</v>
      </c>
      <c r="AO3299">
        <v>25</v>
      </c>
      <c r="AP3299">
        <v>3800</v>
      </c>
      <c r="AQ3299" t="s">
        <v>129</v>
      </c>
      <c r="AR3299">
        <v>21</v>
      </c>
      <c r="AS3299">
        <v>131</v>
      </c>
      <c r="AT3299">
        <v>1088</v>
      </c>
      <c r="BB3299">
        <v>1200</v>
      </c>
      <c r="BC3299">
        <v>1</v>
      </c>
      <c r="BD3299" t="str">
        <f t="shared" si="1189"/>
        <v xml:space="preserve">N887QR  </v>
      </c>
      <c r="BE3299">
        <v>1</v>
      </c>
      <c r="BG3299">
        <v>0</v>
      </c>
      <c r="BH3299">
        <v>0</v>
      </c>
      <c r="BI3299">
        <v>0</v>
      </c>
      <c r="BJ3299">
        <v>3450</v>
      </c>
      <c r="BK3299">
        <v>-350</v>
      </c>
      <c r="BL3299" t="s">
        <v>163</v>
      </c>
      <c r="BM3299">
        <v>1</v>
      </c>
      <c r="BN3299">
        <v>1</v>
      </c>
      <c r="BO3299">
        <v>1</v>
      </c>
      <c r="BP3299">
        <v>0</v>
      </c>
      <c r="BS3299">
        <v>0.04</v>
      </c>
      <c r="BT3299">
        <v>0</v>
      </c>
      <c r="BU3299">
        <v>0</v>
      </c>
      <c r="CE3299" t="str">
        <f t="shared" si="1200"/>
        <v>19:34:21.876</v>
      </c>
      <c r="CF3299">
        <v>875599182</v>
      </c>
      <c r="CS3299">
        <v>0</v>
      </c>
      <c r="CT3299">
        <v>2</v>
      </c>
      <c r="CU3299">
        <v>0</v>
      </c>
      <c r="CV3299">
        <v>2</v>
      </c>
      <c r="CW3299">
        <v>1</v>
      </c>
      <c r="CX3299">
        <v>6</v>
      </c>
      <c r="CY3299">
        <v>7</v>
      </c>
      <c r="CZ3299" t="s">
        <v>131</v>
      </c>
      <c r="DA3299">
        <v>286</v>
      </c>
      <c r="DB3299">
        <v>0</v>
      </c>
      <c r="DC3299" t="s">
        <v>132</v>
      </c>
      <c r="DD3299" t="s">
        <v>133</v>
      </c>
      <c r="DG3299">
        <v>873067</v>
      </c>
      <c r="DI3299">
        <v>1</v>
      </c>
      <c r="DJ3299">
        <v>0</v>
      </c>
      <c r="DK3299">
        <v>1</v>
      </c>
      <c r="DL3299">
        <v>0</v>
      </c>
      <c r="DM3299">
        <v>0</v>
      </c>
      <c r="DN3299">
        <v>1</v>
      </c>
      <c r="DO3299">
        <v>0</v>
      </c>
      <c r="DP3299">
        <v>0</v>
      </c>
      <c r="DQ3299">
        <v>0</v>
      </c>
      <c r="DR3299">
        <v>0</v>
      </c>
      <c r="DS3299">
        <v>0</v>
      </c>
    </row>
    <row r="3300" spans="1:123" x14ac:dyDescent="0.3">
      <c r="A3300" t="str">
        <f t="shared" si="1199"/>
        <v>10/04/2022 19:34:22.151</v>
      </c>
      <c r="C3300" t="str">
        <f t="shared" si="1179"/>
        <v>FFDFD3C0</v>
      </c>
      <c r="D3300" t="s">
        <v>147</v>
      </c>
      <c r="E3300">
        <v>3</v>
      </c>
      <c r="H3300">
        <v>166</v>
      </c>
      <c r="I3300" t="s">
        <v>144</v>
      </c>
      <c r="J3300" t="s">
        <v>148</v>
      </c>
      <c r="K3300">
        <v>0</v>
      </c>
      <c r="L3300">
        <v>3</v>
      </c>
      <c r="M3300">
        <v>0</v>
      </c>
      <c r="N3300">
        <v>2</v>
      </c>
      <c r="O3300">
        <v>0</v>
      </c>
      <c r="P3300">
        <v>1</v>
      </c>
      <c r="Q3300">
        <v>0</v>
      </c>
      <c r="S3300" t="str">
        <f t="shared" si="1197"/>
        <v>19:34:21.000</v>
      </c>
      <c r="T3300" t="str">
        <f t="shared" si="1197"/>
        <v>19:34:21.000</v>
      </c>
      <c r="U3300" t="str">
        <f t="shared" si="1188"/>
        <v>AC3944</v>
      </c>
      <c r="V3300">
        <v>0</v>
      </c>
      <c r="W3300">
        <v>0</v>
      </c>
      <c r="X3300">
        <v>2</v>
      </c>
      <c r="Y3300">
        <v>0</v>
      </c>
      <c r="AA3300">
        <v>1</v>
      </c>
      <c r="AB3300">
        <v>8</v>
      </c>
      <c r="AC3300">
        <v>3</v>
      </c>
      <c r="AD3300">
        <v>0</v>
      </c>
      <c r="AE3300">
        <v>9</v>
      </c>
      <c r="AF3300" t="s">
        <v>138</v>
      </c>
      <c r="AG3300">
        <v>0</v>
      </c>
      <c r="AH3300">
        <v>3</v>
      </c>
      <c r="AI3300">
        <v>1</v>
      </c>
      <c r="AJ3300">
        <v>0</v>
      </c>
      <c r="AK3300" t="s">
        <v>1090</v>
      </c>
      <c r="AL3300">
        <v>32.721899000000001</v>
      </c>
      <c r="AM3300" t="s">
        <v>1091</v>
      </c>
      <c r="AN3300">
        <v>-116.75387600000001</v>
      </c>
      <c r="AO3300">
        <v>25</v>
      </c>
      <c r="AP3300">
        <v>3800</v>
      </c>
      <c r="AQ3300" t="s">
        <v>129</v>
      </c>
      <c r="AR3300">
        <v>21</v>
      </c>
      <c r="AS3300">
        <v>131</v>
      </c>
      <c r="AT3300">
        <v>1088</v>
      </c>
      <c r="BB3300">
        <v>1200</v>
      </c>
      <c r="BC3300">
        <v>1</v>
      </c>
      <c r="BD3300" t="str">
        <f t="shared" si="1189"/>
        <v xml:space="preserve">N887QR  </v>
      </c>
      <c r="BE3300">
        <v>1</v>
      </c>
      <c r="BG3300">
        <v>0</v>
      </c>
      <c r="BH3300">
        <v>0</v>
      </c>
      <c r="BI3300">
        <v>0</v>
      </c>
      <c r="BJ3300">
        <v>3450</v>
      </c>
      <c r="BK3300">
        <v>-350</v>
      </c>
      <c r="BL3300" t="s">
        <v>163</v>
      </c>
      <c r="BM3300">
        <v>1</v>
      </c>
      <c r="BN3300">
        <v>1</v>
      </c>
      <c r="BO3300">
        <v>1</v>
      </c>
      <c r="BP3300">
        <v>0</v>
      </c>
      <c r="BS3300">
        <v>0.04</v>
      </c>
      <c r="BT3300">
        <v>0</v>
      </c>
      <c r="BU3300">
        <v>0</v>
      </c>
      <c r="CE3300" t="str">
        <f t="shared" si="1200"/>
        <v>19:34:21.876</v>
      </c>
      <c r="CF3300">
        <v>875599182</v>
      </c>
      <c r="CS3300">
        <v>0</v>
      </c>
      <c r="CT3300">
        <v>2</v>
      </c>
      <c r="CU3300">
        <v>0</v>
      </c>
      <c r="CV3300">
        <v>2</v>
      </c>
      <c r="CW3300">
        <v>1</v>
      </c>
      <c r="CX3300">
        <v>6</v>
      </c>
      <c r="CY3300">
        <v>7</v>
      </c>
      <c r="CZ3300" t="s">
        <v>131</v>
      </c>
      <c r="DA3300">
        <v>286</v>
      </c>
      <c r="DB3300">
        <v>0</v>
      </c>
      <c r="DC3300" t="s">
        <v>132</v>
      </c>
      <c r="DD3300" t="s">
        <v>133</v>
      </c>
      <c r="DG3300">
        <v>873067</v>
      </c>
      <c r="DI3300">
        <v>1</v>
      </c>
      <c r="DJ3300">
        <v>0</v>
      </c>
      <c r="DK3300">
        <v>1</v>
      </c>
      <c r="DL3300">
        <v>0</v>
      </c>
      <c r="DM3300">
        <v>0</v>
      </c>
      <c r="DN3300">
        <v>1</v>
      </c>
      <c r="DO3300">
        <v>0</v>
      </c>
      <c r="DP3300">
        <v>0</v>
      </c>
      <c r="DQ3300">
        <v>0</v>
      </c>
      <c r="DR3300">
        <v>0</v>
      </c>
      <c r="DS3300">
        <v>0</v>
      </c>
    </row>
    <row r="3301" spans="1:123" x14ac:dyDescent="0.3">
      <c r="A3301" t="str">
        <f t="shared" si="1199"/>
        <v>10/04/2022 19:34:22.151</v>
      </c>
      <c r="C3301" t="str">
        <f t="shared" si="1179"/>
        <v>FFDFD3C0</v>
      </c>
      <c r="D3301" t="s">
        <v>143</v>
      </c>
      <c r="E3301">
        <v>20</v>
      </c>
      <c r="F3301">
        <v>1020</v>
      </c>
      <c r="G3301" t="s">
        <v>144</v>
      </c>
      <c r="J3301" t="s">
        <v>145</v>
      </c>
      <c r="K3301">
        <v>0</v>
      </c>
      <c r="L3301">
        <v>3</v>
      </c>
      <c r="M3301">
        <v>0</v>
      </c>
      <c r="N3301">
        <v>2</v>
      </c>
      <c r="O3301">
        <v>0</v>
      </c>
      <c r="P3301">
        <v>1</v>
      </c>
      <c r="Q3301">
        <v>0</v>
      </c>
      <c r="S3301" t="str">
        <f t="shared" si="1197"/>
        <v>19:34:21.000</v>
      </c>
      <c r="T3301" t="str">
        <f t="shared" si="1197"/>
        <v>19:34:21.000</v>
      </c>
      <c r="U3301" t="str">
        <f t="shared" si="1188"/>
        <v>AC3944</v>
      </c>
      <c r="V3301">
        <v>0</v>
      </c>
      <c r="W3301">
        <v>0</v>
      </c>
      <c r="X3301">
        <v>2</v>
      </c>
      <c r="Y3301">
        <v>0</v>
      </c>
      <c r="AA3301">
        <v>1</v>
      </c>
      <c r="AB3301">
        <v>8</v>
      </c>
      <c r="AC3301">
        <v>3</v>
      </c>
      <c r="AD3301">
        <v>0</v>
      </c>
      <c r="AE3301">
        <v>9</v>
      </c>
      <c r="AF3301" t="s">
        <v>138</v>
      </c>
      <c r="AG3301">
        <v>0</v>
      </c>
      <c r="AH3301">
        <v>3</v>
      </c>
      <c r="AI3301">
        <v>1</v>
      </c>
      <c r="AJ3301">
        <v>0</v>
      </c>
      <c r="AK3301" t="s">
        <v>1090</v>
      </c>
      <c r="AL3301">
        <v>32.721899000000001</v>
      </c>
      <c r="AM3301" t="s">
        <v>1091</v>
      </c>
      <c r="AN3301">
        <v>-116.75387600000001</v>
      </c>
      <c r="AO3301">
        <v>25</v>
      </c>
      <c r="AP3301">
        <v>3800</v>
      </c>
      <c r="AQ3301" t="s">
        <v>129</v>
      </c>
      <c r="AR3301">
        <v>21</v>
      </c>
      <c r="AS3301">
        <v>131</v>
      </c>
      <c r="AT3301">
        <v>1088</v>
      </c>
      <c r="BB3301">
        <v>1200</v>
      </c>
      <c r="BC3301">
        <v>1</v>
      </c>
      <c r="BD3301" t="str">
        <f t="shared" si="1189"/>
        <v xml:space="preserve">N887QR  </v>
      </c>
      <c r="BE3301">
        <v>1</v>
      </c>
      <c r="BG3301">
        <v>0</v>
      </c>
      <c r="BH3301">
        <v>0</v>
      </c>
      <c r="BI3301">
        <v>0</v>
      </c>
      <c r="BJ3301">
        <v>3450</v>
      </c>
      <c r="BK3301">
        <v>-350</v>
      </c>
      <c r="BL3301" t="s">
        <v>163</v>
      </c>
      <c r="BM3301">
        <v>1</v>
      </c>
      <c r="BN3301">
        <v>1</v>
      </c>
      <c r="BO3301">
        <v>1</v>
      </c>
      <c r="BP3301">
        <v>0</v>
      </c>
      <c r="BS3301">
        <v>0.04</v>
      </c>
      <c r="BT3301">
        <v>0</v>
      </c>
      <c r="BU3301">
        <v>0</v>
      </c>
      <c r="CE3301" t="str">
        <f t="shared" si="1200"/>
        <v>19:34:21.876</v>
      </c>
      <c r="CF3301">
        <v>875599182</v>
      </c>
      <c r="CS3301">
        <v>0</v>
      </c>
      <c r="CT3301">
        <v>2</v>
      </c>
      <c r="CU3301">
        <v>0</v>
      </c>
      <c r="CV3301">
        <v>2</v>
      </c>
      <c r="CW3301">
        <v>1</v>
      </c>
      <c r="CX3301">
        <v>6</v>
      </c>
      <c r="CY3301">
        <v>7</v>
      </c>
      <c r="CZ3301" t="s">
        <v>131</v>
      </c>
      <c r="DA3301">
        <v>286</v>
      </c>
      <c r="DB3301">
        <v>0</v>
      </c>
      <c r="DC3301" t="s">
        <v>132</v>
      </c>
      <c r="DD3301" t="s">
        <v>133</v>
      </c>
      <c r="DG3301">
        <v>873067</v>
      </c>
      <c r="DI3301">
        <v>1</v>
      </c>
      <c r="DJ3301">
        <v>0</v>
      </c>
      <c r="DK3301">
        <v>1</v>
      </c>
      <c r="DL3301">
        <v>0</v>
      </c>
      <c r="DM3301">
        <v>0</v>
      </c>
      <c r="DN3301">
        <v>1</v>
      </c>
      <c r="DO3301">
        <v>0</v>
      </c>
      <c r="DP3301">
        <v>0</v>
      </c>
      <c r="DQ3301">
        <v>0</v>
      </c>
      <c r="DR3301">
        <v>0</v>
      </c>
      <c r="DS3301">
        <v>0</v>
      </c>
    </row>
    <row r="3302" spans="1:123" x14ac:dyDescent="0.3">
      <c r="A3302" t="str">
        <f t="shared" si="1199"/>
        <v>10/04/2022 19:34:22.151</v>
      </c>
      <c r="C3302" t="str">
        <f t="shared" si="1179"/>
        <v>FFDFD3C0</v>
      </c>
      <c r="D3302" t="s">
        <v>141</v>
      </c>
      <c r="E3302">
        <v>3</v>
      </c>
      <c r="H3302">
        <v>3</v>
      </c>
      <c r="I3302" t="s">
        <v>146</v>
      </c>
      <c r="J3302" t="s">
        <v>138</v>
      </c>
      <c r="K3302">
        <v>0</v>
      </c>
      <c r="L3302">
        <v>3</v>
      </c>
      <c r="M3302">
        <v>0</v>
      </c>
      <c r="N3302">
        <v>2</v>
      </c>
      <c r="O3302">
        <v>0</v>
      </c>
      <c r="P3302">
        <v>1</v>
      </c>
      <c r="Q3302">
        <v>0</v>
      </c>
      <c r="S3302" t="str">
        <f t="shared" si="1197"/>
        <v>19:34:21.000</v>
      </c>
      <c r="T3302" t="str">
        <f t="shared" si="1197"/>
        <v>19:34:21.000</v>
      </c>
      <c r="U3302" t="str">
        <f t="shared" si="1188"/>
        <v>AC3944</v>
      </c>
      <c r="V3302">
        <v>0</v>
      </c>
      <c r="W3302">
        <v>0</v>
      </c>
      <c r="X3302">
        <v>2</v>
      </c>
      <c r="Y3302">
        <v>0</v>
      </c>
      <c r="AA3302">
        <v>1</v>
      </c>
      <c r="AB3302">
        <v>8</v>
      </c>
      <c r="AC3302">
        <v>3</v>
      </c>
      <c r="AD3302">
        <v>0</v>
      </c>
      <c r="AE3302">
        <v>9</v>
      </c>
      <c r="AF3302" t="s">
        <v>138</v>
      </c>
      <c r="AG3302">
        <v>0</v>
      </c>
      <c r="AH3302">
        <v>3</v>
      </c>
      <c r="AI3302">
        <v>1</v>
      </c>
      <c r="AJ3302">
        <v>0</v>
      </c>
      <c r="AK3302" t="s">
        <v>1090</v>
      </c>
      <c r="AL3302">
        <v>32.721899000000001</v>
      </c>
      <c r="AM3302" t="s">
        <v>1091</v>
      </c>
      <c r="AN3302">
        <v>-116.75387600000001</v>
      </c>
      <c r="AO3302">
        <v>25</v>
      </c>
      <c r="AP3302">
        <v>3800</v>
      </c>
      <c r="AQ3302" t="s">
        <v>129</v>
      </c>
      <c r="AR3302">
        <v>21</v>
      </c>
      <c r="AS3302">
        <v>131</v>
      </c>
      <c r="AT3302">
        <v>1088</v>
      </c>
      <c r="BB3302">
        <v>1200</v>
      </c>
      <c r="BC3302">
        <v>1</v>
      </c>
      <c r="BD3302" t="str">
        <f t="shared" si="1189"/>
        <v xml:space="preserve">N887QR  </v>
      </c>
      <c r="BE3302">
        <v>1</v>
      </c>
      <c r="BG3302">
        <v>0</v>
      </c>
      <c r="BH3302">
        <v>0</v>
      </c>
      <c r="BI3302">
        <v>0</v>
      </c>
      <c r="BJ3302">
        <v>3450</v>
      </c>
      <c r="BK3302">
        <v>-350</v>
      </c>
      <c r="BL3302" t="s">
        <v>163</v>
      </c>
      <c r="BM3302">
        <v>1</v>
      </c>
      <c r="BN3302">
        <v>1</v>
      </c>
      <c r="BO3302">
        <v>1</v>
      </c>
      <c r="BP3302">
        <v>0</v>
      </c>
      <c r="BS3302">
        <v>0.04</v>
      </c>
      <c r="BT3302">
        <v>0</v>
      </c>
      <c r="BU3302">
        <v>0</v>
      </c>
      <c r="CE3302" t="str">
        <f t="shared" si="1200"/>
        <v>19:34:21.876</v>
      </c>
      <c r="CF3302">
        <v>875599182</v>
      </c>
      <c r="CS3302">
        <v>0</v>
      </c>
      <c r="CT3302">
        <v>2</v>
      </c>
      <c r="CU3302">
        <v>0</v>
      </c>
      <c r="CV3302">
        <v>2</v>
      </c>
      <c r="CW3302">
        <v>1</v>
      </c>
      <c r="CX3302">
        <v>6</v>
      </c>
      <c r="CY3302">
        <v>7</v>
      </c>
      <c r="CZ3302" t="s">
        <v>131</v>
      </c>
      <c r="DA3302">
        <v>286</v>
      </c>
      <c r="DB3302">
        <v>0</v>
      </c>
      <c r="DC3302" t="s">
        <v>132</v>
      </c>
      <c r="DD3302" t="s">
        <v>133</v>
      </c>
      <c r="DG3302">
        <v>873067</v>
      </c>
      <c r="DI3302">
        <v>1</v>
      </c>
      <c r="DJ3302">
        <v>0</v>
      </c>
      <c r="DK3302">
        <v>1</v>
      </c>
      <c r="DL3302">
        <v>0</v>
      </c>
      <c r="DM3302">
        <v>0</v>
      </c>
      <c r="DN3302">
        <v>1</v>
      </c>
      <c r="DO3302">
        <v>0</v>
      </c>
      <c r="DP3302">
        <v>0</v>
      </c>
      <c r="DQ3302">
        <v>0</v>
      </c>
      <c r="DR3302">
        <v>0</v>
      </c>
      <c r="DS3302">
        <v>0</v>
      </c>
    </row>
    <row r="3303" spans="1:123" x14ac:dyDescent="0.3">
      <c r="A3303" t="str">
        <f t="shared" ref="A3303:A3309" si="1201">"10/04/2022 19:34:23.793"</f>
        <v>10/04/2022 19:34:23.793</v>
      </c>
      <c r="C3303" t="str">
        <f t="shared" ref="C3303:C3366" si="1202">"FFDFD3C0"</f>
        <v>FFDFD3C0</v>
      </c>
      <c r="D3303" t="s">
        <v>134</v>
      </c>
      <c r="E3303">
        <v>15</v>
      </c>
      <c r="J3303" t="s">
        <v>135</v>
      </c>
      <c r="K3303">
        <v>0</v>
      </c>
      <c r="L3303">
        <v>3</v>
      </c>
      <c r="M3303">
        <v>0</v>
      </c>
      <c r="N3303">
        <v>2</v>
      </c>
      <c r="O3303">
        <v>0</v>
      </c>
      <c r="P3303">
        <v>1</v>
      </c>
      <c r="Q3303">
        <v>0</v>
      </c>
      <c r="S3303" t="str">
        <f t="shared" ref="S3303:T3309" si="1203">"19:34:23.000"</f>
        <v>19:34:23.000</v>
      </c>
      <c r="T3303" t="str">
        <f t="shared" si="1203"/>
        <v>19:34:23.000</v>
      </c>
      <c r="U3303" t="str">
        <f t="shared" si="1188"/>
        <v>AC3944</v>
      </c>
      <c r="V3303">
        <v>0</v>
      </c>
      <c r="W3303">
        <v>0</v>
      </c>
      <c r="X3303">
        <v>2</v>
      </c>
      <c r="Y3303">
        <v>0</v>
      </c>
      <c r="AA3303">
        <v>1</v>
      </c>
      <c r="AB3303">
        <v>8</v>
      </c>
      <c r="AC3303">
        <v>3</v>
      </c>
      <c r="AD3303">
        <v>0</v>
      </c>
      <c r="AE3303">
        <v>9</v>
      </c>
      <c r="AF3303" t="s">
        <v>138</v>
      </c>
      <c r="AG3303">
        <v>0</v>
      </c>
      <c r="AH3303">
        <v>3</v>
      </c>
      <c r="AI3303">
        <v>1</v>
      </c>
      <c r="AJ3303">
        <v>0</v>
      </c>
      <c r="AK3303" t="s">
        <v>1092</v>
      </c>
      <c r="AL3303">
        <v>32.722521</v>
      </c>
      <c r="AM3303" t="s">
        <v>1086</v>
      </c>
      <c r="AN3303">
        <v>-116.753747</v>
      </c>
      <c r="AO3303">
        <v>25</v>
      </c>
      <c r="AP3303">
        <v>3800</v>
      </c>
      <c r="AQ3303" t="s">
        <v>129</v>
      </c>
      <c r="AR3303">
        <v>38</v>
      </c>
      <c r="AS3303">
        <v>126</v>
      </c>
      <c r="AT3303">
        <v>1088</v>
      </c>
      <c r="BB3303">
        <v>1200</v>
      </c>
      <c r="BC3303">
        <v>1</v>
      </c>
      <c r="BD3303" t="str">
        <f t="shared" si="1189"/>
        <v xml:space="preserve">N887QR  </v>
      </c>
      <c r="BE3303">
        <v>1</v>
      </c>
      <c r="BG3303">
        <v>0</v>
      </c>
      <c r="BH3303">
        <v>0</v>
      </c>
      <c r="BI3303">
        <v>0</v>
      </c>
      <c r="BJ3303">
        <v>3475</v>
      </c>
      <c r="BK3303">
        <v>-325</v>
      </c>
      <c r="BL3303" t="s">
        <v>163</v>
      </c>
      <c r="BM3303">
        <v>1</v>
      </c>
      <c r="BN3303">
        <v>1</v>
      </c>
      <c r="BO3303">
        <v>1</v>
      </c>
      <c r="BP3303">
        <v>0</v>
      </c>
      <c r="BS3303">
        <v>0.04</v>
      </c>
      <c r="BT3303">
        <v>0</v>
      </c>
      <c r="BU3303">
        <v>0</v>
      </c>
      <c r="CE3303" t="str">
        <f t="shared" ref="CE3303:CE3309" si="1204">"19:34:23.393"</f>
        <v>19:34:23.393</v>
      </c>
      <c r="CF3303">
        <v>392674509</v>
      </c>
      <c r="CS3303">
        <v>0</v>
      </c>
      <c r="CT3303">
        <v>2</v>
      </c>
      <c r="CU3303">
        <v>0</v>
      </c>
      <c r="CV3303">
        <v>2</v>
      </c>
      <c r="CW3303">
        <v>0</v>
      </c>
      <c r="CX3303">
        <v>6</v>
      </c>
      <c r="CY3303">
        <v>7</v>
      </c>
      <c r="CZ3303" t="s">
        <v>131</v>
      </c>
      <c r="DA3303">
        <v>300</v>
      </c>
      <c r="DB3303">
        <v>0</v>
      </c>
      <c r="DC3303" t="s">
        <v>176</v>
      </c>
      <c r="DD3303" t="s">
        <v>177</v>
      </c>
      <c r="DG3303">
        <v>5434812</v>
      </c>
      <c r="DI3303">
        <v>1</v>
      </c>
      <c r="DJ3303">
        <v>0</v>
      </c>
      <c r="DK3303">
        <v>0</v>
      </c>
      <c r="DL3303">
        <v>0</v>
      </c>
      <c r="DM3303">
        <v>0</v>
      </c>
      <c r="DN3303">
        <v>1</v>
      </c>
      <c r="DO3303">
        <v>0</v>
      </c>
      <c r="DP3303">
        <v>0</v>
      </c>
      <c r="DQ3303">
        <v>0</v>
      </c>
      <c r="DR3303">
        <v>0</v>
      </c>
      <c r="DS3303">
        <v>0</v>
      </c>
    </row>
    <row r="3304" spans="1:123" x14ac:dyDescent="0.3">
      <c r="A3304" t="str">
        <f t="shared" si="1201"/>
        <v>10/04/2022 19:34:23.793</v>
      </c>
      <c r="C3304" t="str">
        <f t="shared" si="1202"/>
        <v>FFDFD3C0</v>
      </c>
      <c r="D3304" t="s">
        <v>141</v>
      </c>
      <c r="E3304">
        <v>4</v>
      </c>
      <c r="H3304">
        <v>4</v>
      </c>
      <c r="I3304" t="s">
        <v>142</v>
      </c>
      <c r="J3304" t="s">
        <v>138</v>
      </c>
      <c r="K3304">
        <v>0</v>
      </c>
      <c r="L3304">
        <v>3</v>
      </c>
      <c r="M3304">
        <v>0</v>
      </c>
      <c r="N3304">
        <v>2</v>
      </c>
      <c r="O3304">
        <v>0</v>
      </c>
      <c r="P3304">
        <v>1</v>
      </c>
      <c r="Q3304">
        <v>0</v>
      </c>
      <c r="S3304" t="str">
        <f t="shared" si="1203"/>
        <v>19:34:23.000</v>
      </c>
      <c r="T3304" t="str">
        <f t="shared" si="1203"/>
        <v>19:34:23.000</v>
      </c>
      <c r="U3304" t="str">
        <f t="shared" si="1188"/>
        <v>AC3944</v>
      </c>
      <c r="V3304">
        <v>0</v>
      </c>
      <c r="W3304">
        <v>0</v>
      </c>
      <c r="X3304">
        <v>2</v>
      </c>
      <c r="Y3304">
        <v>0</v>
      </c>
      <c r="AA3304">
        <v>1</v>
      </c>
      <c r="AB3304">
        <v>8</v>
      </c>
      <c r="AC3304">
        <v>3</v>
      </c>
      <c r="AD3304">
        <v>0</v>
      </c>
      <c r="AE3304">
        <v>9</v>
      </c>
      <c r="AF3304" t="s">
        <v>138</v>
      </c>
      <c r="AG3304">
        <v>0</v>
      </c>
      <c r="AH3304">
        <v>3</v>
      </c>
      <c r="AI3304">
        <v>1</v>
      </c>
      <c r="AJ3304">
        <v>0</v>
      </c>
      <c r="AK3304" t="s">
        <v>1092</v>
      </c>
      <c r="AL3304">
        <v>32.722521</v>
      </c>
      <c r="AM3304" t="s">
        <v>1086</v>
      </c>
      <c r="AN3304">
        <v>-116.753747</v>
      </c>
      <c r="AO3304">
        <v>25</v>
      </c>
      <c r="AP3304">
        <v>3800</v>
      </c>
      <c r="AQ3304" t="s">
        <v>129</v>
      </c>
      <c r="AR3304">
        <v>38</v>
      </c>
      <c r="AS3304">
        <v>126</v>
      </c>
      <c r="AT3304">
        <v>1088</v>
      </c>
      <c r="BB3304">
        <v>1200</v>
      </c>
      <c r="BC3304">
        <v>1</v>
      </c>
      <c r="BD3304" t="str">
        <f t="shared" si="1189"/>
        <v xml:space="preserve">N887QR  </v>
      </c>
      <c r="BE3304">
        <v>1</v>
      </c>
      <c r="BG3304">
        <v>0</v>
      </c>
      <c r="BH3304">
        <v>0</v>
      </c>
      <c r="BI3304">
        <v>0</v>
      </c>
      <c r="BJ3304">
        <v>3475</v>
      </c>
      <c r="BK3304">
        <v>-325</v>
      </c>
      <c r="BL3304" t="s">
        <v>163</v>
      </c>
      <c r="BM3304">
        <v>1</v>
      </c>
      <c r="BN3304">
        <v>1</v>
      </c>
      <c r="BO3304">
        <v>1</v>
      </c>
      <c r="BP3304">
        <v>0</v>
      </c>
      <c r="BS3304">
        <v>0.04</v>
      </c>
      <c r="BT3304">
        <v>0</v>
      </c>
      <c r="BU3304">
        <v>0</v>
      </c>
      <c r="CE3304" t="str">
        <f t="shared" si="1204"/>
        <v>19:34:23.393</v>
      </c>
      <c r="CF3304">
        <v>392674509</v>
      </c>
      <c r="CS3304">
        <v>0</v>
      </c>
      <c r="CT3304">
        <v>2</v>
      </c>
      <c r="CU3304">
        <v>0</v>
      </c>
      <c r="CV3304">
        <v>2</v>
      </c>
      <c r="CW3304">
        <v>0</v>
      </c>
      <c r="CX3304">
        <v>6</v>
      </c>
      <c r="CY3304">
        <v>7</v>
      </c>
      <c r="CZ3304" t="s">
        <v>131</v>
      </c>
      <c r="DA3304">
        <v>300</v>
      </c>
      <c r="DB3304">
        <v>0</v>
      </c>
      <c r="DC3304" t="s">
        <v>176</v>
      </c>
      <c r="DD3304" t="s">
        <v>177</v>
      </c>
      <c r="DG3304">
        <v>5434812</v>
      </c>
      <c r="DI3304">
        <v>1</v>
      </c>
      <c r="DJ3304">
        <v>0</v>
      </c>
      <c r="DK3304">
        <v>1</v>
      </c>
      <c r="DL3304">
        <v>0</v>
      </c>
      <c r="DM3304">
        <v>0</v>
      </c>
      <c r="DN3304">
        <v>1</v>
      </c>
      <c r="DO3304">
        <v>0</v>
      </c>
      <c r="DP3304">
        <v>0</v>
      </c>
      <c r="DQ3304">
        <v>0</v>
      </c>
      <c r="DR3304">
        <v>0</v>
      </c>
      <c r="DS3304">
        <v>0</v>
      </c>
    </row>
    <row r="3305" spans="1:123" x14ac:dyDescent="0.3">
      <c r="A3305" t="str">
        <f t="shared" si="1201"/>
        <v>10/04/2022 19:34:23.793</v>
      </c>
      <c r="C3305" t="str">
        <f t="shared" si="1202"/>
        <v>FFDFD3C0</v>
      </c>
      <c r="D3305" t="s">
        <v>147</v>
      </c>
      <c r="E3305">
        <v>3</v>
      </c>
      <c r="H3305">
        <v>166</v>
      </c>
      <c r="I3305" t="s">
        <v>144</v>
      </c>
      <c r="J3305" t="s">
        <v>148</v>
      </c>
      <c r="K3305">
        <v>0</v>
      </c>
      <c r="L3305">
        <v>3</v>
      </c>
      <c r="M3305">
        <v>0</v>
      </c>
      <c r="N3305">
        <v>2</v>
      </c>
      <c r="O3305">
        <v>0</v>
      </c>
      <c r="P3305">
        <v>1</v>
      </c>
      <c r="Q3305">
        <v>0</v>
      </c>
      <c r="S3305" t="str">
        <f t="shared" si="1203"/>
        <v>19:34:23.000</v>
      </c>
      <c r="T3305" t="str">
        <f t="shared" si="1203"/>
        <v>19:34:23.000</v>
      </c>
      <c r="U3305" t="str">
        <f t="shared" si="1188"/>
        <v>AC3944</v>
      </c>
      <c r="V3305">
        <v>0</v>
      </c>
      <c r="W3305">
        <v>0</v>
      </c>
      <c r="X3305">
        <v>2</v>
      </c>
      <c r="Y3305">
        <v>0</v>
      </c>
      <c r="AA3305">
        <v>1</v>
      </c>
      <c r="AB3305">
        <v>8</v>
      </c>
      <c r="AC3305">
        <v>3</v>
      </c>
      <c r="AD3305">
        <v>0</v>
      </c>
      <c r="AE3305">
        <v>9</v>
      </c>
      <c r="AF3305" t="s">
        <v>138</v>
      </c>
      <c r="AG3305">
        <v>0</v>
      </c>
      <c r="AH3305">
        <v>3</v>
      </c>
      <c r="AI3305">
        <v>1</v>
      </c>
      <c r="AJ3305">
        <v>0</v>
      </c>
      <c r="AK3305" t="s">
        <v>1092</v>
      </c>
      <c r="AL3305">
        <v>32.722521</v>
      </c>
      <c r="AM3305" t="s">
        <v>1086</v>
      </c>
      <c r="AN3305">
        <v>-116.753747</v>
      </c>
      <c r="AO3305">
        <v>25</v>
      </c>
      <c r="AP3305">
        <v>3800</v>
      </c>
      <c r="AQ3305" t="s">
        <v>129</v>
      </c>
      <c r="AR3305">
        <v>38</v>
      </c>
      <c r="AS3305">
        <v>126</v>
      </c>
      <c r="AT3305">
        <v>1088</v>
      </c>
      <c r="BB3305">
        <v>1200</v>
      </c>
      <c r="BC3305">
        <v>1</v>
      </c>
      <c r="BD3305" t="str">
        <f t="shared" si="1189"/>
        <v xml:space="preserve">N887QR  </v>
      </c>
      <c r="BE3305">
        <v>1</v>
      </c>
      <c r="BG3305">
        <v>0</v>
      </c>
      <c r="BH3305">
        <v>0</v>
      </c>
      <c r="BI3305">
        <v>0</v>
      </c>
      <c r="BJ3305">
        <v>3475</v>
      </c>
      <c r="BK3305">
        <v>-325</v>
      </c>
      <c r="BL3305" t="s">
        <v>163</v>
      </c>
      <c r="BM3305">
        <v>1</v>
      </c>
      <c r="BN3305">
        <v>1</v>
      </c>
      <c r="BO3305">
        <v>1</v>
      </c>
      <c r="BP3305">
        <v>0</v>
      </c>
      <c r="BS3305">
        <v>0.04</v>
      </c>
      <c r="BT3305">
        <v>0</v>
      </c>
      <c r="BU3305">
        <v>0</v>
      </c>
      <c r="CE3305" t="str">
        <f t="shared" si="1204"/>
        <v>19:34:23.393</v>
      </c>
      <c r="CF3305">
        <v>392674509</v>
      </c>
      <c r="CS3305">
        <v>0</v>
      </c>
      <c r="CT3305">
        <v>2</v>
      </c>
      <c r="CU3305">
        <v>0</v>
      </c>
      <c r="CV3305">
        <v>2</v>
      </c>
      <c r="CW3305">
        <v>0</v>
      </c>
      <c r="CX3305">
        <v>6</v>
      </c>
      <c r="CY3305">
        <v>7</v>
      </c>
      <c r="CZ3305" t="s">
        <v>131</v>
      </c>
      <c r="DA3305">
        <v>300</v>
      </c>
      <c r="DB3305">
        <v>0</v>
      </c>
      <c r="DC3305" t="s">
        <v>176</v>
      </c>
      <c r="DD3305" t="s">
        <v>177</v>
      </c>
      <c r="DG3305">
        <v>5434812</v>
      </c>
      <c r="DI3305">
        <v>1</v>
      </c>
      <c r="DJ3305">
        <v>0</v>
      </c>
      <c r="DK3305">
        <v>1</v>
      </c>
      <c r="DL3305">
        <v>0</v>
      </c>
      <c r="DM3305">
        <v>0</v>
      </c>
      <c r="DN3305">
        <v>1</v>
      </c>
      <c r="DO3305">
        <v>0</v>
      </c>
      <c r="DP3305">
        <v>0</v>
      </c>
      <c r="DQ3305">
        <v>0</v>
      </c>
      <c r="DR3305">
        <v>0</v>
      </c>
      <c r="DS3305">
        <v>0</v>
      </c>
    </row>
    <row r="3306" spans="1:123" x14ac:dyDescent="0.3">
      <c r="A3306" t="str">
        <f t="shared" si="1201"/>
        <v>10/04/2022 19:34:23.793</v>
      </c>
      <c r="C3306" t="str">
        <f t="shared" si="1202"/>
        <v>FFDFD3C0</v>
      </c>
      <c r="D3306" t="s">
        <v>143</v>
      </c>
      <c r="E3306">
        <v>20</v>
      </c>
      <c r="F3306">
        <v>1020</v>
      </c>
      <c r="G3306" t="s">
        <v>144</v>
      </c>
      <c r="J3306" t="s">
        <v>145</v>
      </c>
      <c r="K3306">
        <v>0</v>
      </c>
      <c r="L3306">
        <v>3</v>
      </c>
      <c r="M3306">
        <v>0</v>
      </c>
      <c r="N3306">
        <v>2</v>
      </c>
      <c r="O3306">
        <v>0</v>
      </c>
      <c r="P3306">
        <v>1</v>
      </c>
      <c r="Q3306">
        <v>0</v>
      </c>
      <c r="S3306" t="str">
        <f t="shared" si="1203"/>
        <v>19:34:23.000</v>
      </c>
      <c r="T3306" t="str">
        <f t="shared" si="1203"/>
        <v>19:34:23.000</v>
      </c>
      <c r="U3306" t="str">
        <f t="shared" si="1188"/>
        <v>AC3944</v>
      </c>
      <c r="V3306">
        <v>0</v>
      </c>
      <c r="W3306">
        <v>0</v>
      </c>
      <c r="X3306">
        <v>2</v>
      </c>
      <c r="Y3306">
        <v>0</v>
      </c>
      <c r="AA3306">
        <v>1</v>
      </c>
      <c r="AB3306">
        <v>8</v>
      </c>
      <c r="AC3306">
        <v>3</v>
      </c>
      <c r="AD3306">
        <v>0</v>
      </c>
      <c r="AE3306">
        <v>9</v>
      </c>
      <c r="AF3306" t="s">
        <v>138</v>
      </c>
      <c r="AG3306">
        <v>0</v>
      </c>
      <c r="AH3306">
        <v>3</v>
      </c>
      <c r="AI3306">
        <v>1</v>
      </c>
      <c r="AJ3306">
        <v>0</v>
      </c>
      <c r="AK3306" t="s">
        <v>1092</v>
      </c>
      <c r="AL3306">
        <v>32.722521</v>
      </c>
      <c r="AM3306" t="s">
        <v>1086</v>
      </c>
      <c r="AN3306">
        <v>-116.753747</v>
      </c>
      <c r="AO3306">
        <v>25</v>
      </c>
      <c r="AP3306">
        <v>3800</v>
      </c>
      <c r="AQ3306" t="s">
        <v>129</v>
      </c>
      <c r="AR3306">
        <v>38</v>
      </c>
      <c r="AS3306">
        <v>126</v>
      </c>
      <c r="AT3306">
        <v>1088</v>
      </c>
      <c r="BB3306">
        <v>1200</v>
      </c>
      <c r="BC3306">
        <v>1</v>
      </c>
      <c r="BD3306" t="str">
        <f t="shared" si="1189"/>
        <v xml:space="preserve">N887QR  </v>
      </c>
      <c r="BE3306">
        <v>1</v>
      </c>
      <c r="BG3306">
        <v>0</v>
      </c>
      <c r="BH3306">
        <v>0</v>
      </c>
      <c r="BI3306">
        <v>0</v>
      </c>
      <c r="BJ3306">
        <v>3475</v>
      </c>
      <c r="BK3306">
        <v>-325</v>
      </c>
      <c r="BL3306" t="s">
        <v>163</v>
      </c>
      <c r="BM3306">
        <v>1</v>
      </c>
      <c r="BN3306">
        <v>1</v>
      </c>
      <c r="BO3306">
        <v>1</v>
      </c>
      <c r="BP3306">
        <v>0</v>
      </c>
      <c r="BS3306">
        <v>0.04</v>
      </c>
      <c r="BT3306">
        <v>0</v>
      </c>
      <c r="BU3306">
        <v>0</v>
      </c>
      <c r="CE3306" t="str">
        <f t="shared" si="1204"/>
        <v>19:34:23.393</v>
      </c>
      <c r="CF3306">
        <v>392674509</v>
      </c>
      <c r="CS3306">
        <v>0</v>
      </c>
      <c r="CT3306">
        <v>2</v>
      </c>
      <c r="CU3306">
        <v>0</v>
      </c>
      <c r="CV3306">
        <v>2</v>
      </c>
      <c r="CW3306">
        <v>0</v>
      </c>
      <c r="CX3306">
        <v>6</v>
      </c>
      <c r="CY3306">
        <v>7</v>
      </c>
      <c r="CZ3306" t="s">
        <v>131</v>
      </c>
      <c r="DA3306">
        <v>300</v>
      </c>
      <c r="DB3306">
        <v>0</v>
      </c>
      <c r="DC3306" t="s">
        <v>176</v>
      </c>
      <c r="DD3306" t="s">
        <v>177</v>
      </c>
      <c r="DG3306">
        <v>5434812</v>
      </c>
      <c r="DI3306">
        <v>1</v>
      </c>
      <c r="DJ3306">
        <v>0</v>
      </c>
      <c r="DK3306">
        <v>1</v>
      </c>
      <c r="DL3306">
        <v>0</v>
      </c>
      <c r="DM3306">
        <v>0</v>
      </c>
      <c r="DN3306">
        <v>1</v>
      </c>
      <c r="DO3306">
        <v>0</v>
      </c>
      <c r="DP3306">
        <v>0</v>
      </c>
      <c r="DQ3306">
        <v>0</v>
      </c>
      <c r="DR3306">
        <v>0</v>
      </c>
      <c r="DS3306">
        <v>0</v>
      </c>
    </row>
    <row r="3307" spans="1:123" x14ac:dyDescent="0.3">
      <c r="A3307" t="str">
        <f t="shared" si="1201"/>
        <v>10/04/2022 19:34:23.793</v>
      </c>
      <c r="C3307" t="str">
        <f t="shared" si="1202"/>
        <v>FFDFD3C0</v>
      </c>
      <c r="D3307" t="s">
        <v>141</v>
      </c>
      <c r="E3307">
        <v>3</v>
      </c>
      <c r="H3307">
        <v>3</v>
      </c>
      <c r="I3307" t="s">
        <v>146</v>
      </c>
      <c r="J3307" t="s">
        <v>138</v>
      </c>
      <c r="K3307">
        <v>0</v>
      </c>
      <c r="L3307">
        <v>3</v>
      </c>
      <c r="M3307">
        <v>0</v>
      </c>
      <c r="N3307">
        <v>2</v>
      </c>
      <c r="O3307">
        <v>0</v>
      </c>
      <c r="P3307">
        <v>1</v>
      </c>
      <c r="Q3307">
        <v>0</v>
      </c>
      <c r="S3307" t="str">
        <f t="shared" si="1203"/>
        <v>19:34:23.000</v>
      </c>
      <c r="T3307" t="str">
        <f t="shared" si="1203"/>
        <v>19:34:23.000</v>
      </c>
      <c r="U3307" t="str">
        <f t="shared" si="1188"/>
        <v>AC3944</v>
      </c>
      <c r="V3307">
        <v>0</v>
      </c>
      <c r="W3307">
        <v>0</v>
      </c>
      <c r="X3307">
        <v>2</v>
      </c>
      <c r="Y3307">
        <v>0</v>
      </c>
      <c r="AA3307">
        <v>1</v>
      </c>
      <c r="AB3307">
        <v>8</v>
      </c>
      <c r="AC3307">
        <v>3</v>
      </c>
      <c r="AD3307">
        <v>0</v>
      </c>
      <c r="AE3307">
        <v>9</v>
      </c>
      <c r="AF3307" t="s">
        <v>138</v>
      </c>
      <c r="AG3307">
        <v>0</v>
      </c>
      <c r="AH3307">
        <v>3</v>
      </c>
      <c r="AI3307">
        <v>1</v>
      </c>
      <c r="AJ3307">
        <v>0</v>
      </c>
      <c r="AK3307" t="s">
        <v>1092</v>
      </c>
      <c r="AL3307">
        <v>32.722521</v>
      </c>
      <c r="AM3307" t="s">
        <v>1086</v>
      </c>
      <c r="AN3307">
        <v>-116.753747</v>
      </c>
      <c r="AO3307">
        <v>25</v>
      </c>
      <c r="AP3307">
        <v>3800</v>
      </c>
      <c r="AQ3307" t="s">
        <v>129</v>
      </c>
      <c r="AR3307">
        <v>38</v>
      </c>
      <c r="AS3307">
        <v>126</v>
      </c>
      <c r="AT3307">
        <v>1088</v>
      </c>
      <c r="BB3307">
        <v>1200</v>
      </c>
      <c r="BC3307">
        <v>1</v>
      </c>
      <c r="BD3307" t="str">
        <f t="shared" si="1189"/>
        <v xml:space="preserve">N887QR  </v>
      </c>
      <c r="BE3307">
        <v>1</v>
      </c>
      <c r="BG3307">
        <v>0</v>
      </c>
      <c r="BH3307">
        <v>0</v>
      </c>
      <c r="BI3307">
        <v>0</v>
      </c>
      <c r="BJ3307">
        <v>3475</v>
      </c>
      <c r="BK3307">
        <v>-325</v>
      </c>
      <c r="BL3307" t="s">
        <v>163</v>
      </c>
      <c r="BM3307">
        <v>1</v>
      </c>
      <c r="BN3307">
        <v>1</v>
      </c>
      <c r="BO3307">
        <v>1</v>
      </c>
      <c r="BP3307">
        <v>0</v>
      </c>
      <c r="BS3307">
        <v>0.04</v>
      </c>
      <c r="BT3307">
        <v>0</v>
      </c>
      <c r="BU3307">
        <v>0</v>
      </c>
      <c r="CE3307" t="str">
        <f t="shared" si="1204"/>
        <v>19:34:23.393</v>
      </c>
      <c r="CF3307">
        <v>392674509</v>
      </c>
      <c r="CS3307">
        <v>0</v>
      </c>
      <c r="CT3307">
        <v>2</v>
      </c>
      <c r="CU3307">
        <v>0</v>
      </c>
      <c r="CV3307">
        <v>2</v>
      </c>
      <c r="CW3307">
        <v>0</v>
      </c>
      <c r="CX3307">
        <v>6</v>
      </c>
      <c r="CY3307">
        <v>7</v>
      </c>
      <c r="CZ3307" t="s">
        <v>131</v>
      </c>
      <c r="DA3307">
        <v>300</v>
      </c>
      <c r="DB3307">
        <v>0</v>
      </c>
      <c r="DC3307" t="s">
        <v>176</v>
      </c>
      <c r="DD3307" t="s">
        <v>177</v>
      </c>
      <c r="DG3307">
        <v>5434812</v>
      </c>
      <c r="DI3307">
        <v>1</v>
      </c>
      <c r="DJ3307">
        <v>0</v>
      </c>
      <c r="DK3307">
        <v>1</v>
      </c>
      <c r="DL3307">
        <v>0</v>
      </c>
      <c r="DM3307">
        <v>0</v>
      </c>
      <c r="DN3307">
        <v>1</v>
      </c>
      <c r="DO3307">
        <v>0</v>
      </c>
      <c r="DP3307">
        <v>0</v>
      </c>
      <c r="DQ3307">
        <v>0</v>
      </c>
      <c r="DR3307">
        <v>0</v>
      </c>
      <c r="DS3307">
        <v>0</v>
      </c>
    </row>
    <row r="3308" spans="1:123" x14ac:dyDescent="0.3">
      <c r="A3308" t="str">
        <f t="shared" si="1201"/>
        <v>10/04/2022 19:34:23.793</v>
      </c>
      <c r="C3308" t="str">
        <f t="shared" si="1202"/>
        <v>FFDFD3C0</v>
      </c>
      <c r="D3308" t="s">
        <v>123</v>
      </c>
      <c r="E3308">
        <v>7</v>
      </c>
      <c r="F3308">
        <v>2007</v>
      </c>
      <c r="G3308" t="s">
        <v>124</v>
      </c>
      <c r="J3308" t="s">
        <v>125</v>
      </c>
      <c r="K3308">
        <v>0</v>
      </c>
      <c r="L3308">
        <v>3</v>
      </c>
      <c r="M3308">
        <v>0</v>
      </c>
      <c r="N3308">
        <v>2</v>
      </c>
      <c r="O3308">
        <v>0</v>
      </c>
      <c r="P3308">
        <v>1</v>
      </c>
      <c r="Q3308">
        <v>0</v>
      </c>
      <c r="S3308" t="str">
        <f t="shared" si="1203"/>
        <v>19:34:23.000</v>
      </c>
      <c r="T3308" t="str">
        <f t="shared" si="1203"/>
        <v>19:34:23.000</v>
      </c>
      <c r="U3308" t="str">
        <f t="shared" si="1188"/>
        <v>AC3944</v>
      </c>
      <c r="V3308">
        <v>0</v>
      </c>
      <c r="W3308">
        <v>0</v>
      </c>
      <c r="X3308">
        <v>2</v>
      </c>
      <c r="Y3308">
        <v>0</v>
      </c>
      <c r="AA3308">
        <v>1</v>
      </c>
      <c r="AB3308">
        <v>8</v>
      </c>
      <c r="AC3308">
        <v>3</v>
      </c>
      <c r="AD3308">
        <v>0</v>
      </c>
      <c r="AE3308">
        <v>9</v>
      </c>
      <c r="AF3308" t="s">
        <v>138</v>
      </c>
      <c r="AG3308">
        <v>0</v>
      </c>
      <c r="AH3308">
        <v>3</v>
      </c>
      <c r="AI3308">
        <v>1</v>
      </c>
      <c r="AJ3308">
        <v>0</v>
      </c>
      <c r="AK3308" t="s">
        <v>1092</v>
      </c>
      <c r="AL3308">
        <v>32.722521</v>
      </c>
      <c r="AM3308" t="s">
        <v>1086</v>
      </c>
      <c r="AN3308">
        <v>-116.753747</v>
      </c>
      <c r="AO3308">
        <v>25</v>
      </c>
      <c r="AP3308">
        <v>3800</v>
      </c>
      <c r="AQ3308" t="s">
        <v>129</v>
      </c>
      <c r="AR3308">
        <v>38</v>
      </c>
      <c r="AS3308">
        <v>126</v>
      </c>
      <c r="AT3308">
        <v>1088</v>
      </c>
      <c r="BB3308">
        <v>1200</v>
      </c>
      <c r="BC3308">
        <v>1</v>
      </c>
      <c r="BD3308" t="str">
        <f t="shared" si="1189"/>
        <v xml:space="preserve">N887QR  </v>
      </c>
      <c r="BE3308">
        <v>1</v>
      </c>
      <c r="BG3308">
        <v>0</v>
      </c>
      <c r="BH3308">
        <v>0</v>
      </c>
      <c r="BI3308">
        <v>0</v>
      </c>
      <c r="BJ3308">
        <v>3475</v>
      </c>
      <c r="BK3308">
        <v>-325</v>
      </c>
      <c r="BL3308" t="s">
        <v>163</v>
      </c>
      <c r="BM3308">
        <v>1</v>
      </c>
      <c r="BN3308">
        <v>1</v>
      </c>
      <c r="BO3308">
        <v>1</v>
      </c>
      <c r="BP3308">
        <v>0</v>
      </c>
      <c r="BS3308">
        <v>0.04</v>
      </c>
      <c r="BT3308">
        <v>0</v>
      </c>
      <c r="BU3308">
        <v>0</v>
      </c>
      <c r="CE3308" t="str">
        <f t="shared" si="1204"/>
        <v>19:34:23.393</v>
      </c>
      <c r="CF3308">
        <v>392674509</v>
      </c>
      <c r="CS3308">
        <v>0</v>
      </c>
      <c r="CT3308">
        <v>2</v>
      </c>
      <c r="CU3308">
        <v>0</v>
      </c>
      <c r="CV3308">
        <v>2</v>
      </c>
      <c r="CW3308">
        <v>0</v>
      </c>
      <c r="CX3308">
        <v>6</v>
      </c>
      <c r="CY3308">
        <v>7</v>
      </c>
      <c r="CZ3308" t="s">
        <v>131</v>
      </c>
      <c r="DA3308">
        <v>300</v>
      </c>
      <c r="DB3308">
        <v>0</v>
      </c>
      <c r="DC3308" t="s">
        <v>176</v>
      </c>
      <c r="DD3308" t="s">
        <v>177</v>
      </c>
      <c r="DG3308">
        <v>5434812</v>
      </c>
      <c r="DI3308">
        <v>1</v>
      </c>
      <c r="DJ3308">
        <v>0</v>
      </c>
      <c r="DK3308">
        <v>1</v>
      </c>
      <c r="DL3308">
        <v>0</v>
      </c>
      <c r="DM3308">
        <v>0</v>
      </c>
      <c r="DN3308">
        <v>1</v>
      </c>
      <c r="DO3308">
        <v>0</v>
      </c>
      <c r="DP3308">
        <v>0</v>
      </c>
      <c r="DQ3308">
        <v>0</v>
      </c>
      <c r="DR3308">
        <v>0</v>
      </c>
      <c r="DS3308">
        <v>0</v>
      </c>
    </row>
    <row r="3309" spans="1:123" x14ac:dyDescent="0.3">
      <c r="A3309" t="str">
        <f t="shared" si="1201"/>
        <v>10/04/2022 19:34:23.793</v>
      </c>
      <c r="C3309" t="str">
        <f t="shared" si="1202"/>
        <v>FFDFD3C0</v>
      </c>
      <c r="D3309" t="s">
        <v>136</v>
      </c>
      <c r="E3309">
        <v>8</v>
      </c>
      <c r="H3309">
        <v>225</v>
      </c>
      <c r="I3309" t="s">
        <v>137</v>
      </c>
      <c r="J3309" t="s">
        <v>138</v>
      </c>
      <c r="K3309">
        <v>0</v>
      </c>
      <c r="L3309">
        <v>3</v>
      </c>
      <c r="M3309">
        <v>0</v>
      </c>
      <c r="N3309">
        <v>2</v>
      </c>
      <c r="O3309">
        <v>0</v>
      </c>
      <c r="P3309">
        <v>1</v>
      </c>
      <c r="Q3309">
        <v>0</v>
      </c>
      <c r="S3309" t="str">
        <f t="shared" si="1203"/>
        <v>19:34:23.000</v>
      </c>
      <c r="T3309" t="str">
        <f t="shared" si="1203"/>
        <v>19:34:23.000</v>
      </c>
      <c r="U3309" t="str">
        <f t="shared" si="1188"/>
        <v>AC3944</v>
      </c>
      <c r="V3309">
        <v>0</v>
      </c>
      <c r="W3309">
        <v>0</v>
      </c>
      <c r="X3309">
        <v>2</v>
      </c>
      <c r="Y3309">
        <v>0</v>
      </c>
      <c r="AA3309">
        <v>1</v>
      </c>
      <c r="AB3309">
        <v>8</v>
      </c>
      <c r="AC3309">
        <v>3</v>
      </c>
      <c r="AD3309">
        <v>0</v>
      </c>
      <c r="AE3309">
        <v>9</v>
      </c>
      <c r="AF3309" t="s">
        <v>138</v>
      </c>
      <c r="AG3309">
        <v>0</v>
      </c>
      <c r="AH3309">
        <v>3</v>
      </c>
      <c r="AI3309">
        <v>1</v>
      </c>
      <c r="AJ3309">
        <v>0</v>
      </c>
      <c r="AK3309" t="s">
        <v>1092</v>
      </c>
      <c r="AL3309">
        <v>32.722521</v>
      </c>
      <c r="AM3309" t="s">
        <v>1086</v>
      </c>
      <c r="AN3309">
        <v>-116.753747</v>
      </c>
      <c r="AO3309">
        <v>25</v>
      </c>
      <c r="AP3309">
        <v>3800</v>
      </c>
      <c r="AQ3309" t="s">
        <v>129</v>
      </c>
      <c r="AR3309">
        <v>38</v>
      </c>
      <c r="AS3309">
        <v>126</v>
      </c>
      <c r="AT3309">
        <v>1088</v>
      </c>
      <c r="BB3309">
        <v>1200</v>
      </c>
      <c r="BC3309">
        <v>1</v>
      </c>
      <c r="BD3309" t="str">
        <f t="shared" si="1189"/>
        <v xml:space="preserve">N887QR  </v>
      </c>
      <c r="BE3309">
        <v>1</v>
      </c>
      <c r="BG3309">
        <v>0</v>
      </c>
      <c r="BH3309">
        <v>0</v>
      </c>
      <c r="BI3309">
        <v>0</v>
      </c>
      <c r="BJ3309">
        <v>3475</v>
      </c>
      <c r="BK3309">
        <v>-325</v>
      </c>
      <c r="BL3309" t="s">
        <v>163</v>
      </c>
      <c r="BM3309">
        <v>1</v>
      </c>
      <c r="BN3309">
        <v>1</v>
      </c>
      <c r="BO3309">
        <v>1</v>
      </c>
      <c r="BP3309">
        <v>0</v>
      </c>
      <c r="BS3309">
        <v>0.04</v>
      </c>
      <c r="BT3309">
        <v>0</v>
      </c>
      <c r="BU3309">
        <v>0</v>
      </c>
      <c r="CE3309" t="str">
        <f t="shared" si="1204"/>
        <v>19:34:23.393</v>
      </c>
      <c r="CF3309">
        <v>392674509</v>
      </c>
      <c r="CS3309">
        <v>0</v>
      </c>
      <c r="CT3309">
        <v>2</v>
      </c>
      <c r="CU3309">
        <v>0</v>
      </c>
      <c r="CV3309">
        <v>2</v>
      </c>
      <c r="CW3309">
        <v>0</v>
      </c>
      <c r="CX3309">
        <v>6</v>
      </c>
      <c r="CY3309">
        <v>7</v>
      </c>
      <c r="CZ3309" t="s">
        <v>131</v>
      </c>
      <c r="DA3309">
        <v>300</v>
      </c>
      <c r="DB3309">
        <v>0</v>
      </c>
      <c r="DC3309" t="s">
        <v>176</v>
      </c>
      <c r="DD3309" t="s">
        <v>177</v>
      </c>
      <c r="DG3309">
        <v>5434812</v>
      </c>
      <c r="DI3309">
        <v>1</v>
      </c>
      <c r="DJ3309">
        <v>0</v>
      </c>
      <c r="DK3309">
        <v>0</v>
      </c>
      <c r="DL3309">
        <v>0</v>
      </c>
      <c r="DM3309">
        <v>0</v>
      </c>
      <c r="DN3309">
        <v>1</v>
      </c>
      <c r="DO3309">
        <v>0</v>
      </c>
      <c r="DP3309">
        <v>0</v>
      </c>
      <c r="DQ3309">
        <v>0</v>
      </c>
      <c r="DR3309">
        <v>0</v>
      </c>
      <c r="DS3309">
        <v>0</v>
      </c>
    </row>
    <row r="3310" spans="1:123" x14ac:dyDescent="0.3">
      <c r="A3310" t="str">
        <f t="shared" ref="A3310:A3315" si="1205">"10/04/2022 19:34:24.621"</f>
        <v>10/04/2022 19:34:24.621</v>
      </c>
      <c r="C3310" t="str">
        <f t="shared" si="1202"/>
        <v>FFDFD3C0</v>
      </c>
      <c r="D3310" t="s">
        <v>141</v>
      </c>
      <c r="E3310">
        <v>4</v>
      </c>
      <c r="H3310">
        <v>4</v>
      </c>
      <c r="I3310" t="s">
        <v>142</v>
      </c>
      <c r="J3310" t="s">
        <v>138</v>
      </c>
      <c r="K3310">
        <v>0</v>
      </c>
      <c r="L3310">
        <v>3</v>
      </c>
      <c r="M3310">
        <v>0</v>
      </c>
      <c r="N3310">
        <v>2</v>
      </c>
      <c r="O3310">
        <v>0</v>
      </c>
      <c r="P3310">
        <v>1</v>
      </c>
      <c r="Q3310">
        <v>0</v>
      </c>
      <c r="S3310" t="str">
        <f t="shared" ref="S3310:T3323" si="1206">"19:34:24.000"</f>
        <v>19:34:24.000</v>
      </c>
      <c r="T3310" t="str">
        <f t="shared" si="1206"/>
        <v>19:34:24.000</v>
      </c>
      <c r="U3310" t="str">
        <f t="shared" si="1188"/>
        <v>AC3944</v>
      </c>
      <c r="V3310">
        <v>0</v>
      </c>
      <c r="W3310">
        <v>0</v>
      </c>
      <c r="X3310">
        <v>2</v>
      </c>
      <c r="Y3310">
        <v>0</v>
      </c>
      <c r="AA3310">
        <v>1</v>
      </c>
      <c r="AB3310">
        <v>8</v>
      </c>
      <c r="AC3310">
        <v>3</v>
      </c>
      <c r="AD3310">
        <v>0</v>
      </c>
      <c r="AE3310">
        <v>9</v>
      </c>
      <c r="AF3310" t="s">
        <v>138</v>
      </c>
      <c r="AG3310">
        <v>0</v>
      </c>
      <c r="AH3310">
        <v>3</v>
      </c>
      <c r="AI3310">
        <v>1</v>
      </c>
      <c r="AJ3310">
        <v>0</v>
      </c>
      <c r="AK3310" t="s">
        <v>1093</v>
      </c>
      <c r="AL3310">
        <v>32.723100000000002</v>
      </c>
      <c r="AM3310" t="s">
        <v>1084</v>
      </c>
      <c r="AN3310">
        <v>-116.75355399999999</v>
      </c>
      <c r="AO3310">
        <v>25</v>
      </c>
      <c r="AP3310">
        <v>3800</v>
      </c>
      <c r="AQ3310" t="s">
        <v>129</v>
      </c>
      <c r="AR3310">
        <v>45</v>
      </c>
      <c r="AS3310">
        <v>122</v>
      </c>
      <c r="AT3310">
        <v>1152</v>
      </c>
      <c r="BB3310">
        <v>1200</v>
      </c>
      <c r="BC3310">
        <v>1</v>
      </c>
      <c r="BD3310" t="str">
        <f t="shared" si="1189"/>
        <v xml:space="preserve">N887QR  </v>
      </c>
      <c r="BE3310">
        <v>1</v>
      </c>
      <c r="BG3310">
        <v>0</v>
      </c>
      <c r="BH3310">
        <v>0</v>
      </c>
      <c r="BI3310">
        <v>0</v>
      </c>
      <c r="BJ3310">
        <v>3500</v>
      </c>
      <c r="BK3310">
        <v>-300</v>
      </c>
      <c r="BL3310" t="s">
        <v>163</v>
      </c>
      <c r="BM3310">
        <v>1</v>
      </c>
      <c r="BN3310">
        <v>1</v>
      </c>
      <c r="BO3310">
        <v>1</v>
      </c>
      <c r="BP3310">
        <v>0</v>
      </c>
      <c r="BS3310">
        <v>0.04</v>
      </c>
      <c r="BT3310">
        <v>0</v>
      </c>
      <c r="BU3310">
        <v>0</v>
      </c>
      <c r="CE3310" t="str">
        <f t="shared" ref="CE3310:CE3316" si="1207">"19:34:24.411"</f>
        <v>19:34:24.411</v>
      </c>
      <c r="CF3310">
        <v>411177623</v>
      </c>
      <c r="CS3310">
        <v>0</v>
      </c>
      <c r="CT3310">
        <v>2</v>
      </c>
      <c r="CU3310">
        <v>0</v>
      </c>
      <c r="CV3310">
        <v>2</v>
      </c>
      <c r="CW3310">
        <v>0</v>
      </c>
      <c r="CX3310">
        <v>6</v>
      </c>
      <c r="CY3310">
        <v>7</v>
      </c>
      <c r="CZ3310" t="s">
        <v>131</v>
      </c>
      <c r="DA3310">
        <v>300</v>
      </c>
      <c r="DB3310">
        <v>0</v>
      </c>
      <c r="DC3310" t="s">
        <v>176</v>
      </c>
      <c r="DD3310" t="s">
        <v>177</v>
      </c>
      <c r="DG3310">
        <v>5434986</v>
      </c>
      <c r="DI3310">
        <v>1</v>
      </c>
      <c r="DJ3310">
        <v>0</v>
      </c>
      <c r="DK3310">
        <v>0</v>
      </c>
      <c r="DL3310">
        <v>0</v>
      </c>
      <c r="DM3310">
        <v>0</v>
      </c>
      <c r="DN3310">
        <v>1</v>
      </c>
      <c r="DO3310">
        <v>0</v>
      </c>
      <c r="DP3310">
        <v>0</v>
      </c>
      <c r="DQ3310">
        <v>0</v>
      </c>
      <c r="DR3310">
        <v>0</v>
      </c>
      <c r="DS3310">
        <v>0</v>
      </c>
    </row>
    <row r="3311" spans="1:123" x14ac:dyDescent="0.3">
      <c r="A3311" t="str">
        <f t="shared" si="1205"/>
        <v>10/04/2022 19:34:24.621</v>
      </c>
      <c r="C3311" t="str">
        <f t="shared" si="1202"/>
        <v>FFDFD3C0</v>
      </c>
      <c r="D3311" t="s">
        <v>147</v>
      </c>
      <c r="E3311">
        <v>3</v>
      </c>
      <c r="H3311">
        <v>166</v>
      </c>
      <c r="I3311" t="s">
        <v>144</v>
      </c>
      <c r="J3311" t="s">
        <v>148</v>
      </c>
      <c r="K3311">
        <v>0</v>
      </c>
      <c r="L3311">
        <v>3</v>
      </c>
      <c r="M3311">
        <v>0</v>
      </c>
      <c r="N3311">
        <v>2</v>
      </c>
      <c r="O3311">
        <v>0</v>
      </c>
      <c r="P3311">
        <v>1</v>
      </c>
      <c r="Q3311">
        <v>0</v>
      </c>
      <c r="S3311" t="str">
        <f t="shared" si="1206"/>
        <v>19:34:24.000</v>
      </c>
      <c r="T3311" t="str">
        <f t="shared" si="1206"/>
        <v>19:34:24.000</v>
      </c>
      <c r="U3311" t="str">
        <f t="shared" si="1188"/>
        <v>AC3944</v>
      </c>
      <c r="V3311">
        <v>0</v>
      </c>
      <c r="W3311">
        <v>0</v>
      </c>
      <c r="X3311">
        <v>2</v>
      </c>
      <c r="Y3311">
        <v>0</v>
      </c>
      <c r="AA3311">
        <v>1</v>
      </c>
      <c r="AB3311">
        <v>8</v>
      </c>
      <c r="AC3311">
        <v>3</v>
      </c>
      <c r="AD3311">
        <v>0</v>
      </c>
      <c r="AE3311">
        <v>9</v>
      </c>
      <c r="AF3311" t="s">
        <v>138</v>
      </c>
      <c r="AG3311">
        <v>0</v>
      </c>
      <c r="AH3311">
        <v>3</v>
      </c>
      <c r="AI3311">
        <v>1</v>
      </c>
      <c r="AJ3311">
        <v>0</v>
      </c>
      <c r="AK3311" t="s">
        <v>1093</v>
      </c>
      <c r="AL3311">
        <v>32.723100000000002</v>
      </c>
      <c r="AM3311" t="s">
        <v>1084</v>
      </c>
      <c r="AN3311">
        <v>-116.75355399999999</v>
      </c>
      <c r="AO3311">
        <v>25</v>
      </c>
      <c r="AP3311">
        <v>3800</v>
      </c>
      <c r="AQ3311" t="s">
        <v>129</v>
      </c>
      <c r="AR3311">
        <v>45</v>
      </c>
      <c r="AS3311">
        <v>122</v>
      </c>
      <c r="AT3311">
        <v>1152</v>
      </c>
      <c r="BB3311">
        <v>1200</v>
      </c>
      <c r="BC3311">
        <v>1</v>
      </c>
      <c r="BD3311" t="str">
        <f t="shared" si="1189"/>
        <v xml:space="preserve">N887QR  </v>
      </c>
      <c r="BE3311">
        <v>1</v>
      </c>
      <c r="BG3311">
        <v>0</v>
      </c>
      <c r="BH3311">
        <v>0</v>
      </c>
      <c r="BI3311">
        <v>0</v>
      </c>
      <c r="BJ3311">
        <v>3500</v>
      </c>
      <c r="BK3311">
        <v>-300</v>
      </c>
      <c r="BL3311" t="s">
        <v>163</v>
      </c>
      <c r="BM3311">
        <v>1</v>
      </c>
      <c r="BN3311">
        <v>1</v>
      </c>
      <c r="BO3311">
        <v>1</v>
      </c>
      <c r="BP3311">
        <v>0</v>
      </c>
      <c r="BS3311">
        <v>0.04</v>
      </c>
      <c r="BT3311">
        <v>0</v>
      </c>
      <c r="BU3311">
        <v>0</v>
      </c>
      <c r="CE3311" t="str">
        <f t="shared" si="1207"/>
        <v>19:34:24.411</v>
      </c>
      <c r="CF3311">
        <v>411177623</v>
      </c>
      <c r="CS3311">
        <v>0</v>
      </c>
      <c r="CT3311">
        <v>2</v>
      </c>
      <c r="CU3311">
        <v>0</v>
      </c>
      <c r="CV3311">
        <v>2</v>
      </c>
      <c r="CW3311">
        <v>0</v>
      </c>
      <c r="CX3311">
        <v>6</v>
      </c>
      <c r="CY3311">
        <v>7</v>
      </c>
      <c r="CZ3311" t="s">
        <v>131</v>
      </c>
      <c r="DA3311">
        <v>300</v>
      </c>
      <c r="DB3311">
        <v>0</v>
      </c>
      <c r="DC3311" t="s">
        <v>176</v>
      </c>
      <c r="DD3311" t="s">
        <v>177</v>
      </c>
      <c r="DG3311">
        <v>5434986</v>
      </c>
      <c r="DI3311">
        <v>1</v>
      </c>
      <c r="DJ3311">
        <v>0</v>
      </c>
      <c r="DK3311">
        <v>1</v>
      </c>
      <c r="DL3311">
        <v>0</v>
      </c>
      <c r="DM3311">
        <v>0</v>
      </c>
      <c r="DN3311">
        <v>1</v>
      </c>
      <c r="DO3311">
        <v>0</v>
      </c>
      <c r="DP3311">
        <v>0</v>
      </c>
      <c r="DQ3311">
        <v>0</v>
      </c>
      <c r="DR3311">
        <v>0</v>
      </c>
      <c r="DS3311">
        <v>0</v>
      </c>
    </row>
    <row r="3312" spans="1:123" x14ac:dyDescent="0.3">
      <c r="A3312" t="str">
        <f t="shared" si="1205"/>
        <v>10/04/2022 19:34:24.621</v>
      </c>
      <c r="C3312" t="str">
        <f t="shared" si="1202"/>
        <v>FFDFD3C0</v>
      </c>
      <c r="D3312" t="s">
        <v>143</v>
      </c>
      <c r="E3312">
        <v>20</v>
      </c>
      <c r="F3312">
        <v>1020</v>
      </c>
      <c r="G3312" t="s">
        <v>144</v>
      </c>
      <c r="J3312" t="s">
        <v>145</v>
      </c>
      <c r="K3312">
        <v>0</v>
      </c>
      <c r="L3312">
        <v>3</v>
      </c>
      <c r="M3312">
        <v>0</v>
      </c>
      <c r="N3312">
        <v>2</v>
      </c>
      <c r="O3312">
        <v>0</v>
      </c>
      <c r="P3312">
        <v>1</v>
      </c>
      <c r="Q3312">
        <v>0</v>
      </c>
      <c r="S3312" t="str">
        <f t="shared" si="1206"/>
        <v>19:34:24.000</v>
      </c>
      <c r="T3312" t="str">
        <f t="shared" si="1206"/>
        <v>19:34:24.000</v>
      </c>
      <c r="U3312" t="str">
        <f t="shared" si="1188"/>
        <v>AC3944</v>
      </c>
      <c r="V3312">
        <v>0</v>
      </c>
      <c r="W3312">
        <v>0</v>
      </c>
      <c r="X3312">
        <v>2</v>
      </c>
      <c r="Y3312">
        <v>0</v>
      </c>
      <c r="AA3312">
        <v>1</v>
      </c>
      <c r="AB3312">
        <v>8</v>
      </c>
      <c r="AC3312">
        <v>3</v>
      </c>
      <c r="AD3312">
        <v>0</v>
      </c>
      <c r="AE3312">
        <v>9</v>
      </c>
      <c r="AF3312" t="s">
        <v>138</v>
      </c>
      <c r="AG3312">
        <v>0</v>
      </c>
      <c r="AH3312">
        <v>3</v>
      </c>
      <c r="AI3312">
        <v>1</v>
      </c>
      <c r="AJ3312">
        <v>0</v>
      </c>
      <c r="AK3312" t="s">
        <v>1093</v>
      </c>
      <c r="AL3312">
        <v>32.723100000000002</v>
      </c>
      <c r="AM3312" t="s">
        <v>1084</v>
      </c>
      <c r="AN3312">
        <v>-116.75355399999999</v>
      </c>
      <c r="AO3312">
        <v>25</v>
      </c>
      <c r="AP3312">
        <v>3800</v>
      </c>
      <c r="AQ3312" t="s">
        <v>129</v>
      </c>
      <c r="AR3312">
        <v>45</v>
      </c>
      <c r="AS3312">
        <v>122</v>
      </c>
      <c r="AT3312">
        <v>1152</v>
      </c>
      <c r="BB3312">
        <v>1200</v>
      </c>
      <c r="BC3312">
        <v>1</v>
      </c>
      <c r="BD3312" t="str">
        <f t="shared" si="1189"/>
        <v xml:space="preserve">N887QR  </v>
      </c>
      <c r="BE3312">
        <v>1</v>
      </c>
      <c r="BG3312">
        <v>0</v>
      </c>
      <c r="BH3312">
        <v>0</v>
      </c>
      <c r="BI3312">
        <v>0</v>
      </c>
      <c r="BJ3312">
        <v>3500</v>
      </c>
      <c r="BK3312">
        <v>-300</v>
      </c>
      <c r="BL3312" t="s">
        <v>163</v>
      </c>
      <c r="BM3312">
        <v>1</v>
      </c>
      <c r="BN3312">
        <v>1</v>
      </c>
      <c r="BO3312">
        <v>1</v>
      </c>
      <c r="BP3312">
        <v>0</v>
      </c>
      <c r="BS3312">
        <v>0.04</v>
      </c>
      <c r="BT3312">
        <v>0</v>
      </c>
      <c r="BU3312">
        <v>0</v>
      </c>
      <c r="CE3312" t="str">
        <f t="shared" si="1207"/>
        <v>19:34:24.411</v>
      </c>
      <c r="CF3312">
        <v>411177623</v>
      </c>
      <c r="CS3312">
        <v>0</v>
      </c>
      <c r="CT3312">
        <v>2</v>
      </c>
      <c r="CU3312">
        <v>0</v>
      </c>
      <c r="CV3312">
        <v>2</v>
      </c>
      <c r="CW3312">
        <v>0</v>
      </c>
      <c r="CX3312">
        <v>6</v>
      </c>
      <c r="CY3312">
        <v>7</v>
      </c>
      <c r="CZ3312" t="s">
        <v>131</v>
      </c>
      <c r="DA3312">
        <v>300</v>
      </c>
      <c r="DB3312">
        <v>0</v>
      </c>
      <c r="DC3312" t="s">
        <v>176</v>
      </c>
      <c r="DD3312" t="s">
        <v>177</v>
      </c>
      <c r="DG3312">
        <v>5434986</v>
      </c>
      <c r="DI3312">
        <v>1</v>
      </c>
      <c r="DJ3312">
        <v>0</v>
      </c>
      <c r="DK3312">
        <v>1</v>
      </c>
      <c r="DL3312">
        <v>0</v>
      </c>
      <c r="DM3312">
        <v>0</v>
      </c>
      <c r="DN3312">
        <v>1</v>
      </c>
      <c r="DO3312">
        <v>0</v>
      </c>
      <c r="DP3312">
        <v>0</v>
      </c>
      <c r="DQ3312">
        <v>0</v>
      </c>
      <c r="DR3312">
        <v>0</v>
      </c>
      <c r="DS3312">
        <v>0</v>
      </c>
    </row>
    <row r="3313" spans="1:123" x14ac:dyDescent="0.3">
      <c r="A3313" t="str">
        <f t="shared" si="1205"/>
        <v>10/04/2022 19:34:24.621</v>
      </c>
      <c r="C3313" t="str">
        <f t="shared" si="1202"/>
        <v>FFDFD3C0</v>
      </c>
      <c r="D3313" t="s">
        <v>123</v>
      </c>
      <c r="E3313">
        <v>7</v>
      </c>
      <c r="F3313">
        <v>2007</v>
      </c>
      <c r="G3313" t="s">
        <v>124</v>
      </c>
      <c r="J3313" t="s">
        <v>125</v>
      </c>
      <c r="K3313">
        <v>0</v>
      </c>
      <c r="L3313">
        <v>3</v>
      </c>
      <c r="M3313">
        <v>0</v>
      </c>
      <c r="N3313">
        <v>2</v>
      </c>
      <c r="O3313">
        <v>0</v>
      </c>
      <c r="P3313">
        <v>1</v>
      </c>
      <c r="Q3313">
        <v>0</v>
      </c>
      <c r="S3313" t="str">
        <f t="shared" si="1206"/>
        <v>19:34:24.000</v>
      </c>
      <c r="T3313" t="str">
        <f t="shared" si="1206"/>
        <v>19:34:24.000</v>
      </c>
      <c r="U3313" t="str">
        <f t="shared" si="1188"/>
        <v>AC3944</v>
      </c>
      <c r="V3313">
        <v>0</v>
      </c>
      <c r="W3313">
        <v>0</v>
      </c>
      <c r="X3313">
        <v>2</v>
      </c>
      <c r="Y3313">
        <v>0</v>
      </c>
      <c r="AA3313">
        <v>1</v>
      </c>
      <c r="AB3313">
        <v>8</v>
      </c>
      <c r="AC3313">
        <v>3</v>
      </c>
      <c r="AD3313">
        <v>0</v>
      </c>
      <c r="AE3313">
        <v>9</v>
      </c>
      <c r="AF3313" t="s">
        <v>138</v>
      </c>
      <c r="AG3313">
        <v>0</v>
      </c>
      <c r="AH3313">
        <v>3</v>
      </c>
      <c r="AI3313">
        <v>1</v>
      </c>
      <c r="AJ3313">
        <v>0</v>
      </c>
      <c r="AK3313" t="s">
        <v>1093</v>
      </c>
      <c r="AL3313">
        <v>32.723100000000002</v>
      </c>
      <c r="AM3313" t="s">
        <v>1084</v>
      </c>
      <c r="AN3313">
        <v>-116.75355399999999</v>
      </c>
      <c r="AO3313">
        <v>25</v>
      </c>
      <c r="AP3313">
        <v>3800</v>
      </c>
      <c r="AQ3313" t="s">
        <v>129</v>
      </c>
      <c r="AR3313">
        <v>45</v>
      </c>
      <c r="AS3313">
        <v>122</v>
      </c>
      <c r="AT3313">
        <v>1152</v>
      </c>
      <c r="BB3313">
        <v>1200</v>
      </c>
      <c r="BC3313">
        <v>1</v>
      </c>
      <c r="BD3313" t="str">
        <f t="shared" si="1189"/>
        <v xml:space="preserve">N887QR  </v>
      </c>
      <c r="BE3313">
        <v>1</v>
      </c>
      <c r="BG3313">
        <v>0</v>
      </c>
      <c r="BH3313">
        <v>0</v>
      </c>
      <c r="BI3313">
        <v>0</v>
      </c>
      <c r="BJ3313">
        <v>3500</v>
      </c>
      <c r="BK3313">
        <v>-300</v>
      </c>
      <c r="BL3313" t="s">
        <v>163</v>
      </c>
      <c r="BM3313">
        <v>1</v>
      </c>
      <c r="BN3313">
        <v>1</v>
      </c>
      <c r="BO3313">
        <v>1</v>
      </c>
      <c r="BP3313">
        <v>0</v>
      </c>
      <c r="BS3313">
        <v>0.04</v>
      </c>
      <c r="BT3313">
        <v>0</v>
      </c>
      <c r="BU3313">
        <v>0</v>
      </c>
      <c r="CE3313" t="str">
        <f t="shared" si="1207"/>
        <v>19:34:24.411</v>
      </c>
      <c r="CF3313">
        <v>411177623</v>
      </c>
      <c r="CS3313">
        <v>0</v>
      </c>
      <c r="CT3313">
        <v>2</v>
      </c>
      <c r="CU3313">
        <v>0</v>
      </c>
      <c r="CV3313">
        <v>2</v>
      </c>
      <c r="CW3313">
        <v>0</v>
      </c>
      <c r="CX3313">
        <v>6</v>
      </c>
      <c r="CY3313">
        <v>7</v>
      </c>
      <c r="CZ3313" t="s">
        <v>131</v>
      </c>
      <c r="DA3313">
        <v>300</v>
      </c>
      <c r="DB3313">
        <v>0</v>
      </c>
      <c r="DC3313" t="s">
        <v>176</v>
      </c>
      <c r="DD3313" t="s">
        <v>177</v>
      </c>
      <c r="DG3313">
        <v>5434986</v>
      </c>
      <c r="DI3313">
        <v>1</v>
      </c>
      <c r="DJ3313">
        <v>0</v>
      </c>
      <c r="DK3313">
        <v>1</v>
      </c>
      <c r="DL3313">
        <v>0</v>
      </c>
      <c r="DM3313">
        <v>0</v>
      </c>
      <c r="DN3313">
        <v>1</v>
      </c>
      <c r="DO3313">
        <v>0</v>
      </c>
      <c r="DP3313">
        <v>0</v>
      </c>
      <c r="DQ3313">
        <v>0</v>
      </c>
      <c r="DR3313">
        <v>0</v>
      </c>
      <c r="DS3313">
        <v>0</v>
      </c>
    </row>
    <row r="3314" spans="1:123" x14ac:dyDescent="0.3">
      <c r="A3314" t="str">
        <f t="shared" si="1205"/>
        <v>10/04/2022 19:34:24.621</v>
      </c>
      <c r="C3314" t="str">
        <f t="shared" si="1202"/>
        <v>FFDFD3C0</v>
      </c>
      <c r="D3314" t="s">
        <v>141</v>
      </c>
      <c r="E3314">
        <v>3</v>
      </c>
      <c r="H3314">
        <v>3</v>
      </c>
      <c r="I3314" t="s">
        <v>146</v>
      </c>
      <c r="J3314" t="s">
        <v>138</v>
      </c>
      <c r="K3314">
        <v>0</v>
      </c>
      <c r="L3314">
        <v>3</v>
      </c>
      <c r="M3314">
        <v>0</v>
      </c>
      <c r="N3314">
        <v>2</v>
      </c>
      <c r="O3314">
        <v>0</v>
      </c>
      <c r="P3314">
        <v>1</v>
      </c>
      <c r="Q3314">
        <v>0</v>
      </c>
      <c r="S3314" t="str">
        <f t="shared" si="1206"/>
        <v>19:34:24.000</v>
      </c>
      <c r="T3314" t="str">
        <f t="shared" si="1206"/>
        <v>19:34:24.000</v>
      </c>
      <c r="U3314" t="str">
        <f t="shared" si="1188"/>
        <v>AC3944</v>
      </c>
      <c r="V3314">
        <v>0</v>
      </c>
      <c r="W3314">
        <v>0</v>
      </c>
      <c r="X3314">
        <v>2</v>
      </c>
      <c r="Y3314">
        <v>0</v>
      </c>
      <c r="AA3314">
        <v>1</v>
      </c>
      <c r="AB3314">
        <v>8</v>
      </c>
      <c r="AC3314">
        <v>3</v>
      </c>
      <c r="AD3314">
        <v>0</v>
      </c>
      <c r="AE3314">
        <v>9</v>
      </c>
      <c r="AF3314" t="s">
        <v>138</v>
      </c>
      <c r="AG3314">
        <v>0</v>
      </c>
      <c r="AH3314">
        <v>3</v>
      </c>
      <c r="AI3314">
        <v>1</v>
      </c>
      <c r="AJ3314">
        <v>0</v>
      </c>
      <c r="AK3314" t="s">
        <v>1093</v>
      </c>
      <c r="AL3314">
        <v>32.723100000000002</v>
      </c>
      <c r="AM3314" t="s">
        <v>1084</v>
      </c>
      <c r="AN3314">
        <v>-116.75355399999999</v>
      </c>
      <c r="AO3314">
        <v>25</v>
      </c>
      <c r="AP3314">
        <v>3800</v>
      </c>
      <c r="AQ3314" t="s">
        <v>129</v>
      </c>
      <c r="AR3314">
        <v>45</v>
      </c>
      <c r="AS3314">
        <v>122</v>
      </c>
      <c r="AT3314">
        <v>1152</v>
      </c>
      <c r="BB3314">
        <v>1200</v>
      </c>
      <c r="BC3314">
        <v>1</v>
      </c>
      <c r="BD3314" t="str">
        <f t="shared" si="1189"/>
        <v xml:space="preserve">N887QR  </v>
      </c>
      <c r="BE3314">
        <v>1</v>
      </c>
      <c r="BG3314">
        <v>0</v>
      </c>
      <c r="BH3314">
        <v>0</v>
      </c>
      <c r="BI3314">
        <v>0</v>
      </c>
      <c r="BJ3314">
        <v>3500</v>
      </c>
      <c r="BK3314">
        <v>-300</v>
      </c>
      <c r="BL3314" t="s">
        <v>163</v>
      </c>
      <c r="BM3314">
        <v>1</v>
      </c>
      <c r="BN3314">
        <v>1</v>
      </c>
      <c r="BO3314">
        <v>1</v>
      </c>
      <c r="BP3314">
        <v>0</v>
      </c>
      <c r="BS3314">
        <v>0.04</v>
      </c>
      <c r="BT3314">
        <v>0</v>
      </c>
      <c r="BU3314">
        <v>0</v>
      </c>
      <c r="CE3314" t="str">
        <f t="shared" si="1207"/>
        <v>19:34:24.411</v>
      </c>
      <c r="CF3314">
        <v>411177623</v>
      </c>
      <c r="CS3314">
        <v>0</v>
      </c>
      <c r="CT3314">
        <v>2</v>
      </c>
      <c r="CU3314">
        <v>0</v>
      </c>
      <c r="CV3314">
        <v>2</v>
      </c>
      <c r="CW3314">
        <v>0</v>
      </c>
      <c r="CX3314">
        <v>6</v>
      </c>
      <c r="CY3314">
        <v>7</v>
      </c>
      <c r="CZ3314" t="s">
        <v>131</v>
      </c>
      <c r="DA3314">
        <v>300</v>
      </c>
      <c r="DB3314">
        <v>0</v>
      </c>
      <c r="DC3314" t="s">
        <v>176</v>
      </c>
      <c r="DD3314" t="s">
        <v>177</v>
      </c>
      <c r="DG3314">
        <v>5434986</v>
      </c>
      <c r="DI3314">
        <v>1</v>
      </c>
      <c r="DJ3314">
        <v>0</v>
      </c>
      <c r="DK3314">
        <v>1</v>
      </c>
      <c r="DL3314">
        <v>0</v>
      </c>
      <c r="DM3314">
        <v>0</v>
      </c>
      <c r="DN3314">
        <v>1</v>
      </c>
      <c r="DO3314">
        <v>0</v>
      </c>
      <c r="DP3314">
        <v>0</v>
      </c>
      <c r="DQ3314">
        <v>0</v>
      </c>
      <c r="DR3314">
        <v>0</v>
      </c>
      <c r="DS3314">
        <v>0</v>
      </c>
    </row>
    <row r="3315" spans="1:123" x14ac:dyDescent="0.3">
      <c r="A3315" t="str">
        <f t="shared" si="1205"/>
        <v>10/04/2022 19:34:24.621</v>
      </c>
      <c r="C3315" t="str">
        <f t="shared" si="1202"/>
        <v>FFDFD3C0</v>
      </c>
      <c r="D3315" t="s">
        <v>136</v>
      </c>
      <c r="E3315">
        <v>8</v>
      </c>
      <c r="H3315">
        <v>225</v>
      </c>
      <c r="I3315" t="s">
        <v>137</v>
      </c>
      <c r="J3315" t="s">
        <v>138</v>
      </c>
      <c r="K3315">
        <v>0</v>
      </c>
      <c r="L3315">
        <v>3</v>
      </c>
      <c r="M3315">
        <v>0</v>
      </c>
      <c r="N3315">
        <v>2</v>
      </c>
      <c r="O3315">
        <v>0</v>
      </c>
      <c r="P3315">
        <v>1</v>
      </c>
      <c r="Q3315">
        <v>0</v>
      </c>
      <c r="S3315" t="str">
        <f t="shared" si="1206"/>
        <v>19:34:24.000</v>
      </c>
      <c r="T3315" t="str">
        <f t="shared" si="1206"/>
        <v>19:34:24.000</v>
      </c>
      <c r="U3315" t="str">
        <f t="shared" si="1188"/>
        <v>AC3944</v>
      </c>
      <c r="V3315">
        <v>0</v>
      </c>
      <c r="W3315">
        <v>0</v>
      </c>
      <c r="X3315">
        <v>2</v>
      </c>
      <c r="Y3315">
        <v>0</v>
      </c>
      <c r="AA3315">
        <v>1</v>
      </c>
      <c r="AB3315">
        <v>8</v>
      </c>
      <c r="AC3315">
        <v>3</v>
      </c>
      <c r="AD3315">
        <v>0</v>
      </c>
      <c r="AE3315">
        <v>9</v>
      </c>
      <c r="AF3315" t="s">
        <v>138</v>
      </c>
      <c r="AG3315">
        <v>0</v>
      </c>
      <c r="AH3315">
        <v>3</v>
      </c>
      <c r="AI3315">
        <v>1</v>
      </c>
      <c r="AJ3315">
        <v>0</v>
      </c>
      <c r="AK3315" t="s">
        <v>1093</v>
      </c>
      <c r="AL3315">
        <v>32.723100000000002</v>
      </c>
      <c r="AM3315" t="s">
        <v>1084</v>
      </c>
      <c r="AN3315">
        <v>-116.75355399999999</v>
      </c>
      <c r="AO3315">
        <v>25</v>
      </c>
      <c r="AP3315">
        <v>3800</v>
      </c>
      <c r="AQ3315" t="s">
        <v>129</v>
      </c>
      <c r="AR3315">
        <v>45</v>
      </c>
      <c r="AS3315">
        <v>122</v>
      </c>
      <c r="AT3315">
        <v>1152</v>
      </c>
      <c r="BB3315">
        <v>1200</v>
      </c>
      <c r="BC3315">
        <v>1</v>
      </c>
      <c r="BD3315" t="str">
        <f t="shared" si="1189"/>
        <v xml:space="preserve">N887QR  </v>
      </c>
      <c r="BE3315">
        <v>1</v>
      </c>
      <c r="BG3315">
        <v>0</v>
      </c>
      <c r="BH3315">
        <v>0</v>
      </c>
      <c r="BI3315">
        <v>0</v>
      </c>
      <c r="BJ3315">
        <v>3500</v>
      </c>
      <c r="BK3315">
        <v>-300</v>
      </c>
      <c r="BL3315" t="s">
        <v>163</v>
      </c>
      <c r="BM3315">
        <v>1</v>
      </c>
      <c r="BN3315">
        <v>1</v>
      </c>
      <c r="BO3315">
        <v>1</v>
      </c>
      <c r="BP3315">
        <v>0</v>
      </c>
      <c r="BS3315">
        <v>0.04</v>
      </c>
      <c r="BT3315">
        <v>0</v>
      </c>
      <c r="BU3315">
        <v>0</v>
      </c>
      <c r="CE3315" t="str">
        <f t="shared" si="1207"/>
        <v>19:34:24.411</v>
      </c>
      <c r="CF3315">
        <v>411177623</v>
      </c>
      <c r="CS3315">
        <v>0</v>
      </c>
      <c r="CT3315">
        <v>2</v>
      </c>
      <c r="CU3315">
        <v>0</v>
      </c>
      <c r="CV3315">
        <v>2</v>
      </c>
      <c r="CW3315">
        <v>0</v>
      </c>
      <c r="CX3315">
        <v>6</v>
      </c>
      <c r="CY3315">
        <v>7</v>
      </c>
      <c r="CZ3315" t="s">
        <v>131</v>
      </c>
      <c r="DA3315">
        <v>300</v>
      </c>
      <c r="DB3315">
        <v>0</v>
      </c>
      <c r="DC3315" t="s">
        <v>176</v>
      </c>
      <c r="DD3315" t="s">
        <v>177</v>
      </c>
      <c r="DG3315">
        <v>5434986</v>
      </c>
      <c r="DI3315">
        <v>1</v>
      </c>
      <c r="DJ3315">
        <v>0</v>
      </c>
      <c r="DK3315">
        <v>1</v>
      </c>
      <c r="DL3315">
        <v>0</v>
      </c>
      <c r="DM3315">
        <v>0</v>
      </c>
      <c r="DN3315">
        <v>1</v>
      </c>
      <c r="DO3315">
        <v>0</v>
      </c>
      <c r="DP3315">
        <v>0</v>
      </c>
      <c r="DQ3315">
        <v>0</v>
      </c>
      <c r="DR3315">
        <v>0</v>
      </c>
      <c r="DS3315">
        <v>0</v>
      </c>
    </row>
    <row r="3316" spans="1:123" x14ac:dyDescent="0.3">
      <c r="A3316" t="str">
        <f>"10/04/2022 19:34:24.637"</f>
        <v>10/04/2022 19:34:24.637</v>
      </c>
      <c r="C3316" t="str">
        <f t="shared" si="1202"/>
        <v>FFDFD3C0</v>
      </c>
      <c r="D3316" t="s">
        <v>134</v>
      </c>
      <c r="E3316">
        <v>15</v>
      </c>
      <c r="J3316" t="s">
        <v>135</v>
      </c>
      <c r="K3316">
        <v>0</v>
      </c>
      <c r="L3316">
        <v>3</v>
      </c>
      <c r="M3316">
        <v>0</v>
      </c>
      <c r="N3316">
        <v>2</v>
      </c>
      <c r="O3316">
        <v>0</v>
      </c>
      <c r="P3316">
        <v>1</v>
      </c>
      <c r="Q3316">
        <v>0</v>
      </c>
      <c r="S3316" t="str">
        <f t="shared" si="1206"/>
        <v>19:34:24.000</v>
      </c>
      <c r="T3316" t="str">
        <f t="shared" si="1206"/>
        <v>19:34:24.000</v>
      </c>
      <c r="U3316" t="str">
        <f t="shared" si="1188"/>
        <v>AC3944</v>
      </c>
      <c r="V3316">
        <v>0</v>
      </c>
      <c r="W3316">
        <v>0</v>
      </c>
      <c r="X3316">
        <v>2</v>
      </c>
      <c r="Y3316">
        <v>0</v>
      </c>
      <c r="AA3316">
        <v>1</v>
      </c>
      <c r="AB3316">
        <v>8</v>
      </c>
      <c r="AC3316">
        <v>3</v>
      </c>
      <c r="AD3316">
        <v>0</v>
      </c>
      <c r="AE3316">
        <v>9</v>
      </c>
      <c r="AF3316" t="s">
        <v>138</v>
      </c>
      <c r="AG3316">
        <v>0</v>
      </c>
      <c r="AH3316">
        <v>3</v>
      </c>
      <c r="AI3316">
        <v>1</v>
      </c>
      <c r="AJ3316">
        <v>0</v>
      </c>
      <c r="AK3316" t="s">
        <v>1093</v>
      </c>
      <c r="AL3316">
        <v>32.723100000000002</v>
      </c>
      <c r="AM3316" t="s">
        <v>1084</v>
      </c>
      <c r="AN3316">
        <v>-116.75355399999999</v>
      </c>
      <c r="AO3316">
        <v>25</v>
      </c>
      <c r="AP3316">
        <v>3800</v>
      </c>
      <c r="AQ3316" t="s">
        <v>129</v>
      </c>
      <c r="AR3316">
        <v>45</v>
      </c>
      <c r="AS3316">
        <v>122</v>
      </c>
      <c r="AT3316">
        <v>1152</v>
      </c>
      <c r="BB3316">
        <v>1200</v>
      </c>
      <c r="BC3316">
        <v>1</v>
      </c>
      <c r="BD3316" t="str">
        <f t="shared" si="1189"/>
        <v xml:space="preserve">N887QR  </v>
      </c>
      <c r="BE3316">
        <v>1</v>
      </c>
      <c r="BG3316">
        <v>0</v>
      </c>
      <c r="BH3316">
        <v>0</v>
      </c>
      <c r="BI3316">
        <v>0</v>
      </c>
      <c r="BJ3316">
        <v>3500</v>
      </c>
      <c r="BK3316">
        <v>-300</v>
      </c>
      <c r="BL3316" t="s">
        <v>163</v>
      </c>
      <c r="BM3316">
        <v>1</v>
      </c>
      <c r="BN3316">
        <v>1</v>
      </c>
      <c r="BO3316">
        <v>1</v>
      </c>
      <c r="BP3316">
        <v>0</v>
      </c>
      <c r="BS3316">
        <v>0.04</v>
      </c>
      <c r="BT3316">
        <v>0</v>
      </c>
      <c r="BU3316">
        <v>0</v>
      </c>
      <c r="CE3316" t="str">
        <f t="shared" si="1207"/>
        <v>19:34:24.411</v>
      </c>
      <c r="CF3316">
        <v>411177623</v>
      </c>
      <c r="CS3316">
        <v>0</v>
      </c>
      <c r="CT3316">
        <v>2</v>
      </c>
      <c r="CU3316">
        <v>0</v>
      </c>
      <c r="CV3316">
        <v>2</v>
      </c>
      <c r="CW3316">
        <v>0</v>
      </c>
      <c r="CX3316">
        <v>6</v>
      </c>
      <c r="CY3316">
        <v>7</v>
      </c>
      <c r="CZ3316" t="s">
        <v>131</v>
      </c>
      <c r="DA3316">
        <v>300</v>
      </c>
      <c r="DB3316">
        <v>0</v>
      </c>
      <c r="DC3316" t="s">
        <v>176</v>
      </c>
      <c r="DD3316" t="s">
        <v>177</v>
      </c>
      <c r="DG3316">
        <v>5434986</v>
      </c>
      <c r="DI3316">
        <v>1</v>
      </c>
      <c r="DJ3316">
        <v>0</v>
      </c>
      <c r="DK3316">
        <v>1</v>
      </c>
      <c r="DL3316">
        <v>0</v>
      </c>
      <c r="DM3316">
        <v>0</v>
      </c>
      <c r="DN3316">
        <v>1</v>
      </c>
      <c r="DO3316">
        <v>0</v>
      </c>
      <c r="DP3316">
        <v>0</v>
      </c>
      <c r="DQ3316">
        <v>0</v>
      </c>
      <c r="DR3316">
        <v>0</v>
      </c>
      <c r="DS3316">
        <v>0</v>
      </c>
    </row>
    <row r="3317" spans="1:123" x14ac:dyDescent="0.3">
      <c r="A3317" t="str">
        <f t="shared" ref="A3317:A3323" si="1208">"10/04/2022 19:34:25.074"</f>
        <v>10/04/2022 19:34:25.074</v>
      </c>
      <c r="C3317" t="str">
        <f t="shared" si="1202"/>
        <v>FFDFD3C0</v>
      </c>
      <c r="D3317" t="s">
        <v>123</v>
      </c>
      <c r="E3317">
        <v>7</v>
      </c>
      <c r="F3317">
        <v>2007</v>
      </c>
      <c r="G3317" t="s">
        <v>124</v>
      </c>
      <c r="J3317" t="s">
        <v>125</v>
      </c>
      <c r="K3317">
        <v>0</v>
      </c>
      <c r="L3317">
        <v>3</v>
      </c>
      <c r="M3317">
        <v>0</v>
      </c>
      <c r="N3317">
        <v>2</v>
      </c>
      <c r="O3317">
        <v>0</v>
      </c>
      <c r="P3317">
        <v>1</v>
      </c>
      <c r="Q3317">
        <v>0</v>
      </c>
      <c r="S3317" t="str">
        <f t="shared" si="1206"/>
        <v>19:34:24.000</v>
      </c>
      <c r="T3317" t="str">
        <f t="shared" si="1206"/>
        <v>19:34:24.000</v>
      </c>
      <c r="U3317" t="str">
        <f t="shared" si="1188"/>
        <v>AC3944</v>
      </c>
      <c r="V3317">
        <v>0</v>
      </c>
      <c r="W3317">
        <v>0</v>
      </c>
      <c r="X3317">
        <v>2</v>
      </c>
      <c r="Y3317">
        <v>0</v>
      </c>
      <c r="AA3317">
        <v>1</v>
      </c>
      <c r="AB3317">
        <v>8</v>
      </c>
      <c r="AC3317">
        <v>3</v>
      </c>
      <c r="AD3317">
        <v>0</v>
      </c>
      <c r="AE3317">
        <v>9</v>
      </c>
      <c r="AF3317" t="s">
        <v>138</v>
      </c>
      <c r="AG3317">
        <v>0</v>
      </c>
      <c r="AH3317">
        <v>3</v>
      </c>
      <c r="AI3317">
        <v>1</v>
      </c>
      <c r="AJ3317">
        <v>0</v>
      </c>
      <c r="AK3317" t="s">
        <v>1094</v>
      </c>
      <c r="AL3317">
        <v>32.723680000000002</v>
      </c>
      <c r="AM3317" t="s">
        <v>961</v>
      </c>
      <c r="AN3317">
        <v>-116.75331799999999</v>
      </c>
      <c r="AO3317">
        <v>25</v>
      </c>
      <c r="AP3317">
        <v>3800</v>
      </c>
      <c r="AQ3317" t="s">
        <v>129</v>
      </c>
      <c r="AR3317">
        <v>48</v>
      </c>
      <c r="AS3317">
        <v>120</v>
      </c>
      <c r="AT3317">
        <v>1152</v>
      </c>
      <c r="BB3317">
        <v>1200</v>
      </c>
      <c r="BC3317">
        <v>1</v>
      </c>
      <c r="BD3317" t="str">
        <f t="shared" si="1189"/>
        <v xml:space="preserve">N887QR  </v>
      </c>
      <c r="BE3317">
        <v>1</v>
      </c>
      <c r="BG3317">
        <v>0</v>
      </c>
      <c r="BH3317">
        <v>0</v>
      </c>
      <c r="BI3317">
        <v>0</v>
      </c>
      <c r="BJ3317">
        <v>3500</v>
      </c>
      <c r="BK3317">
        <v>-300</v>
      </c>
      <c r="BL3317" t="s">
        <v>163</v>
      </c>
      <c r="BM3317">
        <v>1</v>
      </c>
      <c r="BN3317">
        <v>1</v>
      </c>
      <c r="BO3317">
        <v>1</v>
      </c>
      <c r="BP3317">
        <v>0</v>
      </c>
      <c r="BS3317">
        <v>0.04</v>
      </c>
      <c r="BT3317">
        <v>0</v>
      </c>
      <c r="BU3317">
        <v>0</v>
      </c>
      <c r="CE3317" t="str">
        <f t="shared" ref="CE3317:CE3323" si="1209">"19:34:24.742"</f>
        <v>19:34:24.742</v>
      </c>
      <c r="CF3317">
        <v>741608940</v>
      </c>
      <c r="CS3317">
        <v>0</v>
      </c>
      <c r="CT3317">
        <v>2</v>
      </c>
      <c r="CU3317">
        <v>0</v>
      </c>
      <c r="CV3317">
        <v>2</v>
      </c>
      <c r="CW3317">
        <v>0</v>
      </c>
      <c r="CX3317">
        <v>5</v>
      </c>
      <c r="CY3317">
        <v>7</v>
      </c>
      <c r="CZ3317" t="s">
        <v>131</v>
      </c>
      <c r="DA3317">
        <v>286</v>
      </c>
      <c r="DB3317">
        <v>0</v>
      </c>
      <c r="DC3317" t="s">
        <v>132</v>
      </c>
      <c r="DD3317" t="s">
        <v>133</v>
      </c>
      <c r="DG3317">
        <v>873772</v>
      </c>
      <c r="DI3317">
        <v>1</v>
      </c>
      <c r="DJ3317">
        <v>0</v>
      </c>
      <c r="DK3317">
        <v>0</v>
      </c>
      <c r="DL3317">
        <v>0</v>
      </c>
      <c r="DM3317">
        <v>0</v>
      </c>
      <c r="DN3317">
        <v>1</v>
      </c>
      <c r="DO3317">
        <v>0</v>
      </c>
      <c r="DP3317">
        <v>0</v>
      </c>
      <c r="DQ3317">
        <v>0</v>
      </c>
      <c r="DR3317">
        <v>0</v>
      </c>
      <c r="DS3317">
        <v>0</v>
      </c>
    </row>
    <row r="3318" spans="1:123" x14ac:dyDescent="0.3">
      <c r="A3318" t="str">
        <f t="shared" si="1208"/>
        <v>10/04/2022 19:34:25.074</v>
      </c>
      <c r="C3318" t="str">
        <f t="shared" si="1202"/>
        <v>FFDFD3C0</v>
      </c>
      <c r="D3318" t="s">
        <v>141</v>
      </c>
      <c r="E3318">
        <v>3</v>
      </c>
      <c r="H3318">
        <v>3</v>
      </c>
      <c r="I3318" t="s">
        <v>146</v>
      </c>
      <c r="J3318" t="s">
        <v>138</v>
      </c>
      <c r="K3318">
        <v>0</v>
      </c>
      <c r="L3318">
        <v>3</v>
      </c>
      <c r="M3318">
        <v>0</v>
      </c>
      <c r="N3318">
        <v>2</v>
      </c>
      <c r="O3318">
        <v>0</v>
      </c>
      <c r="P3318">
        <v>1</v>
      </c>
      <c r="Q3318">
        <v>0</v>
      </c>
      <c r="S3318" t="str">
        <f t="shared" si="1206"/>
        <v>19:34:24.000</v>
      </c>
      <c r="T3318" t="str">
        <f t="shared" si="1206"/>
        <v>19:34:24.000</v>
      </c>
      <c r="U3318" t="str">
        <f t="shared" si="1188"/>
        <v>AC3944</v>
      </c>
      <c r="V3318">
        <v>0</v>
      </c>
      <c r="W3318">
        <v>0</v>
      </c>
      <c r="X3318">
        <v>2</v>
      </c>
      <c r="Y3318">
        <v>0</v>
      </c>
      <c r="AA3318">
        <v>1</v>
      </c>
      <c r="AB3318">
        <v>8</v>
      </c>
      <c r="AC3318">
        <v>3</v>
      </c>
      <c r="AD3318">
        <v>0</v>
      </c>
      <c r="AE3318">
        <v>9</v>
      </c>
      <c r="AF3318" t="s">
        <v>138</v>
      </c>
      <c r="AG3318">
        <v>0</v>
      </c>
      <c r="AH3318">
        <v>3</v>
      </c>
      <c r="AI3318">
        <v>1</v>
      </c>
      <c r="AJ3318">
        <v>0</v>
      </c>
      <c r="AK3318" t="s">
        <v>1094</v>
      </c>
      <c r="AL3318">
        <v>32.723680000000002</v>
      </c>
      <c r="AM3318" t="s">
        <v>961</v>
      </c>
      <c r="AN3318">
        <v>-116.75331799999999</v>
      </c>
      <c r="AO3318">
        <v>25</v>
      </c>
      <c r="AP3318">
        <v>3800</v>
      </c>
      <c r="AQ3318" t="s">
        <v>129</v>
      </c>
      <c r="AR3318">
        <v>48</v>
      </c>
      <c r="AS3318">
        <v>120</v>
      </c>
      <c r="AT3318">
        <v>1152</v>
      </c>
      <c r="BB3318">
        <v>1200</v>
      </c>
      <c r="BC3318">
        <v>1</v>
      </c>
      <c r="BD3318" t="str">
        <f t="shared" si="1189"/>
        <v xml:space="preserve">N887QR  </v>
      </c>
      <c r="BE3318">
        <v>1</v>
      </c>
      <c r="BG3318">
        <v>0</v>
      </c>
      <c r="BH3318">
        <v>0</v>
      </c>
      <c r="BI3318">
        <v>0</v>
      </c>
      <c r="BJ3318">
        <v>3500</v>
      </c>
      <c r="BK3318">
        <v>-300</v>
      </c>
      <c r="BL3318" t="s">
        <v>163</v>
      </c>
      <c r="BM3318">
        <v>1</v>
      </c>
      <c r="BN3318">
        <v>1</v>
      </c>
      <c r="BO3318">
        <v>1</v>
      </c>
      <c r="BP3318">
        <v>0</v>
      </c>
      <c r="BS3318">
        <v>0.04</v>
      </c>
      <c r="BT3318">
        <v>0</v>
      </c>
      <c r="BU3318">
        <v>0</v>
      </c>
      <c r="CE3318" t="str">
        <f t="shared" si="1209"/>
        <v>19:34:24.742</v>
      </c>
      <c r="CF3318">
        <v>741608940</v>
      </c>
      <c r="CS3318">
        <v>0</v>
      </c>
      <c r="CT3318">
        <v>2</v>
      </c>
      <c r="CU3318">
        <v>0</v>
      </c>
      <c r="CV3318">
        <v>2</v>
      </c>
      <c r="CW3318">
        <v>0</v>
      </c>
      <c r="CX3318">
        <v>5</v>
      </c>
      <c r="CY3318">
        <v>7</v>
      </c>
      <c r="CZ3318" t="s">
        <v>131</v>
      </c>
      <c r="DA3318">
        <v>286</v>
      </c>
      <c r="DB3318">
        <v>0</v>
      </c>
      <c r="DC3318" t="s">
        <v>132</v>
      </c>
      <c r="DD3318" t="s">
        <v>133</v>
      </c>
      <c r="DG3318">
        <v>873772</v>
      </c>
      <c r="DI3318">
        <v>1</v>
      </c>
      <c r="DJ3318">
        <v>0</v>
      </c>
      <c r="DK3318">
        <v>1</v>
      </c>
      <c r="DL3318">
        <v>0</v>
      </c>
      <c r="DM3318">
        <v>0</v>
      </c>
      <c r="DN3318">
        <v>1</v>
      </c>
      <c r="DO3318">
        <v>0</v>
      </c>
      <c r="DP3318">
        <v>0</v>
      </c>
      <c r="DQ3318">
        <v>0</v>
      </c>
      <c r="DR3318">
        <v>0</v>
      </c>
      <c r="DS3318">
        <v>0</v>
      </c>
    </row>
    <row r="3319" spans="1:123" x14ac:dyDescent="0.3">
      <c r="A3319" t="str">
        <f t="shared" si="1208"/>
        <v>10/04/2022 19:34:25.074</v>
      </c>
      <c r="C3319" t="str">
        <f t="shared" si="1202"/>
        <v>FFDFD3C0</v>
      </c>
      <c r="D3319" t="s">
        <v>136</v>
      </c>
      <c r="E3319">
        <v>8</v>
      </c>
      <c r="H3319">
        <v>225</v>
      </c>
      <c r="I3319" t="s">
        <v>137</v>
      </c>
      <c r="J3319" t="s">
        <v>138</v>
      </c>
      <c r="K3319">
        <v>0</v>
      </c>
      <c r="L3319">
        <v>3</v>
      </c>
      <c r="M3319">
        <v>0</v>
      </c>
      <c r="N3319">
        <v>2</v>
      </c>
      <c r="O3319">
        <v>0</v>
      </c>
      <c r="P3319">
        <v>1</v>
      </c>
      <c r="Q3319">
        <v>0</v>
      </c>
      <c r="S3319" t="str">
        <f t="shared" si="1206"/>
        <v>19:34:24.000</v>
      </c>
      <c r="T3319" t="str">
        <f t="shared" si="1206"/>
        <v>19:34:24.000</v>
      </c>
      <c r="U3319" t="str">
        <f t="shared" si="1188"/>
        <v>AC3944</v>
      </c>
      <c r="V3319">
        <v>0</v>
      </c>
      <c r="W3319">
        <v>0</v>
      </c>
      <c r="X3319">
        <v>2</v>
      </c>
      <c r="Y3319">
        <v>0</v>
      </c>
      <c r="AA3319">
        <v>1</v>
      </c>
      <c r="AB3319">
        <v>8</v>
      </c>
      <c r="AC3319">
        <v>3</v>
      </c>
      <c r="AD3319">
        <v>0</v>
      </c>
      <c r="AE3319">
        <v>9</v>
      </c>
      <c r="AF3319" t="s">
        <v>138</v>
      </c>
      <c r="AG3319">
        <v>0</v>
      </c>
      <c r="AH3319">
        <v>3</v>
      </c>
      <c r="AI3319">
        <v>1</v>
      </c>
      <c r="AJ3319">
        <v>0</v>
      </c>
      <c r="AK3319" t="s">
        <v>1094</v>
      </c>
      <c r="AL3319">
        <v>32.723680000000002</v>
      </c>
      <c r="AM3319" t="s">
        <v>961</v>
      </c>
      <c r="AN3319">
        <v>-116.75331799999999</v>
      </c>
      <c r="AO3319">
        <v>25</v>
      </c>
      <c r="AP3319">
        <v>3800</v>
      </c>
      <c r="AQ3319" t="s">
        <v>129</v>
      </c>
      <c r="AR3319">
        <v>48</v>
      </c>
      <c r="AS3319">
        <v>120</v>
      </c>
      <c r="AT3319">
        <v>1152</v>
      </c>
      <c r="BB3319">
        <v>1200</v>
      </c>
      <c r="BC3319">
        <v>1</v>
      </c>
      <c r="BD3319" t="str">
        <f t="shared" si="1189"/>
        <v xml:space="preserve">N887QR  </v>
      </c>
      <c r="BE3319">
        <v>1</v>
      </c>
      <c r="BG3319">
        <v>0</v>
      </c>
      <c r="BH3319">
        <v>0</v>
      </c>
      <c r="BI3319">
        <v>0</v>
      </c>
      <c r="BJ3319">
        <v>3500</v>
      </c>
      <c r="BK3319">
        <v>-300</v>
      </c>
      <c r="BL3319" t="s">
        <v>163</v>
      </c>
      <c r="BM3319">
        <v>1</v>
      </c>
      <c r="BN3319">
        <v>1</v>
      </c>
      <c r="BO3319">
        <v>1</v>
      </c>
      <c r="BP3319">
        <v>0</v>
      </c>
      <c r="BS3319">
        <v>0.04</v>
      </c>
      <c r="BT3319">
        <v>0</v>
      </c>
      <c r="BU3319">
        <v>0</v>
      </c>
      <c r="CE3319" t="str">
        <f t="shared" si="1209"/>
        <v>19:34:24.742</v>
      </c>
      <c r="CF3319">
        <v>741608940</v>
      </c>
      <c r="CS3319">
        <v>0</v>
      </c>
      <c r="CT3319">
        <v>2</v>
      </c>
      <c r="CU3319">
        <v>0</v>
      </c>
      <c r="CV3319">
        <v>2</v>
      </c>
      <c r="CW3319">
        <v>0</v>
      </c>
      <c r="CX3319">
        <v>5</v>
      </c>
      <c r="CY3319">
        <v>7</v>
      </c>
      <c r="CZ3319" t="s">
        <v>131</v>
      </c>
      <c r="DA3319">
        <v>286</v>
      </c>
      <c r="DB3319">
        <v>0</v>
      </c>
      <c r="DC3319" t="s">
        <v>132</v>
      </c>
      <c r="DD3319" t="s">
        <v>133</v>
      </c>
      <c r="DG3319">
        <v>873772</v>
      </c>
      <c r="DI3319">
        <v>1</v>
      </c>
      <c r="DJ3319">
        <v>0</v>
      </c>
      <c r="DK3319">
        <v>1</v>
      </c>
      <c r="DL3319">
        <v>0</v>
      </c>
      <c r="DM3319">
        <v>0</v>
      </c>
      <c r="DN3319">
        <v>1</v>
      </c>
      <c r="DO3319">
        <v>0</v>
      </c>
      <c r="DP3319">
        <v>0</v>
      </c>
      <c r="DQ3319">
        <v>0</v>
      </c>
      <c r="DR3319">
        <v>0</v>
      </c>
      <c r="DS3319">
        <v>0</v>
      </c>
    </row>
    <row r="3320" spans="1:123" x14ac:dyDescent="0.3">
      <c r="A3320" t="str">
        <f t="shared" si="1208"/>
        <v>10/04/2022 19:34:25.074</v>
      </c>
      <c r="C3320" t="str">
        <f t="shared" si="1202"/>
        <v>FFDFD3C0</v>
      </c>
      <c r="D3320" t="s">
        <v>134</v>
      </c>
      <c r="E3320">
        <v>15</v>
      </c>
      <c r="J3320" t="s">
        <v>135</v>
      </c>
      <c r="K3320">
        <v>0</v>
      </c>
      <c r="L3320">
        <v>3</v>
      </c>
      <c r="M3320">
        <v>0</v>
      </c>
      <c r="N3320">
        <v>2</v>
      </c>
      <c r="O3320">
        <v>0</v>
      </c>
      <c r="P3320">
        <v>1</v>
      </c>
      <c r="Q3320">
        <v>0</v>
      </c>
      <c r="S3320" t="str">
        <f t="shared" si="1206"/>
        <v>19:34:24.000</v>
      </c>
      <c r="T3320" t="str">
        <f t="shared" si="1206"/>
        <v>19:34:24.000</v>
      </c>
      <c r="U3320" t="str">
        <f t="shared" si="1188"/>
        <v>AC3944</v>
      </c>
      <c r="V3320">
        <v>0</v>
      </c>
      <c r="W3320">
        <v>0</v>
      </c>
      <c r="X3320">
        <v>2</v>
      </c>
      <c r="Y3320">
        <v>0</v>
      </c>
      <c r="AA3320">
        <v>1</v>
      </c>
      <c r="AB3320">
        <v>8</v>
      </c>
      <c r="AC3320">
        <v>3</v>
      </c>
      <c r="AD3320">
        <v>0</v>
      </c>
      <c r="AE3320">
        <v>9</v>
      </c>
      <c r="AF3320" t="s">
        <v>138</v>
      </c>
      <c r="AG3320">
        <v>0</v>
      </c>
      <c r="AH3320">
        <v>3</v>
      </c>
      <c r="AI3320">
        <v>1</v>
      </c>
      <c r="AJ3320">
        <v>0</v>
      </c>
      <c r="AK3320" t="s">
        <v>1094</v>
      </c>
      <c r="AL3320">
        <v>32.723680000000002</v>
      </c>
      <c r="AM3320" t="s">
        <v>961</v>
      </c>
      <c r="AN3320">
        <v>-116.75331799999999</v>
      </c>
      <c r="AO3320">
        <v>25</v>
      </c>
      <c r="AP3320">
        <v>3800</v>
      </c>
      <c r="AQ3320" t="s">
        <v>129</v>
      </c>
      <c r="AR3320">
        <v>48</v>
      </c>
      <c r="AS3320">
        <v>120</v>
      </c>
      <c r="AT3320">
        <v>1152</v>
      </c>
      <c r="BB3320">
        <v>1200</v>
      </c>
      <c r="BC3320">
        <v>1</v>
      </c>
      <c r="BD3320" t="str">
        <f t="shared" si="1189"/>
        <v xml:space="preserve">N887QR  </v>
      </c>
      <c r="BE3320">
        <v>1</v>
      </c>
      <c r="BG3320">
        <v>0</v>
      </c>
      <c r="BH3320">
        <v>0</v>
      </c>
      <c r="BI3320">
        <v>0</v>
      </c>
      <c r="BJ3320">
        <v>3500</v>
      </c>
      <c r="BK3320">
        <v>-300</v>
      </c>
      <c r="BL3320" t="s">
        <v>163</v>
      </c>
      <c r="BM3320">
        <v>1</v>
      </c>
      <c r="BN3320">
        <v>1</v>
      </c>
      <c r="BO3320">
        <v>1</v>
      </c>
      <c r="BP3320">
        <v>0</v>
      </c>
      <c r="BS3320">
        <v>0.04</v>
      </c>
      <c r="BT3320">
        <v>0</v>
      </c>
      <c r="BU3320">
        <v>0</v>
      </c>
      <c r="CE3320" t="str">
        <f t="shared" si="1209"/>
        <v>19:34:24.742</v>
      </c>
      <c r="CF3320">
        <v>741608940</v>
      </c>
      <c r="CS3320">
        <v>0</v>
      </c>
      <c r="CT3320">
        <v>2</v>
      </c>
      <c r="CU3320">
        <v>0</v>
      </c>
      <c r="CV3320">
        <v>2</v>
      </c>
      <c r="CW3320">
        <v>0</v>
      </c>
      <c r="CX3320">
        <v>5</v>
      </c>
      <c r="CY3320">
        <v>7</v>
      </c>
      <c r="CZ3320" t="s">
        <v>131</v>
      </c>
      <c r="DA3320">
        <v>286</v>
      </c>
      <c r="DB3320">
        <v>0</v>
      </c>
      <c r="DC3320" t="s">
        <v>132</v>
      </c>
      <c r="DD3320" t="s">
        <v>133</v>
      </c>
      <c r="DG3320">
        <v>873772</v>
      </c>
      <c r="DI3320">
        <v>1</v>
      </c>
      <c r="DJ3320">
        <v>0</v>
      </c>
      <c r="DK3320">
        <v>1</v>
      </c>
      <c r="DL3320">
        <v>0</v>
      </c>
      <c r="DM3320">
        <v>0</v>
      </c>
      <c r="DN3320">
        <v>1</v>
      </c>
      <c r="DO3320">
        <v>0</v>
      </c>
      <c r="DP3320">
        <v>0</v>
      </c>
      <c r="DQ3320">
        <v>0</v>
      </c>
      <c r="DR3320">
        <v>0</v>
      </c>
      <c r="DS3320">
        <v>0</v>
      </c>
    </row>
    <row r="3321" spans="1:123" x14ac:dyDescent="0.3">
      <c r="A3321" t="str">
        <f t="shared" si="1208"/>
        <v>10/04/2022 19:34:25.074</v>
      </c>
      <c r="C3321" t="str">
        <f t="shared" si="1202"/>
        <v>FFDFD3C0</v>
      </c>
      <c r="D3321" t="s">
        <v>141</v>
      </c>
      <c r="E3321">
        <v>4</v>
      </c>
      <c r="H3321">
        <v>4</v>
      </c>
      <c r="I3321" t="s">
        <v>142</v>
      </c>
      <c r="J3321" t="s">
        <v>138</v>
      </c>
      <c r="K3321">
        <v>0</v>
      </c>
      <c r="L3321">
        <v>3</v>
      </c>
      <c r="M3321">
        <v>0</v>
      </c>
      <c r="N3321">
        <v>2</v>
      </c>
      <c r="O3321">
        <v>0</v>
      </c>
      <c r="P3321">
        <v>1</v>
      </c>
      <c r="Q3321">
        <v>0</v>
      </c>
      <c r="S3321" t="str">
        <f t="shared" si="1206"/>
        <v>19:34:24.000</v>
      </c>
      <c r="T3321" t="str">
        <f t="shared" si="1206"/>
        <v>19:34:24.000</v>
      </c>
      <c r="U3321" t="str">
        <f t="shared" si="1188"/>
        <v>AC3944</v>
      </c>
      <c r="V3321">
        <v>0</v>
      </c>
      <c r="W3321">
        <v>0</v>
      </c>
      <c r="X3321">
        <v>2</v>
      </c>
      <c r="Y3321">
        <v>0</v>
      </c>
      <c r="AA3321">
        <v>1</v>
      </c>
      <c r="AB3321">
        <v>8</v>
      </c>
      <c r="AC3321">
        <v>3</v>
      </c>
      <c r="AD3321">
        <v>0</v>
      </c>
      <c r="AE3321">
        <v>9</v>
      </c>
      <c r="AF3321" t="s">
        <v>138</v>
      </c>
      <c r="AG3321">
        <v>0</v>
      </c>
      <c r="AH3321">
        <v>3</v>
      </c>
      <c r="AI3321">
        <v>1</v>
      </c>
      <c r="AJ3321">
        <v>0</v>
      </c>
      <c r="AK3321" t="s">
        <v>1094</v>
      </c>
      <c r="AL3321">
        <v>32.723680000000002</v>
      </c>
      <c r="AM3321" t="s">
        <v>961</v>
      </c>
      <c r="AN3321">
        <v>-116.75331799999999</v>
      </c>
      <c r="AO3321">
        <v>25</v>
      </c>
      <c r="AP3321">
        <v>3800</v>
      </c>
      <c r="AQ3321" t="s">
        <v>129</v>
      </c>
      <c r="AR3321">
        <v>48</v>
      </c>
      <c r="AS3321">
        <v>120</v>
      </c>
      <c r="AT3321">
        <v>1152</v>
      </c>
      <c r="BB3321">
        <v>1200</v>
      </c>
      <c r="BC3321">
        <v>1</v>
      </c>
      <c r="BD3321" t="str">
        <f t="shared" si="1189"/>
        <v xml:space="preserve">N887QR  </v>
      </c>
      <c r="BE3321">
        <v>1</v>
      </c>
      <c r="BG3321">
        <v>0</v>
      </c>
      <c r="BH3321">
        <v>0</v>
      </c>
      <c r="BI3321">
        <v>0</v>
      </c>
      <c r="BJ3321">
        <v>3500</v>
      </c>
      <c r="BK3321">
        <v>-300</v>
      </c>
      <c r="BL3321" t="s">
        <v>163</v>
      </c>
      <c r="BM3321">
        <v>1</v>
      </c>
      <c r="BN3321">
        <v>1</v>
      </c>
      <c r="BO3321">
        <v>1</v>
      </c>
      <c r="BP3321">
        <v>0</v>
      </c>
      <c r="BS3321">
        <v>0.04</v>
      </c>
      <c r="BT3321">
        <v>0</v>
      </c>
      <c r="BU3321">
        <v>0</v>
      </c>
      <c r="CE3321" t="str">
        <f t="shared" si="1209"/>
        <v>19:34:24.742</v>
      </c>
      <c r="CF3321">
        <v>741608940</v>
      </c>
      <c r="CS3321">
        <v>0</v>
      </c>
      <c r="CT3321">
        <v>2</v>
      </c>
      <c r="CU3321">
        <v>0</v>
      </c>
      <c r="CV3321">
        <v>2</v>
      </c>
      <c r="CW3321">
        <v>0</v>
      </c>
      <c r="CX3321">
        <v>5</v>
      </c>
      <c r="CY3321">
        <v>7</v>
      </c>
      <c r="CZ3321" t="s">
        <v>131</v>
      </c>
      <c r="DA3321">
        <v>286</v>
      </c>
      <c r="DB3321">
        <v>0</v>
      </c>
      <c r="DC3321" t="s">
        <v>132</v>
      </c>
      <c r="DD3321" t="s">
        <v>133</v>
      </c>
      <c r="DG3321">
        <v>873772</v>
      </c>
      <c r="DI3321">
        <v>1</v>
      </c>
      <c r="DJ3321">
        <v>0</v>
      </c>
      <c r="DK3321">
        <v>1</v>
      </c>
      <c r="DL3321">
        <v>0</v>
      </c>
      <c r="DM3321">
        <v>0</v>
      </c>
      <c r="DN3321">
        <v>1</v>
      </c>
      <c r="DO3321">
        <v>0</v>
      </c>
      <c r="DP3321">
        <v>0</v>
      </c>
      <c r="DQ3321">
        <v>0</v>
      </c>
      <c r="DR3321">
        <v>0</v>
      </c>
      <c r="DS3321">
        <v>0</v>
      </c>
    </row>
    <row r="3322" spans="1:123" x14ac:dyDescent="0.3">
      <c r="A3322" t="str">
        <f t="shared" si="1208"/>
        <v>10/04/2022 19:34:25.074</v>
      </c>
      <c r="C3322" t="str">
        <f t="shared" si="1202"/>
        <v>FFDFD3C0</v>
      </c>
      <c r="D3322" t="s">
        <v>147</v>
      </c>
      <c r="E3322">
        <v>3</v>
      </c>
      <c r="H3322">
        <v>166</v>
      </c>
      <c r="I3322" t="s">
        <v>144</v>
      </c>
      <c r="J3322" t="s">
        <v>148</v>
      </c>
      <c r="K3322">
        <v>0</v>
      </c>
      <c r="L3322">
        <v>3</v>
      </c>
      <c r="M3322">
        <v>0</v>
      </c>
      <c r="N3322">
        <v>2</v>
      </c>
      <c r="O3322">
        <v>0</v>
      </c>
      <c r="P3322">
        <v>1</v>
      </c>
      <c r="Q3322">
        <v>0</v>
      </c>
      <c r="S3322" t="str">
        <f t="shared" si="1206"/>
        <v>19:34:24.000</v>
      </c>
      <c r="T3322" t="str">
        <f t="shared" si="1206"/>
        <v>19:34:24.000</v>
      </c>
      <c r="U3322" t="str">
        <f t="shared" si="1188"/>
        <v>AC3944</v>
      </c>
      <c r="V3322">
        <v>0</v>
      </c>
      <c r="W3322">
        <v>0</v>
      </c>
      <c r="X3322">
        <v>2</v>
      </c>
      <c r="Y3322">
        <v>0</v>
      </c>
      <c r="AA3322">
        <v>1</v>
      </c>
      <c r="AB3322">
        <v>8</v>
      </c>
      <c r="AC3322">
        <v>3</v>
      </c>
      <c r="AD3322">
        <v>0</v>
      </c>
      <c r="AE3322">
        <v>9</v>
      </c>
      <c r="AF3322" t="s">
        <v>138</v>
      </c>
      <c r="AG3322">
        <v>0</v>
      </c>
      <c r="AH3322">
        <v>3</v>
      </c>
      <c r="AI3322">
        <v>1</v>
      </c>
      <c r="AJ3322">
        <v>0</v>
      </c>
      <c r="AK3322" t="s">
        <v>1094</v>
      </c>
      <c r="AL3322">
        <v>32.723680000000002</v>
      </c>
      <c r="AM3322" t="s">
        <v>961</v>
      </c>
      <c r="AN3322">
        <v>-116.75331799999999</v>
      </c>
      <c r="AO3322">
        <v>25</v>
      </c>
      <c r="AP3322">
        <v>3800</v>
      </c>
      <c r="AQ3322" t="s">
        <v>129</v>
      </c>
      <c r="AR3322">
        <v>48</v>
      </c>
      <c r="AS3322">
        <v>120</v>
      </c>
      <c r="AT3322">
        <v>1152</v>
      </c>
      <c r="BB3322">
        <v>1200</v>
      </c>
      <c r="BC3322">
        <v>1</v>
      </c>
      <c r="BD3322" t="str">
        <f t="shared" si="1189"/>
        <v xml:space="preserve">N887QR  </v>
      </c>
      <c r="BE3322">
        <v>1</v>
      </c>
      <c r="BG3322">
        <v>0</v>
      </c>
      <c r="BH3322">
        <v>0</v>
      </c>
      <c r="BI3322">
        <v>0</v>
      </c>
      <c r="BJ3322">
        <v>3500</v>
      </c>
      <c r="BK3322">
        <v>-300</v>
      </c>
      <c r="BL3322" t="s">
        <v>163</v>
      </c>
      <c r="BM3322">
        <v>1</v>
      </c>
      <c r="BN3322">
        <v>1</v>
      </c>
      <c r="BO3322">
        <v>1</v>
      </c>
      <c r="BP3322">
        <v>0</v>
      </c>
      <c r="BS3322">
        <v>0.04</v>
      </c>
      <c r="BT3322">
        <v>0</v>
      </c>
      <c r="BU3322">
        <v>0</v>
      </c>
      <c r="CE3322" t="str">
        <f t="shared" si="1209"/>
        <v>19:34:24.742</v>
      </c>
      <c r="CF3322">
        <v>741608940</v>
      </c>
      <c r="CS3322">
        <v>0</v>
      </c>
      <c r="CT3322">
        <v>2</v>
      </c>
      <c r="CU3322">
        <v>0</v>
      </c>
      <c r="CV3322">
        <v>2</v>
      </c>
      <c r="CW3322">
        <v>0</v>
      </c>
      <c r="CX3322">
        <v>5</v>
      </c>
      <c r="CY3322">
        <v>7</v>
      </c>
      <c r="CZ3322" t="s">
        <v>131</v>
      </c>
      <c r="DA3322">
        <v>286</v>
      </c>
      <c r="DB3322">
        <v>0</v>
      </c>
      <c r="DC3322" t="s">
        <v>132</v>
      </c>
      <c r="DD3322" t="s">
        <v>133</v>
      </c>
      <c r="DG3322">
        <v>873772</v>
      </c>
      <c r="DI3322">
        <v>1</v>
      </c>
      <c r="DJ3322">
        <v>0</v>
      </c>
      <c r="DK3322">
        <v>1</v>
      </c>
      <c r="DL3322">
        <v>0</v>
      </c>
      <c r="DM3322">
        <v>0</v>
      </c>
      <c r="DN3322">
        <v>1</v>
      </c>
      <c r="DO3322">
        <v>0</v>
      </c>
      <c r="DP3322">
        <v>0</v>
      </c>
      <c r="DQ3322">
        <v>0</v>
      </c>
      <c r="DR3322">
        <v>0</v>
      </c>
      <c r="DS3322">
        <v>0</v>
      </c>
    </row>
    <row r="3323" spans="1:123" x14ac:dyDescent="0.3">
      <c r="A3323" t="str">
        <f t="shared" si="1208"/>
        <v>10/04/2022 19:34:25.074</v>
      </c>
      <c r="C3323" t="str">
        <f t="shared" si="1202"/>
        <v>FFDFD3C0</v>
      </c>
      <c r="D3323" t="s">
        <v>143</v>
      </c>
      <c r="E3323">
        <v>20</v>
      </c>
      <c r="F3323">
        <v>1020</v>
      </c>
      <c r="G3323" t="s">
        <v>144</v>
      </c>
      <c r="J3323" t="s">
        <v>145</v>
      </c>
      <c r="K3323">
        <v>0</v>
      </c>
      <c r="L3323">
        <v>3</v>
      </c>
      <c r="M3323">
        <v>0</v>
      </c>
      <c r="N3323">
        <v>2</v>
      </c>
      <c r="O3323">
        <v>0</v>
      </c>
      <c r="P3323">
        <v>1</v>
      </c>
      <c r="Q3323">
        <v>0</v>
      </c>
      <c r="S3323" t="str">
        <f t="shared" si="1206"/>
        <v>19:34:24.000</v>
      </c>
      <c r="T3323" t="str">
        <f t="shared" si="1206"/>
        <v>19:34:24.000</v>
      </c>
      <c r="U3323" t="str">
        <f t="shared" si="1188"/>
        <v>AC3944</v>
      </c>
      <c r="V3323">
        <v>0</v>
      </c>
      <c r="W3323">
        <v>0</v>
      </c>
      <c r="X3323">
        <v>2</v>
      </c>
      <c r="Y3323">
        <v>0</v>
      </c>
      <c r="AA3323">
        <v>1</v>
      </c>
      <c r="AB3323">
        <v>8</v>
      </c>
      <c r="AC3323">
        <v>3</v>
      </c>
      <c r="AD3323">
        <v>0</v>
      </c>
      <c r="AE3323">
        <v>9</v>
      </c>
      <c r="AF3323" t="s">
        <v>138</v>
      </c>
      <c r="AG3323">
        <v>0</v>
      </c>
      <c r="AH3323">
        <v>3</v>
      </c>
      <c r="AI3323">
        <v>1</v>
      </c>
      <c r="AJ3323">
        <v>0</v>
      </c>
      <c r="AK3323" t="s">
        <v>1094</v>
      </c>
      <c r="AL3323">
        <v>32.723680000000002</v>
      </c>
      <c r="AM3323" t="s">
        <v>961</v>
      </c>
      <c r="AN3323">
        <v>-116.75331799999999</v>
      </c>
      <c r="AO3323">
        <v>25</v>
      </c>
      <c r="AP3323">
        <v>3800</v>
      </c>
      <c r="AQ3323" t="s">
        <v>129</v>
      </c>
      <c r="AR3323">
        <v>48</v>
      </c>
      <c r="AS3323">
        <v>120</v>
      </c>
      <c r="AT3323">
        <v>1152</v>
      </c>
      <c r="BB3323">
        <v>1200</v>
      </c>
      <c r="BC3323">
        <v>1</v>
      </c>
      <c r="BD3323" t="str">
        <f t="shared" si="1189"/>
        <v xml:space="preserve">N887QR  </v>
      </c>
      <c r="BE3323">
        <v>1</v>
      </c>
      <c r="BG3323">
        <v>0</v>
      </c>
      <c r="BH3323">
        <v>0</v>
      </c>
      <c r="BI3323">
        <v>0</v>
      </c>
      <c r="BJ3323">
        <v>3500</v>
      </c>
      <c r="BK3323">
        <v>-300</v>
      </c>
      <c r="BL3323" t="s">
        <v>163</v>
      </c>
      <c r="BM3323">
        <v>1</v>
      </c>
      <c r="BN3323">
        <v>1</v>
      </c>
      <c r="BO3323">
        <v>1</v>
      </c>
      <c r="BP3323">
        <v>0</v>
      </c>
      <c r="BS3323">
        <v>0.04</v>
      </c>
      <c r="BT3323">
        <v>0</v>
      </c>
      <c r="BU3323">
        <v>0</v>
      </c>
      <c r="CE3323" t="str">
        <f t="shared" si="1209"/>
        <v>19:34:24.742</v>
      </c>
      <c r="CF3323">
        <v>741608940</v>
      </c>
      <c r="CS3323">
        <v>0</v>
      </c>
      <c r="CT3323">
        <v>2</v>
      </c>
      <c r="CU3323">
        <v>0</v>
      </c>
      <c r="CV3323">
        <v>2</v>
      </c>
      <c r="CW3323">
        <v>0</v>
      </c>
      <c r="CX3323">
        <v>5</v>
      </c>
      <c r="CY3323">
        <v>7</v>
      </c>
      <c r="CZ3323" t="s">
        <v>131</v>
      </c>
      <c r="DA3323">
        <v>286</v>
      </c>
      <c r="DB3323">
        <v>0</v>
      </c>
      <c r="DC3323" t="s">
        <v>132</v>
      </c>
      <c r="DD3323" t="s">
        <v>133</v>
      </c>
      <c r="DG3323">
        <v>873772</v>
      </c>
      <c r="DI3323">
        <v>1</v>
      </c>
      <c r="DJ3323">
        <v>0</v>
      </c>
      <c r="DK3323">
        <v>1</v>
      </c>
      <c r="DL3323">
        <v>0</v>
      </c>
      <c r="DM3323">
        <v>0</v>
      </c>
      <c r="DN3323">
        <v>1</v>
      </c>
      <c r="DO3323">
        <v>0</v>
      </c>
      <c r="DP3323">
        <v>0</v>
      </c>
      <c r="DQ3323">
        <v>0</v>
      </c>
      <c r="DR3323">
        <v>0</v>
      </c>
      <c r="DS3323">
        <v>0</v>
      </c>
    </row>
    <row r="3324" spans="1:123" x14ac:dyDescent="0.3">
      <c r="A3324" t="str">
        <f t="shared" ref="A3324:A3330" si="1210">"10/04/2022 19:34:26.013"</f>
        <v>10/04/2022 19:34:26.013</v>
      </c>
      <c r="C3324" t="str">
        <f t="shared" si="1202"/>
        <v>FFDFD3C0</v>
      </c>
      <c r="D3324" t="s">
        <v>136</v>
      </c>
      <c r="E3324">
        <v>8</v>
      </c>
      <c r="H3324">
        <v>225</v>
      </c>
      <c r="I3324" t="s">
        <v>137</v>
      </c>
      <c r="J3324" t="s">
        <v>138</v>
      </c>
      <c r="K3324">
        <v>0</v>
      </c>
      <c r="L3324">
        <v>3</v>
      </c>
      <c r="M3324">
        <v>0</v>
      </c>
      <c r="N3324">
        <v>2</v>
      </c>
      <c r="O3324">
        <v>0</v>
      </c>
      <c r="P3324">
        <v>1</v>
      </c>
      <c r="Q3324">
        <v>0</v>
      </c>
      <c r="S3324" t="str">
        <f t="shared" ref="S3324:T3330" si="1211">"19:34:25.000"</f>
        <v>19:34:25.000</v>
      </c>
      <c r="T3324" t="str">
        <f t="shared" si="1211"/>
        <v>19:34:25.000</v>
      </c>
      <c r="U3324" t="str">
        <f t="shared" si="1188"/>
        <v>AC3944</v>
      </c>
      <c r="V3324">
        <v>0</v>
      </c>
      <c r="W3324">
        <v>0</v>
      </c>
      <c r="X3324">
        <v>2</v>
      </c>
      <c r="Y3324">
        <v>0</v>
      </c>
      <c r="AA3324">
        <v>1</v>
      </c>
      <c r="AB3324">
        <v>8</v>
      </c>
      <c r="AC3324">
        <v>3</v>
      </c>
      <c r="AD3324">
        <v>0</v>
      </c>
      <c r="AE3324">
        <v>9</v>
      </c>
      <c r="AF3324" t="s">
        <v>138</v>
      </c>
      <c r="AG3324">
        <v>0</v>
      </c>
      <c r="AH3324">
        <v>3</v>
      </c>
      <c r="AI3324">
        <v>1</v>
      </c>
      <c r="AJ3324">
        <v>0</v>
      </c>
      <c r="AK3324" t="s">
        <v>1095</v>
      </c>
      <c r="AL3324">
        <v>32.724237000000002</v>
      </c>
      <c r="AM3324" t="s">
        <v>997</v>
      </c>
      <c r="AN3324">
        <v>-116.753039</v>
      </c>
      <c r="AO3324">
        <v>25</v>
      </c>
      <c r="AP3324">
        <v>3800</v>
      </c>
      <c r="AQ3324" t="s">
        <v>129</v>
      </c>
      <c r="AR3324">
        <v>54</v>
      </c>
      <c r="AS3324">
        <v>117</v>
      </c>
      <c r="AT3324">
        <v>1152</v>
      </c>
      <c r="BB3324">
        <v>1200</v>
      </c>
      <c r="BC3324">
        <v>1</v>
      </c>
      <c r="BD3324" t="str">
        <f t="shared" si="1189"/>
        <v xml:space="preserve">N887QR  </v>
      </c>
      <c r="BE3324">
        <v>1</v>
      </c>
      <c r="BG3324">
        <v>0</v>
      </c>
      <c r="BH3324">
        <v>0</v>
      </c>
      <c r="BI3324">
        <v>0</v>
      </c>
      <c r="BJ3324">
        <v>3550</v>
      </c>
      <c r="BK3324">
        <v>-250</v>
      </c>
      <c r="BL3324" t="s">
        <v>163</v>
      </c>
      <c r="BM3324">
        <v>1</v>
      </c>
      <c r="BN3324">
        <v>1</v>
      </c>
      <c r="BO3324">
        <v>1</v>
      </c>
      <c r="BP3324">
        <v>0</v>
      </c>
      <c r="BS3324">
        <v>0</v>
      </c>
      <c r="BT3324">
        <v>0</v>
      </c>
      <c r="BU3324">
        <v>0</v>
      </c>
      <c r="CE3324" t="str">
        <f t="shared" ref="CE3324:CE3330" si="1212">"19:34:25.766"</f>
        <v>19:34:25.766</v>
      </c>
      <c r="CF3324">
        <v>766181724</v>
      </c>
      <c r="CS3324">
        <v>0</v>
      </c>
      <c r="CT3324">
        <v>2</v>
      </c>
      <c r="CU3324">
        <v>0</v>
      </c>
      <c r="CV3324">
        <v>2</v>
      </c>
      <c r="CW3324">
        <v>0</v>
      </c>
      <c r="CX3324">
        <v>6</v>
      </c>
      <c r="CY3324">
        <v>7</v>
      </c>
      <c r="CZ3324" t="s">
        <v>131</v>
      </c>
      <c r="DA3324">
        <v>300</v>
      </c>
      <c r="DB3324">
        <v>0</v>
      </c>
      <c r="DC3324" t="s">
        <v>176</v>
      </c>
      <c r="DD3324" t="s">
        <v>177</v>
      </c>
      <c r="DG3324">
        <v>5435210</v>
      </c>
      <c r="DI3324">
        <v>1</v>
      </c>
      <c r="DJ3324">
        <v>0</v>
      </c>
      <c r="DK3324">
        <v>0</v>
      </c>
      <c r="DL3324">
        <v>0</v>
      </c>
      <c r="DM3324">
        <v>0</v>
      </c>
      <c r="DN3324">
        <v>1</v>
      </c>
      <c r="DO3324">
        <v>0</v>
      </c>
      <c r="DP3324">
        <v>0</v>
      </c>
      <c r="DQ3324">
        <v>0</v>
      </c>
      <c r="DR3324">
        <v>0</v>
      </c>
      <c r="DS3324">
        <v>0</v>
      </c>
    </row>
    <row r="3325" spans="1:123" x14ac:dyDescent="0.3">
      <c r="A3325" t="str">
        <f t="shared" si="1210"/>
        <v>10/04/2022 19:34:26.013</v>
      </c>
      <c r="C3325" t="str">
        <f t="shared" si="1202"/>
        <v>FFDFD3C0</v>
      </c>
      <c r="D3325" t="s">
        <v>141</v>
      </c>
      <c r="E3325">
        <v>4</v>
      </c>
      <c r="H3325">
        <v>4</v>
      </c>
      <c r="I3325" t="s">
        <v>142</v>
      </c>
      <c r="J3325" t="s">
        <v>138</v>
      </c>
      <c r="K3325">
        <v>0</v>
      </c>
      <c r="L3325">
        <v>3</v>
      </c>
      <c r="M3325">
        <v>0</v>
      </c>
      <c r="N3325">
        <v>2</v>
      </c>
      <c r="O3325">
        <v>0</v>
      </c>
      <c r="P3325">
        <v>1</v>
      </c>
      <c r="Q3325">
        <v>0</v>
      </c>
      <c r="S3325" t="str">
        <f t="shared" si="1211"/>
        <v>19:34:25.000</v>
      </c>
      <c r="T3325" t="str">
        <f t="shared" si="1211"/>
        <v>19:34:25.000</v>
      </c>
      <c r="U3325" t="str">
        <f t="shared" si="1188"/>
        <v>AC3944</v>
      </c>
      <c r="V3325">
        <v>0</v>
      </c>
      <c r="W3325">
        <v>0</v>
      </c>
      <c r="X3325">
        <v>2</v>
      </c>
      <c r="Y3325">
        <v>0</v>
      </c>
      <c r="AA3325">
        <v>1</v>
      </c>
      <c r="AB3325">
        <v>8</v>
      </c>
      <c r="AC3325">
        <v>3</v>
      </c>
      <c r="AD3325">
        <v>0</v>
      </c>
      <c r="AE3325">
        <v>9</v>
      </c>
      <c r="AF3325" t="s">
        <v>138</v>
      </c>
      <c r="AG3325">
        <v>0</v>
      </c>
      <c r="AH3325">
        <v>3</v>
      </c>
      <c r="AI3325">
        <v>1</v>
      </c>
      <c r="AJ3325">
        <v>0</v>
      </c>
      <c r="AK3325" t="s">
        <v>1095</v>
      </c>
      <c r="AL3325">
        <v>32.724237000000002</v>
      </c>
      <c r="AM3325" t="s">
        <v>997</v>
      </c>
      <c r="AN3325">
        <v>-116.753039</v>
      </c>
      <c r="AO3325">
        <v>25</v>
      </c>
      <c r="AP3325">
        <v>3800</v>
      </c>
      <c r="AQ3325" t="s">
        <v>129</v>
      </c>
      <c r="AR3325">
        <v>54</v>
      </c>
      <c r="AS3325">
        <v>117</v>
      </c>
      <c r="AT3325">
        <v>1152</v>
      </c>
      <c r="BB3325">
        <v>1200</v>
      </c>
      <c r="BC3325">
        <v>1</v>
      </c>
      <c r="BD3325" t="str">
        <f t="shared" si="1189"/>
        <v xml:space="preserve">N887QR  </v>
      </c>
      <c r="BE3325">
        <v>1</v>
      </c>
      <c r="BG3325">
        <v>0</v>
      </c>
      <c r="BH3325">
        <v>0</v>
      </c>
      <c r="BI3325">
        <v>0</v>
      </c>
      <c r="BJ3325">
        <v>3550</v>
      </c>
      <c r="BK3325">
        <v>-250</v>
      </c>
      <c r="BL3325" t="s">
        <v>163</v>
      </c>
      <c r="BM3325">
        <v>1</v>
      </c>
      <c r="BN3325">
        <v>1</v>
      </c>
      <c r="BO3325">
        <v>1</v>
      </c>
      <c r="BP3325">
        <v>0</v>
      </c>
      <c r="BS3325">
        <v>0</v>
      </c>
      <c r="BT3325">
        <v>0</v>
      </c>
      <c r="BU3325">
        <v>0</v>
      </c>
      <c r="CE3325" t="str">
        <f t="shared" si="1212"/>
        <v>19:34:25.766</v>
      </c>
      <c r="CF3325">
        <v>766181724</v>
      </c>
      <c r="CS3325">
        <v>0</v>
      </c>
      <c r="CT3325">
        <v>2</v>
      </c>
      <c r="CU3325">
        <v>0</v>
      </c>
      <c r="CV3325">
        <v>2</v>
      </c>
      <c r="CW3325">
        <v>0</v>
      </c>
      <c r="CX3325">
        <v>6</v>
      </c>
      <c r="CY3325">
        <v>7</v>
      </c>
      <c r="CZ3325" t="s">
        <v>131</v>
      </c>
      <c r="DA3325">
        <v>300</v>
      </c>
      <c r="DB3325">
        <v>0</v>
      </c>
      <c r="DC3325" t="s">
        <v>176</v>
      </c>
      <c r="DD3325" t="s">
        <v>177</v>
      </c>
      <c r="DG3325">
        <v>5435210</v>
      </c>
      <c r="DI3325">
        <v>1</v>
      </c>
      <c r="DJ3325">
        <v>0</v>
      </c>
      <c r="DK3325">
        <v>1</v>
      </c>
      <c r="DL3325">
        <v>0</v>
      </c>
      <c r="DM3325">
        <v>0</v>
      </c>
      <c r="DN3325">
        <v>1</v>
      </c>
      <c r="DO3325">
        <v>0</v>
      </c>
      <c r="DP3325">
        <v>0</v>
      </c>
      <c r="DQ3325">
        <v>0</v>
      </c>
      <c r="DR3325">
        <v>0</v>
      </c>
      <c r="DS3325">
        <v>0</v>
      </c>
    </row>
    <row r="3326" spans="1:123" x14ac:dyDescent="0.3">
      <c r="A3326" t="str">
        <f t="shared" si="1210"/>
        <v>10/04/2022 19:34:26.013</v>
      </c>
      <c r="C3326" t="str">
        <f t="shared" si="1202"/>
        <v>FFDFD3C0</v>
      </c>
      <c r="D3326" t="s">
        <v>134</v>
      </c>
      <c r="E3326">
        <v>15</v>
      </c>
      <c r="J3326" t="s">
        <v>135</v>
      </c>
      <c r="K3326">
        <v>0</v>
      </c>
      <c r="L3326">
        <v>3</v>
      </c>
      <c r="M3326">
        <v>0</v>
      </c>
      <c r="N3326">
        <v>2</v>
      </c>
      <c r="O3326">
        <v>0</v>
      </c>
      <c r="P3326">
        <v>1</v>
      </c>
      <c r="Q3326">
        <v>0</v>
      </c>
      <c r="S3326" t="str">
        <f t="shared" si="1211"/>
        <v>19:34:25.000</v>
      </c>
      <c r="T3326" t="str">
        <f t="shared" si="1211"/>
        <v>19:34:25.000</v>
      </c>
      <c r="U3326" t="str">
        <f t="shared" si="1188"/>
        <v>AC3944</v>
      </c>
      <c r="V3326">
        <v>0</v>
      </c>
      <c r="W3326">
        <v>0</v>
      </c>
      <c r="X3326">
        <v>2</v>
      </c>
      <c r="Y3326">
        <v>0</v>
      </c>
      <c r="AA3326">
        <v>1</v>
      </c>
      <c r="AB3326">
        <v>8</v>
      </c>
      <c r="AC3326">
        <v>3</v>
      </c>
      <c r="AD3326">
        <v>0</v>
      </c>
      <c r="AE3326">
        <v>9</v>
      </c>
      <c r="AF3326" t="s">
        <v>138</v>
      </c>
      <c r="AG3326">
        <v>0</v>
      </c>
      <c r="AH3326">
        <v>3</v>
      </c>
      <c r="AI3326">
        <v>1</v>
      </c>
      <c r="AJ3326">
        <v>0</v>
      </c>
      <c r="AK3326" t="s">
        <v>1095</v>
      </c>
      <c r="AL3326">
        <v>32.724237000000002</v>
      </c>
      <c r="AM3326" t="s">
        <v>997</v>
      </c>
      <c r="AN3326">
        <v>-116.753039</v>
      </c>
      <c r="AO3326">
        <v>25</v>
      </c>
      <c r="AP3326">
        <v>3800</v>
      </c>
      <c r="AQ3326" t="s">
        <v>129</v>
      </c>
      <c r="AR3326">
        <v>54</v>
      </c>
      <c r="AS3326">
        <v>117</v>
      </c>
      <c r="AT3326">
        <v>1152</v>
      </c>
      <c r="BB3326">
        <v>1200</v>
      </c>
      <c r="BC3326">
        <v>1</v>
      </c>
      <c r="BD3326" t="str">
        <f t="shared" si="1189"/>
        <v xml:space="preserve">N887QR  </v>
      </c>
      <c r="BE3326">
        <v>1</v>
      </c>
      <c r="BG3326">
        <v>0</v>
      </c>
      <c r="BH3326">
        <v>0</v>
      </c>
      <c r="BI3326">
        <v>0</v>
      </c>
      <c r="BJ3326">
        <v>3550</v>
      </c>
      <c r="BK3326">
        <v>-250</v>
      </c>
      <c r="BL3326" t="s">
        <v>163</v>
      </c>
      <c r="BM3326">
        <v>1</v>
      </c>
      <c r="BN3326">
        <v>1</v>
      </c>
      <c r="BO3326">
        <v>1</v>
      </c>
      <c r="BP3326">
        <v>0</v>
      </c>
      <c r="BS3326">
        <v>0</v>
      </c>
      <c r="BT3326">
        <v>0</v>
      </c>
      <c r="BU3326">
        <v>0</v>
      </c>
      <c r="CE3326" t="str">
        <f t="shared" si="1212"/>
        <v>19:34:25.766</v>
      </c>
      <c r="CF3326">
        <v>766181724</v>
      </c>
      <c r="CS3326">
        <v>0</v>
      </c>
      <c r="CT3326">
        <v>2</v>
      </c>
      <c r="CU3326">
        <v>0</v>
      </c>
      <c r="CV3326">
        <v>2</v>
      </c>
      <c r="CW3326">
        <v>0</v>
      </c>
      <c r="CX3326">
        <v>6</v>
      </c>
      <c r="CY3326">
        <v>7</v>
      </c>
      <c r="CZ3326" t="s">
        <v>131</v>
      </c>
      <c r="DA3326">
        <v>300</v>
      </c>
      <c r="DB3326">
        <v>0</v>
      </c>
      <c r="DC3326" t="s">
        <v>176</v>
      </c>
      <c r="DD3326" t="s">
        <v>177</v>
      </c>
      <c r="DG3326">
        <v>5435210</v>
      </c>
      <c r="DI3326">
        <v>1</v>
      </c>
      <c r="DJ3326">
        <v>0</v>
      </c>
      <c r="DK3326">
        <v>1</v>
      </c>
      <c r="DL3326">
        <v>0</v>
      </c>
      <c r="DM3326">
        <v>0</v>
      </c>
      <c r="DN3326">
        <v>1</v>
      </c>
      <c r="DO3326">
        <v>0</v>
      </c>
      <c r="DP3326">
        <v>0</v>
      </c>
      <c r="DQ3326">
        <v>0</v>
      </c>
      <c r="DR3326">
        <v>0</v>
      </c>
      <c r="DS3326">
        <v>0</v>
      </c>
    </row>
    <row r="3327" spans="1:123" x14ac:dyDescent="0.3">
      <c r="A3327" t="str">
        <f t="shared" si="1210"/>
        <v>10/04/2022 19:34:26.013</v>
      </c>
      <c r="C3327" t="str">
        <f t="shared" si="1202"/>
        <v>FFDFD3C0</v>
      </c>
      <c r="D3327" t="s">
        <v>147</v>
      </c>
      <c r="E3327">
        <v>3</v>
      </c>
      <c r="H3327">
        <v>166</v>
      </c>
      <c r="I3327" t="s">
        <v>144</v>
      </c>
      <c r="J3327" t="s">
        <v>148</v>
      </c>
      <c r="K3327">
        <v>0</v>
      </c>
      <c r="L3327">
        <v>3</v>
      </c>
      <c r="M3327">
        <v>0</v>
      </c>
      <c r="N3327">
        <v>2</v>
      </c>
      <c r="O3327">
        <v>0</v>
      </c>
      <c r="P3327">
        <v>1</v>
      </c>
      <c r="Q3327">
        <v>0</v>
      </c>
      <c r="S3327" t="str">
        <f t="shared" si="1211"/>
        <v>19:34:25.000</v>
      </c>
      <c r="T3327" t="str">
        <f t="shared" si="1211"/>
        <v>19:34:25.000</v>
      </c>
      <c r="U3327" t="str">
        <f t="shared" si="1188"/>
        <v>AC3944</v>
      </c>
      <c r="V3327">
        <v>0</v>
      </c>
      <c r="W3327">
        <v>0</v>
      </c>
      <c r="X3327">
        <v>2</v>
      </c>
      <c r="Y3327">
        <v>0</v>
      </c>
      <c r="AA3327">
        <v>1</v>
      </c>
      <c r="AB3327">
        <v>8</v>
      </c>
      <c r="AC3327">
        <v>3</v>
      </c>
      <c r="AD3327">
        <v>0</v>
      </c>
      <c r="AE3327">
        <v>9</v>
      </c>
      <c r="AF3327" t="s">
        <v>138</v>
      </c>
      <c r="AG3327">
        <v>0</v>
      </c>
      <c r="AH3327">
        <v>3</v>
      </c>
      <c r="AI3327">
        <v>1</v>
      </c>
      <c r="AJ3327">
        <v>0</v>
      </c>
      <c r="AK3327" t="s">
        <v>1095</v>
      </c>
      <c r="AL3327">
        <v>32.724237000000002</v>
      </c>
      <c r="AM3327" t="s">
        <v>997</v>
      </c>
      <c r="AN3327">
        <v>-116.753039</v>
      </c>
      <c r="AO3327">
        <v>25</v>
      </c>
      <c r="AP3327">
        <v>3800</v>
      </c>
      <c r="AQ3327" t="s">
        <v>129</v>
      </c>
      <c r="AR3327">
        <v>54</v>
      </c>
      <c r="AS3327">
        <v>117</v>
      </c>
      <c r="AT3327">
        <v>1152</v>
      </c>
      <c r="BB3327">
        <v>1200</v>
      </c>
      <c r="BC3327">
        <v>1</v>
      </c>
      <c r="BD3327" t="str">
        <f t="shared" si="1189"/>
        <v xml:space="preserve">N887QR  </v>
      </c>
      <c r="BE3327">
        <v>1</v>
      </c>
      <c r="BG3327">
        <v>0</v>
      </c>
      <c r="BH3327">
        <v>0</v>
      </c>
      <c r="BI3327">
        <v>0</v>
      </c>
      <c r="BJ3327">
        <v>3550</v>
      </c>
      <c r="BK3327">
        <v>-250</v>
      </c>
      <c r="BL3327" t="s">
        <v>163</v>
      </c>
      <c r="BM3327">
        <v>1</v>
      </c>
      <c r="BN3327">
        <v>1</v>
      </c>
      <c r="BO3327">
        <v>1</v>
      </c>
      <c r="BP3327">
        <v>0</v>
      </c>
      <c r="BS3327">
        <v>0</v>
      </c>
      <c r="BT3327">
        <v>0</v>
      </c>
      <c r="BU3327">
        <v>0</v>
      </c>
      <c r="CE3327" t="str">
        <f t="shared" si="1212"/>
        <v>19:34:25.766</v>
      </c>
      <c r="CF3327">
        <v>766181724</v>
      </c>
      <c r="CS3327">
        <v>0</v>
      </c>
      <c r="CT3327">
        <v>2</v>
      </c>
      <c r="CU3327">
        <v>0</v>
      </c>
      <c r="CV3327">
        <v>2</v>
      </c>
      <c r="CW3327">
        <v>0</v>
      </c>
      <c r="CX3327">
        <v>6</v>
      </c>
      <c r="CY3327">
        <v>7</v>
      </c>
      <c r="CZ3327" t="s">
        <v>131</v>
      </c>
      <c r="DA3327">
        <v>300</v>
      </c>
      <c r="DB3327">
        <v>0</v>
      </c>
      <c r="DC3327" t="s">
        <v>176</v>
      </c>
      <c r="DD3327" t="s">
        <v>177</v>
      </c>
      <c r="DG3327">
        <v>5435210</v>
      </c>
      <c r="DI3327">
        <v>1</v>
      </c>
      <c r="DJ3327">
        <v>0</v>
      </c>
      <c r="DK3327">
        <v>1</v>
      </c>
      <c r="DL3327">
        <v>0</v>
      </c>
      <c r="DM3327">
        <v>0</v>
      </c>
      <c r="DN3327">
        <v>1</v>
      </c>
      <c r="DO3327">
        <v>0</v>
      </c>
      <c r="DP3327">
        <v>0</v>
      </c>
      <c r="DQ3327">
        <v>0</v>
      </c>
      <c r="DR3327">
        <v>0</v>
      </c>
      <c r="DS3327">
        <v>0</v>
      </c>
    </row>
    <row r="3328" spans="1:123" x14ac:dyDescent="0.3">
      <c r="A3328" t="str">
        <f t="shared" si="1210"/>
        <v>10/04/2022 19:34:26.013</v>
      </c>
      <c r="C3328" t="str">
        <f t="shared" si="1202"/>
        <v>FFDFD3C0</v>
      </c>
      <c r="D3328" t="s">
        <v>143</v>
      </c>
      <c r="E3328">
        <v>20</v>
      </c>
      <c r="F3328">
        <v>1020</v>
      </c>
      <c r="G3328" t="s">
        <v>144</v>
      </c>
      <c r="J3328" t="s">
        <v>145</v>
      </c>
      <c r="K3328">
        <v>0</v>
      </c>
      <c r="L3328">
        <v>3</v>
      </c>
      <c r="M3328">
        <v>0</v>
      </c>
      <c r="N3328">
        <v>2</v>
      </c>
      <c r="O3328">
        <v>0</v>
      </c>
      <c r="P3328">
        <v>1</v>
      </c>
      <c r="Q3328">
        <v>0</v>
      </c>
      <c r="S3328" t="str">
        <f t="shared" si="1211"/>
        <v>19:34:25.000</v>
      </c>
      <c r="T3328" t="str">
        <f t="shared" si="1211"/>
        <v>19:34:25.000</v>
      </c>
      <c r="U3328" t="str">
        <f t="shared" si="1188"/>
        <v>AC3944</v>
      </c>
      <c r="V3328">
        <v>0</v>
      </c>
      <c r="W3328">
        <v>0</v>
      </c>
      <c r="X3328">
        <v>2</v>
      </c>
      <c r="Y3328">
        <v>0</v>
      </c>
      <c r="AA3328">
        <v>1</v>
      </c>
      <c r="AB3328">
        <v>8</v>
      </c>
      <c r="AC3328">
        <v>3</v>
      </c>
      <c r="AD3328">
        <v>0</v>
      </c>
      <c r="AE3328">
        <v>9</v>
      </c>
      <c r="AF3328" t="s">
        <v>138</v>
      </c>
      <c r="AG3328">
        <v>0</v>
      </c>
      <c r="AH3328">
        <v>3</v>
      </c>
      <c r="AI3328">
        <v>1</v>
      </c>
      <c r="AJ3328">
        <v>0</v>
      </c>
      <c r="AK3328" t="s">
        <v>1095</v>
      </c>
      <c r="AL3328">
        <v>32.724237000000002</v>
      </c>
      <c r="AM3328" t="s">
        <v>997</v>
      </c>
      <c r="AN3328">
        <v>-116.753039</v>
      </c>
      <c r="AO3328">
        <v>25</v>
      </c>
      <c r="AP3328">
        <v>3800</v>
      </c>
      <c r="AQ3328" t="s">
        <v>129</v>
      </c>
      <c r="AR3328">
        <v>54</v>
      </c>
      <c r="AS3328">
        <v>117</v>
      </c>
      <c r="AT3328">
        <v>1152</v>
      </c>
      <c r="BB3328">
        <v>1200</v>
      </c>
      <c r="BC3328">
        <v>1</v>
      </c>
      <c r="BD3328" t="str">
        <f t="shared" si="1189"/>
        <v xml:space="preserve">N887QR  </v>
      </c>
      <c r="BE3328">
        <v>1</v>
      </c>
      <c r="BG3328">
        <v>0</v>
      </c>
      <c r="BH3328">
        <v>0</v>
      </c>
      <c r="BI3328">
        <v>0</v>
      </c>
      <c r="BJ3328">
        <v>3550</v>
      </c>
      <c r="BK3328">
        <v>-250</v>
      </c>
      <c r="BL3328" t="s">
        <v>163</v>
      </c>
      <c r="BM3328">
        <v>1</v>
      </c>
      <c r="BN3328">
        <v>1</v>
      </c>
      <c r="BO3328">
        <v>1</v>
      </c>
      <c r="BP3328">
        <v>0</v>
      </c>
      <c r="BS3328">
        <v>0</v>
      </c>
      <c r="BT3328">
        <v>0</v>
      </c>
      <c r="BU3328">
        <v>0</v>
      </c>
      <c r="CE3328" t="str">
        <f t="shared" si="1212"/>
        <v>19:34:25.766</v>
      </c>
      <c r="CF3328">
        <v>766181724</v>
      </c>
      <c r="CS3328">
        <v>0</v>
      </c>
      <c r="CT3328">
        <v>2</v>
      </c>
      <c r="CU3328">
        <v>0</v>
      </c>
      <c r="CV3328">
        <v>2</v>
      </c>
      <c r="CW3328">
        <v>0</v>
      </c>
      <c r="CX3328">
        <v>6</v>
      </c>
      <c r="CY3328">
        <v>7</v>
      </c>
      <c r="CZ3328" t="s">
        <v>131</v>
      </c>
      <c r="DA3328">
        <v>300</v>
      </c>
      <c r="DB3328">
        <v>0</v>
      </c>
      <c r="DC3328" t="s">
        <v>176</v>
      </c>
      <c r="DD3328" t="s">
        <v>177</v>
      </c>
      <c r="DG3328">
        <v>5435210</v>
      </c>
      <c r="DI3328">
        <v>1</v>
      </c>
      <c r="DJ3328">
        <v>0</v>
      </c>
      <c r="DK3328">
        <v>1</v>
      </c>
      <c r="DL3328">
        <v>0</v>
      </c>
      <c r="DM3328">
        <v>0</v>
      </c>
      <c r="DN3328">
        <v>1</v>
      </c>
      <c r="DO3328">
        <v>0</v>
      </c>
      <c r="DP3328">
        <v>0</v>
      </c>
      <c r="DQ3328">
        <v>0</v>
      </c>
      <c r="DR3328">
        <v>0</v>
      </c>
      <c r="DS3328">
        <v>0</v>
      </c>
    </row>
    <row r="3329" spans="1:123" x14ac:dyDescent="0.3">
      <c r="A3329" t="str">
        <f t="shared" si="1210"/>
        <v>10/04/2022 19:34:26.013</v>
      </c>
      <c r="C3329" t="str">
        <f t="shared" si="1202"/>
        <v>FFDFD3C0</v>
      </c>
      <c r="D3329" t="s">
        <v>123</v>
      </c>
      <c r="E3329">
        <v>7</v>
      </c>
      <c r="F3329">
        <v>2007</v>
      </c>
      <c r="G3329" t="s">
        <v>124</v>
      </c>
      <c r="J3329" t="s">
        <v>125</v>
      </c>
      <c r="K3329">
        <v>0</v>
      </c>
      <c r="L3329">
        <v>3</v>
      </c>
      <c r="M3329">
        <v>0</v>
      </c>
      <c r="N3329">
        <v>2</v>
      </c>
      <c r="O3329">
        <v>0</v>
      </c>
      <c r="P3329">
        <v>1</v>
      </c>
      <c r="Q3329">
        <v>0</v>
      </c>
      <c r="S3329" t="str">
        <f t="shared" si="1211"/>
        <v>19:34:25.000</v>
      </c>
      <c r="T3329" t="str">
        <f t="shared" si="1211"/>
        <v>19:34:25.000</v>
      </c>
      <c r="U3329" t="str">
        <f t="shared" si="1188"/>
        <v>AC3944</v>
      </c>
      <c r="V3329">
        <v>0</v>
      </c>
      <c r="W3329">
        <v>0</v>
      </c>
      <c r="X3329">
        <v>2</v>
      </c>
      <c r="Y3329">
        <v>0</v>
      </c>
      <c r="AA3329">
        <v>1</v>
      </c>
      <c r="AB3329">
        <v>8</v>
      </c>
      <c r="AC3329">
        <v>3</v>
      </c>
      <c r="AD3329">
        <v>0</v>
      </c>
      <c r="AE3329">
        <v>9</v>
      </c>
      <c r="AF3329" t="s">
        <v>138</v>
      </c>
      <c r="AG3329">
        <v>0</v>
      </c>
      <c r="AH3329">
        <v>3</v>
      </c>
      <c r="AI3329">
        <v>1</v>
      </c>
      <c r="AJ3329">
        <v>0</v>
      </c>
      <c r="AK3329" t="s">
        <v>1095</v>
      </c>
      <c r="AL3329">
        <v>32.724237000000002</v>
      </c>
      <c r="AM3329" t="s">
        <v>997</v>
      </c>
      <c r="AN3329">
        <v>-116.753039</v>
      </c>
      <c r="AO3329">
        <v>25</v>
      </c>
      <c r="AP3329">
        <v>3800</v>
      </c>
      <c r="AQ3329" t="s">
        <v>129</v>
      </c>
      <c r="AR3329">
        <v>54</v>
      </c>
      <c r="AS3329">
        <v>117</v>
      </c>
      <c r="AT3329">
        <v>1152</v>
      </c>
      <c r="BB3329">
        <v>1200</v>
      </c>
      <c r="BC3329">
        <v>1</v>
      </c>
      <c r="BD3329" t="str">
        <f t="shared" si="1189"/>
        <v xml:space="preserve">N887QR  </v>
      </c>
      <c r="BE3329">
        <v>1</v>
      </c>
      <c r="BG3329">
        <v>0</v>
      </c>
      <c r="BH3329">
        <v>0</v>
      </c>
      <c r="BI3329">
        <v>0</v>
      </c>
      <c r="BJ3329">
        <v>3550</v>
      </c>
      <c r="BK3329">
        <v>-250</v>
      </c>
      <c r="BL3329" t="s">
        <v>163</v>
      </c>
      <c r="BM3329">
        <v>1</v>
      </c>
      <c r="BN3329">
        <v>1</v>
      </c>
      <c r="BO3329">
        <v>1</v>
      </c>
      <c r="BP3329">
        <v>0</v>
      </c>
      <c r="BS3329">
        <v>0</v>
      </c>
      <c r="BT3329">
        <v>0</v>
      </c>
      <c r="BU3329">
        <v>0</v>
      </c>
      <c r="CE3329" t="str">
        <f t="shared" si="1212"/>
        <v>19:34:25.766</v>
      </c>
      <c r="CF3329">
        <v>766181724</v>
      </c>
      <c r="CS3329">
        <v>0</v>
      </c>
      <c r="CT3329">
        <v>2</v>
      </c>
      <c r="CU3329">
        <v>0</v>
      </c>
      <c r="CV3329">
        <v>2</v>
      </c>
      <c r="CW3329">
        <v>0</v>
      </c>
      <c r="CX3329">
        <v>6</v>
      </c>
      <c r="CY3329">
        <v>7</v>
      </c>
      <c r="CZ3329" t="s">
        <v>131</v>
      </c>
      <c r="DA3329">
        <v>300</v>
      </c>
      <c r="DB3329">
        <v>0</v>
      </c>
      <c r="DC3329" t="s">
        <v>176</v>
      </c>
      <c r="DD3329" t="s">
        <v>177</v>
      </c>
      <c r="DG3329">
        <v>5435210</v>
      </c>
      <c r="DI3329">
        <v>1</v>
      </c>
      <c r="DJ3329">
        <v>0</v>
      </c>
      <c r="DK3329">
        <v>1</v>
      </c>
      <c r="DL3329">
        <v>0</v>
      </c>
      <c r="DM3329">
        <v>0</v>
      </c>
      <c r="DN3329">
        <v>1</v>
      </c>
      <c r="DO3329">
        <v>0</v>
      </c>
      <c r="DP3329">
        <v>0</v>
      </c>
      <c r="DQ3329">
        <v>0</v>
      </c>
      <c r="DR3329">
        <v>0</v>
      </c>
      <c r="DS3329">
        <v>0</v>
      </c>
    </row>
    <row r="3330" spans="1:123" x14ac:dyDescent="0.3">
      <c r="A3330" t="str">
        <f t="shared" si="1210"/>
        <v>10/04/2022 19:34:26.013</v>
      </c>
      <c r="C3330" t="str">
        <f t="shared" si="1202"/>
        <v>FFDFD3C0</v>
      </c>
      <c r="D3330" t="s">
        <v>141</v>
      </c>
      <c r="E3330">
        <v>3</v>
      </c>
      <c r="H3330">
        <v>3</v>
      </c>
      <c r="I3330" t="s">
        <v>146</v>
      </c>
      <c r="J3330" t="s">
        <v>138</v>
      </c>
      <c r="K3330">
        <v>0</v>
      </c>
      <c r="L3330">
        <v>3</v>
      </c>
      <c r="M3330">
        <v>0</v>
      </c>
      <c r="N3330">
        <v>2</v>
      </c>
      <c r="O3330">
        <v>0</v>
      </c>
      <c r="P3330">
        <v>1</v>
      </c>
      <c r="Q3330">
        <v>0</v>
      </c>
      <c r="S3330" t="str">
        <f t="shared" si="1211"/>
        <v>19:34:25.000</v>
      </c>
      <c r="T3330" t="str">
        <f t="shared" si="1211"/>
        <v>19:34:25.000</v>
      </c>
      <c r="U3330" t="str">
        <f t="shared" ref="U3330:U3393" si="1213">"AC3944"</f>
        <v>AC3944</v>
      </c>
      <c r="V3330">
        <v>0</v>
      </c>
      <c r="W3330">
        <v>0</v>
      </c>
      <c r="X3330">
        <v>2</v>
      </c>
      <c r="Y3330">
        <v>0</v>
      </c>
      <c r="AA3330">
        <v>1</v>
      </c>
      <c r="AB3330">
        <v>8</v>
      </c>
      <c r="AC3330">
        <v>3</v>
      </c>
      <c r="AD3330">
        <v>0</v>
      </c>
      <c r="AE3330">
        <v>9</v>
      </c>
      <c r="AF3330" t="s">
        <v>138</v>
      </c>
      <c r="AG3330">
        <v>0</v>
      </c>
      <c r="AH3330">
        <v>3</v>
      </c>
      <c r="AI3330">
        <v>1</v>
      </c>
      <c r="AJ3330">
        <v>0</v>
      </c>
      <c r="AK3330" t="s">
        <v>1095</v>
      </c>
      <c r="AL3330">
        <v>32.724237000000002</v>
      </c>
      <c r="AM3330" t="s">
        <v>997</v>
      </c>
      <c r="AN3330">
        <v>-116.753039</v>
      </c>
      <c r="AO3330">
        <v>25</v>
      </c>
      <c r="AP3330">
        <v>3800</v>
      </c>
      <c r="AQ3330" t="s">
        <v>129</v>
      </c>
      <c r="AR3330">
        <v>54</v>
      </c>
      <c r="AS3330">
        <v>117</v>
      </c>
      <c r="AT3330">
        <v>1152</v>
      </c>
      <c r="BB3330">
        <v>1200</v>
      </c>
      <c r="BC3330">
        <v>1</v>
      </c>
      <c r="BD3330" t="str">
        <f t="shared" ref="BD3330:BD3393" si="1214">"N887QR  "</f>
        <v xml:space="preserve">N887QR  </v>
      </c>
      <c r="BE3330">
        <v>1</v>
      </c>
      <c r="BG3330">
        <v>0</v>
      </c>
      <c r="BH3330">
        <v>0</v>
      </c>
      <c r="BI3330">
        <v>0</v>
      </c>
      <c r="BJ3330">
        <v>3550</v>
      </c>
      <c r="BK3330">
        <v>-250</v>
      </c>
      <c r="BL3330" t="s">
        <v>163</v>
      </c>
      <c r="BM3330">
        <v>1</v>
      </c>
      <c r="BN3330">
        <v>1</v>
      </c>
      <c r="BO3330">
        <v>1</v>
      </c>
      <c r="BP3330">
        <v>0</v>
      </c>
      <c r="BS3330">
        <v>0</v>
      </c>
      <c r="BT3330">
        <v>0</v>
      </c>
      <c r="BU3330">
        <v>0</v>
      </c>
      <c r="CE3330" t="str">
        <f t="shared" si="1212"/>
        <v>19:34:25.766</v>
      </c>
      <c r="CF3330">
        <v>766181724</v>
      </c>
      <c r="CS3330">
        <v>0</v>
      </c>
      <c r="CT3330">
        <v>2</v>
      </c>
      <c r="CU3330">
        <v>0</v>
      </c>
      <c r="CV3330">
        <v>2</v>
      </c>
      <c r="CW3330">
        <v>0</v>
      </c>
      <c r="CX3330">
        <v>6</v>
      </c>
      <c r="CY3330">
        <v>7</v>
      </c>
      <c r="CZ3330" t="s">
        <v>131</v>
      </c>
      <c r="DA3330">
        <v>300</v>
      </c>
      <c r="DB3330">
        <v>0</v>
      </c>
      <c r="DC3330" t="s">
        <v>176</v>
      </c>
      <c r="DD3330" t="s">
        <v>177</v>
      </c>
      <c r="DG3330">
        <v>5435210</v>
      </c>
      <c r="DI3330">
        <v>1</v>
      </c>
      <c r="DJ3330">
        <v>0</v>
      </c>
      <c r="DK3330">
        <v>1</v>
      </c>
      <c r="DL3330">
        <v>0</v>
      </c>
      <c r="DM3330">
        <v>0</v>
      </c>
      <c r="DN3330">
        <v>1</v>
      </c>
      <c r="DO3330">
        <v>0</v>
      </c>
      <c r="DP3330">
        <v>0</v>
      </c>
      <c r="DQ3330">
        <v>0</v>
      </c>
      <c r="DR3330">
        <v>0</v>
      </c>
      <c r="DS3330">
        <v>0</v>
      </c>
    </row>
    <row r="3331" spans="1:123" x14ac:dyDescent="0.3">
      <c r="A3331" t="str">
        <f>"10/04/2022 19:34:27.181"</f>
        <v>10/04/2022 19:34:27.181</v>
      </c>
      <c r="C3331" t="str">
        <f t="shared" si="1202"/>
        <v>FFDFD3C0</v>
      </c>
      <c r="D3331" t="s">
        <v>123</v>
      </c>
      <c r="E3331">
        <v>7</v>
      </c>
      <c r="F3331">
        <v>2007</v>
      </c>
      <c r="G3331" t="s">
        <v>124</v>
      </c>
      <c r="J3331" t="s">
        <v>125</v>
      </c>
      <c r="K3331">
        <v>0</v>
      </c>
      <c r="L3331">
        <v>3</v>
      </c>
      <c r="M3331">
        <v>0</v>
      </c>
      <c r="N3331">
        <v>2</v>
      </c>
      <c r="O3331">
        <v>0</v>
      </c>
      <c r="P3331">
        <v>1</v>
      </c>
      <c r="Q3331">
        <v>0</v>
      </c>
      <c r="S3331" t="str">
        <f t="shared" ref="S3331:T3337" si="1215">"19:34:26.000"</f>
        <v>19:34:26.000</v>
      </c>
      <c r="T3331" t="str">
        <f t="shared" si="1215"/>
        <v>19:34:26.000</v>
      </c>
      <c r="U3331" t="str">
        <f t="shared" si="1213"/>
        <v>AC3944</v>
      </c>
      <c r="V3331">
        <v>0</v>
      </c>
      <c r="W3331">
        <v>0</v>
      </c>
      <c r="X3331">
        <v>2</v>
      </c>
      <c r="Y3331">
        <v>0</v>
      </c>
      <c r="AA3331">
        <v>1</v>
      </c>
      <c r="AB3331">
        <v>8</v>
      </c>
      <c r="AC3331">
        <v>3</v>
      </c>
      <c r="AD3331">
        <v>0</v>
      </c>
      <c r="AE3331">
        <v>9</v>
      </c>
      <c r="AF3331" t="s">
        <v>138</v>
      </c>
      <c r="AG3331">
        <v>0</v>
      </c>
      <c r="AH3331">
        <v>3</v>
      </c>
      <c r="AI3331">
        <v>1</v>
      </c>
      <c r="AJ3331">
        <v>0</v>
      </c>
      <c r="AK3331" t="s">
        <v>1096</v>
      </c>
      <c r="AL3331">
        <v>32.724773999999996</v>
      </c>
      <c r="AM3331" t="s">
        <v>1097</v>
      </c>
      <c r="AN3331">
        <v>-116.75273900000001</v>
      </c>
      <c r="AO3331">
        <v>25</v>
      </c>
      <c r="AP3331">
        <v>3800</v>
      </c>
      <c r="AQ3331" t="s">
        <v>129</v>
      </c>
      <c r="AR3331">
        <v>60</v>
      </c>
      <c r="AS3331">
        <v>112</v>
      </c>
      <c r="AT3331">
        <v>1216</v>
      </c>
      <c r="BB3331">
        <v>1200</v>
      </c>
      <c r="BC3331">
        <v>1</v>
      </c>
      <c r="BD3331" t="str">
        <f t="shared" si="1214"/>
        <v xml:space="preserve">N887QR  </v>
      </c>
      <c r="BE3331">
        <v>1</v>
      </c>
      <c r="BG3331">
        <v>0</v>
      </c>
      <c r="BH3331">
        <v>0</v>
      </c>
      <c r="BI3331">
        <v>0</v>
      </c>
      <c r="BJ3331">
        <v>3550</v>
      </c>
      <c r="BK3331">
        <v>-250</v>
      </c>
      <c r="BL3331" t="s">
        <v>163</v>
      </c>
      <c r="BM3331">
        <v>1</v>
      </c>
      <c r="BN3331">
        <v>1</v>
      </c>
      <c r="BO3331">
        <v>1</v>
      </c>
      <c r="BP3331">
        <v>0</v>
      </c>
      <c r="BS3331">
        <v>0</v>
      </c>
      <c r="BT3331">
        <v>0</v>
      </c>
      <c r="BU3331">
        <v>0</v>
      </c>
      <c r="CE3331" t="str">
        <f t="shared" ref="CE3331:CE3337" si="1216">"19:34:26.909"</f>
        <v>19:34:26.909</v>
      </c>
      <c r="CF3331">
        <v>909435232</v>
      </c>
      <c r="CS3331">
        <v>0</v>
      </c>
      <c r="CT3331">
        <v>2</v>
      </c>
      <c r="CU3331">
        <v>0</v>
      </c>
      <c r="CV3331">
        <v>2</v>
      </c>
      <c r="CW3331">
        <v>0</v>
      </c>
      <c r="CX3331">
        <v>6</v>
      </c>
      <c r="CY3331">
        <v>7</v>
      </c>
      <c r="CZ3331" t="s">
        <v>131</v>
      </c>
      <c r="DA3331">
        <v>300</v>
      </c>
      <c r="DB3331">
        <v>0</v>
      </c>
      <c r="DC3331" t="s">
        <v>176</v>
      </c>
      <c r="DD3331" t="s">
        <v>177</v>
      </c>
      <c r="DG3331">
        <v>5435402</v>
      </c>
      <c r="DI3331">
        <v>1</v>
      </c>
      <c r="DJ3331">
        <v>0</v>
      </c>
      <c r="DK3331">
        <v>0</v>
      </c>
      <c r="DL3331">
        <v>0</v>
      </c>
      <c r="DM3331">
        <v>0</v>
      </c>
      <c r="DN3331">
        <v>1</v>
      </c>
      <c r="DO3331">
        <v>0</v>
      </c>
      <c r="DP3331">
        <v>0</v>
      </c>
      <c r="DQ3331">
        <v>0</v>
      </c>
      <c r="DR3331">
        <v>0</v>
      </c>
      <c r="DS3331">
        <v>0</v>
      </c>
    </row>
    <row r="3332" spans="1:123" x14ac:dyDescent="0.3">
      <c r="A3332" t="str">
        <f t="shared" ref="A3332:A3337" si="1217">"10/04/2022 19:34:27.291"</f>
        <v>10/04/2022 19:34:27.291</v>
      </c>
      <c r="C3332" t="str">
        <f t="shared" si="1202"/>
        <v>FFDFD3C0</v>
      </c>
      <c r="D3332" t="s">
        <v>141</v>
      </c>
      <c r="E3332">
        <v>3</v>
      </c>
      <c r="H3332">
        <v>3</v>
      </c>
      <c r="I3332" t="s">
        <v>146</v>
      </c>
      <c r="J3332" t="s">
        <v>138</v>
      </c>
      <c r="K3332">
        <v>0</v>
      </c>
      <c r="L3332">
        <v>3</v>
      </c>
      <c r="M3332">
        <v>0</v>
      </c>
      <c r="N3332">
        <v>2</v>
      </c>
      <c r="O3332">
        <v>0</v>
      </c>
      <c r="P3332">
        <v>1</v>
      </c>
      <c r="Q3332">
        <v>0</v>
      </c>
      <c r="S3332" t="str">
        <f t="shared" si="1215"/>
        <v>19:34:26.000</v>
      </c>
      <c r="T3332" t="str">
        <f t="shared" si="1215"/>
        <v>19:34:26.000</v>
      </c>
      <c r="U3332" t="str">
        <f t="shared" si="1213"/>
        <v>AC3944</v>
      </c>
      <c r="V3332">
        <v>0</v>
      </c>
      <c r="W3332">
        <v>0</v>
      </c>
      <c r="X3332">
        <v>2</v>
      </c>
      <c r="Y3332">
        <v>0</v>
      </c>
      <c r="AA3332">
        <v>1</v>
      </c>
      <c r="AB3332">
        <v>8</v>
      </c>
      <c r="AC3332">
        <v>3</v>
      </c>
      <c r="AD3332">
        <v>0</v>
      </c>
      <c r="AE3332">
        <v>9</v>
      </c>
      <c r="AF3332" t="s">
        <v>138</v>
      </c>
      <c r="AG3332">
        <v>0</v>
      </c>
      <c r="AH3332">
        <v>3</v>
      </c>
      <c r="AI3332">
        <v>1</v>
      </c>
      <c r="AJ3332">
        <v>0</v>
      </c>
      <c r="AK3332" t="s">
        <v>1096</v>
      </c>
      <c r="AL3332">
        <v>32.724773999999996</v>
      </c>
      <c r="AM3332" t="s">
        <v>1097</v>
      </c>
      <c r="AN3332">
        <v>-116.75273900000001</v>
      </c>
      <c r="AO3332">
        <v>25</v>
      </c>
      <c r="AP3332">
        <v>3800</v>
      </c>
      <c r="AQ3332" t="s">
        <v>129</v>
      </c>
      <c r="AR3332">
        <v>60</v>
      </c>
      <c r="AS3332">
        <v>112</v>
      </c>
      <c r="AT3332">
        <v>1216</v>
      </c>
      <c r="BB3332">
        <v>1200</v>
      </c>
      <c r="BC3332">
        <v>1</v>
      </c>
      <c r="BD3332" t="str">
        <f t="shared" si="1214"/>
        <v xml:space="preserve">N887QR  </v>
      </c>
      <c r="BE3332">
        <v>1</v>
      </c>
      <c r="BG3332">
        <v>0</v>
      </c>
      <c r="BH3332">
        <v>0</v>
      </c>
      <c r="BI3332">
        <v>0</v>
      </c>
      <c r="BJ3332">
        <v>3550</v>
      </c>
      <c r="BK3332">
        <v>-250</v>
      </c>
      <c r="BL3332" t="s">
        <v>163</v>
      </c>
      <c r="BM3332">
        <v>1</v>
      </c>
      <c r="BN3332">
        <v>1</v>
      </c>
      <c r="BO3332">
        <v>1</v>
      </c>
      <c r="BP3332">
        <v>0</v>
      </c>
      <c r="BS3332">
        <v>0</v>
      </c>
      <c r="BT3332">
        <v>0</v>
      </c>
      <c r="BU3332">
        <v>0</v>
      </c>
      <c r="CE3332" t="str">
        <f t="shared" si="1216"/>
        <v>19:34:26.909</v>
      </c>
      <c r="CF3332">
        <v>909435232</v>
      </c>
      <c r="CS3332">
        <v>0</v>
      </c>
      <c r="CT3332">
        <v>2</v>
      </c>
      <c r="CU3332">
        <v>0</v>
      </c>
      <c r="CV3332">
        <v>2</v>
      </c>
      <c r="CW3332">
        <v>0</v>
      </c>
      <c r="CX3332">
        <v>6</v>
      </c>
      <c r="CY3332">
        <v>7</v>
      </c>
      <c r="CZ3332" t="s">
        <v>131</v>
      </c>
      <c r="DA3332">
        <v>300</v>
      </c>
      <c r="DB3332">
        <v>0</v>
      </c>
      <c r="DC3332" t="s">
        <v>176</v>
      </c>
      <c r="DD3332" t="s">
        <v>177</v>
      </c>
      <c r="DG3332">
        <v>5435402</v>
      </c>
      <c r="DI3332">
        <v>1</v>
      </c>
      <c r="DJ3332">
        <v>0</v>
      </c>
      <c r="DK3332">
        <v>0</v>
      </c>
      <c r="DL3332">
        <v>0</v>
      </c>
      <c r="DM3332">
        <v>0</v>
      </c>
      <c r="DN3332">
        <v>1</v>
      </c>
      <c r="DO3332">
        <v>0</v>
      </c>
      <c r="DP3332">
        <v>0</v>
      </c>
      <c r="DQ3332">
        <v>0</v>
      </c>
      <c r="DR3332">
        <v>0</v>
      </c>
      <c r="DS3332">
        <v>0</v>
      </c>
    </row>
    <row r="3333" spans="1:123" x14ac:dyDescent="0.3">
      <c r="A3333" t="str">
        <f t="shared" si="1217"/>
        <v>10/04/2022 19:34:27.291</v>
      </c>
      <c r="C3333" t="str">
        <f t="shared" si="1202"/>
        <v>FFDFD3C0</v>
      </c>
      <c r="D3333" t="s">
        <v>136</v>
      </c>
      <c r="E3333">
        <v>8</v>
      </c>
      <c r="H3333">
        <v>225</v>
      </c>
      <c r="I3333" t="s">
        <v>137</v>
      </c>
      <c r="J3333" t="s">
        <v>138</v>
      </c>
      <c r="K3333">
        <v>0</v>
      </c>
      <c r="L3333">
        <v>3</v>
      </c>
      <c r="M3333">
        <v>0</v>
      </c>
      <c r="N3333">
        <v>2</v>
      </c>
      <c r="O3333">
        <v>0</v>
      </c>
      <c r="P3333">
        <v>1</v>
      </c>
      <c r="Q3333">
        <v>0</v>
      </c>
      <c r="S3333" t="str">
        <f t="shared" si="1215"/>
        <v>19:34:26.000</v>
      </c>
      <c r="T3333" t="str">
        <f t="shared" si="1215"/>
        <v>19:34:26.000</v>
      </c>
      <c r="U3333" t="str">
        <f t="shared" si="1213"/>
        <v>AC3944</v>
      </c>
      <c r="V3333">
        <v>0</v>
      </c>
      <c r="W3333">
        <v>0</v>
      </c>
      <c r="X3333">
        <v>2</v>
      </c>
      <c r="Y3333">
        <v>0</v>
      </c>
      <c r="AA3333">
        <v>1</v>
      </c>
      <c r="AB3333">
        <v>8</v>
      </c>
      <c r="AC3333">
        <v>3</v>
      </c>
      <c r="AD3333">
        <v>0</v>
      </c>
      <c r="AE3333">
        <v>9</v>
      </c>
      <c r="AF3333" t="s">
        <v>138</v>
      </c>
      <c r="AG3333">
        <v>0</v>
      </c>
      <c r="AH3333">
        <v>3</v>
      </c>
      <c r="AI3333">
        <v>1</v>
      </c>
      <c r="AJ3333">
        <v>0</v>
      </c>
      <c r="AK3333" t="s">
        <v>1096</v>
      </c>
      <c r="AL3333">
        <v>32.724773999999996</v>
      </c>
      <c r="AM3333" t="s">
        <v>1097</v>
      </c>
      <c r="AN3333">
        <v>-116.75273900000001</v>
      </c>
      <c r="AO3333">
        <v>25</v>
      </c>
      <c r="AP3333">
        <v>3800</v>
      </c>
      <c r="AQ3333" t="s">
        <v>129</v>
      </c>
      <c r="AR3333">
        <v>60</v>
      </c>
      <c r="AS3333">
        <v>112</v>
      </c>
      <c r="AT3333">
        <v>1216</v>
      </c>
      <c r="BB3333">
        <v>1200</v>
      </c>
      <c r="BC3333">
        <v>1</v>
      </c>
      <c r="BD3333" t="str">
        <f t="shared" si="1214"/>
        <v xml:space="preserve">N887QR  </v>
      </c>
      <c r="BE3333">
        <v>1</v>
      </c>
      <c r="BG3333">
        <v>0</v>
      </c>
      <c r="BH3333">
        <v>0</v>
      </c>
      <c r="BI3333">
        <v>0</v>
      </c>
      <c r="BJ3333">
        <v>3550</v>
      </c>
      <c r="BK3333">
        <v>-250</v>
      </c>
      <c r="BL3333" t="s">
        <v>163</v>
      </c>
      <c r="BM3333">
        <v>1</v>
      </c>
      <c r="BN3333">
        <v>1</v>
      </c>
      <c r="BO3333">
        <v>1</v>
      </c>
      <c r="BP3333">
        <v>0</v>
      </c>
      <c r="BS3333">
        <v>0</v>
      </c>
      <c r="BT3333">
        <v>0</v>
      </c>
      <c r="BU3333">
        <v>0</v>
      </c>
      <c r="CE3333" t="str">
        <f t="shared" si="1216"/>
        <v>19:34:26.909</v>
      </c>
      <c r="CF3333">
        <v>909435232</v>
      </c>
      <c r="CS3333">
        <v>0</v>
      </c>
      <c r="CT3333">
        <v>2</v>
      </c>
      <c r="CU3333">
        <v>0</v>
      </c>
      <c r="CV3333">
        <v>2</v>
      </c>
      <c r="CW3333">
        <v>0</v>
      </c>
      <c r="CX3333">
        <v>6</v>
      </c>
      <c r="CY3333">
        <v>7</v>
      </c>
      <c r="CZ3333" t="s">
        <v>131</v>
      </c>
      <c r="DA3333">
        <v>300</v>
      </c>
      <c r="DB3333">
        <v>0</v>
      </c>
      <c r="DC3333" t="s">
        <v>176</v>
      </c>
      <c r="DD3333" t="s">
        <v>177</v>
      </c>
      <c r="DG3333">
        <v>5435402</v>
      </c>
      <c r="DI3333">
        <v>1</v>
      </c>
      <c r="DJ3333">
        <v>0</v>
      </c>
      <c r="DK3333">
        <v>1</v>
      </c>
      <c r="DL3333">
        <v>0</v>
      </c>
      <c r="DM3333">
        <v>0</v>
      </c>
      <c r="DN3333">
        <v>1</v>
      </c>
      <c r="DO3333">
        <v>0</v>
      </c>
      <c r="DP3333">
        <v>0</v>
      </c>
      <c r="DQ3333">
        <v>0</v>
      </c>
      <c r="DR3333">
        <v>0</v>
      </c>
      <c r="DS3333">
        <v>0</v>
      </c>
    </row>
    <row r="3334" spans="1:123" x14ac:dyDescent="0.3">
      <c r="A3334" t="str">
        <f t="shared" si="1217"/>
        <v>10/04/2022 19:34:27.291</v>
      </c>
      <c r="C3334" t="str">
        <f t="shared" si="1202"/>
        <v>FFDFD3C0</v>
      </c>
      <c r="D3334" t="s">
        <v>141</v>
      </c>
      <c r="E3334">
        <v>4</v>
      </c>
      <c r="H3334">
        <v>4</v>
      </c>
      <c r="I3334" t="s">
        <v>142</v>
      </c>
      <c r="J3334" t="s">
        <v>138</v>
      </c>
      <c r="K3334">
        <v>0</v>
      </c>
      <c r="L3334">
        <v>3</v>
      </c>
      <c r="M3334">
        <v>0</v>
      </c>
      <c r="N3334">
        <v>2</v>
      </c>
      <c r="O3334">
        <v>0</v>
      </c>
      <c r="P3334">
        <v>1</v>
      </c>
      <c r="Q3334">
        <v>0</v>
      </c>
      <c r="S3334" t="str">
        <f t="shared" si="1215"/>
        <v>19:34:26.000</v>
      </c>
      <c r="T3334" t="str">
        <f t="shared" si="1215"/>
        <v>19:34:26.000</v>
      </c>
      <c r="U3334" t="str">
        <f t="shared" si="1213"/>
        <v>AC3944</v>
      </c>
      <c r="V3334">
        <v>0</v>
      </c>
      <c r="W3334">
        <v>0</v>
      </c>
      <c r="X3334">
        <v>2</v>
      </c>
      <c r="Y3334">
        <v>0</v>
      </c>
      <c r="AA3334">
        <v>1</v>
      </c>
      <c r="AB3334">
        <v>8</v>
      </c>
      <c r="AC3334">
        <v>3</v>
      </c>
      <c r="AD3334">
        <v>0</v>
      </c>
      <c r="AE3334">
        <v>9</v>
      </c>
      <c r="AF3334" t="s">
        <v>138</v>
      </c>
      <c r="AG3334">
        <v>0</v>
      </c>
      <c r="AH3334">
        <v>3</v>
      </c>
      <c r="AI3334">
        <v>1</v>
      </c>
      <c r="AJ3334">
        <v>0</v>
      </c>
      <c r="AK3334" t="s">
        <v>1096</v>
      </c>
      <c r="AL3334">
        <v>32.724773999999996</v>
      </c>
      <c r="AM3334" t="s">
        <v>1097</v>
      </c>
      <c r="AN3334">
        <v>-116.75273900000001</v>
      </c>
      <c r="AO3334">
        <v>25</v>
      </c>
      <c r="AP3334">
        <v>3800</v>
      </c>
      <c r="AQ3334" t="s">
        <v>129</v>
      </c>
      <c r="AR3334">
        <v>60</v>
      </c>
      <c r="AS3334">
        <v>112</v>
      </c>
      <c r="AT3334">
        <v>1216</v>
      </c>
      <c r="BB3334">
        <v>1200</v>
      </c>
      <c r="BC3334">
        <v>1</v>
      </c>
      <c r="BD3334" t="str">
        <f t="shared" si="1214"/>
        <v xml:space="preserve">N887QR  </v>
      </c>
      <c r="BE3334">
        <v>1</v>
      </c>
      <c r="BG3334">
        <v>0</v>
      </c>
      <c r="BH3334">
        <v>0</v>
      </c>
      <c r="BI3334">
        <v>0</v>
      </c>
      <c r="BJ3334">
        <v>3550</v>
      </c>
      <c r="BK3334">
        <v>-250</v>
      </c>
      <c r="BL3334" t="s">
        <v>163</v>
      </c>
      <c r="BM3334">
        <v>1</v>
      </c>
      <c r="BN3334">
        <v>1</v>
      </c>
      <c r="BO3334">
        <v>1</v>
      </c>
      <c r="BP3334">
        <v>0</v>
      </c>
      <c r="BS3334">
        <v>0</v>
      </c>
      <c r="BT3334">
        <v>0</v>
      </c>
      <c r="BU3334">
        <v>0</v>
      </c>
      <c r="CE3334" t="str">
        <f t="shared" si="1216"/>
        <v>19:34:26.909</v>
      </c>
      <c r="CF3334">
        <v>909435232</v>
      </c>
      <c r="CS3334">
        <v>0</v>
      </c>
      <c r="CT3334">
        <v>2</v>
      </c>
      <c r="CU3334">
        <v>0</v>
      </c>
      <c r="CV3334">
        <v>2</v>
      </c>
      <c r="CW3334">
        <v>0</v>
      </c>
      <c r="CX3334">
        <v>6</v>
      </c>
      <c r="CY3334">
        <v>7</v>
      </c>
      <c r="CZ3334" t="s">
        <v>131</v>
      </c>
      <c r="DA3334">
        <v>300</v>
      </c>
      <c r="DB3334">
        <v>0</v>
      </c>
      <c r="DC3334" t="s">
        <v>176</v>
      </c>
      <c r="DD3334" t="s">
        <v>177</v>
      </c>
      <c r="DG3334">
        <v>5435402</v>
      </c>
      <c r="DI3334">
        <v>1</v>
      </c>
      <c r="DJ3334">
        <v>0</v>
      </c>
      <c r="DK3334">
        <v>1</v>
      </c>
      <c r="DL3334">
        <v>0</v>
      </c>
      <c r="DM3334">
        <v>0</v>
      </c>
      <c r="DN3334">
        <v>1</v>
      </c>
      <c r="DO3334">
        <v>0</v>
      </c>
      <c r="DP3334">
        <v>0</v>
      </c>
      <c r="DQ3334">
        <v>0</v>
      </c>
      <c r="DR3334">
        <v>0</v>
      </c>
      <c r="DS3334">
        <v>0</v>
      </c>
    </row>
    <row r="3335" spans="1:123" x14ac:dyDescent="0.3">
      <c r="A3335" t="str">
        <f t="shared" si="1217"/>
        <v>10/04/2022 19:34:27.291</v>
      </c>
      <c r="C3335" t="str">
        <f t="shared" si="1202"/>
        <v>FFDFD3C0</v>
      </c>
      <c r="D3335" t="s">
        <v>134</v>
      </c>
      <c r="E3335">
        <v>15</v>
      </c>
      <c r="J3335" t="s">
        <v>135</v>
      </c>
      <c r="K3335">
        <v>0</v>
      </c>
      <c r="L3335">
        <v>3</v>
      </c>
      <c r="M3335">
        <v>0</v>
      </c>
      <c r="N3335">
        <v>2</v>
      </c>
      <c r="O3335">
        <v>0</v>
      </c>
      <c r="P3335">
        <v>1</v>
      </c>
      <c r="Q3335">
        <v>0</v>
      </c>
      <c r="S3335" t="str">
        <f t="shared" si="1215"/>
        <v>19:34:26.000</v>
      </c>
      <c r="T3335" t="str">
        <f t="shared" si="1215"/>
        <v>19:34:26.000</v>
      </c>
      <c r="U3335" t="str">
        <f t="shared" si="1213"/>
        <v>AC3944</v>
      </c>
      <c r="V3335">
        <v>0</v>
      </c>
      <c r="W3335">
        <v>0</v>
      </c>
      <c r="X3335">
        <v>2</v>
      </c>
      <c r="Y3335">
        <v>0</v>
      </c>
      <c r="AA3335">
        <v>1</v>
      </c>
      <c r="AB3335">
        <v>8</v>
      </c>
      <c r="AC3335">
        <v>3</v>
      </c>
      <c r="AD3335">
        <v>0</v>
      </c>
      <c r="AE3335">
        <v>9</v>
      </c>
      <c r="AF3335" t="s">
        <v>138</v>
      </c>
      <c r="AG3335">
        <v>0</v>
      </c>
      <c r="AH3335">
        <v>3</v>
      </c>
      <c r="AI3335">
        <v>1</v>
      </c>
      <c r="AJ3335">
        <v>0</v>
      </c>
      <c r="AK3335" t="s">
        <v>1096</v>
      </c>
      <c r="AL3335">
        <v>32.724773999999996</v>
      </c>
      <c r="AM3335" t="s">
        <v>1097</v>
      </c>
      <c r="AN3335">
        <v>-116.75273900000001</v>
      </c>
      <c r="AO3335">
        <v>25</v>
      </c>
      <c r="AP3335">
        <v>3800</v>
      </c>
      <c r="AQ3335" t="s">
        <v>129</v>
      </c>
      <c r="AR3335">
        <v>60</v>
      </c>
      <c r="AS3335">
        <v>112</v>
      </c>
      <c r="AT3335">
        <v>1216</v>
      </c>
      <c r="BB3335">
        <v>1200</v>
      </c>
      <c r="BC3335">
        <v>1</v>
      </c>
      <c r="BD3335" t="str">
        <f t="shared" si="1214"/>
        <v xml:space="preserve">N887QR  </v>
      </c>
      <c r="BE3335">
        <v>1</v>
      </c>
      <c r="BG3335">
        <v>0</v>
      </c>
      <c r="BH3335">
        <v>0</v>
      </c>
      <c r="BI3335">
        <v>0</v>
      </c>
      <c r="BJ3335">
        <v>3550</v>
      </c>
      <c r="BK3335">
        <v>-250</v>
      </c>
      <c r="BL3335" t="s">
        <v>163</v>
      </c>
      <c r="BM3335">
        <v>1</v>
      </c>
      <c r="BN3335">
        <v>1</v>
      </c>
      <c r="BO3335">
        <v>1</v>
      </c>
      <c r="BP3335">
        <v>0</v>
      </c>
      <c r="BS3335">
        <v>0</v>
      </c>
      <c r="BT3335">
        <v>0</v>
      </c>
      <c r="BU3335">
        <v>0</v>
      </c>
      <c r="CE3335" t="str">
        <f t="shared" si="1216"/>
        <v>19:34:26.909</v>
      </c>
      <c r="CF3335">
        <v>909435232</v>
      </c>
      <c r="CS3335">
        <v>0</v>
      </c>
      <c r="CT3335">
        <v>2</v>
      </c>
      <c r="CU3335">
        <v>0</v>
      </c>
      <c r="CV3335">
        <v>2</v>
      </c>
      <c r="CW3335">
        <v>0</v>
      </c>
      <c r="CX3335">
        <v>6</v>
      </c>
      <c r="CY3335">
        <v>7</v>
      </c>
      <c r="CZ3335" t="s">
        <v>131</v>
      </c>
      <c r="DA3335">
        <v>300</v>
      </c>
      <c r="DB3335">
        <v>0</v>
      </c>
      <c r="DC3335" t="s">
        <v>176</v>
      </c>
      <c r="DD3335" t="s">
        <v>177</v>
      </c>
      <c r="DG3335">
        <v>5435402</v>
      </c>
      <c r="DI3335">
        <v>1</v>
      </c>
      <c r="DJ3335">
        <v>0</v>
      </c>
      <c r="DK3335">
        <v>1</v>
      </c>
      <c r="DL3335">
        <v>0</v>
      </c>
      <c r="DM3335">
        <v>0</v>
      </c>
      <c r="DN3335">
        <v>1</v>
      </c>
      <c r="DO3335">
        <v>0</v>
      </c>
      <c r="DP3335">
        <v>0</v>
      </c>
      <c r="DQ3335">
        <v>0</v>
      </c>
      <c r="DR3335">
        <v>0</v>
      </c>
      <c r="DS3335">
        <v>0</v>
      </c>
    </row>
    <row r="3336" spans="1:123" x14ac:dyDescent="0.3">
      <c r="A3336" t="str">
        <f t="shared" si="1217"/>
        <v>10/04/2022 19:34:27.291</v>
      </c>
      <c r="C3336" t="str">
        <f t="shared" si="1202"/>
        <v>FFDFD3C0</v>
      </c>
      <c r="D3336" t="s">
        <v>147</v>
      </c>
      <c r="E3336">
        <v>3</v>
      </c>
      <c r="H3336">
        <v>166</v>
      </c>
      <c r="I3336" t="s">
        <v>144</v>
      </c>
      <c r="J3336" t="s">
        <v>148</v>
      </c>
      <c r="K3336">
        <v>0</v>
      </c>
      <c r="L3336">
        <v>3</v>
      </c>
      <c r="M3336">
        <v>0</v>
      </c>
      <c r="N3336">
        <v>2</v>
      </c>
      <c r="O3336">
        <v>0</v>
      </c>
      <c r="P3336">
        <v>1</v>
      </c>
      <c r="Q3336">
        <v>0</v>
      </c>
      <c r="S3336" t="str">
        <f t="shared" si="1215"/>
        <v>19:34:26.000</v>
      </c>
      <c r="T3336" t="str">
        <f t="shared" si="1215"/>
        <v>19:34:26.000</v>
      </c>
      <c r="U3336" t="str">
        <f t="shared" si="1213"/>
        <v>AC3944</v>
      </c>
      <c r="V3336">
        <v>0</v>
      </c>
      <c r="W3336">
        <v>0</v>
      </c>
      <c r="X3336">
        <v>2</v>
      </c>
      <c r="Y3336">
        <v>0</v>
      </c>
      <c r="AA3336">
        <v>1</v>
      </c>
      <c r="AB3336">
        <v>8</v>
      </c>
      <c r="AC3336">
        <v>3</v>
      </c>
      <c r="AD3336">
        <v>0</v>
      </c>
      <c r="AE3336">
        <v>9</v>
      </c>
      <c r="AF3336" t="s">
        <v>138</v>
      </c>
      <c r="AG3336">
        <v>0</v>
      </c>
      <c r="AH3336">
        <v>3</v>
      </c>
      <c r="AI3336">
        <v>1</v>
      </c>
      <c r="AJ3336">
        <v>0</v>
      </c>
      <c r="AK3336" t="s">
        <v>1096</v>
      </c>
      <c r="AL3336">
        <v>32.724773999999996</v>
      </c>
      <c r="AM3336" t="s">
        <v>1097</v>
      </c>
      <c r="AN3336">
        <v>-116.75273900000001</v>
      </c>
      <c r="AO3336">
        <v>25</v>
      </c>
      <c r="AP3336">
        <v>3800</v>
      </c>
      <c r="AQ3336" t="s">
        <v>129</v>
      </c>
      <c r="AR3336">
        <v>60</v>
      </c>
      <c r="AS3336">
        <v>112</v>
      </c>
      <c r="AT3336">
        <v>1216</v>
      </c>
      <c r="BB3336">
        <v>1200</v>
      </c>
      <c r="BC3336">
        <v>1</v>
      </c>
      <c r="BD3336" t="str">
        <f t="shared" si="1214"/>
        <v xml:space="preserve">N887QR  </v>
      </c>
      <c r="BE3336">
        <v>1</v>
      </c>
      <c r="BG3336">
        <v>0</v>
      </c>
      <c r="BH3336">
        <v>0</v>
      </c>
      <c r="BI3336">
        <v>0</v>
      </c>
      <c r="BJ3336">
        <v>3550</v>
      </c>
      <c r="BK3336">
        <v>-250</v>
      </c>
      <c r="BL3336" t="s">
        <v>163</v>
      </c>
      <c r="BM3336">
        <v>1</v>
      </c>
      <c r="BN3336">
        <v>1</v>
      </c>
      <c r="BO3336">
        <v>1</v>
      </c>
      <c r="BP3336">
        <v>0</v>
      </c>
      <c r="BS3336">
        <v>0</v>
      </c>
      <c r="BT3336">
        <v>0</v>
      </c>
      <c r="BU3336">
        <v>0</v>
      </c>
      <c r="CE3336" t="str">
        <f t="shared" si="1216"/>
        <v>19:34:26.909</v>
      </c>
      <c r="CF3336">
        <v>909435232</v>
      </c>
      <c r="CS3336">
        <v>0</v>
      </c>
      <c r="CT3336">
        <v>2</v>
      </c>
      <c r="CU3336">
        <v>0</v>
      </c>
      <c r="CV3336">
        <v>2</v>
      </c>
      <c r="CW3336">
        <v>0</v>
      </c>
      <c r="CX3336">
        <v>6</v>
      </c>
      <c r="CY3336">
        <v>7</v>
      </c>
      <c r="CZ3336" t="s">
        <v>131</v>
      </c>
      <c r="DA3336">
        <v>300</v>
      </c>
      <c r="DB3336">
        <v>0</v>
      </c>
      <c r="DC3336" t="s">
        <v>176</v>
      </c>
      <c r="DD3336" t="s">
        <v>177</v>
      </c>
      <c r="DG3336">
        <v>5435402</v>
      </c>
      <c r="DI3336">
        <v>1</v>
      </c>
      <c r="DJ3336">
        <v>0</v>
      </c>
      <c r="DK3336">
        <v>1</v>
      </c>
      <c r="DL3336">
        <v>0</v>
      </c>
      <c r="DM3336">
        <v>0</v>
      </c>
      <c r="DN3336">
        <v>1</v>
      </c>
      <c r="DO3336">
        <v>0</v>
      </c>
      <c r="DP3336">
        <v>0</v>
      </c>
      <c r="DQ3336">
        <v>0</v>
      </c>
      <c r="DR3336">
        <v>0</v>
      </c>
      <c r="DS3336">
        <v>0</v>
      </c>
    </row>
    <row r="3337" spans="1:123" x14ac:dyDescent="0.3">
      <c r="A3337" t="str">
        <f t="shared" si="1217"/>
        <v>10/04/2022 19:34:27.291</v>
      </c>
      <c r="C3337" t="str">
        <f t="shared" si="1202"/>
        <v>FFDFD3C0</v>
      </c>
      <c r="D3337" t="s">
        <v>143</v>
      </c>
      <c r="E3337">
        <v>20</v>
      </c>
      <c r="F3337">
        <v>1020</v>
      </c>
      <c r="G3337" t="s">
        <v>144</v>
      </c>
      <c r="J3337" t="s">
        <v>145</v>
      </c>
      <c r="K3337">
        <v>0</v>
      </c>
      <c r="L3337">
        <v>3</v>
      </c>
      <c r="M3337">
        <v>0</v>
      </c>
      <c r="N3337">
        <v>2</v>
      </c>
      <c r="O3337">
        <v>0</v>
      </c>
      <c r="P3337">
        <v>1</v>
      </c>
      <c r="Q3337">
        <v>0</v>
      </c>
      <c r="S3337" t="str">
        <f t="shared" si="1215"/>
        <v>19:34:26.000</v>
      </c>
      <c r="T3337" t="str">
        <f t="shared" si="1215"/>
        <v>19:34:26.000</v>
      </c>
      <c r="U3337" t="str">
        <f t="shared" si="1213"/>
        <v>AC3944</v>
      </c>
      <c r="V3337">
        <v>0</v>
      </c>
      <c r="W3337">
        <v>0</v>
      </c>
      <c r="X3337">
        <v>2</v>
      </c>
      <c r="Y3337">
        <v>0</v>
      </c>
      <c r="AA3337">
        <v>1</v>
      </c>
      <c r="AB3337">
        <v>8</v>
      </c>
      <c r="AC3337">
        <v>3</v>
      </c>
      <c r="AD3337">
        <v>0</v>
      </c>
      <c r="AE3337">
        <v>9</v>
      </c>
      <c r="AF3337" t="s">
        <v>138</v>
      </c>
      <c r="AG3337">
        <v>0</v>
      </c>
      <c r="AH3337">
        <v>3</v>
      </c>
      <c r="AI3337">
        <v>1</v>
      </c>
      <c r="AJ3337">
        <v>0</v>
      </c>
      <c r="AK3337" t="s">
        <v>1096</v>
      </c>
      <c r="AL3337">
        <v>32.724773999999996</v>
      </c>
      <c r="AM3337" t="s">
        <v>1097</v>
      </c>
      <c r="AN3337">
        <v>-116.75273900000001</v>
      </c>
      <c r="AO3337">
        <v>25</v>
      </c>
      <c r="AP3337">
        <v>3800</v>
      </c>
      <c r="AQ3337" t="s">
        <v>129</v>
      </c>
      <c r="AR3337">
        <v>60</v>
      </c>
      <c r="AS3337">
        <v>112</v>
      </c>
      <c r="AT3337">
        <v>1216</v>
      </c>
      <c r="BB3337">
        <v>1200</v>
      </c>
      <c r="BC3337">
        <v>1</v>
      </c>
      <c r="BD3337" t="str">
        <f t="shared" si="1214"/>
        <v xml:space="preserve">N887QR  </v>
      </c>
      <c r="BE3337">
        <v>1</v>
      </c>
      <c r="BG3337">
        <v>0</v>
      </c>
      <c r="BH3337">
        <v>0</v>
      </c>
      <c r="BI3337">
        <v>0</v>
      </c>
      <c r="BJ3337">
        <v>3550</v>
      </c>
      <c r="BK3337">
        <v>-250</v>
      </c>
      <c r="BL3337" t="s">
        <v>163</v>
      </c>
      <c r="BM3337">
        <v>1</v>
      </c>
      <c r="BN3337">
        <v>1</v>
      </c>
      <c r="BO3337">
        <v>1</v>
      </c>
      <c r="BP3337">
        <v>0</v>
      </c>
      <c r="BS3337">
        <v>0</v>
      </c>
      <c r="BT3337">
        <v>0</v>
      </c>
      <c r="BU3337">
        <v>0</v>
      </c>
      <c r="CE3337" t="str">
        <f t="shared" si="1216"/>
        <v>19:34:26.909</v>
      </c>
      <c r="CF3337">
        <v>909435232</v>
      </c>
      <c r="CS3337">
        <v>0</v>
      </c>
      <c r="CT3337">
        <v>2</v>
      </c>
      <c r="CU3337">
        <v>0</v>
      </c>
      <c r="CV3337">
        <v>2</v>
      </c>
      <c r="CW3337">
        <v>0</v>
      </c>
      <c r="CX3337">
        <v>6</v>
      </c>
      <c r="CY3337">
        <v>7</v>
      </c>
      <c r="CZ3337" t="s">
        <v>131</v>
      </c>
      <c r="DA3337">
        <v>300</v>
      </c>
      <c r="DB3337">
        <v>0</v>
      </c>
      <c r="DC3337" t="s">
        <v>176</v>
      </c>
      <c r="DD3337" t="s">
        <v>177</v>
      </c>
      <c r="DG3337">
        <v>5435402</v>
      </c>
      <c r="DI3337">
        <v>1</v>
      </c>
      <c r="DJ3337">
        <v>0</v>
      </c>
      <c r="DK3337">
        <v>1</v>
      </c>
      <c r="DL3337">
        <v>0</v>
      </c>
      <c r="DM3337">
        <v>0</v>
      </c>
      <c r="DN3337">
        <v>1</v>
      </c>
      <c r="DO3337">
        <v>0</v>
      </c>
      <c r="DP3337">
        <v>0</v>
      </c>
      <c r="DQ3337">
        <v>0</v>
      </c>
      <c r="DR3337">
        <v>0</v>
      </c>
      <c r="DS3337">
        <v>0</v>
      </c>
    </row>
    <row r="3338" spans="1:123" x14ac:dyDescent="0.3">
      <c r="A3338" t="str">
        <f t="shared" ref="A3338:A3343" si="1218">"10/04/2022 19:34:28.228"</f>
        <v>10/04/2022 19:34:28.228</v>
      </c>
      <c r="C3338" t="str">
        <f t="shared" si="1202"/>
        <v>FFDFD3C0</v>
      </c>
      <c r="D3338" t="s">
        <v>141</v>
      </c>
      <c r="E3338">
        <v>4</v>
      </c>
      <c r="H3338">
        <v>4</v>
      </c>
      <c r="I3338" t="s">
        <v>142</v>
      </c>
      <c r="J3338" t="s">
        <v>138</v>
      </c>
      <c r="K3338">
        <v>0</v>
      </c>
      <c r="L3338">
        <v>3</v>
      </c>
      <c r="M3338">
        <v>0</v>
      </c>
      <c r="N3338">
        <v>2</v>
      </c>
      <c r="O3338">
        <v>0</v>
      </c>
      <c r="P3338">
        <v>1</v>
      </c>
      <c r="Q3338">
        <v>0</v>
      </c>
      <c r="S3338" t="str">
        <f t="shared" ref="S3338:T3343" si="1219">"19:34:27.000"</f>
        <v>19:34:27.000</v>
      </c>
      <c r="T3338" t="str">
        <f t="shared" si="1219"/>
        <v>19:34:27.000</v>
      </c>
      <c r="U3338" t="str">
        <f t="shared" si="1213"/>
        <v>AC3944</v>
      </c>
      <c r="V3338">
        <v>0</v>
      </c>
      <c r="W3338">
        <v>0</v>
      </c>
      <c r="X3338">
        <v>2</v>
      </c>
      <c r="Y3338">
        <v>0</v>
      </c>
      <c r="AA3338">
        <v>1</v>
      </c>
      <c r="AB3338">
        <v>8</v>
      </c>
      <c r="AC3338">
        <v>3</v>
      </c>
      <c r="AD3338">
        <v>0</v>
      </c>
      <c r="AE3338">
        <v>9</v>
      </c>
      <c r="AF3338" t="s">
        <v>138</v>
      </c>
      <c r="AG3338">
        <v>0</v>
      </c>
      <c r="AH3338">
        <v>3</v>
      </c>
      <c r="AI3338">
        <v>1</v>
      </c>
      <c r="AJ3338">
        <v>0</v>
      </c>
      <c r="AK3338" t="s">
        <v>1098</v>
      </c>
      <c r="AL3338">
        <v>32.725181999999997</v>
      </c>
      <c r="AM3338" t="s">
        <v>1099</v>
      </c>
      <c r="AN3338">
        <v>-116.75246</v>
      </c>
      <c r="AO3338">
        <v>25</v>
      </c>
      <c r="AP3338">
        <v>3900</v>
      </c>
      <c r="AQ3338" t="s">
        <v>129</v>
      </c>
      <c r="AR3338">
        <v>65</v>
      </c>
      <c r="AS3338">
        <v>108</v>
      </c>
      <c r="AT3338">
        <v>1216</v>
      </c>
      <c r="BB3338">
        <v>1200</v>
      </c>
      <c r="BC3338">
        <v>1</v>
      </c>
      <c r="BD3338" t="str">
        <f t="shared" si="1214"/>
        <v xml:space="preserve">N887QR  </v>
      </c>
      <c r="BE3338">
        <v>1</v>
      </c>
      <c r="BG3338">
        <v>0</v>
      </c>
      <c r="BH3338">
        <v>0</v>
      </c>
      <c r="BI3338">
        <v>0</v>
      </c>
      <c r="BJ3338">
        <v>3550</v>
      </c>
      <c r="BK3338">
        <v>-350</v>
      </c>
      <c r="BL3338" t="s">
        <v>163</v>
      </c>
      <c r="BM3338">
        <v>1</v>
      </c>
      <c r="BN3338">
        <v>1</v>
      </c>
      <c r="BO3338">
        <v>1</v>
      </c>
      <c r="BP3338">
        <v>0</v>
      </c>
      <c r="BS3338">
        <v>0</v>
      </c>
      <c r="BT3338">
        <v>0</v>
      </c>
      <c r="BU3338">
        <v>0</v>
      </c>
      <c r="CE3338" t="str">
        <f t="shared" ref="CE3338:CE3343" si="1220">"19:34:27.741"</f>
        <v>19:34:27.741</v>
      </c>
      <c r="CF3338">
        <v>740687834</v>
      </c>
      <c r="CS3338">
        <v>0</v>
      </c>
      <c r="CT3338">
        <v>2</v>
      </c>
      <c r="CU3338">
        <v>0</v>
      </c>
      <c r="CV3338">
        <v>2</v>
      </c>
      <c r="CW3338">
        <v>3</v>
      </c>
      <c r="CX3338">
        <v>6</v>
      </c>
      <c r="CY3338">
        <v>7</v>
      </c>
      <c r="CZ3338" t="s">
        <v>131</v>
      </c>
      <c r="DA3338">
        <v>300</v>
      </c>
      <c r="DB3338">
        <v>0</v>
      </c>
      <c r="DC3338" t="s">
        <v>176</v>
      </c>
      <c r="DD3338" t="s">
        <v>177</v>
      </c>
      <c r="DG3338">
        <v>5435533</v>
      </c>
      <c r="DI3338">
        <v>1</v>
      </c>
      <c r="DJ3338">
        <v>0</v>
      </c>
      <c r="DK3338">
        <v>0</v>
      </c>
      <c r="DL3338">
        <v>0</v>
      </c>
      <c r="DM3338">
        <v>0</v>
      </c>
      <c r="DN3338">
        <v>1</v>
      </c>
      <c r="DO3338">
        <v>0</v>
      </c>
      <c r="DP3338">
        <v>0</v>
      </c>
      <c r="DQ3338">
        <v>0</v>
      </c>
      <c r="DR3338">
        <v>0</v>
      </c>
      <c r="DS3338">
        <v>0</v>
      </c>
    </row>
    <row r="3339" spans="1:123" x14ac:dyDescent="0.3">
      <c r="A3339" t="str">
        <f t="shared" si="1218"/>
        <v>10/04/2022 19:34:28.228</v>
      </c>
      <c r="C3339" t="str">
        <f t="shared" si="1202"/>
        <v>FFDFD3C0</v>
      </c>
      <c r="D3339" t="s">
        <v>147</v>
      </c>
      <c r="E3339">
        <v>3</v>
      </c>
      <c r="H3339">
        <v>166</v>
      </c>
      <c r="I3339" t="s">
        <v>144</v>
      </c>
      <c r="J3339" t="s">
        <v>148</v>
      </c>
      <c r="K3339">
        <v>0</v>
      </c>
      <c r="L3339">
        <v>3</v>
      </c>
      <c r="M3339">
        <v>0</v>
      </c>
      <c r="N3339">
        <v>2</v>
      </c>
      <c r="O3339">
        <v>0</v>
      </c>
      <c r="P3339">
        <v>1</v>
      </c>
      <c r="Q3339">
        <v>0</v>
      </c>
      <c r="S3339" t="str">
        <f t="shared" si="1219"/>
        <v>19:34:27.000</v>
      </c>
      <c r="T3339" t="str">
        <f t="shared" si="1219"/>
        <v>19:34:27.000</v>
      </c>
      <c r="U3339" t="str">
        <f t="shared" si="1213"/>
        <v>AC3944</v>
      </c>
      <c r="V3339">
        <v>0</v>
      </c>
      <c r="W3339">
        <v>0</v>
      </c>
      <c r="X3339">
        <v>2</v>
      </c>
      <c r="Y3339">
        <v>0</v>
      </c>
      <c r="AA3339">
        <v>1</v>
      </c>
      <c r="AB3339">
        <v>8</v>
      </c>
      <c r="AC3339">
        <v>3</v>
      </c>
      <c r="AD3339">
        <v>0</v>
      </c>
      <c r="AE3339">
        <v>9</v>
      </c>
      <c r="AF3339" t="s">
        <v>138</v>
      </c>
      <c r="AG3339">
        <v>0</v>
      </c>
      <c r="AH3339">
        <v>3</v>
      </c>
      <c r="AI3339">
        <v>1</v>
      </c>
      <c r="AJ3339">
        <v>0</v>
      </c>
      <c r="AK3339" t="s">
        <v>1098</v>
      </c>
      <c r="AL3339">
        <v>32.725181999999997</v>
      </c>
      <c r="AM3339" t="s">
        <v>1099</v>
      </c>
      <c r="AN3339">
        <v>-116.75246</v>
      </c>
      <c r="AO3339">
        <v>25</v>
      </c>
      <c r="AP3339">
        <v>3900</v>
      </c>
      <c r="AQ3339" t="s">
        <v>129</v>
      </c>
      <c r="AR3339">
        <v>65</v>
      </c>
      <c r="AS3339">
        <v>108</v>
      </c>
      <c r="AT3339">
        <v>1216</v>
      </c>
      <c r="BB3339">
        <v>1200</v>
      </c>
      <c r="BC3339">
        <v>1</v>
      </c>
      <c r="BD3339" t="str">
        <f t="shared" si="1214"/>
        <v xml:space="preserve">N887QR  </v>
      </c>
      <c r="BE3339">
        <v>1</v>
      </c>
      <c r="BG3339">
        <v>0</v>
      </c>
      <c r="BH3339">
        <v>0</v>
      </c>
      <c r="BI3339">
        <v>0</v>
      </c>
      <c r="BJ3339">
        <v>3550</v>
      </c>
      <c r="BK3339">
        <v>-350</v>
      </c>
      <c r="BL3339" t="s">
        <v>163</v>
      </c>
      <c r="BM3339">
        <v>1</v>
      </c>
      <c r="BN3339">
        <v>1</v>
      </c>
      <c r="BO3339">
        <v>1</v>
      </c>
      <c r="BP3339">
        <v>0</v>
      </c>
      <c r="BS3339">
        <v>0</v>
      </c>
      <c r="BT3339">
        <v>0</v>
      </c>
      <c r="BU3339">
        <v>0</v>
      </c>
      <c r="CE3339" t="str">
        <f t="shared" si="1220"/>
        <v>19:34:27.741</v>
      </c>
      <c r="CF3339">
        <v>740687834</v>
      </c>
      <c r="CS3339">
        <v>0</v>
      </c>
      <c r="CT3339">
        <v>2</v>
      </c>
      <c r="CU3339">
        <v>0</v>
      </c>
      <c r="CV3339">
        <v>2</v>
      </c>
      <c r="CW3339">
        <v>3</v>
      </c>
      <c r="CX3339">
        <v>6</v>
      </c>
      <c r="CY3339">
        <v>7</v>
      </c>
      <c r="CZ3339" t="s">
        <v>131</v>
      </c>
      <c r="DA3339">
        <v>300</v>
      </c>
      <c r="DB3339">
        <v>0</v>
      </c>
      <c r="DC3339" t="s">
        <v>176</v>
      </c>
      <c r="DD3339" t="s">
        <v>177</v>
      </c>
      <c r="DG3339">
        <v>5435533</v>
      </c>
      <c r="DI3339">
        <v>1</v>
      </c>
      <c r="DJ3339">
        <v>0</v>
      </c>
      <c r="DK3339">
        <v>1</v>
      </c>
      <c r="DL3339">
        <v>0</v>
      </c>
      <c r="DM3339">
        <v>0</v>
      </c>
      <c r="DN3339">
        <v>1</v>
      </c>
      <c r="DO3339">
        <v>0</v>
      </c>
      <c r="DP3339">
        <v>0</v>
      </c>
      <c r="DQ3339">
        <v>0</v>
      </c>
      <c r="DR3339">
        <v>0</v>
      </c>
      <c r="DS3339">
        <v>0</v>
      </c>
    </row>
    <row r="3340" spans="1:123" x14ac:dyDescent="0.3">
      <c r="A3340" t="str">
        <f t="shared" si="1218"/>
        <v>10/04/2022 19:34:28.228</v>
      </c>
      <c r="C3340" t="str">
        <f t="shared" si="1202"/>
        <v>FFDFD3C0</v>
      </c>
      <c r="D3340" t="s">
        <v>143</v>
      </c>
      <c r="E3340">
        <v>20</v>
      </c>
      <c r="F3340">
        <v>1020</v>
      </c>
      <c r="G3340" t="s">
        <v>144</v>
      </c>
      <c r="J3340" t="s">
        <v>145</v>
      </c>
      <c r="K3340">
        <v>0</v>
      </c>
      <c r="L3340">
        <v>3</v>
      </c>
      <c r="M3340">
        <v>0</v>
      </c>
      <c r="N3340">
        <v>2</v>
      </c>
      <c r="O3340">
        <v>0</v>
      </c>
      <c r="P3340">
        <v>1</v>
      </c>
      <c r="Q3340">
        <v>0</v>
      </c>
      <c r="S3340" t="str">
        <f t="shared" si="1219"/>
        <v>19:34:27.000</v>
      </c>
      <c r="T3340" t="str">
        <f t="shared" si="1219"/>
        <v>19:34:27.000</v>
      </c>
      <c r="U3340" t="str">
        <f t="shared" si="1213"/>
        <v>AC3944</v>
      </c>
      <c r="V3340">
        <v>0</v>
      </c>
      <c r="W3340">
        <v>0</v>
      </c>
      <c r="X3340">
        <v>2</v>
      </c>
      <c r="Y3340">
        <v>0</v>
      </c>
      <c r="AA3340">
        <v>1</v>
      </c>
      <c r="AB3340">
        <v>8</v>
      </c>
      <c r="AC3340">
        <v>3</v>
      </c>
      <c r="AD3340">
        <v>0</v>
      </c>
      <c r="AE3340">
        <v>9</v>
      </c>
      <c r="AF3340" t="s">
        <v>138</v>
      </c>
      <c r="AG3340">
        <v>0</v>
      </c>
      <c r="AH3340">
        <v>3</v>
      </c>
      <c r="AI3340">
        <v>1</v>
      </c>
      <c r="AJ3340">
        <v>0</v>
      </c>
      <c r="AK3340" t="s">
        <v>1098</v>
      </c>
      <c r="AL3340">
        <v>32.725181999999997</v>
      </c>
      <c r="AM3340" t="s">
        <v>1099</v>
      </c>
      <c r="AN3340">
        <v>-116.75246</v>
      </c>
      <c r="AO3340">
        <v>25</v>
      </c>
      <c r="AP3340">
        <v>3900</v>
      </c>
      <c r="AQ3340" t="s">
        <v>129</v>
      </c>
      <c r="AR3340">
        <v>65</v>
      </c>
      <c r="AS3340">
        <v>108</v>
      </c>
      <c r="AT3340">
        <v>1216</v>
      </c>
      <c r="BB3340">
        <v>1200</v>
      </c>
      <c r="BC3340">
        <v>1</v>
      </c>
      <c r="BD3340" t="str">
        <f t="shared" si="1214"/>
        <v xml:space="preserve">N887QR  </v>
      </c>
      <c r="BE3340">
        <v>1</v>
      </c>
      <c r="BG3340">
        <v>0</v>
      </c>
      <c r="BH3340">
        <v>0</v>
      </c>
      <c r="BI3340">
        <v>0</v>
      </c>
      <c r="BJ3340">
        <v>3550</v>
      </c>
      <c r="BK3340">
        <v>-350</v>
      </c>
      <c r="BL3340" t="s">
        <v>163</v>
      </c>
      <c r="BM3340">
        <v>1</v>
      </c>
      <c r="BN3340">
        <v>1</v>
      </c>
      <c r="BO3340">
        <v>1</v>
      </c>
      <c r="BP3340">
        <v>0</v>
      </c>
      <c r="BS3340">
        <v>0</v>
      </c>
      <c r="BT3340">
        <v>0</v>
      </c>
      <c r="BU3340">
        <v>0</v>
      </c>
      <c r="CE3340" t="str">
        <f t="shared" si="1220"/>
        <v>19:34:27.741</v>
      </c>
      <c r="CF3340">
        <v>740687834</v>
      </c>
      <c r="CS3340">
        <v>0</v>
      </c>
      <c r="CT3340">
        <v>2</v>
      </c>
      <c r="CU3340">
        <v>0</v>
      </c>
      <c r="CV3340">
        <v>2</v>
      </c>
      <c r="CW3340">
        <v>3</v>
      </c>
      <c r="CX3340">
        <v>6</v>
      </c>
      <c r="CY3340">
        <v>7</v>
      </c>
      <c r="CZ3340" t="s">
        <v>131</v>
      </c>
      <c r="DA3340">
        <v>300</v>
      </c>
      <c r="DB3340">
        <v>0</v>
      </c>
      <c r="DC3340" t="s">
        <v>176</v>
      </c>
      <c r="DD3340" t="s">
        <v>177</v>
      </c>
      <c r="DG3340">
        <v>5435533</v>
      </c>
      <c r="DI3340">
        <v>1</v>
      </c>
      <c r="DJ3340">
        <v>0</v>
      </c>
      <c r="DK3340">
        <v>1</v>
      </c>
      <c r="DL3340">
        <v>0</v>
      </c>
      <c r="DM3340">
        <v>0</v>
      </c>
      <c r="DN3340">
        <v>1</v>
      </c>
      <c r="DO3340">
        <v>0</v>
      </c>
      <c r="DP3340">
        <v>0</v>
      </c>
      <c r="DQ3340">
        <v>0</v>
      </c>
      <c r="DR3340">
        <v>0</v>
      </c>
      <c r="DS3340">
        <v>0</v>
      </c>
    </row>
    <row r="3341" spans="1:123" x14ac:dyDescent="0.3">
      <c r="A3341" t="str">
        <f t="shared" si="1218"/>
        <v>10/04/2022 19:34:28.228</v>
      </c>
      <c r="C3341" t="str">
        <f t="shared" si="1202"/>
        <v>FFDFD3C0</v>
      </c>
      <c r="D3341" t="s">
        <v>134</v>
      </c>
      <c r="E3341">
        <v>15</v>
      </c>
      <c r="J3341" t="s">
        <v>135</v>
      </c>
      <c r="K3341">
        <v>0</v>
      </c>
      <c r="L3341">
        <v>3</v>
      </c>
      <c r="M3341">
        <v>0</v>
      </c>
      <c r="N3341">
        <v>2</v>
      </c>
      <c r="O3341">
        <v>0</v>
      </c>
      <c r="P3341">
        <v>1</v>
      </c>
      <c r="Q3341">
        <v>0</v>
      </c>
      <c r="S3341" t="str">
        <f t="shared" si="1219"/>
        <v>19:34:27.000</v>
      </c>
      <c r="T3341" t="str">
        <f t="shared" si="1219"/>
        <v>19:34:27.000</v>
      </c>
      <c r="U3341" t="str">
        <f t="shared" si="1213"/>
        <v>AC3944</v>
      </c>
      <c r="V3341">
        <v>0</v>
      </c>
      <c r="W3341">
        <v>0</v>
      </c>
      <c r="X3341">
        <v>2</v>
      </c>
      <c r="Y3341">
        <v>0</v>
      </c>
      <c r="AA3341">
        <v>1</v>
      </c>
      <c r="AB3341">
        <v>8</v>
      </c>
      <c r="AC3341">
        <v>3</v>
      </c>
      <c r="AD3341">
        <v>0</v>
      </c>
      <c r="AE3341">
        <v>9</v>
      </c>
      <c r="AF3341" t="s">
        <v>138</v>
      </c>
      <c r="AG3341">
        <v>0</v>
      </c>
      <c r="AH3341">
        <v>3</v>
      </c>
      <c r="AI3341">
        <v>1</v>
      </c>
      <c r="AJ3341">
        <v>0</v>
      </c>
      <c r="AK3341" t="s">
        <v>1098</v>
      </c>
      <c r="AL3341">
        <v>32.725181999999997</v>
      </c>
      <c r="AM3341" t="s">
        <v>1099</v>
      </c>
      <c r="AN3341">
        <v>-116.75246</v>
      </c>
      <c r="AO3341">
        <v>25</v>
      </c>
      <c r="AP3341">
        <v>3900</v>
      </c>
      <c r="AQ3341" t="s">
        <v>129</v>
      </c>
      <c r="AR3341">
        <v>65</v>
      </c>
      <c r="AS3341">
        <v>108</v>
      </c>
      <c r="AT3341">
        <v>1216</v>
      </c>
      <c r="BB3341">
        <v>1200</v>
      </c>
      <c r="BC3341">
        <v>1</v>
      </c>
      <c r="BD3341" t="str">
        <f t="shared" si="1214"/>
        <v xml:space="preserve">N887QR  </v>
      </c>
      <c r="BE3341">
        <v>1</v>
      </c>
      <c r="BG3341">
        <v>0</v>
      </c>
      <c r="BH3341">
        <v>0</v>
      </c>
      <c r="BI3341">
        <v>0</v>
      </c>
      <c r="BJ3341">
        <v>3550</v>
      </c>
      <c r="BK3341">
        <v>-350</v>
      </c>
      <c r="BL3341" t="s">
        <v>163</v>
      </c>
      <c r="BM3341">
        <v>1</v>
      </c>
      <c r="BN3341">
        <v>1</v>
      </c>
      <c r="BO3341">
        <v>1</v>
      </c>
      <c r="BP3341">
        <v>0</v>
      </c>
      <c r="BS3341">
        <v>0</v>
      </c>
      <c r="BT3341">
        <v>0</v>
      </c>
      <c r="BU3341">
        <v>0</v>
      </c>
      <c r="CE3341" t="str">
        <f t="shared" si="1220"/>
        <v>19:34:27.741</v>
      </c>
      <c r="CF3341">
        <v>740687834</v>
      </c>
      <c r="CS3341">
        <v>0</v>
      </c>
      <c r="CT3341">
        <v>2</v>
      </c>
      <c r="CU3341">
        <v>0</v>
      </c>
      <c r="CV3341">
        <v>2</v>
      </c>
      <c r="CW3341">
        <v>3</v>
      </c>
      <c r="CX3341">
        <v>6</v>
      </c>
      <c r="CY3341">
        <v>7</v>
      </c>
      <c r="CZ3341" t="s">
        <v>131</v>
      </c>
      <c r="DA3341">
        <v>300</v>
      </c>
      <c r="DB3341">
        <v>0</v>
      </c>
      <c r="DC3341" t="s">
        <v>176</v>
      </c>
      <c r="DD3341" t="s">
        <v>177</v>
      </c>
      <c r="DG3341">
        <v>5435533</v>
      </c>
      <c r="DI3341">
        <v>1</v>
      </c>
      <c r="DJ3341">
        <v>0</v>
      </c>
      <c r="DK3341">
        <v>1</v>
      </c>
      <c r="DL3341">
        <v>0</v>
      </c>
      <c r="DM3341">
        <v>0</v>
      </c>
      <c r="DN3341">
        <v>1</v>
      </c>
      <c r="DO3341">
        <v>0</v>
      </c>
      <c r="DP3341">
        <v>0</v>
      </c>
      <c r="DQ3341">
        <v>0</v>
      </c>
      <c r="DR3341">
        <v>0</v>
      </c>
      <c r="DS3341">
        <v>0</v>
      </c>
    </row>
    <row r="3342" spans="1:123" x14ac:dyDescent="0.3">
      <c r="A3342" t="str">
        <f t="shared" si="1218"/>
        <v>10/04/2022 19:34:28.228</v>
      </c>
      <c r="C3342" t="str">
        <f t="shared" si="1202"/>
        <v>FFDFD3C0</v>
      </c>
      <c r="D3342" t="s">
        <v>123</v>
      </c>
      <c r="E3342">
        <v>7</v>
      </c>
      <c r="F3342">
        <v>2007</v>
      </c>
      <c r="G3342" t="s">
        <v>124</v>
      </c>
      <c r="J3342" t="s">
        <v>125</v>
      </c>
      <c r="K3342">
        <v>0</v>
      </c>
      <c r="L3342">
        <v>3</v>
      </c>
      <c r="M3342">
        <v>0</v>
      </c>
      <c r="N3342">
        <v>2</v>
      </c>
      <c r="O3342">
        <v>0</v>
      </c>
      <c r="P3342">
        <v>1</v>
      </c>
      <c r="Q3342">
        <v>0</v>
      </c>
      <c r="S3342" t="str">
        <f t="shared" si="1219"/>
        <v>19:34:27.000</v>
      </c>
      <c r="T3342" t="str">
        <f t="shared" si="1219"/>
        <v>19:34:27.000</v>
      </c>
      <c r="U3342" t="str">
        <f t="shared" si="1213"/>
        <v>AC3944</v>
      </c>
      <c r="V3342">
        <v>0</v>
      </c>
      <c r="W3342">
        <v>0</v>
      </c>
      <c r="X3342">
        <v>2</v>
      </c>
      <c r="Y3342">
        <v>0</v>
      </c>
      <c r="AA3342">
        <v>1</v>
      </c>
      <c r="AB3342">
        <v>8</v>
      </c>
      <c r="AC3342">
        <v>3</v>
      </c>
      <c r="AD3342">
        <v>0</v>
      </c>
      <c r="AE3342">
        <v>9</v>
      </c>
      <c r="AF3342" t="s">
        <v>138</v>
      </c>
      <c r="AG3342">
        <v>0</v>
      </c>
      <c r="AH3342">
        <v>3</v>
      </c>
      <c r="AI3342">
        <v>1</v>
      </c>
      <c r="AJ3342">
        <v>0</v>
      </c>
      <c r="AK3342" t="s">
        <v>1098</v>
      </c>
      <c r="AL3342">
        <v>32.725181999999997</v>
      </c>
      <c r="AM3342" t="s">
        <v>1099</v>
      </c>
      <c r="AN3342">
        <v>-116.75246</v>
      </c>
      <c r="AO3342">
        <v>25</v>
      </c>
      <c r="AP3342">
        <v>3900</v>
      </c>
      <c r="AQ3342" t="s">
        <v>129</v>
      </c>
      <c r="AR3342">
        <v>65</v>
      </c>
      <c r="AS3342">
        <v>108</v>
      </c>
      <c r="AT3342">
        <v>1216</v>
      </c>
      <c r="BB3342">
        <v>1200</v>
      </c>
      <c r="BC3342">
        <v>1</v>
      </c>
      <c r="BD3342" t="str">
        <f t="shared" si="1214"/>
        <v xml:space="preserve">N887QR  </v>
      </c>
      <c r="BE3342">
        <v>1</v>
      </c>
      <c r="BG3342">
        <v>0</v>
      </c>
      <c r="BH3342">
        <v>0</v>
      </c>
      <c r="BI3342">
        <v>0</v>
      </c>
      <c r="BJ3342">
        <v>3550</v>
      </c>
      <c r="BK3342">
        <v>-350</v>
      </c>
      <c r="BL3342" t="s">
        <v>163</v>
      </c>
      <c r="BM3342">
        <v>1</v>
      </c>
      <c r="BN3342">
        <v>1</v>
      </c>
      <c r="BO3342">
        <v>1</v>
      </c>
      <c r="BP3342">
        <v>0</v>
      </c>
      <c r="BS3342">
        <v>0</v>
      </c>
      <c r="BT3342">
        <v>0</v>
      </c>
      <c r="BU3342">
        <v>0</v>
      </c>
      <c r="CE3342" t="str">
        <f t="shared" si="1220"/>
        <v>19:34:27.741</v>
      </c>
      <c r="CF3342">
        <v>740687834</v>
      </c>
      <c r="CS3342">
        <v>0</v>
      </c>
      <c r="CT3342">
        <v>2</v>
      </c>
      <c r="CU3342">
        <v>0</v>
      </c>
      <c r="CV3342">
        <v>2</v>
      </c>
      <c r="CW3342">
        <v>3</v>
      </c>
      <c r="CX3342">
        <v>6</v>
      </c>
      <c r="CY3342">
        <v>7</v>
      </c>
      <c r="CZ3342" t="s">
        <v>131</v>
      </c>
      <c r="DA3342">
        <v>300</v>
      </c>
      <c r="DB3342">
        <v>0</v>
      </c>
      <c r="DC3342" t="s">
        <v>176</v>
      </c>
      <c r="DD3342" t="s">
        <v>177</v>
      </c>
      <c r="DG3342">
        <v>5435533</v>
      </c>
      <c r="DI3342">
        <v>1</v>
      </c>
      <c r="DJ3342">
        <v>0</v>
      </c>
      <c r="DK3342">
        <v>1</v>
      </c>
      <c r="DL3342">
        <v>0</v>
      </c>
      <c r="DM3342">
        <v>0</v>
      </c>
      <c r="DN3342">
        <v>1</v>
      </c>
      <c r="DO3342">
        <v>0</v>
      </c>
      <c r="DP3342">
        <v>0</v>
      </c>
      <c r="DQ3342">
        <v>0</v>
      </c>
      <c r="DR3342">
        <v>0</v>
      </c>
      <c r="DS3342">
        <v>0</v>
      </c>
    </row>
    <row r="3343" spans="1:123" x14ac:dyDescent="0.3">
      <c r="A3343" t="str">
        <f t="shared" si="1218"/>
        <v>10/04/2022 19:34:28.228</v>
      </c>
      <c r="C3343" t="str">
        <f t="shared" si="1202"/>
        <v>FFDFD3C0</v>
      </c>
      <c r="D3343" t="s">
        <v>136</v>
      </c>
      <c r="E3343">
        <v>8</v>
      </c>
      <c r="H3343">
        <v>225</v>
      </c>
      <c r="I3343" t="s">
        <v>137</v>
      </c>
      <c r="J3343" t="s">
        <v>138</v>
      </c>
      <c r="K3343">
        <v>0</v>
      </c>
      <c r="L3343">
        <v>3</v>
      </c>
      <c r="M3343">
        <v>0</v>
      </c>
      <c r="N3343">
        <v>2</v>
      </c>
      <c r="O3343">
        <v>0</v>
      </c>
      <c r="P3343">
        <v>1</v>
      </c>
      <c r="Q3343">
        <v>0</v>
      </c>
      <c r="S3343" t="str">
        <f t="shared" si="1219"/>
        <v>19:34:27.000</v>
      </c>
      <c r="T3343" t="str">
        <f t="shared" si="1219"/>
        <v>19:34:27.000</v>
      </c>
      <c r="U3343" t="str">
        <f t="shared" si="1213"/>
        <v>AC3944</v>
      </c>
      <c r="V3343">
        <v>0</v>
      </c>
      <c r="W3343">
        <v>0</v>
      </c>
      <c r="X3343">
        <v>2</v>
      </c>
      <c r="Y3343">
        <v>0</v>
      </c>
      <c r="AA3343">
        <v>1</v>
      </c>
      <c r="AB3343">
        <v>8</v>
      </c>
      <c r="AC3343">
        <v>3</v>
      </c>
      <c r="AD3343">
        <v>0</v>
      </c>
      <c r="AE3343">
        <v>9</v>
      </c>
      <c r="AF3343" t="s">
        <v>138</v>
      </c>
      <c r="AG3343">
        <v>0</v>
      </c>
      <c r="AH3343">
        <v>3</v>
      </c>
      <c r="AI3343">
        <v>1</v>
      </c>
      <c r="AJ3343">
        <v>0</v>
      </c>
      <c r="AK3343" t="s">
        <v>1098</v>
      </c>
      <c r="AL3343">
        <v>32.725181999999997</v>
      </c>
      <c r="AM3343" t="s">
        <v>1099</v>
      </c>
      <c r="AN3343">
        <v>-116.75246</v>
      </c>
      <c r="AO3343">
        <v>25</v>
      </c>
      <c r="AP3343">
        <v>3900</v>
      </c>
      <c r="AQ3343" t="s">
        <v>129</v>
      </c>
      <c r="AR3343">
        <v>65</v>
      </c>
      <c r="AS3343">
        <v>108</v>
      </c>
      <c r="AT3343">
        <v>1216</v>
      </c>
      <c r="BB3343">
        <v>1200</v>
      </c>
      <c r="BC3343">
        <v>1</v>
      </c>
      <c r="BD3343" t="str">
        <f t="shared" si="1214"/>
        <v xml:space="preserve">N887QR  </v>
      </c>
      <c r="BE3343">
        <v>1</v>
      </c>
      <c r="BG3343">
        <v>0</v>
      </c>
      <c r="BH3343">
        <v>0</v>
      </c>
      <c r="BI3343">
        <v>0</v>
      </c>
      <c r="BJ3343">
        <v>3550</v>
      </c>
      <c r="BK3343">
        <v>-350</v>
      </c>
      <c r="BL3343" t="s">
        <v>163</v>
      </c>
      <c r="BM3343">
        <v>1</v>
      </c>
      <c r="BN3343">
        <v>1</v>
      </c>
      <c r="BO3343">
        <v>1</v>
      </c>
      <c r="BP3343">
        <v>0</v>
      </c>
      <c r="BS3343">
        <v>0</v>
      </c>
      <c r="BT3343">
        <v>0</v>
      </c>
      <c r="BU3343">
        <v>0</v>
      </c>
      <c r="CE3343" t="str">
        <f t="shared" si="1220"/>
        <v>19:34:27.741</v>
      </c>
      <c r="CF3343">
        <v>740687834</v>
      </c>
      <c r="CS3343">
        <v>0</v>
      </c>
      <c r="CT3343">
        <v>2</v>
      </c>
      <c r="CU3343">
        <v>0</v>
      </c>
      <c r="CV3343">
        <v>2</v>
      </c>
      <c r="CW3343">
        <v>3</v>
      </c>
      <c r="CX3343">
        <v>6</v>
      </c>
      <c r="CY3343">
        <v>7</v>
      </c>
      <c r="CZ3343" t="s">
        <v>131</v>
      </c>
      <c r="DA3343">
        <v>300</v>
      </c>
      <c r="DB3343">
        <v>0</v>
      </c>
      <c r="DC3343" t="s">
        <v>176</v>
      </c>
      <c r="DD3343" t="s">
        <v>177</v>
      </c>
      <c r="DG3343">
        <v>5435533</v>
      </c>
      <c r="DI3343">
        <v>1</v>
      </c>
      <c r="DJ3343">
        <v>0</v>
      </c>
      <c r="DK3343">
        <v>1</v>
      </c>
      <c r="DL3343">
        <v>0</v>
      </c>
      <c r="DM3343">
        <v>0</v>
      </c>
      <c r="DN3343">
        <v>1</v>
      </c>
      <c r="DO3343">
        <v>0</v>
      </c>
      <c r="DP3343">
        <v>0</v>
      </c>
      <c r="DQ3343">
        <v>0</v>
      </c>
      <c r="DR3343">
        <v>0</v>
      </c>
      <c r="DS3343">
        <v>0</v>
      </c>
    </row>
    <row r="3344" spans="1:123" x14ac:dyDescent="0.3">
      <c r="A3344" t="str">
        <f t="shared" ref="A3344:A3350" si="1221">"10/04/2022 19:34:29.666"</f>
        <v>10/04/2022 19:34:29.666</v>
      </c>
      <c r="C3344" t="str">
        <f t="shared" si="1202"/>
        <v>FFDFD3C0</v>
      </c>
      <c r="D3344" t="s">
        <v>141</v>
      </c>
      <c r="E3344">
        <v>3</v>
      </c>
      <c r="H3344">
        <v>3</v>
      </c>
      <c r="I3344" t="s">
        <v>146</v>
      </c>
      <c r="J3344" t="s">
        <v>138</v>
      </c>
      <c r="K3344">
        <v>0</v>
      </c>
      <c r="L3344">
        <v>3</v>
      </c>
      <c r="M3344">
        <v>0</v>
      </c>
      <c r="N3344">
        <v>2</v>
      </c>
      <c r="O3344">
        <v>0</v>
      </c>
      <c r="P3344">
        <v>1</v>
      </c>
      <c r="Q3344">
        <v>0</v>
      </c>
      <c r="S3344" t="str">
        <f t="shared" ref="S3344:T3350" si="1222">"19:34:29.000"</f>
        <v>19:34:29.000</v>
      </c>
      <c r="T3344" t="str">
        <f t="shared" si="1222"/>
        <v>19:34:29.000</v>
      </c>
      <c r="U3344" t="str">
        <f t="shared" si="1213"/>
        <v>AC3944</v>
      </c>
      <c r="V3344">
        <v>0</v>
      </c>
      <c r="W3344">
        <v>0</v>
      </c>
      <c r="X3344">
        <v>2</v>
      </c>
      <c r="Y3344">
        <v>0</v>
      </c>
      <c r="AA3344">
        <v>1</v>
      </c>
      <c r="AB3344">
        <v>8</v>
      </c>
      <c r="AC3344">
        <v>3</v>
      </c>
      <c r="AD3344">
        <v>0</v>
      </c>
      <c r="AE3344">
        <v>9</v>
      </c>
      <c r="AF3344" t="s">
        <v>138</v>
      </c>
      <c r="AG3344">
        <v>0</v>
      </c>
      <c r="AH3344">
        <v>3</v>
      </c>
      <c r="AI3344">
        <v>1</v>
      </c>
      <c r="AJ3344">
        <v>0</v>
      </c>
      <c r="AK3344" t="s">
        <v>982</v>
      </c>
      <c r="AL3344">
        <v>32.725675000000003</v>
      </c>
      <c r="AM3344" t="s">
        <v>1100</v>
      </c>
      <c r="AN3344">
        <v>-116.752095</v>
      </c>
      <c r="AO3344">
        <v>25</v>
      </c>
      <c r="AP3344">
        <v>3900</v>
      </c>
      <c r="AQ3344" t="s">
        <v>129</v>
      </c>
      <c r="AR3344">
        <v>75</v>
      </c>
      <c r="AS3344">
        <v>100</v>
      </c>
      <c r="AT3344">
        <v>1280</v>
      </c>
      <c r="BB3344">
        <v>1200</v>
      </c>
      <c r="BC3344">
        <v>1</v>
      </c>
      <c r="BD3344" t="str">
        <f t="shared" si="1214"/>
        <v xml:space="preserve">N887QR  </v>
      </c>
      <c r="BE3344">
        <v>1</v>
      </c>
      <c r="BG3344">
        <v>0</v>
      </c>
      <c r="BH3344">
        <v>0</v>
      </c>
      <c r="BI3344">
        <v>0</v>
      </c>
      <c r="BJ3344">
        <v>3625</v>
      </c>
      <c r="BK3344">
        <v>-275</v>
      </c>
      <c r="BL3344" t="s">
        <v>163</v>
      </c>
      <c r="BM3344">
        <v>1</v>
      </c>
      <c r="BN3344">
        <v>1</v>
      </c>
      <c r="BO3344">
        <v>1</v>
      </c>
      <c r="BP3344">
        <v>0</v>
      </c>
      <c r="BS3344">
        <v>0</v>
      </c>
      <c r="BT3344">
        <v>0</v>
      </c>
      <c r="BU3344">
        <v>0</v>
      </c>
      <c r="CE3344" t="str">
        <f t="shared" ref="CE3344:CE3350" si="1223">"19:34:29.294"</f>
        <v>19:34:29.294</v>
      </c>
      <c r="CF3344">
        <v>294442644</v>
      </c>
      <c r="CS3344">
        <v>0</v>
      </c>
      <c r="CT3344">
        <v>2</v>
      </c>
      <c r="CU3344">
        <v>0</v>
      </c>
      <c r="CV3344">
        <v>2</v>
      </c>
      <c r="CW3344">
        <v>0</v>
      </c>
      <c r="CX3344">
        <v>5</v>
      </c>
      <c r="CY3344">
        <v>7</v>
      </c>
      <c r="CZ3344" t="s">
        <v>131</v>
      </c>
      <c r="DA3344">
        <v>300</v>
      </c>
      <c r="DB3344">
        <v>0</v>
      </c>
      <c r="DC3344" t="s">
        <v>176</v>
      </c>
      <c r="DD3344" t="s">
        <v>177</v>
      </c>
      <c r="DG3344">
        <v>5435771</v>
      </c>
      <c r="DI3344">
        <v>1</v>
      </c>
      <c r="DJ3344">
        <v>0</v>
      </c>
      <c r="DK3344">
        <v>0</v>
      </c>
      <c r="DL3344">
        <v>0</v>
      </c>
      <c r="DM3344">
        <v>0</v>
      </c>
      <c r="DN3344">
        <v>1</v>
      </c>
      <c r="DO3344">
        <v>0</v>
      </c>
      <c r="DP3344">
        <v>0</v>
      </c>
      <c r="DQ3344">
        <v>0</v>
      </c>
      <c r="DR3344">
        <v>0</v>
      </c>
      <c r="DS3344">
        <v>0</v>
      </c>
    </row>
    <row r="3345" spans="1:123" x14ac:dyDescent="0.3">
      <c r="A3345" t="str">
        <f t="shared" si="1221"/>
        <v>10/04/2022 19:34:29.666</v>
      </c>
      <c r="C3345" t="str">
        <f t="shared" si="1202"/>
        <v>FFDFD3C0</v>
      </c>
      <c r="D3345" t="s">
        <v>136</v>
      </c>
      <c r="E3345">
        <v>8</v>
      </c>
      <c r="H3345">
        <v>225</v>
      </c>
      <c r="I3345" t="s">
        <v>137</v>
      </c>
      <c r="J3345" t="s">
        <v>138</v>
      </c>
      <c r="K3345">
        <v>0</v>
      </c>
      <c r="L3345">
        <v>3</v>
      </c>
      <c r="M3345">
        <v>0</v>
      </c>
      <c r="N3345">
        <v>2</v>
      </c>
      <c r="O3345">
        <v>0</v>
      </c>
      <c r="P3345">
        <v>1</v>
      </c>
      <c r="Q3345">
        <v>0</v>
      </c>
      <c r="S3345" t="str">
        <f t="shared" si="1222"/>
        <v>19:34:29.000</v>
      </c>
      <c r="T3345" t="str">
        <f t="shared" si="1222"/>
        <v>19:34:29.000</v>
      </c>
      <c r="U3345" t="str">
        <f t="shared" si="1213"/>
        <v>AC3944</v>
      </c>
      <c r="V3345">
        <v>0</v>
      </c>
      <c r="W3345">
        <v>0</v>
      </c>
      <c r="X3345">
        <v>2</v>
      </c>
      <c r="Y3345">
        <v>0</v>
      </c>
      <c r="AA3345">
        <v>1</v>
      </c>
      <c r="AB3345">
        <v>8</v>
      </c>
      <c r="AC3345">
        <v>3</v>
      </c>
      <c r="AD3345">
        <v>0</v>
      </c>
      <c r="AE3345">
        <v>9</v>
      </c>
      <c r="AF3345" t="s">
        <v>138</v>
      </c>
      <c r="AG3345">
        <v>0</v>
      </c>
      <c r="AH3345">
        <v>3</v>
      </c>
      <c r="AI3345">
        <v>1</v>
      </c>
      <c r="AJ3345">
        <v>0</v>
      </c>
      <c r="AK3345" t="s">
        <v>982</v>
      </c>
      <c r="AL3345">
        <v>32.725675000000003</v>
      </c>
      <c r="AM3345" t="s">
        <v>1100</v>
      </c>
      <c r="AN3345">
        <v>-116.752095</v>
      </c>
      <c r="AO3345">
        <v>25</v>
      </c>
      <c r="AP3345">
        <v>3900</v>
      </c>
      <c r="AQ3345" t="s">
        <v>129</v>
      </c>
      <c r="AR3345">
        <v>75</v>
      </c>
      <c r="AS3345">
        <v>100</v>
      </c>
      <c r="AT3345">
        <v>1280</v>
      </c>
      <c r="BB3345">
        <v>1200</v>
      </c>
      <c r="BC3345">
        <v>1</v>
      </c>
      <c r="BD3345" t="str">
        <f t="shared" si="1214"/>
        <v xml:space="preserve">N887QR  </v>
      </c>
      <c r="BE3345">
        <v>1</v>
      </c>
      <c r="BG3345">
        <v>0</v>
      </c>
      <c r="BH3345">
        <v>0</v>
      </c>
      <c r="BI3345">
        <v>0</v>
      </c>
      <c r="BJ3345">
        <v>3625</v>
      </c>
      <c r="BK3345">
        <v>-275</v>
      </c>
      <c r="BL3345" t="s">
        <v>163</v>
      </c>
      <c r="BM3345">
        <v>1</v>
      </c>
      <c r="BN3345">
        <v>1</v>
      </c>
      <c r="BO3345">
        <v>1</v>
      </c>
      <c r="BP3345">
        <v>0</v>
      </c>
      <c r="BS3345">
        <v>0</v>
      </c>
      <c r="BT3345">
        <v>0</v>
      </c>
      <c r="BU3345">
        <v>0</v>
      </c>
      <c r="CE3345" t="str">
        <f t="shared" si="1223"/>
        <v>19:34:29.294</v>
      </c>
      <c r="CF3345">
        <v>294442644</v>
      </c>
      <c r="CS3345">
        <v>0</v>
      </c>
      <c r="CT3345">
        <v>2</v>
      </c>
      <c r="CU3345">
        <v>0</v>
      </c>
      <c r="CV3345">
        <v>2</v>
      </c>
      <c r="CW3345">
        <v>0</v>
      </c>
      <c r="CX3345">
        <v>5</v>
      </c>
      <c r="CY3345">
        <v>7</v>
      </c>
      <c r="CZ3345" t="s">
        <v>131</v>
      </c>
      <c r="DA3345">
        <v>300</v>
      </c>
      <c r="DB3345">
        <v>0</v>
      </c>
      <c r="DC3345" t="s">
        <v>176</v>
      </c>
      <c r="DD3345" t="s">
        <v>177</v>
      </c>
      <c r="DG3345">
        <v>5435771</v>
      </c>
      <c r="DI3345">
        <v>1</v>
      </c>
      <c r="DJ3345">
        <v>0</v>
      </c>
      <c r="DK3345">
        <v>1</v>
      </c>
      <c r="DL3345">
        <v>0</v>
      </c>
      <c r="DM3345">
        <v>0</v>
      </c>
      <c r="DN3345">
        <v>1</v>
      </c>
      <c r="DO3345">
        <v>0</v>
      </c>
      <c r="DP3345">
        <v>0</v>
      </c>
      <c r="DQ3345">
        <v>0</v>
      </c>
      <c r="DR3345">
        <v>0</v>
      </c>
      <c r="DS3345">
        <v>0</v>
      </c>
    </row>
    <row r="3346" spans="1:123" x14ac:dyDescent="0.3">
      <c r="A3346" t="str">
        <f t="shared" si="1221"/>
        <v>10/04/2022 19:34:29.666</v>
      </c>
      <c r="C3346" t="str">
        <f t="shared" si="1202"/>
        <v>FFDFD3C0</v>
      </c>
      <c r="D3346" t="s">
        <v>141</v>
      </c>
      <c r="E3346">
        <v>4</v>
      </c>
      <c r="H3346">
        <v>4</v>
      </c>
      <c r="I3346" t="s">
        <v>142</v>
      </c>
      <c r="J3346" t="s">
        <v>138</v>
      </c>
      <c r="K3346">
        <v>0</v>
      </c>
      <c r="L3346">
        <v>3</v>
      </c>
      <c r="M3346">
        <v>0</v>
      </c>
      <c r="N3346">
        <v>2</v>
      </c>
      <c r="O3346">
        <v>0</v>
      </c>
      <c r="P3346">
        <v>1</v>
      </c>
      <c r="Q3346">
        <v>0</v>
      </c>
      <c r="S3346" t="str">
        <f t="shared" si="1222"/>
        <v>19:34:29.000</v>
      </c>
      <c r="T3346" t="str">
        <f t="shared" si="1222"/>
        <v>19:34:29.000</v>
      </c>
      <c r="U3346" t="str">
        <f t="shared" si="1213"/>
        <v>AC3944</v>
      </c>
      <c r="V3346">
        <v>0</v>
      </c>
      <c r="W3346">
        <v>0</v>
      </c>
      <c r="X3346">
        <v>2</v>
      </c>
      <c r="Y3346">
        <v>0</v>
      </c>
      <c r="AA3346">
        <v>1</v>
      </c>
      <c r="AB3346">
        <v>8</v>
      </c>
      <c r="AC3346">
        <v>3</v>
      </c>
      <c r="AD3346">
        <v>0</v>
      </c>
      <c r="AE3346">
        <v>9</v>
      </c>
      <c r="AF3346" t="s">
        <v>138</v>
      </c>
      <c r="AG3346">
        <v>0</v>
      </c>
      <c r="AH3346">
        <v>3</v>
      </c>
      <c r="AI3346">
        <v>1</v>
      </c>
      <c r="AJ3346">
        <v>0</v>
      </c>
      <c r="AK3346" t="s">
        <v>982</v>
      </c>
      <c r="AL3346">
        <v>32.725675000000003</v>
      </c>
      <c r="AM3346" t="s">
        <v>1100</v>
      </c>
      <c r="AN3346">
        <v>-116.752095</v>
      </c>
      <c r="AO3346">
        <v>25</v>
      </c>
      <c r="AP3346">
        <v>3900</v>
      </c>
      <c r="AQ3346" t="s">
        <v>129</v>
      </c>
      <c r="AR3346">
        <v>75</v>
      </c>
      <c r="AS3346">
        <v>100</v>
      </c>
      <c r="AT3346">
        <v>1280</v>
      </c>
      <c r="BB3346">
        <v>1200</v>
      </c>
      <c r="BC3346">
        <v>1</v>
      </c>
      <c r="BD3346" t="str">
        <f t="shared" si="1214"/>
        <v xml:space="preserve">N887QR  </v>
      </c>
      <c r="BE3346">
        <v>1</v>
      </c>
      <c r="BG3346">
        <v>0</v>
      </c>
      <c r="BH3346">
        <v>0</v>
      </c>
      <c r="BI3346">
        <v>0</v>
      </c>
      <c r="BJ3346">
        <v>3625</v>
      </c>
      <c r="BK3346">
        <v>-275</v>
      </c>
      <c r="BL3346" t="s">
        <v>163</v>
      </c>
      <c r="BM3346">
        <v>1</v>
      </c>
      <c r="BN3346">
        <v>1</v>
      </c>
      <c r="BO3346">
        <v>1</v>
      </c>
      <c r="BP3346">
        <v>0</v>
      </c>
      <c r="BS3346">
        <v>0</v>
      </c>
      <c r="BT3346">
        <v>0</v>
      </c>
      <c r="BU3346">
        <v>0</v>
      </c>
      <c r="CE3346" t="str">
        <f t="shared" si="1223"/>
        <v>19:34:29.294</v>
      </c>
      <c r="CF3346">
        <v>294442644</v>
      </c>
      <c r="CS3346">
        <v>0</v>
      </c>
      <c r="CT3346">
        <v>2</v>
      </c>
      <c r="CU3346">
        <v>0</v>
      </c>
      <c r="CV3346">
        <v>2</v>
      </c>
      <c r="CW3346">
        <v>0</v>
      </c>
      <c r="CX3346">
        <v>5</v>
      </c>
      <c r="CY3346">
        <v>7</v>
      </c>
      <c r="CZ3346" t="s">
        <v>131</v>
      </c>
      <c r="DA3346">
        <v>300</v>
      </c>
      <c r="DB3346">
        <v>0</v>
      </c>
      <c r="DC3346" t="s">
        <v>176</v>
      </c>
      <c r="DD3346" t="s">
        <v>177</v>
      </c>
      <c r="DG3346">
        <v>5435771</v>
      </c>
      <c r="DI3346">
        <v>1</v>
      </c>
      <c r="DJ3346">
        <v>0</v>
      </c>
      <c r="DK3346">
        <v>1</v>
      </c>
      <c r="DL3346">
        <v>0</v>
      </c>
      <c r="DM3346">
        <v>0</v>
      </c>
      <c r="DN3346">
        <v>1</v>
      </c>
      <c r="DO3346">
        <v>0</v>
      </c>
      <c r="DP3346">
        <v>0</v>
      </c>
      <c r="DQ3346">
        <v>0</v>
      </c>
      <c r="DR3346">
        <v>0</v>
      </c>
      <c r="DS3346">
        <v>0</v>
      </c>
    </row>
    <row r="3347" spans="1:123" x14ac:dyDescent="0.3">
      <c r="A3347" t="str">
        <f t="shared" si="1221"/>
        <v>10/04/2022 19:34:29.666</v>
      </c>
      <c r="C3347" t="str">
        <f t="shared" si="1202"/>
        <v>FFDFD3C0</v>
      </c>
      <c r="D3347" t="s">
        <v>143</v>
      </c>
      <c r="E3347">
        <v>20</v>
      </c>
      <c r="F3347">
        <v>1020</v>
      </c>
      <c r="G3347" t="s">
        <v>144</v>
      </c>
      <c r="J3347" t="s">
        <v>145</v>
      </c>
      <c r="K3347">
        <v>0</v>
      </c>
      <c r="L3347">
        <v>3</v>
      </c>
      <c r="M3347">
        <v>0</v>
      </c>
      <c r="N3347">
        <v>2</v>
      </c>
      <c r="O3347">
        <v>0</v>
      </c>
      <c r="P3347">
        <v>1</v>
      </c>
      <c r="Q3347">
        <v>0</v>
      </c>
      <c r="S3347" t="str">
        <f t="shared" si="1222"/>
        <v>19:34:29.000</v>
      </c>
      <c r="T3347" t="str">
        <f t="shared" si="1222"/>
        <v>19:34:29.000</v>
      </c>
      <c r="U3347" t="str">
        <f t="shared" si="1213"/>
        <v>AC3944</v>
      </c>
      <c r="V3347">
        <v>0</v>
      </c>
      <c r="W3347">
        <v>0</v>
      </c>
      <c r="X3347">
        <v>2</v>
      </c>
      <c r="Y3347">
        <v>0</v>
      </c>
      <c r="AA3347">
        <v>1</v>
      </c>
      <c r="AB3347">
        <v>8</v>
      </c>
      <c r="AC3347">
        <v>3</v>
      </c>
      <c r="AD3347">
        <v>0</v>
      </c>
      <c r="AE3347">
        <v>9</v>
      </c>
      <c r="AF3347" t="s">
        <v>138</v>
      </c>
      <c r="AG3347">
        <v>0</v>
      </c>
      <c r="AH3347">
        <v>3</v>
      </c>
      <c r="AI3347">
        <v>1</v>
      </c>
      <c r="AJ3347">
        <v>0</v>
      </c>
      <c r="AK3347" t="s">
        <v>982</v>
      </c>
      <c r="AL3347">
        <v>32.725675000000003</v>
      </c>
      <c r="AM3347" t="s">
        <v>1100</v>
      </c>
      <c r="AN3347">
        <v>-116.752095</v>
      </c>
      <c r="AO3347">
        <v>25</v>
      </c>
      <c r="AP3347">
        <v>3900</v>
      </c>
      <c r="AQ3347" t="s">
        <v>129</v>
      </c>
      <c r="AR3347">
        <v>75</v>
      </c>
      <c r="AS3347">
        <v>100</v>
      </c>
      <c r="AT3347">
        <v>1280</v>
      </c>
      <c r="BB3347">
        <v>1200</v>
      </c>
      <c r="BC3347">
        <v>1</v>
      </c>
      <c r="BD3347" t="str">
        <f t="shared" si="1214"/>
        <v xml:space="preserve">N887QR  </v>
      </c>
      <c r="BE3347">
        <v>1</v>
      </c>
      <c r="BG3347">
        <v>0</v>
      </c>
      <c r="BH3347">
        <v>0</v>
      </c>
      <c r="BI3347">
        <v>0</v>
      </c>
      <c r="BJ3347">
        <v>3625</v>
      </c>
      <c r="BK3347">
        <v>-275</v>
      </c>
      <c r="BL3347" t="s">
        <v>163</v>
      </c>
      <c r="BM3347">
        <v>1</v>
      </c>
      <c r="BN3347">
        <v>1</v>
      </c>
      <c r="BO3347">
        <v>1</v>
      </c>
      <c r="BP3347">
        <v>0</v>
      </c>
      <c r="BS3347">
        <v>0</v>
      </c>
      <c r="BT3347">
        <v>0</v>
      </c>
      <c r="BU3347">
        <v>0</v>
      </c>
      <c r="CE3347" t="str">
        <f t="shared" si="1223"/>
        <v>19:34:29.294</v>
      </c>
      <c r="CF3347">
        <v>294442644</v>
      </c>
      <c r="CS3347">
        <v>0</v>
      </c>
      <c r="CT3347">
        <v>2</v>
      </c>
      <c r="CU3347">
        <v>0</v>
      </c>
      <c r="CV3347">
        <v>2</v>
      </c>
      <c r="CW3347">
        <v>0</v>
      </c>
      <c r="CX3347">
        <v>5</v>
      </c>
      <c r="CY3347">
        <v>7</v>
      </c>
      <c r="CZ3347" t="s">
        <v>131</v>
      </c>
      <c r="DA3347">
        <v>300</v>
      </c>
      <c r="DB3347">
        <v>0</v>
      </c>
      <c r="DC3347" t="s">
        <v>176</v>
      </c>
      <c r="DD3347" t="s">
        <v>177</v>
      </c>
      <c r="DG3347">
        <v>5435771</v>
      </c>
      <c r="DI3347">
        <v>1</v>
      </c>
      <c r="DJ3347">
        <v>0</v>
      </c>
      <c r="DK3347">
        <v>0</v>
      </c>
      <c r="DL3347">
        <v>0</v>
      </c>
      <c r="DM3347">
        <v>0</v>
      </c>
      <c r="DN3347">
        <v>1</v>
      </c>
      <c r="DO3347">
        <v>0</v>
      </c>
      <c r="DP3347">
        <v>0</v>
      </c>
      <c r="DQ3347">
        <v>0</v>
      </c>
      <c r="DR3347">
        <v>0</v>
      </c>
      <c r="DS3347">
        <v>0</v>
      </c>
    </row>
    <row r="3348" spans="1:123" x14ac:dyDescent="0.3">
      <c r="A3348" t="str">
        <f t="shared" si="1221"/>
        <v>10/04/2022 19:34:29.666</v>
      </c>
      <c r="C3348" t="str">
        <f t="shared" si="1202"/>
        <v>FFDFD3C0</v>
      </c>
      <c r="D3348" t="s">
        <v>147</v>
      </c>
      <c r="E3348">
        <v>3</v>
      </c>
      <c r="H3348">
        <v>166</v>
      </c>
      <c r="I3348" t="s">
        <v>144</v>
      </c>
      <c r="J3348" t="s">
        <v>148</v>
      </c>
      <c r="K3348">
        <v>0</v>
      </c>
      <c r="L3348">
        <v>3</v>
      </c>
      <c r="M3348">
        <v>0</v>
      </c>
      <c r="N3348">
        <v>2</v>
      </c>
      <c r="O3348">
        <v>0</v>
      </c>
      <c r="P3348">
        <v>1</v>
      </c>
      <c r="Q3348">
        <v>0</v>
      </c>
      <c r="S3348" t="str">
        <f t="shared" si="1222"/>
        <v>19:34:29.000</v>
      </c>
      <c r="T3348" t="str">
        <f t="shared" si="1222"/>
        <v>19:34:29.000</v>
      </c>
      <c r="U3348" t="str">
        <f t="shared" si="1213"/>
        <v>AC3944</v>
      </c>
      <c r="V3348">
        <v>0</v>
      </c>
      <c r="W3348">
        <v>0</v>
      </c>
      <c r="X3348">
        <v>2</v>
      </c>
      <c r="Y3348">
        <v>0</v>
      </c>
      <c r="AA3348">
        <v>1</v>
      </c>
      <c r="AB3348">
        <v>8</v>
      </c>
      <c r="AC3348">
        <v>3</v>
      </c>
      <c r="AD3348">
        <v>0</v>
      </c>
      <c r="AE3348">
        <v>9</v>
      </c>
      <c r="AF3348" t="s">
        <v>138</v>
      </c>
      <c r="AG3348">
        <v>0</v>
      </c>
      <c r="AH3348">
        <v>3</v>
      </c>
      <c r="AI3348">
        <v>1</v>
      </c>
      <c r="AJ3348">
        <v>0</v>
      </c>
      <c r="AK3348" t="s">
        <v>982</v>
      </c>
      <c r="AL3348">
        <v>32.725675000000003</v>
      </c>
      <c r="AM3348" t="s">
        <v>1100</v>
      </c>
      <c r="AN3348">
        <v>-116.752095</v>
      </c>
      <c r="AO3348">
        <v>25</v>
      </c>
      <c r="AP3348">
        <v>3900</v>
      </c>
      <c r="AQ3348" t="s">
        <v>129</v>
      </c>
      <c r="AR3348">
        <v>75</v>
      </c>
      <c r="AS3348">
        <v>100</v>
      </c>
      <c r="AT3348">
        <v>1280</v>
      </c>
      <c r="BB3348">
        <v>1200</v>
      </c>
      <c r="BC3348">
        <v>1</v>
      </c>
      <c r="BD3348" t="str">
        <f t="shared" si="1214"/>
        <v xml:space="preserve">N887QR  </v>
      </c>
      <c r="BE3348">
        <v>1</v>
      </c>
      <c r="BG3348">
        <v>0</v>
      </c>
      <c r="BH3348">
        <v>0</v>
      </c>
      <c r="BI3348">
        <v>0</v>
      </c>
      <c r="BJ3348">
        <v>3625</v>
      </c>
      <c r="BK3348">
        <v>-275</v>
      </c>
      <c r="BL3348" t="s">
        <v>163</v>
      </c>
      <c r="BM3348">
        <v>1</v>
      </c>
      <c r="BN3348">
        <v>1</v>
      </c>
      <c r="BO3348">
        <v>1</v>
      </c>
      <c r="BP3348">
        <v>0</v>
      </c>
      <c r="BS3348">
        <v>0</v>
      </c>
      <c r="BT3348">
        <v>0</v>
      </c>
      <c r="BU3348">
        <v>0</v>
      </c>
      <c r="CE3348" t="str">
        <f t="shared" si="1223"/>
        <v>19:34:29.294</v>
      </c>
      <c r="CF3348">
        <v>294442644</v>
      </c>
      <c r="CS3348">
        <v>0</v>
      </c>
      <c r="CT3348">
        <v>2</v>
      </c>
      <c r="CU3348">
        <v>0</v>
      </c>
      <c r="CV3348">
        <v>2</v>
      </c>
      <c r="CW3348">
        <v>0</v>
      </c>
      <c r="CX3348">
        <v>5</v>
      </c>
      <c r="CY3348">
        <v>7</v>
      </c>
      <c r="CZ3348" t="s">
        <v>131</v>
      </c>
      <c r="DA3348">
        <v>300</v>
      </c>
      <c r="DB3348">
        <v>0</v>
      </c>
      <c r="DC3348" t="s">
        <v>176</v>
      </c>
      <c r="DD3348" t="s">
        <v>177</v>
      </c>
      <c r="DG3348">
        <v>5435771</v>
      </c>
      <c r="DI3348">
        <v>1</v>
      </c>
      <c r="DJ3348">
        <v>0</v>
      </c>
      <c r="DK3348">
        <v>1</v>
      </c>
      <c r="DL3348">
        <v>0</v>
      </c>
      <c r="DM3348">
        <v>0</v>
      </c>
      <c r="DN3348">
        <v>1</v>
      </c>
      <c r="DO3348">
        <v>0</v>
      </c>
      <c r="DP3348">
        <v>0</v>
      </c>
      <c r="DQ3348">
        <v>0</v>
      </c>
      <c r="DR3348">
        <v>0</v>
      </c>
      <c r="DS3348">
        <v>0</v>
      </c>
    </row>
    <row r="3349" spans="1:123" x14ac:dyDescent="0.3">
      <c r="A3349" t="str">
        <f t="shared" si="1221"/>
        <v>10/04/2022 19:34:29.666</v>
      </c>
      <c r="C3349" t="str">
        <f t="shared" si="1202"/>
        <v>FFDFD3C0</v>
      </c>
      <c r="D3349" t="s">
        <v>123</v>
      </c>
      <c r="E3349">
        <v>7</v>
      </c>
      <c r="F3349">
        <v>2007</v>
      </c>
      <c r="G3349" t="s">
        <v>124</v>
      </c>
      <c r="J3349" t="s">
        <v>125</v>
      </c>
      <c r="K3349">
        <v>0</v>
      </c>
      <c r="L3349">
        <v>3</v>
      </c>
      <c r="M3349">
        <v>0</v>
      </c>
      <c r="N3349">
        <v>2</v>
      </c>
      <c r="O3349">
        <v>0</v>
      </c>
      <c r="P3349">
        <v>1</v>
      </c>
      <c r="Q3349">
        <v>0</v>
      </c>
      <c r="S3349" t="str">
        <f t="shared" si="1222"/>
        <v>19:34:29.000</v>
      </c>
      <c r="T3349" t="str">
        <f t="shared" si="1222"/>
        <v>19:34:29.000</v>
      </c>
      <c r="U3349" t="str">
        <f t="shared" si="1213"/>
        <v>AC3944</v>
      </c>
      <c r="V3349">
        <v>0</v>
      </c>
      <c r="W3349">
        <v>0</v>
      </c>
      <c r="X3349">
        <v>2</v>
      </c>
      <c r="Y3349">
        <v>0</v>
      </c>
      <c r="AA3349">
        <v>1</v>
      </c>
      <c r="AB3349">
        <v>8</v>
      </c>
      <c r="AC3349">
        <v>3</v>
      </c>
      <c r="AD3349">
        <v>0</v>
      </c>
      <c r="AE3349">
        <v>9</v>
      </c>
      <c r="AF3349" t="s">
        <v>138</v>
      </c>
      <c r="AG3349">
        <v>0</v>
      </c>
      <c r="AH3349">
        <v>3</v>
      </c>
      <c r="AI3349">
        <v>1</v>
      </c>
      <c r="AJ3349">
        <v>0</v>
      </c>
      <c r="AK3349" t="s">
        <v>982</v>
      </c>
      <c r="AL3349">
        <v>32.725675000000003</v>
      </c>
      <c r="AM3349" t="s">
        <v>1100</v>
      </c>
      <c r="AN3349">
        <v>-116.752095</v>
      </c>
      <c r="AO3349">
        <v>25</v>
      </c>
      <c r="AP3349">
        <v>3900</v>
      </c>
      <c r="AQ3349" t="s">
        <v>129</v>
      </c>
      <c r="AR3349">
        <v>75</v>
      </c>
      <c r="AS3349">
        <v>100</v>
      </c>
      <c r="AT3349">
        <v>1280</v>
      </c>
      <c r="BB3349">
        <v>1200</v>
      </c>
      <c r="BC3349">
        <v>1</v>
      </c>
      <c r="BD3349" t="str">
        <f t="shared" si="1214"/>
        <v xml:space="preserve">N887QR  </v>
      </c>
      <c r="BE3349">
        <v>1</v>
      </c>
      <c r="BG3349">
        <v>0</v>
      </c>
      <c r="BH3349">
        <v>0</v>
      </c>
      <c r="BI3349">
        <v>0</v>
      </c>
      <c r="BJ3349">
        <v>3625</v>
      </c>
      <c r="BK3349">
        <v>-275</v>
      </c>
      <c r="BL3349" t="s">
        <v>163</v>
      </c>
      <c r="BM3349">
        <v>1</v>
      </c>
      <c r="BN3349">
        <v>1</v>
      </c>
      <c r="BO3349">
        <v>1</v>
      </c>
      <c r="BP3349">
        <v>0</v>
      </c>
      <c r="BS3349">
        <v>0</v>
      </c>
      <c r="BT3349">
        <v>0</v>
      </c>
      <c r="BU3349">
        <v>0</v>
      </c>
      <c r="CE3349" t="str">
        <f t="shared" si="1223"/>
        <v>19:34:29.294</v>
      </c>
      <c r="CF3349">
        <v>294442644</v>
      </c>
      <c r="CS3349">
        <v>0</v>
      </c>
      <c r="CT3349">
        <v>2</v>
      </c>
      <c r="CU3349">
        <v>0</v>
      </c>
      <c r="CV3349">
        <v>2</v>
      </c>
      <c r="CW3349">
        <v>0</v>
      </c>
      <c r="CX3349">
        <v>5</v>
      </c>
      <c r="CY3349">
        <v>7</v>
      </c>
      <c r="CZ3349" t="s">
        <v>131</v>
      </c>
      <c r="DA3349">
        <v>300</v>
      </c>
      <c r="DB3349">
        <v>0</v>
      </c>
      <c r="DC3349" t="s">
        <v>176</v>
      </c>
      <c r="DD3349" t="s">
        <v>177</v>
      </c>
      <c r="DG3349">
        <v>5435771</v>
      </c>
      <c r="DI3349">
        <v>1</v>
      </c>
      <c r="DJ3349">
        <v>0</v>
      </c>
      <c r="DK3349">
        <v>1</v>
      </c>
      <c r="DL3349">
        <v>0</v>
      </c>
      <c r="DM3349">
        <v>0</v>
      </c>
      <c r="DN3349">
        <v>1</v>
      </c>
      <c r="DO3349">
        <v>0</v>
      </c>
      <c r="DP3349">
        <v>0</v>
      </c>
      <c r="DQ3349">
        <v>0</v>
      </c>
      <c r="DR3349">
        <v>0</v>
      </c>
      <c r="DS3349">
        <v>0</v>
      </c>
    </row>
    <row r="3350" spans="1:123" x14ac:dyDescent="0.3">
      <c r="A3350" t="str">
        <f t="shared" si="1221"/>
        <v>10/04/2022 19:34:29.666</v>
      </c>
      <c r="C3350" t="str">
        <f t="shared" si="1202"/>
        <v>FFDFD3C0</v>
      </c>
      <c r="D3350" t="s">
        <v>134</v>
      </c>
      <c r="E3350">
        <v>15</v>
      </c>
      <c r="J3350" t="s">
        <v>135</v>
      </c>
      <c r="K3350">
        <v>0</v>
      </c>
      <c r="L3350">
        <v>3</v>
      </c>
      <c r="M3350">
        <v>0</v>
      </c>
      <c r="N3350">
        <v>2</v>
      </c>
      <c r="O3350">
        <v>0</v>
      </c>
      <c r="P3350">
        <v>1</v>
      </c>
      <c r="Q3350">
        <v>0</v>
      </c>
      <c r="S3350" t="str">
        <f t="shared" si="1222"/>
        <v>19:34:29.000</v>
      </c>
      <c r="T3350" t="str">
        <f t="shared" si="1222"/>
        <v>19:34:29.000</v>
      </c>
      <c r="U3350" t="str">
        <f t="shared" si="1213"/>
        <v>AC3944</v>
      </c>
      <c r="V3350">
        <v>0</v>
      </c>
      <c r="W3350">
        <v>0</v>
      </c>
      <c r="X3350">
        <v>2</v>
      </c>
      <c r="Y3350">
        <v>0</v>
      </c>
      <c r="AA3350">
        <v>1</v>
      </c>
      <c r="AB3350">
        <v>8</v>
      </c>
      <c r="AC3350">
        <v>3</v>
      </c>
      <c r="AD3350">
        <v>0</v>
      </c>
      <c r="AE3350">
        <v>9</v>
      </c>
      <c r="AF3350" t="s">
        <v>138</v>
      </c>
      <c r="AG3350">
        <v>0</v>
      </c>
      <c r="AH3350">
        <v>3</v>
      </c>
      <c r="AI3350">
        <v>1</v>
      </c>
      <c r="AJ3350">
        <v>0</v>
      </c>
      <c r="AK3350" t="s">
        <v>982</v>
      </c>
      <c r="AL3350">
        <v>32.725675000000003</v>
      </c>
      <c r="AM3350" t="s">
        <v>1100</v>
      </c>
      <c r="AN3350">
        <v>-116.752095</v>
      </c>
      <c r="AO3350">
        <v>25</v>
      </c>
      <c r="AP3350">
        <v>3900</v>
      </c>
      <c r="AQ3350" t="s">
        <v>129</v>
      </c>
      <c r="AR3350">
        <v>75</v>
      </c>
      <c r="AS3350">
        <v>100</v>
      </c>
      <c r="AT3350">
        <v>1280</v>
      </c>
      <c r="BB3350">
        <v>1200</v>
      </c>
      <c r="BC3350">
        <v>1</v>
      </c>
      <c r="BD3350" t="str">
        <f t="shared" si="1214"/>
        <v xml:space="preserve">N887QR  </v>
      </c>
      <c r="BE3350">
        <v>1</v>
      </c>
      <c r="BG3350">
        <v>0</v>
      </c>
      <c r="BH3350">
        <v>0</v>
      </c>
      <c r="BI3350">
        <v>0</v>
      </c>
      <c r="BJ3350">
        <v>3625</v>
      </c>
      <c r="BK3350">
        <v>-275</v>
      </c>
      <c r="BL3350" t="s">
        <v>163</v>
      </c>
      <c r="BM3350">
        <v>1</v>
      </c>
      <c r="BN3350">
        <v>1</v>
      </c>
      <c r="BO3350">
        <v>1</v>
      </c>
      <c r="BP3350">
        <v>0</v>
      </c>
      <c r="BS3350">
        <v>0</v>
      </c>
      <c r="BT3350">
        <v>0</v>
      </c>
      <c r="BU3350">
        <v>0</v>
      </c>
      <c r="CE3350" t="str">
        <f t="shared" si="1223"/>
        <v>19:34:29.294</v>
      </c>
      <c r="CF3350">
        <v>294442644</v>
      </c>
      <c r="CS3350">
        <v>0</v>
      </c>
      <c r="CT3350">
        <v>2</v>
      </c>
      <c r="CU3350">
        <v>0</v>
      </c>
      <c r="CV3350">
        <v>2</v>
      </c>
      <c r="CW3350">
        <v>0</v>
      </c>
      <c r="CX3350">
        <v>5</v>
      </c>
      <c r="CY3350">
        <v>7</v>
      </c>
      <c r="CZ3350" t="s">
        <v>131</v>
      </c>
      <c r="DA3350">
        <v>300</v>
      </c>
      <c r="DB3350">
        <v>0</v>
      </c>
      <c r="DC3350" t="s">
        <v>176</v>
      </c>
      <c r="DD3350" t="s">
        <v>177</v>
      </c>
      <c r="DG3350">
        <v>5435771</v>
      </c>
      <c r="DI3350">
        <v>1</v>
      </c>
      <c r="DJ3350">
        <v>0</v>
      </c>
      <c r="DK3350">
        <v>1</v>
      </c>
      <c r="DL3350">
        <v>0</v>
      </c>
      <c r="DM3350">
        <v>0</v>
      </c>
      <c r="DN3350">
        <v>1</v>
      </c>
      <c r="DO3350">
        <v>0</v>
      </c>
      <c r="DP3350">
        <v>0</v>
      </c>
      <c r="DQ3350">
        <v>0</v>
      </c>
      <c r="DR3350">
        <v>0</v>
      </c>
      <c r="DS3350">
        <v>0</v>
      </c>
    </row>
    <row r="3351" spans="1:123" x14ac:dyDescent="0.3">
      <c r="A3351" t="str">
        <f t="shared" ref="A3351:A3356" si="1224">"10/04/2022 19:34:30.480"</f>
        <v>10/04/2022 19:34:30.480</v>
      </c>
      <c r="C3351" t="str">
        <f t="shared" si="1202"/>
        <v>FFDFD3C0</v>
      </c>
      <c r="D3351" t="s">
        <v>147</v>
      </c>
      <c r="E3351">
        <v>3</v>
      </c>
      <c r="H3351">
        <v>166</v>
      </c>
      <c r="I3351" t="s">
        <v>144</v>
      </c>
      <c r="J3351" t="s">
        <v>148</v>
      </c>
      <c r="K3351">
        <v>0</v>
      </c>
      <c r="L3351">
        <v>3</v>
      </c>
      <c r="M3351">
        <v>0</v>
      </c>
      <c r="N3351">
        <v>2</v>
      </c>
      <c r="O3351">
        <v>0</v>
      </c>
      <c r="P3351">
        <v>1</v>
      </c>
      <c r="Q3351">
        <v>0</v>
      </c>
      <c r="S3351" t="str">
        <f t="shared" ref="S3351:T3363" si="1225">"19:34:30.000"</f>
        <v>19:34:30.000</v>
      </c>
      <c r="T3351" t="str">
        <f t="shared" si="1225"/>
        <v>19:34:30.000</v>
      </c>
      <c r="U3351" t="str">
        <f t="shared" si="1213"/>
        <v>AC3944</v>
      </c>
      <c r="V3351">
        <v>0</v>
      </c>
      <c r="W3351">
        <v>0</v>
      </c>
      <c r="X3351">
        <v>2</v>
      </c>
      <c r="Y3351">
        <v>0</v>
      </c>
      <c r="AA3351">
        <v>1</v>
      </c>
      <c r="AB3351">
        <v>8</v>
      </c>
      <c r="AC3351">
        <v>3</v>
      </c>
      <c r="AD3351">
        <v>0</v>
      </c>
      <c r="AE3351">
        <v>9</v>
      </c>
      <c r="AF3351" t="s">
        <v>138</v>
      </c>
      <c r="AG3351">
        <v>0</v>
      </c>
      <c r="AH3351">
        <v>3</v>
      </c>
      <c r="AI3351">
        <v>1</v>
      </c>
      <c r="AJ3351">
        <v>0</v>
      </c>
      <c r="AK3351" t="s">
        <v>1101</v>
      </c>
      <c r="AL3351">
        <v>32.726253999999997</v>
      </c>
      <c r="AM3351" t="s">
        <v>1102</v>
      </c>
      <c r="AN3351">
        <v>-116.75160200000001</v>
      </c>
      <c r="AO3351">
        <v>25</v>
      </c>
      <c r="AP3351">
        <v>3900</v>
      </c>
      <c r="AQ3351" t="s">
        <v>129</v>
      </c>
      <c r="AR3351">
        <v>79</v>
      </c>
      <c r="AS3351">
        <v>95</v>
      </c>
      <c r="AT3351">
        <v>1280</v>
      </c>
      <c r="BB3351">
        <v>1200</v>
      </c>
      <c r="BC3351">
        <v>1</v>
      </c>
      <c r="BD3351" t="str">
        <f t="shared" si="1214"/>
        <v xml:space="preserve">N887QR  </v>
      </c>
      <c r="BE3351">
        <v>1</v>
      </c>
      <c r="BG3351">
        <v>0</v>
      </c>
      <c r="BH3351">
        <v>0</v>
      </c>
      <c r="BI3351">
        <v>0</v>
      </c>
      <c r="BJ3351">
        <v>3625</v>
      </c>
      <c r="BK3351">
        <v>-275</v>
      </c>
      <c r="BL3351" t="s">
        <v>163</v>
      </c>
      <c r="BM3351">
        <v>1</v>
      </c>
      <c r="BN3351">
        <v>1</v>
      </c>
      <c r="BO3351">
        <v>1</v>
      </c>
      <c r="BP3351">
        <v>0</v>
      </c>
      <c r="BS3351">
        <v>0</v>
      </c>
      <c r="BT3351">
        <v>0</v>
      </c>
      <c r="BU3351">
        <v>0</v>
      </c>
      <c r="CE3351" t="str">
        <f t="shared" ref="CE3351:CE3356" si="1226">"19:34:30.136"</f>
        <v>19:34:30.136</v>
      </c>
      <c r="CF3351">
        <v>135695284</v>
      </c>
      <c r="CS3351">
        <v>0</v>
      </c>
      <c r="CT3351">
        <v>2</v>
      </c>
      <c r="CU3351">
        <v>0</v>
      </c>
      <c r="CV3351">
        <v>2</v>
      </c>
      <c r="CW3351">
        <v>1</v>
      </c>
      <c r="CX3351">
        <v>6</v>
      </c>
      <c r="CY3351">
        <v>7</v>
      </c>
      <c r="CZ3351" t="s">
        <v>131</v>
      </c>
      <c r="DA3351">
        <v>300</v>
      </c>
      <c r="DB3351">
        <v>0</v>
      </c>
      <c r="DC3351" t="s">
        <v>176</v>
      </c>
      <c r="DD3351" t="s">
        <v>177</v>
      </c>
      <c r="DG3351">
        <v>5435897</v>
      </c>
      <c r="DI3351">
        <v>1</v>
      </c>
      <c r="DJ3351">
        <v>0</v>
      </c>
      <c r="DK3351">
        <v>0</v>
      </c>
      <c r="DL3351">
        <v>0</v>
      </c>
      <c r="DM3351">
        <v>0</v>
      </c>
      <c r="DN3351">
        <v>1</v>
      </c>
      <c r="DO3351">
        <v>0</v>
      </c>
      <c r="DP3351">
        <v>0</v>
      </c>
      <c r="DQ3351">
        <v>0</v>
      </c>
      <c r="DR3351">
        <v>0</v>
      </c>
      <c r="DS3351">
        <v>0</v>
      </c>
    </row>
    <row r="3352" spans="1:123" x14ac:dyDescent="0.3">
      <c r="A3352" t="str">
        <f t="shared" si="1224"/>
        <v>10/04/2022 19:34:30.480</v>
      </c>
      <c r="C3352" t="str">
        <f t="shared" si="1202"/>
        <v>FFDFD3C0</v>
      </c>
      <c r="D3352" t="s">
        <v>123</v>
      </c>
      <c r="E3352">
        <v>7</v>
      </c>
      <c r="F3352">
        <v>2007</v>
      </c>
      <c r="G3352" t="s">
        <v>124</v>
      </c>
      <c r="J3352" t="s">
        <v>125</v>
      </c>
      <c r="K3352">
        <v>0</v>
      </c>
      <c r="L3352">
        <v>3</v>
      </c>
      <c r="M3352">
        <v>0</v>
      </c>
      <c r="N3352">
        <v>2</v>
      </c>
      <c r="O3352">
        <v>0</v>
      </c>
      <c r="P3352">
        <v>1</v>
      </c>
      <c r="Q3352">
        <v>0</v>
      </c>
      <c r="S3352" t="str">
        <f t="shared" si="1225"/>
        <v>19:34:30.000</v>
      </c>
      <c r="T3352" t="str">
        <f t="shared" si="1225"/>
        <v>19:34:30.000</v>
      </c>
      <c r="U3352" t="str">
        <f t="shared" si="1213"/>
        <v>AC3944</v>
      </c>
      <c r="V3352">
        <v>0</v>
      </c>
      <c r="W3352">
        <v>0</v>
      </c>
      <c r="X3352">
        <v>2</v>
      </c>
      <c r="Y3352">
        <v>0</v>
      </c>
      <c r="AA3352">
        <v>1</v>
      </c>
      <c r="AB3352">
        <v>8</v>
      </c>
      <c r="AC3352">
        <v>3</v>
      </c>
      <c r="AD3352">
        <v>0</v>
      </c>
      <c r="AE3352">
        <v>9</v>
      </c>
      <c r="AF3352" t="s">
        <v>138</v>
      </c>
      <c r="AG3352">
        <v>0</v>
      </c>
      <c r="AH3352">
        <v>3</v>
      </c>
      <c r="AI3352">
        <v>1</v>
      </c>
      <c r="AJ3352">
        <v>0</v>
      </c>
      <c r="AK3352" t="s">
        <v>1101</v>
      </c>
      <c r="AL3352">
        <v>32.726253999999997</v>
      </c>
      <c r="AM3352" t="s">
        <v>1102</v>
      </c>
      <c r="AN3352">
        <v>-116.75160200000001</v>
      </c>
      <c r="AO3352">
        <v>25</v>
      </c>
      <c r="AP3352">
        <v>3900</v>
      </c>
      <c r="AQ3352" t="s">
        <v>129</v>
      </c>
      <c r="AR3352">
        <v>79</v>
      </c>
      <c r="AS3352">
        <v>95</v>
      </c>
      <c r="AT3352">
        <v>1280</v>
      </c>
      <c r="BB3352">
        <v>1200</v>
      </c>
      <c r="BC3352">
        <v>1</v>
      </c>
      <c r="BD3352" t="str">
        <f t="shared" si="1214"/>
        <v xml:space="preserve">N887QR  </v>
      </c>
      <c r="BE3352">
        <v>1</v>
      </c>
      <c r="BG3352">
        <v>0</v>
      </c>
      <c r="BH3352">
        <v>0</v>
      </c>
      <c r="BI3352">
        <v>0</v>
      </c>
      <c r="BJ3352">
        <v>3625</v>
      </c>
      <c r="BK3352">
        <v>-275</v>
      </c>
      <c r="BL3352" t="s">
        <v>163</v>
      </c>
      <c r="BM3352">
        <v>1</v>
      </c>
      <c r="BN3352">
        <v>1</v>
      </c>
      <c r="BO3352">
        <v>1</v>
      </c>
      <c r="BP3352">
        <v>0</v>
      </c>
      <c r="BS3352">
        <v>0</v>
      </c>
      <c r="BT3352">
        <v>0</v>
      </c>
      <c r="BU3352">
        <v>0</v>
      </c>
      <c r="CE3352" t="str">
        <f t="shared" si="1226"/>
        <v>19:34:30.136</v>
      </c>
      <c r="CF3352">
        <v>135695284</v>
      </c>
      <c r="CS3352">
        <v>0</v>
      </c>
      <c r="CT3352">
        <v>2</v>
      </c>
      <c r="CU3352">
        <v>0</v>
      </c>
      <c r="CV3352">
        <v>2</v>
      </c>
      <c r="CW3352">
        <v>1</v>
      </c>
      <c r="CX3352">
        <v>6</v>
      </c>
      <c r="CY3352">
        <v>7</v>
      </c>
      <c r="CZ3352" t="s">
        <v>131</v>
      </c>
      <c r="DA3352">
        <v>300</v>
      </c>
      <c r="DB3352">
        <v>0</v>
      </c>
      <c r="DC3352" t="s">
        <v>176</v>
      </c>
      <c r="DD3352" t="s">
        <v>177</v>
      </c>
      <c r="DG3352">
        <v>5435897</v>
      </c>
      <c r="DI3352">
        <v>1</v>
      </c>
      <c r="DJ3352">
        <v>0</v>
      </c>
      <c r="DK3352">
        <v>1</v>
      </c>
      <c r="DL3352">
        <v>0</v>
      </c>
      <c r="DM3352">
        <v>0</v>
      </c>
      <c r="DN3352">
        <v>1</v>
      </c>
      <c r="DO3352">
        <v>0</v>
      </c>
      <c r="DP3352">
        <v>0</v>
      </c>
      <c r="DQ3352">
        <v>0</v>
      </c>
      <c r="DR3352">
        <v>0</v>
      </c>
      <c r="DS3352">
        <v>0</v>
      </c>
    </row>
    <row r="3353" spans="1:123" x14ac:dyDescent="0.3">
      <c r="A3353" t="str">
        <f t="shared" si="1224"/>
        <v>10/04/2022 19:34:30.480</v>
      </c>
      <c r="C3353" t="str">
        <f t="shared" si="1202"/>
        <v>FFDFD3C0</v>
      </c>
      <c r="D3353" t="s">
        <v>134</v>
      </c>
      <c r="E3353">
        <v>15</v>
      </c>
      <c r="J3353" t="s">
        <v>135</v>
      </c>
      <c r="K3353">
        <v>0</v>
      </c>
      <c r="L3353">
        <v>3</v>
      </c>
      <c r="M3353">
        <v>0</v>
      </c>
      <c r="N3353">
        <v>2</v>
      </c>
      <c r="O3353">
        <v>0</v>
      </c>
      <c r="P3353">
        <v>1</v>
      </c>
      <c r="Q3353">
        <v>0</v>
      </c>
      <c r="S3353" t="str">
        <f t="shared" si="1225"/>
        <v>19:34:30.000</v>
      </c>
      <c r="T3353" t="str">
        <f t="shared" si="1225"/>
        <v>19:34:30.000</v>
      </c>
      <c r="U3353" t="str">
        <f t="shared" si="1213"/>
        <v>AC3944</v>
      </c>
      <c r="V3353">
        <v>0</v>
      </c>
      <c r="W3353">
        <v>0</v>
      </c>
      <c r="X3353">
        <v>2</v>
      </c>
      <c r="Y3353">
        <v>0</v>
      </c>
      <c r="AA3353">
        <v>1</v>
      </c>
      <c r="AB3353">
        <v>8</v>
      </c>
      <c r="AC3353">
        <v>3</v>
      </c>
      <c r="AD3353">
        <v>0</v>
      </c>
      <c r="AE3353">
        <v>9</v>
      </c>
      <c r="AF3353" t="s">
        <v>138</v>
      </c>
      <c r="AG3353">
        <v>0</v>
      </c>
      <c r="AH3353">
        <v>3</v>
      </c>
      <c r="AI3353">
        <v>1</v>
      </c>
      <c r="AJ3353">
        <v>0</v>
      </c>
      <c r="AK3353" t="s">
        <v>1101</v>
      </c>
      <c r="AL3353">
        <v>32.726253999999997</v>
      </c>
      <c r="AM3353" t="s">
        <v>1102</v>
      </c>
      <c r="AN3353">
        <v>-116.75160200000001</v>
      </c>
      <c r="AO3353">
        <v>25</v>
      </c>
      <c r="AP3353">
        <v>3900</v>
      </c>
      <c r="AQ3353" t="s">
        <v>129</v>
      </c>
      <c r="AR3353">
        <v>79</v>
      </c>
      <c r="AS3353">
        <v>95</v>
      </c>
      <c r="AT3353">
        <v>1280</v>
      </c>
      <c r="BB3353">
        <v>1200</v>
      </c>
      <c r="BC3353">
        <v>1</v>
      </c>
      <c r="BD3353" t="str">
        <f t="shared" si="1214"/>
        <v xml:space="preserve">N887QR  </v>
      </c>
      <c r="BE3353">
        <v>1</v>
      </c>
      <c r="BG3353">
        <v>0</v>
      </c>
      <c r="BH3353">
        <v>0</v>
      </c>
      <c r="BI3353">
        <v>0</v>
      </c>
      <c r="BJ3353">
        <v>3625</v>
      </c>
      <c r="BK3353">
        <v>-275</v>
      </c>
      <c r="BL3353" t="s">
        <v>163</v>
      </c>
      <c r="BM3353">
        <v>1</v>
      </c>
      <c r="BN3353">
        <v>1</v>
      </c>
      <c r="BO3353">
        <v>1</v>
      </c>
      <c r="BP3353">
        <v>0</v>
      </c>
      <c r="BS3353">
        <v>0</v>
      </c>
      <c r="BT3353">
        <v>0</v>
      </c>
      <c r="BU3353">
        <v>0</v>
      </c>
      <c r="CE3353" t="str">
        <f t="shared" si="1226"/>
        <v>19:34:30.136</v>
      </c>
      <c r="CF3353">
        <v>135695284</v>
      </c>
      <c r="CS3353">
        <v>0</v>
      </c>
      <c r="CT3353">
        <v>2</v>
      </c>
      <c r="CU3353">
        <v>0</v>
      </c>
      <c r="CV3353">
        <v>2</v>
      </c>
      <c r="CW3353">
        <v>1</v>
      </c>
      <c r="CX3353">
        <v>6</v>
      </c>
      <c r="CY3353">
        <v>7</v>
      </c>
      <c r="CZ3353" t="s">
        <v>131</v>
      </c>
      <c r="DA3353">
        <v>300</v>
      </c>
      <c r="DB3353">
        <v>0</v>
      </c>
      <c r="DC3353" t="s">
        <v>176</v>
      </c>
      <c r="DD3353" t="s">
        <v>177</v>
      </c>
      <c r="DG3353">
        <v>5435897</v>
      </c>
      <c r="DI3353">
        <v>1</v>
      </c>
      <c r="DJ3353">
        <v>0</v>
      </c>
      <c r="DK3353">
        <v>1</v>
      </c>
      <c r="DL3353">
        <v>0</v>
      </c>
      <c r="DM3353">
        <v>0</v>
      </c>
      <c r="DN3353">
        <v>1</v>
      </c>
      <c r="DO3353">
        <v>0</v>
      </c>
      <c r="DP3353">
        <v>0</v>
      </c>
      <c r="DQ3353">
        <v>0</v>
      </c>
      <c r="DR3353">
        <v>0</v>
      </c>
      <c r="DS3353">
        <v>0</v>
      </c>
    </row>
    <row r="3354" spans="1:123" x14ac:dyDescent="0.3">
      <c r="A3354" t="str">
        <f t="shared" si="1224"/>
        <v>10/04/2022 19:34:30.480</v>
      </c>
      <c r="C3354" t="str">
        <f t="shared" si="1202"/>
        <v>FFDFD3C0</v>
      </c>
      <c r="D3354" t="s">
        <v>141</v>
      </c>
      <c r="E3354">
        <v>3</v>
      </c>
      <c r="H3354">
        <v>3</v>
      </c>
      <c r="I3354" t="s">
        <v>146</v>
      </c>
      <c r="J3354" t="s">
        <v>138</v>
      </c>
      <c r="K3354">
        <v>0</v>
      </c>
      <c r="L3354">
        <v>3</v>
      </c>
      <c r="M3354">
        <v>0</v>
      </c>
      <c r="N3354">
        <v>2</v>
      </c>
      <c r="O3354">
        <v>0</v>
      </c>
      <c r="P3354">
        <v>1</v>
      </c>
      <c r="Q3354">
        <v>0</v>
      </c>
      <c r="S3354" t="str">
        <f t="shared" si="1225"/>
        <v>19:34:30.000</v>
      </c>
      <c r="T3354" t="str">
        <f t="shared" si="1225"/>
        <v>19:34:30.000</v>
      </c>
      <c r="U3354" t="str">
        <f t="shared" si="1213"/>
        <v>AC3944</v>
      </c>
      <c r="V3354">
        <v>0</v>
      </c>
      <c r="W3354">
        <v>0</v>
      </c>
      <c r="X3354">
        <v>2</v>
      </c>
      <c r="Y3354">
        <v>0</v>
      </c>
      <c r="AA3354">
        <v>1</v>
      </c>
      <c r="AB3354">
        <v>8</v>
      </c>
      <c r="AC3354">
        <v>3</v>
      </c>
      <c r="AD3354">
        <v>0</v>
      </c>
      <c r="AE3354">
        <v>9</v>
      </c>
      <c r="AF3354" t="s">
        <v>138</v>
      </c>
      <c r="AG3354">
        <v>0</v>
      </c>
      <c r="AH3354">
        <v>3</v>
      </c>
      <c r="AI3354">
        <v>1</v>
      </c>
      <c r="AJ3354">
        <v>0</v>
      </c>
      <c r="AK3354" t="s">
        <v>1101</v>
      </c>
      <c r="AL3354">
        <v>32.726253999999997</v>
      </c>
      <c r="AM3354" t="s">
        <v>1102</v>
      </c>
      <c r="AN3354">
        <v>-116.75160200000001</v>
      </c>
      <c r="AO3354">
        <v>25</v>
      </c>
      <c r="AP3354">
        <v>3900</v>
      </c>
      <c r="AQ3354" t="s">
        <v>129</v>
      </c>
      <c r="AR3354">
        <v>79</v>
      </c>
      <c r="AS3354">
        <v>95</v>
      </c>
      <c r="AT3354">
        <v>1280</v>
      </c>
      <c r="BB3354">
        <v>1200</v>
      </c>
      <c r="BC3354">
        <v>1</v>
      </c>
      <c r="BD3354" t="str">
        <f t="shared" si="1214"/>
        <v xml:space="preserve">N887QR  </v>
      </c>
      <c r="BE3354">
        <v>1</v>
      </c>
      <c r="BG3354">
        <v>0</v>
      </c>
      <c r="BH3354">
        <v>0</v>
      </c>
      <c r="BI3354">
        <v>0</v>
      </c>
      <c r="BJ3354">
        <v>3625</v>
      </c>
      <c r="BK3354">
        <v>-275</v>
      </c>
      <c r="BL3354" t="s">
        <v>163</v>
      </c>
      <c r="BM3354">
        <v>1</v>
      </c>
      <c r="BN3354">
        <v>1</v>
      </c>
      <c r="BO3354">
        <v>1</v>
      </c>
      <c r="BP3354">
        <v>0</v>
      </c>
      <c r="BS3354">
        <v>0</v>
      </c>
      <c r="BT3354">
        <v>0</v>
      </c>
      <c r="BU3354">
        <v>0</v>
      </c>
      <c r="CE3354" t="str">
        <f t="shared" si="1226"/>
        <v>19:34:30.136</v>
      </c>
      <c r="CF3354">
        <v>135695284</v>
      </c>
      <c r="CS3354">
        <v>0</v>
      </c>
      <c r="CT3354">
        <v>2</v>
      </c>
      <c r="CU3354">
        <v>0</v>
      </c>
      <c r="CV3354">
        <v>2</v>
      </c>
      <c r="CW3354">
        <v>1</v>
      </c>
      <c r="CX3354">
        <v>6</v>
      </c>
      <c r="CY3354">
        <v>7</v>
      </c>
      <c r="CZ3354" t="s">
        <v>131</v>
      </c>
      <c r="DA3354">
        <v>300</v>
      </c>
      <c r="DB3354">
        <v>0</v>
      </c>
      <c r="DC3354" t="s">
        <v>176</v>
      </c>
      <c r="DD3354" t="s">
        <v>177</v>
      </c>
      <c r="DG3354">
        <v>5435897</v>
      </c>
      <c r="DI3354">
        <v>1</v>
      </c>
      <c r="DJ3354">
        <v>0</v>
      </c>
      <c r="DK3354">
        <v>1</v>
      </c>
      <c r="DL3354">
        <v>0</v>
      </c>
      <c r="DM3354">
        <v>0</v>
      </c>
      <c r="DN3354">
        <v>1</v>
      </c>
      <c r="DO3354">
        <v>0</v>
      </c>
      <c r="DP3354">
        <v>0</v>
      </c>
      <c r="DQ3354">
        <v>0</v>
      </c>
      <c r="DR3354">
        <v>0</v>
      </c>
      <c r="DS3354">
        <v>0</v>
      </c>
    </row>
    <row r="3355" spans="1:123" x14ac:dyDescent="0.3">
      <c r="A3355" t="str">
        <f t="shared" si="1224"/>
        <v>10/04/2022 19:34:30.480</v>
      </c>
      <c r="C3355" t="str">
        <f t="shared" si="1202"/>
        <v>FFDFD3C0</v>
      </c>
      <c r="D3355" t="s">
        <v>141</v>
      </c>
      <c r="E3355">
        <v>4</v>
      </c>
      <c r="H3355">
        <v>4</v>
      </c>
      <c r="I3355" t="s">
        <v>142</v>
      </c>
      <c r="J3355" t="s">
        <v>138</v>
      </c>
      <c r="K3355">
        <v>0</v>
      </c>
      <c r="L3355">
        <v>3</v>
      </c>
      <c r="M3355">
        <v>0</v>
      </c>
      <c r="N3355">
        <v>2</v>
      </c>
      <c r="O3355">
        <v>0</v>
      </c>
      <c r="P3355">
        <v>1</v>
      </c>
      <c r="Q3355">
        <v>0</v>
      </c>
      <c r="S3355" t="str">
        <f t="shared" si="1225"/>
        <v>19:34:30.000</v>
      </c>
      <c r="T3355" t="str">
        <f t="shared" si="1225"/>
        <v>19:34:30.000</v>
      </c>
      <c r="U3355" t="str">
        <f t="shared" si="1213"/>
        <v>AC3944</v>
      </c>
      <c r="V3355">
        <v>0</v>
      </c>
      <c r="W3355">
        <v>0</v>
      </c>
      <c r="X3355">
        <v>2</v>
      </c>
      <c r="Y3355">
        <v>0</v>
      </c>
      <c r="AA3355">
        <v>1</v>
      </c>
      <c r="AB3355">
        <v>8</v>
      </c>
      <c r="AC3355">
        <v>3</v>
      </c>
      <c r="AD3355">
        <v>0</v>
      </c>
      <c r="AE3355">
        <v>9</v>
      </c>
      <c r="AF3355" t="s">
        <v>138</v>
      </c>
      <c r="AG3355">
        <v>0</v>
      </c>
      <c r="AH3355">
        <v>3</v>
      </c>
      <c r="AI3355">
        <v>1</v>
      </c>
      <c r="AJ3355">
        <v>0</v>
      </c>
      <c r="AK3355" t="s">
        <v>1101</v>
      </c>
      <c r="AL3355">
        <v>32.726253999999997</v>
      </c>
      <c r="AM3355" t="s">
        <v>1102</v>
      </c>
      <c r="AN3355">
        <v>-116.75160200000001</v>
      </c>
      <c r="AO3355">
        <v>25</v>
      </c>
      <c r="AP3355">
        <v>3900</v>
      </c>
      <c r="AQ3355" t="s">
        <v>129</v>
      </c>
      <c r="AR3355">
        <v>79</v>
      </c>
      <c r="AS3355">
        <v>95</v>
      </c>
      <c r="AT3355">
        <v>1280</v>
      </c>
      <c r="BB3355">
        <v>1200</v>
      </c>
      <c r="BC3355">
        <v>1</v>
      </c>
      <c r="BD3355" t="str">
        <f t="shared" si="1214"/>
        <v xml:space="preserve">N887QR  </v>
      </c>
      <c r="BE3355">
        <v>1</v>
      </c>
      <c r="BG3355">
        <v>0</v>
      </c>
      <c r="BH3355">
        <v>0</v>
      </c>
      <c r="BI3355">
        <v>0</v>
      </c>
      <c r="BJ3355">
        <v>3625</v>
      </c>
      <c r="BK3355">
        <v>-275</v>
      </c>
      <c r="BL3355" t="s">
        <v>163</v>
      </c>
      <c r="BM3355">
        <v>1</v>
      </c>
      <c r="BN3355">
        <v>1</v>
      </c>
      <c r="BO3355">
        <v>1</v>
      </c>
      <c r="BP3355">
        <v>0</v>
      </c>
      <c r="BS3355">
        <v>0</v>
      </c>
      <c r="BT3355">
        <v>0</v>
      </c>
      <c r="BU3355">
        <v>0</v>
      </c>
      <c r="CE3355" t="str">
        <f t="shared" si="1226"/>
        <v>19:34:30.136</v>
      </c>
      <c r="CF3355">
        <v>135695284</v>
      </c>
      <c r="CS3355">
        <v>0</v>
      </c>
      <c r="CT3355">
        <v>2</v>
      </c>
      <c r="CU3355">
        <v>0</v>
      </c>
      <c r="CV3355">
        <v>2</v>
      </c>
      <c r="CW3355">
        <v>1</v>
      </c>
      <c r="CX3355">
        <v>6</v>
      </c>
      <c r="CY3355">
        <v>7</v>
      </c>
      <c r="CZ3355" t="s">
        <v>131</v>
      </c>
      <c r="DA3355">
        <v>300</v>
      </c>
      <c r="DB3355">
        <v>0</v>
      </c>
      <c r="DC3355" t="s">
        <v>176</v>
      </c>
      <c r="DD3355" t="s">
        <v>177</v>
      </c>
      <c r="DG3355">
        <v>5435897</v>
      </c>
      <c r="DI3355">
        <v>1</v>
      </c>
      <c r="DJ3355">
        <v>0</v>
      </c>
      <c r="DK3355">
        <v>1</v>
      </c>
      <c r="DL3355">
        <v>0</v>
      </c>
      <c r="DM3355">
        <v>0</v>
      </c>
      <c r="DN3355">
        <v>1</v>
      </c>
      <c r="DO3355">
        <v>0</v>
      </c>
      <c r="DP3355">
        <v>0</v>
      </c>
      <c r="DQ3355">
        <v>0</v>
      </c>
      <c r="DR3355">
        <v>0</v>
      </c>
      <c r="DS3355">
        <v>0</v>
      </c>
    </row>
    <row r="3356" spans="1:123" x14ac:dyDescent="0.3">
      <c r="A3356" t="str">
        <f t="shared" si="1224"/>
        <v>10/04/2022 19:34:30.480</v>
      </c>
      <c r="C3356" t="str">
        <f t="shared" si="1202"/>
        <v>FFDFD3C0</v>
      </c>
      <c r="D3356" t="s">
        <v>136</v>
      </c>
      <c r="E3356">
        <v>8</v>
      </c>
      <c r="H3356">
        <v>225</v>
      </c>
      <c r="I3356" t="s">
        <v>137</v>
      </c>
      <c r="J3356" t="s">
        <v>138</v>
      </c>
      <c r="K3356">
        <v>0</v>
      </c>
      <c r="L3356">
        <v>3</v>
      </c>
      <c r="M3356">
        <v>0</v>
      </c>
      <c r="N3356">
        <v>2</v>
      </c>
      <c r="O3356">
        <v>0</v>
      </c>
      <c r="P3356">
        <v>1</v>
      </c>
      <c r="Q3356">
        <v>0</v>
      </c>
      <c r="S3356" t="str">
        <f t="shared" si="1225"/>
        <v>19:34:30.000</v>
      </c>
      <c r="T3356" t="str">
        <f t="shared" si="1225"/>
        <v>19:34:30.000</v>
      </c>
      <c r="U3356" t="str">
        <f t="shared" si="1213"/>
        <v>AC3944</v>
      </c>
      <c r="V3356">
        <v>0</v>
      </c>
      <c r="W3356">
        <v>0</v>
      </c>
      <c r="X3356">
        <v>2</v>
      </c>
      <c r="Y3356">
        <v>0</v>
      </c>
      <c r="AA3356">
        <v>1</v>
      </c>
      <c r="AB3356">
        <v>8</v>
      </c>
      <c r="AC3356">
        <v>3</v>
      </c>
      <c r="AD3356">
        <v>0</v>
      </c>
      <c r="AE3356">
        <v>9</v>
      </c>
      <c r="AF3356" t="s">
        <v>138</v>
      </c>
      <c r="AG3356">
        <v>0</v>
      </c>
      <c r="AH3356">
        <v>3</v>
      </c>
      <c r="AI3356">
        <v>1</v>
      </c>
      <c r="AJ3356">
        <v>0</v>
      </c>
      <c r="AK3356" t="s">
        <v>1101</v>
      </c>
      <c r="AL3356">
        <v>32.726253999999997</v>
      </c>
      <c r="AM3356" t="s">
        <v>1102</v>
      </c>
      <c r="AN3356">
        <v>-116.75160200000001</v>
      </c>
      <c r="AO3356">
        <v>25</v>
      </c>
      <c r="AP3356">
        <v>3900</v>
      </c>
      <c r="AQ3356" t="s">
        <v>129</v>
      </c>
      <c r="AR3356">
        <v>79</v>
      </c>
      <c r="AS3356">
        <v>95</v>
      </c>
      <c r="AT3356">
        <v>1280</v>
      </c>
      <c r="BB3356">
        <v>1200</v>
      </c>
      <c r="BC3356">
        <v>1</v>
      </c>
      <c r="BD3356" t="str">
        <f t="shared" si="1214"/>
        <v xml:space="preserve">N887QR  </v>
      </c>
      <c r="BE3356">
        <v>1</v>
      </c>
      <c r="BG3356">
        <v>0</v>
      </c>
      <c r="BH3356">
        <v>0</v>
      </c>
      <c r="BI3356">
        <v>0</v>
      </c>
      <c r="BJ3356">
        <v>3625</v>
      </c>
      <c r="BK3356">
        <v>-275</v>
      </c>
      <c r="BL3356" t="s">
        <v>163</v>
      </c>
      <c r="BM3356">
        <v>1</v>
      </c>
      <c r="BN3356">
        <v>1</v>
      </c>
      <c r="BO3356">
        <v>1</v>
      </c>
      <c r="BP3356">
        <v>0</v>
      </c>
      <c r="BS3356">
        <v>0</v>
      </c>
      <c r="BT3356">
        <v>0</v>
      </c>
      <c r="BU3356">
        <v>0</v>
      </c>
      <c r="CE3356" t="str">
        <f t="shared" si="1226"/>
        <v>19:34:30.136</v>
      </c>
      <c r="CF3356">
        <v>135695284</v>
      </c>
      <c r="CS3356">
        <v>0</v>
      </c>
      <c r="CT3356">
        <v>2</v>
      </c>
      <c r="CU3356">
        <v>0</v>
      </c>
      <c r="CV3356">
        <v>2</v>
      </c>
      <c r="CW3356">
        <v>1</v>
      </c>
      <c r="CX3356">
        <v>6</v>
      </c>
      <c r="CY3356">
        <v>7</v>
      </c>
      <c r="CZ3356" t="s">
        <v>131</v>
      </c>
      <c r="DA3356">
        <v>300</v>
      </c>
      <c r="DB3356">
        <v>0</v>
      </c>
      <c r="DC3356" t="s">
        <v>176</v>
      </c>
      <c r="DD3356" t="s">
        <v>177</v>
      </c>
      <c r="DG3356">
        <v>5435897</v>
      </c>
      <c r="DI3356">
        <v>1</v>
      </c>
      <c r="DJ3356">
        <v>0</v>
      </c>
      <c r="DK3356">
        <v>1</v>
      </c>
      <c r="DL3356">
        <v>0</v>
      </c>
      <c r="DM3356">
        <v>0</v>
      </c>
      <c r="DN3356">
        <v>1</v>
      </c>
      <c r="DO3356">
        <v>0</v>
      </c>
      <c r="DP3356">
        <v>0</v>
      </c>
      <c r="DQ3356">
        <v>0</v>
      </c>
      <c r="DR3356">
        <v>0</v>
      </c>
      <c r="DS3356">
        <v>0</v>
      </c>
    </row>
    <row r="3357" spans="1:123" x14ac:dyDescent="0.3">
      <c r="A3357" t="str">
        <f>"10/04/2022 19:34:31.073"</f>
        <v>10/04/2022 19:34:31.073</v>
      </c>
      <c r="C3357" t="str">
        <f t="shared" si="1202"/>
        <v>FFDFD3C0</v>
      </c>
      <c r="D3357" t="s">
        <v>123</v>
      </c>
      <c r="E3357">
        <v>7</v>
      </c>
      <c r="F3357">
        <v>2007</v>
      </c>
      <c r="G3357" t="s">
        <v>124</v>
      </c>
      <c r="J3357" t="s">
        <v>125</v>
      </c>
      <c r="K3357">
        <v>0</v>
      </c>
      <c r="L3357">
        <v>3</v>
      </c>
      <c r="M3357">
        <v>0</v>
      </c>
      <c r="N3357">
        <v>2</v>
      </c>
      <c r="O3357">
        <v>0</v>
      </c>
      <c r="P3357">
        <v>1</v>
      </c>
      <c r="Q3357">
        <v>0</v>
      </c>
      <c r="S3357" t="str">
        <f t="shared" si="1225"/>
        <v>19:34:30.000</v>
      </c>
      <c r="T3357" t="str">
        <f t="shared" si="1225"/>
        <v>19:34:30.000</v>
      </c>
      <c r="U3357" t="str">
        <f t="shared" si="1213"/>
        <v>AC3944</v>
      </c>
      <c r="V3357">
        <v>0</v>
      </c>
      <c r="W3357">
        <v>0</v>
      </c>
      <c r="X3357">
        <v>2</v>
      </c>
      <c r="Y3357">
        <v>0</v>
      </c>
      <c r="AA3357">
        <v>1</v>
      </c>
      <c r="AB3357">
        <v>8</v>
      </c>
      <c r="AC3357">
        <v>3</v>
      </c>
      <c r="AD3357">
        <v>0</v>
      </c>
      <c r="AE3357">
        <v>9</v>
      </c>
      <c r="AF3357" t="s">
        <v>138</v>
      </c>
      <c r="AG3357">
        <v>0</v>
      </c>
      <c r="AH3357">
        <v>3</v>
      </c>
      <c r="AI3357">
        <v>1</v>
      </c>
      <c r="AJ3357">
        <v>0</v>
      </c>
      <c r="AK3357" t="s">
        <v>1103</v>
      </c>
      <c r="AL3357">
        <v>32.726705000000003</v>
      </c>
      <c r="AM3357" t="s">
        <v>1104</v>
      </c>
      <c r="AN3357">
        <v>-116.75117299999999</v>
      </c>
      <c r="AO3357">
        <v>25</v>
      </c>
      <c r="AP3357">
        <v>3900</v>
      </c>
      <c r="AQ3357" t="s">
        <v>129</v>
      </c>
      <c r="AR3357">
        <v>82</v>
      </c>
      <c r="AS3357">
        <v>92</v>
      </c>
      <c r="AT3357">
        <v>1280</v>
      </c>
      <c r="BB3357">
        <v>1200</v>
      </c>
      <c r="BC3357">
        <v>1</v>
      </c>
      <c r="BD3357" t="str">
        <f t="shared" si="1214"/>
        <v xml:space="preserve">N887QR  </v>
      </c>
      <c r="BE3357">
        <v>1</v>
      </c>
      <c r="BG3357">
        <v>0</v>
      </c>
      <c r="BH3357">
        <v>0</v>
      </c>
      <c r="BI3357">
        <v>0</v>
      </c>
      <c r="BJ3357">
        <v>3675</v>
      </c>
      <c r="BK3357">
        <v>-225</v>
      </c>
      <c r="BL3357" t="s">
        <v>163</v>
      </c>
      <c r="BM3357">
        <v>1</v>
      </c>
      <c r="BN3357">
        <v>1</v>
      </c>
      <c r="BO3357">
        <v>1</v>
      </c>
      <c r="BP3357">
        <v>0</v>
      </c>
      <c r="BS3357">
        <v>0.04</v>
      </c>
      <c r="BT3357">
        <v>0</v>
      </c>
      <c r="BU3357">
        <v>0</v>
      </c>
      <c r="CE3357" t="str">
        <f t="shared" ref="CE3357:CE3363" si="1227">"19:34:30.901"</f>
        <v>19:34:30.901</v>
      </c>
      <c r="CF3357">
        <v>901447688</v>
      </c>
      <c r="CS3357">
        <v>0</v>
      </c>
      <c r="CT3357">
        <v>2</v>
      </c>
      <c r="CU3357">
        <v>0</v>
      </c>
      <c r="CV3357">
        <v>2</v>
      </c>
      <c r="CW3357">
        <v>1</v>
      </c>
      <c r="CX3357">
        <v>6</v>
      </c>
      <c r="CY3357">
        <v>7</v>
      </c>
      <c r="CZ3357" t="s">
        <v>131</v>
      </c>
      <c r="DA3357">
        <v>300</v>
      </c>
      <c r="DB3357">
        <v>0</v>
      </c>
      <c r="DC3357" t="s">
        <v>176</v>
      </c>
      <c r="DD3357" t="s">
        <v>177</v>
      </c>
      <c r="DG3357">
        <v>5436025</v>
      </c>
      <c r="DI3357">
        <v>1</v>
      </c>
      <c r="DJ3357">
        <v>0</v>
      </c>
      <c r="DK3357">
        <v>0</v>
      </c>
      <c r="DL3357">
        <v>0</v>
      </c>
      <c r="DM3357">
        <v>0</v>
      </c>
      <c r="DN3357">
        <v>1</v>
      </c>
      <c r="DO3357">
        <v>0</v>
      </c>
      <c r="DP3357">
        <v>0</v>
      </c>
      <c r="DQ3357">
        <v>0</v>
      </c>
      <c r="DR3357">
        <v>0</v>
      </c>
      <c r="DS3357">
        <v>0</v>
      </c>
    </row>
    <row r="3358" spans="1:123" x14ac:dyDescent="0.3">
      <c r="A3358" t="str">
        <f>"10/04/2022 19:34:31.073"</f>
        <v>10/04/2022 19:34:31.073</v>
      </c>
      <c r="C3358" t="str">
        <f t="shared" si="1202"/>
        <v>FFDFD3C0</v>
      </c>
      <c r="D3358" t="s">
        <v>134</v>
      </c>
      <c r="E3358">
        <v>15</v>
      </c>
      <c r="J3358" t="s">
        <v>135</v>
      </c>
      <c r="K3358">
        <v>0</v>
      </c>
      <c r="L3358">
        <v>3</v>
      </c>
      <c r="M3358">
        <v>0</v>
      </c>
      <c r="N3358">
        <v>2</v>
      </c>
      <c r="O3358">
        <v>0</v>
      </c>
      <c r="P3358">
        <v>1</v>
      </c>
      <c r="Q3358">
        <v>0</v>
      </c>
      <c r="S3358" t="str">
        <f t="shared" si="1225"/>
        <v>19:34:30.000</v>
      </c>
      <c r="T3358" t="str">
        <f t="shared" si="1225"/>
        <v>19:34:30.000</v>
      </c>
      <c r="U3358" t="str">
        <f t="shared" si="1213"/>
        <v>AC3944</v>
      </c>
      <c r="V3358">
        <v>0</v>
      </c>
      <c r="W3358">
        <v>0</v>
      </c>
      <c r="X3358">
        <v>2</v>
      </c>
      <c r="Y3358">
        <v>0</v>
      </c>
      <c r="AA3358">
        <v>1</v>
      </c>
      <c r="AB3358">
        <v>8</v>
      </c>
      <c r="AC3358">
        <v>3</v>
      </c>
      <c r="AD3358">
        <v>0</v>
      </c>
      <c r="AE3358">
        <v>9</v>
      </c>
      <c r="AF3358" t="s">
        <v>138</v>
      </c>
      <c r="AG3358">
        <v>0</v>
      </c>
      <c r="AH3358">
        <v>3</v>
      </c>
      <c r="AI3358">
        <v>1</v>
      </c>
      <c r="AJ3358">
        <v>0</v>
      </c>
      <c r="AK3358" t="s">
        <v>1103</v>
      </c>
      <c r="AL3358">
        <v>32.726705000000003</v>
      </c>
      <c r="AM3358" t="s">
        <v>1104</v>
      </c>
      <c r="AN3358">
        <v>-116.75117299999999</v>
      </c>
      <c r="AO3358">
        <v>25</v>
      </c>
      <c r="AP3358">
        <v>3900</v>
      </c>
      <c r="AQ3358" t="s">
        <v>129</v>
      </c>
      <c r="AR3358">
        <v>82</v>
      </c>
      <c r="AS3358">
        <v>92</v>
      </c>
      <c r="AT3358">
        <v>1280</v>
      </c>
      <c r="BB3358">
        <v>1200</v>
      </c>
      <c r="BC3358">
        <v>1</v>
      </c>
      <c r="BD3358" t="str">
        <f t="shared" si="1214"/>
        <v xml:space="preserve">N887QR  </v>
      </c>
      <c r="BE3358">
        <v>1</v>
      </c>
      <c r="BG3358">
        <v>0</v>
      </c>
      <c r="BH3358">
        <v>0</v>
      </c>
      <c r="BI3358">
        <v>0</v>
      </c>
      <c r="BJ3358">
        <v>3675</v>
      </c>
      <c r="BK3358">
        <v>-225</v>
      </c>
      <c r="BL3358" t="s">
        <v>163</v>
      </c>
      <c r="BM3358">
        <v>1</v>
      </c>
      <c r="BN3358">
        <v>1</v>
      </c>
      <c r="BO3358">
        <v>1</v>
      </c>
      <c r="BP3358">
        <v>0</v>
      </c>
      <c r="BS3358">
        <v>0.04</v>
      </c>
      <c r="BT3358">
        <v>0</v>
      </c>
      <c r="BU3358">
        <v>0</v>
      </c>
      <c r="CE3358" t="str">
        <f t="shared" si="1227"/>
        <v>19:34:30.901</v>
      </c>
      <c r="CF3358">
        <v>901447688</v>
      </c>
      <c r="CS3358">
        <v>0</v>
      </c>
      <c r="CT3358">
        <v>2</v>
      </c>
      <c r="CU3358">
        <v>0</v>
      </c>
      <c r="CV3358">
        <v>2</v>
      </c>
      <c r="CW3358">
        <v>1</v>
      </c>
      <c r="CX3358">
        <v>6</v>
      </c>
      <c r="CY3358">
        <v>7</v>
      </c>
      <c r="CZ3358" t="s">
        <v>131</v>
      </c>
      <c r="DA3358">
        <v>300</v>
      </c>
      <c r="DB3358">
        <v>0</v>
      </c>
      <c r="DC3358" t="s">
        <v>176</v>
      </c>
      <c r="DD3358" t="s">
        <v>177</v>
      </c>
      <c r="DG3358">
        <v>5436025</v>
      </c>
      <c r="DI3358">
        <v>1</v>
      </c>
      <c r="DJ3358">
        <v>0</v>
      </c>
      <c r="DK3358">
        <v>1</v>
      </c>
      <c r="DL3358">
        <v>0</v>
      </c>
      <c r="DM3358">
        <v>0</v>
      </c>
      <c r="DN3358">
        <v>1</v>
      </c>
      <c r="DO3358">
        <v>0</v>
      </c>
      <c r="DP3358">
        <v>0</v>
      </c>
      <c r="DQ3358">
        <v>0</v>
      </c>
      <c r="DR3358">
        <v>0</v>
      </c>
      <c r="DS3358">
        <v>0</v>
      </c>
    </row>
    <row r="3359" spans="1:123" x14ac:dyDescent="0.3">
      <c r="A3359" t="str">
        <f>"10/04/2022 19:34:31.073"</f>
        <v>10/04/2022 19:34:31.073</v>
      </c>
      <c r="C3359" t="str">
        <f t="shared" si="1202"/>
        <v>FFDFD3C0</v>
      </c>
      <c r="D3359" t="s">
        <v>141</v>
      </c>
      <c r="E3359">
        <v>3</v>
      </c>
      <c r="H3359">
        <v>3</v>
      </c>
      <c r="I3359" t="s">
        <v>146</v>
      </c>
      <c r="J3359" t="s">
        <v>138</v>
      </c>
      <c r="K3359">
        <v>0</v>
      </c>
      <c r="L3359">
        <v>3</v>
      </c>
      <c r="M3359">
        <v>0</v>
      </c>
      <c r="N3359">
        <v>2</v>
      </c>
      <c r="O3359">
        <v>0</v>
      </c>
      <c r="P3359">
        <v>1</v>
      </c>
      <c r="Q3359">
        <v>0</v>
      </c>
      <c r="S3359" t="str">
        <f t="shared" si="1225"/>
        <v>19:34:30.000</v>
      </c>
      <c r="T3359" t="str">
        <f t="shared" si="1225"/>
        <v>19:34:30.000</v>
      </c>
      <c r="U3359" t="str">
        <f t="shared" si="1213"/>
        <v>AC3944</v>
      </c>
      <c r="V3359">
        <v>0</v>
      </c>
      <c r="W3359">
        <v>0</v>
      </c>
      <c r="X3359">
        <v>2</v>
      </c>
      <c r="Y3359">
        <v>0</v>
      </c>
      <c r="AA3359">
        <v>1</v>
      </c>
      <c r="AB3359">
        <v>8</v>
      </c>
      <c r="AC3359">
        <v>3</v>
      </c>
      <c r="AD3359">
        <v>0</v>
      </c>
      <c r="AE3359">
        <v>9</v>
      </c>
      <c r="AF3359" t="s">
        <v>138</v>
      </c>
      <c r="AG3359">
        <v>0</v>
      </c>
      <c r="AH3359">
        <v>3</v>
      </c>
      <c r="AI3359">
        <v>1</v>
      </c>
      <c r="AJ3359">
        <v>0</v>
      </c>
      <c r="AK3359" t="s">
        <v>1103</v>
      </c>
      <c r="AL3359">
        <v>32.726705000000003</v>
      </c>
      <c r="AM3359" t="s">
        <v>1104</v>
      </c>
      <c r="AN3359">
        <v>-116.75117299999999</v>
      </c>
      <c r="AO3359">
        <v>25</v>
      </c>
      <c r="AP3359">
        <v>3900</v>
      </c>
      <c r="AQ3359" t="s">
        <v>129</v>
      </c>
      <c r="AR3359">
        <v>82</v>
      </c>
      <c r="AS3359">
        <v>92</v>
      </c>
      <c r="AT3359">
        <v>1280</v>
      </c>
      <c r="BB3359">
        <v>1200</v>
      </c>
      <c r="BC3359">
        <v>1</v>
      </c>
      <c r="BD3359" t="str">
        <f t="shared" si="1214"/>
        <v xml:space="preserve">N887QR  </v>
      </c>
      <c r="BE3359">
        <v>1</v>
      </c>
      <c r="BG3359">
        <v>0</v>
      </c>
      <c r="BH3359">
        <v>0</v>
      </c>
      <c r="BI3359">
        <v>0</v>
      </c>
      <c r="BJ3359">
        <v>3675</v>
      </c>
      <c r="BK3359">
        <v>-225</v>
      </c>
      <c r="BL3359" t="s">
        <v>163</v>
      </c>
      <c r="BM3359">
        <v>1</v>
      </c>
      <c r="BN3359">
        <v>1</v>
      </c>
      <c r="BO3359">
        <v>1</v>
      </c>
      <c r="BP3359">
        <v>0</v>
      </c>
      <c r="BS3359">
        <v>0.04</v>
      </c>
      <c r="BT3359">
        <v>0</v>
      </c>
      <c r="BU3359">
        <v>0</v>
      </c>
      <c r="CE3359" t="str">
        <f t="shared" si="1227"/>
        <v>19:34:30.901</v>
      </c>
      <c r="CF3359">
        <v>901447688</v>
      </c>
      <c r="CS3359">
        <v>0</v>
      </c>
      <c r="CT3359">
        <v>2</v>
      </c>
      <c r="CU3359">
        <v>0</v>
      </c>
      <c r="CV3359">
        <v>2</v>
      </c>
      <c r="CW3359">
        <v>1</v>
      </c>
      <c r="CX3359">
        <v>6</v>
      </c>
      <c r="CY3359">
        <v>7</v>
      </c>
      <c r="CZ3359" t="s">
        <v>131</v>
      </c>
      <c r="DA3359">
        <v>300</v>
      </c>
      <c r="DB3359">
        <v>0</v>
      </c>
      <c r="DC3359" t="s">
        <v>176</v>
      </c>
      <c r="DD3359" t="s">
        <v>177</v>
      </c>
      <c r="DG3359">
        <v>5436025</v>
      </c>
      <c r="DI3359">
        <v>1</v>
      </c>
      <c r="DJ3359">
        <v>0</v>
      </c>
      <c r="DK3359">
        <v>1</v>
      </c>
      <c r="DL3359">
        <v>0</v>
      </c>
      <c r="DM3359">
        <v>0</v>
      </c>
      <c r="DN3359">
        <v>1</v>
      </c>
      <c r="DO3359">
        <v>0</v>
      </c>
      <c r="DP3359">
        <v>0</v>
      </c>
      <c r="DQ3359">
        <v>0</v>
      </c>
      <c r="DR3359">
        <v>0</v>
      </c>
      <c r="DS3359">
        <v>0</v>
      </c>
    </row>
    <row r="3360" spans="1:123" x14ac:dyDescent="0.3">
      <c r="A3360" t="str">
        <f>"10/04/2022 19:34:31.105"</f>
        <v>10/04/2022 19:34:31.105</v>
      </c>
      <c r="C3360" t="str">
        <f t="shared" si="1202"/>
        <v>FFDFD3C0</v>
      </c>
      <c r="D3360" t="s">
        <v>141</v>
      </c>
      <c r="E3360">
        <v>4</v>
      </c>
      <c r="H3360">
        <v>4</v>
      </c>
      <c r="I3360" t="s">
        <v>142</v>
      </c>
      <c r="J3360" t="s">
        <v>138</v>
      </c>
      <c r="K3360">
        <v>0</v>
      </c>
      <c r="L3360">
        <v>3</v>
      </c>
      <c r="M3360">
        <v>0</v>
      </c>
      <c r="N3360">
        <v>2</v>
      </c>
      <c r="O3360">
        <v>0</v>
      </c>
      <c r="P3360">
        <v>1</v>
      </c>
      <c r="Q3360">
        <v>0</v>
      </c>
      <c r="S3360" t="str">
        <f t="shared" si="1225"/>
        <v>19:34:30.000</v>
      </c>
      <c r="T3360" t="str">
        <f t="shared" si="1225"/>
        <v>19:34:30.000</v>
      </c>
      <c r="U3360" t="str">
        <f t="shared" si="1213"/>
        <v>AC3944</v>
      </c>
      <c r="V3360">
        <v>0</v>
      </c>
      <c r="W3360">
        <v>0</v>
      </c>
      <c r="X3360">
        <v>2</v>
      </c>
      <c r="Y3360">
        <v>0</v>
      </c>
      <c r="AA3360">
        <v>1</v>
      </c>
      <c r="AB3360">
        <v>8</v>
      </c>
      <c r="AC3360">
        <v>3</v>
      </c>
      <c r="AD3360">
        <v>0</v>
      </c>
      <c r="AE3360">
        <v>9</v>
      </c>
      <c r="AF3360" t="s">
        <v>138</v>
      </c>
      <c r="AG3360">
        <v>0</v>
      </c>
      <c r="AH3360">
        <v>3</v>
      </c>
      <c r="AI3360">
        <v>1</v>
      </c>
      <c r="AJ3360">
        <v>0</v>
      </c>
      <c r="AK3360" t="s">
        <v>1103</v>
      </c>
      <c r="AL3360">
        <v>32.726705000000003</v>
      </c>
      <c r="AM3360" t="s">
        <v>1104</v>
      </c>
      <c r="AN3360">
        <v>-116.75117299999999</v>
      </c>
      <c r="AO3360">
        <v>25</v>
      </c>
      <c r="AP3360">
        <v>3900</v>
      </c>
      <c r="AQ3360" t="s">
        <v>129</v>
      </c>
      <c r="AR3360">
        <v>82</v>
      </c>
      <c r="AS3360">
        <v>92</v>
      </c>
      <c r="AT3360">
        <v>1280</v>
      </c>
      <c r="BB3360">
        <v>1200</v>
      </c>
      <c r="BC3360">
        <v>1</v>
      </c>
      <c r="BD3360" t="str">
        <f t="shared" si="1214"/>
        <v xml:space="preserve">N887QR  </v>
      </c>
      <c r="BE3360">
        <v>1</v>
      </c>
      <c r="BG3360">
        <v>0</v>
      </c>
      <c r="BH3360">
        <v>0</v>
      </c>
      <c r="BI3360">
        <v>0</v>
      </c>
      <c r="BJ3360">
        <v>3675</v>
      </c>
      <c r="BK3360">
        <v>-225</v>
      </c>
      <c r="BL3360" t="s">
        <v>163</v>
      </c>
      <c r="BM3360">
        <v>1</v>
      </c>
      <c r="BN3360">
        <v>1</v>
      </c>
      <c r="BO3360">
        <v>1</v>
      </c>
      <c r="BP3360">
        <v>0</v>
      </c>
      <c r="BS3360">
        <v>0.04</v>
      </c>
      <c r="BT3360">
        <v>0</v>
      </c>
      <c r="BU3360">
        <v>0</v>
      </c>
      <c r="CE3360" t="str">
        <f t="shared" si="1227"/>
        <v>19:34:30.901</v>
      </c>
      <c r="CF3360">
        <v>901447688</v>
      </c>
      <c r="CS3360">
        <v>0</v>
      </c>
      <c r="CT3360">
        <v>2</v>
      </c>
      <c r="CU3360">
        <v>0</v>
      </c>
      <c r="CV3360">
        <v>2</v>
      </c>
      <c r="CW3360">
        <v>1</v>
      </c>
      <c r="CX3360">
        <v>6</v>
      </c>
      <c r="CY3360">
        <v>7</v>
      </c>
      <c r="CZ3360" t="s">
        <v>131</v>
      </c>
      <c r="DA3360">
        <v>300</v>
      </c>
      <c r="DB3360">
        <v>0</v>
      </c>
      <c r="DC3360" t="s">
        <v>176</v>
      </c>
      <c r="DD3360" t="s">
        <v>177</v>
      </c>
      <c r="DG3360">
        <v>5436025</v>
      </c>
      <c r="DI3360">
        <v>1</v>
      </c>
      <c r="DJ3360">
        <v>0</v>
      </c>
      <c r="DK3360">
        <v>0</v>
      </c>
      <c r="DL3360">
        <v>0</v>
      </c>
      <c r="DM3360">
        <v>0</v>
      </c>
      <c r="DN3360">
        <v>1</v>
      </c>
      <c r="DO3360">
        <v>0</v>
      </c>
      <c r="DP3360">
        <v>0</v>
      </c>
      <c r="DQ3360">
        <v>0</v>
      </c>
      <c r="DR3360">
        <v>0</v>
      </c>
      <c r="DS3360">
        <v>0</v>
      </c>
    </row>
    <row r="3361" spans="1:123" x14ac:dyDescent="0.3">
      <c r="A3361" t="str">
        <f>"10/04/2022 19:34:31.120"</f>
        <v>10/04/2022 19:34:31.120</v>
      </c>
      <c r="C3361" t="str">
        <f t="shared" si="1202"/>
        <v>FFDFD3C0</v>
      </c>
      <c r="D3361" t="s">
        <v>136</v>
      </c>
      <c r="E3361">
        <v>8</v>
      </c>
      <c r="H3361">
        <v>225</v>
      </c>
      <c r="I3361" t="s">
        <v>137</v>
      </c>
      <c r="J3361" t="s">
        <v>138</v>
      </c>
      <c r="K3361">
        <v>0</v>
      </c>
      <c r="L3361">
        <v>3</v>
      </c>
      <c r="M3361">
        <v>0</v>
      </c>
      <c r="N3361">
        <v>2</v>
      </c>
      <c r="O3361">
        <v>0</v>
      </c>
      <c r="P3361">
        <v>1</v>
      </c>
      <c r="Q3361">
        <v>0</v>
      </c>
      <c r="S3361" t="str">
        <f t="shared" si="1225"/>
        <v>19:34:30.000</v>
      </c>
      <c r="T3361" t="str">
        <f t="shared" si="1225"/>
        <v>19:34:30.000</v>
      </c>
      <c r="U3361" t="str">
        <f t="shared" si="1213"/>
        <v>AC3944</v>
      </c>
      <c r="V3361">
        <v>0</v>
      </c>
      <c r="W3361">
        <v>0</v>
      </c>
      <c r="X3361">
        <v>2</v>
      </c>
      <c r="Y3361">
        <v>0</v>
      </c>
      <c r="AA3361">
        <v>1</v>
      </c>
      <c r="AB3361">
        <v>8</v>
      </c>
      <c r="AC3361">
        <v>3</v>
      </c>
      <c r="AD3361">
        <v>0</v>
      </c>
      <c r="AE3361">
        <v>9</v>
      </c>
      <c r="AF3361" t="s">
        <v>138</v>
      </c>
      <c r="AG3361">
        <v>0</v>
      </c>
      <c r="AH3361">
        <v>3</v>
      </c>
      <c r="AI3361">
        <v>1</v>
      </c>
      <c r="AJ3361">
        <v>0</v>
      </c>
      <c r="AK3361" t="s">
        <v>1103</v>
      </c>
      <c r="AL3361">
        <v>32.726705000000003</v>
      </c>
      <c r="AM3361" t="s">
        <v>1104</v>
      </c>
      <c r="AN3361">
        <v>-116.75117299999999</v>
      </c>
      <c r="AO3361">
        <v>25</v>
      </c>
      <c r="AP3361">
        <v>3900</v>
      </c>
      <c r="AQ3361" t="s">
        <v>129</v>
      </c>
      <c r="AR3361">
        <v>82</v>
      </c>
      <c r="AS3361">
        <v>92</v>
      </c>
      <c r="AT3361">
        <v>1280</v>
      </c>
      <c r="BB3361">
        <v>1200</v>
      </c>
      <c r="BC3361">
        <v>1</v>
      </c>
      <c r="BD3361" t="str">
        <f t="shared" si="1214"/>
        <v xml:space="preserve">N887QR  </v>
      </c>
      <c r="BE3361">
        <v>1</v>
      </c>
      <c r="BG3361">
        <v>0</v>
      </c>
      <c r="BH3361">
        <v>0</v>
      </c>
      <c r="BI3361">
        <v>0</v>
      </c>
      <c r="BJ3361">
        <v>3675</v>
      </c>
      <c r="BK3361">
        <v>-225</v>
      </c>
      <c r="BL3361" t="s">
        <v>163</v>
      </c>
      <c r="BM3361">
        <v>1</v>
      </c>
      <c r="BN3361">
        <v>1</v>
      </c>
      <c r="BO3361">
        <v>1</v>
      </c>
      <c r="BP3361">
        <v>0</v>
      </c>
      <c r="BS3361">
        <v>0.04</v>
      </c>
      <c r="BT3361">
        <v>0</v>
      </c>
      <c r="BU3361">
        <v>0</v>
      </c>
      <c r="CE3361" t="str">
        <f t="shared" si="1227"/>
        <v>19:34:30.901</v>
      </c>
      <c r="CF3361">
        <v>901447688</v>
      </c>
      <c r="CS3361">
        <v>0</v>
      </c>
      <c r="CT3361">
        <v>2</v>
      </c>
      <c r="CU3361">
        <v>0</v>
      </c>
      <c r="CV3361">
        <v>2</v>
      </c>
      <c r="CW3361">
        <v>1</v>
      </c>
      <c r="CX3361">
        <v>6</v>
      </c>
      <c r="CY3361">
        <v>7</v>
      </c>
      <c r="CZ3361" t="s">
        <v>131</v>
      </c>
      <c r="DA3361">
        <v>300</v>
      </c>
      <c r="DB3361">
        <v>0</v>
      </c>
      <c r="DC3361" t="s">
        <v>176</v>
      </c>
      <c r="DD3361" t="s">
        <v>177</v>
      </c>
      <c r="DG3361">
        <v>5436025</v>
      </c>
      <c r="DI3361">
        <v>1</v>
      </c>
      <c r="DJ3361">
        <v>0</v>
      </c>
      <c r="DK3361">
        <v>1</v>
      </c>
      <c r="DL3361">
        <v>0</v>
      </c>
      <c r="DM3361">
        <v>0</v>
      </c>
      <c r="DN3361">
        <v>1</v>
      </c>
      <c r="DO3361">
        <v>0</v>
      </c>
      <c r="DP3361">
        <v>0</v>
      </c>
      <c r="DQ3361">
        <v>0</v>
      </c>
      <c r="DR3361">
        <v>0</v>
      </c>
      <c r="DS3361">
        <v>0</v>
      </c>
    </row>
    <row r="3362" spans="1:123" x14ac:dyDescent="0.3">
      <c r="A3362" t="str">
        <f>"10/04/2022 19:34:31.120"</f>
        <v>10/04/2022 19:34:31.120</v>
      </c>
      <c r="C3362" t="str">
        <f t="shared" si="1202"/>
        <v>FFDFD3C0</v>
      </c>
      <c r="D3362" t="s">
        <v>143</v>
      </c>
      <c r="E3362">
        <v>20</v>
      </c>
      <c r="F3362">
        <v>1020</v>
      </c>
      <c r="G3362" t="s">
        <v>144</v>
      </c>
      <c r="J3362" t="s">
        <v>145</v>
      </c>
      <c r="K3362">
        <v>0</v>
      </c>
      <c r="L3362">
        <v>3</v>
      </c>
      <c r="M3362">
        <v>0</v>
      </c>
      <c r="N3362">
        <v>2</v>
      </c>
      <c r="O3362">
        <v>0</v>
      </c>
      <c r="P3362">
        <v>1</v>
      </c>
      <c r="Q3362">
        <v>0</v>
      </c>
      <c r="S3362" t="str">
        <f t="shared" si="1225"/>
        <v>19:34:30.000</v>
      </c>
      <c r="T3362" t="str">
        <f t="shared" si="1225"/>
        <v>19:34:30.000</v>
      </c>
      <c r="U3362" t="str">
        <f t="shared" si="1213"/>
        <v>AC3944</v>
      </c>
      <c r="V3362">
        <v>0</v>
      </c>
      <c r="W3362">
        <v>0</v>
      </c>
      <c r="X3362">
        <v>2</v>
      </c>
      <c r="Y3362">
        <v>0</v>
      </c>
      <c r="AA3362">
        <v>1</v>
      </c>
      <c r="AB3362">
        <v>8</v>
      </c>
      <c r="AC3362">
        <v>3</v>
      </c>
      <c r="AD3362">
        <v>0</v>
      </c>
      <c r="AE3362">
        <v>9</v>
      </c>
      <c r="AF3362" t="s">
        <v>138</v>
      </c>
      <c r="AG3362">
        <v>0</v>
      </c>
      <c r="AH3362">
        <v>3</v>
      </c>
      <c r="AI3362">
        <v>1</v>
      </c>
      <c r="AJ3362">
        <v>0</v>
      </c>
      <c r="AK3362" t="s">
        <v>1103</v>
      </c>
      <c r="AL3362">
        <v>32.726705000000003</v>
      </c>
      <c r="AM3362" t="s">
        <v>1104</v>
      </c>
      <c r="AN3362">
        <v>-116.75117299999999</v>
      </c>
      <c r="AO3362">
        <v>25</v>
      </c>
      <c r="AP3362">
        <v>3900</v>
      </c>
      <c r="AQ3362" t="s">
        <v>129</v>
      </c>
      <c r="AR3362">
        <v>82</v>
      </c>
      <c r="AS3362">
        <v>92</v>
      </c>
      <c r="AT3362">
        <v>1280</v>
      </c>
      <c r="BB3362">
        <v>1200</v>
      </c>
      <c r="BC3362">
        <v>1</v>
      </c>
      <c r="BD3362" t="str">
        <f t="shared" si="1214"/>
        <v xml:space="preserve">N887QR  </v>
      </c>
      <c r="BE3362">
        <v>1</v>
      </c>
      <c r="BG3362">
        <v>0</v>
      </c>
      <c r="BH3362">
        <v>0</v>
      </c>
      <c r="BI3362">
        <v>0</v>
      </c>
      <c r="BJ3362">
        <v>3675</v>
      </c>
      <c r="BK3362">
        <v>-225</v>
      </c>
      <c r="BL3362" t="s">
        <v>163</v>
      </c>
      <c r="BM3362">
        <v>1</v>
      </c>
      <c r="BN3362">
        <v>1</v>
      </c>
      <c r="BO3362">
        <v>1</v>
      </c>
      <c r="BP3362">
        <v>0</v>
      </c>
      <c r="BS3362">
        <v>0.04</v>
      </c>
      <c r="BT3362">
        <v>0</v>
      </c>
      <c r="BU3362">
        <v>0</v>
      </c>
      <c r="CE3362" t="str">
        <f t="shared" si="1227"/>
        <v>19:34:30.901</v>
      </c>
      <c r="CF3362">
        <v>901447688</v>
      </c>
      <c r="CS3362">
        <v>0</v>
      </c>
      <c r="CT3362">
        <v>2</v>
      </c>
      <c r="CU3362">
        <v>0</v>
      </c>
      <c r="CV3362">
        <v>2</v>
      </c>
      <c r="CW3362">
        <v>1</v>
      </c>
      <c r="CX3362">
        <v>6</v>
      </c>
      <c r="CY3362">
        <v>7</v>
      </c>
      <c r="CZ3362" t="s">
        <v>131</v>
      </c>
      <c r="DA3362">
        <v>300</v>
      </c>
      <c r="DB3362">
        <v>0</v>
      </c>
      <c r="DC3362" t="s">
        <v>176</v>
      </c>
      <c r="DD3362" t="s">
        <v>177</v>
      </c>
      <c r="DG3362">
        <v>5436025</v>
      </c>
      <c r="DI3362">
        <v>1</v>
      </c>
      <c r="DJ3362">
        <v>0</v>
      </c>
      <c r="DK3362">
        <v>1</v>
      </c>
      <c r="DL3362">
        <v>0</v>
      </c>
      <c r="DM3362">
        <v>0</v>
      </c>
      <c r="DN3362">
        <v>1</v>
      </c>
      <c r="DO3362">
        <v>0</v>
      </c>
      <c r="DP3362">
        <v>0</v>
      </c>
      <c r="DQ3362">
        <v>0</v>
      </c>
      <c r="DR3362">
        <v>0</v>
      </c>
      <c r="DS3362">
        <v>0</v>
      </c>
    </row>
    <row r="3363" spans="1:123" x14ac:dyDescent="0.3">
      <c r="A3363" t="str">
        <f>"10/04/2022 19:34:31.120"</f>
        <v>10/04/2022 19:34:31.120</v>
      </c>
      <c r="C3363" t="str">
        <f t="shared" si="1202"/>
        <v>FFDFD3C0</v>
      </c>
      <c r="D3363" t="s">
        <v>147</v>
      </c>
      <c r="E3363">
        <v>3</v>
      </c>
      <c r="H3363">
        <v>166</v>
      </c>
      <c r="I3363" t="s">
        <v>144</v>
      </c>
      <c r="J3363" t="s">
        <v>148</v>
      </c>
      <c r="K3363">
        <v>0</v>
      </c>
      <c r="L3363">
        <v>3</v>
      </c>
      <c r="M3363">
        <v>0</v>
      </c>
      <c r="N3363">
        <v>2</v>
      </c>
      <c r="O3363">
        <v>0</v>
      </c>
      <c r="P3363">
        <v>1</v>
      </c>
      <c r="Q3363">
        <v>0</v>
      </c>
      <c r="S3363" t="str">
        <f t="shared" si="1225"/>
        <v>19:34:30.000</v>
      </c>
      <c r="T3363" t="str">
        <f t="shared" si="1225"/>
        <v>19:34:30.000</v>
      </c>
      <c r="U3363" t="str">
        <f t="shared" si="1213"/>
        <v>AC3944</v>
      </c>
      <c r="V3363">
        <v>0</v>
      </c>
      <c r="W3363">
        <v>0</v>
      </c>
      <c r="X3363">
        <v>2</v>
      </c>
      <c r="Y3363">
        <v>0</v>
      </c>
      <c r="AA3363">
        <v>1</v>
      </c>
      <c r="AB3363">
        <v>8</v>
      </c>
      <c r="AC3363">
        <v>3</v>
      </c>
      <c r="AD3363">
        <v>0</v>
      </c>
      <c r="AE3363">
        <v>9</v>
      </c>
      <c r="AF3363" t="s">
        <v>138</v>
      </c>
      <c r="AG3363">
        <v>0</v>
      </c>
      <c r="AH3363">
        <v>3</v>
      </c>
      <c r="AI3363">
        <v>1</v>
      </c>
      <c r="AJ3363">
        <v>0</v>
      </c>
      <c r="AK3363" t="s">
        <v>1103</v>
      </c>
      <c r="AL3363">
        <v>32.726705000000003</v>
      </c>
      <c r="AM3363" t="s">
        <v>1104</v>
      </c>
      <c r="AN3363">
        <v>-116.75117299999999</v>
      </c>
      <c r="AO3363">
        <v>25</v>
      </c>
      <c r="AP3363">
        <v>3900</v>
      </c>
      <c r="AQ3363" t="s">
        <v>129</v>
      </c>
      <c r="AR3363">
        <v>82</v>
      </c>
      <c r="AS3363">
        <v>92</v>
      </c>
      <c r="AT3363">
        <v>1280</v>
      </c>
      <c r="BB3363">
        <v>1200</v>
      </c>
      <c r="BC3363">
        <v>1</v>
      </c>
      <c r="BD3363" t="str">
        <f t="shared" si="1214"/>
        <v xml:space="preserve">N887QR  </v>
      </c>
      <c r="BE3363">
        <v>1</v>
      </c>
      <c r="BG3363">
        <v>0</v>
      </c>
      <c r="BH3363">
        <v>0</v>
      </c>
      <c r="BI3363">
        <v>0</v>
      </c>
      <c r="BJ3363">
        <v>3675</v>
      </c>
      <c r="BK3363">
        <v>-225</v>
      </c>
      <c r="BL3363" t="s">
        <v>163</v>
      </c>
      <c r="BM3363">
        <v>1</v>
      </c>
      <c r="BN3363">
        <v>1</v>
      </c>
      <c r="BO3363">
        <v>1</v>
      </c>
      <c r="BP3363">
        <v>0</v>
      </c>
      <c r="BS3363">
        <v>0.04</v>
      </c>
      <c r="BT3363">
        <v>0</v>
      </c>
      <c r="BU3363">
        <v>0</v>
      </c>
      <c r="CE3363" t="str">
        <f t="shared" si="1227"/>
        <v>19:34:30.901</v>
      </c>
      <c r="CF3363">
        <v>901447688</v>
      </c>
      <c r="CS3363">
        <v>0</v>
      </c>
      <c r="CT3363">
        <v>2</v>
      </c>
      <c r="CU3363">
        <v>0</v>
      </c>
      <c r="CV3363">
        <v>2</v>
      </c>
      <c r="CW3363">
        <v>1</v>
      </c>
      <c r="CX3363">
        <v>6</v>
      </c>
      <c r="CY3363">
        <v>7</v>
      </c>
      <c r="CZ3363" t="s">
        <v>131</v>
      </c>
      <c r="DA3363">
        <v>300</v>
      </c>
      <c r="DB3363">
        <v>0</v>
      </c>
      <c r="DC3363" t="s">
        <v>176</v>
      </c>
      <c r="DD3363" t="s">
        <v>177</v>
      </c>
      <c r="DG3363">
        <v>5436025</v>
      </c>
      <c r="DI3363">
        <v>1</v>
      </c>
      <c r="DJ3363">
        <v>0</v>
      </c>
      <c r="DK3363">
        <v>1</v>
      </c>
      <c r="DL3363">
        <v>0</v>
      </c>
      <c r="DM3363">
        <v>0</v>
      </c>
      <c r="DN3363">
        <v>1</v>
      </c>
      <c r="DO3363">
        <v>0</v>
      </c>
      <c r="DP3363">
        <v>0</v>
      </c>
      <c r="DQ3363">
        <v>0</v>
      </c>
      <c r="DR3363">
        <v>0</v>
      </c>
      <c r="DS3363">
        <v>0</v>
      </c>
    </row>
    <row r="3364" spans="1:123" x14ac:dyDescent="0.3">
      <c r="A3364" t="str">
        <f t="shared" ref="A3364:A3370" si="1228">"10/04/2022 19:34:31.995"</f>
        <v>10/04/2022 19:34:31.995</v>
      </c>
      <c r="C3364" t="str">
        <f t="shared" si="1202"/>
        <v>FFDFD3C0</v>
      </c>
      <c r="D3364" t="s">
        <v>134</v>
      </c>
      <c r="E3364">
        <v>15</v>
      </c>
      <c r="J3364" t="s">
        <v>135</v>
      </c>
      <c r="K3364">
        <v>0</v>
      </c>
      <c r="L3364">
        <v>3</v>
      </c>
      <c r="M3364">
        <v>0</v>
      </c>
      <c r="N3364">
        <v>2</v>
      </c>
      <c r="O3364">
        <v>0</v>
      </c>
      <c r="P3364">
        <v>1</v>
      </c>
      <c r="Q3364">
        <v>0</v>
      </c>
      <c r="S3364" t="str">
        <f t="shared" ref="S3364:T3370" si="1229">"19:34:31.000"</f>
        <v>19:34:31.000</v>
      </c>
      <c r="T3364" t="str">
        <f t="shared" si="1229"/>
        <v>19:34:31.000</v>
      </c>
      <c r="U3364" t="str">
        <f t="shared" si="1213"/>
        <v>AC3944</v>
      </c>
      <c r="V3364">
        <v>0</v>
      </c>
      <c r="W3364">
        <v>0</v>
      </c>
      <c r="X3364">
        <v>2</v>
      </c>
      <c r="Y3364">
        <v>0</v>
      </c>
      <c r="AA3364">
        <v>1</v>
      </c>
      <c r="AB3364">
        <v>8</v>
      </c>
      <c r="AC3364">
        <v>3</v>
      </c>
      <c r="AD3364">
        <v>0</v>
      </c>
      <c r="AE3364">
        <v>9</v>
      </c>
      <c r="AF3364" t="s">
        <v>138</v>
      </c>
      <c r="AG3364">
        <v>0</v>
      </c>
      <c r="AH3364">
        <v>3</v>
      </c>
      <c r="AI3364">
        <v>1</v>
      </c>
      <c r="AJ3364">
        <v>0</v>
      </c>
      <c r="AK3364" t="s">
        <v>1105</v>
      </c>
      <c r="AL3364">
        <v>32.727134</v>
      </c>
      <c r="AM3364" t="s">
        <v>1106</v>
      </c>
      <c r="AN3364">
        <v>-116.75069999999999</v>
      </c>
      <c r="AO3364">
        <v>25</v>
      </c>
      <c r="AP3364">
        <v>3900</v>
      </c>
      <c r="AQ3364" t="s">
        <v>129</v>
      </c>
      <c r="AR3364">
        <v>87</v>
      </c>
      <c r="AS3364">
        <v>87</v>
      </c>
      <c r="AT3364">
        <v>1280</v>
      </c>
      <c r="BB3364">
        <v>1200</v>
      </c>
      <c r="BC3364">
        <v>1</v>
      </c>
      <c r="BD3364" t="str">
        <f t="shared" si="1214"/>
        <v xml:space="preserve">N887QR  </v>
      </c>
      <c r="BE3364">
        <v>1</v>
      </c>
      <c r="BG3364">
        <v>0</v>
      </c>
      <c r="BH3364">
        <v>0</v>
      </c>
      <c r="BI3364">
        <v>0</v>
      </c>
      <c r="BJ3364">
        <v>3675</v>
      </c>
      <c r="BK3364">
        <v>-225</v>
      </c>
      <c r="BL3364" t="s">
        <v>163</v>
      </c>
      <c r="BM3364">
        <v>1</v>
      </c>
      <c r="BN3364">
        <v>1</v>
      </c>
      <c r="BO3364">
        <v>1</v>
      </c>
      <c r="BP3364">
        <v>0</v>
      </c>
      <c r="BS3364">
        <v>0</v>
      </c>
      <c r="BT3364">
        <v>0</v>
      </c>
      <c r="BU3364">
        <v>0</v>
      </c>
      <c r="CE3364" t="str">
        <f t="shared" ref="CE3364:CE3370" si="1230">"19:34:31.753"</f>
        <v>19:34:31.753</v>
      </c>
      <c r="CF3364">
        <v>753200330</v>
      </c>
      <c r="CS3364">
        <v>0</v>
      </c>
      <c r="CT3364">
        <v>2</v>
      </c>
      <c r="CU3364">
        <v>0</v>
      </c>
      <c r="CV3364">
        <v>2</v>
      </c>
      <c r="CW3364">
        <v>0</v>
      </c>
      <c r="CX3364">
        <v>6</v>
      </c>
      <c r="CY3364">
        <v>7</v>
      </c>
      <c r="CZ3364" t="s">
        <v>131</v>
      </c>
      <c r="DA3364">
        <v>300</v>
      </c>
      <c r="DB3364">
        <v>0</v>
      </c>
      <c r="DC3364" t="s">
        <v>176</v>
      </c>
      <c r="DD3364" t="s">
        <v>177</v>
      </c>
      <c r="DG3364">
        <v>5436147</v>
      </c>
      <c r="DI3364">
        <v>1</v>
      </c>
      <c r="DJ3364">
        <v>0</v>
      </c>
      <c r="DK3364">
        <v>0</v>
      </c>
      <c r="DL3364">
        <v>0</v>
      </c>
      <c r="DM3364">
        <v>0</v>
      </c>
      <c r="DN3364">
        <v>1</v>
      </c>
      <c r="DO3364">
        <v>0</v>
      </c>
      <c r="DP3364">
        <v>0</v>
      </c>
      <c r="DQ3364">
        <v>0</v>
      </c>
      <c r="DR3364">
        <v>0</v>
      </c>
      <c r="DS3364">
        <v>0</v>
      </c>
    </row>
    <row r="3365" spans="1:123" x14ac:dyDescent="0.3">
      <c r="A3365" t="str">
        <f t="shared" si="1228"/>
        <v>10/04/2022 19:34:31.995</v>
      </c>
      <c r="C3365" t="str">
        <f t="shared" si="1202"/>
        <v>FFDFD3C0</v>
      </c>
      <c r="D3365" t="s">
        <v>141</v>
      </c>
      <c r="E3365">
        <v>3</v>
      </c>
      <c r="H3365">
        <v>3</v>
      </c>
      <c r="I3365" t="s">
        <v>146</v>
      </c>
      <c r="J3365" t="s">
        <v>138</v>
      </c>
      <c r="K3365">
        <v>0</v>
      </c>
      <c r="L3365">
        <v>3</v>
      </c>
      <c r="M3365">
        <v>0</v>
      </c>
      <c r="N3365">
        <v>2</v>
      </c>
      <c r="O3365">
        <v>0</v>
      </c>
      <c r="P3365">
        <v>1</v>
      </c>
      <c r="Q3365">
        <v>0</v>
      </c>
      <c r="S3365" t="str">
        <f t="shared" si="1229"/>
        <v>19:34:31.000</v>
      </c>
      <c r="T3365" t="str">
        <f t="shared" si="1229"/>
        <v>19:34:31.000</v>
      </c>
      <c r="U3365" t="str">
        <f t="shared" si="1213"/>
        <v>AC3944</v>
      </c>
      <c r="V3365">
        <v>0</v>
      </c>
      <c r="W3365">
        <v>0</v>
      </c>
      <c r="X3365">
        <v>2</v>
      </c>
      <c r="Y3365">
        <v>0</v>
      </c>
      <c r="AA3365">
        <v>1</v>
      </c>
      <c r="AB3365">
        <v>8</v>
      </c>
      <c r="AC3365">
        <v>3</v>
      </c>
      <c r="AD3365">
        <v>0</v>
      </c>
      <c r="AE3365">
        <v>9</v>
      </c>
      <c r="AF3365" t="s">
        <v>138</v>
      </c>
      <c r="AG3365">
        <v>0</v>
      </c>
      <c r="AH3365">
        <v>3</v>
      </c>
      <c r="AI3365">
        <v>1</v>
      </c>
      <c r="AJ3365">
        <v>0</v>
      </c>
      <c r="AK3365" t="s">
        <v>1105</v>
      </c>
      <c r="AL3365">
        <v>32.727134</v>
      </c>
      <c r="AM3365" t="s">
        <v>1106</v>
      </c>
      <c r="AN3365">
        <v>-116.75069999999999</v>
      </c>
      <c r="AO3365">
        <v>25</v>
      </c>
      <c r="AP3365">
        <v>3900</v>
      </c>
      <c r="AQ3365" t="s">
        <v>129</v>
      </c>
      <c r="AR3365">
        <v>87</v>
      </c>
      <c r="AS3365">
        <v>87</v>
      </c>
      <c r="AT3365">
        <v>1280</v>
      </c>
      <c r="BB3365">
        <v>1200</v>
      </c>
      <c r="BC3365">
        <v>1</v>
      </c>
      <c r="BD3365" t="str">
        <f t="shared" si="1214"/>
        <v xml:space="preserve">N887QR  </v>
      </c>
      <c r="BE3365">
        <v>1</v>
      </c>
      <c r="BG3365">
        <v>0</v>
      </c>
      <c r="BH3365">
        <v>0</v>
      </c>
      <c r="BI3365">
        <v>0</v>
      </c>
      <c r="BJ3365">
        <v>3675</v>
      </c>
      <c r="BK3365">
        <v>-225</v>
      </c>
      <c r="BL3365" t="s">
        <v>163</v>
      </c>
      <c r="BM3365">
        <v>1</v>
      </c>
      <c r="BN3365">
        <v>1</v>
      </c>
      <c r="BO3365">
        <v>1</v>
      </c>
      <c r="BP3365">
        <v>0</v>
      </c>
      <c r="BS3365">
        <v>0</v>
      </c>
      <c r="BT3365">
        <v>0</v>
      </c>
      <c r="BU3365">
        <v>0</v>
      </c>
      <c r="CE3365" t="str">
        <f t="shared" si="1230"/>
        <v>19:34:31.753</v>
      </c>
      <c r="CF3365">
        <v>753200330</v>
      </c>
      <c r="CS3365">
        <v>0</v>
      </c>
      <c r="CT3365">
        <v>2</v>
      </c>
      <c r="CU3365">
        <v>0</v>
      </c>
      <c r="CV3365">
        <v>2</v>
      </c>
      <c r="CW3365">
        <v>0</v>
      </c>
      <c r="CX3365">
        <v>6</v>
      </c>
      <c r="CY3365">
        <v>7</v>
      </c>
      <c r="CZ3365" t="s">
        <v>131</v>
      </c>
      <c r="DA3365">
        <v>300</v>
      </c>
      <c r="DB3365">
        <v>0</v>
      </c>
      <c r="DC3365" t="s">
        <v>176</v>
      </c>
      <c r="DD3365" t="s">
        <v>177</v>
      </c>
      <c r="DG3365">
        <v>5436147</v>
      </c>
      <c r="DI3365">
        <v>1</v>
      </c>
      <c r="DJ3365">
        <v>0</v>
      </c>
      <c r="DK3365">
        <v>1</v>
      </c>
      <c r="DL3365">
        <v>0</v>
      </c>
      <c r="DM3365">
        <v>0</v>
      </c>
      <c r="DN3365">
        <v>1</v>
      </c>
      <c r="DO3365">
        <v>0</v>
      </c>
      <c r="DP3365">
        <v>0</v>
      </c>
      <c r="DQ3365">
        <v>0</v>
      </c>
      <c r="DR3365">
        <v>0</v>
      </c>
      <c r="DS3365">
        <v>0</v>
      </c>
    </row>
    <row r="3366" spans="1:123" x14ac:dyDescent="0.3">
      <c r="A3366" t="str">
        <f t="shared" si="1228"/>
        <v>10/04/2022 19:34:31.995</v>
      </c>
      <c r="C3366" t="str">
        <f t="shared" si="1202"/>
        <v>FFDFD3C0</v>
      </c>
      <c r="D3366" t="s">
        <v>141</v>
      </c>
      <c r="E3366">
        <v>4</v>
      </c>
      <c r="H3366">
        <v>4</v>
      </c>
      <c r="I3366" t="s">
        <v>142</v>
      </c>
      <c r="J3366" t="s">
        <v>138</v>
      </c>
      <c r="K3366">
        <v>0</v>
      </c>
      <c r="L3366">
        <v>3</v>
      </c>
      <c r="M3366">
        <v>0</v>
      </c>
      <c r="N3366">
        <v>2</v>
      </c>
      <c r="O3366">
        <v>0</v>
      </c>
      <c r="P3366">
        <v>1</v>
      </c>
      <c r="Q3366">
        <v>0</v>
      </c>
      <c r="S3366" t="str">
        <f t="shared" si="1229"/>
        <v>19:34:31.000</v>
      </c>
      <c r="T3366" t="str">
        <f t="shared" si="1229"/>
        <v>19:34:31.000</v>
      </c>
      <c r="U3366" t="str">
        <f t="shared" si="1213"/>
        <v>AC3944</v>
      </c>
      <c r="V3366">
        <v>0</v>
      </c>
      <c r="W3366">
        <v>0</v>
      </c>
      <c r="X3366">
        <v>2</v>
      </c>
      <c r="Y3366">
        <v>0</v>
      </c>
      <c r="AA3366">
        <v>1</v>
      </c>
      <c r="AB3366">
        <v>8</v>
      </c>
      <c r="AC3366">
        <v>3</v>
      </c>
      <c r="AD3366">
        <v>0</v>
      </c>
      <c r="AE3366">
        <v>9</v>
      </c>
      <c r="AF3366" t="s">
        <v>138</v>
      </c>
      <c r="AG3366">
        <v>0</v>
      </c>
      <c r="AH3366">
        <v>3</v>
      </c>
      <c r="AI3366">
        <v>1</v>
      </c>
      <c r="AJ3366">
        <v>0</v>
      </c>
      <c r="AK3366" t="s">
        <v>1105</v>
      </c>
      <c r="AL3366">
        <v>32.727134</v>
      </c>
      <c r="AM3366" t="s">
        <v>1106</v>
      </c>
      <c r="AN3366">
        <v>-116.75069999999999</v>
      </c>
      <c r="AO3366">
        <v>25</v>
      </c>
      <c r="AP3366">
        <v>3900</v>
      </c>
      <c r="AQ3366" t="s">
        <v>129</v>
      </c>
      <c r="AR3366">
        <v>87</v>
      </c>
      <c r="AS3366">
        <v>87</v>
      </c>
      <c r="AT3366">
        <v>1280</v>
      </c>
      <c r="BB3366">
        <v>1200</v>
      </c>
      <c r="BC3366">
        <v>1</v>
      </c>
      <c r="BD3366" t="str">
        <f t="shared" si="1214"/>
        <v xml:space="preserve">N887QR  </v>
      </c>
      <c r="BE3366">
        <v>1</v>
      </c>
      <c r="BG3366">
        <v>0</v>
      </c>
      <c r="BH3366">
        <v>0</v>
      </c>
      <c r="BI3366">
        <v>0</v>
      </c>
      <c r="BJ3366">
        <v>3675</v>
      </c>
      <c r="BK3366">
        <v>-225</v>
      </c>
      <c r="BL3366" t="s">
        <v>163</v>
      </c>
      <c r="BM3366">
        <v>1</v>
      </c>
      <c r="BN3366">
        <v>1</v>
      </c>
      <c r="BO3366">
        <v>1</v>
      </c>
      <c r="BP3366">
        <v>0</v>
      </c>
      <c r="BS3366">
        <v>0</v>
      </c>
      <c r="BT3366">
        <v>0</v>
      </c>
      <c r="BU3366">
        <v>0</v>
      </c>
      <c r="CE3366" t="str">
        <f t="shared" si="1230"/>
        <v>19:34:31.753</v>
      </c>
      <c r="CF3366">
        <v>753200330</v>
      </c>
      <c r="CS3366">
        <v>0</v>
      </c>
      <c r="CT3366">
        <v>2</v>
      </c>
      <c r="CU3366">
        <v>0</v>
      </c>
      <c r="CV3366">
        <v>2</v>
      </c>
      <c r="CW3366">
        <v>0</v>
      </c>
      <c r="CX3366">
        <v>6</v>
      </c>
      <c r="CY3366">
        <v>7</v>
      </c>
      <c r="CZ3366" t="s">
        <v>131</v>
      </c>
      <c r="DA3366">
        <v>300</v>
      </c>
      <c r="DB3366">
        <v>0</v>
      </c>
      <c r="DC3366" t="s">
        <v>176</v>
      </c>
      <c r="DD3366" t="s">
        <v>177</v>
      </c>
      <c r="DG3366">
        <v>5436147</v>
      </c>
      <c r="DI3366">
        <v>1</v>
      </c>
      <c r="DJ3366">
        <v>0</v>
      </c>
      <c r="DK3366">
        <v>1</v>
      </c>
      <c r="DL3366">
        <v>0</v>
      </c>
      <c r="DM3366">
        <v>0</v>
      </c>
      <c r="DN3366">
        <v>1</v>
      </c>
      <c r="DO3366">
        <v>0</v>
      </c>
      <c r="DP3366">
        <v>0</v>
      </c>
      <c r="DQ3366">
        <v>0</v>
      </c>
      <c r="DR3366">
        <v>0</v>
      </c>
      <c r="DS3366">
        <v>0</v>
      </c>
    </row>
    <row r="3367" spans="1:123" x14ac:dyDescent="0.3">
      <c r="A3367" t="str">
        <f t="shared" si="1228"/>
        <v>10/04/2022 19:34:31.995</v>
      </c>
      <c r="C3367" t="str">
        <f t="shared" ref="C3367:C3427" si="1231">"FFDFD3C0"</f>
        <v>FFDFD3C0</v>
      </c>
      <c r="D3367" t="s">
        <v>136</v>
      </c>
      <c r="E3367">
        <v>8</v>
      </c>
      <c r="H3367">
        <v>225</v>
      </c>
      <c r="I3367" t="s">
        <v>137</v>
      </c>
      <c r="J3367" t="s">
        <v>138</v>
      </c>
      <c r="K3367">
        <v>0</v>
      </c>
      <c r="L3367">
        <v>3</v>
      </c>
      <c r="M3367">
        <v>0</v>
      </c>
      <c r="N3367">
        <v>2</v>
      </c>
      <c r="O3367">
        <v>0</v>
      </c>
      <c r="P3367">
        <v>1</v>
      </c>
      <c r="Q3367">
        <v>0</v>
      </c>
      <c r="S3367" t="str">
        <f t="shared" si="1229"/>
        <v>19:34:31.000</v>
      </c>
      <c r="T3367" t="str">
        <f t="shared" si="1229"/>
        <v>19:34:31.000</v>
      </c>
      <c r="U3367" t="str">
        <f t="shared" si="1213"/>
        <v>AC3944</v>
      </c>
      <c r="V3367">
        <v>0</v>
      </c>
      <c r="W3367">
        <v>0</v>
      </c>
      <c r="X3367">
        <v>2</v>
      </c>
      <c r="Y3367">
        <v>0</v>
      </c>
      <c r="AA3367">
        <v>1</v>
      </c>
      <c r="AB3367">
        <v>8</v>
      </c>
      <c r="AC3367">
        <v>3</v>
      </c>
      <c r="AD3367">
        <v>0</v>
      </c>
      <c r="AE3367">
        <v>9</v>
      </c>
      <c r="AF3367" t="s">
        <v>138</v>
      </c>
      <c r="AG3367">
        <v>0</v>
      </c>
      <c r="AH3367">
        <v>3</v>
      </c>
      <c r="AI3367">
        <v>1</v>
      </c>
      <c r="AJ3367">
        <v>0</v>
      </c>
      <c r="AK3367" t="s">
        <v>1105</v>
      </c>
      <c r="AL3367">
        <v>32.727134</v>
      </c>
      <c r="AM3367" t="s">
        <v>1106</v>
      </c>
      <c r="AN3367">
        <v>-116.75069999999999</v>
      </c>
      <c r="AO3367">
        <v>25</v>
      </c>
      <c r="AP3367">
        <v>3900</v>
      </c>
      <c r="AQ3367" t="s">
        <v>129</v>
      </c>
      <c r="AR3367">
        <v>87</v>
      </c>
      <c r="AS3367">
        <v>87</v>
      </c>
      <c r="AT3367">
        <v>1280</v>
      </c>
      <c r="BB3367">
        <v>1200</v>
      </c>
      <c r="BC3367">
        <v>1</v>
      </c>
      <c r="BD3367" t="str">
        <f t="shared" si="1214"/>
        <v xml:space="preserve">N887QR  </v>
      </c>
      <c r="BE3367">
        <v>1</v>
      </c>
      <c r="BG3367">
        <v>0</v>
      </c>
      <c r="BH3367">
        <v>0</v>
      </c>
      <c r="BI3367">
        <v>0</v>
      </c>
      <c r="BJ3367">
        <v>3675</v>
      </c>
      <c r="BK3367">
        <v>-225</v>
      </c>
      <c r="BL3367" t="s">
        <v>163</v>
      </c>
      <c r="BM3367">
        <v>1</v>
      </c>
      <c r="BN3367">
        <v>1</v>
      </c>
      <c r="BO3367">
        <v>1</v>
      </c>
      <c r="BP3367">
        <v>0</v>
      </c>
      <c r="BS3367">
        <v>0</v>
      </c>
      <c r="BT3367">
        <v>0</v>
      </c>
      <c r="BU3367">
        <v>0</v>
      </c>
      <c r="CE3367" t="str">
        <f t="shared" si="1230"/>
        <v>19:34:31.753</v>
      </c>
      <c r="CF3367">
        <v>753200330</v>
      </c>
      <c r="CS3367">
        <v>0</v>
      </c>
      <c r="CT3367">
        <v>2</v>
      </c>
      <c r="CU3367">
        <v>0</v>
      </c>
      <c r="CV3367">
        <v>2</v>
      </c>
      <c r="CW3367">
        <v>0</v>
      </c>
      <c r="CX3367">
        <v>6</v>
      </c>
      <c r="CY3367">
        <v>7</v>
      </c>
      <c r="CZ3367" t="s">
        <v>131</v>
      </c>
      <c r="DA3367">
        <v>300</v>
      </c>
      <c r="DB3367">
        <v>0</v>
      </c>
      <c r="DC3367" t="s">
        <v>176</v>
      </c>
      <c r="DD3367" t="s">
        <v>177</v>
      </c>
      <c r="DG3367">
        <v>5436147</v>
      </c>
      <c r="DI3367">
        <v>1</v>
      </c>
      <c r="DJ3367">
        <v>0</v>
      </c>
      <c r="DK3367">
        <v>1</v>
      </c>
      <c r="DL3367">
        <v>0</v>
      </c>
      <c r="DM3367">
        <v>0</v>
      </c>
      <c r="DN3367">
        <v>1</v>
      </c>
      <c r="DO3367">
        <v>0</v>
      </c>
      <c r="DP3367">
        <v>0</v>
      </c>
      <c r="DQ3367">
        <v>0</v>
      </c>
      <c r="DR3367">
        <v>0</v>
      </c>
      <c r="DS3367">
        <v>0</v>
      </c>
    </row>
    <row r="3368" spans="1:123" x14ac:dyDescent="0.3">
      <c r="A3368" t="str">
        <f t="shared" si="1228"/>
        <v>10/04/2022 19:34:31.995</v>
      </c>
      <c r="C3368" t="str">
        <f t="shared" si="1231"/>
        <v>FFDFD3C0</v>
      </c>
      <c r="D3368" t="s">
        <v>143</v>
      </c>
      <c r="E3368">
        <v>20</v>
      </c>
      <c r="F3368">
        <v>1020</v>
      </c>
      <c r="G3368" t="s">
        <v>144</v>
      </c>
      <c r="J3368" t="s">
        <v>145</v>
      </c>
      <c r="K3368">
        <v>0</v>
      </c>
      <c r="L3368">
        <v>3</v>
      </c>
      <c r="M3368">
        <v>0</v>
      </c>
      <c r="N3368">
        <v>2</v>
      </c>
      <c r="O3368">
        <v>0</v>
      </c>
      <c r="P3368">
        <v>1</v>
      </c>
      <c r="Q3368">
        <v>0</v>
      </c>
      <c r="S3368" t="str">
        <f t="shared" si="1229"/>
        <v>19:34:31.000</v>
      </c>
      <c r="T3368" t="str">
        <f t="shared" si="1229"/>
        <v>19:34:31.000</v>
      </c>
      <c r="U3368" t="str">
        <f t="shared" si="1213"/>
        <v>AC3944</v>
      </c>
      <c r="V3368">
        <v>0</v>
      </c>
      <c r="W3368">
        <v>0</v>
      </c>
      <c r="X3368">
        <v>2</v>
      </c>
      <c r="Y3368">
        <v>0</v>
      </c>
      <c r="AA3368">
        <v>1</v>
      </c>
      <c r="AB3368">
        <v>8</v>
      </c>
      <c r="AC3368">
        <v>3</v>
      </c>
      <c r="AD3368">
        <v>0</v>
      </c>
      <c r="AE3368">
        <v>9</v>
      </c>
      <c r="AF3368" t="s">
        <v>138</v>
      </c>
      <c r="AG3368">
        <v>0</v>
      </c>
      <c r="AH3368">
        <v>3</v>
      </c>
      <c r="AI3368">
        <v>1</v>
      </c>
      <c r="AJ3368">
        <v>0</v>
      </c>
      <c r="AK3368" t="s">
        <v>1105</v>
      </c>
      <c r="AL3368">
        <v>32.727134</v>
      </c>
      <c r="AM3368" t="s">
        <v>1106</v>
      </c>
      <c r="AN3368">
        <v>-116.75069999999999</v>
      </c>
      <c r="AO3368">
        <v>25</v>
      </c>
      <c r="AP3368">
        <v>3900</v>
      </c>
      <c r="AQ3368" t="s">
        <v>129</v>
      </c>
      <c r="AR3368">
        <v>87</v>
      </c>
      <c r="AS3368">
        <v>87</v>
      </c>
      <c r="AT3368">
        <v>1280</v>
      </c>
      <c r="BB3368">
        <v>1200</v>
      </c>
      <c r="BC3368">
        <v>1</v>
      </c>
      <c r="BD3368" t="str">
        <f t="shared" si="1214"/>
        <v xml:space="preserve">N887QR  </v>
      </c>
      <c r="BE3368">
        <v>1</v>
      </c>
      <c r="BG3368">
        <v>0</v>
      </c>
      <c r="BH3368">
        <v>0</v>
      </c>
      <c r="BI3368">
        <v>0</v>
      </c>
      <c r="BJ3368">
        <v>3675</v>
      </c>
      <c r="BK3368">
        <v>-225</v>
      </c>
      <c r="BL3368" t="s">
        <v>163</v>
      </c>
      <c r="BM3368">
        <v>1</v>
      </c>
      <c r="BN3368">
        <v>1</v>
      </c>
      <c r="BO3368">
        <v>1</v>
      </c>
      <c r="BP3368">
        <v>0</v>
      </c>
      <c r="BS3368">
        <v>0</v>
      </c>
      <c r="BT3368">
        <v>0</v>
      </c>
      <c r="BU3368">
        <v>0</v>
      </c>
      <c r="CE3368" t="str">
        <f t="shared" si="1230"/>
        <v>19:34:31.753</v>
      </c>
      <c r="CF3368">
        <v>753200330</v>
      </c>
      <c r="CS3368">
        <v>0</v>
      </c>
      <c r="CT3368">
        <v>2</v>
      </c>
      <c r="CU3368">
        <v>0</v>
      </c>
      <c r="CV3368">
        <v>2</v>
      </c>
      <c r="CW3368">
        <v>0</v>
      </c>
      <c r="CX3368">
        <v>6</v>
      </c>
      <c r="CY3368">
        <v>7</v>
      </c>
      <c r="CZ3368" t="s">
        <v>131</v>
      </c>
      <c r="DA3368">
        <v>300</v>
      </c>
      <c r="DB3368">
        <v>0</v>
      </c>
      <c r="DC3368" t="s">
        <v>176</v>
      </c>
      <c r="DD3368" t="s">
        <v>177</v>
      </c>
      <c r="DG3368">
        <v>5436147</v>
      </c>
      <c r="DI3368">
        <v>1</v>
      </c>
      <c r="DJ3368">
        <v>0</v>
      </c>
      <c r="DK3368">
        <v>1</v>
      </c>
      <c r="DL3368">
        <v>0</v>
      </c>
      <c r="DM3368">
        <v>0</v>
      </c>
      <c r="DN3368">
        <v>1</v>
      </c>
      <c r="DO3368">
        <v>0</v>
      </c>
      <c r="DP3368">
        <v>0</v>
      </c>
      <c r="DQ3368">
        <v>0</v>
      </c>
      <c r="DR3368">
        <v>0</v>
      </c>
      <c r="DS3368">
        <v>0</v>
      </c>
    </row>
    <row r="3369" spans="1:123" x14ac:dyDescent="0.3">
      <c r="A3369" t="str">
        <f t="shared" si="1228"/>
        <v>10/04/2022 19:34:31.995</v>
      </c>
      <c r="C3369" t="str">
        <f t="shared" si="1231"/>
        <v>FFDFD3C0</v>
      </c>
      <c r="D3369" t="s">
        <v>147</v>
      </c>
      <c r="E3369">
        <v>3</v>
      </c>
      <c r="H3369">
        <v>166</v>
      </c>
      <c r="I3369" t="s">
        <v>144</v>
      </c>
      <c r="J3369" t="s">
        <v>148</v>
      </c>
      <c r="K3369">
        <v>0</v>
      </c>
      <c r="L3369">
        <v>3</v>
      </c>
      <c r="M3369">
        <v>0</v>
      </c>
      <c r="N3369">
        <v>2</v>
      </c>
      <c r="O3369">
        <v>0</v>
      </c>
      <c r="P3369">
        <v>1</v>
      </c>
      <c r="Q3369">
        <v>0</v>
      </c>
      <c r="S3369" t="str">
        <f t="shared" si="1229"/>
        <v>19:34:31.000</v>
      </c>
      <c r="T3369" t="str">
        <f t="shared" si="1229"/>
        <v>19:34:31.000</v>
      </c>
      <c r="U3369" t="str">
        <f t="shared" si="1213"/>
        <v>AC3944</v>
      </c>
      <c r="V3369">
        <v>0</v>
      </c>
      <c r="W3369">
        <v>0</v>
      </c>
      <c r="X3369">
        <v>2</v>
      </c>
      <c r="Y3369">
        <v>0</v>
      </c>
      <c r="AA3369">
        <v>1</v>
      </c>
      <c r="AB3369">
        <v>8</v>
      </c>
      <c r="AC3369">
        <v>3</v>
      </c>
      <c r="AD3369">
        <v>0</v>
      </c>
      <c r="AE3369">
        <v>9</v>
      </c>
      <c r="AF3369" t="s">
        <v>138</v>
      </c>
      <c r="AG3369">
        <v>0</v>
      </c>
      <c r="AH3369">
        <v>3</v>
      </c>
      <c r="AI3369">
        <v>1</v>
      </c>
      <c r="AJ3369">
        <v>0</v>
      </c>
      <c r="AK3369" t="s">
        <v>1105</v>
      </c>
      <c r="AL3369">
        <v>32.727134</v>
      </c>
      <c r="AM3369" t="s">
        <v>1106</v>
      </c>
      <c r="AN3369">
        <v>-116.75069999999999</v>
      </c>
      <c r="AO3369">
        <v>25</v>
      </c>
      <c r="AP3369">
        <v>3900</v>
      </c>
      <c r="AQ3369" t="s">
        <v>129</v>
      </c>
      <c r="AR3369">
        <v>87</v>
      </c>
      <c r="AS3369">
        <v>87</v>
      </c>
      <c r="AT3369">
        <v>1280</v>
      </c>
      <c r="BB3369">
        <v>1200</v>
      </c>
      <c r="BC3369">
        <v>1</v>
      </c>
      <c r="BD3369" t="str">
        <f t="shared" si="1214"/>
        <v xml:space="preserve">N887QR  </v>
      </c>
      <c r="BE3369">
        <v>1</v>
      </c>
      <c r="BG3369">
        <v>0</v>
      </c>
      <c r="BH3369">
        <v>0</v>
      </c>
      <c r="BI3369">
        <v>0</v>
      </c>
      <c r="BJ3369">
        <v>3675</v>
      </c>
      <c r="BK3369">
        <v>-225</v>
      </c>
      <c r="BL3369" t="s">
        <v>163</v>
      </c>
      <c r="BM3369">
        <v>1</v>
      </c>
      <c r="BN3369">
        <v>1</v>
      </c>
      <c r="BO3369">
        <v>1</v>
      </c>
      <c r="BP3369">
        <v>0</v>
      </c>
      <c r="BS3369">
        <v>0</v>
      </c>
      <c r="BT3369">
        <v>0</v>
      </c>
      <c r="BU3369">
        <v>0</v>
      </c>
      <c r="CE3369" t="str">
        <f t="shared" si="1230"/>
        <v>19:34:31.753</v>
      </c>
      <c r="CF3369">
        <v>753200330</v>
      </c>
      <c r="CS3369">
        <v>0</v>
      </c>
      <c r="CT3369">
        <v>2</v>
      </c>
      <c r="CU3369">
        <v>0</v>
      </c>
      <c r="CV3369">
        <v>2</v>
      </c>
      <c r="CW3369">
        <v>0</v>
      </c>
      <c r="CX3369">
        <v>6</v>
      </c>
      <c r="CY3369">
        <v>7</v>
      </c>
      <c r="CZ3369" t="s">
        <v>131</v>
      </c>
      <c r="DA3369">
        <v>300</v>
      </c>
      <c r="DB3369">
        <v>0</v>
      </c>
      <c r="DC3369" t="s">
        <v>176</v>
      </c>
      <c r="DD3369" t="s">
        <v>177</v>
      </c>
      <c r="DG3369">
        <v>5436147</v>
      </c>
      <c r="DI3369">
        <v>1</v>
      </c>
      <c r="DJ3369">
        <v>0</v>
      </c>
      <c r="DK3369">
        <v>1</v>
      </c>
      <c r="DL3369">
        <v>0</v>
      </c>
      <c r="DM3369">
        <v>0</v>
      </c>
      <c r="DN3369">
        <v>1</v>
      </c>
      <c r="DO3369">
        <v>0</v>
      </c>
      <c r="DP3369">
        <v>0</v>
      </c>
      <c r="DQ3369">
        <v>0</v>
      </c>
      <c r="DR3369">
        <v>0</v>
      </c>
      <c r="DS3369">
        <v>0</v>
      </c>
    </row>
    <row r="3370" spans="1:123" x14ac:dyDescent="0.3">
      <c r="A3370" t="str">
        <f t="shared" si="1228"/>
        <v>10/04/2022 19:34:31.995</v>
      </c>
      <c r="C3370" t="str">
        <f t="shared" si="1231"/>
        <v>FFDFD3C0</v>
      </c>
      <c r="D3370" t="s">
        <v>123</v>
      </c>
      <c r="E3370">
        <v>7</v>
      </c>
      <c r="F3370">
        <v>2007</v>
      </c>
      <c r="G3370" t="s">
        <v>124</v>
      </c>
      <c r="J3370" t="s">
        <v>125</v>
      </c>
      <c r="K3370">
        <v>0</v>
      </c>
      <c r="L3370">
        <v>3</v>
      </c>
      <c r="M3370">
        <v>0</v>
      </c>
      <c r="N3370">
        <v>2</v>
      </c>
      <c r="O3370">
        <v>0</v>
      </c>
      <c r="P3370">
        <v>1</v>
      </c>
      <c r="Q3370">
        <v>0</v>
      </c>
      <c r="S3370" t="str">
        <f t="shared" si="1229"/>
        <v>19:34:31.000</v>
      </c>
      <c r="T3370" t="str">
        <f t="shared" si="1229"/>
        <v>19:34:31.000</v>
      </c>
      <c r="U3370" t="str">
        <f t="shared" si="1213"/>
        <v>AC3944</v>
      </c>
      <c r="V3370">
        <v>0</v>
      </c>
      <c r="W3370">
        <v>0</v>
      </c>
      <c r="X3370">
        <v>2</v>
      </c>
      <c r="Y3370">
        <v>0</v>
      </c>
      <c r="AA3370">
        <v>1</v>
      </c>
      <c r="AB3370">
        <v>8</v>
      </c>
      <c r="AC3370">
        <v>3</v>
      </c>
      <c r="AD3370">
        <v>0</v>
      </c>
      <c r="AE3370">
        <v>9</v>
      </c>
      <c r="AF3370" t="s">
        <v>138</v>
      </c>
      <c r="AG3370">
        <v>0</v>
      </c>
      <c r="AH3370">
        <v>3</v>
      </c>
      <c r="AI3370">
        <v>1</v>
      </c>
      <c r="AJ3370">
        <v>0</v>
      </c>
      <c r="AK3370" t="s">
        <v>1105</v>
      </c>
      <c r="AL3370">
        <v>32.727134</v>
      </c>
      <c r="AM3370" t="s">
        <v>1106</v>
      </c>
      <c r="AN3370">
        <v>-116.75069999999999</v>
      </c>
      <c r="AO3370">
        <v>25</v>
      </c>
      <c r="AP3370">
        <v>3900</v>
      </c>
      <c r="AQ3370" t="s">
        <v>129</v>
      </c>
      <c r="AR3370">
        <v>87</v>
      </c>
      <c r="AS3370">
        <v>87</v>
      </c>
      <c r="AT3370">
        <v>1280</v>
      </c>
      <c r="BB3370">
        <v>1200</v>
      </c>
      <c r="BC3370">
        <v>1</v>
      </c>
      <c r="BD3370" t="str">
        <f t="shared" si="1214"/>
        <v xml:space="preserve">N887QR  </v>
      </c>
      <c r="BE3370">
        <v>1</v>
      </c>
      <c r="BG3370">
        <v>0</v>
      </c>
      <c r="BH3370">
        <v>0</v>
      </c>
      <c r="BI3370">
        <v>0</v>
      </c>
      <c r="BJ3370">
        <v>3675</v>
      </c>
      <c r="BK3370">
        <v>-225</v>
      </c>
      <c r="BL3370" t="s">
        <v>163</v>
      </c>
      <c r="BM3370">
        <v>1</v>
      </c>
      <c r="BN3370">
        <v>1</v>
      </c>
      <c r="BO3370">
        <v>1</v>
      </c>
      <c r="BP3370">
        <v>0</v>
      </c>
      <c r="BS3370">
        <v>0</v>
      </c>
      <c r="BT3370">
        <v>0</v>
      </c>
      <c r="BU3370">
        <v>0</v>
      </c>
      <c r="CE3370" t="str">
        <f t="shared" si="1230"/>
        <v>19:34:31.753</v>
      </c>
      <c r="CF3370">
        <v>753200330</v>
      </c>
      <c r="CS3370">
        <v>0</v>
      </c>
      <c r="CT3370">
        <v>2</v>
      </c>
      <c r="CU3370">
        <v>0</v>
      </c>
      <c r="CV3370">
        <v>2</v>
      </c>
      <c r="CW3370">
        <v>0</v>
      </c>
      <c r="CX3370">
        <v>6</v>
      </c>
      <c r="CY3370">
        <v>7</v>
      </c>
      <c r="CZ3370" t="s">
        <v>131</v>
      </c>
      <c r="DA3370">
        <v>300</v>
      </c>
      <c r="DB3370">
        <v>0</v>
      </c>
      <c r="DC3370" t="s">
        <v>176</v>
      </c>
      <c r="DD3370" t="s">
        <v>177</v>
      </c>
      <c r="DG3370">
        <v>5436147</v>
      </c>
      <c r="DI3370">
        <v>1</v>
      </c>
      <c r="DJ3370">
        <v>0</v>
      </c>
      <c r="DK3370">
        <v>1</v>
      </c>
      <c r="DL3370">
        <v>0</v>
      </c>
      <c r="DM3370">
        <v>0</v>
      </c>
      <c r="DN3370">
        <v>1</v>
      </c>
      <c r="DO3370">
        <v>0</v>
      </c>
      <c r="DP3370">
        <v>0</v>
      </c>
      <c r="DQ3370">
        <v>0</v>
      </c>
      <c r="DR3370">
        <v>0</v>
      </c>
      <c r="DS3370">
        <v>0</v>
      </c>
    </row>
    <row r="3371" spans="1:123" x14ac:dyDescent="0.3">
      <c r="A3371" t="str">
        <f>"10/04/2022 19:34:33.417"</f>
        <v>10/04/2022 19:34:33.417</v>
      </c>
      <c r="C3371" t="str">
        <f t="shared" si="1231"/>
        <v>FFDFD3C0</v>
      </c>
      <c r="D3371" t="s">
        <v>143</v>
      </c>
      <c r="E3371">
        <v>20</v>
      </c>
      <c r="F3371">
        <v>1020</v>
      </c>
      <c r="G3371" t="s">
        <v>144</v>
      </c>
      <c r="J3371" t="s">
        <v>145</v>
      </c>
      <c r="K3371">
        <v>0</v>
      </c>
      <c r="L3371">
        <v>3</v>
      </c>
      <c r="M3371">
        <v>0</v>
      </c>
      <c r="N3371">
        <v>2</v>
      </c>
      <c r="O3371">
        <v>0</v>
      </c>
      <c r="P3371">
        <v>1</v>
      </c>
      <c r="Q3371">
        <v>0</v>
      </c>
      <c r="S3371" t="str">
        <f t="shared" ref="S3371:T3374" si="1232">"19:34:32.000"</f>
        <v>19:34:32.000</v>
      </c>
      <c r="T3371" t="str">
        <f t="shared" si="1232"/>
        <v>19:34:32.000</v>
      </c>
      <c r="U3371" t="str">
        <f t="shared" si="1213"/>
        <v>AC3944</v>
      </c>
      <c r="V3371">
        <v>0</v>
      </c>
      <c r="W3371">
        <v>0</v>
      </c>
      <c r="X3371">
        <v>2</v>
      </c>
      <c r="Y3371">
        <v>0</v>
      </c>
      <c r="AA3371">
        <v>1</v>
      </c>
      <c r="AB3371">
        <v>8</v>
      </c>
      <c r="AC3371">
        <v>3</v>
      </c>
      <c r="AD3371">
        <v>0</v>
      </c>
      <c r="AE3371">
        <v>9</v>
      </c>
      <c r="AF3371" t="s">
        <v>138</v>
      </c>
      <c r="AG3371">
        <v>0</v>
      </c>
      <c r="AH3371">
        <v>3</v>
      </c>
      <c r="AI3371">
        <v>1</v>
      </c>
      <c r="AJ3371">
        <v>0</v>
      </c>
      <c r="AK3371" t="s">
        <v>1107</v>
      </c>
      <c r="AL3371">
        <v>32.727519999999998</v>
      </c>
      <c r="AM3371" t="s">
        <v>1108</v>
      </c>
      <c r="AN3371">
        <v>-116.75022800000001</v>
      </c>
      <c r="AO3371">
        <v>25</v>
      </c>
      <c r="AP3371">
        <v>4000</v>
      </c>
      <c r="AQ3371" t="s">
        <v>129</v>
      </c>
      <c r="AR3371">
        <v>91</v>
      </c>
      <c r="AS3371">
        <v>81</v>
      </c>
      <c r="AT3371">
        <v>1344</v>
      </c>
      <c r="BB3371">
        <v>1200</v>
      </c>
      <c r="BC3371">
        <v>1</v>
      </c>
      <c r="BD3371" t="str">
        <f t="shared" si="1214"/>
        <v xml:space="preserve">N887QR  </v>
      </c>
      <c r="BE3371">
        <v>1</v>
      </c>
      <c r="BG3371">
        <v>0</v>
      </c>
      <c r="BH3371">
        <v>0</v>
      </c>
      <c r="BI3371">
        <v>0</v>
      </c>
      <c r="BJ3371">
        <v>3675</v>
      </c>
      <c r="BK3371">
        <v>-325</v>
      </c>
      <c r="BL3371" t="s">
        <v>163</v>
      </c>
      <c r="BM3371">
        <v>1</v>
      </c>
      <c r="BN3371">
        <v>1</v>
      </c>
      <c r="BO3371">
        <v>1</v>
      </c>
      <c r="BP3371">
        <v>0</v>
      </c>
      <c r="BS3371">
        <v>0</v>
      </c>
      <c r="BT3371">
        <v>0</v>
      </c>
      <c r="BU3371">
        <v>0</v>
      </c>
      <c r="CE3371" t="str">
        <f>"19:34:32.928"</f>
        <v>19:34:32.928</v>
      </c>
      <c r="CF3371">
        <v>928454036</v>
      </c>
      <c r="CS3371">
        <v>0</v>
      </c>
      <c r="CT3371">
        <v>2</v>
      </c>
      <c r="CU3371">
        <v>0</v>
      </c>
      <c r="CV3371">
        <v>2</v>
      </c>
      <c r="CW3371">
        <v>0</v>
      </c>
      <c r="CX3371">
        <v>6</v>
      </c>
      <c r="CY3371">
        <v>7</v>
      </c>
      <c r="CZ3371" t="s">
        <v>131</v>
      </c>
      <c r="DA3371">
        <v>300</v>
      </c>
      <c r="DB3371">
        <v>0</v>
      </c>
      <c r="DC3371" t="s">
        <v>176</v>
      </c>
      <c r="DD3371" t="s">
        <v>177</v>
      </c>
      <c r="DG3371">
        <v>5436324</v>
      </c>
      <c r="DI3371">
        <v>1</v>
      </c>
      <c r="DJ3371">
        <v>0</v>
      </c>
      <c r="DK3371">
        <v>0</v>
      </c>
      <c r="DL3371">
        <v>0</v>
      </c>
      <c r="DM3371">
        <v>0</v>
      </c>
      <c r="DN3371">
        <v>1</v>
      </c>
      <c r="DO3371">
        <v>0</v>
      </c>
      <c r="DP3371">
        <v>0</v>
      </c>
      <c r="DQ3371">
        <v>0</v>
      </c>
      <c r="DR3371">
        <v>0</v>
      </c>
      <c r="DS3371">
        <v>0</v>
      </c>
    </row>
    <row r="3372" spans="1:123" x14ac:dyDescent="0.3">
      <c r="A3372" t="str">
        <f>"10/04/2022 19:34:33.417"</f>
        <v>10/04/2022 19:34:33.417</v>
      </c>
      <c r="C3372" t="str">
        <f t="shared" si="1231"/>
        <v>FFDFD3C0</v>
      </c>
      <c r="D3372" t="s">
        <v>136</v>
      </c>
      <c r="E3372">
        <v>8</v>
      </c>
      <c r="H3372">
        <v>225</v>
      </c>
      <c r="I3372" t="s">
        <v>137</v>
      </c>
      <c r="J3372" t="s">
        <v>138</v>
      </c>
      <c r="K3372">
        <v>0</v>
      </c>
      <c r="L3372">
        <v>3</v>
      </c>
      <c r="M3372">
        <v>0</v>
      </c>
      <c r="N3372">
        <v>2</v>
      </c>
      <c r="O3372">
        <v>0</v>
      </c>
      <c r="P3372">
        <v>1</v>
      </c>
      <c r="Q3372">
        <v>0</v>
      </c>
      <c r="S3372" t="str">
        <f t="shared" si="1232"/>
        <v>19:34:32.000</v>
      </c>
      <c r="T3372" t="str">
        <f t="shared" si="1232"/>
        <v>19:34:32.000</v>
      </c>
      <c r="U3372" t="str">
        <f t="shared" si="1213"/>
        <v>AC3944</v>
      </c>
      <c r="V3372">
        <v>0</v>
      </c>
      <c r="W3372">
        <v>0</v>
      </c>
      <c r="X3372">
        <v>2</v>
      </c>
      <c r="Y3372">
        <v>0</v>
      </c>
      <c r="AA3372">
        <v>1</v>
      </c>
      <c r="AB3372">
        <v>8</v>
      </c>
      <c r="AC3372">
        <v>3</v>
      </c>
      <c r="AD3372">
        <v>0</v>
      </c>
      <c r="AE3372">
        <v>9</v>
      </c>
      <c r="AF3372" t="s">
        <v>138</v>
      </c>
      <c r="AG3372">
        <v>0</v>
      </c>
      <c r="AH3372">
        <v>3</v>
      </c>
      <c r="AI3372">
        <v>1</v>
      </c>
      <c r="AJ3372">
        <v>0</v>
      </c>
      <c r="AK3372" t="s">
        <v>1107</v>
      </c>
      <c r="AL3372">
        <v>32.727519999999998</v>
      </c>
      <c r="AM3372" t="s">
        <v>1108</v>
      </c>
      <c r="AN3372">
        <v>-116.75022800000001</v>
      </c>
      <c r="AO3372">
        <v>25</v>
      </c>
      <c r="AP3372">
        <v>4000</v>
      </c>
      <c r="AQ3372" t="s">
        <v>129</v>
      </c>
      <c r="AR3372">
        <v>91</v>
      </c>
      <c r="AS3372">
        <v>81</v>
      </c>
      <c r="AT3372">
        <v>1344</v>
      </c>
      <c r="BB3372">
        <v>1200</v>
      </c>
      <c r="BC3372">
        <v>1</v>
      </c>
      <c r="BD3372" t="str">
        <f t="shared" si="1214"/>
        <v xml:space="preserve">N887QR  </v>
      </c>
      <c r="BE3372">
        <v>1</v>
      </c>
      <c r="BG3372">
        <v>0</v>
      </c>
      <c r="BH3372">
        <v>0</v>
      </c>
      <c r="BI3372">
        <v>0</v>
      </c>
      <c r="BJ3372">
        <v>3675</v>
      </c>
      <c r="BK3372">
        <v>-325</v>
      </c>
      <c r="BL3372" t="s">
        <v>163</v>
      </c>
      <c r="BM3372">
        <v>1</v>
      </c>
      <c r="BN3372">
        <v>1</v>
      </c>
      <c r="BO3372">
        <v>1</v>
      </c>
      <c r="BP3372">
        <v>0</v>
      </c>
      <c r="BS3372">
        <v>0</v>
      </c>
      <c r="BT3372">
        <v>0</v>
      </c>
      <c r="BU3372">
        <v>0</v>
      </c>
      <c r="CE3372" t="str">
        <f>"19:34:32.928"</f>
        <v>19:34:32.928</v>
      </c>
      <c r="CF3372">
        <v>928454036</v>
      </c>
      <c r="CS3372">
        <v>0</v>
      </c>
      <c r="CT3372">
        <v>2</v>
      </c>
      <c r="CU3372">
        <v>0</v>
      </c>
      <c r="CV3372">
        <v>2</v>
      </c>
      <c r="CW3372">
        <v>0</v>
      </c>
      <c r="CX3372">
        <v>6</v>
      </c>
      <c r="CY3372">
        <v>7</v>
      </c>
      <c r="CZ3372" t="s">
        <v>131</v>
      </c>
      <c r="DA3372">
        <v>300</v>
      </c>
      <c r="DB3372">
        <v>0</v>
      </c>
      <c r="DC3372" t="s">
        <v>176</v>
      </c>
      <c r="DD3372" t="s">
        <v>177</v>
      </c>
      <c r="DG3372">
        <v>5436324</v>
      </c>
      <c r="DI3372">
        <v>1</v>
      </c>
      <c r="DJ3372">
        <v>0</v>
      </c>
      <c r="DK3372">
        <v>1</v>
      </c>
      <c r="DL3372">
        <v>0</v>
      </c>
      <c r="DM3372">
        <v>0</v>
      </c>
      <c r="DN3372">
        <v>1</v>
      </c>
      <c r="DO3372">
        <v>0</v>
      </c>
      <c r="DP3372">
        <v>0</v>
      </c>
      <c r="DQ3372">
        <v>0</v>
      </c>
      <c r="DR3372">
        <v>0</v>
      </c>
      <c r="DS3372">
        <v>0</v>
      </c>
    </row>
    <row r="3373" spans="1:123" x14ac:dyDescent="0.3">
      <c r="A3373" t="str">
        <f>"10/04/2022 19:34:33.417"</f>
        <v>10/04/2022 19:34:33.417</v>
      </c>
      <c r="C3373" t="str">
        <f t="shared" si="1231"/>
        <v>FFDFD3C0</v>
      </c>
      <c r="D3373" t="s">
        <v>123</v>
      </c>
      <c r="E3373">
        <v>7</v>
      </c>
      <c r="F3373">
        <v>2007</v>
      </c>
      <c r="G3373" t="s">
        <v>124</v>
      </c>
      <c r="J3373" t="s">
        <v>125</v>
      </c>
      <c r="K3373">
        <v>0</v>
      </c>
      <c r="L3373">
        <v>3</v>
      </c>
      <c r="M3373">
        <v>0</v>
      </c>
      <c r="N3373">
        <v>2</v>
      </c>
      <c r="O3373">
        <v>0</v>
      </c>
      <c r="P3373">
        <v>1</v>
      </c>
      <c r="Q3373">
        <v>0</v>
      </c>
      <c r="S3373" t="str">
        <f t="shared" si="1232"/>
        <v>19:34:32.000</v>
      </c>
      <c r="T3373" t="str">
        <f t="shared" si="1232"/>
        <v>19:34:32.000</v>
      </c>
      <c r="U3373" t="str">
        <f t="shared" si="1213"/>
        <v>AC3944</v>
      </c>
      <c r="V3373">
        <v>0</v>
      </c>
      <c r="W3373">
        <v>0</v>
      </c>
      <c r="X3373">
        <v>2</v>
      </c>
      <c r="Y3373">
        <v>0</v>
      </c>
      <c r="AA3373">
        <v>1</v>
      </c>
      <c r="AB3373">
        <v>8</v>
      </c>
      <c r="AC3373">
        <v>3</v>
      </c>
      <c r="AD3373">
        <v>0</v>
      </c>
      <c r="AE3373">
        <v>9</v>
      </c>
      <c r="AF3373" t="s">
        <v>138</v>
      </c>
      <c r="AG3373">
        <v>0</v>
      </c>
      <c r="AH3373">
        <v>3</v>
      </c>
      <c r="AI3373">
        <v>1</v>
      </c>
      <c r="AJ3373">
        <v>0</v>
      </c>
      <c r="AK3373" t="s">
        <v>1107</v>
      </c>
      <c r="AL3373">
        <v>32.727519999999998</v>
      </c>
      <c r="AM3373" t="s">
        <v>1108</v>
      </c>
      <c r="AN3373">
        <v>-116.75022800000001</v>
      </c>
      <c r="AO3373">
        <v>25</v>
      </c>
      <c r="AP3373">
        <v>4000</v>
      </c>
      <c r="AQ3373" t="s">
        <v>129</v>
      </c>
      <c r="AR3373">
        <v>91</v>
      </c>
      <c r="AS3373">
        <v>81</v>
      </c>
      <c r="AT3373">
        <v>1344</v>
      </c>
      <c r="BB3373">
        <v>1200</v>
      </c>
      <c r="BC3373">
        <v>1</v>
      </c>
      <c r="BD3373" t="str">
        <f t="shared" si="1214"/>
        <v xml:space="preserve">N887QR  </v>
      </c>
      <c r="BE3373">
        <v>1</v>
      </c>
      <c r="BG3373">
        <v>0</v>
      </c>
      <c r="BH3373">
        <v>0</v>
      </c>
      <c r="BI3373">
        <v>0</v>
      </c>
      <c r="BJ3373">
        <v>3675</v>
      </c>
      <c r="BK3373">
        <v>-325</v>
      </c>
      <c r="BL3373" t="s">
        <v>163</v>
      </c>
      <c r="BM3373">
        <v>1</v>
      </c>
      <c r="BN3373">
        <v>1</v>
      </c>
      <c r="BO3373">
        <v>1</v>
      </c>
      <c r="BP3373">
        <v>0</v>
      </c>
      <c r="BS3373">
        <v>0</v>
      </c>
      <c r="BT3373">
        <v>0</v>
      </c>
      <c r="BU3373">
        <v>0</v>
      </c>
      <c r="CE3373" t="str">
        <f>"19:34:32.928"</f>
        <v>19:34:32.928</v>
      </c>
      <c r="CF3373">
        <v>928454036</v>
      </c>
      <c r="CS3373">
        <v>0</v>
      </c>
      <c r="CT3373">
        <v>2</v>
      </c>
      <c r="CU3373">
        <v>0</v>
      </c>
      <c r="CV3373">
        <v>2</v>
      </c>
      <c r="CW3373">
        <v>0</v>
      </c>
      <c r="CX3373">
        <v>6</v>
      </c>
      <c r="CY3373">
        <v>7</v>
      </c>
      <c r="CZ3373" t="s">
        <v>131</v>
      </c>
      <c r="DA3373">
        <v>300</v>
      </c>
      <c r="DB3373">
        <v>0</v>
      </c>
      <c r="DC3373" t="s">
        <v>176</v>
      </c>
      <c r="DD3373" t="s">
        <v>177</v>
      </c>
      <c r="DG3373">
        <v>5436324</v>
      </c>
      <c r="DI3373">
        <v>1</v>
      </c>
      <c r="DJ3373">
        <v>0</v>
      </c>
      <c r="DK3373">
        <v>0</v>
      </c>
      <c r="DL3373">
        <v>0</v>
      </c>
      <c r="DM3373">
        <v>0</v>
      </c>
      <c r="DN3373">
        <v>1</v>
      </c>
      <c r="DO3373">
        <v>0</v>
      </c>
      <c r="DP3373">
        <v>0</v>
      </c>
      <c r="DQ3373">
        <v>0</v>
      </c>
      <c r="DR3373">
        <v>0</v>
      </c>
      <c r="DS3373">
        <v>0</v>
      </c>
    </row>
    <row r="3374" spans="1:123" x14ac:dyDescent="0.3">
      <c r="A3374" t="str">
        <f>"10/04/2022 19:34:33.417"</f>
        <v>10/04/2022 19:34:33.417</v>
      </c>
      <c r="C3374" t="str">
        <f t="shared" si="1231"/>
        <v>FFDFD3C0</v>
      </c>
      <c r="D3374" t="s">
        <v>147</v>
      </c>
      <c r="E3374">
        <v>3</v>
      </c>
      <c r="H3374">
        <v>166</v>
      </c>
      <c r="I3374" t="s">
        <v>144</v>
      </c>
      <c r="J3374" t="s">
        <v>148</v>
      </c>
      <c r="K3374">
        <v>0</v>
      </c>
      <c r="L3374">
        <v>3</v>
      </c>
      <c r="M3374">
        <v>0</v>
      </c>
      <c r="N3374">
        <v>2</v>
      </c>
      <c r="O3374">
        <v>0</v>
      </c>
      <c r="P3374">
        <v>1</v>
      </c>
      <c r="Q3374">
        <v>0</v>
      </c>
      <c r="S3374" t="str">
        <f t="shared" si="1232"/>
        <v>19:34:32.000</v>
      </c>
      <c r="T3374" t="str">
        <f t="shared" si="1232"/>
        <v>19:34:32.000</v>
      </c>
      <c r="U3374" t="str">
        <f t="shared" si="1213"/>
        <v>AC3944</v>
      </c>
      <c r="V3374">
        <v>0</v>
      </c>
      <c r="W3374">
        <v>0</v>
      </c>
      <c r="X3374">
        <v>2</v>
      </c>
      <c r="Y3374">
        <v>0</v>
      </c>
      <c r="AA3374">
        <v>1</v>
      </c>
      <c r="AB3374">
        <v>8</v>
      </c>
      <c r="AC3374">
        <v>3</v>
      </c>
      <c r="AD3374">
        <v>0</v>
      </c>
      <c r="AE3374">
        <v>9</v>
      </c>
      <c r="AF3374" t="s">
        <v>138</v>
      </c>
      <c r="AG3374">
        <v>0</v>
      </c>
      <c r="AH3374">
        <v>3</v>
      </c>
      <c r="AI3374">
        <v>1</v>
      </c>
      <c r="AJ3374">
        <v>0</v>
      </c>
      <c r="AK3374" t="s">
        <v>1107</v>
      </c>
      <c r="AL3374">
        <v>32.727519999999998</v>
      </c>
      <c r="AM3374" t="s">
        <v>1108</v>
      </c>
      <c r="AN3374">
        <v>-116.75022800000001</v>
      </c>
      <c r="AO3374">
        <v>25</v>
      </c>
      <c r="AP3374">
        <v>4000</v>
      </c>
      <c r="AQ3374" t="s">
        <v>129</v>
      </c>
      <c r="AR3374">
        <v>91</v>
      </c>
      <c r="AS3374">
        <v>81</v>
      </c>
      <c r="AT3374">
        <v>1344</v>
      </c>
      <c r="BB3374">
        <v>1200</v>
      </c>
      <c r="BC3374">
        <v>1</v>
      </c>
      <c r="BD3374" t="str">
        <f t="shared" si="1214"/>
        <v xml:space="preserve">N887QR  </v>
      </c>
      <c r="BE3374">
        <v>1</v>
      </c>
      <c r="BG3374">
        <v>0</v>
      </c>
      <c r="BH3374">
        <v>0</v>
      </c>
      <c r="BI3374">
        <v>0</v>
      </c>
      <c r="BJ3374">
        <v>3675</v>
      </c>
      <c r="BK3374">
        <v>-325</v>
      </c>
      <c r="BL3374" t="s">
        <v>163</v>
      </c>
      <c r="BM3374">
        <v>1</v>
      </c>
      <c r="BN3374">
        <v>1</v>
      </c>
      <c r="BO3374">
        <v>1</v>
      </c>
      <c r="BP3374">
        <v>0</v>
      </c>
      <c r="BS3374">
        <v>0</v>
      </c>
      <c r="BT3374">
        <v>0</v>
      </c>
      <c r="BU3374">
        <v>0</v>
      </c>
      <c r="CE3374" t="str">
        <f>"19:34:32.928"</f>
        <v>19:34:32.928</v>
      </c>
      <c r="CF3374">
        <v>928454036</v>
      </c>
      <c r="CS3374">
        <v>0</v>
      </c>
      <c r="CT3374">
        <v>2</v>
      </c>
      <c r="CU3374">
        <v>0</v>
      </c>
      <c r="CV3374">
        <v>2</v>
      </c>
      <c r="CW3374">
        <v>0</v>
      </c>
      <c r="CX3374">
        <v>6</v>
      </c>
      <c r="CY3374">
        <v>7</v>
      </c>
      <c r="CZ3374" t="s">
        <v>131</v>
      </c>
      <c r="DA3374">
        <v>300</v>
      </c>
      <c r="DB3374">
        <v>0</v>
      </c>
      <c r="DC3374" t="s">
        <v>176</v>
      </c>
      <c r="DD3374" t="s">
        <v>177</v>
      </c>
      <c r="DG3374">
        <v>5436324</v>
      </c>
      <c r="DI3374">
        <v>1</v>
      </c>
      <c r="DJ3374">
        <v>0</v>
      </c>
      <c r="DK3374">
        <v>1</v>
      </c>
      <c r="DL3374">
        <v>0</v>
      </c>
      <c r="DM3374">
        <v>0</v>
      </c>
      <c r="DN3374">
        <v>1</v>
      </c>
      <c r="DO3374">
        <v>0</v>
      </c>
      <c r="DP3374">
        <v>0</v>
      </c>
      <c r="DQ3374">
        <v>0</v>
      </c>
      <c r="DR3374">
        <v>0</v>
      </c>
      <c r="DS3374">
        <v>0</v>
      </c>
    </row>
    <row r="3375" spans="1:123" x14ac:dyDescent="0.3">
      <c r="A3375" t="str">
        <f>"10/04/2022 19:34:33.995"</f>
        <v>10/04/2022 19:34:33.995</v>
      </c>
      <c r="C3375" t="str">
        <f t="shared" si="1231"/>
        <v>FFDFD3C0</v>
      </c>
      <c r="D3375" t="s">
        <v>134</v>
      </c>
      <c r="E3375">
        <v>15</v>
      </c>
      <c r="J3375" t="s">
        <v>135</v>
      </c>
      <c r="K3375">
        <v>0</v>
      </c>
      <c r="L3375">
        <v>3</v>
      </c>
      <c r="M3375">
        <v>0</v>
      </c>
      <c r="N3375">
        <v>2</v>
      </c>
      <c r="O3375">
        <v>0</v>
      </c>
      <c r="P3375">
        <v>1</v>
      </c>
      <c r="Q3375">
        <v>0</v>
      </c>
      <c r="S3375" t="str">
        <f t="shared" ref="S3375:T3381" si="1233">"19:34:33.000"</f>
        <v>19:34:33.000</v>
      </c>
      <c r="T3375" t="str">
        <f t="shared" si="1233"/>
        <v>19:34:33.000</v>
      </c>
      <c r="U3375" t="str">
        <f t="shared" si="1213"/>
        <v>AC3944</v>
      </c>
      <c r="V3375">
        <v>0</v>
      </c>
      <c r="W3375">
        <v>0</v>
      </c>
      <c r="X3375">
        <v>2</v>
      </c>
      <c r="Y3375">
        <v>0</v>
      </c>
      <c r="AA3375">
        <v>1</v>
      </c>
      <c r="AB3375">
        <v>8</v>
      </c>
      <c r="AC3375">
        <v>3</v>
      </c>
      <c r="AD3375">
        <v>0</v>
      </c>
      <c r="AE3375">
        <v>9</v>
      </c>
      <c r="AF3375" t="s">
        <v>138</v>
      </c>
      <c r="AG3375">
        <v>0</v>
      </c>
      <c r="AH3375">
        <v>3</v>
      </c>
      <c r="AI3375">
        <v>1</v>
      </c>
      <c r="AJ3375">
        <v>0</v>
      </c>
      <c r="AK3375" t="s">
        <v>1109</v>
      </c>
      <c r="AL3375">
        <v>32.727885000000001</v>
      </c>
      <c r="AM3375" t="s">
        <v>1110</v>
      </c>
      <c r="AN3375">
        <v>-116.749713</v>
      </c>
      <c r="AO3375">
        <v>25</v>
      </c>
      <c r="AP3375">
        <v>4000</v>
      </c>
      <c r="AQ3375" t="s">
        <v>129</v>
      </c>
      <c r="AR3375">
        <v>94</v>
      </c>
      <c r="AS3375">
        <v>76</v>
      </c>
      <c r="AT3375">
        <v>1344</v>
      </c>
      <c r="BB3375">
        <v>1200</v>
      </c>
      <c r="BC3375">
        <v>1</v>
      </c>
      <c r="BD3375" t="str">
        <f t="shared" si="1214"/>
        <v xml:space="preserve">N887QR  </v>
      </c>
      <c r="BE3375">
        <v>1</v>
      </c>
      <c r="BG3375">
        <v>0</v>
      </c>
      <c r="BH3375">
        <v>0</v>
      </c>
      <c r="BI3375">
        <v>0</v>
      </c>
      <c r="BJ3375">
        <v>3725</v>
      </c>
      <c r="BK3375">
        <v>-275</v>
      </c>
      <c r="BL3375" t="s">
        <v>163</v>
      </c>
      <c r="BM3375">
        <v>1</v>
      </c>
      <c r="BN3375">
        <v>1</v>
      </c>
      <c r="BO3375">
        <v>1</v>
      </c>
      <c r="BP3375">
        <v>0</v>
      </c>
      <c r="BS3375">
        <v>0</v>
      </c>
      <c r="BT3375">
        <v>0</v>
      </c>
      <c r="BU3375">
        <v>0</v>
      </c>
      <c r="CE3375" t="str">
        <f t="shared" ref="CE3375:CE3381" si="1234">"19:34:33.792"</f>
        <v>19:34:33.792</v>
      </c>
      <c r="CF3375">
        <v>791639723</v>
      </c>
      <c r="CS3375">
        <v>0</v>
      </c>
      <c r="CT3375">
        <v>2</v>
      </c>
      <c r="CU3375">
        <v>0</v>
      </c>
      <c r="CV3375">
        <v>2</v>
      </c>
      <c r="CW3375">
        <v>0</v>
      </c>
      <c r="CX3375">
        <v>5</v>
      </c>
      <c r="CY3375">
        <v>7</v>
      </c>
      <c r="CZ3375" t="s">
        <v>131</v>
      </c>
      <c r="DA3375">
        <v>286</v>
      </c>
      <c r="DB3375">
        <v>0</v>
      </c>
      <c r="DC3375" t="s">
        <v>132</v>
      </c>
      <c r="DD3375" t="s">
        <v>133</v>
      </c>
      <c r="DG3375">
        <v>875765</v>
      </c>
      <c r="DI3375">
        <v>1</v>
      </c>
      <c r="DJ3375">
        <v>0</v>
      </c>
      <c r="DK3375">
        <v>0</v>
      </c>
      <c r="DL3375">
        <v>0</v>
      </c>
      <c r="DM3375">
        <v>0</v>
      </c>
      <c r="DN3375">
        <v>1</v>
      </c>
      <c r="DO3375">
        <v>0</v>
      </c>
      <c r="DP3375">
        <v>0</v>
      </c>
      <c r="DQ3375">
        <v>0</v>
      </c>
      <c r="DR3375">
        <v>0</v>
      </c>
      <c r="DS3375">
        <v>0</v>
      </c>
    </row>
    <row r="3376" spans="1:123" x14ac:dyDescent="0.3">
      <c r="A3376" t="str">
        <f>"10/04/2022 19:34:33.995"</f>
        <v>10/04/2022 19:34:33.995</v>
      </c>
      <c r="C3376" t="str">
        <f t="shared" si="1231"/>
        <v>FFDFD3C0</v>
      </c>
      <c r="D3376" t="s">
        <v>141</v>
      </c>
      <c r="E3376">
        <v>3</v>
      </c>
      <c r="H3376">
        <v>3</v>
      </c>
      <c r="I3376" t="s">
        <v>146</v>
      </c>
      <c r="J3376" t="s">
        <v>138</v>
      </c>
      <c r="K3376">
        <v>0</v>
      </c>
      <c r="L3376">
        <v>3</v>
      </c>
      <c r="M3376">
        <v>0</v>
      </c>
      <c r="N3376">
        <v>2</v>
      </c>
      <c r="O3376">
        <v>0</v>
      </c>
      <c r="P3376">
        <v>1</v>
      </c>
      <c r="Q3376">
        <v>0</v>
      </c>
      <c r="S3376" t="str">
        <f t="shared" si="1233"/>
        <v>19:34:33.000</v>
      </c>
      <c r="T3376" t="str">
        <f t="shared" si="1233"/>
        <v>19:34:33.000</v>
      </c>
      <c r="U3376" t="str">
        <f t="shared" si="1213"/>
        <v>AC3944</v>
      </c>
      <c r="V3376">
        <v>0</v>
      </c>
      <c r="W3376">
        <v>0</v>
      </c>
      <c r="X3376">
        <v>2</v>
      </c>
      <c r="Y3376">
        <v>0</v>
      </c>
      <c r="AA3376">
        <v>1</v>
      </c>
      <c r="AB3376">
        <v>8</v>
      </c>
      <c r="AC3376">
        <v>3</v>
      </c>
      <c r="AD3376">
        <v>0</v>
      </c>
      <c r="AE3376">
        <v>9</v>
      </c>
      <c r="AF3376" t="s">
        <v>138</v>
      </c>
      <c r="AG3376">
        <v>0</v>
      </c>
      <c r="AH3376">
        <v>3</v>
      </c>
      <c r="AI3376">
        <v>1</v>
      </c>
      <c r="AJ3376">
        <v>0</v>
      </c>
      <c r="AK3376" t="s">
        <v>1109</v>
      </c>
      <c r="AL3376">
        <v>32.727885000000001</v>
      </c>
      <c r="AM3376" t="s">
        <v>1110</v>
      </c>
      <c r="AN3376">
        <v>-116.749713</v>
      </c>
      <c r="AO3376">
        <v>25</v>
      </c>
      <c r="AP3376">
        <v>4000</v>
      </c>
      <c r="AQ3376" t="s">
        <v>129</v>
      </c>
      <c r="AR3376">
        <v>94</v>
      </c>
      <c r="AS3376">
        <v>76</v>
      </c>
      <c r="AT3376">
        <v>1344</v>
      </c>
      <c r="BB3376">
        <v>1200</v>
      </c>
      <c r="BC3376">
        <v>1</v>
      </c>
      <c r="BD3376" t="str">
        <f t="shared" si="1214"/>
        <v xml:space="preserve">N887QR  </v>
      </c>
      <c r="BE3376">
        <v>1</v>
      </c>
      <c r="BG3376">
        <v>0</v>
      </c>
      <c r="BH3376">
        <v>0</v>
      </c>
      <c r="BI3376">
        <v>0</v>
      </c>
      <c r="BJ3376">
        <v>3725</v>
      </c>
      <c r="BK3376">
        <v>-275</v>
      </c>
      <c r="BL3376" t="s">
        <v>163</v>
      </c>
      <c r="BM3376">
        <v>1</v>
      </c>
      <c r="BN3376">
        <v>1</v>
      </c>
      <c r="BO3376">
        <v>1</v>
      </c>
      <c r="BP3376">
        <v>0</v>
      </c>
      <c r="BS3376">
        <v>0</v>
      </c>
      <c r="BT3376">
        <v>0</v>
      </c>
      <c r="BU3376">
        <v>0</v>
      </c>
      <c r="CE3376" t="str">
        <f t="shared" si="1234"/>
        <v>19:34:33.792</v>
      </c>
      <c r="CF3376">
        <v>791639723</v>
      </c>
      <c r="CS3376">
        <v>0</v>
      </c>
      <c r="CT3376">
        <v>2</v>
      </c>
      <c r="CU3376">
        <v>0</v>
      </c>
      <c r="CV3376">
        <v>2</v>
      </c>
      <c r="CW3376">
        <v>0</v>
      </c>
      <c r="CX3376">
        <v>5</v>
      </c>
      <c r="CY3376">
        <v>7</v>
      </c>
      <c r="CZ3376" t="s">
        <v>131</v>
      </c>
      <c r="DA3376">
        <v>286</v>
      </c>
      <c r="DB3376">
        <v>0</v>
      </c>
      <c r="DC3376" t="s">
        <v>132</v>
      </c>
      <c r="DD3376" t="s">
        <v>133</v>
      </c>
      <c r="DG3376">
        <v>875765</v>
      </c>
      <c r="DI3376">
        <v>1</v>
      </c>
      <c r="DJ3376">
        <v>0</v>
      </c>
      <c r="DK3376">
        <v>1</v>
      </c>
      <c r="DL3376">
        <v>0</v>
      </c>
      <c r="DM3376">
        <v>0</v>
      </c>
      <c r="DN3376">
        <v>1</v>
      </c>
      <c r="DO3376">
        <v>0</v>
      </c>
      <c r="DP3376">
        <v>0</v>
      </c>
      <c r="DQ3376">
        <v>0</v>
      </c>
      <c r="DR3376">
        <v>0</v>
      </c>
      <c r="DS3376">
        <v>0</v>
      </c>
    </row>
    <row r="3377" spans="1:123" x14ac:dyDescent="0.3">
      <c r="A3377" t="str">
        <f>"10/04/2022 19:34:33.995"</f>
        <v>10/04/2022 19:34:33.995</v>
      </c>
      <c r="C3377" t="str">
        <f t="shared" si="1231"/>
        <v>FFDFD3C0</v>
      </c>
      <c r="D3377" t="s">
        <v>143</v>
      </c>
      <c r="E3377">
        <v>20</v>
      </c>
      <c r="F3377">
        <v>1020</v>
      </c>
      <c r="G3377" t="s">
        <v>144</v>
      </c>
      <c r="J3377" t="s">
        <v>145</v>
      </c>
      <c r="K3377">
        <v>0</v>
      </c>
      <c r="L3377">
        <v>3</v>
      </c>
      <c r="M3377">
        <v>0</v>
      </c>
      <c r="N3377">
        <v>2</v>
      </c>
      <c r="O3377">
        <v>0</v>
      </c>
      <c r="P3377">
        <v>1</v>
      </c>
      <c r="Q3377">
        <v>0</v>
      </c>
      <c r="S3377" t="str">
        <f t="shared" si="1233"/>
        <v>19:34:33.000</v>
      </c>
      <c r="T3377" t="str">
        <f t="shared" si="1233"/>
        <v>19:34:33.000</v>
      </c>
      <c r="U3377" t="str">
        <f t="shared" si="1213"/>
        <v>AC3944</v>
      </c>
      <c r="V3377">
        <v>0</v>
      </c>
      <c r="W3377">
        <v>0</v>
      </c>
      <c r="X3377">
        <v>2</v>
      </c>
      <c r="Y3377">
        <v>0</v>
      </c>
      <c r="AA3377">
        <v>1</v>
      </c>
      <c r="AB3377">
        <v>8</v>
      </c>
      <c r="AC3377">
        <v>3</v>
      </c>
      <c r="AD3377">
        <v>0</v>
      </c>
      <c r="AE3377">
        <v>9</v>
      </c>
      <c r="AF3377" t="s">
        <v>138</v>
      </c>
      <c r="AG3377">
        <v>0</v>
      </c>
      <c r="AH3377">
        <v>3</v>
      </c>
      <c r="AI3377">
        <v>1</v>
      </c>
      <c r="AJ3377">
        <v>0</v>
      </c>
      <c r="AK3377" t="s">
        <v>1109</v>
      </c>
      <c r="AL3377">
        <v>32.727885000000001</v>
      </c>
      <c r="AM3377" t="s">
        <v>1110</v>
      </c>
      <c r="AN3377">
        <v>-116.749713</v>
      </c>
      <c r="AO3377">
        <v>25</v>
      </c>
      <c r="AP3377">
        <v>4000</v>
      </c>
      <c r="AQ3377" t="s">
        <v>129</v>
      </c>
      <c r="AR3377">
        <v>94</v>
      </c>
      <c r="AS3377">
        <v>76</v>
      </c>
      <c r="AT3377">
        <v>1344</v>
      </c>
      <c r="BB3377">
        <v>1200</v>
      </c>
      <c r="BC3377">
        <v>1</v>
      </c>
      <c r="BD3377" t="str">
        <f t="shared" si="1214"/>
        <v xml:space="preserve">N887QR  </v>
      </c>
      <c r="BE3377">
        <v>1</v>
      </c>
      <c r="BG3377">
        <v>0</v>
      </c>
      <c r="BH3377">
        <v>0</v>
      </c>
      <c r="BI3377">
        <v>0</v>
      </c>
      <c r="BJ3377">
        <v>3725</v>
      </c>
      <c r="BK3377">
        <v>-275</v>
      </c>
      <c r="BL3377" t="s">
        <v>163</v>
      </c>
      <c r="BM3377">
        <v>1</v>
      </c>
      <c r="BN3377">
        <v>1</v>
      </c>
      <c r="BO3377">
        <v>1</v>
      </c>
      <c r="BP3377">
        <v>0</v>
      </c>
      <c r="BS3377">
        <v>0</v>
      </c>
      <c r="BT3377">
        <v>0</v>
      </c>
      <c r="BU3377">
        <v>0</v>
      </c>
      <c r="CE3377" t="str">
        <f t="shared" si="1234"/>
        <v>19:34:33.792</v>
      </c>
      <c r="CF3377">
        <v>791639723</v>
      </c>
      <c r="CS3377">
        <v>0</v>
      </c>
      <c r="CT3377">
        <v>2</v>
      </c>
      <c r="CU3377">
        <v>0</v>
      </c>
      <c r="CV3377">
        <v>2</v>
      </c>
      <c r="CW3377">
        <v>0</v>
      </c>
      <c r="CX3377">
        <v>5</v>
      </c>
      <c r="CY3377">
        <v>7</v>
      </c>
      <c r="CZ3377" t="s">
        <v>131</v>
      </c>
      <c r="DA3377">
        <v>286</v>
      </c>
      <c r="DB3377">
        <v>0</v>
      </c>
      <c r="DC3377" t="s">
        <v>132</v>
      </c>
      <c r="DD3377" t="s">
        <v>133</v>
      </c>
      <c r="DG3377">
        <v>875765</v>
      </c>
      <c r="DI3377">
        <v>1</v>
      </c>
      <c r="DJ3377">
        <v>0</v>
      </c>
      <c r="DK3377">
        <v>1</v>
      </c>
      <c r="DL3377">
        <v>0</v>
      </c>
      <c r="DM3377">
        <v>0</v>
      </c>
      <c r="DN3377">
        <v>1</v>
      </c>
      <c r="DO3377">
        <v>0</v>
      </c>
      <c r="DP3377">
        <v>0</v>
      </c>
      <c r="DQ3377">
        <v>0</v>
      </c>
      <c r="DR3377">
        <v>0</v>
      </c>
      <c r="DS3377">
        <v>0</v>
      </c>
    </row>
    <row r="3378" spans="1:123" x14ac:dyDescent="0.3">
      <c r="A3378" t="str">
        <f>"10/04/2022 19:34:33.995"</f>
        <v>10/04/2022 19:34:33.995</v>
      </c>
      <c r="C3378" t="str">
        <f t="shared" si="1231"/>
        <v>FFDFD3C0</v>
      </c>
      <c r="D3378" t="s">
        <v>141</v>
      </c>
      <c r="E3378">
        <v>4</v>
      </c>
      <c r="H3378">
        <v>4</v>
      </c>
      <c r="I3378" t="s">
        <v>142</v>
      </c>
      <c r="J3378" t="s">
        <v>138</v>
      </c>
      <c r="K3378">
        <v>0</v>
      </c>
      <c r="L3378">
        <v>3</v>
      </c>
      <c r="M3378">
        <v>0</v>
      </c>
      <c r="N3378">
        <v>2</v>
      </c>
      <c r="O3378">
        <v>0</v>
      </c>
      <c r="P3378">
        <v>1</v>
      </c>
      <c r="Q3378">
        <v>0</v>
      </c>
      <c r="S3378" t="str">
        <f t="shared" si="1233"/>
        <v>19:34:33.000</v>
      </c>
      <c r="T3378" t="str">
        <f t="shared" si="1233"/>
        <v>19:34:33.000</v>
      </c>
      <c r="U3378" t="str">
        <f t="shared" si="1213"/>
        <v>AC3944</v>
      </c>
      <c r="V3378">
        <v>0</v>
      </c>
      <c r="W3378">
        <v>0</v>
      </c>
      <c r="X3378">
        <v>2</v>
      </c>
      <c r="Y3378">
        <v>0</v>
      </c>
      <c r="AA3378">
        <v>1</v>
      </c>
      <c r="AB3378">
        <v>8</v>
      </c>
      <c r="AC3378">
        <v>3</v>
      </c>
      <c r="AD3378">
        <v>0</v>
      </c>
      <c r="AE3378">
        <v>9</v>
      </c>
      <c r="AF3378" t="s">
        <v>138</v>
      </c>
      <c r="AG3378">
        <v>0</v>
      </c>
      <c r="AH3378">
        <v>3</v>
      </c>
      <c r="AI3378">
        <v>1</v>
      </c>
      <c r="AJ3378">
        <v>0</v>
      </c>
      <c r="AK3378" t="s">
        <v>1109</v>
      </c>
      <c r="AL3378">
        <v>32.727885000000001</v>
      </c>
      <c r="AM3378" t="s">
        <v>1110</v>
      </c>
      <c r="AN3378">
        <v>-116.749713</v>
      </c>
      <c r="AO3378">
        <v>25</v>
      </c>
      <c r="AP3378">
        <v>4000</v>
      </c>
      <c r="AQ3378" t="s">
        <v>129</v>
      </c>
      <c r="AR3378">
        <v>94</v>
      </c>
      <c r="AS3378">
        <v>76</v>
      </c>
      <c r="AT3378">
        <v>1344</v>
      </c>
      <c r="BB3378">
        <v>1200</v>
      </c>
      <c r="BC3378">
        <v>1</v>
      </c>
      <c r="BD3378" t="str">
        <f t="shared" si="1214"/>
        <v xml:space="preserve">N887QR  </v>
      </c>
      <c r="BE3378">
        <v>1</v>
      </c>
      <c r="BG3378">
        <v>0</v>
      </c>
      <c r="BH3378">
        <v>0</v>
      </c>
      <c r="BI3378">
        <v>0</v>
      </c>
      <c r="BJ3378">
        <v>3725</v>
      </c>
      <c r="BK3378">
        <v>-275</v>
      </c>
      <c r="BL3378" t="s">
        <v>163</v>
      </c>
      <c r="BM3378">
        <v>1</v>
      </c>
      <c r="BN3378">
        <v>1</v>
      </c>
      <c r="BO3378">
        <v>1</v>
      </c>
      <c r="BP3378">
        <v>0</v>
      </c>
      <c r="BS3378">
        <v>0</v>
      </c>
      <c r="BT3378">
        <v>0</v>
      </c>
      <c r="BU3378">
        <v>0</v>
      </c>
      <c r="CE3378" t="str">
        <f t="shared" si="1234"/>
        <v>19:34:33.792</v>
      </c>
      <c r="CF3378">
        <v>791639723</v>
      </c>
      <c r="CS3378">
        <v>0</v>
      </c>
      <c r="CT3378">
        <v>2</v>
      </c>
      <c r="CU3378">
        <v>0</v>
      </c>
      <c r="CV3378">
        <v>2</v>
      </c>
      <c r="CW3378">
        <v>0</v>
      </c>
      <c r="CX3378">
        <v>5</v>
      </c>
      <c r="CY3378">
        <v>7</v>
      </c>
      <c r="CZ3378" t="s">
        <v>131</v>
      </c>
      <c r="DA3378">
        <v>286</v>
      </c>
      <c r="DB3378">
        <v>0</v>
      </c>
      <c r="DC3378" t="s">
        <v>132</v>
      </c>
      <c r="DD3378" t="s">
        <v>133</v>
      </c>
      <c r="DG3378">
        <v>875765</v>
      </c>
      <c r="DI3378">
        <v>1</v>
      </c>
      <c r="DJ3378">
        <v>0</v>
      </c>
      <c r="DK3378">
        <v>1</v>
      </c>
      <c r="DL3378">
        <v>0</v>
      </c>
      <c r="DM3378">
        <v>0</v>
      </c>
      <c r="DN3378">
        <v>1</v>
      </c>
      <c r="DO3378">
        <v>0</v>
      </c>
      <c r="DP3378">
        <v>0</v>
      </c>
      <c r="DQ3378">
        <v>0</v>
      </c>
      <c r="DR3378">
        <v>0</v>
      </c>
      <c r="DS3378">
        <v>0</v>
      </c>
    </row>
    <row r="3379" spans="1:123" x14ac:dyDescent="0.3">
      <c r="A3379" t="str">
        <f>"10/04/2022 19:34:34.027"</f>
        <v>10/04/2022 19:34:34.027</v>
      </c>
      <c r="C3379" t="str">
        <f t="shared" si="1231"/>
        <v>FFDFD3C0</v>
      </c>
      <c r="D3379" t="s">
        <v>123</v>
      </c>
      <c r="E3379">
        <v>7</v>
      </c>
      <c r="F3379">
        <v>2007</v>
      </c>
      <c r="G3379" t="s">
        <v>124</v>
      </c>
      <c r="J3379" t="s">
        <v>125</v>
      </c>
      <c r="K3379">
        <v>0</v>
      </c>
      <c r="L3379">
        <v>3</v>
      </c>
      <c r="M3379">
        <v>0</v>
      </c>
      <c r="N3379">
        <v>2</v>
      </c>
      <c r="O3379">
        <v>0</v>
      </c>
      <c r="P3379">
        <v>1</v>
      </c>
      <c r="Q3379">
        <v>0</v>
      </c>
      <c r="S3379" t="str">
        <f t="shared" si="1233"/>
        <v>19:34:33.000</v>
      </c>
      <c r="T3379" t="str">
        <f t="shared" si="1233"/>
        <v>19:34:33.000</v>
      </c>
      <c r="U3379" t="str">
        <f t="shared" si="1213"/>
        <v>AC3944</v>
      </c>
      <c r="V3379">
        <v>0</v>
      </c>
      <c r="W3379">
        <v>0</v>
      </c>
      <c r="X3379">
        <v>2</v>
      </c>
      <c r="Y3379">
        <v>0</v>
      </c>
      <c r="AA3379">
        <v>1</v>
      </c>
      <c r="AB3379">
        <v>8</v>
      </c>
      <c r="AC3379">
        <v>3</v>
      </c>
      <c r="AD3379">
        <v>0</v>
      </c>
      <c r="AE3379">
        <v>9</v>
      </c>
      <c r="AF3379" t="s">
        <v>138</v>
      </c>
      <c r="AG3379">
        <v>0</v>
      </c>
      <c r="AH3379">
        <v>3</v>
      </c>
      <c r="AI3379">
        <v>1</v>
      </c>
      <c r="AJ3379">
        <v>0</v>
      </c>
      <c r="AK3379" t="s">
        <v>1109</v>
      </c>
      <c r="AL3379">
        <v>32.727885000000001</v>
      </c>
      <c r="AM3379" t="s">
        <v>1110</v>
      </c>
      <c r="AN3379">
        <v>-116.749713</v>
      </c>
      <c r="AO3379">
        <v>25</v>
      </c>
      <c r="AP3379">
        <v>4000</v>
      </c>
      <c r="AQ3379" t="s">
        <v>129</v>
      </c>
      <c r="AR3379">
        <v>94</v>
      </c>
      <c r="AS3379">
        <v>76</v>
      </c>
      <c r="AT3379">
        <v>1344</v>
      </c>
      <c r="BB3379">
        <v>1200</v>
      </c>
      <c r="BC3379">
        <v>1</v>
      </c>
      <c r="BD3379" t="str">
        <f t="shared" si="1214"/>
        <v xml:space="preserve">N887QR  </v>
      </c>
      <c r="BE3379">
        <v>1</v>
      </c>
      <c r="BG3379">
        <v>0</v>
      </c>
      <c r="BH3379">
        <v>0</v>
      </c>
      <c r="BI3379">
        <v>0</v>
      </c>
      <c r="BJ3379">
        <v>3725</v>
      </c>
      <c r="BK3379">
        <v>-275</v>
      </c>
      <c r="BL3379" t="s">
        <v>163</v>
      </c>
      <c r="BM3379">
        <v>1</v>
      </c>
      <c r="BN3379">
        <v>1</v>
      </c>
      <c r="BO3379">
        <v>1</v>
      </c>
      <c r="BP3379">
        <v>0</v>
      </c>
      <c r="BS3379">
        <v>0</v>
      </c>
      <c r="BT3379">
        <v>0</v>
      </c>
      <c r="BU3379">
        <v>0</v>
      </c>
      <c r="CE3379" t="str">
        <f t="shared" si="1234"/>
        <v>19:34:33.792</v>
      </c>
      <c r="CF3379">
        <v>791639723</v>
      </c>
      <c r="CS3379">
        <v>0</v>
      </c>
      <c r="CT3379">
        <v>2</v>
      </c>
      <c r="CU3379">
        <v>0</v>
      </c>
      <c r="CV3379">
        <v>2</v>
      </c>
      <c r="CW3379">
        <v>0</v>
      </c>
      <c r="CX3379">
        <v>5</v>
      </c>
      <c r="CY3379">
        <v>7</v>
      </c>
      <c r="CZ3379" t="s">
        <v>131</v>
      </c>
      <c r="DA3379">
        <v>286</v>
      </c>
      <c r="DB3379">
        <v>0</v>
      </c>
      <c r="DC3379" t="s">
        <v>132</v>
      </c>
      <c r="DD3379" t="s">
        <v>133</v>
      </c>
      <c r="DG3379">
        <v>875765</v>
      </c>
      <c r="DI3379">
        <v>1</v>
      </c>
      <c r="DJ3379">
        <v>0</v>
      </c>
      <c r="DK3379">
        <v>1</v>
      </c>
      <c r="DL3379">
        <v>0</v>
      </c>
      <c r="DM3379">
        <v>0</v>
      </c>
      <c r="DN3379">
        <v>1</v>
      </c>
      <c r="DO3379">
        <v>0</v>
      </c>
      <c r="DP3379">
        <v>0</v>
      </c>
      <c r="DQ3379">
        <v>0</v>
      </c>
      <c r="DR3379">
        <v>0</v>
      </c>
      <c r="DS3379">
        <v>0</v>
      </c>
    </row>
    <row r="3380" spans="1:123" x14ac:dyDescent="0.3">
      <c r="A3380" t="str">
        <f>"10/04/2022 19:34:34.027"</f>
        <v>10/04/2022 19:34:34.027</v>
      </c>
      <c r="C3380" t="str">
        <f t="shared" si="1231"/>
        <v>FFDFD3C0</v>
      </c>
      <c r="D3380" t="s">
        <v>147</v>
      </c>
      <c r="E3380">
        <v>3</v>
      </c>
      <c r="H3380">
        <v>166</v>
      </c>
      <c r="I3380" t="s">
        <v>144</v>
      </c>
      <c r="J3380" t="s">
        <v>148</v>
      </c>
      <c r="K3380">
        <v>0</v>
      </c>
      <c r="L3380">
        <v>3</v>
      </c>
      <c r="M3380">
        <v>0</v>
      </c>
      <c r="N3380">
        <v>2</v>
      </c>
      <c r="O3380">
        <v>0</v>
      </c>
      <c r="P3380">
        <v>1</v>
      </c>
      <c r="Q3380">
        <v>0</v>
      </c>
      <c r="S3380" t="str">
        <f t="shared" si="1233"/>
        <v>19:34:33.000</v>
      </c>
      <c r="T3380" t="str">
        <f t="shared" si="1233"/>
        <v>19:34:33.000</v>
      </c>
      <c r="U3380" t="str">
        <f t="shared" si="1213"/>
        <v>AC3944</v>
      </c>
      <c r="V3380">
        <v>0</v>
      </c>
      <c r="W3380">
        <v>0</v>
      </c>
      <c r="X3380">
        <v>2</v>
      </c>
      <c r="Y3380">
        <v>0</v>
      </c>
      <c r="AA3380">
        <v>1</v>
      </c>
      <c r="AB3380">
        <v>8</v>
      </c>
      <c r="AC3380">
        <v>3</v>
      </c>
      <c r="AD3380">
        <v>0</v>
      </c>
      <c r="AE3380">
        <v>9</v>
      </c>
      <c r="AF3380" t="s">
        <v>138</v>
      </c>
      <c r="AG3380">
        <v>0</v>
      </c>
      <c r="AH3380">
        <v>3</v>
      </c>
      <c r="AI3380">
        <v>1</v>
      </c>
      <c r="AJ3380">
        <v>0</v>
      </c>
      <c r="AK3380" t="s">
        <v>1109</v>
      </c>
      <c r="AL3380">
        <v>32.727885000000001</v>
      </c>
      <c r="AM3380" t="s">
        <v>1110</v>
      </c>
      <c r="AN3380">
        <v>-116.749713</v>
      </c>
      <c r="AO3380">
        <v>25</v>
      </c>
      <c r="AP3380">
        <v>4000</v>
      </c>
      <c r="AQ3380" t="s">
        <v>129</v>
      </c>
      <c r="AR3380">
        <v>94</v>
      </c>
      <c r="AS3380">
        <v>76</v>
      </c>
      <c r="AT3380">
        <v>1344</v>
      </c>
      <c r="BB3380">
        <v>1200</v>
      </c>
      <c r="BC3380">
        <v>1</v>
      </c>
      <c r="BD3380" t="str">
        <f t="shared" si="1214"/>
        <v xml:space="preserve">N887QR  </v>
      </c>
      <c r="BE3380">
        <v>1</v>
      </c>
      <c r="BG3380">
        <v>0</v>
      </c>
      <c r="BH3380">
        <v>0</v>
      </c>
      <c r="BI3380">
        <v>0</v>
      </c>
      <c r="BJ3380">
        <v>3725</v>
      </c>
      <c r="BK3380">
        <v>-275</v>
      </c>
      <c r="BL3380" t="s">
        <v>163</v>
      </c>
      <c r="BM3380">
        <v>1</v>
      </c>
      <c r="BN3380">
        <v>1</v>
      </c>
      <c r="BO3380">
        <v>1</v>
      </c>
      <c r="BP3380">
        <v>0</v>
      </c>
      <c r="BS3380">
        <v>0</v>
      </c>
      <c r="BT3380">
        <v>0</v>
      </c>
      <c r="BU3380">
        <v>0</v>
      </c>
      <c r="CE3380" t="str">
        <f t="shared" si="1234"/>
        <v>19:34:33.792</v>
      </c>
      <c r="CF3380">
        <v>791639723</v>
      </c>
      <c r="CS3380">
        <v>0</v>
      </c>
      <c r="CT3380">
        <v>2</v>
      </c>
      <c r="CU3380">
        <v>0</v>
      </c>
      <c r="CV3380">
        <v>2</v>
      </c>
      <c r="CW3380">
        <v>0</v>
      </c>
      <c r="CX3380">
        <v>5</v>
      </c>
      <c r="CY3380">
        <v>7</v>
      </c>
      <c r="CZ3380" t="s">
        <v>131</v>
      </c>
      <c r="DA3380">
        <v>286</v>
      </c>
      <c r="DB3380">
        <v>0</v>
      </c>
      <c r="DC3380" t="s">
        <v>132</v>
      </c>
      <c r="DD3380" t="s">
        <v>133</v>
      </c>
      <c r="DG3380">
        <v>875765</v>
      </c>
      <c r="DI3380">
        <v>1</v>
      </c>
      <c r="DJ3380">
        <v>0</v>
      </c>
      <c r="DK3380">
        <v>1</v>
      </c>
      <c r="DL3380">
        <v>0</v>
      </c>
      <c r="DM3380">
        <v>0</v>
      </c>
      <c r="DN3380">
        <v>1</v>
      </c>
      <c r="DO3380">
        <v>0</v>
      </c>
      <c r="DP3380">
        <v>0</v>
      </c>
      <c r="DQ3380">
        <v>0</v>
      </c>
      <c r="DR3380">
        <v>0</v>
      </c>
      <c r="DS3380">
        <v>0</v>
      </c>
    </row>
    <row r="3381" spans="1:123" x14ac:dyDescent="0.3">
      <c r="A3381" t="str">
        <f>"10/04/2022 19:34:33.995"</f>
        <v>10/04/2022 19:34:33.995</v>
      </c>
      <c r="C3381" t="str">
        <f t="shared" si="1231"/>
        <v>FFDFD3C0</v>
      </c>
      <c r="D3381" t="s">
        <v>136</v>
      </c>
      <c r="E3381">
        <v>8</v>
      </c>
      <c r="H3381">
        <v>225</v>
      </c>
      <c r="I3381" t="s">
        <v>137</v>
      </c>
      <c r="J3381" t="s">
        <v>138</v>
      </c>
      <c r="K3381">
        <v>0</v>
      </c>
      <c r="L3381">
        <v>3</v>
      </c>
      <c r="M3381">
        <v>0</v>
      </c>
      <c r="N3381">
        <v>2</v>
      </c>
      <c r="O3381">
        <v>0</v>
      </c>
      <c r="P3381">
        <v>1</v>
      </c>
      <c r="Q3381">
        <v>0</v>
      </c>
      <c r="S3381" t="str">
        <f t="shared" si="1233"/>
        <v>19:34:33.000</v>
      </c>
      <c r="T3381" t="str">
        <f t="shared" si="1233"/>
        <v>19:34:33.000</v>
      </c>
      <c r="U3381" t="str">
        <f t="shared" si="1213"/>
        <v>AC3944</v>
      </c>
      <c r="V3381">
        <v>0</v>
      </c>
      <c r="W3381">
        <v>0</v>
      </c>
      <c r="X3381">
        <v>2</v>
      </c>
      <c r="Y3381">
        <v>0</v>
      </c>
      <c r="AA3381">
        <v>1</v>
      </c>
      <c r="AB3381">
        <v>8</v>
      </c>
      <c r="AC3381">
        <v>3</v>
      </c>
      <c r="AD3381">
        <v>0</v>
      </c>
      <c r="AE3381">
        <v>9</v>
      </c>
      <c r="AF3381" t="s">
        <v>138</v>
      </c>
      <c r="AG3381">
        <v>0</v>
      </c>
      <c r="AH3381">
        <v>3</v>
      </c>
      <c r="AI3381">
        <v>1</v>
      </c>
      <c r="AJ3381">
        <v>0</v>
      </c>
      <c r="AK3381" t="s">
        <v>1109</v>
      </c>
      <c r="AL3381">
        <v>32.727885000000001</v>
      </c>
      <c r="AM3381" t="s">
        <v>1110</v>
      </c>
      <c r="AN3381">
        <v>-116.749713</v>
      </c>
      <c r="AO3381">
        <v>25</v>
      </c>
      <c r="AP3381">
        <v>4000</v>
      </c>
      <c r="AQ3381" t="s">
        <v>129</v>
      </c>
      <c r="AR3381">
        <v>94</v>
      </c>
      <c r="AS3381">
        <v>76</v>
      </c>
      <c r="AT3381">
        <v>1344</v>
      </c>
      <c r="BB3381">
        <v>1200</v>
      </c>
      <c r="BC3381">
        <v>1</v>
      </c>
      <c r="BD3381" t="str">
        <f t="shared" si="1214"/>
        <v xml:space="preserve">N887QR  </v>
      </c>
      <c r="BE3381">
        <v>1</v>
      </c>
      <c r="BG3381">
        <v>0</v>
      </c>
      <c r="BH3381">
        <v>0</v>
      </c>
      <c r="BI3381">
        <v>0</v>
      </c>
      <c r="BJ3381">
        <v>3725</v>
      </c>
      <c r="BK3381">
        <v>-275</v>
      </c>
      <c r="BL3381" t="s">
        <v>163</v>
      </c>
      <c r="BM3381">
        <v>1</v>
      </c>
      <c r="BN3381">
        <v>1</v>
      </c>
      <c r="BO3381">
        <v>1</v>
      </c>
      <c r="BP3381">
        <v>0</v>
      </c>
      <c r="BS3381">
        <v>0</v>
      </c>
      <c r="BT3381">
        <v>0</v>
      </c>
      <c r="BU3381">
        <v>0</v>
      </c>
      <c r="CE3381" t="str">
        <f t="shared" si="1234"/>
        <v>19:34:33.792</v>
      </c>
      <c r="CF3381">
        <v>791639723</v>
      </c>
      <c r="CS3381">
        <v>0</v>
      </c>
      <c r="CT3381">
        <v>2</v>
      </c>
      <c r="CU3381">
        <v>0</v>
      </c>
      <c r="CV3381">
        <v>2</v>
      </c>
      <c r="CW3381">
        <v>0</v>
      </c>
      <c r="CX3381">
        <v>5</v>
      </c>
      <c r="CY3381">
        <v>7</v>
      </c>
      <c r="CZ3381" t="s">
        <v>131</v>
      </c>
      <c r="DA3381">
        <v>286</v>
      </c>
      <c r="DB3381">
        <v>0</v>
      </c>
      <c r="DC3381" t="s">
        <v>132</v>
      </c>
      <c r="DD3381" t="s">
        <v>133</v>
      </c>
      <c r="DG3381">
        <v>875765</v>
      </c>
      <c r="DI3381">
        <v>1</v>
      </c>
      <c r="DJ3381">
        <v>0</v>
      </c>
      <c r="DK3381">
        <v>0</v>
      </c>
      <c r="DL3381">
        <v>0</v>
      </c>
      <c r="DM3381">
        <v>0</v>
      </c>
      <c r="DN3381">
        <v>1</v>
      </c>
      <c r="DO3381">
        <v>0</v>
      </c>
      <c r="DP3381">
        <v>0</v>
      </c>
      <c r="DQ3381">
        <v>0</v>
      </c>
      <c r="DR3381">
        <v>0</v>
      </c>
      <c r="DS3381">
        <v>0</v>
      </c>
    </row>
    <row r="3382" spans="1:123" x14ac:dyDescent="0.3">
      <c r="A3382" t="str">
        <f>"10/04/2022 19:34:35.684"</f>
        <v>10/04/2022 19:34:35.684</v>
      </c>
      <c r="C3382" t="str">
        <f t="shared" si="1231"/>
        <v>FFDFD3C0</v>
      </c>
      <c r="D3382" t="s">
        <v>123</v>
      </c>
      <c r="E3382">
        <v>7</v>
      </c>
      <c r="F3382">
        <v>2007</v>
      </c>
      <c r="G3382" t="s">
        <v>124</v>
      </c>
      <c r="J3382" t="s">
        <v>125</v>
      </c>
      <c r="K3382">
        <v>0</v>
      </c>
      <c r="L3382">
        <v>3</v>
      </c>
      <c r="M3382">
        <v>0</v>
      </c>
      <c r="N3382">
        <v>2</v>
      </c>
      <c r="O3382">
        <v>0</v>
      </c>
      <c r="P3382">
        <v>1</v>
      </c>
      <c r="Q3382">
        <v>0</v>
      </c>
      <c r="S3382" t="str">
        <f t="shared" ref="S3382:T3388" si="1235">"19:34:35.000"</f>
        <v>19:34:35.000</v>
      </c>
      <c r="T3382" t="str">
        <f t="shared" si="1235"/>
        <v>19:34:35.000</v>
      </c>
      <c r="U3382" t="str">
        <f t="shared" si="1213"/>
        <v>AC3944</v>
      </c>
      <c r="V3382">
        <v>0</v>
      </c>
      <c r="W3382">
        <v>0</v>
      </c>
      <c r="X3382">
        <v>2</v>
      </c>
      <c r="Y3382">
        <v>0</v>
      </c>
      <c r="AA3382">
        <v>1</v>
      </c>
      <c r="AB3382">
        <v>8</v>
      </c>
      <c r="AC3382">
        <v>3</v>
      </c>
      <c r="AD3382">
        <v>0</v>
      </c>
      <c r="AE3382">
        <v>9</v>
      </c>
      <c r="AF3382" t="s">
        <v>138</v>
      </c>
      <c r="AG3382">
        <v>0</v>
      </c>
      <c r="AH3382">
        <v>3</v>
      </c>
      <c r="AI3382">
        <v>1</v>
      </c>
      <c r="AJ3382">
        <v>0</v>
      </c>
      <c r="AK3382" t="s">
        <v>1111</v>
      </c>
      <c r="AL3382">
        <v>32.728228999999999</v>
      </c>
      <c r="AM3382" t="s">
        <v>1112</v>
      </c>
      <c r="AN3382">
        <v>-116.749177</v>
      </c>
      <c r="AO3382">
        <v>25</v>
      </c>
      <c r="AP3382">
        <v>4000</v>
      </c>
      <c r="AQ3382" t="s">
        <v>129</v>
      </c>
      <c r="AR3382">
        <v>99</v>
      </c>
      <c r="AS3382">
        <v>67</v>
      </c>
      <c r="AT3382">
        <v>1344</v>
      </c>
      <c r="BB3382">
        <v>1200</v>
      </c>
      <c r="BC3382">
        <v>1</v>
      </c>
      <c r="BD3382" t="str">
        <f t="shared" si="1214"/>
        <v xml:space="preserve">N887QR  </v>
      </c>
      <c r="BE3382">
        <v>1</v>
      </c>
      <c r="BG3382">
        <v>0</v>
      </c>
      <c r="BH3382">
        <v>0</v>
      </c>
      <c r="BI3382">
        <v>0</v>
      </c>
      <c r="BJ3382">
        <v>3725</v>
      </c>
      <c r="BK3382">
        <v>-275</v>
      </c>
      <c r="BL3382" t="s">
        <v>163</v>
      </c>
      <c r="BM3382">
        <v>1</v>
      </c>
      <c r="BN3382">
        <v>1</v>
      </c>
      <c r="BO3382">
        <v>1</v>
      </c>
      <c r="BP3382">
        <v>0</v>
      </c>
      <c r="BS3382">
        <v>0</v>
      </c>
      <c r="BT3382">
        <v>0</v>
      </c>
      <c r="BU3382">
        <v>0</v>
      </c>
      <c r="CE3382" t="str">
        <f t="shared" ref="CE3382:CE3388" si="1236">"19:34:35.375"</f>
        <v>19:34:35.375</v>
      </c>
      <c r="CF3382">
        <v>375211805</v>
      </c>
      <c r="CS3382">
        <v>0</v>
      </c>
      <c r="CT3382">
        <v>2</v>
      </c>
      <c r="CU3382">
        <v>0</v>
      </c>
      <c r="CV3382">
        <v>2</v>
      </c>
      <c r="CW3382">
        <v>0</v>
      </c>
      <c r="CX3382">
        <v>5</v>
      </c>
      <c r="CY3382">
        <v>7</v>
      </c>
      <c r="CZ3382" t="s">
        <v>131</v>
      </c>
      <c r="DA3382">
        <v>300</v>
      </c>
      <c r="DB3382">
        <v>0</v>
      </c>
      <c r="DC3382" t="s">
        <v>176</v>
      </c>
      <c r="DD3382" t="s">
        <v>177</v>
      </c>
      <c r="DG3382">
        <v>5436687</v>
      </c>
      <c r="DI3382">
        <v>1</v>
      </c>
      <c r="DJ3382">
        <v>0</v>
      </c>
      <c r="DK3382">
        <v>0</v>
      </c>
      <c r="DL3382">
        <v>0</v>
      </c>
      <c r="DM3382">
        <v>0</v>
      </c>
      <c r="DN3382">
        <v>1</v>
      </c>
      <c r="DO3382">
        <v>0</v>
      </c>
      <c r="DP3382">
        <v>0</v>
      </c>
      <c r="DQ3382">
        <v>0</v>
      </c>
      <c r="DR3382">
        <v>0</v>
      </c>
      <c r="DS3382">
        <v>0</v>
      </c>
    </row>
    <row r="3383" spans="1:123" x14ac:dyDescent="0.3">
      <c r="A3383" t="str">
        <f>"10/04/2022 19:34:35.684"</f>
        <v>10/04/2022 19:34:35.684</v>
      </c>
      <c r="C3383" t="str">
        <f t="shared" si="1231"/>
        <v>FFDFD3C0</v>
      </c>
      <c r="D3383" t="s">
        <v>147</v>
      </c>
      <c r="E3383">
        <v>3</v>
      </c>
      <c r="H3383">
        <v>166</v>
      </c>
      <c r="I3383" t="s">
        <v>144</v>
      </c>
      <c r="J3383" t="s">
        <v>148</v>
      </c>
      <c r="K3383">
        <v>0</v>
      </c>
      <c r="L3383">
        <v>3</v>
      </c>
      <c r="M3383">
        <v>0</v>
      </c>
      <c r="N3383">
        <v>2</v>
      </c>
      <c r="O3383">
        <v>0</v>
      </c>
      <c r="P3383">
        <v>1</v>
      </c>
      <c r="Q3383">
        <v>0</v>
      </c>
      <c r="S3383" t="str">
        <f t="shared" si="1235"/>
        <v>19:34:35.000</v>
      </c>
      <c r="T3383" t="str">
        <f t="shared" si="1235"/>
        <v>19:34:35.000</v>
      </c>
      <c r="U3383" t="str">
        <f t="shared" si="1213"/>
        <v>AC3944</v>
      </c>
      <c r="V3383">
        <v>0</v>
      </c>
      <c r="W3383">
        <v>0</v>
      </c>
      <c r="X3383">
        <v>2</v>
      </c>
      <c r="Y3383">
        <v>0</v>
      </c>
      <c r="AA3383">
        <v>1</v>
      </c>
      <c r="AB3383">
        <v>8</v>
      </c>
      <c r="AC3383">
        <v>3</v>
      </c>
      <c r="AD3383">
        <v>0</v>
      </c>
      <c r="AE3383">
        <v>9</v>
      </c>
      <c r="AF3383" t="s">
        <v>138</v>
      </c>
      <c r="AG3383">
        <v>0</v>
      </c>
      <c r="AH3383">
        <v>3</v>
      </c>
      <c r="AI3383">
        <v>1</v>
      </c>
      <c r="AJ3383">
        <v>0</v>
      </c>
      <c r="AK3383" t="s">
        <v>1111</v>
      </c>
      <c r="AL3383">
        <v>32.728228999999999</v>
      </c>
      <c r="AM3383" t="s">
        <v>1112</v>
      </c>
      <c r="AN3383">
        <v>-116.749177</v>
      </c>
      <c r="AO3383">
        <v>25</v>
      </c>
      <c r="AP3383">
        <v>4000</v>
      </c>
      <c r="AQ3383" t="s">
        <v>129</v>
      </c>
      <c r="AR3383">
        <v>99</v>
      </c>
      <c r="AS3383">
        <v>67</v>
      </c>
      <c r="AT3383">
        <v>1344</v>
      </c>
      <c r="BB3383">
        <v>1200</v>
      </c>
      <c r="BC3383">
        <v>1</v>
      </c>
      <c r="BD3383" t="str">
        <f t="shared" si="1214"/>
        <v xml:space="preserve">N887QR  </v>
      </c>
      <c r="BE3383">
        <v>1</v>
      </c>
      <c r="BG3383">
        <v>0</v>
      </c>
      <c r="BH3383">
        <v>0</v>
      </c>
      <c r="BI3383">
        <v>0</v>
      </c>
      <c r="BJ3383">
        <v>3725</v>
      </c>
      <c r="BK3383">
        <v>-275</v>
      </c>
      <c r="BL3383" t="s">
        <v>163</v>
      </c>
      <c r="BM3383">
        <v>1</v>
      </c>
      <c r="BN3383">
        <v>1</v>
      </c>
      <c r="BO3383">
        <v>1</v>
      </c>
      <c r="BP3383">
        <v>0</v>
      </c>
      <c r="BS3383">
        <v>0</v>
      </c>
      <c r="BT3383">
        <v>0</v>
      </c>
      <c r="BU3383">
        <v>0</v>
      </c>
      <c r="CE3383" t="str">
        <f t="shared" si="1236"/>
        <v>19:34:35.375</v>
      </c>
      <c r="CF3383">
        <v>375211805</v>
      </c>
      <c r="CS3383">
        <v>0</v>
      </c>
      <c r="CT3383">
        <v>2</v>
      </c>
      <c r="CU3383">
        <v>0</v>
      </c>
      <c r="CV3383">
        <v>2</v>
      </c>
      <c r="CW3383">
        <v>0</v>
      </c>
      <c r="CX3383">
        <v>5</v>
      </c>
      <c r="CY3383">
        <v>7</v>
      </c>
      <c r="CZ3383" t="s">
        <v>131</v>
      </c>
      <c r="DA3383">
        <v>300</v>
      </c>
      <c r="DB3383">
        <v>0</v>
      </c>
      <c r="DC3383" t="s">
        <v>176</v>
      </c>
      <c r="DD3383" t="s">
        <v>177</v>
      </c>
      <c r="DG3383">
        <v>5436687</v>
      </c>
      <c r="DI3383">
        <v>1</v>
      </c>
      <c r="DJ3383">
        <v>0</v>
      </c>
      <c r="DK3383">
        <v>1</v>
      </c>
      <c r="DL3383">
        <v>0</v>
      </c>
      <c r="DM3383">
        <v>0</v>
      </c>
      <c r="DN3383">
        <v>1</v>
      </c>
      <c r="DO3383">
        <v>0</v>
      </c>
      <c r="DP3383">
        <v>0</v>
      </c>
      <c r="DQ3383">
        <v>0</v>
      </c>
      <c r="DR3383">
        <v>0</v>
      </c>
      <c r="DS3383">
        <v>0</v>
      </c>
    </row>
    <row r="3384" spans="1:123" x14ac:dyDescent="0.3">
      <c r="A3384" t="str">
        <f>"10/04/2022 19:34:35.731"</f>
        <v>10/04/2022 19:34:35.731</v>
      </c>
      <c r="C3384" t="str">
        <f t="shared" si="1231"/>
        <v>FFDFD3C0</v>
      </c>
      <c r="D3384" t="s">
        <v>141</v>
      </c>
      <c r="E3384">
        <v>4</v>
      </c>
      <c r="H3384">
        <v>4</v>
      </c>
      <c r="I3384" t="s">
        <v>142</v>
      </c>
      <c r="J3384" t="s">
        <v>138</v>
      </c>
      <c r="K3384">
        <v>0</v>
      </c>
      <c r="L3384">
        <v>3</v>
      </c>
      <c r="M3384">
        <v>0</v>
      </c>
      <c r="N3384">
        <v>2</v>
      </c>
      <c r="O3384">
        <v>0</v>
      </c>
      <c r="P3384">
        <v>1</v>
      </c>
      <c r="Q3384">
        <v>0</v>
      </c>
      <c r="S3384" t="str">
        <f t="shared" si="1235"/>
        <v>19:34:35.000</v>
      </c>
      <c r="T3384" t="str">
        <f t="shared" si="1235"/>
        <v>19:34:35.000</v>
      </c>
      <c r="U3384" t="str">
        <f t="shared" si="1213"/>
        <v>AC3944</v>
      </c>
      <c r="V3384">
        <v>0</v>
      </c>
      <c r="W3384">
        <v>0</v>
      </c>
      <c r="X3384">
        <v>2</v>
      </c>
      <c r="Y3384">
        <v>0</v>
      </c>
      <c r="AA3384">
        <v>1</v>
      </c>
      <c r="AB3384">
        <v>8</v>
      </c>
      <c r="AC3384">
        <v>3</v>
      </c>
      <c r="AD3384">
        <v>0</v>
      </c>
      <c r="AE3384">
        <v>9</v>
      </c>
      <c r="AF3384" t="s">
        <v>138</v>
      </c>
      <c r="AG3384">
        <v>0</v>
      </c>
      <c r="AH3384">
        <v>3</v>
      </c>
      <c r="AI3384">
        <v>1</v>
      </c>
      <c r="AJ3384">
        <v>0</v>
      </c>
      <c r="AK3384" t="s">
        <v>1111</v>
      </c>
      <c r="AL3384">
        <v>32.728228999999999</v>
      </c>
      <c r="AM3384" t="s">
        <v>1112</v>
      </c>
      <c r="AN3384">
        <v>-116.749177</v>
      </c>
      <c r="AO3384">
        <v>25</v>
      </c>
      <c r="AP3384">
        <v>4000</v>
      </c>
      <c r="AQ3384" t="s">
        <v>129</v>
      </c>
      <c r="AR3384">
        <v>99</v>
      </c>
      <c r="AS3384">
        <v>67</v>
      </c>
      <c r="AT3384">
        <v>1344</v>
      </c>
      <c r="BB3384">
        <v>1200</v>
      </c>
      <c r="BC3384">
        <v>1</v>
      </c>
      <c r="BD3384" t="str">
        <f t="shared" si="1214"/>
        <v xml:space="preserve">N887QR  </v>
      </c>
      <c r="BE3384">
        <v>1</v>
      </c>
      <c r="BG3384">
        <v>0</v>
      </c>
      <c r="BH3384">
        <v>0</v>
      </c>
      <c r="BI3384">
        <v>0</v>
      </c>
      <c r="BJ3384">
        <v>3725</v>
      </c>
      <c r="BK3384">
        <v>-275</v>
      </c>
      <c r="BL3384" t="s">
        <v>163</v>
      </c>
      <c r="BM3384">
        <v>1</v>
      </c>
      <c r="BN3384">
        <v>1</v>
      </c>
      <c r="BO3384">
        <v>1</v>
      </c>
      <c r="BP3384">
        <v>0</v>
      </c>
      <c r="BS3384">
        <v>0</v>
      </c>
      <c r="BT3384">
        <v>0</v>
      </c>
      <c r="BU3384">
        <v>0</v>
      </c>
      <c r="CE3384" t="str">
        <f t="shared" si="1236"/>
        <v>19:34:35.375</v>
      </c>
      <c r="CF3384">
        <v>375211805</v>
      </c>
      <c r="CS3384">
        <v>0</v>
      </c>
      <c r="CT3384">
        <v>2</v>
      </c>
      <c r="CU3384">
        <v>0</v>
      </c>
      <c r="CV3384">
        <v>2</v>
      </c>
      <c r="CW3384">
        <v>0</v>
      </c>
      <c r="CX3384">
        <v>5</v>
      </c>
      <c r="CY3384">
        <v>7</v>
      </c>
      <c r="CZ3384" t="s">
        <v>131</v>
      </c>
      <c r="DA3384">
        <v>300</v>
      </c>
      <c r="DB3384">
        <v>0</v>
      </c>
      <c r="DC3384" t="s">
        <v>176</v>
      </c>
      <c r="DD3384" t="s">
        <v>177</v>
      </c>
      <c r="DG3384">
        <v>5436687</v>
      </c>
      <c r="DI3384">
        <v>1</v>
      </c>
      <c r="DJ3384">
        <v>0</v>
      </c>
      <c r="DK3384">
        <v>0</v>
      </c>
      <c r="DL3384">
        <v>0</v>
      </c>
      <c r="DM3384">
        <v>0</v>
      </c>
      <c r="DN3384">
        <v>1</v>
      </c>
      <c r="DO3384">
        <v>0</v>
      </c>
      <c r="DP3384">
        <v>0</v>
      </c>
      <c r="DQ3384">
        <v>0</v>
      </c>
      <c r="DR3384">
        <v>0</v>
      </c>
      <c r="DS3384">
        <v>0</v>
      </c>
    </row>
    <row r="3385" spans="1:123" x14ac:dyDescent="0.3">
      <c r="A3385" t="str">
        <f>"10/04/2022 19:34:35.731"</f>
        <v>10/04/2022 19:34:35.731</v>
      </c>
      <c r="C3385" t="str">
        <f t="shared" si="1231"/>
        <v>FFDFD3C0</v>
      </c>
      <c r="D3385" t="s">
        <v>141</v>
      </c>
      <c r="E3385">
        <v>3</v>
      </c>
      <c r="H3385">
        <v>3</v>
      </c>
      <c r="I3385" t="s">
        <v>146</v>
      </c>
      <c r="J3385" t="s">
        <v>138</v>
      </c>
      <c r="K3385">
        <v>0</v>
      </c>
      <c r="L3385">
        <v>3</v>
      </c>
      <c r="M3385">
        <v>0</v>
      </c>
      <c r="N3385">
        <v>2</v>
      </c>
      <c r="O3385">
        <v>0</v>
      </c>
      <c r="P3385">
        <v>1</v>
      </c>
      <c r="Q3385">
        <v>0</v>
      </c>
      <c r="S3385" t="str">
        <f t="shared" si="1235"/>
        <v>19:34:35.000</v>
      </c>
      <c r="T3385" t="str">
        <f t="shared" si="1235"/>
        <v>19:34:35.000</v>
      </c>
      <c r="U3385" t="str">
        <f t="shared" si="1213"/>
        <v>AC3944</v>
      </c>
      <c r="V3385">
        <v>0</v>
      </c>
      <c r="W3385">
        <v>0</v>
      </c>
      <c r="X3385">
        <v>2</v>
      </c>
      <c r="Y3385">
        <v>0</v>
      </c>
      <c r="AA3385">
        <v>1</v>
      </c>
      <c r="AB3385">
        <v>8</v>
      </c>
      <c r="AC3385">
        <v>3</v>
      </c>
      <c r="AD3385">
        <v>0</v>
      </c>
      <c r="AE3385">
        <v>9</v>
      </c>
      <c r="AF3385" t="s">
        <v>138</v>
      </c>
      <c r="AG3385">
        <v>0</v>
      </c>
      <c r="AH3385">
        <v>3</v>
      </c>
      <c r="AI3385">
        <v>1</v>
      </c>
      <c r="AJ3385">
        <v>0</v>
      </c>
      <c r="AK3385" t="s">
        <v>1111</v>
      </c>
      <c r="AL3385">
        <v>32.728228999999999</v>
      </c>
      <c r="AM3385" t="s">
        <v>1112</v>
      </c>
      <c r="AN3385">
        <v>-116.749177</v>
      </c>
      <c r="AO3385">
        <v>25</v>
      </c>
      <c r="AP3385">
        <v>4000</v>
      </c>
      <c r="AQ3385" t="s">
        <v>129</v>
      </c>
      <c r="AR3385">
        <v>99</v>
      </c>
      <c r="AS3385">
        <v>67</v>
      </c>
      <c r="AT3385">
        <v>1344</v>
      </c>
      <c r="BB3385">
        <v>1200</v>
      </c>
      <c r="BC3385">
        <v>1</v>
      </c>
      <c r="BD3385" t="str">
        <f t="shared" si="1214"/>
        <v xml:space="preserve">N887QR  </v>
      </c>
      <c r="BE3385">
        <v>1</v>
      </c>
      <c r="BG3385">
        <v>0</v>
      </c>
      <c r="BH3385">
        <v>0</v>
      </c>
      <c r="BI3385">
        <v>0</v>
      </c>
      <c r="BJ3385">
        <v>3725</v>
      </c>
      <c r="BK3385">
        <v>-275</v>
      </c>
      <c r="BL3385" t="s">
        <v>163</v>
      </c>
      <c r="BM3385">
        <v>1</v>
      </c>
      <c r="BN3385">
        <v>1</v>
      </c>
      <c r="BO3385">
        <v>1</v>
      </c>
      <c r="BP3385">
        <v>0</v>
      </c>
      <c r="BS3385">
        <v>0</v>
      </c>
      <c r="BT3385">
        <v>0</v>
      </c>
      <c r="BU3385">
        <v>0</v>
      </c>
      <c r="CE3385" t="str">
        <f t="shared" si="1236"/>
        <v>19:34:35.375</v>
      </c>
      <c r="CF3385">
        <v>375211805</v>
      </c>
      <c r="CS3385">
        <v>0</v>
      </c>
      <c r="CT3385">
        <v>2</v>
      </c>
      <c r="CU3385">
        <v>0</v>
      </c>
      <c r="CV3385">
        <v>2</v>
      </c>
      <c r="CW3385">
        <v>0</v>
      </c>
      <c r="CX3385">
        <v>5</v>
      </c>
      <c r="CY3385">
        <v>7</v>
      </c>
      <c r="CZ3385" t="s">
        <v>131</v>
      </c>
      <c r="DA3385">
        <v>300</v>
      </c>
      <c r="DB3385">
        <v>0</v>
      </c>
      <c r="DC3385" t="s">
        <v>176</v>
      </c>
      <c r="DD3385" t="s">
        <v>177</v>
      </c>
      <c r="DG3385">
        <v>5436687</v>
      </c>
      <c r="DI3385">
        <v>1</v>
      </c>
      <c r="DJ3385">
        <v>0</v>
      </c>
      <c r="DK3385">
        <v>1</v>
      </c>
      <c r="DL3385">
        <v>0</v>
      </c>
      <c r="DM3385">
        <v>0</v>
      </c>
      <c r="DN3385">
        <v>1</v>
      </c>
      <c r="DO3385">
        <v>0</v>
      </c>
      <c r="DP3385">
        <v>0</v>
      </c>
      <c r="DQ3385">
        <v>0</v>
      </c>
      <c r="DR3385">
        <v>0</v>
      </c>
      <c r="DS3385">
        <v>0</v>
      </c>
    </row>
    <row r="3386" spans="1:123" x14ac:dyDescent="0.3">
      <c r="A3386" t="str">
        <f>"10/04/2022 19:34:35.731"</f>
        <v>10/04/2022 19:34:35.731</v>
      </c>
      <c r="C3386" t="str">
        <f t="shared" si="1231"/>
        <v>FFDFD3C0</v>
      </c>
      <c r="D3386" t="s">
        <v>143</v>
      </c>
      <c r="E3386">
        <v>20</v>
      </c>
      <c r="F3386">
        <v>1020</v>
      </c>
      <c r="G3386" t="s">
        <v>144</v>
      </c>
      <c r="J3386" t="s">
        <v>145</v>
      </c>
      <c r="K3386">
        <v>0</v>
      </c>
      <c r="L3386">
        <v>3</v>
      </c>
      <c r="M3386">
        <v>0</v>
      </c>
      <c r="N3386">
        <v>2</v>
      </c>
      <c r="O3386">
        <v>0</v>
      </c>
      <c r="P3386">
        <v>1</v>
      </c>
      <c r="Q3386">
        <v>0</v>
      </c>
      <c r="S3386" t="str">
        <f t="shared" si="1235"/>
        <v>19:34:35.000</v>
      </c>
      <c r="T3386" t="str">
        <f t="shared" si="1235"/>
        <v>19:34:35.000</v>
      </c>
      <c r="U3386" t="str">
        <f t="shared" si="1213"/>
        <v>AC3944</v>
      </c>
      <c r="V3386">
        <v>0</v>
      </c>
      <c r="W3386">
        <v>0</v>
      </c>
      <c r="X3386">
        <v>2</v>
      </c>
      <c r="Y3386">
        <v>0</v>
      </c>
      <c r="AA3386">
        <v>1</v>
      </c>
      <c r="AB3386">
        <v>8</v>
      </c>
      <c r="AC3386">
        <v>3</v>
      </c>
      <c r="AD3386">
        <v>0</v>
      </c>
      <c r="AE3386">
        <v>9</v>
      </c>
      <c r="AF3386" t="s">
        <v>138</v>
      </c>
      <c r="AG3386">
        <v>0</v>
      </c>
      <c r="AH3386">
        <v>3</v>
      </c>
      <c r="AI3386">
        <v>1</v>
      </c>
      <c r="AJ3386">
        <v>0</v>
      </c>
      <c r="AK3386" t="s">
        <v>1111</v>
      </c>
      <c r="AL3386">
        <v>32.728228999999999</v>
      </c>
      <c r="AM3386" t="s">
        <v>1112</v>
      </c>
      <c r="AN3386">
        <v>-116.749177</v>
      </c>
      <c r="AO3386">
        <v>25</v>
      </c>
      <c r="AP3386">
        <v>4000</v>
      </c>
      <c r="AQ3386" t="s">
        <v>129</v>
      </c>
      <c r="AR3386">
        <v>99</v>
      </c>
      <c r="AS3386">
        <v>67</v>
      </c>
      <c r="AT3386">
        <v>1344</v>
      </c>
      <c r="BB3386">
        <v>1200</v>
      </c>
      <c r="BC3386">
        <v>1</v>
      </c>
      <c r="BD3386" t="str">
        <f t="shared" si="1214"/>
        <v xml:space="preserve">N887QR  </v>
      </c>
      <c r="BE3386">
        <v>1</v>
      </c>
      <c r="BG3386">
        <v>0</v>
      </c>
      <c r="BH3386">
        <v>0</v>
      </c>
      <c r="BI3386">
        <v>0</v>
      </c>
      <c r="BJ3386">
        <v>3725</v>
      </c>
      <c r="BK3386">
        <v>-275</v>
      </c>
      <c r="BL3386" t="s">
        <v>163</v>
      </c>
      <c r="BM3386">
        <v>1</v>
      </c>
      <c r="BN3386">
        <v>1</v>
      </c>
      <c r="BO3386">
        <v>1</v>
      </c>
      <c r="BP3386">
        <v>0</v>
      </c>
      <c r="BS3386">
        <v>0</v>
      </c>
      <c r="BT3386">
        <v>0</v>
      </c>
      <c r="BU3386">
        <v>0</v>
      </c>
      <c r="CE3386" t="str">
        <f t="shared" si="1236"/>
        <v>19:34:35.375</v>
      </c>
      <c r="CF3386">
        <v>375211805</v>
      </c>
      <c r="CS3386">
        <v>0</v>
      </c>
      <c r="CT3386">
        <v>2</v>
      </c>
      <c r="CU3386">
        <v>0</v>
      </c>
      <c r="CV3386">
        <v>2</v>
      </c>
      <c r="CW3386">
        <v>0</v>
      </c>
      <c r="CX3386">
        <v>5</v>
      </c>
      <c r="CY3386">
        <v>7</v>
      </c>
      <c r="CZ3386" t="s">
        <v>131</v>
      </c>
      <c r="DA3386">
        <v>300</v>
      </c>
      <c r="DB3386">
        <v>0</v>
      </c>
      <c r="DC3386" t="s">
        <v>176</v>
      </c>
      <c r="DD3386" t="s">
        <v>177</v>
      </c>
      <c r="DG3386">
        <v>5436687</v>
      </c>
      <c r="DI3386">
        <v>1</v>
      </c>
      <c r="DJ3386">
        <v>0</v>
      </c>
      <c r="DK3386">
        <v>1</v>
      </c>
      <c r="DL3386">
        <v>0</v>
      </c>
      <c r="DM3386">
        <v>0</v>
      </c>
      <c r="DN3386">
        <v>1</v>
      </c>
      <c r="DO3386">
        <v>0</v>
      </c>
      <c r="DP3386">
        <v>0</v>
      </c>
      <c r="DQ3386">
        <v>0</v>
      </c>
      <c r="DR3386">
        <v>0</v>
      </c>
      <c r="DS3386">
        <v>0</v>
      </c>
    </row>
    <row r="3387" spans="1:123" x14ac:dyDescent="0.3">
      <c r="A3387" t="str">
        <f>"10/04/2022 19:34:35.762"</f>
        <v>10/04/2022 19:34:35.762</v>
      </c>
      <c r="C3387" t="str">
        <f t="shared" si="1231"/>
        <v>FFDFD3C0</v>
      </c>
      <c r="D3387" t="s">
        <v>134</v>
      </c>
      <c r="E3387">
        <v>15</v>
      </c>
      <c r="J3387" t="s">
        <v>135</v>
      </c>
      <c r="K3387">
        <v>0</v>
      </c>
      <c r="L3387">
        <v>3</v>
      </c>
      <c r="M3387">
        <v>0</v>
      </c>
      <c r="N3387">
        <v>2</v>
      </c>
      <c r="O3387">
        <v>0</v>
      </c>
      <c r="P3387">
        <v>1</v>
      </c>
      <c r="Q3387">
        <v>0</v>
      </c>
      <c r="S3387" t="str">
        <f t="shared" si="1235"/>
        <v>19:34:35.000</v>
      </c>
      <c r="T3387" t="str">
        <f t="shared" si="1235"/>
        <v>19:34:35.000</v>
      </c>
      <c r="U3387" t="str">
        <f t="shared" si="1213"/>
        <v>AC3944</v>
      </c>
      <c r="V3387">
        <v>0</v>
      </c>
      <c r="W3387">
        <v>0</v>
      </c>
      <c r="X3387">
        <v>2</v>
      </c>
      <c r="Y3387">
        <v>0</v>
      </c>
      <c r="AA3387">
        <v>1</v>
      </c>
      <c r="AB3387">
        <v>8</v>
      </c>
      <c r="AC3387">
        <v>3</v>
      </c>
      <c r="AD3387">
        <v>0</v>
      </c>
      <c r="AE3387">
        <v>9</v>
      </c>
      <c r="AF3387" t="s">
        <v>138</v>
      </c>
      <c r="AG3387">
        <v>0</v>
      </c>
      <c r="AH3387">
        <v>3</v>
      </c>
      <c r="AI3387">
        <v>1</v>
      </c>
      <c r="AJ3387">
        <v>0</v>
      </c>
      <c r="AK3387" t="s">
        <v>1111</v>
      </c>
      <c r="AL3387">
        <v>32.728228999999999</v>
      </c>
      <c r="AM3387" t="s">
        <v>1112</v>
      </c>
      <c r="AN3387">
        <v>-116.749177</v>
      </c>
      <c r="AO3387">
        <v>25</v>
      </c>
      <c r="AP3387">
        <v>4000</v>
      </c>
      <c r="AQ3387" t="s">
        <v>129</v>
      </c>
      <c r="AR3387">
        <v>99</v>
      </c>
      <c r="AS3387">
        <v>67</v>
      </c>
      <c r="AT3387">
        <v>1344</v>
      </c>
      <c r="BB3387">
        <v>1200</v>
      </c>
      <c r="BC3387">
        <v>1</v>
      </c>
      <c r="BD3387" t="str">
        <f t="shared" si="1214"/>
        <v xml:space="preserve">N887QR  </v>
      </c>
      <c r="BE3387">
        <v>1</v>
      </c>
      <c r="BG3387">
        <v>0</v>
      </c>
      <c r="BH3387">
        <v>0</v>
      </c>
      <c r="BI3387">
        <v>0</v>
      </c>
      <c r="BJ3387">
        <v>3725</v>
      </c>
      <c r="BK3387">
        <v>-275</v>
      </c>
      <c r="BL3387" t="s">
        <v>163</v>
      </c>
      <c r="BM3387">
        <v>1</v>
      </c>
      <c r="BN3387">
        <v>1</v>
      </c>
      <c r="BO3387">
        <v>1</v>
      </c>
      <c r="BP3387">
        <v>0</v>
      </c>
      <c r="BS3387">
        <v>0</v>
      </c>
      <c r="BT3387">
        <v>0</v>
      </c>
      <c r="BU3387">
        <v>0</v>
      </c>
      <c r="CE3387" t="str">
        <f t="shared" si="1236"/>
        <v>19:34:35.375</v>
      </c>
      <c r="CF3387">
        <v>375211805</v>
      </c>
      <c r="CS3387">
        <v>0</v>
      </c>
      <c r="CT3387">
        <v>2</v>
      </c>
      <c r="CU3387">
        <v>0</v>
      </c>
      <c r="CV3387">
        <v>2</v>
      </c>
      <c r="CW3387">
        <v>0</v>
      </c>
      <c r="CX3387">
        <v>5</v>
      </c>
      <c r="CY3387">
        <v>7</v>
      </c>
      <c r="CZ3387" t="s">
        <v>131</v>
      </c>
      <c r="DA3387">
        <v>300</v>
      </c>
      <c r="DB3387">
        <v>0</v>
      </c>
      <c r="DC3387" t="s">
        <v>176</v>
      </c>
      <c r="DD3387" t="s">
        <v>177</v>
      </c>
      <c r="DG3387">
        <v>5436687</v>
      </c>
      <c r="DI3387">
        <v>1</v>
      </c>
      <c r="DJ3387">
        <v>0</v>
      </c>
      <c r="DK3387">
        <v>1</v>
      </c>
      <c r="DL3387">
        <v>0</v>
      </c>
      <c r="DM3387">
        <v>0</v>
      </c>
      <c r="DN3387">
        <v>1</v>
      </c>
      <c r="DO3387">
        <v>0</v>
      </c>
      <c r="DP3387">
        <v>0</v>
      </c>
      <c r="DQ3387">
        <v>0</v>
      </c>
      <c r="DR3387">
        <v>0</v>
      </c>
      <c r="DS3387">
        <v>0</v>
      </c>
    </row>
    <row r="3388" spans="1:123" x14ac:dyDescent="0.3">
      <c r="A3388" t="str">
        <f>"10/04/2022 19:34:35.762"</f>
        <v>10/04/2022 19:34:35.762</v>
      </c>
      <c r="C3388" t="str">
        <f t="shared" si="1231"/>
        <v>FFDFD3C0</v>
      </c>
      <c r="D3388" t="s">
        <v>136</v>
      </c>
      <c r="E3388">
        <v>8</v>
      </c>
      <c r="H3388">
        <v>225</v>
      </c>
      <c r="I3388" t="s">
        <v>137</v>
      </c>
      <c r="J3388" t="s">
        <v>138</v>
      </c>
      <c r="K3388">
        <v>0</v>
      </c>
      <c r="L3388">
        <v>3</v>
      </c>
      <c r="M3388">
        <v>0</v>
      </c>
      <c r="N3388">
        <v>2</v>
      </c>
      <c r="O3388">
        <v>0</v>
      </c>
      <c r="P3388">
        <v>1</v>
      </c>
      <c r="Q3388">
        <v>0</v>
      </c>
      <c r="S3388" t="str">
        <f t="shared" si="1235"/>
        <v>19:34:35.000</v>
      </c>
      <c r="T3388" t="str">
        <f t="shared" si="1235"/>
        <v>19:34:35.000</v>
      </c>
      <c r="U3388" t="str">
        <f t="shared" si="1213"/>
        <v>AC3944</v>
      </c>
      <c r="V3388">
        <v>0</v>
      </c>
      <c r="W3388">
        <v>0</v>
      </c>
      <c r="X3388">
        <v>2</v>
      </c>
      <c r="Y3388">
        <v>0</v>
      </c>
      <c r="AA3388">
        <v>1</v>
      </c>
      <c r="AB3388">
        <v>8</v>
      </c>
      <c r="AC3388">
        <v>3</v>
      </c>
      <c r="AD3388">
        <v>0</v>
      </c>
      <c r="AE3388">
        <v>9</v>
      </c>
      <c r="AF3388" t="s">
        <v>138</v>
      </c>
      <c r="AG3388">
        <v>0</v>
      </c>
      <c r="AH3388">
        <v>3</v>
      </c>
      <c r="AI3388">
        <v>1</v>
      </c>
      <c r="AJ3388">
        <v>0</v>
      </c>
      <c r="AK3388" t="s">
        <v>1111</v>
      </c>
      <c r="AL3388">
        <v>32.728228999999999</v>
      </c>
      <c r="AM3388" t="s">
        <v>1112</v>
      </c>
      <c r="AN3388">
        <v>-116.749177</v>
      </c>
      <c r="AO3388">
        <v>25</v>
      </c>
      <c r="AP3388">
        <v>4000</v>
      </c>
      <c r="AQ3388" t="s">
        <v>129</v>
      </c>
      <c r="AR3388">
        <v>99</v>
      </c>
      <c r="AS3388">
        <v>67</v>
      </c>
      <c r="AT3388">
        <v>1344</v>
      </c>
      <c r="BB3388">
        <v>1200</v>
      </c>
      <c r="BC3388">
        <v>1</v>
      </c>
      <c r="BD3388" t="str">
        <f t="shared" si="1214"/>
        <v xml:space="preserve">N887QR  </v>
      </c>
      <c r="BE3388">
        <v>1</v>
      </c>
      <c r="BG3388">
        <v>0</v>
      </c>
      <c r="BH3388">
        <v>0</v>
      </c>
      <c r="BI3388">
        <v>0</v>
      </c>
      <c r="BJ3388">
        <v>3725</v>
      </c>
      <c r="BK3388">
        <v>-275</v>
      </c>
      <c r="BL3388" t="s">
        <v>163</v>
      </c>
      <c r="BM3388">
        <v>1</v>
      </c>
      <c r="BN3388">
        <v>1</v>
      </c>
      <c r="BO3388">
        <v>1</v>
      </c>
      <c r="BP3388">
        <v>0</v>
      </c>
      <c r="BS3388">
        <v>0</v>
      </c>
      <c r="BT3388">
        <v>0</v>
      </c>
      <c r="BU3388">
        <v>0</v>
      </c>
      <c r="CE3388" t="str">
        <f t="shared" si="1236"/>
        <v>19:34:35.375</v>
      </c>
      <c r="CF3388">
        <v>375211805</v>
      </c>
      <c r="CS3388">
        <v>0</v>
      </c>
      <c r="CT3388">
        <v>2</v>
      </c>
      <c r="CU3388">
        <v>0</v>
      </c>
      <c r="CV3388">
        <v>2</v>
      </c>
      <c r="CW3388">
        <v>0</v>
      </c>
      <c r="CX3388">
        <v>5</v>
      </c>
      <c r="CY3388">
        <v>7</v>
      </c>
      <c r="CZ3388" t="s">
        <v>131</v>
      </c>
      <c r="DA3388">
        <v>300</v>
      </c>
      <c r="DB3388">
        <v>0</v>
      </c>
      <c r="DC3388" t="s">
        <v>176</v>
      </c>
      <c r="DD3388" t="s">
        <v>177</v>
      </c>
      <c r="DG3388">
        <v>5436687</v>
      </c>
      <c r="DI3388">
        <v>1</v>
      </c>
      <c r="DJ3388">
        <v>0</v>
      </c>
      <c r="DK3388">
        <v>1</v>
      </c>
      <c r="DL3388">
        <v>0</v>
      </c>
      <c r="DM3388">
        <v>0</v>
      </c>
      <c r="DN3388">
        <v>1</v>
      </c>
      <c r="DO3388">
        <v>0</v>
      </c>
      <c r="DP3388">
        <v>0</v>
      </c>
      <c r="DQ3388">
        <v>0</v>
      </c>
      <c r="DR3388">
        <v>0</v>
      </c>
      <c r="DS3388">
        <v>0</v>
      </c>
    </row>
    <row r="3389" spans="1:123" x14ac:dyDescent="0.3">
      <c r="A3389" t="str">
        <f>"10/04/2022 19:34:36.463"</f>
        <v>10/04/2022 19:34:36.463</v>
      </c>
      <c r="C3389" t="str">
        <f t="shared" si="1231"/>
        <v>FFDFD3C0</v>
      </c>
      <c r="D3389" t="s">
        <v>143</v>
      </c>
      <c r="E3389">
        <v>20</v>
      </c>
      <c r="F3389">
        <v>1020</v>
      </c>
      <c r="G3389" t="s">
        <v>144</v>
      </c>
      <c r="J3389" t="s">
        <v>145</v>
      </c>
      <c r="K3389">
        <v>0</v>
      </c>
      <c r="L3389">
        <v>3</v>
      </c>
      <c r="M3389">
        <v>0</v>
      </c>
      <c r="N3389">
        <v>2</v>
      </c>
      <c r="O3389">
        <v>0</v>
      </c>
      <c r="P3389">
        <v>1</v>
      </c>
      <c r="Q3389">
        <v>0</v>
      </c>
      <c r="S3389" t="str">
        <f t="shared" ref="S3389:T3397" si="1237">"19:34:36.000"</f>
        <v>19:34:36.000</v>
      </c>
      <c r="T3389" t="str">
        <f t="shared" si="1237"/>
        <v>19:34:36.000</v>
      </c>
      <c r="U3389" t="str">
        <f t="shared" si="1213"/>
        <v>AC3944</v>
      </c>
      <c r="V3389">
        <v>0</v>
      </c>
      <c r="W3389">
        <v>0</v>
      </c>
      <c r="X3389">
        <v>2</v>
      </c>
      <c r="Y3389">
        <v>0</v>
      </c>
      <c r="AA3389">
        <v>1</v>
      </c>
      <c r="AB3389">
        <v>8</v>
      </c>
      <c r="AC3389">
        <v>3</v>
      </c>
      <c r="AD3389">
        <v>0</v>
      </c>
      <c r="AE3389">
        <v>9</v>
      </c>
      <c r="AF3389" t="s">
        <v>138</v>
      </c>
      <c r="AG3389">
        <v>0</v>
      </c>
      <c r="AH3389">
        <v>3</v>
      </c>
      <c r="AI3389">
        <v>1</v>
      </c>
      <c r="AJ3389">
        <v>0</v>
      </c>
      <c r="AK3389" t="s">
        <v>1113</v>
      </c>
      <c r="AL3389">
        <v>32.728485999999997</v>
      </c>
      <c r="AM3389" t="s">
        <v>1114</v>
      </c>
      <c r="AN3389">
        <v>-116.74874800000001</v>
      </c>
      <c r="AO3389">
        <v>25</v>
      </c>
      <c r="AP3389">
        <v>4000</v>
      </c>
      <c r="AQ3389" t="s">
        <v>129</v>
      </c>
      <c r="AR3389">
        <v>100</v>
      </c>
      <c r="AS3389">
        <v>64</v>
      </c>
      <c r="AT3389">
        <v>1344</v>
      </c>
      <c r="BB3389">
        <v>1200</v>
      </c>
      <c r="BC3389">
        <v>1</v>
      </c>
      <c r="BD3389" t="str">
        <f t="shared" si="1214"/>
        <v xml:space="preserve">N887QR  </v>
      </c>
      <c r="BE3389">
        <v>1</v>
      </c>
      <c r="BG3389">
        <v>0</v>
      </c>
      <c r="BH3389">
        <v>0</v>
      </c>
      <c r="BI3389">
        <v>0</v>
      </c>
      <c r="BJ3389">
        <v>3725</v>
      </c>
      <c r="BK3389">
        <v>-275</v>
      </c>
      <c r="BL3389" t="s">
        <v>163</v>
      </c>
      <c r="BM3389">
        <v>1</v>
      </c>
      <c r="BN3389">
        <v>1</v>
      </c>
      <c r="BO3389">
        <v>1</v>
      </c>
      <c r="BP3389">
        <v>0</v>
      </c>
      <c r="BS3389">
        <v>0</v>
      </c>
      <c r="BT3389">
        <v>0</v>
      </c>
      <c r="BU3389">
        <v>0</v>
      </c>
      <c r="CE3389" t="str">
        <f>"19:34:36.050"</f>
        <v>19:34:36.050</v>
      </c>
      <c r="CF3389">
        <v>49647279</v>
      </c>
      <c r="CS3389">
        <v>0</v>
      </c>
      <c r="CT3389">
        <v>2</v>
      </c>
      <c r="CU3389">
        <v>0</v>
      </c>
      <c r="CV3389">
        <v>2</v>
      </c>
      <c r="CW3389">
        <v>0</v>
      </c>
      <c r="CX3389">
        <v>5</v>
      </c>
      <c r="CY3389">
        <v>7</v>
      </c>
      <c r="CZ3389" t="s">
        <v>131</v>
      </c>
      <c r="DA3389">
        <v>286</v>
      </c>
      <c r="DB3389">
        <v>0</v>
      </c>
      <c r="DC3389" t="s">
        <v>132</v>
      </c>
      <c r="DD3389" t="s">
        <v>133</v>
      </c>
      <c r="DG3389">
        <v>876262</v>
      </c>
      <c r="DI3389">
        <v>1</v>
      </c>
      <c r="DJ3389">
        <v>0</v>
      </c>
      <c r="DK3389">
        <v>0</v>
      </c>
      <c r="DL3389">
        <v>0</v>
      </c>
      <c r="DM3389">
        <v>0</v>
      </c>
      <c r="DN3389">
        <v>1</v>
      </c>
      <c r="DO3389">
        <v>0</v>
      </c>
      <c r="DP3389">
        <v>0</v>
      </c>
      <c r="DQ3389">
        <v>0</v>
      </c>
      <c r="DR3389">
        <v>0</v>
      </c>
      <c r="DS3389">
        <v>0</v>
      </c>
    </row>
    <row r="3390" spans="1:123" x14ac:dyDescent="0.3">
      <c r="A3390" t="str">
        <f>"10/04/2022 19:34:36.463"</f>
        <v>10/04/2022 19:34:36.463</v>
      </c>
      <c r="C3390" t="str">
        <f t="shared" si="1231"/>
        <v>FFDFD3C0</v>
      </c>
      <c r="D3390" t="s">
        <v>134</v>
      </c>
      <c r="E3390">
        <v>15</v>
      </c>
      <c r="J3390" t="s">
        <v>135</v>
      </c>
      <c r="K3390">
        <v>0</v>
      </c>
      <c r="L3390">
        <v>3</v>
      </c>
      <c r="M3390">
        <v>0</v>
      </c>
      <c r="N3390">
        <v>2</v>
      </c>
      <c r="O3390">
        <v>0</v>
      </c>
      <c r="P3390">
        <v>1</v>
      </c>
      <c r="Q3390">
        <v>0</v>
      </c>
      <c r="S3390" t="str">
        <f t="shared" si="1237"/>
        <v>19:34:36.000</v>
      </c>
      <c r="T3390" t="str">
        <f t="shared" si="1237"/>
        <v>19:34:36.000</v>
      </c>
      <c r="U3390" t="str">
        <f t="shared" si="1213"/>
        <v>AC3944</v>
      </c>
      <c r="V3390">
        <v>0</v>
      </c>
      <c r="W3390">
        <v>0</v>
      </c>
      <c r="X3390">
        <v>2</v>
      </c>
      <c r="Y3390">
        <v>0</v>
      </c>
      <c r="AA3390">
        <v>1</v>
      </c>
      <c r="AB3390">
        <v>8</v>
      </c>
      <c r="AC3390">
        <v>3</v>
      </c>
      <c r="AD3390">
        <v>0</v>
      </c>
      <c r="AE3390">
        <v>9</v>
      </c>
      <c r="AF3390" t="s">
        <v>138</v>
      </c>
      <c r="AG3390">
        <v>0</v>
      </c>
      <c r="AH3390">
        <v>3</v>
      </c>
      <c r="AI3390">
        <v>1</v>
      </c>
      <c r="AJ3390">
        <v>0</v>
      </c>
      <c r="AK3390" t="s">
        <v>1113</v>
      </c>
      <c r="AL3390">
        <v>32.728485999999997</v>
      </c>
      <c r="AM3390" t="s">
        <v>1114</v>
      </c>
      <c r="AN3390">
        <v>-116.74874800000001</v>
      </c>
      <c r="AO3390">
        <v>25</v>
      </c>
      <c r="AP3390">
        <v>4000</v>
      </c>
      <c r="AQ3390" t="s">
        <v>129</v>
      </c>
      <c r="AR3390">
        <v>100</v>
      </c>
      <c r="AS3390">
        <v>64</v>
      </c>
      <c r="AT3390">
        <v>1344</v>
      </c>
      <c r="BB3390">
        <v>1200</v>
      </c>
      <c r="BC3390">
        <v>1</v>
      </c>
      <c r="BD3390" t="str">
        <f t="shared" si="1214"/>
        <v xml:space="preserve">N887QR  </v>
      </c>
      <c r="BE3390">
        <v>1</v>
      </c>
      <c r="BG3390">
        <v>0</v>
      </c>
      <c r="BH3390">
        <v>0</v>
      </c>
      <c r="BI3390">
        <v>0</v>
      </c>
      <c r="BJ3390">
        <v>3725</v>
      </c>
      <c r="BK3390">
        <v>-275</v>
      </c>
      <c r="BL3390" t="s">
        <v>163</v>
      </c>
      <c r="BM3390">
        <v>1</v>
      </c>
      <c r="BN3390">
        <v>1</v>
      </c>
      <c r="BO3390">
        <v>1</v>
      </c>
      <c r="BP3390">
        <v>0</v>
      </c>
      <c r="BS3390">
        <v>0</v>
      </c>
      <c r="BT3390">
        <v>0</v>
      </c>
      <c r="BU3390">
        <v>0</v>
      </c>
      <c r="CE3390" t="str">
        <f>"19:34:36.050"</f>
        <v>19:34:36.050</v>
      </c>
      <c r="CF3390">
        <v>49647279</v>
      </c>
      <c r="CS3390">
        <v>0</v>
      </c>
      <c r="CT3390">
        <v>2</v>
      </c>
      <c r="CU3390">
        <v>0</v>
      </c>
      <c r="CV3390">
        <v>2</v>
      </c>
      <c r="CW3390">
        <v>0</v>
      </c>
      <c r="CX3390">
        <v>5</v>
      </c>
      <c r="CY3390">
        <v>7</v>
      </c>
      <c r="CZ3390" t="s">
        <v>131</v>
      </c>
      <c r="DA3390">
        <v>286</v>
      </c>
      <c r="DB3390">
        <v>0</v>
      </c>
      <c r="DC3390" t="s">
        <v>132</v>
      </c>
      <c r="DD3390" t="s">
        <v>133</v>
      </c>
      <c r="DG3390">
        <v>876262</v>
      </c>
      <c r="DI3390">
        <v>1</v>
      </c>
      <c r="DJ3390">
        <v>0</v>
      </c>
      <c r="DK3390">
        <v>1</v>
      </c>
      <c r="DL3390">
        <v>0</v>
      </c>
      <c r="DM3390">
        <v>0</v>
      </c>
      <c r="DN3390">
        <v>1</v>
      </c>
      <c r="DO3390">
        <v>0</v>
      </c>
      <c r="DP3390">
        <v>0</v>
      </c>
      <c r="DQ3390">
        <v>0</v>
      </c>
      <c r="DR3390">
        <v>0</v>
      </c>
      <c r="DS3390">
        <v>0</v>
      </c>
    </row>
    <row r="3391" spans="1:123" x14ac:dyDescent="0.3">
      <c r="A3391" t="str">
        <f t="shared" ref="A3391:A3397" si="1238">"10/04/2022 19:34:37.604"</f>
        <v>10/04/2022 19:34:37.604</v>
      </c>
      <c r="C3391" t="str">
        <f t="shared" si="1231"/>
        <v>FFDFD3C0</v>
      </c>
      <c r="D3391" t="s">
        <v>123</v>
      </c>
      <c r="E3391">
        <v>7</v>
      </c>
      <c r="F3391">
        <v>2007</v>
      </c>
      <c r="G3391" t="s">
        <v>124</v>
      </c>
      <c r="J3391" t="s">
        <v>125</v>
      </c>
      <c r="K3391">
        <v>0</v>
      </c>
      <c r="L3391">
        <v>3</v>
      </c>
      <c r="M3391">
        <v>0</v>
      </c>
      <c r="N3391">
        <v>2</v>
      </c>
      <c r="O3391">
        <v>0</v>
      </c>
      <c r="P3391">
        <v>1</v>
      </c>
      <c r="Q3391">
        <v>0</v>
      </c>
      <c r="S3391" t="str">
        <f t="shared" si="1237"/>
        <v>19:34:36.000</v>
      </c>
      <c r="T3391" t="str">
        <f t="shared" si="1237"/>
        <v>19:34:36.000</v>
      </c>
      <c r="U3391" t="str">
        <f t="shared" si="1213"/>
        <v>AC3944</v>
      </c>
      <c r="V3391">
        <v>0</v>
      </c>
      <c r="W3391">
        <v>0</v>
      </c>
      <c r="X3391">
        <v>2</v>
      </c>
      <c r="Y3391">
        <v>0</v>
      </c>
      <c r="AA3391">
        <v>1</v>
      </c>
      <c r="AB3391">
        <v>8</v>
      </c>
      <c r="AC3391">
        <v>3</v>
      </c>
      <c r="AD3391">
        <v>0</v>
      </c>
      <c r="AE3391">
        <v>9</v>
      </c>
      <c r="AF3391" t="s">
        <v>138</v>
      </c>
      <c r="AG3391">
        <v>0</v>
      </c>
      <c r="AH3391">
        <v>3</v>
      </c>
      <c r="AI3391">
        <v>1</v>
      </c>
      <c r="AJ3391">
        <v>0</v>
      </c>
      <c r="AK3391" t="s">
        <v>1115</v>
      </c>
      <c r="AL3391">
        <v>32.728785999999999</v>
      </c>
      <c r="AM3391" t="s">
        <v>1116</v>
      </c>
      <c r="AN3391">
        <v>-116.74818999999999</v>
      </c>
      <c r="AO3391">
        <v>25</v>
      </c>
      <c r="AP3391">
        <v>4000</v>
      </c>
      <c r="AQ3391" t="s">
        <v>129</v>
      </c>
      <c r="AR3391">
        <v>102</v>
      </c>
      <c r="AS3391">
        <v>59</v>
      </c>
      <c r="AT3391">
        <v>1408</v>
      </c>
      <c r="BB3391">
        <v>1200</v>
      </c>
      <c r="BC3391">
        <v>1</v>
      </c>
      <c r="BD3391" t="str">
        <f t="shared" si="1214"/>
        <v xml:space="preserve">N887QR  </v>
      </c>
      <c r="BE3391">
        <v>1</v>
      </c>
      <c r="BG3391">
        <v>0</v>
      </c>
      <c r="BH3391">
        <v>0</v>
      </c>
      <c r="BI3391">
        <v>0</v>
      </c>
      <c r="BJ3391">
        <v>3800</v>
      </c>
      <c r="BK3391">
        <v>-200</v>
      </c>
      <c r="BL3391" t="s">
        <v>163</v>
      </c>
      <c r="BM3391">
        <v>1</v>
      </c>
      <c r="BN3391">
        <v>1</v>
      </c>
      <c r="BO3391">
        <v>1</v>
      </c>
      <c r="BP3391">
        <v>0</v>
      </c>
      <c r="BS3391">
        <v>0</v>
      </c>
      <c r="BT3391">
        <v>0</v>
      </c>
      <c r="BU3391">
        <v>0</v>
      </c>
      <c r="CE3391" t="str">
        <f t="shared" ref="CE3391:CE3397" si="1239">"19:34:36.840"</f>
        <v>19:34:36.840</v>
      </c>
      <c r="CF3391">
        <v>839716463</v>
      </c>
      <c r="CS3391">
        <v>0</v>
      </c>
      <c r="CT3391">
        <v>2</v>
      </c>
      <c r="CU3391">
        <v>0</v>
      </c>
      <c r="CV3391">
        <v>2</v>
      </c>
      <c r="CW3391">
        <v>0</v>
      </c>
      <c r="CX3391">
        <v>5</v>
      </c>
      <c r="CY3391">
        <v>7</v>
      </c>
      <c r="CZ3391" t="s">
        <v>131</v>
      </c>
      <c r="DA3391">
        <v>300</v>
      </c>
      <c r="DB3391">
        <v>0</v>
      </c>
      <c r="DC3391" t="s">
        <v>176</v>
      </c>
      <c r="DD3391" t="s">
        <v>177</v>
      </c>
      <c r="DG3391">
        <v>5436915</v>
      </c>
      <c r="DI3391">
        <v>1</v>
      </c>
      <c r="DJ3391">
        <v>0</v>
      </c>
      <c r="DK3391">
        <v>0</v>
      </c>
      <c r="DL3391">
        <v>0</v>
      </c>
      <c r="DM3391">
        <v>0</v>
      </c>
      <c r="DN3391">
        <v>1</v>
      </c>
      <c r="DO3391">
        <v>0</v>
      </c>
      <c r="DP3391">
        <v>0</v>
      </c>
      <c r="DQ3391">
        <v>0</v>
      </c>
      <c r="DR3391">
        <v>0</v>
      </c>
      <c r="DS3391">
        <v>0</v>
      </c>
    </row>
    <row r="3392" spans="1:123" x14ac:dyDescent="0.3">
      <c r="A3392" t="str">
        <f t="shared" si="1238"/>
        <v>10/04/2022 19:34:37.604</v>
      </c>
      <c r="C3392" t="str">
        <f t="shared" si="1231"/>
        <v>FFDFD3C0</v>
      </c>
      <c r="D3392" t="s">
        <v>147</v>
      </c>
      <c r="E3392">
        <v>3</v>
      </c>
      <c r="H3392">
        <v>166</v>
      </c>
      <c r="I3392" t="s">
        <v>144</v>
      </c>
      <c r="J3392" t="s">
        <v>148</v>
      </c>
      <c r="K3392">
        <v>0</v>
      </c>
      <c r="L3392">
        <v>3</v>
      </c>
      <c r="M3392">
        <v>0</v>
      </c>
      <c r="N3392">
        <v>2</v>
      </c>
      <c r="O3392">
        <v>0</v>
      </c>
      <c r="P3392">
        <v>1</v>
      </c>
      <c r="Q3392">
        <v>0</v>
      </c>
      <c r="S3392" t="str">
        <f t="shared" si="1237"/>
        <v>19:34:36.000</v>
      </c>
      <c r="T3392" t="str">
        <f t="shared" si="1237"/>
        <v>19:34:36.000</v>
      </c>
      <c r="U3392" t="str">
        <f t="shared" si="1213"/>
        <v>AC3944</v>
      </c>
      <c r="V3392">
        <v>0</v>
      </c>
      <c r="W3392">
        <v>0</v>
      </c>
      <c r="X3392">
        <v>2</v>
      </c>
      <c r="Y3392">
        <v>0</v>
      </c>
      <c r="AA3392">
        <v>1</v>
      </c>
      <c r="AB3392">
        <v>8</v>
      </c>
      <c r="AC3392">
        <v>3</v>
      </c>
      <c r="AD3392">
        <v>0</v>
      </c>
      <c r="AE3392">
        <v>9</v>
      </c>
      <c r="AF3392" t="s">
        <v>138</v>
      </c>
      <c r="AG3392">
        <v>0</v>
      </c>
      <c r="AH3392">
        <v>3</v>
      </c>
      <c r="AI3392">
        <v>1</v>
      </c>
      <c r="AJ3392">
        <v>0</v>
      </c>
      <c r="AK3392" t="s">
        <v>1115</v>
      </c>
      <c r="AL3392">
        <v>32.728785999999999</v>
      </c>
      <c r="AM3392" t="s">
        <v>1116</v>
      </c>
      <c r="AN3392">
        <v>-116.74818999999999</v>
      </c>
      <c r="AO3392">
        <v>25</v>
      </c>
      <c r="AP3392">
        <v>4000</v>
      </c>
      <c r="AQ3392" t="s">
        <v>129</v>
      </c>
      <c r="AR3392">
        <v>102</v>
      </c>
      <c r="AS3392">
        <v>59</v>
      </c>
      <c r="AT3392">
        <v>1408</v>
      </c>
      <c r="BB3392">
        <v>1200</v>
      </c>
      <c r="BC3392">
        <v>1</v>
      </c>
      <c r="BD3392" t="str">
        <f t="shared" si="1214"/>
        <v xml:space="preserve">N887QR  </v>
      </c>
      <c r="BE3392">
        <v>1</v>
      </c>
      <c r="BG3392">
        <v>0</v>
      </c>
      <c r="BH3392">
        <v>0</v>
      </c>
      <c r="BI3392">
        <v>0</v>
      </c>
      <c r="BJ3392">
        <v>3800</v>
      </c>
      <c r="BK3392">
        <v>-200</v>
      </c>
      <c r="BL3392" t="s">
        <v>163</v>
      </c>
      <c r="BM3392">
        <v>1</v>
      </c>
      <c r="BN3392">
        <v>1</v>
      </c>
      <c r="BO3392">
        <v>1</v>
      </c>
      <c r="BP3392">
        <v>0</v>
      </c>
      <c r="BS3392">
        <v>0</v>
      </c>
      <c r="BT3392">
        <v>0</v>
      </c>
      <c r="BU3392">
        <v>0</v>
      </c>
      <c r="CE3392" t="str">
        <f t="shared" si="1239"/>
        <v>19:34:36.840</v>
      </c>
      <c r="CF3392">
        <v>839716463</v>
      </c>
      <c r="CS3392">
        <v>0</v>
      </c>
      <c r="CT3392">
        <v>2</v>
      </c>
      <c r="CU3392">
        <v>0</v>
      </c>
      <c r="CV3392">
        <v>2</v>
      </c>
      <c r="CW3392">
        <v>0</v>
      </c>
      <c r="CX3392">
        <v>5</v>
      </c>
      <c r="CY3392">
        <v>7</v>
      </c>
      <c r="CZ3392" t="s">
        <v>131</v>
      </c>
      <c r="DA3392">
        <v>300</v>
      </c>
      <c r="DB3392">
        <v>0</v>
      </c>
      <c r="DC3392" t="s">
        <v>176</v>
      </c>
      <c r="DD3392" t="s">
        <v>177</v>
      </c>
      <c r="DG3392">
        <v>5436915</v>
      </c>
      <c r="DI3392">
        <v>1</v>
      </c>
      <c r="DJ3392">
        <v>0</v>
      </c>
      <c r="DK3392">
        <v>0</v>
      </c>
      <c r="DL3392">
        <v>0</v>
      </c>
      <c r="DM3392">
        <v>0</v>
      </c>
      <c r="DN3392">
        <v>1</v>
      </c>
      <c r="DO3392">
        <v>0</v>
      </c>
      <c r="DP3392">
        <v>0</v>
      </c>
      <c r="DQ3392">
        <v>0</v>
      </c>
      <c r="DR3392">
        <v>0</v>
      </c>
      <c r="DS3392">
        <v>0</v>
      </c>
    </row>
    <row r="3393" spans="1:123" x14ac:dyDescent="0.3">
      <c r="A3393" t="str">
        <f t="shared" si="1238"/>
        <v>10/04/2022 19:34:37.604</v>
      </c>
      <c r="C3393" t="str">
        <f t="shared" si="1231"/>
        <v>FFDFD3C0</v>
      </c>
      <c r="D3393" t="s">
        <v>141</v>
      </c>
      <c r="E3393">
        <v>4</v>
      </c>
      <c r="H3393">
        <v>4</v>
      </c>
      <c r="I3393" t="s">
        <v>142</v>
      </c>
      <c r="J3393" t="s">
        <v>138</v>
      </c>
      <c r="K3393">
        <v>0</v>
      </c>
      <c r="L3393">
        <v>3</v>
      </c>
      <c r="M3393">
        <v>0</v>
      </c>
      <c r="N3393">
        <v>2</v>
      </c>
      <c r="O3393">
        <v>0</v>
      </c>
      <c r="P3393">
        <v>1</v>
      </c>
      <c r="Q3393">
        <v>0</v>
      </c>
      <c r="S3393" t="str">
        <f t="shared" si="1237"/>
        <v>19:34:36.000</v>
      </c>
      <c r="T3393" t="str">
        <f t="shared" si="1237"/>
        <v>19:34:36.000</v>
      </c>
      <c r="U3393" t="str">
        <f t="shared" si="1213"/>
        <v>AC3944</v>
      </c>
      <c r="V3393">
        <v>0</v>
      </c>
      <c r="W3393">
        <v>0</v>
      </c>
      <c r="X3393">
        <v>2</v>
      </c>
      <c r="Y3393">
        <v>0</v>
      </c>
      <c r="AA3393">
        <v>1</v>
      </c>
      <c r="AB3393">
        <v>8</v>
      </c>
      <c r="AC3393">
        <v>3</v>
      </c>
      <c r="AD3393">
        <v>0</v>
      </c>
      <c r="AE3393">
        <v>9</v>
      </c>
      <c r="AF3393" t="s">
        <v>138</v>
      </c>
      <c r="AG3393">
        <v>0</v>
      </c>
      <c r="AH3393">
        <v>3</v>
      </c>
      <c r="AI3393">
        <v>1</v>
      </c>
      <c r="AJ3393">
        <v>0</v>
      </c>
      <c r="AK3393" t="s">
        <v>1115</v>
      </c>
      <c r="AL3393">
        <v>32.728785999999999</v>
      </c>
      <c r="AM3393" t="s">
        <v>1116</v>
      </c>
      <c r="AN3393">
        <v>-116.74818999999999</v>
      </c>
      <c r="AO3393">
        <v>25</v>
      </c>
      <c r="AP3393">
        <v>4000</v>
      </c>
      <c r="AQ3393" t="s">
        <v>129</v>
      </c>
      <c r="AR3393">
        <v>102</v>
      </c>
      <c r="AS3393">
        <v>59</v>
      </c>
      <c r="AT3393">
        <v>1408</v>
      </c>
      <c r="BB3393">
        <v>1200</v>
      </c>
      <c r="BC3393">
        <v>1</v>
      </c>
      <c r="BD3393" t="str">
        <f t="shared" si="1214"/>
        <v xml:space="preserve">N887QR  </v>
      </c>
      <c r="BE3393">
        <v>1</v>
      </c>
      <c r="BG3393">
        <v>0</v>
      </c>
      <c r="BH3393">
        <v>0</v>
      </c>
      <c r="BI3393">
        <v>0</v>
      </c>
      <c r="BJ3393">
        <v>3800</v>
      </c>
      <c r="BK3393">
        <v>-200</v>
      </c>
      <c r="BL3393" t="s">
        <v>163</v>
      </c>
      <c r="BM3393">
        <v>1</v>
      </c>
      <c r="BN3393">
        <v>1</v>
      </c>
      <c r="BO3393">
        <v>1</v>
      </c>
      <c r="BP3393">
        <v>0</v>
      </c>
      <c r="BS3393">
        <v>0</v>
      </c>
      <c r="BT3393">
        <v>0</v>
      </c>
      <c r="BU3393">
        <v>0</v>
      </c>
      <c r="CE3393" t="str">
        <f t="shared" si="1239"/>
        <v>19:34:36.840</v>
      </c>
      <c r="CF3393">
        <v>839716463</v>
      </c>
      <c r="CS3393">
        <v>0</v>
      </c>
      <c r="CT3393">
        <v>2</v>
      </c>
      <c r="CU3393">
        <v>0</v>
      </c>
      <c r="CV3393">
        <v>2</v>
      </c>
      <c r="CW3393">
        <v>0</v>
      </c>
      <c r="CX3393">
        <v>5</v>
      </c>
      <c r="CY3393">
        <v>7</v>
      </c>
      <c r="CZ3393" t="s">
        <v>131</v>
      </c>
      <c r="DA3393">
        <v>300</v>
      </c>
      <c r="DB3393">
        <v>0</v>
      </c>
      <c r="DC3393" t="s">
        <v>176</v>
      </c>
      <c r="DD3393" t="s">
        <v>177</v>
      </c>
      <c r="DG3393">
        <v>5436915</v>
      </c>
      <c r="DI3393">
        <v>1</v>
      </c>
      <c r="DJ3393">
        <v>0</v>
      </c>
      <c r="DK3393">
        <v>1</v>
      </c>
      <c r="DL3393">
        <v>0</v>
      </c>
      <c r="DM3393">
        <v>0</v>
      </c>
      <c r="DN3393">
        <v>1</v>
      </c>
      <c r="DO3393">
        <v>0</v>
      </c>
      <c r="DP3393">
        <v>0</v>
      </c>
      <c r="DQ3393">
        <v>0</v>
      </c>
      <c r="DR3393">
        <v>0</v>
      </c>
      <c r="DS3393">
        <v>0</v>
      </c>
    </row>
    <row r="3394" spans="1:123" x14ac:dyDescent="0.3">
      <c r="A3394" t="str">
        <f t="shared" si="1238"/>
        <v>10/04/2022 19:34:37.604</v>
      </c>
      <c r="C3394" t="str">
        <f t="shared" si="1231"/>
        <v>FFDFD3C0</v>
      </c>
      <c r="D3394" t="s">
        <v>143</v>
      </c>
      <c r="E3394">
        <v>20</v>
      </c>
      <c r="F3394">
        <v>1020</v>
      </c>
      <c r="G3394" t="s">
        <v>144</v>
      </c>
      <c r="J3394" t="s">
        <v>145</v>
      </c>
      <c r="K3394">
        <v>0</v>
      </c>
      <c r="L3394">
        <v>3</v>
      </c>
      <c r="M3394">
        <v>0</v>
      </c>
      <c r="N3394">
        <v>2</v>
      </c>
      <c r="O3394">
        <v>0</v>
      </c>
      <c r="P3394">
        <v>1</v>
      </c>
      <c r="Q3394">
        <v>0</v>
      </c>
      <c r="S3394" t="str">
        <f t="shared" si="1237"/>
        <v>19:34:36.000</v>
      </c>
      <c r="T3394" t="str">
        <f t="shared" si="1237"/>
        <v>19:34:36.000</v>
      </c>
      <c r="U3394" t="str">
        <f t="shared" ref="U3394:U3457" si="1240">"AC3944"</f>
        <v>AC3944</v>
      </c>
      <c r="V3394">
        <v>0</v>
      </c>
      <c r="W3394">
        <v>0</v>
      </c>
      <c r="X3394">
        <v>2</v>
      </c>
      <c r="Y3394">
        <v>0</v>
      </c>
      <c r="AA3394">
        <v>1</v>
      </c>
      <c r="AB3394">
        <v>8</v>
      </c>
      <c r="AC3394">
        <v>3</v>
      </c>
      <c r="AD3394">
        <v>0</v>
      </c>
      <c r="AE3394">
        <v>9</v>
      </c>
      <c r="AF3394" t="s">
        <v>138</v>
      </c>
      <c r="AG3394">
        <v>0</v>
      </c>
      <c r="AH3394">
        <v>3</v>
      </c>
      <c r="AI3394">
        <v>1</v>
      </c>
      <c r="AJ3394">
        <v>0</v>
      </c>
      <c r="AK3394" t="s">
        <v>1115</v>
      </c>
      <c r="AL3394">
        <v>32.728785999999999</v>
      </c>
      <c r="AM3394" t="s">
        <v>1116</v>
      </c>
      <c r="AN3394">
        <v>-116.74818999999999</v>
      </c>
      <c r="AO3394">
        <v>25</v>
      </c>
      <c r="AP3394">
        <v>4000</v>
      </c>
      <c r="AQ3394" t="s">
        <v>129</v>
      </c>
      <c r="AR3394">
        <v>102</v>
      </c>
      <c r="AS3394">
        <v>59</v>
      </c>
      <c r="AT3394">
        <v>1408</v>
      </c>
      <c r="BB3394">
        <v>1200</v>
      </c>
      <c r="BC3394">
        <v>1</v>
      </c>
      <c r="BD3394" t="str">
        <f t="shared" ref="BD3394:BD3457" si="1241">"N887QR  "</f>
        <v xml:space="preserve">N887QR  </v>
      </c>
      <c r="BE3394">
        <v>1</v>
      </c>
      <c r="BG3394">
        <v>0</v>
      </c>
      <c r="BH3394">
        <v>0</v>
      </c>
      <c r="BI3394">
        <v>0</v>
      </c>
      <c r="BJ3394">
        <v>3800</v>
      </c>
      <c r="BK3394">
        <v>-200</v>
      </c>
      <c r="BL3394" t="s">
        <v>163</v>
      </c>
      <c r="BM3394">
        <v>1</v>
      </c>
      <c r="BN3394">
        <v>1</v>
      </c>
      <c r="BO3394">
        <v>1</v>
      </c>
      <c r="BP3394">
        <v>0</v>
      </c>
      <c r="BS3394">
        <v>0</v>
      </c>
      <c r="BT3394">
        <v>0</v>
      </c>
      <c r="BU3394">
        <v>0</v>
      </c>
      <c r="CE3394" t="str">
        <f t="shared" si="1239"/>
        <v>19:34:36.840</v>
      </c>
      <c r="CF3394">
        <v>839716463</v>
      </c>
      <c r="CS3394">
        <v>0</v>
      </c>
      <c r="CT3394">
        <v>2</v>
      </c>
      <c r="CU3394">
        <v>0</v>
      </c>
      <c r="CV3394">
        <v>2</v>
      </c>
      <c r="CW3394">
        <v>0</v>
      </c>
      <c r="CX3394">
        <v>5</v>
      </c>
      <c r="CY3394">
        <v>7</v>
      </c>
      <c r="CZ3394" t="s">
        <v>131</v>
      </c>
      <c r="DA3394">
        <v>300</v>
      </c>
      <c r="DB3394">
        <v>0</v>
      </c>
      <c r="DC3394" t="s">
        <v>176</v>
      </c>
      <c r="DD3394" t="s">
        <v>177</v>
      </c>
      <c r="DG3394">
        <v>5436915</v>
      </c>
      <c r="DI3394">
        <v>1</v>
      </c>
      <c r="DJ3394">
        <v>0</v>
      </c>
      <c r="DK3394">
        <v>1</v>
      </c>
      <c r="DL3394">
        <v>0</v>
      </c>
      <c r="DM3394">
        <v>0</v>
      </c>
      <c r="DN3394">
        <v>1</v>
      </c>
      <c r="DO3394">
        <v>0</v>
      </c>
      <c r="DP3394">
        <v>0</v>
      </c>
      <c r="DQ3394">
        <v>0</v>
      </c>
      <c r="DR3394">
        <v>0</v>
      </c>
      <c r="DS3394">
        <v>0</v>
      </c>
    </row>
    <row r="3395" spans="1:123" x14ac:dyDescent="0.3">
      <c r="A3395" t="str">
        <f t="shared" si="1238"/>
        <v>10/04/2022 19:34:37.604</v>
      </c>
      <c r="C3395" t="str">
        <f t="shared" si="1231"/>
        <v>FFDFD3C0</v>
      </c>
      <c r="D3395" t="s">
        <v>141</v>
      </c>
      <c r="E3395">
        <v>3</v>
      </c>
      <c r="H3395">
        <v>3</v>
      </c>
      <c r="I3395" t="s">
        <v>146</v>
      </c>
      <c r="J3395" t="s">
        <v>138</v>
      </c>
      <c r="K3395">
        <v>0</v>
      </c>
      <c r="L3395">
        <v>3</v>
      </c>
      <c r="M3395">
        <v>0</v>
      </c>
      <c r="N3395">
        <v>2</v>
      </c>
      <c r="O3395">
        <v>0</v>
      </c>
      <c r="P3395">
        <v>1</v>
      </c>
      <c r="Q3395">
        <v>0</v>
      </c>
      <c r="S3395" t="str">
        <f t="shared" si="1237"/>
        <v>19:34:36.000</v>
      </c>
      <c r="T3395" t="str">
        <f t="shared" si="1237"/>
        <v>19:34:36.000</v>
      </c>
      <c r="U3395" t="str">
        <f t="shared" si="1240"/>
        <v>AC3944</v>
      </c>
      <c r="V3395">
        <v>0</v>
      </c>
      <c r="W3395">
        <v>0</v>
      </c>
      <c r="X3395">
        <v>2</v>
      </c>
      <c r="Y3395">
        <v>0</v>
      </c>
      <c r="AA3395">
        <v>1</v>
      </c>
      <c r="AB3395">
        <v>8</v>
      </c>
      <c r="AC3395">
        <v>3</v>
      </c>
      <c r="AD3395">
        <v>0</v>
      </c>
      <c r="AE3395">
        <v>9</v>
      </c>
      <c r="AF3395" t="s">
        <v>138</v>
      </c>
      <c r="AG3395">
        <v>0</v>
      </c>
      <c r="AH3395">
        <v>3</v>
      </c>
      <c r="AI3395">
        <v>1</v>
      </c>
      <c r="AJ3395">
        <v>0</v>
      </c>
      <c r="AK3395" t="s">
        <v>1115</v>
      </c>
      <c r="AL3395">
        <v>32.728785999999999</v>
      </c>
      <c r="AM3395" t="s">
        <v>1116</v>
      </c>
      <c r="AN3395">
        <v>-116.74818999999999</v>
      </c>
      <c r="AO3395">
        <v>25</v>
      </c>
      <c r="AP3395">
        <v>4000</v>
      </c>
      <c r="AQ3395" t="s">
        <v>129</v>
      </c>
      <c r="AR3395">
        <v>102</v>
      </c>
      <c r="AS3395">
        <v>59</v>
      </c>
      <c r="AT3395">
        <v>1408</v>
      </c>
      <c r="BB3395">
        <v>1200</v>
      </c>
      <c r="BC3395">
        <v>1</v>
      </c>
      <c r="BD3395" t="str">
        <f t="shared" si="1241"/>
        <v xml:space="preserve">N887QR  </v>
      </c>
      <c r="BE3395">
        <v>1</v>
      </c>
      <c r="BG3395">
        <v>0</v>
      </c>
      <c r="BH3395">
        <v>0</v>
      </c>
      <c r="BI3395">
        <v>0</v>
      </c>
      <c r="BJ3395">
        <v>3800</v>
      </c>
      <c r="BK3395">
        <v>-200</v>
      </c>
      <c r="BL3395" t="s">
        <v>163</v>
      </c>
      <c r="BM3395">
        <v>1</v>
      </c>
      <c r="BN3395">
        <v>1</v>
      </c>
      <c r="BO3395">
        <v>1</v>
      </c>
      <c r="BP3395">
        <v>0</v>
      </c>
      <c r="BS3395">
        <v>0</v>
      </c>
      <c r="BT3395">
        <v>0</v>
      </c>
      <c r="BU3395">
        <v>0</v>
      </c>
      <c r="CE3395" t="str">
        <f t="shared" si="1239"/>
        <v>19:34:36.840</v>
      </c>
      <c r="CF3395">
        <v>839716463</v>
      </c>
      <c r="CS3395">
        <v>0</v>
      </c>
      <c r="CT3395">
        <v>2</v>
      </c>
      <c r="CU3395">
        <v>0</v>
      </c>
      <c r="CV3395">
        <v>2</v>
      </c>
      <c r="CW3395">
        <v>0</v>
      </c>
      <c r="CX3395">
        <v>5</v>
      </c>
      <c r="CY3395">
        <v>7</v>
      </c>
      <c r="CZ3395" t="s">
        <v>131</v>
      </c>
      <c r="DA3395">
        <v>300</v>
      </c>
      <c r="DB3395">
        <v>0</v>
      </c>
      <c r="DC3395" t="s">
        <v>176</v>
      </c>
      <c r="DD3395" t="s">
        <v>177</v>
      </c>
      <c r="DG3395">
        <v>5436915</v>
      </c>
      <c r="DI3395">
        <v>1</v>
      </c>
      <c r="DJ3395">
        <v>0</v>
      </c>
      <c r="DK3395">
        <v>1</v>
      </c>
      <c r="DL3395">
        <v>0</v>
      </c>
      <c r="DM3395">
        <v>0</v>
      </c>
      <c r="DN3395">
        <v>1</v>
      </c>
      <c r="DO3395">
        <v>0</v>
      </c>
      <c r="DP3395">
        <v>0</v>
      </c>
      <c r="DQ3395">
        <v>0</v>
      </c>
      <c r="DR3395">
        <v>0</v>
      </c>
      <c r="DS3395">
        <v>0</v>
      </c>
    </row>
    <row r="3396" spans="1:123" x14ac:dyDescent="0.3">
      <c r="A3396" t="str">
        <f t="shared" si="1238"/>
        <v>10/04/2022 19:34:37.604</v>
      </c>
      <c r="C3396" t="str">
        <f t="shared" si="1231"/>
        <v>FFDFD3C0</v>
      </c>
      <c r="D3396" t="s">
        <v>136</v>
      </c>
      <c r="E3396">
        <v>8</v>
      </c>
      <c r="H3396">
        <v>225</v>
      </c>
      <c r="I3396" t="s">
        <v>137</v>
      </c>
      <c r="J3396" t="s">
        <v>138</v>
      </c>
      <c r="K3396">
        <v>0</v>
      </c>
      <c r="L3396">
        <v>3</v>
      </c>
      <c r="M3396">
        <v>0</v>
      </c>
      <c r="N3396">
        <v>2</v>
      </c>
      <c r="O3396">
        <v>0</v>
      </c>
      <c r="P3396">
        <v>1</v>
      </c>
      <c r="Q3396">
        <v>0</v>
      </c>
      <c r="S3396" t="str">
        <f t="shared" si="1237"/>
        <v>19:34:36.000</v>
      </c>
      <c r="T3396" t="str">
        <f t="shared" si="1237"/>
        <v>19:34:36.000</v>
      </c>
      <c r="U3396" t="str">
        <f t="shared" si="1240"/>
        <v>AC3944</v>
      </c>
      <c r="V3396">
        <v>0</v>
      </c>
      <c r="W3396">
        <v>0</v>
      </c>
      <c r="X3396">
        <v>2</v>
      </c>
      <c r="Y3396">
        <v>0</v>
      </c>
      <c r="AA3396">
        <v>1</v>
      </c>
      <c r="AB3396">
        <v>8</v>
      </c>
      <c r="AC3396">
        <v>3</v>
      </c>
      <c r="AD3396">
        <v>0</v>
      </c>
      <c r="AE3396">
        <v>9</v>
      </c>
      <c r="AF3396" t="s">
        <v>138</v>
      </c>
      <c r="AG3396">
        <v>0</v>
      </c>
      <c r="AH3396">
        <v>3</v>
      </c>
      <c r="AI3396">
        <v>1</v>
      </c>
      <c r="AJ3396">
        <v>0</v>
      </c>
      <c r="AK3396" t="s">
        <v>1115</v>
      </c>
      <c r="AL3396">
        <v>32.728785999999999</v>
      </c>
      <c r="AM3396" t="s">
        <v>1116</v>
      </c>
      <c r="AN3396">
        <v>-116.74818999999999</v>
      </c>
      <c r="AO3396">
        <v>25</v>
      </c>
      <c r="AP3396">
        <v>4000</v>
      </c>
      <c r="AQ3396" t="s">
        <v>129</v>
      </c>
      <c r="AR3396">
        <v>102</v>
      </c>
      <c r="AS3396">
        <v>59</v>
      </c>
      <c r="AT3396">
        <v>1408</v>
      </c>
      <c r="BB3396">
        <v>1200</v>
      </c>
      <c r="BC3396">
        <v>1</v>
      </c>
      <c r="BD3396" t="str">
        <f t="shared" si="1241"/>
        <v xml:space="preserve">N887QR  </v>
      </c>
      <c r="BE3396">
        <v>1</v>
      </c>
      <c r="BG3396">
        <v>0</v>
      </c>
      <c r="BH3396">
        <v>0</v>
      </c>
      <c r="BI3396">
        <v>0</v>
      </c>
      <c r="BJ3396">
        <v>3800</v>
      </c>
      <c r="BK3396">
        <v>-200</v>
      </c>
      <c r="BL3396" t="s">
        <v>163</v>
      </c>
      <c r="BM3396">
        <v>1</v>
      </c>
      <c r="BN3396">
        <v>1</v>
      </c>
      <c r="BO3396">
        <v>1</v>
      </c>
      <c r="BP3396">
        <v>0</v>
      </c>
      <c r="BS3396">
        <v>0</v>
      </c>
      <c r="BT3396">
        <v>0</v>
      </c>
      <c r="BU3396">
        <v>0</v>
      </c>
      <c r="CE3396" t="str">
        <f t="shared" si="1239"/>
        <v>19:34:36.840</v>
      </c>
      <c r="CF3396">
        <v>839716463</v>
      </c>
      <c r="CS3396">
        <v>0</v>
      </c>
      <c r="CT3396">
        <v>2</v>
      </c>
      <c r="CU3396">
        <v>0</v>
      </c>
      <c r="CV3396">
        <v>2</v>
      </c>
      <c r="CW3396">
        <v>0</v>
      </c>
      <c r="CX3396">
        <v>5</v>
      </c>
      <c r="CY3396">
        <v>7</v>
      </c>
      <c r="CZ3396" t="s">
        <v>131</v>
      </c>
      <c r="DA3396">
        <v>300</v>
      </c>
      <c r="DB3396">
        <v>0</v>
      </c>
      <c r="DC3396" t="s">
        <v>176</v>
      </c>
      <c r="DD3396" t="s">
        <v>177</v>
      </c>
      <c r="DG3396">
        <v>5436915</v>
      </c>
      <c r="DI3396">
        <v>1</v>
      </c>
      <c r="DJ3396">
        <v>0</v>
      </c>
      <c r="DK3396">
        <v>1</v>
      </c>
      <c r="DL3396">
        <v>0</v>
      </c>
      <c r="DM3396">
        <v>0</v>
      </c>
      <c r="DN3396">
        <v>1</v>
      </c>
      <c r="DO3396">
        <v>0</v>
      </c>
      <c r="DP3396">
        <v>0</v>
      </c>
      <c r="DQ3396">
        <v>0</v>
      </c>
      <c r="DR3396">
        <v>0</v>
      </c>
      <c r="DS3396">
        <v>0</v>
      </c>
    </row>
    <row r="3397" spans="1:123" x14ac:dyDescent="0.3">
      <c r="A3397" t="str">
        <f t="shared" si="1238"/>
        <v>10/04/2022 19:34:37.604</v>
      </c>
      <c r="C3397" t="str">
        <f t="shared" si="1231"/>
        <v>FFDFD3C0</v>
      </c>
      <c r="D3397" t="s">
        <v>134</v>
      </c>
      <c r="E3397">
        <v>15</v>
      </c>
      <c r="J3397" t="s">
        <v>135</v>
      </c>
      <c r="K3397">
        <v>0</v>
      </c>
      <c r="L3397">
        <v>3</v>
      </c>
      <c r="M3397">
        <v>0</v>
      </c>
      <c r="N3397">
        <v>2</v>
      </c>
      <c r="O3397">
        <v>0</v>
      </c>
      <c r="P3397">
        <v>1</v>
      </c>
      <c r="Q3397">
        <v>0</v>
      </c>
      <c r="S3397" t="str">
        <f t="shared" si="1237"/>
        <v>19:34:36.000</v>
      </c>
      <c r="T3397" t="str">
        <f t="shared" si="1237"/>
        <v>19:34:36.000</v>
      </c>
      <c r="U3397" t="str">
        <f t="shared" si="1240"/>
        <v>AC3944</v>
      </c>
      <c r="V3397">
        <v>0</v>
      </c>
      <c r="W3397">
        <v>0</v>
      </c>
      <c r="X3397">
        <v>2</v>
      </c>
      <c r="Y3397">
        <v>0</v>
      </c>
      <c r="AA3397">
        <v>1</v>
      </c>
      <c r="AB3397">
        <v>8</v>
      </c>
      <c r="AC3397">
        <v>3</v>
      </c>
      <c r="AD3397">
        <v>0</v>
      </c>
      <c r="AE3397">
        <v>9</v>
      </c>
      <c r="AF3397" t="s">
        <v>138</v>
      </c>
      <c r="AG3397">
        <v>0</v>
      </c>
      <c r="AH3397">
        <v>3</v>
      </c>
      <c r="AI3397">
        <v>1</v>
      </c>
      <c r="AJ3397">
        <v>0</v>
      </c>
      <c r="AK3397" t="s">
        <v>1115</v>
      </c>
      <c r="AL3397">
        <v>32.728785999999999</v>
      </c>
      <c r="AM3397" t="s">
        <v>1116</v>
      </c>
      <c r="AN3397">
        <v>-116.74818999999999</v>
      </c>
      <c r="AO3397">
        <v>25</v>
      </c>
      <c r="AP3397">
        <v>4000</v>
      </c>
      <c r="AQ3397" t="s">
        <v>129</v>
      </c>
      <c r="AR3397">
        <v>102</v>
      </c>
      <c r="AS3397">
        <v>59</v>
      </c>
      <c r="AT3397">
        <v>1408</v>
      </c>
      <c r="BB3397">
        <v>1200</v>
      </c>
      <c r="BC3397">
        <v>1</v>
      </c>
      <c r="BD3397" t="str">
        <f t="shared" si="1241"/>
        <v xml:space="preserve">N887QR  </v>
      </c>
      <c r="BE3397">
        <v>1</v>
      </c>
      <c r="BG3397">
        <v>0</v>
      </c>
      <c r="BH3397">
        <v>0</v>
      </c>
      <c r="BI3397">
        <v>0</v>
      </c>
      <c r="BJ3397">
        <v>3800</v>
      </c>
      <c r="BK3397">
        <v>-200</v>
      </c>
      <c r="BL3397" t="s">
        <v>163</v>
      </c>
      <c r="BM3397">
        <v>1</v>
      </c>
      <c r="BN3397">
        <v>1</v>
      </c>
      <c r="BO3397">
        <v>1</v>
      </c>
      <c r="BP3397">
        <v>0</v>
      </c>
      <c r="BS3397">
        <v>0</v>
      </c>
      <c r="BT3397">
        <v>0</v>
      </c>
      <c r="BU3397">
        <v>0</v>
      </c>
      <c r="CE3397" t="str">
        <f t="shared" si="1239"/>
        <v>19:34:36.840</v>
      </c>
      <c r="CF3397">
        <v>839716463</v>
      </c>
      <c r="CS3397">
        <v>0</v>
      </c>
      <c r="CT3397">
        <v>2</v>
      </c>
      <c r="CU3397">
        <v>0</v>
      </c>
      <c r="CV3397">
        <v>2</v>
      </c>
      <c r="CW3397">
        <v>0</v>
      </c>
      <c r="CX3397">
        <v>5</v>
      </c>
      <c r="CY3397">
        <v>7</v>
      </c>
      <c r="CZ3397" t="s">
        <v>131</v>
      </c>
      <c r="DA3397">
        <v>300</v>
      </c>
      <c r="DB3397">
        <v>0</v>
      </c>
      <c r="DC3397" t="s">
        <v>176</v>
      </c>
      <c r="DD3397" t="s">
        <v>177</v>
      </c>
      <c r="DG3397">
        <v>5436915</v>
      </c>
      <c r="DI3397">
        <v>1</v>
      </c>
      <c r="DJ3397">
        <v>0</v>
      </c>
      <c r="DK3397">
        <v>1</v>
      </c>
      <c r="DL3397">
        <v>0</v>
      </c>
      <c r="DM3397">
        <v>0</v>
      </c>
      <c r="DN3397">
        <v>1</v>
      </c>
      <c r="DO3397">
        <v>0</v>
      </c>
      <c r="DP3397">
        <v>0</v>
      </c>
      <c r="DQ3397">
        <v>0</v>
      </c>
      <c r="DR3397">
        <v>0</v>
      </c>
      <c r="DS3397">
        <v>0</v>
      </c>
    </row>
    <row r="3398" spans="1:123" x14ac:dyDescent="0.3">
      <c r="A3398" t="str">
        <f>"10/04/2022 19:34:38.291"</f>
        <v>10/04/2022 19:34:38.291</v>
      </c>
      <c r="C3398" t="str">
        <f t="shared" si="1231"/>
        <v>FFDFD3C0</v>
      </c>
      <c r="D3398" t="s">
        <v>141</v>
      </c>
      <c r="E3398">
        <v>4</v>
      </c>
      <c r="H3398">
        <v>4</v>
      </c>
      <c r="I3398" t="s">
        <v>142</v>
      </c>
      <c r="J3398" t="s">
        <v>138</v>
      </c>
      <c r="K3398">
        <v>0</v>
      </c>
      <c r="L3398">
        <v>3</v>
      </c>
      <c r="M3398">
        <v>0</v>
      </c>
      <c r="N3398">
        <v>2</v>
      </c>
      <c r="O3398">
        <v>0</v>
      </c>
      <c r="P3398">
        <v>1</v>
      </c>
      <c r="Q3398">
        <v>0</v>
      </c>
      <c r="S3398" t="str">
        <f t="shared" ref="S3398:T3404" si="1242">"19:34:37.000"</f>
        <v>19:34:37.000</v>
      </c>
      <c r="T3398" t="str">
        <f t="shared" si="1242"/>
        <v>19:34:37.000</v>
      </c>
      <c r="U3398" t="str">
        <f t="shared" si="1240"/>
        <v>AC3944</v>
      </c>
      <c r="V3398">
        <v>0</v>
      </c>
      <c r="W3398">
        <v>0</v>
      </c>
      <c r="X3398">
        <v>2</v>
      </c>
      <c r="Y3398">
        <v>0</v>
      </c>
      <c r="AA3398">
        <v>1</v>
      </c>
      <c r="AB3398">
        <v>8</v>
      </c>
      <c r="AC3398">
        <v>3</v>
      </c>
      <c r="AD3398">
        <v>0</v>
      </c>
      <c r="AE3398">
        <v>9</v>
      </c>
      <c r="AF3398" t="s">
        <v>138</v>
      </c>
      <c r="AG3398">
        <v>0</v>
      </c>
      <c r="AH3398">
        <v>3</v>
      </c>
      <c r="AI3398">
        <v>1</v>
      </c>
      <c r="AJ3398">
        <v>0</v>
      </c>
      <c r="AK3398" t="s">
        <v>1117</v>
      </c>
      <c r="AL3398">
        <v>32.729107999999997</v>
      </c>
      <c r="AM3398" t="s">
        <v>1118</v>
      </c>
      <c r="AN3398">
        <v>-116.747525</v>
      </c>
      <c r="AO3398">
        <v>25</v>
      </c>
      <c r="AP3398">
        <v>4000</v>
      </c>
      <c r="AQ3398" t="s">
        <v>129</v>
      </c>
      <c r="AR3398">
        <v>104</v>
      </c>
      <c r="AS3398">
        <v>53</v>
      </c>
      <c r="AT3398">
        <v>1408</v>
      </c>
      <c r="BB3398">
        <v>1200</v>
      </c>
      <c r="BC3398">
        <v>1</v>
      </c>
      <c r="BD3398" t="str">
        <f t="shared" si="1241"/>
        <v xml:space="preserve">N887QR  </v>
      </c>
      <c r="BE3398">
        <v>1</v>
      </c>
      <c r="BG3398">
        <v>0</v>
      </c>
      <c r="BH3398">
        <v>0</v>
      </c>
      <c r="BI3398">
        <v>0</v>
      </c>
      <c r="BJ3398">
        <v>3800</v>
      </c>
      <c r="BK3398">
        <v>-200</v>
      </c>
      <c r="BL3398" t="s">
        <v>163</v>
      </c>
      <c r="BM3398">
        <v>1</v>
      </c>
      <c r="BN3398">
        <v>1</v>
      </c>
      <c r="BO3398">
        <v>1</v>
      </c>
      <c r="BP3398">
        <v>0</v>
      </c>
      <c r="BS3398">
        <v>0</v>
      </c>
      <c r="BT3398">
        <v>0</v>
      </c>
      <c r="BU3398">
        <v>0</v>
      </c>
      <c r="CE3398" t="str">
        <f t="shared" ref="CE3398:CE3404" si="1243">"19:34:37.928"</f>
        <v>19:34:37.928</v>
      </c>
      <c r="CF3398">
        <v>928403567</v>
      </c>
      <c r="CS3398">
        <v>0</v>
      </c>
      <c r="CT3398">
        <v>2</v>
      </c>
      <c r="CU3398">
        <v>0</v>
      </c>
      <c r="CV3398">
        <v>2</v>
      </c>
      <c r="CW3398">
        <v>0</v>
      </c>
      <c r="CX3398">
        <v>5</v>
      </c>
      <c r="CY3398">
        <v>7</v>
      </c>
      <c r="CZ3398" t="s">
        <v>131</v>
      </c>
      <c r="DA3398">
        <v>286</v>
      </c>
      <c r="DB3398">
        <v>0</v>
      </c>
      <c r="DC3398" t="s">
        <v>132</v>
      </c>
      <c r="DD3398" t="s">
        <v>133</v>
      </c>
      <c r="DG3398">
        <v>876654</v>
      </c>
      <c r="DI3398">
        <v>1</v>
      </c>
      <c r="DJ3398">
        <v>0</v>
      </c>
      <c r="DK3398">
        <v>0</v>
      </c>
      <c r="DL3398">
        <v>0</v>
      </c>
      <c r="DM3398">
        <v>0</v>
      </c>
      <c r="DN3398">
        <v>1</v>
      </c>
      <c r="DO3398">
        <v>0</v>
      </c>
      <c r="DP3398">
        <v>0</v>
      </c>
      <c r="DQ3398">
        <v>0</v>
      </c>
      <c r="DR3398">
        <v>0</v>
      </c>
      <c r="DS3398">
        <v>0</v>
      </c>
    </row>
    <row r="3399" spans="1:123" x14ac:dyDescent="0.3">
      <c r="A3399" t="str">
        <f>"10/04/2022 19:34:38.307"</f>
        <v>10/04/2022 19:34:38.307</v>
      </c>
      <c r="C3399" t="str">
        <f t="shared" si="1231"/>
        <v>FFDFD3C0</v>
      </c>
      <c r="D3399" t="s">
        <v>143</v>
      </c>
      <c r="E3399">
        <v>20</v>
      </c>
      <c r="F3399">
        <v>1020</v>
      </c>
      <c r="G3399" t="s">
        <v>144</v>
      </c>
      <c r="J3399" t="s">
        <v>145</v>
      </c>
      <c r="K3399">
        <v>0</v>
      </c>
      <c r="L3399">
        <v>3</v>
      </c>
      <c r="M3399">
        <v>0</v>
      </c>
      <c r="N3399">
        <v>2</v>
      </c>
      <c r="O3399">
        <v>0</v>
      </c>
      <c r="P3399">
        <v>1</v>
      </c>
      <c r="Q3399">
        <v>0</v>
      </c>
      <c r="S3399" t="str">
        <f t="shared" si="1242"/>
        <v>19:34:37.000</v>
      </c>
      <c r="T3399" t="str">
        <f t="shared" si="1242"/>
        <v>19:34:37.000</v>
      </c>
      <c r="U3399" t="str">
        <f t="shared" si="1240"/>
        <v>AC3944</v>
      </c>
      <c r="V3399">
        <v>0</v>
      </c>
      <c r="W3399">
        <v>0</v>
      </c>
      <c r="X3399">
        <v>2</v>
      </c>
      <c r="Y3399">
        <v>0</v>
      </c>
      <c r="AA3399">
        <v>1</v>
      </c>
      <c r="AB3399">
        <v>8</v>
      </c>
      <c r="AC3399">
        <v>3</v>
      </c>
      <c r="AD3399">
        <v>0</v>
      </c>
      <c r="AE3399">
        <v>9</v>
      </c>
      <c r="AF3399" t="s">
        <v>138</v>
      </c>
      <c r="AG3399">
        <v>0</v>
      </c>
      <c r="AH3399">
        <v>3</v>
      </c>
      <c r="AI3399">
        <v>1</v>
      </c>
      <c r="AJ3399">
        <v>0</v>
      </c>
      <c r="AK3399" t="s">
        <v>1117</v>
      </c>
      <c r="AL3399">
        <v>32.729107999999997</v>
      </c>
      <c r="AM3399" t="s">
        <v>1118</v>
      </c>
      <c r="AN3399">
        <v>-116.747525</v>
      </c>
      <c r="AO3399">
        <v>25</v>
      </c>
      <c r="AP3399">
        <v>4000</v>
      </c>
      <c r="AQ3399" t="s">
        <v>129</v>
      </c>
      <c r="AR3399">
        <v>104</v>
      </c>
      <c r="AS3399">
        <v>53</v>
      </c>
      <c r="AT3399">
        <v>1408</v>
      </c>
      <c r="BB3399">
        <v>1200</v>
      </c>
      <c r="BC3399">
        <v>1</v>
      </c>
      <c r="BD3399" t="str">
        <f t="shared" si="1241"/>
        <v xml:space="preserve">N887QR  </v>
      </c>
      <c r="BE3399">
        <v>1</v>
      </c>
      <c r="BG3399">
        <v>0</v>
      </c>
      <c r="BH3399">
        <v>0</v>
      </c>
      <c r="BI3399">
        <v>0</v>
      </c>
      <c r="BJ3399">
        <v>3800</v>
      </c>
      <c r="BK3399">
        <v>-200</v>
      </c>
      <c r="BL3399" t="s">
        <v>163</v>
      </c>
      <c r="BM3399">
        <v>1</v>
      </c>
      <c r="BN3399">
        <v>1</v>
      </c>
      <c r="BO3399">
        <v>1</v>
      </c>
      <c r="BP3399">
        <v>0</v>
      </c>
      <c r="BS3399">
        <v>0</v>
      </c>
      <c r="BT3399">
        <v>0</v>
      </c>
      <c r="BU3399">
        <v>0</v>
      </c>
      <c r="CE3399" t="str">
        <f t="shared" si="1243"/>
        <v>19:34:37.928</v>
      </c>
      <c r="CF3399">
        <v>928403567</v>
      </c>
      <c r="CS3399">
        <v>0</v>
      </c>
      <c r="CT3399">
        <v>2</v>
      </c>
      <c r="CU3399">
        <v>0</v>
      </c>
      <c r="CV3399">
        <v>2</v>
      </c>
      <c r="CW3399">
        <v>0</v>
      </c>
      <c r="CX3399">
        <v>5</v>
      </c>
      <c r="CY3399">
        <v>7</v>
      </c>
      <c r="CZ3399" t="s">
        <v>131</v>
      </c>
      <c r="DA3399">
        <v>286</v>
      </c>
      <c r="DB3399">
        <v>0</v>
      </c>
      <c r="DC3399" t="s">
        <v>132</v>
      </c>
      <c r="DD3399" t="s">
        <v>133</v>
      </c>
      <c r="DG3399">
        <v>876654</v>
      </c>
      <c r="DI3399">
        <v>1</v>
      </c>
      <c r="DJ3399">
        <v>0</v>
      </c>
      <c r="DK3399">
        <v>1</v>
      </c>
      <c r="DL3399">
        <v>0</v>
      </c>
      <c r="DM3399">
        <v>0</v>
      </c>
      <c r="DN3399">
        <v>1</v>
      </c>
      <c r="DO3399">
        <v>0</v>
      </c>
      <c r="DP3399">
        <v>0</v>
      </c>
      <c r="DQ3399">
        <v>0</v>
      </c>
      <c r="DR3399">
        <v>0</v>
      </c>
      <c r="DS3399">
        <v>0</v>
      </c>
    </row>
    <row r="3400" spans="1:123" x14ac:dyDescent="0.3">
      <c r="A3400" t="str">
        <f>"10/04/2022 19:34:38.307"</f>
        <v>10/04/2022 19:34:38.307</v>
      </c>
      <c r="C3400" t="str">
        <f t="shared" si="1231"/>
        <v>FFDFD3C0</v>
      </c>
      <c r="D3400" t="s">
        <v>141</v>
      </c>
      <c r="E3400">
        <v>3</v>
      </c>
      <c r="H3400">
        <v>3</v>
      </c>
      <c r="I3400" t="s">
        <v>146</v>
      </c>
      <c r="J3400" t="s">
        <v>138</v>
      </c>
      <c r="K3400">
        <v>0</v>
      </c>
      <c r="L3400">
        <v>3</v>
      </c>
      <c r="M3400">
        <v>0</v>
      </c>
      <c r="N3400">
        <v>2</v>
      </c>
      <c r="O3400">
        <v>0</v>
      </c>
      <c r="P3400">
        <v>1</v>
      </c>
      <c r="Q3400">
        <v>0</v>
      </c>
      <c r="S3400" t="str">
        <f t="shared" si="1242"/>
        <v>19:34:37.000</v>
      </c>
      <c r="T3400" t="str">
        <f t="shared" si="1242"/>
        <v>19:34:37.000</v>
      </c>
      <c r="U3400" t="str">
        <f t="shared" si="1240"/>
        <v>AC3944</v>
      </c>
      <c r="V3400">
        <v>0</v>
      </c>
      <c r="W3400">
        <v>0</v>
      </c>
      <c r="X3400">
        <v>2</v>
      </c>
      <c r="Y3400">
        <v>0</v>
      </c>
      <c r="AA3400">
        <v>1</v>
      </c>
      <c r="AB3400">
        <v>8</v>
      </c>
      <c r="AC3400">
        <v>3</v>
      </c>
      <c r="AD3400">
        <v>0</v>
      </c>
      <c r="AE3400">
        <v>9</v>
      </c>
      <c r="AF3400" t="s">
        <v>138</v>
      </c>
      <c r="AG3400">
        <v>0</v>
      </c>
      <c r="AH3400">
        <v>3</v>
      </c>
      <c r="AI3400">
        <v>1</v>
      </c>
      <c r="AJ3400">
        <v>0</v>
      </c>
      <c r="AK3400" t="s">
        <v>1117</v>
      </c>
      <c r="AL3400">
        <v>32.729107999999997</v>
      </c>
      <c r="AM3400" t="s">
        <v>1118</v>
      </c>
      <c r="AN3400">
        <v>-116.747525</v>
      </c>
      <c r="AO3400">
        <v>25</v>
      </c>
      <c r="AP3400">
        <v>4000</v>
      </c>
      <c r="AQ3400" t="s">
        <v>129</v>
      </c>
      <c r="AR3400">
        <v>104</v>
      </c>
      <c r="AS3400">
        <v>53</v>
      </c>
      <c r="AT3400">
        <v>1408</v>
      </c>
      <c r="BB3400">
        <v>1200</v>
      </c>
      <c r="BC3400">
        <v>1</v>
      </c>
      <c r="BD3400" t="str">
        <f t="shared" si="1241"/>
        <v xml:space="preserve">N887QR  </v>
      </c>
      <c r="BE3400">
        <v>1</v>
      </c>
      <c r="BG3400">
        <v>0</v>
      </c>
      <c r="BH3400">
        <v>0</v>
      </c>
      <c r="BI3400">
        <v>0</v>
      </c>
      <c r="BJ3400">
        <v>3800</v>
      </c>
      <c r="BK3400">
        <v>-200</v>
      </c>
      <c r="BL3400" t="s">
        <v>163</v>
      </c>
      <c r="BM3400">
        <v>1</v>
      </c>
      <c r="BN3400">
        <v>1</v>
      </c>
      <c r="BO3400">
        <v>1</v>
      </c>
      <c r="BP3400">
        <v>0</v>
      </c>
      <c r="BS3400">
        <v>0</v>
      </c>
      <c r="BT3400">
        <v>0</v>
      </c>
      <c r="BU3400">
        <v>0</v>
      </c>
      <c r="CE3400" t="str">
        <f t="shared" si="1243"/>
        <v>19:34:37.928</v>
      </c>
      <c r="CF3400">
        <v>928403567</v>
      </c>
      <c r="CS3400">
        <v>0</v>
      </c>
      <c r="CT3400">
        <v>2</v>
      </c>
      <c r="CU3400">
        <v>0</v>
      </c>
      <c r="CV3400">
        <v>2</v>
      </c>
      <c r="CW3400">
        <v>0</v>
      </c>
      <c r="CX3400">
        <v>5</v>
      </c>
      <c r="CY3400">
        <v>7</v>
      </c>
      <c r="CZ3400" t="s">
        <v>131</v>
      </c>
      <c r="DA3400">
        <v>286</v>
      </c>
      <c r="DB3400">
        <v>0</v>
      </c>
      <c r="DC3400" t="s">
        <v>132</v>
      </c>
      <c r="DD3400" t="s">
        <v>133</v>
      </c>
      <c r="DG3400">
        <v>876654</v>
      </c>
      <c r="DI3400">
        <v>1</v>
      </c>
      <c r="DJ3400">
        <v>0</v>
      </c>
      <c r="DK3400">
        <v>1</v>
      </c>
      <c r="DL3400">
        <v>0</v>
      </c>
      <c r="DM3400">
        <v>0</v>
      </c>
      <c r="DN3400">
        <v>1</v>
      </c>
      <c r="DO3400">
        <v>0</v>
      </c>
      <c r="DP3400">
        <v>0</v>
      </c>
      <c r="DQ3400">
        <v>0</v>
      </c>
      <c r="DR3400">
        <v>0</v>
      </c>
      <c r="DS3400">
        <v>0</v>
      </c>
    </row>
    <row r="3401" spans="1:123" x14ac:dyDescent="0.3">
      <c r="A3401" t="str">
        <f>"10/04/2022 19:34:38.307"</f>
        <v>10/04/2022 19:34:38.307</v>
      </c>
      <c r="C3401" t="str">
        <f t="shared" si="1231"/>
        <v>FFDFD3C0</v>
      </c>
      <c r="D3401" t="s">
        <v>136</v>
      </c>
      <c r="E3401">
        <v>8</v>
      </c>
      <c r="H3401">
        <v>225</v>
      </c>
      <c r="I3401" t="s">
        <v>137</v>
      </c>
      <c r="J3401" t="s">
        <v>138</v>
      </c>
      <c r="K3401">
        <v>0</v>
      </c>
      <c r="L3401">
        <v>3</v>
      </c>
      <c r="M3401">
        <v>0</v>
      </c>
      <c r="N3401">
        <v>2</v>
      </c>
      <c r="O3401">
        <v>0</v>
      </c>
      <c r="P3401">
        <v>1</v>
      </c>
      <c r="Q3401">
        <v>0</v>
      </c>
      <c r="S3401" t="str">
        <f t="shared" si="1242"/>
        <v>19:34:37.000</v>
      </c>
      <c r="T3401" t="str">
        <f t="shared" si="1242"/>
        <v>19:34:37.000</v>
      </c>
      <c r="U3401" t="str">
        <f t="shared" si="1240"/>
        <v>AC3944</v>
      </c>
      <c r="V3401">
        <v>0</v>
      </c>
      <c r="W3401">
        <v>0</v>
      </c>
      <c r="X3401">
        <v>2</v>
      </c>
      <c r="Y3401">
        <v>0</v>
      </c>
      <c r="AA3401">
        <v>1</v>
      </c>
      <c r="AB3401">
        <v>8</v>
      </c>
      <c r="AC3401">
        <v>3</v>
      </c>
      <c r="AD3401">
        <v>0</v>
      </c>
      <c r="AE3401">
        <v>9</v>
      </c>
      <c r="AF3401" t="s">
        <v>138</v>
      </c>
      <c r="AG3401">
        <v>0</v>
      </c>
      <c r="AH3401">
        <v>3</v>
      </c>
      <c r="AI3401">
        <v>1</v>
      </c>
      <c r="AJ3401">
        <v>0</v>
      </c>
      <c r="AK3401" t="s">
        <v>1117</v>
      </c>
      <c r="AL3401">
        <v>32.729107999999997</v>
      </c>
      <c r="AM3401" t="s">
        <v>1118</v>
      </c>
      <c r="AN3401">
        <v>-116.747525</v>
      </c>
      <c r="AO3401">
        <v>25</v>
      </c>
      <c r="AP3401">
        <v>4000</v>
      </c>
      <c r="AQ3401" t="s">
        <v>129</v>
      </c>
      <c r="AR3401">
        <v>104</v>
      </c>
      <c r="AS3401">
        <v>53</v>
      </c>
      <c r="AT3401">
        <v>1408</v>
      </c>
      <c r="BB3401">
        <v>1200</v>
      </c>
      <c r="BC3401">
        <v>1</v>
      </c>
      <c r="BD3401" t="str">
        <f t="shared" si="1241"/>
        <v xml:space="preserve">N887QR  </v>
      </c>
      <c r="BE3401">
        <v>1</v>
      </c>
      <c r="BG3401">
        <v>0</v>
      </c>
      <c r="BH3401">
        <v>0</v>
      </c>
      <c r="BI3401">
        <v>0</v>
      </c>
      <c r="BJ3401">
        <v>3800</v>
      </c>
      <c r="BK3401">
        <v>-200</v>
      </c>
      <c r="BL3401" t="s">
        <v>163</v>
      </c>
      <c r="BM3401">
        <v>1</v>
      </c>
      <c r="BN3401">
        <v>1</v>
      </c>
      <c r="BO3401">
        <v>1</v>
      </c>
      <c r="BP3401">
        <v>0</v>
      </c>
      <c r="BS3401">
        <v>0</v>
      </c>
      <c r="BT3401">
        <v>0</v>
      </c>
      <c r="BU3401">
        <v>0</v>
      </c>
      <c r="CE3401" t="str">
        <f t="shared" si="1243"/>
        <v>19:34:37.928</v>
      </c>
      <c r="CF3401">
        <v>928403567</v>
      </c>
      <c r="CS3401">
        <v>0</v>
      </c>
      <c r="CT3401">
        <v>2</v>
      </c>
      <c r="CU3401">
        <v>0</v>
      </c>
      <c r="CV3401">
        <v>2</v>
      </c>
      <c r="CW3401">
        <v>0</v>
      </c>
      <c r="CX3401">
        <v>5</v>
      </c>
      <c r="CY3401">
        <v>7</v>
      </c>
      <c r="CZ3401" t="s">
        <v>131</v>
      </c>
      <c r="DA3401">
        <v>286</v>
      </c>
      <c r="DB3401">
        <v>0</v>
      </c>
      <c r="DC3401" t="s">
        <v>132</v>
      </c>
      <c r="DD3401" t="s">
        <v>133</v>
      </c>
      <c r="DG3401">
        <v>876654</v>
      </c>
      <c r="DI3401">
        <v>1</v>
      </c>
      <c r="DJ3401">
        <v>0</v>
      </c>
      <c r="DK3401">
        <v>1</v>
      </c>
      <c r="DL3401">
        <v>0</v>
      </c>
      <c r="DM3401">
        <v>0</v>
      </c>
      <c r="DN3401">
        <v>1</v>
      </c>
      <c r="DO3401">
        <v>0</v>
      </c>
      <c r="DP3401">
        <v>0</v>
      </c>
      <c r="DQ3401">
        <v>0</v>
      </c>
      <c r="DR3401">
        <v>0</v>
      </c>
      <c r="DS3401">
        <v>0</v>
      </c>
    </row>
    <row r="3402" spans="1:123" x14ac:dyDescent="0.3">
      <c r="A3402" t="str">
        <f>"10/04/2022 19:34:38.307"</f>
        <v>10/04/2022 19:34:38.307</v>
      </c>
      <c r="C3402" t="str">
        <f t="shared" si="1231"/>
        <v>FFDFD3C0</v>
      </c>
      <c r="D3402" t="s">
        <v>123</v>
      </c>
      <c r="E3402">
        <v>7</v>
      </c>
      <c r="F3402">
        <v>2007</v>
      </c>
      <c r="G3402" t="s">
        <v>124</v>
      </c>
      <c r="J3402" t="s">
        <v>125</v>
      </c>
      <c r="K3402">
        <v>0</v>
      </c>
      <c r="L3402">
        <v>3</v>
      </c>
      <c r="M3402">
        <v>0</v>
      </c>
      <c r="N3402">
        <v>2</v>
      </c>
      <c r="O3402">
        <v>0</v>
      </c>
      <c r="P3402">
        <v>1</v>
      </c>
      <c r="Q3402">
        <v>0</v>
      </c>
      <c r="S3402" t="str">
        <f t="shared" si="1242"/>
        <v>19:34:37.000</v>
      </c>
      <c r="T3402" t="str">
        <f t="shared" si="1242"/>
        <v>19:34:37.000</v>
      </c>
      <c r="U3402" t="str">
        <f t="shared" si="1240"/>
        <v>AC3944</v>
      </c>
      <c r="V3402">
        <v>0</v>
      </c>
      <c r="W3402">
        <v>0</v>
      </c>
      <c r="X3402">
        <v>2</v>
      </c>
      <c r="Y3402">
        <v>0</v>
      </c>
      <c r="AA3402">
        <v>1</v>
      </c>
      <c r="AB3402">
        <v>8</v>
      </c>
      <c r="AC3402">
        <v>3</v>
      </c>
      <c r="AD3402">
        <v>0</v>
      </c>
      <c r="AE3402">
        <v>9</v>
      </c>
      <c r="AF3402" t="s">
        <v>138</v>
      </c>
      <c r="AG3402">
        <v>0</v>
      </c>
      <c r="AH3402">
        <v>3</v>
      </c>
      <c r="AI3402">
        <v>1</v>
      </c>
      <c r="AJ3402">
        <v>0</v>
      </c>
      <c r="AK3402" t="s">
        <v>1117</v>
      </c>
      <c r="AL3402">
        <v>32.729107999999997</v>
      </c>
      <c r="AM3402" t="s">
        <v>1118</v>
      </c>
      <c r="AN3402">
        <v>-116.747525</v>
      </c>
      <c r="AO3402">
        <v>25</v>
      </c>
      <c r="AP3402">
        <v>4000</v>
      </c>
      <c r="AQ3402" t="s">
        <v>129</v>
      </c>
      <c r="AR3402">
        <v>104</v>
      </c>
      <c r="AS3402">
        <v>53</v>
      </c>
      <c r="AT3402">
        <v>1408</v>
      </c>
      <c r="BB3402">
        <v>1200</v>
      </c>
      <c r="BC3402">
        <v>1</v>
      </c>
      <c r="BD3402" t="str">
        <f t="shared" si="1241"/>
        <v xml:space="preserve">N887QR  </v>
      </c>
      <c r="BE3402">
        <v>1</v>
      </c>
      <c r="BG3402">
        <v>0</v>
      </c>
      <c r="BH3402">
        <v>0</v>
      </c>
      <c r="BI3402">
        <v>0</v>
      </c>
      <c r="BJ3402">
        <v>3800</v>
      </c>
      <c r="BK3402">
        <v>-200</v>
      </c>
      <c r="BL3402" t="s">
        <v>163</v>
      </c>
      <c r="BM3402">
        <v>1</v>
      </c>
      <c r="BN3402">
        <v>1</v>
      </c>
      <c r="BO3402">
        <v>1</v>
      </c>
      <c r="BP3402">
        <v>0</v>
      </c>
      <c r="BS3402">
        <v>0</v>
      </c>
      <c r="BT3402">
        <v>0</v>
      </c>
      <c r="BU3402">
        <v>0</v>
      </c>
      <c r="CE3402" t="str">
        <f t="shared" si="1243"/>
        <v>19:34:37.928</v>
      </c>
      <c r="CF3402">
        <v>928403567</v>
      </c>
      <c r="CS3402">
        <v>0</v>
      </c>
      <c r="CT3402">
        <v>2</v>
      </c>
      <c r="CU3402">
        <v>0</v>
      </c>
      <c r="CV3402">
        <v>2</v>
      </c>
      <c r="CW3402">
        <v>0</v>
      </c>
      <c r="CX3402">
        <v>5</v>
      </c>
      <c r="CY3402">
        <v>7</v>
      </c>
      <c r="CZ3402" t="s">
        <v>131</v>
      </c>
      <c r="DA3402">
        <v>286</v>
      </c>
      <c r="DB3402">
        <v>0</v>
      </c>
      <c r="DC3402" t="s">
        <v>132</v>
      </c>
      <c r="DD3402" t="s">
        <v>133</v>
      </c>
      <c r="DG3402">
        <v>876654</v>
      </c>
      <c r="DI3402">
        <v>1</v>
      </c>
      <c r="DJ3402">
        <v>0</v>
      </c>
      <c r="DK3402">
        <v>1</v>
      </c>
      <c r="DL3402">
        <v>0</v>
      </c>
      <c r="DM3402">
        <v>0</v>
      </c>
      <c r="DN3402">
        <v>1</v>
      </c>
      <c r="DO3402">
        <v>0</v>
      </c>
      <c r="DP3402">
        <v>0</v>
      </c>
      <c r="DQ3402">
        <v>0</v>
      </c>
      <c r="DR3402">
        <v>0</v>
      </c>
      <c r="DS3402">
        <v>0</v>
      </c>
    </row>
    <row r="3403" spans="1:123" x14ac:dyDescent="0.3">
      <c r="A3403" t="str">
        <f>"10/04/2022 19:34:38.307"</f>
        <v>10/04/2022 19:34:38.307</v>
      </c>
      <c r="C3403" t="str">
        <f t="shared" si="1231"/>
        <v>FFDFD3C0</v>
      </c>
      <c r="D3403" t="s">
        <v>134</v>
      </c>
      <c r="E3403">
        <v>15</v>
      </c>
      <c r="J3403" t="s">
        <v>135</v>
      </c>
      <c r="K3403">
        <v>0</v>
      </c>
      <c r="L3403">
        <v>3</v>
      </c>
      <c r="M3403">
        <v>0</v>
      </c>
      <c r="N3403">
        <v>2</v>
      </c>
      <c r="O3403">
        <v>0</v>
      </c>
      <c r="P3403">
        <v>1</v>
      </c>
      <c r="Q3403">
        <v>0</v>
      </c>
      <c r="S3403" t="str">
        <f t="shared" si="1242"/>
        <v>19:34:37.000</v>
      </c>
      <c r="T3403" t="str">
        <f t="shared" si="1242"/>
        <v>19:34:37.000</v>
      </c>
      <c r="U3403" t="str">
        <f t="shared" si="1240"/>
        <v>AC3944</v>
      </c>
      <c r="V3403">
        <v>0</v>
      </c>
      <c r="W3403">
        <v>0</v>
      </c>
      <c r="X3403">
        <v>2</v>
      </c>
      <c r="Y3403">
        <v>0</v>
      </c>
      <c r="AA3403">
        <v>1</v>
      </c>
      <c r="AB3403">
        <v>8</v>
      </c>
      <c r="AC3403">
        <v>3</v>
      </c>
      <c r="AD3403">
        <v>0</v>
      </c>
      <c r="AE3403">
        <v>9</v>
      </c>
      <c r="AF3403" t="s">
        <v>138</v>
      </c>
      <c r="AG3403">
        <v>0</v>
      </c>
      <c r="AH3403">
        <v>3</v>
      </c>
      <c r="AI3403">
        <v>1</v>
      </c>
      <c r="AJ3403">
        <v>0</v>
      </c>
      <c r="AK3403" t="s">
        <v>1117</v>
      </c>
      <c r="AL3403">
        <v>32.729107999999997</v>
      </c>
      <c r="AM3403" t="s">
        <v>1118</v>
      </c>
      <c r="AN3403">
        <v>-116.747525</v>
      </c>
      <c r="AO3403">
        <v>25</v>
      </c>
      <c r="AP3403">
        <v>4000</v>
      </c>
      <c r="AQ3403" t="s">
        <v>129</v>
      </c>
      <c r="AR3403">
        <v>104</v>
      </c>
      <c r="AS3403">
        <v>53</v>
      </c>
      <c r="AT3403">
        <v>1408</v>
      </c>
      <c r="BB3403">
        <v>1200</v>
      </c>
      <c r="BC3403">
        <v>1</v>
      </c>
      <c r="BD3403" t="str">
        <f t="shared" si="1241"/>
        <v xml:space="preserve">N887QR  </v>
      </c>
      <c r="BE3403">
        <v>1</v>
      </c>
      <c r="BG3403">
        <v>0</v>
      </c>
      <c r="BH3403">
        <v>0</v>
      </c>
      <c r="BI3403">
        <v>0</v>
      </c>
      <c r="BJ3403">
        <v>3800</v>
      </c>
      <c r="BK3403">
        <v>-200</v>
      </c>
      <c r="BL3403" t="s">
        <v>163</v>
      </c>
      <c r="BM3403">
        <v>1</v>
      </c>
      <c r="BN3403">
        <v>1</v>
      </c>
      <c r="BO3403">
        <v>1</v>
      </c>
      <c r="BP3403">
        <v>0</v>
      </c>
      <c r="BS3403">
        <v>0</v>
      </c>
      <c r="BT3403">
        <v>0</v>
      </c>
      <c r="BU3403">
        <v>0</v>
      </c>
      <c r="CE3403" t="str">
        <f t="shared" si="1243"/>
        <v>19:34:37.928</v>
      </c>
      <c r="CF3403">
        <v>928403567</v>
      </c>
      <c r="CS3403">
        <v>0</v>
      </c>
      <c r="CT3403">
        <v>2</v>
      </c>
      <c r="CU3403">
        <v>0</v>
      </c>
      <c r="CV3403">
        <v>2</v>
      </c>
      <c r="CW3403">
        <v>0</v>
      </c>
      <c r="CX3403">
        <v>5</v>
      </c>
      <c r="CY3403">
        <v>7</v>
      </c>
      <c r="CZ3403" t="s">
        <v>131</v>
      </c>
      <c r="DA3403">
        <v>286</v>
      </c>
      <c r="DB3403">
        <v>0</v>
      </c>
      <c r="DC3403" t="s">
        <v>132</v>
      </c>
      <c r="DD3403" t="s">
        <v>133</v>
      </c>
      <c r="DG3403">
        <v>876654</v>
      </c>
      <c r="DI3403">
        <v>1</v>
      </c>
      <c r="DJ3403">
        <v>0</v>
      </c>
      <c r="DK3403">
        <v>1</v>
      </c>
      <c r="DL3403">
        <v>0</v>
      </c>
      <c r="DM3403">
        <v>0</v>
      </c>
      <c r="DN3403">
        <v>1</v>
      </c>
      <c r="DO3403">
        <v>0</v>
      </c>
      <c r="DP3403">
        <v>0</v>
      </c>
      <c r="DQ3403">
        <v>0</v>
      </c>
      <c r="DR3403">
        <v>0</v>
      </c>
      <c r="DS3403">
        <v>0</v>
      </c>
    </row>
    <row r="3404" spans="1:123" x14ac:dyDescent="0.3">
      <c r="A3404" t="str">
        <f>"10/04/2022 19:34:38.338"</f>
        <v>10/04/2022 19:34:38.338</v>
      </c>
      <c r="C3404" t="str">
        <f t="shared" si="1231"/>
        <v>FFDFD3C0</v>
      </c>
      <c r="D3404" t="s">
        <v>147</v>
      </c>
      <c r="E3404">
        <v>3</v>
      </c>
      <c r="H3404">
        <v>166</v>
      </c>
      <c r="I3404" t="s">
        <v>144</v>
      </c>
      <c r="J3404" t="s">
        <v>148</v>
      </c>
      <c r="K3404">
        <v>0</v>
      </c>
      <c r="L3404">
        <v>3</v>
      </c>
      <c r="M3404">
        <v>0</v>
      </c>
      <c r="N3404">
        <v>2</v>
      </c>
      <c r="O3404">
        <v>0</v>
      </c>
      <c r="P3404">
        <v>1</v>
      </c>
      <c r="Q3404">
        <v>0</v>
      </c>
      <c r="S3404" t="str">
        <f t="shared" si="1242"/>
        <v>19:34:37.000</v>
      </c>
      <c r="T3404" t="str">
        <f t="shared" si="1242"/>
        <v>19:34:37.000</v>
      </c>
      <c r="U3404" t="str">
        <f t="shared" si="1240"/>
        <v>AC3944</v>
      </c>
      <c r="V3404">
        <v>0</v>
      </c>
      <c r="W3404">
        <v>0</v>
      </c>
      <c r="X3404">
        <v>2</v>
      </c>
      <c r="Y3404">
        <v>0</v>
      </c>
      <c r="AA3404">
        <v>1</v>
      </c>
      <c r="AB3404">
        <v>8</v>
      </c>
      <c r="AC3404">
        <v>3</v>
      </c>
      <c r="AD3404">
        <v>0</v>
      </c>
      <c r="AE3404">
        <v>9</v>
      </c>
      <c r="AF3404" t="s">
        <v>138</v>
      </c>
      <c r="AG3404">
        <v>0</v>
      </c>
      <c r="AH3404">
        <v>3</v>
      </c>
      <c r="AI3404">
        <v>1</v>
      </c>
      <c r="AJ3404">
        <v>0</v>
      </c>
      <c r="AK3404" t="s">
        <v>1117</v>
      </c>
      <c r="AL3404">
        <v>32.729107999999997</v>
      </c>
      <c r="AM3404" t="s">
        <v>1118</v>
      </c>
      <c r="AN3404">
        <v>-116.747525</v>
      </c>
      <c r="AO3404">
        <v>25</v>
      </c>
      <c r="AP3404">
        <v>4000</v>
      </c>
      <c r="AQ3404" t="s">
        <v>129</v>
      </c>
      <c r="AR3404">
        <v>104</v>
      </c>
      <c r="AS3404">
        <v>53</v>
      </c>
      <c r="AT3404">
        <v>1408</v>
      </c>
      <c r="BB3404">
        <v>1200</v>
      </c>
      <c r="BC3404">
        <v>1</v>
      </c>
      <c r="BD3404" t="str">
        <f t="shared" si="1241"/>
        <v xml:space="preserve">N887QR  </v>
      </c>
      <c r="BE3404">
        <v>1</v>
      </c>
      <c r="BG3404">
        <v>0</v>
      </c>
      <c r="BH3404">
        <v>0</v>
      </c>
      <c r="BI3404">
        <v>0</v>
      </c>
      <c r="BJ3404">
        <v>3800</v>
      </c>
      <c r="BK3404">
        <v>-200</v>
      </c>
      <c r="BL3404" t="s">
        <v>163</v>
      </c>
      <c r="BM3404">
        <v>1</v>
      </c>
      <c r="BN3404">
        <v>1</v>
      </c>
      <c r="BO3404">
        <v>1</v>
      </c>
      <c r="BP3404">
        <v>0</v>
      </c>
      <c r="BS3404">
        <v>0</v>
      </c>
      <c r="BT3404">
        <v>0</v>
      </c>
      <c r="BU3404">
        <v>0</v>
      </c>
      <c r="CE3404" t="str">
        <f t="shared" si="1243"/>
        <v>19:34:37.928</v>
      </c>
      <c r="CF3404">
        <v>928403567</v>
      </c>
      <c r="CS3404">
        <v>0</v>
      </c>
      <c r="CT3404">
        <v>2</v>
      </c>
      <c r="CU3404">
        <v>0</v>
      </c>
      <c r="CV3404">
        <v>2</v>
      </c>
      <c r="CW3404">
        <v>0</v>
      </c>
      <c r="CX3404">
        <v>5</v>
      </c>
      <c r="CY3404">
        <v>7</v>
      </c>
      <c r="CZ3404" t="s">
        <v>131</v>
      </c>
      <c r="DA3404">
        <v>286</v>
      </c>
      <c r="DB3404">
        <v>0</v>
      </c>
      <c r="DC3404" t="s">
        <v>132</v>
      </c>
      <c r="DD3404" t="s">
        <v>133</v>
      </c>
      <c r="DG3404">
        <v>876654</v>
      </c>
      <c r="DI3404">
        <v>1</v>
      </c>
      <c r="DJ3404">
        <v>0</v>
      </c>
      <c r="DK3404">
        <v>1</v>
      </c>
      <c r="DL3404">
        <v>0</v>
      </c>
      <c r="DM3404">
        <v>0</v>
      </c>
      <c r="DN3404">
        <v>1</v>
      </c>
      <c r="DO3404">
        <v>0</v>
      </c>
      <c r="DP3404">
        <v>0</v>
      </c>
      <c r="DQ3404">
        <v>0</v>
      </c>
      <c r="DR3404">
        <v>0</v>
      </c>
      <c r="DS3404">
        <v>0</v>
      </c>
    </row>
    <row r="3405" spans="1:123" x14ac:dyDescent="0.3">
      <c r="A3405" t="str">
        <f>"10/04/2022 19:34:39.901"</f>
        <v>10/04/2022 19:34:39.901</v>
      </c>
      <c r="C3405" t="str">
        <f t="shared" si="1231"/>
        <v>FFDFD3C0</v>
      </c>
      <c r="D3405" t="s">
        <v>141</v>
      </c>
      <c r="E3405">
        <v>3</v>
      </c>
      <c r="H3405">
        <v>3</v>
      </c>
      <c r="I3405" t="s">
        <v>146</v>
      </c>
      <c r="J3405" t="s">
        <v>138</v>
      </c>
      <c r="K3405">
        <v>0</v>
      </c>
      <c r="L3405">
        <v>3</v>
      </c>
      <c r="M3405">
        <v>0</v>
      </c>
      <c r="N3405">
        <v>2</v>
      </c>
      <c r="O3405">
        <v>0</v>
      </c>
      <c r="P3405">
        <v>1</v>
      </c>
      <c r="Q3405">
        <v>0</v>
      </c>
      <c r="S3405" t="str">
        <f t="shared" ref="S3405:T3411" si="1244">"19:34:39.000"</f>
        <v>19:34:39.000</v>
      </c>
      <c r="T3405" t="str">
        <f t="shared" si="1244"/>
        <v>19:34:39.000</v>
      </c>
      <c r="U3405" t="str">
        <f t="shared" si="1240"/>
        <v>AC3944</v>
      </c>
      <c r="V3405">
        <v>0</v>
      </c>
      <c r="W3405">
        <v>0</v>
      </c>
      <c r="X3405">
        <v>2</v>
      </c>
      <c r="Y3405">
        <v>0</v>
      </c>
      <c r="AA3405">
        <v>1</v>
      </c>
      <c r="AB3405">
        <v>8</v>
      </c>
      <c r="AC3405">
        <v>3</v>
      </c>
      <c r="AD3405">
        <v>0</v>
      </c>
      <c r="AE3405">
        <v>9</v>
      </c>
      <c r="AF3405" t="s">
        <v>138</v>
      </c>
      <c r="AG3405">
        <v>0</v>
      </c>
      <c r="AH3405">
        <v>3</v>
      </c>
      <c r="AI3405">
        <v>1</v>
      </c>
      <c r="AJ3405">
        <v>0</v>
      </c>
      <c r="AK3405" t="s">
        <v>1119</v>
      </c>
      <c r="AL3405">
        <v>32.729365999999999</v>
      </c>
      <c r="AM3405" t="s">
        <v>1120</v>
      </c>
      <c r="AN3405">
        <v>-116.746945</v>
      </c>
      <c r="AO3405">
        <v>25</v>
      </c>
      <c r="AP3405">
        <v>4100</v>
      </c>
      <c r="AQ3405" t="s">
        <v>129</v>
      </c>
      <c r="AR3405">
        <v>106</v>
      </c>
      <c r="AS3405">
        <v>47</v>
      </c>
      <c r="AT3405">
        <v>1472</v>
      </c>
      <c r="BB3405">
        <v>1200</v>
      </c>
      <c r="BC3405">
        <v>1</v>
      </c>
      <c r="BD3405" t="str">
        <f t="shared" si="1241"/>
        <v xml:space="preserve">N887QR  </v>
      </c>
      <c r="BE3405">
        <v>1</v>
      </c>
      <c r="BG3405">
        <v>0</v>
      </c>
      <c r="BH3405">
        <v>0</v>
      </c>
      <c r="BI3405">
        <v>0</v>
      </c>
      <c r="BJ3405">
        <v>3850</v>
      </c>
      <c r="BK3405">
        <v>-250</v>
      </c>
      <c r="BL3405" t="s">
        <v>163</v>
      </c>
      <c r="BM3405">
        <v>1</v>
      </c>
      <c r="BN3405">
        <v>1</v>
      </c>
      <c r="BO3405">
        <v>1</v>
      </c>
      <c r="BP3405">
        <v>0</v>
      </c>
      <c r="BS3405">
        <v>0</v>
      </c>
      <c r="BT3405">
        <v>0</v>
      </c>
      <c r="BU3405">
        <v>0</v>
      </c>
      <c r="CE3405" t="str">
        <f t="shared" ref="CE3405:CE3411" si="1245">"19:34:39.325"</f>
        <v>19:34:39.325</v>
      </c>
      <c r="CF3405">
        <v>325224467</v>
      </c>
      <c r="CS3405">
        <v>0</v>
      </c>
      <c r="CT3405">
        <v>2</v>
      </c>
      <c r="CU3405">
        <v>0</v>
      </c>
      <c r="CV3405">
        <v>2</v>
      </c>
      <c r="CW3405">
        <v>0</v>
      </c>
      <c r="CX3405">
        <v>5</v>
      </c>
      <c r="CY3405">
        <v>7</v>
      </c>
      <c r="CZ3405" t="s">
        <v>131</v>
      </c>
      <c r="DA3405">
        <v>300</v>
      </c>
      <c r="DB3405">
        <v>0</v>
      </c>
      <c r="DC3405" t="s">
        <v>176</v>
      </c>
      <c r="DD3405" t="s">
        <v>177</v>
      </c>
      <c r="DG3405">
        <v>5437289</v>
      </c>
      <c r="DI3405">
        <v>1</v>
      </c>
      <c r="DJ3405">
        <v>0</v>
      </c>
      <c r="DK3405">
        <v>0</v>
      </c>
      <c r="DL3405">
        <v>0</v>
      </c>
      <c r="DM3405">
        <v>0</v>
      </c>
      <c r="DN3405">
        <v>1</v>
      </c>
      <c r="DO3405">
        <v>0</v>
      </c>
      <c r="DP3405">
        <v>0</v>
      </c>
      <c r="DQ3405">
        <v>0</v>
      </c>
      <c r="DR3405">
        <v>0</v>
      </c>
      <c r="DS3405">
        <v>0</v>
      </c>
    </row>
    <row r="3406" spans="1:123" x14ac:dyDescent="0.3">
      <c r="A3406" t="str">
        <f>"10/04/2022 19:34:39.901"</f>
        <v>10/04/2022 19:34:39.901</v>
      </c>
      <c r="C3406" t="str">
        <f t="shared" si="1231"/>
        <v>FFDFD3C0</v>
      </c>
      <c r="D3406" t="s">
        <v>123</v>
      </c>
      <c r="E3406">
        <v>7</v>
      </c>
      <c r="F3406">
        <v>2007</v>
      </c>
      <c r="G3406" t="s">
        <v>124</v>
      </c>
      <c r="J3406" t="s">
        <v>125</v>
      </c>
      <c r="K3406">
        <v>0</v>
      </c>
      <c r="L3406">
        <v>3</v>
      </c>
      <c r="M3406">
        <v>0</v>
      </c>
      <c r="N3406">
        <v>2</v>
      </c>
      <c r="O3406">
        <v>0</v>
      </c>
      <c r="P3406">
        <v>1</v>
      </c>
      <c r="Q3406">
        <v>0</v>
      </c>
      <c r="S3406" t="str">
        <f t="shared" si="1244"/>
        <v>19:34:39.000</v>
      </c>
      <c r="T3406" t="str">
        <f t="shared" si="1244"/>
        <v>19:34:39.000</v>
      </c>
      <c r="U3406" t="str">
        <f t="shared" si="1240"/>
        <v>AC3944</v>
      </c>
      <c r="V3406">
        <v>0</v>
      </c>
      <c r="W3406">
        <v>0</v>
      </c>
      <c r="X3406">
        <v>2</v>
      </c>
      <c r="Y3406">
        <v>0</v>
      </c>
      <c r="AA3406">
        <v>1</v>
      </c>
      <c r="AB3406">
        <v>8</v>
      </c>
      <c r="AC3406">
        <v>3</v>
      </c>
      <c r="AD3406">
        <v>0</v>
      </c>
      <c r="AE3406">
        <v>9</v>
      </c>
      <c r="AF3406" t="s">
        <v>138</v>
      </c>
      <c r="AG3406">
        <v>0</v>
      </c>
      <c r="AH3406">
        <v>3</v>
      </c>
      <c r="AI3406">
        <v>1</v>
      </c>
      <c r="AJ3406">
        <v>0</v>
      </c>
      <c r="AK3406" t="s">
        <v>1119</v>
      </c>
      <c r="AL3406">
        <v>32.729365999999999</v>
      </c>
      <c r="AM3406" t="s">
        <v>1120</v>
      </c>
      <c r="AN3406">
        <v>-116.746945</v>
      </c>
      <c r="AO3406">
        <v>25</v>
      </c>
      <c r="AP3406">
        <v>4100</v>
      </c>
      <c r="AQ3406" t="s">
        <v>129</v>
      </c>
      <c r="AR3406">
        <v>106</v>
      </c>
      <c r="AS3406">
        <v>47</v>
      </c>
      <c r="AT3406">
        <v>1472</v>
      </c>
      <c r="BB3406">
        <v>1200</v>
      </c>
      <c r="BC3406">
        <v>1</v>
      </c>
      <c r="BD3406" t="str">
        <f t="shared" si="1241"/>
        <v xml:space="preserve">N887QR  </v>
      </c>
      <c r="BE3406">
        <v>1</v>
      </c>
      <c r="BG3406">
        <v>0</v>
      </c>
      <c r="BH3406">
        <v>0</v>
      </c>
      <c r="BI3406">
        <v>0</v>
      </c>
      <c r="BJ3406">
        <v>3850</v>
      </c>
      <c r="BK3406">
        <v>-250</v>
      </c>
      <c r="BL3406" t="s">
        <v>163</v>
      </c>
      <c r="BM3406">
        <v>1</v>
      </c>
      <c r="BN3406">
        <v>1</v>
      </c>
      <c r="BO3406">
        <v>1</v>
      </c>
      <c r="BP3406">
        <v>0</v>
      </c>
      <c r="BS3406">
        <v>0</v>
      </c>
      <c r="BT3406">
        <v>0</v>
      </c>
      <c r="BU3406">
        <v>0</v>
      </c>
      <c r="CE3406" t="str">
        <f t="shared" si="1245"/>
        <v>19:34:39.325</v>
      </c>
      <c r="CF3406">
        <v>325224467</v>
      </c>
      <c r="CS3406">
        <v>0</v>
      </c>
      <c r="CT3406">
        <v>2</v>
      </c>
      <c r="CU3406">
        <v>0</v>
      </c>
      <c r="CV3406">
        <v>2</v>
      </c>
      <c r="CW3406">
        <v>0</v>
      </c>
      <c r="CX3406">
        <v>5</v>
      </c>
      <c r="CY3406">
        <v>7</v>
      </c>
      <c r="CZ3406" t="s">
        <v>131</v>
      </c>
      <c r="DA3406">
        <v>300</v>
      </c>
      <c r="DB3406">
        <v>0</v>
      </c>
      <c r="DC3406" t="s">
        <v>176</v>
      </c>
      <c r="DD3406" t="s">
        <v>177</v>
      </c>
      <c r="DG3406">
        <v>5437289</v>
      </c>
      <c r="DI3406">
        <v>1</v>
      </c>
      <c r="DJ3406">
        <v>0</v>
      </c>
      <c r="DK3406">
        <v>1</v>
      </c>
      <c r="DL3406">
        <v>0</v>
      </c>
      <c r="DM3406">
        <v>0</v>
      </c>
      <c r="DN3406">
        <v>1</v>
      </c>
      <c r="DO3406">
        <v>0</v>
      </c>
      <c r="DP3406">
        <v>0</v>
      </c>
      <c r="DQ3406">
        <v>0</v>
      </c>
      <c r="DR3406">
        <v>0</v>
      </c>
      <c r="DS3406">
        <v>0</v>
      </c>
    </row>
    <row r="3407" spans="1:123" x14ac:dyDescent="0.3">
      <c r="A3407" t="str">
        <f>"10/04/2022 19:34:39.901"</f>
        <v>10/04/2022 19:34:39.901</v>
      </c>
      <c r="C3407" t="str">
        <f t="shared" si="1231"/>
        <v>FFDFD3C0</v>
      </c>
      <c r="D3407" t="s">
        <v>136</v>
      </c>
      <c r="E3407">
        <v>8</v>
      </c>
      <c r="H3407">
        <v>225</v>
      </c>
      <c r="I3407" t="s">
        <v>137</v>
      </c>
      <c r="J3407" t="s">
        <v>138</v>
      </c>
      <c r="K3407">
        <v>0</v>
      </c>
      <c r="L3407">
        <v>3</v>
      </c>
      <c r="M3407">
        <v>0</v>
      </c>
      <c r="N3407">
        <v>2</v>
      </c>
      <c r="O3407">
        <v>0</v>
      </c>
      <c r="P3407">
        <v>1</v>
      </c>
      <c r="Q3407">
        <v>0</v>
      </c>
      <c r="S3407" t="str">
        <f t="shared" si="1244"/>
        <v>19:34:39.000</v>
      </c>
      <c r="T3407" t="str">
        <f t="shared" si="1244"/>
        <v>19:34:39.000</v>
      </c>
      <c r="U3407" t="str">
        <f t="shared" si="1240"/>
        <v>AC3944</v>
      </c>
      <c r="V3407">
        <v>0</v>
      </c>
      <c r="W3407">
        <v>0</v>
      </c>
      <c r="X3407">
        <v>2</v>
      </c>
      <c r="Y3407">
        <v>0</v>
      </c>
      <c r="AA3407">
        <v>1</v>
      </c>
      <c r="AB3407">
        <v>8</v>
      </c>
      <c r="AC3407">
        <v>3</v>
      </c>
      <c r="AD3407">
        <v>0</v>
      </c>
      <c r="AE3407">
        <v>9</v>
      </c>
      <c r="AF3407" t="s">
        <v>138</v>
      </c>
      <c r="AG3407">
        <v>0</v>
      </c>
      <c r="AH3407">
        <v>3</v>
      </c>
      <c r="AI3407">
        <v>1</v>
      </c>
      <c r="AJ3407">
        <v>0</v>
      </c>
      <c r="AK3407" t="s">
        <v>1119</v>
      </c>
      <c r="AL3407">
        <v>32.729365999999999</v>
      </c>
      <c r="AM3407" t="s">
        <v>1120</v>
      </c>
      <c r="AN3407">
        <v>-116.746945</v>
      </c>
      <c r="AO3407">
        <v>25</v>
      </c>
      <c r="AP3407">
        <v>4100</v>
      </c>
      <c r="AQ3407" t="s">
        <v>129</v>
      </c>
      <c r="AR3407">
        <v>106</v>
      </c>
      <c r="AS3407">
        <v>47</v>
      </c>
      <c r="AT3407">
        <v>1472</v>
      </c>
      <c r="BB3407">
        <v>1200</v>
      </c>
      <c r="BC3407">
        <v>1</v>
      </c>
      <c r="BD3407" t="str">
        <f t="shared" si="1241"/>
        <v xml:space="preserve">N887QR  </v>
      </c>
      <c r="BE3407">
        <v>1</v>
      </c>
      <c r="BG3407">
        <v>0</v>
      </c>
      <c r="BH3407">
        <v>0</v>
      </c>
      <c r="BI3407">
        <v>0</v>
      </c>
      <c r="BJ3407">
        <v>3850</v>
      </c>
      <c r="BK3407">
        <v>-250</v>
      </c>
      <c r="BL3407" t="s">
        <v>163</v>
      </c>
      <c r="BM3407">
        <v>1</v>
      </c>
      <c r="BN3407">
        <v>1</v>
      </c>
      <c r="BO3407">
        <v>1</v>
      </c>
      <c r="BP3407">
        <v>0</v>
      </c>
      <c r="BS3407">
        <v>0</v>
      </c>
      <c r="BT3407">
        <v>0</v>
      </c>
      <c r="BU3407">
        <v>0</v>
      </c>
      <c r="CE3407" t="str">
        <f t="shared" si="1245"/>
        <v>19:34:39.325</v>
      </c>
      <c r="CF3407">
        <v>325224467</v>
      </c>
      <c r="CS3407">
        <v>0</v>
      </c>
      <c r="CT3407">
        <v>2</v>
      </c>
      <c r="CU3407">
        <v>0</v>
      </c>
      <c r="CV3407">
        <v>2</v>
      </c>
      <c r="CW3407">
        <v>0</v>
      </c>
      <c r="CX3407">
        <v>5</v>
      </c>
      <c r="CY3407">
        <v>7</v>
      </c>
      <c r="CZ3407" t="s">
        <v>131</v>
      </c>
      <c r="DA3407">
        <v>300</v>
      </c>
      <c r="DB3407">
        <v>0</v>
      </c>
      <c r="DC3407" t="s">
        <v>176</v>
      </c>
      <c r="DD3407" t="s">
        <v>177</v>
      </c>
      <c r="DG3407">
        <v>5437289</v>
      </c>
      <c r="DI3407">
        <v>1</v>
      </c>
      <c r="DJ3407">
        <v>0</v>
      </c>
      <c r="DK3407">
        <v>1</v>
      </c>
      <c r="DL3407">
        <v>0</v>
      </c>
      <c r="DM3407">
        <v>0</v>
      </c>
      <c r="DN3407">
        <v>1</v>
      </c>
      <c r="DO3407">
        <v>0</v>
      </c>
      <c r="DP3407">
        <v>0</v>
      </c>
      <c r="DQ3407">
        <v>0</v>
      </c>
      <c r="DR3407">
        <v>0</v>
      </c>
      <c r="DS3407">
        <v>0</v>
      </c>
    </row>
    <row r="3408" spans="1:123" x14ac:dyDescent="0.3">
      <c r="A3408" t="str">
        <f>"10/04/2022 19:34:39.901"</f>
        <v>10/04/2022 19:34:39.901</v>
      </c>
      <c r="C3408" t="str">
        <f t="shared" si="1231"/>
        <v>FFDFD3C0</v>
      </c>
      <c r="D3408" t="s">
        <v>134</v>
      </c>
      <c r="E3408">
        <v>15</v>
      </c>
      <c r="J3408" t="s">
        <v>135</v>
      </c>
      <c r="K3408">
        <v>0</v>
      </c>
      <c r="L3408">
        <v>3</v>
      </c>
      <c r="M3408">
        <v>0</v>
      </c>
      <c r="N3408">
        <v>2</v>
      </c>
      <c r="O3408">
        <v>0</v>
      </c>
      <c r="P3408">
        <v>1</v>
      </c>
      <c r="Q3408">
        <v>0</v>
      </c>
      <c r="S3408" t="str">
        <f t="shared" si="1244"/>
        <v>19:34:39.000</v>
      </c>
      <c r="T3408" t="str">
        <f t="shared" si="1244"/>
        <v>19:34:39.000</v>
      </c>
      <c r="U3408" t="str">
        <f t="shared" si="1240"/>
        <v>AC3944</v>
      </c>
      <c r="V3408">
        <v>0</v>
      </c>
      <c r="W3408">
        <v>0</v>
      </c>
      <c r="X3408">
        <v>2</v>
      </c>
      <c r="Y3408">
        <v>0</v>
      </c>
      <c r="AA3408">
        <v>1</v>
      </c>
      <c r="AB3408">
        <v>8</v>
      </c>
      <c r="AC3408">
        <v>3</v>
      </c>
      <c r="AD3408">
        <v>0</v>
      </c>
      <c r="AE3408">
        <v>9</v>
      </c>
      <c r="AF3408" t="s">
        <v>138</v>
      </c>
      <c r="AG3408">
        <v>0</v>
      </c>
      <c r="AH3408">
        <v>3</v>
      </c>
      <c r="AI3408">
        <v>1</v>
      </c>
      <c r="AJ3408">
        <v>0</v>
      </c>
      <c r="AK3408" t="s">
        <v>1119</v>
      </c>
      <c r="AL3408">
        <v>32.729365999999999</v>
      </c>
      <c r="AM3408" t="s">
        <v>1120</v>
      </c>
      <c r="AN3408">
        <v>-116.746945</v>
      </c>
      <c r="AO3408">
        <v>25</v>
      </c>
      <c r="AP3408">
        <v>4100</v>
      </c>
      <c r="AQ3408" t="s">
        <v>129</v>
      </c>
      <c r="AR3408">
        <v>106</v>
      </c>
      <c r="AS3408">
        <v>47</v>
      </c>
      <c r="AT3408">
        <v>1472</v>
      </c>
      <c r="BB3408">
        <v>1200</v>
      </c>
      <c r="BC3408">
        <v>1</v>
      </c>
      <c r="BD3408" t="str">
        <f t="shared" si="1241"/>
        <v xml:space="preserve">N887QR  </v>
      </c>
      <c r="BE3408">
        <v>1</v>
      </c>
      <c r="BG3408">
        <v>0</v>
      </c>
      <c r="BH3408">
        <v>0</v>
      </c>
      <c r="BI3408">
        <v>0</v>
      </c>
      <c r="BJ3408">
        <v>3850</v>
      </c>
      <c r="BK3408">
        <v>-250</v>
      </c>
      <c r="BL3408" t="s">
        <v>163</v>
      </c>
      <c r="BM3408">
        <v>1</v>
      </c>
      <c r="BN3408">
        <v>1</v>
      </c>
      <c r="BO3408">
        <v>1</v>
      </c>
      <c r="BP3408">
        <v>0</v>
      </c>
      <c r="BS3408">
        <v>0</v>
      </c>
      <c r="BT3408">
        <v>0</v>
      </c>
      <c r="BU3408">
        <v>0</v>
      </c>
      <c r="CE3408" t="str">
        <f t="shared" si="1245"/>
        <v>19:34:39.325</v>
      </c>
      <c r="CF3408">
        <v>325224467</v>
      </c>
      <c r="CS3408">
        <v>0</v>
      </c>
      <c r="CT3408">
        <v>2</v>
      </c>
      <c r="CU3408">
        <v>0</v>
      </c>
      <c r="CV3408">
        <v>2</v>
      </c>
      <c r="CW3408">
        <v>0</v>
      </c>
      <c r="CX3408">
        <v>5</v>
      </c>
      <c r="CY3408">
        <v>7</v>
      </c>
      <c r="CZ3408" t="s">
        <v>131</v>
      </c>
      <c r="DA3408">
        <v>300</v>
      </c>
      <c r="DB3408">
        <v>0</v>
      </c>
      <c r="DC3408" t="s">
        <v>176</v>
      </c>
      <c r="DD3408" t="s">
        <v>177</v>
      </c>
      <c r="DG3408">
        <v>5437289</v>
      </c>
      <c r="DI3408">
        <v>1</v>
      </c>
      <c r="DJ3408">
        <v>0</v>
      </c>
      <c r="DK3408">
        <v>1</v>
      </c>
      <c r="DL3408">
        <v>0</v>
      </c>
      <c r="DM3408">
        <v>0</v>
      </c>
      <c r="DN3408">
        <v>1</v>
      </c>
      <c r="DO3408">
        <v>0</v>
      </c>
      <c r="DP3408">
        <v>0</v>
      </c>
      <c r="DQ3408">
        <v>0</v>
      </c>
      <c r="DR3408">
        <v>0</v>
      </c>
      <c r="DS3408">
        <v>0</v>
      </c>
    </row>
    <row r="3409" spans="1:123" x14ac:dyDescent="0.3">
      <c r="A3409" t="str">
        <f>"10/04/2022 19:34:39.901"</f>
        <v>10/04/2022 19:34:39.901</v>
      </c>
      <c r="C3409" t="str">
        <f t="shared" si="1231"/>
        <v>FFDFD3C0</v>
      </c>
      <c r="D3409" t="s">
        <v>147</v>
      </c>
      <c r="E3409">
        <v>3</v>
      </c>
      <c r="H3409">
        <v>166</v>
      </c>
      <c r="I3409" t="s">
        <v>144</v>
      </c>
      <c r="J3409" t="s">
        <v>148</v>
      </c>
      <c r="K3409">
        <v>0</v>
      </c>
      <c r="L3409">
        <v>3</v>
      </c>
      <c r="M3409">
        <v>0</v>
      </c>
      <c r="N3409">
        <v>2</v>
      </c>
      <c r="O3409">
        <v>0</v>
      </c>
      <c r="P3409">
        <v>1</v>
      </c>
      <c r="Q3409">
        <v>0</v>
      </c>
      <c r="S3409" t="str">
        <f t="shared" si="1244"/>
        <v>19:34:39.000</v>
      </c>
      <c r="T3409" t="str">
        <f t="shared" si="1244"/>
        <v>19:34:39.000</v>
      </c>
      <c r="U3409" t="str">
        <f t="shared" si="1240"/>
        <v>AC3944</v>
      </c>
      <c r="V3409">
        <v>0</v>
      </c>
      <c r="W3409">
        <v>0</v>
      </c>
      <c r="X3409">
        <v>2</v>
      </c>
      <c r="Y3409">
        <v>0</v>
      </c>
      <c r="AA3409">
        <v>1</v>
      </c>
      <c r="AB3409">
        <v>8</v>
      </c>
      <c r="AC3409">
        <v>3</v>
      </c>
      <c r="AD3409">
        <v>0</v>
      </c>
      <c r="AE3409">
        <v>9</v>
      </c>
      <c r="AF3409" t="s">
        <v>138</v>
      </c>
      <c r="AG3409">
        <v>0</v>
      </c>
      <c r="AH3409">
        <v>3</v>
      </c>
      <c r="AI3409">
        <v>1</v>
      </c>
      <c r="AJ3409">
        <v>0</v>
      </c>
      <c r="AK3409" t="s">
        <v>1119</v>
      </c>
      <c r="AL3409">
        <v>32.729365999999999</v>
      </c>
      <c r="AM3409" t="s">
        <v>1120</v>
      </c>
      <c r="AN3409">
        <v>-116.746945</v>
      </c>
      <c r="AO3409">
        <v>25</v>
      </c>
      <c r="AP3409">
        <v>4100</v>
      </c>
      <c r="AQ3409" t="s">
        <v>129</v>
      </c>
      <c r="AR3409">
        <v>106</v>
      </c>
      <c r="AS3409">
        <v>47</v>
      </c>
      <c r="AT3409">
        <v>1472</v>
      </c>
      <c r="BB3409">
        <v>1200</v>
      </c>
      <c r="BC3409">
        <v>1</v>
      </c>
      <c r="BD3409" t="str">
        <f t="shared" si="1241"/>
        <v xml:space="preserve">N887QR  </v>
      </c>
      <c r="BE3409">
        <v>1</v>
      </c>
      <c r="BG3409">
        <v>0</v>
      </c>
      <c r="BH3409">
        <v>0</v>
      </c>
      <c r="BI3409">
        <v>0</v>
      </c>
      <c r="BJ3409">
        <v>3850</v>
      </c>
      <c r="BK3409">
        <v>-250</v>
      </c>
      <c r="BL3409" t="s">
        <v>163</v>
      </c>
      <c r="BM3409">
        <v>1</v>
      </c>
      <c r="BN3409">
        <v>1</v>
      </c>
      <c r="BO3409">
        <v>1</v>
      </c>
      <c r="BP3409">
        <v>0</v>
      </c>
      <c r="BS3409">
        <v>0</v>
      </c>
      <c r="BT3409">
        <v>0</v>
      </c>
      <c r="BU3409">
        <v>0</v>
      </c>
      <c r="CE3409" t="str">
        <f t="shared" si="1245"/>
        <v>19:34:39.325</v>
      </c>
      <c r="CF3409">
        <v>325224467</v>
      </c>
      <c r="CS3409">
        <v>0</v>
      </c>
      <c r="CT3409">
        <v>2</v>
      </c>
      <c r="CU3409">
        <v>0</v>
      </c>
      <c r="CV3409">
        <v>2</v>
      </c>
      <c r="CW3409">
        <v>0</v>
      </c>
      <c r="CX3409">
        <v>5</v>
      </c>
      <c r="CY3409">
        <v>7</v>
      </c>
      <c r="CZ3409" t="s">
        <v>131</v>
      </c>
      <c r="DA3409">
        <v>300</v>
      </c>
      <c r="DB3409">
        <v>0</v>
      </c>
      <c r="DC3409" t="s">
        <v>176</v>
      </c>
      <c r="DD3409" t="s">
        <v>177</v>
      </c>
      <c r="DG3409">
        <v>5437289</v>
      </c>
      <c r="DI3409">
        <v>1</v>
      </c>
      <c r="DJ3409">
        <v>0</v>
      </c>
      <c r="DK3409">
        <v>1</v>
      </c>
      <c r="DL3409">
        <v>0</v>
      </c>
      <c r="DM3409">
        <v>0</v>
      </c>
      <c r="DN3409">
        <v>1</v>
      </c>
      <c r="DO3409">
        <v>0</v>
      </c>
      <c r="DP3409">
        <v>0</v>
      </c>
      <c r="DQ3409">
        <v>0</v>
      </c>
      <c r="DR3409">
        <v>0</v>
      </c>
      <c r="DS3409">
        <v>0</v>
      </c>
    </row>
    <row r="3410" spans="1:123" x14ac:dyDescent="0.3">
      <c r="A3410" t="str">
        <f>"10/04/2022 19:34:39.917"</f>
        <v>10/04/2022 19:34:39.917</v>
      </c>
      <c r="C3410" t="str">
        <f t="shared" si="1231"/>
        <v>FFDFD3C0</v>
      </c>
      <c r="D3410" t="s">
        <v>141</v>
      </c>
      <c r="E3410">
        <v>4</v>
      </c>
      <c r="H3410">
        <v>4</v>
      </c>
      <c r="I3410" t="s">
        <v>142</v>
      </c>
      <c r="J3410" t="s">
        <v>138</v>
      </c>
      <c r="K3410">
        <v>0</v>
      </c>
      <c r="L3410">
        <v>3</v>
      </c>
      <c r="M3410">
        <v>0</v>
      </c>
      <c r="N3410">
        <v>2</v>
      </c>
      <c r="O3410">
        <v>0</v>
      </c>
      <c r="P3410">
        <v>1</v>
      </c>
      <c r="Q3410">
        <v>0</v>
      </c>
      <c r="S3410" t="str">
        <f t="shared" si="1244"/>
        <v>19:34:39.000</v>
      </c>
      <c r="T3410" t="str">
        <f t="shared" si="1244"/>
        <v>19:34:39.000</v>
      </c>
      <c r="U3410" t="str">
        <f t="shared" si="1240"/>
        <v>AC3944</v>
      </c>
      <c r="V3410">
        <v>0</v>
      </c>
      <c r="W3410">
        <v>0</v>
      </c>
      <c r="X3410">
        <v>2</v>
      </c>
      <c r="Y3410">
        <v>0</v>
      </c>
      <c r="AA3410">
        <v>1</v>
      </c>
      <c r="AB3410">
        <v>8</v>
      </c>
      <c r="AC3410">
        <v>3</v>
      </c>
      <c r="AD3410">
        <v>0</v>
      </c>
      <c r="AE3410">
        <v>9</v>
      </c>
      <c r="AF3410" t="s">
        <v>138</v>
      </c>
      <c r="AG3410">
        <v>0</v>
      </c>
      <c r="AH3410">
        <v>3</v>
      </c>
      <c r="AI3410">
        <v>1</v>
      </c>
      <c r="AJ3410">
        <v>0</v>
      </c>
      <c r="AK3410" t="s">
        <v>1119</v>
      </c>
      <c r="AL3410">
        <v>32.729365999999999</v>
      </c>
      <c r="AM3410" t="s">
        <v>1120</v>
      </c>
      <c r="AN3410">
        <v>-116.746945</v>
      </c>
      <c r="AO3410">
        <v>25</v>
      </c>
      <c r="AP3410">
        <v>4100</v>
      </c>
      <c r="AQ3410" t="s">
        <v>129</v>
      </c>
      <c r="AR3410">
        <v>106</v>
      </c>
      <c r="AS3410">
        <v>47</v>
      </c>
      <c r="AT3410">
        <v>1472</v>
      </c>
      <c r="BB3410">
        <v>1200</v>
      </c>
      <c r="BC3410">
        <v>1</v>
      </c>
      <c r="BD3410" t="str">
        <f t="shared" si="1241"/>
        <v xml:space="preserve">N887QR  </v>
      </c>
      <c r="BE3410">
        <v>1</v>
      </c>
      <c r="BG3410">
        <v>0</v>
      </c>
      <c r="BH3410">
        <v>0</v>
      </c>
      <c r="BI3410">
        <v>0</v>
      </c>
      <c r="BJ3410">
        <v>3850</v>
      </c>
      <c r="BK3410">
        <v>-250</v>
      </c>
      <c r="BL3410" t="s">
        <v>163</v>
      </c>
      <c r="BM3410">
        <v>1</v>
      </c>
      <c r="BN3410">
        <v>1</v>
      </c>
      <c r="BO3410">
        <v>1</v>
      </c>
      <c r="BP3410">
        <v>0</v>
      </c>
      <c r="BS3410">
        <v>0</v>
      </c>
      <c r="BT3410">
        <v>0</v>
      </c>
      <c r="BU3410">
        <v>0</v>
      </c>
      <c r="CE3410" t="str">
        <f t="shared" si="1245"/>
        <v>19:34:39.325</v>
      </c>
      <c r="CF3410">
        <v>325224467</v>
      </c>
      <c r="CS3410">
        <v>0</v>
      </c>
      <c r="CT3410">
        <v>2</v>
      </c>
      <c r="CU3410">
        <v>0</v>
      </c>
      <c r="CV3410">
        <v>2</v>
      </c>
      <c r="CW3410">
        <v>0</v>
      </c>
      <c r="CX3410">
        <v>5</v>
      </c>
      <c r="CY3410">
        <v>7</v>
      </c>
      <c r="CZ3410" t="s">
        <v>131</v>
      </c>
      <c r="DA3410">
        <v>300</v>
      </c>
      <c r="DB3410">
        <v>0</v>
      </c>
      <c r="DC3410" t="s">
        <v>176</v>
      </c>
      <c r="DD3410" t="s">
        <v>177</v>
      </c>
      <c r="DG3410">
        <v>5437289</v>
      </c>
      <c r="DI3410">
        <v>1</v>
      </c>
      <c r="DJ3410">
        <v>0</v>
      </c>
      <c r="DK3410">
        <v>1</v>
      </c>
      <c r="DL3410">
        <v>0</v>
      </c>
      <c r="DM3410">
        <v>0</v>
      </c>
      <c r="DN3410">
        <v>1</v>
      </c>
      <c r="DO3410">
        <v>0</v>
      </c>
      <c r="DP3410">
        <v>0</v>
      </c>
      <c r="DQ3410">
        <v>0</v>
      </c>
      <c r="DR3410">
        <v>0</v>
      </c>
      <c r="DS3410">
        <v>0</v>
      </c>
    </row>
    <row r="3411" spans="1:123" x14ac:dyDescent="0.3">
      <c r="A3411" t="str">
        <f>"10/04/2022 19:34:39.979"</f>
        <v>10/04/2022 19:34:39.979</v>
      </c>
      <c r="C3411" t="str">
        <f t="shared" si="1231"/>
        <v>FFDFD3C0</v>
      </c>
      <c r="D3411" t="s">
        <v>143</v>
      </c>
      <c r="E3411">
        <v>20</v>
      </c>
      <c r="F3411">
        <v>1020</v>
      </c>
      <c r="G3411" t="s">
        <v>144</v>
      </c>
      <c r="J3411" t="s">
        <v>145</v>
      </c>
      <c r="K3411">
        <v>0</v>
      </c>
      <c r="L3411">
        <v>3</v>
      </c>
      <c r="M3411">
        <v>0</v>
      </c>
      <c r="N3411">
        <v>2</v>
      </c>
      <c r="O3411">
        <v>0</v>
      </c>
      <c r="P3411">
        <v>1</v>
      </c>
      <c r="Q3411">
        <v>0</v>
      </c>
      <c r="S3411" t="str">
        <f t="shared" si="1244"/>
        <v>19:34:39.000</v>
      </c>
      <c r="T3411" t="str">
        <f t="shared" si="1244"/>
        <v>19:34:39.000</v>
      </c>
      <c r="U3411" t="str">
        <f t="shared" si="1240"/>
        <v>AC3944</v>
      </c>
      <c r="V3411">
        <v>0</v>
      </c>
      <c r="W3411">
        <v>0</v>
      </c>
      <c r="X3411">
        <v>2</v>
      </c>
      <c r="Y3411">
        <v>0</v>
      </c>
      <c r="AA3411">
        <v>1</v>
      </c>
      <c r="AB3411">
        <v>8</v>
      </c>
      <c r="AC3411">
        <v>3</v>
      </c>
      <c r="AD3411">
        <v>0</v>
      </c>
      <c r="AE3411">
        <v>9</v>
      </c>
      <c r="AF3411" t="s">
        <v>138</v>
      </c>
      <c r="AG3411">
        <v>0</v>
      </c>
      <c r="AH3411">
        <v>3</v>
      </c>
      <c r="AI3411">
        <v>1</v>
      </c>
      <c r="AJ3411">
        <v>0</v>
      </c>
      <c r="AK3411" t="s">
        <v>1119</v>
      </c>
      <c r="AL3411">
        <v>32.729365999999999</v>
      </c>
      <c r="AM3411" t="s">
        <v>1120</v>
      </c>
      <c r="AN3411">
        <v>-116.746945</v>
      </c>
      <c r="AO3411">
        <v>25</v>
      </c>
      <c r="AP3411">
        <v>4100</v>
      </c>
      <c r="AQ3411" t="s">
        <v>129</v>
      </c>
      <c r="AR3411">
        <v>106</v>
      </c>
      <c r="AS3411">
        <v>47</v>
      </c>
      <c r="AT3411">
        <v>1472</v>
      </c>
      <c r="BB3411">
        <v>1200</v>
      </c>
      <c r="BC3411">
        <v>1</v>
      </c>
      <c r="BD3411" t="str">
        <f t="shared" si="1241"/>
        <v xml:space="preserve">N887QR  </v>
      </c>
      <c r="BE3411">
        <v>1</v>
      </c>
      <c r="BG3411">
        <v>0</v>
      </c>
      <c r="BH3411">
        <v>0</v>
      </c>
      <c r="BI3411">
        <v>0</v>
      </c>
      <c r="BJ3411">
        <v>3850</v>
      </c>
      <c r="BK3411">
        <v>-250</v>
      </c>
      <c r="BL3411" t="s">
        <v>163</v>
      </c>
      <c r="BM3411">
        <v>1</v>
      </c>
      <c r="BN3411">
        <v>1</v>
      </c>
      <c r="BO3411">
        <v>1</v>
      </c>
      <c r="BP3411">
        <v>0</v>
      </c>
      <c r="BS3411">
        <v>0</v>
      </c>
      <c r="BT3411">
        <v>0</v>
      </c>
      <c r="BU3411">
        <v>0</v>
      </c>
      <c r="CE3411" t="str">
        <f t="shared" si="1245"/>
        <v>19:34:39.325</v>
      </c>
      <c r="CF3411">
        <v>325224467</v>
      </c>
      <c r="CS3411">
        <v>0</v>
      </c>
      <c r="CT3411">
        <v>2</v>
      </c>
      <c r="CU3411">
        <v>0</v>
      </c>
      <c r="CV3411">
        <v>2</v>
      </c>
      <c r="CW3411">
        <v>0</v>
      </c>
      <c r="CX3411">
        <v>5</v>
      </c>
      <c r="CY3411">
        <v>7</v>
      </c>
      <c r="CZ3411" t="s">
        <v>131</v>
      </c>
      <c r="DA3411">
        <v>300</v>
      </c>
      <c r="DB3411">
        <v>0</v>
      </c>
      <c r="DC3411" t="s">
        <v>176</v>
      </c>
      <c r="DD3411" t="s">
        <v>177</v>
      </c>
      <c r="DG3411">
        <v>5437289</v>
      </c>
      <c r="DI3411">
        <v>1</v>
      </c>
      <c r="DJ3411">
        <v>0</v>
      </c>
      <c r="DK3411">
        <v>0</v>
      </c>
      <c r="DL3411">
        <v>0</v>
      </c>
      <c r="DM3411">
        <v>0</v>
      </c>
      <c r="DN3411">
        <v>1</v>
      </c>
      <c r="DO3411">
        <v>0</v>
      </c>
      <c r="DP3411">
        <v>0</v>
      </c>
      <c r="DQ3411">
        <v>0</v>
      </c>
      <c r="DR3411">
        <v>0</v>
      </c>
      <c r="DS3411">
        <v>0</v>
      </c>
    </row>
    <row r="3412" spans="1:123" x14ac:dyDescent="0.3">
      <c r="A3412" t="str">
        <f>"10/04/2022 19:34:41.292"</f>
        <v>10/04/2022 19:34:41.292</v>
      </c>
      <c r="C3412" t="str">
        <f t="shared" si="1231"/>
        <v>FFDFD3C0</v>
      </c>
      <c r="D3412" t="s">
        <v>123</v>
      </c>
      <c r="E3412">
        <v>7</v>
      </c>
      <c r="F3412">
        <v>2007</v>
      </c>
      <c r="G3412" t="s">
        <v>124</v>
      </c>
      <c r="J3412" t="s">
        <v>125</v>
      </c>
      <c r="K3412">
        <v>0</v>
      </c>
      <c r="L3412">
        <v>3</v>
      </c>
      <c r="M3412">
        <v>0</v>
      </c>
      <c r="N3412">
        <v>2</v>
      </c>
      <c r="O3412">
        <v>0</v>
      </c>
      <c r="P3412">
        <v>1</v>
      </c>
      <c r="Q3412">
        <v>0</v>
      </c>
      <c r="S3412" t="str">
        <f>"19:34:40.000"</f>
        <v>19:34:40.000</v>
      </c>
      <c r="T3412" t="str">
        <f>"19:34:40.000"</f>
        <v>19:34:40.000</v>
      </c>
      <c r="U3412" t="str">
        <f t="shared" si="1240"/>
        <v>AC3944</v>
      </c>
      <c r="V3412">
        <v>0</v>
      </c>
      <c r="W3412">
        <v>0</v>
      </c>
      <c r="X3412">
        <v>2</v>
      </c>
      <c r="Y3412">
        <v>0</v>
      </c>
      <c r="AA3412">
        <v>1</v>
      </c>
      <c r="AB3412">
        <v>8</v>
      </c>
      <c r="AC3412">
        <v>3</v>
      </c>
      <c r="AD3412">
        <v>0</v>
      </c>
      <c r="AE3412">
        <v>9</v>
      </c>
      <c r="AF3412" t="s">
        <v>138</v>
      </c>
      <c r="AG3412">
        <v>0</v>
      </c>
      <c r="AH3412">
        <v>3</v>
      </c>
      <c r="AI3412">
        <v>1</v>
      </c>
      <c r="AJ3412">
        <v>0</v>
      </c>
      <c r="AK3412" t="s">
        <v>1121</v>
      </c>
      <c r="AL3412">
        <v>32.729773999999999</v>
      </c>
      <c r="AM3412" t="s">
        <v>1122</v>
      </c>
      <c r="AN3412">
        <v>-116.74576500000001</v>
      </c>
      <c r="AO3412">
        <v>25</v>
      </c>
      <c r="AP3412">
        <v>4100</v>
      </c>
      <c r="AQ3412" t="s">
        <v>129</v>
      </c>
      <c r="AR3412">
        <v>106</v>
      </c>
      <c r="AS3412">
        <v>42</v>
      </c>
      <c r="AT3412">
        <v>1472</v>
      </c>
      <c r="BB3412">
        <v>1200</v>
      </c>
      <c r="BC3412">
        <v>1</v>
      </c>
      <c r="BD3412" t="str">
        <f t="shared" si="1241"/>
        <v xml:space="preserve">N887QR  </v>
      </c>
      <c r="BE3412">
        <v>1</v>
      </c>
      <c r="BG3412">
        <v>0</v>
      </c>
      <c r="BH3412">
        <v>0</v>
      </c>
      <c r="BI3412">
        <v>0</v>
      </c>
      <c r="BJ3412">
        <v>3875</v>
      </c>
      <c r="BK3412">
        <v>-225</v>
      </c>
      <c r="BL3412" t="s">
        <v>163</v>
      </c>
      <c r="BM3412">
        <v>1</v>
      </c>
      <c r="BN3412">
        <v>1</v>
      </c>
      <c r="BO3412">
        <v>1</v>
      </c>
      <c r="BP3412">
        <v>0</v>
      </c>
      <c r="BS3412">
        <v>0</v>
      </c>
      <c r="BT3412">
        <v>0</v>
      </c>
      <c r="BU3412">
        <v>0</v>
      </c>
      <c r="CE3412" t="str">
        <f>"19:34:40.829"</f>
        <v>19:34:40.829</v>
      </c>
      <c r="CF3412">
        <v>829229241</v>
      </c>
      <c r="CS3412">
        <v>0</v>
      </c>
      <c r="CT3412">
        <v>2</v>
      </c>
      <c r="CU3412">
        <v>0</v>
      </c>
      <c r="CV3412">
        <v>2</v>
      </c>
      <c r="CW3412">
        <v>0</v>
      </c>
      <c r="CX3412">
        <v>5</v>
      </c>
      <c r="CY3412">
        <v>7</v>
      </c>
      <c r="CZ3412" t="s">
        <v>131</v>
      </c>
      <c r="DA3412">
        <v>300</v>
      </c>
      <c r="DB3412">
        <v>0</v>
      </c>
      <c r="DC3412" t="s">
        <v>176</v>
      </c>
      <c r="DD3412" t="s">
        <v>177</v>
      </c>
      <c r="DG3412">
        <v>5437501</v>
      </c>
      <c r="DI3412">
        <v>1</v>
      </c>
      <c r="DJ3412">
        <v>0</v>
      </c>
      <c r="DK3412">
        <v>0</v>
      </c>
      <c r="DL3412">
        <v>0</v>
      </c>
      <c r="DM3412">
        <v>0</v>
      </c>
      <c r="DN3412">
        <v>1</v>
      </c>
      <c r="DO3412">
        <v>0</v>
      </c>
      <c r="DP3412">
        <v>0</v>
      </c>
      <c r="DQ3412">
        <v>0</v>
      </c>
      <c r="DR3412">
        <v>0</v>
      </c>
      <c r="DS3412">
        <v>0</v>
      </c>
    </row>
    <row r="3413" spans="1:123" x14ac:dyDescent="0.3">
      <c r="A3413" t="str">
        <f>"10/04/2022 19:34:43.183"</f>
        <v>10/04/2022 19:34:43.183</v>
      </c>
      <c r="C3413" t="str">
        <f t="shared" si="1231"/>
        <v>FFDFD3C0</v>
      </c>
      <c r="D3413" t="s">
        <v>141</v>
      </c>
      <c r="E3413">
        <v>3</v>
      </c>
      <c r="H3413">
        <v>3</v>
      </c>
      <c r="I3413" t="s">
        <v>146</v>
      </c>
      <c r="J3413" t="s">
        <v>138</v>
      </c>
      <c r="K3413">
        <v>0</v>
      </c>
      <c r="L3413">
        <v>3</v>
      </c>
      <c r="M3413">
        <v>0</v>
      </c>
      <c r="N3413">
        <v>2</v>
      </c>
      <c r="O3413">
        <v>0</v>
      </c>
      <c r="P3413">
        <v>1</v>
      </c>
      <c r="Q3413">
        <v>0</v>
      </c>
      <c r="S3413" t="str">
        <f t="shared" ref="S3413:T3419" si="1246">"19:34:42.000"</f>
        <v>19:34:42.000</v>
      </c>
      <c r="T3413" t="str">
        <f t="shared" si="1246"/>
        <v>19:34:42.000</v>
      </c>
      <c r="U3413" t="str">
        <f t="shared" si="1240"/>
        <v>AC3944</v>
      </c>
      <c r="V3413">
        <v>0</v>
      </c>
      <c r="W3413">
        <v>0</v>
      </c>
      <c r="X3413">
        <v>2</v>
      </c>
      <c r="Y3413">
        <v>0</v>
      </c>
      <c r="AA3413">
        <v>1</v>
      </c>
      <c r="AB3413">
        <v>8</v>
      </c>
      <c r="AC3413">
        <v>3</v>
      </c>
      <c r="AD3413">
        <v>0</v>
      </c>
      <c r="AE3413">
        <v>9</v>
      </c>
      <c r="AF3413" t="s">
        <v>138</v>
      </c>
      <c r="AG3413">
        <v>0</v>
      </c>
      <c r="AH3413">
        <v>3</v>
      </c>
      <c r="AI3413">
        <v>1</v>
      </c>
      <c r="AJ3413">
        <v>0</v>
      </c>
      <c r="AK3413" t="s">
        <v>1123</v>
      </c>
      <c r="AL3413">
        <v>32.730137999999997</v>
      </c>
      <c r="AM3413" t="s">
        <v>1124</v>
      </c>
      <c r="AN3413">
        <v>-116.744606</v>
      </c>
      <c r="AO3413">
        <v>25</v>
      </c>
      <c r="AP3413">
        <v>4100</v>
      </c>
      <c r="AQ3413" t="s">
        <v>129</v>
      </c>
      <c r="AR3413">
        <v>105</v>
      </c>
      <c r="AS3413">
        <v>38</v>
      </c>
      <c r="AT3413">
        <v>1472</v>
      </c>
      <c r="BB3413">
        <v>1200</v>
      </c>
      <c r="BC3413">
        <v>1</v>
      </c>
      <c r="BD3413" t="str">
        <f t="shared" si="1241"/>
        <v xml:space="preserve">N887QR  </v>
      </c>
      <c r="BE3413">
        <v>1</v>
      </c>
      <c r="BG3413">
        <v>0</v>
      </c>
      <c r="BH3413">
        <v>0</v>
      </c>
      <c r="BI3413">
        <v>0</v>
      </c>
      <c r="BJ3413">
        <v>3925</v>
      </c>
      <c r="BK3413">
        <v>-175</v>
      </c>
      <c r="BL3413" t="s">
        <v>163</v>
      </c>
      <c r="BM3413">
        <v>1</v>
      </c>
      <c r="BN3413">
        <v>1</v>
      </c>
      <c r="BO3413">
        <v>1</v>
      </c>
      <c r="BP3413">
        <v>0</v>
      </c>
      <c r="BS3413">
        <v>0</v>
      </c>
      <c r="BT3413">
        <v>0</v>
      </c>
      <c r="BU3413">
        <v>0</v>
      </c>
      <c r="CE3413" t="str">
        <f t="shared" ref="CE3413:CE3419" si="1247">"19:34:42.751"</f>
        <v>19:34:42.751</v>
      </c>
      <c r="CF3413">
        <v>750919720</v>
      </c>
      <c r="CS3413">
        <v>0</v>
      </c>
      <c r="CT3413">
        <v>2</v>
      </c>
      <c r="CU3413">
        <v>0</v>
      </c>
      <c r="CV3413">
        <v>2</v>
      </c>
      <c r="CW3413">
        <v>0</v>
      </c>
      <c r="CX3413">
        <v>4</v>
      </c>
      <c r="CY3413">
        <v>7</v>
      </c>
      <c r="CZ3413" t="s">
        <v>131</v>
      </c>
      <c r="DA3413">
        <v>286</v>
      </c>
      <c r="DB3413">
        <v>0</v>
      </c>
      <c r="DC3413" t="s">
        <v>132</v>
      </c>
      <c r="DD3413" t="s">
        <v>133</v>
      </c>
      <c r="DG3413">
        <v>877674</v>
      </c>
      <c r="DI3413">
        <v>1</v>
      </c>
      <c r="DJ3413">
        <v>0</v>
      </c>
      <c r="DK3413">
        <v>0</v>
      </c>
      <c r="DL3413">
        <v>0</v>
      </c>
      <c r="DM3413">
        <v>0</v>
      </c>
      <c r="DN3413">
        <v>1</v>
      </c>
      <c r="DO3413">
        <v>0</v>
      </c>
      <c r="DP3413">
        <v>0</v>
      </c>
      <c r="DQ3413">
        <v>0</v>
      </c>
      <c r="DR3413">
        <v>0</v>
      </c>
      <c r="DS3413">
        <v>0</v>
      </c>
    </row>
    <row r="3414" spans="1:123" x14ac:dyDescent="0.3">
      <c r="A3414" t="str">
        <f>"10/04/2022 19:34:43.183"</f>
        <v>10/04/2022 19:34:43.183</v>
      </c>
      <c r="C3414" t="str">
        <f t="shared" si="1231"/>
        <v>FFDFD3C0</v>
      </c>
      <c r="D3414" t="s">
        <v>136</v>
      </c>
      <c r="E3414">
        <v>8</v>
      </c>
      <c r="H3414">
        <v>225</v>
      </c>
      <c r="I3414" t="s">
        <v>137</v>
      </c>
      <c r="J3414" t="s">
        <v>138</v>
      </c>
      <c r="K3414">
        <v>0</v>
      </c>
      <c r="L3414">
        <v>3</v>
      </c>
      <c r="M3414">
        <v>0</v>
      </c>
      <c r="N3414">
        <v>2</v>
      </c>
      <c r="O3414">
        <v>0</v>
      </c>
      <c r="P3414">
        <v>1</v>
      </c>
      <c r="Q3414">
        <v>0</v>
      </c>
      <c r="S3414" t="str">
        <f t="shared" si="1246"/>
        <v>19:34:42.000</v>
      </c>
      <c r="T3414" t="str">
        <f t="shared" si="1246"/>
        <v>19:34:42.000</v>
      </c>
      <c r="U3414" t="str">
        <f t="shared" si="1240"/>
        <v>AC3944</v>
      </c>
      <c r="V3414">
        <v>0</v>
      </c>
      <c r="W3414">
        <v>0</v>
      </c>
      <c r="X3414">
        <v>2</v>
      </c>
      <c r="Y3414">
        <v>0</v>
      </c>
      <c r="AA3414">
        <v>1</v>
      </c>
      <c r="AB3414">
        <v>8</v>
      </c>
      <c r="AC3414">
        <v>3</v>
      </c>
      <c r="AD3414">
        <v>0</v>
      </c>
      <c r="AE3414">
        <v>9</v>
      </c>
      <c r="AF3414" t="s">
        <v>138</v>
      </c>
      <c r="AG3414">
        <v>0</v>
      </c>
      <c r="AH3414">
        <v>3</v>
      </c>
      <c r="AI3414">
        <v>1</v>
      </c>
      <c r="AJ3414">
        <v>0</v>
      </c>
      <c r="AK3414" t="s">
        <v>1123</v>
      </c>
      <c r="AL3414">
        <v>32.730137999999997</v>
      </c>
      <c r="AM3414" t="s">
        <v>1124</v>
      </c>
      <c r="AN3414">
        <v>-116.744606</v>
      </c>
      <c r="AO3414">
        <v>25</v>
      </c>
      <c r="AP3414">
        <v>4100</v>
      </c>
      <c r="AQ3414" t="s">
        <v>129</v>
      </c>
      <c r="AR3414">
        <v>105</v>
      </c>
      <c r="AS3414">
        <v>38</v>
      </c>
      <c r="AT3414">
        <v>1472</v>
      </c>
      <c r="BB3414">
        <v>1200</v>
      </c>
      <c r="BC3414">
        <v>1</v>
      </c>
      <c r="BD3414" t="str">
        <f t="shared" si="1241"/>
        <v xml:space="preserve">N887QR  </v>
      </c>
      <c r="BE3414">
        <v>1</v>
      </c>
      <c r="BG3414">
        <v>0</v>
      </c>
      <c r="BH3414">
        <v>0</v>
      </c>
      <c r="BI3414">
        <v>0</v>
      </c>
      <c r="BJ3414">
        <v>3925</v>
      </c>
      <c r="BK3414">
        <v>-175</v>
      </c>
      <c r="BL3414" t="s">
        <v>163</v>
      </c>
      <c r="BM3414">
        <v>1</v>
      </c>
      <c r="BN3414">
        <v>1</v>
      </c>
      <c r="BO3414">
        <v>1</v>
      </c>
      <c r="BP3414">
        <v>0</v>
      </c>
      <c r="BS3414">
        <v>0</v>
      </c>
      <c r="BT3414">
        <v>0</v>
      </c>
      <c r="BU3414">
        <v>0</v>
      </c>
      <c r="CE3414" t="str">
        <f t="shared" si="1247"/>
        <v>19:34:42.751</v>
      </c>
      <c r="CF3414">
        <v>750919720</v>
      </c>
      <c r="CS3414">
        <v>0</v>
      </c>
      <c r="CT3414">
        <v>2</v>
      </c>
      <c r="CU3414">
        <v>0</v>
      </c>
      <c r="CV3414">
        <v>2</v>
      </c>
      <c r="CW3414">
        <v>0</v>
      </c>
      <c r="CX3414">
        <v>4</v>
      </c>
      <c r="CY3414">
        <v>7</v>
      </c>
      <c r="CZ3414" t="s">
        <v>131</v>
      </c>
      <c r="DA3414">
        <v>286</v>
      </c>
      <c r="DB3414">
        <v>0</v>
      </c>
      <c r="DC3414" t="s">
        <v>132</v>
      </c>
      <c r="DD3414" t="s">
        <v>133</v>
      </c>
      <c r="DG3414">
        <v>877674</v>
      </c>
      <c r="DI3414">
        <v>1</v>
      </c>
      <c r="DJ3414">
        <v>0</v>
      </c>
      <c r="DK3414">
        <v>1</v>
      </c>
      <c r="DL3414">
        <v>0</v>
      </c>
      <c r="DM3414">
        <v>0</v>
      </c>
      <c r="DN3414">
        <v>1</v>
      </c>
      <c r="DO3414">
        <v>0</v>
      </c>
      <c r="DP3414">
        <v>0</v>
      </c>
      <c r="DQ3414">
        <v>0</v>
      </c>
      <c r="DR3414">
        <v>0</v>
      </c>
      <c r="DS3414">
        <v>0</v>
      </c>
    </row>
    <row r="3415" spans="1:123" x14ac:dyDescent="0.3">
      <c r="A3415" t="str">
        <f>"10/04/2022 19:34:43.183"</f>
        <v>10/04/2022 19:34:43.183</v>
      </c>
      <c r="C3415" t="str">
        <f t="shared" si="1231"/>
        <v>FFDFD3C0</v>
      </c>
      <c r="D3415" t="s">
        <v>147</v>
      </c>
      <c r="E3415">
        <v>3</v>
      </c>
      <c r="H3415">
        <v>166</v>
      </c>
      <c r="I3415" t="s">
        <v>144</v>
      </c>
      <c r="J3415" t="s">
        <v>148</v>
      </c>
      <c r="K3415">
        <v>0</v>
      </c>
      <c r="L3415">
        <v>3</v>
      </c>
      <c r="M3415">
        <v>0</v>
      </c>
      <c r="N3415">
        <v>2</v>
      </c>
      <c r="O3415">
        <v>0</v>
      </c>
      <c r="P3415">
        <v>1</v>
      </c>
      <c r="Q3415">
        <v>0</v>
      </c>
      <c r="S3415" t="str">
        <f t="shared" si="1246"/>
        <v>19:34:42.000</v>
      </c>
      <c r="T3415" t="str">
        <f t="shared" si="1246"/>
        <v>19:34:42.000</v>
      </c>
      <c r="U3415" t="str">
        <f t="shared" si="1240"/>
        <v>AC3944</v>
      </c>
      <c r="V3415">
        <v>0</v>
      </c>
      <c r="W3415">
        <v>0</v>
      </c>
      <c r="X3415">
        <v>2</v>
      </c>
      <c r="Y3415">
        <v>0</v>
      </c>
      <c r="AA3415">
        <v>1</v>
      </c>
      <c r="AB3415">
        <v>8</v>
      </c>
      <c r="AC3415">
        <v>3</v>
      </c>
      <c r="AD3415">
        <v>0</v>
      </c>
      <c r="AE3415">
        <v>9</v>
      </c>
      <c r="AF3415" t="s">
        <v>138</v>
      </c>
      <c r="AG3415">
        <v>0</v>
      </c>
      <c r="AH3415">
        <v>3</v>
      </c>
      <c r="AI3415">
        <v>1</v>
      </c>
      <c r="AJ3415">
        <v>0</v>
      </c>
      <c r="AK3415" t="s">
        <v>1123</v>
      </c>
      <c r="AL3415">
        <v>32.730137999999997</v>
      </c>
      <c r="AM3415" t="s">
        <v>1124</v>
      </c>
      <c r="AN3415">
        <v>-116.744606</v>
      </c>
      <c r="AO3415">
        <v>25</v>
      </c>
      <c r="AP3415">
        <v>4100</v>
      </c>
      <c r="AQ3415" t="s">
        <v>129</v>
      </c>
      <c r="AR3415">
        <v>105</v>
      </c>
      <c r="AS3415">
        <v>38</v>
      </c>
      <c r="AT3415">
        <v>1472</v>
      </c>
      <c r="BB3415">
        <v>1200</v>
      </c>
      <c r="BC3415">
        <v>1</v>
      </c>
      <c r="BD3415" t="str">
        <f t="shared" si="1241"/>
        <v xml:space="preserve">N887QR  </v>
      </c>
      <c r="BE3415">
        <v>1</v>
      </c>
      <c r="BG3415">
        <v>0</v>
      </c>
      <c r="BH3415">
        <v>0</v>
      </c>
      <c r="BI3415">
        <v>0</v>
      </c>
      <c r="BJ3415">
        <v>3925</v>
      </c>
      <c r="BK3415">
        <v>-175</v>
      </c>
      <c r="BL3415" t="s">
        <v>163</v>
      </c>
      <c r="BM3415">
        <v>1</v>
      </c>
      <c r="BN3415">
        <v>1</v>
      </c>
      <c r="BO3415">
        <v>1</v>
      </c>
      <c r="BP3415">
        <v>0</v>
      </c>
      <c r="BS3415">
        <v>0</v>
      </c>
      <c r="BT3415">
        <v>0</v>
      </c>
      <c r="BU3415">
        <v>0</v>
      </c>
      <c r="CE3415" t="str">
        <f t="shared" si="1247"/>
        <v>19:34:42.751</v>
      </c>
      <c r="CF3415">
        <v>750919720</v>
      </c>
      <c r="CS3415">
        <v>0</v>
      </c>
      <c r="CT3415">
        <v>2</v>
      </c>
      <c r="CU3415">
        <v>0</v>
      </c>
      <c r="CV3415">
        <v>2</v>
      </c>
      <c r="CW3415">
        <v>0</v>
      </c>
      <c r="CX3415">
        <v>4</v>
      </c>
      <c r="CY3415">
        <v>7</v>
      </c>
      <c r="CZ3415" t="s">
        <v>131</v>
      </c>
      <c r="DA3415">
        <v>286</v>
      </c>
      <c r="DB3415">
        <v>0</v>
      </c>
      <c r="DC3415" t="s">
        <v>132</v>
      </c>
      <c r="DD3415" t="s">
        <v>133</v>
      </c>
      <c r="DG3415">
        <v>877674</v>
      </c>
      <c r="DI3415">
        <v>1</v>
      </c>
      <c r="DJ3415">
        <v>0</v>
      </c>
      <c r="DK3415">
        <v>1</v>
      </c>
      <c r="DL3415">
        <v>0</v>
      </c>
      <c r="DM3415">
        <v>0</v>
      </c>
      <c r="DN3415">
        <v>1</v>
      </c>
      <c r="DO3415">
        <v>0</v>
      </c>
      <c r="DP3415">
        <v>0</v>
      </c>
      <c r="DQ3415">
        <v>0</v>
      </c>
      <c r="DR3415">
        <v>0</v>
      </c>
      <c r="DS3415">
        <v>0</v>
      </c>
    </row>
    <row r="3416" spans="1:123" x14ac:dyDescent="0.3">
      <c r="A3416" t="str">
        <f>"10/04/2022 19:34:43.183"</f>
        <v>10/04/2022 19:34:43.183</v>
      </c>
      <c r="C3416" t="str">
        <f t="shared" si="1231"/>
        <v>FFDFD3C0</v>
      </c>
      <c r="D3416" t="s">
        <v>141</v>
      </c>
      <c r="E3416">
        <v>4</v>
      </c>
      <c r="H3416">
        <v>4</v>
      </c>
      <c r="I3416" t="s">
        <v>142</v>
      </c>
      <c r="J3416" t="s">
        <v>138</v>
      </c>
      <c r="K3416">
        <v>0</v>
      </c>
      <c r="L3416">
        <v>3</v>
      </c>
      <c r="M3416">
        <v>0</v>
      </c>
      <c r="N3416">
        <v>2</v>
      </c>
      <c r="O3416">
        <v>0</v>
      </c>
      <c r="P3416">
        <v>1</v>
      </c>
      <c r="Q3416">
        <v>0</v>
      </c>
      <c r="S3416" t="str">
        <f t="shared" si="1246"/>
        <v>19:34:42.000</v>
      </c>
      <c r="T3416" t="str">
        <f t="shared" si="1246"/>
        <v>19:34:42.000</v>
      </c>
      <c r="U3416" t="str">
        <f t="shared" si="1240"/>
        <v>AC3944</v>
      </c>
      <c r="V3416">
        <v>0</v>
      </c>
      <c r="W3416">
        <v>0</v>
      </c>
      <c r="X3416">
        <v>2</v>
      </c>
      <c r="Y3416">
        <v>0</v>
      </c>
      <c r="AA3416">
        <v>1</v>
      </c>
      <c r="AB3416">
        <v>8</v>
      </c>
      <c r="AC3416">
        <v>3</v>
      </c>
      <c r="AD3416">
        <v>0</v>
      </c>
      <c r="AE3416">
        <v>9</v>
      </c>
      <c r="AF3416" t="s">
        <v>138</v>
      </c>
      <c r="AG3416">
        <v>0</v>
      </c>
      <c r="AH3416">
        <v>3</v>
      </c>
      <c r="AI3416">
        <v>1</v>
      </c>
      <c r="AJ3416">
        <v>0</v>
      </c>
      <c r="AK3416" t="s">
        <v>1123</v>
      </c>
      <c r="AL3416">
        <v>32.730137999999997</v>
      </c>
      <c r="AM3416" t="s">
        <v>1124</v>
      </c>
      <c r="AN3416">
        <v>-116.744606</v>
      </c>
      <c r="AO3416">
        <v>25</v>
      </c>
      <c r="AP3416">
        <v>4100</v>
      </c>
      <c r="AQ3416" t="s">
        <v>129</v>
      </c>
      <c r="AR3416">
        <v>105</v>
      </c>
      <c r="AS3416">
        <v>38</v>
      </c>
      <c r="AT3416">
        <v>1472</v>
      </c>
      <c r="BB3416">
        <v>1200</v>
      </c>
      <c r="BC3416">
        <v>1</v>
      </c>
      <c r="BD3416" t="str">
        <f t="shared" si="1241"/>
        <v xml:space="preserve">N887QR  </v>
      </c>
      <c r="BE3416">
        <v>1</v>
      </c>
      <c r="BG3416">
        <v>0</v>
      </c>
      <c r="BH3416">
        <v>0</v>
      </c>
      <c r="BI3416">
        <v>0</v>
      </c>
      <c r="BJ3416">
        <v>3925</v>
      </c>
      <c r="BK3416">
        <v>-175</v>
      </c>
      <c r="BL3416" t="s">
        <v>163</v>
      </c>
      <c r="BM3416">
        <v>1</v>
      </c>
      <c r="BN3416">
        <v>1</v>
      </c>
      <c r="BO3416">
        <v>1</v>
      </c>
      <c r="BP3416">
        <v>0</v>
      </c>
      <c r="BS3416">
        <v>0</v>
      </c>
      <c r="BT3416">
        <v>0</v>
      </c>
      <c r="BU3416">
        <v>0</v>
      </c>
      <c r="CE3416" t="str">
        <f t="shared" si="1247"/>
        <v>19:34:42.751</v>
      </c>
      <c r="CF3416">
        <v>750919720</v>
      </c>
      <c r="CS3416">
        <v>0</v>
      </c>
      <c r="CT3416">
        <v>2</v>
      </c>
      <c r="CU3416">
        <v>0</v>
      </c>
      <c r="CV3416">
        <v>2</v>
      </c>
      <c r="CW3416">
        <v>0</v>
      </c>
      <c r="CX3416">
        <v>4</v>
      </c>
      <c r="CY3416">
        <v>7</v>
      </c>
      <c r="CZ3416" t="s">
        <v>131</v>
      </c>
      <c r="DA3416">
        <v>286</v>
      </c>
      <c r="DB3416">
        <v>0</v>
      </c>
      <c r="DC3416" t="s">
        <v>132</v>
      </c>
      <c r="DD3416" t="s">
        <v>133</v>
      </c>
      <c r="DG3416">
        <v>877674</v>
      </c>
      <c r="DI3416">
        <v>1</v>
      </c>
      <c r="DJ3416">
        <v>0</v>
      </c>
      <c r="DK3416">
        <v>0</v>
      </c>
      <c r="DL3416">
        <v>0</v>
      </c>
      <c r="DM3416">
        <v>0</v>
      </c>
      <c r="DN3416">
        <v>1</v>
      </c>
      <c r="DO3416">
        <v>0</v>
      </c>
      <c r="DP3416">
        <v>0</v>
      </c>
      <c r="DQ3416">
        <v>0</v>
      </c>
      <c r="DR3416">
        <v>0</v>
      </c>
      <c r="DS3416">
        <v>0</v>
      </c>
    </row>
    <row r="3417" spans="1:123" x14ac:dyDescent="0.3">
      <c r="A3417" t="str">
        <f>"10/04/2022 19:34:43.183"</f>
        <v>10/04/2022 19:34:43.183</v>
      </c>
      <c r="C3417" t="str">
        <f t="shared" si="1231"/>
        <v>FFDFD3C0</v>
      </c>
      <c r="D3417" t="s">
        <v>134</v>
      </c>
      <c r="E3417">
        <v>15</v>
      </c>
      <c r="J3417" t="s">
        <v>135</v>
      </c>
      <c r="K3417">
        <v>0</v>
      </c>
      <c r="L3417">
        <v>3</v>
      </c>
      <c r="M3417">
        <v>0</v>
      </c>
      <c r="N3417">
        <v>2</v>
      </c>
      <c r="O3417">
        <v>0</v>
      </c>
      <c r="P3417">
        <v>1</v>
      </c>
      <c r="Q3417">
        <v>0</v>
      </c>
      <c r="S3417" t="str">
        <f t="shared" si="1246"/>
        <v>19:34:42.000</v>
      </c>
      <c r="T3417" t="str">
        <f t="shared" si="1246"/>
        <v>19:34:42.000</v>
      </c>
      <c r="U3417" t="str">
        <f t="shared" si="1240"/>
        <v>AC3944</v>
      </c>
      <c r="V3417">
        <v>0</v>
      </c>
      <c r="W3417">
        <v>0</v>
      </c>
      <c r="X3417">
        <v>2</v>
      </c>
      <c r="Y3417">
        <v>0</v>
      </c>
      <c r="AA3417">
        <v>1</v>
      </c>
      <c r="AB3417">
        <v>8</v>
      </c>
      <c r="AC3417">
        <v>3</v>
      </c>
      <c r="AD3417">
        <v>0</v>
      </c>
      <c r="AE3417">
        <v>9</v>
      </c>
      <c r="AF3417" t="s">
        <v>138</v>
      </c>
      <c r="AG3417">
        <v>0</v>
      </c>
      <c r="AH3417">
        <v>3</v>
      </c>
      <c r="AI3417">
        <v>1</v>
      </c>
      <c r="AJ3417">
        <v>0</v>
      </c>
      <c r="AK3417" t="s">
        <v>1123</v>
      </c>
      <c r="AL3417">
        <v>32.730137999999997</v>
      </c>
      <c r="AM3417" t="s">
        <v>1124</v>
      </c>
      <c r="AN3417">
        <v>-116.744606</v>
      </c>
      <c r="AO3417">
        <v>25</v>
      </c>
      <c r="AP3417">
        <v>4100</v>
      </c>
      <c r="AQ3417" t="s">
        <v>129</v>
      </c>
      <c r="AR3417">
        <v>105</v>
      </c>
      <c r="AS3417">
        <v>38</v>
      </c>
      <c r="AT3417">
        <v>1472</v>
      </c>
      <c r="BB3417">
        <v>1200</v>
      </c>
      <c r="BC3417">
        <v>1</v>
      </c>
      <c r="BD3417" t="str">
        <f t="shared" si="1241"/>
        <v xml:space="preserve">N887QR  </v>
      </c>
      <c r="BE3417">
        <v>1</v>
      </c>
      <c r="BG3417">
        <v>0</v>
      </c>
      <c r="BH3417">
        <v>0</v>
      </c>
      <c r="BI3417">
        <v>0</v>
      </c>
      <c r="BJ3417">
        <v>3925</v>
      </c>
      <c r="BK3417">
        <v>-175</v>
      </c>
      <c r="BL3417" t="s">
        <v>163</v>
      </c>
      <c r="BM3417">
        <v>1</v>
      </c>
      <c r="BN3417">
        <v>1</v>
      </c>
      <c r="BO3417">
        <v>1</v>
      </c>
      <c r="BP3417">
        <v>0</v>
      </c>
      <c r="BS3417">
        <v>0</v>
      </c>
      <c r="BT3417">
        <v>0</v>
      </c>
      <c r="BU3417">
        <v>0</v>
      </c>
      <c r="CE3417" t="str">
        <f t="shared" si="1247"/>
        <v>19:34:42.751</v>
      </c>
      <c r="CF3417">
        <v>750919720</v>
      </c>
      <c r="CS3417">
        <v>0</v>
      </c>
      <c r="CT3417">
        <v>2</v>
      </c>
      <c r="CU3417">
        <v>0</v>
      </c>
      <c r="CV3417">
        <v>2</v>
      </c>
      <c r="CW3417">
        <v>0</v>
      </c>
      <c r="CX3417">
        <v>4</v>
      </c>
      <c r="CY3417">
        <v>7</v>
      </c>
      <c r="CZ3417" t="s">
        <v>131</v>
      </c>
      <c r="DA3417">
        <v>286</v>
      </c>
      <c r="DB3417">
        <v>0</v>
      </c>
      <c r="DC3417" t="s">
        <v>132</v>
      </c>
      <c r="DD3417" t="s">
        <v>133</v>
      </c>
      <c r="DG3417">
        <v>877674</v>
      </c>
      <c r="DI3417">
        <v>1</v>
      </c>
      <c r="DJ3417">
        <v>0</v>
      </c>
      <c r="DK3417">
        <v>1</v>
      </c>
      <c r="DL3417">
        <v>0</v>
      </c>
      <c r="DM3417">
        <v>0</v>
      </c>
      <c r="DN3417">
        <v>1</v>
      </c>
      <c r="DO3417">
        <v>0</v>
      </c>
      <c r="DP3417">
        <v>0</v>
      </c>
      <c r="DQ3417">
        <v>0</v>
      </c>
      <c r="DR3417">
        <v>0</v>
      </c>
      <c r="DS3417">
        <v>0</v>
      </c>
    </row>
    <row r="3418" spans="1:123" x14ac:dyDescent="0.3">
      <c r="A3418" t="str">
        <f>"10/04/2022 19:34:43.215"</f>
        <v>10/04/2022 19:34:43.215</v>
      </c>
      <c r="C3418" t="str">
        <f t="shared" si="1231"/>
        <v>FFDFD3C0</v>
      </c>
      <c r="D3418" t="s">
        <v>143</v>
      </c>
      <c r="E3418">
        <v>20</v>
      </c>
      <c r="F3418">
        <v>1020</v>
      </c>
      <c r="G3418" t="s">
        <v>144</v>
      </c>
      <c r="J3418" t="s">
        <v>145</v>
      </c>
      <c r="K3418">
        <v>0</v>
      </c>
      <c r="L3418">
        <v>3</v>
      </c>
      <c r="M3418">
        <v>0</v>
      </c>
      <c r="N3418">
        <v>2</v>
      </c>
      <c r="O3418">
        <v>0</v>
      </c>
      <c r="P3418">
        <v>1</v>
      </c>
      <c r="Q3418">
        <v>0</v>
      </c>
      <c r="S3418" t="str">
        <f t="shared" si="1246"/>
        <v>19:34:42.000</v>
      </c>
      <c r="T3418" t="str">
        <f t="shared" si="1246"/>
        <v>19:34:42.000</v>
      </c>
      <c r="U3418" t="str">
        <f t="shared" si="1240"/>
        <v>AC3944</v>
      </c>
      <c r="V3418">
        <v>0</v>
      </c>
      <c r="W3418">
        <v>0</v>
      </c>
      <c r="X3418">
        <v>2</v>
      </c>
      <c r="Y3418">
        <v>0</v>
      </c>
      <c r="AA3418">
        <v>1</v>
      </c>
      <c r="AB3418">
        <v>8</v>
      </c>
      <c r="AC3418">
        <v>3</v>
      </c>
      <c r="AD3418">
        <v>0</v>
      </c>
      <c r="AE3418">
        <v>9</v>
      </c>
      <c r="AF3418" t="s">
        <v>138</v>
      </c>
      <c r="AG3418">
        <v>0</v>
      </c>
      <c r="AH3418">
        <v>3</v>
      </c>
      <c r="AI3418">
        <v>1</v>
      </c>
      <c r="AJ3418">
        <v>0</v>
      </c>
      <c r="AK3418" t="s">
        <v>1123</v>
      </c>
      <c r="AL3418">
        <v>32.730137999999997</v>
      </c>
      <c r="AM3418" t="s">
        <v>1124</v>
      </c>
      <c r="AN3418">
        <v>-116.744606</v>
      </c>
      <c r="AO3418">
        <v>25</v>
      </c>
      <c r="AP3418">
        <v>4100</v>
      </c>
      <c r="AQ3418" t="s">
        <v>129</v>
      </c>
      <c r="AR3418">
        <v>105</v>
      </c>
      <c r="AS3418">
        <v>38</v>
      </c>
      <c r="AT3418">
        <v>1472</v>
      </c>
      <c r="BB3418">
        <v>1200</v>
      </c>
      <c r="BC3418">
        <v>1</v>
      </c>
      <c r="BD3418" t="str">
        <f t="shared" si="1241"/>
        <v xml:space="preserve">N887QR  </v>
      </c>
      <c r="BE3418">
        <v>1</v>
      </c>
      <c r="BG3418">
        <v>0</v>
      </c>
      <c r="BH3418">
        <v>0</v>
      </c>
      <c r="BI3418">
        <v>0</v>
      </c>
      <c r="BJ3418">
        <v>3925</v>
      </c>
      <c r="BK3418">
        <v>-175</v>
      </c>
      <c r="BL3418" t="s">
        <v>163</v>
      </c>
      <c r="BM3418">
        <v>1</v>
      </c>
      <c r="BN3418">
        <v>1</v>
      </c>
      <c r="BO3418">
        <v>1</v>
      </c>
      <c r="BP3418">
        <v>0</v>
      </c>
      <c r="BS3418">
        <v>0</v>
      </c>
      <c r="BT3418">
        <v>0</v>
      </c>
      <c r="BU3418">
        <v>0</v>
      </c>
      <c r="CE3418" t="str">
        <f t="shared" si="1247"/>
        <v>19:34:42.751</v>
      </c>
      <c r="CF3418">
        <v>750919720</v>
      </c>
      <c r="CS3418">
        <v>0</v>
      </c>
      <c r="CT3418">
        <v>2</v>
      </c>
      <c r="CU3418">
        <v>0</v>
      </c>
      <c r="CV3418">
        <v>2</v>
      </c>
      <c r="CW3418">
        <v>0</v>
      </c>
      <c r="CX3418">
        <v>4</v>
      </c>
      <c r="CY3418">
        <v>7</v>
      </c>
      <c r="CZ3418" t="s">
        <v>131</v>
      </c>
      <c r="DA3418">
        <v>286</v>
      </c>
      <c r="DB3418">
        <v>0</v>
      </c>
      <c r="DC3418" t="s">
        <v>132</v>
      </c>
      <c r="DD3418" t="s">
        <v>133</v>
      </c>
      <c r="DG3418">
        <v>877674</v>
      </c>
      <c r="DI3418">
        <v>1</v>
      </c>
      <c r="DJ3418">
        <v>0</v>
      </c>
      <c r="DK3418">
        <v>1</v>
      </c>
      <c r="DL3418">
        <v>0</v>
      </c>
      <c r="DM3418">
        <v>0</v>
      </c>
      <c r="DN3418">
        <v>1</v>
      </c>
      <c r="DO3418">
        <v>0</v>
      </c>
      <c r="DP3418">
        <v>0</v>
      </c>
      <c r="DQ3418">
        <v>0</v>
      </c>
      <c r="DR3418">
        <v>0</v>
      </c>
      <c r="DS3418">
        <v>0</v>
      </c>
    </row>
    <row r="3419" spans="1:123" x14ac:dyDescent="0.3">
      <c r="A3419" t="str">
        <f>"10/04/2022 19:34:43.215"</f>
        <v>10/04/2022 19:34:43.215</v>
      </c>
      <c r="C3419" t="str">
        <f t="shared" si="1231"/>
        <v>FFDFD3C0</v>
      </c>
      <c r="D3419" t="s">
        <v>123</v>
      </c>
      <c r="E3419">
        <v>7</v>
      </c>
      <c r="F3419">
        <v>2007</v>
      </c>
      <c r="G3419" t="s">
        <v>124</v>
      </c>
      <c r="J3419" t="s">
        <v>125</v>
      </c>
      <c r="K3419">
        <v>0</v>
      </c>
      <c r="L3419">
        <v>3</v>
      </c>
      <c r="M3419">
        <v>0</v>
      </c>
      <c r="N3419">
        <v>2</v>
      </c>
      <c r="O3419">
        <v>0</v>
      </c>
      <c r="P3419">
        <v>1</v>
      </c>
      <c r="Q3419">
        <v>0</v>
      </c>
      <c r="S3419" t="str">
        <f t="shared" si="1246"/>
        <v>19:34:42.000</v>
      </c>
      <c r="T3419" t="str">
        <f t="shared" si="1246"/>
        <v>19:34:42.000</v>
      </c>
      <c r="U3419" t="str">
        <f t="shared" si="1240"/>
        <v>AC3944</v>
      </c>
      <c r="V3419">
        <v>0</v>
      </c>
      <c r="W3419">
        <v>0</v>
      </c>
      <c r="X3419">
        <v>2</v>
      </c>
      <c r="Y3419">
        <v>0</v>
      </c>
      <c r="AA3419">
        <v>1</v>
      </c>
      <c r="AB3419">
        <v>8</v>
      </c>
      <c r="AC3419">
        <v>3</v>
      </c>
      <c r="AD3419">
        <v>0</v>
      </c>
      <c r="AE3419">
        <v>9</v>
      </c>
      <c r="AF3419" t="s">
        <v>138</v>
      </c>
      <c r="AG3419">
        <v>0</v>
      </c>
      <c r="AH3419">
        <v>3</v>
      </c>
      <c r="AI3419">
        <v>1</v>
      </c>
      <c r="AJ3419">
        <v>0</v>
      </c>
      <c r="AK3419" t="s">
        <v>1123</v>
      </c>
      <c r="AL3419">
        <v>32.730137999999997</v>
      </c>
      <c r="AM3419" t="s">
        <v>1124</v>
      </c>
      <c r="AN3419">
        <v>-116.744606</v>
      </c>
      <c r="AO3419">
        <v>25</v>
      </c>
      <c r="AP3419">
        <v>4100</v>
      </c>
      <c r="AQ3419" t="s">
        <v>129</v>
      </c>
      <c r="AR3419">
        <v>105</v>
      </c>
      <c r="AS3419">
        <v>38</v>
      </c>
      <c r="AT3419">
        <v>1472</v>
      </c>
      <c r="BB3419">
        <v>1200</v>
      </c>
      <c r="BC3419">
        <v>1</v>
      </c>
      <c r="BD3419" t="str">
        <f t="shared" si="1241"/>
        <v xml:space="preserve">N887QR  </v>
      </c>
      <c r="BE3419">
        <v>1</v>
      </c>
      <c r="BG3419">
        <v>0</v>
      </c>
      <c r="BH3419">
        <v>0</v>
      </c>
      <c r="BI3419">
        <v>0</v>
      </c>
      <c r="BJ3419">
        <v>3925</v>
      </c>
      <c r="BK3419">
        <v>-175</v>
      </c>
      <c r="BL3419" t="s">
        <v>163</v>
      </c>
      <c r="BM3419">
        <v>1</v>
      </c>
      <c r="BN3419">
        <v>1</v>
      </c>
      <c r="BO3419">
        <v>1</v>
      </c>
      <c r="BP3419">
        <v>0</v>
      </c>
      <c r="BS3419">
        <v>0</v>
      </c>
      <c r="BT3419">
        <v>0</v>
      </c>
      <c r="BU3419">
        <v>0</v>
      </c>
      <c r="CE3419" t="str">
        <f t="shared" si="1247"/>
        <v>19:34:42.751</v>
      </c>
      <c r="CF3419">
        <v>750919720</v>
      </c>
      <c r="CS3419">
        <v>0</v>
      </c>
      <c r="CT3419">
        <v>2</v>
      </c>
      <c r="CU3419">
        <v>0</v>
      </c>
      <c r="CV3419">
        <v>2</v>
      </c>
      <c r="CW3419">
        <v>0</v>
      </c>
      <c r="CX3419">
        <v>4</v>
      </c>
      <c r="CY3419">
        <v>7</v>
      </c>
      <c r="CZ3419" t="s">
        <v>131</v>
      </c>
      <c r="DA3419">
        <v>286</v>
      </c>
      <c r="DB3419">
        <v>0</v>
      </c>
      <c r="DC3419" t="s">
        <v>132</v>
      </c>
      <c r="DD3419" t="s">
        <v>133</v>
      </c>
      <c r="DG3419">
        <v>877674</v>
      </c>
      <c r="DI3419">
        <v>1</v>
      </c>
      <c r="DJ3419">
        <v>0</v>
      </c>
      <c r="DK3419">
        <v>1</v>
      </c>
      <c r="DL3419">
        <v>0</v>
      </c>
      <c r="DM3419">
        <v>0</v>
      </c>
      <c r="DN3419">
        <v>1</v>
      </c>
      <c r="DO3419">
        <v>0</v>
      </c>
      <c r="DP3419">
        <v>0</v>
      </c>
      <c r="DQ3419">
        <v>0</v>
      </c>
      <c r="DR3419">
        <v>0</v>
      </c>
      <c r="DS3419">
        <v>0</v>
      </c>
    </row>
    <row r="3420" spans="1:123" x14ac:dyDescent="0.3">
      <c r="A3420" t="str">
        <f>"10/04/2022 19:34:44.418"</f>
        <v>10/04/2022 19:34:44.418</v>
      </c>
      <c r="C3420" t="str">
        <f t="shared" si="1231"/>
        <v>FFDFD3C0</v>
      </c>
      <c r="D3420" t="s">
        <v>136</v>
      </c>
      <c r="E3420">
        <v>8</v>
      </c>
      <c r="H3420">
        <v>225</v>
      </c>
      <c r="I3420" t="s">
        <v>137</v>
      </c>
      <c r="J3420" t="s">
        <v>138</v>
      </c>
      <c r="K3420">
        <v>0</v>
      </c>
      <c r="L3420">
        <v>3</v>
      </c>
      <c r="M3420">
        <v>0</v>
      </c>
      <c r="N3420">
        <v>2</v>
      </c>
      <c r="O3420">
        <v>0</v>
      </c>
      <c r="P3420">
        <v>1</v>
      </c>
      <c r="Q3420">
        <v>0</v>
      </c>
      <c r="S3420" t="str">
        <f>"19:34:44.000"</f>
        <v>19:34:44.000</v>
      </c>
      <c r="T3420" t="str">
        <f>"19:34:44.000"</f>
        <v>19:34:44.000</v>
      </c>
      <c r="U3420" t="str">
        <f t="shared" si="1240"/>
        <v>AC3944</v>
      </c>
      <c r="V3420">
        <v>0</v>
      </c>
      <c r="W3420">
        <v>0</v>
      </c>
      <c r="X3420">
        <v>2</v>
      </c>
      <c r="Y3420">
        <v>0</v>
      </c>
      <c r="AA3420">
        <v>1</v>
      </c>
      <c r="AB3420">
        <v>8</v>
      </c>
      <c r="AC3420">
        <v>3</v>
      </c>
      <c r="AD3420">
        <v>0</v>
      </c>
      <c r="AE3420">
        <v>9</v>
      </c>
      <c r="AF3420" t="s">
        <v>138</v>
      </c>
      <c r="AG3420">
        <v>0</v>
      </c>
      <c r="AH3420">
        <v>3</v>
      </c>
      <c r="AI3420">
        <v>1</v>
      </c>
      <c r="AJ3420">
        <v>0</v>
      </c>
      <c r="AK3420" t="s">
        <v>1125</v>
      </c>
      <c r="AL3420">
        <v>32.730266999999998</v>
      </c>
      <c r="AM3420" t="s">
        <v>1126</v>
      </c>
      <c r="AN3420">
        <v>-116.744134</v>
      </c>
      <c r="AO3420">
        <v>25</v>
      </c>
      <c r="AP3420">
        <v>4200</v>
      </c>
      <c r="AQ3420" t="s">
        <v>129</v>
      </c>
      <c r="AR3420">
        <v>105</v>
      </c>
      <c r="AS3420">
        <v>37</v>
      </c>
      <c r="AT3420">
        <v>1472</v>
      </c>
      <c r="BB3420">
        <v>1200</v>
      </c>
      <c r="BC3420">
        <v>1</v>
      </c>
      <c r="BD3420" t="str">
        <f t="shared" si="1241"/>
        <v xml:space="preserve">N887QR  </v>
      </c>
      <c r="BE3420">
        <v>1</v>
      </c>
      <c r="BG3420">
        <v>0</v>
      </c>
      <c r="BH3420">
        <v>0</v>
      </c>
      <c r="BI3420">
        <v>0</v>
      </c>
      <c r="BJ3420">
        <v>3925</v>
      </c>
      <c r="BK3420">
        <v>-275</v>
      </c>
      <c r="BL3420" t="s">
        <v>163</v>
      </c>
      <c r="BM3420">
        <v>1</v>
      </c>
      <c r="BN3420">
        <v>1</v>
      </c>
      <c r="BO3420">
        <v>1</v>
      </c>
      <c r="BP3420">
        <v>0</v>
      </c>
      <c r="BS3420">
        <v>0</v>
      </c>
      <c r="BT3420">
        <v>0</v>
      </c>
      <c r="BU3420">
        <v>0</v>
      </c>
      <c r="CE3420" t="str">
        <f>"19:34:44.079"</f>
        <v>19:34:44.079</v>
      </c>
      <c r="CF3420">
        <v>79239856</v>
      </c>
      <c r="CS3420">
        <v>0</v>
      </c>
      <c r="CT3420">
        <v>2</v>
      </c>
      <c r="CU3420">
        <v>0</v>
      </c>
      <c r="CV3420">
        <v>2</v>
      </c>
      <c r="CW3420">
        <v>3</v>
      </c>
      <c r="CX3420">
        <v>5</v>
      </c>
      <c r="CY3420">
        <v>7</v>
      </c>
      <c r="CZ3420" t="s">
        <v>131</v>
      </c>
      <c r="DA3420">
        <v>300</v>
      </c>
      <c r="DB3420">
        <v>0</v>
      </c>
      <c r="DC3420" t="s">
        <v>176</v>
      </c>
      <c r="DD3420" t="s">
        <v>177</v>
      </c>
      <c r="DG3420">
        <v>5438032</v>
      </c>
      <c r="DI3420">
        <v>0</v>
      </c>
      <c r="DJ3420">
        <v>0</v>
      </c>
      <c r="DK3420">
        <v>0</v>
      </c>
      <c r="DL3420">
        <v>0</v>
      </c>
      <c r="DM3420">
        <v>0</v>
      </c>
      <c r="DN3420">
        <v>1</v>
      </c>
      <c r="DO3420">
        <v>0</v>
      </c>
      <c r="DP3420">
        <v>0</v>
      </c>
      <c r="DQ3420">
        <v>0</v>
      </c>
      <c r="DR3420">
        <v>0</v>
      </c>
      <c r="DS3420">
        <v>0</v>
      </c>
    </row>
    <row r="3421" spans="1:123" x14ac:dyDescent="0.3">
      <c r="A3421" t="str">
        <f t="shared" ref="A3421:A3426" si="1248">"10/04/2022 19:34:45.732"</f>
        <v>10/04/2022 19:34:45.732</v>
      </c>
      <c r="C3421" t="str">
        <f t="shared" si="1231"/>
        <v>FFDFD3C0</v>
      </c>
      <c r="D3421" t="s">
        <v>136</v>
      </c>
      <c r="E3421">
        <v>8</v>
      </c>
      <c r="H3421">
        <v>225</v>
      </c>
      <c r="I3421" t="s">
        <v>137</v>
      </c>
      <c r="J3421" t="s">
        <v>138</v>
      </c>
      <c r="K3421">
        <v>0</v>
      </c>
      <c r="L3421">
        <v>3</v>
      </c>
      <c r="M3421">
        <v>0</v>
      </c>
      <c r="N3421">
        <v>2</v>
      </c>
      <c r="O3421">
        <v>0</v>
      </c>
      <c r="P3421">
        <v>1</v>
      </c>
      <c r="Q3421">
        <v>0</v>
      </c>
      <c r="S3421" t="str">
        <f t="shared" ref="S3421:T3427" si="1249">"19:34:45.000"</f>
        <v>19:34:45.000</v>
      </c>
      <c r="T3421" t="str">
        <f t="shared" si="1249"/>
        <v>19:34:45.000</v>
      </c>
      <c r="U3421" t="str">
        <f t="shared" si="1240"/>
        <v>AC3944</v>
      </c>
      <c r="V3421">
        <v>0</v>
      </c>
      <c r="W3421">
        <v>0</v>
      </c>
      <c r="X3421">
        <v>2</v>
      </c>
      <c r="Y3421">
        <v>0</v>
      </c>
      <c r="AA3421">
        <v>1</v>
      </c>
      <c r="AB3421">
        <v>8</v>
      </c>
      <c r="AC3421">
        <v>3</v>
      </c>
      <c r="AD3421">
        <v>0</v>
      </c>
      <c r="AE3421">
        <v>9</v>
      </c>
      <c r="AF3421" t="s">
        <v>138</v>
      </c>
      <c r="AG3421">
        <v>0</v>
      </c>
      <c r="AH3421">
        <v>3</v>
      </c>
      <c r="AI3421">
        <v>1</v>
      </c>
      <c r="AJ3421">
        <v>0</v>
      </c>
      <c r="AK3421" t="s">
        <v>966</v>
      </c>
      <c r="AL3421">
        <v>32.730438999999997</v>
      </c>
      <c r="AM3421" t="s">
        <v>1127</v>
      </c>
      <c r="AN3421">
        <v>-116.743534</v>
      </c>
      <c r="AO3421">
        <v>25</v>
      </c>
      <c r="AP3421">
        <v>4200</v>
      </c>
      <c r="AQ3421" t="s">
        <v>129</v>
      </c>
      <c r="AR3421">
        <v>106</v>
      </c>
      <c r="AS3421">
        <v>36</v>
      </c>
      <c r="AT3421">
        <v>1408</v>
      </c>
      <c r="BB3421">
        <v>1200</v>
      </c>
      <c r="BC3421">
        <v>1</v>
      </c>
      <c r="BD3421" t="str">
        <f t="shared" si="1241"/>
        <v xml:space="preserve">N887QR  </v>
      </c>
      <c r="BE3421">
        <v>1</v>
      </c>
      <c r="BG3421">
        <v>0</v>
      </c>
      <c r="BH3421">
        <v>0</v>
      </c>
      <c r="BI3421">
        <v>0</v>
      </c>
      <c r="BJ3421">
        <v>4000</v>
      </c>
      <c r="BK3421">
        <v>-200</v>
      </c>
      <c r="BL3421" t="s">
        <v>163</v>
      </c>
      <c r="BM3421">
        <v>1</v>
      </c>
      <c r="BN3421">
        <v>1</v>
      </c>
      <c r="BO3421">
        <v>1</v>
      </c>
      <c r="BP3421">
        <v>0</v>
      </c>
      <c r="BS3421">
        <v>0</v>
      </c>
      <c r="BT3421">
        <v>0</v>
      </c>
      <c r="BU3421">
        <v>0</v>
      </c>
      <c r="CE3421" t="str">
        <f t="shared" ref="CE3421:CE3427" si="1250">"19:34:45.288"</f>
        <v>19:34:45.288</v>
      </c>
      <c r="CF3421">
        <v>288428166</v>
      </c>
      <c r="CS3421">
        <v>0</v>
      </c>
      <c r="CT3421">
        <v>2</v>
      </c>
      <c r="CU3421">
        <v>0</v>
      </c>
      <c r="CV3421">
        <v>2</v>
      </c>
      <c r="CW3421">
        <v>0</v>
      </c>
      <c r="CX3421">
        <v>5</v>
      </c>
      <c r="CY3421">
        <v>7</v>
      </c>
      <c r="CZ3421" t="s">
        <v>131</v>
      </c>
      <c r="DA3421">
        <v>286</v>
      </c>
      <c r="DB3421">
        <v>0</v>
      </c>
      <c r="DC3421" t="s">
        <v>132</v>
      </c>
      <c r="DD3421" t="s">
        <v>133</v>
      </c>
      <c r="DG3421">
        <v>878239</v>
      </c>
      <c r="DI3421">
        <v>0</v>
      </c>
      <c r="DJ3421">
        <v>0</v>
      </c>
      <c r="DK3421">
        <v>0</v>
      </c>
      <c r="DL3421">
        <v>0</v>
      </c>
      <c r="DM3421">
        <v>0</v>
      </c>
      <c r="DN3421">
        <v>1</v>
      </c>
      <c r="DO3421">
        <v>0</v>
      </c>
      <c r="DP3421">
        <v>0</v>
      </c>
      <c r="DQ3421">
        <v>0</v>
      </c>
      <c r="DR3421">
        <v>0</v>
      </c>
      <c r="DS3421">
        <v>0</v>
      </c>
    </row>
    <row r="3422" spans="1:123" x14ac:dyDescent="0.3">
      <c r="A3422" t="str">
        <f t="shared" si="1248"/>
        <v>10/04/2022 19:34:45.732</v>
      </c>
      <c r="C3422" t="str">
        <f t="shared" si="1231"/>
        <v>FFDFD3C0</v>
      </c>
      <c r="D3422" t="s">
        <v>141</v>
      </c>
      <c r="E3422">
        <v>3</v>
      </c>
      <c r="H3422">
        <v>3</v>
      </c>
      <c r="I3422" t="s">
        <v>146</v>
      </c>
      <c r="J3422" t="s">
        <v>138</v>
      </c>
      <c r="K3422">
        <v>0</v>
      </c>
      <c r="L3422">
        <v>3</v>
      </c>
      <c r="M3422">
        <v>0</v>
      </c>
      <c r="N3422">
        <v>2</v>
      </c>
      <c r="O3422">
        <v>0</v>
      </c>
      <c r="P3422">
        <v>1</v>
      </c>
      <c r="Q3422">
        <v>0</v>
      </c>
      <c r="S3422" t="str">
        <f t="shared" si="1249"/>
        <v>19:34:45.000</v>
      </c>
      <c r="T3422" t="str">
        <f t="shared" si="1249"/>
        <v>19:34:45.000</v>
      </c>
      <c r="U3422" t="str">
        <f t="shared" si="1240"/>
        <v>AC3944</v>
      </c>
      <c r="V3422">
        <v>0</v>
      </c>
      <c r="W3422">
        <v>0</v>
      </c>
      <c r="X3422">
        <v>2</v>
      </c>
      <c r="Y3422">
        <v>0</v>
      </c>
      <c r="AA3422">
        <v>1</v>
      </c>
      <c r="AB3422">
        <v>8</v>
      </c>
      <c r="AC3422">
        <v>3</v>
      </c>
      <c r="AD3422">
        <v>0</v>
      </c>
      <c r="AE3422">
        <v>9</v>
      </c>
      <c r="AF3422" t="s">
        <v>138</v>
      </c>
      <c r="AG3422">
        <v>0</v>
      </c>
      <c r="AH3422">
        <v>3</v>
      </c>
      <c r="AI3422">
        <v>1</v>
      </c>
      <c r="AJ3422">
        <v>0</v>
      </c>
      <c r="AK3422" t="s">
        <v>966</v>
      </c>
      <c r="AL3422">
        <v>32.730438999999997</v>
      </c>
      <c r="AM3422" t="s">
        <v>1127</v>
      </c>
      <c r="AN3422">
        <v>-116.743534</v>
      </c>
      <c r="AO3422">
        <v>25</v>
      </c>
      <c r="AP3422">
        <v>4200</v>
      </c>
      <c r="AQ3422" t="s">
        <v>129</v>
      </c>
      <c r="AR3422">
        <v>106</v>
      </c>
      <c r="AS3422">
        <v>36</v>
      </c>
      <c r="AT3422">
        <v>1408</v>
      </c>
      <c r="BB3422">
        <v>1200</v>
      </c>
      <c r="BC3422">
        <v>1</v>
      </c>
      <c r="BD3422" t="str">
        <f t="shared" si="1241"/>
        <v xml:space="preserve">N887QR  </v>
      </c>
      <c r="BE3422">
        <v>1</v>
      </c>
      <c r="BG3422">
        <v>0</v>
      </c>
      <c r="BH3422">
        <v>0</v>
      </c>
      <c r="BI3422">
        <v>0</v>
      </c>
      <c r="BJ3422">
        <v>4000</v>
      </c>
      <c r="BK3422">
        <v>-200</v>
      </c>
      <c r="BL3422" t="s">
        <v>163</v>
      </c>
      <c r="BM3422">
        <v>1</v>
      </c>
      <c r="BN3422">
        <v>1</v>
      </c>
      <c r="BO3422">
        <v>1</v>
      </c>
      <c r="BP3422">
        <v>0</v>
      </c>
      <c r="BS3422">
        <v>0</v>
      </c>
      <c r="BT3422">
        <v>0</v>
      </c>
      <c r="BU3422">
        <v>0</v>
      </c>
      <c r="CE3422" t="str">
        <f t="shared" si="1250"/>
        <v>19:34:45.288</v>
      </c>
      <c r="CF3422">
        <v>288428166</v>
      </c>
      <c r="CS3422">
        <v>0</v>
      </c>
      <c r="CT3422">
        <v>2</v>
      </c>
      <c r="CU3422">
        <v>0</v>
      </c>
      <c r="CV3422">
        <v>2</v>
      </c>
      <c r="CW3422">
        <v>0</v>
      </c>
      <c r="CX3422">
        <v>5</v>
      </c>
      <c r="CY3422">
        <v>7</v>
      </c>
      <c r="CZ3422" t="s">
        <v>131</v>
      </c>
      <c r="DA3422">
        <v>286</v>
      </c>
      <c r="DB3422">
        <v>0</v>
      </c>
      <c r="DC3422" t="s">
        <v>132</v>
      </c>
      <c r="DD3422" t="s">
        <v>133</v>
      </c>
      <c r="DG3422">
        <v>878239</v>
      </c>
      <c r="DI3422">
        <v>0</v>
      </c>
      <c r="DJ3422">
        <v>0</v>
      </c>
      <c r="DK3422">
        <v>1</v>
      </c>
      <c r="DL3422">
        <v>0</v>
      </c>
      <c r="DM3422">
        <v>0</v>
      </c>
      <c r="DN3422">
        <v>1</v>
      </c>
      <c r="DO3422">
        <v>0</v>
      </c>
      <c r="DP3422">
        <v>0</v>
      </c>
      <c r="DQ3422">
        <v>0</v>
      </c>
      <c r="DR3422">
        <v>0</v>
      </c>
      <c r="DS3422">
        <v>0</v>
      </c>
    </row>
    <row r="3423" spans="1:123" x14ac:dyDescent="0.3">
      <c r="A3423" t="str">
        <f t="shared" si="1248"/>
        <v>10/04/2022 19:34:45.732</v>
      </c>
      <c r="C3423" t="str">
        <f t="shared" si="1231"/>
        <v>FFDFD3C0</v>
      </c>
      <c r="D3423" t="s">
        <v>147</v>
      </c>
      <c r="E3423">
        <v>3</v>
      </c>
      <c r="H3423">
        <v>166</v>
      </c>
      <c r="I3423" t="s">
        <v>144</v>
      </c>
      <c r="J3423" t="s">
        <v>148</v>
      </c>
      <c r="K3423">
        <v>0</v>
      </c>
      <c r="L3423">
        <v>3</v>
      </c>
      <c r="M3423">
        <v>0</v>
      </c>
      <c r="N3423">
        <v>2</v>
      </c>
      <c r="O3423">
        <v>0</v>
      </c>
      <c r="P3423">
        <v>1</v>
      </c>
      <c r="Q3423">
        <v>0</v>
      </c>
      <c r="S3423" t="str">
        <f t="shared" si="1249"/>
        <v>19:34:45.000</v>
      </c>
      <c r="T3423" t="str">
        <f t="shared" si="1249"/>
        <v>19:34:45.000</v>
      </c>
      <c r="U3423" t="str">
        <f t="shared" si="1240"/>
        <v>AC3944</v>
      </c>
      <c r="V3423">
        <v>0</v>
      </c>
      <c r="W3423">
        <v>0</v>
      </c>
      <c r="X3423">
        <v>2</v>
      </c>
      <c r="Y3423">
        <v>0</v>
      </c>
      <c r="AA3423">
        <v>1</v>
      </c>
      <c r="AB3423">
        <v>8</v>
      </c>
      <c r="AC3423">
        <v>3</v>
      </c>
      <c r="AD3423">
        <v>0</v>
      </c>
      <c r="AE3423">
        <v>9</v>
      </c>
      <c r="AF3423" t="s">
        <v>138</v>
      </c>
      <c r="AG3423">
        <v>0</v>
      </c>
      <c r="AH3423">
        <v>3</v>
      </c>
      <c r="AI3423">
        <v>1</v>
      </c>
      <c r="AJ3423">
        <v>0</v>
      </c>
      <c r="AK3423" t="s">
        <v>966</v>
      </c>
      <c r="AL3423">
        <v>32.730438999999997</v>
      </c>
      <c r="AM3423" t="s">
        <v>1127</v>
      </c>
      <c r="AN3423">
        <v>-116.743534</v>
      </c>
      <c r="AO3423">
        <v>25</v>
      </c>
      <c r="AP3423">
        <v>4200</v>
      </c>
      <c r="AQ3423" t="s">
        <v>129</v>
      </c>
      <c r="AR3423">
        <v>106</v>
      </c>
      <c r="AS3423">
        <v>36</v>
      </c>
      <c r="AT3423">
        <v>1408</v>
      </c>
      <c r="BB3423">
        <v>1200</v>
      </c>
      <c r="BC3423">
        <v>1</v>
      </c>
      <c r="BD3423" t="str">
        <f t="shared" si="1241"/>
        <v xml:space="preserve">N887QR  </v>
      </c>
      <c r="BE3423">
        <v>1</v>
      </c>
      <c r="BG3423">
        <v>0</v>
      </c>
      <c r="BH3423">
        <v>0</v>
      </c>
      <c r="BI3423">
        <v>0</v>
      </c>
      <c r="BJ3423">
        <v>4000</v>
      </c>
      <c r="BK3423">
        <v>-200</v>
      </c>
      <c r="BL3423" t="s">
        <v>163</v>
      </c>
      <c r="BM3423">
        <v>1</v>
      </c>
      <c r="BN3423">
        <v>1</v>
      </c>
      <c r="BO3423">
        <v>1</v>
      </c>
      <c r="BP3423">
        <v>0</v>
      </c>
      <c r="BS3423">
        <v>0</v>
      </c>
      <c r="BT3423">
        <v>0</v>
      </c>
      <c r="BU3423">
        <v>0</v>
      </c>
      <c r="CE3423" t="str">
        <f t="shared" si="1250"/>
        <v>19:34:45.288</v>
      </c>
      <c r="CF3423">
        <v>288428166</v>
      </c>
      <c r="CS3423">
        <v>0</v>
      </c>
      <c r="CT3423">
        <v>2</v>
      </c>
      <c r="CU3423">
        <v>0</v>
      </c>
      <c r="CV3423">
        <v>2</v>
      </c>
      <c r="CW3423">
        <v>0</v>
      </c>
      <c r="CX3423">
        <v>5</v>
      </c>
      <c r="CY3423">
        <v>7</v>
      </c>
      <c r="CZ3423" t="s">
        <v>131</v>
      </c>
      <c r="DA3423">
        <v>286</v>
      </c>
      <c r="DB3423">
        <v>0</v>
      </c>
      <c r="DC3423" t="s">
        <v>132</v>
      </c>
      <c r="DD3423" t="s">
        <v>133</v>
      </c>
      <c r="DG3423">
        <v>878239</v>
      </c>
      <c r="DI3423">
        <v>0</v>
      </c>
      <c r="DJ3423">
        <v>0</v>
      </c>
      <c r="DK3423">
        <v>1</v>
      </c>
      <c r="DL3423">
        <v>0</v>
      </c>
      <c r="DM3423">
        <v>0</v>
      </c>
      <c r="DN3423">
        <v>1</v>
      </c>
      <c r="DO3423">
        <v>0</v>
      </c>
      <c r="DP3423">
        <v>0</v>
      </c>
      <c r="DQ3423">
        <v>0</v>
      </c>
      <c r="DR3423">
        <v>0</v>
      </c>
      <c r="DS3423">
        <v>0</v>
      </c>
    </row>
    <row r="3424" spans="1:123" x14ac:dyDescent="0.3">
      <c r="A3424" t="str">
        <f t="shared" si="1248"/>
        <v>10/04/2022 19:34:45.732</v>
      </c>
      <c r="C3424" t="str">
        <f t="shared" si="1231"/>
        <v>FFDFD3C0</v>
      </c>
      <c r="D3424" t="s">
        <v>141</v>
      </c>
      <c r="E3424">
        <v>4</v>
      </c>
      <c r="H3424">
        <v>4</v>
      </c>
      <c r="I3424" t="s">
        <v>142</v>
      </c>
      <c r="J3424" t="s">
        <v>138</v>
      </c>
      <c r="K3424">
        <v>0</v>
      </c>
      <c r="L3424">
        <v>3</v>
      </c>
      <c r="M3424">
        <v>0</v>
      </c>
      <c r="N3424">
        <v>2</v>
      </c>
      <c r="O3424">
        <v>0</v>
      </c>
      <c r="P3424">
        <v>1</v>
      </c>
      <c r="Q3424">
        <v>0</v>
      </c>
      <c r="S3424" t="str">
        <f t="shared" si="1249"/>
        <v>19:34:45.000</v>
      </c>
      <c r="T3424" t="str">
        <f t="shared" si="1249"/>
        <v>19:34:45.000</v>
      </c>
      <c r="U3424" t="str">
        <f t="shared" si="1240"/>
        <v>AC3944</v>
      </c>
      <c r="V3424">
        <v>0</v>
      </c>
      <c r="W3424">
        <v>0</v>
      </c>
      <c r="X3424">
        <v>2</v>
      </c>
      <c r="Y3424">
        <v>0</v>
      </c>
      <c r="AA3424">
        <v>1</v>
      </c>
      <c r="AB3424">
        <v>8</v>
      </c>
      <c r="AC3424">
        <v>3</v>
      </c>
      <c r="AD3424">
        <v>0</v>
      </c>
      <c r="AE3424">
        <v>9</v>
      </c>
      <c r="AF3424" t="s">
        <v>138</v>
      </c>
      <c r="AG3424">
        <v>0</v>
      </c>
      <c r="AH3424">
        <v>3</v>
      </c>
      <c r="AI3424">
        <v>1</v>
      </c>
      <c r="AJ3424">
        <v>0</v>
      </c>
      <c r="AK3424" t="s">
        <v>966</v>
      </c>
      <c r="AL3424">
        <v>32.730438999999997</v>
      </c>
      <c r="AM3424" t="s">
        <v>1127</v>
      </c>
      <c r="AN3424">
        <v>-116.743534</v>
      </c>
      <c r="AO3424">
        <v>25</v>
      </c>
      <c r="AP3424">
        <v>4200</v>
      </c>
      <c r="AQ3424" t="s">
        <v>129</v>
      </c>
      <c r="AR3424">
        <v>106</v>
      </c>
      <c r="AS3424">
        <v>36</v>
      </c>
      <c r="AT3424">
        <v>1408</v>
      </c>
      <c r="BB3424">
        <v>1200</v>
      </c>
      <c r="BC3424">
        <v>1</v>
      </c>
      <c r="BD3424" t="str">
        <f t="shared" si="1241"/>
        <v xml:space="preserve">N887QR  </v>
      </c>
      <c r="BE3424">
        <v>1</v>
      </c>
      <c r="BG3424">
        <v>0</v>
      </c>
      <c r="BH3424">
        <v>0</v>
      </c>
      <c r="BI3424">
        <v>0</v>
      </c>
      <c r="BJ3424">
        <v>4000</v>
      </c>
      <c r="BK3424">
        <v>-200</v>
      </c>
      <c r="BL3424" t="s">
        <v>163</v>
      </c>
      <c r="BM3424">
        <v>1</v>
      </c>
      <c r="BN3424">
        <v>1</v>
      </c>
      <c r="BO3424">
        <v>1</v>
      </c>
      <c r="BP3424">
        <v>0</v>
      </c>
      <c r="BS3424">
        <v>0</v>
      </c>
      <c r="BT3424">
        <v>0</v>
      </c>
      <c r="BU3424">
        <v>0</v>
      </c>
      <c r="CE3424" t="str">
        <f t="shared" si="1250"/>
        <v>19:34:45.288</v>
      </c>
      <c r="CF3424">
        <v>288428166</v>
      </c>
      <c r="CS3424">
        <v>0</v>
      </c>
      <c r="CT3424">
        <v>2</v>
      </c>
      <c r="CU3424">
        <v>0</v>
      </c>
      <c r="CV3424">
        <v>2</v>
      </c>
      <c r="CW3424">
        <v>0</v>
      </c>
      <c r="CX3424">
        <v>5</v>
      </c>
      <c r="CY3424">
        <v>7</v>
      </c>
      <c r="CZ3424" t="s">
        <v>131</v>
      </c>
      <c r="DA3424">
        <v>286</v>
      </c>
      <c r="DB3424">
        <v>0</v>
      </c>
      <c r="DC3424" t="s">
        <v>132</v>
      </c>
      <c r="DD3424" t="s">
        <v>133</v>
      </c>
      <c r="DG3424">
        <v>878239</v>
      </c>
      <c r="DI3424">
        <v>0</v>
      </c>
      <c r="DJ3424">
        <v>0</v>
      </c>
      <c r="DK3424">
        <v>1</v>
      </c>
      <c r="DL3424">
        <v>0</v>
      </c>
      <c r="DM3424">
        <v>0</v>
      </c>
      <c r="DN3424">
        <v>1</v>
      </c>
      <c r="DO3424">
        <v>0</v>
      </c>
      <c r="DP3424">
        <v>0</v>
      </c>
      <c r="DQ3424">
        <v>0</v>
      </c>
      <c r="DR3424">
        <v>0</v>
      </c>
      <c r="DS3424">
        <v>0</v>
      </c>
    </row>
    <row r="3425" spans="1:123" x14ac:dyDescent="0.3">
      <c r="A3425" t="str">
        <f t="shared" si="1248"/>
        <v>10/04/2022 19:34:45.732</v>
      </c>
      <c r="C3425" t="str">
        <f t="shared" si="1231"/>
        <v>FFDFD3C0</v>
      </c>
      <c r="D3425" t="s">
        <v>143</v>
      </c>
      <c r="E3425">
        <v>20</v>
      </c>
      <c r="F3425">
        <v>1020</v>
      </c>
      <c r="G3425" t="s">
        <v>144</v>
      </c>
      <c r="J3425" t="s">
        <v>145</v>
      </c>
      <c r="K3425">
        <v>0</v>
      </c>
      <c r="L3425">
        <v>3</v>
      </c>
      <c r="M3425">
        <v>0</v>
      </c>
      <c r="N3425">
        <v>2</v>
      </c>
      <c r="O3425">
        <v>0</v>
      </c>
      <c r="P3425">
        <v>1</v>
      </c>
      <c r="Q3425">
        <v>0</v>
      </c>
      <c r="S3425" t="str">
        <f t="shared" si="1249"/>
        <v>19:34:45.000</v>
      </c>
      <c r="T3425" t="str">
        <f t="shared" si="1249"/>
        <v>19:34:45.000</v>
      </c>
      <c r="U3425" t="str">
        <f t="shared" si="1240"/>
        <v>AC3944</v>
      </c>
      <c r="V3425">
        <v>0</v>
      </c>
      <c r="W3425">
        <v>0</v>
      </c>
      <c r="X3425">
        <v>2</v>
      </c>
      <c r="Y3425">
        <v>0</v>
      </c>
      <c r="AA3425">
        <v>1</v>
      </c>
      <c r="AB3425">
        <v>8</v>
      </c>
      <c r="AC3425">
        <v>3</v>
      </c>
      <c r="AD3425">
        <v>0</v>
      </c>
      <c r="AE3425">
        <v>9</v>
      </c>
      <c r="AF3425" t="s">
        <v>138</v>
      </c>
      <c r="AG3425">
        <v>0</v>
      </c>
      <c r="AH3425">
        <v>3</v>
      </c>
      <c r="AI3425">
        <v>1</v>
      </c>
      <c r="AJ3425">
        <v>0</v>
      </c>
      <c r="AK3425" t="s">
        <v>966</v>
      </c>
      <c r="AL3425">
        <v>32.730438999999997</v>
      </c>
      <c r="AM3425" t="s">
        <v>1127</v>
      </c>
      <c r="AN3425">
        <v>-116.743534</v>
      </c>
      <c r="AO3425">
        <v>25</v>
      </c>
      <c r="AP3425">
        <v>4200</v>
      </c>
      <c r="AQ3425" t="s">
        <v>129</v>
      </c>
      <c r="AR3425">
        <v>106</v>
      </c>
      <c r="AS3425">
        <v>36</v>
      </c>
      <c r="AT3425">
        <v>1408</v>
      </c>
      <c r="BB3425">
        <v>1200</v>
      </c>
      <c r="BC3425">
        <v>1</v>
      </c>
      <c r="BD3425" t="str">
        <f t="shared" si="1241"/>
        <v xml:space="preserve">N887QR  </v>
      </c>
      <c r="BE3425">
        <v>1</v>
      </c>
      <c r="BG3425">
        <v>0</v>
      </c>
      <c r="BH3425">
        <v>0</v>
      </c>
      <c r="BI3425">
        <v>0</v>
      </c>
      <c r="BJ3425">
        <v>4000</v>
      </c>
      <c r="BK3425">
        <v>-200</v>
      </c>
      <c r="BL3425" t="s">
        <v>163</v>
      </c>
      <c r="BM3425">
        <v>1</v>
      </c>
      <c r="BN3425">
        <v>1</v>
      </c>
      <c r="BO3425">
        <v>1</v>
      </c>
      <c r="BP3425">
        <v>0</v>
      </c>
      <c r="BS3425">
        <v>0</v>
      </c>
      <c r="BT3425">
        <v>0</v>
      </c>
      <c r="BU3425">
        <v>0</v>
      </c>
      <c r="CE3425" t="str">
        <f t="shared" si="1250"/>
        <v>19:34:45.288</v>
      </c>
      <c r="CF3425">
        <v>288428166</v>
      </c>
      <c r="CS3425">
        <v>0</v>
      </c>
      <c r="CT3425">
        <v>2</v>
      </c>
      <c r="CU3425">
        <v>0</v>
      </c>
      <c r="CV3425">
        <v>2</v>
      </c>
      <c r="CW3425">
        <v>0</v>
      </c>
      <c r="CX3425">
        <v>5</v>
      </c>
      <c r="CY3425">
        <v>7</v>
      </c>
      <c r="CZ3425" t="s">
        <v>131</v>
      </c>
      <c r="DA3425">
        <v>286</v>
      </c>
      <c r="DB3425">
        <v>0</v>
      </c>
      <c r="DC3425" t="s">
        <v>132</v>
      </c>
      <c r="DD3425" t="s">
        <v>133</v>
      </c>
      <c r="DG3425">
        <v>878239</v>
      </c>
      <c r="DI3425">
        <v>0</v>
      </c>
      <c r="DJ3425">
        <v>0</v>
      </c>
      <c r="DK3425">
        <v>1</v>
      </c>
      <c r="DL3425">
        <v>0</v>
      </c>
      <c r="DM3425">
        <v>0</v>
      </c>
      <c r="DN3425">
        <v>1</v>
      </c>
      <c r="DO3425">
        <v>0</v>
      </c>
      <c r="DP3425">
        <v>0</v>
      </c>
      <c r="DQ3425">
        <v>0</v>
      </c>
      <c r="DR3425">
        <v>0</v>
      </c>
      <c r="DS3425">
        <v>0</v>
      </c>
    </row>
    <row r="3426" spans="1:123" x14ac:dyDescent="0.3">
      <c r="A3426" t="str">
        <f t="shared" si="1248"/>
        <v>10/04/2022 19:34:45.732</v>
      </c>
      <c r="C3426" t="str">
        <f t="shared" si="1231"/>
        <v>FFDFD3C0</v>
      </c>
      <c r="D3426" t="s">
        <v>134</v>
      </c>
      <c r="E3426">
        <v>15</v>
      </c>
      <c r="J3426" t="s">
        <v>135</v>
      </c>
      <c r="K3426">
        <v>0</v>
      </c>
      <c r="L3426">
        <v>3</v>
      </c>
      <c r="M3426">
        <v>0</v>
      </c>
      <c r="N3426">
        <v>2</v>
      </c>
      <c r="O3426">
        <v>0</v>
      </c>
      <c r="P3426">
        <v>1</v>
      </c>
      <c r="Q3426">
        <v>0</v>
      </c>
      <c r="S3426" t="str">
        <f t="shared" si="1249"/>
        <v>19:34:45.000</v>
      </c>
      <c r="T3426" t="str">
        <f t="shared" si="1249"/>
        <v>19:34:45.000</v>
      </c>
      <c r="U3426" t="str">
        <f t="shared" si="1240"/>
        <v>AC3944</v>
      </c>
      <c r="V3426">
        <v>0</v>
      </c>
      <c r="W3426">
        <v>0</v>
      </c>
      <c r="X3426">
        <v>2</v>
      </c>
      <c r="Y3426">
        <v>0</v>
      </c>
      <c r="AA3426">
        <v>1</v>
      </c>
      <c r="AB3426">
        <v>8</v>
      </c>
      <c r="AC3426">
        <v>3</v>
      </c>
      <c r="AD3426">
        <v>0</v>
      </c>
      <c r="AE3426">
        <v>9</v>
      </c>
      <c r="AF3426" t="s">
        <v>138</v>
      </c>
      <c r="AG3426">
        <v>0</v>
      </c>
      <c r="AH3426">
        <v>3</v>
      </c>
      <c r="AI3426">
        <v>1</v>
      </c>
      <c r="AJ3426">
        <v>0</v>
      </c>
      <c r="AK3426" t="s">
        <v>966</v>
      </c>
      <c r="AL3426">
        <v>32.730438999999997</v>
      </c>
      <c r="AM3426" t="s">
        <v>1127</v>
      </c>
      <c r="AN3426">
        <v>-116.743534</v>
      </c>
      <c r="AO3426">
        <v>25</v>
      </c>
      <c r="AP3426">
        <v>4200</v>
      </c>
      <c r="AQ3426" t="s">
        <v>129</v>
      </c>
      <c r="AR3426">
        <v>106</v>
      </c>
      <c r="AS3426">
        <v>36</v>
      </c>
      <c r="AT3426">
        <v>1408</v>
      </c>
      <c r="BB3426">
        <v>1200</v>
      </c>
      <c r="BC3426">
        <v>1</v>
      </c>
      <c r="BD3426" t="str">
        <f t="shared" si="1241"/>
        <v xml:space="preserve">N887QR  </v>
      </c>
      <c r="BE3426">
        <v>1</v>
      </c>
      <c r="BG3426">
        <v>0</v>
      </c>
      <c r="BH3426">
        <v>0</v>
      </c>
      <c r="BI3426">
        <v>0</v>
      </c>
      <c r="BJ3426">
        <v>4000</v>
      </c>
      <c r="BK3426">
        <v>-200</v>
      </c>
      <c r="BL3426" t="s">
        <v>163</v>
      </c>
      <c r="BM3426">
        <v>1</v>
      </c>
      <c r="BN3426">
        <v>1</v>
      </c>
      <c r="BO3426">
        <v>1</v>
      </c>
      <c r="BP3426">
        <v>0</v>
      </c>
      <c r="BS3426">
        <v>0</v>
      </c>
      <c r="BT3426">
        <v>0</v>
      </c>
      <c r="BU3426">
        <v>0</v>
      </c>
      <c r="CE3426" t="str">
        <f t="shared" si="1250"/>
        <v>19:34:45.288</v>
      </c>
      <c r="CF3426">
        <v>288428166</v>
      </c>
      <c r="CS3426">
        <v>0</v>
      </c>
      <c r="CT3426">
        <v>2</v>
      </c>
      <c r="CU3426">
        <v>0</v>
      </c>
      <c r="CV3426">
        <v>2</v>
      </c>
      <c r="CW3426">
        <v>0</v>
      </c>
      <c r="CX3426">
        <v>5</v>
      </c>
      <c r="CY3426">
        <v>7</v>
      </c>
      <c r="CZ3426" t="s">
        <v>131</v>
      </c>
      <c r="DA3426">
        <v>286</v>
      </c>
      <c r="DB3426">
        <v>0</v>
      </c>
      <c r="DC3426" t="s">
        <v>132</v>
      </c>
      <c r="DD3426" t="s">
        <v>133</v>
      </c>
      <c r="DG3426">
        <v>878239</v>
      </c>
      <c r="DI3426">
        <v>0</v>
      </c>
      <c r="DJ3426">
        <v>0</v>
      </c>
      <c r="DK3426">
        <v>1</v>
      </c>
      <c r="DL3426">
        <v>0</v>
      </c>
      <c r="DM3426">
        <v>0</v>
      </c>
      <c r="DN3426">
        <v>1</v>
      </c>
      <c r="DO3426">
        <v>0</v>
      </c>
      <c r="DP3426">
        <v>0</v>
      </c>
      <c r="DQ3426">
        <v>0</v>
      </c>
      <c r="DR3426">
        <v>0</v>
      </c>
      <c r="DS3426">
        <v>0</v>
      </c>
    </row>
    <row r="3427" spans="1:123" x14ac:dyDescent="0.3">
      <c r="A3427" t="str">
        <f>"10/04/2022 19:34:45.794"</f>
        <v>10/04/2022 19:34:45.794</v>
      </c>
      <c r="C3427" t="str">
        <f t="shared" si="1231"/>
        <v>FFDFD3C0</v>
      </c>
      <c r="D3427" t="s">
        <v>123</v>
      </c>
      <c r="E3427">
        <v>7</v>
      </c>
      <c r="F3427">
        <v>2007</v>
      </c>
      <c r="G3427" t="s">
        <v>124</v>
      </c>
      <c r="J3427" t="s">
        <v>125</v>
      </c>
      <c r="K3427">
        <v>0</v>
      </c>
      <c r="L3427">
        <v>3</v>
      </c>
      <c r="M3427">
        <v>0</v>
      </c>
      <c r="N3427">
        <v>2</v>
      </c>
      <c r="O3427">
        <v>0</v>
      </c>
      <c r="P3427">
        <v>1</v>
      </c>
      <c r="Q3427">
        <v>0</v>
      </c>
      <c r="S3427" t="str">
        <f t="shared" si="1249"/>
        <v>19:34:45.000</v>
      </c>
      <c r="T3427" t="str">
        <f t="shared" si="1249"/>
        <v>19:34:45.000</v>
      </c>
      <c r="U3427" t="str">
        <f t="shared" si="1240"/>
        <v>AC3944</v>
      </c>
      <c r="V3427">
        <v>0</v>
      </c>
      <c r="W3427">
        <v>0</v>
      </c>
      <c r="X3427">
        <v>2</v>
      </c>
      <c r="Y3427">
        <v>0</v>
      </c>
      <c r="AA3427">
        <v>1</v>
      </c>
      <c r="AB3427">
        <v>8</v>
      </c>
      <c r="AC3427">
        <v>3</v>
      </c>
      <c r="AD3427">
        <v>0</v>
      </c>
      <c r="AE3427">
        <v>9</v>
      </c>
      <c r="AF3427" t="s">
        <v>138</v>
      </c>
      <c r="AG3427">
        <v>0</v>
      </c>
      <c r="AH3427">
        <v>3</v>
      </c>
      <c r="AI3427">
        <v>1</v>
      </c>
      <c r="AJ3427">
        <v>0</v>
      </c>
      <c r="AK3427" t="s">
        <v>966</v>
      </c>
      <c r="AL3427">
        <v>32.730438999999997</v>
      </c>
      <c r="AM3427" t="s">
        <v>1127</v>
      </c>
      <c r="AN3427">
        <v>-116.743534</v>
      </c>
      <c r="AO3427">
        <v>25</v>
      </c>
      <c r="AP3427">
        <v>4200</v>
      </c>
      <c r="AQ3427" t="s">
        <v>129</v>
      </c>
      <c r="AR3427">
        <v>106</v>
      </c>
      <c r="AS3427">
        <v>36</v>
      </c>
      <c r="AT3427">
        <v>1408</v>
      </c>
      <c r="BB3427">
        <v>1200</v>
      </c>
      <c r="BC3427">
        <v>1</v>
      </c>
      <c r="BD3427" t="str">
        <f t="shared" si="1241"/>
        <v xml:space="preserve">N887QR  </v>
      </c>
      <c r="BE3427">
        <v>1</v>
      </c>
      <c r="BG3427">
        <v>0</v>
      </c>
      <c r="BH3427">
        <v>0</v>
      </c>
      <c r="BI3427">
        <v>0</v>
      </c>
      <c r="BJ3427">
        <v>4000</v>
      </c>
      <c r="BK3427">
        <v>-200</v>
      </c>
      <c r="BL3427" t="s">
        <v>163</v>
      </c>
      <c r="BM3427">
        <v>1</v>
      </c>
      <c r="BN3427">
        <v>1</v>
      </c>
      <c r="BO3427">
        <v>1</v>
      </c>
      <c r="BP3427">
        <v>0</v>
      </c>
      <c r="BS3427">
        <v>0</v>
      </c>
      <c r="BT3427">
        <v>0</v>
      </c>
      <c r="BU3427">
        <v>0</v>
      </c>
      <c r="CE3427" t="str">
        <f t="shared" si="1250"/>
        <v>19:34:45.288</v>
      </c>
      <c r="CF3427">
        <v>288428166</v>
      </c>
      <c r="CS3427">
        <v>0</v>
      </c>
      <c r="CT3427">
        <v>2</v>
      </c>
      <c r="CU3427">
        <v>0</v>
      </c>
      <c r="CV3427">
        <v>2</v>
      </c>
      <c r="CW3427">
        <v>0</v>
      </c>
      <c r="CX3427">
        <v>5</v>
      </c>
      <c r="CY3427">
        <v>7</v>
      </c>
      <c r="CZ3427" t="s">
        <v>131</v>
      </c>
      <c r="DA3427">
        <v>286</v>
      </c>
      <c r="DB3427">
        <v>0</v>
      </c>
      <c r="DC3427" t="s">
        <v>132</v>
      </c>
      <c r="DD3427" t="s">
        <v>133</v>
      </c>
      <c r="DG3427">
        <v>878239</v>
      </c>
      <c r="DI3427">
        <v>0</v>
      </c>
      <c r="DJ3427">
        <v>0</v>
      </c>
      <c r="DK3427">
        <v>0</v>
      </c>
      <c r="DL3427">
        <v>0</v>
      </c>
      <c r="DM3427">
        <v>0</v>
      </c>
      <c r="DN3427">
        <v>1</v>
      </c>
      <c r="DO3427">
        <v>0</v>
      </c>
      <c r="DP3427">
        <v>0</v>
      </c>
      <c r="DQ3427">
        <v>0</v>
      </c>
      <c r="DR3427">
        <v>0</v>
      </c>
      <c r="DS3427">
        <v>0</v>
      </c>
    </row>
    <row r="3428" spans="1:123" x14ac:dyDescent="0.3">
      <c r="A3428" t="str">
        <f>"10/04/2022 19:34:46.480"</f>
        <v>10/04/2022 19:34:46.480</v>
      </c>
      <c r="C3428" t="str">
        <f t="shared" ref="C3428:C3434" si="1251">"FFDDD3C0"</f>
        <v>FFDDD3C0</v>
      </c>
      <c r="D3428" t="s">
        <v>123</v>
      </c>
      <c r="E3428">
        <v>7</v>
      </c>
      <c r="F3428">
        <v>2007</v>
      </c>
      <c r="G3428" t="s">
        <v>124</v>
      </c>
      <c r="J3428" t="s">
        <v>125</v>
      </c>
      <c r="K3428">
        <v>0</v>
      </c>
      <c r="L3428">
        <v>3</v>
      </c>
      <c r="M3428">
        <v>0</v>
      </c>
      <c r="N3428">
        <v>2</v>
      </c>
      <c r="O3428">
        <v>0</v>
      </c>
      <c r="P3428">
        <v>1</v>
      </c>
      <c r="Q3428">
        <v>0</v>
      </c>
      <c r="S3428" t="str">
        <f t="shared" ref="S3428:T3434" si="1252">"19:34:46.000"</f>
        <v>19:34:46.000</v>
      </c>
      <c r="T3428" t="str">
        <f t="shared" si="1252"/>
        <v>19:34:46.000</v>
      </c>
      <c r="U3428" t="str">
        <f t="shared" si="1240"/>
        <v>AC3944</v>
      </c>
      <c r="V3428">
        <v>0</v>
      </c>
      <c r="W3428">
        <v>0</v>
      </c>
      <c r="X3428">
        <v>2</v>
      </c>
      <c r="Y3428">
        <v>0</v>
      </c>
      <c r="AA3428">
        <v>1</v>
      </c>
      <c r="AB3428">
        <v>8</v>
      </c>
      <c r="AC3428">
        <v>3</v>
      </c>
      <c r="AD3428">
        <v>0</v>
      </c>
      <c r="AE3428">
        <v>9</v>
      </c>
      <c r="AF3428" t="s">
        <v>138</v>
      </c>
      <c r="AG3428">
        <v>0</v>
      </c>
      <c r="AH3428">
        <v>3</v>
      </c>
      <c r="AI3428">
        <v>1</v>
      </c>
      <c r="AJ3428">
        <v>0</v>
      </c>
      <c r="AK3428" t="s">
        <v>1128</v>
      </c>
      <c r="AL3428">
        <v>32.730632</v>
      </c>
      <c r="AM3428" t="s">
        <v>1129</v>
      </c>
      <c r="AN3428">
        <v>-116.742847</v>
      </c>
      <c r="AO3428">
        <v>25</v>
      </c>
      <c r="AP3428">
        <v>4200</v>
      </c>
      <c r="AQ3428" t="s">
        <v>129</v>
      </c>
      <c r="AR3428">
        <v>106</v>
      </c>
      <c r="AS3428">
        <v>36</v>
      </c>
      <c r="AT3428">
        <v>1216</v>
      </c>
      <c r="BB3428">
        <v>1200</v>
      </c>
      <c r="BC3428">
        <v>1</v>
      </c>
      <c r="BD3428" t="str">
        <f t="shared" si="1241"/>
        <v xml:space="preserve">N887QR  </v>
      </c>
      <c r="BE3428">
        <v>1</v>
      </c>
      <c r="BJ3428">
        <v>4000</v>
      </c>
      <c r="BK3428">
        <v>-200</v>
      </c>
      <c r="BL3428" t="s">
        <v>163</v>
      </c>
      <c r="BM3428">
        <v>1</v>
      </c>
      <c r="BN3428">
        <v>1</v>
      </c>
      <c r="BO3428">
        <v>1</v>
      </c>
      <c r="BP3428">
        <v>0</v>
      </c>
      <c r="BS3428">
        <v>0</v>
      </c>
      <c r="BT3428">
        <v>0</v>
      </c>
      <c r="BU3428">
        <v>0</v>
      </c>
      <c r="CE3428" t="str">
        <f t="shared" ref="CE3428:CE3434" si="1253">"19:34:46.232"</f>
        <v>19:34:46.232</v>
      </c>
      <c r="CF3428">
        <v>231681338</v>
      </c>
      <c r="CS3428">
        <v>0</v>
      </c>
      <c r="CT3428">
        <v>2</v>
      </c>
      <c r="CU3428">
        <v>0</v>
      </c>
      <c r="CV3428">
        <v>2</v>
      </c>
      <c r="CW3428">
        <v>0</v>
      </c>
      <c r="CX3428">
        <v>5</v>
      </c>
      <c r="CY3428">
        <v>7</v>
      </c>
      <c r="CZ3428" t="s">
        <v>131</v>
      </c>
      <c r="DA3428">
        <v>286</v>
      </c>
      <c r="DB3428">
        <v>0</v>
      </c>
      <c r="DC3428" t="s">
        <v>132</v>
      </c>
      <c r="DD3428" t="s">
        <v>133</v>
      </c>
      <c r="DG3428">
        <v>878455</v>
      </c>
      <c r="DI3428">
        <v>0</v>
      </c>
      <c r="DJ3428">
        <v>0</v>
      </c>
      <c r="DK3428">
        <v>0</v>
      </c>
      <c r="DL3428">
        <v>0</v>
      </c>
      <c r="DM3428">
        <v>0</v>
      </c>
      <c r="DN3428">
        <v>1</v>
      </c>
      <c r="DO3428">
        <v>0</v>
      </c>
      <c r="DP3428">
        <v>0</v>
      </c>
      <c r="DQ3428">
        <v>0</v>
      </c>
      <c r="DR3428">
        <v>0</v>
      </c>
      <c r="DS3428">
        <v>0</v>
      </c>
    </row>
    <row r="3429" spans="1:123" x14ac:dyDescent="0.3">
      <c r="A3429" t="str">
        <f>"10/04/2022 19:34:46.480"</f>
        <v>10/04/2022 19:34:46.480</v>
      </c>
      <c r="C3429" t="str">
        <f t="shared" si="1251"/>
        <v>FFDDD3C0</v>
      </c>
      <c r="D3429" t="s">
        <v>136</v>
      </c>
      <c r="E3429">
        <v>8</v>
      </c>
      <c r="H3429">
        <v>225</v>
      </c>
      <c r="I3429" t="s">
        <v>137</v>
      </c>
      <c r="J3429" t="s">
        <v>138</v>
      </c>
      <c r="K3429">
        <v>0</v>
      </c>
      <c r="L3429">
        <v>3</v>
      </c>
      <c r="M3429">
        <v>0</v>
      </c>
      <c r="N3429">
        <v>2</v>
      </c>
      <c r="O3429">
        <v>0</v>
      </c>
      <c r="P3429">
        <v>1</v>
      </c>
      <c r="Q3429">
        <v>0</v>
      </c>
      <c r="S3429" t="str">
        <f t="shared" si="1252"/>
        <v>19:34:46.000</v>
      </c>
      <c r="T3429" t="str">
        <f t="shared" si="1252"/>
        <v>19:34:46.000</v>
      </c>
      <c r="U3429" t="str">
        <f t="shared" si="1240"/>
        <v>AC3944</v>
      </c>
      <c r="V3429">
        <v>0</v>
      </c>
      <c r="W3429">
        <v>0</v>
      </c>
      <c r="X3429">
        <v>2</v>
      </c>
      <c r="Y3429">
        <v>0</v>
      </c>
      <c r="AA3429">
        <v>1</v>
      </c>
      <c r="AB3429">
        <v>8</v>
      </c>
      <c r="AC3429">
        <v>3</v>
      </c>
      <c r="AD3429">
        <v>0</v>
      </c>
      <c r="AE3429">
        <v>9</v>
      </c>
      <c r="AF3429" t="s">
        <v>138</v>
      </c>
      <c r="AG3429">
        <v>0</v>
      </c>
      <c r="AH3429">
        <v>3</v>
      </c>
      <c r="AI3429">
        <v>1</v>
      </c>
      <c r="AJ3429">
        <v>0</v>
      </c>
      <c r="AK3429" t="s">
        <v>1128</v>
      </c>
      <c r="AL3429">
        <v>32.730632</v>
      </c>
      <c r="AM3429" t="s">
        <v>1129</v>
      </c>
      <c r="AN3429">
        <v>-116.742847</v>
      </c>
      <c r="AO3429">
        <v>25</v>
      </c>
      <c r="AP3429">
        <v>4200</v>
      </c>
      <c r="AQ3429" t="s">
        <v>129</v>
      </c>
      <c r="AR3429">
        <v>106</v>
      </c>
      <c r="AS3429">
        <v>36</v>
      </c>
      <c r="AT3429">
        <v>1216</v>
      </c>
      <c r="BB3429">
        <v>1200</v>
      </c>
      <c r="BC3429">
        <v>1</v>
      </c>
      <c r="BD3429" t="str">
        <f t="shared" si="1241"/>
        <v xml:space="preserve">N887QR  </v>
      </c>
      <c r="BE3429">
        <v>1</v>
      </c>
      <c r="BJ3429">
        <v>4000</v>
      </c>
      <c r="BK3429">
        <v>-200</v>
      </c>
      <c r="BL3429" t="s">
        <v>163</v>
      </c>
      <c r="BM3429">
        <v>1</v>
      </c>
      <c r="BN3429">
        <v>1</v>
      </c>
      <c r="BO3429">
        <v>1</v>
      </c>
      <c r="BP3429">
        <v>0</v>
      </c>
      <c r="BS3429">
        <v>0</v>
      </c>
      <c r="BT3429">
        <v>0</v>
      </c>
      <c r="BU3429">
        <v>0</v>
      </c>
      <c r="CE3429" t="str">
        <f t="shared" si="1253"/>
        <v>19:34:46.232</v>
      </c>
      <c r="CF3429">
        <v>231681338</v>
      </c>
      <c r="CS3429">
        <v>0</v>
      </c>
      <c r="CT3429">
        <v>2</v>
      </c>
      <c r="CU3429">
        <v>0</v>
      </c>
      <c r="CV3429">
        <v>2</v>
      </c>
      <c r="CW3429">
        <v>0</v>
      </c>
      <c r="CX3429">
        <v>5</v>
      </c>
      <c r="CY3429">
        <v>7</v>
      </c>
      <c r="CZ3429" t="s">
        <v>131</v>
      </c>
      <c r="DA3429">
        <v>286</v>
      </c>
      <c r="DB3429">
        <v>0</v>
      </c>
      <c r="DC3429" t="s">
        <v>132</v>
      </c>
      <c r="DD3429" t="s">
        <v>133</v>
      </c>
      <c r="DG3429">
        <v>878455</v>
      </c>
      <c r="DI3429">
        <v>0</v>
      </c>
      <c r="DJ3429">
        <v>0</v>
      </c>
      <c r="DK3429">
        <v>1</v>
      </c>
      <c r="DL3429">
        <v>0</v>
      </c>
      <c r="DM3429">
        <v>0</v>
      </c>
      <c r="DN3429">
        <v>1</v>
      </c>
      <c r="DO3429">
        <v>0</v>
      </c>
      <c r="DP3429">
        <v>0</v>
      </c>
      <c r="DQ3429">
        <v>0</v>
      </c>
      <c r="DR3429">
        <v>0</v>
      </c>
      <c r="DS3429">
        <v>0</v>
      </c>
    </row>
    <row r="3430" spans="1:123" x14ac:dyDescent="0.3">
      <c r="A3430" t="str">
        <f>"10/04/2022 19:34:46.480"</f>
        <v>10/04/2022 19:34:46.480</v>
      </c>
      <c r="C3430" t="str">
        <f t="shared" si="1251"/>
        <v>FFDDD3C0</v>
      </c>
      <c r="D3430" t="s">
        <v>141</v>
      </c>
      <c r="E3430">
        <v>3</v>
      </c>
      <c r="H3430">
        <v>3</v>
      </c>
      <c r="I3430" t="s">
        <v>146</v>
      </c>
      <c r="J3430" t="s">
        <v>138</v>
      </c>
      <c r="K3430">
        <v>0</v>
      </c>
      <c r="L3430">
        <v>3</v>
      </c>
      <c r="M3430">
        <v>0</v>
      </c>
      <c r="N3430">
        <v>2</v>
      </c>
      <c r="O3430">
        <v>0</v>
      </c>
      <c r="P3430">
        <v>1</v>
      </c>
      <c r="Q3430">
        <v>0</v>
      </c>
      <c r="S3430" t="str">
        <f t="shared" si="1252"/>
        <v>19:34:46.000</v>
      </c>
      <c r="T3430" t="str">
        <f t="shared" si="1252"/>
        <v>19:34:46.000</v>
      </c>
      <c r="U3430" t="str">
        <f t="shared" si="1240"/>
        <v>AC3944</v>
      </c>
      <c r="V3430">
        <v>0</v>
      </c>
      <c r="W3430">
        <v>0</v>
      </c>
      <c r="X3430">
        <v>2</v>
      </c>
      <c r="Y3430">
        <v>0</v>
      </c>
      <c r="AA3430">
        <v>1</v>
      </c>
      <c r="AB3430">
        <v>8</v>
      </c>
      <c r="AC3430">
        <v>3</v>
      </c>
      <c r="AD3430">
        <v>0</v>
      </c>
      <c r="AE3430">
        <v>9</v>
      </c>
      <c r="AF3430" t="s">
        <v>138</v>
      </c>
      <c r="AG3430">
        <v>0</v>
      </c>
      <c r="AH3430">
        <v>3</v>
      </c>
      <c r="AI3430">
        <v>1</v>
      </c>
      <c r="AJ3430">
        <v>0</v>
      </c>
      <c r="AK3430" t="s">
        <v>1128</v>
      </c>
      <c r="AL3430">
        <v>32.730632</v>
      </c>
      <c r="AM3430" t="s">
        <v>1129</v>
      </c>
      <c r="AN3430">
        <v>-116.742847</v>
      </c>
      <c r="AO3430">
        <v>25</v>
      </c>
      <c r="AP3430">
        <v>4200</v>
      </c>
      <c r="AQ3430" t="s">
        <v>129</v>
      </c>
      <c r="AR3430">
        <v>106</v>
      </c>
      <c r="AS3430">
        <v>36</v>
      </c>
      <c r="AT3430">
        <v>1216</v>
      </c>
      <c r="BB3430">
        <v>1200</v>
      </c>
      <c r="BC3430">
        <v>1</v>
      </c>
      <c r="BD3430" t="str">
        <f t="shared" si="1241"/>
        <v xml:space="preserve">N887QR  </v>
      </c>
      <c r="BE3430">
        <v>1</v>
      </c>
      <c r="BJ3430">
        <v>4000</v>
      </c>
      <c r="BK3430">
        <v>-200</v>
      </c>
      <c r="BL3430" t="s">
        <v>163</v>
      </c>
      <c r="BM3430">
        <v>1</v>
      </c>
      <c r="BN3430">
        <v>1</v>
      </c>
      <c r="BO3430">
        <v>1</v>
      </c>
      <c r="BP3430">
        <v>0</v>
      </c>
      <c r="BS3430">
        <v>0</v>
      </c>
      <c r="BT3430">
        <v>0</v>
      </c>
      <c r="BU3430">
        <v>0</v>
      </c>
      <c r="CE3430" t="str">
        <f t="shared" si="1253"/>
        <v>19:34:46.232</v>
      </c>
      <c r="CF3430">
        <v>231681338</v>
      </c>
      <c r="CS3430">
        <v>0</v>
      </c>
      <c r="CT3430">
        <v>2</v>
      </c>
      <c r="CU3430">
        <v>0</v>
      </c>
      <c r="CV3430">
        <v>2</v>
      </c>
      <c r="CW3430">
        <v>0</v>
      </c>
      <c r="CX3430">
        <v>5</v>
      </c>
      <c r="CY3430">
        <v>7</v>
      </c>
      <c r="CZ3430" t="s">
        <v>131</v>
      </c>
      <c r="DA3430">
        <v>286</v>
      </c>
      <c r="DB3430">
        <v>0</v>
      </c>
      <c r="DC3430" t="s">
        <v>132</v>
      </c>
      <c r="DD3430" t="s">
        <v>133</v>
      </c>
      <c r="DG3430">
        <v>878455</v>
      </c>
      <c r="DI3430">
        <v>0</v>
      </c>
      <c r="DJ3430">
        <v>0</v>
      </c>
      <c r="DK3430">
        <v>1</v>
      </c>
      <c r="DL3430">
        <v>0</v>
      </c>
      <c r="DM3430">
        <v>0</v>
      </c>
      <c r="DN3430">
        <v>1</v>
      </c>
      <c r="DO3430">
        <v>0</v>
      </c>
      <c r="DP3430">
        <v>0</v>
      </c>
      <c r="DQ3430">
        <v>0</v>
      </c>
      <c r="DR3430">
        <v>0</v>
      </c>
      <c r="DS3430">
        <v>0</v>
      </c>
    </row>
    <row r="3431" spans="1:123" x14ac:dyDescent="0.3">
      <c r="A3431" t="str">
        <f>"10/04/2022 19:34:46.480"</f>
        <v>10/04/2022 19:34:46.480</v>
      </c>
      <c r="C3431" t="str">
        <f t="shared" si="1251"/>
        <v>FFDDD3C0</v>
      </c>
      <c r="D3431" t="s">
        <v>141</v>
      </c>
      <c r="E3431">
        <v>4</v>
      </c>
      <c r="H3431">
        <v>4</v>
      </c>
      <c r="I3431" t="s">
        <v>142</v>
      </c>
      <c r="J3431" t="s">
        <v>138</v>
      </c>
      <c r="K3431">
        <v>0</v>
      </c>
      <c r="L3431">
        <v>3</v>
      </c>
      <c r="M3431">
        <v>0</v>
      </c>
      <c r="N3431">
        <v>2</v>
      </c>
      <c r="O3431">
        <v>0</v>
      </c>
      <c r="P3431">
        <v>1</v>
      </c>
      <c r="Q3431">
        <v>0</v>
      </c>
      <c r="S3431" t="str">
        <f t="shared" si="1252"/>
        <v>19:34:46.000</v>
      </c>
      <c r="T3431" t="str">
        <f t="shared" si="1252"/>
        <v>19:34:46.000</v>
      </c>
      <c r="U3431" t="str">
        <f t="shared" si="1240"/>
        <v>AC3944</v>
      </c>
      <c r="V3431">
        <v>0</v>
      </c>
      <c r="W3431">
        <v>0</v>
      </c>
      <c r="X3431">
        <v>2</v>
      </c>
      <c r="Y3431">
        <v>0</v>
      </c>
      <c r="AA3431">
        <v>1</v>
      </c>
      <c r="AB3431">
        <v>8</v>
      </c>
      <c r="AC3431">
        <v>3</v>
      </c>
      <c r="AD3431">
        <v>0</v>
      </c>
      <c r="AE3431">
        <v>9</v>
      </c>
      <c r="AF3431" t="s">
        <v>138</v>
      </c>
      <c r="AG3431">
        <v>0</v>
      </c>
      <c r="AH3431">
        <v>3</v>
      </c>
      <c r="AI3431">
        <v>1</v>
      </c>
      <c r="AJ3431">
        <v>0</v>
      </c>
      <c r="AK3431" t="s">
        <v>1128</v>
      </c>
      <c r="AL3431">
        <v>32.730632</v>
      </c>
      <c r="AM3431" t="s">
        <v>1129</v>
      </c>
      <c r="AN3431">
        <v>-116.742847</v>
      </c>
      <c r="AO3431">
        <v>25</v>
      </c>
      <c r="AP3431">
        <v>4200</v>
      </c>
      <c r="AQ3431" t="s">
        <v>129</v>
      </c>
      <c r="AR3431">
        <v>106</v>
      </c>
      <c r="AS3431">
        <v>36</v>
      </c>
      <c r="AT3431">
        <v>1216</v>
      </c>
      <c r="BB3431">
        <v>1200</v>
      </c>
      <c r="BC3431">
        <v>1</v>
      </c>
      <c r="BD3431" t="str">
        <f t="shared" si="1241"/>
        <v xml:space="preserve">N887QR  </v>
      </c>
      <c r="BE3431">
        <v>1</v>
      </c>
      <c r="BJ3431">
        <v>4000</v>
      </c>
      <c r="BK3431">
        <v>-200</v>
      </c>
      <c r="BL3431" t="s">
        <v>163</v>
      </c>
      <c r="BM3431">
        <v>1</v>
      </c>
      <c r="BN3431">
        <v>1</v>
      </c>
      <c r="BO3431">
        <v>1</v>
      </c>
      <c r="BP3431">
        <v>0</v>
      </c>
      <c r="BS3431">
        <v>0</v>
      </c>
      <c r="BT3431">
        <v>0</v>
      </c>
      <c r="BU3431">
        <v>0</v>
      </c>
      <c r="CE3431" t="str">
        <f t="shared" si="1253"/>
        <v>19:34:46.232</v>
      </c>
      <c r="CF3431">
        <v>231681338</v>
      </c>
      <c r="CS3431">
        <v>0</v>
      </c>
      <c r="CT3431">
        <v>2</v>
      </c>
      <c r="CU3431">
        <v>0</v>
      </c>
      <c r="CV3431">
        <v>2</v>
      </c>
      <c r="CW3431">
        <v>0</v>
      </c>
      <c r="CX3431">
        <v>5</v>
      </c>
      <c r="CY3431">
        <v>7</v>
      </c>
      <c r="CZ3431" t="s">
        <v>131</v>
      </c>
      <c r="DA3431">
        <v>286</v>
      </c>
      <c r="DB3431">
        <v>0</v>
      </c>
      <c r="DC3431" t="s">
        <v>132</v>
      </c>
      <c r="DD3431" t="s">
        <v>133</v>
      </c>
      <c r="DG3431">
        <v>878455</v>
      </c>
      <c r="DI3431">
        <v>0</v>
      </c>
      <c r="DJ3431">
        <v>0</v>
      </c>
      <c r="DK3431">
        <v>1</v>
      </c>
      <c r="DL3431">
        <v>0</v>
      </c>
      <c r="DM3431">
        <v>0</v>
      </c>
      <c r="DN3431">
        <v>1</v>
      </c>
      <c r="DO3431">
        <v>0</v>
      </c>
      <c r="DP3431">
        <v>0</v>
      </c>
      <c r="DQ3431">
        <v>0</v>
      </c>
      <c r="DR3431">
        <v>0</v>
      </c>
      <c r="DS3431">
        <v>0</v>
      </c>
    </row>
    <row r="3432" spans="1:123" x14ac:dyDescent="0.3">
      <c r="A3432" t="str">
        <f>"10/04/2022 19:34:46.511"</f>
        <v>10/04/2022 19:34:46.511</v>
      </c>
      <c r="C3432" t="str">
        <f t="shared" si="1251"/>
        <v>FFDDD3C0</v>
      </c>
      <c r="D3432" t="s">
        <v>147</v>
      </c>
      <c r="E3432">
        <v>3</v>
      </c>
      <c r="H3432">
        <v>166</v>
      </c>
      <c r="I3432" t="s">
        <v>144</v>
      </c>
      <c r="J3432" t="s">
        <v>148</v>
      </c>
      <c r="K3432">
        <v>0</v>
      </c>
      <c r="L3432">
        <v>3</v>
      </c>
      <c r="M3432">
        <v>0</v>
      </c>
      <c r="N3432">
        <v>2</v>
      </c>
      <c r="O3432">
        <v>0</v>
      </c>
      <c r="P3432">
        <v>1</v>
      </c>
      <c r="Q3432">
        <v>0</v>
      </c>
      <c r="S3432" t="str">
        <f t="shared" si="1252"/>
        <v>19:34:46.000</v>
      </c>
      <c r="T3432" t="str">
        <f t="shared" si="1252"/>
        <v>19:34:46.000</v>
      </c>
      <c r="U3432" t="str">
        <f t="shared" si="1240"/>
        <v>AC3944</v>
      </c>
      <c r="V3432">
        <v>0</v>
      </c>
      <c r="W3432">
        <v>0</v>
      </c>
      <c r="X3432">
        <v>2</v>
      </c>
      <c r="Y3432">
        <v>0</v>
      </c>
      <c r="AA3432">
        <v>1</v>
      </c>
      <c r="AB3432">
        <v>8</v>
      </c>
      <c r="AC3432">
        <v>3</v>
      </c>
      <c r="AD3432">
        <v>0</v>
      </c>
      <c r="AE3432">
        <v>9</v>
      </c>
      <c r="AF3432" t="s">
        <v>138</v>
      </c>
      <c r="AG3432">
        <v>0</v>
      </c>
      <c r="AH3432">
        <v>3</v>
      </c>
      <c r="AI3432">
        <v>1</v>
      </c>
      <c r="AJ3432">
        <v>0</v>
      </c>
      <c r="AK3432" t="s">
        <v>1128</v>
      </c>
      <c r="AL3432">
        <v>32.730632</v>
      </c>
      <c r="AM3432" t="s">
        <v>1129</v>
      </c>
      <c r="AN3432">
        <v>-116.742847</v>
      </c>
      <c r="AO3432">
        <v>25</v>
      </c>
      <c r="AP3432">
        <v>4200</v>
      </c>
      <c r="AQ3432" t="s">
        <v>129</v>
      </c>
      <c r="AR3432">
        <v>106</v>
      </c>
      <c r="AS3432">
        <v>36</v>
      </c>
      <c r="AT3432">
        <v>1216</v>
      </c>
      <c r="BB3432">
        <v>1200</v>
      </c>
      <c r="BC3432">
        <v>1</v>
      </c>
      <c r="BD3432" t="str">
        <f t="shared" si="1241"/>
        <v xml:space="preserve">N887QR  </v>
      </c>
      <c r="BE3432">
        <v>1</v>
      </c>
      <c r="BJ3432">
        <v>4000</v>
      </c>
      <c r="BK3432">
        <v>-200</v>
      </c>
      <c r="BL3432" t="s">
        <v>163</v>
      </c>
      <c r="BM3432">
        <v>1</v>
      </c>
      <c r="BN3432">
        <v>1</v>
      </c>
      <c r="BO3432">
        <v>1</v>
      </c>
      <c r="BP3432">
        <v>0</v>
      </c>
      <c r="BS3432">
        <v>0</v>
      </c>
      <c r="BT3432">
        <v>0</v>
      </c>
      <c r="BU3432">
        <v>0</v>
      </c>
      <c r="CE3432" t="str">
        <f t="shared" si="1253"/>
        <v>19:34:46.232</v>
      </c>
      <c r="CF3432">
        <v>231681338</v>
      </c>
      <c r="CS3432">
        <v>0</v>
      </c>
      <c r="CT3432">
        <v>2</v>
      </c>
      <c r="CU3432">
        <v>0</v>
      </c>
      <c r="CV3432">
        <v>2</v>
      </c>
      <c r="CW3432">
        <v>0</v>
      </c>
      <c r="CX3432">
        <v>5</v>
      </c>
      <c r="CY3432">
        <v>7</v>
      </c>
      <c r="CZ3432" t="s">
        <v>131</v>
      </c>
      <c r="DA3432">
        <v>286</v>
      </c>
      <c r="DB3432">
        <v>0</v>
      </c>
      <c r="DC3432" t="s">
        <v>132</v>
      </c>
      <c r="DD3432" t="s">
        <v>133</v>
      </c>
      <c r="DG3432">
        <v>878455</v>
      </c>
      <c r="DI3432">
        <v>0</v>
      </c>
      <c r="DJ3432">
        <v>0</v>
      </c>
      <c r="DK3432">
        <v>1</v>
      </c>
      <c r="DL3432">
        <v>0</v>
      </c>
      <c r="DM3432">
        <v>0</v>
      </c>
      <c r="DN3432">
        <v>1</v>
      </c>
      <c r="DO3432">
        <v>0</v>
      </c>
      <c r="DP3432">
        <v>0</v>
      </c>
      <c r="DQ3432">
        <v>0</v>
      </c>
      <c r="DR3432">
        <v>0</v>
      </c>
      <c r="DS3432">
        <v>0</v>
      </c>
    </row>
    <row r="3433" spans="1:123" x14ac:dyDescent="0.3">
      <c r="A3433" t="str">
        <f>"10/04/2022 19:34:46.511"</f>
        <v>10/04/2022 19:34:46.511</v>
      </c>
      <c r="C3433" t="str">
        <f t="shared" si="1251"/>
        <v>FFDDD3C0</v>
      </c>
      <c r="D3433" t="s">
        <v>143</v>
      </c>
      <c r="E3433">
        <v>20</v>
      </c>
      <c r="F3433">
        <v>1020</v>
      </c>
      <c r="G3433" t="s">
        <v>144</v>
      </c>
      <c r="J3433" t="s">
        <v>145</v>
      </c>
      <c r="K3433">
        <v>0</v>
      </c>
      <c r="L3433">
        <v>3</v>
      </c>
      <c r="M3433">
        <v>0</v>
      </c>
      <c r="N3433">
        <v>2</v>
      </c>
      <c r="O3433">
        <v>0</v>
      </c>
      <c r="P3433">
        <v>1</v>
      </c>
      <c r="Q3433">
        <v>0</v>
      </c>
      <c r="S3433" t="str">
        <f t="shared" si="1252"/>
        <v>19:34:46.000</v>
      </c>
      <c r="T3433" t="str">
        <f t="shared" si="1252"/>
        <v>19:34:46.000</v>
      </c>
      <c r="U3433" t="str">
        <f t="shared" si="1240"/>
        <v>AC3944</v>
      </c>
      <c r="V3433">
        <v>0</v>
      </c>
      <c r="W3433">
        <v>0</v>
      </c>
      <c r="X3433">
        <v>2</v>
      </c>
      <c r="Y3433">
        <v>0</v>
      </c>
      <c r="AA3433">
        <v>1</v>
      </c>
      <c r="AB3433">
        <v>8</v>
      </c>
      <c r="AC3433">
        <v>3</v>
      </c>
      <c r="AD3433">
        <v>0</v>
      </c>
      <c r="AE3433">
        <v>9</v>
      </c>
      <c r="AF3433" t="s">
        <v>138</v>
      </c>
      <c r="AG3433">
        <v>0</v>
      </c>
      <c r="AH3433">
        <v>3</v>
      </c>
      <c r="AI3433">
        <v>1</v>
      </c>
      <c r="AJ3433">
        <v>0</v>
      </c>
      <c r="AK3433" t="s">
        <v>1128</v>
      </c>
      <c r="AL3433">
        <v>32.730632</v>
      </c>
      <c r="AM3433" t="s">
        <v>1129</v>
      </c>
      <c r="AN3433">
        <v>-116.742847</v>
      </c>
      <c r="AO3433">
        <v>25</v>
      </c>
      <c r="AP3433">
        <v>4200</v>
      </c>
      <c r="AQ3433" t="s">
        <v>129</v>
      </c>
      <c r="AR3433">
        <v>106</v>
      </c>
      <c r="AS3433">
        <v>36</v>
      </c>
      <c r="AT3433">
        <v>1216</v>
      </c>
      <c r="BB3433">
        <v>1200</v>
      </c>
      <c r="BC3433">
        <v>1</v>
      </c>
      <c r="BD3433" t="str">
        <f t="shared" si="1241"/>
        <v xml:space="preserve">N887QR  </v>
      </c>
      <c r="BE3433">
        <v>1</v>
      </c>
      <c r="BJ3433">
        <v>4000</v>
      </c>
      <c r="BK3433">
        <v>-200</v>
      </c>
      <c r="BL3433" t="s">
        <v>163</v>
      </c>
      <c r="BM3433">
        <v>1</v>
      </c>
      <c r="BN3433">
        <v>1</v>
      </c>
      <c r="BO3433">
        <v>1</v>
      </c>
      <c r="BP3433">
        <v>0</v>
      </c>
      <c r="BS3433">
        <v>0</v>
      </c>
      <c r="BT3433">
        <v>0</v>
      </c>
      <c r="BU3433">
        <v>0</v>
      </c>
      <c r="CE3433" t="str">
        <f t="shared" si="1253"/>
        <v>19:34:46.232</v>
      </c>
      <c r="CF3433">
        <v>231681338</v>
      </c>
      <c r="CS3433">
        <v>0</v>
      </c>
      <c r="CT3433">
        <v>2</v>
      </c>
      <c r="CU3433">
        <v>0</v>
      </c>
      <c r="CV3433">
        <v>2</v>
      </c>
      <c r="CW3433">
        <v>0</v>
      </c>
      <c r="CX3433">
        <v>5</v>
      </c>
      <c r="CY3433">
        <v>7</v>
      </c>
      <c r="CZ3433" t="s">
        <v>131</v>
      </c>
      <c r="DA3433">
        <v>286</v>
      </c>
      <c r="DB3433">
        <v>0</v>
      </c>
      <c r="DC3433" t="s">
        <v>132</v>
      </c>
      <c r="DD3433" t="s">
        <v>133</v>
      </c>
      <c r="DG3433">
        <v>878455</v>
      </c>
      <c r="DI3433">
        <v>0</v>
      </c>
      <c r="DJ3433">
        <v>0</v>
      </c>
      <c r="DK3433">
        <v>1</v>
      </c>
      <c r="DL3433">
        <v>0</v>
      </c>
      <c r="DM3433">
        <v>0</v>
      </c>
      <c r="DN3433">
        <v>1</v>
      </c>
      <c r="DO3433">
        <v>0</v>
      </c>
      <c r="DP3433">
        <v>0</v>
      </c>
      <c r="DQ3433">
        <v>0</v>
      </c>
      <c r="DR3433">
        <v>0</v>
      </c>
      <c r="DS3433">
        <v>0</v>
      </c>
    </row>
    <row r="3434" spans="1:123" x14ac:dyDescent="0.3">
      <c r="A3434" t="str">
        <f>"10/04/2022 19:34:46.636"</f>
        <v>10/04/2022 19:34:46.636</v>
      </c>
      <c r="C3434" t="str">
        <f t="shared" si="1251"/>
        <v>FFDDD3C0</v>
      </c>
      <c r="D3434" t="s">
        <v>134</v>
      </c>
      <c r="E3434">
        <v>15</v>
      </c>
      <c r="J3434" t="s">
        <v>135</v>
      </c>
      <c r="K3434">
        <v>0</v>
      </c>
      <c r="L3434">
        <v>3</v>
      </c>
      <c r="M3434">
        <v>0</v>
      </c>
      <c r="N3434">
        <v>2</v>
      </c>
      <c r="O3434">
        <v>0</v>
      </c>
      <c r="P3434">
        <v>1</v>
      </c>
      <c r="Q3434">
        <v>0</v>
      </c>
      <c r="S3434" t="str">
        <f t="shared" si="1252"/>
        <v>19:34:46.000</v>
      </c>
      <c r="T3434" t="str">
        <f t="shared" si="1252"/>
        <v>19:34:46.000</v>
      </c>
      <c r="U3434" t="str">
        <f t="shared" si="1240"/>
        <v>AC3944</v>
      </c>
      <c r="V3434">
        <v>0</v>
      </c>
      <c r="W3434">
        <v>0</v>
      </c>
      <c r="X3434">
        <v>2</v>
      </c>
      <c r="Y3434">
        <v>0</v>
      </c>
      <c r="AA3434">
        <v>1</v>
      </c>
      <c r="AB3434">
        <v>8</v>
      </c>
      <c r="AC3434">
        <v>3</v>
      </c>
      <c r="AD3434">
        <v>0</v>
      </c>
      <c r="AE3434">
        <v>9</v>
      </c>
      <c r="AF3434" t="s">
        <v>138</v>
      </c>
      <c r="AG3434">
        <v>0</v>
      </c>
      <c r="AH3434">
        <v>3</v>
      </c>
      <c r="AI3434">
        <v>1</v>
      </c>
      <c r="AJ3434">
        <v>0</v>
      </c>
      <c r="AK3434" t="s">
        <v>1128</v>
      </c>
      <c r="AL3434">
        <v>32.730632</v>
      </c>
      <c r="AM3434" t="s">
        <v>1129</v>
      </c>
      <c r="AN3434">
        <v>-116.742847</v>
      </c>
      <c r="AO3434">
        <v>25</v>
      </c>
      <c r="AP3434">
        <v>4200</v>
      </c>
      <c r="AQ3434" t="s">
        <v>129</v>
      </c>
      <c r="AR3434">
        <v>106</v>
      </c>
      <c r="AS3434">
        <v>36</v>
      </c>
      <c r="AT3434">
        <v>1216</v>
      </c>
      <c r="BB3434">
        <v>1200</v>
      </c>
      <c r="BC3434">
        <v>1</v>
      </c>
      <c r="BD3434" t="str">
        <f t="shared" si="1241"/>
        <v xml:space="preserve">N887QR  </v>
      </c>
      <c r="BE3434">
        <v>1</v>
      </c>
      <c r="BJ3434">
        <v>4000</v>
      </c>
      <c r="BK3434">
        <v>-200</v>
      </c>
      <c r="BL3434" t="s">
        <v>163</v>
      </c>
      <c r="BM3434">
        <v>1</v>
      </c>
      <c r="BN3434">
        <v>1</v>
      </c>
      <c r="BO3434">
        <v>1</v>
      </c>
      <c r="BP3434">
        <v>0</v>
      </c>
      <c r="BS3434">
        <v>0</v>
      </c>
      <c r="BT3434">
        <v>0</v>
      </c>
      <c r="BU3434">
        <v>0</v>
      </c>
      <c r="CE3434" t="str">
        <f t="shared" si="1253"/>
        <v>19:34:46.232</v>
      </c>
      <c r="CF3434">
        <v>231681338</v>
      </c>
      <c r="CS3434">
        <v>0</v>
      </c>
      <c r="CT3434">
        <v>2</v>
      </c>
      <c r="CU3434">
        <v>0</v>
      </c>
      <c r="CV3434">
        <v>2</v>
      </c>
      <c r="CW3434">
        <v>0</v>
      </c>
      <c r="CX3434">
        <v>5</v>
      </c>
      <c r="CY3434">
        <v>7</v>
      </c>
      <c r="CZ3434" t="s">
        <v>131</v>
      </c>
      <c r="DA3434">
        <v>286</v>
      </c>
      <c r="DB3434">
        <v>0</v>
      </c>
      <c r="DC3434" t="s">
        <v>132</v>
      </c>
      <c r="DD3434" t="s">
        <v>133</v>
      </c>
      <c r="DG3434">
        <v>878455</v>
      </c>
      <c r="DI3434">
        <v>0</v>
      </c>
      <c r="DJ3434">
        <v>0</v>
      </c>
      <c r="DK3434">
        <v>1</v>
      </c>
      <c r="DL3434">
        <v>0</v>
      </c>
      <c r="DM3434">
        <v>0</v>
      </c>
      <c r="DN3434">
        <v>1</v>
      </c>
      <c r="DO3434">
        <v>0</v>
      </c>
      <c r="DP3434">
        <v>0</v>
      </c>
      <c r="DQ3434">
        <v>0</v>
      </c>
      <c r="DR3434">
        <v>0</v>
      </c>
      <c r="DS3434">
        <v>0</v>
      </c>
    </row>
    <row r="3435" spans="1:123" x14ac:dyDescent="0.3">
      <c r="A3435" t="str">
        <f>"10/04/2022 19:34:47.448"</f>
        <v>10/04/2022 19:34:47.448</v>
      </c>
      <c r="C3435" t="str">
        <f t="shared" ref="C3435:C3498" si="1254">"FFDFD3C0"</f>
        <v>FFDFD3C0</v>
      </c>
      <c r="D3435" t="s">
        <v>136</v>
      </c>
      <c r="E3435">
        <v>8</v>
      </c>
      <c r="H3435">
        <v>225</v>
      </c>
      <c r="I3435" t="s">
        <v>137</v>
      </c>
      <c r="J3435" t="s">
        <v>138</v>
      </c>
      <c r="K3435">
        <v>0</v>
      </c>
      <c r="L3435">
        <v>3</v>
      </c>
      <c r="M3435">
        <v>0</v>
      </c>
      <c r="N3435">
        <v>2</v>
      </c>
      <c r="O3435">
        <v>0</v>
      </c>
      <c r="P3435">
        <v>1</v>
      </c>
      <c r="Q3435">
        <v>0</v>
      </c>
      <c r="S3435" t="str">
        <f t="shared" ref="S3435:T3448" si="1255">"19:34:47.000"</f>
        <v>19:34:47.000</v>
      </c>
      <c r="T3435" t="str">
        <f t="shared" si="1255"/>
        <v>19:34:47.000</v>
      </c>
      <c r="U3435" t="str">
        <f t="shared" si="1240"/>
        <v>AC3944</v>
      </c>
      <c r="V3435">
        <v>0</v>
      </c>
      <c r="W3435">
        <v>0</v>
      </c>
      <c r="X3435">
        <v>2</v>
      </c>
      <c r="Y3435">
        <v>0</v>
      </c>
      <c r="AA3435">
        <v>1</v>
      </c>
      <c r="AB3435">
        <v>8</v>
      </c>
      <c r="AC3435">
        <v>3</v>
      </c>
      <c r="AD3435">
        <v>0</v>
      </c>
      <c r="AE3435">
        <v>9</v>
      </c>
      <c r="AF3435" t="s">
        <v>138</v>
      </c>
      <c r="AG3435">
        <v>0</v>
      </c>
      <c r="AH3435">
        <v>3</v>
      </c>
      <c r="AI3435">
        <v>1</v>
      </c>
      <c r="AJ3435">
        <v>0</v>
      </c>
      <c r="AK3435" t="s">
        <v>1130</v>
      </c>
      <c r="AL3435">
        <v>32.730803000000002</v>
      </c>
      <c r="AM3435" t="s">
        <v>1131</v>
      </c>
      <c r="AN3435">
        <v>-116.742268</v>
      </c>
      <c r="AO3435">
        <v>25</v>
      </c>
      <c r="AP3435">
        <v>4200</v>
      </c>
      <c r="AQ3435" t="s">
        <v>129</v>
      </c>
      <c r="AR3435">
        <v>106</v>
      </c>
      <c r="AS3435">
        <v>37</v>
      </c>
      <c r="AT3435">
        <v>1216</v>
      </c>
      <c r="BB3435">
        <v>1200</v>
      </c>
      <c r="BC3435">
        <v>1</v>
      </c>
      <c r="BD3435" t="str">
        <f t="shared" si="1241"/>
        <v xml:space="preserve">N887QR  </v>
      </c>
      <c r="BE3435">
        <v>1</v>
      </c>
      <c r="BG3435">
        <v>0</v>
      </c>
      <c r="BH3435">
        <v>0</v>
      </c>
      <c r="BI3435">
        <v>0</v>
      </c>
      <c r="BJ3435">
        <v>4025</v>
      </c>
      <c r="BK3435">
        <v>-175</v>
      </c>
      <c r="BL3435" t="s">
        <v>163</v>
      </c>
      <c r="BM3435">
        <v>1</v>
      </c>
      <c r="BN3435">
        <v>1</v>
      </c>
      <c r="BO3435">
        <v>1</v>
      </c>
      <c r="BP3435">
        <v>0</v>
      </c>
      <c r="BS3435">
        <v>0</v>
      </c>
      <c r="BT3435">
        <v>0</v>
      </c>
      <c r="BU3435">
        <v>0</v>
      </c>
      <c r="CE3435" t="str">
        <f t="shared" ref="CE3435:CE3441" si="1256">"19:34:47.045"</f>
        <v>19:34:47.045</v>
      </c>
      <c r="CF3435">
        <v>45184015</v>
      </c>
      <c r="CS3435">
        <v>0</v>
      </c>
      <c r="CT3435">
        <v>2</v>
      </c>
      <c r="CU3435">
        <v>0</v>
      </c>
      <c r="CV3435">
        <v>2</v>
      </c>
      <c r="CW3435">
        <v>0</v>
      </c>
      <c r="CX3435">
        <v>5</v>
      </c>
      <c r="CY3435">
        <v>7</v>
      </c>
      <c r="CZ3435" t="s">
        <v>131</v>
      </c>
      <c r="DA3435">
        <v>286</v>
      </c>
      <c r="DB3435">
        <v>0</v>
      </c>
      <c r="DC3435" t="s">
        <v>132</v>
      </c>
      <c r="DD3435" t="s">
        <v>133</v>
      </c>
      <c r="DG3435">
        <v>878651</v>
      </c>
      <c r="DI3435">
        <v>0</v>
      </c>
      <c r="DJ3435">
        <v>0</v>
      </c>
      <c r="DK3435">
        <v>0</v>
      </c>
      <c r="DL3435">
        <v>0</v>
      </c>
      <c r="DM3435">
        <v>0</v>
      </c>
      <c r="DN3435">
        <v>1</v>
      </c>
      <c r="DO3435">
        <v>0</v>
      </c>
      <c r="DP3435">
        <v>0</v>
      </c>
      <c r="DQ3435">
        <v>0</v>
      </c>
      <c r="DR3435">
        <v>0</v>
      </c>
      <c r="DS3435">
        <v>0</v>
      </c>
    </row>
    <row r="3436" spans="1:123" x14ac:dyDescent="0.3">
      <c r="A3436" t="str">
        <f>"10/04/2022 19:34:47.448"</f>
        <v>10/04/2022 19:34:47.448</v>
      </c>
      <c r="C3436" t="str">
        <f t="shared" si="1254"/>
        <v>FFDFD3C0</v>
      </c>
      <c r="D3436" t="s">
        <v>141</v>
      </c>
      <c r="E3436">
        <v>4</v>
      </c>
      <c r="H3436">
        <v>4</v>
      </c>
      <c r="I3436" t="s">
        <v>142</v>
      </c>
      <c r="J3436" t="s">
        <v>138</v>
      </c>
      <c r="K3436">
        <v>0</v>
      </c>
      <c r="L3436">
        <v>3</v>
      </c>
      <c r="M3436">
        <v>0</v>
      </c>
      <c r="N3436">
        <v>2</v>
      </c>
      <c r="O3436">
        <v>0</v>
      </c>
      <c r="P3436">
        <v>1</v>
      </c>
      <c r="Q3436">
        <v>0</v>
      </c>
      <c r="S3436" t="str">
        <f t="shared" si="1255"/>
        <v>19:34:47.000</v>
      </c>
      <c r="T3436" t="str">
        <f t="shared" si="1255"/>
        <v>19:34:47.000</v>
      </c>
      <c r="U3436" t="str">
        <f t="shared" si="1240"/>
        <v>AC3944</v>
      </c>
      <c r="V3436">
        <v>0</v>
      </c>
      <c r="W3436">
        <v>0</v>
      </c>
      <c r="X3436">
        <v>2</v>
      </c>
      <c r="Y3436">
        <v>0</v>
      </c>
      <c r="AA3436">
        <v>1</v>
      </c>
      <c r="AB3436">
        <v>8</v>
      </c>
      <c r="AC3436">
        <v>3</v>
      </c>
      <c r="AD3436">
        <v>0</v>
      </c>
      <c r="AE3436">
        <v>9</v>
      </c>
      <c r="AF3436" t="s">
        <v>138</v>
      </c>
      <c r="AG3436">
        <v>0</v>
      </c>
      <c r="AH3436">
        <v>3</v>
      </c>
      <c r="AI3436">
        <v>1</v>
      </c>
      <c r="AJ3436">
        <v>0</v>
      </c>
      <c r="AK3436" t="s">
        <v>1130</v>
      </c>
      <c r="AL3436">
        <v>32.730803000000002</v>
      </c>
      <c r="AM3436" t="s">
        <v>1131</v>
      </c>
      <c r="AN3436">
        <v>-116.742268</v>
      </c>
      <c r="AO3436">
        <v>25</v>
      </c>
      <c r="AP3436">
        <v>4200</v>
      </c>
      <c r="AQ3436" t="s">
        <v>129</v>
      </c>
      <c r="AR3436">
        <v>106</v>
      </c>
      <c r="AS3436">
        <v>37</v>
      </c>
      <c r="AT3436">
        <v>1216</v>
      </c>
      <c r="BB3436">
        <v>1200</v>
      </c>
      <c r="BC3436">
        <v>1</v>
      </c>
      <c r="BD3436" t="str">
        <f t="shared" si="1241"/>
        <v xml:space="preserve">N887QR  </v>
      </c>
      <c r="BE3436">
        <v>1</v>
      </c>
      <c r="BG3436">
        <v>0</v>
      </c>
      <c r="BH3436">
        <v>0</v>
      </c>
      <c r="BI3436">
        <v>0</v>
      </c>
      <c r="BJ3436">
        <v>4025</v>
      </c>
      <c r="BK3436">
        <v>-175</v>
      </c>
      <c r="BL3436" t="s">
        <v>163</v>
      </c>
      <c r="BM3436">
        <v>1</v>
      </c>
      <c r="BN3436">
        <v>1</v>
      </c>
      <c r="BO3436">
        <v>1</v>
      </c>
      <c r="BP3436">
        <v>0</v>
      </c>
      <c r="BS3436">
        <v>0</v>
      </c>
      <c r="BT3436">
        <v>0</v>
      </c>
      <c r="BU3436">
        <v>0</v>
      </c>
      <c r="CE3436" t="str">
        <f t="shared" si="1256"/>
        <v>19:34:47.045</v>
      </c>
      <c r="CF3436">
        <v>45184015</v>
      </c>
      <c r="CS3436">
        <v>0</v>
      </c>
      <c r="CT3436">
        <v>2</v>
      </c>
      <c r="CU3436">
        <v>0</v>
      </c>
      <c r="CV3436">
        <v>2</v>
      </c>
      <c r="CW3436">
        <v>0</v>
      </c>
      <c r="CX3436">
        <v>5</v>
      </c>
      <c r="CY3436">
        <v>7</v>
      </c>
      <c r="CZ3436" t="s">
        <v>131</v>
      </c>
      <c r="DA3436">
        <v>286</v>
      </c>
      <c r="DB3436">
        <v>0</v>
      </c>
      <c r="DC3436" t="s">
        <v>132</v>
      </c>
      <c r="DD3436" t="s">
        <v>133</v>
      </c>
      <c r="DG3436">
        <v>878651</v>
      </c>
      <c r="DI3436">
        <v>0</v>
      </c>
      <c r="DJ3436">
        <v>0</v>
      </c>
      <c r="DK3436">
        <v>1</v>
      </c>
      <c r="DL3436">
        <v>0</v>
      </c>
      <c r="DM3436">
        <v>0</v>
      </c>
      <c r="DN3436">
        <v>1</v>
      </c>
      <c r="DO3436">
        <v>0</v>
      </c>
      <c r="DP3436">
        <v>0</v>
      </c>
      <c r="DQ3436">
        <v>0</v>
      </c>
      <c r="DR3436">
        <v>0</v>
      </c>
      <c r="DS3436">
        <v>0</v>
      </c>
    </row>
    <row r="3437" spans="1:123" x14ac:dyDescent="0.3">
      <c r="A3437" t="str">
        <f>"10/04/2022 19:34:47.448"</f>
        <v>10/04/2022 19:34:47.448</v>
      </c>
      <c r="C3437" t="str">
        <f t="shared" si="1254"/>
        <v>FFDFD3C0</v>
      </c>
      <c r="D3437" t="s">
        <v>141</v>
      </c>
      <c r="E3437">
        <v>3</v>
      </c>
      <c r="H3437">
        <v>3</v>
      </c>
      <c r="I3437" t="s">
        <v>146</v>
      </c>
      <c r="J3437" t="s">
        <v>138</v>
      </c>
      <c r="K3437">
        <v>0</v>
      </c>
      <c r="L3437">
        <v>3</v>
      </c>
      <c r="M3437">
        <v>0</v>
      </c>
      <c r="N3437">
        <v>2</v>
      </c>
      <c r="O3437">
        <v>0</v>
      </c>
      <c r="P3437">
        <v>1</v>
      </c>
      <c r="Q3437">
        <v>0</v>
      </c>
      <c r="S3437" t="str">
        <f t="shared" si="1255"/>
        <v>19:34:47.000</v>
      </c>
      <c r="T3437" t="str">
        <f t="shared" si="1255"/>
        <v>19:34:47.000</v>
      </c>
      <c r="U3437" t="str">
        <f t="shared" si="1240"/>
        <v>AC3944</v>
      </c>
      <c r="V3437">
        <v>0</v>
      </c>
      <c r="W3437">
        <v>0</v>
      </c>
      <c r="X3437">
        <v>2</v>
      </c>
      <c r="Y3437">
        <v>0</v>
      </c>
      <c r="AA3437">
        <v>1</v>
      </c>
      <c r="AB3437">
        <v>8</v>
      </c>
      <c r="AC3437">
        <v>3</v>
      </c>
      <c r="AD3437">
        <v>0</v>
      </c>
      <c r="AE3437">
        <v>9</v>
      </c>
      <c r="AF3437" t="s">
        <v>138</v>
      </c>
      <c r="AG3437">
        <v>0</v>
      </c>
      <c r="AH3437">
        <v>3</v>
      </c>
      <c r="AI3437">
        <v>1</v>
      </c>
      <c r="AJ3437">
        <v>0</v>
      </c>
      <c r="AK3437" t="s">
        <v>1130</v>
      </c>
      <c r="AL3437">
        <v>32.730803000000002</v>
      </c>
      <c r="AM3437" t="s">
        <v>1131</v>
      </c>
      <c r="AN3437">
        <v>-116.742268</v>
      </c>
      <c r="AO3437">
        <v>25</v>
      </c>
      <c r="AP3437">
        <v>4200</v>
      </c>
      <c r="AQ3437" t="s">
        <v>129</v>
      </c>
      <c r="AR3437">
        <v>106</v>
      </c>
      <c r="AS3437">
        <v>37</v>
      </c>
      <c r="AT3437">
        <v>1216</v>
      </c>
      <c r="BB3437">
        <v>1200</v>
      </c>
      <c r="BC3437">
        <v>1</v>
      </c>
      <c r="BD3437" t="str">
        <f t="shared" si="1241"/>
        <v xml:space="preserve">N887QR  </v>
      </c>
      <c r="BE3437">
        <v>1</v>
      </c>
      <c r="BG3437">
        <v>0</v>
      </c>
      <c r="BH3437">
        <v>0</v>
      </c>
      <c r="BI3437">
        <v>0</v>
      </c>
      <c r="BJ3437">
        <v>4025</v>
      </c>
      <c r="BK3437">
        <v>-175</v>
      </c>
      <c r="BL3437" t="s">
        <v>163</v>
      </c>
      <c r="BM3437">
        <v>1</v>
      </c>
      <c r="BN3437">
        <v>1</v>
      </c>
      <c r="BO3437">
        <v>1</v>
      </c>
      <c r="BP3437">
        <v>0</v>
      </c>
      <c r="BS3437">
        <v>0</v>
      </c>
      <c r="BT3437">
        <v>0</v>
      </c>
      <c r="BU3437">
        <v>0</v>
      </c>
      <c r="CE3437" t="str">
        <f t="shared" si="1256"/>
        <v>19:34:47.045</v>
      </c>
      <c r="CF3437">
        <v>45184015</v>
      </c>
      <c r="CS3437">
        <v>0</v>
      </c>
      <c r="CT3437">
        <v>2</v>
      </c>
      <c r="CU3437">
        <v>0</v>
      </c>
      <c r="CV3437">
        <v>2</v>
      </c>
      <c r="CW3437">
        <v>0</v>
      </c>
      <c r="CX3437">
        <v>5</v>
      </c>
      <c r="CY3437">
        <v>7</v>
      </c>
      <c r="CZ3437" t="s">
        <v>131</v>
      </c>
      <c r="DA3437">
        <v>286</v>
      </c>
      <c r="DB3437">
        <v>0</v>
      </c>
      <c r="DC3437" t="s">
        <v>132</v>
      </c>
      <c r="DD3437" t="s">
        <v>133</v>
      </c>
      <c r="DG3437">
        <v>878651</v>
      </c>
      <c r="DI3437">
        <v>0</v>
      </c>
      <c r="DJ3437">
        <v>0</v>
      </c>
      <c r="DK3437">
        <v>1</v>
      </c>
      <c r="DL3437">
        <v>0</v>
      </c>
      <c r="DM3437">
        <v>0</v>
      </c>
      <c r="DN3437">
        <v>1</v>
      </c>
      <c r="DO3437">
        <v>0</v>
      </c>
      <c r="DP3437">
        <v>0</v>
      </c>
      <c r="DQ3437">
        <v>0</v>
      </c>
      <c r="DR3437">
        <v>0</v>
      </c>
      <c r="DS3437">
        <v>0</v>
      </c>
    </row>
    <row r="3438" spans="1:123" x14ac:dyDescent="0.3">
      <c r="A3438" t="str">
        <f>"10/04/2022 19:34:47.448"</f>
        <v>10/04/2022 19:34:47.448</v>
      </c>
      <c r="C3438" t="str">
        <f t="shared" si="1254"/>
        <v>FFDFD3C0</v>
      </c>
      <c r="D3438" t="s">
        <v>147</v>
      </c>
      <c r="E3438">
        <v>3</v>
      </c>
      <c r="H3438">
        <v>166</v>
      </c>
      <c r="I3438" t="s">
        <v>144</v>
      </c>
      <c r="J3438" t="s">
        <v>148</v>
      </c>
      <c r="K3438">
        <v>0</v>
      </c>
      <c r="L3438">
        <v>3</v>
      </c>
      <c r="M3438">
        <v>0</v>
      </c>
      <c r="N3438">
        <v>2</v>
      </c>
      <c r="O3438">
        <v>0</v>
      </c>
      <c r="P3438">
        <v>1</v>
      </c>
      <c r="Q3438">
        <v>0</v>
      </c>
      <c r="S3438" t="str">
        <f t="shared" si="1255"/>
        <v>19:34:47.000</v>
      </c>
      <c r="T3438" t="str">
        <f t="shared" si="1255"/>
        <v>19:34:47.000</v>
      </c>
      <c r="U3438" t="str">
        <f t="shared" si="1240"/>
        <v>AC3944</v>
      </c>
      <c r="V3438">
        <v>0</v>
      </c>
      <c r="W3438">
        <v>0</v>
      </c>
      <c r="X3438">
        <v>2</v>
      </c>
      <c r="Y3438">
        <v>0</v>
      </c>
      <c r="AA3438">
        <v>1</v>
      </c>
      <c r="AB3438">
        <v>8</v>
      </c>
      <c r="AC3438">
        <v>3</v>
      </c>
      <c r="AD3438">
        <v>0</v>
      </c>
      <c r="AE3438">
        <v>9</v>
      </c>
      <c r="AF3438" t="s">
        <v>138</v>
      </c>
      <c r="AG3438">
        <v>0</v>
      </c>
      <c r="AH3438">
        <v>3</v>
      </c>
      <c r="AI3438">
        <v>1</v>
      </c>
      <c r="AJ3438">
        <v>0</v>
      </c>
      <c r="AK3438" t="s">
        <v>1130</v>
      </c>
      <c r="AL3438">
        <v>32.730803000000002</v>
      </c>
      <c r="AM3438" t="s">
        <v>1131</v>
      </c>
      <c r="AN3438">
        <v>-116.742268</v>
      </c>
      <c r="AO3438">
        <v>25</v>
      </c>
      <c r="AP3438">
        <v>4200</v>
      </c>
      <c r="AQ3438" t="s">
        <v>129</v>
      </c>
      <c r="AR3438">
        <v>106</v>
      </c>
      <c r="AS3438">
        <v>37</v>
      </c>
      <c r="AT3438">
        <v>1216</v>
      </c>
      <c r="BB3438">
        <v>1200</v>
      </c>
      <c r="BC3438">
        <v>1</v>
      </c>
      <c r="BD3438" t="str">
        <f t="shared" si="1241"/>
        <v xml:space="preserve">N887QR  </v>
      </c>
      <c r="BE3438">
        <v>1</v>
      </c>
      <c r="BG3438">
        <v>0</v>
      </c>
      <c r="BH3438">
        <v>0</v>
      </c>
      <c r="BI3438">
        <v>0</v>
      </c>
      <c r="BJ3438">
        <v>4025</v>
      </c>
      <c r="BK3438">
        <v>-175</v>
      </c>
      <c r="BL3438" t="s">
        <v>163</v>
      </c>
      <c r="BM3438">
        <v>1</v>
      </c>
      <c r="BN3438">
        <v>1</v>
      </c>
      <c r="BO3438">
        <v>1</v>
      </c>
      <c r="BP3438">
        <v>0</v>
      </c>
      <c r="BS3438">
        <v>0</v>
      </c>
      <c r="BT3438">
        <v>0</v>
      </c>
      <c r="BU3438">
        <v>0</v>
      </c>
      <c r="CE3438" t="str">
        <f t="shared" si="1256"/>
        <v>19:34:47.045</v>
      </c>
      <c r="CF3438">
        <v>45184015</v>
      </c>
      <c r="CS3438">
        <v>0</v>
      </c>
      <c r="CT3438">
        <v>2</v>
      </c>
      <c r="CU3438">
        <v>0</v>
      </c>
      <c r="CV3438">
        <v>2</v>
      </c>
      <c r="CW3438">
        <v>0</v>
      </c>
      <c r="CX3438">
        <v>5</v>
      </c>
      <c r="CY3438">
        <v>7</v>
      </c>
      <c r="CZ3438" t="s">
        <v>131</v>
      </c>
      <c r="DA3438">
        <v>286</v>
      </c>
      <c r="DB3438">
        <v>0</v>
      </c>
      <c r="DC3438" t="s">
        <v>132</v>
      </c>
      <c r="DD3438" t="s">
        <v>133</v>
      </c>
      <c r="DG3438">
        <v>878651</v>
      </c>
      <c r="DI3438">
        <v>0</v>
      </c>
      <c r="DJ3438">
        <v>0</v>
      </c>
      <c r="DK3438">
        <v>1</v>
      </c>
      <c r="DL3438">
        <v>0</v>
      </c>
      <c r="DM3438">
        <v>0</v>
      </c>
      <c r="DN3438">
        <v>1</v>
      </c>
      <c r="DO3438">
        <v>0</v>
      </c>
      <c r="DP3438">
        <v>0</v>
      </c>
      <c r="DQ3438">
        <v>0</v>
      </c>
      <c r="DR3438">
        <v>0</v>
      </c>
      <c r="DS3438">
        <v>0</v>
      </c>
    </row>
    <row r="3439" spans="1:123" x14ac:dyDescent="0.3">
      <c r="A3439" t="str">
        <f>"10/04/2022 19:34:47.448"</f>
        <v>10/04/2022 19:34:47.448</v>
      </c>
      <c r="C3439" t="str">
        <f t="shared" si="1254"/>
        <v>FFDFD3C0</v>
      </c>
      <c r="D3439" t="s">
        <v>143</v>
      </c>
      <c r="E3439">
        <v>20</v>
      </c>
      <c r="F3439">
        <v>1020</v>
      </c>
      <c r="G3439" t="s">
        <v>144</v>
      </c>
      <c r="J3439" t="s">
        <v>145</v>
      </c>
      <c r="K3439">
        <v>0</v>
      </c>
      <c r="L3439">
        <v>3</v>
      </c>
      <c r="M3439">
        <v>0</v>
      </c>
      <c r="N3439">
        <v>2</v>
      </c>
      <c r="O3439">
        <v>0</v>
      </c>
      <c r="P3439">
        <v>1</v>
      </c>
      <c r="Q3439">
        <v>0</v>
      </c>
      <c r="S3439" t="str">
        <f t="shared" si="1255"/>
        <v>19:34:47.000</v>
      </c>
      <c r="T3439" t="str">
        <f t="shared" si="1255"/>
        <v>19:34:47.000</v>
      </c>
      <c r="U3439" t="str">
        <f t="shared" si="1240"/>
        <v>AC3944</v>
      </c>
      <c r="V3439">
        <v>0</v>
      </c>
      <c r="W3439">
        <v>0</v>
      </c>
      <c r="X3439">
        <v>2</v>
      </c>
      <c r="Y3439">
        <v>0</v>
      </c>
      <c r="AA3439">
        <v>1</v>
      </c>
      <c r="AB3439">
        <v>8</v>
      </c>
      <c r="AC3439">
        <v>3</v>
      </c>
      <c r="AD3439">
        <v>0</v>
      </c>
      <c r="AE3439">
        <v>9</v>
      </c>
      <c r="AF3439" t="s">
        <v>138</v>
      </c>
      <c r="AG3439">
        <v>0</v>
      </c>
      <c r="AH3439">
        <v>3</v>
      </c>
      <c r="AI3439">
        <v>1</v>
      </c>
      <c r="AJ3439">
        <v>0</v>
      </c>
      <c r="AK3439" t="s">
        <v>1130</v>
      </c>
      <c r="AL3439">
        <v>32.730803000000002</v>
      </c>
      <c r="AM3439" t="s">
        <v>1131</v>
      </c>
      <c r="AN3439">
        <v>-116.742268</v>
      </c>
      <c r="AO3439">
        <v>25</v>
      </c>
      <c r="AP3439">
        <v>4200</v>
      </c>
      <c r="AQ3439" t="s">
        <v>129</v>
      </c>
      <c r="AR3439">
        <v>106</v>
      </c>
      <c r="AS3439">
        <v>37</v>
      </c>
      <c r="AT3439">
        <v>1216</v>
      </c>
      <c r="BB3439">
        <v>1200</v>
      </c>
      <c r="BC3439">
        <v>1</v>
      </c>
      <c r="BD3439" t="str">
        <f t="shared" si="1241"/>
        <v xml:space="preserve">N887QR  </v>
      </c>
      <c r="BE3439">
        <v>1</v>
      </c>
      <c r="BG3439">
        <v>0</v>
      </c>
      <c r="BH3439">
        <v>0</v>
      </c>
      <c r="BI3439">
        <v>0</v>
      </c>
      <c r="BJ3439">
        <v>4025</v>
      </c>
      <c r="BK3439">
        <v>-175</v>
      </c>
      <c r="BL3439" t="s">
        <v>163</v>
      </c>
      <c r="BM3439">
        <v>1</v>
      </c>
      <c r="BN3439">
        <v>1</v>
      </c>
      <c r="BO3439">
        <v>1</v>
      </c>
      <c r="BP3439">
        <v>0</v>
      </c>
      <c r="BS3439">
        <v>0.04</v>
      </c>
      <c r="BT3439">
        <v>0</v>
      </c>
      <c r="BU3439">
        <v>0</v>
      </c>
      <c r="CE3439" t="str">
        <f t="shared" si="1256"/>
        <v>19:34:47.045</v>
      </c>
      <c r="CF3439">
        <v>45184015</v>
      </c>
      <c r="CS3439">
        <v>0</v>
      </c>
      <c r="CT3439">
        <v>2</v>
      </c>
      <c r="CU3439">
        <v>0</v>
      </c>
      <c r="CV3439">
        <v>2</v>
      </c>
      <c r="CW3439">
        <v>0</v>
      </c>
      <c r="CX3439">
        <v>5</v>
      </c>
      <c r="CY3439">
        <v>7</v>
      </c>
      <c r="CZ3439" t="s">
        <v>131</v>
      </c>
      <c r="DA3439">
        <v>286</v>
      </c>
      <c r="DB3439">
        <v>0</v>
      </c>
      <c r="DC3439" t="s">
        <v>132</v>
      </c>
      <c r="DD3439" t="s">
        <v>133</v>
      </c>
      <c r="DG3439">
        <v>878651</v>
      </c>
      <c r="DI3439">
        <v>0</v>
      </c>
      <c r="DJ3439">
        <v>0</v>
      </c>
      <c r="DK3439">
        <v>1</v>
      </c>
      <c r="DL3439">
        <v>0</v>
      </c>
      <c r="DM3439">
        <v>0</v>
      </c>
      <c r="DN3439">
        <v>1</v>
      </c>
      <c r="DO3439">
        <v>0</v>
      </c>
      <c r="DP3439">
        <v>0</v>
      </c>
      <c r="DQ3439">
        <v>0</v>
      </c>
      <c r="DR3439">
        <v>0</v>
      </c>
      <c r="DS3439">
        <v>0</v>
      </c>
    </row>
    <row r="3440" spans="1:123" x14ac:dyDescent="0.3">
      <c r="A3440" t="str">
        <f>"10/04/2022 19:34:47.464"</f>
        <v>10/04/2022 19:34:47.464</v>
      </c>
      <c r="C3440" t="str">
        <f t="shared" si="1254"/>
        <v>FFDFD3C0</v>
      </c>
      <c r="D3440" t="s">
        <v>123</v>
      </c>
      <c r="E3440">
        <v>7</v>
      </c>
      <c r="F3440">
        <v>2007</v>
      </c>
      <c r="G3440" t="s">
        <v>124</v>
      </c>
      <c r="J3440" t="s">
        <v>125</v>
      </c>
      <c r="K3440">
        <v>0</v>
      </c>
      <c r="L3440">
        <v>3</v>
      </c>
      <c r="M3440">
        <v>0</v>
      </c>
      <c r="N3440">
        <v>2</v>
      </c>
      <c r="O3440">
        <v>0</v>
      </c>
      <c r="P3440">
        <v>1</v>
      </c>
      <c r="Q3440">
        <v>0</v>
      </c>
      <c r="S3440" t="str">
        <f t="shared" si="1255"/>
        <v>19:34:47.000</v>
      </c>
      <c r="T3440" t="str">
        <f t="shared" si="1255"/>
        <v>19:34:47.000</v>
      </c>
      <c r="U3440" t="str">
        <f t="shared" si="1240"/>
        <v>AC3944</v>
      </c>
      <c r="V3440">
        <v>0</v>
      </c>
      <c r="W3440">
        <v>0</v>
      </c>
      <c r="X3440">
        <v>2</v>
      </c>
      <c r="Y3440">
        <v>0</v>
      </c>
      <c r="AA3440">
        <v>1</v>
      </c>
      <c r="AB3440">
        <v>8</v>
      </c>
      <c r="AC3440">
        <v>3</v>
      </c>
      <c r="AD3440">
        <v>0</v>
      </c>
      <c r="AE3440">
        <v>9</v>
      </c>
      <c r="AF3440" t="s">
        <v>138</v>
      </c>
      <c r="AG3440">
        <v>0</v>
      </c>
      <c r="AH3440">
        <v>3</v>
      </c>
      <c r="AI3440">
        <v>1</v>
      </c>
      <c r="AJ3440">
        <v>0</v>
      </c>
      <c r="AK3440" t="s">
        <v>1130</v>
      </c>
      <c r="AL3440">
        <v>32.730803000000002</v>
      </c>
      <c r="AM3440" t="s">
        <v>1131</v>
      </c>
      <c r="AN3440">
        <v>-116.742268</v>
      </c>
      <c r="AO3440">
        <v>25</v>
      </c>
      <c r="AP3440">
        <v>4200</v>
      </c>
      <c r="AQ3440" t="s">
        <v>129</v>
      </c>
      <c r="AR3440">
        <v>106</v>
      </c>
      <c r="AS3440">
        <v>37</v>
      </c>
      <c r="AT3440">
        <v>1216</v>
      </c>
      <c r="BB3440">
        <v>1200</v>
      </c>
      <c r="BC3440">
        <v>1</v>
      </c>
      <c r="BD3440" t="str">
        <f t="shared" si="1241"/>
        <v xml:space="preserve">N887QR  </v>
      </c>
      <c r="BE3440">
        <v>1</v>
      </c>
      <c r="BG3440">
        <v>0</v>
      </c>
      <c r="BH3440">
        <v>0</v>
      </c>
      <c r="BI3440">
        <v>0</v>
      </c>
      <c r="BJ3440">
        <v>4025</v>
      </c>
      <c r="BK3440">
        <v>-175</v>
      </c>
      <c r="BL3440" t="s">
        <v>163</v>
      </c>
      <c r="BM3440">
        <v>1</v>
      </c>
      <c r="BN3440">
        <v>1</v>
      </c>
      <c r="BO3440">
        <v>1</v>
      </c>
      <c r="BP3440">
        <v>0</v>
      </c>
      <c r="BS3440">
        <v>0.04</v>
      </c>
      <c r="BT3440">
        <v>0</v>
      </c>
      <c r="BU3440">
        <v>0</v>
      </c>
      <c r="CE3440" t="str">
        <f t="shared" si="1256"/>
        <v>19:34:47.045</v>
      </c>
      <c r="CF3440">
        <v>45184015</v>
      </c>
      <c r="CS3440">
        <v>0</v>
      </c>
      <c r="CT3440">
        <v>2</v>
      </c>
      <c r="CU3440">
        <v>0</v>
      </c>
      <c r="CV3440">
        <v>2</v>
      </c>
      <c r="CW3440">
        <v>0</v>
      </c>
      <c r="CX3440">
        <v>5</v>
      </c>
      <c r="CY3440">
        <v>7</v>
      </c>
      <c r="CZ3440" t="s">
        <v>131</v>
      </c>
      <c r="DA3440">
        <v>286</v>
      </c>
      <c r="DB3440">
        <v>0</v>
      </c>
      <c r="DC3440" t="s">
        <v>132</v>
      </c>
      <c r="DD3440" t="s">
        <v>133</v>
      </c>
      <c r="DG3440">
        <v>878651</v>
      </c>
      <c r="DI3440">
        <v>0</v>
      </c>
      <c r="DJ3440">
        <v>0</v>
      </c>
      <c r="DK3440">
        <v>1</v>
      </c>
      <c r="DL3440">
        <v>0</v>
      </c>
      <c r="DM3440">
        <v>0</v>
      </c>
      <c r="DN3440">
        <v>1</v>
      </c>
      <c r="DO3440">
        <v>0</v>
      </c>
      <c r="DP3440">
        <v>0</v>
      </c>
      <c r="DQ3440">
        <v>0</v>
      </c>
      <c r="DR3440">
        <v>0</v>
      </c>
      <c r="DS3440">
        <v>0</v>
      </c>
    </row>
    <row r="3441" spans="1:123" x14ac:dyDescent="0.3">
      <c r="A3441" t="str">
        <f>"10/04/2022 19:34:47.464"</f>
        <v>10/04/2022 19:34:47.464</v>
      </c>
      <c r="C3441" t="str">
        <f t="shared" si="1254"/>
        <v>FFDFD3C0</v>
      </c>
      <c r="D3441" t="s">
        <v>134</v>
      </c>
      <c r="E3441">
        <v>15</v>
      </c>
      <c r="J3441" t="s">
        <v>135</v>
      </c>
      <c r="K3441">
        <v>0</v>
      </c>
      <c r="L3441">
        <v>3</v>
      </c>
      <c r="M3441">
        <v>0</v>
      </c>
      <c r="N3441">
        <v>2</v>
      </c>
      <c r="O3441">
        <v>0</v>
      </c>
      <c r="P3441">
        <v>1</v>
      </c>
      <c r="Q3441">
        <v>0</v>
      </c>
      <c r="S3441" t="str">
        <f t="shared" si="1255"/>
        <v>19:34:47.000</v>
      </c>
      <c r="T3441" t="str">
        <f t="shared" si="1255"/>
        <v>19:34:47.000</v>
      </c>
      <c r="U3441" t="str">
        <f t="shared" si="1240"/>
        <v>AC3944</v>
      </c>
      <c r="V3441">
        <v>0</v>
      </c>
      <c r="W3441">
        <v>0</v>
      </c>
      <c r="X3441">
        <v>2</v>
      </c>
      <c r="Y3441">
        <v>0</v>
      </c>
      <c r="AA3441">
        <v>1</v>
      </c>
      <c r="AB3441">
        <v>8</v>
      </c>
      <c r="AC3441">
        <v>3</v>
      </c>
      <c r="AD3441">
        <v>0</v>
      </c>
      <c r="AE3441">
        <v>9</v>
      </c>
      <c r="AF3441" t="s">
        <v>138</v>
      </c>
      <c r="AG3441">
        <v>0</v>
      </c>
      <c r="AH3441">
        <v>3</v>
      </c>
      <c r="AI3441">
        <v>1</v>
      </c>
      <c r="AJ3441">
        <v>0</v>
      </c>
      <c r="AK3441" t="s">
        <v>1130</v>
      </c>
      <c r="AL3441">
        <v>32.730803000000002</v>
      </c>
      <c r="AM3441" t="s">
        <v>1131</v>
      </c>
      <c r="AN3441">
        <v>-116.742268</v>
      </c>
      <c r="AO3441">
        <v>25</v>
      </c>
      <c r="AP3441">
        <v>4200</v>
      </c>
      <c r="AQ3441" t="s">
        <v>129</v>
      </c>
      <c r="AR3441">
        <v>106</v>
      </c>
      <c r="AS3441">
        <v>37</v>
      </c>
      <c r="AT3441">
        <v>1216</v>
      </c>
      <c r="BB3441">
        <v>1200</v>
      </c>
      <c r="BC3441">
        <v>1</v>
      </c>
      <c r="BD3441" t="str">
        <f t="shared" si="1241"/>
        <v xml:space="preserve">N887QR  </v>
      </c>
      <c r="BE3441">
        <v>1</v>
      </c>
      <c r="BG3441">
        <v>0</v>
      </c>
      <c r="BH3441">
        <v>0</v>
      </c>
      <c r="BI3441">
        <v>0</v>
      </c>
      <c r="BJ3441">
        <v>4025</v>
      </c>
      <c r="BK3441">
        <v>-175</v>
      </c>
      <c r="BL3441" t="s">
        <v>163</v>
      </c>
      <c r="BM3441">
        <v>1</v>
      </c>
      <c r="BN3441">
        <v>1</v>
      </c>
      <c r="BO3441">
        <v>1</v>
      </c>
      <c r="BP3441">
        <v>0</v>
      </c>
      <c r="BS3441">
        <v>0.04</v>
      </c>
      <c r="BT3441">
        <v>0</v>
      </c>
      <c r="BU3441">
        <v>0</v>
      </c>
      <c r="CE3441" t="str">
        <f t="shared" si="1256"/>
        <v>19:34:47.045</v>
      </c>
      <c r="CF3441">
        <v>45184015</v>
      </c>
      <c r="CS3441">
        <v>0</v>
      </c>
      <c r="CT3441">
        <v>2</v>
      </c>
      <c r="CU3441">
        <v>0</v>
      </c>
      <c r="CV3441">
        <v>2</v>
      </c>
      <c r="CW3441">
        <v>0</v>
      </c>
      <c r="CX3441">
        <v>5</v>
      </c>
      <c r="CY3441">
        <v>7</v>
      </c>
      <c r="CZ3441" t="s">
        <v>131</v>
      </c>
      <c r="DA3441">
        <v>286</v>
      </c>
      <c r="DB3441">
        <v>0</v>
      </c>
      <c r="DC3441" t="s">
        <v>132</v>
      </c>
      <c r="DD3441" t="s">
        <v>133</v>
      </c>
      <c r="DG3441">
        <v>878651</v>
      </c>
      <c r="DI3441">
        <v>0</v>
      </c>
      <c r="DJ3441">
        <v>0</v>
      </c>
      <c r="DK3441">
        <v>1</v>
      </c>
      <c r="DL3441">
        <v>0</v>
      </c>
      <c r="DM3441">
        <v>0</v>
      </c>
      <c r="DN3441">
        <v>1</v>
      </c>
      <c r="DO3441">
        <v>0</v>
      </c>
      <c r="DP3441">
        <v>0</v>
      </c>
      <c r="DQ3441">
        <v>0</v>
      </c>
      <c r="DR3441">
        <v>0</v>
      </c>
      <c r="DS3441">
        <v>0</v>
      </c>
    </row>
    <row r="3442" spans="1:123" x14ac:dyDescent="0.3">
      <c r="A3442" t="str">
        <f t="shared" ref="A3442:A3448" si="1257">"10/04/2022 19:34:48.058"</f>
        <v>10/04/2022 19:34:48.058</v>
      </c>
      <c r="C3442" t="str">
        <f t="shared" si="1254"/>
        <v>FFDFD3C0</v>
      </c>
      <c r="D3442" t="s">
        <v>136</v>
      </c>
      <c r="E3442">
        <v>8</v>
      </c>
      <c r="H3442">
        <v>225</v>
      </c>
      <c r="I3442" t="s">
        <v>137</v>
      </c>
      <c r="J3442" t="s">
        <v>138</v>
      </c>
      <c r="K3442">
        <v>0</v>
      </c>
      <c r="L3442">
        <v>3</v>
      </c>
      <c r="M3442">
        <v>0</v>
      </c>
      <c r="N3442">
        <v>2</v>
      </c>
      <c r="O3442">
        <v>0</v>
      </c>
      <c r="P3442">
        <v>1</v>
      </c>
      <c r="Q3442">
        <v>0</v>
      </c>
      <c r="S3442" t="str">
        <f t="shared" si="1255"/>
        <v>19:34:47.000</v>
      </c>
      <c r="T3442" t="str">
        <f t="shared" si="1255"/>
        <v>19:34:47.000</v>
      </c>
      <c r="U3442" t="str">
        <f t="shared" si="1240"/>
        <v>AC3944</v>
      </c>
      <c r="V3442">
        <v>0</v>
      </c>
      <c r="W3442">
        <v>0</v>
      </c>
      <c r="X3442">
        <v>2</v>
      </c>
      <c r="Y3442">
        <v>0</v>
      </c>
      <c r="AA3442">
        <v>1</v>
      </c>
      <c r="AB3442">
        <v>8</v>
      </c>
      <c r="AC3442">
        <v>3</v>
      </c>
      <c r="AD3442">
        <v>0</v>
      </c>
      <c r="AE3442">
        <v>9</v>
      </c>
      <c r="AF3442" t="s">
        <v>138</v>
      </c>
      <c r="AG3442">
        <v>0</v>
      </c>
      <c r="AH3442">
        <v>3</v>
      </c>
      <c r="AI3442">
        <v>1</v>
      </c>
      <c r="AJ3442">
        <v>0</v>
      </c>
      <c r="AK3442" t="s">
        <v>1132</v>
      </c>
      <c r="AL3442">
        <v>32.730975000000001</v>
      </c>
      <c r="AM3442" t="s">
        <v>1133</v>
      </c>
      <c r="AN3442">
        <v>-116.74166700000001</v>
      </c>
      <c r="AO3442">
        <v>25</v>
      </c>
      <c r="AP3442">
        <v>4200</v>
      </c>
      <c r="AQ3442" t="s">
        <v>129</v>
      </c>
      <c r="AR3442">
        <v>107</v>
      </c>
      <c r="AS3442">
        <v>37</v>
      </c>
      <c r="AT3442">
        <v>1216</v>
      </c>
      <c r="BB3442">
        <v>1200</v>
      </c>
      <c r="BC3442">
        <v>1</v>
      </c>
      <c r="BD3442" t="str">
        <f t="shared" si="1241"/>
        <v xml:space="preserve">N887QR  </v>
      </c>
      <c r="BE3442">
        <v>1</v>
      </c>
      <c r="BG3442">
        <v>0</v>
      </c>
      <c r="BH3442">
        <v>0</v>
      </c>
      <c r="BI3442">
        <v>0</v>
      </c>
      <c r="BJ3442">
        <v>4025</v>
      </c>
      <c r="BK3442">
        <v>-175</v>
      </c>
      <c r="BL3442" t="s">
        <v>163</v>
      </c>
      <c r="BM3442">
        <v>1</v>
      </c>
      <c r="BN3442">
        <v>1</v>
      </c>
      <c r="BO3442">
        <v>1</v>
      </c>
      <c r="BP3442">
        <v>0</v>
      </c>
      <c r="BS3442">
        <v>0</v>
      </c>
      <c r="BT3442">
        <v>0</v>
      </c>
      <c r="BU3442">
        <v>0</v>
      </c>
      <c r="CE3442" t="str">
        <f t="shared" ref="CE3442:CE3448" si="1258">"19:34:47.802"</f>
        <v>19:34:47.802</v>
      </c>
      <c r="CF3442">
        <v>802186539</v>
      </c>
      <c r="CS3442">
        <v>0</v>
      </c>
      <c r="CT3442">
        <v>2</v>
      </c>
      <c r="CU3442">
        <v>0</v>
      </c>
      <c r="CV3442">
        <v>2</v>
      </c>
      <c r="CW3442">
        <v>0</v>
      </c>
      <c r="CX3442">
        <v>5</v>
      </c>
      <c r="CY3442">
        <v>7</v>
      </c>
      <c r="CZ3442" t="s">
        <v>131</v>
      </c>
      <c r="DA3442">
        <v>286</v>
      </c>
      <c r="DB3442">
        <v>0</v>
      </c>
      <c r="DC3442" t="s">
        <v>132</v>
      </c>
      <c r="DD3442" t="s">
        <v>133</v>
      </c>
      <c r="DG3442">
        <v>878802</v>
      </c>
      <c r="DI3442">
        <v>0</v>
      </c>
      <c r="DJ3442">
        <v>0</v>
      </c>
      <c r="DK3442">
        <v>0</v>
      </c>
      <c r="DL3442">
        <v>0</v>
      </c>
      <c r="DM3442">
        <v>0</v>
      </c>
      <c r="DN3442">
        <v>1</v>
      </c>
      <c r="DO3442">
        <v>0</v>
      </c>
      <c r="DP3442">
        <v>0</v>
      </c>
      <c r="DQ3442">
        <v>0</v>
      </c>
      <c r="DR3442">
        <v>0</v>
      </c>
      <c r="DS3442">
        <v>0</v>
      </c>
    </row>
    <row r="3443" spans="1:123" x14ac:dyDescent="0.3">
      <c r="A3443" t="str">
        <f t="shared" si="1257"/>
        <v>10/04/2022 19:34:48.058</v>
      </c>
      <c r="C3443" t="str">
        <f t="shared" si="1254"/>
        <v>FFDFD3C0</v>
      </c>
      <c r="D3443" t="s">
        <v>141</v>
      </c>
      <c r="E3443">
        <v>4</v>
      </c>
      <c r="H3443">
        <v>4</v>
      </c>
      <c r="I3443" t="s">
        <v>142</v>
      </c>
      <c r="J3443" t="s">
        <v>138</v>
      </c>
      <c r="K3443">
        <v>0</v>
      </c>
      <c r="L3443">
        <v>3</v>
      </c>
      <c r="M3443">
        <v>0</v>
      </c>
      <c r="N3443">
        <v>2</v>
      </c>
      <c r="O3443">
        <v>0</v>
      </c>
      <c r="P3443">
        <v>1</v>
      </c>
      <c r="Q3443">
        <v>0</v>
      </c>
      <c r="S3443" t="str">
        <f t="shared" si="1255"/>
        <v>19:34:47.000</v>
      </c>
      <c r="T3443" t="str">
        <f t="shared" si="1255"/>
        <v>19:34:47.000</v>
      </c>
      <c r="U3443" t="str">
        <f t="shared" si="1240"/>
        <v>AC3944</v>
      </c>
      <c r="V3443">
        <v>0</v>
      </c>
      <c r="W3443">
        <v>0</v>
      </c>
      <c r="X3443">
        <v>2</v>
      </c>
      <c r="Y3443">
        <v>0</v>
      </c>
      <c r="AA3443">
        <v>1</v>
      </c>
      <c r="AB3443">
        <v>8</v>
      </c>
      <c r="AC3443">
        <v>3</v>
      </c>
      <c r="AD3443">
        <v>0</v>
      </c>
      <c r="AE3443">
        <v>9</v>
      </c>
      <c r="AF3443" t="s">
        <v>138</v>
      </c>
      <c r="AG3443">
        <v>0</v>
      </c>
      <c r="AH3443">
        <v>3</v>
      </c>
      <c r="AI3443">
        <v>1</v>
      </c>
      <c r="AJ3443">
        <v>0</v>
      </c>
      <c r="AK3443" t="s">
        <v>1132</v>
      </c>
      <c r="AL3443">
        <v>32.730975000000001</v>
      </c>
      <c r="AM3443" t="s">
        <v>1133</v>
      </c>
      <c r="AN3443">
        <v>-116.74166700000001</v>
      </c>
      <c r="AO3443">
        <v>25</v>
      </c>
      <c r="AP3443">
        <v>4200</v>
      </c>
      <c r="AQ3443" t="s">
        <v>129</v>
      </c>
      <c r="AR3443">
        <v>107</v>
      </c>
      <c r="AS3443">
        <v>37</v>
      </c>
      <c r="AT3443">
        <v>1216</v>
      </c>
      <c r="BB3443">
        <v>1200</v>
      </c>
      <c r="BC3443">
        <v>1</v>
      </c>
      <c r="BD3443" t="str">
        <f t="shared" si="1241"/>
        <v xml:space="preserve">N887QR  </v>
      </c>
      <c r="BE3443">
        <v>1</v>
      </c>
      <c r="BG3443">
        <v>0</v>
      </c>
      <c r="BH3443">
        <v>0</v>
      </c>
      <c r="BI3443">
        <v>0</v>
      </c>
      <c r="BJ3443">
        <v>4025</v>
      </c>
      <c r="BK3443">
        <v>-175</v>
      </c>
      <c r="BL3443" t="s">
        <v>163</v>
      </c>
      <c r="BM3443">
        <v>1</v>
      </c>
      <c r="BN3443">
        <v>1</v>
      </c>
      <c r="BO3443">
        <v>1</v>
      </c>
      <c r="BP3443">
        <v>0</v>
      </c>
      <c r="BS3443">
        <v>0</v>
      </c>
      <c r="BT3443">
        <v>0</v>
      </c>
      <c r="BU3443">
        <v>0</v>
      </c>
      <c r="CE3443" t="str">
        <f t="shared" si="1258"/>
        <v>19:34:47.802</v>
      </c>
      <c r="CF3443">
        <v>802186539</v>
      </c>
      <c r="CS3443">
        <v>0</v>
      </c>
      <c r="CT3443">
        <v>2</v>
      </c>
      <c r="CU3443">
        <v>0</v>
      </c>
      <c r="CV3443">
        <v>2</v>
      </c>
      <c r="CW3443">
        <v>0</v>
      </c>
      <c r="CX3443">
        <v>5</v>
      </c>
      <c r="CY3443">
        <v>7</v>
      </c>
      <c r="CZ3443" t="s">
        <v>131</v>
      </c>
      <c r="DA3443">
        <v>286</v>
      </c>
      <c r="DB3443">
        <v>0</v>
      </c>
      <c r="DC3443" t="s">
        <v>132</v>
      </c>
      <c r="DD3443" t="s">
        <v>133</v>
      </c>
      <c r="DG3443">
        <v>878802</v>
      </c>
      <c r="DI3443">
        <v>0</v>
      </c>
      <c r="DJ3443">
        <v>0</v>
      </c>
      <c r="DK3443">
        <v>1</v>
      </c>
      <c r="DL3443">
        <v>0</v>
      </c>
      <c r="DM3443">
        <v>0</v>
      </c>
      <c r="DN3443">
        <v>1</v>
      </c>
      <c r="DO3443">
        <v>0</v>
      </c>
      <c r="DP3443">
        <v>0</v>
      </c>
      <c r="DQ3443">
        <v>0</v>
      </c>
      <c r="DR3443">
        <v>0</v>
      </c>
      <c r="DS3443">
        <v>0</v>
      </c>
    </row>
    <row r="3444" spans="1:123" x14ac:dyDescent="0.3">
      <c r="A3444" t="str">
        <f t="shared" si="1257"/>
        <v>10/04/2022 19:34:48.058</v>
      </c>
      <c r="C3444" t="str">
        <f t="shared" si="1254"/>
        <v>FFDFD3C0</v>
      </c>
      <c r="D3444" t="s">
        <v>141</v>
      </c>
      <c r="E3444">
        <v>3</v>
      </c>
      <c r="H3444">
        <v>3</v>
      </c>
      <c r="I3444" t="s">
        <v>146</v>
      </c>
      <c r="J3444" t="s">
        <v>138</v>
      </c>
      <c r="K3444">
        <v>0</v>
      </c>
      <c r="L3444">
        <v>3</v>
      </c>
      <c r="M3444">
        <v>0</v>
      </c>
      <c r="N3444">
        <v>2</v>
      </c>
      <c r="O3444">
        <v>0</v>
      </c>
      <c r="P3444">
        <v>1</v>
      </c>
      <c r="Q3444">
        <v>0</v>
      </c>
      <c r="S3444" t="str">
        <f t="shared" si="1255"/>
        <v>19:34:47.000</v>
      </c>
      <c r="T3444" t="str">
        <f t="shared" si="1255"/>
        <v>19:34:47.000</v>
      </c>
      <c r="U3444" t="str">
        <f t="shared" si="1240"/>
        <v>AC3944</v>
      </c>
      <c r="V3444">
        <v>0</v>
      </c>
      <c r="W3444">
        <v>0</v>
      </c>
      <c r="X3444">
        <v>2</v>
      </c>
      <c r="Y3444">
        <v>0</v>
      </c>
      <c r="AA3444">
        <v>1</v>
      </c>
      <c r="AB3444">
        <v>8</v>
      </c>
      <c r="AC3444">
        <v>3</v>
      </c>
      <c r="AD3444">
        <v>0</v>
      </c>
      <c r="AE3444">
        <v>9</v>
      </c>
      <c r="AF3444" t="s">
        <v>138</v>
      </c>
      <c r="AG3444">
        <v>0</v>
      </c>
      <c r="AH3444">
        <v>3</v>
      </c>
      <c r="AI3444">
        <v>1</v>
      </c>
      <c r="AJ3444">
        <v>0</v>
      </c>
      <c r="AK3444" t="s">
        <v>1132</v>
      </c>
      <c r="AL3444">
        <v>32.730975000000001</v>
      </c>
      <c r="AM3444" t="s">
        <v>1133</v>
      </c>
      <c r="AN3444">
        <v>-116.74166700000001</v>
      </c>
      <c r="AO3444">
        <v>25</v>
      </c>
      <c r="AP3444">
        <v>4200</v>
      </c>
      <c r="AQ3444" t="s">
        <v>129</v>
      </c>
      <c r="AR3444">
        <v>107</v>
      </c>
      <c r="AS3444">
        <v>37</v>
      </c>
      <c r="AT3444">
        <v>1216</v>
      </c>
      <c r="BB3444">
        <v>1200</v>
      </c>
      <c r="BC3444">
        <v>1</v>
      </c>
      <c r="BD3444" t="str">
        <f t="shared" si="1241"/>
        <v xml:space="preserve">N887QR  </v>
      </c>
      <c r="BE3444">
        <v>1</v>
      </c>
      <c r="BG3444">
        <v>0</v>
      </c>
      <c r="BH3444">
        <v>0</v>
      </c>
      <c r="BI3444">
        <v>0</v>
      </c>
      <c r="BJ3444">
        <v>4025</v>
      </c>
      <c r="BK3444">
        <v>-175</v>
      </c>
      <c r="BL3444" t="s">
        <v>163</v>
      </c>
      <c r="BM3444">
        <v>1</v>
      </c>
      <c r="BN3444">
        <v>1</v>
      </c>
      <c r="BO3444">
        <v>1</v>
      </c>
      <c r="BP3444">
        <v>0</v>
      </c>
      <c r="BS3444">
        <v>0</v>
      </c>
      <c r="BT3444">
        <v>0</v>
      </c>
      <c r="BU3444">
        <v>0</v>
      </c>
      <c r="CE3444" t="str">
        <f t="shared" si="1258"/>
        <v>19:34:47.802</v>
      </c>
      <c r="CF3444">
        <v>802186539</v>
      </c>
      <c r="CS3444">
        <v>0</v>
      </c>
      <c r="CT3444">
        <v>2</v>
      </c>
      <c r="CU3444">
        <v>0</v>
      </c>
      <c r="CV3444">
        <v>2</v>
      </c>
      <c r="CW3444">
        <v>0</v>
      </c>
      <c r="CX3444">
        <v>5</v>
      </c>
      <c r="CY3444">
        <v>7</v>
      </c>
      <c r="CZ3444" t="s">
        <v>131</v>
      </c>
      <c r="DA3444">
        <v>286</v>
      </c>
      <c r="DB3444">
        <v>0</v>
      </c>
      <c r="DC3444" t="s">
        <v>132</v>
      </c>
      <c r="DD3444" t="s">
        <v>133</v>
      </c>
      <c r="DG3444">
        <v>878802</v>
      </c>
      <c r="DI3444">
        <v>0</v>
      </c>
      <c r="DJ3444">
        <v>0</v>
      </c>
      <c r="DK3444">
        <v>1</v>
      </c>
      <c r="DL3444">
        <v>0</v>
      </c>
      <c r="DM3444">
        <v>0</v>
      </c>
      <c r="DN3444">
        <v>1</v>
      </c>
      <c r="DO3444">
        <v>0</v>
      </c>
      <c r="DP3444">
        <v>0</v>
      </c>
      <c r="DQ3444">
        <v>0</v>
      </c>
      <c r="DR3444">
        <v>0</v>
      </c>
      <c r="DS3444">
        <v>0</v>
      </c>
    </row>
    <row r="3445" spans="1:123" x14ac:dyDescent="0.3">
      <c r="A3445" t="str">
        <f t="shared" si="1257"/>
        <v>10/04/2022 19:34:48.058</v>
      </c>
      <c r="C3445" t="str">
        <f t="shared" si="1254"/>
        <v>FFDFD3C0</v>
      </c>
      <c r="D3445" t="s">
        <v>143</v>
      </c>
      <c r="E3445">
        <v>20</v>
      </c>
      <c r="F3445">
        <v>1020</v>
      </c>
      <c r="G3445" t="s">
        <v>144</v>
      </c>
      <c r="J3445" t="s">
        <v>145</v>
      </c>
      <c r="K3445">
        <v>0</v>
      </c>
      <c r="L3445">
        <v>3</v>
      </c>
      <c r="M3445">
        <v>0</v>
      </c>
      <c r="N3445">
        <v>2</v>
      </c>
      <c r="O3445">
        <v>0</v>
      </c>
      <c r="P3445">
        <v>1</v>
      </c>
      <c r="Q3445">
        <v>0</v>
      </c>
      <c r="S3445" t="str">
        <f t="shared" si="1255"/>
        <v>19:34:47.000</v>
      </c>
      <c r="T3445" t="str">
        <f t="shared" si="1255"/>
        <v>19:34:47.000</v>
      </c>
      <c r="U3445" t="str">
        <f t="shared" si="1240"/>
        <v>AC3944</v>
      </c>
      <c r="V3445">
        <v>0</v>
      </c>
      <c r="W3445">
        <v>0</v>
      </c>
      <c r="X3445">
        <v>2</v>
      </c>
      <c r="Y3445">
        <v>0</v>
      </c>
      <c r="AA3445">
        <v>1</v>
      </c>
      <c r="AB3445">
        <v>8</v>
      </c>
      <c r="AC3445">
        <v>3</v>
      </c>
      <c r="AD3445">
        <v>0</v>
      </c>
      <c r="AE3445">
        <v>9</v>
      </c>
      <c r="AF3445" t="s">
        <v>138</v>
      </c>
      <c r="AG3445">
        <v>0</v>
      </c>
      <c r="AH3445">
        <v>3</v>
      </c>
      <c r="AI3445">
        <v>1</v>
      </c>
      <c r="AJ3445">
        <v>0</v>
      </c>
      <c r="AK3445" t="s">
        <v>1132</v>
      </c>
      <c r="AL3445">
        <v>32.730975000000001</v>
      </c>
      <c r="AM3445" t="s">
        <v>1133</v>
      </c>
      <c r="AN3445">
        <v>-116.74166700000001</v>
      </c>
      <c r="AO3445">
        <v>25</v>
      </c>
      <c r="AP3445">
        <v>4200</v>
      </c>
      <c r="AQ3445" t="s">
        <v>129</v>
      </c>
      <c r="AR3445">
        <v>107</v>
      </c>
      <c r="AS3445">
        <v>37</v>
      </c>
      <c r="AT3445">
        <v>1216</v>
      </c>
      <c r="BB3445">
        <v>1200</v>
      </c>
      <c r="BC3445">
        <v>1</v>
      </c>
      <c r="BD3445" t="str">
        <f t="shared" si="1241"/>
        <v xml:space="preserve">N887QR  </v>
      </c>
      <c r="BE3445">
        <v>1</v>
      </c>
      <c r="BG3445">
        <v>0</v>
      </c>
      <c r="BH3445">
        <v>0</v>
      </c>
      <c r="BI3445">
        <v>0</v>
      </c>
      <c r="BJ3445">
        <v>4025</v>
      </c>
      <c r="BK3445">
        <v>-175</v>
      </c>
      <c r="BL3445" t="s">
        <v>163</v>
      </c>
      <c r="BM3445">
        <v>1</v>
      </c>
      <c r="BN3445">
        <v>1</v>
      </c>
      <c r="BO3445">
        <v>1</v>
      </c>
      <c r="BP3445">
        <v>0</v>
      </c>
      <c r="BS3445">
        <v>0</v>
      </c>
      <c r="BT3445">
        <v>0</v>
      </c>
      <c r="BU3445">
        <v>0</v>
      </c>
      <c r="CE3445" t="str">
        <f t="shared" si="1258"/>
        <v>19:34:47.802</v>
      </c>
      <c r="CF3445">
        <v>802186539</v>
      </c>
      <c r="CS3445">
        <v>0</v>
      </c>
      <c r="CT3445">
        <v>2</v>
      </c>
      <c r="CU3445">
        <v>0</v>
      </c>
      <c r="CV3445">
        <v>2</v>
      </c>
      <c r="CW3445">
        <v>0</v>
      </c>
      <c r="CX3445">
        <v>5</v>
      </c>
      <c r="CY3445">
        <v>7</v>
      </c>
      <c r="CZ3445" t="s">
        <v>131</v>
      </c>
      <c r="DA3445">
        <v>286</v>
      </c>
      <c r="DB3445">
        <v>0</v>
      </c>
      <c r="DC3445" t="s">
        <v>132</v>
      </c>
      <c r="DD3445" t="s">
        <v>133</v>
      </c>
      <c r="DG3445">
        <v>878802</v>
      </c>
      <c r="DI3445">
        <v>0</v>
      </c>
      <c r="DJ3445">
        <v>0</v>
      </c>
      <c r="DK3445">
        <v>1</v>
      </c>
      <c r="DL3445">
        <v>0</v>
      </c>
      <c r="DM3445">
        <v>0</v>
      </c>
      <c r="DN3445">
        <v>1</v>
      </c>
      <c r="DO3445">
        <v>0</v>
      </c>
      <c r="DP3445">
        <v>0</v>
      </c>
      <c r="DQ3445">
        <v>0</v>
      </c>
      <c r="DR3445">
        <v>0</v>
      </c>
      <c r="DS3445">
        <v>0</v>
      </c>
    </row>
    <row r="3446" spans="1:123" x14ac:dyDescent="0.3">
      <c r="A3446" t="str">
        <f t="shared" si="1257"/>
        <v>10/04/2022 19:34:48.058</v>
      </c>
      <c r="C3446" t="str">
        <f t="shared" si="1254"/>
        <v>FFDFD3C0</v>
      </c>
      <c r="D3446" t="s">
        <v>147</v>
      </c>
      <c r="E3446">
        <v>3</v>
      </c>
      <c r="H3446">
        <v>166</v>
      </c>
      <c r="I3446" t="s">
        <v>144</v>
      </c>
      <c r="J3446" t="s">
        <v>148</v>
      </c>
      <c r="K3446">
        <v>0</v>
      </c>
      <c r="L3446">
        <v>3</v>
      </c>
      <c r="M3446">
        <v>0</v>
      </c>
      <c r="N3446">
        <v>2</v>
      </c>
      <c r="O3446">
        <v>0</v>
      </c>
      <c r="P3446">
        <v>1</v>
      </c>
      <c r="Q3446">
        <v>0</v>
      </c>
      <c r="S3446" t="str">
        <f t="shared" si="1255"/>
        <v>19:34:47.000</v>
      </c>
      <c r="T3446" t="str">
        <f t="shared" si="1255"/>
        <v>19:34:47.000</v>
      </c>
      <c r="U3446" t="str">
        <f t="shared" si="1240"/>
        <v>AC3944</v>
      </c>
      <c r="V3446">
        <v>0</v>
      </c>
      <c r="W3446">
        <v>0</v>
      </c>
      <c r="X3446">
        <v>2</v>
      </c>
      <c r="Y3446">
        <v>0</v>
      </c>
      <c r="AA3446">
        <v>1</v>
      </c>
      <c r="AB3446">
        <v>8</v>
      </c>
      <c r="AC3446">
        <v>3</v>
      </c>
      <c r="AD3446">
        <v>0</v>
      </c>
      <c r="AE3446">
        <v>9</v>
      </c>
      <c r="AF3446" t="s">
        <v>138</v>
      </c>
      <c r="AG3446">
        <v>0</v>
      </c>
      <c r="AH3446">
        <v>3</v>
      </c>
      <c r="AI3446">
        <v>1</v>
      </c>
      <c r="AJ3446">
        <v>0</v>
      </c>
      <c r="AK3446" t="s">
        <v>1132</v>
      </c>
      <c r="AL3446">
        <v>32.730975000000001</v>
      </c>
      <c r="AM3446" t="s">
        <v>1133</v>
      </c>
      <c r="AN3446">
        <v>-116.74166700000001</v>
      </c>
      <c r="AO3446">
        <v>25</v>
      </c>
      <c r="AP3446">
        <v>4200</v>
      </c>
      <c r="AQ3446" t="s">
        <v>129</v>
      </c>
      <c r="AR3446">
        <v>107</v>
      </c>
      <c r="AS3446">
        <v>37</v>
      </c>
      <c r="AT3446">
        <v>1216</v>
      </c>
      <c r="BB3446">
        <v>1200</v>
      </c>
      <c r="BC3446">
        <v>1</v>
      </c>
      <c r="BD3446" t="str">
        <f t="shared" si="1241"/>
        <v xml:space="preserve">N887QR  </v>
      </c>
      <c r="BE3446">
        <v>1</v>
      </c>
      <c r="BG3446">
        <v>0</v>
      </c>
      <c r="BH3446">
        <v>0</v>
      </c>
      <c r="BI3446">
        <v>0</v>
      </c>
      <c r="BJ3446">
        <v>4025</v>
      </c>
      <c r="BK3446">
        <v>-175</v>
      </c>
      <c r="BL3446" t="s">
        <v>163</v>
      </c>
      <c r="BM3446">
        <v>1</v>
      </c>
      <c r="BN3446">
        <v>1</v>
      </c>
      <c r="BO3446">
        <v>1</v>
      </c>
      <c r="BP3446">
        <v>0</v>
      </c>
      <c r="BS3446">
        <v>0</v>
      </c>
      <c r="BT3446">
        <v>0</v>
      </c>
      <c r="BU3446">
        <v>0</v>
      </c>
      <c r="CE3446" t="str">
        <f t="shared" si="1258"/>
        <v>19:34:47.802</v>
      </c>
      <c r="CF3446">
        <v>802186539</v>
      </c>
      <c r="CS3446">
        <v>0</v>
      </c>
      <c r="CT3446">
        <v>2</v>
      </c>
      <c r="CU3446">
        <v>0</v>
      </c>
      <c r="CV3446">
        <v>2</v>
      </c>
      <c r="CW3446">
        <v>0</v>
      </c>
      <c r="CX3446">
        <v>5</v>
      </c>
      <c r="CY3446">
        <v>7</v>
      </c>
      <c r="CZ3446" t="s">
        <v>131</v>
      </c>
      <c r="DA3446">
        <v>286</v>
      </c>
      <c r="DB3446">
        <v>0</v>
      </c>
      <c r="DC3446" t="s">
        <v>132</v>
      </c>
      <c r="DD3446" t="s">
        <v>133</v>
      </c>
      <c r="DG3446">
        <v>878802</v>
      </c>
      <c r="DI3446">
        <v>0</v>
      </c>
      <c r="DJ3446">
        <v>0</v>
      </c>
      <c r="DK3446">
        <v>1</v>
      </c>
      <c r="DL3446">
        <v>0</v>
      </c>
      <c r="DM3446">
        <v>0</v>
      </c>
      <c r="DN3446">
        <v>1</v>
      </c>
      <c r="DO3446">
        <v>0</v>
      </c>
      <c r="DP3446">
        <v>0</v>
      </c>
      <c r="DQ3446">
        <v>0</v>
      </c>
      <c r="DR3446">
        <v>0</v>
      </c>
      <c r="DS3446">
        <v>0</v>
      </c>
    </row>
    <row r="3447" spans="1:123" x14ac:dyDescent="0.3">
      <c r="A3447" t="str">
        <f t="shared" si="1257"/>
        <v>10/04/2022 19:34:48.058</v>
      </c>
      <c r="C3447" t="str">
        <f t="shared" si="1254"/>
        <v>FFDFD3C0</v>
      </c>
      <c r="D3447" t="s">
        <v>123</v>
      </c>
      <c r="E3447">
        <v>7</v>
      </c>
      <c r="F3447">
        <v>2007</v>
      </c>
      <c r="G3447" t="s">
        <v>124</v>
      </c>
      <c r="J3447" t="s">
        <v>125</v>
      </c>
      <c r="K3447">
        <v>0</v>
      </c>
      <c r="L3447">
        <v>3</v>
      </c>
      <c r="M3447">
        <v>0</v>
      </c>
      <c r="N3447">
        <v>2</v>
      </c>
      <c r="O3447">
        <v>0</v>
      </c>
      <c r="P3447">
        <v>1</v>
      </c>
      <c r="Q3447">
        <v>0</v>
      </c>
      <c r="S3447" t="str">
        <f t="shared" si="1255"/>
        <v>19:34:47.000</v>
      </c>
      <c r="T3447" t="str">
        <f t="shared" si="1255"/>
        <v>19:34:47.000</v>
      </c>
      <c r="U3447" t="str">
        <f t="shared" si="1240"/>
        <v>AC3944</v>
      </c>
      <c r="V3447">
        <v>0</v>
      </c>
      <c r="W3447">
        <v>0</v>
      </c>
      <c r="X3447">
        <v>2</v>
      </c>
      <c r="Y3447">
        <v>0</v>
      </c>
      <c r="AA3447">
        <v>1</v>
      </c>
      <c r="AB3447">
        <v>8</v>
      </c>
      <c r="AC3447">
        <v>3</v>
      </c>
      <c r="AD3447">
        <v>0</v>
      </c>
      <c r="AE3447">
        <v>9</v>
      </c>
      <c r="AF3447" t="s">
        <v>138</v>
      </c>
      <c r="AG3447">
        <v>0</v>
      </c>
      <c r="AH3447">
        <v>3</v>
      </c>
      <c r="AI3447">
        <v>1</v>
      </c>
      <c r="AJ3447">
        <v>0</v>
      </c>
      <c r="AK3447" t="s">
        <v>1132</v>
      </c>
      <c r="AL3447">
        <v>32.730975000000001</v>
      </c>
      <c r="AM3447" t="s">
        <v>1133</v>
      </c>
      <c r="AN3447">
        <v>-116.74166700000001</v>
      </c>
      <c r="AO3447">
        <v>25</v>
      </c>
      <c r="AP3447">
        <v>4200</v>
      </c>
      <c r="AQ3447" t="s">
        <v>129</v>
      </c>
      <c r="AR3447">
        <v>107</v>
      </c>
      <c r="AS3447">
        <v>37</v>
      </c>
      <c r="AT3447">
        <v>1216</v>
      </c>
      <c r="BB3447">
        <v>1200</v>
      </c>
      <c r="BC3447">
        <v>1</v>
      </c>
      <c r="BD3447" t="str">
        <f t="shared" si="1241"/>
        <v xml:space="preserve">N887QR  </v>
      </c>
      <c r="BE3447">
        <v>1</v>
      </c>
      <c r="BG3447">
        <v>0</v>
      </c>
      <c r="BH3447">
        <v>0</v>
      </c>
      <c r="BI3447">
        <v>0</v>
      </c>
      <c r="BJ3447">
        <v>4025</v>
      </c>
      <c r="BK3447">
        <v>-175</v>
      </c>
      <c r="BL3447" t="s">
        <v>163</v>
      </c>
      <c r="BM3447">
        <v>1</v>
      </c>
      <c r="BN3447">
        <v>1</v>
      </c>
      <c r="BO3447">
        <v>1</v>
      </c>
      <c r="BP3447">
        <v>0</v>
      </c>
      <c r="BS3447">
        <v>0</v>
      </c>
      <c r="BT3447">
        <v>0</v>
      </c>
      <c r="BU3447">
        <v>0</v>
      </c>
      <c r="CE3447" t="str">
        <f t="shared" si="1258"/>
        <v>19:34:47.802</v>
      </c>
      <c r="CF3447">
        <v>802186539</v>
      </c>
      <c r="CS3447">
        <v>0</v>
      </c>
      <c r="CT3447">
        <v>2</v>
      </c>
      <c r="CU3447">
        <v>0</v>
      </c>
      <c r="CV3447">
        <v>2</v>
      </c>
      <c r="CW3447">
        <v>0</v>
      </c>
      <c r="CX3447">
        <v>5</v>
      </c>
      <c r="CY3447">
        <v>7</v>
      </c>
      <c r="CZ3447" t="s">
        <v>131</v>
      </c>
      <c r="DA3447">
        <v>286</v>
      </c>
      <c r="DB3447">
        <v>0</v>
      </c>
      <c r="DC3447" t="s">
        <v>132</v>
      </c>
      <c r="DD3447" t="s">
        <v>133</v>
      </c>
      <c r="DG3447">
        <v>878802</v>
      </c>
      <c r="DI3447">
        <v>0</v>
      </c>
      <c r="DJ3447">
        <v>0</v>
      </c>
      <c r="DK3447">
        <v>1</v>
      </c>
      <c r="DL3447">
        <v>0</v>
      </c>
      <c r="DM3447">
        <v>0</v>
      </c>
      <c r="DN3447">
        <v>1</v>
      </c>
      <c r="DO3447">
        <v>0</v>
      </c>
      <c r="DP3447">
        <v>0</v>
      </c>
      <c r="DQ3447">
        <v>0</v>
      </c>
      <c r="DR3447">
        <v>0</v>
      </c>
      <c r="DS3447">
        <v>0</v>
      </c>
    </row>
    <row r="3448" spans="1:123" x14ac:dyDescent="0.3">
      <c r="A3448" t="str">
        <f t="shared" si="1257"/>
        <v>10/04/2022 19:34:48.058</v>
      </c>
      <c r="C3448" t="str">
        <f t="shared" si="1254"/>
        <v>FFDFD3C0</v>
      </c>
      <c r="D3448" t="s">
        <v>134</v>
      </c>
      <c r="E3448">
        <v>15</v>
      </c>
      <c r="J3448" t="s">
        <v>135</v>
      </c>
      <c r="K3448">
        <v>0</v>
      </c>
      <c r="L3448">
        <v>3</v>
      </c>
      <c r="M3448">
        <v>0</v>
      </c>
      <c r="N3448">
        <v>2</v>
      </c>
      <c r="O3448">
        <v>0</v>
      </c>
      <c r="P3448">
        <v>1</v>
      </c>
      <c r="Q3448">
        <v>0</v>
      </c>
      <c r="S3448" t="str">
        <f t="shared" si="1255"/>
        <v>19:34:47.000</v>
      </c>
      <c r="T3448" t="str">
        <f t="shared" si="1255"/>
        <v>19:34:47.000</v>
      </c>
      <c r="U3448" t="str">
        <f t="shared" si="1240"/>
        <v>AC3944</v>
      </c>
      <c r="V3448">
        <v>0</v>
      </c>
      <c r="W3448">
        <v>0</v>
      </c>
      <c r="X3448">
        <v>2</v>
      </c>
      <c r="Y3448">
        <v>0</v>
      </c>
      <c r="AA3448">
        <v>1</v>
      </c>
      <c r="AB3448">
        <v>8</v>
      </c>
      <c r="AC3448">
        <v>3</v>
      </c>
      <c r="AD3448">
        <v>0</v>
      </c>
      <c r="AE3448">
        <v>9</v>
      </c>
      <c r="AF3448" t="s">
        <v>138</v>
      </c>
      <c r="AG3448">
        <v>0</v>
      </c>
      <c r="AH3448">
        <v>3</v>
      </c>
      <c r="AI3448">
        <v>1</v>
      </c>
      <c r="AJ3448">
        <v>0</v>
      </c>
      <c r="AK3448" t="s">
        <v>1132</v>
      </c>
      <c r="AL3448">
        <v>32.730975000000001</v>
      </c>
      <c r="AM3448" t="s">
        <v>1133</v>
      </c>
      <c r="AN3448">
        <v>-116.74166700000001</v>
      </c>
      <c r="AO3448">
        <v>25</v>
      </c>
      <c r="AP3448">
        <v>4200</v>
      </c>
      <c r="AQ3448" t="s">
        <v>129</v>
      </c>
      <c r="AR3448">
        <v>107</v>
      </c>
      <c r="AS3448">
        <v>37</v>
      </c>
      <c r="AT3448">
        <v>1216</v>
      </c>
      <c r="BB3448">
        <v>1200</v>
      </c>
      <c r="BC3448">
        <v>1</v>
      </c>
      <c r="BD3448" t="str">
        <f t="shared" si="1241"/>
        <v xml:space="preserve">N887QR  </v>
      </c>
      <c r="BE3448">
        <v>1</v>
      </c>
      <c r="BG3448">
        <v>0</v>
      </c>
      <c r="BH3448">
        <v>0</v>
      </c>
      <c r="BI3448">
        <v>0</v>
      </c>
      <c r="BJ3448">
        <v>4025</v>
      </c>
      <c r="BK3448">
        <v>-175</v>
      </c>
      <c r="BL3448" t="s">
        <v>163</v>
      </c>
      <c r="BM3448">
        <v>1</v>
      </c>
      <c r="BN3448">
        <v>1</v>
      </c>
      <c r="BO3448">
        <v>1</v>
      </c>
      <c r="BP3448">
        <v>0</v>
      </c>
      <c r="BS3448">
        <v>0</v>
      </c>
      <c r="BT3448">
        <v>0</v>
      </c>
      <c r="BU3448">
        <v>0</v>
      </c>
      <c r="CE3448" t="str">
        <f t="shared" si="1258"/>
        <v>19:34:47.802</v>
      </c>
      <c r="CF3448">
        <v>802186539</v>
      </c>
      <c r="CS3448">
        <v>0</v>
      </c>
      <c r="CT3448">
        <v>2</v>
      </c>
      <c r="CU3448">
        <v>0</v>
      </c>
      <c r="CV3448">
        <v>2</v>
      </c>
      <c r="CW3448">
        <v>0</v>
      </c>
      <c r="CX3448">
        <v>5</v>
      </c>
      <c r="CY3448">
        <v>7</v>
      </c>
      <c r="CZ3448" t="s">
        <v>131</v>
      </c>
      <c r="DA3448">
        <v>286</v>
      </c>
      <c r="DB3448">
        <v>0</v>
      </c>
      <c r="DC3448" t="s">
        <v>132</v>
      </c>
      <c r="DD3448" t="s">
        <v>133</v>
      </c>
      <c r="DG3448">
        <v>878802</v>
      </c>
      <c r="DI3448">
        <v>0</v>
      </c>
      <c r="DJ3448">
        <v>0</v>
      </c>
      <c r="DK3448">
        <v>1</v>
      </c>
      <c r="DL3448">
        <v>0</v>
      </c>
      <c r="DM3448">
        <v>0</v>
      </c>
      <c r="DN3448">
        <v>1</v>
      </c>
      <c r="DO3448">
        <v>0</v>
      </c>
      <c r="DP3448">
        <v>0</v>
      </c>
      <c r="DQ3448">
        <v>0</v>
      </c>
      <c r="DR3448">
        <v>0</v>
      </c>
      <c r="DS3448">
        <v>0</v>
      </c>
    </row>
    <row r="3449" spans="1:123" x14ac:dyDescent="0.3">
      <c r="A3449" t="str">
        <f>"10/04/2022 19:34:49.292"</f>
        <v>10/04/2022 19:34:49.292</v>
      </c>
      <c r="C3449" t="str">
        <f t="shared" si="1254"/>
        <v>FFDFD3C0</v>
      </c>
      <c r="D3449" t="s">
        <v>141</v>
      </c>
      <c r="E3449">
        <v>4</v>
      </c>
      <c r="H3449">
        <v>4</v>
      </c>
      <c r="I3449" t="s">
        <v>142</v>
      </c>
      <c r="J3449" t="s">
        <v>138</v>
      </c>
      <c r="K3449">
        <v>0</v>
      </c>
      <c r="L3449">
        <v>3</v>
      </c>
      <c r="M3449">
        <v>0</v>
      </c>
      <c r="N3449">
        <v>2</v>
      </c>
      <c r="O3449">
        <v>0</v>
      </c>
      <c r="P3449">
        <v>1</v>
      </c>
      <c r="Q3449">
        <v>0</v>
      </c>
      <c r="S3449" t="str">
        <f t="shared" ref="S3449:T3455" si="1259">"19:34:49.000"</f>
        <v>19:34:49.000</v>
      </c>
      <c r="T3449" t="str">
        <f t="shared" si="1259"/>
        <v>19:34:49.000</v>
      </c>
      <c r="U3449" t="str">
        <f t="shared" si="1240"/>
        <v>AC3944</v>
      </c>
      <c r="V3449">
        <v>0</v>
      </c>
      <c r="W3449">
        <v>0</v>
      </c>
      <c r="X3449">
        <v>2</v>
      </c>
      <c r="Y3449">
        <v>0</v>
      </c>
      <c r="AA3449">
        <v>1</v>
      </c>
      <c r="AB3449">
        <v>8</v>
      </c>
      <c r="AC3449">
        <v>3</v>
      </c>
      <c r="AD3449">
        <v>0</v>
      </c>
      <c r="AE3449">
        <v>9</v>
      </c>
      <c r="AF3449" t="s">
        <v>138</v>
      </c>
      <c r="AG3449">
        <v>0</v>
      </c>
      <c r="AH3449">
        <v>3</v>
      </c>
      <c r="AI3449">
        <v>1</v>
      </c>
      <c r="AJ3449">
        <v>0</v>
      </c>
      <c r="AK3449" t="s">
        <v>1134</v>
      </c>
      <c r="AL3449">
        <v>32.731147</v>
      </c>
      <c r="AM3449" t="s">
        <v>1135</v>
      </c>
      <c r="AN3449">
        <v>-116.74108699999999</v>
      </c>
      <c r="AO3449">
        <v>25</v>
      </c>
      <c r="AP3449">
        <v>4200</v>
      </c>
      <c r="AQ3449" t="s">
        <v>129</v>
      </c>
      <c r="AR3449">
        <v>107</v>
      </c>
      <c r="AS3449">
        <v>38</v>
      </c>
      <c r="AT3449">
        <v>960</v>
      </c>
      <c r="BB3449">
        <v>1200</v>
      </c>
      <c r="BC3449">
        <v>1</v>
      </c>
      <c r="BD3449" t="str">
        <f t="shared" si="1241"/>
        <v xml:space="preserve">N887QR  </v>
      </c>
      <c r="BE3449">
        <v>1</v>
      </c>
      <c r="BG3449">
        <v>0</v>
      </c>
      <c r="BH3449">
        <v>0</v>
      </c>
      <c r="BI3449">
        <v>0</v>
      </c>
      <c r="BJ3449">
        <v>4025</v>
      </c>
      <c r="BK3449">
        <v>-175</v>
      </c>
      <c r="BL3449" t="s">
        <v>163</v>
      </c>
      <c r="BM3449">
        <v>1</v>
      </c>
      <c r="BN3449">
        <v>1</v>
      </c>
      <c r="BO3449">
        <v>1</v>
      </c>
      <c r="BP3449">
        <v>0</v>
      </c>
      <c r="BS3449">
        <v>0</v>
      </c>
      <c r="BT3449">
        <v>0</v>
      </c>
      <c r="BU3449">
        <v>0</v>
      </c>
      <c r="CE3449" t="str">
        <f t="shared" ref="CE3449:CE3455" si="1260">"19:34:49.020"</f>
        <v>19:34:49.020</v>
      </c>
      <c r="CF3449">
        <v>19690604</v>
      </c>
      <c r="CS3449">
        <v>0</v>
      </c>
      <c r="CT3449">
        <v>2</v>
      </c>
      <c r="CU3449">
        <v>0</v>
      </c>
      <c r="CV3449">
        <v>2</v>
      </c>
      <c r="CW3449">
        <v>0</v>
      </c>
      <c r="CX3449">
        <v>5</v>
      </c>
      <c r="CY3449">
        <v>7</v>
      </c>
      <c r="CZ3449" t="s">
        <v>131</v>
      </c>
      <c r="DA3449">
        <v>286</v>
      </c>
      <c r="DB3449">
        <v>0</v>
      </c>
      <c r="DC3449" t="s">
        <v>132</v>
      </c>
      <c r="DD3449" t="s">
        <v>133</v>
      </c>
      <c r="DG3449">
        <v>879071</v>
      </c>
      <c r="DI3449">
        <v>0</v>
      </c>
      <c r="DJ3449">
        <v>0</v>
      </c>
      <c r="DK3449">
        <v>0</v>
      </c>
      <c r="DL3449">
        <v>0</v>
      </c>
      <c r="DM3449">
        <v>0</v>
      </c>
      <c r="DN3449">
        <v>1</v>
      </c>
      <c r="DO3449">
        <v>0</v>
      </c>
      <c r="DP3449">
        <v>0</v>
      </c>
      <c r="DQ3449">
        <v>0</v>
      </c>
      <c r="DR3449">
        <v>0</v>
      </c>
      <c r="DS3449">
        <v>0</v>
      </c>
    </row>
    <row r="3450" spans="1:123" x14ac:dyDescent="0.3">
      <c r="A3450" t="str">
        <f>"10/04/2022 19:34:49.308"</f>
        <v>10/04/2022 19:34:49.308</v>
      </c>
      <c r="C3450" t="str">
        <f t="shared" si="1254"/>
        <v>FFDFD3C0</v>
      </c>
      <c r="D3450" t="s">
        <v>141</v>
      </c>
      <c r="E3450">
        <v>3</v>
      </c>
      <c r="H3450">
        <v>3</v>
      </c>
      <c r="I3450" t="s">
        <v>146</v>
      </c>
      <c r="J3450" t="s">
        <v>138</v>
      </c>
      <c r="K3450">
        <v>0</v>
      </c>
      <c r="L3450">
        <v>3</v>
      </c>
      <c r="M3450">
        <v>0</v>
      </c>
      <c r="N3450">
        <v>2</v>
      </c>
      <c r="O3450">
        <v>0</v>
      </c>
      <c r="P3450">
        <v>1</v>
      </c>
      <c r="Q3450">
        <v>0</v>
      </c>
      <c r="S3450" t="str">
        <f t="shared" si="1259"/>
        <v>19:34:49.000</v>
      </c>
      <c r="T3450" t="str">
        <f t="shared" si="1259"/>
        <v>19:34:49.000</v>
      </c>
      <c r="U3450" t="str">
        <f t="shared" si="1240"/>
        <v>AC3944</v>
      </c>
      <c r="V3450">
        <v>0</v>
      </c>
      <c r="W3450">
        <v>0</v>
      </c>
      <c r="X3450">
        <v>2</v>
      </c>
      <c r="Y3450">
        <v>0</v>
      </c>
      <c r="AA3450">
        <v>1</v>
      </c>
      <c r="AB3450">
        <v>8</v>
      </c>
      <c r="AC3450">
        <v>3</v>
      </c>
      <c r="AD3450">
        <v>0</v>
      </c>
      <c r="AE3450">
        <v>9</v>
      </c>
      <c r="AF3450" t="s">
        <v>138</v>
      </c>
      <c r="AG3450">
        <v>0</v>
      </c>
      <c r="AH3450">
        <v>3</v>
      </c>
      <c r="AI3450">
        <v>1</v>
      </c>
      <c r="AJ3450">
        <v>0</v>
      </c>
      <c r="AK3450" t="s">
        <v>1134</v>
      </c>
      <c r="AL3450">
        <v>32.731147</v>
      </c>
      <c r="AM3450" t="s">
        <v>1135</v>
      </c>
      <c r="AN3450">
        <v>-116.74108699999999</v>
      </c>
      <c r="AO3450">
        <v>25</v>
      </c>
      <c r="AP3450">
        <v>4200</v>
      </c>
      <c r="AQ3450" t="s">
        <v>129</v>
      </c>
      <c r="AR3450">
        <v>107</v>
      </c>
      <c r="AS3450">
        <v>38</v>
      </c>
      <c r="AT3450">
        <v>960</v>
      </c>
      <c r="BB3450">
        <v>1200</v>
      </c>
      <c r="BC3450">
        <v>1</v>
      </c>
      <c r="BD3450" t="str">
        <f t="shared" si="1241"/>
        <v xml:space="preserve">N887QR  </v>
      </c>
      <c r="BE3450">
        <v>1</v>
      </c>
      <c r="BG3450">
        <v>0</v>
      </c>
      <c r="BH3450">
        <v>0</v>
      </c>
      <c r="BI3450">
        <v>0</v>
      </c>
      <c r="BJ3450">
        <v>4025</v>
      </c>
      <c r="BK3450">
        <v>-175</v>
      </c>
      <c r="BL3450" t="s">
        <v>163</v>
      </c>
      <c r="BM3450">
        <v>1</v>
      </c>
      <c r="BN3450">
        <v>1</v>
      </c>
      <c r="BO3450">
        <v>1</v>
      </c>
      <c r="BP3450">
        <v>0</v>
      </c>
      <c r="BS3450">
        <v>0</v>
      </c>
      <c r="BT3450">
        <v>0</v>
      </c>
      <c r="BU3450">
        <v>0</v>
      </c>
      <c r="CE3450" t="str">
        <f t="shared" si="1260"/>
        <v>19:34:49.020</v>
      </c>
      <c r="CF3450">
        <v>19690604</v>
      </c>
      <c r="CS3450">
        <v>0</v>
      </c>
      <c r="CT3450">
        <v>2</v>
      </c>
      <c r="CU3450">
        <v>0</v>
      </c>
      <c r="CV3450">
        <v>2</v>
      </c>
      <c r="CW3450">
        <v>0</v>
      </c>
      <c r="CX3450">
        <v>5</v>
      </c>
      <c r="CY3450">
        <v>7</v>
      </c>
      <c r="CZ3450" t="s">
        <v>131</v>
      </c>
      <c r="DA3450">
        <v>286</v>
      </c>
      <c r="DB3450">
        <v>0</v>
      </c>
      <c r="DC3450" t="s">
        <v>132</v>
      </c>
      <c r="DD3450" t="s">
        <v>133</v>
      </c>
      <c r="DG3450">
        <v>879071</v>
      </c>
      <c r="DI3450">
        <v>0</v>
      </c>
      <c r="DJ3450">
        <v>0</v>
      </c>
      <c r="DK3450">
        <v>1</v>
      </c>
      <c r="DL3450">
        <v>0</v>
      </c>
      <c r="DM3450">
        <v>0</v>
      </c>
      <c r="DN3450">
        <v>1</v>
      </c>
      <c r="DO3450">
        <v>0</v>
      </c>
      <c r="DP3450">
        <v>0</v>
      </c>
      <c r="DQ3450">
        <v>0</v>
      </c>
      <c r="DR3450">
        <v>0</v>
      </c>
      <c r="DS3450">
        <v>0</v>
      </c>
    </row>
    <row r="3451" spans="1:123" x14ac:dyDescent="0.3">
      <c r="A3451" t="str">
        <f>"10/04/2022 19:34:49.308"</f>
        <v>10/04/2022 19:34:49.308</v>
      </c>
      <c r="C3451" t="str">
        <f t="shared" si="1254"/>
        <v>FFDFD3C0</v>
      </c>
      <c r="D3451" t="s">
        <v>136</v>
      </c>
      <c r="E3451">
        <v>8</v>
      </c>
      <c r="H3451">
        <v>225</v>
      </c>
      <c r="I3451" t="s">
        <v>137</v>
      </c>
      <c r="J3451" t="s">
        <v>138</v>
      </c>
      <c r="K3451">
        <v>0</v>
      </c>
      <c r="L3451">
        <v>3</v>
      </c>
      <c r="M3451">
        <v>0</v>
      </c>
      <c r="N3451">
        <v>2</v>
      </c>
      <c r="O3451">
        <v>0</v>
      </c>
      <c r="P3451">
        <v>1</v>
      </c>
      <c r="Q3451">
        <v>0</v>
      </c>
      <c r="S3451" t="str">
        <f t="shared" si="1259"/>
        <v>19:34:49.000</v>
      </c>
      <c r="T3451" t="str">
        <f t="shared" si="1259"/>
        <v>19:34:49.000</v>
      </c>
      <c r="U3451" t="str">
        <f t="shared" si="1240"/>
        <v>AC3944</v>
      </c>
      <c r="V3451">
        <v>0</v>
      </c>
      <c r="W3451">
        <v>0</v>
      </c>
      <c r="X3451">
        <v>2</v>
      </c>
      <c r="Y3451">
        <v>0</v>
      </c>
      <c r="AA3451">
        <v>1</v>
      </c>
      <c r="AB3451">
        <v>8</v>
      </c>
      <c r="AC3451">
        <v>3</v>
      </c>
      <c r="AD3451">
        <v>0</v>
      </c>
      <c r="AE3451">
        <v>9</v>
      </c>
      <c r="AF3451" t="s">
        <v>138</v>
      </c>
      <c r="AG3451">
        <v>0</v>
      </c>
      <c r="AH3451">
        <v>3</v>
      </c>
      <c r="AI3451">
        <v>1</v>
      </c>
      <c r="AJ3451">
        <v>0</v>
      </c>
      <c r="AK3451" t="s">
        <v>1134</v>
      </c>
      <c r="AL3451">
        <v>32.731147</v>
      </c>
      <c r="AM3451" t="s">
        <v>1135</v>
      </c>
      <c r="AN3451">
        <v>-116.74108699999999</v>
      </c>
      <c r="AO3451">
        <v>25</v>
      </c>
      <c r="AP3451">
        <v>4200</v>
      </c>
      <c r="AQ3451" t="s">
        <v>129</v>
      </c>
      <c r="AR3451">
        <v>107</v>
      </c>
      <c r="AS3451">
        <v>38</v>
      </c>
      <c r="AT3451">
        <v>960</v>
      </c>
      <c r="BB3451">
        <v>1200</v>
      </c>
      <c r="BC3451">
        <v>1</v>
      </c>
      <c r="BD3451" t="str">
        <f t="shared" si="1241"/>
        <v xml:space="preserve">N887QR  </v>
      </c>
      <c r="BE3451">
        <v>1</v>
      </c>
      <c r="BG3451">
        <v>0</v>
      </c>
      <c r="BH3451">
        <v>0</v>
      </c>
      <c r="BI3451">
        <v>0</v>
      </c>
      <c r="BJ3451">
        <v>4025</v>
      </c>
      <c r="BK3451">
        <v>-175</v>
      </c>
      <c r="BL3451" t="s">
        <v>163</v>
      </c>
      <c r="BM3451">
        <v>1</v>
      </c>
      <c r="BN3451">
        <v>1</v>
      </c>
      <c r="BO3451">
        <v>1</v>
      </c>
      <c r="BP3451">
        <v>0</v>
      </c>
      <c r="BS3451">
        <v>0</v>
      </c>
      <c r="BT3451">
        <v>0</v>
      </c>
      <c r="BU3451">
        <v>0</v>
      </c>
      <c r="CE3451" t="str">
        <f t="shared" si="1260"/>
        <v>19:34:49.020</v>
      </c>
      <c r="CF3451">
        <v>19690604</v>
      </c>
      <c r="CS3451">
        <v>0</v>
      </c>
      <c r="CT3451">
        <v>2</v>
      </c>
      <c r="CU3451">
        <v>0</v>
      </c>
      <c r="CV3451">
        <v>2</v>
      </c>
      <c r="CW3451">
        <v>0</v>
      </c>
      <c r="CX3451">
        <v>5</v>
      </c>
      <c r="CY3451">
        <v>7</v>
      </c>
      <c r="CZ3451" t="s">
        <v>131</v>
      </c>
      <c r="DA3451">
        <v>286</v>
      </c>
      <c r="DB3451">
        <v>0</v>
      </c>
      <c r="DC3451" t="s">
        <v>132</v>
      </c>
      <c r="DD3451" t="s">
        <v>133</v>
      </c>
      <c r="DG3451">
        <v>879071</v>
      </c>
      <c r="DI3451">
        <v>0</v>
      </c>
      <c r="DJ3451">
        <v>0</v>
      </c>
      <c r="DK3451">
        <v>1</v>
      </c>
      <c r="DL3451">
        <v>0</v>
      </c>
      <c r="DM3451">
        <v>0</v>
      </c>
      <c r="DN3451">
        <v>1</v>
      </c>
      <c r="DO3451">
        <v>0</v>
      </c>
      <c r="DP3451">
        <v>0</v>
      </c>
      <c r="DQ3451">
        <v>0</v>
      </c>
      <c r="DR3451">
        <v>0</v>
      </c>
      <c r="DS3451">
        <v>0</v>
      </c>
    </row>
    <row r="3452" spans="1:123" x14ac:dyDescent="0.3">
      <c r="A3452" t="str">
        <f>"10/04/2022 19:34:49.323"</f>
        <v>10/04/2022 19:34:49.323</v>
      </c>
      <c r="C3452" t="str">
        <f t="shared" si="1254"/>
        <v>FFDFD3C0</v>
      </c>
      <c r="D3452" t="s">
        <v>147</v>
      </c>
      <c r="E3452">
        <v>3</v>
      </c>
      <c r="H3452">
        <v>166</v>
      </c>
      <c r="I3452" t="s">
        <v>144</v>
      </c>
      <c r="J3452" t="s">
        <v>148</v>
      </c>
      <c r="K3452">
        <v>0</v>
      </c>
      <c r="L3452">
        <v>3</v>
      </c>
      <c r="M3452">
        <v>0</v>
      </c>
      <c r="N3452">
        <v>2</v>
      </c>
      <c r="O3452">
        <v>0</v>
      </c>
      <c r="P3452">
        <v>1</v>
      </c>
      <c r="Q3452">
        <v>0</v>
      </c>
      <c r="S3452" t="str">
        <f t="shared" si="1259"/>
        <v>19:34:49.000</v>
      </c>
      <c r="T3452" t="str">
        <f t="shared" si="1259"/>
        <v>19:34:49.000</v>
      </c>
      <c r="U3452" t="str">
        <f t="shared" si="1240"/>
        <v>AC3944</v>
      </c>
      <c r="V3452">
        <v>0</v>
      </c>
      <c r="W3452">
        <v>0</v>
      </c>
      <c r="X3452">
        <v>2</v>
      </c>
      <c r="Y3452">
        <v>0</v>
      </c>
      <c r="AA3452">
        <v>1</v>
      </c>
      <c r="AB3452">
        <v>8</v>
      </c>
      <c r="AC3452">
        <v>3</v>
      </c>
      <c r="AD3452">
        <v>0</v>
      </c>
      <c r="AE3452">
        <v>9</v>
      </c>
      <c r="AF3452" t="s">
        <v>138</v>
      </c>
      <c r="AG3452">
        <v>0</v>
      </c>
      <c r="AH3452">
        <v>3</v>
      </c>
      <c r="AI3452">
        <v>1</v>
      </c>
      <c r="AJ3452">
        <v>0</v>
      </c>
      <c r="AK3452" t="s">
        <v>1134</v>
      </c>
      <c r="AL3452">
        <v>32.731147</v>
      </c>
      <c r="AM3452" t="s">
        <v>1135</v>
      </c>
      <c r="AN3452">
        <v>-116.74108699999999</v>
      </c>
      <c r="AO3452">
        <v>25</v>
      </c>
      <c r="AP3452">
        <v>4200</v>
      </c>
      <c r="AQ3452" t="s">
        <v>129</v>
      </c>
      <c r="AR3452">
        <v>107</v>
      </c>
      <c r="AS3452">
        <v>38</v>
      </c>
      <c r="AT3452">
        <v>960</v>
      </c>
      <c r="BB3452">
        <v>1200</v>
      </c>
      <c r="BC3452">
        <v>1</v>
      </c>
      <c r="BD3452" t="str">
        <f t="shared" si="1241"/>
        <v xml:space="preserve">N887QR  </v>
      </c>
      <c r="BE3452">
        <v>1</v>
      </c>
      <c r="BG3452">
        <v>0</v>
      </c>
      <c r="BH3452">
        <v>0</v>
      </c>
      <c r="BI3452">
        <v>0</v>
      </c>
      <c r="BJ3452">
        <v>4025</v>
      </c>
      <c r="BK3452">
        <v>-175</v>
      </c>
      <c r="BL3452" t="s">
        <v>163</v>
      </c>
      <c r="BM3452">
        <v>1</v>
      </c>
      <c r="BN3452">
        <v>1</v>
      </c>
      <c r="BO3452">
        <v>1</v>
      </c>
      <c r="BP3452">
        <v>0</v>
      </c>
      <c r="BS3452">
        <v>0</v>
      </c>
      <c r="BT3452">
        <v>0</v>
      </c>
      <c r="BU3452">
        <v>0</v>
      </c>
      <c r="CE3452" t="str">
        <f t="shared" si="1260"/>
        <v>19:34:49.020</v>
      </c>
      <c r="CF3452">
        <v>19690604</v>
      </c>
      <c r="CS3452">
        <v>0</v>
      </c>
      <c r="CT3452">
        <v>2</v>
      </c>
      <c r="CU3452">
        <v>0</v>
      </c>
      <c r="CV3452">
        <v>2</v>
      </c>
      <c r="CW3452">
        <v>0</v>
      </c>
      <c r="CX3452">
        <v>5</v>
      </c>
      <c r="CY3452">
        <v>7</v>
      </c>
      <c r="CZ3452" t="s">
        <v>131</v>
      </c>
      <c r="DA3452">
        <v>286</v>
      </c>
      <c r="DB3452">
        <v>0</v>
      </c>
      <c r="DC3452" t="s">
        <v>132</v>
      </c>
      <c r="DD3452" t="s">
        <v>133</v>
      </c>
      <c r="DG3452">
        <v>879071</v>
      </c>
      <c r="DI3452">
        <v>0</v>
      </c>
      <c r="DJ3452">
        <v>0</v>
      </c>
      <c r="DK3452">
        <v>1</v>
      </c>
      <c r="DL3452">
        <v>0</v>
      </c>
      <c r="DM3452">
        <v>0</v>
      </c>
      <c r="DN3452">
        <v>1</v>
      </c>
      <c r="DO3452">
        <v>0</v>
      </c>
      <c r="DP3452">
        <v>0</v>
      </c>
      <c r="DQ3452">
        <v>0</v>
      </c>
      <c r="DR3452">
        <v>0</v>
      </c>
      <c r="DS3452">
        <v>0</v>
      </c>
    </row>
    <row r="3453" spans="1:123" x14ac:dyDescent="0.3">
      <c r="A3453" t="str">
        <f>"10/04/2022 19:34:49.323"</f>
        <v>10/04/2022 19:34:49.323</v>
      </c>
      <c r="C3453" t="str">
        <f t="shared" si="1254"/>
        <v>FFDFD3C0</v>
      </c>
      <c r="D3453" t="s">
        <v>123</v>
      </c>
      <c r="E3453">
        <v>7</v>
      </c>
      <c r="F3453">
        <v>2007</v>
      </c>
      <c r="G3453" t="s">
        <v>124</v>
      </c>
      <c r="J3453" t="s">
        <v>125</v>
      </c>
      <c r="K3453">
        <v>0</v>
      </c>
      <c r="L3453">
        <v>3</v>
      </c>
      <c r="M3453">
        <v>0</v>
      </c>
      <c r="N3453">
        <v>2</v>
      </c>
      <c r="O3453">
        <v>0</v>
      </c>
      <c r="P3453">
        <v>1</v>
      </c>
      <c r="Q3453">
        <v>0</v>
      </c>
      <c r="S3453" t="str">
        <f t="shared" si="1259"/>
        <v>19:34:49.000</v>
      </c>
      <c r="T3453" t="str">
        <f t="shared" si="1259"/>
        <v>19:34:49.000</v>
      </c>
      <c r="U3453" t="str">
        <f t="shared" si="1240"/>
        <v>AC3944</v>
      </c>
      <c r="V3453">
        <v>0</v>
      </c>
      <c r="W3453">
        <v>0</v>
      </c>
      <c r="X3453">
        <v>2</v>
      </c>
      <c r="Y3453">
        <v>0</v>
      </c>
      <c r="AA3453">
        <v>1</v>
      </c>
      <c r="AB3453">
        <v>8</v>
      </c>
      <c r="AC3453">
        <v>3</v>
      </c>
      <c r="AD3453">
        <v>0</v>
      </c>
      <c r="AE3453">
        <v>9</v>
      </c>
      <c r="AF3453" t="s">
        <v>138</v>
      </c>
      <c r="AG3453">
        <v>0</v>
      </c>
      <c r="AH3453">
        <v>3</v>
      </c>
      <c r="AI3453">
        <v>1</v>
      </c>
      <c r="AJ3453">
        <v>0</v>
      </c>
      <c r="AK3453" t="s">
        <v>1134</v>
      </c>
      <c r="AL3453">
        <v>32.731147</v>
      </c>
      <c r="AM3453" t="s">
        <v>1135</v>
      </c>
      <c r="AN3453">
        <v>-116.74108699999999</v>
      </c>
      <c r="AO3453">
        <v>25</v>
      </c>
      <c r="AP3453">
        <v>4200</v>
      </c>
      <c r="AQ3453" t="s">
        <v>129</v>
      </c>
      <c r="AR3453">
        <v>107</v>
      </c>
      <c r="AS3453">
        <v>38</v>
      </c>
      <c r="AT3453">
        <v>960</v>
      </c>
      <c r="BB3453">
        <v>1200</v>
      </c>
      <c r="BC3453">
        <v>1</v>
      </c>
      <c r="BD3453" t="str">
        <f t="shared" si="1241"/>
        <v xml:space="preserve">N887QR  </v>
      </c>
      <c r="BE3453">
        <v>1</v>
      </c>
      <c r="BG3453">
        <v>0</v>
      </c>
      <c r="BH3453">
        <v>0</v>
      </c>
      <c r="BI3453">
        <v>0</v>
      </c>
      <c r="BJ3453">
        <v>4025</v>
      </c>
      <c r="BK3453">
        <v>-175</v>
      </c>
      <c r="BL3453" t="s">
        <v>163</v>
      </c>
      <c r="BM3453">
        <v>1</v>
      </c>
      <c r="BN3453">
        <v>1</v>
      </c>
      <c r="BO3453">
        <v>1</v>
      </c>
      <c r="BP3453">
        <v>0</v>
      </c>
      <c r="BS3453">
        <v>0</v>
      </c>
      <c r="BT3453">
        <v>0</v>
      </c>
      <c r="BU3453">
        <v>0</v>
      </c>
      <c r="CE3453" t="str">
        <f t="shared" si="1260"/>
        <v>19:34:49.020</v>
      </c>
      <c r="CF3453">
        <v>19690604</v>
      </c>
      <c r="CS3453">
        <v>0</v>
      </c>
      <c r="CT3453">
        <v>2</v>
      </c>
      <c r="CU3453">
        <v>0</v>
      </c>
      <c r="CV3453">
        <v>2</v>
      </c>
      <c r="CW3453">
        <v>0</v>
      </c>
      <c r="CX3453">
        <v>5</v>
      </c>
      <c r="CY3453">
        <v>7</v>
      </c>
      <c r="CZ3453" t="s">
        <v>131</v>
      </c>
      <c r="DA3453">
        <v>286</v>
      </c>
      <c r="DB3453">
        <v>0</v>
      </c>
      <c r="DC3453" t="s">
        <v>132</v>
      </c>
      <c r="DD3453" t="s">
        <v>133</v>
      </c>
      <c r="DG3453">
        <v>879071</v>
      </c>
      <c r="DI3453">
        <v>0</v>
      </c>
      <c r="DJ3453">
        <v>0</v>
      </c>
      <c r="DK3453">
        <v>1</v>
      </c>
      <c r="DL3453">
        <v>0</v>
      </c>
      <c r="DM3453">
        <v>0</v>
      </c>
      <c r="DN3453">
        <v>1</v>
      </c>
      <c r="DO3453">
        <v>0</v>
      </c>
      <c r="DP3453">
        <v>0</v>
      </c>
      <c r="DQ3453">
        <v>0</v>
      </c>
      <c r="DR3453">
        <v>0</v>
      </c>
      <c r="DS3453">
        <v>0</v>
      </c>
    </row>
    <row r="3454" spans="1:123" x14ac:dyDescent="0.3">
      <c r="A3454" t="str">
        <f>"10/04/2022 19:34:49.355"</f>
        <v>10/04/2022 19:34:49.355</v>
      </c>
      <c r="C3454" t="str">
        <f t="shared" si="1254"/>
        <v>FFDFD3C0</v>
      </c>
      <c r="D3454" t="s">
        <v>134</v>
      </c>
      <c r="E3454">
        <v>15</v>
      </c>
      <c r="J3454" t="s">
        <v>135</v>
      </c>
      <c r="K3454">
        <v>0</v>
      </c>
      <c r="L3454">
        <v>3</v>
      </c>
      <c r="M3454">
        <v>0</v>
      </c>
      <c r="N3454">
        <v>2</v>
      </c>
      <c r="O3454">
        <v>0</v>
      </c>
      <c r="P3454">
        <v>1</v>
      </c>
      <c r="Q3454">
        <v>0</v>
      </c>
      <c r="S3454" t="str">
        <f t="shared" si="1259"/>
        <v>19:34:49.000</v>
      </c>
      <c r="T3454" t="str">
        <f t="shared" si="1259"/>
        <v>19:34:49.000</v>
      </c>
      <c r="U3454" t="str">
        <f t="shared" si="1240"/>
        <v>AC3944</v>
      </c>
      <c r="V3454">
        <v>0</v>
      </c>
      <c r="W3454">
        <v>0</v>
      </c>
      <c r="X3454">
        <v>2</v>
      </c>
      <c r="Y3454">
        <v>0</v>
      </c>
      <c r="AA3454">
        <v>1</v>
      </c>
      <c r="AB3454">
        <v>8</v>
      </c>
      <c r="AC3454">
        <v>3</v>
      </c>
      <c r="AD3454">
        <v>0</v>
      </c>
      <c r="AE3454">
        <v>9</v>
      </c>
      <c r="AF3454" t="s">
        <v>138</v>
      </c>
      <c r="AG3454">
        <v>0</v>
      </c>
      <c r="AH3454">
        <v>3</v>
      </c>
      <c r="AI3454">
        <v>1</v>
      </c>
      <c r="AJ3454">
        <v>0</v>
      </c>
      <c r="AK3454" t="s">
        <v>1134</v>
      </c>
      <c r="AL3454">
        <v>32.731147</v>
      </c>
      <c r="AM3454" t="s">
        <v>1135</v>
      </c>
      <c r="AN3454">
        <v>-116.74108699999999</v>
      </c>
      <c r="AO3454">
        <v>25</v>
      </c>
      <c r="AP3454">
        <v>4200</v>
      </c>
      <c r="AQ3454" t="s">
        <v>129</v>
      </c>
      <c r="AR3454">
        <v>107</v>
      </c>
      <c r="AS3454">
        <v>38</v>
      </c>
      <c r="AT3454">
        <v>960</v>
      </c>
      <c r="BB3454">
        <v>1200</v>
      </c>
      <c r="BC3454">
        <v>1</v>
      </c>
      <c r="BD3454" t="str">
        <f t="shared" si="1241"/>
        <v xml:space="preserve">N887QR  </v>
      </c>
      <c r="BE3454">
        <v>1</v>
      </c>
      <c r="BG3454">
        <v>0</v>
      </c>
      <c r="BH3454">
        <v>0</v>
      </c>
      <c r="BI3454">
        <v>0</v>
      </c>
      <c r="BJ3454">
        <v>4025</v>
      </c>
      <c r="BK3454">
        <v>-175</v>
      </c>
      <c r="BL3454" t="s">
        <v>163</v>
      </c>
      <c r="BM3454">
        <v>1</v>
      </c>
      <c r="BN3454">
        <v>1</v>
      </c>
      <c r="BO3454">
        <v>1</v>
      </c>
      <c r="BP3454">
        <v>0</v>
      </c>
      <c r="BS3454">
        <v>0</v>
      </c>
      <c r="BT3454">
        <v>0</v>
      </c>
      <c r="BU3454">
        <v>0</v>
      </c>
      <c r="CE3454" t="str">
        <f t="shared" si="1260"/>
        <v>19:34:49.020</v>
      </c>
      <c r="CF3454">
        <v>19690604</v>
      </c>
      <c r="CS3454">
        <v>0</v>
      </c>
      <c r="CT3454">
        <v>2</v>
      </c>
      <c r="CU3454">
        <v>0</v>
      </c>
      <c r="CV3454">
        <v>2</v>
      </c>
      <c r="CW3454">
        <v>0</v>
      </c>
      <c r="CX3454">
        <v>5</v>
      </c>
      <c r="CY3454">
        <v>7</v>
      </c>
      <c r="CZ3454" t="s">
        <v>131</v>
      </c>
      <c r="DA3454">
        <v>286</v>
      </c>
      <c r="DB3454">
        <v>0</v>
      </c>
      <c r="DC3454" t="s">
        <v>132</v>
      </c>
      <c r="DD3454" t="s">
        <v>133</v>
      </c>
      <c r="DG3454">
        <v>879071</v>
      </c>
      <c r="DI3454">
        <v>0</v>
      </c>
      <c r="DJ3454">
        <v>0</v>
      </c>
      <c r="DK3454">
        <v>1</v>
      </c>
      <c r="DL3454">
        <v>0</v>
      </c>
      <c r="DM3454">
        <v>0</v>
      </c>
      <c r="DN3454">
        <v>1</v>
      </c>
      <c r="DO3454">
        <v>0</v>
      </c>
      <c r="DP3454">
        <v>0</v>
      </c>
      <c r="DQ3454">
        <v>0</v>
      </c>
      <c r="DR3454">
        <v>0</v>
      </c>
      <c r="DS3454">
        <v>0</v>
      </c>
    </row>
    <row r="3455" spans="1:123" x14ac:dyDescent="0.3">
      <c r="A3455" t="str">
        <f>"10/04/2022 19:34:49.323"</f>
        <v>10/04/2022 19:34:49.323</v>
      </c>
      <c r="C3455" t="str">
        <f t="shared" si="1254"/>
        <v>FFDFD3C0</v>
      </c>
      <c r="D3455" t="s">
        <v>143</v>
      </c>
      <c r="E3455">
        <v>20</v>
      </c>
      <c r="F3455">
        <v>1020</v>
      </c>
      <c r="G3455" t="s">
        <v>144</v>
      </c>
      <c r="J3455" t="s">
        <v>145</v>
      </c>
      <c r="K3455">
        <v>0</v>
      </c>
      <c r="L3455">
        <v>3</v>
      </c>
      <c r="M3455">
        <v>0</v>
      </c>
      <c r="N3455">
        <v>2</v>
      </c>
      <c r="O3455">
        <v>0</v>
      </c>
      <c r="P3455">
        <v>1</v>
      </c>
      <c r="Q3455">
        <v>0</v>
      </c>
      <c r="S3455" t="str">
        <f t="shared" si="1259"/>
        <v>19:34:49.000</v>
      </c>
      <c r="T3455" t="str">
        <f t="shared" si="1259"/>
        <v>19:34:49.000</v>
      </c>
      <c r="U3455" t="str">
        <f t="shared" si="1240"/>
        <v>AC3944</v>
      </c>
      <c r="V3455">
        <v>0</v>
      </c>
      <c r="W3455">
        <v>0</v>
      </c>
      <c r="X3455">
        <v>2</v>
      </c>
      <c r="Y3455">
        <v>0</v>
      </c>
      <c r="AA3455">
        <v>1</v>
      </c>
      <c r="AB3455">
        <v>8</v>
      </c>
      <c r="AC3455">
        <v>3</v>
      </c>
      <c r="AD3455">
        <v>0</v>
      </c>
      <c r="AE3455">
        <v>9</v>
      </c>
      <c r="AF3455" t="s">
        <v>138</v>
      </c>
      <c r="AG3455">
        <v>0</v>
      </c>
      <c r="AH3455">
        <v>3</v>
      </c>
      <c r="AI3455">
        <v>1</v>
      </c>
      <c r="AJ3455">
        <v>0</v>
      </c>
      <c r="AK3455" t="s">
        <v>1134</v>
      </c>
      <c r="AL3455">
        <v>32.731147</v>
      </c>
      <c r="AM3455" t="s">
        <v>1135</v>
      </c>
      <c r="AN3455">
        <v>-116.74108699999999</v>
      </c>
      <c r="AO3455">
        <v>25</v>
      </c>
      <c r="AP3455">
        <v>4200</v>
      </c>
      <c r="AQ3455" t="s">
        <v>129</v>
      </c>
      <c r="AR3455">
        <v>107</v>
      </c>
      <c r="AS3455">
        <v>38</v>
      </c>
      <c r="AT3455">
        <v>960</v>
      </c>
      <c r="BB3455">
        <v>1200</v>
      </c>
      <c r="BC3455">
        <v>1</v>
      </c>
      <c r="BD3455" t="str">
        <f t="shared" si="1241"/>
        <v xml:space="preserve">N887QR  </v>
      </c>
      <c r="BE3455">
        <v>1</v>
      </c>
      <c r="BG3455">
        <v>0</v>
      </c>
      <c r="BH3455">
        <v>0</v>
      </c>
      <c r="BI3455">
        <v>0</v>
      </c>
      <c r="BJ3455">
        <v>4025</v>
      </c>
      <c r="BK3455">
        <v>-175</v>
      </c>
      <c r="BL3455" t="s">
        <v>163</v>
      </c>
      <c r="BM3455">
        <v>1</v>
      </c>
      <c r="BN3455">
        <v>1</v>
      </c>
      <c r="BO3455">
        <v>1</v>
      </c>
      <c r="BP3455">
        <v>0</v>
      </c>
      <c r="BS3455">
        <v>0</v>
      </c>
      <c r="BT3455">
        <v>0</v>
      </c>
      <c r="BU3455">
        <v>0</v>
      </c>
      <c r="CE3455" t="str">
        <f t="shared" si="1260"/>
        <v>19:34:49.020</v>
      </c>
      <c r="CF3455">
        <v>19690604</v>
      </c>
      <c r="CS3455">
        <v>0</v>
      </c>
      <c r="CT3455">
        <v>2</v>
      </c>
      <c r="CU3455">
        <v>0</v>
      </c>
      <c r="CV3455">
        <v>2</v>
      </c>
      <c r="CW3455">
        <v>0</v>
      </c>
      <c r="CX3455">
        <v>5</v>
      </c>
      <c r="CY3455">
        <v>7</v>
      </c>
      <c r="CZ3455" t="s">
        <v>131</v>
      </c>
      <c r="DA3455">
        <v>286</v>
      </c>
      <c r="DB3455">
        <v>0</v>
      </c>
      <c r="DC3455" t="s">
        <v>132</v>
      </c>
      <c r="DD3455" t="s">
        <v>133</v>
      </c>
      <c r="DG3455">
        <v>879071</v>
      </c>
      <c r="DI3455">
        <v>0</v>
      </c>
      <c r="DJ3455">
        <v>0</v>
      </c>
      <c r="DK3455">
        <v>1</v>
      </c>
      <c r="DL3455">
        <v>0</v>
      </c>
      <c r="DM3455">
        <v>0</v>
      </c>
      <c r="DN3455">
        <v>1</v>
      </c>
      <c r="DO3455">
        <v>0</v>
      </c>
      <c r="DP3455">
        <v>0</v>
      </c>
      <c r="DQ3455">
        <v>0</v>
      </c>
      <c r="DR3455">
        <v>0</v>
      </c>
      <c r="DS3455">
        <v>0</v>
      </c>
    </row>
    <row r="3456" spans="1:123" x14ac:dyDescent="0.3">
      <c r="A3456" t="str">
        <f t="shared" ref="A3456:A3462" si="1261">"10/04/2022 19:34:50.465"</f>
        <v>10/04/2022 19:34:50.465</v>
      </c>
      <c r="C3456" t="str">
        <f t="shared" si="1254"/>
        <v>FFDFD3C0</v>
      </c>
      <c r="D3456" t="s">
        <v>136</v>
      </c>
      <c r="E3456">
        <v>8</v>
      </c>
      <c r="H3456">
        <v>225</v>
      </c>
      <c r="I3456" t="s">
        <v>137</v>
      </c>
      <c r="J3456" t="s">
        <v>138</v>
      </c>
      <c r="K3456">
        <v>0</v>
      </c>
      <c r="L3456">
        <v>3</v>
      </c>
      <c r="M3456">
        <v>0</v>
      </c>
      <c r="N3456">
        <v>2</v>
      </c>
      <c r="O3456">
        <v>0</v>
      </c>
      <c r="P3456">
        <v>1</v>
      </c>
      <c r="Q3456">
        <v>0</v>
      </c>
      <c r="S3456" t="str">
        <f t="shared" ref="S3456:T3462" si="1262">"19:34:50.000"</f>
        <v>19:34:50.000</v>
      </c>
      <c r="T3456" t="str">
        <f t="shared" si="1262"/>
        <v>19:34:50.000</v>
      </c>
      <c r="U3456" t="str">
        <f t="shared" si="1240"/>
        <v>AC3944</v>
      </c>
      <c r="V3456">
        <v>0</v>
      </c>
      <c r="W3456">
        <v>0</v>
      </c>
      <c r="X3456">
        <v>2</v>
      </c>
      <c r="Y3456">
        <v>0</v>
      </c>
      <c r="AA3456">
        <v>1</v>
      </c>
      <c r="AB3456">
        <v>8</v>
      </c>
      <c r="AC3456">
        <v>3</v>
      </c>
      <c r="AD3456">
        <v>0</v>
      </c>
      <c r="AE3456">
        <v>9</v>
      </c>
      <c r="AF3456" t="s">
        <v>138</v>
      </c>
      <c r="AG3456">
        <v>0</v>
      </c>
      <c r="AH3456">
        <v>3</v>
      </c>
      <c r="AI3456">
        <v>1</v>
      </c>
      <c r="AJ3456">
        <v>0</v>
      </c>
      <c r="AK3456" t="s">
        <v>1136</v>
      </c>
      <c r="AL3456">
        <v>32.731340000000003</v>
      </c>
      <c r="AM3456" t="s">
        <v>1137</v>
      </c>
      <c r="AN3456">
        <v>-116.740487</v>
      </c>
      <c r="AO3456">
        <v>25</v>
      </c>
      <c r="AP3456">
        <v>4200</v>
      </c>
      <c r="AQ3456" t="s">
        <v>129</v>
      </c>
      <c r="AR3456">
        <v>108</v>
      </c>
      <c r="AS3456">
        <v>40</v>
      </c>
      <c r="AT3456">
        <v>704</v>
      </c>
      <c r="BB3456">
        <v>1200</v>
      </c>
      <c r="BC3456">
        <v>1</v>
      </c>
      <c r="BD3456" t="str">
        <f t="shared" si="1241"/>
        <v xml:space="preserve">N887QR  </v>
      </c>
      <c r="BE3456">
        <v>1</v>
      </c>
      <c r="BG3456">
        <v>0</v>
      </c>
      <c r="BH3456">
        <v>0</v>
      </c>
      <c r="BI3456">
        <v>0</v>
      </c>
      <c r="BJ3456">
        <v>4050</v>
      </c>
      <c r="BK3456">
        <v>-150</v>
      </c>
      <c r="BL3456" t="s">
        <v>163</v>
      </c>
      <c r="BM3456">
        <v>1</v>
      </c>
      <c r="BN3456">
        <v>1</v>
      </c>
      <c r="BO3456">
        <v>1</v>
      </c>
      <c r="BP3456">
        <v>0</v>
      </c>
      <c r="BS3456">
        <v>0</v>
      </c>
      <c r="BT3456">
        <v>0</v>
      </c>
      <c r="BU3456">
        <v>0</v>
      </c>
      <c r="CE3456" t="str">
        <f t="shared" ref="CE3456:CE3462" si="1263">"19:34:50.190"</f>
        <v>19:34:50.190</v>
      </c>
      <c r="CF3456">
        <v>190444503</v>
      </c>
      <c r="CS3456">
        <v>0</v>
      </c>
      <c r="CT3456">
        <v>2</v>
      </c>
      <c r="CU3456">
        <v>0</v>
      </c>
      <c r="CV3456">
        <v>2</v>
      </c>
      <c r="CW3456">
        <v>0</v>
      </c>
      <c r="CX3456">
        <v>5</v>
      </c>
      <c r="CY3456">
        <v>7</v>
      </c>
      <c r="CZ3456" t="s">
        <v>131</v>
      </c>
      <c r="DA3456">
        <v>286</v>
      </c>
      <c r="DB3456">
        <v>0</v>
      </c>
      <c r="DC3456" t="s">
        <v>132</v>
      </c>
      <c r="DD3456" t="s">
        <v>133</v>
      </c>
      <c r="DG3456">
        <v>879294</v>
      </c>
      <c r="DI3456">
        <v>0</v>
      </c>
      <c r="DJ3456">
        <v>0</v>
      </c>
      <c r="DK3456">
        <v>0</v>
      </c>
      <c r="DL3456">
        <v>0</v>
      </c>
      <c r="DM3456">
        <v>0</v>
      </c>
      <c r="DN3456">
        <v>1</v>
      </c>
      <c r="DO3456">
        <v>0</v>
      </c>
      <c r="DP3456">
        <v>0</v>
      </c>
      <c r="DQ3456">
        <v>0</v>
      </c>
      <c r="DR3456">
        <v>0</v>
      </c>
      <c r="DS3456">
        <v>0</v>
      </c>
    </row>
    <row r="3457" spans="1:123" x14ac:dyDescent="0.3">
      <c r="A3457" t="str">
        <f t="shared" si="1261"/>
        <v>10/04/2022 19:34:50.465</v>
      </c>
      <c r="C3457" t="str">
        <f t="shared" si="1254"/>
        <v>FFDFD3C0</v>
      </c>
      <c r="D3457" t="s">
        <v>141</v>
      </c>
      <c r="E3457">
        <v>4</v>
      </c>
      <c r="H3457">
        <v>4</v>
      </c>
      <c r="I3457" t="s">
        <v>142</v>
      </c>
      <c r="J3457" t="s">
        <v>138</v>
      </c>
      <c r="K3457">
        <v>0</v>
      </c>
      <c r="L3457">
        <v>3</v>
      </c>
      <c r="M3457">
        <v>0</v>
      </c>
      <c r="N3457">
        <v>2</v>
      </c>
      <c r="O3457">
        <v>0</v>
      </c>
      <c r="P3457">
        <v>1</v>
      </c>
      <c r="Q3457">
        <v>0</v>
      </c>
      <c r="S3457" t="str">
        <f t="shared" si="1262"/>
        <v>19:34:50.000</v>
      </c>
      <c r="T3457" t="str">
        <f t="shared" si="1262"/>
        <v>19:34:50.000</v>
      </c>
      <c r="U3457" t="str">
        <f t="shared" si="1240"/>
        <v>AC3944</v>
      </c>
      <c r="V3457">
        <v>0</v>
      </c>
      <c r="W3457">
        <v>0</v>
      </c>
      <c r="X3457">
        <v>2</v>
      </c>
      <c r="Y3457">
        <v>0</v>
      </c>
      <c r="AA3457">
        <v>1</v>
      </c>
      <c r="AB3457">
        <v>8</v>
      </c>
      <c r="AC3457">
        <v>3</v>
      </c>
      <c r="AD3457">
        <v>0</v>
      </c>
      <c r="AE3457">
        <v>9</v>
      </c>
      <c r="AF3457" t="s">
        <v>138</v>
      </c>
      <c r="AG3457">
        <v>0</v>
      </c>
      <c r="AH3457">
        <v>3</v>
      </c>
      <c r="AI3457">
        <v>1</v>
      </c>
      <c r="AJ3457">
        <v>0</v>
      </c>
      <c r="AK3457" t="s">
        <v>1136</v>
      </c>
      <c r="AL3457">
        <v>32.731340000000003</v>
      </c>
      <c r="AM3457" t="s">
        <v>1137</v>
      </c>
      <c r="AN3457">
        <v>-116.740487</v>
      </c>
      <c r="AO3457">
        <v>25</v>
      </c>
      <c r="AP3457">
        <v>4200</v>
      </c>
      <c r="AQ3457" t="s">
        <v>129</v>
      </c>
      <c r="AR3457">
        <v>108</v>
      </c>
      <c r="AS3457">
        <v>40</v>
      </c>
      <c r="AT3457">
        <v>704</v>
      </c>
      <c r="BB3457">
        <v>1200</v>
      </c>
      <c r="BC3457">
        <v>1</v>
      </c>
      <c r="BD3457" t="str">
        <f t="shared" si="1241"/>
        <v xml:space="preserve">N887QR  </v>
      </c>
      <c r="BE3457">
        <v>1</v>
      </c>
      <c r="BG3457">
        <v>0</v>
      </c>
      <c r="BH3457">
        <v>0</v>
      </c>
      <c r="BI3457">
        <v>0</v>
      </c>
      <c r="BJ3457">
        <v>4050</v>
      </c>
      <c r="BK3457">
        <v>-150</v>
      </c>
      <c r="BL3457" t="s">
        <v>163</v>
      </c>
      <c r="BM3457">
        <v>1</v>
      </c>
      <c r="BN3457">
        <v>1</v>
      </c>
      <c r="BO3457">
        <v>1</v>
      </c>
      <c r="BP3457">
        <v>0</v>
      </c>
      <c r="BS3457">
        <v>0</v>
      </c>
      <c r="BT3457">
        <v>0</v>
      </c>
      <c r="BU3457">
        <v>0</v>
      </c>
      <c r="CE3457" t="str">
        <f t="shared" si="1263"/>
        <v>19:34:50.190</v>
      </c>
      <c r="CF3457">
        <v>190444503</v>
      </c>
      <c r="CS3457">
        <v>0</v>
      </c>
      <c r="CT3457">
        <v>2</v>
      </c>
      <c r="CU3457">
        <v>0</v>
      </c>
      <c r="CV3457">
        <v>2</v>
      </c>
      <c r="CW3457">
        <v>0</v>
      </c>
      <c r="CX3457">
        <v>5</v>
      </c>
      <c r="CY3457">
        <v>7</v>
      </c>
      <c r="CZ3457" t="s">
        <v>131</v>
      </c>
      <c r="DA3457">
        <v>286</v>
      </c>
      <c r="DB3457">
        <v>0</v>
      </c>
      <c r="DC3457" t="s">
        <v>132</v>
      </c>
      <c r="DD3457" t="s">
        <v>133</v>
      </c>
      <c r="DG3457">
        <v>879294</v>
      </c>
      <c r="DI3457">
        <v>0</v>
      </c>
      <c r="DJ3457">
        <v>0</v>
      </c>
      <c r="DK3457">
        <v>1</v>
      </c>
      <c r="DL3457">
        <v>0</v>
      </c>
      <c r="DM3457">
        <v>0</v>
      </c>
      <c r="DN3457">
        <v>1</v>
      </c>
      <c r="DO3457">
        <v>0</v>
      </c>
      <c r="DP3457">
        <v>0</v>
      </c>
      <c r="DQ3457">
        <v>0</v>
      </c>
      <c r="DR3457">
        <v>0</v>
      </c>
      <c r="DS3457">
        <v>0</v>
      </c>
    </row>
    <row r="3458" spans="1:123" x14ac:dyDescent="0.3">
      <c r="A3458" t="str">
        <f t="shared" si="1261"/>
        <v>10/04/2022 19:34:50.465</v>
      </c>
      <c r="C3458" t="str">
        <f t="shared" si="1254"/>
        <v>FFDFD3C0</v>
      </c>
      <c r="D3458" t="s">
        <v>141</v>
      </c>
      <c r="E3458">
        <v>3</v>
      </c>
      <c r="H3458">
        <v>3</v>
      </c>
      <c r="I3458" t="s">
        <v>146</v>
      </c>
      <c r="J3458" t="s">
        <v>138</v>
      </c>
      <c r="K3458">
        <v>0</v>
      </c>
      <c r="L3458">
        <v>3</v>
      </c>
      <c r="M3458">
        <v>0</v>
      </c>
      <c r="N3458">
        <v>2</v>
      </c>
      <c r="O3458">
        <v>0</v>
      </c>
      <c r="P3458">
        <v>1</v>
      </c>
      <c r="Q3458">
        <v>0</v>
      </c>
      <c r="S3458" t="str">
        <f t="shared" si="1262"/>
        <v>19:34:50.000</v>
      </c>
      <c r="T3458" t="str">
        <f t="shared" si="1262"/>
        <v>19:34:50.000</v>
      </c>
      <c r="U3458" t="str">
        <f t="shared" ref="U3458:U3521" si="1264">"AC3944"</f>
        <v>AC3944</v>
      </c>
      <c r="V3458">
        <v>0</v>
      </c>
      <c r="W3458">
        <v>0</v>
      </c>
      <c r="X3458">
        <v>2</v>
      </c>
      <c r="Y3458">
        <v>0</v>
      </c>
      <c r="AA3458">
        <v>1</v>
      </c>
      <c r="AB3458">
        <v>8</v>
      </c>
      <c r="AC3458">
        <v>3</v>
      </c>
      <c r="AD3458">
        <v>0</v>
      </c>
      <c r="AE3458">
        <v>9</v>
      </c>
      <c r="AF3458" t="s">
        <v>138</v>
      </c>
      <c r="AG3458">
        <v>0</v>
      </c>
      <c r="AH3458">
        <v>3</v>
      </c>
      <c r="AI3458">
        <v>1</v>
      </c>
      <c r="AJ3458">
        <v>0</v>
      </c>
      <c r="AK3458" t="s">
        <v>1136</v>
      </c>
      <c r="AL3458">
        <v>32.731340000000003</v>
      </c>
      <c r="AM3458" t="s">
        <v>1137</v>
      </c>
      <c r="AN3458">
        <v>-116.740487</v>
      </c>
      <c r="AO3458">
        <v>25</v>
      </c>
      <c r="AP3458">
        <v>4200</v>
      </c>
      <c r="AQ3458" t="s">
        <v>129</v>
      </c>
      <c r="AR3458">
        <v>108</v>
      </c>
      <c r="AS3458">
        <v>40</v>
      </c>
      <c r="AT3458">
        <v>704</v>
      </c>
      <c r="BB3458">
        <v>1200</v>
      </c>
      <c r="BC3458">
        <v>1</v>
      </c>
      <c r="BD3458" t="str">
        <f t="shared" ref="BD3458:BD3521" si="1265">"N887QR  "</f>
        <v xml:space="preserve">N887QR  </v>
      </c>
      <c r="BE3458">
        <v>1</v>
      </c>
      <c r="BG3458">
        <v>0</v>
      </c>
      <c r="BH3458">
        <v>0</v>
      </c>
      <c r="BI3458">
        <v>0</v>
      </c>
      <c r="BJ3458">
        <v>4050</v>
      </c>
      <c r="BK3458">
        <v>-150</v>
      </c>
      <c r="BL3458" t="s">
        <v>163</v>
      </c>
      <c r="BM3458">
        <v>1</v>
      </c>
      <c r="BN3458">
        <v>1</v>
      </c>
      <c r="BO3458">
        <v>1</v>
      </c>
      <c r="BP3458">
        <v>0</v>
      </c>
      <c r="BS3458">
        <v>0</v>
      </c>
      <c r="BT3458">
        <v>0</v>
      </c>
      <c r="BU3458">
        <v>0</v>
      </c>
      <c r="CE3458" t="str">
        <f t="shared" si="1263"/>
        <v>19:34:50.190</v>
      </c>
      <c r="CF3458">
        <v>190444503</v>
      </c>
      <c r="CS3458">
        <v>0</v>
      </c>
      <c r="CT3458">
        <v>2</v>
      </c>
      <c r="CU3458">
        <v>0</v>
      </c>
      <c r="CV3458">
        <v>2</v>
      </c>
      <c r="CW3458">
        <v>0</v>
      </c>
      <c r="CX3458">
        <v>5</v>
      </c>
      <c r="CY3458">
        <v>7</v>
      </c>
      <c r="CZ3458" t="s">
        <v>131</v>
      </c>
      <c r="DA3458">
        <v>286</v>
      </c>
      <c r="DB3458">
        <v>0</v>
      </c>
      <c r="DC3458" t="s">
        <v>132</v>
      </c>
      <c r="DD3458" t="s">
        <v>133</v>
      </c>
      <c r="DG3458">
        <v>879294</v>
      </c>
      <c r="DI3458">
        <v>0</v>
      </c>
      <c r="DJ3458">
        <v>0</v>
      </c>
      <c r="DK3458">
        <v>1</v>
      </c>
      <c r="DL3458">
        <v>0</v>
      </c>
      <c r="DM3458">
        <v>0</v>
      </c>
      <c r="DN3458">
        <v>1</v>
      </c>
      <c r="DO3458">
        <v>0</v>
      </c>
      <c r="DP3458">
        <v>0</v>
      </c>
      <c r="DQ3458">
        <v>0</v>
      </c>
      <c r="DR3458">
        <v>0</v>
      </c>
      <c r="DS3458">
        <v>0</v>
      </c>
    </row>
    <row r="3459" spans="1:123" x14ac:dyDescent="0.3">
      <c r="A3459" t="str">
        <f t="shared" si="1261"/>
        <v>10/04/2022 19:34:50.465</v>
      </c>
      <c r="C3459" t="str">
        <f t="shared" si="1254"/>
        <v>FFDFD3C0</v>
      </c>
      <c r="D3459" t="s">
        <v>143</v>
      </c>
      <c r="E3459">
        <v>20</v>
      </c>
      <c r="F3459">
        <v>1020</v>
      </c>
      <c r="G3459" t="s">
        <v>144</v>
      </c>
      <c r="J3459" t="s">
        <v>145</v>
      </c>
      <c r="K3459">
        <v>0</v>
      </c>
      <c r="L3459">
        <v>3</v>
      </c>
      <c r="M3459">
        <v>0</v>
      </c>
      <c r="N3459">
        <v>2</v>
      </c>
      <c r="O3459">
        <v>0</v>
      </c>
      <c r="P3459">
        <v>1</v>
      </c>
      <c r="Q3459">
        <v>0</v>
      </c>
      <c r="S3459" t="str">
        <f t="shared" si="1262"/>
        <v>19:34:50.000</v>
      </c>
      <c r="T3459" t="str">
        <f t="shared" si="1262"/>
        <v>19:34:50.000</v>
      </c>
      <c r="U3459" t="str">
        <f t="shared" si="1264"/>
        <v>AC3944</v>
      </c>
      <c r="V3459">
        <v>0</v>
      </c>
      <c r="W3459">
        <v>0</v>
      </c>
      <c r="X3459">
        <v>2</v>
      </c>
      <c r="Y3459">
        <v>0</v>
      </c>
      <c r="AA3459">
        <v>1</v>
      </c>
      <c r="AB3459">
        <v>8</v>
      </c>
      <c r="AC3459">
        <v>3</v>
      </c>
      <c r="AD3459">
        <v>0</v>
      </c>
      <c r="AE3459">
        <v>9</v>
      </c>
      <c r="AF3459" t="s">
        <v>138</v>
      </c>
      <c r="AG3459">
        <v>0</v>
      </c>
      <c r="AH3459">
        <v>3</v>
      </c>
      <c r="AI3459">
        <v>1</v>
      </c>
      <c r="AJ3459">
        <v>0</v>
      </c>
      <c r="AK3459" t="s">
        <v>1136</v>
      </c>
      <c r="AL3459">
        <v>32.731340000000003</v>
      </c>
      <c r="AM3459" t="s">
        <v>1137</v>
      </c>
      <c r="AN3459">
        <v>-116.740487</v>
      </c>
      <c r="AO3459">
        <v>25</v>
      </c>
      <c r="AP3459">
        <v>4200</v>
      </c>
      <c r="AQ3459" t="s">
        <v>129</v>
      </c>
      <c r="AR3459">
        <v>108</v>
      </c>
      <c r="AS3459">
        <v>40</v>
      </c>
      <c r="AT3459">
        <v>704</v>
      </c>
      <c r="BB3459">
        <v>1200</v>
      </c>
      <c r="BC3459">
        <v>1</v>
      </c>
      <c r="BD3459" t="str">
        <f t="shared" si="1265"/>
        <v xml:space="preserve">N887QR  </v>
      </c>
      <c r="BE3459">
        <v>1</v>
      </c>
      <c r="BG3459">
        <v>0</v>
      </c>
      <c r="BH3459">
        <v>0</v>
      </c>
      <c r="BI3459">
        <v>0</v>
      </c>
      <c r="BJ3459">
        <v>4050</v>
      </c>
      <c r="BK3459">
        <v>-150</v>
      </c>
      <c r="BL3459" t="s">
        <v>163</v>
      </c>
      <c r="BM3459">
        <v>1</v>
      </c>
      <c r="BN3459">
        <v>1</v>
      </c>
      <c r="BO3459">
        <v>1</v>
      </c>
      <c r="BP3459">
        <v>0</v>
      </c>
      <c r="BS3459">
        <v>0</v>
      </c>
      <c r="BT3459">
        <v>0</v>
      </c>
      <c r="BU3459">
        <v>0</v>
      </c>
      <c r="CE3459" t="str">
        <f t="shared" si="1263"/>
        <v>19:34:50.190</v>
      </c>
      <c r="CF3459">
        <v>190444503</v>
      </c>
      <c r="CS3459">
        <v>0</v>
      </c>
      <c r="CT3459">
        <v>2</v>
      </c>
      <c r="CU3459">
        <v>0</v>
      </c>
      <c r="CV3459">
        <v>2</v>
      </c>
      <c r="CW3459">
        <v>0</v>
      </c>
      <c r="CX3459">
        <v>5</v>
      </c>
      <c r="CY3459">
        <v>7</v>
      </c>
      <c r="CZ3459" t="s">
        <v>131</v>
      </c>
      <c r="DA3459">
        <v>286</v>
      </c>
      <c r="DB3459">
        <v>0</v>
      </c>
      <c r="DC3459" t="s">
        <v>132</v>
      </c>
      <c r="DD3459" t="s">
        <v>133</v>
      </c>
      <c r="DG3459">
        <v>879294</v>
      </c>
      <c r="DI3459">
        <v>0</v>
      </c>
      <c r="DJ3459">
        <v>0</v>
      </c>
      <c r="DK3459">
        <v>1</v>
      </c>
      <c r="DL3459">
        <v>0</v>
      </c>
      <c r="DM3459">
        <v>0</v>
      </c>
      <c r="DN3459">
        <v>1</v>
      </c>
      <c r="DO3459">
        <v>0</v>
      </c>
      <c r="DP3459">
        <v>0</v>
      </c>
      <c r="DQ3459">
        <v>0</v>
      </c>
      <c r="DR3459">
        <v>0</v>
      </c>
      <c r="DS3459">
        <v>0</v>
      </c>
    </row>
    <row r="3460" spans="1:123" x14ac:dyDescent="0.3">
      <c r="A3460" t="str">
        <f t="shared" si="1261"/>
        <v>10/04/2022 19:34:50.465</v>
      </c>
      <c r="C3460" t="str">
        <f t="shared" si="1254"/>
        <v>FFDFD3C0</v>
      </c>
      <c r="D3460" t="s">
        <v>147</v>
      </c>
      <c r="E3460">
        <v>3</v>
      </c>
      <c r="H3460">
        <v>166</v>
      </c>
      <c r="I3460" t="s">
        <v>144</v>
      </c>
      <c r="J3460" t="s">
        <v>148</v>
      </c>
      <c r="K3460">
        <v>0</v>
      </c>
      <c r="L3460">
        <v>3</v>
      </c>
      <c r="M3460">
        <v>0</v>
      </c>
      <c r="N3460">
        <v>2</v>
      </c>
      <c r="O3460">
        <v>0</v>
      </c>
      <c r="P3460">
        <v>1</v>
      </c>
      <c r="Q3460">
        <v>0</v>
      </c>
      <c r="S3460" t="str">
        <f t="shared" si="1262"/>
        <v>19:34:50.000</v>
      </c>
      <c r="T3460" t="str">
        <f t="shared" si="1262"/>
        <v>19:34:50.000</v>
      </c>
      <c r="U3460" t="str">
        <f t="shared" si="1264"/>
        <v>AC3944</v>
      </c>
      <c r="V3460">
        <v>0</v>
      </c>
      <c r="W3460">
        <v>0</v>
      </c>
      <c r="X3460">
        <v>2</v>
      </c>
      <c r="Y3460">
        <v>0</v>
      </c>
      <c r="AA3460">
        <v>1</v>
      </c>
      <c r="AB3460">
        <v>8</v>
      </c>
      <c r="AC3460">
        <v>3</v>
      </c>
      <c r="AD3460">
        <v>0</v>
      </c>
      <c r="AE3460">
        <v>9</v>
      </c>
      <c r="AF3460" t="s">
        <v>138</v>
      </c>
      <c r="AG3460">
        <v>0</v>
      </c>
      <c r="AH3460">
        <v>3</v>
      </c>
      <c r="AI3460">
        <v>1</v>
      </c>
      <c r="AJ3460">
        <v>0</v>
      </c>
      <c r="AK3460" t="s">
        <v>1136</v>
      </c>
      <c r="AL3460">
        <v>32.731340000000003</v>
      </c>
      <c r="AM3460" t="s">
        <v>1137</v>
      </c>
      <c r="AN3460">
        <v>-116.740487</v>
      </c>
      <c r="AO3460">
        <v>25</v>
      </c>
      <c r="AP3460">
        <v>4200</v>
      </c>
      <c r="AQ3460" t="s">
        <v>129</v>
      </c>
      <c r="AR3460">
        <v>108</v>
      </c>
      <c r="AS3460">
        <v>40</v>
      </c>
      <c r="AT3460">
        <v>704</v>
      </c>
      <c r="BB3460">
        <v>1200</v>
      </c>
      <c r="BC3460">
        <v>1</v>
      </c>
      <c r="BD3460" t="str">
        <f t="shared" si="1265"/>
        <v xml:space="preserve">N887QR  </v>
      </c>
      <c r="BE3460">
        <v>1</v>
      </c>
      <c r="BG3460">
        <v>0</v>
      </c>
      <c r="BH3460">
        <v>0</v>
      </c>
      <c r="BI3460">
        <v>0</v>
      </c>
      <c r="BJ3460">
        <v>4050</v>
      </c>
      <c r="BK3460">
        <v>-150</v>
      </c>
      <c r="BL3460" t="s">
        <v>163</v>
      </c>
      <c r="BM3460">
        <v>1</v>
      </c>
      <c r="BN3460">
        <v>1</v>
      </c>
      <c r="BO3460">
        <v>1</v>
      </c>
      <c r="BP3460">
        <v>0</v>
      </c>
      <c r="BS3460">
        <v>0</v>
      </c>
      <c r="BT3460">
        <v>0</v>
      </c>
      <c r="BU3460">
        <v>0</v>
      </c>
      <c r="CE3460" t="str">
        <f t="shared" si="1263"/>
        <v>19:34:50.190</v>
      </c>
      <c r="CF3460">
        <v>190444503</v>
      </c>
      <c r="CS3460">
        <v>0</v>
      </c>
      <c r="CT3460">
        <v>2</v>
      </c>
      <c r="CU3460">
        <v>0</v>
      </c>
      <c r="CV3460">
        <v>2</v>
      </c>
      <c r="CW3460">
        <v>0</v>
      </c>
      <c r="CX3460">
        <v>5</v>
      </c>
      <c r="CY3460">
        <v>7</v>
      </c>
      <c r="CZ3460" t="s">
        <v>131</v>
      </c>
      <c r="DA3460">
        <v>286</v>
      </c>
      <c r="DB3460">
        <v>0</v>
      </c>
      <c r="DC3460" t="s">
        <v>132</v>
      </c>
      <c r="DD3460" t="s">
        <v>133</v>
      </c>
      <c r="DG3460">
        <v>879294</v>
      </c>
      <c r="DI3460">
        <v>0</v>
      </c>
      <c r="DJ3460">
        <v>0</v>
      </c>
      <c r="DK3460">
        <v>1</v>
      </c>
      <c r="DL3460">
        <v>0</v>
      </c>
      <c r="DM3460">
        <v>0</v>
      </c>
      <c r="DN3460">
        <v>1</v>
      </c>
      <c r="DO3460">
        <v>0</v>
      </c>
      <c r="DP3460">
        <v>0</v>
      </c>
      <c r="DQ3460">
        <v>0</v>
      </c>
      <c r="DR3460">
        <v>0</v>
      </c>
      <c r="DS3460">
        <v>0</v>
      </c>
    </row>
    <row r="3461" spans="1:123" x14ac:dyDescent="0.3">
      <c r="A3461" t="str">
        <f t="shared" si="1261"/>
        <v>10/04/2022 19:34:50.465</v>
      </c>
      <c r="C3461" t="str">
        <f t="shared" si="1254"/>
        <v>FFDFD3C0</v>
      </c>
      <c r="D3461" t="s">
        <v>123</v>
      </c>
      <c r="E3461">
        <v>7</v>
      </c>
      <c r="F3461">
        <v>2007</v>
      </c>
      <c r="G3461" t="s">
        <v>124</v>
      </c>
      <c r="J3461" t="s">
        <v>125</v>
      </c>
      <c r="K3461">
        <v>0</v>
      </c>
      <c r="L3461">
        <v>3</v>
      </c>
      <c r="M3461">
        <v>0</v>
      </c>
      <c r="N3461">
        <v>2</v>
      </c>
      <c r="O3461">
        <v>0</v>
      </c>
      <c r="P3461">
        <v>1</v>
      </c>
      <c r="Q3461">
        <v>0</v>
      </c>
      <c r="S3461" t="str">
        <f t="shared" si="1262"/>
        <v>19:34:50.000</v>
      </c>
      <c r="T3461" t="str">
        <f t="shared" si="1262"/>
        <v>19:34:50.000</v>
      </c>
      <c r="U3461" t="str">
        <f t="shared" si="1264"/>
        <v>AC3944</v>
      </c>
      <c r="V3461">
        <v>0</v>
      </c>
      <c r="W3461">
        <v>0</v>
      </c>
      <c r="X3461">
        <v>2</v>
      </c>
      <c r="Y3461">
        <v>0</v>
      </c>
      <c r="AA3461">
        <v>1</v>
      </c>
      <c r="AB3461">
        <v>8</v>
      </c>
      <c r="AC3461">
        <v>3</v>
      </c>
      <c r="AD3461">
        <v>0</v>
      </c>
      <c r="AE3461">
        <v>9</v>
      </c>
      <c r="AF3461" t="s">
        <v>138</v>
      </c>
      <c r="AG3461">
        <v>0</v>
      </c>
      <c r="AH3461">
        <v>3</v>
      </c>
      <c r="AI3461">
        <v>1</v>
      </c>
      <c r="AJ3461">
        <v>0</v>
      </c>
      <c r="AK3461" t="s">
        <v>1136</v>
      </c>
      <c r="AL3461">
        <v>32.731340000000003</v>
      </c>
      <c r="AM3461" t="s">
        <v>1137</v>
      </c>
      <c r="AN3461">
        <v>-116.740487</v>
      </c>
      <c r="AO3461">
        <v>25</v>
      </c>
      <c r="AP3461">
        <v>4200</v>
      </c>
      <c r="AQ3461" t="s">
        <v>129</v>
      </c>
      <c r="AR3461">
        <v>108</v>
      </c>
      <c r="AS3461">
        <v>40</v>
      </c>
      <c r="AT3461">
        <v>704</v>
      </c>
      <c r="BB3461">
        <v>1200</v>
      </c>
      <c r="BC3461">
        <v>1</v>
      </c>
      <c r="BD3461" t="str">
        <f t="shared" si="1265"/>
        <v xml:space="preserve">N887QR  </v>
      </c>
      <c r="BE3461">
        <v>1</v>
      </c>
      <c r="BG3461">
        <v>0</v>
      </c>
      <c r="BH3461">
        <v>0</v>
      </c>
      <c r="BI3461">
        <v>0</v>
      </c>
      <c r="BJ3461">
        <v>4050</v>
      </c>
      <c r="BK3461">
        <v>-150</v>
      </c>
      <c r="BL3461" t="s">
        <v>163</v>
      </c>
      <c r="BM3461">
        <v>1</v>
      </c>
      <c r="BN3461">
        <v>1</v>
      </c>
      <c r="BO3461">
        <v>1</v>
      </c>
      <c r="BP3461">
        <v>0</v>
      </c>
      <c r="BS3461">
        <v>0</v>
      </c>
      <c r="BT3461">
        <v>0</v>
      </c>
      <c r="BU3461">
        <v>0</v>
      </c>
      <c r="CE3461" t="str">
        <f t="shared" si="1263"/>
        <v>19:34:50.190</v>
      </c>
      <c r="CF3461">
        <v>190444503</v>
      </c>
      <c r="CS3461">
        <v>0</v>
      </c>
      <c r="CT3461">
        <v>2</v>
      </c>
      <c r="CU3461">
        <v>0</v>
      </c>
      <c r="CV3461">
        <v>2</v>
      </c>
      <c r="CW3461">
        <v>0</v>
      </c>
      <c r="CX3461">
        <v>5</v>
      </c>
      <c r="CY3461">
        <v>7</v>
      </c>
      <c r="CZ3461" t="s">
        <v>131</v>
      </c>
      <c r="DA3461">
        <v>286</v>
      </c>
      <c r="DB3461">
        <v>0</v>
      </c>
      <c r="DC3461" t="s">
        <v>132</v>
      </c>
      <c r="DD3461" t="s">
        <v>133</v>
      </c>
      <c r="DG3461">
        <v>879294</v>
      </c>
      <c r="DI3461">
        <v>0</v>
      </c>
      <c r="DJ3461">
        <v>0</v>
      </c>
      <c r="DK3461">
        <v>1</v>
      </c>
      <c r="DL3461">
        <v>0</v>
      </c>
      <c r="DM3461">
        <v>0</v>
      </c>
      <c r="DN3461">
        <v>1</v>
      </c>
      <c r="DO3461">
        <v>0</v>
      </c>
      <c r="DP3461">
        <v>0</v>
      </c>
      <c r="DQ3461">
        <v>0</v>
      </c>
      <c r="DR3461">
        <v>0</v>
      </c>
      <c r="DS3461">
        <v>0</v>
      </c>
    </row>
    <row r="3462" spans="1:123" x14ac:dyDescent="0.3">
      <c r="A3462" t="str">
        <f t="shared" si="1261"/>
        <v>10/04/2022 19:34:50.465</v>
      </c>
      <c r="C3462" t="str">
        <f t="shared" si="1254"/>
        <v>FFDFD3C0</v>
      </c>
      <c r="D3462" t="s">
        <v>134</v>
      </c>
      <c r="E3462">
        <v>15</v>
      </c>
      <c r="J3462" t="s">
        <v>135</v>
      </c>
      <c r="K3462">
        <v>0</v>
      </c>
      <c r="L3462">
        <v>3</v>
      </c>
      <c r="M3462">
        <v>0</v>
      </c>
      <c r="N3462">
        <v>2</v>
      </c>
      <c r="O3462">
        <v>0</v>
      </c>
      <c r="P3462">
        <v>1</v>
      </c>
      <c r="Q3462">
        <v>0</v>
      </c>
      <c r="S3462" t="str">
        <f t="shared" si="1262"/>
        <v>19:34:50.000</v>
      </c>
      <c r="T3462" t="str">
        <f t="shared" si="1262"/>
        <v>19:34:50.000</v>
      </c>
      <c r="U3462" t="str">
        <f t="shared" si="1264"/>
        <v>AC3944</v>
      </c>
      <c r="V3462">
        <v>0</v>
      </c>
      <c r="W3462">
        <v>0</v>
      </c>
      <c r="X3462">
        <v>2</v>
      </c>
      <c r="Y3462">
        <v>0</v>
      </c>
      <c r="AA3462">
        <v>1</v>
      </c>
      <c r="AB3462">
        <v>8</v>
      </c>
      <c r="AC3462">
        <v>3</v>
      </c>
      <c r="AD3462">
        <v>0</v>
      </c>
      <c r="AE3462">
        <v>9</v>
      </c>
      <c r="AF3462" t="s">
        <v>138</v>
      </c>
      <c r="AG3462">
        <v>0</v>
      </c>
      <c r="AH3462">
        <v>3</v>
      </c>
      <c r="AI3462">
        <v>1</v>
      </c>
      <c r="AJ3462">
        <v>0</v>
      </c>
      <c r="AK3462" t="s">
        <v>1136</v>
      </c>
      <c r="AL3462">
        <v>32.731340000000003</v>
      </c>
      <c r="AM3462" t="s">
        <v>1137</v>
      </c>
      <c r="AN3462">
        <v>-116.740487</v>
      </c>
      <c r="AO3462">
        <v>25</v>
      </c>
      <c r="AP3462">
        <v>4200</v>
      </c>
      <c r="AQ3462" t="s">
        <v>129</v>
      </c>
      <c r="AR3462">
        <v>108</v>
      </c>
      <c r="AS3462">
        <v>40</v>
      </c>
      <c r="AT3462">
        <v>704</v>
      </c>
      <c r="BB3462">
        <v>1200</v>
      </c>
      <c r="BC3462">
        <v>1</v>
      </c>
      <c r="BD3462" t="str">
        <f t="shared" si="1265"/>
        <v xml:space="preserve">N887QR  </v>
      </c>
      <c r="BE3462">
        <v>1</v>
      </c>
      <c r="BG3462">
        <v>0</v>
      </c>
      <c r="BH3462">
        <v>0</v>
      </c>
      <c r="BI3462">
        <v>0</v>
      </c>
      <c r="BJ3462">
        <v>4050</v>
      </c>
      <c r="BK3462">
        <v>-150</v>
      </c>
      <c r="BL3462" t="s">
        <v>163</v>
      </c>
      <c r="BM3462">
        <v>1</v>
      </c>
      <c r="BN3462">
        <v>1</v>
      </c>
      <c r="BO3462">
        <v>1</v>
      </c>
      <c r="BP3462">
        <v>0</v>
      </c>
      <c r="BS3462">
        <v>0</v>
      </c>
      <c r="BT3462">
        <v>0</v>
      </c>
      <c r="BU3462">
        <v>0</v>
      </c>
      <c r="CE3462" t="str">
        <f t="shared" si="1263"/>
        <v>19:34:50.190</v>
      </c>
      <c r="CF3462">
        <v>190444503</v>
      </c>
      <c r="CS3462">
        <v>0</v>
      </c>
      <c r="CT3462">
        <v>2</v>
      </c>
      <c r="CU3462">
        <v>0</v>
      </c>
      <c r="CV3462">
        <v>2</v>
      </c>
      <c r="CW3462">
        <v>0</v>
      </c>
      <c r="CX3462">
        <v>5</v>
      </c>
      <c r="CY3462">
        <v>7</v>
      </c>
      <c r="CZ3462" t="s">
        <v>131</v>
      </c>
      <c r="DA3462">
        <v>286</v>
      </c>
      <c r="DB3462">
        <v>0</v>
      </c>
      <c r="DC3462" t="s">
        <v>132</v>
      </c>
      <c r="DD3462" t="s">
        <v>133</v>
      </c>
      <c r="DG3462">
        <v>879294</v>
      </c>
      <c r="DI3462">
        <v>0</v>
      </c>
      <c r="DJ3462">
        <v>0</v>
      </c>
      <c r="DK3462">
        <v>1</v>
      </c>
      <c r="DL3462">
        <v>0</v>
      </c>
      <c r="DM3462">
        <v>0</v>
      </c>
      <c r="DN3462">
        <v>1</v>
      </c>
      <c r="DO3462">
        <v>0</v>
      </c>
      <c r="DP3462">
        <v>0</v>
      </c>
      <c r="DQ3462">
        <v>0</v>
      </c>
      <c r="DR3462">
        <v>0</v>
      </c>
      <c r="DS3462">
        <v>0</v>
      </c>
    </row>
    <row r="3463" spans="1:123" x14ac:dyDescent="0.3">
      <c r="A3463" t="str">
        <f t="shared" ref="A3463:A3469" si="1266">"10/04/2022 19:34:52.635"</f>
        <v>10/04/2022 19:34:52.635</v>
      </c>
      <c r="C3463" t="str">
        <f t="shared" si="1254"/>
        <v>FFDFD3C0</v>
      </c>
      <c r="D3463" t="s">
        <v>141</v>
      </c>
      <c r="E3463">
        <v>4</v>
      </c>
      <c r="H3463">
        <v>4</v>
      </c>
      <c r="I3463" t="s">
        <v>142</v>
      </c>
      <c r="J3463" t="s">
        <v>138</v>
      </c>
      <c r="K3463">
        <v>0</v>
      </c>
      <c r="L3463">
        <v>3</v>
      </c>
      <c r="M3463">
        <v>0</v>
      </c>
      <c r="N3463">
        <v>2</v>
      </c>
      <c r="O3463">
        <v>0</v>
      </c>
      <c r="P3463">
        <v>1</v>
      </c>
      <c r="Q3463">
        <v>0</v>
      </c>
      <c r="S3463" t="str">
        <f t="shared" ref="S3463:T3469" si="1267">"19:34:52.000"</f>
        <v>19:34:52.000</v>
      </c>
      <c r="T3463" t="str">
        <f t="shared" si="1267"/>
        <v>19:34:52.000</v>
      </c>
      <c r="U3463" t="str">
        <f t="shared" si="1264"/>
        <v>AC3944</v>
      </c>
      <c r="V3463">
        <v>0</v>
      </c>
      <c r="W3463">
        <v>0</v>
      </c>
      <c r="X3463">
        <v>2</v>
      </c>
      <c r="Y3463">
        <v>0</v>
      </c>
      <c r="AA3463">
        <v>1</v>
      </c>
      <c r="AB3463">
        <v>8</v>
      </c>
      <c r="AC3463">
        <v>3</v>
      </c>
      <c r="AD3463">
        <v>0</v>
      </c>
      <c r="AE3463">
        <v>9</v>
      </c>
      <c r="AF3463" t="s">
        <v>138</v>
      </c>
      <c r="AG3463">
        <v>0</v>
      </c>
      <c r="AH3463">
        <v>3</v>
      </c>
      <c r="AI3463">
        <v>1</v>
      </c>
      <c r="AJ3463">
        <v>0</v>
      </c>
      <c r="AK3463" t="s">
        <v>1138</v>
      </c>
      <c r="AL3463">
        <v>32.731662</v>
      </c>
      <c r="AM3463" t="s">
        <v>1139</v>
      </c>
      <c r="AN3463">
        <v>-116.739414</v>
      </c>
      <c r="AO3463">
        <v>25</v>
      </c>
      <c r="AP3463">
        <v>4200</v>
      </c>
      <c r="AQ3463" t="s">
        <v>129</v>
      </c>
      <c r="AR3463">
        <v>107</v>
      </c>
      <c r="AS3463">
        <v>43</v>
      </c>
      <c r="AT3463">
        <v>512</v>
      </c>
      <c r="BB3463">
        <v>1200</v>
      </c>
      <c r="BC3463">
        <v>1</v>
      </c>
      <c r="BD3463" t="str">
        <f t="shared" si="1265"/>
        <v xml:space="preserve">N887QR  </v>
      </c>
      <c r="BE3463">
        <v>1</v>
      </c>
      <c r="BG3463">
        <v>0</v>
      </c>
      <c r="BH3463">
        <v>0</v>
      </c>
      <c r="BI3463">
        <v>0</v>
      </c>
      <c r="BJ3463">
        <v>4050</v>
      </c>
      <c r="BK3463">
        <v>-150</v>
      </c>
      <c r="BL3463" t="s">
        <v>163</v>
      </c>
      <c r="BM3463">
        <v>1</v>
      </c>
      <c r="BN3463">
        <v>1</v>
      </c>
      <c r="BO3463">
        <v>1</v>
      </c>
      <c r="BP3463">
        <v>0</v>
      </c>
      <c r="BS3463">
        <v>0</v>
      </c>
      <c r="BT3463">
        <v>0</v>
      </c>
      <c r="BU3463">
        <v>0</v>
      </c>
      <c r="CE3463" t="str">
        <f t="shared" ref="CE3463:CE3469" si="1268">"19:34:52.396"</f>
        <v>19:34:52.396</v>
      </c>
      <c r="CF3463">
        <v>395516758</v>
      </c>
      <c r="CS3463">
        <v>0</v>
      </c>
      <c r="CT3463">
        <v>2</v>
      </c>
      <c r="CU3463">
        <v>0</v>
      </c>
      <c r="CV3463">
        <v>2</v>
      </c>
      <c r="CW3463">
        <v>1</v>
      </c>
      <c r="CX3463">
        <v>5</v>
      </c>
      <c r="CY3463">
        <v>7</v>
      </c>
      <c r="CZ3463" t="s">
        <v>131</v>
      </c>
      <c r="DA3463">
        <v>300</v>
      </c>
      <c r="DB3463">
        <v>0</v>
      </c>
      <c r="DC3463" t="s">
        <v>176</v>
      </c>
      <c r="DD3463" t="s">
        <v>177</v>
      </c>
      <c r="DG3463">
        <v>5439356</v>
      </c>
      <c r="DI3463">
        <v>1</v>
      </c>
      <c r="DJ3463">
        <v>0</v>
      </c>
      <c r="DK3463">
        <v>0</v>
      </c>
      <c r="DL3463">
        <v>0</v>
      </c>
      <c r="DM3463">
        <v>0</v>
      </c>
      <c r="DN3463">
        <v>1</v>
      </c>
      <c r="DO3463">
        <v>0</v>
      </c>
      <c r="DP3463">
        <v>0</v>
      </c>
      <c r="DQ3463">
        <v>0</v>
      </c>
      <c r="DR3463">
        <v>0</v>
      </c>
      <c r="DS3463">
        <v>0</v>
      </c>
    </row>
    <row r="3464" spans="1:123" x14ac:dyDescent="0.3">
      <c r="A3464" t="str">
        <f t="shared" si="1266"/>
        <v>10/04/2022 19:34:52.635</v>
      </c>
      <c r="C3464" t="str">
        <f t="shared" si="1254"/>
        <v>FFDFD3C0</v>
      </c>
      <c r="D3464" t="s">
        <v>136</v>
      </c>
      <c r="E3464">
        <v>8</v>
      </c>
      <c r="H3464">
        <v>225</v>
      </c>
      <c r="I3464" t="s">
        <v>137</v>
      </c>
      <c r="J3464" t="s">
        <v>138</v>
      </c>
      <c r="K3464">
        <v>0</v>
      </c>
      <c r="L3464">
        <v>3</v>
      </c>
      <c r="M3464">
        <v>0</v>
      </c>
      <c r="N3464">
        <v>2</v>
      </c>
      <c r="O3464">
        <v>0</v>
      </c>
      <c r="P3464">
        <v>1</v>
      </c>
      <c r="Q3464">
        <v>0</v>
      </c>
      <c r="S3464" t="str">
        <f t="shared" si="1267"/>
        <v>19:34:52.000</v>
      </c>
      <c r="T3464" t="str">
        <f t="shared" si="1267"/>
        <v>19:34:52.000</v>
      </c>
      <c r="U3464" t="str">
        <f t="shared" si="1264"/>
        <v>AC3944</v>
      </c>
      <c r="V3464">
        <v>0</v>
      </c>
      <c r="W3464">
        <v>0</v>
      </c>
      <c r="X3464">
        <v>2</v>
      </c>
      <c r="Y3464">
        <v>0</v>
      </c>
      <c r="AA3464">
        <v>1</v>
      </c>
      <c r="AB3464">
        <v>8</v>
      </c>
      <c r="AC3464">
        <v>3</v>
      </c>
      <c r="AD3464">
        <v>0</v>
      </c>
      <c r="AE3464">
        <v>9</v>
      </c>
      <c r="AF3464" t="s">
        <v>138</v>
      </c>
      <c r="AG3464">
        <v>0</v>
      </c>
      <c r="AH3464">
        <v>3</v>
      </c>
      <c r="AI3464">
        <v>1</v>
      </c>
      <c r="AJ3464">
        <v>0</v>
      </c>
      <c r="AK3464" t="s">
        <v>1138</v>
      </c>
      <c r="AL3464">
        <v>32.731662</v>
      </c>
      <c r="AM3464" t="s">
        <v>1139</v>
      </c>
      <c r="AN3464">
        <v>-116.739414</v>
      </c>
      <c r="AO3464">
        <v>25</v>
      </c>
      <c r="AP3464">
        <v>4200</v>
      </c>
      <c r="AQ3464" t="s">
        <v>129</v>
      </c>
      <c r="AR3464">
        <v>107</v>
      </c>
      <c r="AS3464">
        <v>43</v>
      </c>
      <c r="AT3464">
        <v>512</v>
      </c>
      <c r="BB3464">
        <v>1200</v>
      </c>
      <c r="BC3464">
        <v>1</v>
      </c>
      <c r="BD3464" t="str">
        <f t="shared" si="1265"/>
        <v xml:space="preserve">N887QR  </v>
      </c>
      <c r="BE3464">
        <v>1</v>
      </c>
      <c r="BG3464">
        <v>0</v>
      </c>
      <c r="BH3464">
        <v>0</v>
      </c>
      <c r="BI3464">
        <v>0</v>
      </c>
      <c r="BJ3464">
        <v>4050</v>
      </c>
      <c r="BK3464">
        <v>-150</v>
      </c>
      <c r="BL3464" t="s">
        <v>163</v>
      </c>
      <c r="BM3464">
        <v>1</v>
      </c>
      <c r="BN3464">
        <v>1</v>
      </c>
      <c r="BO3464">
        <v>1</v>
      </c>
      <c r="BP3464">
        <v>0</v>
      </c>
      <c r="BS3464">
        <v>0</v>
      </c>
      <c r="BT3464">
        <v>0</v>
      </c>
      <c r="BU3464">
        <v>0</v>
      </c>
      <c r="CE3464" t="str">
        <f t="shared" si="1268"/>
        <v>19:34:52.396</v>
      </c>
      <c r="CF3464">
        <v>395516758</v>
      </c>
      <c r="CS3464">
        <v>0</v>
      </c>
      <c r="CT3464">
        <v>2</v>
      </c>
      <c r="CU3464">
        <v>0</v>
      </c>
      <c r="CV3464">
        <v>2</v>
      </c>
      <c r="CW3464">
        <v>1</v>
      </c>
      <c r="CX3464">
        <v>5</v>
      </c>
      <c r="CY3464">
        <v>7</v>
      </c>
      <c r="CZ3464" t="s">
        <v>131</v>
      </c>
      <c r="DA3464">
        <v>300</v>
      </c>
      <c r="DB3464">
        <v>0</v>
      </c>
      <c r="DC3464" t="s">
        <v>176</v>
      </c>
      <c r="DD3464" t="s">
        <v>177</v>
      </c>
      <c r="DG3464">
        <v>5439356</v>
      </c>
      <c r="DI3464">
        <v>1</v>
      </c>
      <c r="DJ3464">
        <v>0</v>
      </c>
      <c r="DK3464">
        <v>1</v>
      </c>
      <c r="DL3464">
        <v>0</v>
      </c>
      <c r="DM3464">
        <v>0</v>
      </c>
      <c r="DN3464">
        <v>1</v>
      </c>
      <c r="DO3464">
        <v>0</v>
      </c>
      <c r="DP3464">
        <v>0</v>
      </c>
      <c r="DQ3464">
        <v>0</v>
      </c>
      <c r="DR3464">
        <v>0</v>
      </c>
      <c r="DS3464">
        <v>0</v>
      </c>
    </row>
    <row r="3465" spans="1:123" x14ac:dyDescent="0.3">
      <c r="A3465" t="str">
        <f t="shared" si="1266"/>
        <v>10/04/2022 19:34:52.635</v>
      </c>
      <c r="C3465" t="str">
        <f t="shared" si="1254"/>
        <v>FFDFD3C0</v>
      </c>
      <c r="D3465" t="s">
        <v>134</v>
      </c>
      <c r="E3465">
        <v>15</v>
      </c>
      <c r="J3465" t="s">
        <v>135</v>
      </c>
      <c r="K3465">
        <v>0</v>
      </c>
      <c r="L3465">
        <v>3</v>
      </c>
      <c r="M3465">
        <v>0</v>
      </c>
      <c r="N3465">
        <v>2</v>
      </c>
      <c r="O3465">
        <v>0</v>
      </c>
      <c r="P3465">
        <v>1</v>
      </c>
      <c r="Q3465">
        <v>0</v>
      </c>
      <c r="S3465" t="str">
        <f t="shared" si="1267"/>
        <v>19:34:52.000</v>
      </c>
      <c r="T3465" t="str">
        <f t="shared" si="1267"/>
        <v>19:34:52.000</v>
      </c>
      <c r="U3465" t="str">
        <f t="shared" si="1264"/>
        <v>AC3944</v>
      </c>
      <c r="V3465">
        <v>0</v>
      </c>
      <c r="W3465">
        <v>0</v>
      </c>
      <c r="X3465">
        <v>2</v>
      </c>
      <c r="Y3465">
        <v>0</v>
      </c>
      <c r="AA3465">
        <v>1</v>
      </c>
      <c r="AB3465">
        <v>8</v>
      </c>
      <c r="AC3465">
        <v>3</v>
      </c>
      <c r="AD3465">
        <v>0</v>
      </c>
      <c r="AE3465">
        <v>9</v>
      </c>
      <c r="AF3465" t="s">
        <v>138</v>
      </c>
      <c r="AG3465">
        <v>0</v>
      </c>
      <c r="AH3465">
        <v>3</v>
      </c>
      <c r="AI3465">
        <v>1</v>
      </c>
      <c r="AJ3465">
        <v>0</v>
      </c>
      <c r="AK3465" t="s">
        <v>1138</v>
      </c>
      <c r="AL3465">
        <v>32.731662</v>
      </c>
      <c r="AM3465" t="s">
        <v>1139</v>
      </c>
      <c r="AN3465">
        <v>-116.739414</v>
      </c>
      <c r="AO3465">
        <v>25</v>
      </c>
      <c r="AP3465">
        <v>4200</v>
      </c>
      <c r="AQ3465" t="s">
        <v>129</v>
      </c>
      <c r="AR3465">
        <v>107</v>
      </c>
      <c r="AS3465">
        <v>43</v>
      </c>
      <c r="AT3465">
        <v>512</v>
      </c>
      <c r="BB3465">
        <v>1200</v>
      </c>
      <c r="BC3465">
        <v>1</v>
      </c>
      <c r="BD3465" t="str">
        <f t="shared" si="1265"/>
        <v xml:space="preserve">N887QR  </v>
      </c>
      <c r="BE3465">
        <v>1</v>
      </c>
      <c r="BG3465">
        <v>0</v>
      </c>
      <c r="BH3465">
        <v>0</v>
      </c>
      <c r="BI3465">
        <v>0</v>
      </c>
      <c r="BJ3465">
        <v>4050</v>
      </c>
      <c r="BK3465">
        <v>-150</v>
      </c>
      <c r="BL3465" t="s">
        <v>163</v>
      </c>
      <c r="BM3465">
        <v>1</v>
      </c>
      <c r="BN3465">
        <v>1</v>
      </c>
      <c r="BO3465">
        <v>1</v>
      </c>
      <c r="BP3465">
        <v>0</v>
      </c>
      <c r="BS3465">
        <v>0</v>
      </c>
      <c r="BT3465">
        <v>0</v>
      </c>
      <c r="BU3465">
        <v>0</v>
      </c>
      <c r="CE3465" t="str">
        <f t="shared" si="1268"/>
        <v>19:34:52.396</v>
      </c>
      <c r="CF3465">
        <v>395516758</v>
      </c>
      <c r="CS3465">
        <v>0</v>
      </c>
      <c r="CT3465">
        <v>2</v>
      </c>
      <c r="CU3465">
        <v>0</v>
      </c>
      <c r="CV3465">
        <v>2</v>
      </c>
      <c r="CW3465">
        <v>1</v>
      </c>
      <c r="CX3465">
        <v>5</v>
      </c>
      <c r="CY3465">
        <v>7</v>
      </c>
      <c r="CZ3465" t="s">
        <v>131</v>
      </c>
      <c r="DA3465">
        <v>300</v>
      </c>
      <c r="DB3465">
        <v>0</v>
      </c>
      <c r="DC3465" t="s">
        <v>176</v>
      </c>
      <c r="DD3465" t="s">
        <v>177</v>
      </c>
      <c r="DG3465">
        <v>5439356</v>
      </c>
      <c r="DI3465">
        <v>1</v>
      </c>
      <c r="DJ3465">
        <v>0</v>
      </c>
      <c r="DK3465">
        <v>1</v>
      </c>
      <c r="DL3465">
        <v>0</v>
      </c>
      <c r="DM3465">
        <v>0</v>
      </c>
      <c r="DN3465">
        <v>1</v>
      </c>
      <c r="DO3465">
        <v>0</v>
      </c>
      <c r="DP3465">
        <v>0</v>
      </c>
      <c r="DQ3465">
        <v>0</v>
      </c>
      <c r="DR3465">
        <v>0</v>
      </c>
      <c r="DS3465">
        <v>0</v>
      </c>
    </row>
    <row r="3466" spans="1:123" x14ac:dyDescent="0.3">
      <c r="A3466" t="str">
        <f t="shared" si="1266"/>
        <v>10/04/2022 19:34:52.635</v>
      </c>
      <c r="C3466" t="str">
        <f t="shared" si="1254"/>
        <v>FFDFD3C0</v>
      </c>
      <c r="D3466" t="s">
        <v>143</v>
      </c>
      <c r="E3466">
        <v>20</v>
      </c>
      <c r="F3466">
        <v>1020</v>
      </c>
      <c r="G3466" t="s">
        <v>144</v>
      </c>
      <c r="J3466" t="s">
        <v>145</v>
      </c>
      <c r="K3466">
        <v>0</v>
      </c>
      <c r="L3466">
        <v>3</v>
      </c>
      <c r="M3466">
        <v>0</v>
      </c>
      <c r="N3466">
        <v>2</v>
      </c>
      <c r="O3466">
        <v>0</v>
      </c>
      <c r="P3466">
        <v>1</v>
      </c>
      <c r="Q3466">
        <v>0</v>
      </c>
      <c r="S3466" t="str">
        <f t="shared" si="1267"/>
        <v>19:34:52.000</v>
      </c>
      <c r="T3466" t="str">
        <f t="shared" si="1267"/>
        <v>19:34:52.000</v>
      </c>
      <c r="U3466" t="str">
        <f t="shared" si="1264"/>
        <v>AC3944</v>
      </c>
      <c r="V3466">
        <v>0</v>
      </c>
      <c r="W3466">
        <v>0</v>
      </c>
      <c r="X3466">
        <v>2</v>
      </c>
      <c r="Y3466">
        <v>0</v>
      </c>
      <c r="AA3466">
        <v>1</v>
      </c>
      <c r="AB3466">
        <v>8</v>
      </c>
      <c r="AC3466">
        <v>3</v>
      </c>
      <c r="AD3466">
        <v>0</v>
      </c>
      <c r="AE3466">
        <v>9</v>
      </c>
      <c r="AF3466" t="s">
        <v>138</v>
      </c>
      <c r="AG3466">
        <v>0</v>
      </c>
      <c r="AH3466">
        <v>3</v>
      </c>
      <c r="AI3466">
        <v>1</v>
      </c>
      <c r="AJ3466">
        <v>0</v>
      </c>
      <c r="AK3466" t="s">
        <v>1138</v>
      </c>
      <c r="AL3466">
        <v>32.731662</v>
      </c>
      <c r="AM3466" t="s">
        <v>1139</v>
      </c>
      <c r="AN3466">
        <v>-116.739414</v>
      </c>
      <c r="AO3466">
        <v>25</v>
      </c>
      <c r="AP3466">
        <v>4200</v>
      </c>
      <c r="AQ3466" t="s">
        <v>129</v>
      </c>
      <c r="AR3466">
        <v>107</v>
      </c>
      <c r="AS3466">
        <v>43</v>
      </c>
      <c r="AT3466">
        <v>512</v>
      </c>
      <c r="BB3466">
        <v>1200</v>
      </c>
      <c r="BC3466">
        <v>1</v>
      </c>
      <c r="BD3466" t="str">
        <f t="shared" si="1265"/>
        <v xml:space="preserve">N887QR  </v>
      </c>
      <c r="BE3466">
        <v>1</v>
      </c>
      <c r="BG3466">
        <v>0</v>
      </c>
      <c r="BH3466">
        <v>0</v>
      </c>
      <c r="BI3466">
        <v>0</v>
      </c>
      <c r="BJ3466">
        <v>4050</v>
      </c>
      <c r="BK3466">
        <v>-150</v>
      </c>
      <c r="BL3466" t="s">
        <v>163</v>
      </c>
      <c r="BM3466">
        <v>1</v>
      </c>
      <c r="BN3466">
        <v>1</v>
      </c>
      <c r="BO3466">
        <v>1</v>
      </c>
      <c r="BP3466">
        <v>0</v>
      </c>
      <c r="BS3466">
        <v>0</v>
      </c>
      <c r="BT3466">
        <v>0</v>
      </c>
      <c r="BU3466">
        <v>0</v>
      </c>
      <c r="CE3466" t="str">
        <f t="shared" si="1268"/>
        <v>19:34:52.396</v>
      </c>
      <c r="CF3466">
        <v>395516758</v>
      </c>
      <c r="CS3466">
        <v>0</v>
      </c>
      <c r="CT3466">
        <v>2</v>
      </c>
      <c r="CU3466">
        <v>0</v>
      </c>
      <c r="CV3466">
        <v>2</v>
      </c>
      <c r="CW3466">
        <v>1</v>
      </c>
      <c r="CX3466">
        <v>5</v>
      </c>
      <c r="CY3466">
        <v>7</v>
      </c>
      <c r="CZ3466" t="s">
        <v>131</v>
      </c>
      <c r="DA3466">
        <v>300</v>
      </c>
      <c r="DB3466">
        <v>0</v>
      </c>
      <c r="DC3466" t="s">
        <v>176</v>
      </c>
      <c r="DD3466" t="s">
        <v>177</v>
      </c>
      <c r="DG3466">
        <v>5439356</v>
      </c>
      <c r="DI3466">
        <v>1</v>
      </c>
      <c r="DJ3466">
        <v>0</v>
      </c>
      <c r="DK3466">
        <v>1</v>
      </c>
      <c r="DL3466">
        <v>0</v>
      </c>
      <c r="DM3466">
        <v>0</v>
      </c>
      <c r="DN3466">
        <v>1</v>
      </c>
      <c r="DO3466">
        <v>0</v>
      </c>
      <c r="DP3466">
        <v>0</v>
      </c>
      <c r="DQ3466">
        <v>0</v>
      </c>
      <c r="DR3466">
        <v>0</v>
      </c>
      <c r="DS3466">
        <v>0</v>
      </c>
    </row>
    <row r="3467" spans="1:123" x14ac:dyDescent="0.3">
      <c r="A3467" t="str">
        <f t="shared" si="1266"/>
        <v>10/04/2022 19:34:52.635</v>
      </c>
      <c r="C3467" t="str">
        <f t="shared" si="1254"/>
        <v>FFDFD3C0</v>
      </c>
      <c r="D3467" t="s">
        <v>141</v>
      </c>
      <c r="E3467">
        <v>3</v>
      </c>
      <c r="H3467">
        <v>3</v>
      </c>
      <c r="I3467" t="s">
        <v>146</v>
      </c>
      <c r="J3467" t="s">
        <v>138</v>
      </c>
      <c r="K3467">
        <v>0</v>
      </c>
      <c r="L3467">
        <v>3</v>
      </c>
      <c r="M3467">
        <v>0</v>
      </c>
      <c r="N3467">
        <v>2</v>
      </c>
      <c r="O3467">
        <v>0</v>
      </c>
      <c r="P3467">
        <v>1</v>
      </c>
      <c r="Q3467">
        <v>0</v>
      </c>
      <c r="S3467" t="str">
        <f t="shared" si="1267"/>
        <v>19:34:52.000</v>
      </c>
      <c r="T3467" t="str">
        <f t="shared" si="1267"/>
        <v>19:34:52.000</v>
      </c>
      <c r="U3467" t="str">
        <f t="shared" si="1264"/>
        <v>AC3944</v>
      </c>
      <c r="V3467">
        <v>0</v>
      </c>
      <c r="W3467">
        <v>0</v>
      </c>
      <c r="X3467">
        <v>2</v>
      </c>
      <c r="Y3467">
        <v>0</v>
      </c>
      <c r="AA3467">
        <v>1</v>
      </c>
      <c r="AB3467">
        <v>8</v>
      </c>
      <c r="AC3467">
        <v>3</v>
      </c>
      <c r="AD3467">
        <v>0</v>
      </c>
      <c r="AE3467">
        <v>9</v>
      </c>
      <c r="AF3467" t="s">
        <v>138</v>
      </c>
      <c r="AG3467">
        <v>0</v>
      </c>
      <c r="AH3467">
        <v>3</v>
      </c>
      <c r="AI3467">
        <v>1</v>
      </c>
      <c r="AJ3467">
        <v>0</v>
      </c>
      <c r="AK3467" t="s">
        <v>1138</v>
      </c>
      <c r="AL3467">
        <v>32.731662</v>
      </c>
      <c r="AM3467" t="s">
        <v>1139</v>
      </c>
      <c r="AN3467">
        <v>-116.739414</v>
      </c>
      <c r="AO3467">
        <v>25</v>
      </c>
      <c r="AP3467">
        <v>4200</v>
      </c>
      <c r="AQ3467" t="s">
        <v>129</v>
      </c>
      <c r="AR3467">
        <v>107</v>
      </c>
      <c r="AS3467">
        <v>43</v>
      </c>
      <c r="AT3467">
        <v>512</v>
      </c>
      <c r="BB3467">
        <v>1200</v>
      </c>
      <c r="BC3467">
        <v>1</v>
      </c>
      <c r="BD3467" t="str">
        <f t="shared" si="1265"/>
        <v xml:space="preserve">N887QR  </v>
      </c>
      <c r="BE3467">
        <v>1</v>
      </c>
      <c r="BG3467">
        <v>0</v>
      </c>
      <c r="BH3467">
        <v>0</v>
      </c>
      <c r="BI3467">
        <v>0</v>
      </c>
      <c r="BJ3467">
        <v>4050</v>
      </c>
      <c r="BK3467">
        <v>-150</v>
      </c>
      <c r="BL3467" t="s">
        <v>163</v>
      </c>
      <c r="BM3467">
        <v>1</v>
      </c>
      <c r="BN3467">
        <v>1</v>
      </c>
      <c r="BO3467">
        <v>1</v>
      </c>
      <c r="BP3467">
        <v>0</v>
      </c>
      <c r="BS3467">
        <v>0</v>
      </c>
      <c r="BT3467">
        <v>0</v>
      </c>
      <c r="BU3467">
        <v>0</v>
      </c>
      <c r="CE3467" t="str">
        <f t="shared" si="1268"/>
        <v>19:34:52.396</v>
      </c>
      <c r="CF3467">
        <v>395516758</v>
      </c>
      <c r="CS3467">
        <v>0</v>
      </c>
      <c r="CT3467">
        <v>2</v>
      </c>
      <c r="CU3467">
        <v>0</v>
      </c>
      <c r="CV3467">
        <v>2</v>
      </c>
      <c r="CW3467">
        <v>1</v>
      </c>
      <c r="CX3467">
        <v>5</v>
      </c>
      <c r="CY3467">
        <v>7</v>
      </c>
      <c r="CZ3467" t="s">
        <v>131</v>
      </c>
      <c r="DA3467">
        <v>300</v>
      </c>
      <c r="DB3467">
        <v>0</v>
      </c>
      <c r="DC3467" t="s">
        <v>176</v>
      </c>
      <c r="DD3467" t="s">
        <v>177</v>
      </c>
      <c r="DG3467">
        <v>5439356</v>
      </c>
      <c r="DI3467">
        <v>1</v>
      </c>
      <c r="DJ3467">
        <v>0</v>
      </c>
      <c r="DK3467">
        <v>1</v>
      </c>
      <c r="DL3467">
        <v>0</v>
      </c>
      <c r="DM3467">
        <v>0</v>
      </c>
      <c r="DN3467">
        <v>1</v>
      </c>
      <c r="DO3467">
        <v>0</v>
      </c>
      <c r="DP3467">
        <v>0</v>
      </c>
      <c r="DQ3467">
        <v>0</v>
      </c>
      <c r="DR3467">
        <v>0</v>
      </c>
      <c r="DS3467">
        <v>0</v>
      </c>
    </row>
    <row r="3468" spans="1:123" x14ac:dyDescent="0.3">
      <c r="A3468" t="str">
        <f t="shared" si="1266"/>
        <v>10/04/2022 19:34:52.635</v>
      </c>
      <c r="C3468" t="str">
        <f t="shared" si="1254"/>
        <v>FFDFD3C0</v>
      </c>
      <c r="D3468" t="s">
        <v>147</v>
      </c>
      <c r="E3468">
        <v>3</v>
      </c>
      <c r="H3468">
        <v>166</v>
      </c>
      <c r="I3468" t="s">
        <v>144</v>
      </c>
      <c r="J3468" t="s">
        <v>148</v>
      </c>
      <c r="K3468">
        <v>0</v>
      </c>
      <c r="L3468">
        <v>3</v>
      </c>
      <c r="M3468">
        <v>0</v>
      </c>
      <c r="N3468">
        <v>2</v>
      </c>
      <c r="O3468">
        <v>0</v>
      </c>
      <c r="P3468">
        <v>1</v>
      </c>
      <c r="Q3468">
        <v>0</v>
      </c>
      <c r="S3468" t="str">
        <f t="shared" si="1267"/>
        <v>19:34:52.000</v>
      </c>
      <c r="T3468" t="str">
        <f t="shared" si="1267"/>
        <v>19:34:52.000</v>
      </c>
      <c r="U3468" t="str">
        <f t="shared" si="1264"/>
        <v>AC3944</v>
      </c>
      <c r="V3468">
        <v>0</v>
      </c>
      <c r="W3468">
        <v>0</v>
      </c>
      <c r="X3468">
        <v>2</v>
      </c>
      <c r="Y3468">
        <v>0</v>
      </c>
      <c r="AA3468">
        <v>1</v>
      </c>
      <c r="AB3468">
        <v>8</v>
      </c>
      <c r="AC3468">
        <v>3</v>
      </c>
      <c r="AD3468">
        <v>0</v>
      </c>
      <c r="AE3468">
        <v>9</v>
      </c>
      <c r="AF3468" t="s">
        <v>138</v>
      </c>
      <c r="AG3468">
        <v>0</v>
      </c>
      <c r="AH3468">
        <v>3</v>
      </c>
      <c r="AI3468">
        <v>1</v>
      </c>
      <c r="AJ3468">
        <v>0</v>
      </c>
      <c r="AK3468" t="s">
        <v>1138</v>
      </c>
      <c r="AL3468">
        <v>32.731662</v>
      </c>
      <c r="AM3468" t="s">
        <v>1139</v>
      </c>
      <c r="AN3468">
        <v>-116.739414</v>
      </c>
      <c r="AO3468">
        <v>25</v>
      </c>
      <c r="AP3468">
        <v>4200</v>
      </c>
      <c r="AQ3468" t="s">
        <v>129</v>
      </c>
      <c r="AR3468">
        <v>107</v>
      </c>
      <c r="AS3468">
        <v>43</v>
      </c>
      <c r="AT3468">
        <v>512</v>
      </c>
      <c r="BB3468">
        <v>1200</v>
      </c>
      <c r="BC3468">
        <v>1</v>
      </c>
      <c r="BD3468" t="str">
        <f t="shared" si="1265"/>
        <v xml:space="preserve">N887QR  </v>
      </c>
      <c r="BE3468">
        <v>1</v>
      </c>
      <c r="BG3468">
        <v>0</v>
      </c>
      <c r="BH3468">
        <v>0</v>
      </c>
      <c r="BI3468">
        <v>0</v>
      </c>
      <c r="BJ3468">
        <v>4050</v>
      </c>
      <c r="BK3468">
        <v>-150</v>
      </c>
      <c r="BL3468" t="s">
        <v>163</v>
      </c>
      <c r="BM3468">
        <v>1</v>
      </c>
      <c r="BN3468">
        <v>1</v>
      </c>
      <c r="BO3468">
        <v>1</v>
      </c>
      <c r="BP3468">
        <v>0</v>
      </c>
      <c r="BS3468">
        <v>0</v>
      </c>
      <c r="BT3468">
        <v>0</v>
      </c>
      <c r="BU3468">
        <v>0</v>
      </c>
      <c r="CE3468" t="str">
        <f t="shared" si="1268"/>
        <v>19:34:52.396</v>
      </c>
      <c r="CF3468">
        <v>395516758</v>
      </c>
      <c r="CS3468">
        <v>0</v>
      </c>
      <c r="CT3468">
        <v>2</v>
      </c>
      <c r="CU3468">
        <v>0</v>
      </c>
      <c r="CV3468">
        <v>2</v>
      </c>
      <c r="CW3468">
        <v>1</v>
      </c>
      <c r="CX3468">
        <v>5</v>
      </c>
      <c r="CY3468">
        <v>7</v>
      </c>
      <c r="CZ3468" t="s">
        <v>131</v>
      </c>
      <c r="DA3468">
        <v>300</v>
      </c>
      <c r="DB3468">
        <v>0</v>
      </c>
      <c r="DC3468" t="s">
        <v>176</v>
      </c>
      <c r="DD3468" t="s">
        <v>177</v>
      </c>
      <c r="DG3468">
        <v>5439356</v>
      </c>
      <c r="DI3468">
        <v>1</v>
      </c>
      <c r="DJ3468">
        <v>0</v>
      </c>
      <c r="DK3468">
        <v>1</v>
      </c>
      <c r="DL3468">
        <v>0</v>
      </c>
      <c r="DM3468">
        <v>0</v>
      </c>
      <c r="DN3468">
        <v>1</v>
      </c>
      <c r="DO3468">
        <v>0</v>
      </c>
      <c r="DP3468">
        <v>0</v>
      </c>
      <c r="DQ3468">
        <v>0</v>
      </c>
      <c r="DR3468">
        <v>0</v>
      </c>
      <c r="DS3468">
        <v>0</v>
      </c>
    </row>
    <row r="3469" spans="1:123" x14ac:dyDescent="0.3">
      <c r="A3469" t="str">
        <f t="shared" si="1266"/>
        <v>10/04/2022 19:34:52.635</v>
      </c>
      <c r="C3469" t="str">
        <f t="shared" si="1254"/>
        <v>FFDFD3C0</v>
      </c>
      <c r="D3469" t="s">
        <v>123</v>
      </c>
      <c r="E3469">
        <v>7</v>
      </c>
      <c r="F3469">
        <v>2007</v>
      </c>
      <c r="G3469" t="s">
        <v>124</v>
      </c>
      <c r="J3469" t="s">
        <v>125</v>
      </c>
      <c r="K3469">
        <v>0</v>
      </c>
      <c r="L3469">
        <v>3</v>
      </c>
      <c r="M3469">
        <v>0</v>
      </c>
      <c r="N3469">
        <v>2</v>
      </c>
      <c r="O3469">
        <v>0</v>
      </c>
      <c r="P3469">
        <v>1</v>
      </c>
      <c r="Q3469">
        <v>0</v>
      </c>
      <c r="S3469" t="str">
        <f t="shared" si="1267"/>
        <v>19:34:52.000</v>
      </c>
      <c r="T3469" t="str">
        <f t="shared" si="1267"/>
        <v>19:34:52.000</v>
      </c>
      <c r="U3469" t="str">
        <f t="shared" si="1264"/>
        <v>AC3944</v>
      </c>
      <c r="V3469">
        <v>0</v>
      </c>
      <c r="W3469">
        <v>0</v>
      </c>
      <c r="X3469">
        <v>2</v>
      </c>
      <c r="Y3469">
        <v>0</v>
      </c>
      <c r="AA3469">
        <v>1</v>
      </c>
      <c r="AB3469">
        <v>8</v>
      </c>
      <c r="AC3469">
        <v>3</v>
      </c>
      <c r="AD3469">
        <v>0</v>
      </c>
      <c r="AE3469">
        <v>9</v>
      </c>
      <c r="AF3469" t="s">
        <v>138</v>
      </c>
      <c r="AG3469">
        <v>0</v>
      </c>
      <c r="AH3469">
        <v>3</v>
      </c>
      <c r="AI3469">
        <v>1</v>
      </c>
      <c r="AJ3469">
        <v>0</v>
      </c>
      <c r="AK3469" t="s">
        <v>1138</v>
      </c>
      <c r="AL3469">
        <v>32.731662</v>
      </c>
      <c r="AM3469" t="s">
        <v>1139</v>
      </c>
      <c r="AN3469">
        <v>-116.739414</v>
      </c>
      <c r="AO3469">
        <v>25</v>
      </c>
      <c r="AP3469">
        <v>4200</v>
      </c>
      <c r="AQ3469" t="s">
        <v>129</v>
      </c>
      <c r="AR3469">
        <v>107</v>
      </c>
      <c r="AS3469">
        <v>43</v>
      </c>
      <c r="AT3469">
        <v>512</v>
      </c>
      <c r="BB3469">
        <v>1200</v>
      </c>
      <c r="BC3469">
        <v>1</v>
      </c>
      <c r="BD3469" t="str">
        <f t="shared" si="1265"/>
        <v xml:space="preserve">N887QR  </v>
      </c>
      <c r="BE3469">
        <v>1</v>
      </c>
      <c r="BG3469">
        <v>0</v>
      </c>
      <c r="BH3469">
        <v>0</v>
      </c>
      <c r="BI3469">
        <v>0</v>
      </c>
      <c r="BJ3469">
        <v>4050</v>
      </c>
      <c r="BK3469">
        <v>-150</v>
      </c>
      <c r="BL3469" t="s">
        <v>163</v>
      </c>
      <c r="BM3469">
        <v>1</v>
      </c>
      <c r="BN3469">
        <v>1</v>
      </c>
      <c r="BO3469">
        <v>1</v>
      </c>
      <c r="BP3469">
        <v>0</v>
      </c>
      <c r="BS3469">
        <v>0</v>
      </c>
      <c r="BT3469">
        <v>0</v>
      </c>
      <c r="BU3469">
        <v>0</v>
      </c>
      <c r="CE3469" t="str">
        <f t="shared" si="1268"/>
        <v>19:34:52.396</v>
      </c>
      <c r="CF3469">
        <v>395516758</v>
      </c>
      <c r="CS3469">
        <v>0</v>
      </c>
      <c r="CT3469">
        <v>2</v>
      </c>
      <c r="CU3469">
        <v>0</v>
      </c>
      <c r="CV3469">
        <v>2</v>
      </c>
      <c r="CW3469">
        <v>1</v>
      </c>
      <c r="CX3469">
        <v>5</v>
      </c>
      <c r="CY3469">
        <v>7</v>
      </c>
      <c r="CZ3469" t="s">
        <v>131</v>
      </c>
      <c r="DA3469">
        <v>300</v>
      </c>
      <c r="DB3469">
        <v>0</v>
      </c>
      <c r="DC3469" t="s">
        <v>176</v>
      </c>
      <c r="DD3469" t="s">
        <v>177</v>
      </c>
      <c r="DG3469">
        <v>5439356</v>
      </c>
      <c r="DI3469">
        <v>1</v>
      </c>
      <c r="DJ3469">
        <v>0</v>
      </c>
      <c r="DK3469">
        <v>1</v>
      </c>
      <c r="DL3469">
        <v>0</v>
      </c>
      <c r="DM3469">
        <v>0</v>
      </c>
      <c r="DN3469">
        <v>1</v>
      </c>
      <c r="DO3469">
        <v>0</v>
      </c>
      <c r="DP3469">
        <v>0</v>
      </c>
      <c r="DQ3469">
        <v>0</v>
      </c>
      <c r="DR3469">
        <v>0</v>
      </c>
      <c r="DS3469">
        <v>0</v>
      </c>
    </row>
    <row r="3470" spans="1:123" x14ac:dyDescent="0.3">
      <c r="A3470" t="str">
        <f t="shared" ref="A3470:A3476" si="1269">"10/04/2022 19:34:54.057"</f>
        <v>10/04/2022 19:34:54.057</v>
      </c>
      <c r="C3470" t="str">
        <f t="shared" si="1254"/>
        <v>FFDFD3C0</v>
      </c>
      <c r="D3470" t="s">
        <v>141</v>
      </c>
      <c r="E3470">
        <v>4</v>
      </c>
      <c r="H3470">
        <v>4</v>
      </c>
      <c r="I3470" t="s">
        <v>142</v>
      </c>
      <c r="J3470" t="s">
        <v>138</v>
      </c>
      <c r="K3470">
        <v>0</v>
      </c>
      <c r="L3470">
        <v>3</v>
      </c>
      <c r="M3470">
        <v>0</v>
      </c>
      <c r="N3470">
        <v>2</v>
      </c>
      <c r="O3470">
        <v>0</v>
      </c>
      <c r="P3470">
        <v>1</v>
      </c>
      <c r="Q3470">
        <v>0</v>
      </c>
      <c r="S3470" t="str">
        <f t="shared" ref="S3470:T3476" si="1270">"19:34:53.000"</f>
        <v>19:34:53.000</v>
      </c>
      <c r="T3470" t="str">
        <f t="shared" si="1270"/>
        <v>19:34:53.000</v>
      </c>
      <c r="U3470" t="str">
        <f t="shared" si="1264"/>
        <v>AC3944</v>
      </c>
      <c r="V3470">
        <v>0</v>
      </c>
      <c r="W3470">
        <v>0</v>
      </c>
      <c r="X3470">
        <v>2</v>
      </c>
      <c r="Y3470">
        <v>0</v>
      </c>
      <c r="AA3470">
        <v>1</v>
      </c>
      <c r="AB3470">
        <v>8</v>
      </c>
      <c r="AC3470">
        <v>3</v>
      </c>
      <c r="AD3470">
        <v>0</v>
      </c>
      <c r="AE3470">
        <v>9</v>
      </c>
      <c r="AF3470" t="s">
        <v>138</v>
      </c>
      <c r="AG3470">
        <v>0</v>
      </c>
      <c r="AH3470">
        <v>3</v>
      </c>
      <c r="AI3470">
        <v>1</v>
      </c>
      <c r="AJ3470">
        <v>0</v>
      </c>
      <c r="AK3470" t="s">
        <v>1140</v>
      </c>
      <c r="AL3470">
        <v>32.732112000000001</v>
      </c>
      <c r="AM3470" t="s">
        <v>1141</v>
      </c>
      <c r="AN3470">
        <v>-116.73812599999999</v>
      </c>
      <c r="AO3470">
        <v>25</v>
      </c>
      <c r="AP3470">
        <v>4200</v>
      </c>
      <c r="AQ3470" t="s">
        <v>129</v>
      </c>
      <c r="AR3470">
        <v>107</v>
      </c>
      <c r="AS3470">
        <v>46</v>
      </c>
      <c r="AT3470">
        <v>512</v>
      </c>
      <c r="BB3470">
        <v>1200</v>
      </c>
      <c r="BC3470">
        <v>1</v>
      </c>
      <c r="BD3470" t="str">
        <f t="shared" si="1265"/>
        <v xml:space="preserve">N887QR  </v>
      </c>
      <c r="BE3470">
        <v>1</v>
      </c>
      <c r="BG3470">
        <v>0</v>
      </c>
      <c r="BH3470">
        <v>0</v>
      </c>
      <c r="BI3470">
        <v>0</v>
      </c>
      <c r="BJ3470">
        <v>4075</v>
      </c>
      <c r="BK3470">
        <v>-125</v>
      </c>
      <c r="BL3470" t="s">
        <v>163</v>
      </c>
      <c r="BM3470">
        <v>1</v>
      </c>
      <c r="BN3470">
        <v>1</v>
      </c>
      <c r="BO3470">
        <v>1</v>
      </c>
      <c r="BP3470">
        <v>0</v>
      </c>
      <c r="BS3470">
        <v>0</v>
      </c>
      <c r="BT3470">
        <v>0</v>
      </c>
      <c r="BU3470">
        <v>0</v>
      </c>
      <c r="CE3470" t="str">
        <f t="shared" ref="CE3470:CE3476" si="1271">"19:34:53.819"</f>
        <v>19:34:53.819</v>
      </c>
      <c r="CF3470">
        <v>819456682</v>
      </c>
      <c r="CS3470">
        <v>0</v>
      </c>
      <c r="CT3470">
        <v>2</v>
      </c>
      <c r="CU3470">
        <v>0</v>
      </c>
      <c r="CV3470">
        <v>2</v>
      </c>
      <c r="CW3470">
        <v>1</v>
      </c>
      <c r="CX3470">
        <v>6</v>
      </c>
      <c r="CY3470">
        <v>7</v>
      </c>
      <c r="CZ3470" t="s">
        <v>131</v>
      </c>
      <c r="DA3470">
        <v>286</v>
      </c>
      <c r="DB3470">
        <v>0</v>
      </c>
      <c r="DC3470" t="s">
        <v>132</v>
      </c>
      <c r="DD3470" t="s">
        <v>133</v>
      </c>
      <c r="DG3470">
        <v>880126</v>
      </c>
      <c r="DI3470">
        <v>1</v>
      </c>
      <c r="DJ3470">
        <v>0</v>
      </c>
      <c r="DK3470">
        <v>0</v>
      </c>
      <c r="DL3470">
        <v>0</v>
      </c>
      <c r="DM3470">
        <v>0</v>
      </c>
      <c r="DN3470">
        <v>1</v>
      </c>
      <c r="DO3470">
        <v>0</v>
      </c>
      <c r="DP3470">
        <v>0</v>
      </c>
      <c r="DQ3470">
        <v>0</v>
      </c>
      <c r="DR3470">
        <v>0</v>
      </c>
      <c r="DS3470">
        <v>0</v>
      </c>
    </row>
    <row r="3471" spans="1:123" x14ac:dyDescent="0.3">
      <c r="A3471" t="str">
        <f t="shared" si="1269"/>
        <v>10/04/2022 19:34:54.057</v>
      </c>
      <c r="C3471" t="str">
        <f t="shared" si="1254"/>
        <v>FFDFD3C0</v>
      </c>
      <c r="D3471" t="s">
        <v>143</v>
      </c>
      <c r="E3471">
        <v>20</v>
      </c>
      <c r="F3471">
        <v>1020</v>
      </c>
      <c r="G3471" t="s">
        <v>144</v>
      </c>
      <c r="J3471" t="s">
        <v>145</v>
      </c>
      <c r="K3471">
        <v>0</v>
      </c>
      <c r="L3471">
        <v>3</v>
      </c>
      <c r="M3471">
        <v>0</v>
      </c>
      <c r="N3471">
        <v>2</v>
      </c>
      <c r="O3471">
        <v>0</v>
      </c>
      <c r="P3471">
        <v>1</v>
      </c>
      <c r="Q3471">
        <v>0</v>
      </c>
      <c r="S3471" t="str">
        <f t="shared" si="1270"/>
        <v>19:34:53.000</v>
      </c>
      <c r="T3471" t="str">
        <f t="shared" si="1270"/>
        <v>19:34:53.000</v>
      </c>
      <c r="U3471" t="str">
        <f t="shared" si="1264"/>
        <v>AC3944</v>
      </c>
      <c r="V3471">
        <v>0</v>
      </c>
      <c r="W3471">
        <v>0</v>
      </c>
      <c r="X3471">
        <v>2</v>
      </c>
      <c r="Y3471">
        <v>0</v>
      </c>
      <c r="AA3471">
        <v>1</v>
      </c>
      <c r="AB3471">
        <v>8</v>
      </c>
      <c r="AC3471">
        <v>3</v>
      </c>
      <c r="AD3471">
        <v>0</v>
      </c>
      <c r="AE3471">
        <v>9</v>
      </c>
      <c r="AF3471" t="s">
        <v>138</v>
      </c>
      <c r="AG3471">
        <v>0</v>
      </c>
      <c r="AH3471">
        <v>3</v>
      </c>
      <c r="AI3471">
        <v>1</v>
      </c>
      <c r="AJ3471">
        <v>0</v>
      </c>
      <c r="AK3471" t="s">
        <v>1140</v>
      </c>
      <c r="AL3471">
        <v>32.732112000000001</v>
      </c>
      <c r="AM3471" t="s">
        <v>1141</v>
      </c>
      <c r="AN3471">
        <v>-116.73812599999999</v>
      </c>
      <c r="AO3471">
        <v>25</v>
      </c>
      <c r="AP3471">
        <v>4200</v>
      </c>
      <c r="AQ3471" t="s">
        <v>129</v>
      </c>
      <c r="AR3471">
        <v>107</v>
      </c>
      <c r="AS3471">
        <v>46</v>
      </c>
      <c r="AT3471">
        <v>512</v>
      </c>
      <c r="BB3471">
        <v>1200</v>
      </c>
      <c r="BC3471">
        <v>1</v>
      </c>
      <c r="BD3471" t="str">
        <f t="shared" si="1265"/>
        <v xml:space="preserve">N887QR  </v>
      </c>
      <c r="BE3471">
        <v>1</v>
      </c>
      <c r="BG3471">
        <v>0</v>
      </c>
      <c r="BH3471">
        <v>0</v>
      </c>
      <c r="BI3471">
        <v>0</v>
      </c>
      <c r="BJ3471">
        <v>4075</v>
      </c>
      <c r="BK3471">
        <v>-125</v>
      </c>
      <c r="BL3471" t="s">
        <v>163</v>
      </c>
      <c r="BM3471">
        <v>1</v>
      </c>
      <c r="BN3471">
        <v>1</v>
      </c>
      <c r="BO3471">
        <v>1</v>
      </c>
      <c r="BP3471">
        <v>0</v>
      </c>
      <c r="BS3471">
        <v>0</v>
      </c>
      <c r="BT3471">
        <v>0</v>
      </c>
      <c r="BU3471">
        <v>0</v>
      </c>
      <c r="CE3471" t="str">
        <f t="shared" si="1271"/>
        <v>19:34:53.819</v>
      </c>
      <c r="CF3471">
        <v>819456682</v>
      </c>
      <c r="CS3471">
        <v>0</v>
      </c>
      <c r="CT3471">
        <v>2</v>
      </c>
      <c r="CU3471">
        <v>0</v>
      </c>
      <c r="CV3471">
        <v>2</v>
      </c>
      <c r="CW3471">
        <v>1</v>
      </c>
      <c r="CX3471">
        <v>6</v>
      </c>
      <c r="CY3471">
        <v>7</v>
      </c>
      <c r="CZ3471" t="s">
        <v>131</v>
      </c>
      <c r="DA3471">
        <v>286</v>
      </c>
      <c r="DB3471">
        <v>0</v>
      </c>
      <c r="DC3471" t="s">
        <v>132</v>
      </c>
      <c r="DD3471" t="s">
        <v>133</v>
      </c>
      <c r="DG3471">
        <v>880126</v>
      </c>
      <c r="DI3471">
        <v>1</v>
      </c>
      <c r="DJ3471">
        <v>0</v>
      </c>
      <c r="DK3471">
        <v>1</v>
      </c>
      <c r="DL3471">
        <v>0</v>
      </c>
      <c r="DM3471">
        <v>0</v>
      </c>
      <c r="DN3471">
        <v>1</v>
      </c>
      <c r="DO3471">
        <v>0</v>
      </c>
      <c r="DP3471">
        <v>0</v>
      </c>
      <c r="DQ3471">
        <v>0</v>
      </c>
      <c r="DR3471">
        <v>0</v>
      </c>
      <c r="DS3471">
        <v>0</v>
      </c>
    </row>
    <row r="3472" spans="1:123" x14ac:dyDescent="0.3">
      <c r="A3472" t="str">
        <f t="shared" si="1269"/>
        <v>10/04/2022 19:34:54.057</v>
      </c>
      <c r="C3472" t="str">
        <f t="shared" si="1254"/>
        <v>FFDFD3C0</v>
      </c>
      <c r="D3472" t="s">
        <v>134</v>
      </c>
      <c r="E3472">
        <v>15</v>
      </c>
      <c r="J3472" t="s">
        <v>135</v>
      </c>
      <c r="K3472">
        <v>0</v>
      </c>
      <c r="L3472">
        <v>3</v>
      </c>
      <c r="M3472">
        <v>0</v>
      </c>
      <c r="N3472">
        <v>2</v>
      </c>
      <c r="O3472">
        <v>0</v>
      </c>
      <c r="P3472">
        <v>1</v>
      </c>
      <c r="Q3472">
        <v>0</v>
      </c>
      <c r="S3472" t="str">
        <f t="shared" si="1270"/>
        <v>19:34:53.000</v>
      </c>
      <c r="T3472" t="str">
        <f t="shared" si="1270"/>
        <v>19:34:53.000</v>
      </c>
      <c r="U3472" t="str">
        <f t="shared" si="1264"/>
        <v>AC3944</v>
      </c>
      <c r="V3472">
        <v>0</v>
      </c>
      <c r="W3472">
        <v>0</v>
      </c>
      <c r="X3472">
        <v>2</v>
      </c>
      <c r="Y3472">
        <v>0</v>
      </c>
      <c r="AA3472">
        <v>1</v>
      </c>
      <c r="AB3472">
        <v>8</v>
      </c>
      <c r="AC3472">
        <v>3</v>
      </c>
      <c r="AD3472">
        <v>0</v>
      </c>
      <c r="AE3472">
        <v>9</v>
      </c>
      <c r="AF3472" t="s">
        <v>138</v>
      </c>
      <c r="AG3472">
        <v>0</v>
      </c>
      <c r="AH3472">
        <v>3</v>
      </c>
      <c r="AI3472">
        <v>1</v>
      </c>
      <c r="AJ3472">
        <v>0</v>
      </c>
      <c r="AK3472" t="s">
        <v>1140</v>
      </c>
      <c r="AL3472">
        <v>32.732112000000001</v>
      </c>
      <c r="AM3472" t="s">
        <v>1141</v>
      </c>
      <c r="AN3472">
        <v>-116.73812599999999</v>
      </c>
      <c r="AO3472">
        <v>25</v>
      </c>
      <c r="AP3472">
        <v>4200</v>
      </c>
      <c r="AQ3472" t="s">
        <v>129</v>
      </c>
      <c r="AR3472">
        <v>107</v>
      </c>
      <c r="AS3472">
        <v>46</v>
      </c>
      <c r="AT3472">
        <v>512</v>
      </c>
      <c r="BB3472">
        <v>1200</v>
      </c>
      <c r="BC3472">
        <v>1</v>
      </c>
      <c r="BD3472" t="str">
        <f t="shared" si="1265"/>
        <v xml:space="preserve">N887QR  </v>
      </c>
      <c r="BE3472">
        <v>1</v>
      </c>
      <c r="BG3472">
        <v>0</v>
      </c>
      <c r="BH3472">
        <v>0</v>
      </c>
      <c r="BI3472">
        <v>0</v>
      </c>
      <c r="BJ3472">
        <v>4075</v>
      </c>
      <c r="BK3472">
        <v>-125</v>
      </c>
      <c r="BL3472" t="s">
        <v>163</v>
      </c>
      <c r="BM3472">
        <v>1</v>
      </c>
      <c r="BN3472">
        <v>1</v>
      </c>
      <c r="BO3472">
        <v>1</v>
      </c>
      <c r="BP3472">
        <v>0</v>
      </c>
      <c r="BS3472">
        <v>0</v>
      </c>
      <c r="BT3472">
        <v>0</v>
      </c>
      <c r="BU3472">
        <v>0</v>
      </c>
      <c r="CE3472" t="str">
        <f t="shared" si="1271"/>
        <v>19:34:53.819</v>
      </c>
      <c r="CF3472">
        <v>819456682</v>
      </c>
      <c r="CS3472">
        <v>0</v>
      </c>
      <c r="CT3472">
        <v>2</v>
      </c>
      <c r="CU3472">
        <v>0</v>
      </c>
      <c r="CV3472">
        <v>2</v>
      </c>
      <c r="CW3472">
        <v>1</v>
      </c>
      <c r="CX3472">
        <v>6</v>
      </c>
      <c r="CY3472">
        <v>7</v>
      </c>
      <c r="CZ3472" t="s">
        <v>131</v>
      </c>
      <c r="DA3472">
        <v>286</v>
      </c>
      <c r="DB3472">
        <v>0</v>
      </c>
      <c r="DC3472" t="s">
        <v>132</v>
      </c>
      <c r="DD3472" t="s">
        <v>133</v>
      </c>
      <c r="DG3472">
        <v>880126</v>
      </c>
      <c r="DI3472">
        <v>1</v>
      </c>
      <c r="DJ3472">
        <v>0</v>
      </c>
      <c r="DK3472">
        <v>1</v>
      </c>
      <c r="DL3472">
        <v>0</v>
      </c>
      <c r="DM3472">
        <v>0</v>
      </c>
      <c r="DN3472">
        <v>1</v>
      </c>
      <c r="DO3472">
        <v>0</v>
      </c>
      <c r="DP3472">
        <v>0</v>
      </c>
      <c r="DQ3472">
        <v>0</v>
      </c>
      <c r="DR3472">
        <v>0</v>
      </c>
      <c r="DS3472">
        <v>0</v>
      </c>
    </row>
    <row r="3473" spans="1:123" x14ac:dyDescent="0.3">
      <c r="A3473" t="str">
        <f t="shared" si="1269"/>
        <v>10/04/2022 19:34:54.057</v>
      </c>
      <c r="C3473" t="str">
        <f t="shared" si="1254"/>
        <v>FFDFD3C0</v>
      </c>
      <c r="D3473" t="s">
        <v>136</v>
      </c>
      <c r="E3473">
        <v>8</v>
      </c>
      <c r="H3473">
        <v>225</v>
      </c>
      <c r="I3473" t="s">
        <v>137</v>
      </c>
      <c r="J3473" t="s">
        <v>138</v>
      </c>
      <c r="K3473">
        <v>0</v>
      </c>
      <c r="L3473">
        <v>3</v>
      </c>
      <c r="M3473">
        <v>0</v>
      </c>
      <c r="N3473">
        <v>2</v>
      </c>
      <c r="O3473">
        <v>0</v>
      </c>
      <c r="P3473">
        <v>1</v>
      </c>
      <c r="Q3473">
        <v>0</v>
      </c>
      <c r="S3473" t="str">
        <f t="shared" si="1270"/>
        <v>19:34:53.000</v>
      </c>
      <c r="T3473" t="str">
        <f t="shared" si="1270"/>
        <v>19:34:53.000</v>
      </c>
      <c r="U3473" t="str">
        <f t="shared" si="1264"/>
        <v>AC3944</v>
      </c>
      <c r="V3473">
        <v>0</v>
      </c>
      <c r="W3473">
        <v>0</v>
      </c>
      <c r="X3473">
        <v>2</v>
      </c>
      <c r="Y3473">
        <v>0</v>
      </c>
      <c r="AA3473">
        <v>1</v>
      </c>
      <c r="AB3473">
        <v>8</v>
      </c>
      <c r="AC3473">
        <v>3</v>
      </c>
      <c r="AD3473">
        <v>0</v>
      </c>
      <c r="AE3473">
        <v>9</v>
      </c>
      <c r="AF3473" t="s">
        <v>138</v>
      </c>
      <c r="AG3473">
        <v>0</v>
      </c>
      <c r="AH3473">
        <v>3</v>
      </c>
      <c r="AI3473">
        <v>1</v>
      </c>
      <c r="AJ3473">
        <v>0</v>
      </c>
      <c r="AK3473" t="s">
        <v>1140</v>
      </c>
      <c r="AL3473">
        <v>32.732112000000001</v>
      </c>
      <c r="AM3473" t="s">
        <v>1141</v>
      </c>
      <c r="AN3473">
        <v>-116.73812599999999</v>
      </c>
      <c r="AO3473">
        <v>25</v>
      </c>
      <c r="AP3473">
        <v>4200</v>
      </c>
      <c r="AQ3473" t="s">
        <v>129</v>
      </c>
      <c r="AR3473">
        <v>107</v>
      </c>
      <c r="AS3473">
        <v>46</v>
      </c>
      <c r="AT3473">
        <v>512</v>
      </c>
      <c r="BB3473">
        <v>1200</v>
      </c>
      <c r="BC3473">
        <v>1</v>
      </c>
      <c r="BD3473" t="str">
        <f t="shared" si="1265"/>
        <v xml:space="preserve">N887QR  </v>
      </c>
      <c r="BE3473">
        <v>1</v>
      </c>
      <c r="BG3473">
        <v>0</v>
      </c>
      <c r="BH3473">
        <v>0</v>
      </c>
      <c r="BI3473">
        <v>0</v>
      </c>
      <c r="BJ3473">
        <v>4075</v>
      </c>
      <c r="BK3473">
        <v>-125</v>
      </c>
      <c r="BL3473" t="s">
        <v>163</v>
      </c>
      <c r="BM3473">
        <v>1</v>
      </c>
      <c r="BN3473">
        <v>1</v>
      </c>
      <c r="BO3473">
        <v>1</v>
      </c>
      <c r="BP3473">
        <v>0</v>
      </c>
      <c r="BS3473">
        <v>0</v>
      </c>
      <c r="BT3473">
        <v>0</v>
      </c>
      <c r="BU3473">
        <v>0</v>
      </c>
      <c r="CE3473" t="str">
        <f t="shared" si="1271"/>
        <v>19:34:53.819</v>
      </c>
      <c r="CF3473">
        <v>819456682</v>
      </c>
      <c r="CS3473">
        <v>0</v>
      </c>
      <c r="CT3473">
        <v>2</v>
      </c>
      <c r="CU3473">
        <v>0</v>
      </c>
      <c r="CV3473">
        <v>2</v>
      </c>
      <c r="CW3473">
        <v>1</v>
      </c>
      <c r="CX3473">
        <v>6</v>
      </c>
      <c r="CY3473">
        <v>7</v>
      </c>
      <c r="CZ3473" t="s">
        <v>131</v>
      </c>
      <c r="DA3473">
        <v>286</v>
      </c>
      <c r="DB3473">
        <v>0</v>
      </c>
      <c r="DC3473" t="s">
        <v>132</v>
      </c>
      <c r="DD3473" t="s">
        <v>133</v>
      </c>
      <c r="DG3473">
        <v>880126</v>
      </c>
      <c r="DI3473">
        <v>1</v>
      </c>
      <c r="DJ3473">
        <v>0</v>
      </c>
      <c r="DK3473">
        <v>1</v>
      </c>
      <c r="DL3473">
        <v>0</v>
      </c>
      <c r="DM3473">
        <v>0</v>
      </c>
      <c r="DN3473">
        <v>1</v>
      </c>
      <c r="DO3473">
        <v>0</v>
      </c>
      <c r="DP3473">
        <v>0</v>
      </c>
      <c r="DQ3473">
        <v>0</v>
      </c>
      <c r="DR3473">
        <v>0</v>
      </c>
      <c r="DS3473">
        <v>0</v>
      </c>
    </row>
    <row r="3474" spans="1:123" x14ac:dyDescent="0.3">
      <c r="A3474" t="str">
        <f t="shared" si="1269"/>
        <v>10/04/2022 19:34:54.057</v>
      </c>
      <c r="C3474" t="str">
        <f t="shared" si="1254"/>
        <v>FFDFD3C0</v>
      </c>
      <c r="D3474" t="s">
        <v>123</v>
      </c>
      <c r="E3474">
        <v>7</v>
      </c>
      <c r="F3474">
        <v>2007</v>
      </c>
      <c r="G3474" t="s">
        <v>124</v>
      </c>
      <c r="J3474" t="s">
        <v>125</v>
      </c>
      <c r="K3474">
        <v>0</v>
      </c>
      <c r="L3474">
        <v>3</v>
      </c>
      <c r="M3474">
        <v>0</v>
      </c>
      <c r="N3474">
        <v>2</v>
      </c>
      <c r="O3474">
        <v>0</v>
      </c>
      <c r="P3474">
        <v>1</v>
      </c>
      <c r="Q3474">
        <v>0</v>
      </c>
      <c r="S3474" t="str">
        <f t="shared" si="1270"/>
        <v>19:34:53.000</v>
      </c>
      <c r="T3474" t="str">
        <f t="shared" si="1270"/>
        <v>19:34:53.000</v>
      </c>
      <c r="U3474" t="str">
        <f t="shared" si="1264"/>
        <v>AC3944</v>
      </c>
      <c r="V3474">
        <v>0</v>
      </c>
      <c r="W3474">
        <v>0</v>
      </c>
      <c r="X3474">
        <v>2</v>
      </c>
      <c r="Y3474">
        <v>0</v>
      </c>
      <c r="AA3474">
        <v>1</v>
      </c>
      <c r="AB3474">
        <v>8</v>
      </c>
      <c r="AC3474">
        <v>3</v>
      </c>
      <c r="AD3474">
        <v>0</v>
      </c>
      <c r="AE3474">
        <v>9</v>
      </c>
      <c r="AF3474" t="s">
        <v>138</v>
      </c>
      <c r="AG3474">
        <v>0</v>
      </c>
      <c r="AH3474">
        <v>3</v>
      </c>
      <c r="AI3474">
        <v>1</v>
      </c>
      <c r="AJ3474">
        <v>0</v>
      </c>
      <c r="AK3474" t="s">
        <v>1140</v>
      </c>
      <c r="AL3474">
        <v>32.732112000000001</v>
      </c>
      <c r="AM3474" t="s">
        <v>1141</v>
      </c>
      <c r="AN3474">
        <v>-116.73812599999999</v>
      </c>
      <c r="AO3474">
        <v>25</v>
      </c>
      <c r="AP3474">
        <v>4200</v>
      </c>
      <c r="AQ3474" t="s">
        <v>129</v>
      </c>
      <c r="AR3474">
        <v>107</v>
      </c>
      <c r="AS3474">
        <v>46</v>
      </c>
      <c r="AT3474">
        <v>512</v>
      </c>
      <c r="BB3474">
        <v>1200</v>
      </c>
      <c r="BC3474">
        <v>1</v>
      </c>
      <c r="BD3474" t="str">
        <f t="shared" si="1265"/>
        <v xml:space="preserve">N887QR  </v>
      </c>
      <c r="BE3474">
        <v>1</v>
      </c>
      <c r="BG3474">
        <v>0</v>
      </c>
      <c r="BH3474">
        <v>0</v>
      </c>
      <c r="BI3474">
        <v>0</v>
      </c>
      <c r="BJ3474">
        <v>4075</v>
      </c>
      <c r="BK3474">
        <v>-125</v>
      </c>
      <c r="BL3474" t="s">
        <v>163</v>
      </c>
      <c r="BM3474">
        <v>1</v>
      </c>
      <c r="BN3474">
        <v>1</v>
      </c>
      <c r="BO3474">
        <v>1</v>
      </c>
      <c r="BP3474">
        <v>0</v>
      </c>
      <c r="BS3474">
        <v>0</v>
      </c>
      <c r="BT3474">
        <v>0</v>
      </c>
      <c r="BU3474">
        <v>0</v>
      </c>
      <c r="CE3474" t="str">
        <f t="shared" si="1271"/>
        <v>19:34:53.819</v>
      </c>
      <c r="CF3474">
        <v>819456682</v>
      </c>
      <c r="CS3474">
        <v>0</v>
      </c>
      <c r="CT3474">
        <v>2</v>
      </c>
      <c r="CU3474">
        <v>0</v>
      </c>
      <c r="CV3474">
        <v>2</v>
      </c>
      <c r="CW3474">
        <v>1</v>
      </c>
      <c r="CX3474">
        <v>6</v>
      </c>
      <c r="CY3474">
        <v>7</v>
      </c>
      <c r="CZ3474" t="s">
        <v>131</v>
      </c>
      <c r="DA3474">
        <v>286</v>
      </c>
      <c r="DB3474">
        <v>0</v>
      </c>
      <c r="DC3474" t="s">
        <v>132</v>
      </c>
      <c r="DD3474" t="s">
        <v>133</v>
      </c>
      <c r="DG3474">
        <v>880126</v>
      </c>
      <c r="DI3474">
        <v>1</v>
      </c>
      <c r="DJ3474">
        <v>0</v>
      </c>
      <c r="DK3474">
        <v>0</v>
      </c>
      <c r="DL3474">
        <v>0</v>
      </c>
      <c r="DM3474">
        <v>0</v>
      </c>
      <c r="DN3474">
        <v>1</v>
      </c>
      <c r="DO3474">
        <v>0</v>
      </c>
      <c r="DP3474">
        <v>0</v>
      </c>
      <c r="DQ3474">
        <v>0</v>
      </c>
      <c r="DR3474">
        <v>0</v>
      </c>
      <c r="DS3474">
        <v>0</v>
      </c>
    </row>
    <row r="3475" spans="1:123" x14ac:dyDescent="0.3">
      <c r="A3475" t="str">
        <f t="shared" si="1269"/>
        <v>10/04/2022 19:34:54.057</v>
      </c>
      <c r="C3475" t="str">
        <f t="shared" si="1254"/>
        <v>FFDFD3C0</v>
      </c>
      <c r="D3475" t="s">
        <v>141</v>
      </c>
      <c r="E3475">
        <v>3</v>
      </c>
      <c r="H3475">
        <v>3</v>
      </c>
      <c r="I3475" t="s">
        <v>146</v>
      </c>
      <c r="J3475" t="s">
        <v>138</v>
      </c>
      <c r="K3475">
        <v>0</v>
      </c>
      <c r="L3475">
        <v>3</v>
      </c>
      <c r="M3475">
        <v>0</v>
      </c>
      <c r="N3475">
        <v>2</v>
      </c>
      <c r="O3475">
        <v>0</v>
      </c>
      <c r="P3475">
        <v>1</v>
      </c>
      <c r="Q3475">
        <v>0</v>
      </c>
      <c r="S3475" t="str">
        <f t="shared" si="1270"/>
        <v>19:34:53.000</v>
      </c>
      <c r="T3475" t="str">
        <f t="shared" si="1270"/>
        <v>19:34:53.000</v>
      </c>
      <c r="U3475" t="str">
        <f t="shared" si="1264"/>
        <v>AC3944</v>
      </c>
      <c r="V3475">
        <v>0</v>
      </c>
      <c r="W3475">
        <v>0</v>
      </c>
      <c r="X3475">
        <v>2</v>
      </c>
      <c r="Y3475">
        <v>0</v>
      </c>
      <c r="AA3475">
        <v>1</v>
      </c>
      <c r="AB3475">
        <v>8</v>
      </c>
      <c r="AC3475">
        <v>3</v>
      </c>
      <c r="AD3475">
        <v>0</v>
      </c>
      <c r="AE3475">
        <v>9</v>
      </c>
      <c r="AF3475" t="s">
        <v>138</v>
      </c>
      <c r="AG3475">
        <v>0</v>
      </c>
      <c r="AH3475">
        <v>3</v>
      </c>
      <c r="AI3475">
        <v>1</v>
      </c>
      <c r="AJ3475">
        <v>0</v>
      </c>
      <c r="AK3475" t="s">
        <v>1140</v>
      </c>
      <c r="AL3475">
        <v>32.732112000000001</v>
      </c>
      <c r="AM3475" t="s">
        <v>1141</v>
      </c>
      <c r="AN3475">
        <v>-116.73812599999999</v>
      </c>
      <c r="AO3475">
        <v>25</v>
      </c>
      <c r="AP3475">
        <v>4200</v>
      </c>
      <c r="AQ3475" t="s">
        <v>129</v>
      </c>
      <c r="AR3475">
        <v>107</v>
      </c>
      <c r="AS3475">
        <v>46</v>
      </c>
      <c r="AT3475">
        <v>512</v>
      </c>
      <c r="BB3475">
        <v>1200</v>
      </c>
      <c r="BC3475">
        <v>1</v>
      </c>
      <c r="BD3475" t="str">
        <f t="shared" si="1265"/>
        <v xml:space="preserve">N887QR  </v>
      </c>
      <c r="BE3475">
        <v>1</v>
      </c>
      <c r="BG3475">
        <v>0</v>
      </c>
      <c r="BH3475">
        <v>0</v>
      </c>
      <c r="BI3475">
        <v>0</v>
      </c>
      <c r="BJ3475">
        <v>4075</v>
      </c>
      <c r="BK3475">
        <v>-125</v>
      </c>
      <c r="BL3475" t="s">
        <v>163</v>
      </c>
      <c r="BM3475">
        <v>1</v>
      </c>
      <c r="BN3475">
        <v>1</v>
      </c>
      <c r="BO3475">
        <v>1</v>
      </c>
      <c r="BP3475">
        <v>0</v>
      </c>
      <c r="BS3475">
        <v>0</v>
      </c>
      <c r="BT3475">
        <v>0</v>
      </c>
      <c r="BU3475">
        <v>0</v>
      </c>
      <c r="CE3475" t="str">
        <f t="shared" si="1271"/>
        <v>19:34:53.819</v>
      </c>
      <c r="CF3475">
        <v>819456682</v>
      </c>
      <c r="CS3475">
        <v>0</v>
      </c>
      <c r="CT3475">
        <v>2</v>
      </c>
      <c r="CU3475">
        <v>0</v>
      </c>
      <c r="CV3475">
        <v>2</v>
      </c>
      <c r="CW3475">
        <v>1</v>
      </c>
      <c r="CX3475">
        <v>6</v>
      </c>
      <c r="CY3475">
        <v>7</v>
      </c>
      <c r="CZ3475" t="s">
        <v>131</v>
      </c>
      <c r="DA3475">
        <v>286</v>
      </c>
      <c r="DB3475">
        <v>0</v>
      </c>
      <c r="DC3475" t="s">
        <v>132</v>
      </c>
      <c r="DD3475" t="s">
        <v>133</v>
      </c>
      <c r="DG3475">
        <v>880126</v>
      </c>
      <c r="DI3475">
        <v>1</v>
      </c>
      <c r="DJ3475">
        <v>0</v>
      </c>
      <c r="DK3475">
        <v>1</v>
      </c>
      <c r="DL3475">
        <v>0</v>
      </c>
      <c r="DM3475">
        <v>0</v>
      </c>
      <c r="DN3475">
        <v>1</v>
      </c>
      <c r="DO3475">
        <v>0</v>
      </c>
      <c r="DP3475">
        <v>0</v>
      </c>
      <c r="DQ3475">
        <v>0</v>
      </c>
      <c r="DR3475">
        <v>0</v>
      </c>
      <c r="DS3475">
        <v>0</v>
      </c>
    </row>
    <row r="3476" spans="1:123" x14ac:dyDescent="0.3">
      <c r="A3476" t="str">
        <f t="shared" si="1269"/>
        <v>10/04/2022 19:34:54.057</v>
      </c>
      <c r="C3476" t="str">
        <f t="shared" si="1254"/>
        <v>FFDFD3C0</v>
      </c>
      <c r="D3476" t="s">
        <v>147</v>
      </c>
      <c r="E3476">
        <v>3</v>
      </c>
      <c r="H3476">
        <v>166</v>
      </c>
      <c r="I3476" t="s">
        <v>144</v>
      </c>
      <c r="J3476" t="s">
        <v>148</v>
      </c>
      <c r="K3476">
        <v>0</v>
      </c>
      <c r="L3476">
        <v>3</v>
      </c>
      <c r="M3476">
        <v>0</v>
      </c>
      <c r="N3476">
        <v>2</v>
      </c>
      <c r="O3476">
        <v>0</v>
      </c>
      <c r="P3476">
        <v>1</v>
      </c>
      <c r="Q3476">
        <v>0</v>
      </c>
      <c r="S3476" t="str">
        <f t="shared" si="1270"/>
        <v>19:34:53.000</v>
      </c>
      <c r="T3476" t="str">
        <f t="shared" si="1270"/>
        <v>19:34:53.000</v>
      </c>
      <c r="U3476" t="str">
        <f t="shared" si="1264"/>
        <v>AC3944</v>
      </c>
      <c r="V3476">
        <v>0</v>
      </c>
      <c r="W3476">
        <v>0</v>
      </c>
      <c r="X3476">
        <v>2</v>
      </c>
      <c r="Y3476">
        <v>0</v>
      </c>
      <c r="AA3476">
        <v>1</v>
      </c>
      <c r="AB3476">
        <v>8</v>
      </c>
      <c r="AC3476">
        <v>3</v>
      </c>
      <c r="AD3476">
        <v>0</v>
      </c>
      <c r="AE3476">
        <v>9</v>
      </c>
      <c r="AF3476" t="s">
        <v>138</v>
      </c>
      <c r="AG3476">
        <v>0</v>
      </c>
      <c r="AH3476">
        <v>3</v>
      </c>
      <c r="AI3476">
        <v>1</v>
      </c>
      <c r="AJ3476">
        <v>0</v>
      </c>
      <c r="AK3476" t="s">
        <v>1140</v>
      </c>
      <c r="AL3476">
        <v>32.732112000000001</v>
      </c>
      <c r="AM3476" t="s">
        <v>1141</v>
      </c>
      <c r="AN3476">
        <v>-116.73812599999999</v>
      </c>
      <c r="AO3476">
        <v>25</v>
      </c>
      <c r="AP3476">
        <v>4200</v>
      </c>
      <c r="AQ3476" t="s">
        <v>129</v>
      </c>
      <c r="AR3476">
        <v>107</v>
      </c>
      <c r="AS3476">
        <v>46</v>
      </c>
      <c r="AT3476">
        <v>512</v>
      </c>
      <c r="BB3476">
        <v>1200</v>
      </c>
      <c r="BC3476">
        <v>1</v>
      </c>
      <c r="BD3476" t="str">
        <f t="shared" si="1265"/>
        <v xml:space="preserve">N887QR  </v>
      </c>
      <c r="BE3476">
        <v>1</v>
      </c>
      <c r="BG3476">
        <v>0</v>
      </c>
      <c r="BH3476">
        <v>0</v>
      </c>
      <c r="BI3476">
        <v>0</v>
      </c>
      <c r="BJ3476">
        <v>4075</v>
      </c>
      <c r="BK3476">
        <v>-125</v>
      </c>
      <c r="BL3476" t="s">
        <v>163</v>
      </c>
      <c r="BM3476">
        <v>1</v>
      </c>
      <c r="BN3476">
        <v>1</v>
      </c>
      <c r="BO3476">
        <v>1</v>
      </c>
      <c r="BP3476">
        <v>0</v>
      </c>
      <c r="BS3476">
        <v>0</v>
      </c>
      <c r="BT3476">
        <v>0</v>
      </c>
      <c r="BU3476">
        <v>0</v>
      </c>
      <c r="CE3476" t="str">
        <f t="shared" si="1271"/>
        <v>19:34:53.819</v>
      </c>
      <c r="CF3476">
        <v>819456682</v>
      </c>
      <c r="CS3476">
        <v>0</v>
      </c>
      <c r="CT3476">
        <v>2</v>
      </c>
      <c r="CU3476">
        <v>0</v>
      </c>
      <c r="CV3476">
        <v>2</v>
      </c>
      <c r="CW3476">
        <v>1</v>
      </c>
      <c r="CX3476">
        <v>6</v>
      </c>
      <c r="CY3476">
        <v>7</v>
      </c>
      <c r="CZ3476" t="s">
        <v>131</v>
      </c>
      <c r="DA3476">
        <v>286</v>
      </c>
      <c r="DB3476">
        <v>0</v>
      </c>
      <c r="DC3476" t="s">
        <v>132</v>
      </c>
      <c r="DD3476" t="s">
        <v>133</v>
      </c>
      <c r="DG3476">
        <v>880126</v>
      </c>
      <c r="DI3476">
        <v>1</v>
      </c>
      <c r="DJ3476">
        <v>0</v>
      </c>
      <c r="DK3476">
        <v>1</v>
      </c>
      <c r="DL3476">
        <v>0</v>
      </c>
      <c r="DM3476">
        <v>0</v>
      </c>
      <c r="DN3476">
        <v>1</v>
      </c>
      <c r="DO3476">
        <v>0</v>
      </c>
      <c r="DP3476">
        <v>0</v>
      </c>
      <c r="DQ3476">
        <v>0</v>
      </c>
      <c r="DR3476">
        <v>0</v>
      </c>
      <c r="DS3476">
        <v>0</v>
      </c>
    </row>
    <row r="3477" spans="1:123" x14ac:dyDescent="0.3">
      <c r="A3477" t="str">
        <f>"10/04/2022 19:34:55.527"</f>
        <v>10/04/2022 19:34:55.527</v>
      </c>
      <c r="C3477" t="str">
        <f t="shared" si="1254"/>
        <v>FFDFD3C0</v>
      </c>
      <c r="D3477" t="s">
        <v>141</v>
      </c>
      <c r="E3477">
        <v>4</v>
      </c>
      <c r="H3477">
        <v>4</v>
      </c>
      <c r="I3477" t="s">
        <v>142</v>
      </c>
      <c r="J3477" t="s">
        <v>138</v>
      </c>
      <c r="K3477">
        <v>0</v>
      </c>
      <c r="L3477">
        <v>3</v>
      </c>
      <c r="M3477">
        <v>0</v>
      </c>
      <c r="N3477">
        <v>2</v>
      </c>
      <c r="O3477">
        <v>0</v>
      </c>
      <c r="P3477">
        <v>1</v>
      </c>
      <c r="Q3477">
        <v>0</v>
      </c>
      <c r="S3477" t="str">
        <f t="shared" ref="S3477:T3483" si="1272">"19:34:55.000"</f>
        <v>19:34:55.000</v>
      </c>
      <c r="T3477" t="str">
        <f t="shared" si="1272"/>
        <v>19:34:55.000</v>
      </c>
      <c r="U3477" t="str">
        <f t="shared" si="1264"/>
        <v>AC3944</v>
      </c>
      <c r="V3477">
        <v>0</v>
      </c>
      <c r="W3477">
        <v>0</v>
      </c>
      <c r="X3477">
        <v>2</v>
      </c>
      <c r="Y3477">
        <v>0</v>
      </c>
      <c r="AA3477">
        <v>1</v>
      </c>
      <c r="AB3477">
        <v>8</v>
      </c>
      <c r="AC3477">
        <v>3</v>
      </c>
      <c r="AD3477">
        <v>0</v>
      </c>
      <c r="AE3477">
        <v>9</v>
      </c>
      <c r="AF3477" t="s">
        <v>138</v>
      </c>
      <c r="AG3477">
        <v>0</v>
      </c>
      <c r="AH3477">
        <v>3</v>
      </c>
      <c r="AI3477">
        <v>1</v>
      </c>
      <c r="AJ3477">
        <v>0</v>
      </c>
      <c r="AK3477" t="s">
        <v>958</v>
      </c>
      <c r="AL3477">
        <v>32.732326999999998</v>
      </c>
      <c r="AM3477" t="s">
        <v>1142</v>
      </c>
      <c r="AN3477">
        <v>-116.73752500000001</v>
      </c>
      <c r="AO3477">
        <v>25</v>
      </c>
      <c r="AP3477">
        <v>4300</v>
      </c>
      <c r="AQ3477" t="s">
        <v>129</v>
      </c>
      <c r="AR3477">
        <v>106</v>
      </c>
      <c r="AS3477">
        <v>47</v>
      </c>
      <c r="AT3477">
        <v>448</v>
      </c>
      <c r="BB3477">
        <v>1200</v>
      </c>
      <c r="BC3477">
        <v>1</v>
      </c>
      <c r="BD3477" t="str">
        <f t="shared" si="1265"/>
        <v xml:space="preserve">N887QR  </v>
      </c>
      <c r="BE3477">
        <v>1</v>
      </c>
      <c r="BG3477">
        <v>0</v>
      </c>
      <c r="BH3477">
        <v>0</v>
      </c>
      <c r="BI3477">
        <v>0</v>
      </c>
      <c r="BJ3477">
        <v>4075</v>
      </c>
      <c r="BK3477">
        <v>-225</v>
      </c>
      <c r="BL3477" t="s">
        <v>163</v>
      </c>
      <c r="BM3477">
        <v>1</v>
      </c>
      <c r="BN3477">
        <v>1</v>
      </c>
      <c r="BO3477">
        <v>1</v>
      </c>
      <c r="BP3477">
        <v>0</v>
      </c>
      <c r="BS3477">
        <v>0</v>
      </c>
      <c r="BT3477">
        <v>0</v>
      </c>
      <c r="BU3477">
        <v>0</v>
      </c>
      <c r="CE3477" t="str">
        <f t="shared" ref="CE3477:CE3483" si="1273">"19:34:55.251"</f>
        <v>19:34:55.251</v>
      </c>
      <c r="CF3477">
        <v>250711472</v>
      </c>
      <c r="CS3477">
        <v>0</v>
      </c>
      <c r="CT3477">
        <v>2</v>
      </c>
      <c r="CU3477">
        <v>0</v>
      </c>
      <c r="CV3477">
        <v>2</v>
      </c>
      <c r="CW3477">
        <v>0</v>
      </c>
      <c r="CX3477">
        <v>6</v>
      </c>
      <c r="CY3477">
        <v>7</v>
      </c>
      <c r="CZ3477" t="s">
        <v>131</v>
      </c>
      <c r="DA3477">
        <v>286</v>
      </c>
      <c r="DB3477">
        <v>0</v>
      </c>
      <c r="DC3477" t="s">
        <v>132</v>
      </c>
      <c r="DD3477" t="s">
        <v>133</v>
      </c>
      <c r="DG3477">
        <v>880424</v>
      </c>
      <c r="DI3477">
        <v>1</v>
      </c>
      <c r="DJ3477">
        <v>0</v>
      </c>
      <c r="DK3477">
        <v>0</v>
      </c>
      <c r="DL3477">
        <v>0</v>
      </c>
      <c r="DM3477">
        <v>0</v>
      </c>
      <c r="DN3477">
        <v>1</v>
      </c>
      <c r="DO3477">
        <v>0</v>
      </c>
      <c r="DP3477">
        <v>0</v>
      </c>
      <c r="DQ3477">
        <v>0</v>
      </c>
      <c r="DR3477">
        <v>0</v>
      </c>
      <c r="DS3477">
        <v>0</v>
      </c>
    </row>
    <row r="3478" spans="1:123" x14ac:dyDescent="0.3">
      <c r="A3478" t="str">
        <f>"10/04/2022 19:34:55.574"</f>
        <v>10/04/2022 19:34:55.574</v>
      </c>
      <c r="C3478" t="str">
        <f t="shared" si="1254"/>
        <v>FFDFD3C0</v>
      </c>
      <c r="D3478" t="s">
        <v>143</v>
      </c>
      <c r="E3478">
        <v>20</v>
      </c>
      <c r="F3478">
        <v>1020</v>
      </c>
      <c r="G3478" t="s">
        <v>144</v>
      </c>
      <c r="J3478" t="s">
        <v>145</v>
      </c>
      <c r="K3478">
        <v>0</v>
      </c>
      <c r="L3478">
        <v>3</v>
      </c>
      <c r="M3478">
        <v>0</v>
      </c>
      <c r="N3478">
        <v>2</v>
      </c>
      <c r="O3478">
        <v>0</v>
      </c>
      <c r="P3478">
        <v>1</v>
      </c>
      <c r="Q3478">
        <v>0</v>
      </c>
      <c r="S3478" t="str">
        <f t="shared" si="1272"/>
        <v>19:34:55.000</v>
      </c>
      <c r="T3478" t="str">
        <f t="shared" si="1272"/>
        <v>19:34:55.000</v>
      </c>
      <c r="U3478" t="str">
        <f t="shared" si="1264"/>
        <v>AC3944</v>
      </c>
      <c r="V3478">
        <v>0</v>
      </c>
      <c r="W3478">
        <v>0</v>
      </c>
      <c r="X3478">
        <v>2</v>
      </c>
      <c r="Y3478">
        <v>0</v>
      </c>
      <c r="AA3478">
        <v>1</v>
      </c>
      <c r="AB3478">
        <v>8</v>
      </c>
      <c r="AC3478">
        <v>3</v>
      </c>
      <c r="AD3478">
        <v>0</v>
      </c>
      <c r="AE3478">
        <v>9</v>
      </c>
      <c r="AF3478" t="s">
        <v>138</v>
      </c>
      <c r="AG3478">
        <v>0</v>
      </c>
      <c r="AH3478">
        <v>3</v>
      </c>
      <c r="AI3478">
        <v>1</v>
      </c>
      <c r="AJ3478">
        <v>0</v>
      </c>
      <c r="AK3478" t="s">
        <v>958</v>
      </c>
      <c r="AL3478">
        <v>32.732326999999998</v>
      </c>
      <c r="AM3478" t="s">
        <v>1142</v>
      </c>
      <c r="AN3478">
        <v>-116.73752500000001</v>
      </c>
      <c r="AO3478">
        <v>25</v>
      </c>
      <c r="AP3478">
        <v>4300</v>
      </c>
      <c r="AQ3478" t="s">
        <v>129</v>
      </c>
      <c r="AR3478">
        <v>106</v>
      </c>
      <c r="AS3478">
        <v>47</v>
      </c>
      <c r="AT3478">
        <v>448</v>
      </c>
      <c r="BB3478">
        <v>1200</v>
      </c>
      <c r="BC3478">
        <v>1</v>
      </c>
      <c r="BD3478" t="str">
        <f t="shared" si="1265"/>
        <v xml:space="preserve">N887QR  </v>
      </c>
      <c r="BE3478">
        <v>1</v>
      </c>
      <c r="BG3478">
        <v>0</v>
      </c>
      <c r="BH3478">
        <v>0</v>
      </c>
      <c r="BI3478">
        <v>0</v>
      </c>
      <c r="BJ3478">
        <v>4075</v>
      </c>
      <c r="BK3478">
        <v>-225</v>
      </c>
      <c r="BL3478" t="s">
        <v>163</v>
      </c>
      <c r="BM3478">
        <v>1</v>
      </c>
      <c r="BN3478">
        <v>1</v>
      </c>
      <c r="BO3478">
        <v>1</v>
      </c>
      <c r="BP3478">
        <v>0</v>
      </c>
      <c r="BS3478">
        <v>0</v>
      </c>
      <c r="BT3478">
        <v>0</v>
      </c>
      <c r="BU3478">
        <v>0</v>
      </c>
      <c r="CE3478" t="str">
        <f t="shared" si="1273"/>
        <v>19:34:55.251</v>
      </c>
      <c r="CF3478">
        <v>250711472</v>
      </c>
      <c r="CS3478">
        <v>0</v>
      </c>
      <c r="CT3478">
        <v>2</v>
      </c>
      <c r="CU3478">
        <v>0</v>
      </c>
      <c r="CV3478">
        <v>2</v>
      </c>
      <c r="CW3478">
        <v>0</v>
      </c>
      <c r="CX3478">
        <v>6</v>
      </c>
      <c r="CY3478">
        <v>7</v>
      </c>
      <c r="CZ3478" t="s">
        <v>131</v>
      </c>
      <c r="DA3478">
        <v>286</v>
      </c>
      <c r="DB3478">
        <v>0</v>
      </c>
      <c r="DC3478" t="s">
        <v>132</v>
      </c>
      <c r="DD3478" t="s">
        <v>133</v>
      </c>
      <c r="DG3478">
        <v>880424</v>
      </c>
      <c r="DI3478">
        <v>1</v>
      </c>
      <c r="DJ3478">
        <v>0</v>
      </c>
      <c r="DK3478">
        <v>1</v>
      </c>
      <c r="DL3478">
        <v>0</v>
      </c>
      <c r="DM3478">
        <v>0</v>
      </c>
      <c r="DN3478">
        <v>1</v>
      </c>
      <c r="DO3478">
        <v>0</v>
      </c>
      <c r="DP3478">
        <v>0</v>
      </c>
      <c r="DQ3478">
        <v>0</v>
      </c>
      <c r="DR3478">
        <v>0</v>
      </c>
      <c r="DS3478">
        <v>0</v>
      </c>
    </row>
    <row r="3479" spans="1:123" x14ac:dyDescent="0.3">
      <c r="A3479" t="str">
        <f>"10/04/2022 19:34:55.574"</f>
        <v>10/04/2022 19:34:55.574</v>
      </c>
      <c r="C3479" t="str">
        <f t="shared" si="1254"/>
        <v>FFDFD3C0</v>
      </c>
      <c r="D3479" t="s">
        <v>136</v>
      </c>
      <c r="E3479">
        <v>8</v>
      </c>
      <c r="H3479">
        <v>225</v>
      </c>
      <c r="I3479" t="s">
        <v>137</v>
      </c>
      <c r="J3479" t="s">
        <v>138</v>
      </c>
      <c r="K3479">
        <v>0</v>
      </c>
      <c r="L3479">
        <v>3</v>
      </c>
      <c r="M3479">
        <v>0</v>
      </c>
      <c r="N3479">
        <v>2</v>
      </c>
      <c r="O3479">
        <v>0</v>
      </c>
      <c r="P3479">
        <v>1</v>
      </c>
      <c r="Q3479">
        <v>0</v>
      </c>
      <c r="S3479" t="str">
        <f t="shared" si="1272"/>
        <v>19:34:55.000</v>
      </c>
      <c r="T3479" t="str">
        <f t="shared" si="1272"/>
        <v>19:34:55.000</v>
      </c>
      <c r="U3479" t="str">
        <f t="shared" si="1264"/>
        <v>AC3944</v>
      </c>
      <c r="V3479">
        <v>0</v>
      </c>
      <c r="W3479">
        <v>0</v>
      </c>
      <c r="X3479">
        <v>2</v>
      </c>
      <c r="Y3479">
        <v>0</v>
      </c>
      <c r="AA3479">
        <v>1</v>
      </c>
      <c r="AB3479">
        <v>8</v>
      </c>
      <c r="AC3479">
        <v>3</v>
      </c>
      <c r="AD3479">
        <v>0</v>
      </c>
      <c r="AE3479">
        <v>9</v>
      </c>
      <c r="AF3479" t="s">
        <v>138</v>
      </c>
      <c r="AG3479">
        <v>0</v>
      </c>
      <c r="AH3479">
        <v>3</v>
      </c>
      <c r="AI3479">
        <v>1</v>
      </c>
      <c r="AJ3479">
        <v>0</v>
      </c>
      <c r="AK3479" t="s">
        <v>958</v>
      </c>
      <c r="AL3479">
        <v>32.732326999999998</v>
      </c>
      <c r="AM3479" t="s">
        <v>1142</v>
      </c>
      <c r="AN3479">
        <v>-116.73752500000001</v>
      </c>
      <c r="AO3479">
        <v>25</v>
      </c>
      <c r="AP3479">
        <v>4300</v>
      </c>
      <c r="AQ3479" t="s">
        <v>129</v>
      </c>
      <c r="AR3479">
        <v>106</v>
      </c>
      <c r="AS3479">
        <v>47</v>
      </c>
      <c r="AT3479">
        <v>448</v>
      </c>
      <c r="BB3479">
        <v>1200</v>
      </c>
      <c r="BC3479">
        <v>1</v>
      </c>
      <c r="BD3479" t="str">
        <f t="shared" si="1265"/>
        <v xml:space="preserve">N887QR  </v>
      </c>
      <c r="BE3479">
        <v>1</v>
      </c>
      <c r="BG3479">
        <v>0</v>
      </c>
      <c r="BH3479">
        <v>0</v>
      </c>
      <c r="BI3479">
        <v>0</v>
      </c>
      <c r="BJ3479">
        <v>4075</v>
      </c>
      <c r="BK3479">
        <v>-225</v>
      </c>
      <c r="BL3479" t="s">
        <v>163</v>
      </c>
      <c r="BM3479">
        <v>1</v>
      </c>
      <c r="BN3479">
        <v>1</v>
      </c>
      <c r="BO3479">
        <v>1</v>
      </c>
      <c r="BP3479">
        <v>0</v>
      </c>
      <c r="BS3479">
        <v>0</v>
      </c>
      <c r="BT3479">
        <v>0</v>
      </c>
      <c r="BU3479">
        <v>0</v>
      </c>
      <c r="CE3479" t="str">
        <f t="shared" si="1273"/>
        <v>19:34:55.251</v>
      </c>
      <c r="CF3479">
        <v>250711472</v>
      </c>
      <c r="CS3479">
        <v>0</v>
      </c>
      <c r="CT3479">
        <v>2</v>
      </c>
      <c r="CU3479">
        <v>0</v>
      </c>
      <c r="CV3479">
        <v>2</v>
      </c>
      <c r="CW3479">
        <v>0</v>
      </c>
      <c r="CX3479">
        <v>6</v>
      </c>
      <c r="CY3479">
        <v>7</v>
      </c>
      <c r="CZ3479" t="s">
        <v>131</v>
      </c>
      <c r="DA3479">
        <v>286</v>
      </c>
      <c r="DB3479">
        <v>0</v>
      </c>
      <c r="DC3479" t="s">
        <v>132</v>
      </c>
      <c r="DD3479" t="s">
        <v>133</v>
      </c>
      <c r="DG3479">
        <v>880424</v>
      </c>
      <c r="DI3479">
        <v>1</v>
      </c>
      <c r="DJ3479">
        <v>0</v>
      </c>
      <c r="DK3479">
        <v>1</v>
      </c>
      <c r="DL3479">
        <v>0</v>
      </c>
      <c r="DM3479">
        <v>0</v>
      </c>
      <c r="DN3479">
        <v>1</v>
      </c>
      <c r="DO3479">
        <v>0</v>
      </c>
      <c r="DP3479">
        <v>0</v>
      </c>
      <c r="DQ3479">
        <v>0</v>
      </c>
      <c r="DR3479">
        <v>0</v>
      </c>
      <c r="DS3479">
        <v>0</v>
      </c>
    </row>
    <row r="3480" spans="1:123" x14ac:dyDescent="0.3">
      <c r="A3480" t="str">
        <f>"10/04/2022 19:34:55.636"</f>
        <v>10/04/2022 19:34:55.636</v>
      </c>
      <c r="C3480" t="str">
        <f t="shared" si="1254"/>
        <v>FFDFD3C0</v>
      </c>
      <c r="D3480" t="s">
        <v>123</v>
      </c>
      <c r="E3480">
        <v>7</v>
      </c>
      <c r="F3480">
        <v>2007</v>
      </c>
      <c r="G3480" t="s">
        <v>124</v>
      </c>
      <c r="J3480" t="s">
        <v>125</v>
      </c>
      <c r="K3480">
        <v>0</v>
      </c>
      <c r="L3480">
        <v>3</v>
      </c>
      <c r="M3480">
        <v>0</v>
      </c>
      <c r="N3480">
        <v>2</v>
      </c>
      <c r="O3480">
        <v>0</v>
      </c>
      <c r="P3480">
        <v>1</v>
      </c>
      <c r="Q3480">
        <v>0</v>
      </c>
      <c r="S3480" t="str">
        <f t="shared" si="1272"/>
        <v>19:34:55.000</v>
      </c>
      <c r="T3480" t="str">
        <f t="shared" si="1272"/>
        <v>19:34:55.000</v>
      </c>
      <c r="U3480" t="str">
        <f t="shared" si="1264"/>
        <v>AC3944</v>
      </c>
      <c r="V3480">
        <v>0</v>
      </c>
      <c r="W3480">
        <v>0</v>
      </c>
      <c r="X3480">
        <v>2</v>
      </c>
      <c r="Y3480">
        <v>0</v>
      </c>
      <c r="AA3480">
        <v>1</v>
      </c>
      <c r="AB3480">
        <v>8</v>
      </c>
      <c r="AC3480">
        <v>3</v>
      </c>
      <c r="AD3480">
        <v>0</v>
      </c>
      <c r="AE3480">
        <v>9</v>
      </c>
      <c r="AF3480" t="s">
        <v>138</v>
      </c>
      <c r="AG3480">
        <v>0</v>
      </c>
      <c r="AH3480">
        <v>3</v>
      </c>
      <c r="AI3480">
        <v>1</v>
      </c>
      <c r="AJ3480">
        <v>0</v>
      </c>
      <c r="AK3480" t="s">
        <v>958</v>
      </c>
      <c r="AL3480">
        <v>32.732326999999998</v>
      </c>
      <c r="AM3480" t="s">
        <v>1142</v>
      </c>
      <c r="AN3480">
        <v>-116.73752500000001</v>
      </c>
      <c r="AO3480">
        <v>25</v>
      </c>
      <c r="AP3480">
        <v>4300</v>
      </c>
      <c r="AQ3480" t="s">
        <v>129</v>
      </c>
      <c r="AR3480">
        <v>106</v>
      </c>
      <c r="AS3480">
        <v>47</v>
      </c>
      <c r="AT3480">
        <v>448</v>
      </c>
      <c r="BB3480">
        <v>1200</v>
      </c>
      <c r="BC3480">
        <v>1</v>
      </c>
      <c r="BD3480" t="str">
        <f t="shared" si="1265"/>
        <v xml:space="preserve">N887QR  </v>
      </c>
      <c r="BE3480">
        <v>1</v>
      </c>
      <c r="BG3480">
        <v>0</v>
      </c>
      <c r="BH3480">
        <v>0</v>
      </c>
      <c r="BI3480">
        <v>0</v>
      </c>
      <c r="BJ3480">
        <v>4075</v>
      </c>
      <c r="BK3480">
        <v>-225</v>
      </c>
      <c r="BL3480" t="s">
        <v>163</v>
      </c>
      <c r="BM3480">
        <v>1</v>
      </c>
      <c r="BN3480">
        <v>1</v>
      </c>
      <c r="BO3480">
        <v>1</v>
      </c>
      <c r="BP3480">
        <v>0</v>
      </c>
      <c r="BS3480">
        <v>0</v>
      </c>
      <c r="BT3480">
        <v>0</v>
      </c>
      <c r="BU3480">
        <v>0</v>
      </c>
      <c r="CE3480" t="str">
        <f t="shared" si="1273"/>
        <v>19:34:55.251</v>
      </c>
      <c r="CF3480">
        <v>250711472</v>
      </c>
      <c r="CS3480">
        <v>0</v>
      </c>
      <c r="CT3480">
        <v>2</v>
      </c>
      <c r="CU3480">
        <v>0</v>
      </c>
      <c r="CV3480">
        <v>2</v>
      </c>
      <c r="CW3480">
        <v>0</v>
      </c>
      <c r="CX3480">
        <v>6</v>
      </c>
      <c r="CY3480">
        <v>7</v>
      </c>
      <c r="CZ3480" t="s">
        <v>131</v>
      </c>
      <c r="DA3480">
        <v>286</v>
      </c>
      <c r="DB3480">
        <v>0</v>
      </c>
      <c r="DC3480" t="s">
        <v>132</v>
      </c>
      <c r="DD3480" t="s">
        <v>133</v>
      </c>
      <c r="DG3480">
        <v>880424</v>
      </c>
      <c r="DI3480">
        <v>1</v>
      </c>
      <c r="DJ3480">
        <v>0</v>
      </c>
      <c r="DK3480">
        <v>1</v>
      </c>
      <c r="DL3480">
        <v>0</v>
      </c>
      <c r="DM3480">
        <v>0</v>
      </c>
      <c r="DN3480">
        <v>1</v>
      </c>
      <c r="DO3480">
        <v>0</v>
      </c>
      <c r="DP3480">
        <v>0</v>
      </c>
      <c r="DQ3480">
        <v>0</v>
      </c>
      <c r="DR3480">
        <v>0</v>
      </c>
      <c r="DS3480">
        <v>0</v>
      </c>
    </row>
    <row r="3481" spans="1:123" x14ac:dyDescent="0.3">
      <c r="A3481" t="str">
        <f>"10/04/2022 19:34:55.636"</f>
        <v>10/04/2022 19:34:55.636</v>
      </c>
      <c r="C3481" t="str">
        <f t="shared" si="1254"/>
        <v>FFDFD3C0</v>
      </c>
      <c r="D3481" t="s">
        <v>134</v>
      </c>
      <c r="E3481">
        <v>15</v>
      </c>
      <c r="J3481" t="s">
        <v>135</v>
      </c>
      <c r="K3481">
        <v>0</v>
      </c>
      <c r="L3481">
        <v>3</v>
      </c>
      <c r="M3481">
        <v>0</v>
      </c>
      <c r="N3481">
        <v>2</v>
      </c>
      <c r="O3481">
        <v>0</v>
      </c>
      <c r="P3481">
        <v>1</v>
      </c>
      <c r="Q3481">
        <v>0</v>
      </c>
      <c r="S3481" t="str">
        <f t="shared" si="1272"/>
        <v>19:34:55.000</v>
      </c>
      <c r="T3481" t="str">
        <f t="shared" si="1272"/>
        <v>19:34:55.000</v>
      </c>
      <c r="U3481" t="str">
        <f t="shared" si="1264"/>
        <v>AC3944</v>
      </c>
      <c r="V3481">
        <v>0</v>
      </c>
      <c r="W3481">
        <v>0</v>
      </c>
      <c r="X3481">
        <v>2</v>
      </c>
      <c r="Y3481">
        <v>0</v>
      </c>
      <c r="AA3481">
        <v>1</v>
      </c>
      <c r="AB3481">
        <v>8</v>
      </c>
      <c r="AC3481">
        <v>3</v>
      </c>
      <c r="AD3481">
        <v>0</v>
      </c>
      <c r="AE3481">
        <v>9</v>
      </c>
      <c r="AF3481" t="s">
        <v>138</v>
      </c>
      <c r="AG3481">
        <v>0</v>
      </c>
      <c r="AH3481">
        <v>3</v>
      </c>
      <c r="AI3481">
        <v>1</v>
      </c>
      <c r="AJ3481">
        <v>0</v>
      </c>
      <c r="AK3481" t="s">
        <v>958</v>
      </c>
      <c r="AL3481">
        <v>32.732326999999998</v>
      </c>
      <c r="AM3481" t="s">
        <v>1142</v>
      </c>
      <c r="AN3481">
        <v>-116.73752500000001</v>
      </c>
      <c r="AO3481">
        <v>25</v>
      </c>
      <c r="AP3481">
        <v>4300</v>
      </c>
      <c r="AQ3481" t="s">
        <v>129</v>
      </c>
      <c r="AR3481">
        <v>106</v>
      </c>
      <c r="AS3481">
        <v>47</v>
      </c>
      <c r="AT3481">
        <v>448</v>
      </c>
      <c r="BB3481">
        <v>1200</v>
      </c>
      <c r="BC3481">
        <v>1</v>
      </c>
      <c r="BD3481" t="str">
        <f t="shared" si="1265"/>
        <v xml:space="preserve">N887QR  </v>
      </c>
      <c r="BE3481">
        <v>1</v>
      </c>
      <c r="BG3481">
        <v>0</v>
      </c>
      <c r="BH3481">
        <v>0</v>
      </c>
      <c r="BI3481">
        <v>0</v>
      </c>
      <c r="BJ3481">
        <v>4075</v>
      </c>
      <c r="BK3481">
        <v>-225</v>
      </c>
      <c r="BL3481" t="s">
        <v>163</v>
      </c>
      <c r="BM3481">
        <v>1</v>
      </c>
      <c r="BN3481">
        <v>1</v>
      </c>
      <c r="BO3481">
        <v>1</v>
      </c>
      <c r="BP3481">
        <v>0</v>
      </c>
      <c r="BS3481">
        <v>0</v>
      </c>
      <c r="BT3481">
        <v>0</v>
      </c>
      <c r="BU3481">
        <v>0</v>
      </c>
      <c r="CE3481" t="str">
        <f t="shared" si="1273"/>
        <v>19:34:55.251</v>
      </c>
      <c r="CF3481">
        <v>250711472</v>
      </c>
      <c r="CS3481">
        <v>0</v>
      </c>
      <c r="CT3481">
        <v>2</v>
      </c>
      <c r="CU3481">
        <v>0</v>
      </c>
      <c r="CV3481">
        <v>2</v>
      </c>
      <c r="CW3481">
        <v>0</v>
      </c>
      <c r="CX3481">
        <v>6</v>
      </c>
      <c r="CY3481">
        <v>7</v>
      </c>
      <c r="CZ3481" t="s">
        <v>131</v>
      </c>
      <c r="DA3481">
        <v>286</v>
      </c>
      <c r="DB3481">
        <v>0</v>
      </c>
      <c r="DC3481" t="s">
        <v>132</v>
      </c>
      <c r="DD3481" t="s">
        <v>133</v>
      </c>
      <c r="DG3481">
        <v>880424</v>
      </c>
      <c r="DI3481">
        <v>1</v>
      </c>
      <c r="DJ3481">
        <v>0</v>
      </c>
      <c r="DK3481">
        <v>1</v>
      </c>
      <c r="DL3481">
        <v>0</v>
      </c>
      <c r="DM3481">
        <v>0</v>
      </c>
      <c r="DN3481">
        <v>1</v>
      </c>
      <c r="DO3481">
        <v>0</v>
      </c>
      <c r="DP3481">
        <v>0</v>
      </c>
      <c r="DQ3481">
        <v>0</v>
      </c>
      <c r="DR3481">
        <v>0</v>
      </c>
      <c r="DS3481">
        <v>0</v>
      </c>
    </row>
    <row r="3482" spans="1:123" x14ac:dyDescent="0.3">
      <c r="A3482" t="str">
        <f>"10/04/2022 19:34:55.636"</f>
        <v>10/04/2022 19:34:55.636</v>
      </c>
      <c r="C3482" t="str">
        <f t="shared" si="1254"/>
        <v>FFDFD3C0</v>
      </c>
      <c r="D3482" t="s">
        <v>141</v>
      </c>
      <c r="E3482">
        <v>3</v>
      </c>
      <c r="H3482">
        <v>3</v>
      </c>
      <c r="I3482" t="s">
        <v>146</v>
      </c>
      <c r="J3482" t="s">
        <v>138</v>
      </c>
      <c r="K3482">
        <v>0</v>
      </c>
      <c r="L3482">
        <v>3</v>
      </c>
      <c r="M3482">
        <v>0</v>
      </c>
      <c r="N3482">
        <v>2</v>
      </c>
      <c r="O3482">
        <v>0</v>
      </c>
      <c r="P3482">
        <v>1</v>
      </c>
      <c r="Q3482">
        <v>0</v>
      </c>
      <c r="S3482" t="str">
        <f t="shared" si="1272"/>
        <v>19:34:55.000</v>
      </c>
      <c r="T3482" t="str">
        <f t="shared" si="1272"/>
        <v>19:34:55.000</v>
      </c>
      <c r="U3482" t="str">
        <f t="shared" si="1264"/>
        <v>AC3944</v>
      </c>
      <c r="V3482">
        <v>0</v>
      </c>
      <c r="W3482">
        <v>0</v>
      </c>
      <c r="X3482">
        <v>2</v>
      </c>
      <c r="Y3482">
        <v>0</v>
      </c>
      <c r="AA3482">
        <v>1</v>
      </c>
      <c r="AB3482">
        <v>8</v>
      </c>
      <c r="AC3482">
        <v>3</v>
      </c>
      <c r="AD3482">
        <v>0</v>
      </c>
      <c r="AE3482">
        <v>9</v>
      </c>
      <c r="AF3482" t="s">
        <v>138</v>
      </c>
      <c r="AG3482">
        <v>0</v>
      </c>
      <c r="AH3482">
        <v>3</v>
      </c>
      <c r="AI3482">
        <v>1</v>
      </c>
      <c r="AJ3482">
        <v>0</v>
      </c>
      <c r="AK3482" t="s">
        <v>958</v>
      </c>
      <c r="AL3482">
        <v>32.732326999999998</v>
      </c>
      <c r="AM3482" t="s">
        <v>1142</v>
      </c>
      <c r="AN3482">
        <v>-116.73752500000001</v>
      </c>
      <c r="AO3482">
        <v>25</v>
      </c>
      <c r="AP3482">
        <v>4300</v>
      </c>
      <c r="AQ3482" t="s">
        <v>129</v>
      </c>
      <c r="AR3482">
        <v>106</v>
      </c>
      <c r="AS3482">
        <v>47</v>
      </c>
      <c r="AT3482">
        <v>448</v>
      </c>
      <c r="BB3482">
        <v>1200</v>
      </c>
      <c r="BC3482">
        <v>1</v>
      </c>
      <c r="BD3482" t="str">
        <f t="shared" si="1265"/>
        <v xml:space="preserve">N887QR  </v>
      </c>
      <c r="BE3482">
        <v>1</v>
      </c>
      <c r="BG3482">
        <v>0</v>
      </c>
      <c r="BH3482">
        <v>0</v>
      </c>
      <c r="BI3482">
        <v>0</v>
      </c>
      <c r="BJ3482">
        <v>4075</v>
      </c>
      <c r="BK3482">
        <v>-225</v>
      </c>
      <c r="BL3482" t="s">
        <v>163</v>
      </c>
      <c r="BM3482">
        <v>1</v>
      </c>
      <c r="BN3482">
        <v>1</v>
      </c>
      <c r="BO3482">
        <v>1</v>
      </c>
      <c r="BP3482">
        <v>0</v>
      </c>
      <c r="BS3482">
        <v>0</v>
      </c>
      <c r="BT3482">
        <v>0</v>
      </c>
      <c r="BU3482">
        <v>0</v>
      </c>
      <c r="CE3482" t="str">
        <f t="shared" si="1273"/>
        <v>19:34:55.251</v>
      </c>
      <c r="CF3482">
        <v>250711472</v>
      </c>
      <c r="CS3482">
        <v>0</v>
      </c>
      <c r="CT3482">
        <v>2</v>
      </c>
      <c r="CU3482">
        <v>0</v>
      </c>
      <c r="CV3482">
        <v>2</v>
      </c>
      <c r="CW3482">
        <v>0</v>
      </c>
      <c r="CX3482">
        <v>6</v>
      </c>
      <c r="CY3482">
        <v>7</v>
      </c>
      <c r="CZ3482" t="s">
        <v>131</v>
      </c>
      <c r="DA3482">
        <v>286</v>
      </c>
      <c r="DB3482">
        <v>0</v>
      </c>
      <c r="DC3482" t="s">
        <v>132</v>
      </c>
      <c r="DD3482" t="s">
        <v>133</v>
      </c>
      <c r="DG3482">
        <v>880424</v>
      </c>
      <c r="DI3482">
        <v>1</v>
      </c>
      <c r="DJ3482">
        <v>0</v>
      </c>
      <c r="DK3482">
        <v>1</v>
      </c>
      <c r="DL3482">
        <v>0</v>
      </c>
      <c r="DM3482">
        <v>0</v>
      </c>
      <c r="DN3482">
        <v>1</v>
      </c>
      <c r="DO3482">
        <v>0</v>
      </c>
      <c r="DP3482">
        <v>0</v>
      </c>
      <c r="DQ3482">
        <v>0</v>
      </c>
      <c r="DR3482">
        <v>0</v>
      </c>
      <c r="DS3482">
        <v>0</v>
      </c>
    </row>
    <row r="3483" spans="1:123" x14ac:dyDescent="0.3">
      <c r="A3483" t="str">
        <f>"10/04/2022 19:34:55.636"</f>
        <v>10/04/2022 19:34:55.636</v>
      </c>
      <c r="C3483" t="str">
        <f t="shared" si="1254"/>
        <v>FFDFD3C0</v>
      </c>
      <c r="D3483" t="s">
        <v>147</v>
      </c>
      <c r="E3483">
        <v>3</v>
      </c>
      <c r="H3483">
        <v>166</v>
      </c>
      <c r="I3483" t="s">
        <v>144</v>
      </c>
      <c r="J3483" t="s">
        <v>148</v>
      </c>
      <c r="K3483">
        <v>0</v>
      </c>
      <c r="L3483">
        <v>3</v>
      </c>
      <c r="M3483">
        <v>0</v>
      </c>
      <c r="N3483">
        <v>2</v>
      </c>
      <c r="O3483">
        <v>0</v>
      </c>
      <c r="P3483">
        <v>1</v>
      </c>
      <c r="Q3483">
        <v>0</v>
      </c>
      <c r="S3483" t="str">
        <f t="shared" si="1272"/>
        <v>19:34:55.000</v>
      </c>
      <c r="T3483" t="str">
        <f t="shared" si="1272"/>
        <v>19:34:55.000</v>
      </c>
      <c r="U3483" t="str">
        <f t="shared" si="1264"/>
        <v>AC3944</v>
      </c>
      <c r="V3483">
        <v>0</v>
      </c>
      <c r="W3483">
        <v>0</v>
      </c>
      <c r="X3483">
        <v>2</v>
      </c>
      <c r="Y3483">
        <v>0</v>
      </c>
      <c r="AA3483">
        <v>1</v>
      </c>
      <c r="AB3483">
        <v>8</v>
      </c>
      <c r="AC3483">
        <v>3</v>
      </c>
      <c r="AD3483">
        <v>0</v>
      </c>
      <c r="AE3483">
        <v>9</v>
      </c>
      <c r="AF3483" t="s">
        <v>138</v>
      </c>
      <c r="AG3483">
        <v>0</v>
      </c>
      <c r="AH3483">
        <v>3</v>
      </c>
      <c r="AI3483">
        <v>1</v>
      </c>
      <c r="AJ3483">
        <v>0</v>
      </c>
      <c r="AK3483" t="s">
        <v>958</v>
      </c>
      <c r="AL3483">
        <v>32.732326999999998</v>
      </c>
      <c r="AM3483" t="s">
        <v>1142</v>
      </c>
      <c r="AN3483">
        <v>-116.73752500000001</v>
      </c>
      <c r="AO3483">
        <v>25</v>
      </c>
      <c r="AP3483">
        <v>4300</v>
      </c>
      <c r="AQ3483" t="s">
        <v>129</v>
      </c>
      <c r="AR3483">
        <v>106</v>
      </c>
      <c r="AS3483">
        <v>47</v>
      </c>
      <c r="AT3483">
        <v>448</v>
      </c>
      <c r="BB3483">
        <v>1200</v>
      </c>
      <c r="BC3483">
        <v>1</v>
      </c>
      <c r="BD3483" t="str">
        <f t="shared" si="1265"/>
        <v xml:space="preserve">N887QR  </v>
      </c>
      <c r="BE3483">
        <v>1</v>
      </c>
      <c r="BG3483">
        <v>0</v>
      </c>
      <c r="BH3483">
        <v>0</v>
      </c>
      <c r="BI3483">
        <v>0</v>
      </c>
      <c r="BJ3483">
        <v>4075</v>
      </c>
      <c r="BK3483">
        <v>-225</v>
      </c>
      <c r="BL3483" t="s">
        <v>163</v>
      </c>
      <c r="BM3483">
        <v>1</v>
      </c>
      <c r="BN3483">
        <v>1</v>
      </c>
      <c r="BO3483">
        <v>1</v>
      </c>
      <c r="BP3483">
        <v>0</v>
      </c>
      <c r="BS3483">
        <v>0</v>
      </c>
      <c r="BT3483">
        <v>0</v>
      </c>
      <c r="BU3483">
        <v>0</v>
      </c>
      <c r="CE3483" t="str">
        <f t="shared" si="1273"/>
        <v>19:34:55.251</v>
      </c>
      <c r="CF3483">
        <v>250711472</v>
      </c>
      <c r="CS3483">
        <v>0</v>
      </c>
      <c r="CT3483">
        <v>2</v>
      </c>
      <c r="CU3483">
        <v>0</v>
      </c>
      <c r="CV3483">
        <v>2</v>
      </c>
      <c r="CW3483">
        <v>0</v>
      </c>
      <c r="CX3483">
        <v>6</v>
      </c>
      <c r="CY3483">
        <v>7</v>
      </c>
      <c r="CZ3483" t="s">
        <v>131</v>
      </c>
      <c r="DA3483">
        <v>286</v>
      </c>
      <c r="DB3483">
        <v>0</v>
      </c>
      <c r="DC3483" t="s">
        <v>132</v>
      </c>
      <c r="DD3483" t="s">
        <v>133</v>
      </c>
      <c r="DG3483">
        <v>880424</v>
      </c>
      <c r="DI3483">
        <v>1</v>
      </c>
      <c r="DJ3483">
        <v>0</v>
      </c>
      <c r="DK3483">
        <v>1</v>
      </c>
      <c r="DL3483">
        <v>0</v>
      </c>
      <c r="DM3483">
        <v>0</v>
      </c>
      <c r="DN3483">
        <v>1</v>
      </c>
      <c r="DO3483">
        <v>0</v>
      </c>
      <c r="DP3483">
        <v>0</v>
      </c>
      <c r="DQ3483">
        <v>0</v>
      </c>
      <c r="DR3483">
        <v>0</v>
      </c>
      <c r="DS3483">
        <v>0</v>
      </c>
    </row>
    <row r="3484" spans="1:123" x14ac:dyDescent="0.3">
      <c r="A3484" t="str">
        <f t="shared" ref="A3484:A3490" si="1274">"10/04/2022 19:34:57.043"</f>
        <v>10/04/2022 19:34:57.043</v>
      </c>
      <c r="C3484" t="str">
        <f t="shared" si="1254"/>
        <v>FFDFD3C0</v>
      </c>
      <c r="D3484" t="s">
        <v>143</v>
      </c>
      <c r="E3484">
        <v>20</v>
      </c>
      <c r="F3484">
        <v>1020</v>
      </c>
      <c r="G3484" t="s">
        <v>144</v>
      </c>
      <c r="J3484" t="s">
        <v>145</v>
      </c>
      <c r="K3484">
        <v>0</v>
      </c>
      <c r="L3484">
        <v>3</v>
      </c>
      <c r="M3484">
        <v>0</v>
      </c>
      <c r="N3484">
        <v>2</v>
      </c>
      <c r="O3484">
        <v>0</v>
      </c>
      <c r="P3484">
        <v>1</v>
      </c>
      <c r="Q3484">
        <v>0</v>
      </c>
      <c r="S3484" t="str">
        <f t="shared" ref="S3484:T3490" si="1275">"19:34:56.000"</f>
        <v>19:34:56.000</v>
      </c>
      <c r="T3484" t="str">
        <f t="shared" si="1275"/>
        <v>19:34:56.000</v>
      </c>
      <c r="U3484" t="str">
        <f t="shared" si="1264"/>
        <v>AC3944</v>
      </c>
      <c r="V3484">
        <v>0</v>
      </c>
      <c r="W3484">
        <v>0</v>
      </c>
      <c r="X3484">
        <v>2</v>
      </c>
      <c r="Y3484">
        <v>0</v>
      </c>
      <c r="AA3484">
        <v>1</v>
      </c>
      <c r="AB3484">
        <v>8</v>
      </c>
      <c r="AC3484">
        <v>3</v>
      </c>
      <c r="AD3484">
        <v>0</v>
      </c>
      <c r="AE3484">
        <v>9</v>
      </c>
      <c r="AF3484" t="s">
        <v>138</v>
      </c>
      <c r="AG3484">
        <v>0</v>
      </c>
      <c r="AH3484">
        <v>3</v>
      </c>
      <c r="AI3484">
        <v>1</v>
      </c>
      <c r="AJ3484">
        <v>0</v>
      </c>
      <c r="AK3484" t="s">
        <v>1143</v>
      </c>
      <c r="AL3484">
        <v>32.732542000000002</v>
      </c>
      <c r="AM3484" t="s">
        <v>1144</v>
      </c>
      <c r="AN3484">
        <v>-116.736946</v>
      </c>
      <c r="AO3484">
        <v>25</v>
      </c>
      <c r="AP3484">
        <v>4300</v>
      </c>
      <c r="AQ3484" t="s">
        <v>129</v>
      </c>
      <c r="AR3484">
        <v>106</v>
      </c>
      <c r="AS3484">
        <v>49</v>
      </c>
      <c r="AT3484">
        <v>448</v>
      </c>
      <c r="BB3484">
        <v>1200</v>
      </c>
      <c r="BC3484">
        <v>1</v>
      </c>
      <c r="BD3484" t="str">
        <f t="shared" si="1265"/>
        <v xml:space="preserve">N887QR  </v>
      </c>
      <c r="BE3484">
        <v>1</v>
      </c>
      <c r="BG3484">
        <v>0</v>
      </c>
      <c r="BH3484">
        <v>0</v>
      </c>
      <c r="BI3484">
        <v>0</v>
      </c>
      <c r="BJ3484">
        <v>4100</v>
      </c>
      <c r="BK3484">
        <v>-200</v>
      </c>
      <c r="BL3484" t="s">
        <v>163</v>
      </c>
      <c r="BM3484">
        <v>1</v>
      </c>
      <c r="BN3484">
        <v>1</v>
      </c>
      <c r="BO3484">
        <v>1</v>
      </c>
      <c r="BP3484">
        <v>0</v>
      </c>
      <c r="BS3484">
        <v>0</v>
      </c>
      <c r="BT3484">
        <v>0</v>
      </c>
      <c r="BU3484">
        <v>0</v>
      </c>
      <c r="CE3484" t="str">
        <f t="shared" ref="CE3484:CE3490" si="1276">"19:34:56.463"</f>
        <v>19:34:56.463</v>
      </c>
      <c r="CF3484">
        <v>462715543</v>
      </c>
      <c r="CS3484">
        <v>0</v>
      </c>
      <c r="CT3484">
        <v>2</v>
      </c>
      <c r="CU3484">
        <v>0</v>
      </c>
      <c r="CV3484">
        <v>2</v>
      </c>
      <c r="CW3484">
        <v>0</v>
      </c>
      <c r="CX3484">
        <v>6</v>
      </c>
      <c r="CY3484">
        <v>7</v>
      </c>
      <c r="CZ3484" t="s">
        <v>131</v>
      </c>
      <c r="DA3484">
        <v>286</v>
      </c>
      <c r="DB3484">
        <v>0</v>
      </c>
      <c r="DC3484" t="s">
        <v>132</v>
      </c>
      <c r="DD3484" t="s">
        <v>133</v>
      </c>
      <c r="DG3484">
        <v>880674</v>
      </c>
      <c r="DI3484">
        <v>1</v>
      </c>
      <c r="DJ3484">
        <v>0</v>
      </c>
      <c r="DK3484">
        <v>0</v>
      </c>
      <c r="DL3484">
        <v>0</v>
      </c>
      <c r="DM3484">
        <v>0</v>
      </c>
      <c r="DN3484">
        <v>1</v>
      </c>
      <c r="DO3484">
        <v>0</v>
      </c>
      <c r="DP3484">
        <v>0</v>
      </c>
      <c r="DQ3484">
        <v>0</v>
      </c>
      <c r="DR3484">
        <v>0</v>
      </c>
      <c r="DS3484">
        <v>0</v>
      </c>
    </row>
    <row r="3485" spans="1:123" x14ac:dyDescent="0.3">
      <c r="A3485" t="str">
        <f t="shared" si="1274"/>
        <v>10/04/2022 19:34:57.043</v>
      </c>
      <c r="C3485" t="str">
        <f t="shared" si="1254"/>
        <v>FFDFD3C0</v>
      </c>
      <c r="D3485" t="s">
        <v>136</v>
      </c>
      <c r="E3485">
        <v>8</v>
      </c>
      <c r="H3485">
        <v>225</v>
      </c>
      <c r="I3485" t="s">
        <v>137</v>
      </c>
      <c r="J3485" t="s">
        <v>138</v>
      </c>
      <c r="K3485">
        <v>0</v>
      </c>
      <c r="L3485">
        <v>3</v>
      </c>
      <c r="M3485">
        <v>0</v>
      </c>
      <c r="N3485">
        <v>2</v>
      </c>
      <c r="O3485">
        <v>0</v>
      </c>
      <c r="P3485">
        <v>1</v>
      </c>
      <c r="Q3485">
        <v>0</v>
      </c>
      <c r="S3485" t="str">
        <f t="shared" si="1275"/>
        <v>19:34:56.000</v>
      </c>
      <c r="T3485" t="str">
        <f t="shared" si="1275"/>
        <v>19:34:56.000</v>
      </c>
      <c r="U3485" t="str">
        <f t="shared" si="1264"/>
        <v>AC3944</v>
      </c>
      <c r="V3485">
        <v>0</v>
      </c>
      <c r="W3485">
        <v>0</v>
      </c>
      <c r="X3485">
        <v>2</v>
      </c>
      <c r="Y3485">
        <v>0</v>
      </c>
      <c r="AA3485">
        <v>1</v>
      </c>
      <c r="AB3485">
        <v>8</v>
      </c>
      <c r="AC3485">
        <v>3</v>
      </c>
      <c r="AD3485">
        <v>0</v>
      </c>
      <c r="AE3485">
        <v>9</v>
      </c>
      <c r="AF3485" t="s">
        <v>138</v>
      </c>
      <c r="AG3485">
        <v>0</v>
      </c>
      <c r="AH3485">
        <v>3</v>
      </c>
      <c r="AI3485">
        <v>1</v>
      </c>
      <c r="AJ3485">
        <v>0</v>
      </c>
      <c r="AK3485" t="s">
        <v>1143</v>
      </c>
      <c r="AL3485">
        <v>32.732542000000002</v>
      </c>
      <c r="AM3485" t="s">
        <v>1144</v>
      </c>
      <c r="AN3485">
        <v>-116.736946</v>
      </c>
      <c r="AO3485">
        <v>25</v>
      </c>
      <c r="AP3485">
        <v>4300</v>
      </c>
      <c r="AQ3485" t="s">
        <v>129</v>
      </c>
      <c r="AR3485">
        <v>106</v>
      </c>
      <c r="AS3485">
        <v>49</v>
      </c>
      <c r="AT3485">
        <v>448</v>
      </c>
      <c r="BB3485">
        <v>1200</v>
      </c>
      <c r="BC3485">
        <v>1</v>
      </c>
      <c r="BD3485" t="str">
        <f t="shared" si="1265"/>
        <v xml:space="preserve">N887QR  </v>
      </c>
      <c r="BE3485">
        <v>1</v>
      </c>
      <c r="BG3485">
        <v>0</v>
      </c>
      <c r="BH3485">
        <v>0</v>
      </c>
      <c r="BI3485">
        <v>0</v>
      </c>
      <c r="BJ3485">
        <v>4100</v>
      </c>
      <c r="BK3485">
        <v>-200</v>
      </c>
      <c r="BL3485" t="s">
        <v>163</v>
      </c>
      <c r="BM3485">
        <v>1</v>
      </c>
      <c r="BN3485">
        <v>1</v>
      </c>
      <c r="BO3485">
        <v>1</v>
      </c>
      <c r="BP3485">
        <v>0</v>
      </c>
      <c r="BS3485">
        <v>0</v>
      </c>
      <c r="BT3485">
        <v>0</v>
      </c>
      <c r="BU3485">
        <v>0</v>
      </c>
      <c r="CE3485" t="str">
        <f t="shared" si="1276"/>
        <v>19:34:56.463</v>
      </c>
      <c r="CF3485">
        <v>462715543</v>
      </c>
      <c r="CS3485">
        <v>0</v>
      </c>
      <c r="CT3485">
        <v>2</v>
      </c>
      <c r="CU3485">
        <v>0</v>
      </c>
      <c r="CV3485">
        <v>2</v>
      </c>
      <c r="CW3485">
        <v>0</v>
      </c>
      <c r="CX3485">
        <v>6</v>
      </c>
      <c r="CY3485">
        <v>7</v>
      </c>
      <c r="CZ3485" t="s">
        <v>131</v>
      </c>
      <c r="DA3485">
        <v>286</v>
      </c>
      <c r="DB3485">
        <v>0</v>
      </c>
      <c r="DC3485" t="s">
        <v>132</v>
      </c>
      <c r="DD3485" t="s">
        <v>133</v>
      </c>
      <c r="DG3485">
        <v>880674</v>
      </c>
      <c r="DI3485">
        <v>1</v>
      </c>
      <c r="DJ3485">
        <v>0</v>
      </c>
      <c r="DK3485">
        <v>1</v>
      </c>
      <c r="DL3485">
        <v>0</v>
      </c>
      <c r="DM3485">
        <v>0</v>
      </c>
      <c r="DN3485">
        <v>1</v>
      </c>
      <c r="DO3485">
        <v>0</v>
      </c>
      <c r="DP3485">
        <v>0</v>
      </c>
      <c r="DQ3485">
        <v>0</v>
      </c>
      <c r="DR3485">
        <v>0</v>
      </c>
      <c r="DS3485">
        <v>0</v>
      </c>
    </row>
    <row r="3486" spans="1:123" x14ac:dyDescent="0.3">
      <c r="A3486" t="str">
        <f t="shared" si="1274"/>
        <v>10/04/2022 19:34:57.043</v>
      </c>
      <c r="C3486" t="str">
        <f t="shared" si="1254"/>
        <v>FFDFD3C0</v>
      </c>
      <c r="D3486" t="s">
        <v>123</v>
      </c>
      <c r="E3486">
        <v>7</v>
      </c>
      <c r="F3486">
        <v>2007</v>
      </c>
      <c r="G3486" t="s">
        <v>124</v>
      </c>
      <c r="J3486" t="s">
        <v>125</v>
      </c>
      <c r="K3486">
        <v>0</v>
      </c>
      <c r="L3486">
        <v>3</v>
      </c>
      <c r="M3486">
        <v>0</v>
      </c>
      <c r="N3486">
        <v>2</v>
      </c>
      <c r="O3486">
        <v>0</v>
      </c>
      <c r="P3486">
        <v>1</v>
      </c>
      <c r="Q3486">
        <v>0</v>
      </c>
      <c r="S3486" t="str">
        <f t="shared" si="1275"/>
        <v>19:34:56.000</v>
      </c>
      <c r="T3486" t="str">
        <f t="shared" si="1275"/>
        <v>19:34:56.000</v>
      </c>
      <c r="U3486" t="str">
        <f t="shared" si="1264"/>
        <v>AC3944</v>
      </c>
      <c r="V3486">
        <v>0</v>
      </c>
      <c r="W3486">
        <v>0</v>
      </c>
      <c r="X3486">
        <v>2</v>
      </c>
      <c r="Y3486">
        <v>0</v>
      </c>
      <c r="AA3486">
        <v>1</v>
      </c>
      <c r="AB3486">
        <v>8</v>
      </c>
      <c r="AC3486">
        <v>3</v>
      </c>
      <c r="AD3486">
        <v>0</v>
      </c>
      <c r="AE3486">
        <v>9</v>
      </c>
      <c r="AF3486" t="s">
        <v>138</v>
      </c>
      <c r="AG3486">
        <v>0</v>
      </c>
      <c r="AH3486">
        <v>3</v>
      </c>
      <c r="AI3486">
        <v>1</v>
      </c>
      <c r="AJ3486">
        <v>0</v>
      </c>
      <c r="AK3486" t="s">
        <v>1143</v>
      </c>
      <c r="AL3486">
        <v>32.732542000000002</v>
      </c>
      <c r="AM3486" t="s">
        <v>1144</v>
      </c>
      <c r="AN3486">
        <v>-116.736946</v>
      </c>
      <c r="AO3486">
        <v>25</v>
      </c>
      <c r="AP3486">
        <v>4300</v>
      </c>
      <c r="AQ3486" t="s">
        <v>129</v>
      </c>
      <c r="AR3486">
        <v>106</v>
      </c>
      <c r="AS3486">
        <v>49</v>
      </c>
      <c r="AT3486">
        <v>448</v>
      </c>
      <c r="BB3486">
        <v>1200</v>
      </c>
      <c r="BC3486">
        <v>1</v>
      </c>
      <c r="BD3486" t="str">
        <f t="shared" si="1265"/>
        <v xml:space="preserve">N887QR  </v>
      </c>
      <c r="BE3486">
        <v>1</v>
      </c>
      <c r="BG3486">
        <v>0</v>
      </c>
      <c r="BH3486">
        <v>0</v>
      </c>
      <c r="BI3486">
        <v>0</v>
      </c>
      <c r="BJ3486">
        <v>4100</v>
      </c>
      <c r="BK3486">
        <v>-200</v>
      </c>
      <c r="BL3486" t="s">
        <v>163</v>
      </c>
      <c r="BM3486">
        <v>1</v>
      </c>
      <c r="BN3486">
        <v>1</v>
      </c>
      <c r="BO3486">
        <v>1</v>
      </c>
      <c r="BP3486">
        <v>0</v>
      </c>
      <c r="BS3486">
        <v>0</v>
      </c>
      <c r="BT3486">
        <v>0</v>
      </c>
      <c r="BU3486">
        <v>0</v>
      </c>
      <c r="CE3486" t="str">
        <f t="shared" si="1276"/>
        <v>19:34:56.463</v>
      </c>
      <c r="CF3486">
        <v>462715543</v>
      </c>
      <c r="CS3486">
        <v>0</v>
      </c>
      <c r="CT3486">
        <v>2</v>
      </c>
      <c r="CU3486">
        <v>0</v>
      </c>
      <c r="CV3486">
        <v>2</v>
      </c>
      <c r="CW3486">
        <v>0</v>
      </c>
      <c r="CX3486">
        <v>6</v>
      </c>
      <c r="CY3486">
        <v>7</v>
      </c>
      <c r="CZ3486" t="s">
        <v>131</v>
      </c>
      <c r="DA3486">
        <v>286</v>
      </c>
      <c r="DB3486">
        <v>0</v>
      </c>
      <c r="DC3486" t="s">
        <v>132</v>
      </c>
      <c r="DD3486" t="s">
        <v>133</v>
      </c>
      <c r="DG3486">
        <v>880674</v>
      </c>
      <c r="DI3486">
        <v>1</v>
      </c>
      <c r="DJ3486">
        <v>0</v>
      </c>
      <c r="DK3486">
        <v>1</v>
      </c>
      <c r="DL3486">
        <v>0</v>
      </c>
      <c r="DM3486">
        <v>0</v>
      </c>
      <c r="DN3486">
        <v>1</v>
      </c>
      <c r="DO3486">
        <v>0</v>
      </c>
      <c r="DP3486">
        <v>0</v>
      </c>
      <c r="DQ3486">
        <v>0</v>
      </c>
      <c r="DR3486">
        <v>0</v>
      </c>
      <c r="DS3486">
        <v>0</v>
      </c>
    </row>
    <row r="3487" spans="1:123" x14ac:dyDescent="0.3">
      <c r="A3487" t="str">
        <f t="shared" si="1274"/>
        <v>10/04/2022 19:34:57.043</v>
      </c>
      <c r="C3487" t="str">
        <f t="shared" si="1254"/>
        <v>FFDFD3C0</v>
      </c>
      <c r="D3487" t="s">
        <v>141</v>
      </c>
      <c r="E3487">
        <v>3</v>
      </c>
      <c r="H3487">
        <v>3</v>
      </c>
      <c r="I3487" t="s">
        <v>146</v>
      </c>
      <c r="J3487" t="s">
        <v>138</v>
      </c>
      <c r="K3487">
        <v>0</v>
      </c>
      <c r="L3487">
        <v>3</v>
      </c>
      <c r="M3487">
        <v>0</v>
      </c>
      <c r="N3487">
        <v>2</v>
      </c>
      <c r="O3487">
        <v>0</v>
      </c>
      <c r="P3487">
        <v>1</v>
      </c>
      <c r="Q3487">
        <v>0</v>
      </c>
      <c r="S3487" t="str">
        <f t="shared" si="1275"/>
        <v>19:34:56.000</v>
      </c>
      <c r="T3487" t="str">
        <f t="shared" si="1275"/>
        <v>19:34:56.000</v>
      </c>
      <c r="U3487" t="str">
        <f t="shared" si="1264"/>
        <v>AC3944</v>
      </c>
      <c r="V3487">
        <v>0</v>
      </c>
      <c r="W3487">
        <v>0</v>
      </c>
      <c r="X3487">
        <v>2</v>
      </c>
      <c r="Y3487">
        <v>0</v>
      </c>
      <c r="AA3487">
        <v>1</v>
      </c>
      <c r="AB3487">
        <v>8</v>
      </c>
      <c r="AC3487">
        <v>3</v>
      </c>
      <c r="AD3487">
        <v>0</v>
      </c>
      <c r="AE3487">
        <v>9</v>
      </c>
      <c r="AF3487" t="s">
        <v>138</v>
      </c>
      <c r="AG3487">
        <v>0</v>
      </c>
      <c r="AH3487">
        <v>3</v>
      </c>
      <c r="AI3487">
        <v>1</v>
      </c>
      <c r="AJ3487">
        <v>0</v>
      </c>
      <c r="AK3487" t="s">
        <v>1143</v>
      </c>
      <c r="AL3487">
        <v>32.732542000000002</v>
      </c>
      <c r="AM3487" t="s">
        <v>1144</v>
      </c>
      <c r="AN3487">
        <v>-116.736946</v>
      </c>
      <c r="AO3487">
        <v>25</v>
      </c>
      <c r="AP3487">
        <v>4300</v>
      </c>
      <c r="AQ3487" t="s">
        <v>129</v>
      </c>
      <c r="AR3487">
        <v>106</v>
      </c>
      <c r="AS3487">
        <v>49</v>
      </c>
      <c r="AT3487">
        <v>448</v>
      </c>
      <c r="BB3487">
        <v>1200</v>
      </c>
      <c r="BC3487">
        <v>1</v>
      </c>
      <c r="BD3487" t="str">
        <f t="shared" si="1265"/>
        <v xml:space="preserve">N887QR  </v>
      </c>
      <c r="BE3487">
        <v>1</v>
      </c>
      <c r="BG3487">
        <v>0</v>
      </c>
      <c r="BH3487">
        <v>0</v>
      </c>
      <c r="BI3487">
        <v>0</v>
      </c>
      <c r="BJ3487">
        <v>4100</v>
      </c>
      <c r="BK3487">
        <v>-200</v>
      </c>
      <c r="BL3487" t="s">
        <v>163</v>
      </c>
      <c r="BM3487">
        <v>1</v>
      </c>
      <c r="BN3487">
        <v>1</v>
      </c>
      <c r="BO3487">
        <v>1</v>
      </c>
      <c r="BP3487">
        <v>0</v>
      </c>
      <c r="BS3487">
        <v>0</v>
      </c>
      <c r="BT3487">
        <v>0</v>
      </c>
      <c r="BU3487">
        <v>0</v>
      </c>
      <c r="CE3487" t="str">
        <f t="shared" si="1276"/>
        <v>19:34:56.463</v>
      </c>
      <c r="CF3487">
        <v>462715543</v>
      </c>
      <c r="CS3487">
        <v>0</v>
      </c>
      <c r="CT3487">
        <v>2</v>
      </c>
      <c r="CU3487">
        <v>0</v>
      </c>
      <c r="CV3487">
        <v>2</v>
      </c>
      <c r="CW3487">
        <v>0</v>
      </c>
      <c r="CX3487">
        <v>6</v>
      </c>
      <c r="CY3487">
        <v>7</v>
      </c>
      <c r="CZ3487" t="s">
        <v>131</v>
      </c>
      <c r="DA3487">
        <v>286</v>
      </c>
      <c r="DB3487">
        <v>0</v>
      </c>
      <c r="DC3487" t="s">
        <v>132</v>
      </c>
      <c r="DD3487" t="s">
        <v>133</v>
      </c>
      <c r="DG3487">
        <v>880674</v>
      </c>
      <c r="DI3487">
        <v>1</v>
      </c>
      <c r="DJ3487">
        <v>0</v>
      </c>
      <c r="DK3487">
        <v>1</v>
      </c>
      <c r="DL3487">
        <v>0</v>
      </c>
      <c r="DM3487">
        <v>0</v>
      </c>
      <c r="DN3487">
        <v>1</v>
      </c>
      <c r="DO3487">
        <v>0</v>
      </c>
      <c r="DP3487">
        <v>0</v>
      </c>
      <c r="DQ3487">
        <v>0</v>
      </c>
      <c r="DR3487">
        <v>0</v>
      </c>
      <c r="DS3487">
        <v>0</v>
      </c>
    </row>
    <row r="3488" spans="1:123" x14ac:dyDescent="0.3">
      <c r="A3488" t="str">
        <f t="shared" si="1274"/>
        <v>10/04/2022 19:34:57.043</v>
      </c>
      <c r="C3488" t="str">
        <f t="shared" si="1254"/>
        <v>FFDFD3C0</v>
      </c>
      <c r="D3488" t="s">
        <v>134</v>
      </c>
      <c r="E3488">
        <v>15</v>
      </c>
      <c r="J3488" t="s">
        <v>135</v>
      </c>
      <c r="K3488">
        <v>0</v>
      </c>
      <c r="L3488">
        <v>3</v>
      </c>
      <c r="M3488">
        <v>0</v>
      </c>
      <c r="N3488">
        <v>2</v>
      </c>
      <c r="O3488">
        <v>0</v>
      </c>
      <c r="P3488">
        <v>1</v>
      </c>
      <c r="Q3488">
        <v>0</v>
      </c>
      <c r="S3488" t="str">
        <f t="shared" si="1275"/>
        <v>19:34:56.000</v>
      </c>
      <c r="T3488" t="str">
        <f t="shared" si="1275"/>
        <v>19:34:56.000</v>
      </c>
      <c r="U3488" t="str">
        <f t="shared" si="1264"/>
        <v>AC3944</v>
      </c>
      <c r="V3488">
        <v>0</v>
      </c>
      <c r="W3488">
        <v>0</v>
      </c>
      <c r="X3488">
        <v>2</v>
      </c>
      <c r="Y3488">
        <v>0</v>
      </c>
      <c r="AA3488">
        <v>1</v>
      </c>
      <c r="AB3488">
        <v>8</v>
      </c>
      <c r="AC3488">
        <v>3</v>
      </c>
      <c r="AD3488">
        <v>0</v>
      </c>
      <c r="AE3488">
        <v>9</v>
      </c>
      <c r="AF3488" t="s">
        <v>138</v>
      </c>
      <c r="AG3488">
        <v>0</v>
      </c>
      <c r="AH3488">
        <v>3</v>
      </c>
      <c r="AI3488">
        <v>1</v>
      </c>
      <c r="AJ3488">
        <v>0</v>
      </c>
      <c r="AK3488" t="s">
        <v>1143</v>
      </c>
      <c r="AL3488">
        <v>32.732542000000002</v>
      </c>
      <c r="AM3488" t="s">
        <v>1144</v>
      </c>
      <c r="AN3488">
        <v>-116.736946</v>
      </c>
      <c r="AO3488">
        <v>25</v>
      </c>
      <c r="AP3488">
        <v>4300</v>
      </c>
      <c r="AQ3488" t="s">
        <v>129</v>
      </c>
      <c r="AR3488">
        <v>106</v>
      </c>
      <c r="AS3488">
        <v>49</v>
      </c>
      <c r="AT3488">
        <v>448</v>
      </c>
      <c r="BB3488">
        <v>1200</v>
      </c>
      <c r="BC3488">
        <v>1</v>
      </c>
      <c r="BD3488" t="str">
        <f t="shared" si="1265"/>
        <v xml:space="preserve">N887QR  </v>
      </c>
      <c r="BE3488">
        <v>1</v>
      </c>
      <c r="BG3488">
        <v>0</v>
      </c>
      <c r="BH3488">
        <v>0</v>
      </c>
      <c r="BI3488">
        <v>0</v>
      </c>
      <c r="BJ3488">
        <v>4100</v>
      </c>
      <c r="BK3488">
        <v>-200</v>
      </c>
      <c r="BL3488" t="s">
        <v>163</v>
      </c>
      <c r="BM3488">
        <v>1</v>
      </c>
      <c r="BN3488">
        <v>1</v>
      </c>
      <c r="BO3488">
        <v>1</v>
      </c>
      <c r="BP3488">
        <v>0</v>
      </c>
      <c r="BS3488">
        <v>0</v>
      </c>
      <c r="BT3488">
        <v>0</v>
      </c>
      <c r="BU3488">
        <v>0</v>
      </c>
      <c r="CE3488" t="str">
        <f t="shared" si="1276"/>
        <v>19:34:56.463</v>
      </c>
      <c r="CF3488">
        <v>462715543</v>
      </c>
      <c r="CS3488">
        <v>0</v>
      </c>
      <c r="CT3488">
        <v>2</v>
      </c>
      <c r="CU3488">
        <v>0</v>
      </c>
      <c r="CV3488">
        <v>2</v>
      </c>
      <c r="CW3488">
        <v>0</v>
      </c>
      <c r="CX3488">
        <v>6</v>
      </c>
      <c r="CY3488">
        <v>7</v>
      </c>
      <c r="CZ3488" t="s">
        <v>131</v>
      </c>
      <c r="DA3488">
        <v>286</v>
      </c>
      <c r="DB3488">
        <v>0</v>
      </c>
      <c r="DC3488" t="s">
        <v>132</v>
      </c>
      <c r="DD3488" t="s">
        <v>133</v>
      </c>
      <c r="DG3488">
        <v>880674</v>
      </c>
      <c r="DI3488">
        <v>1</v>
      </c>
      <c r="DJ3488">
        <v>0</v>
      </c>
      <c r="DK3488">
        <v>1</v>
      </c>
      <c r="DL3488">
        <v>0</v>
      </c>
      <c r="DM3488">
        <v>0</v>
      </c>
      <c r="DN3488">
        <v>1</v>
      </c>
      <c r="DO3488">
        <v>0</v>
      </c>
      <c r="DP3488">
        <v>0</v>
      </c>
      <c r="DQ3488">
        <v>0</v>
      </c>
      <c r="DR3488">
        <v>0</v>
      </c>
      <c r="DS3488">
        <v>0</v>
      </c>
    </row>
    <row r="3489" spans="1:123" x14ac:dyDescent="0.3">
      <c r="A3489" t="str">
        <f t="shared" si="1274"/>
        <v>10/04/2022 19:34:57.043</v>
      </c>
      <c r="C3489" t="str">
        <f t="shared" si="1254"/>
        <v>FFDFD3C0</v>
      </c>
      <c r="D3489" t="s">
        <v>147</v>
      </c>
      <c r="E3489">
        <v>3</v>
      </c>
      <c r="H3489">
        <v>166</v>
      </c>
      <c r="I3489" t="s">
        <v>144</v>
      </c>
      <c r="J3489" t="s">
        <v>148</v>
      </c>
      <c r="K3489">
        <v>0</v>
      </c>
      <c r="L3489">
        <v>3</v>
      </c>
      <c r="M3489">
        <v>0</v>
      </c>
      <c r="N3489">
        <v>2</v>
      </c>
      <c r="O3489">
        <v>0</v>
      </c>
      <c r="P3489">
        <v>1</v>
      </c>
      <c r="Q3489">
        <v>0</v>
      </c>
      <c r="S3489" t="str">
        <f t="shared" si="1275"/>
        <v>19:34:56.000</v>
      </c>
      <c r="T3489" t="str">
        <f t="shared" si="1275"/>
        <v>19:34:56.000</v>
      </c>
      <c r="U3489" t="str">
        <f t="shared" si="1264"/>
        <v>AC3944</v>
      </c>
      <c r="V3489">
        <v>0</v>
      </c>
      <c r="W3489">
        <v>0</v>
      </c>
      <c r="X3489">
        <v>2</v>
      </c>
      <c r="Y3489">
        <v>0</v>
      </c>
      <c r="AA3489">
        <v>1</v>
      </c>
      <c r="AB3489">
        <v>8</v>
      </c>
      <c r="AC3489">
        <v>3</v>
      </c>
      <c r="AD3489">
        <v>0</v>
      </c>
      <c r="AE3489">
        <v>9</v>
      </c>
      <c r="AF3489" t="s">
        <v>138</v>
      </c>
      <c r="AG3489">
        <v>0</v>
      </c>
      <c r="AH3489">
        <v>3</v>
      </c>
      <c r="AI3489">
        <v>1</v>
      </c>
      <c r="AJ3489">
        <v>0</v>
      </c>
      <c r="AK3489" t="s">
        <v>1143</v>
      </c>
      <c r="AL3489">
        <v>32.732542000000002</v>
      </c>
      <c r="AM3489" t="s">
        <v>1144</v>
      </c>
      <c r="AN3489">
        <v>-116.736946</v>
      </c>
      <c r="AO3489">
        <v>25</v>
      </c>
      <c r="AP3489">
        <v>4300</v>
      </c>
      <c r="AQ3489" t="s">
        <v>129</v>
      </c>
      <c r="AR3489">
        <v>106</v>
      </c>
      <c r="AS3489">
        <v>49</v>
      </c>
      <c r="AT3489">
        <v>448</v>
      </c>
      <c r="BB3489">
        <v>1200</v>
      </c>
      <c r="BC3489">
        <v>1</v>
      </c>
      <c r="BD3489" t="str">
        <f t="shared" si="1265"/>
        <v xml:space="preserve">N887QR  </v>
      </c>
      <c r="BE3489">
        <v>1</v>
      </c>
      <c r="BG3489">
        <v>0</v>
      </c>
      <c r="BH3489">
        <v>0</v>
      </c>
      <c r="BI3489">
        <v>0</v>
      </c>
      <c r="BJ3489">
        <v>4100</v>
      </c>
      <c r="BK3489">
        <v>-200</v>
      </c>
      <c r="BL3489" t="s">
        <v>163</v>
      </c>
      <c r="BM3489">
        <v>1</v>
      </c>
      <c r="BN3489">
        <v>1</v>
      </c>
      <c r="BO3489">
        <v>1</v>
      </c>
      <c r="BP3489">
        <v>0</v>
      </c>
      <c r="BS3489">
        <v>0</v>
      </c>
      <c r="BT3489">
        <v>0</v>
      </c>
      <c r="BU3489">
        <v>0</v>
      </c>
      <c r="CE3489" t="str">
        <f t="shared" si="1276"/>
        <v>19:34:56.463</v>
      </c>
      <c r="CF3489">
        <v>462715543</v>
      </c>
      <c r="CS3489">
        <v>0</v>
      </c>
      <c r="CT3489">
        <v>2</v>
      </c>
      <c r="CU3489">
        <v>0</v>
      </c>
      <c r="CV3489">
        <v>2</v>
      </c>
      <c r="CW3489">
        <v>0</v>
      </c>
      <c r="CX3489">
        <v>6</v>
      </c>
      <c r="CY3489">
        <v>7</v>
      </c>
      <c r="CZ3489" t="s">
        <v>131</v>
      </c>
      <c r="DA3489">
        <v>286</v>
      </c>
      <c r="DB3489">
        <v>0</v>
      </c>
      <c r="DC3489" t="s">
        <v>132</v>
      </c>
      <c r="DD3489" t="s">
        <v>133</v>
      </c>
      <c r="DG3489">
        <v>880674</v>
      </c>
      <c r="DI3489">
        <v>1</v>
      </c>
      <c r="DJ3489">
        <v>0</v>
      </c>
      <c r="DK3489">
        <v>1</v>
      </c>
      <c r="DL3489">
        <v>0</v>
      </c>
      <c r="DM3489">
        <v>0</v>
      </c>
      <c r="DN3489">
        <v>1</v>
      </c>
      <c r="DO3489">
        <v>0</v>
      </c>
      <c r="DP3489">
        <v>0</v>
      </c>
      <c r="DQ3489">
        <v>0</v>
      </c>
      <c r="DR3489">
        <v>0</v>
      </c>
      <c r="DS3489">
        <v>0</v>
      </c>
    </row>
    <row r="3490" spans="1:123" x14ac:dyDescent="0.3">
      <c r="A3490" t="str">
        <f t="shared" si="1274"/>
        <v>10/04/2022 19:34:57.043</v>
      </c>
      <c r="C3490" t="str">
        <f t="shared" si="1254"/>
        <v>FFDFD3C0</v>
      </c>
      <c r="D3490" t="s">
        <v>141</v>
      </c>
      <c r="E3490">
        <v>4</v>
      </c>
      <c r="H3490">
        <v>4</v>
      </c>
      <c r="I3490" t="s">
        <v>142</v>
      </c>
      <c r="J3490" t="s">
        <v>138</v>
      </c>
      <c r="K3490">
        <v>0</v>
      </c>
      <c r="L3490">
        <v>3</v>
      </c>
      <c r="M3490">
        <v>0</v>
      </c>
      <c r="N3490">
        <v>2</v>
      </c>
      <c r="O3490">
        <v>0</v>
      </c>
      <c r="P3490">
        <v>1</v>
      </c>
      <c r="Q3490">
        <v>0</v>
      </c>
      <c r="S3490" t="str">
        <f t="shared" si="1275"/>
        <v>19:34:56.000</v>
      </c>
      <c r="T3490" t="str">
        <f t="shared" si="1275"/>
        <v>19:34:56.000</v>
      </c>
      <c r="U3490" t="str">
        <f t="shared" si="1264"/>
        <v>AC3944</v>
      </c>
      <c r="V3490">
        <v>0</v>
      </c>
      <c r="W3490">
        <v>0</v>
      </c>
      <c r="X3490">
        <v>2</v>
      </c>
      <c r="Y3490">
        <v>0</v>
      </c>
      <c r="AA3490">
        <v>1</v>
      </c>
      <c r="AB3490">
        <v>8</v>
      </c>
      <c r="AC3490">
        <v>3</v>
      </c>
      <c r="AD3490">
        <v>0</v>
      </c>
      <c r="AE3490">
        <v>9</v>
      </c>
      <c r="AF3490" t="s">
        <v>138</v>
      </c>
      <c r="AG3490">
        <v>0</v>
      </c>
      <c r="AH3490">
        <v>3</v>
      </c>
      <c r="AI3490">
        <v>1</v>
      </c>
      <c r="AJ3490">
        <v>0</v>
      </c>
      <c r="AK3490" t="s">
        <v>1143</v>
      </c>
      <c r="AL3490">
        <v>32.732542000000002</v>
      </c>
      <c r="AM3490" t="s">
        <v>1144</v>
      </c>
      <c r="AN3490">
        <v>-116.736946</v>
      </c>
      <c r="AO3490">
        <v>25</v>
      </c>
      <c r="AP3490">
        <v>4300</v>
      </c>
      <c r="AQ3490" t="s">
        <v>129</v>
      </c>
      <c r="AR3490">
        <v>106</v>
      </c>
      <c r="AS3490">
        <v>49</v>
      </c>
      <c r="AT3490">
        <v>448</v>
      </c>
      <c r="BB3490">
        <v>1200</v>
      </c>
      <c r="BC3490">
        <v>1</v>
      </c>
      <c r="BD3490" t="str">
        <f t="shared" si="1265"/>
        <v xml:space="preserve">N887QR  </v>
      </c>
      <c r="BE3490">
        <v>1</v>
      </c>
      <c r="BG3490">
        <v>0</v>
      </c>
      <c r="BH3490">
        <v>0</v>
      </c>
      <c r="BI3490">
        <v>0</v>
      </c>
      <c r="BJ3490">
        <v>4100</v>
      </c>
      <c r="BK3490">
        <v>-200</v>
      </c>
      <c r="BL3490" t="s">
        <v>163</v>
      </c>
      <c r="BM3490">
        <v>1</v>
      </c>
      <c r="BN3490">
        <v>1</v>
      </c>
      <c r="BO3490">
        <v>1</v>
      </c>
      <c r="BP3490">
        <v>0</v>
      </c>
      <c r="BS3490">
        <v>0</v>
      </c>
      <c r="BT3490">
        <v>0</v>
      </c>
      <c r="BU3490">
        <v>0</v>
      </c>
      <c r="CE3490" t="str">
        <f t="shared" si="1276"/>
        <v>19:34:56.463</v>
      </c>
      <c r="CF3490">
        <v>462715543</v>
      </c>
      <c r="CS3490">
        <v>0</v>
      </c>
      <c r="CT3490">
        <v>2</v>
      </c>
      <c r="CU3490">
        <v>0</v>
      </c>
      <c r="CV3490">
        <v>2</v>
      </c>
      <c r="CW3490">
        <v>0</v>
      </c>
      <c r="CX3490">
        <v>6</v>
      </c>
      <c r="CY3490">
        <v>7</v>
      </c>
      <c r="CZ3490" t="s">
        <v>131</v>
      </c>
      <c r="DA3490">
        <v>286</v>
      </c>
      <c r="DB3490">
        <v>0</v>
      </c>
      <c r="DC3490" t="s">
        <v>132</v>
      </c>
      <c r="DD3490" t="s">
        <v>133</v>
      </c>
      <c r="DG3490">
        <v>880674</v>
      </c>
      <c r="DI3490">
        <v>1</v>
      </c>
      <c r="DJ3490">
        <v>0</v>
      </c>
      <c r="DK3490">
        <v>0</v>
      </c>
      <c r="DL3490">
        <v>0</v>
      </c>
      <c r="DM3490">
        <v>0</v>
      </c>
      <c r="DN3490">
        <v>1</v>
      </c>
      <c r="DO3490">
        <v>0</v>
      </c>
      <c r="DP3490">
        <v>0</v>
      </c>
      <c r="DQ3490">
        <v>0</v>
      </c>
      <c r="DR3490">
        <v>0</v>
      </c>
      <c r="DS3490">
        <v>0</v>
      </c>
    </row>
    <row r="3491" spans="1:123" x14ac:dyDescent="0.3">
      <c r="A3491" t="str">
        <f>"10/04/2022 19:34:57.527"</f>
        <v>10/04/2022 19:34:57.527</v>
      </c>
      <c r="C3491" t="str">
        <f t="shared" si="1254"/>
        <v>FFDFD3C0</v>
      </c>
      <c r="D3491" t="s">
        <v>136</v>
      </c>
      <c r="E3491">
        <v>8</v>
      </c>
      <c r="H3491">
        <v>225</v>
      </c>
      <c r="I3491" t="s">
        <v>137</v>
      </c>
      <c r="J3491" t="s">
        <v>138</v>
      </c>
      <c r="K3491">
        <v>0</v>
      </c>
      <c r="L3491">
        <v>3</v>
      </c>
      <c r="M3491">
        <v>0</v>
      </c>
      <c r="N3491">
        <v>2</v>
      </c>
      <c r="O3491">
        <v>0</v>
      </c>
      <c r="P3491">
        <v>1</v>
      </c>
      <c r="Q3491">
        <v>0</v>
      </c>
      <c r="S3491" t="str">
        <f t="shared" ref="S3491:T3497" si="1277">"19:34:57.000"</f>
        <v>19:34:57.000</v>
      </c>
      <c r="T3491" t="str">
        <f t="shared" si="1277"/>
        <v>19:34:57.000</v>
      </c>
      <c r="U3491" t="str">
        <f t="shared" si="1264"/>
        <v>AC3944</v>
      </c>
      <c r="V3491">
        <v>0</v>
      </c>
      <c r="W3491">
        <v>0</v>
      </c>
      <c r="X3491">
        <v>2</v>
      </c>
      <c r="Y3491">
        <v>0</v>
      </c>
      <c r="AA3491">
        <v>1</v>
      </c>
      <c r="AB3491">
        <v>8</v>
      </c>
      <c r="AC3491">
        <v>3</v>
      </c>
      <c r="AD3491">
        <v>0</v>
      </c>
      <c r="AE3491">
        <v>9</v>
      </c>
      <c r="AF3491" t="s">
        <v>138</v>
      </c>
      <c r="AG3491">
        <v>0</v>
      </c>
      <c r="AH3491">
        <v>3</v>
      </c>
      <c r="AI3491">
        <v>1</v>
      </c>
      <c r="AJ3491">
        <v>0</v>
      </c>
      <c r="AK3491" t="s">
        <v>1145</v>
      </c>
      <c r="AL3491">
        <v>32.732778000000003</v>
      </c>
      <c r="AM3491" t="s">
        <v>1146</v>
      </c>
      <c r="AN3491">
        <v>-116.736367</v>
      </c>
      <c r="AO3491">
        <v>25</v>
      </c>
      <c r="AP3491">
        <v>4300</v>
      </c>
      <c r="AQ3491" t="s">
        <v>129</v>
      </c>
      <c r="AR3491">
        <v>106</v>
      </c>
      <c r="AS3491">
        <v>49</v>
      </c>
      <c r="AT3491">
        <v>448</v>
      </c>
      <c r="BB3491">
        <v>1200</v>
      </c>
      <c r="BC3491">
        <v>1</v>
      </c>
      <c r="BD3491" t="str">
        <f t="shared" si="1265"/>
        <v xml:space="preserve">N887QR  </v>
      </c>
      <c r="BE3491">
        <v>1</v>
      </c>
      <c r="BG3491">
        <v>0</v>
      </c>
      <c r="BH3491">
        <v>0</v>
      </c>
      <c r="BI3491">
        <v>0</v>
      </c>
      <c r="BJ3491">
        <v>4100</v>
      </c>
      <c r="BK3491">
        <v>-200</v>
      </c>
      <c r="BL3491" t="s">
        <v>163</v>
      </c>
      <c r="BM3491">
        <v>1</v>
      </c>
      <c r="BN3491">
        <v>1</v>
      </c>
      <c r="BO3491">
        <v>1</v>
      </c>
      <c r="BP3491">
        <v>0</v>
      </c>
      <c r="BS3491">
        <v>0</v>
      </c>
      <c r="BT3491">
        <v>0</v>
      </c>
      <c r="BU3491">
        <v>0</v>
      </c>
      <c r="CE3491" t="str">
        <f t="shared" ref="CE3491:CE3497" si="1278">"19:34:57.299"</f>
        <v>19:34:57.299</v>
      </c>
      <c r="CF3491">
        <v>299282533</v>
      </c>
      <c r="CS3491">
        <v>0</v>
      </c>
      <c r="CT3491">
        <v>2</v>
      </c>
      <c r="CU3491">
        <v>0</v>
      </c>
      <c r="CV3491">
        <v>2</v>
      </c>
      <c r="CW3491">
        <v>0</v>
      </c>
      <c r="CX3491">
        <v>5</v>
      </c>
      <c r="CY3491">
        <v>7</v>
      </c>
      <c r="CZ3491" t="s">
        <v>131</v>
      </c>
      <c r="DA3491">
        <v>300</v>
      </c>
      <c r="DB3491">
        <v>0</v>
      </c>
      <c r="DC3491" t="s">
        <v>176</v>
      </c>
      <c r="DD3491" t="s">
        <v>177</v>
      </c>
      <c r="DG3491">
        <v>5440181</v>
      </c>
      <c r="DI3491">
        <v>1</v>
      </c>
      <c r="DJ3491">
        <v>0</v>
      </c>
      <c r="DK3491">
        <v>0</v>
      </c>
      <c r="DL3491">
        <v>0</v>
      </c>
      <c r="DM3491">
        <v>0</v>
      </c>
      <c r="DN3491">
        <v>1</v>
      </c>
      <c r="DO3491">
        <v>0</v>
      </c>
      <c r="DP3491">
        <v>0</v>
      </c>
      <c r="DQ3491">
        <v>0</v>
      </c>
      <c r="DR3491">
        <v>0</v>
      </c>
      <c r="DS3491">
        <v>0</v>
      </c>
    </row>
    <row r="3492" spans="1:123" x14ac:dyDescent="0.3">
      <c r="A3492" t="str">
        <f>"10/04/2022 19:34:57.527"</f>
        <v>10/04/2022 19:34:57.527</v>
      </c>
      <c r="C3492" t="str">
        <f t="shared" si="1254"/>
        <v>FFDFD3C0</v>
      </c>
      <c r="D3492" t="s">
        <v>123</v>
      </c>
      <c r="E3492">
        <v>7</v>
      </c>
      <c r="F3492">
        <v>2007</v>
      </c>
      <c r="G3492" t="s">
        <v>124</v>
      </c>
      <c r="J3492" t="s">
        <v>125</v>
      </c>
      <c r="K3492">
        <v>0</v>
      </c>
      <c r="L3492">
        <v>3</v>
      </c>
      <c r="M3492">
        <v>0</v>
      </c>
      <c r="N3492">
        <v>2</v>
      </c>
      <c r="O3492">
        <v>0</v>
      </c>
      <c r="P3492">
        <v>1</v>
      </c>
      <c r="Q3492">
        <v>0</v>
      </c>
      <c r="S3492" t="str">
        <f t="shared" si="1277"/>
        <v>19:34:57.000</v>
      </c>
      <c r="T3492" t="str">
        <f t="shared" si="1277"/>
        <v>19:34:57.000</v>
      </c>
      <c r="U3492" t="str">
        <f t="shared" si="1264"/>
        <v>AC3944</v>
      </c>
      <c r="V3492">
        <v>0</v>
      </c>
      <c r="W3492">
        <v>0</v>
      </c>
      <c r="X3492">
        <v>2</v>
      </c>
      <c r="Y3492">
        <v>0</v>
      </c>
      <c r="AA3492">
        <v>1</v>
      </c>
      <c r="AB3492">
        <v>8</v>
      </c>
      <c r="AC3492">
        <v>3</v>
      </c>
      <c r="AD3492">
        <v>0</v>
      </c>
      <c r="AE3492">
        <v>9</v>
      </c>
      <c r="AF3492" t="s">
        <v>138</v>
      </c>
      <c r="AG3492">
        <v>0</v>
      </c>
      <c r="AH3492">
        <v>3</v>
      </c>
      <c r="AI3492">
        <v>1</v>
      </c>
      <c r="AJ3492">
        <v>0</v>
      </c>
      <c r="AK3492" t="s">
        <v>1145</v>
      </c>
      <c r="AL3492">
        <v>32.732778000000003</v>
      </c>
      <c r="AM3492" t="s">
        <v>1146</v>
      </c>
      <c r="AN3492">
        <v>-116.736367</v>
      </c>
      <c r="AO3492">
        <v>25</v>
      </c>
      <c r="AP3492">
        <v>4300</v>
      </c>
      <c r="AQ3492" t="s">
        <v>129</v>
      </c>
      <c r="AR3492">
        <v>106</v>
      </c>
      <c r="AS3492">
        <v>49</v>
      </c>
      <c r="AT3492">
        <v>448</v>
      </c>
      <c r="BB3492">
        <v>1200</v>
      </c>
      <c r="BC3492">
        <v>1</v>
      </c>
      <c r="BD3492" t="str">
        <f t="shared" si="1265"/>
        <v xml:space="preserve">N887QR  </v>
      </c>
      <c r="BE3492">
        <v>1</v>
      </c>
      <c r="BG3492">
        <v>0</v>
      </c>
      <c r="BH3492">
        <v>0</v>
      </c>
      <c r="BI3492">
        <v>0</v>
      </c>
      <c r="BJ3492">
        <v>4100</v>
      </c>
      <c r="BK3492">
        <v>-200</v>
      </c>
      <c r="BL3492" t="s">
        <v>163</v>
      </c>
      <c r="BM3492">
        <v>1</v>
      </c>
      <c r="BN3492">
        <v>1</v>
      </c>
      <c r="BO3492">
        <v>1</v>
      </c>
      <c r="BP3492">
        <v>0</v>
      </c>
      <c r="BS3492">
        <v>0</v>
      </c>
      <c r="BT3492">
        <v>0</v>
      </c>
      <c r="BU3492">
        <v>0</v>
      </c>
      <c r="CE3492" t="str">
        <f t="shared" si="1278"/>
        <v>19:34:57.299</v>
      </c>
      <c r="CF3492">
        <v>299282533</v>
      </c>
      <c r="CS3492">
        <v>0</v>
      </c>
      <c r="CT3492">
        <v>2</v>
      </c>
      <c r="CU3492">
        <v>0</v>
      </c>
      <c r="CV3492">
        <v>2</v>
      </c>
      <c r="CW3492">
        <v>0</v>
      </c>
      <c r="CX3492">
        <v>5</v>
      </c>
      <c r="CY3492">
        <v>7</v>
      </c>
      <c r="CZ3492" t="s">
        <v>131</v>
      </c>
      <c r="DA3492">
        <v>300</v>
      </c>
      <c r="DB3492">
        <v>0</v>
      </c>
      <c r="DC3492" t="s">
        <v>176</v>
      </c>
      <c r="DD3492" t="s">
        <v>177</v>
      </c>
      <c r="DG3492">
        <v>5440181</v>
      </c>
      <c r="DI3492">
        <v>1</v>
      </c>
      <c r="DJ3492">
        <v>0</v>
      </c>
      <c r="DK3492">
        <v>1</v>
      </c>
      <c r="DL3492">
        <v>0</v>
      </c>
      <c r="DM3492">
        <v>0</v>
      </c>
      <c r="DN3492">
        <v>1</v>
      </c>
      <c r="DO3492">
        <v>0</v>
      </c>
      <c r="DP3492">
        <v>0</v>
      </c>
      <c r="DQ3492">
        <v>0</v>
      </c>
      <c r="DR3492">
        <v>0</v>
      </c>
      <c r="DS3492">
        <v>0</v>
      </c>
    </row>
    <row r="3493" spans="1:123" x14ac:dyDescent="0.3">
      <c r="A3493" t="str">
        <f>"10/04/2022 19:34:57.590"</f>
        <v>10/04/2022 19:34:57.590</v>
      </c>
      <c r="C3493" t="str">
        <f t="shared" si="1254"/>
        <v>FFDFD3C0</v>
      </c>
      <c r="D3493" t="s">
        <v>147</v>
      </c>
      <c r="E3493">
        <v>3</v>
      </c>
      <c r="H3493">
        <v>166</v>
      </c>
      <c r="I3493" t="s">
        <v>144</v>
      </c>
      <c r="J3493" t="s">
        <v>148</v>
      </c>
      <c r="K3493">
        <v>0</v>
      </c>
      <c r="L3493">
        <v>3</v>
      </c>
      <c r="M3493">
        <v>0</v>
      </c>
      <c r="N3493">
        <v>2</v>
      </c>
      <c r="O3493">
        <v>0</v>
      </c>
      <c r="P3493">
        <v>1</v>
      </c>
      <c r="Q3493">
        <v>0</v>
      </c>
      <c r="S3493" t="str">
        <f t="shared" si="1277"/>
        <v>19:34:57.000</v>
      </c>
      <c r="T3493" t="str">
        <f t="shared" si="1277"/>
        <v>19:34:57.000</v>
      </c>
      <c r="U3493" t="str">
        <f t="shared" si="1264"/>
        <v>AC3944</v>
      </c>
      <c r="V3493">
        <v>0</v>
      </c>
      <c r="W3493">
        <v>0</v>
      </c>
      <c r="X3493">
        <v>2</v>
      </c>
      <c r="Y3493">
        <v>0</v>
      </c>
      <c r="AA3493">
        <v>1</v>
      </c>
      <c r="AB3493">
        <v>8</v>
      </c>
      <c r="AC3493">
        <v>3</v>
      </c>
      <c r="AD3493">
        <v>0</v>
      </c>
      <c r="AE3493">
        <v>9</v>
      </c>
      <c r="AF3493" t="s">
        <v>138</v>
      </c>
      <c r="AG3493">
        <v>0</v>
      </c>
      <c r="AH3493">
        <v>3</v>
      </c>
      <c r="AI3493">
        <v>1</v>
      </c>
      <c r="AJ3493">
        <v>0</v>
      </c>
      <c r="AK3493" t="s">
        <v>1145</v>
      </c>
      <c r="AL3493">
        <v>32.732778000000003</v>
      </c>
      <c r="AM3493" t="s">
        <v>1146</v>
      </c>
      <c r="AN3493">
        <v>-116.736367</v>
      </c>
      <c r="AO3493">
        <v>25</v>
      </c>
      <c r="AP3493">
        <v>4300</v>
      </c>
      <c r="AQ3493" t="s">
        <v>129</v>
      </c>
      <c r="AR3493">
        <v>106</v>
      </c>
      <c r="AS3493">
        <v>49</v>
      </c>
      <c r="AT3493">
        <v>448</v>
      </c>
      <c r="BB3493">
        <v>1200</v>
      </c>
      <c r="BC3493">
        <v>1</v>
      </c>
      <c r="BD3493" t="str">
        <f t="shared" si="1265"/>
        <v xml:space="preserve">N887QR  </v>
      </c>
      <c r="BE3493">
        <v>1</v>
      </c>
      <c r="BG3493">
        <v>0</v>
      </c>
      <c r="BH3493">
        <v>0</v>
      </c>
      <c r="BI3493">
        <v>0</v>
      </c>
      <c r="BJ3493">
        <v>4100</v>
      </c>
      <c r="BK3493">
        <v>-200</v>
      </c>
      <c r="BL3493" t="s">
        <v>163</v>
      </c>
      <c r="BM3493">
        <v>1</v>
      </c>
      <c r="BN3493">
        <v>1</v>
      </c>
      <c r="BO3493">
        <v>1</v>
      </c>
      <c r="BP3493">
        <v>0</v>
      </c>
      <c r="BS3493">
        <v>0</v>
      </c>
      <c r="BT3493">
        <v>0</v>
      </c>
      <c r="BU3493">
        <v>0</v>
      </c>
      <c r="CE3493" t="str">
        <f t="shared" si="1278"/>
        <v>19:34:57.299</v>
      </c>
      <c r="CF3493">
        <v>299282533</v>
      </c>
      <c r="CS3493">
        <v>0</v>
      </c>
      <c r="CT3493">
        <v>2</v>
      </c>
      <c r="CU3493">
        <v>0</v>
      </c>
      <c r="CV3493">
        <v>2</v>
      </c>
      <c r="CW3493">
        <v>0</v>
      </c>
      <c r="CX3493">
        <v>5</v>
      </c>
      <c r="CY3493">
        <v>7</v>
      </c>
      <c r="CZ3493" t="s">
        <v>131</v>
      </c>
      <c r="DA3493">
        <v>300</v>
      </c>
      <c r="DB3493">
        <v>0</v>
      </c>
      <c r="DC3493" t="s">
        <v>176</v>
      </c>
      <c r="DD3493" t="s">
        <v>177</v>
      </c>
      <c r="DG3493">
        <v>5440181</v>
      </c>
      <c r="DI3493">
        <v>1</v>
      </c>
      <c r="DJ3493">
        <v>0</v>
      </c>
      <c r="DK3493">
        <v>1</v>
      </c>
      <c r="DL3493">
        <v>0</v>
      </c>
      <c r="DM3493">
        <v>0</v>
      </c>
      <c r="DN3493">
        <v>1</v>
      </c>
      <c r="DO3493">
        <v>0</v>
      </c>
      <c r="DP3493">
        <v>0</v>
      </c>
      <c r="DQ3493">
        <v>0</v>
      </c>
      <c r="DR3493">
        <v>0</v>
      </c>
      <c r="DS3493">
        <v>0</v>
      </c>
    </row>
    <row r="3494" spans="1:123" x14ac:dyDescent="0.3">
      <c r="A3494" t="str">
        <f>"10/04/2022 19:34:57.668"</f>
        <v>10/04/2022 19:34:57.668</v>
      </c>
      <c r="C3494" t="str">
        <f t="shared" si="1254"/>
        <v>FFDFD3C0</v>
      </c>
      <c r="D3494" t="s">
        <v>141</v>
      </c>
      <c r="E3494">
        <v>3</v>
      </c>
      <c r="H3494">
        <v>3</v>
      </c>
      <c r="I3494" t="s">
        <v>146</v>
      </c>
      <c r="J3494" t="s">
        <v>138</v>
      </c>
      <c r="K3494">
        <v>0</v>
      </c>
      <c r="L3494">
        <v>3</v>
      </c>
      <c r="M3494">
        <v>0</v>
      </c>
      <c r="N3494">
        <v>2</v>
      </c>
      <c r="O3494">
        <v>0</v>
      </c>
      <c r="P3494">
        <v>1</v>
      </c>
      <c r="Q3494">
        <v>0</v>
      </c>
      <c r="S3494" t="str">
        <f t="shared" si="1277"/>
        <v>19:34:57.000</v>
      </c>
      <c r="T3494" t="str">
        <f t="shared" si="1277"/>
        <v>19:34:57.000</v>
      </c>
      <c r="U3494" t="str">
        <f t="shared" si="1264"/>
        <v>AC3944</v>
      </c>
      <c r="V3494">
        <v>0</v>
      </c>
      <c r="W3494">
        <v>0</v>
      </c>
      <c r="X3494">
        <v>2</v>
      </c>
      <c r="Y3494">
        <v>0</v>
      </c>
      <c r="AA3494">
        <v>1</v>
      </c>
      <c r="AB3494">
        <v>8</v>
      </c>
      <c r="AC3494">
        <v>3</v>
      </c>
      <c r="AD3494">
        <v>0</v>
      </c>
      <c r="AE3494">
        <v>9</v>
      </c>
      <c r="AF3494" t="s">
        <v>138</v>
      </c>
      <c r="AG3494">
        <v>0</v>
      </c>
      <c r="AH3494">
        <v>3</v>
      </c>
      <c r="AI3494">
        <v>1</v>
      </c>
      <c r="AJ3494">
        <v>0</v>
      </c>
      <c r="AK3494" t="s">
        <v>1145</v>
      </c>
      <c r="AL3494">
        <v>32.732778000000003</v>
      </c>
      <c r="AM3494" t="s">
        <v>1146</v>
      </c>
      <c r="AN3494">
        <v>-116.736367</v>
      </c>
      <c r="AO3494">
        <v>25</v>
      </c>
      <c r="AP3494">
        <v>4300</v>
      </c>
      <c r="AQ3494" t="s">
        <v>129</v>
      </c>
      <c r="AR3494">
        <v>106</v>
      </c>
      <c r="AS3494">
        <v>49</v>
      </c>
      <c r="AT3494">
        <v>448</v>
      </c>
      <c r="BB3494">
        <v>1200</v>
      </c>
      <c r="BC3494">
        <v>1</v>
      </c>
      <c r="BD3494" t="str">
        <f t="shared" si="1265"/>
        <v xml:space="preserve">N887QR  </v>
      </c>
      <c r="BE3494">
        <v>1</v>
      </c>
      <c r="BG3494">
        <v>0</v>
      </c>
      <c r="BH3494">
        <v>0</v>
      </c>
      <c r="BI3494">
        <v>0</v>
      </c>
      <c r="BJ3494">
        <v>4100</v>
      </c>
      <c r="BK3494">
        <v>-200</v>
      </c>
      <c r="BL3494" t="s">
        <v>163</v>
      </c>
      <c r="BM3494">
        <v>1</v>
      </c>
      <c r="BN3494">
        <v>1</v>
      </c>
      <c r="BO3494">
        <v>1</v>
      </c>
      <c r="BP3494">
        <v>0</v>
      </c>
      <c r="BS3494">
        <v>0</v>
      </c>
      <c r="BT3494">
        <v>0</v>
      </c>
      <c r="BU3494">
        <v>0</v>
      </c>
      <c r="CE3494" t="str">
        <f t="shared" si="1278"/>
        <v>19:34:57.299</v>
      </c>
      <c r="CF3494">
        <v>299282533</v>
      </c>
      <c r="CS3494">
        <v>0</v>
      </c>
      <c r="CT3494">
        <v>2</v>
      </c>
      <c r="CU3494">
        <v>0</v>
      </c>
      <c r="CV3494">
        <v>2</v>
      </c>
      <c r="CW3494">
        <v>0</v>
      </c>
      <c r="CX3494">
        <v>5</v>
      </c>
      <c r="CY3494">
        <v>7</v>
      </c>
      <c r="CZ3494" t="s">
        <v>131</v>
      </c>
      <c r="DA3494">
        <v>300</v>
      </c>
      <c r="DB3494">
        <v>0</v>
      </c>
      <c r="DC3494" t="s">
        <v>176</v>
      </c>
      <c r="DD3494" t="s">
        <v>177</v>
      </c>
      <c r="DG3494">
        <v>5440181</v>
      </c>
      <c r="DI3494">
        <v>1</v>
      </c>
      <c r="DJ3494">
        <v>0</v>
      </c>
      <c r="DK3494">
        <v>1</v>
      </c>
      <c r="DL3494">
        <v>0</v>
      </c>
      <c r="DM3494">
        <v>0</v>
      </c>
      <c r="DN3494">
        <v>1</v>
      </c>
      <c r="DO3494">
        <v>0</v>
      </c>
      <c r="DP3494">
        <v>0</v>
      </c>
      <c r="DQ3494">
        <v>0</v>
      </c>
      <c r="DR3494">
        <v>0</v>
      </c>
      <c r="DS3494">
        <v>0</v>
      </c>
    </row>
    <row r="3495" spans="1:123" x14ac:dyDescent="0.3">
      <c r="A3495" t="str">
        <f>"10/04/2022 19:34:57.668"</f>
        <v>10/04/2022 19:34:57.668</v>
      </c>
      <c r="C3495" t="str">
        <f t="shared" si="1254"/>
        <v>FFDFD3C0</v>
      </c>
      <c r="D3495" t="s">
        <v>134</v>
      </c>
      <c r="E3495">
        <v>15</v>
      </c>
      <c r="J3495" t="s">
        <v>135</v>
      </c>
      <c r="K3495">
        <v>0</v>
      </c>
      <c r="L3495">
        <v>3</v>
      </c>
      <c r="M3495">
        <v>0</v>
      </c>
      <c r="N3495">
        <v>2</v>
      </c>
      <c r="O3495">
        <v>0</v>
      </c>
      <c r="P3495">
        <v>1</v>
      </c>
      <c r="Q3495">
        <v>0</v>
      </c>
      <c r="S3495" t="str">
        <f t="shared" si="1277"/>
        <v>19:34:57.000</v>
      </c>
      <c r="T3495" t="str">
        <f t="shared" si="1277"/>
        <v>19:34:57.000</v>
      </c>
      <c r="U3495" t="str">
        <f t="shared" si="1264"/>
        <v>AC3944</v>
      </c>
      <c r="V3495">
        <v>0</v>
      </c>
      <c r="W3495">
        <v>0</v>
      </c>
      <c r="X3495">
        <v>2</v>
      </c>
      <c r="Y3495">
        <v>0</v>
      </c>
      <c r="AA3495">
        <v>1</v>
      </c>
      <c r="AB3495">
        <v>8</v>
      </c>
      <c r="AC3495">
        <v>3</v>
      </c>
      <c r="AD3495">
        <v>0</v>
      </c>
      <c r="AE3495">
        <v>9</v>
      </c>
      <c r="AF3495" t="s">
        <v>138</v>
      </c>
      <c r="AG3495">
        <v>0</v>
      </c>
      <c r="AH3495">
        <v>3</v>
      </c>
      <c r="AI3495">
        <v>1</v>
      </c>
      <c r="AJ3495">
        <v>0</v>
      </c>
      <c r="AK3495" t="s">
        <v>1145</v>
      </c>
      <c r="AL3495">
        <v>32.732778000000003</v>
      </c>
      <c r="AM3495" t="s">
        <v>1146</v>
      </c>
      <c r="AN3495">
        <v>-116.736367</v>
      </c>
      <c r="AO3495">
        <v>25</v>
      </c>
      <c r="AP3495">
        <v>4300</v>
      </c>
      <c r="AQ3495" t="s">
        <v>129</v>
      </c>
      <c r="AR3495">
        <v>106</v>
      </c>
      <c r="AS3495">
        <v>49</v>
      </c>
      <c r="AT3495">
        <v>448</v>
      </c>
      <c r="BB3495">
        <v>1200</v>
      </c>
      <c r="BC3495">
        <v>1</v>
      </c>
      <c r="BD3495" t="str">
        <f t="shared" si="1265"/>
        <v xml:space="preserve">N887QR  </v>
      </c>
      <c r="BE3495">
        <v>1</v>
      </c>
      <c r="BG3495">
        <v>0</v>
      </c>
      <c r="BH3495">
        <v>0</v>
      </c>
      <c r="BI3495">
        <v>0</v>
      </c>
      <c r="BJ3495">
        <v>4100</v>
      </c>
      <c r="BK3495">
        <v>-200</v>
      </c>
      <c r="BL3495" t="s">
        <v>163</v>
      </c>
      <c r="BM3495">
        <v>1</v>
      </c>
      <c r="BN3495">
        <v>1</v>
      </c>
      <c r="BO3495">
        <v>1</v>
      </c>
      <c r="BP3495">
        <v>0</v>
      </c>
      <c r="BS3495">
        <v>0</v>
      </c>
      <c r="BT3495">
        <v>0</v>
      </c>
      <c r="BU3495">
        <v>0</v>
      </c>
      <c r="CE3495" t="str">
        <f t="shared" si="1278"/>
        <v>19:34:57.299</v>
      </c>
      <c r="CF3495">
        <v>299282533</v>
      </c>
      <c r="CS3495">
        <v>0</v>
      </c>
      <c r="CT3495">
        <v>2</v>
      </c>
      <c r="CU3495">
        <v>0</v>
      </c>
      <c r="CV3495">
        <v>2</v>
      </c>
      <c r="CW3495">
        <v>0</v>
      </c>
      <c r="CX3495">
        <v>5</v>
      </c>
      <c r="CY3495">
        <v>7</v>
      </c>
      <c r="CZ3495" t="s">
        <v>131</v>
      </c>
      <c r="DA3495">
        <v>300</v>
      </c>
      <c r="DB3495">
        <v>0</v>
      </c>
      <c r="DC3495" t="s">
        <v>176</v>
      </c>
      <c r="DD3495" t="s">
        <v>177</v>
      </c>
      <c r="DG3495">
        <v>5440181</v>
      </c>
      <c r="DI3495">
        <v>1</v>
      </c>
      <c r="DJ3495">
        <v>0</v>
      </c>
      <c r="DK3495">
        <v>1</v>
      </c>
      <c r="DL3495">
        <v>0</v>
      </c>
      <c r="DM3495">
        <v>0</v>
      </c>
      <c r="DN3495">
        <v>1</v>
      </c>
      <c r="DO3495">
        <v>0</v>
      </c>
      <c r="DP3495">
        <v>0</v>
      </c>
      <c r="DQ3495">
        <v>0</v>
      </c>
      <c r="DR3495">
        <v>0</v>
      </c>
      <c r="DS3495">
        <v>0</v>
      </c>
    </row>
    <row r="3496" spans="1:123" x14ac:dyDescent="0.3">
      <c r="A3496" t="str">
        <f>"10/04/2022 19:34:57.684"</f>
        <v>10/04/2022 19:34:57.684</v>
      </c>
      <c r="C3496" t="str">
        <f t="shared" si="1254"/>
        <v>FFDFD3C0</v>
      </c>
      <c r="D3496" t="s">
        <v>141</v>
      </c>
      <c r="E3496">
        <v>4</v>
      </c>
      <c r="H3496">
        <v>4</v>
      </c>
      <c r="I3496" t="s">
        <v>142</v>
      </c>
      <c r="J3496" t="s">
        <v>138</v>
      </c>
      <c r="K3496">
        <v>0</v>
      </c>
      <c r="L3496">
        <v>3</v>
      </c>
      <c r="M3496">
        <v>0</v>
      </c>
      <c r="N3496">
        <v>2</v>
      </c>
      <c r="O3496">
        <v>0</v>
      </c>
      <c r="P3496">
        <v>1</v>
      </c>
      <c r="Q3496">
        <v>0</v>
      </c>
      <c r="S3496" t="str">
        <f t="shared" si="1277"/>
        <v>19:34:57.000</v>
      </c>
      <c r="T3496" t="str">
        <f t="shared" si="1277"/>
        <v>19:34:57.000</v>
      </c>
      <c r="U3496" t="str">
        <f t="shared" si="1264"/>
        <v>AC3944</v>
      </c>
      <c r="V3496">
        <v>0</v>
      </c>
      <c r="W3496">
        <v>0</v>
      </c>
      <c r="X3496">
        <v>2</v>
      </c>
      <c r="Y3496">
        <v>0</v>
      </c>
      <c r="AA3496">
        <v>1</v>
      </c>
      <c r="AB3496">
        <v>8</v>
      </c>
      <c r="AC3496">
        <v>3</v>
      </c>
      <c r="AD3496">
        <v>0</v>
      </c>
      <c r="AE3496">
        <v>9</v>
      </c>
      <c r="AF3496" t="s">
        <v>138</v>
      </c>
      <c r="AG3496">
        <v>0</v>
      </c>
      <c r="AH3496">
        <v>3</v>
      </c>
      <c r="AI3496">
        <v>1</v>
      </c>
      <c r="AJ3496">
        <v>0</v>
      </c>
      <c r="AK3496" t="s">
        <v>1145</v>
      </c>
      <c r="AL3496">
        <v>32.732778000000003</v>
      </c>
      <c r="AM3496" t="s">
        <v>1146</v>
      </c>
      <c r="AN3496">
        <v>-116.736367</v>
      </c>
      <c r="AO3496">
        <v>25</v>
      </c>
      <c r="AP3496">
        <v>4300</v>
      </c>
      <c r="AQ3496" t="s">
        <v>129</v>
      </c>
      <c r="AR3496">
        <v>106</v>
      </c>
      <c r="AS3496">
        <v>49</v>
      </c>
      <c r="AT3496">
        <v>448</v>
      </c>
      <c r="BB3496">
        <v>1200</v>
      </c>
      <c r="BC3496">
        <v>1</v>
      </c>
      <c r="BD3496" t="str">
        <f t="shared" si="1265"/>
        <v xml:space="preserve">N887QR  </v>
      </c>
      <c r="BE3496">
        <v>1</v>
      </c>
      <c r="BG3496">
        <v>0</v>
      </c>
      <c r="BH3496">
        <v>0</v>
      </c>
      <c r="BI3496">
        <v>0</v>
      </c>
      <c r="BJ3496">
        <v>4100</v>
      </c>
      <c r="BK3496">
        <v>-200</v>
      </c>
      <c r="BL3496" t="s">
        <v>163</v>
      </c>
      <c r="BM3496">
        <v>1</v>
      </c>
      <c r="BN3496">
        <v>1</v>
      </c>
      <c r="BO3496">
        <v>1</v>
      </c>
      <c r="BP3496">
        <v>0</v>
      </c>
      <c r="BS3496">
        <v>0</v>
      </c>
      <c r="BT3496">
        <v>0</v>
      </c>
      <c r="BU3496">
        <v>0</v>
      </c>
      <c r="CE3496" t="str">
        <f t="shared" si="1278"/>
        <v>19:34:57.299</v>
      </c>
      <c r="CF3496">
        <v>299282533</v>
      </c>
      <c r="CS3496">
        <v>0</v>
      </c>
      <c r="CT3496">
        <v>2</v>
      </c>
      <c r="CU3496">
        <v>0</v>
      </c>
      <c r="CV3496">
        <v>2</v>
      </c>
      <c r="CW3496">
        <v>0</v>
      </c>
      <c r="CX3496">
        <v>5</v>
      </c>
      <c r="CY3496">
        <v>7</v>
      </c>
      <c r="CZ3496" t="s">
        <v>131</v>
      </c>
      <c r="DA3496">
        <v>300</v>
      </c>
      <c r="DB3496">
        <v>0</v>
      </c>
      <c r="DC3496" t="s">
        <v>176</v>
      </c>
      <c r="DD3496" t="s">
        <v>177</v>
      </c>
      <c r="DG3496">
        <v>5440181</v>
      </c>
      <c r="DI3496">
        <v>1</v>
      </c>
      <c r="DJ3496">
        <v>0</v>
      </c>
      <c r="DK3496">
        <v>1</v>
      </c>
      <c r="DL3496">
        <v>0</v>
      </c>
      <c r="DM3496">
        <v>0</v>
      </c>
      <c r="DN3496">
        <v>1</v>
      </c>
      <c r="DO3496">
        <v>0</v>
      </c>
      <c r="DP3496">
        <v>0</v>
      </c>
      <c r="DQ3496">
        <v>0</v>
      </c>
      <c r="DR3496">
        <v>0</v>
      </c>
      <c r="DS3496">
        <v>0</v>
      </c>
    </row>
    <row r="3497" spans="1:123" x14ac:dyDescent="0.3">
      <c r="A3497" t="str">
        <f>"10/04/2022 19:34:57.684"</f>
        <v>10/04/2022 19:34:57.684</v>
      </c>
      <c r="C3497" t="str">
        <f t="shared" si="1254"/>
        <v>FFDFD3C0</v>
      </c>
      <c r="D3497" t="s">
        <v>143</v>
      </c>
      <c r="E3497">
        <v>20</v>
      </c>
      <c r="F3497">
        <v>1020</v>
      </c>
      <c r="G3497" t="s">
        <v>144</v>
      </c>
      <c r="J3497" t="s">
        <v>145</v>
      </c>
      <c r="K3497">
        <v>0</v>
      </c>
      <c r="L3497">
        <v>3</v>
      </c>
      <c r="M3497">
        <v>0</v>
      </c>
      <c r="N3497">
        <v>2</v>
      </c>
      <c r="O3497">
        <v>0</v>
      </c>
      <c r="P3497">
        <v>1</v>
      </c>
      <c r="Q3497">
        <v>0</v>
      </c>
      <c r="S3497" t="str">
        <f t="shared" si="1277"/>
        <v>19:34:57.000</v>
      </c>
      <c r="T3497" t="str">
        <f t="shared" si="1277"/>
        <v>19:34:57.000</v>
      </c>
      <c r="U3497" t="str">
        <f t="shared" si="1264"/>
        <v>AC3944</v>
      </c>
      <c r="V3497">
        <v>0</v>
      </c>
      <c r="W3497">
        <v>0</v>
      </c>
      <c r="X3497">
        <v>2</v>
      </c>
      <c r="Y3497">
        <v>0</v>
      </c>
      <c r="AA3497">
        <v>1</v>
      </c>
      <c r="AB3497">
        <v>8</v>
      </c>
      <c r="AC3497">
        <v>3</v>
      </c>
      <c r="AD3497">
        <v>0</v>
      </c>
      <c r="AE3497">
        <v>9</v>
      </c>
      <c r="AF3497" t="s">
        <v>138</v>
      </c>
      <c r="AG3497">
        <v>0</v>
      </c>
      <c r="AH3497">
        <v>3</v>
      </c>
      <c r="AI3497">
        <v>1</v>
      </c>
      <c r="AJ3497">
        <v>0</v>
      </c>
      <c r="AK3497" t="s">
        <v>1145</v>
      </c>
      <c r="AL3497">
        <v>32.732778000000003</v>
      </c>
      <c r="AM3497" t="s">
        <v>1146</v>
      </c>
      <c r="AN3497">
        <v>-116.736367</v>
      </c>
      <c r="AO3497">
        <v>25</v>
      </c>
      <c r="AP3497">
        <v>4300</v>
      </c>
      <c r="AQ3497" t="s">
        <v>129</v>
      </c>
      <c r="AR3497">
        <v>106</v>
      </c>
      <c r="AS3497">
        <v>49</v>
      </c>
      <c r="AT3497">
        <v>448</v>
      </c>
      <c r="BB3497">
        <v>1200</v>
      </c>
      <c r="BC3497">
        <v>1</v>
      </c>
      <c r="BD3497" t="str">
        <f t="shared" si="1265"/>
        <v xml:space="preserve">N887QR  </v>
      </c>
      <c r="BE3497">
        <v>1</v>
      </c>
      <c r="BG3497">
        <v>0</v>
      </c>
      <c r="BH3497">
        <v>0</v>
      </c>
      <c r="BI3497">
        <v>0</v>
      </c>
      <c r="BJ3497">
        <v>4100</v>
      </c>
      <c r="BK3497">
        <v>-200</v>
      </c>
      <c r="BL3497" t="s">
        <v>163</v>
      </c>
      <c r="BM3497">
        <v>1</v>
      </c>
      <c r="BN3497">
        <v>1</v>
      </c>
      <c r="BO3497">
        <v>1</v>
      </c>
      <c r="BP3497">
        <v>0</v>
      </c>
      <c r="BS3497">
        <v>0</v>
      </c>
      <c r="BT3497">
        <v>0</v>
      </c>
      <c r="BU3497">
        <v>0</v>
      </c>
      <c r="CE3497" t="str">
        <f t="shared" si="1278"/>
        <v>19:34:57.299</v>
      </c>
      <c r="CF3497">
        <v>299282533</v>
      </c>
      <c r="CS3497">
        <v>0</v>
      </c>
      <c r="CT3497">
        <v>2</v>
      </c>
      <c r="CU3497">
        <v>0</v>
      </c>
      <c r="CV3497">
        <v>2</v>
      </c>
      <c r="CW3497">
        <v>0</v>
      </c>
      <c r="CX3497">
        <v>5</v>
      </c>
      <c r="CY3497">
        <v>7</v>
      </c>
      <c r="CZ3497" t="s">
        <v>131</v>
      </c>
      <c r="DA3497">
        <v>300</v>
      </c>
      <c r="DB3497">
        <v>0</v>
      </c>
      <c r="DC3497" t="s">
        <v>176</v>
      </c>
      <c r="DD3497" t="s">
        <v>177</v>
      </c>
      <c r="DG3497">
        <v>5440181</v>
      </c>
      <c r="DI3497">
        <v>1</v>
      </c>
      <c r="DJ3497">
        <v>0</v>
      </c>
      <c r="DK3497">
        <v>1</v>
      </c>
      <c r="DL3497">
        <v>0</v>
      </c>
      <c r="DM3497">
        <v>0</v>
      </c>
      <c r="DN3497">
        <v>1</v>
      </c>
      <c r="DO3497">
        <v>0</v>
      </c>
      <c r="DP3497">
        <v>0</v>
      </c>
      <c r="DQ3497">
        <v>0</v>
      </c>
      <c r="DR3497">
        <v>0</v>
      </c>
      <c r="DS3497">
        <v>0</v>
      </c>
    </row>
    <row r="3498" spans="1:123" x14ac:dyDescent="0.3">
      <c r="A3498" t="str">
        <f>"10/04/2022 19:34:58.309"</f>
        <v>10/04/2022 19:34:58.309</v>
      </c>
      <c r="C3498" t="str">
        <f t="shared" si="1254"/>
        <v>FFDFD3C0</v>
      </c>
      <c r="D3498" t="s">
        <v>123</v>
      </c>
      <c r="E3498">
        <v>7</v>
      </c>
      <c r="F3498">
        <v>2007</v>
      </c>
      <c r="G3498" t="s">
        <v>124</v>
      </c>
      <c r="J3498" t="s">
        <v>125</v>
      </c>
      <c r="K3498">
        <v>0</v>
      </c>
      <c r="L3498">
        <v>3</v>
      </c>
      <c r="M3498">
        <v>0</v>
      </c>
      <c r="N3498">
        <v>2</v>
      </c>
      <c r="O3498">
        <v>0</v>
      </c>
      <c r="P3498">
        <v>1</v>
      </c>
      <c r="Q3498">
        <v>0</v>
      </c>
      <c r="S3498" t="str">
        <f t="shared" ref="S3498:T3511" si="1279">"19:34:58.000"</f>
        <v>19:34:58.000</v>
      </c>
      <c r="T3498" t="str">
        <f t="shared" si="1279"/>
        <v>19:34:58.000</v>
      </c>
      <c r="U3498" t="str">
        <f t="shared" si="1264"/>
        <v>AC3944</v>
      </c>
      <c r="V3498">
        <v>0</v>
      </c>
      <c r="W3498">
        <v>0</v>
      </c>
      <c r="X3498">
        <v>2</v>
      </c>
      <c r="Y3498">
        <v>0</v>
      </c>
      <c r="AA3498">
        <v>1</v>
      </c>
      <c r="AB3498">
        <v>8</v>
      </c>
      <c r="AC3498">
        <v>3</v>
      </c>
      <c r="AD3498">
        <v>0</v>
      </c>
      <c r="AE3498">
        <v>9</v>
      </c>
      <c r="AF3498" t="s">
        <v>138</v>
      </c>
      <c r="AG3498">
        <v>0</v>
      </c>
      <c r="AH3498">
        <v>3</v>
      </c>
      <c r="AI3498">
        <v>1</v>
      </c>
      <c r="AJ3498">
        <v>0</v>
      </c>
      <c r="AK3498" t="s">
        <v>1147</v>
      </c>
      <c r="AL3498">
        <v>32.733013999999997</v>
      </c>
      <c r="AM3498" t="s">
        <v>1148</v>
      </c>
      <c r="AN3498">
        <v>-116.735787</v>
      </c>
      <c r="AO3498">
        <v>25</v>
      </c>
      <c r="AP3498">
        <v>4300</v>
      </c>
      <c r="AQ3498" t="s">
        <v>129</v>
      </c>
      <c r="AR3498">
        <v>107</v>
      </c>
      <c r="AS3498">
        <v>49</v>
      </c>
      <c r="AT3498">
        <v>448</v>
      </c>
      <c r="BB3498">
        <v>1200</v>
      </c>
      <c r="BC3498">
        <v>1</v>
      </c>
      <c r="BD3498" t="str">
        <f t="shared" si="1265"/>
        <v xml:space="preserve">N887QR  </v>
      </c>
      <c r="BE3498">
        <v>1</v>
      </c>
      <c r="BG3498">
        <v>0</v>
      </c>
      <c r="BH3498">
        <v>0</v>
      </c>
      <c r="BI3498">
        <v>0</v>
      </c>
      <c r="BJ3498">
        <v>4100</v>
      </c>
      <c r="BK3498">
        <v>-200</v>
      </c>
      <c r="BL3498" t="s">
        <v>163</v>
      </c>
      <c r="BM3498">
        <v>1</v>
      </c>
      <c r="BN3498">
        <v>1</v>
      </c>
      <c r="BO3498">
        <v>1</v>
      </c>
      <c r="BP3498">
        <v>0</v>
      </c>
      <c r="BS3498">
        <v>0</v>
      </c>
      <c r="BT3498">
        <v>0</v>
      </c>
      <c r="BU3498">
        <v>0</v>
      </c>
      <c r="CE3498" t="str">
        <f t="shared" ref="CE3498:CE3504" si="1280">"19:34:58.125"</f>
        <v>19:34:58.125</v>
      </c>
      <c r="CF3498">
        <v>124785136</v>
      </c>
      <c r="CS3498">
        <v>0</v>
      </c>
      <c r="CT3498">
        <v>2</v>
      </c>
      <c r="CU3498">
        <v>0</v>
      </c>
      <c r="CV3498">
        <v>2</v>
      </c>
      <c r="CW3498">
        <v>0</v>
      </c>
      <c r="CX3498">
        <v>5</v>
      </c>
      <c r="CY3498">
        <v>7</v>
      </c>
      <c r="CZ3498" t="s">
        <v>131</v>
      </c>
      <c r="DA3498">
        <v>300</v>
      </c>
      <c r="DB3498">
        <v>0</v>
      </c>
      <c r="DC3498" t="s">
        <v>176</v>
      </c>
      <c r="DD3498" t="s">
        <v>177</v>
      </c>
      <c r="DG3498">
        <v>5440315</v>
      </c>
      <c r="DI3498">
        <v>1</v>
      </c>
      <c r="DJ3498">
        <v>0</v>
      </c>
      <c r="DK3498">
        <v>0</v>
      </c>
      <c r="DL3498">
        <v>0</v>
      </c>
      <c r="DM3498">
        <v>0</v>
      </c>
      <c r="DN3498">
        <v>1</v>
      </c>
      <c r="DO3498">
        <v>0</v>
      </c>
      <c r="DP3498">
        <v>0</v>
      </c>
      <c r="DQ3498">
        <v>0</v>
      </c>
      <c r="DR3498">
        <v>0</v>
      </c>
      <c r="DS3498">
        <v>0</v>
      </c>
    </row>
    <row r="3499" spans="1:123" x14ac:dyDescent="0.3">
      <c r="A3499" t="str">
        <f>"10/04/2022 19:34:58.309"</f>
        <v>10/04/2022 19:34:58.309</v>
      </c>
      <c r="C3499" t="str">
        <f t="shared" ref="C3499:C3562" si="1281">"FFDFD3C0"</f>
        <v>FFDFD3C0</v>
      </c>
      <c r="D3499" t="s">
        <v>136</v>
      </c>
      <c r="E3499">
        <v>8</v>
      </c>
      <c r="H3499">
        <v>225</v>
      </c>
      <c r="I3499" t="s">
        <v>137</v>
      </c>
      <c r="J3499" t="s">
        <v>138</v>
      </c>
      <c r="K3499">
        <v>0</v>
      </c>
      <c r="L3499">
        <v>3</v>
      </c>
      <c r="M3499">
        <v>0</v>
      </c>
      <c r="N3499">
        <v>2</v>
      </c>
      <c r="O3499">
        <v>0</v>
      </c>
      <c r="P3499">
        <v>1</v>
      </c>
      <c r="Q3499">
        <v>0</v>
      </c>
      <c r="S3499" t="str">
        <f t="shared" si="1279"/>
        <v>19:34:58.000</v>
      </c>
      <c r="T3499" t="str">
        <f t="shared" si="1279"/>
        <v>19:34:58.000</v>
      </c>
      <c r="U3499" t="str">
        <f t="shared" si="1264"/>
        <v>AC3944</v>
      </c>
      <c r="V3499">
        <v>0</v>
      </c>
      <c r="W3499">
        <v>0</v>
      </c>
      <c r="X3499">
        <v>2</v>
      </c>
      <c r="Y3499">
        <v>0</v>
      </c>
      <c r="AA3499">
        <v>1</v>
      </c>
      <c r="AB3499">
        <v>8</v>
      </c>
      <c r="AC3499">
        <v>3</v>
      </c>
      <c r="AD3499">
        <v>0</v>
      </c>
      <c r="AE3499">
        <v>9</v>
      </c>
      <c r="AF3499" t="s">
        <v>138</v>
      </c>
      <c r="AG3499">
        <v>0</v>
      </c>
      <c r="AH3499">
        <v>3</v>
      </c>
      <c r="AI3499">
        <v>1</v>
      </c>
      <c r="AJ3499">
        <v>0</v>
      </c>
      <c r="AK3499" t="s">
        <v>1147</v>
      </c>
      <c r="AL3499">
        <v>32.733013999999997</v>
      </c>
      <c r="AM3499" t="s">
        <v>1148</v>
      </c>
      <c r="AN3499">
        <v>-116.735787</v>
      </c>
      <c r="AO3499">
        <v>25</v>
      </c>
      <c r="AP3499">
        <v>4300</v>
      </c>
      <c r="AQ3499" t="s">
        <v>129</v>
      </c>
      <c r="AR3499">
        <v>107</v>
      </c>
      <c r="AS3499">
        <v>49</v>
      </c>
      <c r="AT3499">
        <v>448</v>
      </c>
      <c r="BB3499">
        <v>1200</v>
      </c>
      <c r="BC3499">
        <v>1</v>
      </c>
      <c r="BD3499" t="str">
        <f t="shared" si="1265"/>
        <v xml:space="preserve">N887QR  </v>
      </c>
      <c r="BE3499">
        <v>1</v>
      </c>
      <c r="BG3499">
        <v>0</v>
      </c>
      <c r="BH3499">
        <v>0</v>
      </c>
      <c r="BI3499">
        <v>0</v>
      </c>
      <c r="BJ3499">
        <v>4100</v>
      </c>
      <c r="BK3499">
        <v>-200</v>
      </c>
      <c r="BL3499" t="s">
        <v>163</v>
      </c>
      <c r="BM3499">
        <v>1</v>
      </c>
      <c r="BN3499">
        <v>1</v>
      </c>
      <c r="BO3499">
        <v>1</v>
      </c>
      <c r="BP3499">
        <v>0</v>
      </c>
      <c r="BS3499">
        <v>0</v>
      </c>
      <c r="BT3499">
        <v>0</v>
      </c>
      <c r="BU3499">
        <v>0</v>
      </c>
      <c r="CE3499" t="str">
        <f t="shared" si="1280"/>
        <v>19:34:58.125</v>
      </c>
      <c r="CF3499">
        <v>124785136</v>
      </c>
      <c r="CS3499">
        <v>0</v>
      </c>
      <c r="CT3499">
        <v>2</v>
      </c>
      <c r="CU3499">
        <v>0</v>
      </c>
      <c r="CV3499">
        <v>2</v>
      </c>
      <c r="CW3499">
        <v>0</v>
      </c>
      <c r="CX3499">
        <v>5</v>
      </c>
      <c r="CY3499">
        <v>7</v>
      </c>
      <c r="CZ3499" t="s">
        <v>131</v>
      </c>
      <c r="DA3499">
        <v>300</v>
      </c>
      <c r="DB3499">
        <v>0</v>
      </c>
      <c r="DC3499" t="s">
        <v>176</v>
      </c>
      <c r="DD3499" t="s">
        <v>177</v>
      </c>
      <c r="DG3499">
        <v>5440315</v>
      </c>
      <c r="DI3499">
        <v>1</v>
      </c>
      <c r="DJ3499">
        <v>0</v>
      </c>
      <c r="DK3499">
        <v>1</v>
      </c>
      <c r="DL3499">
        <v>0</v>
      </c>
      <c r="DM3499">
        <v>0</v>
      </c>
      <c r="DN3499">
        <v>1</v>
      </c>
      <c r="DO3499">
        <v>0</v>
      </c>
      <c r="DP3499">
        <v>0</v>
      </c>
      <c r="DQ3499">
        <v>0</v>
      </c>
      <c r="DR3499">
        <v>0</v>
      </c>
      <c r="DS3499">
        <v>0</v>
      </c>
    </row>
    <row r="3500" spans="1:123" x14ac:dyDescent="0.3">
      <c r="A3500" t="str">
        <f>"10/04/2022 19:34:58.340"</f>
        <v>10/04/2022 19:34:58.340</v>
      </c>
      <c r="C3500" t="str">
        <f t="shared" si="1281"/>
        <v>FFDFD3C0</v>
      </c>
      <c r="D3500" t="s">
        <v>141</v>
      </c>
      <c r="E3500">
        <v>3</v>
      </c>
      <c r="H3500">
        <v>3</v>
      </c>
      <c r="I3500" t="s">
        <v>146</v>
      </c>
      <c r="J3500" t="s">
        <v>138</v>
      </c>
      <c r="K3500">
        <v>0</v>
      </c>
      <c r="L3500">
        <v>3</v>
      </c>
      <c r="M3500">
        <v>0</v>
      </c>
      <c r="N3500">
        <v>2</v>
      </c>
      <c r="O3500">
        <v>0</v>
      </c>
      <c r="P3500">
        <v>1</v>
      </c>
      <c r="Q3500">
        <v>0</v>
      </c>
      <c r="S3500" t="str">
        <f t="shared" si="1279"/>
        <v>19:34:58.000</v>
      </c>
      <c r="T3500" t="str">
        <f t="shared" si="1279"/>
        <v>19:34:58.000</v>
      </c>
      <c r="U3500" t="str">
        <f t="shared" si="1264"/>
        <v>AC3944</v>
      </c>
      <c r="V3500">
        <v>0</v>
      </c>
      <c r="W3500">
        <v>0</v>
      </c>
      <c r="X3500">
        <v>2</v>
      </c>
      <c r="Y3500">
        <v>0</v>
      </c>
      <c r="AA3500">
        <v>1</v>
      </c>
      <c r="AB3500">
        <v>8</v>
      </c>
      <c r="AC3500">
        <v>3</v>
      </c>
      <c r="AD3500">
        <v>0</v>
      </c>
      <c r="AE3500">
        <v>9</v>
      </c>
      <c r="AF3500" t="s">
        <v>138</v>
      </c>
      <c r="AG3500">
        <v>0</v>
      </c>
      <c r="AH3500">
        <v>3</v>
      </c>
      <c r="AI3500">
        <v>1</v>
      </c>
      <c r="AJ3500">
        <v>0</v>
      </c>
      <c r="AK3500" t="s">
        <v>1147</v>
      </c>
      <c r="AL3500">
        <v>32.733013999999997</v>
      </c>
      <c r="AM3500" t="s">
        <v>1148</v>
      </c>
      <c r="AN3500">
        <v>-116.735787</v>
      </c>
      <c r="AO3500">
        <v>25</v>
      </c>
      <c r="AP3500">
        <v>4300</v>
      </c>
      <c r="AQ3500" t="s">
        <v>129</v>
      </c>
      <c r="AR3500">
        <v>107</v>
      </c>
      <c r="AS3500">
        <v>49</v>
      </c>
      <c r="AT3500">
        <v>448</v>
      </c>
      <c r="BB3500">
        <v>1200</v>
      </c>
      <c r="BC3500">
        <v>1</v>
      </c>
      <c r="BD3500" t="str">
        <f t="shared" si="1265"/>
        <v xml:space="preserve">N887QR  </v>
      </c>
      <c r="BE3500">
        <v>1</v>
      </c>
      <c r="BG3500">
        <v>0</v>
      </c>
      <c r="BH3500">
        <v>0</v>
      </c>
      <c r="BI3500">
        <v>0</v>
      </c>
      <c r="BJ3500">
        <v>4100</v>
      </c>
      <c r="BK3500">
        <v>-200</v>
      </c>
      <c r="BL3500" t="s">
        <v>163</v>
      </c>
      <c r="BM3500">
        <v>1</v>
      </c>
      <c r="BN3500">
        <v>1</v>
      </c>
      <c r="BO3500">
        <v>1</v>
      </c>
      <c r="BP3500">
        <v>0</v>
      </c>
      <c r="BS3500">
        <v>0</v>
      </c>
      <c r="BT3500">
        <v>0</v>
      </c>
      <c r="BU3500">
        <v>0</v>
      </c>
      <c r="CE3500" t="str">
        <f t="shared" si="1280"/>
        <v>19:34:58.125</v>
      </c>
      <c r="CF3500">
        <v>124785136</v>
      </c>
      <c r="CS3500">
        <v>0</v>
      </c>
      <c r="CT3500">
        <v>2</v>
      </c>
      <c r="CU3500">
        <v>0</v>
      </c>
      <c r="CV3500">
        <v>2</v>
      </c>
      <c r="CW3500">
        <v>0</v>
      </c>
      <c r="CX3500">
        <v>5</v>
      </c>
      <c r="CY3500">
        <v>7</v>
      </c>
      <c r="CZ3500" t="s">
        <v>131</v>
      </c>
      <c r="DA3500">
        <v>300</v>
      </c>
      <c r="DB3500">
        <v>0</v>
      </c>
      <c r="DC3500" t="s">
        <v>176</v>
      </c>
      <c r="DD3500" t="s">
        <v>177</v>
      </c>
      <c r="DG3500">
        <v>5440315</v>
      </c>
      <c r="DI3500">
        <v>1</v>
      </c>
      <c r="DJ3500">
        <v>0</v>
      </c>
      <c r="DK3500">
        <v>1</v>
      </c>
      <c r="DL3500">
        <v>0</v>
      </c>
      <c r="DM3500">
        <v>0</v>
      </c>
      <c r="DN3500">
        <v>1</v>
      </c>
      <c r="DO3500">
        <v>0</v>
      </c>
      <c r="DP3500">
        <v>0</v>
      </c>
      <c r="DQ3500">
        <v>0</v>
      </c>
      <c r="DR3500">
        <v>0</v>
      </c>
      <c r="DS3500">
        <v>0</v>
      </c>
    </row>
    <row r="3501" spans="1:123" x14ac:dyDescent="0.3">
      <c r="A3501" t="str">
        <f>"10/04/2022 19:34:58.340"</f>
        <v>10/04/2022 19:34:58.340</v>
      </c>
      <c r="C3501" t="str">
        <f t="shared" si="1281"/>
        <v>FFDFD3C0</v>
      </c>
      <c r="D3501" t="s">
        <v>147</v>
      </c>
      <c r="E3501">
        <v>3</v>
      </c>
      <c r="H3501">
        <v>166</v>
      </c>
      <c r="I3501" t="s">
        <v>144</v>
      </c>
      <c r="J3501" t="s">
        <v>148</v>
      </c>
      <c r="K3501">
        <v>0</v>
      </c>
      <c r="L3501">
        <v>3</v>
      </c>
      <c r="M3501">
        <v>0</v>
      </c>
      <c r="N3501">
        <v>2</v>
      </c>
      <c r="O3501">
        <v>0</v>
      </c>
      <c r="P3501">
        <v>1</v>
      </c>
      <c r="Q3501">
        <v>0</v>
      </c>
      <c r="S3501" t="str">
        <f t="shared" si="1279"/>
        <v>19:34:58.000</v>
      </c>
      <c r="T3501" t="str">
        <f t="shared" si="1279"/>
        <v>19:34:58.000</v>
      </c>
      <c r="U3501" t="str">
        <f t="shared" si="1264"/>
        <v>AC3944</v>
      </c>
      <c r="V3501">
        <v>0</v>
      </c>
      <c r="W3501">
        <v>0</v>
      </c>
      <c r="X3501">
        <v>2</v>
      </c>
      <c r="Y3501">
        <v>0</v>
      </c>
      <c r="AA3501">
        <v>1</v>
      </c>
      <c r="AB3501">
        <v>8</v>
      </c>
      <c r="AC3501">
        <v>3</v>
      </c>
      <c r="AD3501">
        <v>0</v>
      </c>
      <c r="AE3501">
        <v>9</v>
      </c>
      <c r="AF3501" t="s">
        <v>138</v>
      </c>
      <c r="AG3501">
        <v>0</v>
      </c>
      <c r="AH3501">
        <v>3</v>
      </c>
      <c r="AI3501">
        <v>1</v>
      </c>
      <c r="AJ3501">
        <v>0</v>
      </c>
      <c r="AK3501" t="s">
        <v>1147</v>
      </c>
      <c r="AL3501">
        <v>32.733013999999997</v>
      </c>
      <c r="AM3501" t="s">
        <v>1148</v>
      </c>
      <c r="AN3501">
        <v>-116.735787</v>
      </c>
      <c r="AO3501">
        <v>25</v>
      </c>
      <c r="AP3501">
        <v>4300</v>
      </c>
      <c r="AQ3501" t="s">
        <v>129</v>
      </c>
      <c r="AR3501">
        <v>107</v>
      </c>
      <c r="AS3501">
        <v>49</v>
      </c>
      <c r="AT3501">
        <v>448</v>
      </c>
      <c r="BB3501">
        <v>1200</v>
      </c>
      <c r="BC3501">
        <v>1</v>
      </c>
      <c r="BD3501" t="str">
        <f t="shared" si="1265"/>
        <v xml:space="preserve">N887QR  </v>
      </c>
      <c r="BE3501">
        <v>1</v>
      </c>
      <c r="BG3501">
        <v>0</v>
      </c>
      <c r="BH3501">
        <v>0</v>
      </c>
      <c r="BI3501">
        <v>0</v>
      </c>
      <c r="BJ3501">
        <v>4100</v>
      </c>
      <c r="BK3501">
        <v>-200</v>
      </c>
      <c r="BL3501" t="s">
        <v>163</v>
      </c>
      <c r="BM3501">
        <v>1</v>
      </c>
      <c r="BN3501">
        <v>1</v>
      </c>
      <c r="BO3501">
        <v>1</v>
      </c>
      <c r="BP3501">
        <v>0</v>
      </c>
      <c r="BS3501">
        <v>0</v>
      </c>
      <c r="BT3501">
        <v>0</v>
      </c>
      <c r="BU3501">
        <v>0</v>
      </c>
      <c r="CE3501" t="str">
        <f t="shared" si="1280"/>
        <v>19:34:58.125</v>
      </c>
      <c r="CF3501">
        <v>124785136</v>
      </c>
      <c r="CS3501">
        <v>0</v>
      </c>
      <c r="CT3501">
        <v>2</v>
      </c>
      <c r="CU3501">
        <v>0</v>
      </c>
      <c r="CV3501">
        <v>2</v>
      </c>
      <c r="CW3501">
        <v>0</v>
      </c>
      <c r="CX3501">
        <v>5</v>
      </c>
      <c r="CY3501">
        <v>7</v>
      </c>
      <c r="CZ3501" t="s">
        <v>131</v>
      </c>
      <c r="DA3501">
        <v>300</v>
      </c>
      <c r="DB3501">
        <v>0</v>
      </c>
      <c r="DC3501" t="s">
        <v>176</v>
      </c>
      <c r="DD3501" t="s">
        <v>177</v>
      </c>
      <c r="DG3501">
        <v>5440315</v>
      </c>
      <c r="DI3501">
        <v>1</v>
      </c>
      <c r="DJ3501">
        <v>0</v>
      </c>
      <c r="DK3501">
        <v>1</v>
      </c>
      <c r="DL3501">
        <v>0</v>
      </c>
      <c r="DM3501">
        <v>0</v>
      </c>
      <c r="DN3501">
        <v>1</v>
      </c>
      <c r="DO3501">
        <v>0</v>
      </c>
      <c r="DP3501">
        <v>0</v>
      </c>
      <c r="DQ3501">
        <v>0</v>
      </c>
      <c r="DR3501">
        <v>0</v>
      </c>
      <c r="DS3501">
        <v>0</v>
      </c>
    </row>
    <row r="3502" spans="1:123" x14ac:dyDescent="0.3">
      <c r="A3502" t="str">
        <f>"10/04/2022 19:34:58.340"</f>
        <v>10/04/2022 19:34:58.340</v>
      </c>
      <c r="C3502" t="str">
        <f t="shared" si="1281"/>
        <v>FFDFD3C0</v>
      </c>
      <c r="D3502" t="s">
        <v>134</v>
      </c>
      <c r="E3502">
        <v>15</v>
      </c>
      <c r="J3502" t="s">
        <v>135</v>
      </c>
      <c r="K3502">
        <v>0</v>
      </c>
      <c r="L3502">
        <v>3</v>
      </c>
      <c r="M3502">
        <v>0</v>
      </c>
      <c r="N3502">
        <v>2</v>
      </c>
      <c r="O3502">
        <v>0</v>
      </c>
      <c r="P3502">
        <v>1</v>
      </c>
      <c r="Q3502">
        <v>0</v>
      </c>
      <c r="S3502" t="str">
        <f t="shared" si="1279"/>
        <v>19:34:58.000</v>
      </c>
      <c r="T3502" t="str">
        <f t="shared" si="1279"/>
        <v>19:34:58.000</v>
      </c>
      <c r="U3502" t="str">
        <f t="shared" si="1264"/>
        <v>AC3944</v>
      </c>
      <c r="V3502">
        <v>0</v>
      </c>
      <c r="W3502">
        <v>0</v>
      </c>
      <c r="X3502">
        <v>2</v>
      </c>
      <c r="Y3502">
        <v>0</v>
      </c>
      <c r="AA3502">
        <v>1</v>
      </c>
      <c r="AB3502">
        <v>8</v>
      </c>
      <c r="AC3502">
        <v>3</v>
      </c>
      <c r="AD3502">
        <v>0</v>
      </c>
      <c r="AE3502">
        <v>9</v>
      </c>
      <c r="AF3502" t="s">
        <v>138</v>
      </c>
      <c r="AG3502">
        <v>0</v>
      </c>
      <c r="AH3502">
        <v>3</v>
      </c>
      <c r="AI3502">
        <v>1</v>
      </c>
      <c r="AJ3502">
        <v>0</v>
      </c>
      <c r="AK3502" t="s">
        <v>1147</v>
      </c>
      <c r="AL3502">
        <v>32.733013999999997</v>
      </c>
      <c r="AM3502" t="s">
        <v>1148</v>
      </c>
      <c r="AN3502">
        <v>-116.735787</v>
      </c>
      <c r="AO3502">
        <v>25</v>
      </c>
      <c r="AP3502">
        <v>4300</v>
      </c>
      <c r="AQ3502" t="s">
        <v>129</v>
      </c>
      <c r="AR3502">
        <v>107</v>
      </c>
      <c r="AS3502">
        <v>49</v>
      </c>
      <c r="AT3502">
        <v>448</v>
      </c>
      <c r="BB3502">
        <v>1200</v>
      </c>
      <c r="BC3502">
        <v>1</v>
      </c>
      <c r="BD3502" t="str">
        <f t="shared" si="1265"/>
        <v xml:space="preserve">N887QR  </v>
      </c>
      <c r="BE3502">
        <v>1</v>
      </c>
      <c r="BG3502">
        <v>0</v>
      </c>
      <c r="BH3502">
        <v>0</v>
      </c>
      <c r="BI3502">
        <v>0</v>
      </c>
      <c r="BJ3502">
        <v>4100</v>
      </c>
      <c r="BK3502">
        <v>-200</v>
      </c>
      <c r="BL3502" t="s">
        <v>163</v>
      </c>
      <c r="BM3502">
        <v>1</v>
      </c>
      <c r="BN3502">
        <v>1</v>
      </c>
      <c r="BO3502">
        <v>1</v>
      </c>
      <c r="BP3502">
        <v>0</v>
      </c>
      <c r="BS3502">
        <v>0</v>
      </c>
      <c r="BT3502">
        <v>0</v>
      </c>
      <c r="BU3502">
        <v>0</v>
      </c>
      <c r="CE3502" t="str">
        <f t="shared" si="1280"/>
        <v>19:34:58.125</v>
      </c>
      <c r="CF3502">
        <v>124785136</v>
      </c>
      <c r="CS3502">
        <v>0</v>
      </c>
      <c r="CT3502">
        <v>2</v>
      </c>
      <c r="CU3502">
        <v>0</v>
      </c>
      <c r="CV3502">
        <v>2</v>
      </c>
      <c r="CW3502">
        <v>0</v>
      </c>
      <c r="CX3502">
        <v>5</v>
      </c>
      <c r="CY3502">
        <v>7</v>
      </c>
      <c r="CZ3502" t="s">
        <v>131</v>
      </c>
      <c r="DA3502">
        <v>300</v>
      </c>
      <c r="DB3502">
        <v>0</v>
      </c>
      <c r="DC3502" t="s">
        <v>176</v>
      </c>
      <c r="DD3502" t="s">
        <v>177</v>
      </c>
      <c r="DG3502">
        <v>5440315</v>
      </c>
      <c r="DI3502">
        <v>1</v>
      </c>
      <c r="DJ3502">
        <v>0</v>
      </c>
      <c r="DK3502">
        <v>1</v>
      </c>
      <c r="DL3502">
        <v>0</v>
      </c>
      <c r="DM3502">
        <v>0</v>
      </c>
      <c r="DN3502">
        <v>1</v>
      </c>
      <c r="DO3502">
        <v>0</v>
      </c>
      <c r="DP3502">
        <v>0</v>
      </c>
      <c r="DQ3502">
        <v>0</v>
      </c>
      <c r="DR3502">
        <v>0</v>
      </c>
      <c r="DS3502">
        <v>0</v>
      </c>
    </row>
    <row r="3503" spans="1:123" x14ac:dyDescent="0.3">
      <c r="A3503" t="str">
        <f>"10/04/2022 19:34:58.340"</f>
        <v>10/04/2022 19:34:58.340</v>
      </c>
      <c r="C3503" t="str">
        <f t="shared" si="1281"/>
        <v>FFDFD3C0</v>
      </c>
      <c r="D3503" t="s">
        <v>141</v>
      </c>
      <c r="E3503">
        <v>4</v>
      </c>
      <c r="H3503">
        <v>4</v>
      </c>
      <c r="I3503" t="s">
        <v>142</v>
      </c>
      <c r="J3503" t="s">
        <v>138</v>
      </c>
      <c r="K3503">
        <v>0</v>
      </c>
      <c r="L3503">
        <v>3</v>
      </c>
      <c r="M3503">
        <v>0</v>
      </c>
      <c r="N3503">
        <v>2</v>
      </c>
      <c r="O3503">
        <v>0</v>
      </c>
      <c r="P3503">
        <v>1</v>
      </c>
      <c r="Q3503">
        <v>0</v>
      </c>
      <c r="S3503" t="str">
        <f t="shared" si="1279"/>
        <v>19:34:58.000</v>
      </c>
      <c r="T3503" t="str">
        <f t="shared" si="1279"/>
        <v>19:34:58.000</v>
      </c>
      <c r="U3503" t="str">
        <f t="shared" si="1264"/>
        <v>AC3944</v>
      </c>
      <c r="V3503">
        <v>0</v>
      </c>
      <c r="W3503">
        <v>0</v>
      </c>
      <c r="X3503">
        <v>2</v>
      </c>
      <c r="Y3503">
        <v>0</v>
      </c>
      <c r="AA3503">
        <v>1</v>
      </c>
      <c r="AB3503">
        <v>8</v>
      </c>
      <c r="AC3503">
        <v>3</v>
      </c>
      <c r="AD3503">
        <v>0</v>
      </c>
      <c r="AE3503">
        <v>9</v>
      </c>
      <c r="AF3503" t="s">
        <v>138</v>
      </c>
      <c r="AG3503">
        <v>0</v>
      </c>
      <c r="AH3503">
        <v>3</v>
      </c>
      <c r="AI3503">
        <v>1</v>
      </c>
      <c r="AJ3503">
        <v>0</v>
      </c>
      <c r="AK3503" t="s">
        <v>1147</v>
      </c>
      <c r="AL3503">
        <v>32.733013999999997</v>
      </c>
      <c r="AM3503" t="s">
        <v>1148</v>
      </c>
      <c r="AN3503">
        <v>-116.735787</v>
      </c>
      <c r="AO3503">
        <v>25</v>
      </c>
      <c r="AP3503">
        <v>4300</v>
      </c>
      <c r="AQ3503" t="s">
        <v>129</v>
      </c>
      <c r="AR3503">
        <v>107</v>
      </c>
      <c r="AS3503">
        <v>49</v>
      </c>
      <c r="AT3503">
        <v>448</v>
      </c>
      <c r="BB3503">
        <v>1200</v>
      </c>
      <c r="BC3503">
        <v>1</v>
      </c>
      <c r="BD3503" t="str">
        <f t="shared" si="1265"/>
        <v xml:space="preserve">N887QR  </v>
      </c>
      <c r="BE3503">
        <v>1</v>
      </c>
      <c r="BG3503">
        <v>0</v>
      </c>
      <c r="BH3503">
        <v>0</v>
      </c>
      <c r="BI3503">
        <v>0</v>
      </c>
      <c r="BJ3503">
        <v>4100</v>
      </c>
      <c r="BK3503">
        <v>-200</v>
      </c>
      <c r="BL3503" t="s">
        <v>163</v>
      </c>
      <c r="BM3503">
        <v>1</v>
      </c>
      <c r="BN3503">
        <v>1</v>
      </c>
      <c r="BO3503">
        <v>1</v>
      </c>
      <c r="BP3503">
        <v>0</v>
      </c>
      <c r="BS3503">
        <v>0</v>
      </c>
      <c r="BT3503">
        <v>0</v>
      </c>
      <c r="BU3503">
        <v>0</v>
      </c>
      <c r="CE3503" t="str">
        <f t="shared" si="1280"/>
        <v>19:34:58.125</v>
      </c>
      <c r="CF3503">
        <v>124785136</v>
      </c>
      <c r="CS3503">
        <v>0</v>
      </c>
      <c r="CT3503">
        <v>2</v>
      </c>
      <c r="CU3503">
        <v>0</v>
      </c>
      <c r="CV3503">
        <v>2</v>
      </c>
      <c r="CW3503">
        <v>0</v>
      </c>
      <c r="CX3503">
        <v>5</v>
      </c>
      <c r="CY3503">
        <v>7</v>
      </c>
      <c r="CZ3503" t="s">
        <v>131</v>
      </c>
      <c r="DA3503">
        <v>300</v>
      </c>
      <c r="DB3503">
        <v>0</v>
      </c>
      <c r="DC3503" t="s">
        <v>176</v>
      </c>
      <c r="DD3503" t="s">
        <v>177</v>
      </c>
      <c r="DG3503">
        <v>5440315</v>
      </c>
      <c r="DI3503">
        <v>1</v>
      </c>
      <c r="DJ3503">
        <v>0</v>
      </c>
      <c r="DK3503">
        <v>1</v>
      </c>
      <c r="DL3503">
        <v>0</v>
      </c>
      <c r="DM3503">
        <v>0</v>
      </c>
      <c r="DN3503">
        <v>1</v>
      </c>
      <c r="DO3503">
        <v>0</v>
      </c>
      <c r="DP3503">
        <v>0</v>
      </c>
      <c r="DQ3503">
        <v>0</v>
      </c>
      <c r="DR3503">
        <v>0</v>
      </c>
      <c r="DS3503">
        <v>0</v>
      </c>
    </row>
    <row r="3504" spans="1:123" x14ac:dyDescent="0.3">
      <c r="A3504" t="str">
        <f>"10/04/2022 19:34:58.340"</f>
        <v>10/04/2022 19:34:58.340</v>
      </c>
      <c r="C3504" t="str">
        <f t="shared" si="1281"/>
        <v>FFDFD3C0</v>
      </c>
      <c r="D3504" t="s">
        <v>143</v>
      </c>
      <c r="E3504">
        <v>20</v>
      </c>
      <c r="F3504">
        <v>1020</v>
      </c>
      <c r="G3504" t="s">
        <v>144</v>
      </c>
      <c r="J3504" t="s">
        <v>145</v>
      </c>
      <c r="K3504">
        <v>0</v>
      </c>
      <c r="L3504">
        <v>3</v>
      </c>
      <c r="M3504">
        <v>0</v>
      </c>
      <c r="N3504">
        <v>2</v>
      </c>
      <c r="O3504">
        <v>0</v>
      </c>
      <c r="P3504">
        <v>1</v>
      </c>
      <c r="Q3504">
        <v>0</v>
      </c>
      <c r="S3504" t="str">
        <f t="shared" si="1279"/>
        <v>19:34:58.000</v>
      </c>
      <c r="T3504" t="str">
        <f t="shared" si="1279"/>
        <v>19:34:58.000</v>
      </c>
      <c r="U3504" t="str">
        <f t="shared" si="1264"/>
        <v>AC3944</v>
      </c>
      <c r="V3504">
        <v>0</v>
      </c>
      <c r="W3504">
        <v>0</v>
      </c>
      <c r="X3504">
        <v>2</v>
      </c>
      <c r="Y3504">
        <v>0</v>
      </c>
      <c r="AA3504">
        <v>1</v>
      </c>
      <c r="AB3504">
        <v>8</v>
      </c>
      <c r="AC3504">
        <v>3</v>
      </c>
      <c r="AD3504">
        <v>0</v>
      </c>
      <c r="AE3504">
        <v>9</v>
      </c>
      <c r="AF3504" t="s">
        <v>138</v>
      </c>
      <c r="AG3504">
        <v>0</v>
      </c>
      <c r="AH3504">
        <v>3</v>
      </c>
      <c r="AI3504">
        <v>1</v>
      </c>
      <c r="AJ3504">
        <v>0</v>
      </c>
      <c r="AK3504" t="s">
        <v>1147</v>
      </c>
      <c r="AL3504">
        <v>32.733013999999997</v>
      </c>
      <c r="AM3504" t="s">
        <v>1148</v>
      </c>
      <c r="AN3504">
        <v>-116.735787</v>
      </c>
      <c r="AO3504">
        <v>25</v>
      </c>
      <c r="AP3504">
        <v>4300</v>
      </c>
      <c r="AQ3504" t="s">
        <v>129</v>
      </c>
      <c r="AR3504">
        <v>107</v>
      </c>
      <c r="AS3504">
        <v>49</v>
      </c>
      <c r="AT3504">
        <v>448</v>
      </c>
      <c r="BB3504">
        <v>1200</v>
      </c>
      <c r="BC3504">
        <v>1</v>
      </c>
      <c r="BD3504" t="str">
        <f t="shared" si="1265"/>
        <v xml:space="preserve">N887QR  </v>
      </c>
      <c r="BE3504">
        <v>1</v>
      </c>
      <c r="BG3504">
        <v>0</v>
      </c>
      <c r="BH3504">
        <v>0</v>
      </c>
      <c r="BI3504">
        <v>0</v>
      </c>
      <c r="BJ3504">
        <v>4100</v>
      </c>
      <c r="BK3504">
        <v>-200</v>
      </c>
      <c r="BL3504" t="s">
        <v>163</v>
      </c>
      <c r="BM3504">
        <v>1</v>
      </c>
      <c r="BN3504">
        <v>1</v>
      </c>
      <c r="BO3504">
        <v>1</v>
      </c>
      <c r="BP3504">
        <v>0</v>
      </c>
      <c r="BS3504">
        <v>0</v>
      </c>
      <c r="BT3504">
        <v>0</v>
      </c>
      <c r="BU3504">
        <v>0</v>
      </c>
      <c r="CE3504" t="str">
        <f t="shared" si="1280"/>
        <v>19:34:58.125</v>
      </c>
      <c r="CF3504">
        <v>124785136</v>
      </c>
      <c r="CS3504">
        <v>0</v>
      </c>
      <c r="CT3504">
        <v>2</v>
      </c>
      <c r="CU3504">
        <v>0</v>
      </c>
      <c r="CV3504">
        <v>2</v>
      </c>
      <c r="CW3504">
        <v>0</v>
      </c>
      <c r="CX3504">
        <v>5</v>
      </c>
      <c r="CY3504">
        <v>7</v>
      </c>
      <c r="CZ3504" t="s">
        <v>131</v>
      </c>
      <c r="DA3504">
        <v>300</v>
      </c>
      <c r="DB3504">
        <v>0</v>
      </c>
      <c r="DC3504" t="s">
        <v>176</v>
      </c>
      <c r="DD3504" t="s">
        <v>177</v>
      </c>
      <c r="DG3504">
        <v>5440315</v>
      </c>
      <c r="DI3504">
        <v>1</v>
      </c>
      <c r="DJ3504">
        <v>0</v>
      </c>
      <c r="DK3504">
        <v>1</v>
      </c>
      <c r="DL3504">
        <v>0</v>
      </c>
      <c r="DM3504">
        <v>0</v>
      </c>
      <c r="DN3504">
        <v>1</v>
      </c>
      <c r="DO3504">
        <v>0</v>
      </c>
      <c r="DP3504">
        <v>0</v>
      </c>
      <c r="DQ3504">
        <v>0</v>
      </c>
      <c r="DR3504">
        <v>0</v>
      </c>
      <c r="DS3504">
        <v>0</v>
      </c>
    </row>
    <row r="3505" spans="1:123" x14ac:dyDescent="0.3">
      <c r="A3505" t="str">
        <f t="shared" ref="A3505:A3511" si="1282">"10/04/2022 19:34:59.246"</f>
        <v>10/04/2022 19:34:59.246</v>
      </c>
      <c r="C3505" t="str">
        <f t="shared" si="1281"/>
        <v>FFDFD3C0</v>
      </c>
      <c r="D3505" t="s">
        <v>143</v>
      </c>
      <c r="E3505">
        <v>20</v>
      </c>
      <c r="F3505">
        <v>1020</v>
      </c>
      <c r="G3505" t="s">
        <v>144</v>
      </c>
      <c r="J3505" t="s">
        <v>145</v>
      </c>
      <c r="K3505">
        <v>0</v>
      </c>
      <c r="L3505">
        <v>3</v>
      </c>
      <c r="M3505">
        <v>0</v>
      </c>
      <c r="N3505">
        <v>2</v>
      </c>
      <c r="O3505">
        <v>0</v>
      </c>
      <c r="P3505">
        <v>1</v>
      </c>
      <c r="Q3505">
        <v>0</v>
      </c>
      <c r="S3505" t="str">
        <f t="shared" si="1279"/>
        <v>19:34:58.000</v>
      </c>
      <c r="T3505" t="str">
        <f t="shared" si="1279"/>
        <v>19:34:58.000</v>
      </c>
      <c r="U3505" t="str">
        <f t="shared" si="1264"/>
        <v>AC3944</v>
      </c>
      <c r="V3505">
        <v>0</v>
      </c>
      <c r="W3505">
        <v>0</v>
      </c>
      <c r="X3505">
        <v>2</v>
      </c>
      <c r="Y3505">
        <v>0</v>
      </c>
      <c r="AA3505">
        <v>1</v>
      </c>
      <c r="AB3505">
        <v>8</v>
      </c>
      <c r="AC3505">
        <v>3</v>
      </c>
      <c r="AD3505">
        <v>0</v>
      </c>
      <c r="AE3505">
        <v>9</v>
      </c>
      <c r="AF3505" t="s">
        <v>138</v>
      </c>
      <c r="AG3505">
        <v>0</v>
      </c>
      <c r="AH3505">
        <v>3</v>
      </c>
      <c r="AI3505">
        <v>1</v>
      </c>
      <c r="AJ3505">
        <v>0</v>
      </c>
      <c r="AK3505" t="s">
        <v>1149</v>
      </c>
      <c r="AL3505">
        <v>32.733227999999997</v>
      </c>
      <c r="AM3505" t="s">
        <v>1150</v>
      </c>
      <c r="AN3505">
        <v>-116.735187</v>
      </c>
      <c r="AO3505">
        <v>25</v>
      </c>
      <c r="AP3505">
        <v>4300</v>
      </c>
      <c r="AQ3505" t="s">
        <v>129</v>
      </c>
      <c r="AR3505">
        <v>107</v>
      </c>
      <c r="AS3505">
        <v>49</v>
      </c>
      <c r="AT3505">
        <v>512</v>
      </c>
      <c r="BB3505">
        <v>1200</v>
      </c>
      <c r="BC3505">
        <v>1</v>
      </c>
      <c r="BD3505" t="str">
        <f t="shared" si="1265"/>
        <v xml:space="preserve">N887QR  </v>
      </c>
      <c r="BE3505">
        <v>1</v>
      </c>
      <c r="BG3505">
        <v>0</v>
      </c>
      <c r="BH3505">
        <v>0</v>
      </c>
      <c r="BI3505">
        <v>0</v>
      </c>
      <c r="BJ3505">
        <v>4100</v>
      </c>
      <c r="BK3505">
        <v>-200</v>
      </c>
      <c r="BL3505" t="s">
        <v>163</v>
      </c>
      <c r="BM3505">
        <v>1</v>
      </c>
      <c r="BN3505">
        <v>1</v>
      </c>
      <c r="BO3505">
        <v>1</v>
      </c>
      <c r="BP3505">
        <v>0</v>
      </c>
      <c r="BS3505">
        <v>0</v>
      </c>
      <c r="BT3505">
        <v>0</v>
      </c>
      <c r="BU3505">
        <v>0</v>
      </c>
      <c r="CE3505" t="str">
        <f t="shared" ref="CE3505:CE3511" si="1283">"19:34:58.966"</f>
        <v>19:34:58.966</v>
      </c>
      <c r="CF3505">
        <v>966473945</v>
      </c>
      <c r="CS3505">
        <v>0</v>
      </c>
      <c r="CT3505">
        <v>2</v>
      </c>
      <c r="CU3505">
        <v>0</v>
      </c>
      <c r="CV3505">
        <v>2</v>
      </c>
      <c r="CW3505">
        <v>0</v>
      </c>
      <c r="CX3505">
        <v>5</v>
      </c>
      <c r="CY3505">
        <v>7</v>
      </c>
      <c r="CZ3505" t="s">
        <v>131</v>
      </c>
      <c r="DA3505">
        <v>286</v>
      </c>
      <c r="DB3505">
        <v>0</v>
      </c>
      <c r="DC3505" t="s">
        <v>132</v>
      </c>
      <c r="DD3505" t="s">
        <v>133</v>
      </c>
      <c r="DG3505">
        <v>881192</v>
      </c>
      <c r="DI3505">
        <v>1</v>
      </c>
      <c r="DJ3505">
        <v>0</v>
      </c>
      <c r="DK3505">
        <v>0</v>
      </c>
      <c r="DL3505">
        <v>0</v>
      </c>
      <c r="DM3505">
        <v>0</v>
      </c>
      <c r="DN3505">
        <v>1</v>
      </c>
      <c r="DO3505">
        <v>0</v>
      </c>
      <c r="DP3505">
        <v>0</v>
      </c>
      <c r="DQ3505">
        <v>0</v>
      </c>
      <c r="DR3505">
        <v>0</v>
      </c>
      <c r="DS3505">
        <v>0</v>
      </c>
    </row>
    <row r="3506" spans="1:123" x14ac:dyDescent="0.3">
      <c r="A3506" t="str">
        <f t="shared" si="1282"/>
        <v>10/04/2022 19:34:59.246</v>
      </c>
      <c r="C3506" t="str">
        <f t="shared" si="1281"/>
        <v>FFDFD3C0</v>
      </c>
      <c r="D3506" t="s">
        <v>123</v>
      </c>
      <c r="E3506">
        <v>7</v>
      </c>
      <c r="F3506">
        <v>2007</v>
      </c>
      <c r="G3506" t="s">
        <v>124</v>
      </c>
      <c r="J3506" t="s">
        <v>125</v>
      </c>
      <c r="K3506">
        <v>0</v>
      </c>
      <c r="L3506">
        <v>3</v>
      </c>
      <c r="M3506">
        <v>0</v>
      </c>
      <c r="N3506">
        <v>2</v>
      </c>
      <c r="O3506">
        <v>0</v>
      </c>
      <c r="P3506">
        <v>1</v>
      </c>
      <c r="Q3506">
        <v>0</v>
      </c>
      <c r="S3506" t="str">
        <f t="shared" si="1279"/>
        <v>19:34:58.000</v>
      </c>
      <c r="T3506" t="str">
        <f t="shared" si="1279"/>
        <v>19:34:58.000</v>
      </c>
      <c r="U3506" t="str">
        <f t="shared" si="1264"/>
        <v>AC3944</v>
      </c>
      <c r="V3506">
        <v>0</v>
      </c>
      <c r="W3506">
        <v>0</v>
      </c>
      <c r="X3506">
        <v>2</v>
      </c>
      <c r="Y3506">
        <v>0</v>
      </c>
      <c r="AA3506">
        <v>1</v>
      </c>
      <c r="AB3506">
        <v>8</v>
      </c>
      <c r="AC3506">
        <v>3</v>
      </c>
      <c r="AD3506">
        <v>0</v>
      </c>
      <c r="AE3506">
        <v>9</v>
      </c>
      <c r="AF3506" t="s">
        <v>138</v>
      </c>
      <c r="AG3506">
        <v>0</v>
      </c>
      <c r="AH3506">
        <v>3</v>
      </c>
      <c r="AI3506">
        <v>1</v>
      </c>
      <c r="AJ3506">
        <v>0</v>
      </c>
      <c r="AK3506" t="s">
        <v>1149</v>
      </c>
      <c r="AL3506">
        <v>32.733227999999997</v>
      </c>
      <c r="AM3506" t="s">
        <v>1150</v>
      </c>
      <c r="AN3506">
        <v>-116.735187</v>
      </c>
      <c r="AO3506">
        <v>25</v>
      </c>
      <c r="AP3506">
        <v>4300</v>
      </c>
      <c r="AQ3506" t="s">
        <v>129</v>
      </c>
      <c r="AR3506">
        <v>107</v>
      </c>
      <c r="AS3506">
        <v>49</v>
      </c>
      <c r="AT3506">
        <v>512</v>
      </c>
      <c r="BB3506">
        <v>1200</v>
      </c>
      <c r="BC3506">
        <v>1</v>
      </c>
      <c r="BD3506" t="str">
        <f t="shared" si="1265"/>
        <v xml:space="preserve">N887QR  </v>
      </c>
      <c r="BE3506">
        <v>1</v>
      </c>
      <c r="BG3506">
        <v>0</v>
      </c>
      <c r="BH3506">
        <v>0</v>
      </c>
      <c r="BI3506">
        <v>0</v>
      </c>
      <c r="BJ3506">
        <v>4100</v>
      </c>
      <c r="BK3506">
        <v>-200</v>
      </c>
      <c r="BL3506" t="s">
        <v>163</v>
      </c>
      <c r="BM3506">
        <v>1</v>
      </c>
      <c r="BN3506">
        <v>1</v>
      </c>
      <c r="BO3506">
        <v>1</v>
      </c>
      <c r="BP3506">
        <v>0</v>
      </c>
      <c r="BS3506">
        <v>0</v>
      </c>
      <c r="BT3506">
        <v>0</v>
      </c>
      <c r="BU3506">
        <v>0</v>
      </c>
      <c r="CE3506" t="str">
        <f t="shared" si="1283"/>
        <v>19:34:58.966</v>
      </c>
      <c r="CF3506">
        <v>966473945</v>
      </c>
      <c r="CS3506">
        <v>0</v>
      </c>
      <c r="CT3506">
        <v>2</v>
      </c>
      <c r="CU3506">
        <v>0</v>
      </c>
      <c r="CV3506">
        <v>2</v>
      </c>
      <c r="CW3506">
        <v>0</v>
      </c>
      <c r="CX3506">
        <v>5</v>
      </c>
      <c r="CY3506">
        <v>7</v>
      </c>
      <c r="CZ3506" t="s">
        <v>131</v>
      </c>
      <c r="DA3506">
        <v>286</v>
      </c>
      <c r="DB3506">
        <v>0</v>
      </c>
      <c r="DC3506" t="s">
        <v>132</v>
      </c>
      <c r="DD3506" t="s">
        <v>133</v>
      </c>
      <c r="DG3506">
        <v>881192</v>
      </c>
      <c r="DI3506">
        <v>1</v>
      </c>
      <c r="DJ3506">
        <v>0</v>
      </c>
      <c r="DK3506">
        <v>1</v>
      </c>
      <c r="DL3506">
        <v>0</v>
      </c>
      <c r="DM3506">
        <v>0</v>
      </c>
      <c r="DN3506">
        <v>1</v>
      </c>
      <c r="DO3506">
        <v>0</v>
      </c>
      <c r="DP3506">
        <v>0</v>
      </c>
      <c r="DQ3506">
        <v>0</v>
      </c>
      <c r="DR3506">
        <v>0</v>
      </c>
      <c r="DS3506">
        <v>0</v>
      </c>
    </row>
    <row r="3507" spans="1:123" x14ac:dyDescent="0.3">
      <c r="A3507" t="str">
        <f t="shared" si="1282"/>
        <v>10/04/2022 19:34:59.246</v>
      </c>
      <c r="C3507" t="str">
        <f t="shared" si="1281"/>
        <v>FFDFD3C0</v>
      </c>
      <c r="D3507" t="s">
        <v>136</v>
      </c>
      <c r="E3507">
        <v>8</v>
      </c>
      <c r="H3507">
        <v>225</v>
      </c>
      <c r="I3507" t="s">
        <v>137</v>
      </c>
      <c r="J3507" t="s">
        <v>138</v>
      </c>
      <c r="K3507">
        <v>0</v>
      </c>
      <c r="L3507">
        <v>3</v>
      </c>
      <c r="M3507">
        <v>0</v>
      </c>
      <c r="N3507">
        <v>2</v>
      </c>
      <c r="O3507">
        <v>0</v>
      </c>
      <c r="P3507">
        <v>1</v>
      </c>
      <c r="Q3507">
        <v>0</v>
      </c>
      <c r="S3507" t="str">
        <f t="shared" si="1279"/>
        <v>19:34:58.000</v>
      </c>
      <c r="T3507" t="str">
        <f t="shared" si="1279"/>
        <v>19:34:58.000</v>
      </c>
      <c r="U3507" t="str">
        <f t="shared" si="1264"/>
        <v>AC3944</v>
      </c>
      <c r="V3507">
        <v>0</v>
      </c>
      <c r="W3507">
        <v>0</v>
      </c>
      <c r="X3507">
        <v>2</v>
      </c>
      <c r="Y3507">
        <v>0</v>
      </c>
      <c r="AA3507">
        <v>1</v>
      </c>
      <c r="AB3507">
        <v>8</v>
      </c>
      <c r="AC3507">
        <v>3</v>
      </c>
      <c r="AD3507">
        <v>0</v>
      </c>
      <c r="AE3507">
        <v>9</v>
      </c>
      <c r="AF3507" t="s">
        <v>138</v>
      </c>
      <c r="AG3507">
        <v>0</v>
      </c>
      <c r="AH3507">
        <v>3</v>
      </c>
      <c r="AI3507">
        <v>1</v>
      </c>
      <c r="AJ3507">
        <v>0</v>
      </c>
      <c r="AK3507" t="s">
        <v>1149</v>
      </c>
      <c r="AL3507">
        <v>32.733227999999997</v>
      </c>
      <c r="AM3507" t="s">
        <v>1150</v>
      </c>
      <c r="AN3507">
        <v>-116.735187</v>
      </c>
      <c r="AO3507">
        <v>25</v>
      </c>
      <c r="AP3507">
        <v>4300</v>
      </c>
      <c r="AQ3507" t="s">
        <v>129</v>
      </c>
      <c r="AR3507">
        <v>107</v>
      </c>
      <c r="AS3507">
        <v>49</v>
      </c>
      <c r="AT3507">
        <v>512</v>
      </c>
      <c r="BB3507">
        <v>1200</v>
      </c>
      <c r="BC3507">
        <v>1</v>
      </c>
      <c r="BD3507" t="str">
        <f t="shared" si="1265"/>
        <v xml:space="preserve">N887QR  </v>
      </c>
      <c r="BE3507">
        <v>1</v>
      </c>
      <c r="BG3507">
        <v>0</v>
      </c>
      <c r="BH3507">
        <v>0</v>
      </c>
      <c r="BI3507">
        <v>0</v>
      </c>
      <c r="BJ3507">
        <v>4100</v>
      </c>
      <c r="BK3507">
        <v>-200</v>
      </c>
      <c r="BL3507" t="s">
        <v>163</v>
      </c>
      <c r="BM3507">
        <v>1</v>
      </c>
      <c r="BN3507">
        <v>1</v>
      </c>
      <c r="BO3507">
        <v>1</v>
      </c>
      <c r="BP3507">
        <v>0</v>
      </c>
      <c r="BS3507">
        <v>0</v>
      </c>
      <c r="BT3507">
        <v>0</v>
      </c>
      <c r="BU3507">
        <v>0</v>
      </c>
      <c r="CE3507" t="str">
        <f t="shared" si="1283"/>
        <v>19:34:58.966</v>
      </c>
      <c r="CF3507">
        <v>966473945</v>
      </c>
      <c r="CS3507">
        <v>0</v>
      </c>
      <c r="CT3507">
        <v>2</v>
      </c>
      <c r="CU3507">
        <v>0</v>
      </c>
      <c r="CV3507">
        <v>2</v>
      </c>
      <c r="CW3507">
        <v>0</v>
      </c>
      <c r="CX3507">
        <v>5</v>
      </c>
      <c r="CY3507">
        <v>7</v>
      </c>
      <c r="CZ3507" t="s">
        <v>131</v>
      </c>
      <c r="DA3507">
        <v>286</v>
      </c>
      <c r="DB3507">
        <v>0</v>
      </c>
      <c r="DC3507" t="s">
        <v>132</v>
      </c>
      <c r="DD3507" t="s">
        <v>133</v>
      </c>
      <c r="DG3507">
        <v>881192</v>
      </c>
      <c r="DI3507">
        <v>1</v>
      </c>
      <c r="DJ3507">
        <v>0</v>
      </c>
      <c r="DK3507">
        <v>1</v>
      </c>
      <c r="DL3507">
        <v>0</v>
      </c>
      <c r="DM3507">
        <v>0</v>
      </c>
      <c r="DN3507">
        <v>1</v>
      </c>
      <c r="DO3507">
        <v>0</v>
      </c>
      <c r="DP3507">
        <v>0</v>
      </c>
      <c r="DQ3507">
        <v>0</v>
      </c>
      <c r="DR3507">
        <v>0</v>
      </c>
      <c r="DS3507">
        <v>0</v>
      </c>
    </row>
    <row r="3508" spans="1:123" x14ac:dyDescent="0.3">
      <c r="A3508" t="str">
        <f t="shared" si="1282"/>
        <v>10/04/2022 19:34:59.246</v>
      </c>
      <c r="C3508" t="str">
        <f t="shared" si="1281"/>
        <v>FFDFD3C0</v>
      </c>
      <c r="D3508" t="s">
        <v>141</v>
      </c>
      <c r="E3508">
        <v>3</v>
      </c>
      <c r="H3508">
        <v>3</v>
      </c>
      <c r="I3508" t="s">
        <v>146</v>
      </c>
      <c r="J3508" t="s">
        <v>138</v>
      </c>
      <c r="K3508">
        <v>0</v>
      </c>
      <c r="L3508">
        <v>3</v>
      </c>
      <c r="M3508">
        <v>0</v>
      </c>
      <c r="N3508">
        <v>2</v>
      </c>
      <c r="O3508">
        <v>0</v>
      </c>
      <c r="P3508">
        <v>1</v>
      </c>
      <c r="Q3508">
        <v>0</v>
      </c>
      <c r="S3508" t="str">
        <f t="shared" si="1279"/>
        <v>19:34:58.000</v>
      </c>
      <c r="T3508" t="str">
        <f t="shared" si="1279"/>
        <v>19:34:58.000</v>
      </c>
      <c r="U3508" t="str">
        <f t="shared" si="1264"/>
        <v>AC3944</v>
      </c>
      <c r="V3508">
        <v>0</v>
      </c>
      <c r="W3508">
        <v>0</v>
      </c>
      <c r="X3508">
        <v>2</v>
      </c>
      <c r="Y3508">
        <v>0</v>
      </c>
      <c r="AA3508">
        <v>1</v>
      </c>
      <c r="AB3508">
        <v>8</v>
      </c>
      <c r="AC3508">
        <v>3</v>
      </c>
      <c r="AD3508">
        <v>0</v>
      </c>
      <c r="AE3508">
        <v>9</v>
      </c>
      <c r="AF3508" t="s">
        <v>138</v>
      </c>
      <c r="AG3508">
        <v>0</v>
      </c>
      <c r="AH3508">
        <v>3</v>
      </c>
      <c r="AI3508">
        <v>1</v>
      </c>
      <c r="AJ3508">
        <v>0</v>
      </c>
      <c r="AK3508" t="s">
        <v>1149</v>
      </c>
      <c r="AL3508">
        <v>32.733227999999997</v>
      </c>
      <c r="AM3508" t="s">
        <v>1150</v>
      </c>
      <c r="AN3508">
        <v>-116.735187</v>
      </c>
      <c r="AO3508">
        <v>25</v>
      </c>
      <c r="AP3508">
        <v>4300</v>
      </c>
      <c r="AQ3508" t="s">
        <v>129</v>
      </c>
      <c r="AR3508">
        <v>107</v>
      </c>
      <c r="AS3508">
        <v>49</v>
      </c>
      <c r="AT3508">
        <v>512</v>
      </c>
      <c r="BB3508">
        <v>1200</v>
      </c>
      <c r="BC3508">
        <v>1</v>
      </c>
      <c r="BD3508" t="str">
        <f t="shared" si="1265"/>
        <v xml:space="preserve">N887QR  </v>
      </c>
      <c r="BE3508">
        <v>1</v>
      </c>
      <c r="BG3508">
        <v>0</v>
      </c>
      <c r="BH3508">
        <v>0</v>
      </c>
      <c r="BI3508">
        <v>0</v>
      </c>
      <c r="BJ3508">
        <v>4100</v>
      </c>
      <c r="BK3508">
        <v>-200</v>
      </c>
      <c r="BL3508" t="s">
        <v>163</v>
      </c>
      <c r="BM3508">
        <v>1</v>
      </c>
      <c r="BN3508">
        <v>1</v>
      </c>
      <c r="BO3508">
        <v>1</v>
      </c>
      <c r="BP3508">
        <v>0</v>
      </c>
      <c r="BS3508">
        <v>0</v>
      </c>
      <c r="BT3508">
        <v>0</v>
      </c>
      <c r="BU3508">
        <v>0</v>
      </c>
      <c r="CE3508" t="str">
        <f t="shared" si="1283"/>
        <v>19:34:58.966</v>
      </c>
      <c r="CF3508">
        <v>966473945</v>
      </c>
      <c r="CS3508">
        <v>0</v>
      </c>
      <c r="CT3508">
        <v>2</v>
      </c>
      <c r="CU3508">
        <v>0</v>
      </c>
      <c r="CV3508">
        <v>2</v>
      </c>
      <c r="CW3508">
        <v>0</v>
      </c>
      <c r="CX3508">
        <v>5</v>
      </c>
      <c r="CY3508">
        <v>7</v>
      </c>
      <c r="CZ3508" t="s">
        <v>131</v>
      </c>
      <c r="DA3508">
        <v>286</v>
      </c>
      <c r="DB3508">
        <v>0</v>
      </c>
      <c r="DC3508" t="s">
        <v>132</v>
      </c>
      <c r="DD3508" t="s">
        <v>133</v>
      </c>
      <c r="DG3508">
        <v>881192</v>
      </c>
      <c r="DI3508">
        <v>1</v>
      </c>
      <c r="DJ3508">
        <v>0</v>
      </c>
      <c r="DK3508">
        <v>1</v>
      </c>
      <c r="DL3508">
        <v>0</v>
      </c>
      <c r="DM3508">
        <v>0</v>
      </c>
      <c r="DN3508">
        <v>1</v>
      </c>
      <c r="DO3508">
        <v>0</v>
      </c>
      <c r="DP3508">
        <v>0</v>
      </c>
      <c r="DQ3508">
        <v>0</v>
      </c>
      <c r="DR3508">
        <v>0</v>
      </c>
      <c r="DS3508">
        <v>0</v>
      </c>
    </row>
    <row r="3509" spans="1:123" x14ac:dyDescent="0.3">
      <c r="A3509" t="str">
        <f t="shared" si="1282"/>
        <v>10/04/2022 19:34:59.246</v>
      </c>
      <c r="C3509" t="str">
        <f t="shared" si="1281"/>
        <v>FFDFD3C0</v>
      </c>
      <c r="D3509" t="s">
        <v>147</v>
      </c>
      <c r="E3509">
        <v>3</v>
      </c>
      <c r="H3509">
        <v>166</v>
      </c>
      <c r="I3509" t="s">
        <v>144</v>
      </c>
      <c r="J3509" t="s">
        <v>148</v>
      </c>
      <c r="K3509">
        <v>0</v>
      </c>
      <c r="L3509">
        <v>3</v>
      </c>
      <c r="M3509">
        <v>0</v>
      </c>
      <c r="N3509">
        <v>2</v>
      </c>
      <c r="O3509">
        <v>0</v>
      </c>
      <c r="P3509">
        <v>1</v>
      </c>
      <c r="Q3509">
        <v>0</v>
      </c>
      <c r="S3509" t="str">
        <f t="shared" si="1279"/>
        <v>19:34:58.000</v>
      </c>
      <c r="T3509" t="str">
        <f t="shared" si="1279"/>
        <v>19:34:58.000</v>
      </c>
      <c r="U3509" t="str">
        <f t="shared" si="1264"/>
        <v>AC3944</v>
      </c>
      <c r="V3509">
        <v>0</v>
      </c>
      <c r="W3509">
        <v>0</v>
      </c>
      <c r="X3509">
        <v>2</v>
      </c>
      <c r="Y3509">
        <v>0</v>
      </c>
      <c r="AA3509">
        <v>1</v>
      </c>
      <c r="AB3509">
        <v>8</v>
      </c>
      <c r="AC3509">
        <v>3</v>
      </c>
      <c r="AD3509">
        <v>0</v>
      </c>
      <c r="AE3509">
        <v>9</v>
      </c>
      <c r="AF3509" t="s">
        <v>138</v>
      </c>
      <c r="AG3509">
        <v>0</v>
      </c>
      <c r="AH3509">
        <v>3</v>
      </c>
      <c r="AI3509">
        <v>1</v>
      </c>
      <c r="AJ3509">
        <v>0</v>
      </c>
      <c r="AK3509" t="s">
        <v>1149</v>
      </c>
      <c r="AL3509">
        <v>32.733227999999997</v>
      </c>
      <c r="AM3509" t="s">
        <v>1150</v>
      </c>
      <c r="AN3509">
        <v>-116.735187</v>
      </c>
      <c r="AO3509">
        <v>25</v>
      </c>
      <c r="AP3509">
        <v>4300</v>
      </c>
      <c r="AQ3509" t="s">
        <v>129</v>
      </c>
      <c r="AR3509">
        <v>107</v>
      </c>
      <c r="AS3509">
        <v>49</v>
      </c>
      <c r="AT3509">
        <v>512</v>
      </c>
      <c r="BB3509">
        <v>1200</v>
      </c>
      <c r="BC3509">
        <v>1</v>
      </c>
      <c r="BD3509" t="str">
        <f t="shared" si="1265"/>
        <v xml:space="preserve">N887QR  </v>
      </c>
      <c r="BE3509">
        <v>1</v>
      </c>
      <c r="BG3509">
        <v>0</v>
      </c>
      <c r="BH3509">
        <v>0</v>
      </c>
      <c r="BI3509">
        <v>0</v>
      </c>
      <c r="BJ3509">
        <v>4100</v>
      </c>
      <c r="BK3509">
        <v>-200</v>
      </c>
      <c r="BL3509" t="s">
        <v>163</v>
      </c>
      <c r="BM3509">
        <v>1</v>
      </c>
      <c r="BN3509">
        <v>1</v>
      </c>
      <c r="BO3509">
        <v>1</v>
      </c>
      <c r="BP3509">
        <v>0</v>
      </c>
      <c r="BS3509">
        <v>0</v>
      </c>
      <c r="BT3509">
        <v>0</v>
      </c>
      <c r="BU3509">
        <v>0</v>
      </c>
      <c r="CE3509" t="str">
        <f t="shared" si="1283"/>
        <v>19:34:58.966</v>
      </c>
      <c r="CF3509">
        <v>966473945</v>
      </c>
      <c r="CS3509">
        <v>0</v>
      </c>
      <c r="CT3509">
        <v>2</v>
      </c>
      <c r="CU3509">
        <v>0</v>
      </c>
      <c r="CV3509">
        <v>2</v>
      </c>
      <c r="CW3509">
        <v>0</v>
      </c>
      <c r="CX3509">
        <v>5</v>
      </c>
      <c r="CY3509">
        <v>7</v>
      </c>
      <c r="CZ3509" t="s">
        <v>131</v>
      </c>
      <c r="DA3509">
        <v>286</v>
      </c>
      <c r="DB3509">
        <v>0</v>
      </c>
      <c r="DC3509" t="s">
        <v>132</v>
      </c>
      <c r="DD3509" t="s">
        <v>133</v>
      </c>
      <c r="DG3509">
        <v>881192</v>
      </c>
      <c r="DI3509">
        <v>1</v>
      </c>
      <c r="DJ3509">
        <v>0</v>
      </c>
      <c r="DK3509">
        <v>1</v>
      </c>
      <c r="DL3509">
        <v>0</v>
      </c>
      <c r="DM3509">
        <v>0</v>
      </c>
      <c r="DN3509">
        <v>1</v>
      </c>
      <c r="DO3509">
        <v>0</v>
      </c>
      <c r="DP3509">
        <v>0</v>
      </c>
      <c r="DQ3509">
        <v>0</v>
      </c>
      <c r="DR3509">
        <v>0</v>
      </c>
      <c r="DS3509">
        <v>0</v>
      </c>
    </row>
    <row r="3510" spans="1:123" x14ac:dyDescent="0.3">
      <c r="A3510" t="str">
        <f t="shared" si="1282"/>
        <v>10/04/2022 19:34:59.246</v>
      </c>
      <c r="C3510" t="str">
        <f t="shared" si="1281"/>
        <v>FFDFD3C0</v>
      </c>
      <c r="D3510" t="s">
        <v>134</v>
      </c>
      <c r="E3510">
        <v>15</v>
      </c>
      <c r="J3510" t="s">
        <v>135</v>
      </c>
      <c r="K3510">
        <v>0</v>
      </c>
      <c r="L3510">
        <v>3</v>
      </c>
      <c r="M3510">
        <v>0</v>
      </c>
      <c r="N3510">
        <v>2</v>
      </c>
      <c r="O3510">
        <v>0</v>
      </c>
      <c r="P3510">
        <v>1</v>
      </c>
      <c r="Q3510">
        <v>0</v>
      </c>
      <c r="S3510" t="str">
        <f t="shared" si="1279"/>
        <v>19:34:58.000</v>
      </c>
      <c r="T3510" t="str">
        <f t="shared" si="1279"/>
        <v>19:34:58.000</v>
      </c>
      <c r="U3510" t="str">
        <f t="shared" si="1264"/>
        <v>AC3944</v>
      </c>
      <c r="V3510">
        <v>0</v>
      </c>
      <c r="W3510">
        <v>0</v>
      </c>
      <c r="X3510">
        <v>2</v>
      </c>
      <c r="Y3510">
        <v>0</v>
      </c>
      <c r="AA3510">
        <v>1</v>
      </c>
      <c r="AB3510">
        <v>8</v>
      </c>
      <c r="AC3510">
        <v>3</v>
      </c>
      <c r="AD3510">
        <v>0</v>
      </c>
      <c r="AE3510">
        <v>9</v>
      </c>
      <c r="AF3510" t="s">
        <v>138</v>
      </c>
      <c r="AG3510">
        <v>0</v>
      </c>
      <c r="AH3510">
        <v>3</v>
      </c>
      <c r="AI3510">
        <v>1</v>
      </c>
      <c r="AJ3510">
        <v>0</v>
      </c>
      <c r="AK3510" t="s">
        <v>1149</v>
      </c>
      <c r="AL3510">
        <v>32.733227999999997</v>
      </c>
      <c r="AM3510" t="s">
        <v>1150</v>
      </c>
      <c r="AN3510">
        <v>-116.735187</v>
      </c>
      <c r="AO3510">
        <v>25</v>
      </c>
      <c r="AP3510">
        <v>4300</v>
      </c>
      <c r="AQ3510" t="s">
        <v>129</v>
      </c>
      <c r="AR3510">
        <v>107</v>
      </c>
      <c r="AS3510">
        <v>49</v>
      </c>
      <c r="AT3510">
        <v>512</v>
      </c>
      <c r="BB3510">
        <v>1200</v>
      </c>
      <c r="BC3510">
        <v>1</v>
      </c>
      <c r="BD3510" t="str">
        <f t="shared" si="1265"/>
        <v xml:space="preserve">N887QR  </v>
      </c>
      <c r="BE3510">
        <v>1</v>
      </c>
      <c r="BG3510">
        <v>0</v>
      </c>
      <c r="BH3510">
        <v>0</v>
      </c>
      <c r="BI3510">
        <v>0</v>
      </c>
      <c r="BJ3510">
        <v>4100</v>
      </c>
      <c r="BK3510">
        <v>-200</v>
      </c>
      <c r="BL3510" t="s">
        <v>163</v>
      </c>
      <c r="BM3510">
        <v>1</v>
      </c>
      <c r="BN3510">
        <v>1</v>
      </c>
      <c r="BO3510">
        <v>1</v>
      </c>
      <c r="BP3510">
        <v>0</v>
      </c>
      <c r="BS3510">
        <v>0</v>
      </c>
      <c r="BT3510">
        <v>0</v>
      </c>
      <c r="BU3510">
        <v>0</v>
      </c>
      <c r="CE3510" t="str">
        <f t="shared" si="1283"/>
        <v>19:34:58.966</v>
      </c>
      <c r="CF3510">
        <v>966473945</v>
      </c>
      <c r="CS3510">
        <v>0</v>
      </c>
      <c r="CT3510">
        <v>2</v>
      </c>
      <c r="CU3510">
        <v>0</v>
      </c>
      <c r="CV3510">
        <v>2</v>
      </c>
      <c r="CW3510">
        <v>0</v>
      </c>
      <c r="CX3510">
        <v>5</v>
      </c>
      <c r="CY3510">
        <v>7</v>
      </c>
      <c r="CZ3510" t="s">
        <v>131</v>
      </c>
      <c r="DA3510">
        <v>286</v>
      </c>
      <c r="DB3510">
        <v>0</v>
      </c>
      <c r="DC3510" t="s">
        <v>132</v>
      </c>
      <c r="DD3510" t="s">
        <v>133</v>
      </c>
      <c r="DG3510">
        <v>881192</v>
      </c>
      <c r="DI3510">
        <v>1</v>
      </c>
      <c r="DJ3510">
        <v>0</v>
      </c>
      <c r="DK3510">
        <v>1</v>
      </c>
      <c r="DL3510">
        <v>0</v>
      </c>
      <c r="DM3510">
        <v>0</v>
      </c>
      <c r="DN3510">
        <v>1</v>
      </c>
      <c r="DO3510">
        <v>0</v>
      </c>
      <c r="DP3510">
        <v>0</v>
      </c>
      <c r="DQ3510">
        <v>0</v>
      </c>
      <c r="DR3510">
        <v>0</v>
      </c>
      <c r="DS3510">
        <v>0</v>
      </c>
    </row>
    <row r="3511" spans="1:123" x14ac:dyDescent="0.3">
      <c r="A3511" t="str">
        <f t="shared" si="1282"/>
        <v>10/04/2022 19:34:59.246</v>
      </c>
      <c r="C3511" t="str">
        <f t="shared" si="1281"/>
        <v>FFDFD3C0</v>
      </c>
      <c r="D3511" t="s">
        <v>141</v>
      </c>
      <c r="E3511">
        <v>4</v>
      </c>
      <c r="H3511">
        <v>4</v>
      </c>
      <c r="I3511" t="s">
        <v>142</v>
      </c>
      <c r="J3511" t="s">
        <v>138</v>
      </c>
      <c r="K3511">
        <v>0</v>
      </c>
      <c r="L3511">
        <v>3</v>
      </c>
      <c r="M3511">
        <v>0</v>
      </c>
      <c r="N3511">
        <v>2</v>
      </c>
      <c r="O3511">
        <v>0</v>
      </c>
      <c r="P3511">
        <v>1</v>
      </c>
      <c r="Q3511">
        <v>0</v>
      </c>
      <c r="S3511" t="str">
        <f t="shared" si="1279"/>
        <v>19:34:58.000</v>
      </c>
      <c r="T3511" t="str">
        <f t="shared" si="1279"/>
        <v>19:34:58.000</v>
      </c>
      <c r="U3511" t="str">
        <f t="shared" si="1264"/>
        <v>AC3944</v>
      </c>
      <c r="V3511">
        <v>0</v>
      </c>
      <c r="W3511">
        <v>0</v>
      </c>
      <c r="X3511">
        <v>2</v>
      </c>
      <c r="Y3511">
        <v>0</v>
      </c>
      <c r="AA3511">
        <v>1</v>
      </c>
      <c r="AB3511">
        <v>8</v>
      </c>
      <c r="AC3511">
        <v>3</v>
      </c>
      <c r="AD3511">
        <v>0</v>
      </c>
      <c r="AE3511">
        <v>9</v>
      </c>
      <c r="AF3511" t="s">
        <v>138</v>
      </c>
      <c r="AG3511">
        <v>0</v>
      </c>
      <c r="AH3511">
        <v>3</v>
      </c>
      <c r="AI3511">
        <v>1</v>
      </c>
      <c r="AJ3511">
        <v>0</v>
      </c>
      <c r="AK3511" t="s">
        <v>1149</v>
      </c>
      <c r="AL3511">
        <v>32.733227999999997</v>
      </c>
      <c r="AM3511" t="s">
        <v>1150</v>
      </c>
      <c r="AN3511">
        <v>-116.735187</v>
      </c>
      <c r="AO3511">
        <v>25</v>
      </c>
      <c r="AP3511">
        <v>4300</v>
      </c>
      <c r="AQ3511" t="s">
        <v>129</v>
      </c>
      <c r="AR3511">
        <v>107</v>
      </c>
      <c r="AS3511">
        <v>49</v>
      </c>
      <c r="AT3511">
        <v>512</v>
      </c>
      <c r="BB3511">
        <v>1200</v>
      </c>
      <c r="BC3511">
        <v>1</v>
      </c>
      <c r="BD3511" t="str">
        <f t="shared" si="1265"/>
        <v xml:space="preserve">N887QR  </v>
      </c>
      <c r="BE3511">
        <v>1</v>
      </c>
      <c r="BG3511">
        <v>0</v>
      </c>
      <c r="BH3511">
        <v>0</v>
      </c>
      <c r="BI3511">
        <v>0</v>
      </c>
      <c r="BJ3511">
        <v>4100</v>
      </c>
      <c r="BK3511">
        <v>-200</v>
      </c>
      <c r="BL3511" t="s">
        <v>163</v>
      </c>
      <c r="BM3511">
        <v>1</v>
      </c>
      <c r="BN3511">
        <v>1</v>
      </c>
      <c r="BO3511">
        <v>1</v>
      </c>
      <c r="BP3511">
        <v>0</v>
      </c>
      <c r="BS3511">
        <v>0</v>
      </c>
      <c r="BT3511">
        <v>0</v>
      </c>
      <c r="BU3511">
        <v>0</v>
      </c>
      <c r="CE3511" t="str">
        <f t="shared" si="1283"/>
        <v>19:34:58.966</v>
      </c>
      <c r="CF3511">
        <v>966473945</v>
      </c>
      <c r="CS3511">
        <v>0</v>
      </c>
      <c r="CT3511">
        <v>2</v>
      </c>
      <c r="CU3511">
        <v>0</v>
      </c>
      <c r="CV3511">
        <v>2</v>
      </c>
      <c r="CW3511">
        <v>0</v>
      </c>
      <c r="CX3511">
        <v>5</v>
      </c>
      <c r="CY3511">
        <v>7</v>
      </c>
      <c r="CZ3511" t="s">
        <v>131</v>
      </c>
      <c r="DA3511">
        <v>286</v>
      </c>
      <c r="DB3511">
        <v>0</v>
      </c>
      <c r="DC3511" t="s">
        <v>132</v>
      </c>
      <c r="DD3511" t="s">
        <v>133</v>
      </c>
      <c r="DG3511">
        <v>881192</v>
      </c>
      <c r="DI3511">
        <v>1</v>
      </c>
      <c r="DJ3511">
        <v>0</v>
      </c>
      <c r="DK3511">
        <v>1</v>
      </c>
      <c r="DL3511">
        <v>0</v>
      </c>
      <c r="DM3511">
        <v>0</v>
      </c>
      <c r="DN3511">
        <v>1</v>
      </c>
      <c r="DO3511">
        <v>0</v>
      </c>
      <c r="DP3511">
        <v>0</v>
      </c>
      <c r="DQ3511">
        <v>0</v>
      </c>
      <c r="DR3511">
        <v>0</v>
      </c>
      <c r="DS3511">
        <v>0</v>
      </c>
    </row>
    <row r="3512" spans="1:123" x14ac:dyDescent="0.3">
      <c r="A3512" t="str">
        <f t="shared" ref="A3512:A3517" si="1284">"10/04/2022 19:35:00.201"</f>
        <v>10/04/2022 19:35:00.201</v>
      </c>
      <c r="C3512" t="str">
        <f t="shared" si="1281"/>
        <v>FFDFD3C0</v>
      </c>
      <c r="D3512" t="s">
        <v>136</v>
      </c>
      <c r="E3512">
        <v>8</v>
      </c>
      <c r="H3512">
        <v>225</v>
      </c>
      <c r="I3512" t="s">
        <v>137</v>
      </c>
      <c r="J3512" t="s">
        <v>138</v>
      </c>
      <c r="K3512">
        <v>0</v>
      </c>
      <c r="L3512">
        <v>3</v>
      </c>
      <c r="M3512">
        <v>0</v>
      </c>
      <c r="N3512">
        <v>2</v>
      </c>
      <c r="O3512">
        <v>0</v>
      </c>
      <c r="P3512">
        <v>1</v>
      </c>
      <c r="Q3512">
        <v>0</v>
      </c>
      <c r="S3512" t="str">
        <f t="shared" ref="S3512:T3525" si="1285">"19:35:00.000"</f>
        <v>19:35:00.000</v>
      </c>
      <c r="T3512" t="str">
        <f t="shared" si="1285"/>
        <v>19:35:00.000</v>
      </c>
      <c r="U3512" t="str">
        <f t="shared" si="1264"/>
        <v>AC3944</v>
      </c>
      <c r="V3512">
        <v>0</v>
      </c>
      <c r="W3512">
        <v>0</v>
      </c>
      <c r="X3512">
        <v>2</v>
      </c>
      <c r="Y3512">
        <v>0</v>
      </c>
      <c r="AA3512">
        <v>1</v>
      </c>
      <c r="AB3512">
        <v>8</v>
      </c>
      <c r="AC3512">
        <v>3</v>
      </c>
      <c r="AD3512">
        <v>0</v>
      </c>
      <c r="AE3512">
        <v>9</v>
      </c>
      <c r="AF3512" t="s">
        <v>138</v>
      </c>
      <c r="AG3512">
        <v>0</v>
      </c>
      <c r="AH3512">
        <v>3</v>
      </c>
      <c r="AI3512">
        <v>1</v>
      </c>
      <c r="AJ3512">
        <v>0</v>
      </c>
      <c r="AK3512" t="s">
        <v>1151</v>
      </c>
      <c r="AL3512">
        <v>32.733463999999998</v>
      </c>
      <c r="AM3512" t="s">
        <v>1152</v>
      </c>
      <c r="AN3512">
        <v>-116.734607</v>
      </c>
      <c r="AO3512">
        <v>25</v>
      </c>
      <c r="AP3512">
        <v>4300</v>
      </c>
      <c r="AQ3512" t="s">
        <v>129</v>
      </c>
      <c r="AR3512">
        <v>108</v>
      </c>
      <c r="AS3512">
        <v>48</v>
      </c>
      <c r="AT3512">
        <v>512</v>
      </c>
      <c r="BB3512">
        <v>1200</v>
      </c>
      <c r="BC3512">
        <v>1</v>
      </c>
      <c r="BD3512" t="str">
        <f t="shared" si="1265"/>
        <v xml:space="preserve">N887QR  </v>
      </c>
      <c r="BE3512">
        <v>1</v>
      </c>
      <c r="BG3512">
        <v>0</v>
      </c>
      <c r="BH3512">
        <v>0</v>
      </c>
      <c r="BI3512">
        <v>0</v>
      </c>
      <c r="BJ3512">
        <v>4100</v>
      </c>
      <c r="BK3512">
        <v>-200</v>
      </c>
      <c r="BL3512" t="s">
        <v>163</v>
      </c>
      <c r="BM3512">
        <v>1</v>
      </c>
      <c r="BN3512">
        <v>1</v>
      </c>
      <c r="BO3512">
        <v>1</v>
      </c>
      <c r="BP3512">
        <v>0</v>
      </c>
      <c r="BS3512">
        <v>0</v>
      </c>
      <c r="BT3512">
        <v>0</v>
      </c>
      <c r="BU3512">
        <v>0</v>
      </c>
      <c r="CE3512" t="str">
        <f t="shared" ref="CE3512:CE3518" si="1286">"19:35:00.006"</f>
        <v>19:35:00.006</v>
      </c>
      <c r="CF3512">
        <v>5791211</v>
      </c>
      <c r="CS3512">
        <v>0</v>
      </c>
      <c r="CT3512">
        <v>2</v>
      </c>
      <c r="CU3512">
        <v>0</v>
      </c>
      <c r="CV3512">
        <v>2</v>
      </c>
      <c r="CW3512">
        <v>2</v>
      </c>
      <c r="CX3512">
        <v>5</v>
      </c>
      <c r="CY3512">
        <v>7</v>
      </c>
      <c r="CZ3512" t="s">
        <v>131</v>
      </c>
      <c r="DA3512">
        <v>300</v>
      </c>
      <c r="DB3512">
        <v>0</v>
      </c>
      <c r="DC3512" t="s">
        <v>176</v>
      </c>
      <c r="DD3512" t="s">
        <v>177</v>
      </c>
      <c r="DG3512">
        <v>5440630</v>
      </c>
      <c r="DI3512">
        <v>1</v>
      </c>
      <c r="DJ3512">
        <v>0</v>
      </c>
      <c r="DK3512">
        <v>0</v>
      </c>
      <c r="DL3512">
        <v>0</v>
      </c>
      <c r="DM3512">
        <v>0</v>
      </c>
      <c r="DN3512">
        <v>1</v>
      </c>
      <c r="DO3512">
        <v>0</v>
      </c>
      <c r="DP3512">
        <v>0</v>
      </c>
      <c r="DQ3512">
        <v>0</v>
      </c>
      <c r="DR3512">
        <v>0</v>
      </c>
      <c r="DS3512">
        <v>0</v>
      </c>
    </row>
    <row r="3513" spans="1:123" x14ac:dyDescent="0.3">
      <c r="A3513" t="str">
        <f t="shared" si="1284"/>
        <v>10/04/2022 19:35:00.201</v>
      </c>
      <c r="C3513" t="str">
        <f t="shared" si="1281"/>
        <v>FFDFD3C0</v>
      </c>
      <c r="D3513" t="s">
        <v>141</v>
      </c>
      <c r="E3513">
        <v>3</v>
      </c>
      <c r="H3513">
        <v>3</v>
      </c>
      <c r="I3513" t="s">
        <v>146</v>
      </c>
      <c r="J3513" t="s">
        <v>138</v>
      </c>
      <c r="K3513">
        <v>0</v>
      </c>
      <c r="L3513">
        <v>3</v>
      </c>
      <c r="M3513">
        <v>0</v>
      </c>
      <c r="N3513">
        <v>2</v>
      </c>
      <c r="O3513">
        <v>0</v>
      </c>
      <c r="P3513">
        <v>1</v>
      </c>
      <c r="Q3513">
        <v>0</v>
      </c>
      <c r="S3513" t="str">
        <f t="shared" si="1285"/>
        <v>19:35:00.000</v>
      </c>
      <c r="T3513" t="str">
        <f t="shared" si="1285"/>
        <v>19:35:00.000</v>
      </c>
      <c r="U3513" t="str">
        <f t="shared" si="1264"/>
        <v>AC3944</v>
      </c>
      <c r="V3513">
        <v>0</v>
      </c>
      <c r="W3513">
        <v>0</v>
      </c>
      <c r="X3513">
        <v>2</v>
      </c>
      <c r="Y3513">
        <v>0</v>
      </c>
      <c r="AA3513">
        <v>1</v>
      </c>
      <c r="AB3513">
        <v>8</v>
      </c>
      <c r="AC3513">
        <v>3</v>
      </c>
      <c r="AD3513">
        <v>0</v>
      </c>
      <c r="AE3513">
        <v>9</v>
      </c>
      <c r="AF3513" t="s">
        <v>138</v>
      </c>
      <c r="AG3513">
        <v>0</v>
      </c>
      <c r="AH3513">
        <v>3</v>
      </c>
      <c r="AI3513">
        <v>1</v>
      </c>
      <c r="AJ3513">
        <v>0</v>
      </c>
      <c r="AK3513" t="s">
        <v>1151</v>
      </c>
      <c r="AL3513">
        <v>32.733463999999998</v>
      </c>
      <c r="AM3513" t="s">
        <v>1152</v>
      </c>
      <c r="AN3513">
        <v>-116.734607</v>
      </c>
      <c r="AO3513">
        <v>25</v>
      </c>
      <c r="AP3513">
        <v>4300</v>
      </c>
      <c r="AQ3513" t="s">
        <v>129</v>
      </c>
      <c r="AR3513">
        <v>108</v>
      </c>
      <c r="AS3513">
        <v>48</v>
      </c>
      <c r="AT3513">
        <v>512</v>
      </c>
      <c r="BB3513">
        <v>1200</v>
      </c>
      <c r="BC3513">
        <v>1</v>
      </c>
      <c r="BD3513" t="str">
        <f t="shared" si="1265"/>
        <v xml:space="preserve">N887QR  </v>
      </c>
      <c r="BE3513">
        <v>1</v>
      </c>
      <c r="BG3513">
        <v>0</v>
      </c>
      <c r="BH3513">
        <v>0</v>
      </c>
      <c r="BI3513">
        <v>0</v>
      </c>
      <c r="BJ3513">
        <v>4100</v>
      </c>
      <c r="BK3513">
        <v>-200</v>
      </c>
      <c r="BL3513" t="s">
        <v>163</v>
      </c>
      <c r="BM3513">
        <v>1</v>
      </c>
      <c r="BN3513">
        <v>1</v>
      </c>
      <c r="BO3513">
        <v>1</v>
      </c>
      <c r="BP3513">
        <v>0</v>
      </c>
      <c r="BS3513">
        <v>0</v>
      </c>
      <c r="BT3513">
        <v>0</v>
      </c>
      <c r="BU3513">
        <v>0</v>
      </c>
      <c r="CE3513" t="str">
        <f t="shared" si="1286"/>
        <v>19:35:00.006</v>
      </c>
      <c r="CF3513">
        <v>5791211</v>
      </c>
      <c r="CS3513">
        <v>0</v>
      </c>
      <c r="CT3513">
        <v>2</v>
      </c>
      <c r="CU3513">
        <v>0</v>
      </c>
      <c r="CV3513">
        <v>2</v>
      </c>
      <c r="CW3513">
        <v>2</v>
      </c>
      <c r="CX3513">
        <v>5</v>
      </c>
      <c r="CY3513">
        <v>7</v>
      </c>
      <c r="CZ3513" t="s">
        <v>131</v>
      </c>
      <c r="DA3513">
        <v>300</v>
      </c>
      <c r="DB3513">
        <v>0</v>
      </c>
      <c r="DC3513" t="s">
        <v>176</v>
      </c>
      <c r="DD3513" t="s">
        <v>177</v>
      </c>
      <c r="DG3513">
        <v>5440630</v>
      </c>
      <c r="DI3513">
        <v>1</v>
      </c>
      <c r="DJ3513">
        <v>0</v>
      </c>
      <c r="DK3513">
        <v>1</v>
      </c>
      <c r="DL3513">
        <v>0</v>
      </c>
      <c r="DM3513">
        <v>0</v>
      </c>
      <c r="DN3513">
        <v>1</v>
      </c>
      <c r="DO3513">
        <v>0</v>
      </c>
      <c r="DP3513">
        <v>0</v>
      </c>
      <c r="DQ3513">
        <v>0</v>
      </c>
      <c r="DR3513">
        <v>0</v>
      </c>
      <c r="DS3513">
        <v>0</v>
      </c>
    </row>
    <row r="3514" spans="1:123" x14ac:dyDescent="0.3">
      <c r="A3514" t="str">
        <f t="shared" si="1284"/>
        <v>10/04/2022 19:35:00.201</v>
      </c>
      <c r="C3514" t="str">
        <f t="shared" si="1281"/>
        <v>FFDFD3C0</v>
      </c>
      <c r="D3514" t="s">
        <v>147</v>
      </c>
      <c r="E3514">
        <v>3</v>
      </c>
      <c r="H3514">
        <v>166</v>
      </c>
      <c r="I3514" t="s">
        <v>144</v>
      </c>
      <c r="J3514" t="s">
        <v>148</v>
      </c>
      <c r="K3514">
        <v>0</v>
      </c>
      <c r="L3514">
        <v>3</v>
      </c>
      <c r="M3514">
        <v>0</v>
      </c>
      <c r="N3514">
        <v>2</v>
      </c>
      <c r="O3514">
        <v>0</v>
      </c>
      <c r="P3514">
        <v>1</v>
      </c>
      <c r="Q3514">
        <v>0</v>
      </c>
      <c r="S3514" t="str">
        <f t="shared" si="1285"/>
        <v>19:35:00.000</v>
      </c>
      <c r="T3514" t="str">
        <f t="shared" si="1285"/>
        <v>19:35:00.000</v>
      </c>
      <c r="U3514" t="str">
        <f t="shared" si="1264"/>
        <v>AC3944</v>
      </c>
      <c r="V3514">
        <v>0</v>
      </c>
      <c r="W3514">
        <v>0</v>
      </c>
      <c r="X3514">
        <v>2</v>
      </c>
      <c r="Y3514">
        <v>0</v>
      </c>
      <c r="AA3514">
        <v>1</v>
      </c>
      <c r="AB3514">
        <v>8</v>
      </c>
      <c r="AC3514">
        <v>3</v>
      </c>
      <c r="AD3514">
        <v>0</v>
      </c>
      <c r="AE3514">
        <v>9</v>
      </c>
      <c r="AF3514" t="s">
        <v>138</v>
      </c>
      <c r="AG3514">
        <v>0</v>
      </c>
      <c r="AH3514">
        <v>3</v>
      </c>
      <c r="AI3514">
        <v>1</v>
      </c>
      <c r="AJ3514">
        <v>0</v>
      </c>
      <c r="AK3514" t="s">
        <v>1151</v>
      </c>
      <c r="AL3514">
        <v>32.733463999999998</v>
      </c>
      <c r="AM3514" t="s">
        <v>1152</v>
      </c>
      <c r="AN3514">
        <v>-116.734607</v>
      </c>
      <c r="AO3514">
        <v>25</v>
      </c>
      <c r="AP3514">
        <v>4300</v>
      </c>
      <c r="AQ3514" t="s">
        <v>129</v>
      </c>
      <c r="AR3514">
        <v>108</v>
      </c>
      <c r="AS3514">
        <v>48</v>
      </c>
      <c r="AT3514">
        <v>512</v>
      </c>
      <c r="BB3514">
        <v>1200</v>
      </c>
      <c r="BC3514">
        <v>1</v>
      </c>
      <c r="BD3514" t="str">
        <f t="shared" si="1265"/>
        <v xml:space="preserve">N887QR  </v>
      </c>
      <c r="BE3514">
        <v>1</v>
      </c>
      <c r="BG3514">
        <v>0</v>
      </c>
      <c r="BH3514">
        <v>0</v>
      </c>
      <c r="BI3514">
        <v>0</v>
      </c>
      <c r="BJ3514">
        <v>4100</v>
      </c>
      <c r="BK3514">
        <v>-200</v>
      </c>
      <c r="BL3514" t="s">
        <v>163</v>
      </c>
      <c r="BM3514">
        <v>1</v>
      </c>
      <c r="BN3514">
        <v>1</v>
      </c>
      <c r="BO3514">
        <v>1</v>
      </c>
      <c r="BP3514">
        <v>0</v>
      </c>
      <c r="BS3514">
        <v>0</v>
      </c>
      <c r="BT3514">
        <v>0</v>
      </c>
      <c r="BU3514">
        <v>0</v>
      </c>
      <c r="CE3514" t="str">
        <f t="shared" si="1286"/>
        <v>19:35:00.006</v>
      </c>
      <c r="CF3514">
        <v>5791211</v>
      </c>
      <c r="CS3514">
        <v>0</v>
      </c>
      <c r="CT3514">
        <v>2</v>
      </c>
      <c r="CU3514">
        <v>0</v>
      </c>
      <c r="CV3514">
        <v>2</v>
      </c>
      <c r="CW3514">
        <v>2</v>
      </c>
      <c r="CX3514">
        <v>5</v>
      </c>
      <c r="CY3514">
        <v>7</v>
      </c>
      <c r="CZ3514" t="s">
        <v>131</v>
      </c>
      <c r="DA3514">
        <v>300</v>
      </c>
      <c r="DB3514">
        <v>0</v>
      </c>
      <c r="DC3514" t="s">
        <v>176</v>
      </c>
      <c r="DD3514" t="s">
        <v>177</v>
      </c>
      <c r="DG3514">
        <v>5440630</v>
      </c>
      <c r="DI3514">
        <v>1</v>
      </c>
      <c r="DJ3514">
        <v>0</v>
      </c>
      <c r="DK3514">
        <v>1</v>
      </c>
      <c r="DL3514">
        <v>0</v>
      </c>
      <c r="DM3514">
        <v>0</v>
      </c>
      <c r="DN3514">
        <v>1</v>
      </c>
      <c r="DO3514">
        <v>0</v>
      </c>
      <c r="DP3514">
        <v>0</v>
      </c>
      <c r="DQ3514">
        <v>0</v>
      </c>
      <c r="DR3514">
        <v>0</v>
      </c>
      <c r="DS3514">
        <v>0</v>
      </c>
    </row>
    <row r="3515" spans="1:123" x14ac:dyDescent="0.3">
      <c r="A3515" t="str">
        <f t="shared" si="1284"/>
        <v>10/04/2022 19:35:00.201</v>
      </c>
      <c r="C3515" t="str">
        <f t="shared" si="1281"/>
        <v>FFDFD3C0</v>
      </c>
      <c r="D3515" t="s">
        <v>141</v>
      </c>
      <c r="E3515">
        <v>4</v>
      </c>
      <c r="H3515">
        <v>4</v>
      </c>
      <c r="I3515" t="s">
        <v>142</v>
      </c>
      <c r="J3515" t="s">
        <v>138</v>
      </c>
      <c r="K3515">
        <v>0</v>
      </c>
      <c r="L3515">
        <v>3</v>
      </c>
      <c r="M3515">
        <v>0</v>
      </c>
      <c r="N3515">
        <v>2</v>
      </c>
      <c r="O3515">
        <v>0</v>
      </c>
      <c r="P3515">
        <v>1</v>
      </c>
      <c r="Q3515">
        <v>0</v>
      </c>
      <c r="S3515" t="str">
        <f t="shared" si="1285"/>
        <v>19:35:00.000</v>
      </c>
      <c r="T3515" t="str">
        <f t="shared" si="1285"/>
        <v>19:35:00.000</v>
      </c>
      <c r="U3515" t="str">
        <f t="shared" si="1264"/>
        <v>AC3944</v>
      </c>
      <c r="V3515">
        <v>0</v>
      </c>
      <c r="W3515">
        <v>0</v>
      </c>
      <c r="X3515">
        <v>2</v>
      </c>
      <c r="Y3515">
        <v>0</v>
      </c>
      <c r="AA3515">
        <v>1</v>
      </c>
      <c r="AB3515">
        <v>8</v>
      </c>
      <c r="AC3515">
        <v>3</v>
      </c>
      <c r="AD3515">
        <v>0</v>
      </c>
      <c r="AE3515">
        <v>9</v>
      </c>
      <c r="AF3515" t="s">
        <v>138</v>
      </c>
      <c r="AG3515">
        <v>0</v>
      </c>
      <c r="AH3515">
        <v>3</v>
      </c>
      <c r="AI3515">
        <v>1</v>
      </c>
      <c r="AJ3515">
        <v>0</v>
      </c>
      <c r="AK3515" t="s">
        <v>1151</v>
      </c>
      <c r="AL3515">
        <v>32.733463999999998</v>
      </c>
      <c r="AM3515" t="s">
        <v>1152</v>
      </c>
      <c r="AN3515">
        <v>-116.734607</v>
      </c>
      <c r="AO3515">
        <v>25</v>
      </c>
      <c r="AP3515">
        <v>4300</v>
      </c>
      <c r="AQ3515" t="s">
        <v>129</v>
      </c>
      <c r="AR3515">
        <v>108</v>
      </c>
      <c r="AS3515">
        <v>48</v>
      </c>
      <c r="AT3515">
        <v>512</v>
      </c>
      <c r="BB3515">
        <v>1200</v>
      </c>
      <c r="BC3515">
        <v>1</v>
      </c>
      <c r="BD3515" t="str">
        <f t="shared" si="1265"/>
        <v xml:space="preserve">N887QR  </v>
      </c>
      <c r="BE3515">
        <v>1</v>
      </c>
      <c r="BG3515">
        <v>0</v>
      </c>
      <c r="BH3515">
        <v>0</v>
      </c>
      <c r="BI3515">
        <v>0</v>
      </c>
      <c r="BJ3515">
        <v>4100</v>
      </c>
      <c r="BK3515">
        <v>-200</v>
      </c>
      <c r="BL3515" t="s">
        <v>163</v>
      </c>
      <c r="BM3515">
        <v>1</v>
      </c>
      <c r="BN3515">
        <v>1</v>
      </c>
      <c r="BO3515">
        <v>1</v>
      </c>
      <c r="BP3515">
        <v>0</v>
      </c>
      <c r="BS3515">
        <v>0</v>
      </c>
      <c r="BT3515">
        <v>0</v>
      </c>
      <c r="BU3515">
        <v>0</v>
      </c>
      <c r="CE3515" t="str">
        <f t="shared" si="1286"/>
        <v>19:35:00.006</v>
      </c>
      <c r="CF3515">
        <v>5791211</v>
      </c>
      <c r="CS3515">
        <v>0</v>
      </c>
      <c r="CT3515">
        <v>2</v>
      </c>
      <c r="CU3515">
        <v>0</v>
      </c>
      <c r="CV3515">
        <v>2</v>
      </c>
      <c r="CW3515">
        <v>2</v>
      </c>
      <c r="CX3515">
        <v>5</v>
      </c>
      <c r="CY3515">
        <v>7</v>
      </c>
      <c r="CZ3515" t="s">
        <v>131</v>
      </c>
      <c r="DA3515">
        <v>300</v>
      </c>
      <c r="DB3515">
        <v>0</v>
      </c>
      <c r="DC3515" t="s">
        <v>176</v>
      </c>
      <c r="DD3515" t="s">
        <v>177</v>
      </c>
      <c r="DG3515">
        <v>5440630</v>
      </c>
      <c r="DI3515">
        <v>1</v>
      </c>
      <c r="DJ3515">
        <v>0</v>
      </c>
      <c r="DK3515">
        <v>1</v>
      </c>
      <c r="DL3515">
        <v>0</v>
      </c>
      <c r="DM3515">
        <v>0</v>
      </c>
      <c r="DN3515">
        <v>1</v>
      </c>
      <c r="DO3515">
        <v>0</v>
      </c>
      <c r="DP3515">
        <v>0</v>
      </c>
      <c r="DQ3515">
        <v>0</v>
      </c>
      <c r="DR3515">
        <v>0</v>
      </c>
      <c r="DS3515">
        <v>0</v>
      </c>
    </row>
    <row r="3516" spans="1:123" x14ac:dyDescent="0.3">
      <c r="A3516" t="str">
        <f t="shared" si="1284"/>
        <v>10/04/2022 19:35:00.201</v>
      </c>
      <c r="C3516" t="str">
        <f t="shared" si="1281"/>
        <v>FFDFD3C0</v>
      </c>
      <c r="D3516" t="s">
        <v>134</v>
      </c>
      <c r="E3516">
        <v>15</v>
      </c>
      <c r="J3516" t="s">
        <v>135</v>
      </c>
      <c r="K3516">
        <v>0</v>
      </c>
      <c r="L3516">
        <v>3</v>
      </c>
      <c r="M3516">
        <v>0</v>
      </c>
      <c r="N3516">
        <v>2</v>
      </c>
      <c r="O3516">
        <v>0</v>
      </c>
      <c r="P3516">
        <v>1</v>
      </c>
      <c r="Q3516">
        <v>0</v>
      </c>
      <c r="S3516" t="str">
        <f t="shared" si="1285"/>
        <v>19:35:00.000</v>
      </c>
      <c r="T3516" t="str">
        <f t="shared" si="1285"/>
        <v>19:35:00.000</v>
      </c>
      <c r="U3516" t="str">
        <f t="shared" si="1264"/>
        <v>AC3944</v>
      </c>
      <c r="V3516">
        <v>0</v>
      </c>
      <c r="W3516">
        <v>0</v>
      </c>
      <c r="X3516">
        <v>2</v>
      </c>
      <c r="Y3516">
        <v>0</v>
      </c>
      <c r="AA3516">
        <v>1</v>
      </c>
      <c r="AB3516">
        <v>8</v>
      </c>
      <c r="AC3516">
        <v>3</v>
      </c>
      <c r="AD3516">
        <v>0</v>
      </c>
      <c r="AE3516">
        <v>9</v>
      </c>
      <c r="AF3516" t="s">
        <v>138</v>
      </c>
      <c r="AG3516">
        <v>0</v>
      </c>
      <c r="AH3516">
        <v>3</v>
      </c>
      <c r="AI3516">
        <v>1</v>
      </c>
      <c r="AJ3516">
        <v>0</v>
      </c>
      <c r="AK3516" t="s">
        <v>1151</v>
      </c>
      <c r="AL3516">
        <v>32.733463999999998</v>
      </c>
      <c r="AM3516" t="s">
        <v>1152</v>
      </c>
      <c r="AN3516">
        <v>-116.734607</v>
      </c>
      <c r="AO3516">
        <v>25</v>
      </c>
      <c r="AP3516">
        <v>4300</v>
      </c>
      <c r="AQ3516" t="s">
        <v>129</v>
      </c>
      <c r="AR3516">
        <v>108</v>
      </c>
      <c r="AS3516">
        <v>48</v>
      </c>
      <c r="AT3516">
        <v>512</v>
      </c>
      <c r="BB3516">
        <v>1200</v>
      </c>
      <c r="BC3516">
        <v>1</v>
      </c>
      <c r="BD3516" t="str">
        <f t="shared" si="1265"/>
        <v xml:space="preserve">N887QR  </v>
      </c>
      <c r="BE3516">
        <v>1</v>
      </c>
      <c r="BG3516">
        <v>0</v>
      </c>
      <c r="BH3516">
        <v>0</v>
      </c>
      <c r="BI3516">
        <v>0</v>
      </c>
      <c r="BJ3516">
        <v>4100</v>
      </c>
      <c r="BK3516">
        <v>-200</v>
      </c>
      <c r="BL3516" t="s">
        <v>163</v>
      </c>
      <c r="BM3516">
        <v>1</v>
      </c>
      <c r="BN3516">
        <v>1</v>
      </c>
      <c r="BO3516">
        <v>1</v>
      </c>
      <c r="BP3516">
        <v>0</v>
      </c>
      <c r="BS3516">
        <v>0</v>
      </c>
      <c r="BT3516">
        <v>0</v>
      </c>
      <c r="BU3516">
        <v>0</v>
      </c>
      <c r="CE3516" t="str">
        <f t="shared" si="1286"/>
        <v>19:35:00.006</v>
      </c>
      <c r="CF3516">
        <v>5791211</v>
      </c>
      <c r="CS3516">
        <v>0</v>
      </c>
      <c r="CT3516">
        <v>2</v>
      </c>
      <c r="CU3516">
        <v>0</v>
      </c>
      <c r="CV3516">
        <v>2</v>
      </c>
      <c r="CW3516">
        <v>2</v>
      </c>
      <c r="CX3516">
        <v>5</v>
      </c>
      <c r="CY3516">
        <v>7</v>
      </c>
      <c r="CZ3516" t="s">
        <v>131</v>
      </c>
      <c r="DA3516">
        <v>300</v>
      </c>
      <c r="DB3516">
        <v>0</v>
      </c>
      <c r="DC3516" t="s">
        <v>176</v>
      </c>
      <c r="DD3516" t="s">
        <v>177</v>
      </c>
      <c r="DG3516">
        <v>5440630</v>
      </c>
      <c r="DI3516">
        <v>1</v>
      </c>
      <c r="DJ3516">
        <v>0</v>
      </c>
      <c r="DK3516">
        <v>1</v>
      </c>
      <c r="DL3516">
        <v>0</v>
      </c>
      <c r="DM3516">
        <v>0</v>
      </c>
      <c r="DN3516">
        <v>1</v>
      </c>
      <c r="DO3516">
        <v>0</v>
      </c>
      <c r="DP3516">
        <v>0</v>
      </c>
      <c r="DQ3516">
        <v>0</v>
      </c>
      <c r="DR3516">
        <v>0</v>
      </c>
      <c r="DS3516">
        <v>0</v>
      </c>
    </row>
    <row r="3517" spans="1:123" x14ac:dyDescent="0.3">
      <c r="A3517" t="str">
        <f t="shared" si="1284"/>
        <v>10/04/2022 19:35:00.201</v>
      </c>
      <c r="C3517" t="str">
        <f t="shared" si="1281"/>
        <v>FFDFD3C0</v>
      </c>
      <c r="D3517" t="s">
        <v>143</v>
      </c>
      <c r="E3517">
        <v>20</v>
      </c>
      <c r="F3517">
        <v>1020</v>
      </c>
      <c r="G3517" t="s">
        <v>144</v>
      </c>
      <c r="J3517" t="s">
        <v>145</v>
      </c>
      <c r="K3517">
        <v>0</v>
      </c>
      <c r="L3517">
        <v>3</v>
      </c>
      <c r="M3517">
        <v>0</v>
      </c>
      <c r="N3517">
        <v>2</v>
      </c>
      <c r="O3517">
        <v>0</v>
      </c>
      <c r="P3517">
        <v>1</v>
      </c>
      <c r="Q3517">
        <v>0</v>
      </c>
      <c r="S3517" t="str">
        <f t="shared" si="1285"/>
        <v>19:35:00.000</v>
      </c>
      <c r="T3517" t="str">
        <f t="shared" si="1285"/>
        <v>19:35:00.000</v>
      </c>
      <c r="U3517" t="str">
        <f t="shared" si="1264"/>
        <v>AC3944</v>
      </c>
      <c r="V3517">
        <v>0</v>
      </c>
      <c r="W3517">
        <v>0</v>
      </c>
      <c r="X3517">
        <v>2</v>
      </c>
      <c r="Y3517">
        <v>0</v>
      </c>
      <c r="AA3517">
        <v>1</v>
      </c>
      <c r="AB3517">
        <v>8</v>
      </c>
      <c r="AC3517">
        <v>3</v>
      </c>
      <c r="AD3517">
        <v>0</v>
      </c>
      <c r="AE3517">
        <v>9</v>
      </c>
      <c r="AF3517" t="s">
        <v>138</v>
      </c>
      <c r="AG3517">
        <v>0</v>
      </c>
      <c r="AH3517">
        <v>3</v>
      </c>
      <c r="AI3517">
        <v>1</v>
      </c>
      <c r="AJ3517">
        <v>0</v>
      </c>
      <c r="AK3517" t="s">
        <v>1151</v>
      </c>
      <c r="AL3517">
        <v>32.733463999999998</v>
      </c>
      <c r="AM3517" t="s">
        <v>1152</v>
      </c>
      <c r="AN3517">
        <v>-116.734607</v>
      </c>
      <c r="AO3517">
        <v>25</v>
      </c>
      <c r="AP3517">
        <v>4300</v>
      </c>
      <c r="AQ3517" t="s">
        <v>129</v>
      </c>
      <c r="AR3517">
        <v>108</v>
      </c>
      <c r="AS3517">
        <v>48</v>
      </c>
      <c r="AT3517">
        <v>512</v>
      </c>
      <c r="BB3517">
        <v>1200</v>
      </c>
      <c r="BC3517">
        <v>1</v>
      </c>
      <c r="BD3517" t="str">
        <f t="shared" si="1265"/>
        <v xml:space="preserve">N887QR  </v>
      </c>
      <c r="BE3517">
        <v>1</v>
      </c>
      <c r="BG3517">
        <v>0</v>
      </c>
      <c r="BH3517">
        <v>0</v>
      </c>
      <c r="BI3517">
        <v>0</v>
      </c>
      <c r="BJ3517">
        <v>4100</v>
      </c>
      <c r="BK3517">
        <v>-200</v>
      </c>
      <c r="BL3517" t="s">
        <v>163</v>
      </c>
      <c r="BM3517">
        <v>1</v>
      </c>
      <c r="BN3517">
        <v>1</v>
      </c>
      <c r="BO3517">
        <v>1</v>
      </c>
      <c r="BP3517">
        <v>0</v>
      </c>
      <c r="BS3517">
        <v>0</v>
      </c>
      <c r="BT3517">
        <v>0</v>
      </c>
      <c r="BU3517">
        <v>0</v>
      </c>
      <c r="CE3517" t="str">
        <f t="shared" si="1286"/>
        <v>19:35:00.006</v>
      </c>
      <c r="CF3517">
        <v>5791211</v>
      </c>
      <c r="CS3517">
        <v>0</v>
      </c>
      <c r="CT3517">
        <v>2</v>
      </c>
      <c r="CU3517">
        <v>0</v>
      </c>
      <c r="CV3517">
        <v>2</v>
      </c>
      <c r="CW3517">
        <v>2</v>
      </c>
      <c r="CX3517">
        <v>5</v>
      </c>
      <c r="CY3517">
        <v>7</v>
      </c>
      <c r="CZ3517" t="s">
        <v>131</v>
      </c>
      <c r="DA3517">
        <v>300</v>
      </c>
      <c r="DB3517">
        <v>0</v>
      </c>
      <c r="DC3517" t="s">
        <v>176</v>
      </c>
      <c r="DD3517" t="s">
        <v>177</v>
      </c>
      <c r="DG3517">
        <v>5440630</v>
      </c>
      <c r="DI3517">
        <v>1</v>
      </c>
      <c r="DJ3517">
        <v>0</v>
      </c>
      <c r="DK3517">
        <v>1</v>
      </c>
      <c r="DL3517">
        <v>0</v>
      </c>
      <c r="DM3517">
        <v>0</v>
      </c>
      <c r="DN3517">
        <v>1</v>
      </c>
      <c r="DO3517">
        <v>0</v>
      </c>
      <c r="DP3517">
        <v>0</v>
      </c>
      <c r="DQ3517">
        <v>0</v>
      </c>
      <c r="DR3517">
        <v>0</v>
      </c>
      <c r="DS3517">
        <v>0</v>
      </c>
    </row>
    <row r="3518" spans="1:123" x14ac:dyDescent="0.3">
      <c r="A3518" t="str">
        <f>"10/04/2022 19:35:00.247"</f>
        <v>10/04/2022 19:35:00.247</v>
      </c>
      <c r="C3518" t="str">
        <f t="shared" si="1281"/>
        <v>FFDFD3C0</v>
      </c>
      <c r="D3518" t="s">
        <v>123</v>
      </c>
      <c r="E3518">
        <v>7</v>
      </c>
      <c r="F3518">
        <v>2007</v>
      </c>
      <c r="G3518" t="s">
        <v>124</v>
      </c>
      <c r="J3518" t="s">
        <v>125</v>
      </c>
      <c r="K3518">
        <v>0</v>
      </c>
      <c r="L3518">
        <v>3</v>
      </c>
      <c r="M3518">
        <v>0</v>
      </c>
      <c r="N3518">
        <v>2</v>
      </c>
      <c r="O3518">
        <v>0</v>
      </c>
      <c r="P3518">
        <v>1</v>
      </c>
      <c r="Q3518">
        <v>0</v>
      </c>
      <c r="S3518" t="str">
        <f t="shared" si="1285"/>
        <v>19:35:00.000</v>
      </c>
      <c r="T3518" t="str">
        <f t="shared" si="1285"/>
        <v>19:35:00.000</v>
      </c>
      <c r="U3518" t="str">
        <f t="shared" si="1264"/>
        <v>AC3944</v>
      </c>
      <c r="V3518">
        <v>0</v>
      </c>
      <c r="W3518">
        <v>0</v>
      </c>
      <c r="X3518">
        <v>2</v>
      </c>
      <c r="Y3518">
        <v>0</v>
      </c>
      <c r="AA3518">
        <v>1</v>
      </c>
      <c r="AB3518">
        <v>8</v>
      </c>
      <c r="AC3518">
        <v>3</v>
      </c>
      <c r="AD3518">
        <v>0</v>
      </c>
      <c r="AE3518">
        <v>9</v>
      </c>
      <c r="AF3518" t="s">
        <v>138</v>
      </c>
      <c r="AG3518">
        <v>0</v>
      </c>
      <c r="AH3518">
        <v>3</v>
      </c>
      <c r="AI3518">
        <v>1</v>
      </c>
      <c r="AJ3518">
        <v>0</v>
      </c>
      <c r="AK3518" t="s">
        <v>1151</v>
      </c>
      <c r="AL3518">
        <v>32.733463999999998</v>
      </c>
      <c r="AM3518" t="s">
        <v>1152</v>
      </c>
      <c r="AN3518">
        <v>-116.734607</v>
      </c>
      <c r="AO3518">
        <v>25</v>
      </c>
      <c r="AP3518">
        <v>4300</v>
      </c>
      <c r="AQ3518" t="s">
        <v>129</v>
      </c>
      <c r="AR3518">
        <v>108</v>
      </c>
      <c r="AS3518">
        <v>48</v>
      </c>
      <c r="AT3518">
        <v>512</v>
      </c>
      <c r="BB3518">
        <v>1200</v>
      </c>
      <c r="BC3518">
        <v>1</v>
      </c>
      <c r="BD3518" t="str">
        <f t="shared" si="1265"/>
        <v xml:space="preserve">N887QR  </v>
      </c>
      <c r="BE3518">
        <v>1</v>
      </c>
      <c r="BG3518">
        <v>0</v>
      </c>
      <c r="BH3518">
        <v>0</v>
      </c>
      <c r="BI3518">
        <v>0</v>
      </c>
      <c r="BJ3518">
        <v>4100</v>
      </c>
      <c r="BK3518">
        <v>-200</v>
      </c>
      <c r="BL3518" t="s">
        <v>163</v>
      </c>
      <c r="BM3518">
        <v>1</v>
      </c>
      <c r="BN3518">
        <v>1</v>
      </c>
      <c r="BO3518">
        <v>1</v>
      </c>
      <c r="BP3518">
        <v>0</v>
      </c>
      <c r="BS3518">
        <v>0</v>
      </c>
      <c r="BT3518">
        <v>0</v>
      </c>
      <c r="BU3518">
        <v>0</v>
      </c>
      <c r="CE3518" t="str">
        <f t="shared" si="1286"/>
        <v>19:35:00.006</v>
      </c>
      <c r="CF3518">
        <v>5791211</v>
      </c>
      <c r="CS3518">
        <v>0</v>
      </c>
      <c r="CT3518">
        <v>2</v>
      </c>
      <c r="CU3518">
        <v>0</v>
      </c>
      <c r="CV3518">
        <v>2</v>
      </c>
      <c r="CW3518">
        <v>2</v>
      </c>
      <c r="CX3518">
        <v>5</v>
      </c>
      <c r="CY3518">
        <v>7</v>
      </c>
      <c r="CZ3518" t="s">
        <v>131</v>
      </c>
      <c r="DA3518">
        <v>300</v>
      </c>
      <c r="DB3518">
        <v>0</v>
      </c>
      <c r="DC3518" t="s">
        <v>176</v>
      </c>
      <c r="DD3518" t="s">
        <v>177</v>
      </c>
      <c r="DG3518">
        <v>5440630</v>
      </c>
      <c r="DI3518">
        <v>1</v>
      </c>
      <c r="DJ3518">
        <v>0</v>
      </c>
      <c r="DK3518">
        <v>0</v>
      </c>
      <c r="DL3518">
        <v>0</v>
      </c>
      <c r="DM3518">
        <v>0</v>
      </c>
      <c r="DN3518">
        <v>1</v>
      </c>
      <c r="DO3518">
        <v>0</v>
      </c>
      <c r="DP3518">
        <v>0</v>
      </c>
      <c r="DQ3518">
        <v>0</v>
      </c>
      <c r="DR3518">
        <v>0</v>
      </c>
      <c r="DS3518">
        <v>0</v>
      </c>
    </row>
    <row r="3519" spans="1:123" x14ac:dyDescent="0.3">
      <c r="A3519" t="str">
        <f>"10/04/2022 19:35:01.169"</f>
        <v>10/04/2022 19:35:01.169</v>
      </c>
      <c r="C3519" t="str">
        <f t="shared" si="1281"/>
        <v>FFDFD3C0</v>
      </c>
      <c r="D3519" t="s">
        <v>123</v>
      </c>
      <c r="E3519">
        <v>7</v>
      </c>
      <c r="F3519">
        <v>2007</v>
      </c>
      <c r="G3519" t="s">
        <v>124</v>
      </c>
      <c r="J3519" t="s">
        <v>125</v>
      </c>
      <c r="K3519">
        <v>0</v>
      </c>
      <c r="L3519">
        <v>3</v>
      </c>
      <c r="M3519">
        <v>0</v>
      </c>
      <c r="N3519">
        <v>2</v>
      </c>
      <c r="O3519">
        <v>0</v>
      </c>
      <c r="P3519">
        <v>1</v>
      </c>
      <c r="Q3519">
        <v>0</v>
      </c>
      <c r="S3519" t="str">
        <f t="shared" si="1285"/>
        <v>19:35:00.000</v>
      </c>
      <c r="T3519" t="str">
        <f t="shared" si="1285"/>
        <v>19:35:00.000</v>
      </c>
      <c r="U3519" t="str">
        <f t="shared" si="1264"/>
        <v>AC3944</v>
      </c>
      <c r="V3519">
        <v>0</v>
      </c>
      <c r="W3519">
        <v>0</v>
      </c>
      <c r="X3519">
        <v>2</v>
      </c>
      <c r="Y3519">
        <v>0</v>
      </c>
      <c r="AA3519">
        <v>1</v>
      </c>
      <c r="AB3519">
        <v>8</v>
      </c>
      <c r="AC3519">
        <v>3</v>
      </c>
      <c r="AD3519">
        <v>0</v>
      </c>
      <c r="AE3519">
        <v>9</v>
      </c>
      <c r="AF3519" t="s">
        <v>138</v>
      </c>
      <c r="AG3519">
        <v>0</v>
      </c>
      <c r="AH3519">
        <v>3</v>
      </c>
      <c r="AI3519">
        <v>1</v>
      </c>
      <c r="AJ3519">
        <v>0</v>
      </c>
      <c r="AK3519" t="s">
        <v>1153</v>
      </c>
      <c r="AL3519">
        <v>32.733635999999997</v>
      </c>
      <c r="AM3519" t="s">
        <v>1154</v>
      </c>
      <c r="AN3519">
        <v>-116.73413499999999</v>
      </c>
      <c r="AO3519">
        <v>25</v>
      </c>
      <c r="AP3519">
        <v>4300</v>
      </c>
      <c r="AQ3519" t="s">
        <v>129</v>
      </c>
      <c r="AR3519">
        <v>109</v>
      </c>
      <c r="AS3519">
        <v>47</v>
      </c>
      <c r="AT3519">
        <v>448</v>
      </c>
      <c r="BB3519">
        <v>1200</v>
      </c>
      <c r="BC3519">
        <v>1</v>
      </c>
      <c r="BD3519" t="str">
        <f t="shared" si="1265"/>
        <v xml:space="preserve">N887QR  </v>
      </c>
      <c r="BE3519">
        <v>1</v>
      </c>
      <c r="BG3519">
        <v>0</v>
      </c>
      <c r="BH3519">
        <v>0</v>
      </c>
      <c r="BI3519">
        <v>0</v>
      </c>
      <c r="BJ3519">
        <v>4125</v>
      </c>
      <c r="BK3519">
        <v>-175</v>
      </c>
      <c r="BL3519" t="s">
        <v>163</v>
      </c>
      <c r="BM3519">
        <v>1</v>
      </c>
      <c r="BN3519">
        <v>1</v>
      </c>
      <c r="BO3519">
        <v>1</v>
      </c>
      <c r="BP3519">
        <v>0</v>
      </c>
      <c r="BS3519">
        <v>0</v>
      </c>
      <c r="BT3519">
        <v>0</v>
      </c>
      <c r="BU3519">
        <v>0</v>
      </c>
      <c r="CE3519" t="str">
        <f t="shared" ref="CE3519:CE3525" si="1287">"19:35:00.852"</f>
        <v>19:35:00.852</v>
      </c>
      <c r="CF3519">
        <v>852294015</v>
      </c>
      <c r="CS3519">
        <v>0</v>
      </c>
      <c r="CT3519">
        <v>2</v>
      </c>
      <c r="CU3519">
        <v>0</v>
      </c>
      <c r="CV3519">
        <v>2</v>
      </c>
      <c r="CW3519">
        <v>0</v>
      </c>
      <c r="CX3519">
        <v>5</v>
      </c>
      <c r="CY3519">
        <v>7</v>
      </c>
      <c r="CZ3519" t="s">
        <v>131</v>
      </c>
      <c r="DA3519">
        <v>300</v>
      </c>
      <c r="DB3519">
        <v>0</v>
      </c>
      <c r="DC3519" t="s">
        <v>176</v>
      </c>
      <c r="DD3519" t="s">
        <v>177</v>
      </c>
      <c r="DG3519">
        <v>5440762</v>
      </c>
      <c r="DI3519">
        <v>1</v>
      </c>
      <c r="DJ3519">
        <v>0</v>
      </c>
      <c r="DK3519">
        <v>0</v>
      </c>
      <c r="DL3519">
        <v>0</v>
      </c>
      <c r="DM3519">
        <v>0</v>
      </c>
      <c r="DN3519">
        <v>1</v>
      </c>
      <c r="DO3519">
        <v>0</v>
      </c>
      <c r="DP3519">
        <v>0</v>
      </c>
      <c r="DQ3519">
        <v>0</v>
      </c>
      <c r="DR3519">
        <v>0</v>
      </c>
      <c r="DS3519">
        <v>0</v>
      </c>
    </row>
    <row r="3520" spans="1:123" x14ac:dyDescent="0.3">
      <c r="A3520" t="str">
        <f>"10/04/2022 19:35:01.169"</f>
        <v>10/04/2022 19:35:01.169</v>
      </c>
      <c r="C3520" t="str">
        <f t="shared" si="1281"/>
        <v>FFDFD3C0</v>
      </c>
      <c r="D3520" t="s">
        <v>136</v>
      </c>
      <c r="E3520">
        <v>8</v>
      </c>
      <c r="H3520">
        <v>225</v>
      </c>
      <c r="I3520" t="s">
        <v>137</v>
      </c>
      <c r="J3520" t="s">
        <v>138</v>
      </c>
      <c r="K3520">
        <v>0</v>
      </c>
      <c r="L3520">
        <v>3</v>
      </c>
      <c r="M3520">
        <v>0</v>
      </c>
      <c r="N3520">
        <v>2</v>
      </c>
      <c r="O3520">
        <v>0</v>
      </c>
      <c r="P3520">
        <v>1</v>
      </c>
      <c r="Q3520">
        <v>0</v>
      </c>
      <c r="S3520" t="str">
        <f t="shared" si="1285"/>
        <v>19:35:00.000</v>
      </c>
      <c r="T3520" t="str">
        <f t="shared" si="1285"/>
        <v>19:35:00.000</v>
      </c>
      <c r="U3520" t="str">
        <f t="shared" si="1264"/>
        <v>AC3944</v>
      </c>
      <c r="V3520">
        <v>0</v>
      </c>
      <c r="W3520">
        <v>0</v>
      </c>
      <c r="X3520">
        <v>2</v>
      </c>
      <c r="Y3520">
        <v>0</v>
      </c>
      <c r="AA3520">
        <v>1</v>
      </c>
      <c r="AB3520">
        <v>8</v>
      </c>
      <c r="AC3520">
        <v>3</v>
      </c>
      <c r="AD3520">
        <v>0</v>
      </c>
      <c r="AE3520">
        <v>9</v>
      </c>
      <c r="AF3520" t="s">
        <v>138</v>
      </c>
      <c r="AG3520">
        <v>0</v>
      </c>
      <c r="AH3520">
        <v>3</v>
      </c>
      <c r="AI3520">
        <v>1</v>
      </c>
      <c r="AJ3520">
        <v>0</v>
      </c>
      <c r="AK3520" t="s">
        <v>1153</v>
      </c>
      <c r="AL3520">
        <v>32.733635999999997</v>
      </c>
      <c r="AM3520" t="s">
        <v>1154</v>
      </c>
      <c r="AN3520">
        <v>-116.73413499999999</v>
      </c>
      <c r="AO3520">
        <v>25</v>
      </c>
      <c r="AP3520">
        <v>4300</v>
      </c>
      <c r="AQ3520" t="s">
        <v>129</v>
      </c>
      <c r="AR3520">
        <v>109</v>
      </c>
      <c r="AS3520">
        <v>47</v>
      </c>
      <c r="AT3520">
        <v>448</v>
      </c>
      <c r="BB3520">
        <v>1200</v>
      </c>
      <c r="BC3520">
        <v>1</v>
      </c>
      <c r="BD3520" t="str">
        <f t="shared" si="1265"/>
        <v xml:space="preserve">N887QR  </v>
      </c>
      <c r="BE3520">
        <v>1</v>
      </c>
      <c r="BG3520">
        <v>0</v>
      </c>
      <c r="BH3520">
        <v>0</v>
      </c>
      <c r="BI3520">
        <v>0</v>
      </c>
      <c r="BJ3520">
        <v>4125</v>
      </c>
      <c r="BK3520">
        <v>-175</v>
      </c>
      <c r="BL3520" t="s">
        <v>163</v>
      </c>
      <c r="BM3520">
        <v>1</v>
      </c>
      <c r="BN3520">
        <v>1</v>
      </c>
      <c r="BO3520">
        <v>1</v>
      </c>
      <c r="BP3520">
        <v>0</v>
      </c>
      <c r="BS3520">
        <v>0</v>
      </c>
      <c r="BT3520">
        <v>0</v>
      </c>
      <c r="BU3520">
        <v>0</v>
      </c>
      <c r="CE3520" t="str">
        <f t="shared" si="1287"/>
        <v>19:35:00.852</v>
      </c>
      <c r="CF3520">
        <v>852294015</v>
      </c>
      <c r="CS3520">
        <v>0</v>
      </c>
      <c r="CT3520">
        <v>2</v>
      </c>
      <c r="CU3520">
        <v>0</v>
      </c>
      <c r="CV3520">
        <v>2</v>
      </c>
      <c r="CW3520">
        <v>0</v>
      </c>
      <c r="CX3520">
        <v>5</v>
      </c>
      <c r="CY3520">
        <v>7</v>
      </c>
      <c r="CZ3520" t="s">
        <v>131</v>
      </c>
      <c r="DA3520">
        <v>300</v>
      </c>
      <c r="DB3520">
        <v>0</v>
      </c>
      <c r="DC3520" t="s">
        <v>176</v>
      </c>
      <c r="DD3520" t="s">
        <v>177</v>
      </c>
      <c r="DG3520">
        <v>5440762</v>
      </c>
      <c r="DI3520">
        <v>1</v>
      </c>
      <c r="DJ3520">
        <v>0</v>
      </c>
      <c r="DK3520">
        <v>1</v>
      </c>
      <c r="DL3520">
        <v>0</v>
      </c>
      <c r="DM3520">
        <v>0</v>
      </c>
      <c r="DN3520">
        <v>1</v>
      </c>
      <c r="DO3520">
        <v>0</v>
      </c>
      <c r="DP3520">
        <v>0</v>
      </c>
      <c r="DQ3520">
        <v>0</v>
      </c>
      <c r="DR3520">
        <v>0</v>
      </c>
      <c r="DS3520">
        <v>0</v>
      </c>
    </row>
    <row r="3521" spans="1:123" x14ac:dyDescent="0.3">
      <c r="A3521" t="str">
        <f>"10/04/2022 19:35:01.169"</f>
        <v>10/04/2022 19:35:01.169</v>
      </c>
      <c r="C3521" t="str">
        <f t="shared" si="1281"/>
        <v>FFDFD3C0</v>
      </c>
      <c r="D3521" t="s">
        <v>141</v>
      </c>
      <c r="E3521">
        <v>3</v>
      </c>
      <c r="H3521">
        <v>3</v>
      </c>
      <c r="I3521" t="s">
        <v>146</v>
      </c>
      <c r="J3521" t="s">
        <v>138</v>
      </c>
      <c r="K3521">
        <v>0</v>
      </c>
      <c r="L3521">
        <v>3</v>
      </c>
      <c r="M3521">
        <v>0</v>
      </c>
      <c r="N3521">
        <v>2</v>
      </c>
      <c r="O3521">
        <v>0</v>
      </c>
      <c r="P3521">
        <v>1</v>
      </c>
      <c r="Q3521">
        <v>0</v>
      </c>
      <c r="S3521" t="str">
        <f t="shared" si="1285"/>
        <v>19:35:00.000</v>
      </c>
      <c r="T3521" t="str">
        <f t="shared" si="1285"/>
        <v>19:35:00.000</v>
      </c>
      <c r="U3521" t="str">
        <f t="shared" si="1264"/>
        <v>AC3944</v>
      </c>
      <c r="V3521">
        <v>0</v>
      </c>
      <c r="W3521">
        <v>0</v>
      </c>
      <c r="X3521">
        <v>2</v>
      </c>
      <c r="Y3521">
        <v>0</v>
      </c>
      <c r="AA3521">
        <v>1</v>
      </c>
      <c r="AB3521">
        <v>8</v>
      </c>
      <c r="AC3521">
        <v>3</v>
      </c>
      <c r="AD3521">
        <v>0</v>
      </c>
      <c r="AE3521">
        <v>9</v>
      </c>
      <c r="AF3521" t="s">
        <v>138</v>
      </c>
      <c r="AG3521">
        <v>0</v>
      </c>
      <c r="AH3521">
        <v>3</v>
      </c>
      <c r="AI3521">
        <v>1</v>
      </c>
      <c r="AJ3521">
        <v>0</v>
      </c>
      <c r="AK3521" t="s">
        <v>1153</v>
      </c>
      <c r="AL3521">
        <v>32.733635999999997</v>
      </c>
      <c r="AM3521" t="s">
        <v>1154</v>
      </c>
      <c r="AN3521">
        <v>-116.73413499999999</v>
      </c>
      <c r="AO3521">
        <v>25</v>
      </c>
      <c r="AP3521">
        <v>4300</v>
      </c>
      <c r="AQ3521" t="s">
        <v>129</v>
      </c>
      <c r="AR3521">
        <v>109</v>
      </c>
      <c r="AS3521">
        <v>47</v>
      </c>
      <c r="AT3521">
        <v>448</v>
      </c>
      <c r="BB3521">
        <v>1200</v>
      </c>
      <c r="BC3521">
        <v>1</v>
      </c>
      <c r="BD3521" t="str">
        <f t="shared" si="1265"/>
        <v xml:space="preserve">N887QR  </v>
      </c>
      <c r="BE3521">
        <v>1</v>
      </c>
      <c r="BG3521">
        <v>0</v>
      </c>
      <c r="BH3521">
        <v>0</v>
      </c>
      <c r="BI3521">
        <v>0</v>
      </c>
      <c r="BJ3521">
        <v>4125</v>
      </c>
      <c r="BK3521">
        <v>-175</v>
      </c>
      <c r="BL3521" t="s">
        <v>163</v>
      </c>
      <c r="BM3521">
        <v>1</v>
      </c>
      <c r="BN3521">
        <v>1</v>
      </c>
      <c r="BO3521">
        <v>1</v>
      </c>
      <c r="BP3521">
        <v>0</v>
      </c>
      <c r="BS3521">
        <v>0</v>
      </c>
      <c r="BT3521">
        <v>0</v>
      </c>
      <c r="BU3521">
        <v>0</v>
      </c>
      <c r="CE3521" t="str">
        <f t="shared" si="1287"/>
        <v>19:35:00.852</v>
      </c>
      <c r="CF3521">
        <v>852294015</v>
      </c>
      <c r="CS3521">
        <v>0</v>
      </c>
      <c r="CT3521">
        <v>2</v>
      </c>
      <c r="CU3521">
        <v>0</v>
      </c>
      <c r="CV3521">
        <v>2</v>
      </c>
      <c r="CW3521">
        <v>0</v>
      </c>
      <c r="CX3521">
        <v>5</v>
      </c>
      <c r="CY3521">
        <v>7</v>
      </c>
      <c r="CZ3521" t="s">
        <v>131</v>
      </c>
      <c r="DA3521">
        <v>300</v>
      </c>
      <c r="DB3521">
        <v>0</v>
      </c>
      <c r="DC3521" t="s">
        <v>176</v>
      </c>
      <c r="DD3521" t="s">
        <v>177</v>
      </c>
      <c r="DG3521">
        <v>5440762</v>
      </c>
      <c r="DI3521">
        <v>1</v>
      </c>
      <c r="DJ3521">
        <v>0</v>
      </c>
      <c r="DK3521">
        <v>1</v>
      </c>
      <c r="DL3521">
        <v>0</v>
      </c>
      <c r="DM3521">
        <v>0</v>
      </c>
      <c r="DN3521">
        <v>1</v>
      </c>
      <c r="DO3521">
        <v>0</v>
      </c>
      <c r="DP3521">
        <v>0</v>
      </c>
      <c r="DQ3521">
        <v>0</v>
      </c>
      <c r="DR3521">
        <v>0</v>
      </c>
      <c r="DS3521">
        <v>0</v>
      </c>
    </row>
    <row r="3522" spans="1:123" x14ac:dyDescent="0.3">
      <c r="A3522" t="str">
        <f>"10/04/2022 19:35:01.201"</f>
        <v>10/04/2022 19:35:01.201</v>
      </c>
      <c r="C3522" t="str">
        <f t="shared" si="1281"/>
        <v>FFDFD3C0</v>
      </c>
      <c r="D3522" t="s">
        <v>147</v>
      </c>
      <c r="E3522">
        <v>3</v>
      </c>
      <c r="H3522">
        <v>166</v>
      </c>
      <c r="I3522" t="s">
        <v>144</v>
      </c>
      <c r="J3522" t="s">
        <v>148</v>
      </c>
      <c r="K3522">
        <v>0</v>
      </c>
      <c r="L3522">
        <v>3</v>
      </c>
      <c r="M3522">
        <v>0</v>
      </c>
      <c r="N3522">
        <v>2</v>
      </c>
      <c r="O3522">
        <v>0</v>
      </c>
      <c r="P3522">
        <v>1</v>
      </c>
      <c r="Q3522">
        <v>0</v>
      </c>
      <c r="S3522" t="str">
        <f t="shared" si="1285"/>
        <v>19:35:00.000</v>
      </c>
      <c r="T3522" t="str">
        <f t="shared" si="1285"/>
        <v>19:35:00.000</v>
      </c>
      <c r="U3522" t="str">
        <f t="shared" ref="U3522:U3585" si="1288">"AC3944"</f>
        <v>AC3944</v>
      </c>
      <c r="V3522">
        <v>0</v>
      </c>
      <c r="W3522">
        <v>0</v>
      </c>
      <c r="X3522">
        <v>2</v>
      </c>
      <c r="Y3522">
        <v>0</v>
      </c>
      <c r="AA3522">
        <v>1</v>
      </c>
      <c r="AB3522">
        <v>8</v>
      </c>
      <c r="AC3522">
        <v>3</v>
      </c>
      <c r="AD3522">
        <v>0</v>
      </c>
      <c r="AE3522">
        <v>9</v>
      </c>
      <c r="AF3522" t="s">
        <v>138</v>
      </c>
      <c r="AG3522">
        <v>0</v>
      </c>
      <c r="AH3522">
        <v>3</v>
      </c>
      <c r="AI3522">
        <v>1</v>
      </c>
      <c r="AJ3522">
        <v>0</v>
      </c>
      <c r="AK3522" t="s">
        <v>1153</v>
      </c>
      <c r="AL3522">
        <v>32.733635999999997</v>
      </c>
      <c r="AM3522" t="s">
        <v>1154</v>
      </c>
      <c r="AN3522">
        <v>-116.73413499999999</v>
      </c>
      <c r="AO3522">
        <v>25</v>
      </c>
      <c r="AP3522">
        <v>4300</v>
      </c>
      <c r="AQ3522" t="s">
        <v>129</v>
      </c>
      <c r="AR3522">
        <v>109</v>
      </c>
      <c r="AS3522">
        <v>47</v>
      </c>
      <c r="AT3522">
        <v>448</v>
      </c>
      <c r="BB3522">
        <v>1200</v>
      </c>
      <c r="BC3522">
        <v>1</v>
      </c>
      <c r="BD3522" t="str">
        <f t="shared" ref="BD3522:BD3585" si="1289">"N887QR  "</f>
        <v xml:space="preserve">N887QR  </v>
      </c>
      <c r="BE3522">
        <v>1</v>
      </c>
      <c r="BG3522">
        <v>0</v>
      </c>
      <c r="BH3522">
        <v>0</v>
      </c>
      <c r="BI3522">
        <v>0</v>
      </c>
      <c r="BJ3522">
        <v>4125</v>
      </c>
      <c r="BK3522">
        <v>-175</v>
      </c>
      <c r="BL3522" t="s">
        <v>163</v>
      </c>
      <c r="BM3522">
        <v>1</v>
      </c>
      <c r="BN3522">
        <v>1</v>
      </c>
      <c r="BO3522">
        <v>1</v>
      </c>
      <c r="BP3522">
        <v>0</v>
      </c>
      <c r="BS3522">
        <v>0</v>
      </c>
      <c r="BT3522">
        <v>0</v>
      </c>
      <c r="BU3522">
        <v>0</v>
      </c>
      <c r="CE3522" t="str">
        <f t="shared" si="1287"/>
        <v>19:35:00.852</v>
      </c>
      <c r="CF3522">
        <v>852294015</v>
      </c>
      <c r="CS3522">
        <v>0</v>
      </c>
      <c r="CT3522">
        <v>2</v>
      </c>
      <c r="CU3522">
        <v>0</v>
      </c>
      <c r="CV3522">
        <v>2</v>
      </c>
      <c r="CW3522">
        <v>0</v>
      </c>
      <c r="CX3522">
        <v>5</v>
      </c>
      <c r="CY3522">
        <v>7</v>
      </c>
      <c r="CZ3522" t="s">
        <v>131</v>
      </c>
      <c r="DA3522">
        <v>300</v>
      </c>
      <c r="DB3522">
        <v>0</v>
      </c>
      <c r="DC3522" t="s">
        <v>176</v>
      </c>
      <c r="DD3522" t="s">
        <v>177</v>
      </c>
      <c r="DG3522">
        <v>5440762</v>
      </c>
      <c r="DI3522">
        <v>1</v>
      </c>
      <c r="DJ3522">
        <v>0</v>
      </c>
      <c r="DK3522">
        <v>1</v>
      </c>
      <c r="DL3522">
        <v>0</v>
      </c>
      <c r="DM3522">
        <v>0</v>
      </c>
      <c r="DN3522">
        <v>1</v>
      </c>
      <c r="DO3522">
        <v>0</v>
      </c>
      <c r="DP3522">
        <v>0</v>
      </c>
      <c r="DQ3522">
        <v>0</v>
      </c>
      <c r="DR3522">
        <v>0</v>
      </c>
      <c r="DS3522">
        <v>0</v>
      </c>
    </row>
    <row r="3523" spans="1:123" x14ac:dyDescent="0.3">
      <c r="A3523" t="str">
        <f>"10/04/2022 19:35:01.201"</f>
        <v>10/04/2022 19:35:01.201</v>
      </c>
      <c r="C3523" t="str">
        <f t="shared" si="1281"/>
        <v>FFDFD3C0</v>
      </c>
      <c r="D3523" t="s">
        <v>141</v>
      </c>
      <c r="E3523">
        <v>4</v>
      </c>
      <c r="H3523">
        <v>4</v>
      </c>
      <c r="I3523" t="s">
        <v>142</v>
      </c>
      <c r="J3523" t="s">
        <v>138</v>
      </c>
      <c r="K3523">
        <v>0</v>
      </c>
      <c r="L3523">
        <v>3</v>
      </c>
      <c r="M3523">
        <v>0</v>
      </c>
      <c r="N3523">
        <v>2</v>
      </c>
      <c r="O3523">
        <v>0</v>
      </c>
      <c r="P3523">
        <v>1</v>
      </c>
      <c r="Q3523">
        <v>0</v>
      </c>
      <c r="S3523" t="str">
        <f t="shared" si="1285"/>
        <v>19:35:00.000</v>
      </c>
      <c r="T3523" t="str">
        <f t="shared" si="1285"/>
        <v>19:35:00.000</v>
      </c>
      <c r="U3523" t="str">
        <f t="shared" si="1288"/>
        <v>AC3944</v>
      </c>
      <c r="V3523">
        <v>0</v>
      </c>
      <c r="W3523">
        <v>0</v>
      </c>
      <c r="X3523">
        <v>2</v>
      </c>
      <c r="Y3523">
        <v>0</v>
      </c>
      <c r="AA3523">
        <v>1</v>
      </c>
      <c r="AB3523">
        <v>8</v>
      </c>
      <c r="AC3523">
        <v>3</v>
      </c>
      <c r="AD3523">
        <v>0</v>
      </c>
      <c r="AE3523">
        <v>9</v>
      </c>
      <c r="AF3523" t="s">
        <v>138</v>
      </c>
      <c r="AG3523">
        <v>0</v>
      </c>
      <c r="AH3523">
        <v>3</v>
      </c>
      <c r="AI3523">
        <v>1</v>
      </c>
      <c r="AJ3523">
        <v>0</v>
      </c>
      <c r="AK3523" t="s">
        <v>1153</v>
      </c>
      <c r="AL3523">
        <v>32.733635999999997</v>
      </c>
      <c r="AM3523" t="s">
        <v>1154</v>
      </c>
      <c r="AN3523">
        <v>-116.73413499999999</v>
      </c>
      <c r="AO3523">
        <v>25</v>
      </c>
      <c r="AP3523">
        <v>4300</v>
      </c>
      <c r="AQ3523" t="s">
        <v>129</v>
      </c>
      <c r="AR3523">
        <v>109</v>
      </c>
      <c r="AS3523">
        <v>47</v>
      </c>
      <c r="AT3523">
        <v>448</v>
      </c>
      <c r="BB3523">
        <v>1200</v>
      </c>
      <c r="BC3523">
        <v>1</v>
      </c>
      <c r="BD3523" t="str">
        <f t="shared" si="1289"/>
        <v xml:space="preserve">N887QR  </v>
      </c>
      <c r="BE3523">
        <v>1</v>
      </c>
      <c r="BG3523">
        <v>0</v>
      </c>
      <c r="BH3523">
        <v>0</v>
      </c>
      <c r="BI3523">
        <v>0</v>
      </c>
      <c r="BJ3523">
        <v>4125</v>
      </c>
      <c r="BK3523">
        <v>-175</v>
      </c>
      <c r="BL3523" t="s">
        <v>163</v>
      </c>
      <c r="BM3523">
        <v>1</v>
      </c>
      <c r="BN3523">
        <v>1</v>
      </c>
      <c r="BO3523">
        <v>1</v>
      </c>
      <c r="BP3523">
        <v>0</v>
      </c>
      <c r="BS3523">
        <v>0</v>
      </c>
      <c r="BT3523">
        <v>0</v>
      </c>
      <c r="BU3523">
        <v>0</v>
      </c>
      <c r="CE3523" t="str">
        <f t="shared" si="1287"/>
        <v>19:35:00.852</v>
      </c>
      <c r="CF3523">
        <v>852294015</v>
      </c>
      <c r="CS3523">
        <v>0</v>
      </c>
      <c r="CT3523">
        <v>2</v>
      </c>
      <c r="CU3523">
        <v>0</v>
      </c>
      <c r="CV3523">
        <v>2</v>
      </c>
      <c r="CW3523">
        <v>0</v>
      </c>
      <c r="CX3523">
        <v>5</v>
      </c>
      <c r="CY3523">
        <v>7</v>
      </c>
      <c r="CZ3523" t="s">
        <v>131</v>
      </c>
      <c r="DA3523">
        <v>300</v>
      </c>
      <c r="DB3523">
        <v>0</v>
      </c>
      <c r="DC3523" t="s">
        <v>176</v>
      </c>
      <c r="DD3523" t="s">
        <v>177</v>
      </c>
      <c r="DG3523">
        <v>5440762</v>
      </c>
      <c r="DI3523">
        <v>1</v>
      </c>
      <c r="DJ3523">
        <v>0</v>
      </c>
      <c r="DK3523">
        <v>1</v>
      </c>
      <c r="DL3523">
        <v>0</v>
      </c>
      <c r="DM3523">
        <v>0</v>
      </c>
      <c r="DN3523">
        <v>1</v>
      </c>
      <c r="DO3523">
        <v>0</v>
      </c>
      <c r="DP3523">
        <v>0</v>
      </c>
      <c r="DQ3523">
        <v>0</v>
      </c>
      <c r="DR3523">
        <v>0</v>
      </c>
      <c r="DS3523">
        <v>0</v>
      </c>
    </row>
    <row r="3524" spans="1:123" x14ac:dyDescent="0.3">
      <c r="A3524" t="str">
        <f>"10/04/2022 19:35:01.201"</f>
        <v>10/04/2022 19:35:01.201</v>
      </c>
      <c r="C3524" t="str">
        <f t="shared" si="1281"/>
        <v>FFDFD3C0</v>
      </c>
      <c r="D3524" t="s">
        <v>134</v>
      </c>
      <c r="E3524">
        <v>15</v>
      </c>
      <c r="J3524" t="s">
        <v>135</v>
      </c>
      <c r="K3524">
        <v>0</v>
      </c>
      <c r="L3524">
        <v>3</v>
      </c>
      <c r="M3524">
        <v>0</v>
      </c>
      <c r="N3524">
        <v>2</v>
      </c>
      <c r="O3524">
        <v>0</v>
      </c>
      <c r="P3524">
        <v>1</v>
      </c>
      <c r="Q3524">
        <v>0</v>
      </c>
      <c r="S3524" t="str">
        <f t="shared" si="1285"/>
        <v>19:35:00.000</v>
      </c>
      <c r="T3524" t="str">
        <f t="shared" si="1285"/>
        <v>19:35:00.000</v>
      </c>
      <c r="U3524" t="str">
        <f t="shared" si="1288"/>
        <v>AC3944</v>
      </c>
      <c r="V3524">
        <v>0</v>
      </c>
      <c r="W3524">
        <v>0</v>
      </c>
      <c r="X3524">
        <v>2</v>
      </c>
      <c r="Y3524">
        <v>0</v>
      </c>
      <c r="AA3524">
        <v>1</v>
      </c>
      <c r="AB3524">
        <v>8</v>
      </c>
      <c r="AC3524">
        <v>3</v>
      </c>
      <c r="AD3524">
        <v>0</v>
      </c>
      <c r="AE3524">
        <v>9</v>
      </c>
      <c r="AF3524" t="s">
        <v>138</v>
      </c>
      <c r="AG3524">
        <v>0</v>
      </c>
      <c r="AH3524">
        <v>3</v>
      </c>
      <c r="AI3524">
        <v>1</v>
      </c>
      <c r="AJ3524">
        <v>0</v>
      </c>
      <c r="AK3524" t="s">
        <v>1153</v>
      </c>
      <c r="AL3524">
        <v>32.733635999999997</v>
      </c>
      <c r="AM3524" t="s">
        <v>1154</v>
      </c>
      <c r="AN3524">
        <v>-116.73413499999999</v>
      </c>
      <c r="AO3524">
        <v>25</v>
      </c>
      <c r="AP3524">
        <v>4300</v>
      </c>
      <c r="AQ3524" t="s">
        <v>129</v>
      </c>
      <c r="AR3524">
        <v>109</v>
      </c>
      <c r="AS3524">
        <v>47</v>
      </c>
      <c r="AT3524">
        <v>448</v>
      </c>
      <c r="BB3524">
        <v>1200</v>
      </c>
      <c r="BC3524">
        <v>1</v>
      </c>
      <c r="BD3524" t="str">
        <f t="shared" si="1289"/>
        <v xml:space="preserve">N887QR  </v>
      </c>
      <c r="BE3524">
        <v>1</v>
      </c>
      <c r="BG3524">
        <v>0</v>
      </c>
      <c r="BH3524">
        <v>0</v>
      </c>
      <c r="BI3524">
        <v>0</v>
      </c>
      <c r="BJ3524">
        <v>4125</v>
      </c>
      <c r="BK3524">
        <v>-175</v>
      </c>
      <c r="BL3524" t="s">
        <v>163</v>
      </c>
      <c r="BM3524">
        <v>1</v>
      </c>
      <c r="BN3524">
        <v>1</v>
      </c>
      <c r="BO3524">
        <v>1</v>
      </c>
      <c r="BP3524">
        <v>0</v>
      </c>
      <c r="BS3524">
        <v>0</v>
      </c>
      <c r="BT3524">
        <v>0</v>
      </c>
      <c r="BU3524">
        <v>0</v>
      </c>
      <c r="CE3524" t="str">
        <f t="shared" si="1287"/>
        <v>19:35:00.852</v>
      </c>
      <c r="CF3524">
        <v>852294015</v>
      </c>
      <c r="CS3524">
        <v>0</v>
      </c>
      <c r="CT3524">
        <v>2</v>
      </c>
      <c r="CU3524">
        <v>0</v>
      </c>
      <c r="CV3524">
        <v>2</v>
      </c>
      <c r="CW3524">
        <v>0</v>
      </c>
      <c r="CX3524">
        <v>5</v>
      </c>
      <c r="CY3524">
        <v>7</v>
      </c>
      <c r="CZ3524" t="s">
        <v>131</v>
      </c>
      <c r="DA3524">
        <v>300</v>
      </c>
      <c r="DB3524">
        <v>0</v>
      </c>
      <c r="DC3524" t="s">
        <v>176</v>
      </c>
      <c r="DD3524" t="s">
        <v>177</v>
      </c>
      <c r="DG3524">
        <v>5440762</v>
      </c>
      <c r="DI3524">
        <v>1</v>
      </c>
      <c r="DJ3524">
        <v>0</v>
      </c>
      <c r="DK3524">
        <v>1</v>
      </c>
      <c r="DL3524">
        <v>0</v>
      </c>
      <c r="DM3524">
        <v>0</v>
      </c>
      <c r="DN3524">
        <v>1</v>
      </c>
      <c r="DO3524">
        <v>0</v>
      </c>
      <c r="DP3524">
        <v>0</v>
      </c>
      <c r="DQ3524">
        <v>0</v>
      </c>
      <c r="DR3524">
        <v>0</v>
      </c>
      <c r="DS3524">
        <v>0</v>
      </c>
    </row>
    <row r="3525" spans="1:123" x14ac:dyDescent="0.3">
      <c r="A3525" t="str">
        <f>"10/04/2022 19:35:01.201"</f>
        <v>10/04/2022 19:35:01.201</v>
      </c>
      <c r="C3525" t="str">
        <f t="shared" si="1281"/>
        <v>FFDFD3C0</v>
      </c>
      <c r="D3525" t="s">
        <v>143</v>
      </c>
      <c r="E3525">
        <v>20</v>
      </c>
      <c r="F3525">
        <v>1020</v>
      </c>
      <c r="G3525" t="s">
        <v>144</v>
      </c>
      <c r="J3525" t="s">
        <v>145</v>
      </c>
      <c r="K3525">
        <v>0</v>
      </c>
      <c r="L3525">
        <v>3</v>
      </c>
      <c r="M3525">
        <v>0</v>
      </c>
      <c r="N3525">
        <v>2</v>
      </c>
      <c r="O3525">
        <v>0</v>
      </c>
      <c r="P3525">
        <v>1</v>
      </c>
      <c r="Q3525">
        <v>0</v>
      </c>
      <c r="S3525" t="str">
        <f t="shared" si="1285"/>
        <v>19:35:00.000</v>
      </c>
      <c r="T3525" t="str">
        <f t="shared" si="1285"/>
        <v>19:35:00.000</v>
      </c>
      <c r="U3525" t="str">
        <f t="shared" si="1288"/>
        <v>AC3944</v>
      </c>
      <c r="V3525">
        <v>0</v>
      </c>
      <c r="W3525">
        <v>0</v>
      </c>
      <c r="X3525">
        <v>2</v>
      </c>
      <c r="Y3525">
        <v>0</v>
      </c>
      <c r="AA3525">
        <v>1</v>
      </c>
      <c r="AB3525">
        <v>8</v>
      </c>
      <c r="AC3525">
        <v>3</v>
      </c>
      <c r="AD3525">
        <v>0</v>
      </c>
      <c r="AE3525">
        <v>9</v>
      </c>
      <c r="AF3525" t="s">
        <v>138</v>
      </c>
      <c r="AG3525">
        <v>0</v>
      </c>
      <c r="AH3525">
        <v>3</v>
      </c>
      <c r="AI3525">
        <v>1</v>
      </c>
      <c r="AJ3525">
        <v>0</v>
      </c>
      <c r="AK3525" t="s">
        <v>1153</v>
      </c>
      <c r="AL3525">
        <v>32.733635999999997</v>
      </c>
      <c r="AM3525" t="s">
        <v>1154</v>
      </c>
      <c r="AN3525">
        <v>-116.73413499999999</v>
      </c>
      <c r="AO3525">
        <v>25</v>
      </c>
      <c r="AP3525">
        <v>4300</v>
      </c>
      <c r="AQ3525" t="s">
        <v>129</v>
      </c>
      <c r="AR3525">
        <v>109</v>
      </c>
      <c r="AS3525">
        <v>47</v>
      </c>
      <c r="AT3525">
        <v>448</v>
      </c>
      <c r="BB3525">
        <v>1200</v>
      </c>
      <c r="BC3525">
        <v>1</v>
      </c>
      <c r="BD3525" t="str">
        <f t="shared" si="1289"/>
        <v xml:space="preserve">N887QR  </v>
      </c>
      <c r="BE3525">
        <v>1</v>
      </c>
      <c r="BG3525">
        <v>0</v>
      </c>
      <c r="BH3525">
        <v>0</v>
      </c>
      <c r="BI3525">
        <v>0</v>
      </c>
      <c r="BJ3525">
        <v>4125</v>
      </c>
      <c r="BK3525">
        <v>-175</v>
      </c>
      <c r="BL3525" t="s">
        <v>163</v>
      </c>
      <c r="BM3525">
        <v>1</v>
      </c>
      <c r="BN3525">
        <v>1</v>
      </c>
      <c r="BO3525">
        <v>1</v>
      </c>
      <c r="BP3525">
        <v>0</v>
      </c>
      <c r="BS3525">
        <v>0</v>
      </c>
      <c r="BT3525">
        <v>0</v>
      </c>
      <c r="BU3525">
        <v>0</v>
      </c>
      <c r="CE3525" t="str">
        <f t="shared" si="1287"/>
        <v>19:35:00.852</v>
      </c>
      <c r="CF3525">
        <v>852294015</v>
      </c>
      <c r="CS3525">
        <v>0</v>
      </c>
      <c r="CT3525">
        <v>2</v>
      </c>
      <c r="CU3525">
        <v>0</v>
      </c>
      <c r="CV3525">
        <v>2</v>
      </c>
      <c r="CW3525">
        <v>0</v>
      </c>
      <c r="CX3525">
        <v>5</v>
      </c>
      <c r="CY3525">
        <v>7</v>
      </c>
      <c r="CZ3525" t="s">
        <v>131</v>
      </c>
      <c r="DA3525">
        <v>300</v>
      </c>
      <c r="DB3525">
        <v>0</v>
      </c>
      <c r="DC3525" t="s">
        <v>176</v>
      </c>
      <c r="DD3525" t="s">
        <v>177</v>
      </c>
      <c r="DG3525">
        <v>5440762</v>
      </c>
      <c r="DI3525">
        <v>1</v>
      </c>
      <c r="DJ3525">
        <v>0</v>
      </c>
      <c r="DK3525">
        <v>1</v>
      </c>
      <c r="DL3525">
        <v>0</v>
      </c>
      <c r="DM3525">
        <v>0</v>
      </c>
      <c r="DN3525">
        <v>1</v>
      </c>
      <c r="DO3525">
        <v>0</v>
      </c>
      <c r="DP3525">
        <v>0</v>
      </c>
      <c r="DQ3525">
        <v>0</v>
      </c>
      <c r="DR3525">
        <v>0</v>
      </c>
      <c r="DS3525">
        <v>0</v>
      </c>
    </row>
    <row r="3526" spans="1:123" x14ac:dyDescent="0.3">
      <c r="A3526" t="str">
        <f t="shared" ref="A3526:A3531" si="1290">"10/04/2022 19:35:02.751"</f>
        <v>10/04/2022 19:35:02.751</v>
      </c>
      <c r="C3526" t="str">
        <f t="shared" si="1281"/>
        <v>FFDFD3C0</v>
      </c>
      <c r="D3526" t="s">
        <v>134</v>
      </c>
      <c r="E3526">
        <v>15</v>
      </c>
      <c r="J3526" t="s">
        <v>135</v>
      </c>
      <c r="K3526">
        <v>0</v>
      </c>
      <c r="L3526">
        <v>3</v>
      </c>
      <c r="M3526">
        <v>0</v>
      </c>
      <c r="N3526">
        <v>2</v>
      </c>
      <c r="O3526">
        <v>0</v>
      </c>
      <c r="P3526">
        <v>1</v>
      </c>
      <c r="Q3526">
        <v>0</v>
      </c>
      <c r="S3526" t="str">
        <f t="shared" ref="S3526:T3539" si="1291">"19:35:02.000"</f>
        <v>19:35:02.000</v>
      </c>
      <c r="T3526" t="str">
        <f t="shared" si="1291"/>
        <v>19:35:02.000</v>
      </c>
      <c r="U3526" t="str">
        <f t="shared" si="1288"/>
        <v>AC3944</v>
      </c>
      <c r="V3526">
        <v>0</v>
      </c>
      <c r="W3526">
        <v>0</v>
      </c>
      <c r="X3526">
        <v>2</v>
      </c>
      <c r="Y3526">
        <v>0</v>
      </c>
      <c r="AA3526">
        <v>1</v>
      </c>
      <c r="AB3526">
        <v>8</v>
      </c>
      <c r="AC3526">
        <v>3</v>
      </c>
      <c r="AD3526">
        <v>0</v>
      </c>
      <c r="AE3526">
        <v>9</v>
      </c>
      <c r="AF3526" t="s">
        <v>138</v>
      </c>
      <c r="AG3526">
        <v>0</v>
      </c>
      <c r="AH3526">
        <v>3</v>
      </c>
      <c r="AI3526">
        <v>1</v>
      </c>
      <c r="AJ3526">
        <v>0</v>
      </c>
      <c r="AK3526" t="s">
        <v>1155</v>
      </c>
      <c r="AL3526">
        <v>32.733871999999998</v>
      </c>
      <c r="AM3526" t="s">
        <v>1156</v>
      </c>
      <c r="AN3526">
        <v>-116.73353400000001</v>
      </c>
      <c r="AO3526">
        <v>25</v>
      </c>
      <c r="AP3526">
        <v>4300</v>
      </c>
      <c r="AQ3526" t="s">
        <v>129</v>
      </c>
      <c r="AR3526">
        <v>111</v>
      </c>
      <c r="AS3526">
        <v>44</v>
      </c>
      <c r="AT3526">
        <v>448</v>
      </c>
      <c r="BB3526">
        <v>1200</v>
      </c>
      <c r="BC3526">
        <v>1</v>
      </c>
      <c r="BD3526" t="str">
        <f t="shared" si="1289"/>
        <v xml:space="preserve">N887QR  </v>
      </c>
      <c r="BE3526">
        <v>1</v>
      </c>
      <c r="BG3526">
        <v>0</v>
      </c>
      <c r="BH3526">
        <v>0</v>
      </c>
      <c r="BI3526">
        <v>0</v>
      </c>
      <c r="BJ3526">
        <v>4125</v>
      </c>
      <c r="BK3526">
        <v>-175</v>
      </c>
      <c r="BL3526" t="s">
        <v>163</v>
      </c>
      <c r="BM3526">
        <v>1</v>
      </c>
      <c r="BN3526">
        <v>1</v>
      </c>
      <c r="BO3526">
        <v>1</v>
      </c>
      <c r="BP3526">
        <v>0</v>
      </c>
      <c r="BS3526">
        <v>0</v>
      </c>
      <c r="BT3526">
        <v>0</v>
      </c>
      <c r="BU3526">
        <v>0</v>
      </c>
      <c r="CE3526" t="str">
        <f t="shared" ref="CE3526:CE3532" si="1292">"19:35:02.504"</f>
        <v>19:35:02.504</v>
      </c>
      <c r="CF3526">
        <v>503985834</v>
      </c>
      <c r="CS3526">
        <v>0</v>
      </c>
      <c r="CT3526">
        <v>2</v>
      </c>
      <c r="CU3526">
        <v>0</v>
      </c>
      <c r="CV3526">
        <v>2</v>
      </c>
      <c r="CW3526">
        <v>1</v>
      </c>
      <c r="CX3526">
        <v>5</v>
      </c>
      <c r="CY3526">
        <v>7</v>
      </c>
      <c r="CZ3526" t="s">
        <v>131</v>
      </c>
      <c r="DA3526">
        <v>286</v>
      </c>
      <c r="DB3526">
        <v>0</v>
      </c>
      <c r="DC3526" t="s">
        <v>132</v>
      </c>
      <c r="DD3526" t="s">
        <v>133</v>
      </c>
      <c r="DG3526">
        <v>881912</v>
      </c>
      <c r="DI3526">
        <v>1</v>
      </c>
      <c r="DJ3526">
        <v>0</v>
      </c>
      <c r="DK3526">
        <v>0</v>
      </c>
      <c r="DL3526">
        <v>0</v>
      </c>
      <c r="DM3526">
        <v>0</v>
      </c>
      <c r="DN3526">
        <v>1</v>
      </c>
      <c r="DO3526">
        <v>0</v>
      </c>
      <c r="DP3526">
        <v>0</v>
      </c>
      <c r="DQ3526">
        <v>0</v>
      </c>
      <c r="DR3526">
        <v>0</v>
      </c>
      <c r="DS3526">
        <v>0</v>
      </c>
    </row>
    <row r="3527" spans="1:123" x14ac:dyDescent="0.3">
      <c r="A3527" t="str">
        <f t="shared" si="1290"/>
        <v>10/04/2022 19:35:02.751</v>
      </c>
      <c r="C3527" t="str">
        <f t="shared" si="1281"/>
        <v>FFDFD3C0</v>
      </c>
      <c r="D3527" t="s">
        <v>143</v>
      </c>
      <c r="E3527">
        <v>20</v>
      </c>
      <c r="F3527">
        <v>1020</v>
      </c>
      <c r="G3527" t="s">
        <v>144</v>
      </c>
      <c r="J3527" t="s">
        <v>145</v>
      </c>
      <c r="K3527">
        <v>0</v>
      </c>
      <c r="L3527">
        <v>3</v>
      </c>
      <c r="M3527">
        <v>0</v>
      </c>
      <c r="N3527">
        <v>2</v>
      </c>
      <c r="O3527">
        <v>0</v>
      </c>
      <c r="P3527">
        <v>1</v>
      </c>
      <c r="Q3527">
        <v>0</v>
      </c>
      <c r="S3527" t="str">
        <f t="shared" si="1291"/>
        <v>19:35:02.000</v>
      </c>
      <c r="T3527" t="str">
        <f t="shared" si="1291"/>
        <v>19:35:02.000</v>
      </c>
      <c r="U3527" t="str">
        <f t="shared" si="1288"/>
        <v>AC3944</v>
      </c>
      <c r="V3527">
        <v>0</v>
      </c>
      <c r="W3527">
        <v>0</v>
      </c>
      <c r="X3527">
        <v>2</v>
      </c>
      <c r="Y3527">
        <v>0</v>
      </c>
      <c r="AA3527">
        <v>1</v>
      </c>
      <c r="AB3527">
        <v>8</v>
      </c>
      <c r="AC3527">
        <v>3</v>
      </c>
      <c r="AD3527">
        <v>0</v>
      </c>
      <c r="AE3527">
        <v>9</v>
      </c>
      <c r="AF3527" t="s">
        <v>138</v>
      </c>
      <c r="AG3527">
        <v>0</v>
      </c>
      <c r="AH3527">
        <v>3</v>
      </c>
      <c r="AI3527">
        <v>1</v>
      </c>
      <c r="AJ3527">
        <v>0</v>
      </c>
      <c r="AK3527" t="s">
        <v>1155</v>
      </c>
      <c r="AL3527">
        <v>32.733871999999998</v>
      </c>
      <c r="AM3527" t="s">
        <v>1156</v>
      </c>
      <c r="AN3527">
        <v>-116.73353400000001</v>
      </c>
      <c r="AO3527">
        <v>25</v>
      </c>
      <c r="AP3527">
        <v>4300</v>
      </c>
      <c r="AQ3527" t="s">
        <v>129</v>
      </c>
      <c r="AR3527">
        <v>111</v>
      </c>
      <c r="AS3527">
        <v>44</v>
      </c>
      <c r="AT3527">
        <v>448</v>
      </c>
      <c r="BB3527">
        <v>1200</v>
      </c>
      <c r="BC3527">
        <v>1</v>
      </c>
      <c r="BD3527" t="str">
        <f t="shared" si="1289"/>
        <v xml:space="preserve">N887QR  </v>
      </c>
      <c r="BE3527">
        <v>1</v>
      </c>
      <c r="BG3527">
        <v>0</v>
      </c>
      <c r="BH3527">
        <v>0</v>
      </c>
      <c r="BI3527">
        <v>0</v>
      </c>
      <c r="BJ3527">
        <v>4125</v>
      </c>
      <c r="BK3527">
        <v>-175</v>
      </c>
      <c r="BL3527" t="s">
        <v>163</v>
      </c>
      <c r="BM3527">
        <v>1</v>
      </c>
      <c r="BN3527">
        <v>1</v>
      </c>
      <c r="BO3527">
        <v>1</v>
      </c>
      <c r="BP3527">
        <v>0</v>
      </c>
      <c r="BS3527">
        <v>0</v>
      </c>
      <c r="BT3527">
        <v>0</v>
      </c>
      <c r="BU3527">
        <v>0</v>
      </c>
      <c r="CE3527" t="str">
        <f t="shared" si="1292"/>
        <v>19:35:02.504</v>
      </c>
      <c r="CF3527">
        <v>503985834</v>
      </c>
      <c r="CS3527">
        <v>0</v>
      </c>
      <c r="CT3527">
        <v>2</v>
      </c>
      <c r="CU3527">
        <v>0</v>
      </c>
      <c r="CV3527">
        <v>2</v>
      </c>
      <c r="CW3527">
        <v>1</v>
      </c>
      <c r="CX3527">
        <v>5</v>
      </c>
      <c r="CY3527">
        <v>7</v>
      </c>
      <c r="CZ3527" t="s">
        <v>131</v>
      </c>
      <c r="DA3527">
        <v>286</v>
      </c>
      <c r="DB3527">
        <v>0</v>
      </c>
      <c r="DC3527" t="s">
        <v>132</v>
      </c>
      <c r="DD3527" t="s">
        <v>133</v>
      </c>
      <c r="DG3527">
        <v>881912</v>
      </c>
      <c r="DI3527">
        <v>1</v>
      </c>
      <c r="DJ3527">
        <v>0</v>
      </c>
      <c r="DK3527">
        <v>1</v>
      </c>
      <c r="DL3527">
        <v>0</v>
      </c>
      <c r="DM3527">
        <v>0</v>
      </c>
      <c r="DN3527">
        <v>1</v>
      </c>
      <c r="DO3527">
        <v>0</v>
      </c>
      <c r="DP3527">
        <v>0</v>
      </c>
      <c r="DQ3527">
        <v>0</v>
      </c>
      <c r="DR3527">
        <v>0</v>
      </c>
      <c r="DS3527">
        <v>0</v>
      </c>
    </row>
    <row r="3528" spans="1:123" x14ac:dyDescent="0.3">
      <c r="A3528" t="str">
        <f t="shared" si="1290"/>
        <v>10/04/2022 19:35:02.751</v>
      </c>
      <c r="C3528" t="str">
        <f t="shared" si="1281"/>
        <v>FFDFD3C0</v>
      </c>
      <c r="D3528" t="s">
        <v>123</v>
      </c>
      <c r="E3528">
        <v>7</v>
      </c>
      <c r="F3528">
        <v>2007</v>
      </c>
      <c r="G3528" t="s">
        <v>124</v>
      </c>
      <c r="J3528" t="s">
        <v>125</v>
      </c>
      <c r="K3528">
        <v>0</v>
      </c>
      <c r="L3528">
        <v>3</v>
      </c>
      <c r="M3528">
        <v>0</v>
      </c>
      <c r="N3528">
        <v>2</v>
      </c>
      <c r="O3528">
        <v>0</v>
      </c>
      <c r="P3528">
        <v>1</v>
      </c>
      <c r="Q3528">
        <v>0</v>
      </c>
      <c r="S3528" t="str">
        <f t="shared" si="1291"/>
        <v>19:35:02.000</v>
      </c>
      <c r="T3528" t="str">
        <f t="shared" si="1291"/>
        <v>19:35:02.000</v>
      </c>
      <c r="U3528" t="str">
        <f t="shared" si="1288"/>
        <v>AC3944</v>
      </c>
      <c r="V3528">
        <v>0</v>
      </c>
      <c r="W3528">
        <v>0</v>
      </c>
      <c r="X3528">
        <v>2</v>
      </c>
      <c r="Y3528">
        <v>0</v>
      </c>
      <c r="AA3528">
        <v>1</v>
      </c>
      <c r="AB3528">
        <v>8</v>
      </c>
      <c r="AC3528">
        <v>3</v>
      </c>
      <c r="AD3528">
        <v>0</v>
      </c>
      <c r="AE3528">
        <v>9</v>
      </c>
      <c r="AF3528" t="s">
        <v>138</v>
      </c>
      <c r="AG3528">
        <v>0</v>
      </c>
      <c r="AH3528">
        <v>3</v>
      </c>
      <c r="AI3528">
        <v>1</v>
      </c>
      <c r="AJ3528">
        <v>0</v>
      </c>
      <c r="AK3528" t="s">
        <v>1155</v>
      </c>
      <c r="AL3528">
        <v>32.733871999999998</v>
      </c>
      <c r="AM3528" t="s">
        <v>1156</v>
      </c>
      <c r="AN3528">
        <v>-116.73353400000001</v>
      </c>
      <c r="AO3528">
        <v>25</v>
      </c>
      <c r="AP3528">
        <v>4300</v>
      </c>
      <c r="AQ3528" t="s">
        <v>129</v>
      </c>
      <c r="AR3528">
        <v>111</v>
      </c>
      <c r="AS3528">
        <v>44</v>
      </c>
      <c r="AT3528">
        <v>448</v>
      </c>
      <c r="BB3528">
        <v>1200</v>
      </c>
      <c r="BC3528">
        <v>1</v>
      </c>
      <c r="BD3528" t="str">
        <f t="shared" si="1289"/>
        <v xml:space="preserve">N887QR  </v>
      </c>
      <c r="BE3528">
        <v>1</v>
      </c>
      <c r="BG3528">
        <v>0</v>
      </c>
      <c r="BH3528">
        <v>0</v>
      </c>
      <c r="BI3528">
        <v>0</v>
      </c>
      <c r="BJ3528">
        <v>4125</v>
      </c>
      <c r="BK3528">
        <v>-175</v>
      </c>
      <c r="BL3528" t="s">
        <v>163</v>
      </c>
      <c r="BM3528">
        <v>1</v>
      </c>
      <c r="BN3528">
        <v>1</v>
      </c>
      <c r="BO3528">
        <v>1</v>
      </c>
      <c r="BP3528">
        <v>0</v>
      </c>
      <c r="BS3528">
        <v>0</v>
      </c>
      <c r="BT3528">
        <v>0</v>
      </c>
      <c r="BU3528">
        <v>0</v>
      </c>
      <c r="CE3528" t="str">
        <f t="shared" si="1292"/>
        <v>19:35:02.504</v>
      </c>
      <c r="CF3528">
        <v>503985834</v>
      </c>
      <c r="CS3528">
        <v>0</v>
      </c>
      <c r="CT3528">
        <v>2</v>
      </c>
      <c r="CU3528">
        <v>0</v>
      </c>
      <c r="CV3528">
        <v>2</v>
      </c>
      <c r="CW3528">
        <v>1</v>
      </c>
      <c r="CX3528">
        <v>5</v>
      </c>
      <c r="CY3528">
        <v>7</v>
      </c>
      <c r="CZ3528" t="s">
        <v>131</v>
      </c>
      <c r="DA3528">
        <v>286</v>
      </c>
      <c r="DB3528">
        <v>0</v>
      </c>
      <c r="DC3528" t="s">
        <v>132</v>
      </c>
      <c r="DD3528" t="s">
        <v>133</v>
      </c>
      <c r="DG3528">
        <v>881912</v>
      </c>
      <c r="DI3528">
        <v>1</v>
      </c>
      <c r="DJ3528">
        <v>0</v>
      </c>
      <c r="DK3528">
        <v>1</v>
      </c>
      <c r="DL3528">
        <v>0</v>
      </c>
      <c r="DM3528">
        <v>0</v>
      </c>
      <c r="DN3528">
        <v>1</v>
      </c>
      <c r="DO3528">
        <v>0</v>
      </c>
      <c r="DP3528">
        <v>0</v>
      </c>
      <c r="DQ3528">
        <v>0</v>
      </c>
      <c r="DR3528">
        <v>0</v>
      </c>
      <c r="DS3528">
        <v>0</v>
      </c>
    </row>
    <row r="3529" spans="1:123" x14ac:dyDescent="0.3">
      <c r="A3529" t="str">
        <f t="shared" si="1290"/>
        <v>10/04/2022 19:35:02.751</v>
      </c>
      <c r="C3529" t="str">
        <f t="shared" si="1281"/>
        <v>FFDFD3C0</v>
      </c>
      <c r="D3529" t="s">
        <v>136</v>
      </c>
      <c r="E3529">
        <v>8</v>
      </c>
      <c r="H3529">
        <v>225</v>
      </c>
      <c r="I3529" t="s">
        <v>137</v>
      </c>
      <c r="J3529" t="s">
        <v>138</v>
      </c>
      <c r="K3529">
        <v>0</v>
      </c>
      <c r="L3529">
        <v>3</v>
      </c>
      <c r="M3529">
        <v>0</v>
      </c>
      <c r="N3529">
        <v>2</v>
      </c>
      <c r="O3529">
        <v>0</v>
      </c>
      <c r="P3529">
        <v>1</v>
      </c>
      <c r="Q3529">
        <v>0</v>
      </c>
      <c r="S3529" t="str">
        <f t="shared" si="1291"/>
        <v>19:35:02.000</v>
      </c>
      <c r="T3529" t="str">
        <f t="shared" si="1291"/>
        <v>19:35:02.000</v>
      </c>
      <c r="U3529" t="str">
        <f t="shared" si="1288"/>
        <v>AC3944</v>
      </c>
      <c r="V3529">
        <v>0</v>
      </c>
      <c r="W3529">
        <v>0</v>
      </c>
      <c r="X3529">
        <v>2</v>
      </c>
      <c r="Y3529">
        <v>0</v>
      </c>
      <c r="AA3529">
        <v>1</v>
      </c>
      <c r="AB3529">
        <v>8</v>
      </c>
      <c r="AC3529">
        <v>3</v>
      </c>
      <c r="AD3529">
        <v>0</v>
      </c>
      <c r="AE3529">
        <v>9</v>
      </c>
      <c r="AF3529" t="s">
        <v>138</v>
      </c>
      <c r="AG3529">
        <v>0</v>
      </c>
      <c r="AH3529">
        <v>3</v>
      </c>
      <c r="AI3529">
        <v>1</v>
      </c>
      <c r="AJ3529">
        <v>0</v>
      </c>
      <c r="AK3529" t="s">
        <v>1155</v>
      </c>
      <c r="AL3529">
        <v>32.733871999999998</v>
      </c>
      <c r="AM3529" t="s">
        <v>1156</v>
      </c>
      <c r="AN3529">
        <v>-116.73353400000001</v>
      </c>
      <c r="AO3529">
        <v>25</v>
      </c>
      <c r="AP3529">
        <v>4300</v>
      </c>
      <c r="AQ3529" t="s">
        <v>129</v>
      </c>
      <c r="AR3529">
        <v>111</v>
      </c>
      <c r="AS3529">
        <v>44</v>
      </c>
      <c r="AT3529">
        <v>448</v>
      </c>
      <c r="BB3529">
        <v>1200</v>
      </c>
      <c r="BC3529">
        <v>1</v>
      </c>
      <c r="BD3529" t="str">
        <f t="shared" si="1289"/>
        <v xml:space="preserve">N887QR  </v>
      </c>
      <c r="BE3529">
        <v>1</v>
      </c>
      <c r="BG3529">
        <v>0</v>
      </c>
      <c r="BH3529">
        <v>0</v>
      </c>
      <c r="BI3529">
        <v>0</v>
      </c>
      <c r="BJ3529">
        <v>4125</v>
      </c>
      <c r="BK3529">
        <v>-175</v>
      </c>
      <c r="BL3529" t="s">
        <v>163</v>
      </c>
      <c r="BM3529">
        <v>1</v>
      </c>
      <c r="BN3529">
        <v>1</v>
      </c>
      <c r="BO3529">
        <v>1</v>
      </c>
      <c r="BP3529">
        <v>0</v>
      </c>
      <c r="BS3529">
        <v>0</v>
      </c>
      <c r="BT3529">
        <v>0</v>
      </c>
      <c r="BU3529">
        <v>0</v>
      </c>
      <c r="CE3529" t="str">
        <f t="shared" si="1292"/>
        <v>19:35:02.504</v>
      </c>
      <c r="CF3529">
        <v>503985834</v>
      </c>
      <c r="CS3529">
        <v>0</v>
      </c>
      <c r="CT3529">
        <v>2</v>
      </c>
      <c r="CU3529">
        <v>0</v>
      </c>
      <c r="CV3529">
        <v>2</v>
      </c>
      <c r="CW3529">
        <v>1</v>
      </c>
      <c r="CX3529">
        <v>5</v>
      </c>
      <c r="CY3529">
        <v>7</v>
      </c>
      <c r="CZ3529" t="s">
        <v>131</v>
      </c>
      <c r="DA3529">
        <v>286</v>
      </c>
      <c r="DB3529">
        <v>0</v>
      </c>
      <c r="DC3529" t="s">
        <v>132</v>
      </c>
      <c r="DD3529" t="s">
        <v>133</v>
      </c>
      <c r="DG3529">
        <v>881912</v>
      </c>
      <c r="DI3529">
        <v>1</v>
      </c>
      <c r="DJ3529">
        <v>0</v>
      </c>
      <c r="DK3529">
        <v>0</v>
      </c>
      <c r="DL3529">
        <v>0</v>
      </c>
      <c r="DM3529">
        <v>0</v>
      </c>
      <c r="DN3529">
        <v>1</v>
      </c>
      <c r="DO3529">
        <v>0</v>
      </c>
      <c r="DP3529">
        <v>0</v>
      </c>
      <c r="DQ3529">
        <v>0</v>
      </c>
      <c r="DR3529">
        <v>0</v>
      </c>
      <c r="DS3529">
        <v>0</v>
      </c>
    </row>
    <row r="3530" spans="1:123" x14ac:dyDescent="0.3">
      <c r="A3530" t="str">
        <f t="shared" si="1290"/>
        <v>10/04/2022 19:35:02.751</v>
      </c>
      <c r="C3530" t="str">
        <f t="shared" si="1281"/>
        <v>FFDFD3C0</v>
      </c>
      <c r="D3530" t="s">
        <v>147</v>
      </c>
      <c r="E3530">
        <v>3</v>
      </c>
      <c r="H3530">
        <v>166</v>
      </c>
      <c r="I3530" t="s">
        <v>144</v>
      </c>
      <c r="J3530" t="s">
        <v>148</v>
      </c>
      <c r="K3530">
        <v>0</v>
      </c>
      <c r="L3530">
        <v>3</v>
      </c>
      <c r="M3530">
        <v>0</v>
      </c>
      <c r="N3530">
        <v>2</v>
      </c>
      <c r="O3530">
        <v>0</v>
      </c>
      <c r="P3530">
        <v>1</v>
      </c>
      <c r="Q3530">
        <v>0</v>
      </c>
      <c r="S3530" t="str">
        <f t="shared" si="1291"/>
        <v>19:35:02.000</v>
      </c>
      <c r="T3530" t="str">
        <f t="shared" si="1291"/>
        <v>19:35:02.000</v>
      </c>
      <c r="U3530" t="str">
        <f t="shared" si="1288"/>
        <v>AC3944</v>
      </c>
      <c r="V3530">
        <v>0</v>
      </c>
      <c r="W3530">
        <v>0</v>
      </c>
      <c r="X3530">
        <v>2</v>
      </c>
      <c r="Y3530">
        <v>0</v>
      </c>
      <c r="AA3530">
        <v>1</v>
      </c>
      <c r="AB3530">
        <v>8</v>
      </c>
      <c r="AC3530">
        <v>3</v>
      </c>
      <c r="AD3530">
        <v>0</v>
      </c>
      <c r="AE3530">
        <v>9</v>
      </c>
      <c r="AF3530" t="s">
        <v>138</v>
      </c>
      <c r="AG3530">
        <v>0</v>
      </c>
      <c r="AH3530">
        <v>3</v>
      </c>
      <c r="AI3530">
        <v>1</v>
      </c>
      <c r="AJ3530">
        <v>0</v>
      </c>
      <c r="AK3530" t="s">
        <v>1155</v>
      </c>
      <c r="AL3530">
        <v>32.733871999999998</v>
      </c>
      <c r="AM3530" t="s">
        <v>1156</v>
      </c>
      <c r="AN3530">
        <v>-116.73353400000001</v>
      </c>
      <c r="AO3530">
        <v>25</v>
      </c>
      <c r="AP3530">
        <v>4300</v>
      </c>
      <c r="AQ3530" t="s">
        <v>129</v>
      </c>
      <c r="AR3530">
        <v>111</v>
      </c>
      <c r="AS3530">
        <v>44</v>
      </c>
      <c r="AT3530">
        <v>448</v>
      </c>
      <c r="BB3530">
        <v>1200</v>
      </c>
      <c r="BC3530">
        <v>1</v>
      </c>
      <c r="BD3530" t="str">
        <f t="shared" si="1289"/>
        <v xml:space="preserve">N887QR  </v>
      </c>
      <c r="BE3530">
        <v>1</v>
      </c>
      <c r="BG3530">
        <v>0</v>
      </c>
      <c r="BH3530">
        <v>0</v>
      </c>
      <c r="BI3530">
        <v>0</v>
      </c>
      <c r="BJ3530">
        <v>4125</v>
      </c>
      <c r="BK3530">
        <v>-175</v>
      </c>
      <c r="BL3530" t="s">
        <v>163</v>
      </c>
      <c r="BM3530">
        <v>1</v>
      </c>
      <c r="BN3530">
        <v>1</v>
      </c>
      <c r="BO3530">
        <v>1</v>
      </c>
      <c r="BP3530">
        <v>0</v>
      </c>
      <c r="BS3530">
        <v>0</v>
      </c>
      <c r="BT3530">
        <v>0</v>
      </c>
      <c r="BU3530">
        <v>0</v>
      </c>
      <c r="CE3530" t="str">
        <f t="shared" si="1292"/>
        <v>19:35:02.504</v>
      </c>
      <c r="CF3530">
        <v>503985834</v>
      </c>
      <c r="CS3530">
        <v>0</v>
      </c>
      <c r="CT3530">
        <v>2</v>
      </c>
      <c r="CU3530">
        <v>0</v>
      </c>
      <c r="CV3530">
        <v>2</v>
      </c>
      <c r="CW3530">
        <v>1</v>
      </c>
      <c r="CX3530">
        <v>5</v>
      </c>
      <c r="CY3530">
        <v>7</v>
      </c>
      <c r="CZ3530" t="s">
        <v>131</v>
      </c>
      <c r="DA3530">
        <v>286</v>
      </c>
      <c r="DB3530">
        <v>0</v>
      </c>
      <c r="DC3530" t="s">
        <v>132</v>
      </c>
      <c r="DD3530" t="s">
        <v>133</v>
      </c>
      <c r="DG3530">
        <v>881912</v>
      </c>
      <c r="DI3530">
        <v>1</v>
      </c>
      <c r="DJ3530">
        <v>0</v>
      </c>
      <c r="DK3530">
        <v>1</v>
      </c>
      <c r="DL3530">
        <v>0</v>
      </c>
      <c r="DM3530">
        <v>0</v>
      </c>
      <c r="DN3530">
        <v>1</v>
      </c>
      <c r="DO3530">
        <v>0</v>
      </c>
      <c r="DP3530">
        <v>0</v>
      </c>
      <c r="DQ3530">
        <v>0</v>
      </c>
      <c r="DR3530">
        <v>0</v>
      </c>
      <c r="DS3530">
        <v>0</v>
      </c>
    </row>
    <row r="3531" spans="1:123" x14ac:dyDescent="0.3">
      <c r="A3531" t="str">
        <f t="shared" si="1290"/>
        <v>10/04/2022 19:35:02.751</v>
      </c>
      <c r="C3531" t="str">
        <f t="shared" si="1281"/>
        <v>FFDFD3C0</v>
      </c>
      <c r="D3531" t="s">
        <v>141</v>
      </c>
      <c r="E3531">
        <v>3</v>
      </c>
      <c r="H3531">
        <v>3</v>
      </c>
      <c r="I3531" t="s">
        <v>146</v>
      </c>
      <c r="J3531" t="s">
        <v>138</v>
      </c>
      <c r="K3531">
        <v>0</v>
      </c>
      <c r="L3531">
        <v>3</v>
      </c>
      <c r="M3531">
        <v>0</v>
      </c>
      <c r="N3531">
        <v>2</v>
      </c>
      <c r="O3531">
        <v>0</v>
      </c>
      <c r="P3531">
        <v>1</v>
      </c>
      <c r="Q3531">
        <v>0</v>
      </c>
      <c r="S3531" t="str">
        <f t="shared" si="1291"/>
        <v>19:35:02.000</v>
      </c>
      <c r="T3531" t="str">
        <f t="shared" si="1291"/>
        <v>19:35:02.000</v>
      </c>
      <c r="U3531" t="str">
        <f t="shared" si="1288"/>
        <v>AC3944</v>
      </c>
      <c r="V3531">
        <v>0</v>
      </c>
      <c r="W3531">
        <v>0</v>
      </c>
      <c r="X3531">
        <v>2</v>
      </c>
      <c r="Y3531">
        <v>0</v>
      </c>
      <c r="AA3531">
        <v>1</v>
      </c>
      <c r="AB3531">
        <v>8</v>
      </c>
      <c r="AC3531">
        <v>3</v>
      </c>
      <c r="AD3531">
        <v>0</v>
      </c>
      <c r="AE3531">
        <v>9</v>
      </c>
      <c r="AF3531" t="s">
        <v>138</v>
      </c>
      <c r="AG3531">
        <v>0</v>
      </c>
      <c r="AH3531">
        <v>3</v>
      </c>
      <c r="AI3531">
        <v>1</v>
      </c>
      <c r="AJ3531">
        <v>0</v>
      </c>
      <c r="AK3531" t="s">
        <v>1155</v>
      </c>
      <c r="AL3531">
        <v>32.733871999999998</v>
      </c>
      <c r="AM3531" t="s">
        <v>1156</v>
      </c>
      <c r="AN3531">
        <v>-116.73353400000001</v>
      </c>
      <c r="AO3531">
        <v>25</v>
      </c>
      <c r="AP3531">
        <v>4300</v>
      </c>
      <c r="AQ3531" t="s">
        <v>129</v>
      </c>
      <c r="AR3531">
        <v>111</v>
      </c>
      <c r="AS3531">
        <v>44</v>
      </c>
      <c r="AT3531">
        <v>448</v>
      </c>
      <c r="BB3531">
        <v>1200</v>
      </c>
      <c r="BC3531">
        <v>1</v>
      </c>
      <c r="BD3531" t="str">
        <f t="shared" si="1289"/>
        <v xml:space="preserve">N887QR  </v>
      </c>
      <c r="BE3531">
        <v>1</v>
      </c>
      <c r="BG3531">
        <v>0</v>
      </c>
      <c r="BH3531">
        <v>0</v>
      </c>
      <c r="BI3531">
        <v>0</v>
      </c>
      <c r="BJ3531">
        <v>4125</v>
      </c>
      <c r="BK3531">
        <v>-175</v>
      </c>
      <c r="BL3531" t="s">
        <v>163</v>
      </c>
      <c r="BM3531">
        <v>1</v>
      </c>
      <c r="BN3531">
        <v>1</v>
      </c>
      <c r="BO3531">
        <v>1</v>
      </c>
      <c r="BP3531">
        <v>0</v>
      </c>
      <c r="BS3531">
        <v>0</v>
      </c>
      <c r="BT3531">
        <v>0</v>
      </c>
      <c r="BU3531">
        <v>0</v>
      </c>
      <c r="CE3531" t="str">
        <f t="shared" si="1292"/>
        <v>19:35:02.504</v>
      </c>
      <c r="CF3531">
        <v>503985834</v>
      </c>
      <c r="CS3531">
        <v>0</v>
      </c>
      <c r="CT3531">
        <v>2</v>
      </c>
      <c r="CU3531">
        <v>0</v>
      </c>
      <c r="CV3531">
        <v>2</v>
      </c>
      <c r="CW3531">
        <v>1</v>
      </c>
      <c r="CX3531">
        <v>5</v>
      </c>
      <c r="CY3531">
        <v>7</v>
      </c>
      <c r="CZ3531" t="s">
        <v>131</v>
      </c>
      <c r="DA3531">
        <v>286</v>
      </c>
      <c r="DB3531">
        <v>0</v>
      </c>
      <c r="DC3531" t="s">
        <v>132</v>
      </c>
      <c r="DD3531" t="s">
        <v>133</v>
      </c>
      <c r="DG3531">
        <v>881912</v>
      </c>
      <c r="DI3531">
        <v>1</v>
      </c>
      <c r="DJ3531">
        <v>0</v>
      </c>
      <c r="DK3531">
        <v>1</v>
      </c>
      <c r="DL3531">
        <v>0</v>
      </c>
      <c r="DM3531">
        <v>0</v>
      </c>
      <c r="DN3531">
        <v>1</v>
      </c>
      <c r="DO3531">
        <v>0</v>
      </c>
      <c r="DP3531">
        <v>0</v>
      </c>
      <c r="DQ3531">
        <v>0</v>
      </c>
      <c r="DR3531">
        <v>0</v>
      </c>
      <c r="DS3531">
        <v>0</v>
      </c>
    </row>
    <row r="3532" spans="1:123" x14ac:dyDescent="0.3">
      <c r="A3532" t="str">
        <f>"10/04/2022 19:35:02.767"</f>
        <v>10/04/2022 19:35:02.767</v>
      </c>
      <c r="C3532" t="str">
        <f t="shared" si="1281"/>
        <v>FFDFD3C0</v>
      </c>
      <c r="D3532" t="s">
        <v>141</v>
      </c>
      <c r="E3532">
        <v>4</v>
      </c>
      <c r="H3532">
        <v>4</v>
      </c>
      <c r="I3532" t="s">
        <v>142</v>
      </c>
      <c r="J3532" t="s">
        <v>138</v>
      </c>
      <c r="K3532">
        <v>0</v>
      </c>
      <c r="L3532">
        <v>3</v>
      </c>
      <c r="M3532">
        <v>0</v>
      </c>
      <c r="N3532">
        <v>2</v>
      </c>
      <c r="O3532">
        <v>0</v>
      </c>
      <c r="P3532">
        <v>1</v>
      </c>
      <c r="Q3532">
        <v>0</v>
      </c>
      <c r="S3532" t="str">
        <f t="shared" si="1291"/>
        <v>19:35:02.000</v>
      </c>
      <c r="T3532" t="str">
        <f t="shared" si="1291"/>
        <v>19:35:02.000</v>
      </c>
      <c r="U3532" t="str">
        <f t="shared" si="1288"/>
        <v>AC3944</v>
      </c>
      <c r="V3532">
        <v>0</v>
      </c>
      <c r="W3532">
        <v>0</v>
      </c>
      <c r="X3532">
        <v>2</v>
      </c>
      <c r="Y3532">
        <v>0</v>
      </c>
      <c r="AA3532">
        <v>1</v>
      </c>
      <c r="AB3532">
        <v>8</v>
      </c>
      <c r="AC3532">
        <v>3</v>
      </c>
      <c r="AD3532">
        <v>0</v>
      </c>
      <c r="AE3532">
        <v>9</v>
      </c>
      <c r="AF3532" t="s">
        <v>138</v>
      </c>
      <c r="AG3532">
        <v>0</v>
      </c>
      <c r="AH3532">
        <v>3</v>
      </c>
      <c r="AI3532">
        <v>1</v>
      </c>
      <c r="AJ3532">
        <v>0</v>
      </c>
      <c r="AK3532" t="s">
        <v>1155</v>
      </c>
      <c r="AL3532">
        <v>32.733871999999998</v>
      </c>
      <c r="AM3532" t="s">
        <v>1156</v>
      </c>
      <c r="AN3532">
        <v>-116.73353400000001</v>
      </c>
      <c r="AO3532">
        <v>25</v>
      </c>
      <c r="AP3532">
        <v>4300</v>
      </c>
      <c r="AQ3532" t="s">
        <v>129</v>
      </c>
      <c r="AR3532">
        <v>111</v>
      </c>
      <c r="AS3532">
        <v>44</v>
      </c>
      <c r="AT3532">
        <v>448</v>
      </c>
      <c r="BB3532">
        <v>1200</v>
      </c>
      <c r="BC3532">
        <v>1</v>
      </c>
      <c r="BD3532" t="str">
        <f t="shared" si="1289"/>
        <v xml:space="preserve">N887QR  </v>
      </c>
      <c r="BE3532">
        <v>1</v>
      </c>
      <c r="BG3532">
        <v>0</v>
      </c>
      <c r="BH3532">
        <v>0</v>
      </c>
      <c r="BI3532">
        <v>0</v>
      </c>
      <c r="BJ3532">
        <v>4125</v>
      </c>
      <c r="BK3532">
        <v>-175</v>
      </c>
      <c r="BL3532" t="s">
        <v>163</v>
      </c>
      <c r="BM3532">
        <v>1</v>
      </c>
      <c r="BN3532">
        <v>1</v>
      </c>
      <c r="BO3532">
        <v>1</v>
      </c>
      <c r="BP3532">
        <v>0</v>
      </c>
      <c r="BS3532">
        <v>0</v>
      </c>
      <c r="BT3532">
        <v>0</v>
      </c>
      <c r="BU3532">
        <v>0</v>
      </c>
      <c r="CE3532" t="str">
        <f t="shared" si="1292"/>
        <v>19:35:02.504</v>
      </c>
      <c r="CF3532">
        <v>503985834</v>
      </c>
      <c r="CS3532">
        <v>0</v>
      </c>
      <c r="CT3532">
        <v>2</v>
      </c>
      <c r="CU3532">
        <v>0</v>
      </c>
      <c r="CV3532">
        <v>2</v>
      </c>
      <c r="CW3532">
        <v>1</v>
      </c>
      <c r="CX3532">
        <v>5</v>
      </c>
      <c r="CY3532">
        <v>7</v>
      </c>
      <c r="CZ3532" t="s">
        <v>131</v>
      </c>
      <c r="DA3532">
        <v>286</v>
      </c>
      <c r="DB3532">
        <v>0</v>
      </c>
      <c r="DC3532" t="s">
        <v>132</v>
      </c>
      <c r="DD3532" t="s">
        <v>133</v>
      </c>
      <c r="DG3532">
        <v>881912</v>
      </c>
      <c r="DI3532">
        <v>1</v>
      </c>
      <c r="DJ3532">
        <v>0</v>
      </c>
      <c r="DK3532">
        <v>1</v>
      </c>
      <c r="DL3532">
        <v>0</v>
      </c>
      <c r="DM3532">
        <v>0</v>
      </c>
      <c r="DN3532">
        <v>1</v>
      </c>
      <c r="DO3532">
        <v>0</v>
      </c>
      <c r="DP3532">
        <v>0</v>
      </c>
      <c r="DQ3532">
        <v>0</v>
      </c>
      <c r="DR3532">
        <v>0</v>
      </c>
      <c r="DS3532">
        <v>0</v>
      </c>
    </row>
    <row r="3533" spans="1:123" x14ac:dyDescent="0.3">
      <c r="A3533" t="str">
        <f>"10/04/2022 19:35:02.954"</f>
        <v>10/04/2022 19:35:02.954</v>
      </c>
      <c r="C3533" t="str">
        <f t="shared" si="1281"/>
        <v>FFDFD3C0</v>
      </c>
      <c r="D3533" t="s">
        <v>141</v>
      </c>
      <c r="E3533">
        <v>4</v>
      </c>
      <c r="H3533">
        <v>4</v>
      </c>
      <c r="I3533" t="s">
        <v>142</v>
      </c>
      <c r="J3533" t="s">
        <v>138</v>
      </c>
      <c r="K3533">
        <v>0</v>
      </c>
      <c r="L3533">
        <v>3</v>
      </c>
      <c r="M3533">
        <v>0</v>
      </c>
      <c r="N3533">
        <v>2</v>
      </c>
      <c r="O3533">
        <v>0</v>
      </c>
      <c r="P3533">
        <v>1</v>
      </c>
      <c r="Q3533">
        <v>0</v>
      </c>
      <c r="S3533" t="str">
        <f t="shared" si="1291"/>
        <v>19:35:02.000</v>
      </c>
      <c r="T3533" t="str">
        <f t="shared" si="1291"/>
        <v>19:35:02.000</v>
      </c>
      <c r="U3533" t="str">
        <f t="shared" si="1288"/>
        <v>AC3944</v>
      </c>
      <c r="V3533">
        <v>0</v>
      </c>
      <c r="W3533">
        <v>0</v>
      </c>
      <c r="X3533">
        <v>2</v>
      </c>
      <c r="Y3533">
        <v>0</v>
      </c>
      <c r="AA3533">
        <v>1</v>
      </c>
      <c r="AB3533">
        <v>8</v>
      </c>
      <c r="AC3533">
        <v>3</v>
      </c>
      <c r="AD3533">
        <v>0</v>
      </c>
      <c r="AE3533">
        <v>9</v>
      </c>
      <c r="AF3533" t="s">
        <v>138</v>
      </c>
      <c r="AG3533">
        <v>0</v>
      </c>
      <c r="AH3533">
        <v>3</v>
      </c>
      <c r="AI3533">
        <v>1</v>
      </c>
      <c r="AJ3533">
        <v>0</v>
      </c>
      <c r="AK3533" t="s">
        <v>1157</v>
      </c>
      <c r="AL3533">
        <v>32.734107999999999</v>
      </c>
      <c r="AM3533" t="s">
        <v>1158</v>
      </c>
      <c r="AN3533">
        <v>-116.732805</v>
      </c>
      <c r="AO3533">
        <v>25</v>
      </c>
      <c r="AP3533">
        <v>4300</v>
      </c>
      <c r="AQ3533" t="s">
        <v>129</v>
      </c>
      <c r="AR3533">
        <v>111</v>
      </c>
      <c r="AS3533">
        <v>44</v>
      </c>
      <c r="AT3533">
        <v>448</v>
      </c>
      <c r="BB3533">
        <v>1200</v>
      </c>
      <c r="BC3533">
        <v>1</v>
      </c>
      <c r="BD3533" t="str">
        <f t="shared" si="1289"/>
        <v xml:space="preserve">N887QR  </v>
      </c>
      <c r="BE3533">
        <v>1</v>
      </c>
      <c r="BG3533">
        <v>0</v>
      </c>
      <c r="BH3533">
        <v>0</v>
      </c>
      <c r="BI3533">
        <v>0</v>
      </c>
      <c r="BJ3533">
        <v>4150</v>
      </c>
      <c r="BK3533">
        <v>-150</v>
      </c>
      <c r="BL3533" t="s">
        <v>163</v>
      </c>
      <c r="BM3533">
        <v>1</v>
      </c>
      <c r="BN3533">
        <v>1</v>
      </c>
      <c r="BO3533">
        <v>1</v>
      </c>
      <c r="BP3533">
        <v>0</v>
      </c>
      <c r="BS3533">
        <v>0</v>
      </c>
      <c r="BT3533">
        <v>0</v>
      </c>
      <c r="BU3533">
        <v>0</v>
      </c>
      <c r="CE3533" t="str">
        <f t="shared" ref="CE3533:CE3539" si="1293">"19:35:02.756"</f>
        <v>19:35:02.756</v>
      </c>
      <c r="CF3533">
        <v>755986716</v>
      </c>
      <c r="CS3533">
        <v>0</v>
      </c>
      <c r="CT3533">
        <v>2</v>
      </c>
      <c r="CU3533">
        <v>0</v>
      </c>
      <c r="CV3533">
        <v>2</v>
      </c>
      <c r="CW3533">
        <v>1</v>
      </c>
      <c r="CX3533">
        <v>5</v>
      </c>
      <c r="CY3533">
        <v>7</v>
      </c>
      <c r="CZ3533" t="s">
        <v>131</v>
      </c>
      <c r="DA3533">
        <v>286</v>
      </c>
      <c r="DB3533">
        <v>0</v>
      </c>
      <c r="DC3533" t="s">
        <v>132</v>
      </c>
      <c r="DD3533" t="s">
        <v>133</v>
      </c>
      <c r="DG3533">
        <v>881982</v>
      </c>
      <c r="DI3533">
        <v>1</v>
      </c>
      <c r="DJ3533">
        <v>0</v>
      </c>
      <c r="DK3533">
        <v>1</v>
      </c>
      <c r="DL3533">
        <v>0</v>
      </c>
      <c r="DM3533">
        <v>0</v>
      </c>
      <c r="DN3533">
        <v>1</v>
      </c>
      <c r="DO3533">
        <v>0</v>
      </c>
      <c r="DP3533">
        <v>0</v>
      </c>
      <c r="DQ3533">
        <v>0</v>
      </c>
      <c r="DR3533">
        <v>0</v>
      </c>
      <c r="DS3533">
        <v>0</v>
      </c>
    </row>
    <row r="3534" spans="1:123" x14ac:dyDescent="0.3">
      <c r="A3534" t="str">
        <f>"10/04/2022 19:35:02.954"</f>
        <v>10/04/2022 19:35:02.954</v>
      </c>
      <c r="C3534" t="str">
        <f t="shared" si="1281"/>
        <v>FFDFD3C0</v>
      </c>
      <c r="D3534" t="s">
        <v>143</v>
      </c>
      <c r="E3534">
        <v>20</v>
      </c>
      <c r="F3534">
        <v>1020</v>
      </c>
      <c r="G3534" t="s">
        <v>144</v>
      </c>
      <c r="J3534" t="s">
        <v>145</v>
      </c>
      <c r="K3534">
        <v>0</v>
      </c>
      <c r="L3534">
        <v>3</v>
      </c>
      <c r="M3534">
        <v>0</v>
      </c>
      <c r="N3534">
        <v>2</v>
      </c>
      <c r="O3534">
        <v>0</v>
      </c>
      <c r="P3534">
        <v>1</v>
      </c>
      <c r="Q3534">
        <v>0</v>
      </c>
      <c r="S3534" t="str">
        <f t="shared" si="1291"/>
        <v>19:35:02.000</v>
      </c>
      <c r="T3534" t="str">
        <f t="shared" si="1291"/>
        <v>19:35:02.000</v>
      </c>
      <c r="U3534" t="str">
        <f t="shared" si="1288"/>
        <v>AC3944</v>
      </c>
      <c r="V3534">
        <v>0</v>
      </c>
      <c r="W3534">
        <v>0</v>
      </c>
      <c r="X3534">
        <v>2</v>
      </c>
      <c r="Y3534">
        <v>0</v>
      </c>
      <c r="AA3534">
        <v>1</v>
      </c>
      <c r="AB3534">
        <v>8</v>
      </c>
      <c r="AC3534">
        <v>3</v>
      </c>
      <c r="AD3534">
        <v>0</v>
      </c>
      <c r="AE3534">
        <v>9</v>
      </c>
      <c r="AF3534" t="s">
        <v>138</v>
      </c>
      <c r="AG3534">
        <v>0</v>
      </c>
      <c r="AH3534">
        <v>3</v>
      </c>
      <c r="AI3534">
        <v>1</v>
      </c>
      <c r="AJ3534">
        <v>0</v>
      </c>
      <c r="AK3534" t="s">
        <v>1157</v>
      </c>
      <c r="AL3534">
        <v>32.734107999999999</v>
      </c>
      <c r="AM3534" t="s">
        <v>1158</v>
      </c>
      <c r="AN3534">
        <v>-116.732805</v>
      </c>
      <c r="AO3534">
        <v>25</v>
      </c>
      <c r="AP3534">
        <v>4300</v>
      </c>
      <c r="AQ3534" t="s">
        <v>129</v>
      </c>
      <c r="AR3534">
        <v>111</v>
      </c>
      <c r="AS3534">
        <v>44</v>
      </c>
      <c r="AT3534">
        <v>448</v>
      </c>
      <c r="BB3534">
        <v>1200</v>
      </c>
      <c r="BC3534">
        <v>1</v>
      </c>
      <c r="BD3534" t="str">
        <f t="shared" si="1289"/>
        <v xml:space="preserve">N887QR  </v>
      </c>
      <c r="BE3534">
        <v>1</v>
      </c>
      <c r="BG3534">
        <v>0</v>
      </c>
      <c r="BH3534">
        <v>0</v>
      </c>
      <c r="BI3534">
        <v>0</v>
      </c>
      <c r="BJ3534">
        <v>4150</v>
      </c>
      <c r="BK3534">
        <v>-150</v>
      </c>
      <c r="BL3534" t="s">
        <v>163</v>
      </c>
      <c r="BM3534">
        <v>1</v>
      </c>
      <c r="BN3534">
        <v>1</v>
      </c>
      <c r="BO3534">
        <v>1</v>
      </c>
      <c r="BP3534">
        <v>0</v>
      </c>
      <c r="BS3534">
        <v>0</v>
      </c>
      <c r="BT3534">
        <v>0</v>
      </c>
      <c r="BU3534">
        <v>0</v>
      </c>
      <c r="CE3534" t="str">
        <f t="shared" si="1293"/>
        <v>19:35:02.756</v>
      </c>
      <c r="CF3534">
        <v>755986716</v>
      </c>
      <c r="CS3534">
        <v>0</v>
      </c>
      <c r="CT3534">
        <v>2</v>
      </c>
      <c r="CU3534">
        <v>0</v>
      </c>
      <c r="CV3534">
        <v>2</v>
      </c>
      <c r="CW3534">
        <v>1</v>
      </c>
      <c r="CX3534">
        <v>5</v>
      </c>
      <c r="CY3534">
        <v>7</v>
      </c>
      <c r="CZ3534" t="s">
        <v>131</v>
      </c>
      <c r="DA3534">
        <v>286</v>
      </c>
      <c r="DB3534">
        <v>0</v>
      </c>
      <c r="DC3534" t="s">
        <v>132</v>
      </c>
      <c r="DD3534" t="s">
        <v>133</v>
      </c>
      <c r="DG3534">
        <v>881982</v>
      </c>
      <c r="DI3534">
        <v>1</v>
      </c>
      <c r="DJ3534">
        <v>0</v>
      </c>
      <c r="DK3534">
        <v>1</v>
      </c>
      <c r="DL3534">
        <v>0</v>
      </c>
      <c r="DM3534">
        <v>0</v>
      </c>
      <c r="DN3534">
        <v>1</v>
      </c>
      <c r="DO3534">
        <v>0</v>
      </c>
      <c r="DP3534">
        <v>0</v>
      </c>
      <c r="DQ3534">
        <v>0</v>
      </c>
      <c r="DR3534">
        <v>0</v>
      </c>
      <c r="DS3534">
        <v>0</v>
      </c>
    </row>
    <row r="3535" spans="1:123" x14ac:dyDescent="0.3">
      <c r="A3535" t="str">
        <f>"10/04/2022 19:35:02.954"</f>
        <v>10/04/2022 19:35:02.954</v>
      </c>
      <c r="C3535" t="str">
        <f t="shared" si="1281"/>
        <v>FFDFD3C0</v>
      </c>
      <c r="D3535" t="s">
        <v>134</v>
      </c>
      <c r="E3535">
        <v>15</v>
      </c>
      <c r="J3535" t="s">
        <v>135</v>
      </c>
      <c r="K3535">
        <v>0</v>
      </c>
      <c r="L3535">
        <v>3</v>
      </c>
      <c r="M3535">
        <v>0</v>
      </c>
      <c r="N3535">
        <v>2</v>
      </c>
      <c r="O3535">
        <v>0</v>
      </c>
      <c r="P3535">
        <v>1</v>
      </c>
      <c r="Q3535">
        <v>0</v>
      </c>
      <c r="S3535" t="str">
        <f t="shared" si="1291"/>
        <v>19:35:02.000</v>
      </c>
      <c r="T3535" t="str">
        <f t="shared" si="1291"/>
        <v>19:35:02.000</v>
      </c>
      <c r="U3535" t="str">
        <f t="shared" si="1288"/>
        <v>AC3944</v>
      </c>
      <c r="V3535">
        <v>0</v>
      </c>
      <c r="W3535">
        <v>0</v>
      </c>
      <c r="X3535">
        <v>2</v>
      </c>
      <c r="Y3535">
        <v>0</v>
      </c>
      <c r="AA3535">
        <v>1</v>
      </c>
      <c r="AB3535">
        <v>8</v>
      </c>
      <c r="AC3535">
        <v>3</v>
      </c>
      <c r="AD3535">
        <v>0</v>
      </c>
      <c r="AE3535">
        <v>9</v>
      </c>
      <c r="AF3535" t="s">
        <v>138</v>
      </c>
      <c r="AG3535">
        <v>0</v>
      </c>
      <c r="AH3535">
        <v>3</v>
      </c>
      <c r="AI3535">
        <v>1</v>
      </c>
      <c r="AJ3535">
        <v>0</v>
      </c>
      <c r="AK3535" t="s">
        <v>1157</v>
      </c>
      <c r="AL3535">
        <v>32.734107999999999</v>
      </c>
      <c r="AM3535" t="s">
        <v>1158</v>
      </c>
      <c r="AN3535">
        <v>-116.732805</v>
      </c>
      <c r="AO3535">
        <v>25</v>
      </c>
      <c r="AP3535">
        <v>4300</v>
      </c>
      <c r="AQ3535" t="s">
        <v>129</v>
      </c>
      <c r="AR3535">
        <v>111</v>
      </c>
      <c r="AS3535">
        <v>44</v>
      </c>
      <c r="AT3535">
        <v>448</v>
      </c>
      <c r="BB3535">
        <v>1200</v>
      </c>
      <c r="BC3535">
        <v>1</v>
      </c>
      <c r="BD3535" t="str">
        <f t="shared" si="1289"/>
        <v xml:space="preserve">N887QR  </v>
      </c>
      <c r="BE3535">
        <v>1</v>
      </c>
      <c r="BG3535">
        <v>0</v>
      </c>
      <c r="BH3535">
        <v>0</v>
      </c>
      <c r="BI3535">
        <v>0</v>
      </c>
      <c r="BJ3535">
        <v>4150</v>
      </c>
      <c r="BK3535">
        <v>-150</v>
      </c>
      <c r="BL3535" t="s">
        <v>163</v>
      </c>
      <c r="BM3535">
        <v>1</v>
      </c>
      <c r="BN3535">
        <v>1</v>
      </c>
      <c r="BO3535">
        <v>1</v>
      </c>
      <c r="BP3535">
        <v>0</v>
      </c>
      <c r="BS3535">
        <v>0</v>
      </c>
      <c r="BT3535">
        <v>0</v>
      </c>
      <c r="BU3535">
        <v>0</v>
      </c>
      <c r="CE3535" t="str">
        <f t="shared" si="1293"/>
        <v>19:35:02.756</v>
      </c>
      <c r="CF3535">
        <v>755986716</v>
      </c>
      <c r="CS3535">
        <v>0</v>
      </c>
      <c r="CT3535">
        <v>2</v>
      </c>
      <c r="CU3535">
        <v>0</v>
      </c>
      <c r="CV3535">
        <v>2</v>
      </c>
      <c r="CW3535">
        <v>1</v>
      </c>
      <c r="CX3535">
        <v>5</v>
      </c>
      <c r="CY3535">
        <v>7</v>
      </c>
      <c r="CZ3535" t="s">
        <v>131</v>
      </c>
      <c r="DA3535">
        <v>286</v>
      </c>
      <c r="DB3535">
        <v>0</v>
      </c>
      <c r="DC3535" t="s">
        <v>132</v>
      </c>
      <c r="DD3535" t="s">
        <v>133</v>
      </c>
      <c r="DG3535">
        <v>881982</v>
      </c>
      <c r="DI3535">
        <v>1</v>
      </c>
      <c r="DJ3535">
        <v>0</v>
      </c>
      <c r="DK3535">
        <v>1</v>
      </c>
      <c r="DL3535">
        <v>0</v>
      </c>
      <c r="DM3535">
        <v>0</v>
      </c>
      <c r="DN3535">
        <v>1</v>
      </c>
      <c r="DO3535">
        <v>0</v>
      </c>
      <c r="DP3535">
        <v>0</v>
      </c>
      <c r="DQ3535">
        <v>0</v>
      </c>
      <c r="DR3535">
        <v>0</v>
      </c>
      <c r="DS3535">
        <v>0</v>
      </c>
    </row>
    <row r="3536" spans="1:123" x14ac:dyDescent="0.3">
      <c r="A3536" t="str">
        <f>"10/04/2022 19:35:03.017"</f>
        <v>10/04/2022 19:35:03.017</v>
      </c>
      <c r="C3536" t="str">
        <f t="shared" si="1281"/>
        <v>FFDFD3C0</v>
      </c>
      <c r="D3536" t="s">
        <v>123</v>
      </c>
      <c r="E3536">
        <v>7</v>
      </c>
      <c r="F3536">
        <v>2007</v>
      </c>
      <c r="G3536" t="s">
        <v>124</v>
      </c>
      <c r="J3536" t="s">
        <v>125</v>
      </c>
      <c r="K3536">
        <v>0</v>
      </c>
      <c r="L3536">
        <v>3</v>
      </c>
      <c r="M3536">
        <v>0</v>
      </c>
      <c r="N3536">
        <v>2</v>
      </c>
      <c r="O3536">
        <v>0</v>
      </c>
      <c r="P3536">
        <v>1</v>
      </c>
      <c r="Q3536">
        <v>0</v>
      </c>
      <c r="S3536" t="str">
        <f t="shared" si="1291"/>
        <v>19:35:02.000</v>
      </c>
      <c r="T3536" t="str">
        <f t="shared" si="1291"/>
        <v>19:35:02.000</v>
      </c>
      <c r="U3536" t="str">
        <f t="shared" si="1288"/>
        <v>AC3944</v>
      </c>
      <c r="V3536">
        <v>0</v>
      </c>
      <c r="W3536">
        <v>0</v>
      </c>
      <c r="X3536">
        <v>2</v>
      </c>
      <c r="Y3536">
        <v>0</v>
      </c>
      <c r="AA3536">
        <v>1</v>
      </c>
      <c r="AB3536">
        <v>8</v>
      </c>
      <c r="AC3536">
        <v>3</v>
      </c>
      <c r="AD3536">
        <v>0</v>
      </c>
      <c r="AE3536">
        <v>9</v>
      </c>
      <c r="AF3536" t="s">
        <v>138</v>
      </c>
      <c r="AG3536">
        <v>0</v>
      </c>
      <c r="AH3536">
        <v>3</v>
      </c>
      <c r="AI3536">
        <v>1</v>
      </c>
      <c r="AJ3536">
        <v>0</v>
      </c>
      <c r="AK3536" t="s">
        <v>1157</v>
      </c>
      <c r="AL3536">
        <v>32.734107999999999</v>
      </c>
      <c r="AM3536" t="s">
        <v>1158</v>
      </c>
      <c r="AN3536">
        <v>-116.732805</v>
      </c>
      <c r="AO3536">
        <v>25</v>
      </c>
      <c r="AP3536">
        <v>4300</v>
      </c>
      <c r="AQ3536" t="s">
        <v>129</v>
      </c>
      <c r="AR3536">
        <v>111</v>
      </c>
      <c r="AS3536">
        <v>44</v>
      </c>
      <c r="AT3536">
        <v>448</v>
      </c>
      <c r="BB3536">
        <v>1200</v>
      </c>
      <c r="BC3536">
        <v>1</v>
      </c>
      <c r="BD3536" t="str">
        <f t="shared" si="1289"/>
        <v xml:space="preserve">N887QR  </v>
      </c>
      <c r="BE3536">
        <v>1</v>
      </c>
      <c r="BG3536">
        <v>0</v>
      </c>
      <c r="BH3536">
        <v>0</v>
      </c>
      <c r="BI3536">
        <v>0</v>
      </c>
      <c r="BJ3536">
        <v>4150</v>
      </c>
      <c r="BK3536">
        <v>-150</v>
      </c>
      <c r="BL3536" t="s">
        <v>163</v>
      </c>
      <c r="BM3536">
        <v>1</v>
      </c>
      <c r="BN3536">
        <v>1</v>
      </c>
      <c r="BO3536">
        <v>1</v>
      </c>
      <c r="BP3536">
        <v>0</v>
      </c>
      <c r="BS3536">
        <v>0</v>
      </c>
      <c r="BT3536">
        <v>0</v>
      </c>
      <c r="BU3536">
        <v>0</v>
      </c>
      <c r="CE3536" t="str">
        <f t="shared" si="1293"/>
        <v>19:35:02.756</v>
      </c>
      <c r="CF3536">
        <v>755986716</v>
      </c>
      <c r="CS3536">
        <v>0</v>
      </c>
      <c r="CT3536">
        <v>2</v>
      </c>
      <c r="CU3536">
        <v>0</v>
      </c>
      <c r="CV3536">
        <v>2</v>
      </c>
      <c r="CW3536">
        <v>1</v>
      </c>
      <c r="CX3536">
        <v>5</v>
      </c>
      <c r="CY3536">
        <v>7</v>
      </c>
      <c r="CZ3536" t="s">
        <v>131</v>
      </c>
      <c r="DA3536">
        <v>286</v>
      </c>
      <c r="DB3536">
        <v>0</v>
      </c>
      <c r="DC3536" t="s">
        <v>132</v>
      </c>
      <c r="DD3536" t="s">
        <v>133</v>
      </c>
      <c r="DG3536">
        <v>881982</v>
      </c>
      <c r="DI3536">
        <v>1</v>
      </c>
      <c r="DJ3536">
        <v>0</v>
      </c>
      <c r="DK3536">
        <v>1</v>
      </c>
      <c r="DL3536">
        <v>0</v>
      </c>
      <c r="DM3536">
        <v>0</v>
      </c>
      <c r="DN3536">
        <v>1</v>
      </c>
      <c r="DO3536">
        <v>0</v>
      </c>
      <c r="DP3536">
        <v>0</v>
      </c>
      <c r="DQ3536">
        <v>0</v>
      </c>
      <c r="DR3536">
        <v>0</v>
      </c>
      <c r="DS3536">
        <v>0</v>
      </c>
    </row>
    <row r="3537" spans="1:123" x14ac:dyDescent="0.3">
      <c r="A3537" t="str">
        <f>"10/04/2022 19:35:03.017"</f>
        <v>10/04/2022 19:35:03.017</v>
      </c>
      <c r="C3537" t="str">
        <f t="shared" si="1281"/>
        <v>FFDFD3C0</v>
      </c>
      <c r="D3537" t="s">
        <v>136</v>
      </c>
      <c r="E3537">
        <v>8</v>
      </c>
      <c r="H3537">
        <v>225</v>
      </c>
      <c r="I3537" t="s">
        <v>137</v>
      </c>
      <c r="J3537" t="s">
        <v>138</v>
      </c>
      <c r="K3537">
        <v>0</v>
      </c>
      <c r="L3537">
        <v>3</v>
      </c>
      <c r="M3537">
        <v>0</v>
      </c>
      <c r="N3537">
        <v>2</v>
      </c>
      <c r="O3537">
        <v>0</v>
      </c>
      <c r="P3537">
        <v>1</v>
      </c>
      <c r="Q3537">
        <v>0</v>
      </c>
      <c r="S3537" t="str">
        <f t="shared" si="1291"/>
        <v>19:35:02.000</v>
      </c>
      <c r="T3537" t="str">
        <f t="shared" si="1291"/>
        <v>19:35:02.000</v>
      </c>
      <c r="U3537" t="str">
        <f t="shared" si="1288"/>
        <v>AC3944</v>
      </c>
      <c r="V3537">
        <v>0</v>
      </c>
      <c r="W3537">
        <v>0</v>
      </c>
      <c r="X3537">
        <v>2</v>
      </c>
      <c r="Y3537">
        <v>0</v>
      </c>
      <c r="AA3537">
        <v>1</v>
      </c>
      <c r="AB3537">
        <v>8</v>
      </c>
      <c r="AC3537">
        <v>3</v>
      </c>
      <c r="AD3537">
        <v>0</v>
      </c>
      <c r="AE3537">
        <v>9</v>
      </c>
      <c r="AF3537" t="s">
        <v>138</v>
      </c>
      <c r="AG3537">
        <v>0</v>
      </c>
      <c r="AH3537">
        <v>3</v>
      </c>
      <c r="AI3537">
        <v>1</v>
      </c>
      <c r="AJ3537">
        <v>0</v>
      </c>
      <c r="AK3537" t="s">
        <v>1157</v>
      </c>
      <c r="AL3537">
        <v>32.734107999999999</v>
      </c>
      <c r="AM3537" t="s">
        <v>1158</v>
      </c>
      <c r="AN3537">
        <v>-116.732805</v>
      </c>
      <c r="AO3537">
        <v>25</v>
      </c>
      <c r="AP3537">
        <v>4300</v>
      </c>
      <c r="AQ3537" t="s">
        <v>129</v>
      </c>
      <c r="AR3537">
        <v>111</v>
      </c>
      <c r="AS3537">
        <v>44</v>
      </c>
      <c r="AT3537">
        <v>448</v>
      </c>
      <c r="BB3537">
        <v>1200</v>
      </c>
      <c r="BC3537">
        <v>1</v>
      </c>
      <c r="BD3537" t="str">
        <f t="shared" si="1289"/>
        <v xml:space="preserve">N887QR  </v>
      </c>
      <c r="BE3537">
        <v>1</v>
      </c>
      <c r="BG3537">
        <v>0</v>
      </c>
      <c r="BH3537">
        <v>0</v>
      </c>
      <c r="BI3537">
        <v>0</v>
      </c>
      <c r="BJ3537">
        <v>4150</v>
      </c>
      <c r="BK3537">
        <v>-150</v>
      </c>
      <c r="BL3537" t="s">
        <v>163</v>
      </c>
      <c r="BM3537">
        <v>1</v>
      </c>
      <c r="BN3537">
        <v>1</v>
      </c>
      <c r="BO3537">
        <v>1</v>
      </c>
      <c r="BP3537">
        <v>0</v>
      </c>
      <c r="BS3537">
        <v>0</v>
      </c>
      <c r="BT3537">
        <v>0</v>
      </c>
      <c r="BU3537">
        <v>0</v>
      </c>
      <c r="CE3537" t="str">
        <f t="shared" si="1293"/>
        <v>19:35:02.756</v>
      </c>
      <c r="CF3537">
        <v>755986716</v>
      </c>
      <c r="CS3537">
        <v>0</v>
      </c>
      <c r="CT3537">
        <v>2</v>
      </c>
      <c r="CU3537">
        <v>0</v>
      </c>
      <c r="CV3537">
        <v>2</v>
      </c>
      <c r="CW3537">
        <v>1</v>
      </c>
      <c r="CX3537">
        <v>5</v>
      </c>
      <c r="CY3537">
        <v>7</v>
      </c>
      <c r="CZ3537" t="s">
        <v>131</v>
      </c>
      <c r="DA3537">
        <v>286</v>
      </c>
      <c r="DB3537">
        <v>0</v>
      </c>
      <c r="DC3537" t="s">
        <v>132</v>
      </c>
      <c r="DD3537" t="s">
        <v>133</v>
      </c>
      <c r="DG3537">
        <v>881982</v>
      </c>
      <c r="DI3537">
        <v>1</v>
      </c>
      <c r="DJ3537">
        <v>0</v>
      </c>
      <c r="DK3537">
        <v>1</v>
      </c>
      <c r="DL3537">
        <v>0</v>
      </c>
      <c r="DM3537">
        <v>0</v>
      </c>
      <c r="DN3537">
        <v>1</v>
      </c>
      <c r="DO3537">
        <v>0</v>
      </c>
      <c r="DP3537">
        <v>0</v>
      </c>
      <c r="DQ3537">
        <v>0</v>
      </c>
      <c r="DR3537">
        <v>0</v>
      </c>
      <c r="DS3537">
        <v>0</v>
      </c>
    </row>
    <row r="3538" spans="1:123" x14ac:dyDescent="0.3">
      <c r="A3538" t="str">
        <f>"10/04/2022 19:35:03.017"</f>
        <v>10/04/2022 19:35:03.017</v>
      </c>
      <c r="C3538" t="str">
        <f t="shared" si="1281"/>
        <v>FFDFD3C0</v>
      </c>
      <c r="D3538" t="s">
        <v>147</v>
      </c>
      <c r="E3538">
        <v>3</v>
      </c>
      <c r="H3538">
        <v>166</v>
      </c>
      <c r="I3538" t="s">
        <v>144</v>
      </c>
      <c r="J3538" t="s">
        <v>148</v>
      </c>
      <c r="K3538">
        <v>0</v>
      </c>
      <c r="L3538">
        <v>3</v>
      </c>
      <c r="M3538">
        <v>0</v>
      </c>
      <c r="N3538">
        <v>2</v>
      </c>
      <c r="O3538">
        <v>0</v>
      </c>
      <c r="P3538">
        <v>1</v>
      </c>
      <c r="Q3538">
        <v>0</v>
      </c>
      <c r="S3538" t="str">
        <f t="shared" si="1291"/>
        <v>19:35:02.000</v>
      </c>
      <c r="T3538" t="str">
        <f t="shared" si="1291"/>
        <v>19:35:02.000</v>
      </c>
      <c r="U3538" t="str">
        <f t="shared" si="1288"/>
        <v>AC3944</v>
      </c>
      <c r="V3538">
        <v>0</v>
      </c>
      <c r="W3538">
        <v>0</v>
      </c>
      <c r="X3538">
        <v>2</v>
      </c>
      <c r="Y3538">
        <v>0</v>
      </c>
      <c r="AA3538">
        <v>1</v>
      </c>
      <c r="AB3538">
        <v>8</v>
      </c>
      <c r="AC3538">
        <v>3</v>
      </c>
      <c r="AD3538">
        <v>0</v>
      </c>
      <c r="AE3538">
        <v>9</v>
      </c>
      <c r="AF3538" t="s">
        <v>138</v>
      </c>
      <c r="AG3538">
        <v>0</v>
      </c>
      <c r="AH3538">
        <v>3</v>
      </c>
      <c r="AI3538">
        <v>1</v>
      </c>
      <c r="AJ3538">
        <v>0</v>
      </c>
      <c r="AK3538" t="s">
        <v>1157</v>
      </c>
      <c r="AL3538">
        <v>32.734107999999999</v>
      </c>
      <c r="AM3538" t="s">
        <v>1158</v>
      </c>
      <c r="AN3538">
        <v>-116.732805</v>
      </c>
      <c r="AO3538">
        <v>25</v>
      </c>
      <c r="AP3538">
        <v>4300</v>
      </c>
      <c r="AQ3538" t="s">
        <v>129</v>
      </c>
      <c r="AR3538">
        <v>111</v>
      </c>
      <c r="AS3538">
        <v>44</v>
      </c>
      <c r="AT3538">
        <v>448</v>
      </c>
      <c r="BB3538">
        <v>1200</v>
      </c>
      <c r="BC3538">
        <v>1</v>
      </c>
      <c r="BD3538" t="str">
        <f t="shared" si="1289"/>
        <v xml:space="preserve">N887QR  </v>
      </c>
      <c r="BE3538">
        <v>1</v>
      </c>
      <c r="BG3538">
        <v>0</v>
      </c>
      <c r="BH3538">
        <v>0</v>
      </c>
      <c r="BI3538">
        <v>0</v>
      </c>
      <c r="BJ3538">
        <v>4150</v>
      </c>
      <c r="BK3538">
        <v>-150</v>
      </c>
      <c r="BL3538" t="s">
        <v>163</v>
      </c>
      <c r="BM3538">
        <v>1</v>
      </c>
      <c r="BN3538">
        <v>1</v>
      </c>
      <c r="BO3538">
        <v>1</v>
      </c>
      <c r="BP3538">
        <v>0</v>
      </c>
      <c r="BS3538">
        <v>0</v>
      </c>
      <c r="BT3538">
        <v>0</v>
      </c>
      <c r="BU3538">
        <v>0</v>
      </c>
      <c r="CE3538" t="str">
        <f t="shared" si="1293"/>
        <v>19:35:02.756</v>
      </c>
      <c r="CF3538">
        <v>755986716</v>
      </c>
      <c r="CS3538">
        <v>0</v>
      </c>
      <c r="CT3538">
        <v>2</v>
      </c>
      <c r="CU3538">
        <v>0</v>
      </c>
      <c r="CV3538">
        <v>2</v>
      </c>
      <c r="CW3538">
        <v>1</v>
      </c>
      <c r="CX3538">
        <v>5</v>
      </c>
      <c r="CY3538">
        <v>7</v>
      </c>
      <c r="CZ3538" t="s">
        <v>131</v>
      </c>
      <c r="DA3538">
        <v>286</v>
      </c>
      <c r="DB3538">
        <v>0</v>
      </c>
      <c r="DC3538" t="s">
        <v>132</v>
      </c>
      <c r="DD3538" t="s">
        <v>133</v>
      </c>
      <c r="DG3538">
        <v>881982</v>
      </c>
      <c r="DI3538">
        <v>1</v>
      </c>
      <c r="DJ3538">
        <v>0</v>
      </c>
      <c r="DK3538">
        <v>1</v>
      </c>
      <c r="DL3538">
        <v>0</v>
      </c>
      <c r="DM3538">
        <v>0</v>
      </c>
      <c r="DN3538">
        <v>1</v>
      </c>
      <c r="DO3538">
        <v>0</v>
      </c>
      <c r="DP3538">
        <v>0</v>
      </c>
      <c r="DQ3538">
        <v>0</v>
      </c>
      <c r="DR3538">
        <v>0</v>
      </c>
      <c r="DS3538">
        <v>0</v>
      </c>
    </row>
    <row r="3539" spans="1:123" x14ac:dyDescent="0.3">
      <c r="A3539" t="str">
        <f>"10/04/2022 19:35:03.017"</f>
        <v>10/04/2022 19:35:03.017</v>
      </c>
      <c r="C3539" t="str">
        <f t="shared" si="1281"/>
        <v>FFDFD3C0</v>
      </c>
      <c r="D3539" t="s">
        <v>141</v>
      </c>
      <c r="E3539">
        <v>3</v>
      </c>
      <c r="H3539">
        <v>3</v>
      </c>
      <c r="I3539" t="s">
        <v>146</v>
      </c>
      <c r="J3539" t="s">
        <v>138</v>
      </c>
      <c r="K3539">
        <v>0</v>
      </c>
      <c r="L3539">
        <v>3</v>
      </c>
      <c r="M3539">
        <v>0</v>
      </c>
      <c r="N3539">
        <v>2</v>
      </c>
      <c r="O3539">
        <v>0</v>
      </c>
      <c r="P3539">
        <v>1</v>
      </c>
      <c r="Q3539">
        <v>0</v>
      </c>
      <c r="S3539" t="str">
        <f t="shared" si="1291"/>
        <v>19:35:02.000</v>
      </c>
      <c r="T3539" t="str">
        <f t="shared" si="1291"/>
        <v>19:35:02.000</v>
      </c>
      <c r="U3539" t="str">
        <f t="shared" si="1288"/>
        <v>AC3944</v>
      </c>
      <c r="V3539">
        <v>0</v>
      </c>
      <c r="W3539">
        <v>0</v>
      </c>
      <c r="X3539">
        <v>2</v>
      </c>
      <c r="Y3539">
        <v>0</v>
      </c>
      <c r="AA3539">
        <v>1</v>
      </c>
      <c r="AB3539">
        <v>8</v>
      </c>
      <c r="AC3539">
        <v>3</v>
      </c>
      <c r="AD3539">
        <v>0</v>
      </c>
      <c r="AE3539">
        <v>9</v>
      </c>
      <c r="AF3539" t="s">
        <v>138</v>
      </c>
      <c r="AG3539">
        <v>0</v>
      </c>
      <c r="AH3539">
        <v>3</v>
      </c>
      <c r="AI3539">
        <v>1</v>
      </c>
      <c r="AJ3539">
        <v>0</v>
      </c>
      <c r="AK3539" t="s">
        <v>1157</v>
      </c>
      <c r="AL3539">
        <v>32.734107999999999</v>
      </c>
      <c r="AM3539" t="s">
        <v>1158</v>
      </c>
      <c r="AN3539">
        <v>-116.732805</v>
      </c>
      <c r="AO3539">
        <v>25</v>
      </c>
      <c r="AP3539">
        <v>4300</v>
      </c>
      <c r="AQ3539" t="s">
        <v>129</v>
      </c>
      <c r="AR3539">
        <v>111</v>
      </c>
      <c r="AS3539">
        <v>44</v>
      </c>
      <c r="AT3539">
        <v>448</v>
      </c>
      <c r="BB3539">
        <v>1200</v>
      </c>
      <c r="BC3539">
        <v>1</v>
      </c>
      <c r="BD3539" t="str">
        <f t="shared" si="1289"/>
        <v xml:space="preserve">N887QR  </v>
      </c>
      <c r="BE3539">
        <v>1</v>
      </c>
      <c r="BG3539">
        <v>0</v>
      </c>
      <c r="BH3539">
        <v>0</v>
      </c>
      <c r="BI3539">
        <v>0</v>
      </c>
      <c r="BJ3539">
        <v>4150</v>
      </c>
      <c r="BK3539">
        <v>-150</v>
      </c>
      <c r="BL3539" t="s">
        <v>163</v>
      </c>
      <c r="BM3539">
        <v>1</v>
      </c>
      <c r="BN3539">
        <v>1</v>
      </c>
      <c r="BO3539">
        <v>1</v>
      </c>
      <c r="BP3539">
        <v>0</v>
      </c>
      <c r="BS3539">
        <v>0</v>
      </c>
      <c r="BT3539">
        <v>0</v>
      </c>
      <c r="BU3539">
        <v>0</v>
      </c>
      <c r="CE3539" t="str">
        <f t="shared" si="1293"/>
        <v>19:35:02.756</v>
      </c>
      <c r="CF3539">
        <v>755986716</v>
      </c>
      <c r="CS3539">
        <v>0</v>
      </c>
      <c r="CT3539">
        <v>2</v>
      </c>
      <c r="CU3539">
        <v>0</v>
      </c>
      <c r="CV3539">
        <v>2</v>
      </c>
      <c r="CW3539">
        <v>1</v>
      </c>
      <c r="CX3539">
        <v>5</v>
      </c>
      <c r="CY3539">
        <v>7</v>
      </c>
      <c r="CZ3539" t="s">
        <v>131</v>
      </c>
      <c r="DA3539">
        <v>286</v>
      </c>
      <c r="DB3539">
        <v>0</v>
      </c>
      <c r="DC3539" t="s">
        <v>132</v>
      </c>
      <c r="DD3539" t="s">
        <v>133</v>
      </c>
      <c r="DG3539">
        <v>881982</v>
      </c>
      <c r="DI3539">
        <v>1</v>
      </c>
      <c r="DJ3539">
        <v>0</v>
      </c>
      <c r="DK3539">
        <v>1</v>
      </c>
      <c r="DL3539">
        <v>0</v>
      </c>
      <c r="DM3539">
        <v>0</v>
      </c>
      <c r="DN3539">
        <v>1</v>
      </c>
      <c r="DO3539">
        <v>0</v>
      </c>
      <c r="DP3539">
        <v>0</v>
      </c>
      <c r="DQ3539">
        <v>0</v>
      </c>
      <c r="DR3539">
        <v>0</v>
      </c>
      <c r="DS3539">
        <v>0</v>
      </c>
    </row>
    <row r="3540" spans="1:123" x14ac:dyDescent="0.3">
      <c r="A3540" t="str">
        <f t="shared" ref="A3540:A3546" si="1294">"10/04/2022 19:35:04.423"</f>
        <v>10/04/2022 19:35:04.423</v>
      </c>
      <c r="C3540" t="str">
        <f t="shared" si="1281"/>
        <v>FFDFD3C0</v>
      </c>
      <c r="D3540" t="s">
        <v>147</v>
      </c>
      <c r="E3540">
        <v>3</v>
      </c>
      <c r="H3540">
        <v>166</v>
      </c>
      <c r="I3540" t="s">
        <v>144</v>
      </c>
      <c r="J3540" t="s">
        <v>148</v>
      </c>
      <c r="K3540">
        <v>0</v>
      </c>
      <c r="L3540">
        <v>3</v>
      </c>
      <c r="M3540">
        <v>0</v>
      </c>
      <c r="N3540">
        <v>2</v>
      </c>
      <c r="O3540">
        <v>0</v>
      </c>
      <c r="P3540">
        <v>1</v>
      </c>
      <c r="Q3540">
        <v>0</v>
      </c>
      <c r="S3540" t="str">
        <f t="shared" ref="S3540:T3547" si="1295">"19:35:04.000"</f>
        <v>19:35:04.000</v>
      </c>
      <c r="T3540" t="str">
        <f t="shared" si="1295"/>
        <v>19:35:04.000</v>
      </c>
      <c r="U3540" t="str">
        <f t="shared" si="1288"/>
        <v>AC3944</v>
      </c>
      <c r="V3540">
        <v>0</v>
      </c>
      <c r="W3540">
        <v>0</v>
      </c>
      <c r="X3540">
        <v>2</v>
      </c>
      <c r="Y3540">
        <v>0</v>
      </c>
      <c r="AA3540">
        <v>1</v>
      </c>
      <c r="AB3540">
        <v>8</v>
      </c>
      <c r="AC3540">
        <v>3</v>
      </c>
      <c r="AD3540">
        <v>0</v>
      </c>
      <c r="AE3540">
        <v>9</v>
      </c>
      <c r="AF3540" t="s">
        <v>138</v>
      </c>
      <c r="AG3540">
        <v>0</v>
      </c>
      <c r="AH3540">
        <v>3</v>
      </c>
      <c r="AI3540">
        <v>1</v>
      </c>
      <c r="AJ3540">
        <v>0</v>
      </c>
      <c r="AK3540" t="s">
        <v>1159</v>
      </c>
      <c r="AL3540">
        <v>32.734323000000003</v>
      </c>
      <c r="AM3540" t="s">
        <v>1160</v>
      </c>
      <c r="AN3540">
        <v>-116.73218300000001</v>
      </c>
      <c r="AO3540">
        <v>25</v>
      </c>
      <c r="AP3540">
        <v>4300</v>
      </c>
      <c r="AQ3540" t="s">
        <v>129</v>
      </c>
      <c r="AR3540">
        <v>112</v>
      </c>
      <c r="AS3540">
        <v>41</v>
      </c>
      <c r="AT3540">
        <v>448</v>
      </c>
      <c r="BB3540">
        <v>1200</v>
      </c>
      <c r="BC3540">
        <v>1</v>
      </c>
      <c r="BD3540" t="str">
        <f t="shared" si="1289"/>
        <v xml:space="preserve">N887QR  </v>
      </c>
      <c r="BE3540">
        <v>1</v>
      </c>
      <c r="BG3540">
        <v>0</v>
      </c>
      <c r="BH3540">
        <v>0</v>
      </c>
      <c r="BI3540">
        <v>0</v>
      </c>
      <c r="BJ3540">
        <v>4150</v>
      </c>
      <c r="BK3540">
        <v>-150</v>
      </c>
      <c r="BL3540" t="s">
        <v>163</v>
      </c>
      <c r="BM3540">
        <v>1</v>
      </c>
      <c r="BN3540">
        <v>1</v>
      </c>
      <c r="BO3540">
        <v>1</v>
      </c>
      <c r="BP3540">
        <v>0</v>
      </c>
      <c r="BS3540">
        <v>0</v>
      </c>
      <c r="BT3540">
        <v>0</v>
      </c>
      <c r="BU3540">
        <v>0</v>
      </c>
      <c r="CE3540" t="str">
        <f t="shared" ref="CE3540:CE3546" si="1296">"19:35:04.224"</f>
        <v>19:35:04.224</v>
      </c>
      <c r="CF3540">
        <v>223554860</v>
      </c>
      <c r="CS3540">
        <v>0</v>
      </c>
      <c r="CT3540">
        <v>2</v>
      </c>
      <c r="CU3540">
        <v>0</v>
      </c>
      <c r="CV3540">
        <v>2</v>
      </c>
      <c r="CW3540">
        <v>0</v>
      </c>
      <c r="CX3540">
        <v>5</v>
      </c>
      <c r="CY3540">
        <v>7</v>
      </c>
      <c r="CZ3540" t="s">
        <v>131</v>
      </c>
      <c r="DA3540">
        <v>300</v>
      </c>
      <c r="DB3540">
        <v>0</v>
      </c>
      <c r="DC3540" t="s">
        <v>176</v>
      </c>
      <c r="DD3540" t="s">
        <v>177</v>
      </c>
      <c r="DG3540">
        <v>5441292</v>
      </c>
      <c r="DI3540">
        <v>1</v>
      </c>
      <c r="DJ3540">
        <v>0</v>
      </c>
      <c r="DK3540">
        <v>0</v>
      </c>
      <c r="DL3540">
        <v>0</v>
      </c>
      <c r="DM3540">
        <v>0</v>
      </c>
      <c r="DN3540">
        <v>1</v>
      </c>
      <c r="DO3540">
        <v>0</v>
      </c>
      <c r="DP3540">
        <v>0</v>
      </c>
      <c r="DQ3540">
        <v>0</v>
      </c>
      <c r="DR3540">
        <v>0</v>
      </c>
      <c r="DS3540">
        <v>0</v>
      </c>
    </row>
    <row r="3541" spans="1:123" x14ac:dyDescent="0.3">
      <c r="A3541" t="str">
        <f t="shared" si="1294"/>
        <v>10/04/2022 19:35:04.423</v>
      </c>
      <c r="C3541" t="str">
        <f t="shared" si="1281"/>
        <v>FFDFD3C0</v>
      </c>
      <c r="D3541" t="s">
        <v>141</v>
      </c>
      <c r="E3541">
        <v>3</v>
      </c>
      <c r="H3541">
        <v>3</v>
      </c>
      <c r="I3541" t="s">
        <v>146</v>
      </c>
      <c r="J3541" t="s">
        <v>138</v>
      </c>
      <c r="K3541">
        <v>0</v>
      </c>
      <c r="L3541">
        <v>3</v>
      </c>
      <c r="M3541">
        <v>0</v>
      </c>
      <c r="N3541">
        <v>2</v>
      </c>
      <c r="O3541">
        <v>0</v>
      </c>
      <c r="P3541">
        <v>1</v>
      </c>
      <c r="Q3541">
        <v>0</v>
      </c>
      <c r="S3541" t="str">
        <f t="shared" si="1295"/>
        <v>19:35:04.000</v>
      </c>
      <c r="T3541" t="str">
        <f t="shared" si="1295"/>
        <v>19:35:04.000</v>
      </c>
      <c r="U3541" t="str">
        <f t="shared" si="1288"/>
        <v>AC3944</v>
      </c>
      <c r="V3541">
        <v>0</v>
      </c>
      <c r="W3541">
        <v>0</v>
      </c>
      <c r="X3541">
        <v>2</v>
      </c>
      <c r="Y3541">
        <v>0</v>
      </c>
      <c r="AA3541">
        <v>1</v>
      </c>
      <c r="AB3541">
        <v>8</v>
      </c>
      <c r="AC3541">
        <v>3</v>
      </c>
      <c r="AD3541">
        <v>0</v>
      </c>
      <c r="AE3541">
        <v>9</v>
      </c>
      <c r="AF3541" t="s">
        <v>138</v>
      </c>
      <c r="AG3541">
        <v>0</v>
      </c>
      <c r="AH3541">
        <v>3</v>
      </c>
      <c r="AI3541">
        <v>1</v>
      </c>
      <c r="AJ3541">
        <v>0</v>
      </c>
      <c r="AK3541" t="s">
        <v>1159</v>
      </c>
      <c r="AL3541">
        <v>32.734323000000003</v>
      </c>
      <c r="AM3541" t="s">
        <v>1160</v>
      </c>
      <c r="AN3541">
        <v>-116.73218300000001</v>
      </c>
      <c r="AO3541">
        <v>25</v>
      </c>
      <c r="AP3541">
        <v>4300</v>
      </c>
      <c r="AQ3541" t="s">
        <v>129</v>
      </c>
      <c r="AR3541">
        <v>112</v>
      </c>
      <c r="AS3541">
        <v>41</v>
      </c>
      <c r="AT3541">
        <v>448</v>
      </c>
      <c r="BB3541">
        <v>1200</v>
      </c>
      <c r="BC3541">
        <v>1</v>
      </c>
      <c r="BD3541" t="str">
        <f t="shared" si="1289"/>
        <v xml:space="preserve">N887QR  </v>
      </c>
      <c r="BE3541">
        <v>1</v>
      </c>
      <c r="BG3541">
        <v>0</v>
      </c>
      <c r="BH3541">
        <v>0</v>
      </c>
      <c r="BI3541">
        <v>0</v>
      </c>
      <c r="BJ3541">
        <v>4150</v>
      </c>
      <c r="BK3541">
        <v>-150</v>
      </c>
      <c r="BL3541" t="s">
        <v>163</v>
      </c>
      <c r="BM3541">
        <v>1</v>
      </c>
      <c r="BN3541">
        <v>1</v>
      </c>
      <c r="BO3541">
        <v>1</v>
      </c>
      <c r="BP3541">
        <v>0</v>
      </c>
      <c r="BS3541">
        <v>0</v>
      </c>
      <c r="BT3541">
        <v>0</v>
      </c>
      <c r="BU3541">
        <v>0</v>
      </c>
      <c r="CE3541" t="str">
        <f t="shared" si="1296"/>
        <v>19:35:04.224</v>
      </c>
      <c r="CF3541">
        <v>223554860</v>
      </c>
      <c r="CS3541">
        <v>0</v>
      </c>
      <c r="CT3541">
        <v>2</v>
      </c>
      <c r="CU3541">
        <v>0</v>
      </c>
      <c r="CV3541">
        <v>2</v>
      </c>
      <c r="CW3541">
        <v>0</v>
      </c>
      <c r="CX3541">
        <v>5</v>
      </c>
      <c r="CY3541">
        <v>7</v>
      </c>
      <c r="CZ3541" t="s">
        <v>131</v>
      </c>
      <c r="DA3541">
        <v>300</v>
      </c>
      <c r="DB3541">
        <v>0</v>
      </c>
      <c r="DC3541" t="s">
        <v>176</v>
      </c>
      <c r="DD3541" t="s">
        <v>177</v>
      </c>
      <c r="DG3541">
        <v>5441292</v>
      </c>
      <c r="DI3541">
        <v>1</v>
      </c>
      <c r="DJ3541">
        <v>0</v>
      </c>
      <c r="DK3541">
        <v>1</v>
      </c>
      <c r="DL3541">
        <v>0</v>
      </c>
      <c r="DM3541">
        <v>0</v>
      </c>
      <c r="DN3541">
        <v>1</v>
      </c>
      <c r="DO3541">
        <v>0</v>
      </c>
      <c r="DP3541">
        <v>0</v>
      </c>
      <c r="DQ3541">
        <v>0</v>
      </c>
      <c r="DR3541">
        <v>0</v>
      </c>
      <c r="DS3541">
        <v>0</v>
      </c>
    </row>
    <row r="3542" spans="1:123" x14ac:dyDescent="0.3">
      <c r="A3542" t="str">
        <f t="shared" si="1294"/>
        <v>10/04/2022 19:35:04.423</v>
      </c>
      <c r="C3542" t="str">
        <f t="shared" si="1281"/>
        <v>FFDFD3C0</v>
      </c>
      <c r="D3542" t="s">
        <v>141</v>
      </c>
      <c r="E3542">
        <v>4</v>
      </c>
      <c r="H3542">
        <v>4</v>
      </c>
      <c r="I3542" t="s">
        <v>142</v>
      </c>
      <c r="J3542" t="s">
        <v>138</v>
      </c>
      <c r="K3542">
        <v>0</v>
      </c>
      <c r="L3542">
        <v>3</v>
      </c>
      <c r="M3542">
        <v>0</v>
      </c>
      <c r="N3542">
        <v>2</v>
      </c>
      <c r="O3542">
        <v>0</v>
      </c>
      <c r="P3542">
        <v>1</v>
      </c>
      <c r="Q3542">
        <v>0</v>
      </c>
      <c r="S3542" t="str">
        <f t="shared" si="1295"/>
        <v>19:35:04.000</v>
      </c>
      <c r="T3542" t="str">
        <f t="shared" si="1295"/>
        <v>19:35:04.000</v>
      </c>
      <c r="U3542" t="str">
        <f t="shared" si="1288"/>
        <v>AC3944</v>
      </c>
      <c r="V3542">
        <v>0</v>
      </c>
      <c r="W3542">
        <v>0</v>
      </c>
      <c r="X3542">
        <v>2</v>
      </c>
      <c r="Y3542">
        <v>0</v>
      </c>
      <c r="AA3542">
        <v>1</v>
      </c>
      <c r="AB3542">
        <v>8</v>
      </c>
      <c r="AC3542">
        <v>3</v>
      </c>
      <c r="AD3542">
        <v>0</v>
      </c>
      <c r="AE3542">
        <v>9</v>
      </c>
      <c r="AF3542" t="s">
        <v>138</v>
      </c>
      <c r="AG3542">
        <v>0</v>
      </c>
      <c r="AH3542">
        <v>3</v>
      </c>
      <c r="AI3542">
        <v>1</v>
      </c>
      <c r="AJ3542">
        <v>0</v>
      </c>
      <c r="AK3542" t="s">
        <v>1159</v>
      </c>
      <c r="AL3542">
        <v>32.734323000000003</v>
      </c>
      <c r="AM3542" t="s">
        <v>1160</v>
      </c>
      <c r="AN3542">
        <v>-116.73218300000001</v>
      </c>
      <c r="AO3542">
        <v>25</v>
      </c>
      <c r="AP3542">
        <v>4300</v>
      </c>
      <c r="AQ3542" t="s">
        <v>129</v>
      </c>
      <c r="AR3542">
        <v>112</v>
      </c>
      <c r="AS3542">
        <v>41</v>
      </c>
      <c r="AT3542">
        <v>448</v>
      </c>
      <c r="BB3542">
        <v>1200</v>
      </c>
      <c r="BC3542">
        <v>1</v>
      </c>
      <c r="BD3542" t="str">
        <f t="shared" si="1289"/>
        <v xml:space="preserve">N887QR  </v>
      </c>
      <c r="BE3542">
        <v>1</v>
      </c>
      <c r="BG3542">
        <v>0</v>
      </c>
      <c r="BH3542">
        <v>0</v>
      </c>
      <c r="BI3542">
        <v>0</v>
      </c>
      <c r="BJ3542">
        <v>4150</v>
      </c>
      <c r="BK3542">
        <v>-150</v>
      </c>
      <c r="BL3542" t="s">
        <v>163</v>
      </c>
      <c r="BM3542">
        <v>1</v>
      </c>
      <c r="BN3542">
        <v>1</v>
      </c>
      <c r="BO3542">
        <v>1</v>
      </c>
      <c r="BP3542">
        <v>0</v>
      </c>
      <c r="BS3542">
        <v>0</v>
      </c>
      <c r="BT3542">
        <v>0</v>
      </c>
      <c r="BU3542">
        <v>0</v>
      </c>
      <c r="CE3542" t="str">
        <f t="shared" si="1296"/>
        <v>19:35:04.224</v>
      </c>
      <c r="CF3542">
        <v>223554860</v>
      </c>
      <c r="CS3542">
        <v>0</v>
      </c>
      <c r="CT3542">
        <v>2</v>
      </c>
      <c r="CU3542">
        <v>0</v>
      </c>
      <c r="CV3542">
        <v>2</v>
      </c>
      <c r="CW3542">
        <v>0</v>
      </c>
      <c r="CX3542">
        <v>5</v>
      </c>
      <c r="CY3542">
        <v>7</v>
      </c>
      <c r="CZ3542" t="s">
        <v>131</v>
      </c>
      <c r="DA3542">
        <v>300</v>
      </c>
      <c r="DB3542">
        <v>0</v>
      </c>
      <c r="DC3542" t="s">
        <v>176</v>
      </c>
      <c r="DD3542" t="s">
        <v>177</v>
      </c>
      <c r="DG3542">
        <v>5441292</v>
      </c>
      <c r="DI3542">
        <v>1</v>
      </c>
      <c r="DJ3542">
        <v>0</v>
      </c>
      <c r="DK3542">
        <v>1</v>
      </c>
      <c r="DL3542">
        <v>0</v>
      </c>
      <c r="DM3542">
        <v>0</v>
      </c>
      <c r="DN3542">
        <v>1</v>
      </c>
      <c r="DO3542">
        <v>0</v>
      </c>
      <c r="DP3542">
        <v>0</v>
      </c>
      <c r="DQ3542">
        <v>0</v>
      </c>
      <c r="DR3542">
        <v>0</v>
      </c>
      <c r="DS3542">
        <v>0</v>
      </c>
    </row>
    <row r="3543" spans="1:123" x14ac:dyDescent="0.3">
      <c r="A3543" t="str">
        <f t="shared" si="1294"/>
        <v>10/04/2022 19:35:04.423</v>
      </c>
      <c r="C3543" t="str">
        <f t="shared" si="1281"/>
        <v>FFDFD3C0</v>
      </c>
      <c r="D3543" t="s">
        <v>143</v>
      </c>
      <c r="E3543">
        <v>20</v>
      </c>
      <c r="F3543">
        <v>1020</v>
      </c>
      <c r="G3543" t="s">
        <v>144</v>
      </c>
      <c r="J3543" t="s">
        <v>145</v>
      </c>
      <c r="K3543">
        <v>0</v>
      </c>
      <c r="L3543">
        <v>3</v>
      </c>
      <c r="M3543">
        <v>0</v>
      </c>
      <c r="N3543">
        <v>2</v>
      </c>
      <c r="O3543">
        <v>0</v>
      </c>
      <c r="P3543">
        <v>1</v>
      </c>
      <c r="Q3543">
        <v>0</v>
      </c>
      <c r="S3543" t="str">
        <f t="shared" si="1295"/>
        <v>19:35:04.000</v>
      </c>
      <c r="T3543" t="str">
        <f t="shared" si="1295"/>
        <v>19:35:04.000</v>
      </c>
      <c r="U3543" t="str">
        <f t="shared" si="1288"/>
        <v>AC3944</v>
      </c>
      <c r="V3543">
        <v>0</v>
      </c>
      <c r="W3543">
        <v>0</v>
      </c>
      <c r="X3543">
        <v>2</v>
      </c>
      <c r="Y3543">
        <v>0</v>
      </c>
      <c r="AA3543">
        <v>1</v>
      </c>
      <c r="AB3543">
        <v>8</v>
      </c>
      <c r="AC3543">
        <v>3</v>
      </c>
      <c r="AD3543">
        <v>0</v>
      </c>
      <c r="AE3543">
        <v>9</v>
      </c>
      <c r="AF3543" t="s">
        <v>138</v>
      </c>
      <c r="AG3543">
        <v>0</v>
      </c>
      <c r="AH3543">
        <v>3</v>
      </c>
      <c r="AI3543">
        <v>1</v>
      </c>
      <c r="AJ3543">
        <v>0</v>
      </c>
      <c r="AK3543" t="s">
        <v>1159</v>
      </c>
      <c r="AL3543">
        <v>32.734323000000003</v>
      </c>
      <c r="AM3543" t="s">
        <v>1160</v>
      </c>
      <c r="AN3543">
        <v>-116.73218300000001</v>
      </c>
      <c r="AO3543">
        <v>25</v>
      </c>
      <c r="AP3543">
        <v>4300</v>
      </c>
      <c r="AQ3543" t="s">
        <v>129</v>
      </c>
      <c r="AR3543">
        <v>112</v>
      </c>
      <c r="AS3543">
        <v>41</v>
      </c>
      <c r="AT3543">
        <v>448</v>
      </c>
      <c r="BB3543">
        <v>1200</v>
      </c>
      <c r="BC3543">
        <v>1</v>
      </c>
      <c r="BD3543" t="str">
        <f t="shared" si="1289"/>
        <v xml:space="preserve">N887QR  </v>
      </c>
      <c r="BE3543">
        <v>1</v>
      </c>
      <c r="BG3543">
        <v>0</v>
      </c>
      <c r="BH3543">
        <v>0</v>
      </c>
      <c r="BI3543">
        <v>0</v>
      </c>
      <c r="BJ3543">
        <v>4150</v>
      </c>
      <c r="BK3543">
        <v>-150</v>
      </c>
      <c r="BL3543" t="s">
        <v>163</v>
      </c>
      <c r="BM3543">
        <v>1</v>
      </c>
      <c r="BN3543">
        <v>1</v>
      </c>
      <c r="BO3543">
        <v>1</v>
      </c>
      <c r="BP3543">
        <v>0</v>
      </c>
      <c r="BS3543">
        <v>0</v>
      </c>
      <c r="BT3543">
        <v>0</v>
      </c>
      <c r="BU3543">
        <v>0</v>
      </c>
      <c r="CE3543" t="str">
        <f t="shared" si="1296"/>
        <v>19:35:04.224</v>
      </c>
      <c r="CF3543">
        <v>223554860</v>
      </c>
      <c r="CS3543">
        <v>0</v>
      </c>
      <c r="CT3543">
        <v>2</v>
      </c>
      <c r="CU3543">
        <v>0</v>
      </c>
      <c r="CV3543">
        <v>2</v>
      </c>
      <c r="CW3543">
        <v>0</v>
      </c>
      <c r="CX3543">
        <v>5</v>
      </c>
      <c r="CY3543">
        <v>7</v>
      </c>
      <c r="CZ3543" t="s">
        <v>131</v>
      </c>
      <c r="DA3543">
        <v>300</v>
      </c>
      <c r="DB3543">
        <v>0</v>
      </c>
      <c r="DC3543" t="s">
        <v>176</v>
      </c>
      <c r="DD3543" t="s">
        <v>177</v>
      </c>
      <c r="DG3543">
        <v>5441292</v>
      </c>
      <c r="DI3543">
        <v>1</v>
      </c>
      <c r="DJ3543">
        <v>0</v>
      </c>
      <c r="DK3543">
        <v>1</v>
      </c>
      <c r="DL3543">
        <v>0</v>
      </c>
      <c r="DM3543">
        <v>0</v>
      </c>
      <c r="DN3543">
        <v>1</v>
      </c>
      <c r="DO3543">
        <v>0</v>
      </c>
      <c r="DP3543">
        <v>0</v>
      </c>
      <c r="DQ3543">
        <v>0</v>
      </c>
      <c r="DR3543">
        <v>0</v>
      </c>
      <c r="DS3543">
        <v>0</v>
      </c>
    </row>
    <row r="3544" spans="1:123" x14ac:dyDescent="0.3">
      <c r="A3544" t="str">
        <f t="shared" si="1294"/>
        <v>10/04/2022 19:35:04.423</v>
      </c>
      <c r="C3544" t="str">
        <f t="shared" si="1281"/>
        <v>FFDFD3C0</v>
      </c>
      <c r="D3544" t="s">
        <v>134</v>
      </c>
      <c r="E3544">
        <v>15</v>
      </c>
      <c r="J3544" t="s">
        <v>135</v>
      </c>
      <c r="K3544">
        <v>0</v>
      </c>
      <c r="L3544">
        <v>3</v>
      </c>
      <c r="M3544">
        <v>0</v>
      </c>
      <c r="N3544">
        <v>2</v>
      </c>
      <c r="O3544">
        <v>0</v>
      </c>
      <c r="P3544">
        <v>1</v>
      </c>
      <c r="Q3544">
        <v>0</v>
      </c>
      <c r="S3544" t="str">
        <f t="shared" si="1295"/>
        <v>19:35:04.000</v>
      </c>
      <c r="T3544" t="str">
        <f t="shared" si="1295"/>
        <v>19:35:04.000</v>
      </c>
      <c r="U3544" t="str">
        <f t="shared" si="1288"/>
        <v>AC3944</v>
      </c>
      <c r="V3544">
        <v>0</v>
      </c>
      <c r="W3544">
        <v>0</v>
      </c>
      <c r="X3544">
        <v>2</v>
      </c>
      <c r="Y3544">
        <v>0</v>
      </c>
      <c r="AA3544">
        <v>1</v>
      </c>
      <c r="AB3544">
        <v>8</v>
      </c>
      <c r="AC3544">
        <v>3</v>
      </c>
      <c r="AD3544">
        <v>0</v>
      </c>
      <c r="AE3544">
        <v>9</v>
      </c>
      <c r="AF3544" t="s">
        <v>138</v>
      </c>
      <c r="AG3544">
        <v>0</v>
      </c>
      <c r="AH3544">
        <v>3</v>
      </c>
      <c r="AI3544">
        <v>1</v>
      </c>
      <c r="AJ3544">
        <v>0</v>
      </c>
      <c r="AK3544" t="s">
        <v>1159</v>
      </c>
      <c r="AL3544">
        <v>32.734323000000003</v>
      </c>
      <c r="AM3544" t="s">
        <v>1160</v>
      </c>
      <c r="AN3544">
        <v>-116.73218300000001</v>
      </c>
      <c r="AO3544">
        <v>25</v>
      </c>
      <c r="AP3544">
        <v>4300</v>
      </c>
      <c r="AQ3544" t="s">
        <v>129</v>
      </c>
      <c r="AR3544">
        <v>112</v>
      </c>
      <c r="AS3544">
        <v>41</v>
      </c>
      <c r="AT3544">
        <v>448</v>
      </c>
      <c r="BB3544">
        <v>1200</v>
      </c>
      <c r="BC3544">
        <v>1</v>
      </c>
      <c r="BD3544" t="str">
        <f t="shared" si="1289"/>
        <v xml:space="preserve">N887QR  </v>
      </c>
      <c r="BE3544">
        <v>1</v>
      </c>
      <c r="BG3544">
        <v>0</v>
      </c>
      <c r="BH3544">
        <v>0</v>
      </c>
      <c r="BI3544">
        <v>0</v>
      </c>
      <c r="BJ3544">
        <v>4150</v>
      </c>
      <c r="BK3544">
        <v>-150</v>
      </c>
      <c r="BL3544" t="s">
        <v>163</v>
      </c>
      <c r="BM3544">
        <v>1</v>
      </c>
      <c r="BN3544">
        <v>1</v>
      </c>
      <c r="BO3544">
        <v>1</v>
      </c>
      <c r="BP3544">
        <v>0</v>
      </c>
      <c r="BS3544">
        <v>0</v>
      </c>
      <c r="BT3544">
        <v>0</v>
      </c>
      <c r="BU3544">
        <v>0</v>
      </c>
      <c r="CE3544" t="str">
        <f t="shared" si="1296"/>
        <v>19:35:04.224</v>
      </c>
      <c r="CF3544">
        <v>223554860</v>
      </c>
      <c r="CS3544">
        <v>0</v>
      </c>
      <c r="CT3544">
        <v>2</v>
      </c>
      <c r="CU3544">
        <v>0</v>
      </c>
      <c r="CV3544">
        <v>2</v>
      </c>
      <c r="CW3544">
        <v>0</v>
      </c>
      <c r="CX3544">
        <v>5</v>
      </c>
      <c r="CY3544">
        <v>7</v>
      </c>
      <c r="CZ3544" t="s">
        <v>131</v>
      </c>
      <c r="DA3544">
        <v>300</v>
      </c>
      <c r="DB3544">
        <v>0</v>
      </c>
      <c r="DC3544" t="s">
        <v>176</v>
      </c>
      <c r="DD3544" t="s">
        <v>177</v>
      </c>
      <c r="DG3544">
        <v>5441292</v>
      </c>
      <c r="DI3544">
        <v>1</v>
      </c>
      <c r="DJ3544">
        <v>0</v>
      </c>
      <c r="DK3544">
        <v>1</v>
      </c>
      <c r="DL3544">
        <v>0</v>
      </c>
      <c r="DM3544">
        <v>0</v>
      </c>
      <c r="DN3544">
        <v>1</v>
      </c>
      <c r="DO3544">
        <v>0</v>
      </c>
      <c r="DP3544">
        <v>0</v>
      </c>
      <c r="DQ3544">
        <v>0</v>
      </c>
      <c r="DR3544">
        <v>0</v>
      </c>
      <c r="DS3544">
        <v>0</v>
      </c>
    </row>
    <row r="3545" spans="1:123" x14ac:dyDescent="0.3">
      <c r="A3545" t="str">
        <f t="shared" si="1294"/>
        <v>10/04/2022 19:35:04.423</v>
      </c>
      <c r="C3545" t="str">
        <f t="shared" si="1281"/>
        <v>FFDFD3C0</v>
      </c>
      <c r="D3545" t="s">
        <v>123</v>
      </c>
      <c r="E3545">
        <v>7</v>
      </c>
      <c r="F3545">
        <v>2007</v>
      </c>
      <c r="G3545" t="s">
        <v>124</v>
      </c>
      <c r="J3545" t="s">
        <v>125</v>
      </c>
      <c r="K3545">
        <v>0</v>
      </c>
      <c r="L3545">
        <v>3</v>
      </c>
      <c r="M3545">
        <v>0</v>
      </c>
      <c r="N3545">
        <v>2</v>
      </c>
      <c r="O3545">
        <v>0</v>
      </c>
      <c r="P3545">
        <v>1</v>
      </c>
      <c r="Q3545">
        <v>0</v>
      </c>
      <c r="S3545" t="str">
        <f t="shared" si="1295"/>
        <v>19:35:04.000</v>
      </c>
      <c r="T3545" t="str">
        <f t="shared" si="1295"/>
        <v>19:35:04.000</v>
      </c>
      <c r="U3545" t="str">
        <f t="shared" si="1288"/>
        <v>AC3944</v>
      </c>
      <c r="V3545">
        <v>0</v>
      </c>
      <c r="W3545">
        <v>0</v>
      </c>
      <c r="X3545">
        <v>2</v>
      </c>
      <c r="Y3545">
        <v>0</v>
      </c>
      <c r="AA3545">
        <v>1</v>
      </c>
      <c r="AB3545">
        <v>8</v>
      </c>
      <c r="AC3545">
        <v>3</v>
      </c>
      <c r="AD3545">
        <v>0</v>
      </c>
      <c r="AE3545">
        <v>9</v>
      </c>
      <c r="AF3545" t="s">
        <v>138</v>
      </c>
      <c r="AG3545">
        <v>0</v>
      </c>
      <c r="AH3545">
        <v>3</v>
      </c>
      <c r="AI3545">
        <v>1</v>
      </c>
      <c r="AJ3545">
        <v>0</v>
      </c>
      <c r="AK3545" t="s">
        <v>1159</v>
      </c>
      <c r="AL3545">
        <v>32.734323000000003</v>
      </c>
      <c r="AM3545" t="s">
        <v>1160</v>
      </c>
      <c r="AN3545">
        <v>-116.73218300000001</v>
      </c>
      <c r="AO3545">
        <v>25</v>
      </c>
      <c r="AP3545">
        <v>4300</v>
      </c>
      <c r="AQ3545" t="s">
        <v>129</v>
      </c>
      <c r="AR3545">
        <v>112</v>
      </c>
      <c r="AS3545">
        <v>41</v>
      </c>
      <c r="AT3545">
        <v>448</v>
      </c>
      <c r="BB3545">
        <v>1200</v>
      </c>
      <c r="BC3545">
        <v>1</v>
      </c>
      <c r="BD3545" t="str">
        <f t="shared" si="1289"/>
        <v xml:space="preserve">N887QR  </v>
      </c>
      <c r="BE3545">
        <v>1</v>
      </c>
      <c r="BG3545">
        <v>0</v>
      </c>
      <c r="BH3545">
        <v>0</v>
      </c>
      <c r="BI3545">
        <v>0</v>
      </c>
      <c r="BJ3545">
        <v>4150</v>
      </c>
      <c r="BK3545">
        <v>-150</v>
      </c>
      <c r="BL3545" t="s">
        <v>163</v>
      </c>
      <c r="BM3545">
        <v>1</v>
      </c>
      <c r="BN3545">
        <v>1</v>
      </c>
      <c r="BO3545">
        <v>1</v>
      </c>
      <c r="BP3545">
        <v>0</v>
      </c>
      <c r="BS3545">
        <v>0</v>
      </c>
      <c r="BT3545">
        <v>0</v>
      </c>
      <c r="BU3545">
        <v>0</v>
      </c>
      <c r="CE3545" t="str">
        <f t="shared" si="1296"/>
        <v>19:35:04.224</v>
      </c>
      <c r="CF3545">
        <v>223554860</v>
      </c>
      <c r="CS3545">
        <v>0</v>
      </c>
      <c r="CT3545">
        <v>2</v>
      </c>
      <c r="CU3545">
        <v>0</v>
      </c>
      <c r="CV3545">
        <v>2</v>
      </c>
      <c r="CW3545">
        <v>0</v>
      </c>
      <c r="CX3545">
        <v>5</v>
      </c>
      <c r="CY3545">
        <v>7</v>
      </c>
      <c r="CZ3545" t="s">
        <v>131</v>
      </c>
      <c r="DA3545">
        <v>300</v>
      </c>
      <c r="DB3545">
        <v>0</v>
      </c>
      <c r="DC3545" t="s">
        <v>176</v>
      </c>
      <c r="DD3545" t="s">
        <v>177</v>
      </c>
      <c r="DG3545">
        <v>5441292</v>
      </c>
      <c r="DI3545">
        <v>1</v>
      </c>
      <c r="DJ3545">
        <v>0</v>
      </c>
      <c r="DK3545">
        <v>1</v>
      </c>
      <c r="DL3545">
        <v>0</v>
      </c>
      <c r="DM3545">
        <v>0</v>
      </c>
      <c r="DN3545">
        <v>1</v>
      </c>
      <c r="DO3545">
        <v>0</v>
      </c>
      <c r="DP3545">
        <v>0</v>
      </c>
      <c r="DQ3545">
        <v>0</v>
      </c>
      <c r="DR3545">
        <v>0</v>
      </c>
      <c r="DS3545">
        <v>0</v>
      </c>
    </row>
    <row r="3546" spans="1:123" x14ac:dyDescent="0.3">
      <c r="A3546" t="str">
        <f t="shared" si="1294"/>
        <v>10/04/2022 19:35:04.423</v>
      </c>
      <c r="C3546" t="str">
        <f t="shared" si="1281"/>
        <v>FFDFD3C0</v>
      </c>
      <c r="D3546" t="s">
        <v>136</v>
      </c>
      <c r="E3546">
        <v>8</v>
      </c>
      <c r="H3546">
        <v>225</v>
      </c>
      <c r="I3546" t="s">
        <v>137</v>
      </c>
      <c r="J3546" t="s">
        <v>138</v>
      </c>
      <c r="K3546">
        <v>0</v>
      </c>
      <c r="L3546">
        <v>3</v>
      </c>
      <c r="M3546">
        <v>0</v>
      </c>
      <c r="N3546">
        <v>2</v>
      </c>
      <c r="O3546">
        <v>0</v>
      </c>
      <c r="P3546">
        <v>1</v>
      </c>
      <c r="Q3546">
        <v>0</v>
      </c>
      <c r="S3546" t="str">
        <f t="shared" si="1295"/>
        <v>19:35:04.000</v>
      </c>
      <c r="T3546" t="str">
        <f t="shared" si="1295"/>
        <v>19:35:04.000</v>
      </c>
      <c r="U3546" t="str">
        <f t="shared" si="1288"/>
        <v>AC3944</v>
      </c>
      <c r="V3546">
        <v>0</v>
      </c>
      <c r="W3546">
        <v>0</v>
      </c>
      <c r="X3546">
        <v>2</v>
      </c>
      <c r="Y3546">
        <v>0</v>
      </c>
      <c r="AA3546">
        <v>1</v>
      </c>
      <c r="AB3546">
        <v>8</v>
      </c>
      <c r="AC3546">
        <v>3</v>
      </c>
      <c r="AD3546">
        <v>0</v>
      </c>
      <c r="AE3546">
        <v>9</v>
      </c>
      <c r="AF3546" t="s">
        <v>138</v>
      </c>
      <c r="AG3546">
        <v>0</v>
      </c>
      <c r="AH3546">
        <v>3</v>
      </c>
      <c r="AI3546">
        <v>1</v>
      </c>
      <c r="AJ3546">
        <v>0</v>
      </c>
      <c r="AK3546" t="s">
        <v>1159</v>
      </c>
      <c r="AL3546">
        <v>32.734323000000003</v>
      </c>
      <c r="AM3546" t="s">
        <v>1160</v>
      </c>
      <c r="AN3546">
        <v>-116.73218300000001</v>
      </c>
      <c r="AO3546">
        <v>25</v>
      </c>
      <c r="AP3546">
        <v>4300</v>
      </c>
      <c r="AQ3546" t="s">
        <v>129</v>
      </c>
      <c r="AR3546">
        <v>112</v>
      </c>
      <c r="AS3546">
        <v>41</v>
      </c>
      <c r="AT3546">
        <v>448</v>
      </c>
      <c r="BB3546">
        <v>1200</v>
      </c>
      <c r="BC3546">
        <v>1</v>
      </c>
      <c r="BD3546" t="str">
        <f t="shared" si="1289"/>
        <v xml:space="preserve">N887QR  </v>
      </c>
      <c r="BE3546">
        <v>1</v>
      </c>
      <c r="BG3546">
        <v>0</v>
      </c>
      <c r="BH3546">
        <v>0</v>
      </c>
      <c r="BI3546">
        <v>0</v>
      </c>
      <c r="BJ3546">
        <v>4150</v>
      </c>
      <c r="BK3546">
        <v>-150</v>
      </c>
      <c r="BL3546" t="s">
        <v>163</v>
      </c>
      <c r="BM3546">
        <v>1</v>
      </c>
      <c r="BN3546">
        <v>1</v>
      </c>
      <c r="BO3546">
        <v>1</v>
      </c>
      <c r="BP3546">
        <v>0</v>
      </c>
      <c r="BS3546">
        <v>0</v>
      </c>
      <c r="BT3546">
        <v>0</v>
      </c>
      <c r="BU3546">
        <v>0</v>
      </c>
      <c r="CE3546" t="str">
        <f t="shared" si="1296"/>
        <v>19:35:04.224</v>
      </c>
      <c r="CF3546">
        <v>223554860</v>
      </c>
      <c r="CS3546">
        <v>0</v>
      </c>
      <c r="CT3546">
        <v>2</v>
      </c>
      <c r="CU3546">
        <v>0</v>
      </c>
      <c r="CV3546">
        <v>2</v>
      </c>
      <c r="CW3546">
        <v>0</v>
      </c>
      <c r="CX3546">
        <v>5</v>
      </c>
      <c r="CY3546">
        <v>7</v>
      </c>
      <c r="CZ3546" t="s">
        <v>131</v>
      </c>
      <c r="DA3546">
        <v>300</v>
      </c>
      <c r="DB3546">
        <v>0</v>
      </c>
      <c r="DC3546" t="s">
        <v>176</v>
      </c>
      <c r="DD3546" t="s">
        <v>177</v>
      </c>
      <c r="DG3546">
        <v>5441292</v>
      </c>
      <c r="DI3546">
        <v>1</v>
      </c>
      <c r="DJ3546">
        <v>0</v>
      </c>
      <c r="DK3546">
        <v>1</v>
      </c>
      <c r="DL3546">
        <v>0</v>
      </c>
      <c r="DM3546">
        <v>0</v>
      </c>
      <c r="DN3546">
        <v>1</v>
      </c>
      <c r="DO3546">
        <v>0</v>
      </c>
      <c r="DP3546">
        <v>0</v>
      </c>
      <c r="DQ3546">
        <v>0</v>
      </c>
      <c r="DR3546">
        <v>0</v>
      </c>
      <c r="DS3546">
        <v>0</v>
      </c>
    </row>
    <row r="3547" spans="1:123" x14ac:dyDescent="0.3">
      <c r="A3547" t="str">
        <f>"10/04/2022 19:35:05.283"</f>
        <v>10/04/2022 19:35:05.283</v>
      </c>
      <c r="C3547" t="str">
        <f t="shared" si="1281"/>
        <v>FFDFD3C0</v>
      </c>
      <c r="D3547" t="s">
        <v>136</v>
      </c>
      <c r="E3547">
        <v>8</v>
      </c>
      <c r="H3547">
        <v>225</v>
      </c>
      <c r="I3547" t="s">
        <v>137</v>
      </c>
      <c r="J3547" t="s">
        <v>138</v>
      </c>
      <c r="K3547">
        <v>0</v>
      </c>
      <c r="L3547">
        <v>3</v>
      </c>
      <c r="M3547">
        <v>0</v>
      </c>
      <c r="N3547">
        <v>2</v>
      </c>
      <c r="O3547">
        <v>0</v>
      </c>
      <c r="P3547">
        <v>1</v>
      </c>
      <c r="Q3547">
        <v>0</v>
      </c>
      <c r="S3547" t="str">
        <f t="shared" si="1295"/>
        <v>19:35:04.000</v>
      </c>
      <c r="T3547" t="str">
        <f t="shared" si="1295"/>
        <v>19:35:04.000</v>
      </c>
      <c r="U3547" t="str">
        <f t="shared" si="1288"/>
        <v>AC3944</v>
      </c>
      <c r="V3547">
        <v>0</v>
      </c>
      <c r="W3547">
        <v>0</v>
      </c>
      <c r="X3547">
        <v>2</v>
      </c>
      <c r="Y3547">
        <v>0</v>
      </c>
      <c r="AA3547">
        <v>1</v>
      </c>
      <c r="AB3547">
        <v>8</v>
      </c>
      <c r="AC3547">
        <v>3</v>
      </c>
      <c r="AD3547">
        <v>0</v>
      </c>
      <c r="AE3547">
        <v>9</v>
      </c>
      <c r="AF3547" t="s">
        <v>138</v>
      </c>
      <c r="AG3547">
        <v>0</v>
      </c>
      <c r="AH3547">
        <v>3</v>
      </c>
      <c r="AI3547">
        <v>1</v>
      </c>
      <c r="AJ3547">
        <v>0</v>
      </c>
      <c r="AK3547" t="s">
        <v>1161</v>
      </c>
      <c r="AL3547">
        <v>32.734515999999999</v>
      </c>
      <c r="AM3547" t="s">
        <v>1162</v>
      </c>
      <c r="AN3547">
        <v>-116.73156</v>
      </c>
      <c r="AO3547">
        <v>25</v>
      </c>
      <c r="AP3547">
        <v>4300</v>
      </c>
      <c r="AQ3547" t="s">
        <v>129</v>
      </c>
      <c r="AR3547">
        <v>113</v>
      </c>
      <c r="AS3547">
        <v>40</v>
      </c>
      <c r="AT3547">
        <v>448</v>
      </c>
      <c r="BB3547">
        <v>1200</v>
      </c>
      <c r="BC3547">
        <v>1</v>
      </c>
      <c r="BD3547" t="str">
        <f t="shared" si="1289"/>
        <v xml:space="preserve">N887QR  </v>
      </c>
      <c r="BE3547">
        <v>1</v>
      </c>
      <c r="BG3547">
        <v>0</v>
      </c>
      <c r="BH3547">
        <v>0</v>
      </c>
      <c r="BI3547">
        <v>0</v>
      </c>
      <c r="BJ3547">
        <v>4150</v>
      </c>
      <c r="BK3547">
        <v>-150</v>
      </c>
      <c r="BL3547" t="s">
        <v>163</v>
      </c>
      <c r="BM3547">
        <v>1</v>
      </c>
      <c r="BN3547">
        <v>1</v>
      </c>
      <c r="BO3547">
        <v>1</v>
      </c>
      <c r="BP3547">
        <v>0</v>
      </c>
      <c r="BS3547">
        <v>0</v>
      </c>
      <c r="BT3547">
        <v>0</v>
      </c>
      <c r="BU3547">
        <v>0</v>
      </c>
      <c r="CE3547" t="str">
        <f>"19:35:04.880"</f>
        <v>19:35:04.880</v>
      </c>
      <c r="CF3547">
        <v>880243830</v>
      </c>
      <c r="CS3547">
        <v>0</v>
      </c>
      <c r="CT3547">
        <v>2</v>
      </c>
      <c r="CU3547">
        <v>0</v>
      </c>
      <c r="CV3547">
        <v>2</v>
      </c>
      <c r="CW3547">
        <v>0</v>
      </c>
      <c r="CX3547">
        <v>5</v>
      </c>
      <c r="CY3547">
        <v>7</v>
      </c>
      <c r="CZ3547" t="s">
        <v>131</v>
      </c>
      <c r="DA3547">
        <v>286</v>
      </c>
      <c r="DB3547">
        <v>0</v>
      </c>
      <c r="DC3547" t="s">
        <v>132</v>
      </c>
      <c r="DD3547" t="s">
        <v>133</v>
      </c>
      <c r="DG3547">
        <v>882503</v>
      </c>
      <c r="DI3547">
        <v>1</v>
      </c>
      <c r="DJ3547">
        <v>0</v>
      </c>
      <c r="DK3547">
        <v>0</v>
      </c>
      <c r="DL3547">
        <v>0</v>
      </c>
      <c r="DM3547">
        <v>0</v>
      </c>
      <c r="DN3547">
        <v>1</v>
      </c>
      <c r="DO3547">
        <v>0</v>
      </c>
      <c r="DP3547">
        <v>0</v>
      </c>
      <c r="DQ3547">
        <v>0</v>
      </c>
      <c r="DR3547">
        <v>0</v>
      </c>
      <c r="DS3547">
        <v>0</v>
      </c>
    </row>
    <row r="3548" spans="1:123" x14ac:dyDescent="0.3">
      <c r="A3548" t="str">
        <f>"10/04/2022 19:35:05.955"</f>
        <v>10/04/2022 19:35:05.955</v>
      </c>
      <c r="C3548" t="str">
        <f t="shared" si="1281"/>
        <v>FFDFD3C0</v>
      </c>
      <c r="D3548" t="s">
        <v>134</v>
      </c>
      <c r="E3548">
        <v>15</v>
      </c>
      <c r="J3548" t="s">
        <v>135</v>
      </c>
      <c r="K3548">
        <v>0</v>
      </c>
      <c r="L3548">
        <v>3</v>
      </c>
      <c r="M3548">
        <v>0</v>
      </c>
      <c r="N3548">
        <v>2</v>
      </c>
      <c r="O3548">
        <v>0</v>
      </c>
      <c r="P3548">
        <v>1</v>
      </c>
      <c r="Q3548">
        <v>0</v>
      </c>
      <c r="S3548" t="str">
        <f t="shared" ref="S3548:T3554" si="1297">"19:35:05.000"</f>
        <v>19:35:05.000</v>
      </c>
      <c r="T3548" t="str">
        <f t="shared" si="1297"/>
        <v>19:35:05.000</v>
      </c>
      <c r="U3548" t="str">
        <f t="shared" si="1288"/>
        <v>AC3944</v>
      </c>
      <c r="V3548">
        <v>0</v>
      </c>
      <c r="W3548">
        <v>0</v>
      </c>
      <c r="X3548">
        <v>2</v>
      </c>
      <c r="Y3548">
        <v>0</v>
      </c>
      <c r="AA3548">
        <v>1</v>
      </c>
      <c r="AB3548">
        <v>8</v>
      </c>
      <c r="AC3548">
        <v>3</v>
      </c>
      <c r="AD3548">
        <v>0</v>
      </c>
      <c r="AE3548">
        <v>9</v>
      </c>
      <c r="AF3548" t="s">
        <v>138</v>
      </c>
      <c r="AG3548">
        <v>0</v>
      </c>
      <c r="AH3548">
        <v>3</v>
      </c>
      <c r="AI3548">
        <v>1</v>
      </c>
      <c r="AJ3548">
        <v>0</v>
      </c>
      <c r="AK3548" t="s">
        <v>1163</v>
      </c>
      <c r="AL3548">
        <v>32.734709000000002</v>
      </c>
      <c r="AM3548" t="s">
        <v>1164</v>
      </c>
      <c r="AN3548">
        <v>-116.73093799999999</v>
      </c>
      <c r="AO3548">
        <v>25</v>
      </c>
      <c r="AP3548">
        <v>4300</v>
      </c>
      <c r="AQ3548" t="s">
        <v>129</v>
      </c>
      <c r="AR3548">
        <v>114</v>
      </c>
      <c r="AS3548">
        <v>38</v>
      </c>
      <c r="AT3548">
        <v>448</v>
      </c>
      <c r="BB3548">
        <v>1200</v>
      </c>
      <c r="BC3548">
        <v>1</v>
      </c>
      <c r="BD3548" t="str">
        <f t="shared" si="1289"/>
        <v xml:space="preserve">N887QR  </v>
      </c>
      <c r="BE3548">
        <v>1</v>
      </c>
      <c r="BG3548">
        <v>0</v>
      </c>
      <c r="BH3548">
        <v>0</v>
      </c>
      <c r="BI3548">
        <v>0</v>
      </c>
      <c r="BJ3548">
        <v>4175</v>
      </c>
      <c r="BK3548">
        <v>-125</v>
      </c>
      <c r="BL3548" t="s">
        <v>163</v>
      </c>
      <c r="BM3548">
        <v>1</v>
      </c>
      <c r="BN3548">
        <v>1</v>
      </c>
      <c r="BO3548">
        <v>1</v>
      </c>
      <c r="BP3548">
        <v>0</v>
      </c>
      <c r="BS3548">
        <v>0</v>
      </c>
      <c r="BT3548">
        <v>0</v>
      </c>
      <c r="BU3548">
        <v>0</v>
      </c>
      <c r="CE3548" t="str">
        <f t="shared" ref="CE3548:CE3554" si="1298">"19:35:05.762"</f>
        <v>19:35:05.762</v>
      </c>
      <c r="CF3548">
        <v>762309790</v>
      </c>
      <c r="CS3548">
        <v>0</v>
      </c>
      <c r="CT3548">
        <v>2</v>
      </c>
      <c r="CU3548">
        <v>0</v>
      </c>
      <c r="CV3548">
        <v>2</v>
      </c>
      <c r="CW3548">
        <v>1</v>
      </c>
      <c r="CX3548">
        <v>4</v>
      </c>
      <c r="CY3548">
        <v>7</v>
      </c>
      <c r="CZ3548" t="s">
        <v>131</v>
      </c>
      <c r="DA3548">
        <v>300</v>
      </c>
      <c r="DB3548">
        <v>0</v>
      </c>
      <c r="DC3548" t="s">
        <v>176</v>
      </c>
      <c r="DD3548" t="s">
        <v>177</v>
      </c>
      <c r="DG3548">
        <v>5441553</v>
      </c>
      <c r="DI3548">
        <v>1</v>
      </c>
      <c r="DJ3548">
        <v>0</v>
      </c>
      <c r="DK3548">
        <v>0</v>
      </c>
      <c r="DL3548">
        <v>0</v>
      </c>
      <c r="DM3548">
        <v>0</v>
      </c>
      <c r="DN3548">
        <v>1</v>
      </c>
      <c r="DO3548">
        <v>0</v>
      </c>
      <c r="DP3548">
        <v>0</v>
      </c>
      <c r="DQ3548">
        <v>0</v>
      </c>
      <c r="DR3548">
        <v>0</v>
      </c>
      <c r="DS3548">
        <v>0</v>
      </c>
    </row>
    <row r="3549" spans="1:123" x14ac:dyDescent="0.3">
      <c r="A3549" t="str">
        <f>"10/04/2022 19:35:05.955"</f>
        <v>10/04/2022 19:35:05.955</v>
      </c>
      <c r="C3549" t="str">
        <f t="shared" si="1281"/>
        <v>FFDFD3C0</v>
      </c>
      <c r="D3549" t="s">
        <v>136</v>
      </c>
      <c r="E3549">
        <v>8</v>
      </c>
      <c r="H3549">
        <v>225</v>
      </c>
      <c r="I3549" t="s">
        <v>137</v>
      </c>
      <c r="J3549" t="s">
        <v>138</v>
      </c>
      <c r="K3549">
        <v>0</v>
      </c>
      <c r="L3549">
        <v>3</v>
      </c>
      <c r="M3549">
        <v>0</v>
      </c>
      <c r="N3549">
        <v>2</v>
      </c>
      <c r="O3549">
        <v>0</v>
      </c>
      <c r="P3549">
        <v>1</v>
      </c>
      <c r="Q3549">
        <v>0</v>
      </c>
      <c r="S3549" t="str">
        <f t="shared" si="1297"/>
        <v>19:35:05.000</v>
      </c>
      <c r="T3549" t="str">
        <f t="shared" si="1297"/>
        <v>19:35:05.000</v>
      </c>
      <c r="U3549" t="str">
        <f t="shared" si="1288"/>
        <v>AC3944</v>
      </c>
      <c r="V3549">
        <v>0</v>
      </c>
      <c r="W3549">
        <v>0</v>
      </c>
      <c r="X3549">
        <v>2</v>
      </c>
      <c r="Y3549">
        <v>0</v>
      </c>
      <c r="AA3549">
        <v>1</v>
      </c>
      <c r="AB3549">
        <v>8</v>
      </c>
      <c r="AC3549">
        <v>3</v>
      </c>
      <c r="AD3549">
        <v>0</v>
      </c>
      <c r="AE3549">
        <v>9</v>
      </c>
      <c r="AF3549" t="s">
        <v>138</v>
      </c>
      <c r="AG3549">
        <v>0</v>
      </c>
      <c r="AH3549">
        <v>3</v>
      </c>
      <c r="AI3549">
        <v>1</v>
      </c>
      <c r="AJ3549">
        <v>0</v>
      </c>
      <c r="AK3549" t="s">
        <v>1163</v>
      </c>
      <c r="AL3549">
        <v>32.734709000000002</v>
      </c>
      <c r="AM3549" t="s">
        <v>1164</v>
      </c>
      <c r="AN3549">
        <v>-116.73093799999999</v>
      </c>
      <c r="AO3549">
        <v>25</v>
      </c>
      <c r="AP3549">
        <v>4300</v>
      </c>
      <c r="AQ3549" t="s">
        <v>129</v>
      </c>
      <c r="AR3549">
        <v>114</v>
      </c>
      <c r="AS3549">
        <v>38</v>
      </c>
      <c r="AT3549">
        <v>448</v>
      </c>
      <c r="BB3549">
        <v>1200</v>
      </c>
      <c r="BC3549">
        <v>1</v>
      </c>
      <c r="BD3549" t="str">
        <f t="shared" si="1289"/>
        <v xml:space="preserve">N887QR  </v>
      </c>
      <c r="BE3549">
        <v>1</v>
      </c>
      <c r="BG3549">
        <v>0</v>
      </c>
      <c r="BH3549">
        <v>0</v>
      </c>
      <c r="BI3549">
        <v>0</v>
      </c>
      <c r="BJ3549">
        <v>4175</v>
      </c>
      <c r="BK3549">
        <v>-125</v>
      </c>
      <c r="BL3549" t="s">
        <v>163</v>
      </c>
      <c r="BM3549">
        <v>1</v>
      </c>
      <c r="BN3549">
        <v>1</v>
      </c>
      <c r="BO3549">
        <v>1</v>
      </c>
      <c r="BP3549">
        <v>0</v>
      </c>
      <c r="BS3549">
        <v>0</v>
      </c>
      <c r="BT3549">
        <v>0</v>
      </c>
      <c r="BU3549">
        <v>0</v>
      </c>
      <c r="CE3549" t="str">
        <f t="shared" si="1298"/>
        <v>19:35:05.762</v>
      </c>
      <c r="CF3549">
        <v>762309790</v>
      </c>
      <c r="CS3549">
        <v>0</v>
      </c>
      <c r="CT3549">
        <v>2</v>
      </c>
      <c r="CU3549">
        <v>0</v>
      </c>
      <c r="CV3549">
        <v>2</v>
      </c>
      <c r="CW3549">
        <v>1</v>
      </c>
      <c r="CX3549">
        <v>4</v>
      </c>
      <c r="CY3549">
        <v>7</v>
      </c>
      <c r="CZ3549" t="s">
        <v>131</v>
      </c>
      <c r="DA3549">
        <v>300</v>
      </c>
      <c r="DB3549">
        <v>0</v>
      </c>
      <c r="DC3549" t="s">
        <v>176</v>
      </c>
      <c r="DD3549" t="s">
        <v>177</v>
      </c>
      <c r="DG3549">
        <v>5441553</v>
      </c>
      <c r="DI3549">
        <v>1</v>
      </c>
      <c r="DJ3549">
        <v>0</v>
      </c>
      <c r="DK3549">
        <v>1</v>
      </c>
      <c r="DL3549">
        <v>0</v>
      </c>
      <c r="DM3549">
        <v>0</v>
      </c>
      <c r="DN3549">
        <v>1</v>
      </c>
      <c r="DO3549">
        <v>0</v>
      </c>
      <c r="DP3549">
        <v>0</v>
      </c>
      <c r="DQ3549">
        <v>0</v>
      </c>
      <c r="DR3549">
        <v>0</v>
      </c>
      <c r="DS3549">
        <v>0</v>
      </c>
    </row>
    <row r="3550" spans="1:123" x14ac:dyDescent="0.3">
      <c r="A3550" t="str">
        <f>"10/04/2022 19:35:05.955"</f>
        <v>10/04/2022 19:35:05.955</v>
      </c>
      <c r="C3550" t="str">
        <f t="shared" si="1281"/>
        <v>FFDFD3C0</v>
      </c>
      <c r="D3550" t="s">
        <v>147</v>
      </c>
      <c r="E3550">
        <v>3</v>
      </c>
      <c r="H3550">
        <v>166</v>
      </c>
      <c r="I3550" t="s">
        <v>144</v>
      </c>
      <c r="J3550" t="s">
        <v>148</v>
      </c>
      <c r="K3550">
        <v>0</v>
      </c>
      <c r="L3550">
        <v>3</v>
      </c>
      <c r="M3550">
        <v>0</v>
      </c>
      <c r="N3550">
        <v>2</v>
      </c>
      <c r="O3550">
        <v>0</v>
      </c>
      <c r="P3550">
        <v>1</v>
      </c>
      <c r="Q3550">
        <v>0</v>
      </c>
      <c r="S3550" t="str">
        <f t="shared" si="1297"/>
        <v>19:35:05.000</v>
      </c>
      <c r="T3550" t="str">
        <f t="shared" si="1297"/>
        <v>19:35:05.000</v>
      </c>
      <c r="U3550" t="str">
        <f t="shared" si="1288"/>
        <v>AC3944</v>
      </c>
      <c r="V3550">
        <v>0</v>
      </c>
      <c r="W3550">
        <v>0</v>
      </c>
      <c r="X3550">
        <v>2</v>
      </c>
      <c r="Y3550">
        <v>0</v>
      </c>
      <c r="AA3550">
        <v>1</v>
      </c>
      <c r="AB3550">
        <v>8</v>
      </c>
      <c r="AC3550">
        <v>3</v>
      </c>
      <c r="AD3550">
        <v>0</v>
      </c>
      <c r="AE3550">
        <v>9</v>
      </c>
      <c r="AF3550" t="s">
        <v>138</v>
      </c>
      <c r="AG3550">
        <v>0</v>
      </c>
      <c r="AH3550">
        <v>3</v>
      </c>
      <c r="AI3550">
        <v>1</v>
      </c>
      <c r="AJ3550">
        <v>0</v>
      </c>
      <c r="AK3550" t="s">
        <v>1163</v>
      </c>
      <c r="AL3550">
        <v>32.734709000000002</v>
      </c>
      <c r="AM3550" t="s">
        <v>1164</v>
      </c>
      <c r="AN3550">
        <v>-116.73093799999999</v>
      </c>
      <c r="AO3550">
        <v>25</v>
      </c>
      <c r="AP3550">
        <v>4300</v>
      </c>
      <c r="AQ3550" t="s">
        <v>129</v>
      </c>
      <c r="AR3550">
        <v>114</v>
      </c>
      <c r="AS3550">
        <v>38</v>
      </c>
      <c r="AT3550">
        <v>448</v>
      </c>
      <c r="BB3550">
        <v>1200</v>
      </c>
      <c r="BC3550">
        <v>1</v>
      </c>
      <c r="BD3550" t="str">
        <f t="shared" si="1289"/>
        <v xml:space="preserve">N887QR  </v>
      </c>
      <c r="BE3550">
        <v>1</v>
      </c>
      <c r="BG3550">
        <v>0</v>
      </c>
      <c r="BH3550">
        <v>0</v>
      </c>
      <c r="BI3550">
        <v>0</v>
      </c>
      <c r="BJ3550">
        <v>4175</v>
      </c>
      <c r="BK3550">
        <v>-125</v>
      </c>
      <c r="BL3550" t="s">
        <v>163</v>
      </c>
      <c r="BM3550">
        <v>1</v>
      </c>
      <c r="BN3550">
        <v>1</v>
      </c>
      <c r="BO3550">
        <v>1</v>
      </c>
      <c r="BP3550">
        <v>0</v>
      </c>
      <c r="BS3550">
        <v>0</v>
      </c>
      <c r="BT3550">
        <v>0</v>
      </c>
      <c r="BU3550">
        <v>0</v>
      </c>
      <c r="CE3550" t="str">
        <f t="shared" si="1298"/>
        <v>19:35:05.762</v>
      </c>
      <c r="CF3550">
        <v>762309790</v>
      </c>
      <c r="CS3550">
        <v>0</v>
      </c>
      <c r="CT3550">
        <v>2</v>
      </c>
      <c r="CU3550">
        <v>0</v>
      </c>
      <c r="CV3550">
        <v>2</v>
      </c>
      <c r="CW3550">
        <v>1</v>
      </c>
      <c r="CX3550">
        <v>4</v>
      </c>
      <c r="CY3550">
        <v>7</v>
      </c>
      <c r="CZ3550" t="s">
        <v>131</v>
      </c>
      <c r="DA3550">
        <v>300</v>
      </c>
      <c r="DB3550">
        <v>0</v>
      </c>
      <c r="DC3550" t="s">
        <v>176</v>
      </c>
      <c r="DD3550" t="s">
        <v>177</v>
      </c>
      <c r="DG3550">
        <v>5441553</v>
      </c>
      <c r="DI3550">
        <v>1</v>
      </c>
      <c r="DJ3550">
        <v>0</v>
      </c>
      <c r="DK3550">
        <v>1</v>
      </c>
      <c r="DL3550">
        <v>0</v>
      </c>
      <c r="DM3550">
        <v>0</v>
      </c>
      <c r="DN3550">
        <v>1</v>
      </c>
      <c r="DO3550">
        <v>0</v>
      </c>
      <c r="DP3550">
        <v>0</v>
      </c>
      <c r="DQ3550">
        <v>0</v>
      </c>
      <c r="DR3550">
        <v>0</v>
      </c>
      <c r="DS3550">
        <v>0</v>
      </c>
    </row>
    <row r="3551" spans="1:123" x14ac:dyDescent="0.3">
      <c r="A3551" t="str">
        <f>"10/04/2022 19:35:05.955"</f>
        <v>10/04/2022 19:35:05.955</v>
      </c>
      <c r="C3551" t="str">
        <f t="shared" si="1281"/>
        <v>FFDFD3C0</v>
      </c>
      <c r="D3551" t="s">
        <v>141</v>
      </c>
      <c r="E3551">
        <v>4</v>
      </c>
      <c r="H3551">
        <v>4</v>
      </c>
      <c r="I3551" t="s">
        <v>142</v>
      </c>
      <c r="J3551" t="s">
        <v>138</v>
      </c>
      <c r="K3551">
        <v>0</v>
      </c>
      <c r="L3551">
        <v>3</v>
      </c>
      <c r="M3551">
        <v>0</v>
      </c>
      <c r="N3551">
        <v>2</v>
      </c>
      <c r="O3551">
        <v>0</v>
      </c>
      <c r="P3551">
        <v>1</v>
      </c>
      <c r="Q3551">
        <v>0</v>
      </c>
      <c r="S3551" t="str">
        <f t="shared" si="1297"/>
        <v>19:35:05.000</v>
      </c>
      <c r="T3551" t="str">
        <f t="shared" si="1297"/>
        <v>19:35:05.000</v>
      </c>
      <c r="U3551" t="str">
        <f t="shared" si="1288"/>
        <v>AC3944</v>
      </c>
      <c r="V3551">
        <v>0</v>
      </c>
      <c r="W3551">
        <v>0</v>
      </c>
      <c r="X3551">
        <v>2</v>
      </c>
      <c r="Y3551">
        <v>0</v>
      </c>
      <c r="AA3551">
        <v>1</v>
      </c>
      <c r="AB3551">
        <v>8</v>
      </c>
      <c r="AC3551">
        <v>3</v>
      </c>
      <c r="AD3551">
        <v>0</v>
      </c>
      <c r="AE3551">
        <v>9</v>
      </c>
      <c r="AF3551" t="s">
        <v>138</v>
      </c>
      <c r="AG3551">
        <v>0</v>
      </c>
      <c r="AH3551">
        <v>3</v>
      </c>
      <c r="AI3551">
        <v>1</v>
      </c>
      <c r="AJ3551">
        <v>0</v>
      </c>
      <c r="AK3551" t="s">
        <v>1163</v>
      </c>
      <c r="AL3551">
        <v>32.734709000000002</v>
      </c>
      <c r="AM3551" t="s">
        <v>1164</v>
      </c>
      <c r="AN3551">
        <v>-116.73093799999999</v>
      </c>
      <c r="AO3551">
        <v>25</v>
      </c>
      <c r="AP3551">
        <v>4300</v>
      </c>
      <c r="AQ3551" t="s">
        <v>129</v>
      </c>
      <c r="AR3551">
        <v>114</v>
      </c>
      <c r="AS3551">
        <v>38</v>
      </c>
      <c r="AT3551">
        <v>448</v>
      </c>
      <c r="BB3551">
        <v>1200</v>
      </c>
      <c r="BC3551">
        <v>1</v>
      </c>
      <c r="BD3551" t="str">
        <f t="shared" si="1289"/>
        <v xml:space="preserve">N887QR  </v>
      </c>
      <c r="BE3551">
        <v>1</v>
      </c>
      <c r="BG3551">
        <v>0</v>
      </c>
      <c r="BH3551">
        <v>0</v>
      </c>
      <c r="BI3551">
        <v>0</v>
      </c>
      <c r="BJ3551">
        <v>4175</v>
      </c>
      <c r="BK3551">
        <v>-125</v>
      </c>
      <c r="BL3551" t="s">
        <v>163</v>
      </c>
      <c r="BM3551">
        <v>1</v>
      </c>
      <c r="BN3551">
        <v>1</v>
      </c>
      <c r="BO3551">
        <v>1</v>
      </c>
      <c r="BP3551">
        <v>0</v>
      </c>
      <c r="BS3551">
        <v>0</v>
      </c>
      <c r="BT3551">
        <v>0</v>
      </c>
      <c r="BU3551">
        <v>0</v>
      </c>
      <c r="CE3551" t="str">
        <f t="shared" si="1298"/>
        <v>19:35:05.762</v>
      </c>
      <c r="CF3551">
        <v>762309790</v>
      </c>
      <c r="CS3551">
        <v>0</v>
      </c>
      <c r="CT3551">
        <v>2</v>
      </c>
      <c r="CU3551">
        <v>0</v>
      </c>
      <c r="CV3551">
        <v>2</v>
      </c>
      <c r="CW3551">
        <v>1</v>
      </c>
      <c r="CX3551">
        <v>4</v>
      </c>
      <c r="CY3551">
        <v>7</v>
      </c>
      <c r="CZ3551" t="s">
        <v>131</v>
      </c>
      <c r="DA3551">
        <v>300</v>
      </c>
      <c r="DB3551">
        <v>0</v>
      </c>
      <c r="DC3551" t="s">
        <v>176</v>
      </c>
      <c r="DD3551" t="s">
        <v>177</v>
      </c>
      <c r="DG3551">
        <v>5441553</v>
      </c>
      <c r="DI3551">
        <v>1</v>
      </c>
      <c r="DJ3551">
        <v>0</v>
      </c>
      <c r="DK3551">
        <v>1</v>
      </c>
      <c r="DL3551">
        <v>0</v>
      </c>
      <c r="DM3551">
        <v>0</v>
      </c>
      <c r="DN3551">
        <v>1</v>
      </c>
      <c r="DO3551">
        <v>0</v>
      </c>
      <c r="DP3551">
        <v>0</v>
      </c>
      <c r="DQ3551">
        <v>0</v>
      </c>
      <c r="DR3551">
        <v>0</v>
      </c>
      <c r="DS3551">
        <v>0</v>
      </c>
    </row>
    <row r="3552" spans="1:123" x14ac:dyDescent="0.3">
      <c r="A3552" t="str">
        <f>"10/04/2022 19:35:05.955"</f>
        <v>10/04/2022 19:35:05.955</v>
      </c>
      <c r="C3552" t="str">
        <f t="shared" si="1281"/>
        <v>FFDFD3C0</v>
      </c>
      <c r="D3552" t="s">
        <v>141</v>
      </c>
      <c r="E3552">
        <v>3</v>
      </c>
      <c r="H3552">
        <v>3</v>
      </c>
      <c r="I3552" t="s">
        <v>146</v>
      </c>
      <c r="J3552" t="s">
        <v>138</v>
      </c>
      <c r="K3552">
        <v>0</v>
      </c>
      <c r="L3552">
        <v>3</v>
      </c>
      <c r="M3552">
        <v>0</v>
      </c>
      <c r="N3552">
        <v>2</v>
      </c>
      <c r="O3552">
        <v>0</v>
      </c>
      <c r="P3552">
        <v>1</v>
      </c>
      <c r="Q3552">
        <v>0</v>
      </c>
      <c r="S3552" t="str">
        <f t="shared" si="1297"/>
        <v>19:35:05.000</v>
      </c>
      <c r="T3552" t="str">
        <f t="shared" si="1297"/>
        <v>19:35:05.000</v>
      </c>
      <c r="U3552" t="str">
        <f t="shared" si="1288"/>
        <v>AC3944</v>
      </c>
      <c r="V3552">
        <v>0</v>
      </c>
      <c r="W3552">
        <v>0</v>
      </c>
      <c r="X3552">
        <v>2</v>
      </c>
      <c r="Y3552">
        <v>0</v>
      </c>
      <c r="AA3552">
        <v>1</v>
      </c>
      <c r="AB3552">
        <v>8</v>
      </c>
      <c r="AC3552">
        <v>3</v>
      </c>
      <c r="AD3552">
        <v>0</v>
      </c>
      <c r="AE3552">
        <v>9</v>
      </c>
      <c r="AF3552" t="s">
        <v>138</v>
      </c>
      <c r="AG3552">
        <v>0</v>
      </c>
      <c r="AH3552">
        <v>3</v>
      </c>
      <c r="AI3552">
        <v>1</v>
      </c>
      <c r="AJ3552">
        <v>0</v>
      </c>
      <c r="AK3552" t="s">
        <v>1163</v>
      </c>
      <c r="AL3552">
        <v>32.734709000000002</v>
      </c>
      <c r="AM3552" t="s">
        <v>1164</v>
      </c>
      <c r="AN3552">
        <v>-116.73093799999999</v>
      </c>
      <c r="AO3552">
        <v>25</v>
      </c>
      <c r="AP3552">
        <v>4300</v>
      </c>
      <c r="AQ3552" t="s">
        <v>129</v>
      </c>
      <c r="AR3552">
        <v>114</v>
      </c>
      <c r="AS3552">
        <v>38</v>
      </c>
      <c r="AT3552">
        <v>448</v>
      </c>
      <c r="BB3552">
        <v>1200</v>
      </c>
      <c r="BC3552">
        <v>1</v>
      </c>
      <c r="BD3552" t="str">
        <f t="shared" si="1289"/>
        <v xml:space="preserve">N887QR  </v>
      </c>
      <c r="BE3552">
        <v>1</v>
      </c>
      <c r="BG3552">
        <v>0</v>
      </c>
      <c r="BH3552">
        <v>0</v>
      </c>
      <c r="BI3552">
        <v>0</v>
      </c>
      <c r="BJ3552">
        <v>4175</v>
      </c>
      <c r="BK3552">
        <v>-125</v>
      </c>
      <c r="BL3552" t="s">
        <v>163</v>
      </c>
      <c r="BM3552">
        <v>1</v>
      </c>
      <c r="BN3552">
        <v>1</v>
      </c>
      <c r="BO3552">
        <v>1</v>
      </c>
      <c r="BP3552">
        <v>0</v>
      </c>
      <c r="BS3552">
        <v>0</v>
      </c>
      <c r="BT3552">
        <v>0</v>
      </c>
      <c r="BU3552">
        <v>0</v>
      </c>
      <c r="CE3552" t="str">
        <f t="shared" si="1298"/>
        <v>19:35:05.762</v>
      </c>
      <c r="CF3552">
        <v>762309790</v>
      </c>
      <c r="CS3552">
        <v>0</v>
      </c>
      <c r="CT3552">
        <v>2</v>
      </c>
      <c r="CU3552">
        <v>0</v>
      </c>
      <c r="CV3552">
        <v>2</v>
      </c>
      <c r="CW3552">
        <v>1</v>
      </c>
      <c r="CX3552">
        <v>4</v>
      </c>
      <c r="CY3552">
        <v>7</v>
      </c>
      <c r="CZ3552" t="s">
        <v>131</v>
      </c>
      <c r="DA3552">
        <v>300</v>
      </c>
      <c r="DB3552">
        <v>0</v>
      </c>
      <c r="DC3552" t="s">
        <v>176</v>
      </c>
      <c r="DD3552" t="s">
        <v>177</v>
      </c>
      <c r="DG3552">
        <v>5441553</v>
      </c>
      <c r="DI3552">
        <v>1</v>
      </c>
      <c r="DJ3552">
        <v>0</v>
      </c>
      <c r="DK3552">
        <v>1</v>
      </c>
      <c r="DL3552">
        <v>0</v>
      </c>
      <c r="DM3552">
        <v>0</v>
      </c>
      <c r="DN3552">
        <v>1</v>
      </c>
      <c r="DO3552">
        <v>0</v>
      </c>
      <c r="DP3552">
        <v>0</v>
      </c>
      <c r="DQ3552">
        <v>0</v>
      </c>
      <c r="DR3552">
        <v>0</v>
      </c>
      <c r="DS3552">
        <v>0</v>
      </c>
    </row>
    <row r="3553" spans="1:123" x14ac:dyDescent="0.3">
      <c r="A3553" t="str">
        <f>"10/04/2022 19:35:05.986"</f>
        <v>10/04/2022 19:35:05.986</v>
      </c>
      <c r="C3553" t="str">
        <f t="shared" si="1281"/>
        <v>FFDFD3C0</v>
      </c>
      <c r="D3553" t="s">
        <v>143</v>
      </c>
      <c r="E3553">
        <v>20</v>
      </c>
      <c r="F3553">
        <v>1020</v>
      </c>
      <c r="G3553" t="s">
        <v>144</v>
      </c>
      <c r="J3553" t="s">
        <v>145</v>
      </c>
      <c r="K3553">
        <v>0</v>
      </c>
      <c r="L3553">
        <v>3</v>
      </c>
      <c r="M3553">
        <v>0</v>
      </c>
      <c r="N3553">
        <v>2</v>
      </c>
      <c r="O3553">
        <v>0</v>
      </c>
      <c r="P3553">
        <v>1</v>
      </c>
      <c r="Q3553">
        <v>0</v>
      </c>
      <c r="S3553" t="str">
        <f t="shared" si="1297"/>
        <v>19:35:05.000</v>
      </c>
      <c r="T3553" t="str">
        <f t="shared" si="1297"/>
        <v>19:35:05.000</v>
      </c>
      <c r="U3553" t="str">
        <f t="shared" si="1288"/>
        <v>AC3944</v>
      </c>
      <c r="V3553">
        <v>0</v>
      </c>
      <c r="W3553">
        <v>0</v>
      </c>
      <c r="X3553">
        <v>2</v>
      </c>
      <c r="Y3553">
        <v>0</v>
      </c>
      <c r="AA3553">
        <v>1</v>
      </c>
      <c r="AB3553">
        <v>8</v>
      </c>
      <c r="AC3553">
        <v>3</v>
      </c>
      <c r="AD3553">
        <v>0</v>
      </c>
      <c r="AE3553">
        <v>9</v>
      </c>
      <c r="AF3553" t="s">
        <v>138</v>
      </c>
      <c r="AG3553">
        <v>0</v>
      </c>
      <c r="AH3553">
        <v>3</v>
      </c>
      <c r="AI3553">
        <v>1</v>
      </c>
      <c r="AJ3553">
        <v>0</v>
      </c>
      <c r="AK3553" t="s">
        <v>1163</v>
      </c>
      <c r="AL3553">
        <v>32.734709000000002</v>
      </c>
      <c r="AM3553" t="s">
        <v>1164</v>
      </c>
      <c r="AN3553">
        <v>-116.73093799999999</v>
      </c>
      <c r="AO3553">
        <v>25</v>
      </c>
      <c r="AP3553">
        <v>4300</v>
      </c>
      <c r="AQ3553" t="s">
        <v>129</v>
      </c>
      <c r="AR3553">
        <v>114</v>
      </c>
      <c r="AS3553">
        <v>38</v>
      </c>
      <c r="AT3553">
        <v>448</v>
      </c>
      <c r="BB3553">
        <v>1200</v>
      </c>
      <c r="BC3553">
        <v>1</v>
      </c>
      <c r="BD3553" t="str">
        <f t="shared" si="1289"/>
        <v xml:space="preserve">N887QR  </v>
      </c>
      <c r="BE3553">
        <v>1</v>
      </c>
      <c r="BG3553">
        <v>0</v>
      </c>
      <c r="BH3553">
        <v>0</v>
      </c>
      <c r="BI3553">
        <v>0</v>
      </c>
      <c r="BJ3553">
        <v>4175</v>
      </c>
      <c r="BK3553">
        <v>-125</v>
      </c>
      <c r="BL3553" t="s">
        <v>163</v>
      </c>
      <c r="BM3553">
        <v>1</v>
      </c>
      <c r="BN3553">
        <v>1</v>
      </c>
      <c r="BO3553">
        <v>1</v>
      </c>
      <c r="BP3553">
        <v>0</v>
      </c>
      <c r="BS3553">
        <v>0</v>
      </c>
      <c r="BT3553">
        <v>0</v>
      </c>
      <c r="BU3553">
        <v>0</v>
      </c>
      <c r="CE3553" t="str">
        <f t="shared" si="1298"/>
        <v>19:35:05.762</v>
      </c>
      <c r="CF3553">
        <v>762309790</v>
      </c>
      <c r="CS3553">
        <v>0</v>
      </c>
      <c r="CT3553">
        <v>2</v>
      </c>
      <c r="CU3553">
        <v>0</v>
      </c>
      <c r="CV3553">
        <v>2</v>
      </c>
      <c r="CW3553">
        <v>1</v>
      </c>
      <c r="CX3553">
        <v>4</v>
      </c>
      <c r="CY3553">
        <v>7</v>
      </c>
      <c r="CZ3553" t="s">
        <v>131</v>
      </c>
      <c r="DA3553">
        <v>300</v>
      </c>
      <c r="DB3553">
        <v>0</v>
      </c>
      <c r="DC3553" t="s">
        <v>176</v>
      </c>
      <c r="DD3553" t="s">
        <v>177</v>
      </c>
      <c r="DG3553">
        <v>5441553</v>
      </c>
      <c r="DI3553">
        <v>1</v>
      </c>
      <c r="DJ3553">
        <v>0</v>
      </c>
      <c r="DK3553">
        <v>1</v>
      </c>
      <c r="DL3553">
        <v>0</v>
      </c>
      <c r="DM3553">
        <v>0</v>
      </c>
      <c r="DN3553">
        <v>1</v>
      </c>
      <c r="DO3553">
        <v>0</v>
      </c>
      <c r="DP3553">
        <v>0</v>
      </c>
      <c r="DQ3553">
        <v>0</v>
      </c>
      <c r="DR3553">
        <v>0</v>
      </c>
      <c r="DS3553">
        <v>0</v>
      </c>
    </row>
    <row r="3554" spans="1:123" x14ac:dyDescent="0.3">
      <c r="A3554" t="str">
        <f>"10/04/2022 19:35:06.033"</f>
        <v>10/04/2022 19:35:06.033</v>
      </c>
      <c r="C3554" t="str">
        <f t="shared" si="1281"/>
        <v>FFDFD3C0</v>
      </c>
      <c r="D3554" t="s">
        <v>123</v>
      </c>
      <c r="E3554">
        <v>7</v>
      </c>
      <c r="F3554">
        <v>2007</v>
      </c>
      <c r="G3554" t="s">
        <v>124</v>
      </c>
      <c r="J3554" t="s">
        <v>125</v>
      </c>
      <c r="K3554">
        <v>0</v>
      </c>
      <c r="L3554">
        <v>3</v>
      </c>
      <c r="M3554">
        <v>0</v>
      </c>
      <c r="N3554">
        <v>2</v>
      </c>
      <c r="O3554">
        <v>0</v>
      </c>
      <c r="P3554">
        <v>1</v>
      </c>
      <c r="Q3554">
        <v>0</v>
      </c>
      <c r="S3554" t="str">
        <f t="shared" si="1297"/>
        <v>19:35:05.000</v>
      </c>
      <c r="T3554" t="str">
        <f t="shared" si="1297"/>
        <v>19:35:05.000</v>
      </c>
      <c r="U3554" t="str">
        <f t="shared" si="1288"/>
        <v>AC3944</v>
      </c>
      <c r="V3554">
        <v>0</v>
      </c>
      <c r="W3554">
        <v>0</v>
      </c>
      <c r="X3554">
        <v>2</v>
      </c>
      <c r="Y3554">
        <v>0</v>
      </c>
      <c r="AA3554">
        <v>1</v>
      </c>
      <c r="AB3554">
        <v>8</v>
      </c>
      <c r="AC3554">
        <v>3</v>
      </c>
      <c r="AD3554">
        <v>0</v>
      </c>
      <c r="AE3554">
        <v>9</v>
      </c>
      <c r="AF3554" t="s">
        <v>138</v>
      </c>
      <c r="AG3554">
        <v>0</v>
      </c>
      <c r="AH3554">
        <v>3</v>
      </c>
      <c r="AI3554">
        <v>1</v>
      </c>
      <c r="AJ3554">
        <v>0</v>
      </c>
      <c r="AK3554" t="s">
        <v>1163</v>
      </c>
      <c r="AL3554">
        <v>32.734709000000002</v>
      </c>
      <c r="AM3554" t="s">
        <v>1164</v>
      </c>
      <c r="AN3554">
        <v>-116.73093799999999</v>
      </c>
      <c r="AO3554">
        <v>25</v>
      </c>
      <c r="AP3554">
        <v>4300</v>
      </c>
      <c r="AQ3554" t="s">
        <v>129</v>
      </c>
      <c r="AR3554">
        <v>114</v>
      </c>
      <c r="AS3554">
        <v>38</v>
      </c>
      <c r="AT3554">
        <v>448</v>
      </c>
      <c r="BB3554">
        <v>1200</v>
      </c>
      <c r="BC3554">
        <v>1</v>
      </c>
      <c r="BD3554" t="str">
        <f t="shared" si="1289"/>
        <v xml:space="preserve">N887QR  </v>
      </c>
      <c r="BE3554">
        <v>1</v>
      </c>
      <c r="BG3554">
        <v>0</v>
      </c>
      <c r="BH3554">
        <v>0</v>
      </c>
      <c r="BI3554">
        <v>0</v>
      </c>
      <c r="BJ3554">
        <v>4175</v>
      </c>
      <c r="BK3554">
        <v>-125</v>
      </c>
      <c r="BL3554" t="s">
        <v>163</v>
      </c>
      <c r="BM3554">
        <v>1</v>
      </c>
      <c r="BN3554">
        <v>1</v>
      </c>
      <c r="BO3554">
        <v>1</v>
      </c>
      <c r="BP3554">
        <v>0</v>
      </c>
      <c r="BS3554">
        <v>0</v>
      </c>
      <c r="BT3554">
        <v>0</v>
      </c>
      <c r="BU3554">
        <v>0</v>
      </c>
      <c r="CE3554" t="str">
        <f t="shared" si="1298"/>
        <v>19:35:05.762</v>
      </c>
      <c r="CF3554">
        <v>762309790</v>
      </c>
      <c r="CS3554">
        <v>0</v>
      </c>
      <c r="CT3554">
        <v>2</v>
      </c>
      <c r="CU3554">
        <v>0</v>
      </c>
      <c r="CV3554">
        <v>2</v>
      </c>
      <c r="CW3554">
        <v>1</v>
      </c>
      <c r="CX3554">
        <v>4</v>
      </c>
      <c r="CY3554">
        <v>7</v>
      </c>
      <c r="CZ3554" t="s">
        <v>131</v>
      </c>
      <c r="DA3554">
        <v>300</v>
      </c>
      <c r="DB3554">
        <v>0</v>
      </c>
      <c r="DC3554" t="s">
        <v>176</v>
      </c>
      <c r="DD3554" t="s">
        <v>177</v>
      </c>
      <c r="DG3554">
        <v>5441553</v>
      </c>
      <c r="DI3554">
        <v>1</v>
      </c>
      <c r="DJ3554">
        <v>0</v>
      </c>
      <c r="DK3554">
        <v>1</v>
      </c>
      <c r="DL3554">
        <v>0</v>
      </c>
      <c r="DM3554">
        <v>0</v>
      </c>
      <c r="DN3554">
        <v>1</v>
      </c>
      <c r="DO3554">
        <v>0</v>
      </c>
      <c r="DP3554">
        <v>0</v>
      </c>
      <c r="DQ3554">
        <v>0</v>
      </c>
      <c r="DR3554">
        <v>0</v>
      </c>
      <c r="DS3554">
        <v>0</v>
      </c>
    </row>
    <row r="3555" spans="1:123" x14ac:dyDescent="0.3">
      <c r="A3555" t="str">
        <f>"10/04/2022 19:35:07.198"</f>
        <v>10/04/2022 19:35:07.198</v>
      </c>
      <c r="C3555" t="str">
        <f t="shared" si="1281"/>
        <v>FFDFD3C0</v>
      </c>
      <c r="D3555" t="s">
        <v>134</v>
      </c>
      <c r="E3555">
        <v>15</v>
      </c>
      <c r="J3555" t="s">
        <v>135</v>
      </c>
      <c r="K3555">
        <v>0</v>
      </c>
      <c r="L3555">
        <v>3</v>
      </c>
      <c r="M3555">
        <v>0</v>
      </c>
      <c r="N3555">
        <v>2</v>
      </c>
      <c r="O3555">
        <v>0</v>
      </c>
      <c r="P3555">
        <v>1</v>
      </c>
      <c r="Q3555">
        <v>0</v>
      </c>
      <c r="S3555" t="str">
        <f t="shared" ref="S3555:T3568" si="1299">"19:35:07.000"</f>
        <v>19:35:07.000</v>
      </c>
      <c r="T3555" t="str">
        <f t="shared" si="1299"/>
        <v>19:35:07.000</v>
      </c>
      <c r="U3555" t="str">
        <f t="shared" si="1288"/>
        <v>AC3944</v>
      </c>
      <c r="V3555">
        <v>0</v>
      </c>
      <c r="W3555">
        <v>0</v>
      </c>
      <c r="X3555">
        <v>2</v>
      </c>
      <c r="Y3555">
        <v>0</v>
      </c>
      <c r="AA3555">
        <v>1</v>
      </c>
      <c r="AB3555">
        <v>8</v>
      </c>
      <c r="AC3555">
        <v>3</v>
      </c>
      <c r="AD3555">
        <v>0</v>
      </c>
      <c r="AE3555">
        <v>9</v>
      </c>
      <c r="AF3555" t="s">
        <v>138</v>
      </c>
      <c r="AG3555">
        <v>0</v>
      </c>
      <c r="AH3555">
        <v>3</v>
      </c>
      <c r="AI3555">
        <v>1</v>
      </c>
      <c r="AJ3555">
        <v>0</v>
      </c>
      <c r="AK3555" t="s">
        <v>1165</v>
      </c>
      <c r="AL3555">
        <v>32.734879999999997</v>
      </c>
      <c r="AM3555" t="s">
        <v>1166</v>
      </c>
      <c r="AN3555">
        <v>-116.730316</v>
      </c>
      <c r="AO3555">
        <v>25</v>
      </c>
      <c r="AP3555">
        <v>4400</v>
      </c>
      <c r="AQ3555" t="s">
        <v>129</v>
      </c>
      <c r="AR3555">
        <v>114</v>
      </c>
      <c r="AS3555">
        <v>34</v>
      </c>
      <c r="AT3555">
        <v>512</v>
      </c>
      <c r="BB3555">
        <v>1200</v>
      </c>
      <c r="BC3555">
        <v>1</v>
      </c>
      <c r="BD3555" t="str">
        <f t="shared" si="1289"/>
        <v xml:space="preserve">N887QR  </v>
      </c>
      <c r="BE3555">
        <v>1</v>
      </c>
      <c r="BG3555">
        <v>0</v>
      </c>
      <c r="BH3555">
        <v>0</v>
      </c>
      <c r="BI3555">
        <v>0</v>
      </c>
      <c r="BJ3555">
        <v>4175</v>
      </c>
      <c r="BK3555">
        <v>-225</v>
      </c>
      <c r="BL3555" t="s">
        <v>163</v>
      </c>
      <c r="BM3555">
        <v>1</v>
      </c>
      <c r="BN3555">
        <v>1</v>
      </c>
      <c r="BO3555">
        <v>1</v>
      </c>
      <c r="BP3555">
        <v>0</v>
      </c>
      <c r="BS3555">
        <v>0</v>
      </c>
      <c r="BT3555">
        <v>0</v>
      </c>
      <c r="BU3555">
        <v>0</v>
      </c>
      <c r="CE3555" t="str">
        <f t="shared" ref="CE3555:CE3561" si="1300">"19:35:07.023"</f>
        <v>19:35:07.023</v>
      </c>
      <c r="CF3555">
        <v>23313938</v>
      </c>
      <c r="CS3555">
        <v>0</v>
      </c>
      <c r="CT3555">
        <v>2</v>
      </c>
      <c r="CU3555">
        <v>0</v>
      </c>
      <c r="CV3555">
        <v>2</v>
      </c>
      <c r="CW3555">
        <v>0</v>
      </c>
      <c r="CX3555">
        <v>5</v>
      </c>
      <c r="CY3555">
        <v>7</v>
      </c>
      <c r="CZ3555" t="s">
        <v>131</v>
      </c>
      <c r="DA3555">
        <v>300</v>
      </c>
      <c r="DB3555">
        <v>0</v>
      </c>
      <c r="DC3555" t="s">
        <v>176</v>
      </c>
      <c r="DD3555" t="s">
        <v>177</v>
      </c>
      <c r="DG3555">
        <v>5441750</v>
      </c>
      <c r="DI3555">
        <v>1</v>
      </c>
      <c r="DJ3555">
        <v>0</v>
      </c>
      <c r="DK3555">
        <v>0</v>
      </c>
      <c r="DL3555">
        <v>0</v>
      </c>
      <c r="DM3555">
        <v>0</v>
      </c>
      <c r="DN3555">
        <v>1</v>
      </c>
      <c r="DO3555">
        <v>0</v>
      </c>
      <c r="DP3555">
        <v>0</v>
      </c>
      <c r="DQ3555">
        <v>0</v>
      </c>
      <c r="DR3555">
        <v>0</v>
      </c>
      <c r="DS3555">
        <v>0</v>
      </c>
    </row>
    <row r="3556" spans="1:123" x14ac:dyDescent="0.3">
      <c r="A3556" t="str">
        <f t="shared" ref="A3556:A3561" si="1301">"10/04/2022 19:35:07.323"</f>
        <v>10/04/2022 19:35:07.323</v>
      </c>
      <c r="C3556" t="str">
        <f t="shared" si="1281"/>
        <v>FFDFD3C0</v>
      </c>
      <c r="D3556" t="s">
        <v>136</v>
      </c>
      <c r="E3556">
        <v>8</v>
      </c>
      <c r="H3556">
        <v>225</v>
      </c>
      <c r="I3556" t="s">
        <v>137</v>
      </c>
      <c r="J3556" t="s">
        <v>138</v>
      </c>
      <c r="K3556">
        <v>0</v>
      </c>
      <c r="L3556">
        <v>3</v>
      </c>
      <c r="M3556">
        <v>0</v>
      </c>
      <c r="N3556">
        <v>2</v>
      </c>
      <c r="O3556">
        <v>0</v>
      </c>
      <c r="P3556">
        <v>1</v>
      </c>
      <c r="Q3556">
        <v>0</v>
      </c>
      <c r="S3556" t="str">
        <f t="shared" si="1299"/>
        <v>19:35:07.000</v>
      </c>
      <c r="T3556" t="str">
        <f t="shared" si="1299"/>
        <v>19:35:07.000</v>
      </c>
      <c r="U3556" t="str">
        <f t="shared" si="1288"/>
        <v>AC3944</v>
      </c>
      <c r="V3556">
        <v>0</v>
      </c>
      <c r="W3556">
        <v>0</v>
      </c>
      <c r="X3556">
        <v>2</v>
      </c>
      <c r="Y3556">
        <v>0</v>
      </c>
      <c r="AA3556">
        <v>1</v>
      </c>
      <c r="AB3556">
        <v>8</v>
      </c>
      <c r="AC3556">
        <v>3</v>
      </c>
      <c r="AD3556">
        <v>0</v>
      </c>
      <c r="AE3556">
        <v>9</v>
      </c>
      <c r="AF3556" t="s">
        <v>138</v>
      </c>
      <c r="AG3556">
        <v>0</v>
      </c>
      <c r="AH3556">
        <v>3</v>
      </c>
      <c r="AI3556">
        <v>1</v>
      </c>
      <c r="AJ3556">
        <v>0</v>
      </c>
      <c r="AK3556" t="s">
        <v>1165</v>
      </c>
      <c r="AL3556">
        <v>32.734879999999997</v>
      </c>
      <c r="AM3556" t="s">
        <v>1166</v>
      </c>
      <c r="AN3556">
        <v>-116.730316</v>
      </c>
      <c r="AO3556">
        <v>25</v>
      </c>
      <c r="AP3556">
        <v>4400</v>
      </c>
      <c r="AQ3556" t="s">
        <v>129</v>
      </c>
      <c r="AR3556">
        <v>114</v>
      </c>
      <c r="AS3556">
        <v>34</v>
      </c>
      <c r="AT3556">
        <v>512</v>
      </c>
      <c r="BB3556">
        <v>1200</v>
      </c>
      <c r="BC3556">
        <v>1</v>
      </c>
      <c r="BD3556" t="str">
        <f t="shared" si="1289"/>
        <v xml:space="preserve">N887QR  </v>
      </c>
      <c r="BE3556">
        <v>1</v>
      </c>
      <c r="BG3556">
        <v>0</v>
      </c>
      <c r="BH3556">
        <v>0</v>
      </c>
      <c r="BI3556">
        <v>0</v>
      </c>
      <c r="BJ3556">
        <v>4175</v>
      </c>
      <c r="BK3556">
        <v>-225</v>
      </c>
      <c r="BL3556" t="s">
        <v>163</v>
      </c>
      <c r="BM3556">
        <v>1</v>
      </c>
      <c r="BN3556">
        <v>1</v>
      </c>
      <c r="BO3556">
        <v>1</v>
      </c>
      <c r="BP3556">
        <v>0</v>
      </c>
      <c r="BS3556">
        <v>0</v>
      </c>
      <c r="BT3556">
        <v>0</v>
      </c>
      <c r="BU3556">
        <v>0</v>
      </c>
      <c r="CE3556" t="str">
        <f t="shared" si="1300"/>
        <v>19:35:07.023</v>
      </c>
      <c r="CF3556">
        <v>23313938</v>
      </c>
      <c r="CS3556">
        <v>0</v>
      </c>
      <c r="CT3556">
        <v>2</v>
      </c>
      <c r="CU3556">
        <v>0</v>
      </c>
      <c r="CV3556">
        <v>2</v>
      </c>
      <c r="CW3556">
        <v>0</v>
      </c>
      <c r="CX3556">
        <v>5</v>
      </c>
      <c r="CY3556">
        <v>7</v>
      </c>
      <c r="CZ3556" t="s">
        <v>131</v>
      </c>
      <c r="DA3556">
        <v>300</v>
      </c>
      <c r="DB3556">
        <v>0</v>
      </c>
      <c r="DC3556" t="s">
        <v>176</v>
      </c>
      <c r="DD3556" t="s">
        <v>177</v>
      </c>
      <c r="DG3556">
        <v>5441750</v>
      </c>
      <c r="DI3556">
        <v>1</v>
      </c>
      <c r="DJ3556">
        <v>0</v>
      </c>
      <c r="DK3556">
        <v>1</v>
      </c>
      <c r="DL3556">
        <v>0</v>
      </c>
      <c r="DM3556">
        <v>0</v>
      </c>
      <c r="DN3556">
        <v>1</v>
      </c>
      <c r="DO3556">
        <v>0</v>
      </c>
      <c r="DP3556">
        <v>0</v>
      </c>
      <c r="DQ3556">
        <v>0</v>
      </c>
      <c r="DR3556">
        <v>0</v>
      </c>
      <c r="DS3556">
        <v>0</v>
      </c>
    </row>
    <row r="3557" spans="1:123" x14ac:dyDescent="0.3">
      <c r="A3557" t="str">
        <f t="shared" si="1301"/>
        <v>10/04/2022 19:35:07.323</v>
      </c>
      <c r="C3557" t="str">
        <f t="shared" si="1281"/>
        <v>FFDFD3C0</v>
      </c>
      <c r="D3557" t="s">
        <v>141</v>
      </c>
      <c r="E3557">
        <v>4</v>
      </c>
      <c r="H3557">
        <v>4</v>
      </c>
      <c r="I3557" t="s">
        <v>142</v>
      </c>
      <c r="J3557" t="s">
        <v>138</v>
      </c>
      <c r="K3557">
        <v>0</v>
      </c>
      <c r="L3557">
        <v>3</v>
      </c>
      <c r="M3557">
        <v>0</v>
      </c>
      <c r="N3557">
        <v>2</v>
      </c>
      <c r="O3557">
        <v>0</v>
      </c>
      <c r="P3557">
        <v>1</v>
      </c>
      <c r="Q3557">
        <v>0</v>
      </c>
      <c r="S3557" t="str">
        <f t="shared" si="1299"/>
        <v>19:35:07.000</v>
      </c>
      <c r="T3557" t="str">
        <f t="shared" si="1299"/>
        <v>19:35:07.000</v>
      </c>
      <c r="U3557" t="str">
        <f t="shared" si="1288"/>
        <v>AC3944</v>
      </c>
      <c r="V3557">
        <v>0</v>
      </c>
      <c r="W3557">
        <v>0</v>
      </c>
      <c r="X3557">
        <v>2</v>
      </c>
      <c r="Y3557">
        <v>0</v>
      </c>
      <c r="AA3557">
        <v>1</v>
      </c>
      <c r="AB3557">
        <v>8</v>
      </c>
      <c r="AC3557">
        <v>3</v>
      </c>
      <c r="AD3557">
        <v>0</v>
      </c>
      <c r="AE3557">
        <v>9</v>
      </c>
      <c r="AF3557" t="s">
        <v>138</v>
      </c>
      <c r="AG3557">
        <v>0</v>
      </c>
      <c r="AH3557">
        <v>3</v>
      </c>
      <c r="AI3557">
        <v>1</v>
      </c>
      <c r="AJ3557">
        <v>0</v>
      </c>
      <c r="AK3557" t="s">
        <v>1165</v>
      </c>
      <c r="AL3557">
        <v>32.734879999999997</v>
      </c>
      <c r="AM3557" t="s">
        <v>1166</v>
      </c>
      <c r="AN3557">
        <v>-116.730316</v>
      </c>
      <c r="AO3557">
        <v>25</v>
      </c>
      <c r="AP3557">
        <v>4400</v>
      </c>
      <c r="AQ3557" t="s">
        <v>129</v>
      </c>
      <c r="AR3557">
        <v>114</v>
      </c>
      <c r="AS3557">
        <v>34</v>
      </c>
      <c r="AT3557">
        <v>512</v>
      </c>
      <c r="BB3557">
        <v>1200</v>
      </c>
      <c r="BC3557">
        <v>1</v>
      </c>
      <c r="BD3557" t="str">
        <f t="shared" si="1289"/>
        <v xml:space="preserve">N887QR  </v>
      </c>
      <c r="BE3557">
        <v>1</v>
      </c>
      <c r="BG3557">
        <v>0</v>
      </c>
      <c r="BH3557">
        <v>0</v>
      </c>
      <c r="BI3557">
        <v>0</v>
      </c>
      <c r="BJ3557">
        <v>4175</v>
      </c>
      <c r="BK3557">
        <v>-225</v>
      </c>
      <c r="BL3557" t="s">
        <v>163</v>
      </c>
      <c r="BM3557">
        <v>1</v>
      </c>
      <c r="BN3557">
        <v>1</v>
      </c>
      <c r="BO3557">
        <v>1</v>
      </c>
      <c r="BP3557">
        <v>0</v>
      </c>
      <c r="BS3557">
        <v>0</v>
      </c>
      <c r="BT3557">
        <v>0</v>
      </c>
      <c r="BU3557">
        <v>0</v>
      </c>
      <c r="CE3557" t="str">
        <f t="shared" si="1300"/>
        <v>19:35:07.023</v>
      </c>
      <c r="CF3557">
        <v>23313938</v>
      </c>
      <c r="CS3557">
        <v>0</v>
      </c>
      <c r="CT3557">
        <v>2</v>
      </c>
      <c r="CU3557">
        <v>0</v>
      </c>
      <c r="CV3557">
        <v>2</v>
      </c>
      <c r="CW3557">
        <v>0</v>
      </c>
      <c r="CX3557">
        <v>5</v>
      </c>
      <c r="CY3557">
        <v>7</v>
      </c>
      <c r="CZ3557" t="s">
        <v>131</v>
      </c>
      <c r="DA3557">
        <v>300</v>
      </c>
      <c r="DB3557">
        <v>0</v>
      </c>
      <c r="DC3557" t="s">
        <v>176</v>
      </c>
      <c r="DD3557" t="s">
        <v>177</v>
      </c>
      <c r="DG3557">
        <v>5441750</v>
      </c>
      <c r="DI3557">
        <v>1</v>
      </c>
      <c r="DJ3557">
        <v>0</v>
      </c>
      <c r="DK3557">
        <v>1</v>
      </c>
      <c r="DL3557">
        <v>0</v>
      </c>
      <c r="DM3557">
        <v>0</v>
      </c>
      <c r="DN3557">
        <v>1</v>
      </c>
      <c r="DO3557">
        <v>0</v>
      </c>
      <c r="DP3557">
        <v>0</v>
      </c>
      <c r="DQ3557">
        <v>0</v>
      </c>
      <c r="DR3557">
        <v>0</v>
      </c>
      <c r="DS3557">
        <v>0</v>
      </c>
    </row>
    <row r="3558" spans="1:123" x14ac:dyDescent="0.3">
      <c r="A3558" t="str">
        <f t="shared" si="1301"/>
        <v>10/04/2022 19:35:07.323</v>
      </c>
      <c r="C3558" t="str">
        <f t="shared" si="1281"/>
        <v>FFDFD3C0</v>
      </c>
      <c r="D3558" t="s">
        <v>147</v>
      </c>
      <c r="E3558">
        <v>3</v>
      </c>
      <c r="H3558">
        <v>166</v>
      </c>
      <c r="I3558" t="s">
        <v>144</v>
      </c>
      <c r="J3558" t="s">
        <v>148</v>
      </c>
      <c r="K3558">
        <v>0</v>
      </c>
      <c r="L3558">
        <v>3</v>
      </c>
      <c r="M3558">
        <v>0</v>
      </c>
      <c r="N3558">
        <v>2</v>
      </c>
      <c r="O3558">
        <v>0</v>
      </c>
      <c r="P3558">
        <v>1</v>
      </c>
      <c r="Q3558">
        <v>0</v>
      </c>
      <c r="S3558" t="str">
        <f t="shared" si="1299"/>
        <v>19:35:07.000</v>
      </c>
      <c r="T3558" t="str">
        <f t="shared" si="1299"/>
        <v>19:35:07.000</v>
      </c>
      <c r="U3558" t="str">
        <f t="shared" si="1288"/>
        <v>AC3944</v>
      </c>
      <c r="V3558">
        <v>0</v>
      </c>
      <c r="W3558">
        <v>0</v>
      </c>
      <c r="X3558">
        <v>2</v>
      </c>
      <c r="Y3558">
        <v>0</v>
      </c>
      <c r="AA3558">
        <v>1</v>
      </c>
      <c r="AB3558">
        <v>8</v>
      </c>
      <c r="AC3558">
        <v>3</v>
      </c>
      <c r="AD3558">
        <v>0</v>
      </c>
      <c r="AE3558">
        <v>9</v>
      </c>
      <c r="AF3558" t="s">
        <v>138</v>
      </c>
      <c r="AG3558">
        <v>0</v>
      </c>
      <c r="AH3558">
        <v>3</v>
      </c>
      <c r="AI3558">
        <v>1</v>
      </c>
      <c r="AJ3558">
        <v>0</v>
      </c>
      <c r="AK3558" t="s">
        <v>1165</v>
      </c>
      <c r="AL3558">
        <v>32.734879999999997</v>
      </c>
      <c r="AM3558" t="s">
        <v>1166</v>
      </c>
      <c r="AN3558">
        <v>-116.730316</v>
      </c>
      <c r="AO3558">
        <v>25</v>
      </c>
      <c r="AP3558">
        <v>4400</v>
      </c>
      <c r="AQ3558" t="s">
        <v>129</v>
      </c>
      <c r="AR3558">
        <v>114</v>
      </c>
      <c r="AS3558">
        <v>34</v>
      </c>
      <c r="AT3558">
        <v>512</v>
      </c>
      <c r="BB3558">
        <v>1200</v>
      </c>
      <c r="BC3558">
        <v>1</v>
      </c>
      <c r="BD3558" t="str">
        <f t="shared" si="1289"/>
        <v xml:space="preserve">N887QR  </v>
      </c>
      <c r="BE3558">
        <v>1</v>
      </c>
      <c r="BG3558">
        <v>0</v>
      </c>
      <c r="BH3558">
        <v>0</v>
      </c>
      <c r="BI3558">
        <v>0</v>
      </c>
      <c r="BJ3558">
        <v>4175</v>
      </c>
      <c r="BK3558">
        <v>-225</v>
      </c>
      <c r="BL3558" t="s">
        <v>163</v>
      </c>
      <c r="BM3558">
        <v>1</v>
      </c>
      <c r="BN3558">
        <v>1</v>
      </c>
      <c r="BO3558">
        <v>1</v>
      </c>
      <c r="BP3558">
        <v>0</v>
      </c>
      <c r="BS3558">
        <v>0</v>
      </c>
      <c r="BT3558">
        <v>0</v>
      </c>
      <c r="BU3558">
        <v>0</v>
      </c>
      <c r="CE3558" t="str">
        <f t="shared" si="1300"/>
        <v>19:35:07.023</v>
      </c>
      <c r="CF3558">
        <v>23313938</v>
      </c>
      <c r="CS3558">
        <v>0</v>
      </c>
      <c r="CT3558">
        <v>2</v>
      </c>
      <c r="CU3558">
        <v>0</v>
      </c>
      <c r="CV3558">
        <v>2</v>
      </c>
      <c r="CW3558">
        <v>0</v>
      </c>
      <c r="CX3558">
        <v>5</v>
      </c>
      <c r="CY3558">
        <v>7</v>
      </c>
      <c r="CZ3558" t="s">
        <v>131</v>
      </c>
      <c r="DA3558">
        <v>300</v>
      </c>
      <c r="DB3558">
        <v>0</v>
      </c>
      <c r="DC3558" t="s">
        <v>176</v>
      </c>
      <c r="DD3558" t="s">
        <v>177</v>
      </c>
      <c r="DG3558">
        <v>5441750</v>
      </c>
      <c r="DI3558">
        <v>1</v>
      </c>
      <c r="DJ3558">
        <v>0</v>
      </c>
      <c r="DK3558">
        <v>1</v>
      </c>
      <c r="DL3558">
        <v>0</v>
      </c>
      <c r="DM3558">
        <v>0</v>
      </c>
      <c r="DN3558">
        <v>1</v>
      </c>
      <c r="DO3558">
        <v>0</v>
      </c>
      <c r="DP3558">
        <v>0</v>
      </c>
      <c r="DQ3558">
        <v>0</v>
      </c>
      <c r="DR3558">
        <v>0</v>
      </c>
      <c r="DS3558">
        <v>0</v>
      </c>
    </row>
    <row r="3559" spans="1:123" x14ac:dyDescent="0.3">
      <c r="A3559" t="str">
        <f t="shared" si="1301"/>
        <v>10/04/2022 19:35:07.323</v>
      </c>
      <c r="C3559" t="str">
        <f t="shared" si="1281"/>
        <v>FFDFD3C0</v>
      </c>
      <c r="D3559" t="s">
        <v>143</v>
      </c>
      <c r="E3559">
        <v>20</v>
      </c>
      <c r="F3559">
        <v>1020</v>
      </c>
      <c r="G3559" t="s">
        <v>144</v>
      </c>
      <c r="J3559" t="s">
        <v>145</v>
      </c>
      <c r="K3559">
        <v>0</v>
      </c>
      <c r="L3559">
        <v>3</v>
      </c>
      <c r="M3559">
        <v>0</v>
      </c>
      <c r="N3559">
        <v>2</v>
      </c>
      <c r="O3559">
        <v>0</v>
      </c>
      <c r="P3559">
        <v>1</v>
      </c>
      <c r="Q3559">
        <v>0</v>
      </c>
      <c r="S3559" t="str">
        <f t="shared" si="1299"/>
        <v>19:35:07.000</v>
      </c>
      <c r="T3559" t="str">
        <f t="shared" si="1299"/>
        <v>19:35:07.000</v>
      </c>
      <c r="U3559" t="str">
        <f t="shared" si="1288"/>
        <v>AC3944</v>
      </c>
      <c r="V3559">
        <v>0</v>
      </c>
      <c r="W3559">
        <v>0</v>
      </c>
      <c r="X3559">
        <v>2</v>
      </c>
      <c r="Y3559">
        <v>0</v>
      </c>
      <c r="AA3559">
        <v>1</v>
      </c>
      <c r="AB3559">
        <v>8</v>
      </c>
      <c r="AC3559">
        <v>3</v>
      </c>
      <c r="AD3559">
        <v>0</v>
      </c>
      <c r="AE3559">
        <v>9</v>
      </c>
      <c r="AF3559" t="s">
        <v>138</v>
      </c>
      <c r="AG3559">
        <v>0</v>
      </c>
      <c r="AH3559">
        <v>3</v>
      </c>
      <c r="AI3559">
        <v>1</v>
      </c>
      <c r="AJ3559">
        <v>0</v>
      </c>
      <c r="AK3559" t="s">
        <v>1165</v>
      </c>
      <c r="AL3559">
        <v>32.734879999999997</v>
      </c>
      <c r="AM3559" t="s">
        <v>1166</v>
      </c>
      <c r="AN3559">
        <v>-116.730316</v>
      </c>
      <c r="AO3559">
        <v>25</v>
      </c>
      <c r="AP3559">
        <v>4400</v>
      </c>
      <c r="AQ3559" t="s">
        <v>129</v>
      </c>
      <c r="AR3559">
        <v>114</v>
      </c>
      <c r="AS3559">
        <v>34</v>
      </c>
      <c r="AT3559">
        <v>512</v>
      </c>
      <c r="BB3559">
        <v>1200</v>
      </c>
      <c r="BC3559">
        <v>1</v>
      </c>
      <c r="BD3559" t="str">
        <f t="shared" si="1289"/>
        <v xml:space="preserve">N887QR  </v>
      </c>
      <c r="BE3559">
        <v>1</v>
      </c>
      <c r="BG3559">
        <v>0</v>
      </c>
      <c r="BH3559">
        <v>0</v>
      </c>
      <c r="BI3559">
        <v>0</v>
      </c>
      <c r="BJ3559">
        <v>4175</v>
      </c>
      <c r="BK3559">
        <v>-225</v>
      </c>
      <c r="BL3559" t="s">
        <v>163</v>
      </c>
      <c r="BM3559">
        <v>1</v>
      </c>
      <c r="BN3559">
        <v>1</v>
      </c>
      <c r="BO3559">
        <v>1</v>
      </c>
      <c r="BP3559">
        <v>0</v>
      </c>
      <c r="BS3559">
        <v>0</v>
      </c>
      <c r="BT3559">
        <v>0</v>
      </c>
      <c r="BU3559">
        <v>0</v>
      </c>
      <c r="CE3559" t="str">
        <f t="shared" si="1300"/>
        <v>19:35:07.023</v>
      </c>
      <c r="CF3559">
        <v>23313938</v>
      </c>
      <c r="CS3559">
        <v>0</v>
      </c>
      <c r="CT3559">
        <v>2</v>
      </c>
      <c r="CU3559">
        <v>0</v>
      </c>
      <c r="CV3559">
        <v>2</v>
      </c>
      <c r="CW3559">
        <v>0</v>
      </c>
      <c r="CX3559">
        <v>5</v>
      </c>
      <c r="CY3559">
        <v>7</v>
      </c>
      <c r="CZ3559" t="s">
        <v>131</v>
      </c>
      <c r="DA3559">
        <v>300</v>
      </c>
      <c r="DB3559">
        <v>0</v>
      </c>
      <c r="DC3559" t="s">
        <v>176</v>
      </c>
      <c r="DD3559" t="s">
        <v>177</v>
      </c>
      <c r="DG3559">
        <v>5441750</v>
      </c>
      <c r="DI3559">
        <v>1</v>
      </c>
      <c r="DJ3559">
        <v>0</v>
      </c>
      <c r="DK3559">
        <v>1</v>
      </c>
      <c r="DL3559">
        <v>0</v>
      </c>
      <c r="DM3559">
        <v>0</v>
      </c>
      <c r="DN3559">
        <v>1</v>
      </c>
      <c r="DO3559">
        <v>0</v>
      </c>
      <c r="DP3559">
        <v>0</v>
      </c>
      <c r="DQ3559">
        <v>0</v>
      </c>
      <c r="DR3559">
        <v>0</v>
      </c>
      <c r="DS3559">
        <v>0</v>
      </c>
    </row>
    <row r="3560" spans="1:123" x14ac:dyDescent="0.3">
      <c r="A3560" t="str">
        <f t="shared" si="1301"/>
        <v>10/04/2022 19:35:07.323</v>
      </c>
      <c r="C3560" t="str">
        <f t="shared" si="1281"/>
        <v>FFDFD3C0</v>
      </c>
      <c r="D3560" t="s">
        <v>141</v>
      </c>
      <c r="E3560">
        <v>3</v>
      </c>
      <c r="H3560">
        <v>3</v>
      </c>
      <c r="I3560" t="s">
        <v>146</v>
      </c>
      <c r="J3560" t="s">
        <v>138</v>
      </c>
      <c r="K3560">
        <v>0</v>
      </c>
      <c r="L3560">
        <v>3</v>
      </c>
      <c r="M3560">
        <v>0</v>
      </c>
      <c r="N3560">
        <v>2</v>
      </c>
      <c r="O3560">
        <v>0</v>
      </c>
      <c r="P3560">
        <v>1</v>
      </c>
      <c r="Q3560">
        <v>0</v>
      </c>
      <c r="S3560" t="str">
        <f t="shared" si="1299"/>
        <v>19:35:07.000</v>
      </c>
      <c r="T3560" t="str">
        <f t="shared" si="1299"/>
        <v>19:35:07.000</v>
      </c>
      <c r="U3560" t="str">
        <f t="shared" si="1288"/>
        <v>AC3944</v>
      </c>
      <c r="V3560">
        <v>0</v>
      </c>
      <c r="W3560">
        <v>0</v>
      </c>
      <c r="X3560">
        <v>2</v>
      </c>
      <c r="Y3560">
        <v>0</v>
      </c>
      <c r="AA3560">
        <v>1</v>
      </c>
      <c r="AB3560">
        <v>8</v>
      </c>
      <c r="AC3560">
        <v>3</v>
      </c>
      <c r="AD3560">
        <v>0</v>
      </c>
      <c r="AE3560">
        <v>9</v>
      </c>
      <c r="AF3560" t="s">
        <v>138</v>
      </c>
      <c r="AG3560">
        <v>0</v>
      </c>
      <c r="AH3560">
        <v>3</v>
      </c>
      <c r="AI3560">
        <v>1</v>
      </c>
      <c r="AJ3560">
        <v>0</v>
      </c>
      <c r="AK3560" t="s">
        <v>1165</v>
      </c>
      <c r="AL3560">
        <v>32.734879999999997</v>
      </c>
      <c r="AM3560" t="s">
        <v>1166</v>
      </c>
      <c r="AN3560">
        <v>-116.730316</v>
      </c>
      <c r="AO3560">
        <v>25</v>
      </c>
      <c r="AP3560">
        <v>4400</v>
      </c>
      <c r="AQ3560" t="s">
        <v>129</v>
      </c>
      <c r="AR3560">
        <v>114</v>
      </c>
      <c r="AS3560">
        <v>34</v>
      </c>
      <c r="AT3560">
        <v>512</v>
      </c>
      <c r="BB3560">
        <v>1200</v>
      </c>
      <c r="BC3560">
        <v>1</v>
      </c>
      <c r="BD3560" t="str">
        <f t="shared" si="1289"/>
        <v xml:space="preserve">N887QR  </v>
      </c>
      <c r="BE3560">
        <v>1</v>
      </c>
      <c r="BG3560">
        <v>0</v>
      </c>
      <c r="BH3560">
        <v>0</v>
      </c>
      <c r="BI3560">
        <v>0</v>
      </c>
      <c r="BJ3560">
        <v>4175</v>
      </c>
      <c r="BK3560">
        <v>-225</v>
      </c>
      <c r="BL3560" t="s">
        <v>163</v>
      </c>
      <c r="BM3560">
        <v>1</v>
      </c>
      <c r="BN3560">
        <v>1</v>
      </c>
      <c r="BO3560">
        <v>1</v>
      </c>
      <c r="BP3560">
        <v>0</v>
      </c>
      <c r="BS3560">
        <v>0</v>
      </c>
      <c r="BT3560">
        <v>0</v>
      </c>
      <c r="BU3560">
        <v>0</v>
      </c>
      <c r="CE3560" t="str">
        <f t="shared" si="1300"/>
        <v>19:35:07.023</v>
      </c>
      <c r="CF3560">
        <v>23313938</v>
      </c>
      <c r="CS3560">
        <v>0</v>
      </c>
      <c r="CT3560">
        <v>2</v>
      </c>
      <c r="CU3560">
        <v>0</v>
      </c>
      <c r="CV3560">
        <v>2</v>
      </c>
      <c r="CW3560">
        <v>0</v>
      </c>
      <c r="CX3560">
        <v>5</v>
      </c>
      <c r="CY3560">
        <v>7</v>
      </c>
      <c r="CZ3560" t="s">
        <v>131</v>
      </c>
      <c r="DA3560">
        <v>300</v>
      </c>
      <c r="DB3560">
        <v>0</v>
      </c>
      <c r="DC3560" t="s">
        <v>176</v>
      </c>
      <c r="DD3560" t="s">
        <v>177</v>
      </c>
      <c r="DG3560">
        <v>5441750</v>
      </c>
      <c r="DI3560">
        <v>1</v>
      </c>
      <c r="DJ3560">
        <v>0</v>
      </c>
      <c r="DK3560">
        <v>1</v>
      </c>
      <c r="DL3560">
        <v>0</v>
      </c>
      <c r="DM3560">
        <v>0</v>
      </c>
      <c r="DN3560">
        <v>1</v>
      </c>
      <c r="DO3560">
        <v>0</v>
      </c>
      <c r="DP3560">
        <v>0</v>
      </c>
      <c r="DQ3560">
        <v>0</v>
      </c>
      <c r="DR3560">
        <v>0</v>
      </c>
      <c r="DS3560">
        <v>0</v>
      </c>
    </row>
    <row r="3561" spans="1:123" x14ac:dyDescent="0.3">
      <c r="A3561" t="str">
        <f t="shared" si="1301"/>
        <v>10/04/2022 19:35:07.323</v>
      </c>
      <c r="C3561" t="str">
        <f t="shared" si="1281"/>
        <v>FFDFD3C0</v>
      </c>
      <c r="D3561" t="s">
        <v>123</v>
      </c>
      <c r="E3561">
        <v>7</v>
      </c>
      <c r="F3561">
        <v>2007</v>
      </c>
      <c r="G3561" t="s">
        <v>124</v>
      </c>
      <c r="J3561" t="s">
        <v>125</v>
      </c>
      <c r="K3561">
        <v>0</v>
      </c>
      <c r="L3561">
        <v>3</v>
      </c>
      <c r="M3561">
        <v>0</v>
      </c>
      <c r="N3561">
        <v>2</v>
      </c>
      <c r="O3561">
        <v>0</v>
      </c>
      <c r="P3561">
        <v>1</v>
      </c>
      <c r="Q3561">
        <v>0</v>
      </c>
      <c r="S3561" t="str">
        <f t="shared" si="1299"/>
        <v>19:35:07.000</v>
      </c>
      <c r="T3561" t="str">
        <f t="shared" si="1299"/>
        <v>19:35:07.000</v>
      </c>
      <c r="U3561" t="str">
        <f t="shared" si="1288"/>
        <v>AC3944</v>
      </c>
      <c r="V3561">
        <v>0</v>
      </c>
      <c r="W3561">
        <v>0</v>
      </c>
      <c r="X3561">
        <v>2</v>
      </c>
      <c r="Y3561">
        <v>0</v>
      </c>
      <c r="AA3561">
        <v>1</v>
      </c>
      <c r="AB3561">
        <v>8</v>
      </c>
      <c r="AC3561">
        <v>3</v>
      </c>
      <c r="AD3561">
        <v>0</v>
      </c>
      <c r="AE3561">
        <v>9</v>
      </c>
      <c r="AF3561" t="s">
        <v>138</v>
      </c>
      <c r="AG3561">
        <v>0</v>
      </c>
      <c r="AH3561">
        <v>3</v>
      </c>
      <c r="AI3561">
        <v>1</v>
      </c>
      <c r="AJ3561">
        <v>0</v>
      </c>
      <c r="AK3561" t="s">
        <v>1165</v>
      </c>
      <c r="AL3561">
        <v>32.734879999999997</v>
      </c>
      <c r="AM3561" t="s">
        <v>1166</v>
      </c>
      <c r="AN3561">
        <v>-116.730316</v>
      </c>
      <c r="AO3561">
        <v>25</v>
      </c>
      <c r="AP3561">
        <v>4400</v>
      </c>
      <c r="AQ3561" t="s">
        <v>129</v>
      </c>
      <c r="AR3561">
        <v>114</v>
      </c>
      <c r="AS3561">
        <v>34</v>
      </c>
      <c r="AT3561">
        <v>512</v>
      </c>
      <c r="BB3561">
        <v>1200</v>
      </c>
      <c r="BC3561">
        <v>1</v>
      </c>
      <c r="BD3561" t="str">
        <f t="shared" si="1289"/>
        <v xml:space="preserve">N887QR  </v>
      </c>
      <c r="BE3561">
        <v>1</v>
      </c>
      <c r="BG3561">
        <v>0</v>
      </c>
      <c r="BH3561">
        <v>0</v>
      </c>
      <c r="BI3561">
        <v>0</v>
      </c>
      <c r="BJ3561">
        <v>4175</v>
      </c>
      <c r="BK3561">
        <v>-225</v>
      </c>
      <c r="BL3561" t="s">
        <v>163</v>
      </c>
      <c r="BM3561">
        <v>1</v>
      </c>
      <c r="BN3561">
        <v>1</v>
      </c>
      <c r="BO3561">
        <v>1</v>
      </c>
      <c r="BP3561">
        <v>0</v>
      </c>
      <c r="BS3561">
        <v>0</v>
      </c>
      <c r="BT3561">
        <v>0</v>
      </c>
      <c r="BU3561">
        <v>0</v>
      </c>
      <c r="CE3561" t="str">
        <f t="shared" si="1300"/>
        <v>19:35:07.023</v>
      </c>
      <c r="CF3561">
        <v>23313938</v>
      </c>
      <c r="CS3561">
        <v>0</v>
      </c>
      <c r="CT3561">
        <v>2</v>
      </c>
      <c r="CU3561">
        <v>0</v>
      </c>
      <c r="CV3561">
        <v>2</v>
      </c>
      <c r="CW3561">
        <v>0</v>
      </c>
      <c r="CX3561">
        <v>5</v>
      </c>
      <c r="CY3561">
        <v>7</v>
      </c>
      <c r="CZ3561" t="s">
        <v>131</v>
      </c>
      <c r="DA3561">
        <v>300</v>
      </c>
      <c r="DB3561">
        <v>0</v>
      </c>
      <c r="DC3561" t="s">
        <v>176</v>
      </c>
      <c r="DD3561" t="s">
        <v>177</v>
      </c>
      <c r="DG3561">
        <v>5441750</v>
      </c>
      <c r="DI3561">
        <v>1</v>
      </c>
      <c r="DJ3561">
        <v>0</v>
      </c>
      <c r="DK3561">
        <v>1</v>
      </c>
      <c r="DL3561">
        <v>0</v>
      </c>
      <c r="DM3561">
        <v>0</v>
      </c>
      <c r="DN3561">
        <v>1</v>
      </c>
      <c r="DO3561">
        <v>0</v>
      </c>
      <c r="DP3561">
        <v>0</v>
      </c>
      <c r="DQ3561">
        <v>0</v>
      </c>
      <c r="DR3561">
        <v>0</v>
      </c>
      <c r="DS3561">
        <v>0</v>
      </c>
    </row>
    <row r="3562" spans="1:123" x14ac:dyDescent="0.3">
      <c r="A3562" t="str">
        <f t="shared" ref="A3562:A3568" si="1302">"10/04/2022 19:35:08.182"</f>
        <v>10/04/2022 19:35:08.182</v>
      </c>
      <c r="C3562" t="str">
        <f t="shared" si="1281"/>
        <v>FFDFD3C0</v>
      </c>
      <c r="D3562" t="s">
        <v>134</v>
      </c>
      <c r="E3562">
        <v>15</v>
      </c>
      <c r="J3562" t="s">
        <v>135</v>
      </c>
      <c r="K3562">
        <v>0</v>
      </c>
      <c r="L3562">
        <v>3</v>
      </c>
      <c r="M3562">
        <v>0</v>
      </c>
      <c r="N3562">
        <v>2</v>
      </c>
      <c r="O3562">
        <v>0</v>
      </c>
      <c r="P3562">
        <v>1</v>
      </c>
      <c r="Q3562">
        <v>0</v>
      </c>
      <c r="S3562" t="str">
        <f t="shared" si="1299"/>
        <v>19:35:07.000</v>
      </c>
      <c r="T3562" t="str">
        <f t="shared" si="1299"/>
        <v>19:35:07.000</v>
      </c>
      <c r="U3562" t="str">
        <f t="shared" si="1288"/>
        <v>AC3944</v>
      </c>
      <c r="V3562">
        <v>0</v>
      </c>
      <c r="W3562">
        <v>0</v>
      </c>
      <c r="X3562">
        <v>2</v>
      </c>
      <c r="Y3562">
        <v>0</v>
      </c>
      <c r="AA3562">
        <v>1</v>
      </c>
      <c r="AB3562">
        <v>8</v>
      </c>
      <c r="AC3562">
        <v>3</v>
      </c>
      <c r="AD3562">
        <v>0</v>
      </c>
      <c r="AE3562">
        <v>9</v>
      </c>
      <c r="AF3562" t="s">
        <v>138</v>
      </c>
      <c r="AG3562">
        <v>0</v>
      </c>
      <c r="AH3562">
        <v>3</v>
      </c>
      <c r="AI3562">
        <v>1</v>
      </c>
      <c r="AJ3562">
        <v>0</v>
      </c>
      <c r="AK3562" t="s">
        <v>1167</v>
      </c>
      <c r="AL3562">
        <v>32.735030999999999</v>
      </c>
      <c r="AM3562" t="s">
        <v>1168</v>
      </c>
      <c r="AN3562">
        <v>-116.72967199999999</v>
      </c>
      <c r="AO3562">
        <v>25</v>
      </c>
      <c r="AP3562">
        <v>4400</v>
      </c>
      <c r="AQ3562" t="s">
        <v>129</v>
      </c>
      <c r="AR3562">
        <v>115</v>
      </c>
      <c r="AS3562">
        <v>32</v>
      </c>
      <c r="AT3562">
        <v>512</v>
      </c>
      <c r="BB3562">
        <v>1200</v>
      </c>
      <c r="BC3562">
        <v>1</v>
      </c>
      <c r="BD3562" t="str">
        <f t="shared" si="1289"/>
        <v xml:space="preserve">N887QR  </v>
      </c>
      <c r="BE3562">
        <v>1</v>
      </c>
      <c r="BG3562">
        <v>0</v>
      </c>
      <c r="BH3562">
        <v>0</v>
      </c>
      <c r="BI3562">
        <v>0</v>
      </c>
      <c r="BJ3562">
        <v>4175</v>
      </c>
      <c r="BK3562">
        <v>-225</v>
      </c>
      <c r="BL3562" t="s">
        <v>163</v>
      </c>
      <c r="BM3562">
        <v>1</v>
      </c>
      <c r="BN3562">
        <v>1</v>
      </c>
      <c r="BO3562">
        <v>1</v>
      </c>
      <c r="BP3562">
        <v>0</v>
      </c>
      <c r="BS3562">
        <v>0</v>
      </c>
      <c r="BT3562">
        <v>0</v>
      </c>
      <c r="BU3562">
        <v>0</v>
      </c>
      <c r="CE3562" t="str">
        <f t="shared" ref="CE3562:CE3568" si="1303">"19:35:07.920"</f>
        <v>19:35:07.920</v>
      </c>
      <c r="CF3562">
        <v>920066891</v>
      </c>
      <c r="CS3562">
        <v>0</v>
      </c>
      <c r="CT3562">
        <v>2</v>
      </c>
      <c r="CU3562">
        <v>0</v>
      </c>
      <c r="CV3562">
        <v>2</v>
      </c>
      <c r="CW3562">
        <v>0</v>
      </c>
      <c r="CX3562">
        <v>5</v>
      </c>
      <c r="CY3562">
        <v>7</v>
      </c>
      <c r="CZ3562" t="s">
        <v>131</v>
      </c>
      <c r="DA3562">
        <v>300</v>
      </c>
      <c r="DB3562">
        <v>0</v>
      </c>
      <c r="DC3562" t="s">
        <v>176</v>
      </c>
      <c r="DD3562" t="s">
        <v>177</v>
      </c>
      <c r="DG3562">
        <v>5441919</v>
      </c>
      <c r="DI3562">
        <v>1</v>
      </c>
      <c r="DJ3562">
        <v>0</v>
      </c>
      <c r="DK3562">
        <v>0</v>
      </c>
      <c r="DL3562">
        <v>0</v>
      </c>
      <c r="DM3562">
        <v>0</v>
      </c>
      <c r="DN3562">
        <v>1</v>
      </c>
      <c r="DO3562">
        <v>0</v>
      </c>
      <c r="DP3562">
        <v>0</v>
      </c>
      <c r="DQ3562">
        <v>0</v>
      </c>
      <c r="DR3562">
        <v>0</v>
      </c>
      <c r="DS3562">
        <v>0</v>
      </c>
    </row>
    <row r="3563" spans="1:123" x14ac:dyDescent="0.3">
      <c r="A3563" t="str">
        <f t="shared" si="1302"/>
        <v>10/04/2022 19:35:08.182</v>
      </c>
      <c r="C3563" t="str">
        <f t="shared" ref="C3563:C3626" si="1304">"FFDFD3C0"</f>
        <v>FFDFD3C0</v>
      </c>
      <c r="D3563" t="s">
        <v>136</v>
      </c>
      <c r="E3563">
        <v>8</v>
      </c>
      <c r="H3563">
        <v>225</v>
      </c>
      <c r="I3563" t="s">
        <v>137</v>
      </c>
      <c r="J3563" t="s">
        <v>138</v>
      </c>
      <c r="K3563">
        <v>0</v>
      </c>
      <c r="L3563">
        <v>3</v>
      </c>
      <c r="M3563">
        <v>0</v>
      </c>
      <c r="N3563">
        <v>2</v>
      </c>
      <c r="O3563">
        <v>0</v>
      </c>
      <c r="P3563">
        <v>1</v>
      </c>
      <c r="Q3563">
        <v>0</v>
      </c>
      <c r="S3563" t="str">
        <f t="shared" si="1299"/>
        <v>19:35:07.000</v>
      </c>
      <c r="T3563" t="str">
        <f t="shared" si="1299"/>
        <v>19:35:07.000</v>
      </c>
      <c r="U3563" t="str">
        <f t="shared" si="1288"/>
        <v>AC3944</v>
      </c>
      <c r="V3563">
        <v>0</v>
      </c>
      <c r="W3563">
        <v>0</v>
      </c>
      <c r="X3563">
        <v>2</v>
      </c>
      <c r="Y3563">
        <v>0</v>
      </c>
      <c r="AA3563">
        <v>1</v>
      </c>
      <c r="AB3563">
        <v>8</v>
      </c>
      <c r="AC3563">
        <v>3</v>
      </c>
      <c r="AD3563">
        <v>0</v>
      </c>
      <c r="AE3563">
        <v>9</v>
      </c>
      <c r="AF3563" t="s">
        <v>138</v>
      </c>
      <c r="AG3563">
        <v>0</v>
      </c>
      <c r="AH3563">
        <v>3</v>
      </c>
      <c r="AI3563">
        <v>1</v>
      </c>
      <c r="AJ3563">
        <v>0</v>
      </c>
      <c r="AK3563" t="s">
        <v>1167</v>
      </c>
      <c r="AL3563">
        <v>32.735030999999999</v>
      </c>
      <c r="AM3563" t="s">
        <v>1168</v>
      </c>
      <c r="AN3563">
        <v>-116.72967199999999</v>
      </c>
      <c r="AO3563">
        <v>25</v>
      </c>
      <c r="AP3563">
        <v>4400</v>
      </c>
      <c r="AQ3563" t="s">
        <v>129</v>
      </c>
      <c r="AR3563">
        <v>115</v>
      </c>
      <c r="AS3563">
        <v>32</v>
      </c>
      <c r="AT3563">
        <v>512</v>
      </c>
      <c r="BB3563">
        <v>1200</v>
      </c>
      <c r="BC3563">
        <v>1</v>
      </c>
      <c r="BD3563" t="str">
        <f t="shared" si="1289"/>
        <v xml:space="preserve">N887QR  </v>
      </c>
      <c r="BE3563">
        <v>1</v>
      </c>
      <c r="BG3563">
        <v>0</v>
      </c>
      <c r="BH3563">
        <v>0</v>
      </c>
      <c r="BI3563">
        <v>0</v>
      </c>
      <c r="BJ3563">
        <v>4175</v>
      </c>
      <c r="BK3563">
        <v>-225</v>
      </c>
      <c r="BL3563" t="s">
        <v>163</v>
      </c>
      <c r="BM3563">
        <v>1</v>
      </c>
      <c r="BN3563">
        <v>1</v>
      </c>
      <c r="BO3563">
        <v>1</v>
      </c>
      <c r="BP3563">
        <v>0</v>
      </c>
      <c r="BS3563">
        <v>0</v>
      </c>
      <c r="BT3563">
        <v>0</v>
      </c>
      <c r="BU3563">
        <v>0</v>
      </c>
      <c r="CE3563" t="str">
        <f t="shared" si="1303"/>
        <v>19:35:07.920</v>
      </c>
      <c r="CF3563">
        <v>920066891</v>
      </c>
      <c r="CS3563">
        <v>0</v>
      </c>
      <c r="CT3563">
        <v>2</v>
      </c>
      <c r="CU3563">
        <v>0</v>
      </c>
      <c r="CV3563">
        <v>2</v>
      </c>
      <c r="CW3563">
        <v>0</v>
      </c>
      <c r="CX3563">
        <v>5</v>
      </c>
      <c r="CY3563">
        <v>7</v>
      </c>
      <c r="CZ3563" t="s">
        <v>131</v>
      </c>
      <c r="DA3563">
        <v>300</v>
      </c>
      <c r="DB3563">
        <v>0</v>
      </c>
      <c r="DC3563" t="s">
        <v>176</v>
      </c>
      <c r="DD3563" t="s">
        <v>177</v>
      </c>
      <c r="DG3563">
        <v>5441919</v>
      </c>
      <c r="DI3563">
        <v>1</v>
      </c>
      <c r="DJ3563">
        <v>0</v>
      </c>
      <c r="DK3563">
        <v>1</v>
      </c>
      <c r="DL3563">
        <v>0</v>
      </c>
      <c r="DM3563">
        <v>0</v>
      </c>
      <c r="DN3563">
        <v>1</v>
      </c>
      <c r="DO3563">
        <v>0</v>
      </c>
      <c r="DP3563">
        <v>0</v>
      </c>
      <c r="DQ3563">
        <v>0</v>
      </c>
      <c r="DR3563">
        <v>0</v>
      </c>
      <c r="DS3563">
        <v>0</v>
      </c>
    </row>
    <row r="3564" spans="1:123" x14ac:dyDescent="0.3">
      <c r="A3564" t="str">
        <f t="shared" si="1302"/>
        <v>10/04/2022 19:35:08.182</v>
      </c>
      <c r="C3564" t="str">
        <f t="shared" si="1304"/>
        <v>FFDFD3C0</v>
      </c>
      <c r="D3564" t="s">
        <v>141</v>
      </c>
      <c r="E3564">
        <v>4</v>
      </c>
      <c r="H3564">
        <v>4</v>
      </c>
      <c r="I3564" t="s">
        <v>142</v>
      </c>
      <c r="J3564" t="s">
        <v>138</v>
      </c>
      <c r="K3564">
        <v>0</v>
      </c>
      <c r="L3564">
        <v>3</v>
      </c>
      <c r="M3564">
        <v>0</v>
      </c>
      <c r="N3564">
        <v>2</v>
      </c>
      <c r="O3564">
        <v>0</v>
      </c>
      <c r="P3564">
        <v>1</v>
      </c>
      <c r="Q3564">
        <v>0</v>
      </c>
      <c r="S3564" t="str">
        <f t="shared" si="1299"/>
        <v>19:35:07.000</v>
      </c>
      <c r="T3564" t="str">
        <f t="shared" si="1299"/>
        <v>19:35:07.000</v>
      </c>
      <c r="U3564" t="str">
        <f t="shared" si="1288"/>
        <v>AC3944</v>
      </c>
      <c r="V3564">
        <v>0</v>
      </c>
      <c r="W3564">
        <v>0</v>
      </c>
      <c r="X3564">
        <v>2</v>
      </c>
      <c r="Y3564">
        <v>0</v>
      </c>
      <c r="AA3564">
        <v>1</v>
      </c>
      <c r="AB3564">
        <v>8</v>
      </c>
      <c r="AC3564">
        <v>3</v>
      </c>
      <c r="AD3564">
        <v>0</v>
      </c>
      <c r="AE3564">
        <v>9</v>
      </c>
      <c r="AF3564" t="s">
        <v>138</v>
      </c>
      <c r="AG3564">
        <v>0</v>
      </c>
      <c r="AH3564">
        <v>3</v>
      </c>
      <c r="AI3564">
        <v>1</v>
      </c>
      <c r="AJ3564">
        <v>0</v>
      </c>
      <c r="AK3564" t="s">
        <v>1167</v>
      </c>
      <c r="AL3564">
        <v>32.735030999999999</v>
      </c>
      <c r="AM3564" t="s">
        <v>1168</v>
      </c>
      <c r="AN3564">
        <v>-116.72967199999999</v>
      </c>
      <c r="AO3564">
        <v>25</v>
      </c>
      <c r="AP3564">
        <v>4400</v>
      </c>
      <c r="AQ3564" t="s">
        <v>129</v>
      </c>
      <c r="AR3564">
        <v>115</v>
      </c>
      <c r="AS3564">
        <v>32</v>
      </c>
      <c r="AT3564">
        <v>512</v>
      </c>
      <c r="BB3564">
        <v>1200</v>
      </c>
      <c r="BC3564">
        <v>1</v>
      </c>
      <c r="BD3564" t="str">
        <f t="shared" si="1289"/>
        <v xml:space="preserve">N887QR  </v>
      </c>
      <c r="BE3564">
        <v>1</v>
      </c>
      <c r="BG3564">
        <v>0</v>
      </c>
      <c r="BH3564">
        <v>0</v>
      </c>
      <c r="BI3564">
        <v>0</v>
      </c>
      <c r="BJ3564">
        <v>4175</v>
      </c>
      <c r="BK3564">
        <v>-225</v>
      </c>
      <c r="BL3564" t="s">
        <v>163</v>
      </c>
      <c r="BM3564">
        <v>1</v>
      </c>
      <c r="BN3564">
        <v>1</v>
      </c>
      <c r="BO3564">
        <v>1</v>
      </c>
      <c r="BP3564">
        <v>0</v>
      </c>
      <c r="BS3564">
        <v>0</v>
      </c>
      <c r="BT3564">
        <v>0</v>
      </c>
      <c r="BU3564">
        <v>0</v>
      </c>
      <c r="CE3564" t="str">
        <f t="shared" si="1303"/>
        <v>19:35:07.920</v>
      </c>
      <c r="CF3564">
        <v>920066891</v>
      </c>
      <c r="CS3564">
        <v>0</v>
      </c>
      <c r="CT3564">
        <v>2</v>
      </c>
      <c r="CU3564">
        <v>0</v>
      </c>
      <c r="CV3564">
        <v>2</v>
      </c>
      <c r="CW3564">
        <v>0</v>
      </c>
      <c r="CX3564">
        <v>5</v>
      </c>
      <c r="CY3564">
        <v>7</v>
      </c>
      <c r="CZ3564" t="s">
        <v>131</v>
      </c>
      <c r="DA3564">
        <v>300</v>
      </c>
      <c r="DB3564">
        <v>0</v>
      </c>
      <c r="DC3564" t="s">
        <v>176</v>
      </c>
      <c r="DD3564" t="s">
        <v>177</v>
      </c>
      <c r="DG3564">
        <v>5441919</v>
      </c>
      <c r="DI3564">
        <v>1</v>
      </c>
      <c r="DJ3564">
        <v>0</v>
      </c>
      <c r="DK3564">
        <v>1</v>
      </c>
      <c r="DL3564">
        <v>0</v>
      </c>
      <c r="DM3564">
        <v>0</v>
      </c>
      <c r="DN3564">
        <v>1</v>
      </c>
      <c r="DO3564">
        <v>0</v>
      </c>
      <c r="DP3564">
        <v>0</v>
      </c>
      <c r="DQ3564">
        <v>0</v>
      </c>
      <c r="DR3564">
        <v>0</v>
      </c>
      <c r="DS3564">
        <v>0</v>
      </c>
    </row>
    <row r="3565" spans="1:123" x14ac:dyDescent="0.3">
      <c r="A3565" t="str">
        <f t="shared" si="1302"/>
        <v>10/04/2022 19:35:08.182</v>
      </c>
      <c r="C3565" t="str">
        <f t="shared" si="1304"/>
        <v>FFDFD3C0</v>
      </c>
      <c r="D3565" t="s">
        <v>147</v>
      </c>
      <c r="E3565">
        <v>3</v>
      </c>
      <c r="H3565">
        <v>166</v>
      </c>
      <c r="I3565" t="s">
        <v>144</v>
      </c>
      <c r="J3565" t="s">
        <v>148</v>
      </c>
      <c r="K3565">
        <v>0</v>
      </c>
      <c r="L3565">
        <v>3</v>
      </c>
      <c r="M3565">
        <v>0</v>
      </c>
      <c r="N3565">
        <v>2</v>
      </c>
      <c r="O3565">
        <v>0</v>
      </c>
      <c r="P3565">
        <v>1</v>
      </c>
      <c r="Q3565">
        <v>0</v>
      </c>
      <c r="S3565" t="str">
        <f t="shared" si="1299"/>
        <v>19:35:07.000</v>
      </c>
      <c r="T3565" t="str">
        <f t="shared" si="1299"/>
        <v>19:35:07.000</v>
      </c>
      <c r="U3565" t="str">
        <f t="shared" si="1288"/>
        <v>AC3944</v>
      </c>
      <c r="V3565">
        <v>0</v>
      </c>
      <c r="W3565">
        <v>0</v>
      </c>
      <c r="X3565">
        <v>2</v>
      </c>
      <c r="Y3565">
        <v>0</v>
      </c>
      <c r="AA3565">
        <v>1</v>
      </c>
      <c r="AB3565">
        <v>8</v>
      </c>
      <c r="AC3565">
        <v>3</v>
      </c>
      <c r="AD3565">
        <v>0</v>
      </c>
      <c r="AE3565">
        <v>9</v>
      </c>
      <c r="AF3565" t="s">
        <v>138</v>
      </c>
      <c r="AG3565">
        <v>0</v>
      </c>
      <c r="AH3565">
        <v>3</v>
      </c>
      <c r="AI3565">
        <v>1</v>
      </c>
      <c r="AJ3565">
        <v>0</v>
      </c>
      <c r="AK3565" t="s">
        <v>1167</v>
      </c>
      <c r="AL3565">
        <v>32.735030999999999</v>
      </c>
      <c r="AM3565" t="s">
        <v>1168</v>
      </c>
      <c r="AN3565">
        <v>-116.72967199999999</v>
      </c>
      <c r="AO3565">
        <v>25</v>
      </c>
      <c r="AP3565">
        <v>4400</v>
      </c>
      <c r="AQ3565" t="s">
        <v>129</v>
      </c>
      <c r="AR3565">
        <v>115</v>
      </c>
      <c r="AS3565">
        <v>32</v>
      </c>
      <c r="AT3565">
        <v>512</v>
      </c>
      <c r="BB3565">
        <v>1200</v>
      </c>
      <c r="BC3565">
        <v>1</v>
      </c>
      <c r="BD3565" t="str">
        <f t="shared" si="1289"/>
        <v xml:space="preserve">N887QR  </v>
      </c>
      <c r="BE3565">
        <v>1</v>
      </c>
      <c r="BG3565">
        <v>0</v>
      </c>
      <c r="BH3565">
        <v>0</v>
      </c>
      <c r="BI3565">
        <v>0</v>
      </c>
      <c r="BJ3565">
        <v>4175</v>
      </c>
      <c r="BK3565">
        <v>-225</v>
      </c>
      <c r="BL3565" t="s">
        <v>163</v>
      </c>
      <c r="BM3565">
        <v>1</v>
      </c>
      <c r="BN3565">
        <v>1</v>
      </c>
      <c r="BO3565">
        <v>1</v>
      </c>
      <c r="BP3565">
        <v>0</v>
      </c>
      <c r="BS3565">
        <v>0</v>
      </c>
      <c r="BT3565">
        <v>0</v>
      </c>
      <c r="BU3565">
        <v>0</v>
      </c>
      <c r="CE3565" t="str">
        <f t="shared" si="1303"/>
        <v>19:35:07.920</v>
      </c>
      <c r="CF3565">
        <v>920066891</v>
      </c>
      <c r="CS3565">
        <v>0</v>
      </c>
      <c r="CT3565">
        <v>2</v>
      </c>
      <c r="CU3565">
        <v>0</v>
      </c>
      <c r="CV3565">
        <v>2</v>
      </c>
      <c r="CW3565">
        <v>0</v>
      </c>
      <c r="CX3565">
        <v>5</v>
      </c>
      <c r="CY3565">
        <v>7</v>
      </c>
      <c r="CZ3565" t="s">
        <v>131</v>
      </c>
      <c r="DA3565">
        <v>300</v>
      </c>
      <c r="DB3565">
        <v>0</v>
      </c>
      <c r="DC3565" t="s">
        <v>176</v>
      </c>
      <c r="DD3565" t="s">
        <v>177</v>
      </c>
      <c r="DG3565">
        <v>5441919</v>
      </c>
      <c r="DI3565">
        <v>1</v>
      </c>
      <c r="DJ3565">
        <v>0</v>
      </c>
      <c r="DK3565">
        <v>0</v>
      </c>
      <c r="DL3565">
        <v>0</v>
      </c>
      <c r="DM3565">
        <v>0</v>
      </c>
      <c r="DN3565">
        <v>1</v>
      </c>
      <c r="DO3565">
        <v>0</v>
      </c>
      <c r="DP3565">
        <v>0</v>
      </c>
      <c r="DQ3565">
        <v>0</v>
      </c>
      <c r="DR3565">
        <v>0</v>
      </c>
      <c r="DS3565">
        <v>0</v>
      </c>
    </row>
    <row r="3566" spans="1:123" x14ac:dyDescent="0.3">
      <c r="A3566" t="str">
        <f t="shared" si="1302"/>
        <v>10/04/2022 19:35:08.182</v>
      </c>
      <c r="C3566" t="str">
        <f t="shared" si="1304"/>
        <v>FFDFD3C0</v>
      </c>
      <c r="D3566" t="s">
        <v>143</v>
      </c>
      <c r="E3566">
        <v>20</v>
      </c>
      <c r="F3566">
        <v>1020</v>
      </c>
      <c r="G3566" t="s">
        <v>144</v>
      </c>
      <c r="J3566" t="s">
        <v>145</v>
      </c>
      <c r="K3566">
        <v>0</v>
      </c>
      <c r="L3566">
        <v>3</v>
      </c>
      <c r="M3566">
        <v>0</v>
      </c>
      <c r="N3566">
        <v>2</v>
      </c>
      <c r="O3566">
        <v>0</v>
      </c>
      <c r="P3566">
        <v>1</v>
      </c>
      <c r="Q3566">
        <v>0</v>
      </c>
      <c r="S3566" t="str">
        <f t="shared" si="1299"/>
        <v>19:35:07.000</v>
      </c>
      <c r="T3566" t="str">
        <f t="shared" si="1299"/>
        <v>19:35:07.000</v>
      </c>
      <c r="U3566" t="str">
        <f t="shared" si="1288"/>
        <v>AC3944</v>
      </c>
      <c r="V3566">
        <v>0</v>
      </c>
      <c r="W3566">
        <v>0</v>
      </c>
      <c r="X3566">
        <v>2</v>
      </c>
      <c r="Y3566">
        <v>0</v>
      </c>
      <c r="AA3566">
        <v>1</v>
      </c>
      <c r="AB3566">
        <v>8</v>
      </c>
      <c r="AC3566">
        <v>3</v>
      </c>
      <c r="AD3566">
        <v>0</v>
      </c>
      <c r="AE3566">
        <v>9</v>
      </c>
      <c r="AF3566" t="s">
        <v>138</v>
      </c>
      <c r="AG3566">
        <v>0</v>
      </c>
      <c r="AH3566">
        <v>3</v>
      </c>
      <c r="AI3566">
        <v>1</v>
      </c>
      <c r="AJ3566">
        <v>0</v>
      </c>
      <c r="AK3566" t="s">
        <v>1167</v>
      </c>
      <c r="AL3566">
        <v>32.735030999999999</v>
      </c>
      <c r="AM3566" t="s">
        <v>1168</v>
      </c>
      <c r="AN3566">
        <v>-116.72967199999999</v>
      </c>
      <c r="AO3566">
        <v>25</v>
      </c>
      <c r="AP3566">
        <v>4400</v>
      </c>
      <c r="AQ3566" t="s">
        <v>129</v>
      </c>
      <c r="AR3566">
        <v>115</v>
      </c>
      <c r="AS3566">
        <v>32</v>
      </c>
      <c r="AT3566">
        <v>512</v>
      </c>
      <c r="BB3566">
        <v>1200</v>
      </c>
      <c r="BC3566">
        <v>1</v>
      </c>
      <c r="BD3566" t="str">
        <f t="shared" si="1289"/>
        <v xml:space="preserve">N887QR  </v>
      </c>
      <c r="BE3566">
        <v>1</v>
      </c>
      <c r="BG3566">
        <v>0</v>
      </c>
      <c r="BH3566">
        <v>0</v>
      </c>
      <c r="BI3566">
        <v>0</v>
      </c>
      <c r="BJ3566">
        <v>4175</v>
      </c>
      <c r="BK3566">
        <v>-225</v>
      </c>
      <c r="BL3566" t="s">
        <v>163</v>
      </c>
      <c r="BM3566">
        <v>1</v>
      </c>
      <c r="BN3566">
        <v>1</v>
      </c>
      <c r="BO3566">
        <v>1</v>
      </c>
      <c r="BP3566">
        <v>0</v>
      </c>
      <c r="BS3566">
        <v>0</v>
      </c>
      <c r="BT3566">
        <v>0</v>
      </c>
      <c r="BU3566">
        <v>0</v>
      </c>
      <c r="CE3566" t="str">
        <f t="shared" si="1303"/>
        <v>19:35:07.920</v>
      </c>
      <c r="CF3566">
        <v>920066891</v>
      </c>
      <c r="CS3566">
        <v>0</v>
      </c>
      <c r="CT3566">
        <v>2</v>
      </c>
      <c r="CU3566">
        <v>0</v>
      </c>
      <c r="CV3566">
        <v>2</v>
      </c>
      <c r="CW3566">
        <v>0</v>
      </c>
      <c r="CX3566">
        <v>5</v>
      </c>
      <c r="CY3566">
        <v>7</v>
      </c>
      <c r="CZ3566" t="s">
        <v>131</v>
      </c>
      <c r="DA3566">
        <v>300</v>
      </c>
      <c r="DB3566">
        <v>0</v>
      </c>
      <c r="DC3566" t="s">
        <v>176</v>
      </c>
      <c r="DD3566" t="s">
        <v>177</v>
      </c>
      <c r="DG3566">
        <v>5441919</v>
      </c>
      <c r="DI3566">
        <v>1</v>
      </c>
      <c r="DJ3566">
        <v>0</v>
      </c>
      <c r="DK3566">
        <v>1</v>
      </c>
      <c r="DL3566">
        <v>0</v>
      </c>
      <c r="DM3566">
        <v>0</v>
      </c>
      <c r="DN3566">
        <v>1</v>
      </c>
      <c r="DO3566">
        <v>0</v>
      </c>
      <c r="DP3566">
        <v>0</v>
      </c>
      <c r="DQ3566">
        <v>0</v>
      </c>
      <c r="DR3566">
        <v>0</v>
      </c>
      <c r="DS3566">
        <v>0</v>
      </c>
    </row>
    <row r="3567" spans="1:123" x14ac:dyDescent="0.3">
      <c r="A3567" t="str">
        <f t="shared" si="1302"/>
        <v>10/04/2022 19:35:08.182</v>
      </c>
      <c r="C3567" t="str">
        <f t="shared" si="1304"/>
        <v>FFDFD3C0</v>
      </c>
      <c r="D3567" t="s">
        <v>141</v>
      </c>
      <c r="E3567">
        <v>3</v>
      </c>
      <c r="H3567">
        <v>3</v>
      </c>
      <c r="I3567" t="s">
        <v>146</v>
      </c>
      <c r="J3567" t="s">
        <v>138</v>
      </c>
      <c r="K3567">
        <v>0</v>
      </c>
      <c r="L3567">
        <v>3</v>
      </c>
      <c r="M3567">
        <v>0</v>
      </c>
      <c r="N3567">
        <v>2</v>
      </c>
      <c r="O3567">
        <v>0</v>
      </c>
      <c r="P3567">
        <v>1</v>
      </c>
      <c r="Q3567">
        <v>0</v>
      </c>
      <c r="S3567" t="str">
        <f t="shared" si="1299"/>
        <v>19:35:07.000</v>
      </c>
      <c r="T3567" t="str">
        <f t="shared" si="1299"/>
        <v>19:35:07.000</v>
      </c>
      <c r="U3567" t="str">
        <f t="shared" si="1288"/>
        <v>AC3944</v>
      </c>
      <c r="V3567">
        <v>0</v>
      </c>
      <c r="W3567">
        <v>0</v>
      </c>
      <c r="X3567">
        <v>2</v>
      </c>
      <c r="Y3567">
        <v>0</v>
      </c>
      <c r="AA3567">
        <v>1</v>
      </c>
      <c r="AB3567">
        <v>8</v>
      </c>
      <c r="AC3567">
        <v>3</v>
      </c>
      <c r="AD3567">
        <v>0</v>
      </c>
      <c r="AE3567">
        <v>9</v>
      </c>
      <c r="AF3567" t="s">
        <v>138</v>
      </c>
      <c r="AG3567">
        <v>0</v>
      </c>
      <c r="AH3567">
        <v>3</v>
      </c>
      <c r="AI3567">
        <v>1</v>
      </c>
      <c r="AJ3567">
        <v>0</v>
      </c>
      <c r="AK3567" t="s">
        <v>1167</v>
      </c>
      <c r="AL3567">
        <v>32.735030999999999</v>
      </c>
      <c r="AM3567" t="s">
        <v>1168</v>
      </c>
      <c r="AN3567">
        <v>-116.72967199999999</v>
      </c>
      <c r="AO3567">
        <v>25</v>
      </c>
      <c r="AP3567">
        <v>4400</v>
      </c>
      <c r="AQ3567" t="s">
        <v>129</v>
      </c>
      <c r="AR3567">
        <v>115</v>
      </c>
      <c r="AS3567">
        <v>32</v>
      </c>
      <c r="AT3567">
        <v>512</v>
      </c>
      <c r="BB3567">
        <v>1200</v>
      </c>
      <c r="BC3567">
        <v>1</v>
      </c>
      <c r="BD3567" t="str">
        <f t="shared" si="1289"/>
        <v xml:space="preserve">N887QR  </v>
      </c>
      <c r="BE3567">
        <v>1</v>
      </c>
      <c r="BG3567">
        <v>0</v>
      </c>
      <c r="BH3567">
        <v>0</v>
      </c>
      <c r="BI3567">
        <v>0</v>
      </c>
      <c r="BJ3567">
        <v>4175</v>
      </c>
      <c r="BK3567">
        <v>-225</v>
      </c>
      <c r="BL3567" t="s">
        <v>163</v>
      </c>
      <c r="BM3567">
        <v>1</v>
      </c>
      <c r="BN3567">
        <v>1</v>
      </c>
      <c r="BO3567">
        <v>1</v>
      </c>
      <c r="BP3567">
        <v>0</v>
      </c>
      <c r="BS3567">
        <v>0</v>
      </c>
      <c r="BT3567">
        <v>0</v>
      </c>
      <c r="BU3567">
        <v>0</v>
      </c>
      <c r="CE3567" t="str">
        <f t="shared" si="1303"/>
        <v>19:35:07.920</v>
      </c>
      <c r="CF3567">
        <v>920066891</v>
      </c>
      <c r="CS3567">
        <v>0</v>
      </c>
      <c r="CT3567">
        <v>2</v>
      </c>
      <c r="CU3567">
        <v>0</v>
      </c>
      <c r="CV3567">
        <v>2</v>
      </c>
      <c r="CW3567">
        <v>0</v>
      </c>
      <c r="CX3567">
        <v>5</v>
      </c>
      <c r="CY3567">
        <v>7</v>
      </c>
      <c r="CZ3567" t="s">
        <v>131</v>
      </c>
      <c r="DA3567">
        <v>300</v>
      </c>
      <c r="DB3567">
        <v>0</v>
      </c>
      <c r="DC3567" t="s">
        <v>176</v>
      </c>
      <c r="DD3567" t="s">
        <v>177</v>
      </c>
      <c r="DG3567">
        <v>5441919</v>
      </c>
      <c r="DI3567">
        <v>1</v>
      </c>
      <c r="DJ3567">
        <v>0</v>
      </c>
      <c r="DK3567">
        <v>1</v>
      </c>
      <c r="DL3567">
        <v>0</v>
      </c>
      <c r="DM3567">
        <v>0</v>
      </c>
      <c r="DN3567">
        <v>1</v>
      </c>
      <c r="DO3567">
        <v>0</v>
      </c>
      <c r="DP3567">
        <v>0</v>
      </c>
      <c r="DQ3567">
        <v>0</v>
      </c>
      <c r="DR3567">
        <v>0</v>
      </c>
      <c r="DS3567">
        <v>0</v>
      </c>
    </row>
    <row r="3568" spans="1:123" x14ac:dyDescent="0.3">
      <c r="A3568" t="str">
        <f t="shared" si="1302"/>
        <v>10/04/2022 19:35:08.182</v>
      </c>
      <c r="C3568" t="str">
        <f t="shared" si="1304"/>
        <v>FFDFD3C0</v>
      </c>
      <c r="D3568" t="s">
        <v>123</v>
      </c>
      <c r="E3568">
        <v>7</v>
      </c>
      <c r="F3568">
        <v>2007</v>
      </c>
      <c r="G3568" t="s">
        <v>124</v>
      </c>
      <c r="J3568" t="s">
        <v>125</v>
      </c>
      <c r="K3568">
        <v>0</v>
      </c>
      <c r="L3568">
        <v>3</v>
      </c>
      <c r="M3568">
        <v>0</v>
      </c>
      <c r="N3568">
        <v>2</v>
      </c>
      <c r="O3568">
        <v>0</v>
      </c>
      <c r="P3568">
        <v>1</v>
      </c>
      <c r="Q3568">
        <v>0</v>
      </c>
      <c r="S3568" t="str">
        <f t="shared" si="1299"/>
        <v>19:35:07.000</v>
      </c>
      <c r="T3568" t="str">
        <f t="shared" si="1299"/>
        <v>19:35:07.000</v>
      </c>
      <c r="U3568" t="str">
        <f t="shared" si="1288"/>
        <v>AC3944</v>
      </c>
      <c r="V3568">
        <v>0</v>
      </c>
      <c r="W3568">
        <v>0</v>
      </c>
      <c r="X3568">
        <v>2</v>
      </c>
      <c r="Y3568">
        <v>0</v>
      </c>
      <c r="AA3568">
        <v>1</v>
      </c>
      <c r="AB3568">
        <v>8</v>
      </c>
      <c r="AC3568">
        <v>3</v>
      </c>
      <c r="AD3568">
        <v>0</v>
      </c>
      <c r="AE3568">
        <v>9</v>
      </c>
      <c r="AF3568" t="s">
        <v>138</v>
      </c>
      <c r="AG3568">
        <v>0</v>
      </c>
      <c r="AH3568">
        <v>3</v>
      </c>
      <c r="AI3568">
        <v>1</v>
      </c>
      <c r="AJ3568">
        <v>0</v>
      </c>
      <c r="AK3568" t="s">
        <v>1167</v>
      </c>
      <c r="AL3568">
        <v>32.735030999999999</v>
      </c>
      <c r="AM3568" t="s">
        <v>1168</v>
      </c>
      <c r="AN3568">
        <v>-116.72967199999999</v>
      </c>
      <c r="AO3568">
        <v>25</v>
      </c>
      <c r="AP3568">
        <v>4400</v>
      </c>
      <c r="AQ3568" t="s">
        <v>129</v>
      </c>
      <c r="AR3568">
        <v>115</v>
      </c>
      <c r="AS3568">
        <v>32</v>
      </c>
      <c r="AT3568">
        <v>512</v>
      </c>
      <c r="BB3568">
        <v>1200</v>
      </c>
      <c r="BC3568">
        <v>1</v>
      </c>
      <c r="BD3568" t="str">
        <f t="shared" si="1289"/>
        <v xml:space="preserve">N887QR  </v>
      </c>
      <c r="BE3568">
        <v>1</v>
      </c>
      <c r="BG3568">
        <v>0</v>
      </c>
      <c r="BH3568">
        <v>0</v>
      </c>
      <c r="BI3568">
        <v>0</v>
      </c>
      <c r="BJ3568">
        <v>4175</v>
      </c>
      <c r="BK3568">
        <v>-225</v>
      </c>
      <c r="BL3568" t="s">
        <v>163</v>
      </c>
      <c r="BM3568">
        <v>1</v>
      </c>
      <c r="BN3568">
        <v>1</v>
      </c>
      <c r="BO3568">
        <v>1</v>
      </c>
      <c r="BP3568">
        <v>0</v>
      </c>
      <c r="BS3568">
        <v>0</v>
      </c>
      <c r="BT3568">
        <v>0</v>
      </c>
      <c r="BU3568">
        <v>0</v>
      </c>
      <c r="CE3568" t="str">
        <f t="shared" si="1303"/>
        <v>19:35:07.920</v>
      </c>
      <c r="CF3568">
        <v>920066891</v>
      </c>
      <c r="CS3568">
        <v>0</v>
      </c>
      <c r="CT3568">
        <v>2</v>
      </c>
      <c r="CU3568">
        <v>0</v>
      </c>
      <c r="CV3568">
        <v>2</v>
      </c>
      <c r="CW3568">
        <v>0</v>
      </c>
      <c r="CX3568">
        <v>5</v>
      </c>
      <c r="CY3568">
        <v>7</v>
      </c>
      <c r="CZ3568" t="s">
        <v>131</v>
      </c>
      <c r="DA3568">
        <v>300</v>
      </c>
      <c r="DB3568">
        <v>0</v>
      </c>
      <c r="DC3568" t="s">
        <v>176</v>
      </c>
      <c r="DD3568" t="s">
        <v>177</v>
      </c>
      <c r="DG3568">
        <v>5441919</v>
      </c>
      <c r="DI3568">
        <v>1</v>
      </c>
      <c r="DJ3568">
        <v>0</v>
      </c>
      <c r="DK3568">
        <v>0</v>
      </c>
      <c r="DL3568">
        <v>0</v>
      </c>
      <c r="DM3568">
        <v>0</v>
      </c>
      <c r="DN3568">
        <v>1</v>
      </c>
      <c r="DO3568">
        <v>0</v>
      </c>
      <c r="DP3568">
        <v>0</v>
      </c>
      <c r="DQ3568">
        <v>0</v>
      </c>
      <c r="DR3568">
        <v>0</v>
      </c>
      <c r="DS3568">
        <v>0</v>
      </c>
    </row>
    <row r="3569" spans="1:123" x14ac:dyDescent="0.3">
      <c r="A3569" t="str">
        <f>"10/04/2022 19:35:09.370"</f>
        <v>10/04/2022 19:35:09.370</v>
      </c>
      <c r="C3569" t="str">
        <f t="shared" si="1304"/>
        <v>FFDFD3C0</v>
      </c>
      <c r="D3569" t="s">
        <v>134</v>
      </c>
      <c r="E3569">
        <v>15</v>
      </c>
      <c r="J3569" t="s">
        <v>135</v>
      </c>
      <c r="K3569">
        <v>0</v>
      </c>
      <c r="L3569">
        <v>3</v>
      </c>
      <c r="M3569">
        <v>0</v>
      </c>
      <c r="N3569">
        <v>2</v>
      </c>
      <c r="O3569">
        <v>0</v>
      </c>
      <c r="P3569">
        <v>1</v>
      </c>
      <c r="Q3569">
        <v>0</v>
      </c>
      <c r="S3569" t="str">
        <f t="shared" ref="S3569:T3571" si="1305">"19:35:08.000"</f>
        <v>19:35:08.000</v>
      </c>
      <c r="T3569" t="str">
        <f t="shared" si="1305"/>
        <v>19:35:08.000</v>
      </c>
      <c r="U3569" t="str">
        <f t="shared" si="1288"/>
        <v>AC3944</v>
      </c>
      <c r="V3569">
        <v>0</v>
      </c>
      <c r="W3569">
        <v>0</v>
      </c>
      <c r="X3569">
        <v>2</v>
      </c>
      <c r="Y3569">
        <v>0</v>
      </c>
      <c r="AA3569">
        <v>1</v>
      </c>
      <c r="AB3569">
        <v>8</v>
      </c>
      <c r="AC3569">
        <v>3</v>
      </c>
      <c r="AD3569">
        <v>0</v>
      </c>
      <c r="AE3569">
        <v>9</v>
      </c>
      <c r="AF3569" t="s">
        <v>138</v>
      </c>
      <c r="AG3569">
        <v>0</v>
      </c>
      <c r="AH3569">
        <v>3</v>
      </c>
      <c r="AI3569">
        <v>1</v>
      </c>
      <c r="AJ3569">
        <v>0</v>
      </c>
      <c r="AK3569" t="s">
        <v>1169</v>
      </c>
      <c r="AL3569">
        <v>32.735159000000003</v>
      </c>
      <c r="AM3569" t="s">
        <v>1170</v>
      </c>
      <c r="AN3569">
        <v>-116.729178</v>
      </c>
      <c r="AO3569">
        <v>25</v>
      </c>
      <c r="AP3569">
        <v>4400</v>
      </c>
      <c r="AQ3569" t="s">
        <v>129</v>
      </c>
      <c r="AR3569">
        <v>116</v>
      </c>
      <c r="AS3569">
        <v>29</v>
      </c>
      <c r="AT3569">
        <v>576</v>
      </c>
      <c r="BB3569">
        <v>1200</v>
      </c>
      <c r="BC3569">
        <v>1</v>
      </c>
      <c r="BD3569" t="str">
        <f t="shared" si="1289"/>
        <v xml:space="preserve">N887QR  </v>
      </c>
      <c r="BE3569">
        <v>1</v>
      </c>
      <c r="BG3569">
        <v>0</v>
      </c>
      <c r="BH3569">
        <v>0</v>
      </c>
      <c r="BI3569">
        <v>0</v>
      </c>
      <c r="BJ3569">
        <v>4225</v>
      </c>
      <c r="BK3569">
        <v>-175</v>
      </c>
      <c r="BL3569" t="s">
        <v>163</v>
      </c>
      <c r="BM3569">
        <v>1</v>
      </c>
      <c r="BN3569">
        <v>1</v>
      </c>
      <c r="BO3569">
        <v>1</v>
      </c>
      <c r="BP3569">
        <v>0</v>
      </c>
      <c r="BS3569">
        <v>0</v>
      </c>
      <c r="BT3569">
        <v>0</v>
      </c>
      <c r="BU3569">
        <v>0</v>
      </c>
      <c r="CE3569" t="str">
        <f>"19:35:08.984"</f>
        <v>19:35:08.984</v>
      </c>
      <c r="CF3569">
        <v>984320361</v>
      </c>
      <c r="CS3569">
        <v>0</v>
      </c>
      <c r="CT3569">
        <v>2</v>
      </c>
      <c r="CU3569">
        <v>0</v>
      </c>
      <c r="CV3569">
        <v>2</v>
      </c>
      <c r="CW3569">
        <v>0</v>
      </c>
      <c r="CX3569">
        <v>5</v>
      </c>
      <c r="CY3569">
        <v>7</v>
      </c>
      <c r="CZ3569" t="s">
        <v>131</v>
      </c>
      <c r="DA3569">
        <v>300</v>
      </c>
      <c r="DB3569">
        <v>0</v>
      </c>
      <c r="DC3569" t="s">
        <v>176</v>
      </c>
      <c r="DD3569" t="s">
        <v>177</v>
      </c>
      <c r="DG3569">
        <v>5442102</v>
      </c>
      <c r="DI3569">
        <v>1</v>
      </c>
      <c r="DJ3569">
        <v>0</v>
      </c>
      <c r="DK3569">
        <v>0</v>
      </c>
      <c r="DL3569">
        <v>0</v>
      </c>
      <c r="DM3569">
        <v>0</v>
      </c>
      <c r="DN3569">
        <v>1</v>
      </c>
      <c r="DO3569">
        <v>0</v>
      </c>
      <c r="DP3569">
        <v>0</v>
      </c>
      <c r="DQ3569">
        <v>0</v>
      </c>
      <c r="DR3569">
        <v>0</v>
      </c>
      <c r="DS3569">
        <v>0</v>
      </c>
    </row>
    <row r="3570" spans="1:123" x14ac:dyDescent="0.3">
      <c r="A3570" t="str">
        <f>"10/04/2022 19:35:09.370"</f>
        <v>10/04/2022 19:35:09.370</v>
      </c>
      <c r="C3570" t="str">
        <f t="shared" si="1304"/>
        <v>FFDFD3C0</v>
      </c>
      <c r="D3570" t="s">
        <v>143</v>
      </c>
      <c r="E3570">
        <v>20</v>
      </c>
      <c r="F3570">
        <v>1020</v>
      </c>
      <c r="G3570" t="s">
        <v>144</v>
      </c>
      <c r="J3570" t="s">
        <v>145</v>
      </c>
      <c r="K3570">
        <v>0</v>
      </c>
      <c r="L3570">
        <v>3</v>
      </c>
      <c r="M3570">
        <v>0</v>
      </c>
      <c r="N3570">
        <v>2</v>
      </c>
      <c r="O3570">
        <v>0</v>
      </c>
      <c r="P3570">
        <v>1</v>
      </c>
      <c r="Q3570">
        <v>0</v>
      </c>
      <c r="S3570" t="str">
        <f t="shared" si="1305"/>
        <v>19:35:08.000</v>
      </c>
      <c r="T3570" t="str">
        <f t="shared" si="1305"/>
        <v>19:35:08.000</v>
      </c>
      <c r="U3570" t="str">
        <f t="shared" si="1288"/>
        <v>AC3944</v>
      </c>
      <c r="V3570">
        <v>0</v>
      </c>
      <c r="W3570">
        <v>0</v>
      </c>
      <c r="X3570">
        <v>2</v>
      </c>
      <c r="Y3570">
        <v>0</v>
      </c>
      <c r="AA3570">
        <v>1</v>
      </c>
      <c r="AB3570">
        <v>8</v>
      </c>
      <c r="AC3570">
        <v>3</v>
      </c>
      <c r="AD3570">
        <v>0</v>
      </c>
      <c r="AE3570">
        <v>9</v>
      </c>
      <c r="AF3570" t="s">
        <v>138</v>
      </c>
      <c r="AG3570">
        <v>0</v>
      </c>
      <c r="AH3570">
        <v>3</v>
      </c>
      <c r="AI3570">
        <v>1</v>
      </c>
      <c r="AJ3570">
        <v>0</v>
      </c>
      <c r="AK3570" t="s">
        <v>1169</v>
      </c>
      <c r="AL3570">
        <v>32.735159000000003</v>
      </c>
      <c r="AM3570" t="s">
        <v>1170</v>
      </c>
      <c r="AN3570">
        <v>-116.729178</v>
      </c>
      <c r="AO3570">
        <v>25</v>
      </c>
      <c r="AP3570">
        <v>4400</v>
      </c>
      <c r="AQ3570" t="s">
        <v>129</v>
      </c>
      <c r="AR3570">
        <v>116</v>
      </c>
      <c r="AS3570">
        <v>29</v>
      </c>
      <c r="AT3570">
        <v>576</v>
      </c>
      <c r="BB3570">
        <v>1200</v>
      </c>
      <c r="BC3570">
        <v>1</v>
      </c>
      <c r="BD3570" t="str">
        <f t="shared" si="1289"/>
        <v xml:space="preserve">N887QR  </v>
      </c>
      <c r="BE3570">
        <v>1</v>
      </c>
      <c r="BG3570">
        <v>0</v>
      </c>
      <c r="BH3570">
        <v>0</v>
      </c>
      <c r="BI3570">
        <v>0</v>
      </c>
      <c r="BJ3570">
        <v>4225</v>
      </c>
      <c r="BK3570">
        <v>-175</v>
      </c>
      <c r="BL3570" t="s">
        <v>163</v>
      </c>
      <c r="BM3570">
        <v>1</v>
      </c>
      <c r="BN3570">
        <v>1</v>
      </c>
      <c r="BO3570">
        <v>1</v>
      </c>
      <c r="BP3570">
        <v>0</v>
      </c>
      <c r="BS3570">
        <v>0</v>
      </c>
      <c r="BT3570">
        <v>0</v>
      </c>
      <c r="BU3570">
        <v>0</v>
      </c>
      <c r="CE3570" t="str">
        <f>"19:35:08.984"</f>
        <v>19:35:08.984</v>
      </c>
      <c r="CF3570">
        <v>984320361</v>
      </c>
      <c r="CS3570">
        <v>0</v>
      </c>
      <c r="CT3570">
        <v>2</v>
      </c>
      <c r="CU3570">
        <v>0</v>
      </c>
      <c r="CV3570">
        <v>2</v>
      </c>
      <c r="CW3570">
        <v>0</v>
      </c>
      <c r="CX3570">
        <v>5</v>
      </c>
      <c r="CY3570">
        <v>7</v>
      </c>
      <c r="CZ3570" t="s">
        <v>131</v>
      </c>
      <c r="DA3570">
        <v>300</v>
      </c>
      <c r="DB3570">
        <v>0</v>
      </c>
      <c r="DC3570" t="s">
        <v>176</v>
      </c>
      <c r="DD3570" t="s">
        <v>177</v>
      </c>
      <c r="DG3570">
        <v>5442102</v>
      </c>
      <c r="DI3570">
        <v>1</v>
      </c>
      <c r="DJ3570">
        <v>0</v>
      </c>
      <c r="DK3570">
        <v>1</v>
      </c>
      <c r="DL3570">
        <v>0</v>
      </c>
      <c r="DM3570">
        <v>0</v>
      </c>
      <c r="DN3570">
        <v>1</v>
      </c>
      <c r="DO3570">
        <v>0</v>
      </c>
      <c r="DP3570">
        <v>0</v>
      </c>
      <c r="DQ3570">
        <v>0</v>
      </c>
      <c r="DR3570">
        <v>0</v>
      </c>
      <c r="DS3570">
        <v>0</v>
      </c>
    </row>
    <row r="3571" spans="1:123" x14ac:dyDescent="0.3">
      <c r="A3571" t="str">
        <f>"10/04/2022 19:35:09.370"</f>
        <v>10/04/2022 19:35:09.370</v>
      </c>
      <c r="C3571" t="str">
        <f t="shared" si="1304"/>
        <v>FFDFD3C0</v>
      </c>
      <c r="D3571" t="s">
        <v>147</v>
      </c>
      <c r="E3571">
        <v>3</v>
      </c>
      <c r="H3571">
        <v>166</v>
      </c>
      <c r="I3571" t="s">
        <v>144</v>
      </c>
      <c r="J3571" t="s">
        <v>148</v>
      </c>
      <c r="K3571">
        <v>0</v>
      </c>
      <c r="L3571">
        <v>3</v>
      </c>
      <c r="M3571">
        <v>0</v>
      </c>
      <c r="N3571">
        <v>2</v>
      </c>
      <c r="O3571">
        <v>0</v>
      </c>
      <c r="P3571">
        <v>1</v>
      </c>
      <c r="Q3571">
        <v>0</v>
      </c>
      <c r="S3571" t="str">
        <f t="shared" si="1305"/>
        <v>19:35:08.000</v>
      </c>
      <c r="T3571" t="str">
        <f t="shared" si="1305"/>
        <v>19:35:08.000</v>
      </c>
      <c r="U3571" t="str">
        <f t="shared" si="1288"/>
        <v>AC3944</v>
      </c>
      <c r="V3571">
        <v>0</v>
      </c>
      <c r="W3571">
        <v>0</v>
      </c>
      <c r="X3571">
        <v>2</v>
      </c>
      <c r="Y3571">
        <v>0</v>
      </c>
      <c r="AA3571">
        <v>1</v>
      </c>
      <c r="AB3571">
        <v>8</v>
      </c>
      <c r="AC3571">
        <v>3</v>
      </c>
      <c r="AD3571">
        <v>0</v>
      </c>
      <c r="AE3571">
        <v>9</v>
      </c>
      <c r="AF3571" t="s">
        <v>138</v>
      </c>
      <c r="AG3571">
        <v>0</v>
      </c>
      <c r="AH3571">
        <v>3</v>
      </c>
      <c r="AI3571">
        <v>1</v>
      </c>
      <c r="AJ3571">
        <v>0</v>
      </c>
      <c r="AK3571" t="s">
        <v>1169</v>
      </c>
      <c r="AL3571">
        <v>32.735159000000003</v>
      </c>
      <c r="AM3571" t="s">
        <v>1170</v>
      </c>
      <c r="AN3571">
        <v>-116.729178</v>
      </c>
      <c r="AO3571">
        <v>25</v>
      </c>
      <c r="AP3571">
        <v>4400</v>
      </c>
      <c r="AQ3571" t="s">
        <v>129</v>
      </c>
      <c r="AR3571">
        <v>116</v>
      </c>
      <c r="AS3571">
        <v>29</v>
      </c>
      <c r="AT3571">
        <v>576</v>
      </c>
      <c r="BB3571">
        <v>1200</v>
      </c>
      <c r="BC3571">
        <v>1</v>
      </c>
      <c r="BD3571" t="str">
        <f t="shared" si="1289"/>
        <v xml:space="preserve">N887QR  </v>
      </c>
      <c r="BE3571">
        <v>1</v>
      </c>
      <c r="BG3571">
        <v>0</v>
      </c>
      <c r="BH3571">
        <v>0</v>
      </c>
      <c r="BI3571">
        <v>0</v>
      </c>
      <c r="BJ3571">
        <v>4225</v>
      </c>
      <c r="BK3571">
        <v>-175</v>
      </c>
      <c r="BL3571" t="s">
        <v>163</v>
      </c>
      <c r="BM3571">
        <v>1</v>
      </c>
      <c r="BN3571">
        <v>1</v>
      </c>
      <c r="BO3571">
        <v>1</v>
      </c>
      <c r="BP3571">
        <v>0</v>
      </c>
      <c r="BS3571">
        <v>0</v>
      </c>
      <c r="BT3571">
        <v>0</v>
      </c>
      <c r="BU3571">
        <v>0</v>
      </c>
      <c r="CE3571" t="str">
        <f>"19:35:08.984"</f>
        <v>19:35:08.984</v>
      </c>
      <c r="CF3571">
        <v>984320361</v>
      </c>
      <c r="CS3571">
        <v>0</v>
      </c>
      <c r="CT3571">
        <v>2</v>
      </c>
      <c r="CU3571">
        <v>0</v>
      </c>
      <c r="CV3571">
        <v>2</v>
      </c>
      <c r="CW3571">
        <v>0</v>
      </c>
      <c r="CX3571">
        <v>5</v>
      </c>
      <c r="CY3571">
        <v>7</v>
      </c>
      <c r="CZ3571" t="s">
        <v>131</v>
      </c>
      <c r="DA3571">
        <v>300</v>
      </c>
      <c r="DB3571">
        <v>0</v>
      </c>
      <c r="DC3571" t="s">
        <v>176</v>
      </c>
      <c r="DD3571" t="s">
        <v>177</v>
      </c>
      <c r="DG3571">
        <v>5442102</v>
      </c>
      <c r="DI3571">
        <v>1</v>
      </c>
      <c r="DJ3571">
        <v>0</v>
      </c>
      <c r="DK3571">
        <v>1</v>
      </c>
      <c r="DL3571">
        <v>0</v>
      </c>
      <c r="DM3571">
        <v>0</v>
      </c>
      <c r="DN3571">
        <v>1</v>
      </c>
      <c r="DO3571">
        <v>0</v>
      </c>
      <c r="DP3571">
        <v>0</v>
      </c>
      <c r="DQ3571">
        <v>0</v>
      </c>
      <c r="DR3571">
        <v>0</v>
      </c>
      <c r="DS3571">
        <v>0</v>
      </c>
    </row>
    <row r="3572" spans="1:123" x14ac:dyDescent="0.3">
      <c r="A3572" t="str">
        <f>"10/04/2022 19:35:10.120"</f>
        <v>10/04/2022 19:35:10.120</v>
      </c>
      <c r="C3572" t="str">
        <f t="shared" si="1304"/>
        <v>FFDFD3C0</v>
      </c>
      <c r="D3572" t="s">
        <v>141</v>
      </c>
      <c r="E3572">
        <v>4</v>
      </c>
      <c r="H3572">
        <v>4</v>
      </c>
      <c r="I3572" t="s">
        <v>142</v>
      </c>
      <c r="J3572" t="s">
        <v>138</v>
      </c>
      <c r="K3572">
        <v>0</v>
      </c>
      <c r="L3572">
        <v>3</v>
      </c>
      <c r="M3572">
        <v>0</v>
      </c>
      <c r="N3572">
        <v>2</v>
      </c>
      <c r="O3572">
        <v>0</v>
      </c>
      <c r="P3572">
        <v>1</v>
      </c>
      <c r="Q3572">
        <v>0</v>
      </c>
      <c r="S3572" t="str">
        <f t="shared" ref="S3572:T3578" si="1306">"19:35:09.000"</f>
        <v>19:35:09.000</v>
      </c>
      <c r="T3572" t="str">
        <f t="shared" si="1306"/>
        <v>19:35:09.000</v>
      </c>
      <c r="U3572" t="str">
        <f t="shared" si="1288"/>
        <v>AC3944</v>
      </c>
      <c r="V3572">
        <v>0</v>
      </c>
      <c r="W3572">
        <v>0</v>
      </c>
      <c r="X3572">
        <v>2</v>
      </c>
      <c r="Y3572">
        <v>0</v>
      </c>
      <c r="AA3572">
        <v>1</v>
      </c>
      <c r="AB3572">
        <v>8</v>
      </c>
      <c r="AC3572">
        <v>3</v>
      </c>
      <c r="AD3572">
        <v>0</v>
      </c>
      <c r="AE3572">
        <v>9</v>
      </c>
      <c r="AF3572" t="s">
        <v>138</v>
      </c>
      <c r="AG3572">
        <v>0</v>
      </c>
      <c r="AH3572">
        <v>3</v>
      </c>
      <c r="AI3572">
        <v>1</v>
      </c>
      <c r="AJ3572">
        <v>0</v>
      </c>
      <c r="AK3572" t="s">
        <v>1171</v>
      </c>
      <c r="AL3572">
        <v>32.735287999999997</v>
      </c>
      <c r="AM3572" t="s">
        <v>1172</v>
      </c>
      <c r="AN3572">
        <v>-116.72853499999999</v>
      </c>
      <c r="AO3572">
        <v>25</v>
      </c>
      <c r="AP3572">
        <v>4400</v>
      </c>
      <c r="AQ3572" t="s">
        <v>129</v>
      </c>
      <c r="AR3572">
        <v>116</v>
      </c>
      <c r="AS3572">
        <v>27</v>
      </c>
      <c r="AT3572">
        <v>576</v>
      </c>
      <c r="BB3572">
        <v>1200</v>
      </c>
      <c r="BC3572">
        <v>1</v>
      </c>
      <c r="BD3572" t="str">
        <f t="shared" si="1289"/>
        <v xml:space="preserve">N887QR  </v>
      </c>
      <c r="BE3572">
        <v>1</v>
      </c>
      <c r="BG3572">
        <v>0</v>
      </c>
      <c r="BH3572">
        <v>0</v>
      </c>
      <c r="BI3572">
        <v>0</v>
      </c>
      <c r="BJ3572">
        <v>4225</v>
      </c>
      <c r="BK3572">
        <v>-175</v>
      </c>
      <c r="BL3572" t="s">
        <v>163</v>
      </c>
      <c r="BM3572">
        <v>1</v>
      </c>
      <c r="BN3572">
        <v>1</v>
      </c>
      <c r="BO3572">
        <v>1</v>
      </c>
      <c r="BP3572">
        <v>0</v>
      </c>
      <c r="BS3572">
        <v>0</v>
      </c>
      <c r="BT3572">
        <v>0</v>
      </c>
      <c r="BU3572">
        <v>0</v>
      </c>
      <c r="CE3572" t="str">
        <f t="shared" ref="CE3572:CE3578" si="1307">"19:35:09.894"</f>
        <v>19:35:09.894</v>
      </c>
      <c r="CF3572">
        <v>894323399</v>
      </c>
      <c r="CS3572">
        <v>0</v>
      </c>
      <c r="CT3572">
        <v>2</v>
      </c>
      <c r="CU3572">
        <v>0</v>
      </c>
      <c r="CV3572">
        <v>2</v>
      </c>
      <c r="CW3572">
        <v>0</v>
      </c>
      <c r="CX3572">
        <v>5</v>
      </c>
      <c r="CY3572">
        <v>7</v>
      </c>
      <c r="CZ3572" t="s">
        <v>131</v>
      </c>
      <c r="DA3572">
        <v>300</v>
      </c>
      <c r="DB3572">
        <v>0</v>
      </c>
      <c r="DC3572" t="s">
        <v>176</v>
      </c>
      <c r="DD3572" t="s">
        <v>177</v>
      </c>
      <c r="DG3572">
        <v>5442245</v>
      </c>
      <c r="DI3572">
        <v>1</v>
      </c>
      <c r="DJ3572">
        <v>0</v>
      </c>
      <c r="DK3572">
        <v>0</v>
      </c>
      <c r="DL3572">
        <v>0</v>
      </c>
      <c r="DM3572">
        <v>0</v>
      </c>
      <c r="DN3572">
        <v>1</v>
      </c>
      <c r="DO3572">
        <v>0</v>
      </c>
      <c r="DP3572">
        <v>0</v>
      </c>
      <c r="DQ3572">
        <v>0</v>
      </c>
      <c r="DR3572">
        <v>0</v>
      </c>
      <c r="DS3572">
        <v>0</v>
      </c>
    </row>
    <row r="3573" spans="1:123" x14ac:dyDescent="0.3">
      <c r="A3573" t="str">
        <f>"10/04/2022 19:35:10.120"</f>
        <v>10/04/2022 19:35:10.120</v>
      </c>
      <c r="C3573" t="str">
        <f t="shared" si="1304"/>
        <v>FFDFD3C0</v>
      </c>
      <c r="D3573" t="s">
        <v>134</v>
      </c>
      <c r="E3573">
        <v>15</v>
      </c>
      <c r="J3573" t="s">
        <v>135</v>
      </c>
      <c r="K3573">
        <v>0</v>
      </c>
      <c r="L3573">
        <v>3</v>
      </c>
      <c r="M3573">
        <v>0</v>
      </c>
      <c r="N3573">
        <v>2</v>
      </c>
      <c r="O3573">
        <v>0</v>
      </c>
      <c r="P3573">
        <v>1</v>
      </c>
      <c r="Q3573">
        <v>0</v>
      </c>
      <c r="S3573" t="str">
        <f t="shared" si="1306"/>
        <v>19:35:09.000</v>
      </c>
      <c r="T3573" t="str">
        <f t="shared" si="1306"/>
        <v>19:35:09.000</v>
      </c>
      <c r="U3573" t="str">
        <f t="shared" si="1288"/>
        <v>AC3944</v>
      </c>
      <c r="V3573">
        <v>0</v>
      </c>
      <c r="W3573">
        <v>0</v>
      </c>
      <c r="X3573">
        <v>2</v>
      </c>
      <c r="Y3573">
        <v>0</v>
      </c>
      <c r="AA3573">
        <v>1</v>
      </c>
      <c r="AB3573">
        <v>8</v>
      </c>
      <c r="AC3573">
        <v>3</v>
      </c>
      <c r="AD3573">
        <v>0</v>
      </c>
      <c r="AE3573">
        <v>9</v>
      </c>
      <c r="AF3573" t="s">
        <v>138</v>
      </c>
      <c r="AG3573">
        <v>0</v>
      </c>
      <c r="AH3573">
        <v>3</v>
      </c>
      <c r="AI3573">
        <v>1</v>
      </c>
      <c r="AJ3573">
        <v>0</v>
      </c>
      <c r="AK3573" t="s">
        <v>1171</v>
      </c>
      <c r="AL3573">
        <v>32.735287999999997</v>
      </c>
      <c r="AM3573" t="s">
        <v>1172</v>
      </c>
      <c r="AN3573">
        <v>-116.72853499999999</v>
      </c>
      <c r="AO3573">
        <v>25</v>
      </c>
      <c r="AP3573">
        <v>4400</v>
      </c>
      <c r="AQ3573" t="s">
        <v>129</v>
      </c>
      <c r="AR3573">
        <v>116</v>
      </c>
      <c r="AS3573">
        <v>27</v>
      </c>
      <c r="AT3573">
        <v>576</v>
      </c>
      <c r="BB3573">
        <v>1200</v>
      </c>
      <c r="BC3573">
        <v>1</v>
      </c>
      <c r="BD3573" t="str">
        <f t="shared" si="1289"/>
        <v xml:space="preserve">N887QR  </v>
      </c>
      <c r="BE3573">
        <v>1</v>
      </c>
      <c r="BG3573">
        <v>0</v>
      </c>
      <c r="BH3573">
        <v>0</v>
      </c>
      <c r="BI3573">
        <v>0</v>
      </c>
      <c r="BJ3573">
        <v>4225</v>
      </c>
      <c r="BK3573">
        <v>-175</v>
      </c>
      <c r="BL3573" t="s">
        <v>163</v>
      </c>
      <c r="BM3573">
        <v>1</v>
      </c>
      <c r="BN3573">
        <v>1</v>
      </c>
      <c r="BO3573">
        <v>1</v>
      </c>
      <c r="BP3573">
        <v>0</v>
      </c>
      <c r="BS3573">
        <v>0</v>
      </c>
      <c r="BT3573">
        <v>0</v>
      </c>
      <c r="BU3573">
        <v>0</v>
      </c>
      <c r="CE3573" t="str">
        <f t="shared" si="1307"/>
        <v>19:35:09.894</v>
      </c>
      <c r="CF3573">
        <v>894323399</v>
      </c>
      <c r="CS3573">
        <v>0</v>
      </c>
      <c r="CT3573">
        <v>2</v>
      </c>
      <c r="CU3573">
        <v>0</v>
      </c>
      <c r="CV3573">
        <v>2</v>
      </c>
      <c r="CW3573">
        <v>0</v>
      </c>
      <c r="CX3573">
        <v>5</v>
      </c>
      <c r="CY3573">
        <v>7</v>
      </c>
      <c r="CZ3573" t="s">
        <v>131</v>
      </c>
      <c r="DA3573">
        <v>300</v>
      </c>
      <c r="DB3573">
        <v>0</v>
      </c>
      <c r="DC3573" t="s">
        <v>176</v>
      </c>
      <c r="DD3573" t="s">
        <v>177</v>
      </c>
      <c r="DG3573">
        <v>5442245</v>
      </c>
      <c r="DI3573">
        <v>1</v>
      </c>
      <c r="DJ3573">
        <v>0</v>
      </c>
      <c r="DK3573">
        <v>1</v>
      </c>
      <c r="DL3573">
        <v>0</v>
      </c>
      <c r="DM3573">
        <v>0</v>
      </c>
      <c r="DN3573">
        <v>1</v>
      </c>
      <c r="DO3573">
        <v>0</v>
      </c>
      <c r="DP3573">
        <v>0</v>
      </c>
      <c r="DQ3573">
        <v>0</v>
      </c>
      <c r="DR3573">
        <v>0</v>
      </c>
      <c r="DS3573">
        <v>0</v>
      </c>
    </row>
    <row r="3574" spans="1:123" x14ac:dyDescent="0.3">
      <c r="A3574" t="str">
        <f>"10/04/2022 19:35:10.120"</f>
        <v>10/04/2022 19:35:10.120</v>
      </c>
      <c r="C3574" t="str">
        <f t="shared" si="1304"/>
        <v>FFDFD3C0</v>
      </c>
      <c r="D3574" t="s">
        <v>136</v>
      </c>
      <c r="E3574">
        <v>8</v>
      </c>
      <c r="H3574">
        <v>225</v>
      </c>
      <c r="I3574" t="s">
        <v>137</v>
      </c>
      <c r="J3574" t="s">
        <v>138</v>
      </c>
      <c r="K3574">
        <v>0</v>
      </c>
      <c r="L3574">
        <v>3</v>
      </c>
      <c r="M3574">
        <v>0</v>
      </c>
      <c r="N3574">
        <v>2</v>
      </c>
      <c r="O3574">
        <v>0</v>
      </c>
      <c r="P3574">
        <v>1</v>
      </c>
      <c r="Q3574">
        <v>0</v>
      </c>
      <c r="S3574" t="str">
        <f t="shared" si="1306"/>
        <v>19:35:09.000</v>
      </c>
      <c r="T3574" t="str">
        <f t="shared" si="1306"/>
        <v>19:35:09.000</v>
      </c>
      <c r="U3574" t="str">
        <f t="shared" si="1288"/>
        <v>AC3944</v>
      </c>
      <c r="V3574">
        <v>0</v>
      </c>
      <c r="W3574">
        <v>0</v>
      </c>
      <c r="X3574">
        <v>2</v>
      </c>
      <c r="Y3574">
        <v>0</v>
      </c>
      <c r="AA3574">
        <v>1</v>
      </c>
      <c r="AB3574">
        <v>8</v>
      </c>
      <c r="AC3574">
        <v>3</v>
      </c>
      <c r="AD3574">
        <v>0</v>
      </c>
      <c r="AE3574">
        <v>9</v>
      </c>
      <c r="AF3574" t="s">
        <v>138</v>
      </c>
      <c r="AG3574">
        <v>0</v>
      </c>
      <c r="AH3574">
        <v>3</v>
      </c>
      <c r="AI3574">
        <v>1</v>
      </c>
      <c r="AJ3574">
        <v>0</v>
      </c>
      <c r="AK3574" t="s">
        <v>1171</v>
      </c>
      <c r="AL3574">
        <v>32.735287999999997</v>
      </c>
      <c r="AM3574" t="s">
        <v>1172</v>
      </c>
      <c r="AN3574">
        <v>-116.72853499999999</v>
      </c>
      <c r="AO3574">
        <v>25</v>
      </c>
      <c r="AP3574">
        <v>4400</v>
      </c>
      <c r="AQ3574" t="s">
        <v>129</v>
      </c>
      <c r="AR3574">
        <v>116</v>
      </c>
      <c r="AS3574">
        <v>27</v>
      </c>
      <c r="AT3574">
        <v>576</v>
      </c>
      <c r="BB3574">
        <v>1200</v>
      </c>
      <c r="BC3574">
        <v>1</v>
      </c>
      <c r="BD3574" t="str">
        <f t="shared" si="1289"/>
        <v xml:space="preserve">N887QR  </v>
      </c>
      <c r="BE3574">
        <v>1</v>
      </c>
      <c r="BG3574">
        <v>0</v>
      </c>
      <c r="BH3574">
        <v>0</v>
      </c>
      <c r="BI3574">
        <v>0</v>
      </c>
      <c r="BJ3574">
        <v>4225</v>
      </c>
      <c r="BK3574">
        <v>-175</v>
      </c>
      <c r="BL3574" t="s">
        <v>163</v>
      </c>
      <c r="BM3574">
        <v>1</v>
      </c>
      <c r="BN3574">
        <v>1</v>
      </c>
      <c r="BO3574">
        <v>1</v>
      </c>
      <c r="BP3574">
        <v>0</v>
      </c>
      <c r="BS3574">
        <v>0</v>
      </c>
      <c r="BT3574">
        <v>0</v>
      </c>
      <c r="BU3574">
        <v>0</v>
      </c>
      <c r="CE3574" t="str">
        <f t="shared" si="1307"/>
        <v>19:35:09.894</v>
      </c>
      <c r="CF3574">
        <v>894323399</v>
      </c>
      <c r="CS3574">
        <v>0</v>
      </c>
      <c r="CT3574">
        <v>2</v>
      </c>
      <c r="CU3574">
        <v>0</v>
      </c>
      <c r="CV3574">
        <v>2</v>
      </c>
      <c r="CW3574">
        <v>0</v>
      </c>
      <c r="CX3574">
        <v>5</v>
      </c>
      <c r="CY3574">
        <v>7</v>
      </c>
      <c r="CZ3574" t="s">
        <v>131</v>
      </c>
      <c r="DA3574">
        <v>300</v>
      </c>
      <c r="DB3574">
        <v>0</v>
      </c>
      <c r="DC3574" t="s">
        <v>176</v>
      </c>
      <c r="DD3574" t="s">
        <v>177</v>
      </c>
      <c r="DG3574">
        <v>5442245</v>
      </c>
      <c r="DI3574">
        <v>1</v>
      </c>
      <c r="DJ3574">
        <v>0</v>
      </c>
      <c r="DK3574">
        <v>1</v>
      </c>
      <c r="DL3574">
        <v>0</v>
      </c>
      <c r="DM3574">
        <v>0</v>
      </c>
      <c r="DN3574">
        <v>1</v>
      </c>
      <c r="DO3574">
        <v>0</v>
      </c>
      <c r="DP3574">
        <v>0</v>
      </c>
      <c r="DQ3574">
        <v>0</v>
      </c>
      <c r="DR3574">
        <v>0</v>
      </c>
      <c r="DS3574">
        <v>0</v>
      </c>
    </row>
    <row r="3575" spans="1:123" x14ac:dyDescent="0.3">
      <c r="A3575" t="str">
        <f>"10/04/2022 19:35:10.120"</f>
        <v>10/04/2022 19:35:10.120</v>
      </c>
      <c r="C3575" t="str">
        <f t="shared" si="1304"/>
        <v>FFDFD3C0</v>
      </c>
      <c r="D3575" t="s">
        <v>143</v>
      </c>
      <c r="E3575">
        <v>20</v>
      </c>
      <c r="F3575">
        <v>1020</v>
      </c>
      <c r="G3575" t="s">
        <v>144</v>
      </c>
      <c r="J3575" t="s">
        <v>145</v>
      </c>
      <c r="K3575">
        <v>0</v>
      </c>
      <c r="L3575">
        <v>3</v>
      </c>
      <c r="M3575">
        <v>0</v>
      </c>
      <c r="N3575">
        <v>2</v>
      </c>
      <c r="O3575">
        <v>0</v>
      </c>
      <c r="P3575">
        <v>1</v>
      </c>
      <c r="Q3575">
        <v>0</v>
      </c>
      <c r="S3575" t="str">
        <f t="shared" si="1306"/>
        <v>19:35:09.000</v>
      </c>
      <c r="T3575" t="str">
        <f t="shared" si="1306"/>
        <v>19:35:09.000</v>
      </c>
      <c r="U3575" t="str">
        <f t="shared" si="1288"/>
        <v>AC3944</v>
      </c>
      <c r="V3575">
        <v>0</v>
      </c>
      <c r="W3575">
        <v>0</v>
      </c>
      <c r="X3575">
        <v>2</v>
      </c>
      <c r="Y3575">
        <v>0</v>
      </c>
      <c r="AA3575">
        <v>1</v>
      </c>
      <c r="AB3575">
        <v>8</v>
      </c>
      <c r="AC3575">
        <v>3</v>
      </c>
      <c r="AD3575">
        <v>0</v>
      </c>
      <c r="AE3575">
        <v>9</v>
      </c>
      <c r="AF3575" t="s">
        <v>138</v>
      </c>
      <c r="AG3575">
        <v>0</v>
      </c>
      <c r="AH3575">
        <v>3</v>
      </c>
      <c r="AI3575">
        <v>1</v>
      </c>
      <c r="AJ3575">
        <v>0</v>
      </c>
      <c r="AK3575" t="s">
        <v>1171</v>
      </c>
      <c r="AL3575">
        <v>32.735287999999997</v>
      </c>
      <c r="AM3575" t="s">
        <v>1172</v>
      </c>
      <c r="AN3575">
        <v>-116.72853499999999</v>
      </c>
      <c r="AO3575">
        <v>25</v>
      </c>
      <c r="AP3575">
        <v>4400</v>
      </c>
      <c r="AQ3575" t="s">
        <v>129</v>
      </c>
      <c r="AR3575">
        <v>116</v>
      </c>
      <c r="AS3575">
        <v>27</v>
      </c>
      <c r="AT3575">
        <v>576</v>
      </c>
      <c r="BB3575">
        <v>1200</v>
      </c>
      <c r="BC3575">
        <v>1</v>
      </c>
      <c r="BD3575" t="str">
        <f t="shared" si="1289"/>
        <v xml:space="preserve">N887QR  </v>
      </c>
      <c r="BE3575">
        <v>1</v>
      </c>
      <c r="BG3575">
        <v>0</v>
      </c>
      <c r="BH3575">
        <v>0</v>
      </c>
      <c r="BI3575">
        <v>0</v>
      </c>
      <c r="BJ3575">
        <v>4225</v>
      </c>
      <c r="BK3575">
        <v>-175</v>
      </c>
      <c r="BL3575" t="s">
        <v>163</v>
      </c>
      <c r="BM3575">
        <v>1</v>
      </c>
      <c r="BN3575">
        <v>1</v>
      </c>
      <c r="BO3575">
        <v>1</v>
      </c>
      <c r="BP3575">
        <v>0</v>
      </c>
      <c r="BS3575">
        <v>0</v>
      </c>
      <c r="BT3575">
        <v>0</v>
      </c>
      <c r="BU3575">
        <v>0</v>
      </c>
      <c r="CE3575" t="str">
        <f t="shared" si="1307"/>
        <v>19:35:09.894</v>
      </c>
      <c r="CF3575">
        <v>894323399</v>
      </c>
      <c r="CS3575">
        <v>0</v>
      </c>
      <c r="CT3575">
        <v>2</v>
      </c>
      <c r="CU3575">
        <v>0</v>
      </c>
      <c r="CV3575">
        <v>2</v>
      </c>
      <c r="CW3575">
        <v>0</v>
      </c>
      <c r="CX3575">
        <v>5</v>
      </c>
      <c r="CY3575">
        <v>7</v>
      </c>
      <c r="CZ3575" t="s">
        <v>131</v>
      </c>
      <c r="DA3575">
        <v>300</v>
      </c>
      <c r="DB3575">
        <v>0</v>
      </c>
      <c r="DC3575" t="s">
        <v>176</v>
      </c>
      <c r="DD3575" t="s">
        <v>177</v>
      </c>
      <c r="DG3575">
        <v>5442245</v>
      </c>
      <c r="DI3575">
        <v>1</v>
      </c>
      <c r="DJ3575">
        <v>0</v>
      </c>
      <c r="DK3575">
        <v>1</v>
      </c>
      <c r="DL3575">
        <v>0</v>
      </c>
      <c r="DM3575">
        <v>0</v>
      </c>
      <c r="DN3575">
        <v>1</v>
      </c>
      <c r="DO3575">
        <v>0</v>
      </c>
      <c r="DP3575">
        <v>0</v>
      </c>
      <c r="DQ3575">
        <v>0</v>
      </c>
      <c r="DR3575">
        <v>0</v>
      </c>
      <c r="DS3575">
        <v>0</v>
      </c>
    </row>
    <row r="3576" spans="1:123" x14ac:dyDescent="0.3">
      <c r="A3576" t="str">
        <f>"10/04/2022 19:35:10.120"</f>
        <v>10/04/2022 19:35:10.120</v>
      </c>
      <c r="C3576" t="str">
        <f t="shared" si="1304"/>
        <v>FFDFD3C0</v>
      </c>
      <c r="D3576" t="s">
        <v>147</v>
      </c>
      <c r="E3576">
        <v>3</v>
      </c>
      <c r="H3576">
        <v>166</v>
      </c>
      <c r="I3576" t="s">
        <v>144</v>
      </c>
      <c r="J3576" t="s">
        <v>148</v>
      </c>
      <c r="K3576">
        <v>0</v>
      </c>
      <c r="L3576">
        <v>3</v>
      </c>
      <c r="M3576">
        <v>0</v>
      </c>
      <c r="N3576">
        <v>2</v>
      </c>
      <c r="O3576">
        <v>0</v>
      </c>
      <c r="P3576">
        <v>1</v>
      </c>
      <c r="Q3576">
        <v>0</v>
      </c>
      <c r="S3576" t="str">
        <f t="shared" si="1306"/>
        <v>19:35:09.000</v>
      </c>
      <c r="T3576" t="str">
        <f t="shared" si="1306"/>
        <v>19:35:09.000</v>
      </c>
      <c r="U3576" t="str">
        <f t="shared" si="1288"/>
        <v>AC3944</v>
      </c>
      <c r="V3576">
        <v>0</v>
      </c>
      <c r="W3576">
        <v>0</v>
      </c>
      <c r="X3576">
        <v>2</v>
      </c>
      <c r="Y3576">
        <v>0</v>
      </c>
      <c r="AA3576">
        <v>1</v>
      </c>
      <c r="AB3576">
        <v>8</v>
      </c>
      <c r="AC3576">
        <v>3</v>
      </c>
      <c r="AD3576">
        <v>0</v>
      </c>
      <c r="AE3576">
        <v>9</v>
      </c>
      <c r="AF3576" t="s">
        <v>138</v>
      </c>
      <c r="AG3576">
        <v>0</v>
      </c>
      <c r="AH3576">
        <v>3</v>
      </c>
      <c r="AI3576">
        <v>1</v>
      </c>
      <c r="AJ3576">
        <v>0</v>
      </c>
      <c r="AK3576" t="s">
        <v>1171</v>
      </c>
      <c r="AL3576">
        <v>32.735287999999997</v>
      </c>
      <c r="AM3576" t="s">
        <v>1172</v>
      </c>
      <c r="AN3576">
        <v>-116.72853499999999</v>
      </c>
      <c r="AO3576">
        <v>25</v>
      </c>
      <c r="AP3576">
        <v>4400</v>
      </c>
      <c r="AQ3576" t="s">
        <v>129</v>
      </c>
      <c r="AR3576">
        <v>116</v>
      </c>
      <c r="AS3576">
        <v>27</v>
      </c>
      <c r="AT3576">
        <v>576</v>
      </c>
      <c r="BB3576">
        <v>1200</v>
      </c>
      <c r="BC3576">
        <v>1</v>
      </c>
      <c r="BD3576" t="str">
        <f t="shared" si="1289"/>
        <v xml:space="preserve">N887QR  </v>
      </c>
      <c r="BE3576">
        <v>1</v>
      </c>
      <c r="BG3576">
        <v>0</v>
      </c>
      <c r="BH3576">
        <v>0</v>
      </c>
      <c r="BI3576">
        <v>0</v>
      </c>
      <c r="BJ3576">
        <v>4225</v>
      </c>
      <c r="BK3576">
        <v>-175</v>
      </c>
      <c r="BL3576" t="s">
        <v>163</v>
      </c>
      <c r="BM3576">
        <v>1</v>
      </c>
      <c r="BN3576">
        <v>1</v>
      </c>
      <c r="BO3576">
        <v>1</v>
      </c>
      <c r="BP3576">
        <v>0</v>
      </c>
      <c r="BS3576">
        <v>0</v>
      </c>
      <c r="BT3576">
        <v>0</v>
      </c>
      <c r="BU3576">
        <v>0</v>
      </c>
      <c r="CE3576" t="str">
        <f t="shared" si="1307"/>
        <v>19:35:09.894</v>
      </c>
      <c r="CF3576">
        <v>894323399</v>
      </c>
      <c r="CS3576">
        <v>0</v>
      </c>
      <c r="CT3576">
        <v>2</v>
      </c>
      <c r="CU3576">
        <v>0</v>
      </c>
      <c r="CV3576">
        <v>2</v>
      </c>
      <c r="CW3576">
        <v>0</v>
      </c>
      <c r="CX3576">
        <v>5</v>
      </c>
      <c r="CY3576">
        <v>7</v>
      </c>
      <c r="CZ3576" t="s">
        <v>131</v>
      </c>
      <c r="DA3576">
        <v>300</v>
      </c>
      <c r="DB3576">
        <v>0</v>
      </c>
      <c r="DC3576" t="s">
        <v>176</v>
      </c>
      <c r="DD3576" t="s">
        <v>177</v>
      </c>
      <c r="DG3576">
        <v>5442245</v>
      </c>
      <c r="DI3576">
        <v>1</v>
      </c>
      <c r="DJ3576">
        <v>0</v>
      </c>
      <c r="DK3576">
        <v>1</v>
      </c>
      <c r="DL3576">
        <v>0</v>
      </c>
      <c r="DM3576">
        <v>0</v>
      </c>
      <c r="DN3576">
        <v>1</v>
      </c>
      <c r="DO3576">
        <v>0</v>
      </c>
      <c r="DP3576">
        <v>0</v>
      </c>
      <c r="DQ3576">
        <v>0</v>
      </c>
      <c r="DR3576">
        <v>0</v>
      </c>
      <c r="DS3576">
        <v>0</v>
      </c>
    </row>
    <row r="3577" spans="1:123" x14ac:dyDescent="0.3">
      <c r="A3577" t="str">
        <f>"10/04/2022 19:35:10.199"</f>
        <v>10/04/2022 19:35:10.199</v>
      </c>
      <c r="C3577" t="str">
        <f t="shared" si="1304"/>
        <v>FFDFD3C0</v>
      </c>
      <c r="D3577" t="s">
        <v>123</v>
      </c>
      <c r="E3577">
        <v>7</v>
      </c>
      <c r="F3577">
        <v>2007</v>
      </c>
      <c r="G3577" t="s">
        <v>124</v>
      </c>
      <c r="J3577" t="s">
        <v>125</v>
      </c>
      <c r="K3577">
        <v>0</v>
      </c>
      <c r="L3577">
        <v>3</v>
      </c>
      <c r="M3577">
        <v>0</v>
      </c>
      <c r="N3577">
        <v>2</v>
      </c>
      <c r="O3577">
        <v>0</v>
      </c>
      <c r="P3577">
        <v>1</v>
      </c>
      <c r="Q3577">
        <v>0</v>
      </c>
      <c r="S3577" t="str">
        <f t="shared" si="1306"/>
        <v>19:35:09.000</v>
      </c>
      <c r="T3577" t="str">
        <f t="shared" si="1306"/>
        <v>19:35:09.000</v>
      </c>
      <c r="U3577" t="str">
        <f t="shared" si="1288"/>
        <v>AC3944</v>
      </c>
      <c r="V3577">
        <v>0</v>
      </c>
      <c r="W3577">
        <v>0</v>
      </c>
      <c r="X3577">
        <v>2</v>
      </c>
      <c r="Y3577">
        <v>0</v>
      </c>
      <c r="AA3577">
        <v>1</v>
      </c>
      <c r="AB3577">
        <v>8</v>
      </c>
      <c r="AC3577">
        <v>3</v>
      </c>
      <c r="AD3577">
        <v>0</v>
      </c>
      <c r="AE3577">
        <v>9</v>
      </c>
      <c r="AF3577" t="s">
        <v>138</v>
      </c>
      <c r="AG3577">
        <v>0</v>
      </c>
      <c r="AH3577">
        <v>3</v>
      </c>
      <c r="AI3577">
        <v>1</v>
      </c>
      <c r="AJ3577">
        <v>0</v>
      </c>
      <c r="AK3577" t="s">
        <v>1171</v>
      </c>
      <c r="AL3577">
        <v>32.735287999999997</v>
      </c>
      <c r="AM3577" t="s">
        <v>1172</v>
      </c>
      <c r="AN3577">
        <v>-116.72853499999999</v>
      </c>
      <c r="AO3577">
        <v>25</v>
      </c>
      <c r="AP3577">
        <v>4400</v>
      </c>
      <c r="AQ3577" t="s">
        <v>129</v>
      </c>
      <c r="AR3577">
        <v>116</v>
      </c>
      <c r="AS3577">
        <v>27</v>
      </c>
      <c r="AT3577">
        <v>576</v>
      </c>
      <c r="BB3577">
        <v>1200</v>
      </c>
      <c r="BC3577">
        <v>1</v>
      </c>
      <c r="BD3577" t="str">
        <f t="shared" si="1289"/>
        <v xml:space="preserve">N887QR  </v>
      </c>
      <c r="BE3577">
        <v>1</v>
      </c>
      <c r="BG3577">
        <v>0</v>
      </c>
      <c r="BH3577">
        <v>0</v>
      </c>
      <c r="BI3577">
        <v>0</v>
      </c>
      <c r="BJ3577">
        <v>4225</v>
      </c>
      <c r="BK3577">
        <v>-175</v>
      </c>
      <c r="BL3577" t="s">
        <v>163</v>
      </c>
      <c r="BM3577">
        <v>1</v>
      </c>
      <c r="BN3577">
        <v>1</v>
      </c>
      <c r="BO3577">
        <v>1</v>
      </c>
      <c r="BP3577">
        <v>0</v>
      </c>
      <c r="BS3577">
        <v>0</v>
      </c>
      <c r="BT3577">
        <v>0</v>
      </c>
      <c r="BU3577">
        <v>0</v>
      </c>
      <c r="CE3577" t="str">
        <f t="shared" si="1307"/>
        <v>19:35:09.894</v>
      </c>
      <c r="CF3577">
        <v>894323399</v>
      </c>
      <c r="CS3577">
        <v>0</v>
      </c>
      <c r="CT3577">
        <v>2</v>
      </c>
      <c r="CU3577">
        <v>0</v>
      </c>
      <c r="CV3577">
        <v>2</v>
      </c>
      <c r="CW3577">
        <v>0</v>
      </c>
      <c r="CX3577">
        <v>5</v>
      </c>
      <c r="CY3577">
        <v>7</v>
      </c>
      <c r="CZ3577" t="s">
        <v>131</v>
      </c>
      <c r="DA3577">
        <v>300</v>
      </c>
      <c r="DB3577">
        <v>0</v>
      </c>
      <c r="DC3577" t="s">
        <v>176</v>
      </c>
      <c r="DD3577" t="s">
        <v>177</v>
      </c>
      <c r="DG3577">
        <v>5442245</v>
      </c>
      <c r="DI3577">
        <v>1</v>
      </c>
      <c r="DJ3577">
        <v>0</v>
      </c>
      <c r="DK3577">
        <v>1</v>
      </c>
      <c r="DL3577">
        <v>0</v>
      </c>
      <c r="DM3577">
        <v>0</v>
      </c>
      <c r="DN3577">
        <v>1</v>
      </c>
      <c r="DO3577">
        <v>0</v>
      </c>
      <c r="DP3577">
        <v>0</v>
      </c>
      <c r="DQ3577">
        <v>0</v>
      </c>
      <c r="DR3577">
        <v>0</v>
      </c>
      <c r="DS3577">
        <v>0</v>
      </c>
    </row>
    <row r="3578" spans="1:123" x14ac:dyDescent="0.3">
      <c r="A3578" t="str">
        <f>"10/04/2022 19:35:10.199"</f>
        <v>10/04/2022 19:35:10.199</v>
      </c>
      <c r="C3578" t="str">
        <f t="shared" si="1304"/>
        <v>FFDFD3C0</v>
      </c>
      <c r="D3578" t="s">
        <v>141</v>
      </c>
      <c r="E3578">
        <v>3</v>
      </c>
      <c r="H3578">
        <v>3</v>
      </c>
      <c r="I3578" t="s">
        <v>146</v>
      </c>
      <c r="J3578" t="s">
        <v>138</v>
      </c>
      <c r="K3578">
        <v>0</v>
      </c>
      <c r="L3578">
        <v>3</v>
      </c>
      <c r="M3578">
        <v>0</v>
      </c>
      <c r="N3578">
        <v>2</v>
      </c>
      <c r="O3578">
        <v>0</v>
      </c>
      <c r="P3578">
        <v>1</v>
      </c>
      <c r="Q3578">
        <v>0</v>
      </c>
      <c r="S3578" t="str">
        <f t="shared" si="1306"/>
        <v>19:35:09.000</v>
      </c>
      <c r="T3578" t="str">
        <f t="shared" si="1306"/>
        <v>19:35:09.000</v>
      </c>
      <c r="U3578" t="str">
        <f t="shared" si="1288"/>
        <v>AC3944</v>
      </c>
      <c r="V3578">
        <v>0</v>
      </c>
      <c r="W3578">
        <v>0</v>
      </c>
      <c r="X3578">
        <v>2</v>
      </c>
      <c r="Y3578">
        <v>0</v>
      </c>
      <c r="AA3578">
        <v>1</v>
      </c>
      <c r="AB3578">
        <v>8</v>
      </c>
      <c r="AC3578">
        <v>3</v>
      </c>
      <c r="AD3578">
        <v>0</v>
      </c>
      <c r="AE3578">
        <v>9</v>
      </c>
      <c r="AF3578" t="s">
        <v>138</v>
      </c>
      <c r="AG3578">
        <v>0</v>
      </c>
      <c r="AH3578">
        <v>3</v>
      </c>
      <c r="AI3578">
        <v>1</v>
      </c>
      <c r="AJ3578">
        <v>0</v>
      </c>
      <c r="AK3578" t="s">
        <v>1171</v>
      </c>
      <c r="AL3578">
        <v>32.735287999999997</v>
      </c>
      <c r="AM3578" t="s">
        <v>1172</v>
      </c>
      <c r="AN3578">
        <v>-116.72853499999999</v>
      </c>
      <c r="AO3578">
        <v>25</v>
      </c>
      <c r="AP3578">
        <v>4400</v>
      </c>
      <c r="AQ3578" t="s">
        <v>129</v>
      </c>
      <c r="AR3578">
        <v>116</v>
      </c>
      <c r="AS3578">
        <v>27</v>
      </c>
      <c r="AT3578">
        <v>576</v>
      </c>
      <c r="BB3578">
        <v>1200</v>
      </c>
      <c r="BC3578">
        <v>1</v>
      </c>
      <c r="BD3578" t="str">
        <f t="shared" si="1289"/>
        <v xml:space="preserve">N887QR  </v>
      </c>
      <c r="BE3578">
        <v>1</v>
      </c>
      <c r="BG3578">
        <v>0</v>
      </c>
      <c r="BH3578">
        <v>0</v>
      </c>
      <c r="BI3578">
        <v>0</v>
      </c>
      <c r="BJ3578">
        <v>4225</v>
      </c>
      <c r="BK3578">
        <v>-175</v>
      </c>
      <c r="BL3578" t="s">
        <v>163</v>
      </c>
      <c r="BM3578">
        <v>1</v>
      </c>
      <c r="BN3578">
        <v>1</v>
      </c>
      <c r="BO3578">
        <v>1</v>
      </c>
      <c r="BP3578">
        <v>0</v>
      </c>
      <c r="BS3578">
        <v>0</v>
      </c>
      <c r="BT3578">
        <v>0</v>
      </c>
      <c r="BU3578">
        <v>0</v>
      </c>
      <c r="CE3578" t="str">
        <f t="shared" si="1307"/>
        <v>19:35:09.894</v>
      </c>
      <c r="CF3578">
        <v>894323399</v>
      </c>
      <c r="CS3578">
        <v>0</v>
      </c>
      <c r="CT3578">
        <v>2</v>
      </c>
      <c r="CU3578">
        <v>0</v>
      </c>
      <c r="CV3578">
        <v>2</v>
      </c>
      <c r="CW3578">
        <v>0</v>
      </c>
      <c r="CX3578">
        <v>5</v>
      </c>
      <c r="CY3578">
        <v>7</v>
      </c>
      <c r="CZ3578" t="s">
        <v>131</v>
      </c>
      <c r="DA3578">
        <v>300</v>
      </c>
      <c r="DB3578">
        <v>0</v>
      </c>
      <c r="DC3578" t="s">
        <v>176</v>
      </c>
      <c r="DD3578" t="s">
        <v>177</v>
      </c>
      <c r="DG3578">
        <v>5442245</v>
      </c>
      <c r="DI3578">
        <v>1</v>
      </c>
      <c r="DJ3578">
        <v>0</v>
      </c>
      <c r="DK3578">
        <v>1</v>
      </c>
      <c r="DL3578">
        <v>0</v>
      </c>
      <c r="DM3578">
        <v>0</v>
      </c>
      <c r="DN3578">
        <v>1</v>
      </c>
      <c r="DO3578">
        <v>0</v>
      </c>
      <c r="DP3578">
        <v>0</v>
      </c>
      <c r="DQ3578">
        <v>0</v>
      </c>
      <c r="DR3578">
        <v>0</v>
      </c>
      <c r="DS3578">
        <v>0</v>
      </c>
    </row>
    <row r="3579" spans="1:123" x14ac:dyDescent="0.3">
      <c r="A3579" t="str">
        <f t="shared" ref="A3579:A3585" si="1308">"10/04/2022 19:35:12.761"</f>
        <v>10/04/2022 19:35:12.761</v>
      </c>
      <c r="C3579" t="str">
        <f t="shared" si="1304"/>
        <v>FFDFD3C0</v>
      </c>
      <c r="D3579" t="s">
        <v>141</v>
      </c>
      <c r="E3579">
        <v>4</v>
      </c>
      <c r="H3579">
        <v>4</v>
      </c>
      <c r="I3579" t="s">
        <v>142</v>
      </c>
      <c r="J3579" t="s">
        <v>138</v>
      </c>
      <c r="K3579">
        <v>0</v>
      </c>
      <c r="L3579">
        <v>3</v>
      </c>
      <c r="M3579">
        <v>0</v>
      </c>
      <c r="N3579">
        <v>2</v>
      </c>
      <c r="O3579">
        <v>0</v>
      </c>
      <c r="P3579">
        <v>1</v>
      </c>
      <c r="Q3579">
        <v>0</v>
      </c>
      <c r="S3579" t="str">
        <f t="shared" ref="S3579:T3592" si="1309">"19:35:12.000"</f>
        <v>19:35:12.000</v>
      </c>
      <c r="T3579" t="str">
        <f t="shared" si="1309"/>
        <v>19:35:12.000</v>
      </c>
      <c r="U3579" t="str">
        <f t="shared" si="1288"/>
        <v>AC3944</v>
      </c>
      <c r="V3579">
        <v>0</v>
      </c>
      <c r="W3579">
        <v>0</v>
      </c>
      <c r="X3579">
        <v>2</v>
      </c>
      <c r="Y3579">
        <v>0</v>
      </c>
      <c r="AA3579">
        <v>1</v>
      </c>
      <c r="AB3579">
        <v>8</v>
      </c>
      <c r="AC3579">
        <v>3</v>
      </c>
      <c r="AD3579">
        <v>0</v>
      </c>
      <c r="AE3579">
        <v>9</v>
      </c>
      <c r="AF3579" t="s">
        <v>138</v>
      </c>
      <c r="AG3579">
        <v>0</v>
      </c>
      <c r="AH3579">
        <v>3</v>
      </c>
      <c r="AI3579">
        <v>1</v>
      </c>
      <c r="AJ3579">
        <v>0</v>
      </c>
      <c r="AK3579" t="s">
        <v>1173</v>
      </c>
      <c r="AL3579">
        <v>32.735567000000003</v>
      </c>
      <c r="AM3579" t="s">
        <v>1174</v>
      </c>
      <c r="AN3579">
        <v>-116.727118</v>
      </c>
      <c r="AO3579">
        <v>25</v>
      </c>
      <c r="AP3579">
        <v>4400</v>
      </c>
      <c r="AQ3579" t="s">
        <v>129</v>
      </c>
      <c r="AR3579">
        <v>117</v>
      </c>
      <c r="AS3579">
        <v>23</v>
      </c>
      <c r="AT3579">
        <v>704</v>
      </c>
      <c r="BB3579">
        <v>1200</v>
      </c>
      <c r="BC3579">
        <v>1</v>
      </c>
      <c r="BD3579" t="str">
        <f t="shared" si="1289"/>
        <v xml:space="preserve">N887QR  </v>
      </c>
      <c r="BE3579">
        <v>1</v>
      </c>
      <c r="BG3579">
        <v>0</v>
      </c>
      <c r="BH3579">
        <v>0</v>
      </c>
      <c r="BI3579">
        <v>0</v>
      </c>
      <c r="BJ3579">
        <v>4250</v>
      </c>
      <c r="BK3579">
        <v>-150</v>
      </c>
      <c r="BL3579" t="s">
        <v>163</v>
      </c>
      <c r="BM3579">
        <v>1</v>
      </c>
      <c r="BN3579">
        <v>1</v>
      </c>
      <c r="BO3579">
        <v>1</v>
      </c>
      <c r="BP3579">
        <v>0</v>
      </c>
      <c r="BS3579">
        <v>0</v>
      </c>
      <c r="BT3579">
        <v>0</v>
      </c>
      <c r="BU3579">
        <v>0</v>
      </c>
      <c r="CE3579" t="str">
        <f t="shared" ref="CE3579:CE3585" si="1310">"19:35:12.488"</f>
        <v>19:35:12.488</v>
      </c>
      <c r="CF3579">
        <v>488269295</v>
      </c>
      <c r="CS3579">
        <v>0</v>
      </c>
      <c r="CT3579">
        <v>2</v>
      </c>
      <c r="CU3579">
        <v>0</v>
      </c>
      <c r="CV3579">
        <v>2</v>
      </c>
      <c r="CW3579">
        <v>0</v>
      </c>
      <c r="CX3579">
        <v>4</v>
      </c>
      <c r="CY3579">
        <v>7</v>
      </c>
      <c r="CZ3579" t="s">
        <v>131</v>
      </c>
      <c r="DA3579">
        <v>286</v>
      </c>
      <c r="DB3579">
        <v>0</v>
      </c>
      <c r="DC3579" t="s">
        <v>132</v>
      </c>
      <c r="DD3579" t="s">
        <v>133</v>
      </c>
      <c r="DG3579">
        <v>884153</v>
      </c>
      <c r="DI3579">
        <v>1</v>
      </c>
      <c r="DJ3579">
        <v>0</v>
      </c>
      <c r="DK3579">
        <v>0</v>
      </c>
      <c r="DL3579">
        <v>0</v>
      </c>
      <c r="DM3579">
        <v>0</v>
      </c>
      <c r="DN3579">
        <v>1</v>
      </c>
      <c r="DO3579">
        <v>0</v>
      </c>
      <c r="DP3579">
        <v>0</v>
      </c>
      <c r="DQ3579">
        <v>0</v>
      </c>
      <c r="DR3579">
        <v>0</v>
      </c>
      <c r="DS3579">
        <v>0</v>
      </c>
    </row>
    <row r="3580" spans="1:123" x14ac:dyDescent="0.3">
      <c r="A3580" t="str">
        <f t="shared" si="1308"/>
        <v>10/04/2022 19:35:12.761</v>
      </c>
      <c r="C3580" t="str">
        <f t="shared" si="1304"/>
        <v>FFDFD3C0</v>
      </c>
      <c r="D3580" t="s">
        <v>136</v>
      </c>
      <c r="E3580">
        <v>8</v>
      </c>
      <c r="H3580">
        <v>225</v>
      </c>
      <c r="I3580" t="s">
        <v>137</v>
      </c>
      <c r="J3580" t="s">
        <v>138</v>
      </c>
      <c r="K3580">
        <v>0</v>
      </c>
      <c r="L3580">
        <v>3</v>
      </c>
      <c r="M3580">
        <v>0</v>
      </c>
      <c r="N3580">
        <v>2</v>
      </c>
      <c r="O3580">
        <v>0</v>
      </c>
      <c r="P3580">
        <v>1</v>
      </c>
      <c r="Q3580">
        <v>0</v>
      </c>
      <c r="S3580" t="str">
        <f t="shared" si="1309"/>
        <v>19:35:12.000</v>
      </c>
      <c r="T3580" t="str">
        <f t="shared" si="1309"/>
        <v>19:35:12.000</v>
      </c>
      <c r="U3580" t="str">
        <f t="shared" si="1288"/>
        <v>AC3944</v>
      </c>
      <c r="V3580">
        <v>0</v>
      </c>
      <c r="W3580">
        <v>0</v>
      </c>
      <c r="X3580">
        <v>2</v>
      </c>
      <c r="Y3580">
        <v>0</v>
      </c>
      <c r="AA3580">
        <v>1</v>
      </c>
      <c r="AB3580">
        <v>8</v>
      </c>
      <c r="AC3580">
        <v>3</v>
      </c>
      <c r="AD3580">
        <v>0</v>
      </c>
      <c r="AE3580">
        <v>9</v>
      </c>
      <c r="AF3580" t="s">
        <v>138</v>
      </c>
      <c r="AG3580">
        <v>0</v>
      </c>
      <c r="AH3580">
        <v>3</v>
      </c>
      <c r="AI3580">
        <v>1</v>
      </c>
      <c r="AJ3580">
        <v>0</v>
      </c>
      <c r="AK3580" t="s">
        <v>1173</v>
      </c>
      <c r="AL3580">
        <v>32.735567000000003</v>
      </c>
      <c r="AM3580" t="s">
        <v>1174</v>
      </c>
      <c r="AN3580">
        <v>-116.727118</v>
      </c>
      <c r="AO3580">
        <v>25</v>
      </c>
      <c r="AP3580">
        <v>4400</v>
      </c>
      <c r="AQ3580" t="s">
        <v>129</v>
      </c>
      <c r="AR3580">
        <v>117</v>
      </c>
      <c r="AS3580">
        <v>23</v>
      </c>
      <c r="AT3580">
        <v>704</v>
      </c>
      <c r="BB3580">
        <v>1200</v>
      </c>
      <c r="BC3580">
        <v>1</v>
      </c>
      <c r="BD3580" t="str">
        <f t="shared" si="1289"/>
        <v xml:space="preserve">N887QR  </v>
      </c>
      <c r="BE3580">
        <v>1</v>
      </c>
      <c r="BG3580">
        <v>0</v>
      </c>
      <c r="BH3580">
        <v>0</v>
      </c>
      <c r="BI3580">
        <v>0</v>
      </c>
      <c r="BJ3580">
        <v>4250</v>
      </c>
      <c r="BK3580">
        <v>-150</v>
      </c>
      <c r="BL3580" t="s">
        <v>163</v>
      </c>
      <c r="BM3580">
        <v>1</v>
      </c>
      <c r="BN3580">
        <v>1</v>
      </c>
      <c r="BO3580">
        <v>1</v>
      </c>
      <c r="BP3580">
        <v>0</v>
      </c>
      <c r="BS3580">
        <v>0</v>
      </c>
      <c r="BT3580">
        <v>0</v>
      </c>
      <c r="BU3580">
        <v>0</v>
      </c>
      <c r="CE3580" t="str">
        <f t="shared" si="1310"/>
        <v>19:35:12.488</v>
      </c>
      <c r="CF3580">
        <v>488269295</v>
      </c>
      <c r="CS3580">
        <v>0</v>
      </c>
      <c r="CT3580">
        <v>2</v>
      </c>
      <c r="CU3580">
        <v>0</v>
      </c>
      <c r="CV3580">
        <v>2</v>
      </c>
      <c r="CW3580">
        <v>0</v>
      </c>
      <c r="CX3580">
        <v>4</v>
      </c>
      <c r="CY3580">
        <v>7</v>
      </c>
      <c r="CZ3580" t="s">
        <v>131</v>
      </c>
      <c r="DA3580">
        <v>286</v>
      </c>
      <c r="DB3580">
        <v>0</v>
      </c>
      <c r="DC3580" t="s">
        <v>132</v>
      </c>
      <c r="DD3580" t="s">
        <v>133</v>
      </c>
      <c r="DG3580">
        <v>884153</v>
      </c>
      <c r="DI3580">
        <v>1</v>
      </c>
      <c r="DJ3580">
        <v>0</v>
      </c>
      <c r="DK3580">
        <v>1</v>
      </c>
      <c r="DL3580">
        <v>0</v>
      </c>
      <c r="DM3580">
        <v>0</v>
      </c>
      <c r="DN3580">
        <v>1</v>
      </c>
      <c r="DO3580">
        <v>0</v>
      </c>
      <c r="DP3580">
        <v>0</v>
      </c>
      <c r="DQ3580">
        <v>0</v>
      </c>
      <c r="DR3580">
        <v>0</v>
      </c>
      <c r="DS3580">
        <v>0</v>
      </c>
    </row>
    <row r="3581" spans="1:123" x14ac:dyDescent="0.3">
      <c r="A3581" t="str">
        <f t="shared" si="1308"/>
        <v>10/04/2022 19:35:12.761</v>
      </c>
      <c r="C3581" t="str">
        <f t="shared" si="1304"/>
        <v>FFDFD3C0</v>
      </c>
      <c r="D3581" t="s">
        <v>143</v>
      </c>
      <c r="E3581">
        <v>20</v>
      </c>
      <c r="F3581">
        <v>1020</v>
      </c>
      <c r="G3581" t="s">
        <v>144</v>
      </c>
      <c r="J3581" t="s">
        <v>145</v>
      </c>
      <c r="K3581">
        <v>0</v>
      </c>
      <c r="L3581">
        <v>3</v>
      </c>
      <c r="M3581">
        <v>0</v>
      </c>
      <c r="N3581">
        <v>2</v>
      </c>
      <c r="O3581">
        <v>0</v>
      </c>
      <c r="P3581">
        <v>1</v>
      </c>
      <c r="Q3581">
        <v>0</v>
      </c>
      <c r="S3581" t="str">
        <f t="shared" si="1309"/>
        <v>19:35:12.000</v>
      </c>
      <c r="T3581" t="str">
        <f t="shared" si="1309"/>
        <v>19:35:12.000</v>
      </c>
      <c r="U3581" t="str">
        <f t="shared" si="1288"/>
        <v>AC3944</v>
      </c>
      <c r="V3581">
        <v>0</v>
      </c>
      <c r="W3581">
        <v>0</v>
      </c>
      <c r="X3581">
        <v>2</v>
      </c>
      <c r="Y3581">
        <v>0</v>
      </c>
      <c r="AA3581">
        <v>1</v>
      </c>
      <c r="AB3581">
        <v>8</v>
      </c>
      <c r="AC3581">
        <v>3</v>
      </c>
      <c r="AD3581">
        <v>0</v>
      </c>
      <c r="AE3581">
        <v>9</v>
      </c>
      <c r="AF3581" t="s">
        <v>138</v>
      </c>
      <c r="AG3581">
        <v>0</v>
      </c>
      <c r="AH3581">
        <v>3</v>
      </c>
      <c r="AI3581">
        <v>1</v>
      </c>
      <c r="AJ3581">
        <v>0</v>
      </c>
      <c r="AK3581" t="s">
        <v>1173</v>
      </c>
      <c r="AL3581">
        <v>32.735567000000003</v>
      </c>
      <c r="AM3581" t="s">
        <v>1174</v>
      </c>
      <c r="AN3581">
        <v>-116.727118</v>
      </c>
      <c r="AO3581">
        <v>25</v>
      </c>
      <c r="AP3581">
        <v>4400</v>
      </c>
      <c r="AQ3581" t="s">
        <v>129</v>
      </c>
      <c r="AR3581">
        <v>117</v>
      </c>
      <c r="AS3581">
        <v>23</v>
      </c>
      <c r="AT3581">
        <v>704</v>
      </c>
      <c r="BB3581">
        <v>1200</v>
      </c>
      <c r="BC3581">
        <v>1</v>
      </c>
      <c r="BD3581" t="str">
        <f t="shared" si="1289"/>
        <v xml:space="preserve">N887QR  </v>
      </c>
      <c r="BE3581">
        <v>1</v>
      </c>
      <c r="BG3581">
        <v>0</v>
      </c>
      <c r="BH3581">
        <v>0</v>
      </c>
      <c r="BI3581">
        <v>0</v>
      </c>
      <c r="BJ3581">
        <v>4250</v>
      </c>
      <c r="BK3581">
        <v>-150</v>
      </c>
      <c r="BL3581" t="s">
        <v>163</v>
      </c>
      <c r="BM3581">
        <v>1</v>
      </c>
      <c r="BN3581">
        <v>1</v>
      </c>
      <c r="BO3581">
        <v>1</v>
      </c>
      <c r="BP3581">
        <v>0</v>
      </c>
      <c r="BS3581">
        <v>0</v>
      </c>
      <c r="BT3581">
        <v>0</v>
      </c>
      <c r="BU3581">
        <v>0</v>
      </c>
      <c r="CE3581" t="str">
        <f t="shared" si="1310"/>
        <v>19:35:12.488</v>
      </c>
      <c r="CF3581">
        <v>488269295</v>
      </c>
      <c r="CS3581">
        <v>0</v>
      </c>
      <c r="CT3581">
        <v>2</v>
      </c>
      <c r="CU3581">
        <v>0</v>
      </c>
      <c r="CV3581">
        <v>2</v>
      </c>
      <c r="CW3581">
        <v>0</v>
      </c>
      <c r="CX3581">
        <v>4</v>
      </c>
      <c r="CY3581">
        <v>7</v>
      </c>
      <c r="CZ3581" t="s">
        <v>131</v>
      </c>
      <c r="DA3581">
        <v>286</v>
      </c>
      <c r="DB3581">
        <v>0</v>
      </c>
      <c r="DC3581" t="s">
        <v>132</v>
      </c>
      <c r="DD3581" t="s">
        <v>133</v>
      </c>
      <c r="DG3581">
        <v>884153</v>
      </c>
      <c r="DI3581">
        <v>1</v>
      </c>
      <c r="DJ3581">
        <v>0</v>
      </c>
      <c r="DK3581">
        <v>1</v>
      </c>
      <c r="DL3581">
        <v>0</v>
      </c>
      <c r="DM3581">
        <v>0</v>
      </c>
      <c r="DN3581">
        <v>1</v>
      </c>
      <c r="DO3581">
        <v>0</v>
      </c>
      <c r="DP3581">
        <v>0</v>
      </c>
      <c r="DQ3581">
        <v>0</v>
      </c>
      <c r="DR3581">
        <v>0</v>
      </c>
      <c r="DS3581">
        <v>0</v>
      </c>
    </row>
    <row r="3582" spans="1:123" x14ac:dyDescent="0.3">
      <c r="A3582" t="str">
        <f t="shared" si="1308"/>
        <v>10/04/2022 19:35:12.761</v>
      </c>
      <c r="C3582" t="str">
        <f t="shared" si="1304"/>
        <v>FFDFD3C0</v>
      </c>
      <c r="D3582" t="s">
        <v>134</v>
      </c>
      <c r="E3582">
        <v>15</v>
      </c>
      <c r="J3582" t="s">
        <v>135</v>
      </c>
      <c r="K3582">
        <v>0</v>
      </c>
      <c r="L3582">
        <v>3</v>
      </c>
      <c r="M3582">
        <v>0</v>
      </c>
      <c r="N3582">
        <v>2</v>
      </c>
      <c r="O3582">
        <v>0</v>
      </c>
      <c r="P3582">
        <v>1</v>
      </c>
      <c r="Q3582">
        <v>0</v>
      </c>
      <c r="S3582" t="str">
        <f t="shared" si="1309"/>
        <v>19:35:12.000</v>
      </c>
      <c r="T3582" t="str">
        <f t="shared" si="1309"/>
        <v>19:35:12.000</v>
      </c>
      <c r="U3582" t="str">
        <f t="shared" si="1288"/>
        <v>AC3944</v>
      </c>
      <c r="V3582">
        <v>0</v>
      </c>
      <c r="W3582">
        <v>0</v>
      </c>
      <c r="X3582">
        <v>2</v>
      </c>
      <c r="Y3582">
        <v>0</v>
      </c>
      <c r="AA3582">
        <v>1</v>
      </c>
      <c r="AB3582">
        <v>8</v>
      </c>
      <c r="AC3582">
        <v>3</v>
      </c>
      <c r="AD3582">
        <v>0</v>
      </c>
      <c r="AE3582">
        <v>9</v>
      </c>
      <c r="AF3582" t="s">
        <v>138</v>
      </c>
      <c r="AG3582">
        <v>0</v>
      </c>
      <c r="AH3582">
        <v>3</v>
      </c>
      <c r="AI3582">
        <v>1</v>
      </c>
      <c r="AJ3582">
        <v>0</v>
      </c>
      <c r="AK3582" t="s">
        <v>1173</v>
      </c>
      <c r="AL3582">
        <v>32.735567000000003</v>
      </c>
      <c r="AM3582" t="s">
        <v>1174</v>
      </c>
      <c r="AN3582">
        <v>-116.727118</v>
      </c>
      <c r="AO3582">
        <v>25</v>
      </c>
      <c r="AP3582">
        <v>4400</v>
      </c>
      <c r="AQ3582" t="s">
        <v>129</v>
      </c>
      <c r="AR3582">
        <v>117</v>
      </c>
      <c r="AS3582">
        <v>23</v>
      </c>
      <c r="AT3582">
        <v>704</v>
      </c>
      <c r="BB3582">
        <v>1200</v>
      </c>
      <c r="BC3582">
        <v>1</v>
      </c>
      <c r="BD3582" t="str">
        <f t="shared" si="1289"/>
        <v xml:space="preserve">N887QR  </v>
      </c>
      <c r="BE3582">
        <v>1</v>
      </c>
      <c r="BG3582">
        <v>0</v>
      </c>
      <c r="BH3582">
        <v>0</v>
      </c>
      <c r="BI3582">
        <v>0</v>
      </c>
      <c r="BJ3582">
        <v>4250</v>
      </c>
      <c r="BK3582">
        <v>-150</v>
      </c>
      <c r="BL3582" t="s">
        <v>163</v>
      </c>
      <c r="BM3582">
        <v>1</v>
      </c>
      <c r="BN3582">
        <v>1</v>
      </c>
      <c r="BO3582">
        <v>1</v>
      </c>
      <c r="BP3582">
        <v>0</v>
      </c>
      <c r="BS3582">
        <v>0</v>
      </c>
      <c r="BT3582">
        <v>0</v>
      </c>
      <c r="BU3582">
        <v>0</v>
      </c>
      <c r="CE3582" t="str">
        <f t="shared" si="1310"/>
        <v>19:35:12.488</v>
      </c>
      <c r="CF3582">
        <v>488269295</v>
      </c>
      <c r="CS3582">
        <v>0</v>
      </c>
      <c r="CT3582">
        <v>2</v>
      </c>
      <c r="CU3582">
        <v>0</v>
      </c>
      <c r="CV3582">
        <v>2</v>
      </c>
      <c r="CW3582">
        <v>0</v>
      </c>
      <c r="CX3582">
        <v>4</v>
      </c>
      <c r="CY3582">
        <v>7</v>
      </c>
      <c r="CZ3582" t="s">
        <v>131</v>
      </c>
      <c r="DA3582">
        <v>286</v>
      </c>
      <c r="DB3582">
        <v>0</v>
      </c>
      <c r="DC3582" t="s">
        <v>132</v>
      </c>
      <c r="DD3582" t="s">
        <v>133</v>
      </c>
      <c r="DG3582">
        <v>884153</v>
      </c>
      <c r="DI3582">
        <v>1</v>
      </c>
      <c r="DJ3582">
        <v>0</v>
      </c>
      <c r="DK3582">
        <v>0</v>
      </c>
      <c r="DL3582">
        <v>0</v>
      </c>
      <c r="DM3582">
        <v>0</v>
      </c>
      <c r="DN3582">
        <v>1</v>
      </c>
      <c r="DO3582">
        <v>0</v>
      </c>
      <c r="DP3582">
        <v>0</v>
      </c>
      <c r="DQ3582">
        <v>0</v>
      </c>
      <c r="DR3582">
        <v>0</v>
      </c>
      <c r="DS3582">
        <v>0</v>
      </c>
    </row>
    <row r="3583" spans="1:123" x14ac:dyDescent="0.3">
      <c r="A3583" t="str">
        <f t="shared" si="1308"/>
        <v>10/04/2022 19:35:12.761</v>
      </c>
      <c r="C3583" t="str">
        <f t="shared" si="1304"/>
        <v>FFDFD3C0</v>
      </c>
      <c r="D3583" t="s">
        <v>147</v>
      </c>
      <c r="E3583">
        <v>3</v>
      </c>
      <c r="H3583">
        <v>166</v>
      </c>
      <c r="I3583" t="s">
        <v>144</v>
      </c>
      <c r="J3583" t="s">
        <v>148</v>
      </c>
      <c r="K3583">
        <v>0</v>
      </c>
      <c r="L3583">
        <v>3</v>
      </c>
      <c r="M3583">
        <v>0</v>
      </c>
      <c r="N3583">
        <v>2</v>
      </c>
      <c r="O3583">
        <v>0</v>
      </c>
      <c r="P3583">
        <v>1</v>
      </c>
      <c r="Q3583">
        <v>0</v>
      </c>
      <c r="S3583" t="str">
        <f t="shared" si="1309"/>
        <v>19:35:12.000</v>
      </c>
      <c r="T3583" t="str">
        <f t="shared" si="1309"/>
        <v>19:35:12.000</v>
      </c>
      <c r="U3583" t="str">
        <f t="shared" si="1288"/>
        <v>AC3944</v>
      </c>
      <c r="V3583">
        <v>0</v>
      </c>
      <c r="W3583">
        <v>0</v>
      </c>
      <c r="X3583">
        <v>2</v>
      </c>
      <c r="Y3583">
        <v>0</v>
      </c>
      <c r="AA3583">
        <v>1</v>
      </c>
      <c r="AB3583">
        <v>8</v>
      </c>
      <c r="AC3583">
        <v>3</v>
      </c>
      <c r="AD3583">
        <v>0</v>
      </c>
      <c r="AE3583">
        <v>9</v>
      </c>
      <c r="AF3583" t="s">
        <v>138</v>
      </c>
      <c r="AG3583">
        <v>0</v>
      </c>
      <c r="AH3583">
        <v>3</v>
      </c>
      <c r="AI3583">
        <v>1</v>
      </c>
      <c r="AJ3583">
        <v>0</v>
      </c>
      <c r="AK3583" t="s">
        <v>1173</v>
      </c>
      <c r="AL3583">
        <v>32.735567000000003</v>
      </c>
      <c r="AM3583" t="s">
        <v>1174</v>
      </c>
      <c r="AN3583">
        <v>-116.727118</v>
      </c>
      <c r="AO3583">
        <v>25</v>
      </c>
      <c r="AP3583">
        <v>4400</v>
      </c>
      <c r="AQ3583" t="s">
        <v>129</v>
      </c>
      <c r="AR3583">
        <v>117</v>
      </c>
      <c r="AS3583">
        <v>23</v>
      </c>
      <c r="AT3583">
        <v>704</v>
      </c>
      <c r="BB3583">
        <v>1200</v>
      </c>
      <c r="BC3583">
        <v>1</v>
      </c>
      <c r="BD3583" t="str">
        <f t="shared" si="1289"/>
        <v xml:space="preserve">N887QR  </v>
      </c>
      <c r="BE3583">
        <v>1</v>
      </c>
      <c r="BG3583">
        <v>0</v>
      </c>
      <c r="BH3583">
        <v>0</v>
      </c>
      <c r="BI3583">
        <v>0</v>
      </c>
      <c r="BJ3583">
        <v>4250</v>
      </c>
      <c r="BK3583">
        <v>-150</v>
      </c>
      <c r="BL3583" t="s">
        <v>163</v>
      </c>
      <c r="BM3583">
        <v>1</v>
      </c>
      <c r="BN3583">
        <v>1</v>
      </c>
      <c r="BO3583">
        <v>1</v>
      </c>
      <c r="BP3583">
        <v>0</v>
      </c>
      <c r="BS3583">
        <v>0</v>
      </c>
      <c r="BT3583">
        <v>0</v>
      </c>
      <c r="BU3583">
        <v>0</v>
      </c>
      <c r="CE3583" t="str">
        <f t="shared" si="1310"/>
        <v>19:35:12.488</v>
      </c>
      <c r="CF3583">
        <v>488269295</v>
      </c>
      <c r="CS3583">
        <v>0</v>
      </c>
      <c r="CT3583">
        <v>2</v>
      </c>
      <c r="CU3583">
        <v>0</v>
      </c>
      <c r="CV3583">
        <v>2</v>
      </c>
      <c r="CW3583">
        <v>0</v>
      </c>
      <c r="CX3583">
        <v>4</v>
      </c>
      <c r="CY3583">
        <v>7</v>
      </c>
      <c r="CZ3583" t="s">
        <v>131</v>
      </c>
      <c r="DA3583">
        <v>286</v>
      </c>
      <c r="DB3583">
        <v>0</v>
      </c>
      <c r="DC3583" t="s">
        <v>132</v>
      </c>
      <c r="DD3583" t="s">
        <v>133</v>
      </c>
      <c r="DG3583">
        <v>884153</v>
      </c>
      <c r="DI3583">
        <v>1</v>
      </c>
      <c r="DJ3583">
        <v>0</v>
      </c>
      <c r="DK3583">
        <v>1</v>
      </c>
      <c r="DL3583">
        <v>0</v>
      </c>
      <c r="DM3583">
        <v>0</v>
      </c>
      <c r="DN3583">
        <v>1</v>
      </c>
      <c r="DO3583">
        <v>0</v>
      </c>
      <c r="DP3583">
        <v>0</v>
      </c>
      <c r="DQ3583">
        <v>0</v>
      </c>
      <c r="DR3583">
        <v>0</v>
      </c>
      <c r="DS3583">
        <v>0</v>
      </c>
    </row>
    <row r="3584" spans="1:123" x14ac:dyDescent="0.3">
      <c r="A3584" t="str">
        <f t="shared" si="1308"/>
        <v>10/04/2022 19:35:12.761</v>
      </c>
      <c r="C3584" t="str">
        <f t="shared" si="1304"/>
        <v>FFDFD3C0</v>
      </c>
      <c r="D3584" t="s">
        <v>123</v>
      </c>
      <c r="E3584">
        <v>7</v>
      </c>
      <c r="F3584">
        <v>2007</v>
      </c>
      <c r="G3584" t="s">
        <v>124</v>
      </c>
      <c r="J3584" t="s">
        <v>125</v>
      </c>
      <c r="K3584">
        <v>0</v>
      </c>
      <c r="L3584">
        <v>3</v>
      </c>
      <c r="M3584">
        <v>0</v>
      </c>
      <c r="N3584">
        <v>2</v>
      </c>
      <c r="O3584">
        <v>0</v>
      </c>
      <c r="P3584">
        <v>1</v>
      </c>
      <c r="Q3584">
        <v>0</v>
      </c>
      <c r="S3584" t="str">
        <f t="shared" si="1309"/>
        <v>19:35:12.000</v>
      </c>
      <c r="T3584" t="str">
        <f t="shared" si="1309"/>
        <v>19:35:12.000</v>
      </c>
      <c r="U3584" t="str">
        <f t="shared" si="1288"/>
        <v>AC3944</v>
      </c>
      <c r="V3584">
        <v>0</v>
      </c>
      <c r="W3584">
        <v>0</v>
      </c>
      <c r="X3584">
        <v>2</v>
      </c>
      <c r="Y3584">
        <v>0</v>
      </c>
      <c r="AA3584">
        <v>1</v>
      </c>
      <c r="AB3584">
        <v>8</v>
      </c>
      <c r="AC3584">
        <v>3</v>
      </c>
      <c r="AD3584">
        <v>0</v>
      </c>
      <c r="AE3584">
        <v>9</v>
      </c>
      <c r="AF3584" t="s">
        <v>138</v>
      </c>
      <c r="AG3584">
        <v>0</v>
      </c>
      <c r="AH3584">
        <v>3</v>
      </c>
      <c r="AI3584">
        <v>1</v>
      </c>
      <c r="AJ3584">
        <v>0</v>
      </c>
      <c r="AK3584" t="s">
        <v>1173</v>
      </c>
      <c r="AL3584">
        <v>32.735567000000003</v>
      </c>
      <c r="AM3584" t="s">
        <v>1174</v>
      </c>
      <c r="AN3584">
        <v>-116.727118</v>
      </c>
      <c r="AO3584">
        <v>25</v>
      </c>
      <c r="AP3584">
        <v>4400</v>
      </c>
      <c r="AQ3584" t="s">
        <v>129</v>
      </c>
      <c r="AR3584">
        <v>117</v>
      </c>
      <c r="AS3584">
        <v>23</v>
      </c>
      <c r="AT3584">
        <v>704</v>
      </c>
      <c r="BB3584">
        <v>1200</v>
      </c>
      <c r="BC3584">
        <v>1</v>
      </c>
      <c r="BD3584" t="str">
        <f t="shared" si="1289"/>
        <v xml:space="preserve">N887QR  </v>
      </c>
      <c r="BE3584">
        <v>1</v>
      </c>
      <c r="BG3584">
        <v>0</v>
      </c>
      <c r="BH3584">
        <v>0</v>
      </c>
      <c r="BI3584">
        <v>0</v>
      </c>
      <c r="BJ3584">
        <v>4250</v>
      </c>
      <c r="BK3584">
        <v>-150</v>
      </c>
      <c r="BL3584" t="s">
        <v>163</v>
      </c>
      <c r="BM3584">
        <v>1</v>
      </c>
      <c r="BN3584">
        <v>1</v>
      </c>
      <c r="BO3584">
        <v>1</v>
      </c>
      <c r="BP3584">
        <v>0</v>
      </c>
      <c r="BS3584">
        <v>0</v>
      </c>
      <c r="BT3584">
        <v>0</v>
      </c>
      <c r="BU3584">
        <v>0</v>
      </c>
      <c r="CE3584" t="str">
        <f t="shared" si="1310"/>
        <v>19:35:12.488</v>
      </c>
      <c r="CF3584">
        <v>488269295</v>
      </c>
      <c r="CS3584">
        <v>0</v>
      </c>
      <c r="CT3584">
        <v>2</v>
      </c>
      <c r="CU3584">
        <v>0</v>
      </c>
      <c r="CV3584">
        <v>2</v>
      </c>
      <c r="CW3584">
        <v>0</v>
      </c>
      <c r="CX3584">
        <v>4</v>
      </c>
      <c r="CY3584">
        <v>7</v>
      </c>
      <c r="CZ3584" t="s">
        <v>131</v>
      </c>
      <c r="DA3584">
        <v>286</v>
      </c>
      <c r="DB3584">
        <v>0</v>
      </c>
      <c r="DC3584" t="s">
        <v>132</v>
      </c>
      <c r="DD3584" t="s">
        <v>133</v>
      </c>
      <c r="DG3584">
        <v>884153</v>
      </c>
      <c r="DI3584">
        <v>1</v>
      </c>
      <c r="DJ3584">
        <v>0</v>
      </c>
      <c r="DK3584">
        <v>1</v>
      </c>
      <c r="DL3584">
        <v>0</v>
      </c>
      <c r="DM3584">
        <v>0</v>
      </c>
      <c r="DN3584">
        <v>1</v>
      </c>
      <c r="DO3584">
        <v>0</v>
      </c>
      <c r="DP3584">
        <v>0</v>
      </c>
      <c r="DQ3584">
        <v>0</v>
      </c>
      <c r="DR3584">
        <v>0</v>
      </c>
      <c r="DS3584">
        <v>0</v>
      </c>
    </row>
    <row r="3585" spans="1:123" x14ac:dyDescent="0.3">
      <c r="A3585" t="str">
        <f t="shared" si="1308"/>
        <v>10/04/2022 19:35:12.761</v>
      </c>
      <c r="C3585" t="str">
        <f t="shared" si="1304"/>
        <v>FFDFD3C0</v>
      </c>
      <c r="D3585" t="s">
        <v>141</v>
      </c>
      <c r="E3585">
        <v>3</v>
      </c>
      <c r="H3585">
        <v>3</v>
      </c>
      <c r="I3585" t="s">
        <v>146</v>
      </c>
      <c r="J3585" t="s">
        <v>138</v>
      </c>
      <c r="K3585">
        <v>0</v>
      </c>
      <c r="L3585">
        <v>3</v>
      </c>
      <c r="M3585">
        <v>0</v>
      </c>
      <c r="N3585">
        <v>2</v>
      </c>
      <c r="O3585">
        <v>0</v>
      </c>
      <c r="P3585">
        <v>1</v>
      </c>
      <c r="Q3585">
        <v>0</v>
      </c>
      <c r="S3585" t="str">
        <f t="shared" si="1309"/>
        <v>19:35:12.000</v>
      </c>
      <c r="T3585" t="str">
        <f t="shared" si="1309"/>
        <v>19:35:12.000</v>
      </c>
      <c r="U3585" t="str">
        <f t="shared" si="1288"/>
        <v>AC3944</v>
      </c>
      <c r="V3585">
        <v>0</v>
      </c>
      <c r="W3585">
        <v>0</v>
      </c>
      <c r="X3585">
        <v>2</v>
      </c>
      <c r="Y3585">
        <v>0</v>
      </c>
      <c r="AA3585">
        <v>1</v>
      </c>
      <c r="AB3585">
        <v>8</v>
      </c>
      <c r="AC3585">
        <v>3</v>
      </c>
      <c r="AD3585">
        <v>0</v>
      </c>
      <c r="AE3585">
        <v>9</v>
      </c>
      <c r="AF3585" t="s">
        <v>138</v>
      </c>
      <c r="AG3585">
        <v>0</v>
      </c>
      <c r="AH3585">
        <v>3</v>
      </c>
      <c r="AI3585">
        <v>1</v>
      </c>
      <c r="AJ3585">
        <v>0</v>
      </c>
      <c r="AK3585" t="s">
        <v>1173</v>
      </c>
      <c r="AL3585">
        <v>32.735567000000003</v>
      </c>
      <c r="AM3585" t="s">
        <v>1174</v>
      </c>
      <c r="AN3585">
        <v>-116.727118</v>
      </c>
      <c r="AO3585">
        <v>25</v>
      </c>
      <c r="AP3585">
        <v>4400</v>
      </c>
      <c r="AQ3585" t="s">
        <v>129</v>
      </c>
      <c r="AR3585">
        <v>117</v>
      </c>
      <c r="AS3585">
        <v>23</v>
      </c>
      <c r="AT3585">
        <v>704</v>
      </c>
      <c r="BB3585">
        <v>1200</v>
      </c>
      <c r="BC3585">
        <v>1</v>
      </c>
      <c r="BD3585" t="str">
        <f t="shared" si="1289"/>
        <v xml:space="preserve">N887QR  </v>
      </c>
      <c r="BE3585">
        <v>1</v>
      </c>
      <c r="BG3585">
        <v>0</v>
      </c>
      <c r="BH3585">
        <v>0</v>
      </c>
      <c r="BI3585">
        <v>0</v>
      </c>
      <c r="BJ3585">
        <v>4250</v>
      </c>
      <c r="BK3585">
        <v>-150</v>
      </c>
      <c r="BL3585" t="s">
        <v>163</v>
      </c>
      <c r="BM3585">
        <v>1</v>
      </c>
      <c r="BN3585">
        <v>1</v>
      </c>
      <c r="BO3585">
        <v>1</v>
      </c>
      <c r="BP3585">
        <v>0</v>
      </c>
      <c r="BS3585">
        <v>0</v>
      </c>
      <c r="BT3585">
        <v>0</v>
      </c>
      <c r="BU3585">
        <v>0</v>
      </c>
      <c r="CE3585" t="str">
        <f t="shared" si="1310"/>
        <v>19:35:12.488</v>
      </c>
      <c r="CF3585">
        <v>488269295</v>
      </c>
      <c r="CS3585">
        <v>0</v>
      </c>
      <c r="CT3585">
        <v>2</v>
      </c>
      <c r="CU3585">
        <v>0</v>
      </c>
      <c r="CV3585">
        <v>2</v>
      </c>
      <c r="CW3585">
        <v>0</v>
      </c>
      <c r="CX3585">
        <v>4</v>
      </c>
      <c r="CY3585">
        <v>7</v>
      </c>
      <c r="CZ3585" t="s">
        <v>131</v>
      </c>
      <c r="DA3585">
        <v>286</v>
      </c>
      <c r="DB3585">
        <v>0</v>
      </c>
      <c r="DC3585" t="s">
        <v>132</v>
      </c>
      <c r="DD3585" t="s">
        <v>133</v>
      </c>
      <c r="DG3585">
        <v>884153</v>
      </c>
      <c r="DI3585">
        <v>1</v>
      </c>
      <c r="DJ3585">
        <v>0</v>
      </c>
      <c r="DK3585">
        <v>1</v>
      </c>
      <c r="DL3585">
        <v>0</v>
      </c>
      <c r="DM3585">
        <v>0</v>
      </c>
      <c r="DN3585">
        <v>1</v>
      </c>
      <c r="DO3585">
        <v>0</v>
      </c>
      <c r="DP3585">
        <v>0</v>
      </c>
      <c r="DQ3585">
        <v>0</v>
      </c>
      <c r="DR3585">
        <v>0</v>
      </c>
      <c r="DS3585">
        <v>0</v>
      </c>
    </row>
    <row r="3586" spans="1:123" x14ac:dyDescent="0.3">
      <c r="A3586" t="str">
        <f>"10/04/2022 19:35:13.214"</f>
        <v>10/04/2022 19:35:13.214</v>
      </c>
      <c r="C3586" t="str">
        <f t="shared" si="1304"/>
        <v>FFDFD3C0</v>
      </c>
      <c r="D3586" t="s">
        <v>134</v>
      </c>
      <c r="E3586">
        <v>15</v>
      </c>
      <c r="J3586" t="s">
        <v>135</v>
      </c>
      <c r="K3586">
        <v>0</v>
      </c>
      <c r="L3586">
        <v>3</v>
      </c>
      <c r="M3586">
        <v>0</v>
      </c>
      <c r="N3586">
        <v>2</v>
      </c>
      <c r="O3586">
        <v>0</v>
      </c>
      <c r="P3586">
        <v>1</v>
      </c>
      <c r="Q3586">
        <v>0</v>
      </c>
      <c r="S3586" t="str">
        <f t="shared" si="1309"/>
        <v>19:35:12.000</v>
      </c>
      <c r="T3586" t="str">
        <f t="shared" si="1309"/>
        <v>19:35:12.000</v>
      </c>
      <c r="U3586" t="str">
        <f t="shared" ref="U3586:U3649" si="1311">"AC3944"</f>
        <v>AC3944</v>
      </c>
      <c r="V3586">
        <v>0</v>
      </c>
      <c r="W3586">
        <v>0</v>
      </c>
      <c r="X3586">
        <v>2</v>
      </c>
      <c r="Y3586">
        <v>0</v>
      </c>
      <c r="AA3586">
        <v>1</v>
      </c>
      <c r="AB3586">
        <v>8</v>
      </c>
      <c r="AC3586">
        <v>3</v>
      </c>
      <c r="AD3586">
        <v>0</v>
      </c>
      <c r="AE3586">
        <v>9</v>
      </c>
      <c r="AF3586" t="s">
        <v>138</v>
      </c>
      <c r="AG3586">
        <v>0</v>
      </c>
      <c r="AH3586">
        <v>3</v>
      </c>
      <c r="AI3586">
        <v>1</v>
      </c>
      <c r="AJ3586">
        <v>0</v>
      </c>
      <c r="AK3586" t="s">
        <v>1175</v>
      </c>
      <c r="AL3586">
        <v>32.735674000000003</v>
      </c>
      <c r="AM3586" t="s">
        <v>1176</v>
      </c>
      <c r="AN3586">
        <v>-116.72645300000001</v>
      </c>
      <c r="AO3586">
        <v>25</v>
      </c>
      <c r="AP3586">
        <v>4400</v>
      </c>
      <c r="AQ3586" t="s">
        <v>129</v>
      </c>
      <c r="AR3586">
        <v>117</v>
      </c>
      <c r="AS3586">
        <v>23</v>
      </c>
      <c r="AT3586">
        <v>704</v>
      </c>
      <c r="BB3586">
        <v>1200</v>
      </c>
      <c r="BC3586">
        <v>1</v>
      </c>
      <c r="BD3586" t="str">
        <f t="shared" ref="BD3586:BD3649" si="1312">"N887QR  "</f>
        <v xml:space="preserve">N887QR  </v>
      </c>
      <c r="BE3586">
        <v>1</v>
      </c>
      <c r="BG3586">
        <v>0</v>
      </c>
      <c r="BH3586">
        <v>0</v>
      </c>
      <c r="BI3586">
        <v>0</v>
      </c>
      <c r="BJ3586">
        <v>4225</v>
      </c>
      <c r="BK3586">
        <v>-175</v>
      </c>
      <c r="BL3586" t="s">
        <v>163</v>
      </c>
      <c r="BM3586">
        <v>1</v>
      </c>
      <c r="BN3586">
        <v>1</v>
      </c>
      <c r="BO3586">
        <v>1</v>
      </c>
      <c r="BP3586">
        <v>0</v>
      </c>
      <c r="BS3586">
        <v>0</v>
      </c>
      <c r="BT3586">
        <v>0</v>
      </c>
      <c r="BU3586">
        <v>0</v>
      </c>
      <c r="CE3586" t="str">
        <f t="shared" ref="CE3586:CE3592" si="1313">"19:35:12.959"</f>
        <v>19:35:12.959</v>
      </c>
      <c r="CF3586">
        <v>958583423</v>
      </c>
      <c r="CS3586">
        <v>0</v>
      </c>
      <c r="CT3586">
        <v>2</v>
      </c>
      <c r="CU3586">
        <v>0</v>
      </c>
      <c r="CV3586">
        <v>2</v>
      </c>
      <c r="CW3586">
        <v>0</v>
      </c>
      <c r="CX3586">
        <v>5</v>
      </c>
      <c r="CY3586">
        <v>7</v>
      </c>
      <c r="CZ3586" t="s">
        <v>131</v>
      </c>
      <c r="DA3586">
        <v>300</v>
      </c>
      <c r="DB3586">
        <v>0</v>
      </c>
      <c r="DC3586" t="s">
        <v>176</v>
      </c>
      <c r="DD3586" t="s">
        <v>177</v>
      </c>
      <c r="DG3586">
        <v>5442733</v>
      </c>
      <c r="DI3586">
        <v>1</v>
      </c>
      <c r="DJ3586">
        <v>0</v>
      </c>
      <c r="DK3586">
        <v>0</v>
      </c>
      <c r="DL3586">
        <v>0</v>
      </c>
      <c r="DM3586">
        <v>0</v>
      </c>
      <c r="DN3586">
        <v>1</v>
      </c>
      <c r="DO3586">
        <v>0</v>
      </c>
      <c r="DP3586">
        <v>0</v>
      </c>
      <c r="DQ3586">
        <v>0</v>
      </c>
      <c r="DR3586">
        <v>0</v>
      </c>
      <c r="DS3586">
        <v>0</v>
      </c>
    </row>
    <row r="3587" spans="1:123" x14ac:dyDescent="0.3">
      <c r="A3587" t="str">
        <f t="shared" ref="A3587:A3592" si="1314">"10/04/2022 19:35:13.261"</f>
        <v>10/04/2022 19:35:13.261</v>
      </c>
      <c r="C3587" t="str">
        <f t="shared" si="1304"/>
        <v>FFDFD3C0</v>
      </c>
      <c r="D3587" t="s">
        <v>147</v>
      </c>
      <c r="E3587">
        <v>3</v>
      </c>
      <c r="H3587">
        <v>166</v>
      </c>
      <c r="I3587" t="s">
        <v>144</v>
      </c>
      <c r="J3587" t="s">
        <v>148</v>
      </c>
      <c r="K3587">
        <v>0</v>
      </c>
      <c r="L3587">
        <v>3</v>
      </c>
      <c r="M3587">
        <v>0</v>
      </c>
      <c r="N3587">
        <v>2</v>
      </c>
      <c r="O3587">
        <v>0</v>
      </c>
      <c r="P3587">
        <v>1</v>
      </c>
      <c r="Q3587">
        <v>0</v>
      </c>
      <c r="S3587" t="str">
        <f t="shared" si="1309"/>
        <v>19:35:12.000</v>
      </c>
      <c r="T3587" t="str">
        <f t="shared" si="1309"/>
        <v>19:35:12.000</v>
      </c>
      <c r="U3587" t="str">
        <f t="shared" si="1311"/>
        <v>AC3944</v>
      </c>
      <c r="V3587">
        <v>0</v>
      </c>
      <c r="W3587">
        <v>0</v>
      </c>
      <c r="X3587">
        <v>2</v>
      </c>
      <c r="Y3587">
        <v>0</v>
      </c>
      <c r="AA3587">
        <v>1</v>
      </c>
      <c r="AB3587">
        <v>8</v>
      </c>
      <c r="AC3587">
        <v>3</v>
      </c>
      <c r="AD3587">
        <v>0</v>
      </c>
      <c r="AE3587">
        <v>9</v>
      </c>
      <c r="AF3587" t="s">
        <v>138</v>
      </c>
      <c r="AG3587">
        <v>0</v>
      </c>
      <c r="AH3587">
        <v>3</v>
      </c>
      <c r="AI3587">
        <v>1</v>
      </c>
      <c r="AJ3587">
        <v>0</v>
      </c>
      <c r="AK3587" t="s">
        <v>1175</v>
      </c>
      <c r="AL3587">
        <v>32.735674000000003</v>
      </c>
      <c r="AM3587" t="s">
        <v>1176</v>
      </c>
      <c r="AN3587">
        <v>-116.72645300000001</v>
      </c>
      <c r="AO3587">
        <v>25</v>
      </c>
      <c r="AP3587">
        <v>4400</v>
      </c>
      <c r="AQ3587" t="s">
        <v>129</v>
      </c>
      <c r="AR3587">
        <v>117</v>
      </c>
      <c r="AS3587">
        <v>23</v>
      </c>
      <c r="AT3587">
        <v>704</v>
      </c>
      <c r="BB3587">
        <v>1200</v>
      </c>
      <c r="BC3587">
        <v>1</v>
      </c>
      <c r="BD3587" t="str">
        <f t="shared" si="1312"/>
        <v xml:space="preserve">N887QR  </v>
      </c>
      <c r="BE3587">
        <v>1</v>
      </c>
      <c r="BG3587">
        <v>0</v>
      </c>
      <c r="BH3587">
        <v>0</v>
      </c>
      <c r="BI3587">
        <v>0</v>
      </c>
      <c r="BJ3587">
        <v>4225</v>
      </c>
      <c r="BK3587">
        <v>-175</v>
      </c>
      <c r="BL3587" t="s">
        <v>163</v>
      </c>
      <c r="BM3587">
        <v>1</v>
      </c>
      <c r="BN3587">
        <v>1</v>
      </c>
      <c r="BO3587">
        <v>1</v>
      </c>
      <c r="BP3587">
        <v>0</v>
      </c>
      <c r="BS3587">
        <v>0</v>
      </c>
      <c r="BT3587">
        <v>0</v>
      </c>
      <c r="BU3587">
        <v>0</v>
      </c>
      <c r="CE3587" t="str">
        <f t="shared" si="1313"/>
        <v>19:35:12.959</v>
      </c>
      <c r="CF3587">
        <v>958583423</v>
      </c>
      <c r="CS3587">
        <v>0</v>
      </c>
      <c r="CT3587">
        <v>2</v>
      </c>
      <c r="CU3587">
        <v>0</v>
      </c>
      <c r="CV3587">
        <v>2</v>
      </c>
      <c r="CW3587">
        <v>0</v>
      </c>
      <c r="CX3587">
        <v>5</v>
      </c>
      <c r="CY3587">
        <v>7</v>
      </c>
      <c r="CZ3587" t="s">
        <v>131</v>
      </c>
      <c r="DA3587">
        <v>300</v>
      </c>
      <c r="DB3587">
        <v>0</v>
      </c>
      <c r="DC3587" t="s">
        <v>176</v>
      </c>
      <c r="DD3587" t="s">
        <v>177</v>
      </c>
      <c r="DG3587">
        <v>5442733</v>
      </c>
      <c r="DI3587">
        <v>1</v>
      </c>
      <c r="DJ3587">
        <v>0</v>
      </c>
      <c r="DK3587">
        <v>1</v>
      </c>
      <c r="DL3587">
        <v>0</v>
      </c>
      <c r="DM3587">
        <v>0</v>
      </c>
      <c r="DN3587">
        <v>1</v>
      </c>
      <c r="DO3587">
        <v>0</v>
      </c>
      <c r="DP3587">
        <v>0</v>
      </c>
      <c r="DQ3587">
        <v>0</v>
      </c>
      <c r="DR3587">
        <v>0</v>
      </c>
      <c r="DS3587">
        <v>0</v>
      </c>
    </row>
    <row r="3588" spans="1:123" x14ac:dyDescent="0.3">
      <c r="A3588" t="str">
        <f t="shared" si="1314"/>
        <v>10/04/2022 19:35:13.261</v>
      </c>
      <c r="C3588" t="str">
        <f t="shared" si="1304"/>
        <v>FFDFD3C0</v>
      </c>
      <c r="D3588" t="s">
        <v>123</v>
      </c>
      <c r="E3588">
        <v>7</v>
      </c>
      <c r="F3588">
        <v>2007</v>
      </c>
      <c r="G3588" t="s">
        <v>124</v>
      </c>
      <c r="J3588" t="s">
        <v>125</v>
      </c>
      <c r="K3588">
        <v>0</v>
      </c>
      <c r="L3588">
        <v>3</v>
      </c>
      <c r="M3588">
        <v>0</v>
      </c>
      <c r="N3588">
        <v>2</v>
      </c>
      <c r="O3588">
        <v>0</v>
      </c>
      <c r="P3588">
        <v>1</v>
      </c>
      <c r="Q3588">
        <v>0</v>
      </c>
      <c r="S3588" t="str">
        <f t="shared" si="1309"/>
        <v>19:35:12.000</v>
      </c>
      <c r="T3588" t="str">
        <f t="shared" si="1309"/>
        <v>19:35:12.000</v>
      </c>
      <c r="U3588" t="str">
        <f t="shared" si="1311"/>
        <v>AC3944</v>
      </c>
      <c r="V3588">
        <v>0</v>
      </c>
      <c r="W3588">
        <v>0</v>
      </c>
      <c r="X3588">
        <v>2</v>
      </c>
      <c r="Y3588">
        <v>0</v>
      </c>
      <c r="AA3588">
        <v>1</v>
      </c>
      <c r="AB3588">
        <v>8</v>
      </c>
      <c r="AC3588">
        <v>3</v>
      </c>
      <c r="AD3588">
        <v>0</v>
      </c>
      <c r="AE3588">
        <v>9</v>
      </c>
      <c r="AF3588" t="s">
        <v>138</v>
      </c>
      <c r="AG3588">
        <v>0</v>
      </c>
      <c r="AH3588">
        <v>3</v>
      </c>
      <c r="AI3588">
        <v>1</v>
      </c>
      <c r="AJ3588">
        <v>0</v>
      </c>
      <c r="AK3588" t="s">
        <v>1175</v>
      </c>
      <c r="AL3588">
        <v>32.735674000000003</v>
      </c>
      <c r="AM3588" t="s">
        <v>1176</v>
      </c>
      <c r="AN3588">
        <v>-116.72645300000001</v>
      </c>
      <c r="AO3588">
        <v>25</v>
      </c>
      <c r="AP3588">
        <v>4400</v>
      </c>
      <c r="AQ3588" t="s">
        <v>129</v>
      </c>
      <c r="AR3588">
        <v>117</v>
      </c>
      <c r="AS3588">
        <v>23</v>
      </c>
      <c r="AT3588">
        <v>704</v>
      </c>
      <c r="BB3588">
        <v>1200</v>
      </c>
      <c r="BC3588">
        <v>1</v>
      </c>
      <c r="BD3588" t="str">
        <f t="shared" si="1312"/>
        <v xml:space="preserve">N887QR  </v>
      </c>
      <c r="BE3588">
        <v>1</v>
      </c>
      <c r="BG3588">
        <v>0</v>
      </c>
      <c r="BH3588">
        <v>0</v>
      </c>
      <c r="BI3588">
        <v>0</v>
      </c>
      <c r="BJ3588">
        <v>4225</v>
      </c>
      <c r="BK3588">
        <v>-175</v>
      </c>
      <c r="BL3588" t="s">
        <v>163</v>
      </c>
      <c r="BM3588">
        <v>1</v>
      </c>
      <c r="BN3588">
        <v>1</v>
      </c>
      <c r="BO3588">
        <v>1</v>
      </c>
      <c r="BP3588">
        <v>0</v>
      </c>
      <c r="BS3588">
        <v>0</v>
      </c>
      <c r="BT3588">
        <v>0</v>
      </c>
      <c r="BU3588">
        <v>0</v>
      </c>
      <c r="CE3588" t="str">
        <f t="shared" si="1313"/>
        <v>19:35:12.959</v>
      </c>
      <c r="CF3588">
        <v>958583423</v>
      </c>
      <c r="CS3588">
        <v>0</v>
      </c>
      <c r="CT3588">
        <v>2</v>
      </c>
      <c r="CU3588">
        <v>0</v>
      </c>
      <c r="CV3588">
        <v>2</v>
      </c>
      <c r="CW3588">
        <v>0</v>
      </c>
      <c r="CX3588">
        <v>5</v>
      </c>
      <c r="CY3588">
        <v>7</v>
      </c>
      <c r="CZ3588" t="s">
        <v>131</v>
      </c>
      <c r="DA3588">
        <v>300</v>
      </c>
      <c r="DB3588">
        <v>0</v>
      </c>
      <c r="DC3588" t="s">
        <v>176</v>
      </c>
      <c r="DD3588" t="s">
        <v>177</v>
      </c>
      <c r="DG3588">
        <v>5442733</v>
      </c>
      <c r="DI3588">
        <v>1</v>
      </c>
      <c r="DJ3588">
        <v>0</v>
      </c>
      <c r="DK3588">
        <v>1</v>
      </c>
      <c r="DL3588">
        <v>0</v>
      </c>
      <c r="DM3588">
        <v>0</v>
      </c>
      <c r="DN3588">
        <v>1</v>
      </c>
      <c r="DO3588">
        <v>0</v>
      </c>
      <c r="DP3588">
        <v>0</v>
      </c>
      <c r="DQ3588">
        <v>0</v>
      </c>
      <c r="DR3588">
        <v>0</v>
      </c>
      <c r="DS3588">
        <v>0</v>
      </c>
    </row>
    <row r="3589" spans="1:123" x14ac:dyDescent="0.3">
      <c r="A3589" t="str">
        <f t="shared" si="1314"/>
        <v>10/04/2022 19:35:13.261</v>
      </c>
      <c r="C3589" t="str">
        <f t="shared" si="1304"/>
        <v>FFDFD3C0</v>
      </c>
      <c r="D3589" t="s">
        <v>141</v>
      </c>
      <c r="E3589">
        <v>3</v>
      </c>
      <c r="H3589">
        <v>3</v>
      </c>
      <c r="I3589" t="s">
        <v>146</v>
      </c>
      <c r="J3589" t="s">
        <v>138</v>
      </c>
      <c r="K3589">
        <v>0</v>
      </c>
      <c r="L3589">
        <v>3</v>
      </c>
      <c r="M3589">
        <v>0</v>
      </c>
      <c r="N3589">
        <v>2</v>
      </c>
      <c r="O3589">
        <v>0</v>
      </c>
      <c r="P3589">
        <v>1</v>
      </c>
      <c r="Q3589">
        <v>0</v>
      </c>
      <c r="S3589" t="str">
        <f t="shared" si="1309"/>
        <v>19:35:12.000</v>
      </c>
      <c r="T3589" t="str">
        <f t="shared" si="1309"/>
        <v>19:35:12.000</v>
      </c>
      <c r="U3589" t="str">
        <f t="shared" si="1311"/>
        <v>AC3944</v>
      </c>
      <c r="V3589">
        <v>0</v>
      </c>
      <c r="W3589">
        <v>0</v>
      </c>
      <c r="X3589">
        <v>2</v>
      </c>
      <c r="Y3589">
        <v>0</v>
      </c>
      <c r="AA3589">
        <v>1</v>
      </c>
      <c r="AB3589">
        <v>8</v>
      </c>
      <c r="AC3589">
        <v>3</v>
      </c>
      <c r="AD3589">
        <v>0</v>
      </c>
      <c r="AE3589">
        <v>9</v>
      </c>
      <c r="AF3589" t="s">
        <v>138</v>
      </c>
      <c r="AG3589">
        <v>0</v>
      </c>
      <c r="AH3589">
        <v>3</v>
      </c>
      <c r="AI3589">
        <v>1</v>
      </c>
      <c r="AJ3589">
        <v>0</v>
      </c>
      <c r="AK3589" t="s">
        <v>1175</v>
      </c>
      <c r="AL3589">
        <v>32.735674000000003</v>
      </c>
      <c r="AM3589" t="s">
        <v>1176</v>
      </c>
      <c r="AN3589">
        <v>-116.72645300000001</v>
      </c>
      <c r="AO3589">
        <v>25</v>
      </c>
      <c r="AP3589">
        <v>4400</v>
      </c>
      <c r="AQ3589" t="s">
        <v>129</v>
      </c>
      <c r="AR3589">
        <v>117</v>
      </c>
      <c r="AS3589">
        <v>23</v>
      </c>
      <c r="AT3589">
        <v>704</v>
      </c>
      <c r="BB3589">
        <v>1200</v>
      </c>
      <c r="BC3589">
        <v>1</v>
      </c>
      <c r="BD3589" t="str">
        <f t="shared" si="1312"/>
        <v xml:space="preserve">N887QR  </v>
      </c>
      <c r="BE3589">
        <v>1</v>
      </c>
      <c r="BG3589">
        <v>0</v>
      </c>
      <c r="BH3589">
        <v>0</v>
      </c>
      <c r="BI3589">
        <v>0</v>
      </c>
      <c r="BJ3589">
        <v>4225</v>
      </c>
      <c r="BK3589">
        <v>-175</v>
      </c>
      <c r="BL3589" t="s">
        <v>163</v>
      </c>
      <c r="BM3589">
        <v>1</v>
      </c>
      <c r="BN3589">
        <v>1</v>
      </c>
      <c r="BO3589">
        <v>1</v>
      </c>
      <c r="BP3589">
        <v>0</v>
      </c>
      <c r="BS3589">
        <v>0</v>
      </c>
      <c r="BT3589">
        <v>0</v>
      </c>
      <c r="BU3589">
        <v>0</v>
      </c>
      <c r="CE3589" t="str">
        <f t="shared" si="1313"/>
        <v>19:35:12.959</v>
      </c>
      <c r="CF3589">
        <v>958583423</v>
      </c>
      <c r="CS3589">
        <v>0</v>
      </c>
      <c r="CT3589">
        <v>2</v>
      </c>
      <c r="CU3589">
        <v>0</v>
      </c>
      <c r="CV3589">
        <v>2</v>
      </c>
      <c r="CW3589">
        <v>0</v>
      </c>
      <c r="CX3589">
        <v>5</v>
      </c>
      <c r="CY3589">
        <v>7</v>
      </c>
      <c r="CZ3589" t="s">
        <v>131</v>
      </c>
      <c r="DA3589">
        <v>300</v>
      </c>
      <c r="DB3589">
        <v>0</v>
      </c>
      <c r="DC3589" t="s">
        <v>176</v>
      </c>
      <c r="DD3589" t="s">
        <v>177</v>
      </c>
      <c r="DG3589">
        <v>5442733</v>
      </c>
      <c r="DI3589">
        <v>1</v>
      </c>
      <c r="DJ3589">
        <v>0</v>
      </c>
      <c r="DK3589">
        <v>1</v>
      </c>
      <c r="DL3589">
        <v>0</v>
      </c>
      <c r="DM3589">
        <v>0</v>
      </c>
      <c r="DN3589">
        <v>1</v>
      </c>
      <c r="DO3589">
        <v>0</v>
      </c>
      <c r="DP3589">
        <v>0</v>
      </c>
      <c r="DQ3589">
        <v>0</v>
      </c>
      <c r="DR3589">
        <v>0</v>
      </c>
      <c r="DS3589">
        <v>0</v>
      </c>
    </row>
    <row r="3590" spans="1:123" x14ac:dyDescent="0.3">
      <c r="A3590" t="str">
        <f t="shared" si="1314"/>
        <v>10/04/2022 19:35:13.261</v>
      </c>
      <c r="C3590" t="str">
        <f t="shared" si="1304"/>
        <v>FFDFD3C0</v>
      </c>
      <c r="D3590" t="s">
        <v>141</v>
      </c>
      <c r="E3590">
        <v>4</v>
      </c>
      <c r="H3590">
        <v>4</v>
      </c>
      <c r="I3590" t="s">
        <v>142</v>
      </c>
      <c r="J3590" t="s">
        <v>138</v>
      </c>
      <c r="K3590">
        <v>0</v>
      </c>
      <c r="L3590">
        <v>3</v>
      </c>
      <c r="M3590">
        <v>0</v>
      </c>
      <c r="N3590">
        <v>2</v>
      </c>
      <c r="O3590">
        <v>0</v>
      </c>
      <c r="P3590">
        <v>1</v>
      </c>
      <c r="Q3590">
        <v>0</v>
      </c>
      <c r="S3590" t="str">
        <f t="shared" si="1309"/>
        <v>19:35:12.000</v>
      </c>
      <c r="T3590" t="str">
        <f t="shared" si="1309"/>
        <v>19:35:12.000</v>
      </c>
      <c r="U3590" t="str">
        <f t="shared" si="1311"/>
        <v>AC3944</v>
      </c>
      <c r="V3590">
        <v>0</v>
      </c>
      <c r="W3590">
        <v>0</v>
      </c>
      <c r="X3590">
        <v>2</v>
      </c>
      <c r="Y3590">
        <v>0</v>
      </c>
      <c r="AA3590">
        <v>1</v>
      </c>
      <c r="AB3590">
        <v>8</v>
      </c>
      <c r="AC3590">
        <v>3</v>
      </c>
      <c r="AD3590">
        <v>0</v>
      </c>
      <c r="AE3590">
        <v>9</v>
      </c>
      <c r="AF3590" t="s">
        <v>138</v>
      </c>
      <c r="AG3590">
        <v>0</v>
      </c>
      <c r="AH3590">
        <v>3</v>
      </c>
      <c r="AI3590">
        <v>1</v>
      </c>
      <c r="AJ3590">
        <v>0</v>
      </c>
      <c r="AK3590" t="s">
        <v>1175</v>
      </c>
      <c r="AL3590">
        <v>32.735674000000003</v>
      </c>
      <c r="AM3590" t="s">
        <v>1176</v>
      </c>
      <c r="AN3590">
        <v>-116.72645300000001</v>
      </c>
      <c r="AO3590">
        <v>25</v>
      </c>
      <c r="AP3590">
        <v>4400</v>
      </c>
      <c r="AQ3590" t="s">
        <v>129</v>
      </c>
      <c r="AR3590">
        <v>117</v>
      </c>
      <c r="AS3590">
        <v>23</v>
      </c>
      <c r="AT3590">
        <v>704</v>
      </c>
      <c r="BB3590">
        <v>1200</v>
      </c>
      <c r="BC3590">
        <v>1</v>
      </c>
      <c r="BD3590" t="str">
        <f t="shared" si="1312"/>
        <v xml:space="preserve">N887QR  </v>
      </c>
      <c r="BE3590">
        <v>1</v>
      </c>
      <c r="BG3590">
        <v>0</v>
      </c>
      <c r="BH3590">
        <v>0</v>
      </c>
      <c r="BI3590">
        <v>0</v>
      </c>
      <c r="BJ3590">
        <v>4225</v>
      </c>
      <c r="BK3590">
        <v>-175</v>
      </c>
      <c r="BL3590" t="s">
        <v>163</v>
      </c>
      <c r="BM3590">
        <v>1</v>
      </c>
      <c r="BN3590">
        <v>1</v>
      </c>
      <c r="BO3590">
        <v>1</v>
      </c>
      <c r="BP3590">
        <v>0</v>
      </c>
      <c r="BS3590">
        <v>0</v>
      </c>
      <c r="BT3590">
        <v>0</v>
      </c>
      <c r="BU3590">
        <v>0</v>
      </c>
      <c r="CE3590" t="str">
        <f t="shared" si="1313"/>
        <v>19:35:12.959</v>
      </c>
      <c r="CF3590">
        <v>958583423</v>
      </c>
      <c r="CS3590">
        <v>0</v>
      </c>
      <c r="CT3590">
        <v>2</v>
      </c>
      <c r="CU3590">
        <v>0</v>
      </c>
      <c r="CV3590">
        <v>2</v>
      </c>
      <c r="CW3590">
        <v>0</v>
      </c>
      <c r="CX3590">
        <v>5</v>
      </c>
      <c r="CY3590">
        <v>7</v>
      </c>
      <c r="CZ3590" t="s">
        <v>131</v>
      </c>
      <c r="DA3590">
        <v>300</v>
      </c>
      <c r="DB3590">
        <v>0</v>
      </c>
      <c r="DC3590" t="s">
        <v>176</v>
      </c>
      <c r="DD3590" t="s">
        <v>177</v>
      </c>
      <c r="DG3590">
        <v>5442733</v>
      </c>
      <c r="DI3590">
        <v>1</v>
      </c>
      <c r="DJ3590">
        <v>0</v>
      </c>
      <c r="DK3590">
        <v>1</v>
      </c>
      <c r="DL3590">
        <v>0</v>
      </c>
      <c r="DM3590">
        <v>0</v>
      </c>
      <c r="DN3590">
        <v>1</v>
      </c>
      <c r="DO3590">
        <v>0</v>
      </c>
      <c r="DP3590">
        <v>0</v>
      </c>
      <c r="DQ3590">
        <v>0</v>
      </c>
      <c r="DR3590">
        <v>0</v>
      </c>
      <c r="DS3590">
        <v>0</v>
      </c>
    </row>
    <row r="3591" spans="1:123" x14ac:dyDescent="0.3">
      <c r="A3591" t="str">
        <f t="shared" si="1314"/>
        <v>10/04/2022 19:35:13.261</v>
      </c>
      <c r="C3591" t="str">
        <f t="shared" si="1304"/>
        <v>FFDFD3C0</v>
      </c>
      <c r="D3591" t="s">
        <v>136</v>
      </c>
      <c r="E3591">
        <v>8</v>
      </c>
      <c r="H3591">
        <v>225</v>
      </c>
      <c r="I3591" t="s">
        <v>137</v>
      </c>
      <c r="J3591" t="s">
        <v>138</v>
      </c>
      <c r="K3591">
        <v>0</v>
      </c>
      <c r="L3591">
        <v>3</v>
      </c>
      <c r="M3591">
        <v>0</v>
      </c>
      <c r="N3591">
        <v>2</v>
      </c>
      <c r="O3591">
        <v>0</v>
      </c>
      <c r="P3591">
        <v>1</v>
      </c>
      <c r="Q3591">
        <v>0</v>
      </c>
      <c r="S3591" t="str">
        <f t="shared" si="1309"/>
        <v>19:35:12.000</v>
      </c>
      <c r="T3591" t="str">
        <f t="shared" si="1309"/>
        <v>19:35:12.000</v>
      </c>
      <c r="U3591" t="str">
        <f t="shared" si="1311"/>
        <v>AC3944</v>
      </c>
      <c r="V3591">
        <v>0</v>
      </c>
      <c r="W3591">
        <v>0</v>
      </c>
      <c r="X3591">
        <v>2</v>
      </c>
      <c r="Y3591">
        <v>0</v>
      </c>
      <c r="AA3591">
        <v>1</v>
      </c>
      <c r="AB3591">
        <v>8</v>
      </c>
      <c r="AC3591">
        <v>3</v>
      </c>
      <c r="AD3591">
        <v>0</v>
      </c>
      <c r="AE3591">
        <v>9</v>
      </c>
      <c r="AF3591" t="s">
        <v>138</v>
      </c>
      <c r="AG3591">
        <v>0</v>
      </c>
      <c r="AH3591">
        <v>3</v>
      </c>
      <c r="AI3591">
        <v>1</v>
      </c>
      <c r="AJ3591">
        <v>0</v>
      </c>
      <c r="AK3591" t="s">
        <v>1175</v>
      </c>
      <c r="AL3591">
        <v>32.735674000000003</v>
      </c>
      <c r="AM3591" t="s">
        <v>1176</v>
      </c>
      <c r="AN3591">
        <v>-116.72645300000001</v>
      </c>
      <c r="AO3591">
        <v>25</v>
      </c>
      <c r="AP3591">
        <v>4400</v>
      </c>
      <c r="AQ3591" t="s">
        <v>129</v>
      </c>
      <c r="AR3591">
        <v>117</v>
      </c>
      <c r="AS3591">
        <v>23</v>
      </c>
      <c r="AT3591">
        <v>704</v>
      </c>
      <c r="BB3591">
        <v>1200</v>
      </c>
      <c r="BC3591">
        <v>1</v>
      </c>
      <c r="BD3591" t="str">
        <f t="shared" si="1312"/>
        <v xml:space="preserve">N887QR  </v>
      </c>
      <c r="BE3591">
        <v>1</v>
      </c>
      <c r="BG3591">
        <v>0</v>
      </c>
      <c r="BH3591">
        <v>0</v>
      </c>
      <c r="BI3591">
        <v>0</v>
      </c>
      <c r="BJ3591">
        <v>4225</v>
      </c>
      <c r="BK3591">
        <v>-175</v>
      </c>
      <c r="BL3591" t="s">
        <v>163</v>
      </c>
      <c r="BM3591">
        <v>1</v>
      </c>
      <c r="BN3591">
        <v>1</v>
      </c>
      <c r="BO3591">
        <v>1</v>
      </c>
      <c r="BP3591">
        <v>0</v>
      </c>
      <c r="BS3591">
        <v>0</v>
      </c>
      <c r="BT3591">
        <v>0</v>
      </c>
      <c r="BU3591">
        <v>0</v>
      </c>
      <c r="CE3591" t="str">
        <f t="shared" si="1313"/>
        <v>19:35:12.959</v>
      </c>
      <c r="CF3591">
        <v>958583423</v>
      </c>
      <c r="CS3591">
        <v>0</v>
      </c>
      <c r="CT3591">
        <v>2</v>
      </c>
      <c r="CU3591">
        <v>0</v>
      </c>
      <c r="CV3591">
        <v>2</v>
      </c>
      <c r="CW3591">
        <v>0</v>
      </c>
      <c r="CX3591">
        <v>5</v>
      </c>
      <c r="CY3591">
        <v>7</v>
      </c>
      <c r="CZ3591" t="s">
        <v>131</v>
      </c>
      <c r="DA3591">
        <v>300</v>
      </c>
      <c r="DB3591">
        <v>0</v>
      </c>
      <c r="DC3591" t="s">
        <v>176</v>
      </c>
      <c r="DD3591" t="s">
        <v>177</v>
      </c>
      <c r="DG3591">
        <v>5442733</v>
      </c>
      <c r="DI3591">
        <v>1</v>
      </c>
      <c r="DJ3591">
        <v>0</v>
      </c>
      <c r="DK3591">
        <v>1</v>
      </c>
      <c r="DL3591">
        <v>0</v>
      </c>
      <c r="DM3591">
        <v>0</v>
      </c>
      <c r="DN3591">
        <v>1</v>
      </c>
      <c r="DO3591">
        <v>0</v>
      </c>
      <c r="DP3591">
        <v>0</v>
      </c>
      <c r="DQ3591">
        <v>0</v>
      </c>
      <c r="DR3591">
        <v>0</v>
      </c>
      <c r="DS3591">
        <v>0</v>
      </c>
    </row>
    <row r="3592" spans="1:123" x14ac:dyDescent="0.3">
      <c r="A3592" t="str">
        <f t="shared" si="1314"/>
        <v>10/04/2022 19:35:13.261</v>
      </c>
      <c r="C3592" t="str">
        <f t="shared" si="1304"/>
        <v>FFDFD3C0</v>
      </c>
      <c r="D3592" t="s">
        <v>143</v>
      </c>
      <c r="E3592">
        <v>20</v>
      </c>
      <c r="F3592">
        <v>1020</v>
      </c>
      <c r="G3592" t="s">
        <v>144</v>
      </c>
      <c r="J3592" t="s">
        <v>145</v>
      </c>
      <c r="K3592">
        <v>0</v>
      </c>
      <c r="L3592">
        <v>3</v>
      </c>
      <c r="M3592">
        <v>0</v>
      </c>
      <c r="N3592">
        <v>2</v>
      </c>
      <c r="O3592">
        <v>0</v>
      </c>
      <c r="P3592">
        <v>1</v>
      </c>
      <c r="Q3592">
        <v>0</v>
      </c>
      <c r="S3592" t="str">
        <f t="shared" si="1309"/>
        <v>19:35:12.000</v>
      </c>
      <c r="T3592" t="str">
        <f t="shared" si="1309"/>
        <v>19:35:12.000</v>
      </c>
      <c r="U3592" t="str">
        <f t="shared" si="1311"/>
        <v>AC3944</v>
      </c>
      <c r="V3592">
        <v>0</v>
      </c>
      <c r="W3592">
        <v>0</v>
      </c>
      <c r="X3592">
        <v>2</v>
      </c>
      <c r="Y3592">
        <v>0</v>
      </c>
      <c r="AA3592">
        <v>1</v>
      </c>
      <c r="AB3592">
        <v>8</v>
      </c>
      <c r="AC3592">
        <v>3</v>
      </c>
      <c r="AD3592">
        <v>0</v>
      </c>
      <c r="AE3592">
        <v>9</v>
      </c>
      <c r="AF3592" t="s">
        <v>138</v>
      </c>
      <c r="AG3592">
        <v>0</v>
      </c>
      <c r="AH3592">
        <v>3</v>
      </c>
      <c r="AI3592">
        <v>1</v>
      </c>
      <c r="AJ3592">
        <v>0</v>
      </c>
      <c r="AK3592" t="s">
        <v>1175</v>
      </c>
      <c r="AL3592">
        <v>32.735674000000003</v>
      </c>
      <c r="AM3592" t="s">
        <v>1176</v>
      </c>
      <c r="AN3592">
        <v>-116.72645300000001</v>
      </c>
      <c r="AO3592">
        <v>25</v>
      </c>
      <c r="AP3592">
        <v>4400</v>
      </c>
      <c r="AQ3592" t="s">
        <v>129</v>
      </c>
      <c r="AR3592">
        <v>117</v>
      </c>
      <c r="AS3592">
        <v>23</v>
      </c>
      <c r="AT3592">
        <v>704</v>
      </c>
      <c r="BB3592">
        <v>1200</v>
      </c>
      <c r="BC3592">
        <v>1</v>
      </c>
      <c r="BD3592" t="str">
        <f t="shared" si="1312"/>
        <v xml:space="preserve">N887QR  </v>
      </c>
      <c r="BE3592">
        <v>1</v>
      </c>
      <c r="BG3592">
        <v>0</v>
      </c>
      <c r="BH3592">
        <v>0</v>
      </c>
      <c r="BI3592">
        <v>0</v>
      </c>
      <c r="BJ3592">
        <v>4225</v>
      </c>
      <c r="BK3592">
        <v>-175</v>
      </c>
      <c r="BL3592" t="s">
        <v>163</v>
      </c>
      <c r="BM3592">
        <v>1</v>
      </c>
      <c r="BN3592">
        <v>1</v>
      </c>
      <c r="BO3592">
        <v>1</v>
      </c>
      <c r="BP3592">
        <v>0</v>
      </c>
      <c r="BS3592">
        <v>0</v>
      </c>
      <c r="BT3592">
        <v>0</v>
      </c>
      <c r="BU3592">
        <v>0</v>
      </c>
      <c r="CE3592" t="str">
        <f t="shared" si="1313"/>
        <v>19:35:12.959</v>
      </c>
      <c r="CF3592">
        <v>958583423</v>
      </c>
      <c r="CS3592">
        <v>0</v>
      </c>
      <c r="CT3592">
        <v>2</v>
      </c>
      <c r="CU3592">
        <v>0</v>
      </c>
      <c r="CV3592">
        <v>2</v>
      </c>
      <c r="CW3592">
        <v>0</v>
      </c>
      <c r="CX3592">
        <v>5</v>
      </c>
      <c r="CY3592">
        <v>7</v>
      </c>
      <c r="CZ3592" t="s">
        <v>131</v>
      </c>
      <c r="DA3592">
        <v>300</v>
      </c>
      <c r="DB3592">
        <v>0</v>
      </c>
      <c r="DC3592" t="s">
        <v>176</v>
      </c>
      <c r="DD3592" t="s">
        <v>177</v>
      </c>
      <c r="DG3592">
        <v>5442733</v>
      </c>
      <c r="DI3592">
        <v>1</v>
      </c>
      <c r="DJ3592">
        <v>0</v>
      </c>
      <c r="DK3592">
        <v>1</v>
      </c>
      <c r="DL3592">
        <v>0</v>
      </c>
      <c r="DM3592">
        <v>0</v>
      </c>
      <c r="DN3592">
        <v>1</v>
      </c>
      <c r="DO3592">
        <v>0</v>
      </c>
      <c r="DP3592">
        <v>0</v>
      </c>
      <c r="DQ3592">
        <v>0</v>
      </c>
      <c r="DR3592">
        <v>0</v>
      </c>
      <c r="DS3592">
        <v>0</v>
      </c>
    </row>
    <row r="3593" spans="1:123" x14ac:dyDescent="0.3">
      <c r="A3593" t="str">
        <f t="shared" ref="A3593:A3599" si="1315">"10/04/2022 19:35:14.370"</f>
        <v>10/04/2022 19:35:14.370</v>
      </c>
      <c r="C3593" t="str">
        <f t="shared" si="1304"/>
        <v>FFDFD3C0</v>
      </c>
      <c r="D3593" t="s">
        <v>141</v>
      </c>
      <c r="E3593">
        <v>4</v>
      </c>
      <c r="H3593">
        <v>4</v>
      </c>
      <c r="I3593" t="s">
        <v>142</v>
      </c>
      <c r="J3593" t="s">
        <v>138</v>
      </c>
      <c r="K3593">
        <v>0</v>
      </c>
      <c r="L3593">
        <v>3</v>
      </c>
      <c r="M3593">
        <v>0</v>
      </c>
      <c r="N3593">
        <v>2</v>
      </c>
      <c r="O3593">
        <v>0</v>
      </c>
      <c r="P3593">
        <v>1</v>
      </c>
      <c r="Q3593">
        <v>0</v>
      </c>
      <c r="S3593" t="str">
        <f t="shared" ref="S3593:T3599" si="1316">"19:35:14.000"</f>
        <v>19:35:14.000</v>
      </c>
      <c r="T3593" t="str">
        <f t="shared" si="1316"/>
        <v>19:35:14.000</v>
      </c>
      <c r="U3593" t="str">
        <f t="shared" si="1311"/>
        <v>AC3944</v>
      </c>
      <c r="V3593">
        <v>0</v>
      </c>
      <c r="W3593">
        <v>0</v>
      </c>
      <c r="X3593">
        <v>2</v>
      </c>
      <c r="Y3593">
        <v>0</v>
      </c>
      <c r="AA3593">
        <v>1</v>
      </c>
      <c r="AB3593">
        <v>8</v>
      </c>
      <c r="AC3593">
        <v>3</v>
      </c>
      <c r="AD3593">
        <v>0</v>
      </c>
      <c r="AE3593">
        <v>9</v>
      </c>
      <c r="AF3593" t="s">
        <v>138</v>
      </c>
      <c r="AG3593">
        <v>0</v>
      </c>
      <c r="AH3593">
        <v>3</v>
      </c>
      <c r="AI3593">
        <v>1</v>
      </c>
      <c r="AJ3593">
        <v>0</v>
      </c>
      <c r="AK3593" t="s">
        <v>1177</v>
      </c>
      <c r="AL3593">
        <v>32.735782</v>
      </c>
      <c r="AM3593" t="s">
        <v>1178</v>
      </c>
      <c r="AN3593">
        <v>-116.725831</v>
      </c>
      <c r="AO3593">
        <v>25</v>
      </c>
      <c r="AP3593">
        <v>4400</v>
      </c>
      <c r="AQ3593" t="s">
        <v>129</v>
      </c>
      <c r="AR3593">
        <v>118</v>
      </c>
      <c r="AS3593">
        <v>22</v>
      </c>
      <c r="AT3593">
        <v>704</v>
      </c>
      <c r="BB3593">
        <v>1200</v>
      </c>
      <c r="BC3593">
        <v>1</v>
      </c>
      <c r="BD3593" t="str">
        <f t="shared" si="1312"/>
        <v xml:space="preserve">N887QR  </v>
      </c>
      <c r="BE3593">
        <v>1</v>
      </c>
      <c r="BG3593">
        <v>0</v>
      </c>
      <c r="BH3593">
        <v>0</v>
      </c>
      <c r="BI3593">
        <v>0</v>
      </c>
      <c r="BJ3593">
        <v>4275</v>
      </c>
      <c r="BK3593">
        <v>-125</v>
      </c>
      <c r="BL3593" t="s">
        <v>163</v>
      </c>
      <c r="BM3593">
        <v>1</v>
      </c>
      <c r="BN3593">
        <v>1</v>
      </c>
      <c r="BO3593">
        <v>1</v>
      </c>
      <c r="BP3593">
        <v>0</v>
      </c>
      <c r="BS3593">
        <v>0</v>
      </c>
      <c r="BT3593">
        <v>0</v>
      </c>
      <c r="BU3593">
        <v>0</v>
      </c>
      <c r="CE3593" t="str">
        <f t="shared" ref="CE3593:CE3599" si="1317">"19:35:14.100"</f>
        <v>19:35:14.100</v>
      </c>
      <c r="CF3593">
        <v>100024747</v>
      </c>
      <c r="CS3593">
        <v>0</v>
      </c>
      <c r="CT3593">
        <v>2</v>
      </c>
      <c r="CU3593">
        <v>0</v>
      </c>
      <c r="CV3593">
        <v>2</v>
      </c>
      <c r="CW3593">
        <v>0</v>
      </c>
      <c r="CX3593">
        <v>5</v>
      </c>
      <c r="CY3593">
        <v>7</v>
      </c>
      <c r="CZ3593" t="s">
        <v>131</v>
      </c>
      <c r="DA3593">
        <v>286</v>
      </c>
      <c r="DB3593">
        <v>0</v>
      </c>
      <c r="DC3593" t="s">
        <v>132</v>
      </c>
      <c r="DD3593" t="s">
        <v>133</v>
      </c>
      <c r="DG3593">
        <v>884507</v>
      </c>
      <c r="DI3593">
        <v>1</v>
      </c>
      <c r="DJ3593">
        <v>0</v>
      </c>
      <c r="DK3593">
        <v>0</v>
      </c>
      <c r="DL3593">
        <v>0</v>
      </c>
      <c r="DM3593">
        <v>0</v>
      </c>
      <c r="DN3593">
        <v>1</v>
      </c>
      <c r="DO3593">
        <v>0</v>
      </c>
      <c r="DP3593">
        <v>0</v>
      </c>
      <c r="DQ3593">
        <v>0</v>
      </c>
      <c r="DR3593">
        <v>0</v>
      </c>
      <c r="DS3593">
        <v>0</v>
      </c>
    </row>
    <row r="3594" spans="1:123" x14ac:dyDescent="0.3">
      <c r="A3594" t="str">
        <f t="shared" si="1315"/>
        <v>10/04/2022 19:35:14.370</v>
      </c>
      <c r="C3594" t="str">
        <f t="shared" si="1304"/>
        <v>FFDFD3C0</v>
      </c>
      <c r="D3594" t="s">
        <v>143</v>
      </c>
      <c r="E3594">
        <v>20</v>
      </c>
      <c r="F3594">
        <v>1020</v>
      </c>
      <c r="G3594" t="s">
        <v>144</v>
      </c>
      <c r="J3594" t="s">
        <v>145</v>
      </c>
      <c r="K3594">
        <v>0</v>
      </c>
      <c r="L3594">
        <v>3</v>
      </c>
      <c r="M3594">
        <v>0</v>
      </c>
      <c r="N3594">
        <v>2</v>
      </c>
      <c r="O3594">
        <v>0</v>
      </c>
      <c r="P3594">
        <v>1</v>
      </c>
      <c r="Q3594">
        <v>0</v>
      </c>
      <c r="S3594" t="str">
        <f t="shared" si="1316"/>
        <v>19:35:14.000</v>
      </c>
      <c r="T3594" t="str">
        <f t="shared" si="1316"/>
        <v>19:35:14.000</v>
      </c>
      <c r="U3594" t="str">
        <f t="shared" si="1311"/>
        <v>AC3944</v>
      </c>
      <c r="V3594">
        <v>0</v>
      </c>
      <c r="W3594">
        <v>0</v>
      </c>
      <c r="X3594">
        <v>2</v>
      </c>
      <c r="Y3594">
        <v>0</v>
      </c>
      <c r="AA3594">
        <v>1</v>
      </c>
      <c r="AB3594">
        <v>8</v>
      </c>
      <c r="AC3594">
        <v>3</v>
      </c>
      <c r="AD3594">
        <v>0</v>
      </c>
      <c r="AE3594">
        <v>9</v>
      </c>
      <c r="AF3594" t="s">
        <v>138</v>
      </c>
      <c r="AG3594">
        <v>0</v>
      </c>
      <c r="AH3594">
        <v>3</v>
      </c>
      <c r="AI3594">
        <v>1</v>
      </c>
      <c r="AJ3594">
        <v>0</v>
      </c>
      <c r="AK3594" t="s">
        <v>1177</v>
      </c>
      <c r="AL3594">
        <v>32.735782</v>
      </c>
      <c r="AM3594" t="s">
        <v>1178</v>
      </c>
      <c r="AN3594">
        <v>-116.725831</v>
      </c>
      <c r="AO3594">
        <v>25</v>
      </c>
      <c r="AP3594">
        <v>4400</v>
      </c>
      <c r="AQ3594" t="s">
        <v>129</v>
      </c>
      <c r="AR3594">
        <v>118</v>
      </c>
      <c r="AS3594">
        <v>22</v>
      </c>
      <c r="AT3594">
        <v>704</v>
      </c>
      <c r="BB3594">
        <v>1200</v>
      </c>
      <c r="BC3594">
        <v>1</v>
      </c>
      <c r="BD3594" t="str">
        <f t="shared" si="1312"/>
        <v xml:space="preserve">N887QR  </v>
      </c>
      <c r="BE3594">
        <v>1</v>
      </c>
      <c r="BG3594">
        <v>0</v>
      </c>
      <c r="BH3594">
        <v>0</v>
      </c>
      <c r="BI3594">
        <v>0</v>
      </c>
      <c r="BJ3594">
        <v>4275</v>
      </c>
      <c r="BK3594">
        <v>-125</v>
      </c>
      <c r="BL3594" t="s">
        <v>163</v>
      </c>
      <c r="BM3594">
        <v>1</v>
      </c>
      <c r="BN3594">
        <v>1</v>
      </c>
      <c r="BO3594">
        <v>1</v>
      </c>
      <c r="BP3594">
        <v>0</v>
      </c>
      <c r="BS3594">
        <v>0</v>
      </c>
      <c r="BT3594">
        <v>0</v>
      </c>
      <c r="BU3594">
        <v>0</v>
      </c>
      <c r="CE3594" t="str">
        <f t="shared" si="1317"/>
        <v>19:35:14.100</v>
      </c>
      <c r="CF3594">
        <v>100024747</v>
      </c>
      <c r="CS3594">
        <v>0</v>
      </c>
      <c r="CT3594">
        <v>2</v>
      </c>
      <c r="CU3594">
        <v>0</v>
      </c>
      <c r="CV3594">
        <v>2</v>
      </c>
      <c r="CW3594">
        <v>0</v>
      </c>
      <c r="CX3594">
        <v>5</v>
      </c>
      <c r="CY3594">
        <v>7</v>
      </c>
      <c r="CZ3594" t="s">
        <v>131</v>
      </c>
      <c r="DA3594">
        <v>286</v>
      </c>
      <c r="DB3594">
        <v>0</v>
      </c>
      <c r="DC3594" t="s">
        <v>132</v>
      </c>
      <c r="DD3594" t="s">
        <v>133</v>
      </c>
      <c r="DG3594">
        <v>884507</v>
      </c>
      <c r="DI3594">
        <v>1</v>
      </c>
      <c r="DJ3594">
        <v>0</v>
      </c>
      <c r="DK3594">
        <v>1</v>
      </c>
      <c r="DL3594">
        <v>0</v>
      </c>
      <c r="DM3594">
        <v>0</v>
      </c>
      <c r="DN3594">
        <v>1</v>
      </c>
      <c r="DO3594">
        <v>0</v>
      </c>
      <c r="DP3594">
        <v>0</v>
      </c>
      <c r="DQ3594">
        <v>0</v>
      </c>
      <c r="DR3594">
        <v>0</v>
      </c>
      <c r="DS3594">
        <v>0</v>
      </c>
    </row>
    <row r="3595" spans="1:123" x14ac:dyDescent="0.3">
      <c r="A3595" t="str">
        <f t="shared" si="1315"/>
        <v>10/04/2022 19:35:14.370</v>
      </c>
      <c r="C3595" t="str">
        <f t="shared" si="1304"/>
        <v>FFDFD3C0</v>
      </c>
      <c r="D3595" t="s">
        <v>136</v>
      </c>
      <c r="E3595">
        <v>8</v>
      </c>
      <c r="H3595">
        <v>225</v>
      </c>
      <c r="I3595" t="s">
        <v>137</v>
      </c>
      <c r="J3595" t="s">
        <v>138</v>
      </c>
      <c r="K3595">
        <v>0</v>
      </c>
      <c r="L3595">
        <v>3</v>
      </c>
      <c r="M3595">
        <v>0</v>
      </c>
      <c r="N3595">
        <v>2</v>
      </c>
      <c r="O3595">
        <v>0</v>
      </c>
      <c r="P3595">
        <v>1</v>
      </c>
      <c r="Q3595">
        <v>0</v>
      </c>
      <c r="S3595" t="str">
        <f t="shared" si="1316"/>
        <v>19:35:14.000</v>
      </c>
      <c r="T3595" t="str">
        <f t="shared" si="1316"/>
        <v>19:35:14.000</v>
      </c>
      <c r="U3595" t="str">
        <f t="shared" si="1311"/>
        <v>AC3944</v>
      </c>
      <c r="V3595">
        <v>0</v>
      </c>
      <c r="W3595">
        <v>0</v>
      </c>
      <c r="X3595">
        <v>2</v>
      </c>
      <c r="Y3595">
        <v>0</v>
      </c>
      <c r="AA3595">
        <v>1</v>
      </c>
      <c r="AB3595">
        <v>8</v>
      </c>
      <c r="AC3595">
        <v>3</v>
      </c>
      <c r="AD3595">
        <v>0</v>
      </c>
      <c r="AE3595">
        <v>9</v>
      </c>
      <c r="AF3595" t="s">
        <v>138</v>
      </c>
      <c r="AG3595">
        <v>0</v>
      </c>
      <c r="AH3595">
        <v>3</v>
      </c>
      <c r="AI3595">
        <v>1</v>
      </c>
      <c r="AJ3595">
        <v>0</v>
      </c>
      <c r="AK3595" t="s">
        <v>1177</v>
      </c>
      <c r="AL3595">
        <v>32.735782</v>
      </c>
      <c r="AM3595" t="s">
        <v>1178</v>
      </c>
      <c r="AN3595">
        <v>-116.725831</v>
      </c>
      <c r="AO3595">
        <v>25</v>
      </c>
      <c r="AP3595">
        <v>4400</v>
      </c>
      <c r="AQ3595" t="s">
        <v>129</v>
      </c>
      <c r="AR3595">
        <v>118</v>
      </c>
      <c r="AS3595">
        <v>22</v>
      </c>
      <c r="AT3595">
        <v>704</v>
      </c>
      <c r="BB3595">
        <v>1200</v>
      </c>
      <c r="BC3595">
        <v>1</v>
      </c>
      <c r="BD3595" t="str">
        <f t="shared" si="1312"/>
        <v xml:space="preserve">N887QR  </v>
      </c>
      <c r="BE3595">
        <v>1</v>
      </c>
      <c r="BG3595">
        <v>0</v>
      </c>
      <c r="BH3595">
        <v>0</v>
      </c>
      <c r="BI3595">
        <v>0</v>
      </c>
      <c r="BJ3595">
        <v>4275</v>
      </c>
      <c r="BK3595">
        <v>-125</v>
      </c>
      <c r="BL3595" t="s">
        <v>163</v>
      </c>
      <c r="BM3595">
        <v>1</v>
      </c>
      <c r="BN3595">
        <v>1</v>
      </c>
      <c r="BO3595">
        <v>1</v>
      </c>
      <c r="BP3595">
        <v>0</v>
      </c>
      <c r="BS3595">
        <v>0</v>
      </c>
      <c r="BT3595">
        <v>0</v>
      </c>
      <c r="BU3595">
        <v>0</v>
      </c>
      <c r="CE3595" t="str">
        <f t="shared" si="1317"/>
        <v>19:35:14.100</v>
      </c>
      <c r="CF3595">
        <v>100024747</v>
      </c>
      <c r="CS3595">
        <v>0</v>
      </c>
      <c r="CT3595">
        <v>2</v>
      </c>
      <c r="CU3595">
        <v>0</v>
      </c>
      <c r="CV3595">
        <v>2</v>
      </c>
      <c r="CW3595">
        <v>0</v>
      </c>
      <c r="CX3595">
        <v>5</v>
      </c>
      <c r="CY3595">
        <v>7</v>
      </c>
      <c r="CZ3595" t="s">
        <v>131</v>
      </c>
      <c r="DA3595">
        <v>286</v>
      </c>
      <c r="DB3595">
        <v>0</v>
      </c>
      <c r="DC3595" t="s">
        <v>132</v>
      </c>
      <c r="DD3595" t="s">
        <v>133</v>
      </c>
      <c r="DG3595">
        <v>884507</v>
      </c>
      <c r="DI3595">
        <v>1</v>
      </c>
      <c r="DJ3595">
        <v>0</v>
      </c>
      <c r="DK3595">
        <v>1</v>
      </c>
      <c r="DL3595">
        <v>0</v>
      </c>
      <c r="DM3595">
        <v>0</v>
      </c>
      <c r="DN3595">
        <v>1</v>
      </c>
      <c r="DO3595">
        <v>0</v>
      </c>
      <c r="DP3595">
        <v>0</v>
      </c>
      <c r="DQ3595">
        <v>0</v>
      </c>
      <c r="DR3595">
        <v>0</v>
      </c>
      <c r="DS3595">
        <v>0</v>
      </c>
    </row>
    <row r="3596" spans="1:123" x14ac:dyDescent="0.3">
      <c r="A3596" t="str">
        <f t="shared" si="1315"/>
        <v>10/04/2022 19:35:14.370</v>
      </c>
      <c r="C3596" t="str">
        <f t="shared" si="1304"/>
        <v>FFDFD3C0</v>
      </c>
      <c r="D3596" t="s">
        <v>147</v>
      </c>
      <c r="E3596">
        <v>3</v>
      </c>
      <c r="H3596">
        <v>166</v>
      </c>
      <c r="I3596" t="s">
        <v>144</v>
      </c>
      <c r="J3596" t="s">
        <v>148</v>
      </c>
      <c r="K3596">
        <v>0</v>
      </c>
      <c r="L3596">
        <v>3</v>
      </c>
      <c r="M3596">
        <v>0</v>
      </c>
      <c r="N3596">
        <v>2</v>
      </c>
      <c r="O3596">
        <v>0</v>
      </c>
      <c r="P3596">
        <v>1</v>
      </c>
      <c r="Q3596">
        <v>0</v>
      </c>
      <c r="S3596" t="str">
        <f t="shared" si="1316"/>
        <v>19:35:14.000</v>
      </c>
      <c r="T3596" t="str">
        <f t="shared" si="1316"/>
        <v>19:35:14.000</v>
      </c>
      <c r="U3596" t="str">
        <f t="shared" si="1311"/>
        <v>AC3944</v>
      </c>
      <c r="V3596">
        <v>0</v>
      </c>
      <c r="W3596">
        <v>0</v>
      </c>
      <c r="X3596">
        <v>2</v>
      </c>
      <c r="Y3596">
        <v>0</v>
      </c>
      <c r="AA3596">
        <v>1</v>
      </c>
      <c r="AB3596">
        <v>8</v>
      </c>
      <c r="AC3596">
        <v>3</v>
      </c>
      <c r="AD3596">
        <v>0</v>
      </c>
      <c r="AE3596">
        <v>9</v>
      </c>
      <c r="AF3596" t="s">
        <v>138</v>
      </c>
      <c r="AG3596">
        <v>0</v>
      </c>
      <c r="AH3596">
        <v>3</v>
      </c>
      <c r="AI3596">
        <v>1</v>
      </c>
      <c r="AJ3596">
        <v>0</v>
      </c>
      <c r="AK3596" t="s">
        <v>1177</v>
      </c>
      <c r="AL3596">
        <v>32.735782</v>
      </c>
      <c r="AM3596" t="s">
        <v>1178</v>
      </c>
      <c r="AN3596">
        <v>-116.725831</v>
      </c>
      <c r="AO3596">
        <v>25</v>
      </c>
      <c r="AP3596">
        <v>4400</v>
      </c>
      <c r="AQ3596" t="s">
        <v>129</v>
      </c>
      <c r="AR3596">
        <v>118</v>
      </c>
      <c r="AS3596">
        <v>22</v>
      </c>
      <c r="AT3596">
        <v>704</v>
      </c>
      <c r="BB3596">
        <v>1200</v>
      </c>
      <c r="BC3596">
        <v>1</v>
      </c>
      <c r="BD3596" t="str">
        <f t="shared" si="1312"/>
        <v xml:space="preserve">N887QR  </v>
      </c>
      <c r="BE3596">
        <v>1</v>
      </c>
      <c r="BG3596">
        <v>0</v>
      </c>
      <c r="BH3596">
        <v>0</v>
      </c>
      <c r="BI3596">
        <v>0</v>
      </c>
      <c r="BJ3596">
        <v>4275</v>
      </c>
      <c r="BK3596">
        <v>-125</v>
      </c>
      <c r="BL3596" t="s">
        <v>163</v>
      </c>
      <c r="BM3596">
        <v>1</v>
      </c>
      <c r="BN3596">
        <v>1</v>
      </c>
      <c r="BO3596">
        <v>1</v>
      </c>
      <c r="BP3596">
        <v>0</v>
      </c>
      <c r="BS3596">
        <v>0</v>
      </c>
      <c r="BT3596">
        <v>0</v>
      </c>
      <c r="BU3596">
        <v>0</v>
      </c>
      <c r="CE3596" t="str">
        <f t="shared" si="1317"/>
        <v>19:35:14.100</v>
      </c>
      <c r="CF3596">
        <v>100024747</v>
      </c>
      <c r="CS3596">
        <v>0</v>
      </c>
      <c r="CT3596">
        <v>2</v>
      </c>
      <c r="CU3596">
        <v>0</v>
      </c>
      <c r="CV3596">
        <v>2</v>
      </c>
      <c r="CW3596">
        <v>0</v>
      </c>
      <c r="CX3596">
        <v>5</v>
      </c>
      <c r="CY3596">
        <v>7</v>
      </c>
      <c r="CZ3596" t="s">
        <v>131</v>
      </c>
      <c r="DA3596">
        <v>286</v>
      </c>
      <c r="DB3596">
        <v>0</v>
      </c>
      <c r="DC3596" t="s">
        <v>132</v>
      </c>
      <c r="DD3596" t="s">
        <v>133</v>
      </c>
      <c r="DG3596">
        <v>884507</v>
      </c>
      <c r="DI3596">
        <v>1</v>
      </c>
      <c r="DJ3596">
        <v>0</v>
      </c>
      <c r="DK3596">
        <v>1</v>
      </c>
      <c r="DL3596">
        <v>0</v>
      </c>
      <c r="DM3596">
        <v>0</v>
      </c>
      <c r="DN3596">
        <v>1</v>
      </c>
      <c r="DO3596">
        <v>0</v>
      </c>
      <c r="DP3596">
        <v>0</v>
      </c>
      <c r="DQ3596">
        <v>0</v>
      </c>
      <c r="DR3596">
        <v>0</v>
      </c>
      <c r="DS3596">
        <v>0</v>
      </c>
    </row>
    <row r="3597" spans="1:123" x14ac:dyDescent="0.3">
      <c r="A3597" t="str">
        <f t="shared" si="1315"/>
        <v>10/04/2022 19:35:14.370</v>
      </c>
      <c r="C3597" t="str">
        <f t="shared" si="1304"/>
        <v>FFDFD3C0</v>
      </c>
      <c r="D3597" t="s">
        <v>134</v>
      </c>
      <c r="E3597">
        <v>15</v>
      </c>
      <c r="J3597" t="s">
        <v>135</v>
      </c>
      <c r="K3597">
        <v>0</v>
      </c>
      <c r="L3597">
        <v>3</v>
      </c>
      <c r="M3597">
        <v>0</v>
      </c>
      <c r="N3597">
        <v>2</v>
      </c>
      <c r="O3597">
        <v>0</v>
      </c>
      <c r="P3597">
        <v>1</v>
      </c>
      <c r="Q3597">
        <v>0</v>
      </c>
      <c r="S3597" t="str">
        <f t="shared" si="1316"/>
        <v>19:35:14.000</v>
      </c>
      <c r="T3597" t="str">
        <f t="shared" si="1316"/>
        <v>19:35:14.000</v>
      </c>
      <c r="U3597" t="str">
        <f t="shared" si="1311"/>
        <v>AC3944</v>
      </c>
      <c r="V3597">
        <v>0</v>
      </c>
      <c r="W3597">
        <v>0</v>
      </c>
      <c r="X3597">
        <v>2</v>
      </c>
      <c r="Y3597">
        <v>0</v>
      </c>
      <c r="AA3597">
        <v>1</v>
      </c>
      <c r="AB3597">
        <v>8</v>
      </c>
      <c r="AC3597">
        <v>3</v>
      </c>
      <c r="AD3597">
        <v>0</v>
      </c>
      <c r="AE3597">
        <v>9</v>
      </c>
      <c r="AF3597" t="s">
        <v>138</v>
      </c>
      <c r="AG3597">
        <v>0</v>
      </c>
      <c r="AH3597">
        <v>3</v>
      </c>
      <c r="AI3597">
        <v>1</v>
      </c>
      <c r="AJ3597">
        <v>0</v>
      </c>
      <c r="AK3597" t="s">
        <v>1177</v>
      </c>
      <c r="AL3597">
        <v>32.735782</v>
      </c>
      <c r="AM3597" t="s">
        <v>1178</v>
      </c>
      <c r="AN3597">
        <v>-116.725831</v>
      </c>
      <c r="AO3597">
        <v>25</v>
      </c>
      <c r="AP3597">
        <v>4400</v>
      </c>
      <c r="AQ3597" t="s">
        <v>129</v>
      </c>
      <c r="AR3597">
        <v>118</v>
      </c>
      <c r="AS3597">
        <v>22</v>
      </c>
      <c r="AT3597">
        <v>704</v>
      </c>
      <c r="BB3597">
        <v>1200</v>
      </c>
      <c r="BC3597">
        <v>1</v>
      </c>
      <c r="BD3597" t="str">
        <f t="shared" si="1312"/>
        <v xml:space="preserve">N887QR  </v>
      </c>
      <c r="BE3597">
        <v>1</v>
      </c>
      <c r="BG3597">
        <v>0</v>
      </c>
      <c r="BH3597">
        <v>0</v>
      </c>
      <c r="BI3597">
        <v>0</v>
      </c>
      <c r="BJ3597">
        <v>4275</v>
      </c>
      <c r="BK3597">
        <v>-125</v>
      </c>
      <c r="BL3597" t="s">
        <v>163</v>
      </c>
      <c r="BM3597">
        <v>1</v>
      </c>
      <c r="BN3597">
        <v>1</v>
      </c>
      <c r="BO3597">
        <v>1</v>
      </c>
      <c r="BP3597">
        <v>0</v>
      </c>
      <c r="BS3597">
        <v>0</v>
      </c>
      <c r="BT3597">
        <v>0</v>
      </c>
      <c r="BU3597">
        <v>0</v>
      </c>
      <c r="CE3597" t="str">
        <f t="shared" si="1317"/>
        <v>19:35:14.100</v>
      </c>
      <c r="CF3597">
        <v>100024747</v>
      </c>
      <c r="CS3597">
        <v>0</v>
      </c>
      <c r="CT3597">
        <v>2</v>
      </c>
      <c r="CU3597">
        <v>0</v>
      </c>
      <c r="CV3597">
        <v>2</v>
      </c>
      <c r="CW3597">
        <v>0</v>
      </c>
      <c r="CX3597">
        <v>5</v>
      </c>
      <c r="CY3597">
        <v>7</v>
      </c>
      <c r="CZ3597" t="s">
        <v>131</v>
      </c>
      <c r="DA3597">
        <v>286</v>
      </c>
      <c r="DB3597">
        <v>0</v>
      </c>
      <c r="DC3597" t="s">
        <v>132</v>
      </c>
      <c r="DD3597" t="s">
        <v>133</v>
      </c>
      <c r="DG3597">
        <v>884507</v>
      </c>
      <c r="DI3597">
        <v>1</v>
      </c>
      <c r="DJ3597">
        <v>0</v>
      </c>
      <c r="DK3597">
        <v>1</v>
      </c>
      <c r="DL3597">
        <v>0</v>
      </c>
      <c r="DM3597">
        <v>0</v>
      </c>
      <c r="DN3597">
        <v>1</v>
      </c>
      <c r="DO3597">
        <v>0</v>
      </c>
      <c r="DP3597">
        <v>0</v>
      </c>
      <c r="DQ3597">
        <v>0</v>
      </c>
      <c r="DR3597">
        <v>0</v>
      </c>
      <c r="DS3597">
        <v>0</v>
      </c>
    </row>
    <row r="3598" spans="1:123" x14ac:dyDescent="0.3">
      <c r="A3598" t="str">
        <f t="shared" si="1315"/>
        <v>10/04/2022 19:35:14.370</v>
      </c>
      <c r="C3598" t="str">
        <f t="shared" si="1304"/>
        <v>FFDFD3C0</v>
      </c>
      <c r="D3598" t="s">
        <v>123</v>
      </c>
      <c r="E3598">
        <v>7</v>
      </c>
      <c r="F3598">
        <v>2007</v>
      </c>
      <c r="G3598" t="s">
        <v>124</v>
      </c>
      <c r="J3598" t="s">
        <v>125</v>
      </c>
      <c r="K3598">
        <v>0</v>
      </c>
      <c r="L3598">
        <v>3</v>
      </c>
      <c r="M3598">
        <v>0</v>
      </c>
      <c r="N3598">
        <v>2</v>
      </c>
      <c r="O3598">
        <v>0</v>
      </c>
      <c r="P3598">
        <v>1</v>
      </c>
      <c r="Q3598">
        <v>0</v>
      </c>
      <c r="S3598" t="str">
        <f t="shared" si="1316"/>
        <v>19:35:14.000</v>
      </c>
      <c r="T3598" t="str">
        <f t="shared" si="1316"/>
        <v>19:35:14.000</v>
      </c>
      <c r="U3598" t="str">
        <f t="shared" si="1311"/>
        <v>AC3944</v>
      </c>
      <c r="V3598">
        <v>0</v>
      </c>
      <c r="W3598">
        <v>0</v>
      </c>
      <c r="X3598">
        <v>2</v>
      </c>
      <c r="Y3598">
        <v>0</v>
      </c>
      <c r="AA3598">
        <v>1</v>
      </c>
      <c r="AB3598">
        <v>8</v>
      </c>
      <c r="AC3598">
        <v>3</v>
      </c>
      <c r="AD3598">
        <v>0</v>
      </c>
      <c r="AE3598">
        <v>9</v>
      </c>
      <c r="AF3598" t="s">
        <v>138</v>
      </c>
      <c r="AG3598">
        <v>0</v>
      </c>
      <c r="AH3598">
        <v>3</v>
      </c>
      <c r="AI3598">
        <v>1</v>
      </c>
      <c r="AJ3598">
        <v>0</v>
      </c>
      <c r="AK3598" t="s">
        <v>1177</v>
      </c>
      <c r="AL3598">
        <v>32.735782</v>
      </c>
      <c r="AM3598" t="s">
        <v>1178</v>
      </c>
      <c r="AN3598">
        <v>-116.725831</v>
      </c>
      <c r="AO3598">
        <v>25</v>
      </c>
      <c r="AP3598">
        <v>4400</v>
      </c>
      <c r="AQ3598" t="s">
        <v>129</v>
      </c>
      <c r="AR3598">
        <v>118</v>
      </c>
      <c r="AS3598">
        <v>22</v>
      </c>
      <c r="AT3598">
        <v>704</v>
      </c>
      <c r="BB3598">
        <v>1200</v>
      </c>
      <c r="BC3598">
        <v>1</v>
      </c>
      <c r="BD3598" t="str">
        <f t="shared" si="1312"/>
        <v xml:space="preserve">N887QR  </v>
      </c>
      <c r="BE3598">
        <v>1</v>
      </c>
      <c r="BG3598">
        <v>0</v>
      </c>
      <c r="BH3598">
        <v>0</v>
      </c>
      <c r="BI3598">
        <v>0</v>
      </c>
      <c r="BJ3598">
        <v>4275</v>
      </c>
      <c r="BK3598">
        <v>-125</v>
      </c>
      <c r="BL3598" t="s">
        <v>163</v>
      </c>
      <c r="BM3598">
        <v>1</v>
      </c>
      <c r="BN3598">
        <v>1</v>
      </c>
      <c r="BO3598">
        <v>1</v>
      </c>
      <c r="BP3598">
        <v>0</v>
      </c>
      <c r="BS3598">
        <v>0</v>
      </c>
      <c r="BT3598">
        <v>0</v>
      </c>
      <c r="BU3598">
        <v>0</v>
      </c>
      <c r="CE3598" t="str">
        <f t="shared" si="1317"/>
        <v>19:35:14.100</v>
      </c>
      <c r="CF3598">
        <v>100024747</v>
      </c>
      <c r="CS3598">
        <v>0</v>
      </c>
      <c r="CT3598">
        <v>2</v>
      </c>
      <c r="CU3598">
        <v>0</v>
      </c>
      <c r="CV3598">
        <v>2</v>
      </c>
      <c r="CW3598">
        <v>0</v>
      </c>
      <c r="CX3598">
        <v>5</v>
      </c>
      <c r="CY3598">
        <v>7</v>
      </c>
      <c r="CZ3598" t="s">
        <v>131</v>
      </c>
      <c r="DA3598">
        <v>286</v>
      </c>
      <c r="DB3598">
        <v>0</v>
      </c>
      <c r="DC3598" t="s">
        <v>132</v>
      </c>
      <c r="DD3598" t="s">
        <v>133</v>
      </c>
      <c r="DG3598">
        <v>884507</v>
      </c>
      <c r="DI3598">
        <v>1</v>
      </c>
      <c r="DJ3598">
        <v>0</v>
      </c>
      <c r="DK3598">
        <v>1</v>
      </c>
      <c r="DL3598">
        <v>0</v>
      </c>
      <c r="DM3598">
        <v>0</v>
      </c>
      <c r="DN3598">
        <v>1</v>
      </c>
      <c r="DO3598">
        <v>0</v>
      </c>
      <c r="DP3598">
        <v>0</v>
      </c>
      <c r="DQ3598">
        <v>0</v>
      </c>
      <c r="DR3598">
        <v>0</v>
      </c>
      <c r="DS3598">
        <v>0</v>
      </c>
    </row>
    <row r="3599" spans="1:123" x14ac:dyDescent="0.3">
      <c r="A3599" t="str">
        <f t="shared" si="1315"/>
        <v>10/04/2022 19:35:14.370</v>
      </c>
      <c r="C3599" t="str">
        <f t="shared" si="1304"/>
        <v>FFDFD3C0</v>
      </c>
      <c r="D3599" t="s">
        <v>141</v>
      </c>
      <c r="E3599">
        <v>3</v>
      </c>
      <c r="H3599">
        <v>3</v>
      </c>
      <c r="I3599" t="s">
        <v>146</v>
      </c>
      <c r="J3599" t="s">
        <v>138</v>
      </c>
      <c r="K3599">
        <v>0</v>
      </c>
      <c r="L3599">
        <v>3</v>
      </c>
      <c r="M3599">
        <v>0</v>
      </c>
      <c r="N3599">
        <v>2</v>
      </c>
      <c r="O3599">
        <v>0</v>
      </c>
      <c r="P3599">
        <v>1</v>
      </c>
      <c r="Q3599">
        <v>0</v>
      </c>
      <c r="S3599" t="str">
        <f t="shared" si="1316"/>
        <v>19:35:14.000</v>
      </c>
      <c r="T3599" t="str">
        <f t="shared" si="1316"/>
        <v>19:35:14.000</v>
      </c>
      <c r="U3599" t="str">
        <f t="shared" si="1311"/>
        <v>AC3944</v>
      </c>
      <c r="V3599">
        <v>0</v>
      </c>
      <c r="W3599">
        <v>0</v>
      </c>
      <c r="X3599">
        <v>2</v>
      </c>
      <c r="Y3599">
        <v>0</v>
      </c>
      <c r="AA3599">
        <v>1</v>
      </c>
      <c r="AB3599">
        <v>8</v>
      </c>
      <c r="AC3599">
        <v>3</v>
      </c>
      <c r="AD3599">
        <v>0</v>
      </c>
      <c r="AE3599">
        <v>9</v>
      </c>
      <c r="AF3599" t="s">
        <v>138</v>
      </c>
      <c r="AG3599">
        <v>0</v>
      </c>
      <c r="AH3599">
        <v>3</v>
      </c>
      <c r="AI3599">
        <v>1</v>
      </c>
      <c r="AJ3599">
        <v>0</v>
      </c>
      <c r="AK3599" t="s">
        <v>1177</v>
      </c>
      <c r="AL3599">
        <v>32.735782</v>
      </c>
      <c r="AM3599" t="s">
        <v>1178</v>
      </c>
      <c r="AN3599">
        <v>-116.725831</v>
      </c>
      <c r="AO3599">
        <v>25</v>
      </c>
      <c r="AP3599">
        <v>4400</v>
      </c>
      <c r="AQ3599" t="s">
        <v>129</v>
      </c>
      <c r="AR3599">
        <v>118</v>
      </c>
      <c r="AS3599">
        <v>22</v>
      </c>
      <c r="AT3599">
        <v>704</v>
      </c>
      <c r="BB3599">
        <v>1200</v>
      </c>
      <c r="BC3599">
        <v>1</v>
      </c>
      <c r="BD3599" t="str">
        <f t="shared" si="1312"/>
        <v xml:space="preserve">N887QR  </v>
      </c>
      <c r="BE3599">
        <v>1</v>
      </c>
      <c r="BG3599">
        <v>0</v>
      </c>
      <c r="BH3599">
        <v>0</v>
      </c>
      <c r="BI3599">
        <v>0</v>
      </c>
      <c r="BJ3599">
        <v>4275</v>
      </c>
      <c r="BK3599">
        <v>-125</v>
      </c>
      <c r="BL3599" t="s">
        <v>163</v>
      </c>
      <c r="BM3599">
        <v>1</v>
      </c>
      <c r="BN3599">
        <v>1</v>
      </c>
      <c r="BO3599">
        <v>1</v>
      </c>
      <c r="BP3599">
        <v>0</v>
      </c>
      <c r="BS3599">
        <v>0</v>
      </c>
      <c r="BT3599">
        <v>0</v>
      </c>
      <c r="BU3599">
        <v>0</v>
      </c>
      <c r="CE3599" t="str">
        <f t="shared" si="1317"/>
        <v>19:35:14.100</v>
      </c>
      <c r="CF3599">
        <v>100024747</v>
      </c>
      <c r="CS3599">
        <v>0</v>
      </c>
      <c r="CT3599">
        <v>2</v>
      </c>
      <c r="CU3599">
        <v>0</v>
      </c>
      <c r="CV3599">
        <v>2</v>
      </c>
      <c r="CW3599">
        <v>0</v>
      </c>
      <c r="CX3599">
        <v>5</v>
      </c>
      <c r="CY3599">
        <v>7</v>
      </c>
      <c r="CZ3599" t="s">
        <v>131</v>
      </c>
      <c r="DA3599">
        <v>286</v>
      </c>
      <c r="DB3599">
        <v>0</v>
      </c>
      <c r="DC3599" t="s">
        <v>132</v>
      </c>
      <c r="DD3599" t="s">
        <v>133</v>
      </c>
      <c r="DG3599">
        <v>884507</v>
      </c>
      <c r="DI3599">
        <v>1</v>
      </c>
      <c r="DJ3599">
        <v>0</v>
      </c>
      <c r="DK3599">
        <v>1</v>
      </c>
      <c r="DL3599">
        <v>0</v>
      </c>
      <c r="DM3599">
        <v>0</v>
      </c>
      <c r="DN3599">
        <v>1</v>
      </c>
      <c r="DO3599">
        <v>0</v>
      </c>
      <c r="DP3599">
        <v>0</v>
      </c>
      <c r="DQ3599">
        <v>0</v>
      </c>
      <c r="DR3599">
        <v>0</v>
      </c>
      <c r="DS3599">
        <v>0</v>
      </c>
    </row>
    <row r="3600" spans="1:123" x14ac:dyDescent="0.3">
      <c r="A3600" t="str">
        <f t="shared" ref="A3600:A3605" si="1318">"10/04/2022 19:35:15.372"</f>
        <v>10/04/2022 19:35:15.372</v>
      </c>
      <c r="C3600" t="str">
        <f t="shared" si="1304"/>
        <v>FFDFD3C0</v>
      </c>
      <c r="D3600" t="s">
        <v>143</v>
      </c>
      <c r="E3600">
        <v>20</v>
      </c>
      <c r="F3600">
        <v>1020</v>
      </c>
      <c r="G3600" t="s">
        <v>144</v>
      </c>
      <c r="J3600" t="s">
        <v>145</v>
      </c>
      <c r="K3600">
        <v>0</v>
      </c>
      <c r="L3600">
        <v>3</v>
      </c>
      <c r="M3600">
        <v>0</v>
      </c>
      <c r="N3600">
        <v>2</v>
      </c>
      <c r="O3600">
        <v>0</v>
      </c>
      <c r="P3600">
        <v>1</v>
      </c>
      <c r="Q3600">
        <v>0</v>
      </c>
      <c r="S3600" t="str">
        <f t="shared" ref="S3600:T3606" si="1319">"19:35:15.000"</f>
        <v>19:35:15.000</v>
      </c>
      <c r="T3600" t="str">
        <f t="shared" si="1319"/>
        <v>19:35:15.000</v>
      </c>
      <c r="U3600" t="str">
        <f t="shared" si="1311"/>
        <v>AC3944</v>
      </c>
      <c r="V3600">
        <v>0</v>
      </c>
      <c r="W3600">
        <v>0</v>
      </c>
      <c r="X3600">
        <v>2</v>
      </c>
      <c r="Y3600">
        <v>0</v>
      </c>
      <c r="AA3600">
        <v>1</v>
      </c>
      <c r="AB3600">
        <v>8</v>
      </c>
      <c r="AC3600">
        <v>3</v>
      </c>
      <c r="AD3600">
        <v>0</v>
      </c>
      <c r="AE3600">
        <v>9</v>
      </c>
      <c r="AF3600" t="s">
        <v>138</v>
      </c>
      <c r="AG3600">
        <v>0</v>
      </c>
      <c r="AH3600">
        <v>3</v>
      </c>
      <c r="AI3600">
        <v>1</v>
      </c>
      <c r="AJ3600">
        <v>0</v>
      </c>
      <c r="AK3600" t="s">
        <v>1179</v>
      </c>
      <c r="AL3600">
        <v>32.735889</v>
      </c>
      <c r="AM3600" t="s">
        <v>1180</v>
      </c>
      <c r="AN3600">
        <v>-116.725166</v>
      </c>
      <c r="AO3600">
        <v>25</v>
      </c>
      <c r="AP3600">
        <v>4400</v>
      </c>
      <c r="AQ3600" t="s">
        <v>129</v>
      </c>
      <c r="AR3600">
        <v>118</v>
      </c>
      <c r="AS3600">
        <v>21</v>
      </c>
      <c r="AT3600">
        <v>640</v>
      </c>
      <c r="BB3600">
        <v>1200</v>
      </c>
      <c r="BC3600">
        <v>1</v>
      </c>
      <c r="BD3600" t="str">
        <f t="shared" si="1312"/>
        <v xml:space="preserve">N887QR  </v>
      </c>
      <c r="BE3600">
        <v>1</v>
      </c>
      <c r="BG3600">
        <v>0</v>
      </c>
      <c r="BH3600">
        <v>0</v>
      </c>
      <c r="BI3600">
        <v>0</v>
      </c>
      <c r="BJ3600">
        <v>4275</v>
      </c>
      <c r="BK3600">
        <v>-125</v>
      </c>
      <c r="BL3600" t="s">
        <v>163</v>
      </c>
      <c r="BM3600">
        <v>1</v>
      </c>
      <c r="BN3600">
        <v>1</v>
      </c>
      <c r="BO3600">
        <v>1</v>
      </c>
      <c r="BP3600">
        <v>0</v>
      </c>
      <c r="BS3600">
        <v>0</v>
      </c>
      <c r="BT3600">
        <v>0</v>
      </c>
      <c r="BU3600">
        <v>0</v>
      </c>
      <c r="CE3600" t="str">
        <f t="shared" ref="CE3600:CE3606" si="1320">"19:35:15.173"</f>
        <v>19:35:15.173</v>
      </c>
      <c r="CF3600">
        <v>172840685</v>
      </c>
      <c r="CS3600">
        <v>0</v>
      </c>
      <c r="CT3600">
        <v>2</v>
      </c>
      <c r="CU3600">
        <v>0</v>
      </c>
      <c r="CV3600">
        <v>2</v>
      </c>
      <c r="CW3600">
        <v>3</v>
      </c>
      <c r="CX3600">
        <v>5</v>
      </c>
      <c r="CY3600">
        <v>7</v>
      </c>
      <c r="CZ3600" t="s">
        <v>131</v>
      </c>
      <c r="DA3600">
        <v>300</v>
      </c>
      <c r="DB3600">
        <v>0</v>
      </c>
      <c r="DC3600" t="s">
        <v>176</v>
      </c>
      <c r="DD3600" t="s">
        <v>177</v>
      </c>
      <c r="DG3600">
        <v>5443071</v>
      </c>
      <c r="DI3600">
        <v>1</v>
      </c>
      <c r="DJ3600">
        <v>0</v>
      </c>
      <c r="DK3600">
        <v>0</v>
      </c>
      <c r="DL3600">
        <v>0</v>
      </c>
      <c r="DM3600">
        <v>0</v>
      </c>
      <c r="DN3600">
        <v>1</v>
      </c>
      <c r="DO3600">
        <v>0</v>
      </c>
      <c r="DP3600">
        <v>0</v>
      </c>
      <c r="DQ3600">
        <v>0</v>
      </c>
      <c r="DR3600">
        <v>0</v>
      </c>
      <c r="DS3600">
        <v>0</v>
      </c>
    </row>
    <row r="3601" spans="1:123" x14ac:dyDescent="0.3">
      <c r="A3601" t="str">
        <f t="shared" si="1318"/>
        <v>10/04/2022 19:35:15.372</v>
      </c>
      <c r="C3601" t="str">
        <f t="shared" si="1304"/>
        <v>FFDFD3C0</v>
      </c>
      <c r="D3601" t="s">
        <v>136</v>
      </c>
      <c r="E3601">
        <v>8</v>
      </c>
      <c r="H3601">
        <v>225</v>
      </c>
      <c r="I3601" t="s">
        <v>137</v>
      </c>
      <c r="J3601" t="s">
        <v>138</v>
      </c>
      <c r="K3601">
        <v>0</v>
      </c>
      <c r="L3601">
        <v>3</v>
      </c>
      <c r="M3601">
        <v>0</v>
      </c>
      <c r="N3601">
        <v>2</v>
      </c>
      <c r="O3601">
        <v>0</v>
      </c>
      <c r="P3601">
        <v>1</v>
      </c>
      <c r="Q3601">
        <v>0</v>
      </c>
      <c r="S3601" t="str">
        <f t="shared" si="1319"/>
        <v>19:35:15.000</v>
      </c>
      <c r="T3601" t="str">
        <f t="shared" si="1319"/>
        <v>19:35:15.000</v>
      </c>
      <c r="U3601" t="str">
        <f t="shared" si="1311"/>
        <v>AC3944</v>
      </c>
      <c r="V3601">
        <v>0</v>
      </c>
      <c r="W3601">
        <v>0</v>
      </c>
      <c r="X3601">
        <v>2</v>
      </c>
      <c r="Y3601">
        <v>0</v>
      </c>
      <c r="AA3601">
        <v>1</v>
      </c>
      <c r="AB3601">
        <v>8</v>
      </c>
      <c r="AC3601">
        <v>3</v>
      </c>
      <c r="AD3601">
        <v>0</v>
      </c>
      <c r="AE3601">
        <v>9</v>
      </c>
      <c r="AF3601" t="s">
        <v>138</v>
      </c>
      <c r="AG3601">
        <v>0</v>
      </c>
      <c r="AH3601">
        <v>3</v>
      </c>
      <c r="AI3601">
        <v>1</v>
      </c>
      <c r="AJ3601">
        <v>0</v>
      </c>
      <c r="AK3601" t="s">
        <v>1179</v>
      </c>
      <c r="AL3601">
        <v>32.735889</v>
      </c>
      <c r="AM3601" t="s">
        <v>1180</v>
      </c>
      <c r="AN3601">
        <v>-116.725166</v>
      </c>
      <c r="AO3601">
        <v>25</v>
      </c>
      <c r="AP3601">
        <v>4400</v>
      </c>
      <c r="AQ3601" t="s">
        <v>129</v>
      </c>
      <c r="AR3601">
        <v>118</v>
      </c>
      <c r="AS3601">
        <v>21</v>
      </c>
      <c r="AT3601">
        <v>640</v>
      </c>
      <c r="BB3601">
        <v>1200</v>
      </c>
      <c r="BC3601">
        <v>1</v>
      </c>
      <c r="BD3601" t="str">
        <f t="shared" si="1312"/>
        <v xml:space="preserve">N887QR  </v>
      </c>
      <c r="BE3601">
        <v>1</v>
      </c>
      <c r="BG3601">
        <v>0</v>
      </c>
      <c r="BH3601">
        <v>0</v>
      </c>
      <c r="BI3601">
        <v>0</v>
      </c>
      <c r="BJ3601">
        <v>4275</v>
      </c>
      <c r="BK3601">
        <v>-125</v>
      </c>
      <c r="BL3601" t="s">
        <v>163</v>
      </c>
      <c r="BM3601">
        <v>1</v>
      </c>
      <c r="BN3601">
        <v>1</v>
      </c>
      <c r="BO3601">
        <v>1</v>
      </c>
      <c r="BP3601">
        <v>0</v>
      </c>
      <c r="BS3601">
        <v>0</v>
      </c>
      <c r="BT3601">
        <v>0</v>
      </c>
      <c r="BU3601">
        <v>0</v>
      </c>
      <c r="CE3601" t="str">
        <f t="shared" si="1320"/>
        <v>19:35:15.173</v>
      </c>
      <c r="CF3601">
        <v>172840685</v>
      </c>
      <c r="CS3601">
        <v>0</v>
      </c>
      <c r="CT3601">
        <v>2</v>
      </c>
      <c r="CU3601">
        <v>0</v>
      </c>
      <c r="CV3601">
        <v>2</v>
      </c>
      <c r="CW3601">
        <v>3</v>
      </c>
      <c r="CX3601">
        <v>5</v>
      </c>
      <c r="CY3601">
        <v>7</v>
      </c>
      <c r="CZ3601" t="s">
        <v>131</v>
      </c>
      <c r="DA3601">
        <v>300</v>
      </c>
      <c r="DB3601">
        <v>0</v>
      </c>
      <c r="DC3601" t="s">
        <v>176</v>
      </c>
      <c r="DD3601" t="s">
        <v>177</v>
      </c>
      <c r="DG3601">
        <v>5443071</v>
      </c>
      <c r="DI3601">
        <v>1</v>
      </c>
      <c r="DJ3601">
        <v>0</v>
      </c>
      <c r="DK3601">
        <v>1</v>
      </c>
      <c r="DL3601">
        <v>0</v>
      </c>
      <c r="DM3601">
        <v>0</v>
      </c>
      <c r="DN3601">
        <v>1</v>
      </c>
      <c r="DO3601">
        <v>0</v>
      </c>
      <c r="DP3601">
        <v>0</v>
      </c>
      <c r="DQ3601">
        <v>0</v>
      </c>
      <c r="DR3601">
        <v>0</v>
      </c>
      <c r="DS3601">
        <v>0</v>
      </c>
    </row>
    <row r="3602" spans="1:123" x14ac:dyDescent="0.3">
      <c r="A3602" t="str">
        <f t="shared" si="1318"/>
        <v>10/04/2022 19:35:15.372</v>
      </c>
      <c r="C3602" t="str">
        <f t="shared" si="1304"/>
        <v>FFDFD3C0</v>
      </c>
      <c r="D3602" t="s">
        <v>147</v>
      </c>
      <c r="E3602">
        <v>3</v>
      </c>
      <c r="H3602">
        <v>166</v>
      </c>
      <c r="I3602" t="s">
        <v>144</v>
      </c>
      <c r="J3602" t="s">
        <v>148</v>
      </c>
      <c r="K3602">
        <v>0</v>
      </c>
      <c r="L3602">
        <v>3</v>
      </c>
      <c r="M3602">
        <v>0</v>
      </c>
      <c r="N3602">
        <v>2</v>
      </c>
      <c r="O3602">
        <v>0</v>
      </c>
      <c r="P3602">
        <v>1</v>
      </c>
      <c r="Q3602">
        <v>0</v>
      </c>
      <c r="S3602" t="str">
        <f t="shared" si="1319"/>
        <v>19:35:15.000</v>
      </c>
      <c r="T3602" t="str">
        <f t="shared" si="1319"/>
        <v>19:35:15.000</v>
      </c>
      <c r="U3602" t="str">
        <f t="shared" si="1311"/>
        <v>AC3944</v>
      </c>
      <c r="V3602">
        <v>0</v>
      </c>
      <c r="W3602">
        <v>0</v>
      </c>
      <c r="X3602">
        <v>2</v>
      </c>
      <c r="Y3602">
        <v>0</v>
      </c>
      <c r="AA3602">
        <v>1</v>
      </c>
      <c r="AB3602">
        <v>8</v>
      </c>
      <c r="AC3602">
        <v>3</v>
      </c>
      <c r="AD3602">
        <v>0</v>
      </c>
      <c r="AE3602">
        <v>9</v>
      </c>
      <c r="AF3602" t="s">
        <v>138</v>
      </c>
      <c r="AG3602">
        <v>0</v>
      </c>
      <c r="AH3602">
        <v>3</v>
      </c>
      <c r="AI3602">
        <v>1</v>
      </c>
      <c r="AJ3602">
        <v>0</v>
      </c>
      <c r="AK3602" t="s">
        <v>1179</v>
      </c>
      <c r="AL3602">
        <v>32.735889</v>
      </c>
      <c r="AM3602" t="s">
        <v>1180</v>
      </c>
      <c r="AN3602">
        <v>-116.725166</v>
      </c>
      <c r="AO3602">
        <v>25</v>
      </c>
      <c r="AP3602">
        <v>4400</v>
      </c>
      <c r="AQ3602" t="s">
        <v>129</v>
      </c>
      <c r="AR3602">
        <v>118</v>
      </c>
      <c r="AS3602">
        <v>21</v>
      </c>
      <c r="AT3602">
        <v>640</v>
      </c>
      <c r="BB3602">
        <v>1200</v>
      </c>
      <c r="BC3602">
        <v>1</v>
      </c>
      <c r="BD3602" t="str">
        <f t="shared" si="1312"/>
        <v xml:space="preserve">N887QR  </v>
      </c>
      <c r="BE3602">
        <v>1</v>
      </c>
      <c r="BG3602">
        <v>0</v>
      </c>
      <c r="BH3602">
        <v>0</v>
      </c>
      <c r="BI3602">
        <v>0</v>
      </c>
      <c r="BJ3602">
        <v>4275</v>
      </c>
      <c r="BK3602">
        <v>-125</v>
      </c>
      <c r="BL3602" t="s">
        <v>163</v>
      </c>
      <c r="BM3602">
        <v>1</v>
      </c>
      <c r="BN3602">
        <v>1</v>
      </c>
      <c r="BO3602">
        <v>1</v>
      </c>
      <c r="BP3602">
        <v>0</v>
      </c>
      <c r="BS3602">
        <v>0</v>
      </c>
      <c r="BT3602">
        <v>0</v>
      </c>
      <c r="BU3602">
        <v>0</v>
      </c>
      <c r="CE3602" t="str">
        <f t="shared" si="1320"/>
        <v>19:35:15.173</v>
      </c>
      <c r="CF3602">
        <v>172840685</v>
      </c>
      <c r="CS3602">
        <v>0</v>
      </c>
      <c r="CT3602">
        <v>2</v>
      </c>
      <c r="CU3602">
        <v>0</v>
      </c>
      <c r="CV3602">
        <v>2</v>
      </c>
      <c r="CW3602">
        <v>3</v>
      </c>
      <c r="CX3602">
        <v>5</v>
      </c>
      <c r="CY3602">
        <v>7</v>
      </c>
      <c r="CZ3602" t="s">
        <v>131</v>
      </c>
      <c r="DA3602">
        <v>300</v>
      </c>
      <c r="DB3602">
        <v>0</v>
      </c>
      <c r="DC3602" t="s">
        <v>176</v>
      </c>
      <c r="DD3602" t="s">
        <v>177</v>
      </c>
      <c r="DG3602">
        <v>5443071</v>
      </c>
      <c r="DI3602">
        <v>1</v>
      </c>
      <c r="DJ3602">
        <v>0</v>
      </c>
      <c r="DK3602">
        <v>1</v>
      </c>
      <c r="DL3602">
        <v>0</v>
      </c>
      <c r="DM3602">
        <v>0</v>
      </c>
      <c r="DN3602">
        <v>1</v>
      </c>
      <c r="DO3602">
        <v>0</v>
      </c>
      <c r="DP3602">
        <v>0</v>
      </c>
      <c r="DQ3602">
        <v>0</v>
      </c>
      <c r="DR3602">
        <v>0</v>
      </c>
      <c r="DS3602">
        <v>0</v>
      </c>
    </row>
    <row r="3603" spans="1:123" x14ac:dyDescent="0.3">
      <c r="A3603" t="str">
        <f t="shared" si="1318"/>
        <v>10/04/2022 19:35:15.372</v>
      </c>
      <c r="C3603" t="str">
        <f t="shared" si="1304"/>
        <v>FFDFD3C0</v>
      </c>
      <c r="D3603" t="s">
        <v>123</v>
      </c>
      <c r="E3603">
        <v>7</v>
      </c>
      <c r="F3603">
        <v>2007</v>
      </c>
      <c r="G3603" t="s">
        <v>124</v>
      </c>
      <c r="J3603" t="s">
        <v>125</v>
      </c>
      <c r="K3603">
        <v>0</v>
      </c>
      <c r="L3603">
        <v>3</v>
      </c>
      <c r="M3603">
        <v>0</v>
      </c>
      <c r="N3603">
        <v>2</v>
      </c>
      <c r="O3603">
        <v>0</v>
      </c>
      <c r="P3603">
        <v>1</v>
      </c>
      <c r="Q3603">
        <v>0</v>
      </c>
      <c r="S3603" t="str">
        <f t="shared" si="1319"/>
        <v>19:35:15.000</v>
      </c>
      <c r="T3603" t="str">
        <f t="shared" si="1319"/>
        <v>19:35:15.000</v>
      </c>
      <c r="U3603" t="str">
        <f t="shared" si="1311"/>
        <v>AC3944</v>
      </c>
      <c r="V3603">
        <v>0</v>
      </c>
      <c r="W3603">
        <v>0</v>
      </c>
      <c r="X3603">
        <v>2</v>
      </c>
      <c r="Y3603">
        <v>0</v>
      </c>
      <c r="AA3603">
        <v>1</v>
      </c>
      <c r="AB3603">
        <v>8</v>
      </c>
      <c r="AC3603">
        <v>3</v>
      </c>
      <c r="AD3603">
        <v>0</v>
      </c>
      <c r="AE3603">
        <v>9</v>
      </c>
      <c r="AF3603" t="s">
        <v>138</v>
      </c>
      <c r="AG3603">
        <v>0</v>
      </c>
      <c r="AH3603">
        <v>3</v>
      </c>
      <c r="AI3603">
        <v>1</v>
      </c>
      <c r="AJ3603">
        <v>0</v>
      </c>
      <c r="AK3603" t="s">
        <v>1179</v>
      </c>
      <c r="AL3603">
        <v>32.735889</v>
      </c>
      <c r="AM3603" t="s">
        <v>1180</v>
      </c>
      <c r="AN3603">
        <v>-116.725166</v>
      </c>
      <c r="AO3603">
        <v>25</v>
      </c>
      <c r="AP3603">
        <v>4400</v>
      </c>
      <c r="AQ3603" t="s">
        <v>129</v>
      </c>
      <c r="AR3603">
        <v>118</v>
      </c>
      <c r="AS3603">
        <v>21</v>
      </c>
      <c r="AT3603">
        <v>640</v>
      </c>
      <c r="BB3603">
        <v>1200</v>
      </c>
      <c r="BC3603">
        <v>1</v>
      </c>
      <c r="BD3603" t="str">
        <f t="shared" si="1312"/>
        <v xml:space="preserve">N887QR  </v>
      </c>
      <c r="BE3603">
        <v>1</v>
      </c>
      <c r="BG3603">
        <v>0</v>
      </c>
      <c r="BH3603">
        <v>0</v>
      </c>
      <c r="BI3603">
        <v>0</v>
      </c>
      <c r="BJ3603">
        <v>4275</v>
      </c>
      <c r="BK3603">
        <v>-125</v>
      </c>
      <c r="BL3603" t="s">
        <v>163</v>
      </c>
      <c r="BM3603">
        <v>1</v>
      </c>
      <c r="BN3603">
        <v>1</v>
      </c>
      <c r="BO3603">
        <v>1</v>
      </c>
      <c r="BP3603">
        <v>0</v>
      </c>
      <c r="BS3603">
        <v>0</v>
      </c>
      <c r="BT3603">
        <v>0</v>
      </c>
      <c r="BU3603">
        <v>0</v>
      </c>
      <c r="CE3603" t="str">
        <f t="shared" si="1320"/>
        <v>19:35:15.173</v>
      </c>
      <c r="CF3603">
        <v>172840685</v>
      </c>
      <c r="CS3603">
        <v>0</v>
      </c>
      <c r="CT3603">
        <v>2</v>
      </c>
      <c r="CU3603">
        <v>0</v>
      </c>
      <c r="CV3603">
        <v>2</v>
      </c>
      <c r="CW3603">
        <v>3</v>
      </c>
      <c r="CX3603">
        <v>5</v>
      </c>
      <c r="CY3603">
        <v>7</v>
      </c>
      <c r="CZ3603" t="s">
        <v>131</v>
      </c>
      <c r="DA3603">
        <v>300</v>
      </c>
      <c r="DB3603">
        <v>0</v>
      </c>
      <c r="DC3603" t="s">
        <v>176</v>
      </c>
      <c r="DD3603" t="s">
        <v>177</v>
      </c>
      <c r="DG3603">
        <v>5443071</v>
      </c>
      <c r="DI3603">
        <v>1</v>
      </c>
      <c r="DJ3603">
        <v>0</v>
      </c>
      <c r="DK3603">
        <v>1</v>
      </c>
      <c r="DL3603">
        <v>0</v>
      </c>
      <c r="DM3603">
        <v>0</v>
      </c>
      <c r="DN3603">
        <v>1</v>
      </c>
      <c r="DO3603">
        <v>0</v>
      </c>
      <c r="DP3603">
        <v>0</v>
      </c>
      <c r="DQ3603">
        <v>0</v>
      </c>
      <c r="DR3603">
        <v>0</v>
      </c>
      <c r="DS3603">
        <v>0</v>
      </c>
    </row>
    <row r="3604" spans="1:123" x14ac:dyDescent="0.3">
      <c r="A3604" t="str">
        <f t="shared" si="1318"/>
        <v>10/04/2022 19:35:15.372</v>
      </c>
      <c r="C3604" t="str">
        <f t="shared" si="1304"/>
        <v>FFDFD3C0</v>
      </c>
      <c r="D3604" t="s">
        <v>134</v>
      </c>
      <c r="E3604">
        <v>15</v>
      </c>
      <c r="J3604" t="s">
        <v>135</v>
      </c>
      <c r="K3604">
        <v>0</v>
      </c>
      <c r="L3604">
        <v>3</v>
      </c>
      <c r="M3604">
        <v>0</v>
      </c>
      <c r="N3604">
        <v>2</v>
      </c>
      <c r="O3604">
        <v>0</v>
      </c>
      <c r="P3604">
        <v>1</v>
      </c>
      <c r="Q3604">
        <v>0</v>
      </c>
      <c r="S3604" t="str">
        <f t="shared" si="1319"/>
        <v>19:35:15.000</v>
      </c>
      <c r="T3604" t="str">
        <f t="shared" si="1319"/>
        <v>19:35:15.000</v>
      </c>
      <c r="U3604" t="str">
        <f t="shared" si="1311"/>
        <v>AC3944</v>
      </c>
      <c r="V3604">
        <v>0</v>
      </c>
      <c r="W3604">
        <v>0</v>
      </c>
      <c r="X3604">
        <v>2</v>
      </c>
      <c r="Y3604">
        <v>0</v>
      </c>
      <c r="AA3604">
        <v>1</v>
      </c>
      <c r="AB3604">
        <v>8</v>
      </c>
      <c r="AC3604">
        <v>3</v>
      </c>
      <c r="AD3604">
        <v>0</v>
      </c>
      <c r="AE3604">
        <v>9</v>
      </c>
      <c r="AF3604" t="s">
        <v>138</v>
      </c>
      <c r="AG3604">
        <v>0</v>
      </c>
      <c r="AH3604">
        <v>3</v>
      </c>
      <c r="AI3604">
        <v>1</v>
      </c>
      <c r="AJ3604">
        <v>0</v>
      </c>
      <c r="AK3604" t="s">
        <v>1179</v>
      </c>
      <c r="AL3604">
        <v>32.735889</v>
      </c>
      <c r="AM3604" t="s">
        <v>1180</v>
      </c>
      <c r="AN3604">
        <v>-116.725166</v>
      </c>
      <c r="AO3604">
        <v>25</v>
      </c>
      <c r="AP3604">
        <v>4400</v>
      </c>
      <c r="AQ3604" t="s">
        <v>129</v>
      </c>
      <c r="AR3604">
        <v>118</v>
      </c>
      <c r="AS3604">
        <v>21</v>
      </c>
      <c r="AT3604">
        <v>640</v>
      </c>
      <c r="BB3604">
        <v>1200</v>
      </c>
      <c r="BC3604">
        <v>1</v>
      </c>
      <c r="BD3604" t="str">
        <f t="shared" si="1312"/>
        <v xml:space="preserve">N887QR  </v>
      </c>
      <c r="BE3604">
        <v>1</v>
      </c>
      <c r="BG3604">
        <v>0</v>
      </c>
      <c r="BH3604">
        <v>0</v>
      </c>
      <c r="BI3604">
        <v>0</v>
      </c>
      <c r="BJ3604">
        <v>4275</v>
      </c>
      <c r="BK3604">
        <v>-125</v>
      </c>
      <c r="BL3604" t="s">
        <v>163</v>
      </c>
      <c r="BM3604">
        <v>1</v>
      </c>
      <c r="BN3604">
        <v>1</v>
      </c>
      <c r="BO3604">
        <v>1</v>
      </c>
      <c r="BP3604">
        <v>0</v>
      </c>
      <c r="BS3604">
        <v>0</v>
      </c>
      <c r="BT3604">
        <v>0</v>
      </c>
      <c r="BU3604">
        <v>0</v>
      </c>
      <c r="CE3604" t="str">
        <f t="shared" si="1320"/>
        <v>19:35:15.173</v>
      </c>
      <c r="CF3604">
        <v>172840685</v>
      </c>
      <c r="CS3604">
        <v>0</v>
      </c>
      <c r="CT3604">
        <v>2</v>
      </c>
      <c r="CU3604">
        <v>0</v>
      </c>
      <c r="CV3604">
        <v>2</v>
      </c>
      <c r="CW3604">
        <v>3</v>
      </c>
      <c r="CX3604">
        <v>5</v>
      </c>
      <c r="CY3604">
        <v>7</v>
      </c>
      <c r="CZ3604" t="s">
        <v>131</v>
      </c>
      <c r="DA3604">
        <v>300</v>
      </c>
      <c r="DB3604">
        <v>0</v>
      </c>
      <c r="DC3604" t="s">
        <v>176</v>
      </c>
      <c r="DD3604" t="s">
        <v>177</v>
      </c>
      <c r="DG3604">
        <v>5443071</v>
      </c>
      <c r="DI3604">
        <v>1</v>
      </c>
      <c r="DJ3604">
        <v>0</v>
      </c>
      <c r="DK3604">
        <v>1</v>
      </c>
      <c r="DL3604">
        <v>0</v>
      </c>
      <c r="DM3604">
        <v>0</v>
      </c>
      <c r="DN3604">
        <v>1</v>
      </c>
      <c r="DO3604">
        <v>0</v>
      </c>
      <c r="DP3604">
        <v>0</v>
      </c>
      <c r="DQ3604">
        <v>0</v>
      </c>
      <c r="DR3604">
        <v>0</v>
      </c>
      <c r="DS3604">
        <v>0</v>
      </c>
    </row>
    <row r="3605" spans="1:123" x14ac:dyDescent="0.3">
      <c r="A3605" t="str">
        <f t="shared" si="1318"/>
        <v>10/04/2022 19:35:15.372</v>
      </c>
      <c r="C3605" t="str">
        <f t="shared" si="1304"/>
        <v>FFDFD3C0</v>
      </c>
      <c r="D3605" t="s">
        <v>141</v>
      </c>
      <c r="E3605">
        <v>3</v>
      </c>
      <c r="H3605">
        <v>3</v>
      </c>
      <c r="I3605" t="s">
        <v>146</v>
      </c>
      <c r="J3605" t="s">
        <v>138</v>
      </c>
      <c r="K3605">
        <v>0</v>
      </c>
      <c r="L3605">
        <v>3</v>
      </c>
      <c r="M3605">
        <v>0</v>
      </c>
      <c r="N3605">
        <v>2</v>
      </c>
      <c r="O3605">
        <v>0</v>
      </c>
      <c r="P3605">
        <v>1</v>
      </c>
      <c r="Q3605">
        <v>0</v>
      </c>
      <c r="S3605" t="str">
        <f t="shared" si="1319"/>
        <v>19:35:15.000</v>
      </c>
      <c r="T3605" t="str">
        <f t="shared" si="1319"/>
        <v>19:35:15.000</v>
      </c>
      <c r="U3605" t="str">
        <f t="shared" si="1311"/>
        <v>AC3944</v>
      </c>
      <c r="V3605">
        <v>0</v>
      </c>
      <c r="W3605">
        <v>0</v>
      </c>
      <c r="X3605">
        <v>2</v>
      </c>
      <c r="Y3605">
        <v>0</v>
      </c>
      <c r="AA3605">
        <v>1</v>
      </c>
      <c r="AB3605">
        <v>8</v>
      </c>
      <c r="AC3605">
        <v>3</v>
      </c>
      <c r="AD3605">
        <v>0</v>
      </c>
      <c r="AE3605">
        <v>9</v>
      </c>
      <c r="AF3605" t="s">
        <v>138</v>
      </c>
      <c r="AG3605">
        <v>0</v>
      </c>
      <c r="AH3605">
        <v>3</v>
      </c>
      <c r="AI3605">
        <v>1</v>
      </c>
      <c r="AJ3605">
        <v>0</v>
      </c>
      <c r="AK3605" t="s">
        <v>1179</v>
      </c>
      <c r="AL3605">
        <v>32.735889</v>
      </c>
      <c r="AM3605" t="s">
        <v>1180</v>
      </c>
      <c r="AN3605">
        <v>-116.725166</v>
      </c>
      <c r="AO3605">
        <v>25</v>
      </c>
      <c r="AP3605">
        <v>4400</v>
      </c>
      <c r="AQ3605" t="s">
        <v>129</v>
      </c>
      <c r="AR3605">
        <v>118</v>
      </c>
      <c r="AS3605">
        <v>21</v>
      </c>
      <c r="AT3605">
        <v>640</v>
      </c>
      <c r="BB3605">
        <v>1200</v>
      </c>
      <c r="BC3605">
        <v>1</v>
      </c>
      <c r="BD3605" t="str">
        <f t="shared" si="1312"/>
        <v xml:space="preserve">N887QR  </v>
      </c>
      <c r="BE3605">
        <v>1</v>
      </c>
      <c r="BG3605">
        <v>0</v>
      </c>
      <c r="BH3605">
        <v>0</v>
      </c>
      <c r="BI3605">
        <v>0</v>
      </c>
      <c r="BJ3605">
        <v>4275</v>
      </c>
      <c r="BK3605">
        <v>-125</v>
      </c>
      <c r="BL3605" t="s">
        <v>163</v>
      </c>
      <c r="BM3605">
        <v>1</v>
      </c>
      <c r="BN3605">
        <v>1</v>
      </c>
      <c r="BO3605">
        <v>1</v>
      </c>
      <c r="BP3605">
        <v>0</v>
      </c>
      <c r="BS3605">
        <v>0</v>
      </c>
      <c r="BT3605">
        <v>0</v>
      </c>
      <c r="BU3605">
        <v>0</v>
      </c>
      <c r="CE3605" t="str">
        <f t="shared" si="1320"/>
        <v>19:35:15.173</v>
      </c>
      <c r="CF3605">
        <v>172840685</v>
      </c>
      <c r="CS3605">
        <v>0</v>
      </c>
      <c r="CT3605">
        <v>2</v>
      </c>
      <c r="CU3605">
        <v>0</v>
      </c>
      <c r="CV3605">
        <v>2</v>
      </c>
      <c r="CW3605">
        <v>3</v>
      </c>
      <c r="CX3605">
        <v>5</v>
      </c>
      <c r="CY3605">
        <v>7</v>
      </c>
      <c r="CZ3605" t="s">
        <v>131</v>
      </c>
      <c r="DA3605">
        <v>300</v>
      </c>
      <c r="DB3605">
        <v>0</v>
      </c>
      <c r="DC3605" t="s">
        <v>176</v>
      </c>
      <c r="DD3605" t="s">
        <v>177</v>
      </c>
      <c r="DG3605">
        <v>5443071</v>
      </c>
      <c r="DI3605">
        <v>1</v>
      </c>
      <c r="DJ3605">
        <v>0</v>
      </c>
      <c r="DK3605">
        <v>1</v>
      </c>
      <c r="DL3605">
        <v>0</v>
      </c>
      <c r="DM3605">
        <v>0</v>
      </c>
      <c r="DN3605">
        <v>1</v>
      </c>
      <c r="DO3605">
        <v>0</v>
      </c>
      <c r="DP3605">
        <v>0</v>
      </c>
      <c r="DQ3605">
        <v>0</v>
      </c>
      <c r="DR3605">
        <v>0</v>
      </c>
      <c r="DS3605">
        <v>0</v>
      </c>
    </row>
    <row r="3606" spans="1:123" x14ac:dyDescent="0.3">
      <c r="A3606" t="str">
        <f>"10/04/2022 19:35:15.481"</f>
        <v>10/04/2022 19:35:15.481</v>
      </c>
      <c r="C3606" t="str">
        <f t="shared" si="1304"/>
        <v>FFDFD3C0</v>
      </c>
      <c r="D3606" t="s">
        <v>141</v>
      </c>
      <c r="E3606">
        <v>4</v>
      </c>
      <c r="H3606">
        <v>4</v>
      </c>
      <c r="I3606" t="s">
        <v>142</v>
      </c>
      <c r="J3606" t="s">
        <v>138</v>
      </c>
      <c r="K3606">
        <v>0</v>
      </c>
      <c r="L3606">
        <v>3</v>
      </c>
      <c r="M3606">
        <v>0</v>
      </c>
      <c r="N3606">
        <v>2</v>
      </c>
      <c r="O3606">
        <v>0</v>
      </c>
      <c r="P3606">
        <v>1</v>
      </c>
      <c r="Q3606">
        <v>0</v>
      </c>
      <c r="S3606" t="str">
        <f t="shared" si="1319"/>
        <v>19:35:15.000</v>
      </c>
      <c r="T3606" t="str">
        <f t="shared" si="1319"/>
        <v>19:35:15.000</v>
      </c>
      <c r="U3606" t="str">
        <f t="shared" si="1311"/>
        <v>AC3944</v>
      </c>
      <c r="V3606">
        <v>0</v>
      </c>
      <c r="W3606">
        <v>0</v>
      </c>
      <c r="X3606">
        <v>2</v>
      </c>
      <c r="Y3606">
        <v>0</v>
      </c>
      <c r="AA3606">
        <v>1</v>
      </c>
      <c r="AB3606">
        <v>8</v>
      </c>
      <c r="AC3606">
        <v>3</v>
      </c>
      <c r="AD3606">
        <v>0</v>
      </c>
      <c r="AE3606">
        <v>9</v>
      </c>
      <c r="AF3606" t="s">
        <v>138</v>
      </c>
      <c r="AG3606">
        <v>0</v>
      </c>
      <c r="AH3606">
        <v>3</v>
      </c>
      <c r="AI3606">
        <v>1</v>
      </c>
      <c r="AJ3606">
        <v>0</v>
      </c>
      <c r="AK3606" t="s">
        <v>1179</v>
      </c>
      <c r="AL3606">
        <v>32.735889</v>
      </c>
      <c r="AM3606" t="s">
        <v>1180</v>
      </c>
      <c r="AN3606">
        <v>-116.725166</v>
      </c>
      <c r="AO3606">
        <v>25</v>
      </c>
      <c r="AP3606">
        <v>4400</v>
      </c>
      <c r="AQ3606" t="s">
        <v>129</v>
      </c>
      <c r="AR3606">
        <v>118</v>
      </c>
      <c r="AS3606">
        <v>21</v>
      </c>
      <c r="AT3606">
        <v>640</v>
      </c>
      <c r="BB3606">
        <v>1200</v>
      </c>
      <c r="BC3606">
        <v>1</v>
      </c>
      <c r="BD3606" t="str">
        <f t="shared" si="1312"/>
        <v xml:space="preserve">N887QR  </v>
      </c>
      <c r="BE3606">
        <v>1</v>
      </c>
      <c r="BG3606">
        <v>0</v>
      </c>
      <c r="BH3606">
        <v>0</v>
      </c>
      <c r="BI3606">
        <v>0</v>
      </c>
      <c r="BJ3606">
        <v>4275</v>
      </c>
      <c r="BK3606">
        <v>-125</v>
      </c>
      <c r="BL3606" t="s">
        <v>163</v>
      </c>
      <c r="BM3606">
        <v>1</v>
      </c>
      <c r="BN3606">
        <v>1</v>
      </c>
      <c r="BO3606">
        <v>1</v>
      </c>
      <c r="BP3606">
        <v>0</v>
      </c>
      <c r="BS3606">
        <v>0</v>
      </c>
      <c r="BT3606">
        <v>0</v>
      </c>
      <c r="BU3606">
        <v>0</v>
      </c>
      <c r="CE3606" t="str">
        <f t="shared" si="1320"/>
        <v>19:35:15.173</v>
      </c>
      <c r="CF3606">
        <v>172840685</v>
      </c>
      <c r="CS3606">
        <v>0</v>
      </c>
      <c r="CT3606">
        <v>2</v>
      </c>
      <c r="CU3606">
        <v>0</v>
      </c>
      <c r="CV3606">
        <v>2</v>
      </c>
      <c r="CW3606">
        <v>3</v>
      </c>
      <c r="CX3606">
        <v>5</v>
      </c>
      <c r="CY3606">
        <v>7</v>
      </c>
      <c r="CZ3606" t="s">
        <v>131</v>
      </c>
      <c r="DA3606">
        <v>300</v>
      </c>
      <c r="DB3606">
        <v>0</v>
      </c>
      <c r="DC3606" t="s">
        <v>176</v>
      </c>
      <c r="DD3606" t="s">
        <v>177</v>
      </c>
      <c r="DG3606">
        <v>5443071</v>
      </c>
      <c r="DI3606">
        <v>1</v>
      </c>
      <c r="DJ3606">
        <v>0</v>
      </c>
      <c r="DK3606">
        <v>1</v>
      </c>
      <c r="DL3606">
        <v>0</v>
      </c>
      <c r="DM3606">
        <v>0</v>
      </c>
      <c r="DN3606">
        <v>1</v>
      </c>
      <c r="DO3606">
        <v>0</v>
      </c>
      <c r="DP3606">
        <v>0</v>
      </c>
      <c r="DQ3606">
        <v>0</v>
      </c>
      <c r="DR3606">
        <v>0</v>
      </c>
      <c r="DS3606">
        <v>0</v>
      </c>
    </row>
    <row r="3607" spans="1:123" x14ac:dyDescent="0.3">
      <c r="A3607" t="str">
        <f t="shared" ref="A3607:A3613" si="1321">"10/04/2022 19:35:16.729"</f>
        <v>10/04/2022 19:35:16.729</v>
      </c>
      <c r="C3607" t="str">
        <f t="shared" si="1304"/>
        <v>FFDFD3C0</v>
      </c>
      <c r="D3607" t="s">
        <v>141</v>
      </c>
      <c r="E3607">
        <v>4</v>
      </c>
      <c r="H3607">
        <v>4</v>
      </c>
      <c r="I3607" t="s">
        <v>142</v>
      </c>
      <c r="J3607" t="s">
        <v>138</v>
      </c>
      <c r="K3607">
        <v>0</v>
      </c>
      <c r="L3607">
        <v>3</v>
      </c>
      <c r="M3607">
        <v>0</v>
      </c>
      <c r="N3607">
        <v>2</v>
      </c>
      <c r="O3607">
        <v>0</v>
      </c>
      <c r="P3607">
        <v>1</v>
      </c>
      <c r="Q3607">
        <v>0</v>
      </c>
      <c r="S3607" t="str">
        <f t="shared" ref="S3607:T3613" si="1322">"19:35:16.000"</f>
        <v>19:35:16.000</v>
      </c>
      <c r="T3607" t="str">
        <f t="shared" si="1322"/>
        <v>19:35:16.000</v>
      </c>
      <c r="U3607" t="str">
        <f t="shared" si="1311"/>
        <v>AC3944</v>
      </c>
      <c r="V3607">
        <v>0</v>
      </c>
      <c r="W3607">
        <v>0</v>
      </c>
      <c r="X3607">
        <v>2</v>
      </c>
      <c r="Y3607">
        <v>0</v>
      </c>
      <c r="AA3607">
        <v>1</v>
      </c>
      <c r="AB3607">
        <v>8</v>
      </c>
      <c r="AC3607">
        <v>3</v>
      </c>
      <c r="AD3607">
        <v>0</v>
      </c>
      <c r="AE3607">
        <v>9</v>
      </c>
      <c r="AF3607" t="s">
        <v>138</v>
      </c>
      <c r="AG3607">
        <v>0</v>
      </c>
      <c r="AH3607">
        <v>3</v>
      </c>
      <c r="AI3607">
        <v>1</v>
      </c>
      <c r="AJ3607">
        <v>0</v>
      </c>
      <c r="AK3607" t="s">
        <v>1181</v>
      </c>
      <c r="AL3607">
        <v>32.735975000000003</v>
      </c>
      <c r="AM3607" t="s">
        <v>1182</v>
      </c>
      <c r="AN3607">
        <v>-116.72452199999999</v>
      </c>
      <c r="AO3607">
        <v>25</v>
      </c>
      <c r="AP3607">
        <v>4500</v>
      </c>
      <c r="AQ3607" t="s">
        <v>129</v>
      </c>
      <c r="AR3607">
        <v>119</v>
      </c>
      <c r="AS3607">
        <v>20</v>
      </c>
      <c r="AT3607">
        <v>576</v>
      </c>
      <c r="BB3607">
        <v>1200</v>
      </c>
      <c r="BC3607">
        <v>1</v>
      </c>
      <c r="BD3607" t="str">
        <f t="shared" si="1312"/>
        <v xml:space="preserve">N887QR  </v>
      </c>
      <c r="BE3607">
        <v>1</v>
      </c>
      <c r="BG3607">
        <v>0</v>
      </c>
      <c r="BH3607">
        <v>0</v>
      </c>
      <c r="BI3607">
        <v>0</v>
      </c>
      <c r="BJ3607">
        <v>4275</v>
      </c>
      <c r="BK3607">
        <v>-225</v>
      </c>
      <c r="BL3607" t="s">
        <v>163</v>
      </c>
      <c r="BM3607">
        <v>1</v>
      </c>
      <c r="BN3607">
        <v>1</v>
      </c>
      <c r="BO3607">
        <v>1</v>
      </c>
      <c r="BP3607">
        <v>0</v>
      </c>
      <c r="BS3607">
        <v>0</v>
      </c>
      <c r="BT3607">
        <v>0</v>
      </c>
      <c r="BU3607">
        <v>0</v>
      </c>
      <c r="CE3607" t="str">
        <f t="shared" ref="CE3607:CE3613" si="1323">"19:35:16.530"</f>
        <v>19:35:16.530</v>
      </c>
      <c r="CF3607">
        <v>529595139</v>
      </c>
      <c r="CS3607">
        <v>0</v>
      </c>
      <c r="CT3607">
        <v>2</v>
      </c>
      <c r="CU3607">
        <v>0</v>
      </c>
      <c r="CV3607">
        <v>2</v>
      </c>
      <c r="CW3607">
        <v>0</v>
      </c>
      <c r="CX3607">
        <v>5</v>
      </c>
      <c r="CY3607">
        <v>7</v>
      </c>
      <c r="CZ3607" t="s">
        <v>131</v>
      </c>
      <c r="DA3607">
        <v>300</v>
      </c>
      <c r="DB3607">
        <v>0</v>
      </c>
      <c r="DC3607" t="s">
        <v>176</v>
      </c>
      <c r="DD3607" t="s">
        <v>177</v>
      </c>
      <c r="DG3607">
        <v>5443253</v>
      </c>
      <c r="DI3607">
        <v>1</v>
      </c>
      <c r="DJ3607">
        <v>0</v>
      </c>
      <c r="DK3607">
        <v>0</v>
      </c>
      <c r="DL3607">
        <v>0</v>
      </c>
      <c r="DM3607">
        <v>0</v>
      </c>
      <c r="DN3607">
        <v>1</v>
      </c>
      <c r="DO3607">
        <v>0</v>
      </c>
      <c r="DP3607">
        <v>0</v>
      </c>
      <c r="DQ3607">
        <v>0</v>
      </c>
      <c r="DR3607">
        <v>0</v>
      </c>
      <c r="DS3607">
        <v>0</v>
      </c>
    </row>
    <row r="3608" spans="1:123" x14ac:dyDescent="0.3">
      <c r="A3608" t="str">
        <f t="shared" si="1321"/>
        <v>10/04/2022 19:35:16.729</v>
      </c>
      <c r="C3608" t="str">
        <f t="shared" si="1304"/>
        <v>FFDFD3C0</v>
      </c>
      <c r="D3608" t="s">
        <v>143</v>
      </c>
      <c r="E3608">
        <v>20</v>
      </c>
      <c r="F3608">
        <v>1020</v>
      </c>
      <c r="G3608" t="s">
        <v>144</v>
      </c>
      <c r="J3608" t="s">
        <v>145</v>
      </c>
      <c r="K3608">
        <v>0</v>
      </c>
      <c r="L3608">
        <v>3</v>
      </c>
      <c r="M3608">
        <v>0</v>
      </c>
      <c r="N3608">
        <v>2</v>
      </c>
      <c r="O3608">
        <v>0</v>
      </c>
      <c r="P3608">
        <v>1</v>
      </c>
      <c r="Q3608">
        <v>0</v>
      </c>
      <c r="S3608" t="str">
        <f t="shared" si="1322"/>
        <v>19:35:16.000</v>
      </c>
      <c r="T3608" t="str">
        <f t="shared" si="1322"/>
        <v>19:35:16.000</v>
      </c>
      <c r="U3608" t="str">
        <f t="shared" si="1311"/>
        <v>AC3944</v>
      </c>
      <c r="V3608">
        <v>0</v>
      </c>
      <c r="W3608">
        <v>0</v>
      </c>
      <c r="X3608">
        <v>2</v>
      </c>
      <c r="Y3608">
        <v>0</v>
      </c>
      <c r="AA3608">
        <v>1</v>
      </c>
      <c r="AB3608">
        <v>8</v>
      </c>
      <c r="AC3608">
        <v>3</v>
      </c>
      <c r="AD3608">
        <v>0</v>
      </c>
      <c r="AE3608">
        <v>9</v>
      </c>
      <c r="AF3608" t="s">
        <v>138</v>
      </c>
      <c r="AG3608">
        <v>0</v>
      </c>
      <c r="AH3608">
        <v>3</v>
      </c>
      <c r="AI3608">
        <v>1</v>
      </c>
      <c r="AJ3608">
        <v>0</v>
      </c>
      <c r="AK3608" t="s">
        <v>1181</v>
      </c>
      <c r="AL3608">
        <v>32.735975000000003</v>
      </c>
      <c r="AM3608" t="s">
        <v>1182</v>
      </c>
      <c r="AN3608">
        <v>-116.72452199999999</v>
      </c>
      <c r="AO3608">
        <v>25</v>
      </c>
      <c r="AP3608">
        <v>4500</v>
      </c>
      <c r="AQ3608" t="s">
        <v>129</v>
      </c>
      <c r="AR3608">
        <v>119</v>
      </c>
      <c r="AS3608">
        <v>20</v>
      </c>
      <c r="AT3608">
        <v>576</v>
      </c>
      <c r="BB3608">
        <v>1200</v>
      </c>
      <c r="BC3608">
        <v>1</v>
      </c>
      <c r="BD3608" t="str">
        <f t="shared" si="1312"/>
        <v xml:space="preserve">N887QR  </v>
      </c>
      <c r="BE3608">
        <v>1</v>
      </c>
      <c r="BG3608">
        <v>0</v>
      </c>
      <c r="BH3608">
        <v>0</v>
      </c>
      <c r="BI3608">
        <v>0</v>
      </c>
      <c r="BJ3608">
        <v>4275</v>
      </c>
      <c r="BK3608">
        <v>-225</v>
      </c>
      <c r="BL3608" t="s">
        <v>163</v>
      </c>
      <c r="BM3608">
        <v>1</v>
      </c>
      <c r="BN3608">
        <v>1</v>
      </c>
      <c r="BO3608">
        <v>1</v>
      </c>
      <c r="BP3608">
        <v>0</v>
      </c>
      <c r="BS3608">
        <v>0</v>
      </c>
      <c r="BT3608">
        <v>0</v>
      </c>
      <c r="BU3608">
        <v>0</v>
      </c>
      <c r="CE3608" t="str">
        <f t="shared" si="1323"/>
        <v>19:35:16.530</v>
      </c>
      <c r="CF3608">
        <v>529595139</v>
      </c>
      <c r="CS3608">
        <v>0</v>
      </c>
      <c r="CT3608">
        <v>2</v>
      </c>
      <c r="CU3608">
        <v>0</v>
      </c>
      <c r="CV3608">
        <v>2</v>
      </c>
      <c r="CW3608">
        <v>0</v>
      </c>
      <c r="CX3608">
        <v>5</v>
      </c>
      <c r="CY3608">
        <v>7</v>
      </c>
      <c r="CZ3608" t="s">
        <v>131</v>
      </c>
      <c r="DA3608">
        <v>300</v>
      </c>
      <c r="DB3608">
        <v>0</v>
      </c>
      <c r="DC3608" t="s">
        <v>176</v>
      </c>
      <c r="DD3608" t="s">
        <v>177</v>
      </c>
      <c r="DG3608">
        <v>5443253</v>
      </c>
      <c r="DI3608">
        <v>1</v>
      </c>
      <c r="DJ3608">
        <v>0</v>
      </c>
      <c r="DK3608">
        <v>1</v>
      </c>
      <c r="DL3608">
        <v>0</v>
      </c>
      <c r="DM3608">
        <v>0</v>
      </c>
      <c r="DN3608">
        <v>1</v>
      </c>
      <c r="DO3608">
        <v>0</v>
      </c>
      <c r="DP3608">
        <v>0</v>
      </c>
      <c r="DQ3608">
        <v>0</v>
      </c>
      <c r="DR3608">
        <v>0</v>
      </c>
      <c r="DS3608">
        <v>0</v>
      </c>
    </row>
    <row r="3609" spans="1:123" x14ac:dyDescent="0.3">
      <c r="A3609" t="str">
        <f t="shared" si="1321"/>
        <v>10/04/2022 19:35:16.729</v>
      </c>
      <c r="C3609" t="str">
        <f t="shared" si="1304"/>
        <v>FFDFD3C0</v>
      </c>
      <c r="D3609" t="s">
        <v>147</v>
      </c>
      <c r="E3609">
        <v>3</v>
      </c>
      <c r="H3609">
        <v>166</v>
      </c>
      <c r="I3609" t="s">
        <v>144</v>
      </c>
      <c r="J3609" t="s">
        <v>148</v>
      </c>
      <c r="K3609">
        <v>0</v>
      </c>
      <c r="L3609">
        <v>3</v>
      </c>
      <c r="M3609">
        <v>0</v>
      </c>
      <c r="N3609">
        <v>2</v>
      </c>
      <c r="O3609">
        <v>0</v>
      </c>
      <c r="P3609">
        <v>1</v>
      </c>
      <c r="Q3609">
        <v>0</v>
      </c>
      <c r="S3609" t="str">
        <f t="shared" si="1322"/>
        <v>19:35:16.000</v>
      </c>
      <c r="T3609" t="str">
        <f t="shared" si="1322"/>
        <v>19:35:16.000</v>
      </c>
      <c r="U3609" t="str">
        <f t="shared" si="1311"/>
        <v>AC3944</v>
      </c>
      <c r="V3609">
        <v>0</v>
      </c>
      <c r="W3609">
        <v>0</v>
      </c>
      <c r="X3609">
        <v>2</v>
      </c>
      <c r="Y3609">
        <v>0</v>
      </c>
      <c r="AA3609">
        <v>1</v>
      </c>
      <c r="AB3609">
        <v>8</v>
      </c>
      <c r="AC3609">
        <v>3</v>
      </c>
      <c r="AD3609">
        <v>0</v>
      </c>
      <c r="AE3609">
        <v>9</v>
      </c>
      <c r="AF3609" t="s">
        <v>138</v>
      </c>
      <c r="AG3609">
        <v>0</v>
      </c>
      <c r="AH3609">
        <v>3</v>
      </c>
      <c r="AI3609">
        <v>1</v>
      </c>
      <c r="AJ3609">
        <v>0</v>
      </c>
      <c r="AK3609" t="s">
        <v>1181</v>
      </c>
      <c r="AL3609">
        <v>32.735975000000003</v>
      </c>
      <c r="AM3609" t="s">
        <v>1182</v>
      </c>
      <c r="AN3609">
        <v>-116.72452199999999</v>
      </c>
      <c r="AO3609">
        <v>25</v>
      </c>
      <c r="AP3609">
        <v>4500</v>
      </c>
      <c r="AQ3609" t="s">
        <v>129</v>
      </c>
      <c r="AR3609">
        <v>119</v>
      </c>
      <c r="AS3609">
        <v>20</v>
      </c>
      <c r="AT3609">
        <v>576</v>
      </c>
      <c r="BB3609">
        <v>1200</v>
      </c>
      <c r="BC3609">
        <v>1</v>
      </c>
      <c r="BD3609" t="str">
        <f t="shared" si="1312"/>
        <v xml:space="preserve">N887QR  </v>
      </c>
      <c r="BE3609">
        <v>1</v>
      </c>
      <c r="BG3609">
        <v>0</v>
      </c>
      <c r="BH3609">
        <v>0</v>
      </c>
      <c r="BI3609">
        <v>0</v>
      </c>
      <c r="BJ3609">
        <v>4275</v>
      </c>
      <c r="BK3609">
        <v>-225</v>
      </c>
      <c r="BL3609" t="s">
        <v>163</v>
      </c>
      <c r="BM3609">
        <v>1</v>
      </c>
      <c r="BN3609">
        <v>1</v>
      </c>
      <c r="BO3609">
        <v>1</v>
      </c>
      <c r="BP3609">
        <v>0</v>
      </c>
      <c r="BS3609">
        <v>0</v>
      </c>
      <c r="BT3609">
        <v>0</v>
      </c>
      <c r="BU3609">
        <v>0</v>
      </c>
      <c r="CE3609" t="str">
        <f t="shared" si="1323"/>
        <v>19:35:16.530</v>
      </c>
      <c r="CF3609">
        <v>529595139</v>
      </c>
      <c r="CS3609">
        <v>0</v>
      </c>
      <c r="CT3609">
        <v>2</v>
      </c>
      <c r="CU3609">
        <v>0</v>
      </c>
      <c r="CV3609">
        <v>2</v>
      </c>
      <c r="CW3609">
        <v>0</v>
      </c>
      <c r="CX3609">
        <v>5</v>
      </c>
      <c r="CY3609">
        <v>7</v>
      </c>
      <c r="CZ3609" t="s">
        <v>131</v>
      </c>
      <c r="DA3609">
        <v>300</v>
      </c>
      <c r="DB3609">
        <v>0</v>
      </c>
      <c r="DC3609" t="s">
        <v>176</v>
      </c>
      <c r="DD3609" t="s">
        <v>177</v>
      </c>
      <c r="DG3609">
        <v>5443253</v>
      </c>
      <c r="DI3609">
        <v>1</v>
      </c>
      <c r="DJ3609">
        <v>0</v>
      </c>
      <c r="DK3609">
        <v>1</v>
      </c>
      <c r="DL3609">
        <v>0</v>
      </c>
      <c r="DM3609">
        <v>0</v>
      </c>
      <c r="DN3609">
        <v>1</v>
      </c>
      <c r="DO3609">
        <v>0</v>
      </c>
      <c r="DP3609">
        <v>0</v>
      </c>
      <c r="DQ3609">
        <v>0</v>
      </c>
      <c r="DR3609">
        <v>0</v>
      </c>
      <c r="DS3609">
        <v>0</v>
      </c>
    </row>
    <row r="3610" spans="1:123" x14ac:dyDescent="0.3">
      <c r="A3610" t="str">
        <f t="shared" si="1321"/>
        <v>10/04/2022 19:35:16.729</v>
      </c>
      <c r="C3610" t="str">
        <f t="shared" si="1304"/>
        <v>FFDFD3C0</v>
      </c>
      <c r="D3610" t="s">
        <v>136</v>
      </c>
      <c r="E3610">
        <v>8</v>
      </c>
      <c r="H3610">
        <v>225</v>
      </c>
      <c r="I3610" t="s">
        <v>137</v>
      </c>
      <c r="J3610" t="s">
        <v>138</v>
      </c>
      <c r="K3610">
        <v>0</v>
      </c>
      <c r="L3610">
        <v>3</v>
      </c>
      <c r="M3610">
        <v>0</v>
      </c>
      <c r="N3610">
        <v>2</v>
      </c>
      <c r="O3610">
        <v>0</v>
      </c>
      <c r="P3610">
        <v>1</v>
      </c>
      <c r="Q3610">
        <v>0</v>
      </c>
      <c r="S3610" t="str">
        <f t="shared" si="1322"/>
        <v>19:35:16.000</v>
      </c>
      <c r="T3610" t="str">
        <f t="shared" si="1322"/>
        <v>19:35:16.000</v>
      </c>
      <c r="U3610" t="str">
        <f t="shared" si="1311"/>
        <v>AC3944</v>
      </c>
      <c r="V3610">
        <v>0</v>
      </c>
      <c r="W3610">
        <v>0</v>
      </c>
      <c r="X3610">
        <v>2</v>
      </c>
      <c r="Y3610">
        <v>0</v>
      </c>
      <c r="AA3610">
        <v>1</v>
      </c>
      <c r="AB3610">
        <v>8</v>
      </c>
      <c r="AC3610">
        <v>3</v>
      </c>
      <c r="AD3610">
        <v>0</v>
      </c>
      <c r="AE3610">
        <v>9</v>
      </c>
      <c r="AF3610" t="s">
        <v>138</v>
      </c>
      <c r="AG3610">
        <v>0</v>
      </c>
      <c r="AH3610">
        <v>3</v>
      </c>
      <c r="AI3610">
        <v>1</v>
      </c>
      <c r="AJ3610">
        <v>0</v>
      </c>
      <c r="AK3610" t="s">
        <v>1181</v>
      </c>
      <c r="AL3610">
        <v>32.735975000000003</v>
      </c>
      <c r="AM3610" t="s">
        <v>1182</v>
      </c>
      <c r="AN3610">
        <v>-116.72452199999999</v>
      </c>
      <c r="AO3610">
        <v>25</v>
      </c>
      <c r="AP3610">
        <v>4500</v>
      </c>
      <c r="AQ3610" t="s">
        <v>129</v>
      </c>
      <c r="AR3610">
        <v>119</v>
      </c>
      <c r="AS3610">
        <v>20</v>
      </c>
      <c r="AT3610">
        <v>576</v>
      </c>
      <c r="BB3610">
        <v>1200</v>
      </c>
      <c r="BC3610">
        <v>1</v>
      </c>
      <c r="BD3610" t="str">
        <f t="shared" si="1312"/>
        <v xml:space="preserve">N887QR  </v>
      </c>
      <c r="BE3610">
        <v>1</v>
      </c>
      <c r="BG3610">
        <v>0</v>
      </c>
      <c r="BH3610">
        <v>0</v>
      </c>
      <c r="BI3610">
        <v>0</v>
      </c>
      <c r="BJ3610">
        <v>4275</v>
      </c>
      <c r="BK3610">
        <v>-225</v>
      </c>
      <c r="BL3610" t="s">
        <v>163</v>
      </c>
      <c r="BM3610">
        <v>1</v>
      </c>
      <c r="BN3610">
        <v>1</v>
      </c>
      <c r="BO3610">
        <v>1</v>
      </c>
      <c r="BP3610">
        <v>0</v>
      </c>
      <c r="BS3610">
        <v>0</v>
      </c>
      <c r="BT3610">
        <v>0</v>
      </c>
      <c r="BU3610">
        <v>0</v>
      </c>
      <c r="CE3610" t="str">
        <f t="shared" si="1323"/>
        <v>19:35:16.530</v>
      </c>
      <c r="CF3610">
        <v>529595139</v>
      </c>
      <c r="CS3610">
        <v>0</v>
      </c>
      <c r="CT3610">
        <v>2</v>
      </c>
      <c r="CU3610">
        <v>0</v>
      </c>
      <c r="CV3610">
        <v>2</v>
      </c>
      <c r="CW3610">
        <v>0</v>
      </c>
      <c r="CX3610">
        <v>5</v>
      </c>
      <c r="CY3610">
        <v>7</v>
      </c>
      <c r="CZ3610" t="s">
        <v>131</v>
      </c>
      <c r="DA3610">
        <v>300</v>
      </c>
      <c r="DB3610">
        <v>0</v>
      </c>
      <c r="DC3610" t="s">
        <v>176</v>
      </c>
      <c r="DD3610" t="s">
        <v>177</v>
      </c>
      <c r="DG3610">
        <v>5443253</v>
      </c>
      <c r="DI3610">
        <v>1</v>
      </c>
      <c r="DJ3610">
        <v>0</v>
      </c>
      <c r="DK3610">
        <v>1</v>
      </c>
      <c r="DL3610">
        <v>0</v>
      </c>
      <c r="DM3610">
        <v>0</v>
      </c>
      <c r="DN3610">
        <v>1</v>
      </c>
      <c r="DO3610">
        <v>0</v>
      </c>
      <c r="DP3610">
        <v>0</v>
      </c>
      <c r="DQ3610">
        <v>0</v>
      </c>
      <c r="DR3610">
        <v>0</v>
      </c>
      <c r="DS3610">
        <v>0</v>
      </c>
    </row>
    <row r="3611" spans="1:123" x14ac:dyDescent="0.3">
      <c r="A3611" t="str">
        <f t="shared" si="1321"/>
        <v>10/04/2022 19:35:16.729</v>
      </c>
      <c r="C3611" t="str">
        <f t="shared" si="1304"/>
        <v>FFDFD3C0</v>
      </c>
      <c r="D3611" t="s">
        <v>123</v>
      </c>
      <c r="E3611">
        <v>7</v>
      </c>
      <c r="F3611">
        <v>2007</v>
      </c>
      <c r="G3611" t="s">
        <v>124</v>
      </c>
      <c r="J3611" t="s">
        <v>125</v>
      </c>
      <c r="K3611">
        <v>0</v>
      </c>
      <c r="L3611">
        <v>3</v>
      </c>
      <c r="M3611">
        <v>0</v>
      </c>
      <c r="N3611">
        <v>2</v>
      </c>
      <c r="O3611">
        <v>0</v>
      </c>
      <c r="P3611">
        <v>1</v>
      </c>
      <c r="Q3611">
        <v>0</v>
      </c>
      <c r="S3611" t="str">
        <f t="shared" si="1322"/>
        <v>19:35:16.000</v>
      </c>
      <c r="T3611" t="str">
        <f t="shared" si="1322"/>
        <v>19:35:16.000</v>
      </c>
      <c r="U3611" t="str">
        <f t="shared" si="1311"/>
        <v>AC3944</v>
      </c>
      <c r="V3611">
        <v>0</v>
      </c>
      <c r="W3611">
        <v>0</v>
      </c>
      <c r="X3611">
        <v>2</v>
      </c>
      <c r="Y3611">
        <v>0</v>
      </c>
      <c r="AA3611">
        <v>1</v>
      </c>
      <c r="AB3611">
        <v>8</v>
      </c>
      <c r="AC3611">
        <v>3</v>
      </c>
      <c r="AD3611">
        <v>0</v>
      </c>
      <c r="AE3611">
        <v>9</v>
      </c>
      <c r="AF3611" t="s">
        <v>138</v>
      </c>
      <c r="AG3611">
        <v>0</v>
      </c>
      <c r="AH3611">
        <v>3</v>
      </c>
      <c r="AI3611">
        <v>1</v>
      </c>
      <c r="AJ3611">
        <v>0</v>
      </c>
      <c r="AK3611" t="s">
        <v>1181</v>
      </c>
      <c r="AL3611">
        <v>32.735975000000003</v>
      </c>
      <c r="AM3611" t="s">
        <v>1182</v>
      </c>
      <c r="AN3611">
        <v>-116.72452199999999</v>
      </c>
      <c r="AO3611">
        <v>25</v>
      </c>
      <c r="AP3611">
        <v>4500</v>
      </c>
      <c r="AQ3611" t="s">
        <v>129</v>
      </c>
      <c r="AR3611">
        <v>119</v>
      </c>
      <c r="AS3611">
        <v>20</v>
      </c>
      <c r="AT3611">
        <v>576</v>
      </c>
      <c r="BB3611">
        <v>1200</v>
      </c>
      <c r="BC3611">
        <v>1</v>
      </c>
      <c r="BD3611" t="str">
        <f t="shared" si="1312"/>
        <v xml:space="preserve">N887QR  </v>
      </c>
      <c r="BE3611">
        <v>1</v>
      </c>
      <c r="BG3611">
        <v>0</v>
      </c>
      <c r="BH3611">
        <v>0</v>
      </c>
      <c r="BI3611">
        <v>0</v>
      </c>
      <c r="BJ3611">
        <v>4275</v>
      </c>
      <c r="BK3611">
        <v>-225</v>
      </c>
      <c r="BL3611" t="s">
        <v>163</v>
      </c>
      <c r="BM3611">
        <v>1</v>
      </c>
      <c r="BN3611">
        <v>1</v>
      </c>
      <c r="BO3611">
        <v>1</v>
      </c>
      <c r="BP3611">
        <v>0</v>
      </c>
      <c r="BS3611">
        <v>0</v>
      </c>
      <c r="BT3611">
        <v>0</v>
      </c>
      <c r="BU3611">
        <v>0</v>
      </c>
      <c r="CE3611" t="str">
        <f t="shared" si="1323"/>
        <v>19:35:16.530</v>
      </c>
      <c r="CF3611">
        <v>529595139</v>
      </c>
      <c r="CS3611">
        <v>0</v>
      </c>
      <c r="CT3611">
        <v>2</v>
      </c>
      <c r="CU3611">
        <v>0</v>
      </c>
      <c r="CV3611">
        <v>2</v>
      </c>
      <c r="CW3611">
        <v>0</v>
      </c>
      <c r="CX3611">
        <v>5</v>
      </c>
      <c r="CY3611">
        <v>7</v>
      </c>
      <c r="CZ3611" t="s">
        <v>131</v>
      </c>
      <c r="DA3611">
        <v>300</v>
      </c>
      <c r="DB3611">
        <v>0</v>
      </c>
      <c r="DC3611" t="s">
        <v>176</v>
      </c>
      <c r="DD3611" t="s">
        <v>177</v>
      </c>
      <c r="DG3611">
        <v>5443253</v>
      </c>
      <c r="DI3611">
        <v>1</v>
      </c>
      <c r="DJ3611">
        <v>0</v>
      </c>
      <c r="DK3611">
        <v>1</v>
      </c>
      <c r="DL3611">
        <v>0</v>
      </c>
      <c r="DM3611">
        <v>0</v>
      </c>
      <c r="DN3611">
        <v>1</v>
      </c>
      <c r="DO3611">
        <v>0</v>
      </c>
      <c r="DP3611">
        <v>0</v>
      </c>
      <c r="DQ3611">
        <v>0</v>
      </c>
      <c r="DR3611">
        <v>0</v>
      </c>
      <c r="DS3611">
        <v>0</v>
      </c>
    </row>
    <row r="3612" spans="1:123" x14ac:dyDescent="0.3">
      <c r="A3612" t="str">
        <f t="shared" si="1321"/>
        <v>10/04/2022 19:35:16.729</v>
      </c>
      <c r="C3612" t="str">
        <f t="shared" si="1304"/>
        <v>FFDFD3C0</v>
      </c>
      <c r="D3612" t="s">
        <v>134</v>
      </c>
      <c r="E3612">
        <v>15</v>
      </c>
      <c r="J3612" t="s">
        <v>135</v>
      </c>
      <c r="K3612">
        <v>0</v>
      </c>
      <c r="L3612">
        <v>3</v>
      </c>
      <c r="M3612">
        <v>0</v>
      </c>
      <c r="N3612">
        <v>2</v>
      </c>
      <c r="O3612">
        <v>0</v>
      </c>
      <c r="P3612">
        <v>1</v>
      </c>
      <c r="Q3612">
        <v>0</v>
      </c>
      <c r="S3612" t="str">
        <f t="shared" si="1322"/>
        <v>19:35:16.000</v>
      </c>
      <c r="T3612" t="str">
        <f t="shared" si="1322"/>
        <v>19:35:16.000</v>
      </c>
      <c r="U3612" t="str">
        <f t="shared" si="1311"/>
        <v>AC3944</v>
      </c>
      <c r="V3612">
        <v>0</v>
      </c>
      <c r="W3612">
        <v>0</v>
      </c>
      <c r="X3612">
        <v>2</v>
      </c>
      <c r="Y3612">
        <v>0</v>
      </c>
      <c r="AA3612">
        <v>1</v>
      </c>
      <c r="AB3612">
        <v>8</v>
      </c>
      <c r="AC3612">
        <v>3</v>
      </c>
      <c r="AD3612">
        <v>0</v>
      </c>
      <c r="AE3612">
        <v>9</v>
      </c>
      <c r="AF3612" t="s">
        <v>138</v>
      </c>
      <c r="AG3612">
        <v>0</v>
      </c>
      <c r="AH3612">
        <v>3</v>
      </c>
      <c r="AI3612">
        <v>1</v>
      </c>
      <c r="AJ3612">
        <v>0</v>
      </c>
      <c r="AK3612" t="s">
        <v>1181</v>
      </c>
      <c r="AL3612">
        <v>32.735975000000003</v>
      </c>
      <c r="AM3612" t="s">
        <v>1182</v>
      </c>
      <c r="AN3612">
        <v>-116.72452199999999</v>
      </c>
      <c r="AO3612">
        <v>25</v>
      </c>
      <c r="AP3612">
        <v>4500</v>
      </c>
      <c r="AQ3612" t="s">
        <v>129</v>
      </c>
      <c r="AR3612">
        <v>119</v>
      </c>
      <c r="AS3612">
        <v>20</v>
      </c>
      <c r="AT3612">
        <v>576</v>
      </c>
      <c r="BB3612">
        <v>1200</v>
      </c>
      <c r="BC3612">
        <v>1</v>
      </c>
      <c r="BD3612" t="str">
        <f t="shared" si="1312"/>
        <v xml:space="preserve">N887QR  </v>
      </c>
      <c r="BE3612">
        <v>1</v>
      </c>
      <c r="BG3612">
        <v>0</v>
      </c>
      <c r="BH3612">
        <v>0</v>
      </c>
      <c r="BI3612">
        <v>0</v>
      </c>
      <c r="BJ3612">
        <v>4275</v>
      </c>
      <c r="BK3612">
        <v>-225</v>
      </c>
      <c r="BL3612" t="s">
        <v>163</v>
      </c>
      <c r="BM3612">
        <v>1</v>
      </c>
      <c r="BN3612">
        <v>1</v>
      </c>
      <c r="BO3612">
        <v>1</v>
      </c>
      <c r="BP3612">
        <v>0</v>
      </c>
      <c r="BS3612">
        <v>0</v>
      </c>
      <c r="BT3612">
        <v>0</v>
      </c>
      <c r="BU3612">
        <v>0</v>
      </c>
      <c r="CE3612" t="str">
        <f t="shared" si="1323"/>
        <v>19:35:16.530</v>
      </c>
      <c r="CF3612">
        <v>529595139</v>
      </c>
      <c r="CS3612">
        <v>0</v>
      </c>
      <c r="CT3612">
        <v>2</v>
      </c>
      <c r="CU3612">
        <v>0</v>
      </c>
      <c r="CV3612">
        <v>2</v>
      </c>
      <c r="CW3612">
        <v>0</v>
      </c>
      <c r="CX3612">
        <v>5</v>
      </c>
      <c r="CY3612">
        <v>7</v>
      </c>
      <c r="CZ3612" t="s">
        <v>131</v>
      </c>
      <c r="DA3612">
        <v>300</v>
      </c>
      <c r="DB3612">
        <v>0</v>
      </c>
      <c r="DC3612" t="s">
        <v>176</v>
      </c>
      <c r="DD3612" t="s">
        <v>177</v>
      </c>
      <c r="DG3612">
        <v>5443253</v>
      </c>
      <c r="DI3612">
        <v>1</v>
      </c>
      <c r="DJ3612">
        <v>0</v>
      </c>
      <c r="DK3612">
        <v>1</v>
      </c>
      <c r="DL3612">
        <v>0</v>
      </c>
      <c r="DM3612">
        <v>0</v>
      </c>
      <c r="DN3612">
        <v>1</v>
      </c>
      <c r="DO3612">
        <v>0</v>
      </c>
      <c r="DP3612">
        <v>0</v>
      </c>
      <c r="DQ3612">
        <v>0</v>
      </c>
      <c r="DR3612">
        <v>0</v>
      </c>
      <c r="DS3612">
        <v>0</v>
      </c>
    </row>
    <row r="3613" spans="1:123" x14ac:dyDescent="0.3">
      <c r="A3613" t="str">
        <f t="shared" si="1321"/>
        <v>10/04/2022 19:35:16.729</v>
      </c>
      <c r="C3613" t="str">
        <f t="shared" si="1304"/>
        <v>FFDFD3C0</v>
      </c>
      <c r="D3613" t="s">
        <v>141</v>
      </c>
      <c r="E3613">
        <v>3</v>
      </c>
      <c r="H3613">
        <v>3</v>
      </c>
      <c r="I3613" t="s">
        <v>146</v>
      </c>
      <c r="J3613" t="s">
        <v>138</v>
      </c>
      <c r="K3613">
        <v>0</v>
      </c>
      <c r="L3613">
        <v>3</v>
      </c>
      <c r="M3613">
        <v>0</v>
      </c>
      <c r="N3613">
        <v>2</v>
      </c>
      <c r="O3613">
        <v>0</v>
      </c>
      <c r="P3613">
        <v>1</v>
      </c>
      <c r="Q3613">
        <v>0</v>
      </c>
      <c r="S3613" t="str">
        <f t="shared" si="1322"/>
        <v>19:35:16.000</v>
      </c>
      <c r="T3613" t="str">
        <f t="shared" si="1322"/>
        <v>19:35:16.000</v>
      </c>
      <c r="U3613" t="str">
        <f t="shared" si="1311"/>
        <v>AC3944</v>
      </c>
      <c r="V3613">
        <v>0</v>
      </c>
      <c r="W3613">
        <v>0</v>
      </c>
      <c r="X3613">
        <v>2</v>
      </c>
      <c r="Y3613">
        <v>0</v>
      </c>
      <c r="AA3613">
        <v>1</v>
      </c>
      <c r="AB3613">
        <v>8</v>
      </c>
      <c r="AC3613">
        <v>3</v>
      </c>
      <c r="AD3613">
        <v>0</v>
      </c>
      <c r="AE3613">
        <v>9</v>
      </c>
      <c r="AF3613" t="s">
        <v>138</v>
      </c>
      <c r="AG3613">
        <v>0</v>
      </c>
      <c r="AH3613">
        <v>3</v>
      </c>
      <c r="AI3613">
        <v>1</v>
      </c>
      <c r="AJ3613">
        <v>0</v>
      </c>
      <c r="AK3613" t="s">
        <v>1181</v>
      </c>
      <c r="AL3613">
        <v>32.735975000000003</v>
      </c>
      <c r="AM3613" t="s">
        <v>1182</v>
      </c>
      <c r="AN3613">
        <v>-116.72452199999999</v>
      </c>
      <c r="AO3613">
        <v>25</v>
      </c>
      <c r="AP3613">
        <v>4500</v>
      </c>
      <c r="AQ3613" t="s">
        <v>129</v>
      </c>
      <c r="AR3613">
        <v>119</v>
      </c>
      <c r="AS3613">
        <v>20</v>
      </c>
      <c r="AT3613">
        <v>576</v>
      </c>
      <c r="BB3613">
        <v>1200</v>
      </c>
      <c r="BC3613">
        <v>1</v>
      </c>
      <c r="BD3613" t="str">
        <f t="shared" si="1312"/>
        <v xml:space="preserve">N887QR  </v>
      </c>
      <c r="BE3613">
        <v>1</v>
      </c>
      <c r="BG3613">
        <v>0</v>
      </c>
      <c r="BH3613">
        <v>0</v>
      </c>
      <c r="BI3613">
        <v>0</v>
      </c>
      <c r="BJ3613">
        <v>4275</v>
      </c>
      <c r="BK3613">
        <v>-225</v>
      </c>
      <c r="BL3613" t="s">
        <v>163</v>
      </c>
      <c r="BM3613">
        <v>1</v>
      </c>
      <c r="BN3613">
        <v>1</v>
      </c>
      <c r="BO3613">
        <v>1</v>
      </c>
      <c r="BP3613">
        <v>0</v>
      </c>
      <c r="BS3613">
        <v>0</v>
      </c>
      <c r="BT3613">
        <v>0</v>
      </c>
      <c r="BU3613">
        <v>0</v>
      </c>
      <c r="CE3613" t="str">
        <f t="shared" si="1323"/>
        <v>19:35:16.530</v>
      </c>
      <c r="CF3613">
        <v>529595139</v>
      </c>
      <c r="CS3613">
        <v>0</v>
      </c>
      <c r="CT3613">
        <v>2</v>
      </c>
      <c r="CU3613">
        <v>0</v>
      </c>
      <c r="CV3613">
        <v>2</v>
      </c>
      <c r="CW3613">
        <v>0</v>
      </c>
      <c r="CX3613">
        <v>5</v>
      </c>
      <c r="CY3613">
        <v>7</v>
      </c>
      <c r="CZ3613" t="s">
        <v>131</v>
      </c>
      <c r="DA3613">
        <v>300</v>
      </c>
      <c r="DB3613">
        <v>0</v>
      </c>
      <c r="DC3613" t="s">
        <v>176</v>
      </c>
      <c r="DD3613" t="s">
        <v>177</v>
      </c>
      <c r="DG3613">
        <v>5443253</v>
      </c>
      <c r="DI3613">
        <v>1</v>
      </c>
      <c r="DJ3613">
        <v>0</v>
      </c>
      <c r="DK3613">
        <v>1</v>
      </c>
      <c r="DL3613">
        <v>0</v>
      </c>
      <c r="DM3613">
        <v>0</v>
      </c>
      <c r="DN3613">
        <v>1</v>
      </c>
      <c r="DO3613">
        <v>0</v>
      </c>
      <c r="DP3613">
        <v>0</v>
      </c>
      <c r="DQ3613">
        <v>0</v>
      </c>
      <c r="DR3613">
        <v>0</v>
      </c>
      <c r="DS3613">
        <v>0</v>
      </c>
    </row>
    <row r="3614" spans="1:123" x14ac:dyDescent="0.3">
      <c r="A3614" t="str">
        <f t="shared" ref="A3614:A3620" si="1324">"10/04/2022 19:35:17.401"</f>
        <v>10/04/2022 19:35:17.401</v>
      </c>
      <c r="C3614" t="str">
        <f t="shared" si="1304"/>
        <v>FFDFD3C0</v>
      </c>
      <c r="D3614" t="s">
        <v>147</v>
      </c>
      <c r="E3614">
        <v>3</v>
      </c>
      <c r="H3614">
        <v>166</v>
      </c>
      <c r="I3614" t="s">
        <v>144</v>
      </c>
      <c r="J3614" t="s">
        <v>148</v>
      </c>
      <c r="K3614">
        <v>0</v>
      </c>
      <c r="L3614">
        <v>3</v>
      </c>
      <c r="M3614">
        <v>0</v>
      </c>
      <c r="N3614">
        <v>2</v>
      </c>
      <c r="O3614">
        <v>0</v>
      </c>
      <c r="P3614">
        <v>1</v>
      </c>
      <c r="Q3614">
        <v>0</v>
      </c>
      <c r="S3614" t="str">
        <f t="shared" ref="S3614:T3620" si="1325">"19:35:17.000"</f>
        <v>19:35:17.000</v>
      </c>
      <c r="T3614" t="str">
        <f t="shared" si="1325"/>
        <v>19:35:17.000</v>
      </c>
      <c r="U3614" t="str">
        <f t="shared" si="1311"/>
        <v>AC3944</v>
      </c>
      <c r="V3614">
        <v>0</v>
      </c>
      <c r="W3614">
        <v>0</v>
      </c>
      <c r="X3614">
        <v>2</v>
      </c>
      <c r="Y3614">
        <v>0</v>
      </c>
      <c r="AA3614">
        <v>1</v>
      </c>
      <c r="AB3614">
        <v>8</v>
      </c>
      <c r="AC3614">
        <v>3</v>
      </c>
      <c r="AD3614">
        <v>0</v>
      </c>
      <c r="AE3614">
        <v>9</v>
      </c>
      <c r="AF3614" t="s">
        <v>138</v>
      </c>
      <c r="AG3614">
        <v>0</v>
      </c>
      <c r="AH3614">
        <v>3</v>
      </c>
      <c r="AI3614">
        <v>1</v>
      </c>
      <c r="AJ3614">
        <v>0</v>
      </c>
      <c r="AK3614" t="s">
        <v>1183</v>
      </c>
      <c r="AL3614">
        <v>32.736060999999999</v>
      </c>
      <c r="AM3614" t="s">
        <v>1184</v>
      </c>
      <c r="AN3614">
        <v>-116.723986</v>
      </c>
      <c r="AO3614">
        <v>25</v>
      </c>
      <c r="AP3614">
        <v>4500</v>
      </c>
      <c r="AQ3614" t="s">
        <v>129</v>
      </c>
      <c r="AR3614">
        <v>119</v>
      </c>
      <c r="AS3614">
        <v>20</v>
      </c>
      <c r="AT3614">
        <v>576</v>
      </c>
      <c r="BB3614">
        <v>1200</v>
      </c>
      <c r="BC3614">
        <v>1</v>
      </c>
      <c r="BD3614" t="str">
        <f t="shared" si="1312"/>
        <v xml:space="preserve">N887QR  </v>
      </c>
      <c r="BE3614">
        <v>1</v>
      </c>
      <c r="BG3614">
        <v>0</v>
      </c>
      <c r="BH3614">
        <v>0</v>
      </c>
      <c r="BI3614">
        <v>0</v>
      </c>
      <c r="BJ3614">
        <v>4300</v>
      </c>
      <c r="BK3614">
        <v>-200</v>
      </c>
      <c r="BL3614" t="s">
        <v>163</v>
      </c>
      <c r="BM3614">
        <v>1</v>
      </c>
      <c r="BN3614">
        <v>1</v>
      </c>
      <c r="BO3614">
        <v>1</v>
      </c>
      <c r="BP3614">
        <v>0</v>
      </c>
      <c r="BS3614">
        <v>0</v>
      </c>
      <c r="BT3614">
        <v>0</v>
      </c>
      <c r="BU3614">
        <v>0</v>
      </c>
      <c r="CE3614" t="str">
        <f t="shared" ref="CE3614:CE3620" si="1326">"19:35:17.204"</f>
        <v>19:35:17.204</v>
      </c>
      <c r="CF3614">
        <v>204347349</v>
      </c>
      <c r="CS3614">
        <v>0</v>
      </c>
      <c r="CT3614">
        <v>2</v>
      </c>
      <c r="CU3614">
        <v>0</v>
      </c>
      <c r="CV3614">
        <v>2</v>
      </c>
      <c r="CW3614">
        <v>0</v>
      </c>
      <c r="CX3614">
        <v>5</v>
      </c>
      <c r="CY3614">
        <v>7</v>
      </c>
      <c r="CZ3614" t="s">
        <v>131</v>
      </c>
      <c r="DA3614">
        <v>300</v>
      </c>
      <c r="DB3614">
        <v>0</v>
      </c>
      <c r="DC3614" t="s">
        <v>176</v>
      </c>
      <c r="DD3614" t="s">
        <v>177</v>
      </c>
      <c r="DG3614">
        <v>5443353</v>
      </c>
      <c r="DI3614">
        <v>1</v>
      </c>
      <c r="DJ3614">
        <v>0</v>
      </c>
      <c r="DK3614">
        <v>0</v>
      </c>
      <c r="DL3614">
        <v>0</v>
      </c>
      <c r="DM3614">
        <v>0</v>
      </c>
      <c r="DN3614">
        <v>1</v>
      </c>
      <c r="DO3614">
        <v>0</v>
      </c>
      <c r="DP3614">
        <v>0</v>
      </c>
      <c r="DQ3614">
        <v>0</v>
      </c>
      <c r="DR3614">
        <v>0</v>
      </c>
      <c r="DS3614">
        <v>0</v>
      </c>
    </row>
    <row r="3615" spans="1:123" x14ac:dyDescent="0.3">
      <c r="A3615" t="str">
        <f t="shared" si="1324"/>
        <v>10/04/2022 19:35:17.401</v>
      </c>
      <c r="C3615" t="str">
        <f t="shared" si="1304"/>
        <v>FFDFD3C0</v>
      </c>
      <c r="D3615" t="s">
        <v>136</v>
      </c>
      <c r="E3615">
        <v>8</v>
      </c>
      <c r="H3615">
        <v>225</v>
      </c>
      <c r="I3615" t="s">
        <v>137</v>
      </c>
      <c r="J3615" t="s">
        <v>138</v>
      </c>
      <c r="K3615">
        <v>0</v>
      </c>
      <c r="L3615">
        <v>3</v>
      </c>
      <c r="M3615">
        <v>0</v>
      </c>
      <c r="N3615">
        <v>2</v>
      </c>
      <c r="O3615">
        <v>0</v>
      </c>
      <c r="P3615">
        <v>1</v>
      </c>
      <c r="Q3615">
        <v>0</v>
      </c>
      <c r="S3615" t="str">
        <f t="shared" si="1325"/>
        <v>19:35:17.000</v>
      </c>
      <c r="T3615" t="str">
        <f t="shared" si="1325"/>
        <v>19:35:17.000</v>
      </c>
      <c r="U3615" t="str">
        <f t="shared" si="1311"/>
        <v>AC3944</v>
      </c>
      <c r="V3615">
        <v>0</v>
      </c>
      <c r="W3615">
        <v>0</v>
      </c>
      <c r="X3615">
        <v>2</v>
      </c>
      <c r="Y3615">
        <v>0</v>
      </c>
      <c r="AA3615">
        <v>1</v>
      </c>
      <c r="AB3615">
        <v>8</v>
      </c>
      <c r="AC3615">
        <v>3</v>
      </c>
      <c r="AD3615">
        <v>0</v>
      </c>
      <c r="AE3615">
        <v>9</v>
      </c>
      <c r="AF3615" t="s">
        <v>138</v>
      </c>
      <c r="AG3615">
        <v>0</v>
      </c>
      <c r="AH3615">
        <v>3</v>
      </c>
      <c r="AI3615">
        <v>1</v>
      </c>
      <c r="AJ3615">
        <v>0</v>
      </c>
      <c r="AK3615" t="s">
        <v>1183</v>
      </c>
      <c r="AL3615">
        <v>32.736060999999999</v>
      </c>
      <c r="AM3615" t="s">
        <v>1184</v>
      </c>
      <c r="AN3615">
        <v>-116.723986</v>
      </c>
      <c r="AO3615">
        <v>25</v>
      </c>
      <c r="AP3615">
        <v>4500</v>
      </c>
      <c r="AQ3615" t="s">
        <v>129</v>
      </c>
      <c r="AR3615">
        <v>119</v>
      </c>
      <c r="AS3615">
        <v>20</v>
      </c>
      <c r="AT3615">
        <v>576</v>
      </c>
      <c r="BB3615">
        <v>1200</v>
      </c>
      <c r="BC3615">
        <v>1</v>
      </c>
      <c r="BD3615" t="str">
        <f t="shared" si="1312"/>
        <v xml:space="preserve">N887QR  </v>
      </c>
      <c r="BE3615">
        <v>1</v>
      </c>
      <c r="BG3615">
        <v>0</v>
      </c>
      <c r="BH3615">
        <v>0</v>
      </c>
      <c r="BI3615">
        <v>0</v>
      </c>
      <c r="BJ3615">
        <v>4300</v>
      </c>
      <c r="BK3615">
        <v>-200</v>
      </c>
      <c r="BL3615" t="s">
        <v>163</v>
      </c>
      <c r="BM3615">
        <v>1</v>
      </c>
      <c r="BN3615">
        <v>1</v>
      </c>
      <c r="BO3615">
        <v>1</v>
      </c>
      <c r="BP3615">
        <v>0</v>
      </c>
      <c r="BS3615">
        <v>0</v>
      </c>
      <c r="BT3615">
        <v>0</v>
      </c>
      <c r="BU3615">
        <v>0</v>
      </c>
      <c r="CE3615" t="str">
        <f t="shared" si="1326"/>
        <v>19:35:17.204</v>
      </c>
      <c r="CF3615">
        <v>204347349</v>
      </c>
      <c r="CS3615">
        <v>0</v>
      </c>
      <c r="CT3615">
        <v>2</v>
      </c>
      <c r="CU3615">
        <v>0</v>
      </c>
      <c r="CV3615">
        <v>2</v>
      </c>
      <c r="CW3615">
        <v>0</v>
      </c>
      <c r="CX3615">
        <v>5</v>
      </c>
      <c r="CY3615">
        <v>7</v>
      </c>
      <c r="CZ3615" t="s">
        <v>131</v>
      </c>
      <c r="DA3615">
        <v>300</v>
      </c>
      <c r="DB3615">
        <v>0</v>
      </c>
      <c r="DC3615" t="s">
        <v>176</v>
      </c>
      <c r="DD3615" t="s">
        <v>177</v>
      </c>
      <c r="DG3615">
        <v>5443353</v>
      </c>
      <c r="DI3615">
        <v>1</v>
      </c>
      <c r="DJ3615">
        <v>0</v>
      </c>
      <c r="DK3615">
        <v>1</v>
      </c>
      <c r="DL3615">
        <v>0</v>
      </c>
      <c r="DM3615">
        <v>0</v>
      </c>
      <c r="DN3615">
        <v>1</v>
      </c>
      <c r="DO3615">
        <v>0</v>
      </c>
      <c r="DP3615">
        <v>0</v>
      </c>
      <c r="DQ3615">
        <v>0</v>
      </c>
      <c r="DR3615">
        <v>0</v>
      </c>
      <c r="DS3615">
        <v>0</v>
      </c>
    </row>
    <row r="3616" spans="1:123" x14ac:dyDescent="0.3">
      <c r="A3616" t="str">
        <f t="shared" si="1324"/>
        <v>10/04/2022 19:35:17.401</v>
      </c>
      <c r="C3616" t="str">
        <f t="shared" si="1304"/>
        <v>FFDFD3C0</v>
      </c>
      <c r="D3616" t="s">
        <v>123</v>
      </c>
      <c r="E3616">
        <v>7</v>
      </c>
      <c r="F3616">
        <v>2007</v>
      </c>
      <c r="G3616" t="s">
        <v>124</v>
      </c>
      <c r="J3616" t="s">
        <v>125</v>
      </c>
      <c r="K3616">
        <v>0</v>
      </c>
      <c r="L3616">
        <v>3</v>
      </c>
      <c r="M3616">
        <v>0</v>
      </c>
      <c r="N3616">
        <v>2</v>
      </c>
      <c r="O3616">
        <v>0</v>
      </c>
      <c r="P3616">
        <v>1</v>
      </c>
      <c r="Q3616">
        <v>0</v>
      </c>
      <c r="S3616" t="str">
        <f t="shared" si="1325"/>
        <v>19:35:17.000</v>
      </c>
      <c r="T3616" t="str">
        <f t="shared" si="1325"/>
        <v>19:35:17.000</v>
      </c>
      <c r="U3616" t="str">
        <f t="shared" si="1311"/>
        <v>AC3944</v>
      </c>
      <c r="V3616">
        <v>0</v>
      </c>
      <c r="W3616">
        <v>0</v>
      </c>
      <c r="X3616">
        <v>2</v>
      </c>
      <c r="Y3616">
        <v>0</v>
      </c>
      <c r="AA3616">
        <v>1</v>
      </c>
      <c r="AB3616">
        <v>8</v>
      </c>
      <c r="AC3616">
        <v>3</v>
      </c>
      <c r="AD3616">
        <v>0</v>
      </c>
      <c r="AE3616">
        <v>9</v>
      </c>
      <c r="AF3616" t="s">
        <v>138</v>
      </c>
      <c r="AG3616">
        <v>0</v>
      </c>
      <c r="AH3616">
        <v>3</v>
      </c>
      <c r="AI3616">
        <v>1</v>
      </c>
      <c r="AJ3616">
        <v>0</v>
      </c>
      <c r="AK3616" t="s">
        <v>1183</v>
      </c>
      <c r="AL3616">
        <v>32.736060999999999</v>
      </c>
      <c r="AM3616" t="s">
        <v>1184</v>
      </c>
      <c r="AN3616">
        <v>-116.723986</v>
      </c>
      <c r="AO3616">
        <v>25</v>
      </c>
      <c r="AP3616">
        <v>4500</v>
      </c>
      <c r="AQ3616" t="s">
        <v>129</v>
      </c>
      <c r="AR3616">
        <v>119</v>
      </c>
      <c r="AS3616">
        <v>20</v>
      </c>
      <c r="AT3616">
        <v>576</v>
      </c>
      <c r="BB3616">
        <v>1200</v>
      </c>
      <c r="BC3616">
        <v>1</v>
      </c>
      <c r="BD3616" t="str">
        <f t="shared" si="1312"/>
        <v xml:space="preserve">N887QR  </v>
      </c>
      <c r="BE3616">
        <v>1</v>
      </c>
      <c r="BG3616">
        <v>0</v>
      </c>
      <c r="BH3616">
        <v>0</v>
      </c>
      <c r="BI3616">
        <v>0</v>
      </c>
      <c r="BJ3616">
        <v>4300</v>
      </c>
      <c r="BK3616">
        <v>-200</v>
      </c>
      <c r="BL3616" t="s">
        <v>163</v>
      </c>
      <c r="BM3616">
        <v>1</v>
      </c>
      <c r="BN3616">
        <v>1</v>
      </c>
      <c r="BO3616">
        <v>1</v>
      </c>
      <c r="BP3616">
        <v>0</v>
      </c>
      <c r="BS3616">
        <v>0</v>
      </c>
      <c r="BT3616">
        <v>0</v>
      </c>
      <c r="BU3616">
        <v>0</v>
      </c>
      <c r="CE3616" t="str">
        <f t="shared" si="1326"/>
        <v>19:35:17.204</v>
      </c>
      <c r="CF3616">
        <v>204347349</v>
      </c>
      <c r="CS3616">
        <v>0</v>
      </c>
      <c r="CT3616">
        <v>2</v>
      </c>
      <c r="CU3616">
        <v>0</v>
      </c>
      <c r="CV3616">
        <v>2</v>
      </c>
      <c r="CW3616">
        <v>0</v>
      </c>
      <c r="CX3616">
        <v>5</v>
      </c>
      <c r="CY3616">
        <v>7</v>
      </c>
      <c r="CZ3616" t="s">
        <v>131</v>
      </c>
      <c r="DA3616">
        <v>300</v>
      </c>
      <c r="DB3616">
        <v>0</v>
      </c>
      <c r="DC3616" t="s">
        <v>176</v>
      </c>
      <c r="DD3616" t="s">
        <v>177</v>
      </c>
      <c r="DG3616">
        <v>5443353</v>
      </c>
      <c r="DI3616">
        <v>1</v>
      </c>
      <c r="DJ3616">
        <v>0</v>
      </c>
      <c r="DK3616">
        <v>1</v>
      </c>
      <c r="DL3616">
        <v>0</v>
      </c>
      <c r="DM3616">
        <v>0</v>
      </c>
      <c r="DN3616">
        <v>1</v>
      </c>
      <c r="DO3616">
        <v>0</v>
      </c>
      <c r="DP3616">
        <v>0</v>
      </c>
      <c r="DQ3616">
        <v>0</v>
      </c>
      <c r="DR3616">
        <v>0</v>
      </c>
      <c r="DS3616">
        <v>0</v>
      </c>
    </row>
    <row r="3617" spans="1:123" x14ac:dyDescent="0.3">
      <c r="A3617" t="str">
        <f t="shared" si="1324"/>
        <v>10/04/2022 19:35:17.401</v>
      </c>
      <c r="C3617" t="str">
        <f t="shared" si="1304"/>
        <v>FFDFD3C0</v>
      </c>
      <c r="D3617" t="s">
        <v>141</v>
      </c>
      <c r="E3617">
        <v>3</v>
      </c>
      <c r="H3617">
        <v>3</v>
      </c>
      <c r="I3617" t="s">
        <v>146</v>
      </c>
      <c r="J3617" t="s">
        <v>138</v>
      </c>
      <c r="K3617">
        <v>0</v>
      </c>
      <c r="L3617">
        <v>3</v>
      </c>
      <c r="M3617">
        <v>0</v>
      </c>
      <c r="N3617">
        <v>2</v>
      </c>
      <c r="O3617">
        <v>0</v>
      </c>
      <c r="P3617">
        <v>1</v>
      </c>
      <c r="Q3617">
        <v>0</v>
      </c>
      <c r="S3617" t="str">
        <f t="shared" si="1325"/>
        <v>19:35:17.000</v>
      </c>
      <c r="T3617" t="str">
        <f t="shared" si="1325"/>
        <v>19:35:17.000</v>
      </c>
      <c r="U3617" t="str">
        <f t="shared" si="1311"/>
        <v>AC3944</v>
      </c>
      <c r="V3617">
        <v>0</v>
      </c>
      <c r="W3617">
        <v>0</v>
      </c>
      <c r="X3617">
        <v>2</v>
      </c>
      <c r="Y3617">
        <v>0</v>
      </c>
      <c r="AA3617">
        <v>1</v>
      </c>
      <c r="AB3617">
        <v>8</v>
      </c>
      <c r="AC3617">
        <v>3</v>
      </c>
      <c r="AD3617">
        <v>0</v>
      </c>
      <c r="AE3617">
        <v>9</v>
      </c>
      <c r="AF3617" t="s">
        <v>138</v>
      </c>
      <c r="AG3617">
        <v>0</v>
      </c>
      <c r="AH3617">
        <v>3</v>
      </c>
      <c r="AI3617">
        <v>1</v>
      </c>
      <c r="AJ3617">
        <v>0</v>
      </c>
      <c r="AK3617" t="s">
        <v>1183</v>
      </c>
      <c r="AL3617">
        <v>32.736060999999999</v>
      </c>
      <c r="AM3617" t="s">
        <v>1184</v>
      </c>
      <c r="AN3617">
        <v>-116.723986</v>
      </c>
      <c r="AO3617">
        <v>25</v>
      </c>
      <c r="AP3617">
        <v>4500</v>
      </c>
      <c r="AQ3617" t="s">
        <v>129</v>
      </c>
      <c r="AR3617">
        <v>119</v>
      </c>
      <c r="AS3617">
        <v>20</v>
      </c>
      <c r="AT3617">
        <v>576</v>
      </c>
      <c r="BB3617">
        <v>1200</v>
      </c>
      <c r="BC3617">
        <v>1</v>
      </c>
      <c r="BD3617" t="str">
        <f t="shared" si="1312"/>
        <v xml:space="preserve">N887QR  </v>
      </c>
      <c r="BE3617">
        <v>1</v>
      </c>
      <c r="BG3617">
        <v>0</v>
      </c>
      <c r="BH3617">
        <v>0</v>
      </c>
      <c r="BI3617">
        <v>0</v>
      </c>
      <c r="BJ3617">
        <v>4300</v>
      </c>
      <c r="BK3617">
        <v>-200</v>
      </c>
      <c r="BL3617" t="s">
        <v>163</v>
      </c>
      <c r="BM3617">
        <v>1</v>
      </c>
      <c r="BN3617">
        <v>1</v>
      </c>
      <c r="BO3617">
        <v>1</v>
      </c>
      <c r="BP3617">
        <v>0</v>
      </c>
      <c r="BS3617">
        <v>0</v>
      </c>
      <c r="BT3617">
        <v>0</v>
      </c>
      <c r="BU3617">
        <v>0</v>
      </c>
      <c r="CE3617" t="str">
        <f t="shared" si="1326"/>
        <v>19:35:17.204</v>
      </c>
      <c r="CF3617">
        <v>204347349</v>
      </c>
      <c r="CS3617">
        <v>0</v>
      </c>
      <c r="CT3617">
        <v>2</v>
      </c>
      <c r="CU3617">
        <v>0</v>
      </c>
      <c r="CV3617">
        <v>2</v>
      </c>
      <c r="CW3617">
        <v>0</v>
      </c>
      <c r="CX3617">
        <v>5</v>
      </c>
      <c r="CY3617">
        <v>7</v>
      </c>
      <c r="CZ3617" t="s">
        <v>131</v>
      </c>
      <c r="DA3617">
        <v>300</v>
      </c>
      <c r="DB3617">
        <v>0</v>
      </c>
      <c r="DC3617" t="s">
        <v>176</v>
      </c>
      <c r="DD3617" t="s">
        <v>177</v>
      </c>
      <c r="DG3617">
        <v>5443353</v>
      </c>
      <c r="DI3617">
        <v>1</v>
      </c>
      <c r="DJ3617">
        <v>0</v>
      </c>
      <c r="DK3617">
        <v>1</v>
      </c>
      <c r="DL3617">
        <v>0</v>
      </c>
      <c r="DM3617">
        <v>0</v>
      </c>
      <c r="DN3617">
        <v>1</v>
      </c>
      <c r="DO3617">
        <v>0</v>
      </c>
      <c r="DP3617">
        <v>0</v>
      </c>
      <c r="DQ3617">
        <v>0</v>
      </c>
      <c r="DR3617">
        <v>0</v>
      </c>
      <c r="DS3617">
        <v>0</v>
      </c>
    </row>
    <row r="3618" spans="1:123" x14ac:dyDescent="0.3">
      <c r="A3618" t="str">
        <f t="shared" si="1324"/>
        <v>10/04/2022 19:35:17.401</v>
      </c>
      <c r="C3618" t="str">
        <f t="shared" si="1304"/>
        <v>FFDFD3C0</v>
      </c>
      <c r="D3618" t="s">
        <v>134</v>
      </c>
      <c r="E3618">
        <v>15</v>
      </c>
      <c r="J3618" t="s">
        <v>135</v>
      </c>
      <c r="K3618">
        <v>0</v>
      </c>
      <c r="L3618">
        <v>3</v>
      </c>
      <c r="M3618">
        <v>0</v>
      </c>
      <c r="N3618">
        <v>2</v>
      </c>
      <c r="O3618">
        <v>0</v>
      </c>
      <c r="P3618">
        <v>1</v>
      </c>
      <c r="Q3618">
        <v>0</v>
      </c>
      <c r="S3618" t="str">
        <f t="shared" si="1325"/>
        <v>19:35:17.000</v>
      </c>
      <c r="T3618" t="str">
        <f t="shared" si="1325"/>
        <v>19:35:17.000</v>
      </c>
      <c r="U3618" t="str">
        <f t="shared" si="1311"/>
        <v>AC3944</v>
      </c>
      <c r="V3618">
        <v>0</v>
      </c>
      <c r="W3618">
        <v>0</v>
      </c>
      <c r="X3618">
        <v>2</v>
      </c>
      <c r="Y3618">
        <v>0</v>
      </c>
      <c r="AA3618">
        <v>1</v>
      </c>
      <c r="AB3618">
        <v>8</v>
      </c>
      <c r="AC3618">
        <v>3</v>
      </c>
      <c r="AD3618">
        <v>0</v>
      </c>
      <c r="AE3618">
        <v>9</v>
      </c>
      <c r="AF3618" t="s">
        <v>138</v>
      </c>
      <c r="AG3618">
        <v>0</v>
      </c>
      <c r="AH3618">
        <v>3</v>
      </c>
      <c r="AI3618">
        <v>1</v>
      </c>
      <c r="AJ3618">
        <v>0</v>
      </c>
      <c r="AK3618" t="s">
        <v>1183</v>
      </c>
      <c r="AL3618">
        <v>32.736060999999999</v>
      </c>
      <c r="AM3618" t="s">
        <v>1184</v>
      </c>
      <c r="AN3618">
        <v>-116.723986</v>
      </c>
      <c r="AO3618">
        <v>25</v>
      </c>
      <c r="AP3618">
        <v>4500</v>
      </c>
      <c r="AQ3618" t="s">
        <v>129</v>
      </c>
      <c r="AR3618">
        <v>119</v>
      </c>
      <c r="AS3618">
        <v>20</v>
      </c>
      <c r="AT3618">
        <v>576</v>
      </c>
      <c r="BB3618">
        <v>1200</v>
      </c>
      <c r="BC3618">
        <v>1</v>
      </c>
      <c r="BD3618" t="str">
        <f t="shared" si="1312"/>
        <v xml:space="preserve">N887QR  </v>
      </c>
      <c r="BE3618">
        <v>1</v>
      </c>
      <c r="BG3618">
        <v>0</v>
      </c>
      <c r="BH3618">
        <v>0</v>
      </c>
      <c r="BI3618">
        <v>0</v>
      </c>
      <c r="BJ3618">
        <v>4300</v>
      </c>
      <c r="BK3618">
        <v>-200</v>
      </c>
      <c r="BL3618" t="s">
        <v>163</v>
      </c>
      <c r="BM3618">
        <v>1</v>
      </c>
      <c r="BN3618">
        <v>1</v>
      </c>
      <c r="BO3618">
        <v>1</v>
      </c>
      <c r="BP3618">
        <v>0</v>
      </c>
      <c r="BS3618">
        <v>0</v>
      </c>
      <c r="BT3618">
        <v>0</v>
      </c>
      <c r="BU3618">
        <v>0</v>
      </c>
      <c r="CE3618" t="str">
        <f t="shared" si="1326"/>
        <v>19:35:17.204</v>
      </c>
      <c r="CF3618">
        <v>204347349</v>
      </c>
      <c r="CS3618">
        <v>0</v>
      </c>
      <c r="CT3618">
        <v>2</v>
      </c>
      <c r="CU3618">
        <v>0</v>
      </c>
      <c r="CV3618">
        <v>2</v>
      </c>
      <c r="CW3618">
        <v>0</v>
      </c>
      <c r="CX3618">
        <v>5</v>
      </c>
      <c r="CY3618">
        <v>7</v>
      </c>
      <c r="CZ3618" t="s">
        <v>131</v>
      </c>
      <c r="DA3618">
        <v>300</v>
      </c>
      <c r="DB3618">
        <v>0</v>
      </c>
      <c r="DC3618" t="s">
        <v>176</v>
      </c>
      <c r="DD3618" t="s">
        <v>177</v>
      </c>
      <c r="DG3618">
        <v>5443353</v>
      </c>
      <c r="DI3618">
        <v>1</v>
      </c>
      <c r="DJ3618">
        <v>0</v>
      </c>
      <c r="DK3618">
        <v>1</v>
      </c>
      <c r="DL3618">
        <v>0</v>
      </c>
      <c r="DM3618">
        <v>0</v>
      </c>
      <c r="DN3618">
        <v>1</v>
      </c>
      <c r="DO3618">
        <v>0</v>
      </c>
      <c r="DP3618">
        <v>0</v>
      </c>
      <c r="DQ3618">
        <v>0</v>
      </c>
      <c r="DR3618">
        <v>0</v>
      </c>
      <c r="DS3618">
        <v>0</v>
      </c>
    </row>
    <row r="3619" spans="1:123" x14ac:dyDescent="0.3">
      <c r="A3619" t="str">
        <f t="shared" si="1324"/>
        <v>10/04/2022 19:35:17.401</v>
      </c>
      <c r="C3619" t="str">
        <f t="shared" si="1304"/>
        <v>FFDFD3C0</v>
      </c>
      <c r="D3619" t="s">
        <v>141</v>
      </c>
      <c r="E3619">
        <v>4</v>
      </c>
      <c r="H3619">
        <v>4</v>
      </c>
      <c r="I3619" t="s">
        <v>142</v>
      </c>
      <c r="J3619" t="s">
        <v>138</v>
      </c>
      <c r="K3619">
        <v>0</v>
      </c>
      <c r="L3619">
        <v>3</v>
      </c>
      <c r="M3619">
        <v>0</v>
      </c>
      <c r="N3619">
        <v>2</v>
      </c>
      <c r="O3619">
        <v>0</v>
      </c>
      <c r="P3619">
        <v>1</v>
      </c>
      <c r="Q3619">
        <v>0</v>
      </c>
      <c r="S3619" t="str">
        <f t="shared" si="1325"/>
        <v>19:35:17.000</v>
      </c>
      <c r="T3619" t="str">
        <f t="shared" si="1325"/>
        <v>19:35:17.000</v>
      </c>
      <c r="U3619" t="str">
        <f t="shared" si="1311"/>
        <v>AC3944</v>
      </c>
      <c r="V3619">
        <v>0</v>
      </c>
      <c r="W3619">
        <v>0</v>
      </c>
      <c r="X3619">
        <v>2</v>
      </c>
      <c r="Y3619">
        <v>0</v>
      </c>
      <c r="AA3619">
        <v>1</v>
      </c>
      <c r="AB3619">
        <v>8</v>
      </c>
      <c r="AC3619">
        <v>3</v>
      </c>
      <c r="AD3619">
        <v>0</v>
      </c>
      <c r="AE3619">
        <v>9</v>
      </c>
      <c r="AF3619" t="s">
        <v>138</v>
      </c>
      <c r="AG3619">
        <v>0</v>
      </c>
      <c r="AH3619">
        <v>3</v>
      </c>
      <c r="AI3619">
        <v>1</v>
      </c>
      <c r="AJ3619">
        <v>0</v>
      </c>
      <c r="AK3619" t="s">
        <v>1183</v>
      </c>
      <c r="AL3619">
        <v>32.736060999999999</v>
      </c>
      <c r="AM3619" t="s">
        <v>1184</v>
      </c>
      <c r="AN3619">
        <v>-116.723986</v>
      </c>
      <c r="AO3619">
        <v>25</v>
      </c>
      <c r="AP3619">
        <v>4500</v>
      </c>
      <c r="AQ3619" t="s">
        <v>129</v>
      </c>
      <c r="AR3619">
        <v>119</v>
      </c>
      <c r="AS3619">
        <v>20</v>
      </c>
      <c r="AT3619">
        <v>576</v>
      </c>
      <c r="BB3619">
        <v>1200</v>
      </c>
      <c r="BC3619">
        <v>1</v>
      </c>
      <c r="BD3619" t="str">
        <f t="shared" si="1312"/>
        <v xml:space="preserve">N887QR  </v>
      </c>
      <c r="BE3619">
        <v>1</v>
      </c>
      <c r="BG3619">
        <v>0</v>
      </c>
      <c r="BH3619">
        <v>0</v>
      </c>
      <c r="BI3619">
        <v>0</v>
      </c>
      <c r="BJ3619">
        <v>4300</v>
      </c>
      <c r="BK3619">
        <v>-200</v>
      </c>
      <c r="BL3619" t="s">
        <v>163</v>
      </c>
      <c r="BM3619">
        <v>1</v>
      </c>
      <c r="BN3619">
        <v>1</v>
      </c>
      <c r="BO3619">
        <v>1</v>
      </c>
      <c r="BP3619">
        <v>0</v>
      </c>
      <c r="BS3619">
        <v>0</v>
      </c>
      <c r="BT3619">
        <v>0</v>
      </c>
      <c r="BU3619">
        <v>0</v>
      </c>
      <c r="CE3619" t="str">
        <f t="shared" si="1326"/>
        <v>19:35:17.204</v>
      </c>
      <c r="CF3619">
        <v>204347349</v>
      </c>
      <c r="CS3619">
        <v>0</v>
      </c>
      <c r="CT3619">
        <v>2</v>
      </c>
      <c r="CU3619">
        <v>0</v>
      </c>
      <c r="CV3619">
        <v>2</v>
      </c>
      <c r="CW3619">
        <v>0</v>
      </c>
      <c r="CX3619">
        <v>5</v>
      </c>
      <c r="CY3619">
        <v>7</v>
      </c>
      <c r="CZ3619" t="s">
        <v>131</v>
      </c>
      <c r="DA3619">
        <v>300</v>
      </c>
      <c r="DB3619">
        <v>0</v>
      </c>
      <c r="DC3619" t="s">
        <v>176</v>
      </c>
      <c r="DD3619" t="s">
        <v>177</v>
      </c>
      <c r="DG3619">
        <v>5443353</v>
      </c>
      <c r="DI3619">
        <v>1</v>
      </c>
      <c r="DJ3619">
        <v>0</v>
      </c>
      <c r="DK3619">
        <v>1</v>
      </c>
      <c r="DL3619">
        <v>0</v>
      </c>
      <c r="DM3619">
        <v>0</v>
      </c>
      <c r="DN3619">
        <v>1</v>
      </c>
      <c r="DO3619">
        <v>0</v>
      </c>
      <c r="DP3619">
        <v>0</v>
      </c>
      <c r="DQ3619">
        <v>0</v>
      </c>
      <c r="DR3619">
        <v>0</v>
      </c>
      <c r="DS3619">
        <v>0</v>
      </c>
    </row>
    <row r="3620" spans="1:123" x14ac:dyDescent="0.3">
      <c r="A3620" t="str">
        <f t="shared" si="1324"/>
        <v>10/04/2022 19:35:17.401</v>
      </c>
      <c r="C3620" t="str">
        <f t="shared" si="1304"/>
        <v>FFDFD3C0</v>
      </c>
      <c r="D3620" t="s">
        <v>143</v>
      </c>
      <c r="E3620">
        <v>20</v>
      </c>
      <c r="F3620">
        <v>1020</v>
      </c>
      <c r="G3620" t="s">
        <v>144</v>
      </c>
      <c r="J3620" t="s">
        <v>145</v>
      </c>
      <c r="K3620">
        <v>0</v>
      </c>
      <c r="L3620">
        <v>3</v>
      </c>
      <c r="M3620">
        <v>0</v>
      </c>
      <c r="N3620">
        <v>2</v>
      </c>
      <c r="O3620">
        <v>0</v>
      </c>
      <c r="P3620">
        <v>1</v>
      </c>
      <c r="Q3620">
        <v>0</v>
      </c>
      <c r="S3620" t="str">
        <f t="shared" si="1325"/>
        <v>19:35:17.000</v>
      </c>
      <c r="T3620" t="str">
        <f t="shared" si="1325"/>
        <v>19:35:17.000</v>
      </c>
      <c r="U3620" t="str">
        <f t="shared" si="1311"/>
        <v>AC3944</v>
      </c>
      <c r="V3620">
        <v>0</v>
      </c>
      <c r="W3620">
        <v>0</v>
      </c>
      <c r="X3620">
        <v>2</v>
      </c>
      <c r="Y3620">
        <v>0</v>
      </c>
      <c r="AA3620">
        <v>1</v>
      </c>
      <c r="AB3620">
        <v>8</v>
      </c>
      <c r="AC3620">
        <v>3</v>
      </c>
      <c r="AD3620">
        <v>0</v>
      </c>
      <c r="AE3620">
        <v>9</v>
      </c>
      <c r="AF3620" t="s">
        <v>138</v>
      </c>
      <c r="AG3620">
        <v>0</v>
      </c>
      <c r="AH3620">
        <v>3</v>
      </c>
      <c r="AI3620">
        <v>1</v>
      </c>
      <c r="AJ3620">
        <v>0</v>
      </c>
      <c r="AK3620" t="s">
        <v>1183</v>
      </c>
      <c r="AL3620">
        <v>32.736060999999999</v>
      </c>
      <c r="AM3620" t="s">
        <v>1184</v>
      </c>
      <c r="AN3620">
        <v>-116.723986</v>
      </c>
      <c r="AO3620">
        <v>25</v>
      </c>
      <c r="AP3620">
        <v>4500</v>
      </c>
      <c r="AQ3620" t="s">
        <v>129</v>
      </c>
      <c r="AR3620">
        <v>119</v>
      </c>
      <c r="AS3620">
        <v>20</v>
      </c>
      <c r="AT3620">
        <v>576</v>
      </c>
      <c r="BB3620">
        <v>1200</v>
      </c>
      <c r="BC3620">
        <v>1</v>
      </c>
      <c r="BD3620" t="str">
        <f t="shared" si="1312"/>
        <v xml:space="preserve">N887QR  </v>
      </c>
      <c r="BE3620">
        <v>1</v>
      </c>
      <c r="BG3620">
        <v>0</v>
      </c>
      <c r="BH3620">
        <v>0</v>
      </c>
      <c r="BI3620">
        <v>0</v>
      </c>
      <c r="BJ3620">
        <v>4300</v>
      </c>
      <c r="BK3620">
        <v>-200</v>
      </c>
      <c r="BL3620" t="s">
        <v>163</v>
      </c>
      <c r="BM3620">
        <v>1</v>
      </c>
      <c r="BN3620">
        <v>1</v>
      </c>
      <c r="BO3620">
        <v>1</v>
      </c>
      <c r="BP3620">
        <v>0</v>
      </c>
      <c r="BS3620">
        <v>0</v>
      </c>
      <c r="BT3620">
        <v>0</v>
      </c>
      <c r="BU3620">
        <v>0</v>
      </c>
      <c r="CE3620" t="str">
        <f t="shared" si="1326"/>
        <v>19:35:17.204</v>
      </c>
      <c r="CF3620">
        <v>204347349</v>
      </c>
      <c r="CS3620">
        <v>0</v>
      </c>
      <c r="CT3620">
        <v>2</v>
      </c>
      <c r="CU3620">
        <v>0</v>
      </c>
      <c r="CV3620">
        <v>2</v>
      </c>
      <c r="CW3620">
        <v>0</v>
      </c>
      <c r="CX3620">
        <v>5</v>
      </c>
      <c r="CY3620">
        <v>7</v>
      </c>
      <c r="CZ3620" t="s">
        <v>131</v>
      </c>
      <c r="DA3620">
        <v>300</v>
      </c>
      <c r="DB3620">
        <v>0</v>
      </c>
      <c r="DC3620" t="s">
        <v>176</v>
      </c>
      <c r="DD3620" t="s">
        <v>177</v>
      </c>
      <c r="DG3620">
        <v>5443353</v>
      </c>
      <c r="DI3620">
        <v>1</v>
      </c>
      <c r="DJ3620">
        <v>0</v>
      </c>
      <c r="DK3620">
        <v>1</v>
      </c>
      <c r="DL3620">
        <v>0</v>
      </c>
      <c r="DM3620">
        <v>0</v>
      </c>
      <c r="DN3620">
        <v>1</v>
      </c>
      <c r="DO3620">
        <v>0</v>
      </c>
      <c r="DP3620">
        <v>0</v>
      </c>
      <c r="DQ3620">
        <v>0</v>
      </c>
      <c r="DR3620">
        <v>0</v>
      </c>
      <c r="DS3620">
        <v>0</v>
      </c>
    </row>
    <row r="3621" spans="1:123" x14ac:dyDescent="0.3">
      <c r="A3621" t="str">
        <f t="shared" ref="A3621:A3627" si="1327">"10/04/2022 19:35:18.463"</f>
        <v>10/04/2022 19:35:18.463</v>
      </c>
      <c r="C3621" t="str">
        <f t="shared" si="1304"/>
        <v>FFDFD3C0</v>
      </c>
      <c r="D3621" t="s">
        <v>141</v>
      </c>
      <c r="E3621">
        <v>4</v>
      </c>
      <c r="H3621">
        <v>4</v>
      </c>
      <c r="I3621" t="s">
        <v>142</v>
      </c>
      <c r="J3621" t="s">
        <v>138</v>
      </c>
      <c r="K3621">
        <v>0</v>
      </c>
      <c r="L3621">
        <v>3</v>
      </c>
      <c r="M3621">
        <v>0</v>
      </c>
      <c r="N3621">
        <v>2</v>
      </c>
      <c r="O3621">
        <v>0</v>
      </c>
      <c r="P3621">
        <v>1</v>
      </c>
      <c r="Q3621">
        <v>0</v>
      </c>
      <c r="S3621" t="str">
        <f t="shared" ref="S3621:T3627" si="1328">"19:35:18.000"</f>
        <v>19:35:18.000</v>
      </c>
      <c r="T3621" t="str">
        <f t="shared" si="1328"/>
        <v>19:35:18.000</v>
      </c>
      <c r="U3621" t="str">
        <f t="shared" si="1311"/>
        <v>AC3944</v>
      </c>
      <c r="V3621">
        <v>0</v>
      </c>
      <c r="W3621">
        <v>0</v>
      </c>
      <c r="X3621">
        <v>2</v>
      </c>
      <c r="Y3621">
        <v>0</v>
      </c>
      <c r="AA3621">
        <v>1</v>
      </c>
      <c r="AB3621">
        <v>8</v>
      </c>
      <c r="AC3621">
        <v>3</v>
      </c>
      <c r="AD3621">
        <v>0</v>
      </c>
      <c r="AE3621">
        <v>9</v>
      </c>
      <c r="AF3621" t="s">
        <v>138</v>
      </c>
      <c r="AG3621">
        <v>0</v>
      </c>
      <c r="AH3621">
        <v>3</v>
      </c>
      <c r="AI3621">
        <v>1</v>
      </c>
      <c r="AJ3621">
        <v>0</v>
      </c>
      <c r="AK3621" t="s">
        <v>1185</v>
      </c>
      <c r="AL3621">
        <v>32.736145999999998</v>
      </c>
      <c r="AM3621" t="s">
        <v>1186</v>
      </c>
      <c r="AN3621">
        <v>-116.723342</v>
      </c>
      <c r="AO3621">
        <v>25</v>
      </c>
      <c r="AP3621">
        <v>4500</v>
      </c>
      <c r="AQ3621" t="s">
        <v>129</v>
      </c>
      <c r="AR3621">
        <v>119</v>
      </c>
      <c r="AS3621">
        <v>19</v>
      </c>
      <c r="AT3621">
        <v>512</v>
      </c>
      <c r="BB3621">
        <v>1200</v>
      </c>
      <c r="BC3621">
        <v>1</v>
      </c>
      <c r="BD3621" t="str">
        <f t="shared" si="1312"/>
        <v xml:space="preserve">N887QR  </v>
      </c>
      <c r="BE3621">
        <v>1</v>
      </c>
      <c r="BG3621">
        <v>0</v>
      </c>
      <c r="BH3621">
        <v>0</v>
      </c>
      <c r="BI3621">
        <v>0</v>
      </c>
      <c r="BJ3621">
        <v>4300</v>
      </c>
      <c r="BK3621">
        <v>-200</v>
      </c>
      <c r="BL3621" t="s">
        <v>163</v>
      </c>
      <c r="BM3621">
        <v>1</v>
      </c>
      <c r="BN3621">
        <v>1</v>
      </c>
      <c r="BO3621">
        <v>1</v>
      </c>
      <c r="BP3621">
        <v>0</v>
      </c>
      <c r="BS3621">
        <v>0</v>
      </c>
      <c r="BT3621">
        <v>0</v>
      </c>
      <c r="BU3621">
        <v>0</v>
      </c>
      <c r="CE3621" t="str">
        <f t="shared" ref="CE3621:CE3627" si="1329">"19:35:18.175"</f>
        <v>19:35:18.175</v>
      </c>
      <c r="CF3621">
        <v>174850547</v>
      </c>
      <c r="CS3621">
        <v>0</v>
      </c>
      <c r="CT3621">
        <v>2</v>
      </c>
      <c r="CU3621">
        <v>0</v>
      </c>
      <c r="CV3621">
        <v>2</v>
      </c>
      <c r="CW3621">
        <v>0</v>
      </c>
      <c r="CX3621">
        <v>5</v>
      </c>
      <c r="CY3621">
        <v>7</v>
      </c>
      <c r="CZ3621" t="s">
        <v>131</v>
      </c>
      <c r="DA3621">
        <v>300</v>
      </c>
      <c r="DB3621">
        <v>0</v>
      </c>
      <c r="DC3621" t="s">
        <v>176</v>
      </c>
      <c r="DD3621" t="s">
        <v>177</v>
      </c>
      <c r="DG3621">
        <v>5443515</v>
      </c>
      <c r="DI3621">
        <v>1</v>
      </c>
      <c r="DJ3621">
        <v>0</v>
      </c>
      <c r="DK3621">
        <v>0</v>
      </c>
      <c r="DL3621">
        <v>0</v>
      </c>
      <c r="DM3621">
        <v>0</v>
      </c>
      <c r="DN3621">
        <v>1</v>
      </c>
      <c r="DO3621">
        <v>0</v>
      </c>
      <c r="DP3621">
        <v>0</v>
      </c>
      <c r="DQ3621">
        <v>0</v>
      </c>
      <c r="DR3621">
        <v>0</v>
      </c>
      <c r="DS3621">
        <v>0</v>
      </c>
    </row>
    <row r="3622" spans="1:123" x14ac:dyDescent="0.3">
      <c r="A3622" t="str">
        <f t="shared" si="1327"/>
        <v>10/04/2022 19:35:18.463</v>
      </c>
      <c r="C3622" t="str">
        <f t="shared" si="1304"/>
        <v>FFDFD3C0</v>
      </c>
      <c r="D3622" t="s">
        <v>143</v>
      </c>
      <c r="E3622">
        <v>20</v>
      </c>
      <c r="F3622">
        <v>1020</v>
      </c>
      <c r="G3622" t="s">
        <v>144</v>
      </c>
      <c r="J3622" t="s">
        <v>145</v>
      </c>
      <c r="K3622">
        <v>0</v>
      </c>
      <c r="L3622">
        <v>3</v>
      </c>
      <c r="M3622">
        <v>0</v>
      </c>
      <c r="N3622">
        <v>2</v>
      </c>
      <c r="O3622">
        <v>0</v>
      </c>
      <c r="P3622">
        <v>1</v>
      </c>
      <c r="Q3622">
        <v>0</v>
      </c>
      <c r="S3622" t="str">
        <f t="shared" si="1328"/>
        <v>19:35:18.000</v>
      </c>
      <c r="T3622" t="str">
        <f t="shared" si="1328"/>
        <v>19:35:18.000</v>
      </c>
      <c r="U3622" t="str">
        <f t="shared" si="1311"/>
        <v>AC3944</v>
      </c>
      <c r="V3622">
        <v>0</v>
      </c>
      <c r="W3622">
        <v>0</v>
      </c>
      <c r="X3622">
        <v>2</v>
      </c>
      <c r="Y3622">
        <v>0</v>
      </c>
      <c r="AA3622">
        <v>1</v>
      </c>
      <c r="AB3622">
        <v>8</v>
      </c>
      <c r="AC3622">
        <v>3</v>
      </c>
      <c r="AD3622">
        <v>0</v>
      </c>
      <c r="AE3622">
        <v>9</v>
      </c>
      <c r="AF3622" t="s">
        <v>138</v>
      </c>
      <c r="AG3622">
        <v>0</v>
      </c>
      <c r="AH3622">
        <v>3</v>
      </c>
      <c r="AI3622">
        <v>1</v>
      </c>
      <c r="AJ3622">
        <v>0</v>
      </c>
      <c r="AK3622" t="s">
        <v>1185</v>
      </c>
      <c r="AL3622">
        <v>32.736145999999998</v>
      </c>
      <c r="AM3622" t="s">
        <v>1186</v>
      </c>
      <c r="AN3622">
        <v>-116.723342</v>
      </c>
      <c r="AO3622">
        <v>25</v>
      </c>
      <c r="AP3622">
        <v>4500</v>
      </c>
      <c r="AQ3622" t="s">
        <v>129</v>
      </c>
      <c r="AR3622">
        <v>119</v>
      </c>
      <c r="AS3622">
        <v>19</v>
      </c>
      <c r="AT3622">
        <v>512</v>
      </c>
      <c r="BB3622">
        <v>1200</v>
      </c>
      <c r="BC3622">
        <v>1</v>
      </c>
      <c r="BD3622" t="str">
        <f t="shared" si="1312"/>
        <v xml:space="preserve">N887QR  </v>
      </c>
      <c r="BE3622">
        <v>1</v>
      </c>
      <c r="BG3622">
        <v>0</v>
      </c>
      <c r="BH3622">
        <v>0</v>
      </c>
      <c r="BI3622">
        <v>0</v>
      </c>
      <c r="BJ3622">
        <v>4300</v>
      </c>
      <c r="BK3622">
        <v>-200</v>
      </c>
      <c r="BL3622" t="s">
        <v>163</v>
      </c>
      <c r="BM3622">
        <v>1</v>
      </c>
      <c r="BN3622">
        <v>1</v>
      </c>
      <c r="BO3622">
        <v>1</v>
      </c>
      <c r="BP3622">
        <v>0</v>
      </c>
      <c r="BS3622">
        <v>0</v>
      </c>
      <c r="BT3622">
        <v>0</v>
      </c>
      <c r="BU3622">
        <v>0</v>
      </c>
      <c r="CE3622" t="str">
        <f t="shared" si="1329"/>
        <v>19:35:18.175</v>
      </c>
      <c r="CF3622">
        <v>174850547</v>
      </c>
      <c r="CS3622">
        <v>0</v>
      </c>
      <c r="CT3622">
        <v>2</v>
      </c>
      <c r="CU3622">
        <v>0</v>
      </c>
      <c r="CV3622">
        <v>2</v>
      </c>
      <c r="CW3622">
        <v>0</v>
      </c>
      <c r="CX3622">
        <v>5</v>
      </c>
      <c r="CY3622">
        <v>7</v>
      </c>
      <c r="CZ3622" t="s">
        <v>131</v>
      </c>
      <c r="DA3622">
        <v>300</v>
      </c>
      <c r="DB3622">
        <v>0</v>
      </c>
      <c r="DC3622" t="s">
        <v>176</v>
      </c>
      <c r="DD3622" t="s">
        <v>177</v>
      </c>
      <c r="DG3622">
        <v>5443515</v>
      </c>
      <c r="DI3622">
        <v>1</v>
      </c>
      <c r="DJ3622">
        <v>0</v>
      </c>
      <c r="DK3622">
        <v>1</v>
      </c>
      <c r="DL3622">
        <v>0</v>
      </c>
      <c r="DM3622">
        <v>0</v>
      </c>
      <c r="DN3622">
        <v>1</v>
      </c>
      <c r="DO3622">
        <v>0</v>
      </c>
      <c r="DP3622">
        <v>0</v>
      </c>
      <c r="DQ3622">
        <v>0</v>
      </c>
      <c r="DR3622">
        <v>0</v>
      </c>
      <c r="DS3622">
        <v>0</v>
      </c>
    </row>
    <row r="3623" spans="1:123" x14ac:dyDescent="0.3">
      <c r="A3623" t="str">
        <f t="shared" si="1327"/>
        <v>10/04/2022 19:35:18.463</v>
      </c>
      <c r="C3623" t="str">
        <f t="shared" si="1304"/>
        <v>FFDFD3C0</v>
      </c>
      <c r="D3623" t="s">
        <v>123</v>
      </c>
      <c r="E3623">
        <v>7</v>
      </c>
      <c r="F3623">
        <v>2007</v>
      </c>
      <c r="G3623" t="s">
        <v>124</v>
      </c>
      <c r="J3623" t="s">
        <v>125</v>
      </c>
      <c r="K3623">
        <v>0</v>
      </c>
      <c r="L3623">
        <v>3</v>
      </c>
      <c r="M3623">
        <v>0</v>
      </c>
      <c r="N3623">
        <v>2</v>
      </c>
      <c r="O3623">
        <v>0</v>
      </c>
      <c r="P3623">
        <v>1</v>
      </c>
      <c r="Q3623">
        <v>0</v>
      </c>
      <c r="S3623" t="str">
        <f t="shared" si="1328"/>
        <v>19:35:18.000</v>
      </c>
      <c r="T3623" t="str">
        <f t="shared" si="1328"/>
        <v>19:35:18.000</v>
      </c>
      <c r="U3623" t="str">
        <f t="shared" si="1311"/>
        <v>AC3944</v>
      </c>
      <c r="V3623">
        <v>0</v>
      </c>
      <c r="W3623">
        <v>0</v>
      </c>
      <c r="X3623">
        <v>2</v>
      </c>
      <c r="Y3623">
        <v>0</v>
      </c>
      <c r="AA3623">
        <v>1</v>
      </c>
      <c r="AB3623">
        <v>8</v>
      </c>
      <c r="AC3623">
        <v>3</v>
      </c>
      <c r="AD3623">
        <v>0</v>
      </c>
      <c r="AE3623">
        <v>9</v>
      </c>
      <c r="AF3623" t="s">
        <v>138</v>
      </c>
      <c r="AG3623">
        <v>0</v>
      </c>
      <c r="AH3623">
        <v>3</v>
      </c>
      <c r="AI3623">
        <v>1</v>
      </c>
      <c r="AJ3623">
        <v>0</v>
      </c>
      <c r="AK3623" t="s">
        <v>1185</v>
      </c>
      <c r="AL3623">
        <v>32.736145999999998</v>
      </c>
      <c r="AM3623" t="s">
        <v>1186</v>
      </c>
      <c r="AN3623">
        <v>-116.723342</v>
      </c>
      <c r="AO3623">
        <v>25</v>
      </c>
      <c r="AP3623">
        <v>4500</v>
      </c>
      <c r="AQ3623" t="s">
        <v>129</v>
      </c>
      <c r="AR3623">
        <v>119</v>
      </c>
      <c r="AS3623">
        <v>19</v>
      </c>
      <c r="AT3623">
        <v>512</v>
      </c>
      <c r="BB3623">
        <v>1200</v>
      </c>
      <c r="BC3623">
        <v>1</v>
      </c>
      <c r="BD3623" t="str">
        <f t="shared" si="1312"/>
        <v xml:space="preserve">N887QR  </v>
      </c>
      <c r="BE3623">
        <v>1</v>
      </c>
      <c r="BG3623">
        <v>0</v>
      </c>
      <c r="BH3623">
        <v>0</v>
      </c>
      <c r="BI3623">
        <v>0</v>
      </c>
      <c r="BJ3623">
        <v>4300</v>
      </c>
      <c r="BK3623">
        <v>-200</v>
      </c>
      <c r="BL3623" t="s">
        <v>163</v>
      </c>
      <c r="BM3623">
        <v>1</v>
      </c>
      <c r="BN3623">
        <v>1</v>
      </c>
      <c r="BO3623">
        <v>1</v>
      </c>
      <c r="BP3623">
        <v>0</v>
      </c>
      <c r="BS3623">
        <v>0</v>
      </c>
      <c r="BT3623">
        <v>0</v>
      </c>
      <c r="BU3623">
        <v>0</v>
      </c>
      <c r="CE3623" t="str">
        <f t="shared" si="1329"/>
        <v>19:35:18.175</v>
      </c>
      <c r="CF3623">
        <v>174850547</v>
      </c>
      <c r="CS3623">
        <v>0</v>
      </c>
      <c r="CT3623">
        <v>2</v>
      </c>
      <c r="CU3623">
        <v>0</v>
      </c>
      <c r="CV3623">
        <v>2</v>
      </c>
      <c r="CW3623">
        <v>0</v>
      </c>
      <c r="CX3623">
        <v>5</v>
      </c>
      <c r="CY3623">
        <v>7</v>
      </c>
      <c r="CZ3623" t="s">
        <v>131</v>
      </c>
      <c r="DA3623">
        <v>300</v>
      </c>
      <c r="DB3623">
        <v>0</v>
      </c>
      <c r="DC3623" t="s">
        <v>176</v>
      </c>
      <c r="DD3623" t="s">
        <v>177</v>
      </c>
      <c r="DG3623">
        <v>5443515</v>
      </c>
      <c r="DI3623">
        <v>1</v>
      </c>
      <c r="DJ3623">
        <v>0</v>
      </c>
      <c r="DK3623">
        <v>1</v>
      </c>
      <c r="DL3623">
        <v>0</v>
      </c>
      <c r="DM3623">
        <v>0</v>
      </c>
      <c r="DN3623">
        <v>1</v>
      </c>
      <c r="DO3623">
        <v>0</v>
      </c>
      <c r="DP3623">
        <v>0</v>
      </c>
      <c r="DQ3623">
        <v>0</v>
      </c>
      <c r="DR3623">
        <v>0</v>
      </c>
      <c r="DS3623">
        <v>0</v>
      </c>
    </row>
    <row r="3624" spans="1:123" x14ac:dyDescent="0.3">
      <c r="A3624" t="str">
        <f t="shared" si="1327"/>
        <v>10/04/2022 19:35:18.463</v>
      </c>
      <c r="C3624" t="str">
        <f t="shared" si="1304"/>
        <v>FFDFD3C0</v>
      </c>
      <c r="D3624" t="s">
        <v>136</v>
      </c>
      <c r="E3624">
        <v>8</v>
      </c>
      <c r="H3624">
        <v>225</v>
      </c>
      <c r="I3624" t="s">
        <v>137</v>
      </c>
      <c r="J3624" t="s">
        <v>138</v>
      </c>
      <c r="K3624">
        <v>0</v>
      </c>
      <c r="L3624">
        <v>3</v>
      </c>
      <c r="M3624">
        <v>0</v>
      </c>
      <c r="N3624">
        <v>2</v>
      </c>
      <c r="O3624">
        <v>0</v>
      </c>
      <c r="P3624">
        <v>1</v>
      </c>
      <c r="Q3624">
        <v>0</v>
      </c>
      <c r="S3624" t="str">
        <f t="shared" si="1328"/>
        <v>19:35:18.000</v>
      </c>
      <c r="T3624" t="str">
        <f t="shared" si="1328"/>
        <v>19:35:18.000</v>
      </c>
      <c r="U3624" t="str">
        <f t="shared" si="1311"/>
        <v>AC3944</v>
      </c>
      <c r="V3624">
        <v>0</v>
      </c>
      <c r="W3624">
        <v>0</v>
      </c>
      <c r="X3624">
        <v>2</v>
      </c>
      <c r="Y3624">
        <v>0</v>
      </c>
      <c r="AA3624">
        <v>1</v>
      </c>
      <c r="AB3624">
        <v>8</v>
      </c>
      <c r="AC3624">
        <v>3</v>
      </c>
      <c r="AD3624">
        <v>0</v>
      </c>
      <c r="AE3624">
        <v>9</v>
      </c>
      <c r="AF3624" t="s">
        <v>138</v>
      </c>
      <c r="AG3624">
        <v>0</v>
      </c>
      <c r="AH3624">
        <v>3</v>
      </c>
      <c r="AI3624">
        <v>1</v>
      </c>
      <c r="AJ3624">
        <v>0</v>
      </c>
      <c r="AK3624" t="s">
        <v>1185</v>
      </c>
      <c r="AL3624">
        <v>32.736145999999998</v>
      </c>
      <c r="AM3624" t="s">
        <v>1186</v>
      </c>
      <c r="AN3624">
        <v>-116.723342</v>
      </c>
      <c r="AO3624">
        <v>25</v>
      </c>
      <c r="AP3624">
        <v>4500</v>
      </c>
      <c r="AQ3624" t="s">
        <v>129</v>
      </c>
      <c r="AR3624">
        <v>119</v>
      </c>
      <c r="AS3624">
        <v>19</v>
      </c>
      <c r="AT3624">
        <v>512</v>
      </c>
      <c r="BB3624">
        <v>1200</v>
      </c>
      <c r="BC3624">
        <v>1</v>
      </c>
      <c r="BD3624" t="str">
        <f t="shared" si="1312"/>
        <v xml:space="preserve">N887QR  </v>
      </c>
      <c r="BE3624">
        <v>1</v>
      </c>
      <c r="BG3624">
        <v>0</v>
      </c>
      <c r="BH3624">
        <v>0</v>
      </c>
      <c r="BI3624">
        <v>0</v>
      </c>
      <c r="BJ3624">
        <v>4300</v>
      </c>
      <c r="BK3624">
        <v>-200</v>
      </c>
      <c r="BL3624" t="s">
        <v>163</v>
      </c>
      <c r="BM3624">
        <v>1</v>
      </c>
      <c r="BN3624">
        <v>1</v>
      </c>
      <c r="BO3624">
        <v>1</v>
      </c>
      <c r="BP3624">
        <v>0</v>
      </c>
      <c r="BS3624">
        <v>0</v>
      </c>
      <c r="BT3624">
        <v>0</v>
      </c>
      <c r="BU3624">
        <v>0</v>
      </c>
      <c r="CE3624" t="str">
        <f t="shared" si="1329"/>
        <v>19:35:18.175</v>
      </c>
      <c r="CF3624">
        <v>174850547</v>
      </c>
      <c r="CS3624">
        <v>0</v>
      </c>
      <c r="CT3624">
        <v>2</v>
      </c>
      <c r="CU3624">
        <v>0</v>
      </c>
      <c r="CV3624">
        <v>2</v>
      </c>
      <c r="CW3624">
        <v>0</v>
      </c>
      <c r="CX3624">
        <v>5</v>
      </c>
      <c r="CY3624">
        <v>7</v>
      </c>
      <c r="CZ3624" t="s">
        <v>131</v>
      </c>
      <c r="DA3624">
        <v>300</v>
      </c>
      <c r="DB3624">
        <v>0</v>
      </c>
      <c r="DC3624" t="s">
        <v>176</v>
      </c>
      <c r="DD3624" t="s">
        <v>177</v>
      </c>
      <c r="DG3624">
        <v>5443515</v>
      </c>
      <c r="DI3624">
        <v>1</v>
      </c>
      <c r="DJ3624">
        <v>0</v>
      </c>
      <c r="DK3624">
        <v>1</v>
      </c>
      <c r="DL3624">
        <v>0</v>
      </c>
      <c r="DM3624">
        <v>0</v>
      </c>
      <c r="DN3624">
        <v>1</v>
      </c>
      <c r="DO3624">
        <v>0</v>
      </c>
      <c r="DP3624">
        <v>0</v>
      </c>
      <c r="DQ3624">
        <v>0</v>
      </c>
      <c r="DR3624">
        <v>0</v>
      </c>
      <c r="DS3624">
        <v>0</v>
      </c>
    </row>
    <row r="3625" spans="1:123" x14ac:dyDescent="0.3">
      <c r="A3625" t="str">
        <f t="shared" si="1327"/>
        <v>10/04/2022 19:35:18.463</v>
      </c>
      <c r="C3625" t="str">
        <f t="shared" si="1304"/>
        <v>FFDFD3C0</v>
      </c>
      <c r="D3625" t="s">
        <v>147</v>
      </c>
      <c r="E3625">
        <v>3</v>
      </c>
      <c r="H3625">
        <v>166</v>
      </c>
      <c r="I3625" t="s">
        <v>144</v>
      </c>
      <c r="J3625" t="s">
        <v>148</v>
      </c>
      <c r="K3625">
        <v>0</v>
      </c>
      <c r="L3625">
        <v>3</v>
      </c>
      <c r="M3625">
        <v>0</v>
      </c>
      <c r="N3625">
        <v>2</v>
      </c>
      <c r="O3625">
        <v>0</v>
      </c>
      <c r="P3625">
        <v>1</v>
      </c>
      <c r="Q3625">
        <v>0</v>
      </c>
      <c r="S3625" t="str">
        <f t="shared" si="1328"/>
        <v>19:35:18.000</v>
      </c>
      <c r="T3625" t="str">
        <f t="shared" si="1328"/>
        <v>19:35:18.000</v>
      </c>
      <c r="U3625" t="str">
        <f t="shared" si="1311"/>
        <v>AC3944</v>
      </c>
      <c r="V3625">
        <v>0</v>
      </c>
      <c r="W3625">
        <v>0</v>
      </c>
      <c r="X3625">
        <v>2</v>
      </c>
      <c r="Y3625">
        <v>0</v>
      </c>
      <c r="AA3625">
        <v>1</v>
      </c>
      <c r="AB3625">
        <v>8</v>
      </c>
      <c r="AC3625">
        <v>3</v>
      </c>
      <c r="AD3625">
        <v>0</v>
      </c>
      <c r="AE3625">
        <v>9</v>
      </c>
      <c r="AF3625" t="s">
        <v>138</v>
      </c>
      <c r="AG3625">
        <v>0</v>
      </c>
      <c r="AH3625">
        <v>3</v>
      </c>
      <c r="AI3625">
        <v>1</v>
      </c>
      <c r="AJ3625">
        <v>0</v>
      </c>
      <c r="AK3625" t="s">
        <v>1185</v>
      </c>
      <c r="AL3625">
        <v>32.736145999999998</v>
      </c>
      <c r="AM3625" t="s">
        <v>1186</v>
      </c>
      <c r="AN3625">
        <v>-116.723342</v>
      </c>
      <c r="AO3625">
        <v>25</v>
      </c>
      <c r="AP3625">
        <v>4500</v>
      </c>
      <c r="AQ3625" t="s">
        <v>129</v>
      </c>
      <c r="AR3625">
        <v>119</v>
      </c>
      <c r="AS3625">
        <v>19</v>
      </c>
      <c r="AT3625">
        <v>512</v>
      </c>
      <c r="BB3625">
        <v>1200</v>
      </c>
      <c r="BC3625">
        <v>1</v>
      </c>
      <c r="BD3625" t="str">
        <f t="shared" si="1312"/>
        <v xml:space="preserve">N887QR  </v>
      </c>
      <c r="BE3625">
        <v>1</v>
      </c>
      <c r="BG3625">
        <v>0</v>
      </c>
      <c r="BH3625">
        <v>0</v>
      </c>
      <c r="BI3625">
        <v>0</v>
      </c>
      <c r="BJ3625">
        <v>4300</v>
      </c>
      <c r="BK3625">
        <v>-200</v>
      </c>
      <c r="BL3625" t="s">
        <v>163</v>
      </c>
      <c r="BM3625">
        <v>1</v>
      </c>
      <c r="BN3625">
        <v>1</v>
      </c>
      <c r="BO3625">
        <v>1</v>
      </c>
      <c r="BP3625">
        <v>0</v>
      </c>
      <c r="BS3625">
        <v>0</v>
      </c>
      <c r="BT3625">
        <v>0</v>
      </c>
      <c r="BU3625">
        <v>0</v>
      </c>
      <c r="CE3625" t="str">
        <f t="shared" si="1329"/>
        <v>19:35:18.175</v>
      </c>
      <c r="CF3625">
        <v>174850547</v>
      </c>
      <c r="CS3625">
        <v>0</v>
      </c>
      <c r="CT3625">
        <v>2</v>
      </c>
      <c r="CU3625">
        <v>0</v>
      </c>
      <c r="CV3625">
        <v>2</v>
      </c>
      <c r="CW3625">
        <v>0</v>
      </c>
      <c r="CX3625">
        <v>5</v>
      </c>
      <c r="CY3625">
        <v>7</v>
      </c>
      <c r="CZ3625" t="s">
        <v>131</v>
      </c>
      <c r="DA3625">
        <v>300</v>
      </c>
      <c r="DB3625">
        <v>0</v>
      </c>
      <c r="DC3625" t="s">
        <v>176</v>
      </c>
      <c r="DD3625" t="s">
        <v>177</v>
      </c>
      <c r="DG3625">
        <v>5443515</v>
      </c>
      <c r="DI3625">
        <v>1</v>
      </c>
      <c r="DJ3625">
        <v>0</v>
      </c>
      <c r="DK3625">
        <v>1</v>
      </c>
      <c r="DL3625">
        <v>0</v>
      </c>
      <c r="DM3625">
        <v>0</v>
      </c>
      <c r="DN3625">
        <v>1</v>
      </c>
      <c r="DO3625">
        <v>0</v>
      </c>
      <c r="DP3625">
        <v>0</v>
      </c>
      <c r="DQ3625">
        <v>0</v>
      </c>
      <c r="DR3625">
        <v>0</v>
      </c>
      <c r="DS3625">
        <v>0</v>
      </c>
    </row>
    <row r="3626" spans="1:123" x14ac:dyDescent="0.3">
      <c r="A3626" t="str">
        <f t="shared" si="1327"/>
        <v>10/04/2022 19:35:18.463</v>
      </c>
      <c r="C3626" t="str">
        <f t="shared" si="1304"/>
        <v>FFDFD3C0</v>
      </c>
      <c r="D3626" t="s">
        <v>141</v>
      </c>
      <c r="E3626">
        <v>3</v>
      </c>
      <c r="H3626">
        <v>3</v>
      </c>
      <c r="I3626" t="s">
        <v>146</v>
      </c>
      <c r="J3626" t="s">
        <v>138</v>
      </c>
      <c r="K3626">
        <v>0</v>
      </c>
      <c r="L3626">
        <v>3</v>
      </c>
      <c r="M3626">
        <v>0</v>
      </c>
      <c r="N3626">
        <v>2</v>
      </c>
      <c r="O3626">
        <v>0</v>
      </c>
      <c r="P3626">
        <v>1</v>
      </c>
      <c r="Q3626">
        <v>0</v>
      </c>
      <c r="S3626" t="str">
        <f t="shared" si="1328"/>
        <v>19:35:18.000</v>
      </c>
      <c r="T3626" t="str">
        <f t="shared" si="1328"/>
        <v>19:35:18.000</v>
      </c>
      <c r="U3626" t="str">
        <f t="shared" si="1311"/>
        <v>AC3944</v>
      </c>
      <c r="V3626">
        <v>0</v>
      </c>
      <c r="W3626">
        <v>0</v>
      </c>
      <c r="X3626">
        <v>2</v>
      </c>
      <c r="Y3626">
        <v>0</v>
      </c>
      <c r="AA3626">
        <v>1</v>
      </c>
      <c r="AB3626">
        <v>8</v>
      </c>
      <c r="AC3626">
        <v>3</v>
      </c>
      <c r="AD3626">
        <v>0</v>
      </c>
      <c r="AE3626">
        <v>9</v>
      </c>
      <c r="AF3626" t="s">
        <v>138</v>
      </c>
      <c r="AG3626">
        <v>0</v>
      </c>
      <c r="AH3626">
        <v>3</v>
      </c>
      <c r="AI3626">
        <v>1</v>
      </c>
      <c r="AJ3626">
        <v>0</v>
      </c>
      <c r="AK3626" t="s">
        <v>1185</v>
      </c>
      <c r="AL3626">
        <v>32.736145999999998</v>
      </c>
      <c r="AM3626" t="s">
        <v>1186</v>
      </c>
      <c r="AN3626">
        <v>-116.723342</v>
      </c>
      <c r="AO3626">
        <v>25</v>
      </c>
      <c r="AP3626">
        <v>4500</v>
      </c>
      <c r="AQ3626" t="s">
        <v>129</v>
      </c>
      <c r="AR3626">
        <v>119</v>
      </c>
      <c r="AS3626">
        <v>19</v>
      </c>
      <c r="AT3626">
        <v>512</v>
      </c>
      <c r="BB3626">
        <v>1200</v>
      </c>
      <c r="BC3626">
        <v>1</v>
      </c>
      <c r="BD3626" t="str">
        <f t="shared" si="1312"/>
        <v xml:space="preserve">N887QR  </v>
      </c>
      <c r="BE3626">
        <v>1</v>
      </c>
      <c r="BG3626">
        <v>0</v>
      </c>
      <c r="BH3626">
        <v>0</v>
      </c>
      <c r="BI3626">
        <v>0</v>
      </c>
      <c r="BJ3626">
        <v>4300</v>
      </c>
      <c r="BK3626">
        <v>-200</v>
      </c>
      <c r="BL3626" t="s">
        <v>163</v>
      </c>
      <c r="BM3626">
        <v>1</v>
      </c>
      <c r="BN3626">
        <v>1</v>
      </c>
      <c r="BO3626">
        <v>1</v>
      </c>
      <c r="BP3626">
        <v>0</v>
      </c>
      <c r="BS3626">
        <v>0</v>
      </c>
      <c r="BT3626">
        <v>0</v>
      </c>
      <c r="BU3626">
        <v>0</v>
      </c>
      <c r="CE3626" t="str">
        <f t="shared" si="1329"/>
        <v>19:35:18.175</v>
      </c>
      <c r="CF3626">
        <v>174850547</v>
      </c>
      <c r="CS3626">
        <v>0</v>
      </c>
      <c r="CT3626">
        <v>2</v>
      </c>
      <c r="CU3626">
        <v>0</v>
      </c>
      <c r="CV3626">
        <v>2</v>
      </c>
      <c r="CW3626">
        <v>0</v>
      </c>
      <c r="CX3626">
        <v>5</v>
      </c>
      <c r="CY3626">
        <v>7</v>
      </c>
      <c r="CZ3626" t="s">
        <v>131</v>
      </c>
      <c r="DA3626">
        <v>300</v>
      </c>
      <c r="DB3626">
        <v>0</v>
      </c>
      <c r="DC3626" t="s">
        <v>176</v>
      </c>
      <c r="DD3626" t="s">
        <v>177</v>
      </c>
      <c r="DG3626">
        <v>5443515</v>
      </c>
      <c r="DI3626">
        <v>1</v>
      </c>
      <c r="DJ3626">
        <v>0</v>
      </c>
      <c r="DK3626">
        <v>1</v>
      </c>
      <c r="DL3626">
        <v>0</v>
      </c>
      <c r="DM3626">
        <v>0</v>
      </c>
      <c r="DN3626">
        <v>1</v>
      </c>
      <c r="DO3626">
        <v>0</v>
      </c>
      <c r="DP3626">
        <v>0</v>
      </c>
      <c r="DQ3626">
        <v>0</v>
      </c>
      <c r="DR3626">
        <v>0</v>
      </c>
      <c r="DS3626">
        <v>0</v>
      </c>
    </row>
    <row r="3627" spans="1:123" x14ac:dyDescent="0.3">
      <c r="A3627" t="str">
        <f t="shared" si="1327"/>
        <v>10/04/2022 19:35:18.463</v>
      </c>
      <c r="C3627" t="str">
        <f t="shared" ref="C3627:C3690" si="1330">"FFDFD3C0"</f>
        <v>FFDFD3C0</v>
      </c>
      <c r="D3627" t="s">
        <v>134</v>
      </c>
      <c r="E3627">
        <v>15</v>
      </c>
      <c r="J3627" t="s">
        <v>135</v>
      </c>
      <c r="K3627">
        <v>0</v>
      </c>
      <c r="L3627">
        <v>3</v>
      </c>
      <c r="M3627">
        <v>0</v>
      </c>
      <c r="N3627">
        <v>2</v>
      </c>
      <c r="O3627">
        <v>0</v>
      </c>
      <c r="P3627">
        <v>1</v>
      </c>
      <c r="Q3627">
        <v>0</v>
      </c>
      <c r="S3627" t="str">
        <f t="shared" si="1328"/>
        <v>19:35:18.000</v>
      </c>
      <c r="T3627" t="str">
        <f t="shared" si="1328"/>
        <v>19:35:18.000</v>
      </c>
      <c r="U3627" t="str">
        <f t="shared" si="1311"/>
        <v>AC3944</v>
      </c>
      <c r="V3627">
        <v>0</v>
      </c>
      <c r="W3627">
        <v>0</v>
      </c>
      <c r="X3627">
        <v>2</v>
      </c>
      <c r="Y3627">
        <v>0</v>
      </c>
      <c r="AA3627">
        <v>1</v>
      </c>
      <c r="AB3627">
        <v>8</v>
      </c>
      <c r="AC3627">
        <v>3</v>
      </c>
      <c r="AD3627">
        <v>0</v>
      </c>
      <c r="AE3627">
        <v>9</v>
      </c>
      <c r="AF3627" t="s">
        <v>138</v>
      </c>
      <c r="AG3627">
        <v>0</v>
      </c>
      <c r="AH3627">
        <v>3</v>
      </c>
      <c r="AI3627">
        <v>1</v>
      </c>
      <c r="AJ3627">
        <v>0</v>
      </c>
      <c r="AK3627" t="s">
        <v>1185</v>
      </c>
      <c r="AL3627">
        <v>32.736145999999998</v>
      </c>
      <c r="AM3627" t="s">
        <v>1186</v>
      </c>
      <c r="AN3627">
        <v>-116.723342</v>
      </c>
      <c r="AO3627">
        <v>25</v>
      </c>
      <c r="AP3627">
        <v>4500</v>
      </c>
      <c r="AQ3627" t="s">
        <v>129</v>
      </c>
      <c r="AR3627">
        <v>119</v>
      </c>
      <c r="AS3627">
        <v>19</v>
      </c>
      <c r="AT3627">
        <v>512</v>
      </c>
      <c r="BB3627">
        <v>1200</v>
      </c>
      <c r="BC3627">
        <v>1</v>
      </c>
      <c r="BD3627" t="str">
        <f t="shared" si="1312"/>
        <v xml:space="preserve">N887QR  </v>
      </c>
      <c r="BE3627">
        <v>1</v>
      </c>
      <c r="BG3627">
        <v>0</v>
      </c>
      <c r="BH3627">
        <v>0</v>
      </c>
      <c r="BI3627">
        <v>0</v>
      </c>
      <c r="BJ3627">
        <v>4300</v>
      </c>
      <c r="BK3627">
        <v>-200</v>
      </c>
      <c r="BL3627" t="s">
        <v>163</v>
      </c>
      <c r="BM3627">
        <v>1</v>
      </c>
      <c r="BN3627">
        <v>1</v>
      </c>
      <c r="BO3627">
        <v>1</v>
      </c>
      <c r="BP3627">
        <v>0</v>
      </c>
      <c r="BS3627">
        <v>0</v>
      </c>
      <c r="BT3627">
        <v>0</v>
      </c>
      <c r="BU3627">
        <v>0</v>
      </c>
      <c r="CE3627" t="str">
        <f t="shared" si="1329"/>
        <v>19:35:18.175</v>
      </c>
      <c r="CF3627">
        <v>174850547</v>
      </c>
      <c r="CS3627">
        <v>0</v>
      </c>
      <c r="CT3627">
        <v>2</v>
      </c>
      <c r="CU3627">
        <v>0</v>
      </c>
      <c r="CV3627">
        <v>2</v>
      </c>
      <c r="CW3627">
        <v>0</v>
      </c>
      <c r="CX3627">
        <v>5</v>
      </c>
      <c r="CY3627">
        <v>7</v>
      </c>
      <c r="CZ3627" t="s">
        <v>131</v>
      </c>
      <c r="DA3627">
        <v>300</v>
      </c>
      <c r="DB3627">
        <v>0</v>
      </c>
      <c r="DC3627" t="s">
        <v>176</v>
      </c>
      <c r="DD3627" t="s">
        <v>177</v>
      </c>
      <c r="DG3627">
        <v>5443515</v>
      </c>
      <c r="DI3627">
        <v>1</v>
      </c>
      <c r="DJ3627">
        <v>0</v>
      </c>
      <c r="DK3627">
        <v>1</v>
      </c>
      <c r="DL3627">
        <v>0</v>
      </c>
      <c r="DM3627">
        <v>0</v>
      </c>
      <c r="DN3627">
        <v>1</v>
      </c>
      <c r="DO3627">
        <v>0</v>
      </c>
      <c r="DP3627">
        <v>0</v>
      </c>
      <c r="DQ3627">
        <v>0</v>
      </c>
      <c r="DR3627">
        <v>0</v>
      </c>
      <c r="DS3627">
        <v>0</v>
      </c>
    </row>
    <row r="3628" spans="1:123" x14ac:dyDescent="0.3">
      <c r="A3628" t="str">
        <f>"10/04/2022 19:35:19.292"</f>
        <v>10/04/2022 19:35:19.292</v>
      </c>
      <c r="C3628" t="str">
        <f t="shared" si="1330"/>
        <v>FFDFD3C0</v>
      </c>
      <c r="D3628" t="s">
        <v>134</v>
      </c>
      <c r="E3628">
        <v>15</v>
      </c>
      <c r="J3628" t="s">
        <v>135</v>
      </c>
      <c r="K3628">
        <v>0</v>
      </c>
      <c r="L3628">
        <v>3</v>
      </c>
      <c r="M3628">
        <v>0</v>
      </c>
      <c r="N3628">
        <v>2</v>
      </c>
      <c r="O3628">
        <v>0</v>
      </c>
      <c r="P3628">
        <v>1</v>
      </c>
      <c r="Q3628">
        <v>0</v>
      </c>
      <c r="S3628" t="str">
        <f t="shared" ref="S3628:T3634" si="1331">"19:35:19.000"</f>
        <v>19:35:19.000</v>
      </c>
      <c r="T3628" t="str">
        <f t="shared" si="1331"/>
        <v>19:35:19.000</v>
      </c>
      <c r="U3628" t="str">
        <f t="shared" si="1311"/>
        <v>AC3944</v>
      </c>
      <c r="V3628">
        <v>0</v>
      </c>
      <c r="W3628">
        <v>0</v>
      </c>
      <c r="X3628">
        <v>2</v>
      </c>
      <c r="Y3628">
        <v>0</v>
      </c>
      <c r="AA3628">
        <v>1</v>
      </c>
      <c r="AB3628">
        <v>8</v>
      </c>
      <c r="AC3628">
        <v>3</v>
      </c>
      <c r="AD3628">
        <v>0</v>
      </c>
      <c r="AE3628">
        <v>9</v>
      </c>
      <c r="AF3628" t="s">
        <v>138</v>
      </c>
      <c r="AG3628">
        <v>0</v>
      </c>
      <c r="AH3628">
        <v>3</v>
      </c>
      <c r="AI3628">
        <v>1</v>
      </c>
      <c r="AJ3628">
        <v>0</v>
      </c>
      <c r="AK3628" t="s">
        <v>1187</v>
      </c>
      <c r="AL3628">
        <v>32.736254000000002</v>
      </c>
      <c r="AM3628" t="s">
        <v>1188</v>
      </c>
      <c r="AN3628">
        <v>-116.722677</v>
      </c>
      <c r="AO3628">
        <v>25</v>
      </c>
      <c r="AP3628">
        <v>4500</v>
      </c>
      <c r="AQ3628" t="s">
        <v>129</v>
      </c>
      <c r="AR3628">
        <v>119</v>
      </c>
      <c r="AS3628">
        <v>19</v>
      </c>
      <c r="AT3628">
        <v>512</v>
      </c>
      <c r="BB3628">
        <v>1200</v>
      </c>
      <c r="BC3628">
        <v>1</v>
      </c>
      <c r="BD3628" t="str">
        <f t="shared" si="1312"/>
        <v xml:space="preserve">N887QR  </v>
      </c>
      <c r="BE3628">
        <v>1</v>
      </c>
      <c r="BG3628">
        <v>0</v>
      </c>
      <c r="BH3628">
        <v>0</v>
      </c>
      <c r="BI3628">
        <v>0</v>
      </c>
      <c r="BJ3628">
        <v>4325</v>
      </c>
      <c r="BK3628">
        <v>-175</v>
      </c>
      <c r="BL3628" t="s">
        <v>163</v>
      </c>
      <c r="BM3628">
        <v>1</v>
      </c>
      <c r="BN3628">
        <v>1</v>
      </c>
      <c r="BO3628">
        <v>1</v>
      </c>
      <c r="BP3628">
        <v>0</v>
      </c>
      <c r="BS3628">
        <v>0.04</v>
      </c>
      <c r="BT3628">
        <v>0</v>
      </c>
      <c r="BU3628">
        <v>0</v>
      </c>
      <c r="CE3628" t="str">
        <f t="shared" ref="CE3628:CE3634" si="1332">"19:35:19.052"</f>
        <v>19:35:19.052</v>
      </c>
      <c r="CF3628">
        <v>51791214</v>
      </c>
      <c r="CS3628">
        <v>0</v>
      </c>
      <c r="CT3628">
        <v>2</v>
      </c>
      <c r="CU3628">
        <v>0</v>
      </c>
      <c r="CV3628">
        <v>2</v>
      </c>
      <c r="CW3628">
        <v>0</v>
      </c>
      <c r="CX3628">
        <v>5</v>
      </c>
      <c r="CY3628">
        <v>7</v>
      </c>
      <c r="CZ3628" t="s">
        <v>131</v>
      </c>
      <c r="DA3628">
        <v>286</v>
      </c>
      <c r="DB3628">
        <v>0</v>
      </c>
      <c r="DC3628" t="s">
        <v>132</v>
      </c>
      <c r="DD3628" t="s">
        <v>133</v>
      </c>
      <c r="DG3628">
        <v>885513</v>
      </c>
      <c r="DI3628">
        <v>1</v>
      </c>
      <c r="DJ3628">
        <v>0</v>
      </c>
      <c r="DK3628">
        <v>0</v>
      </c>
      <c r="DL3628">
        <v>0</v>
      </c>
      <c r="DM3628">
        <v>0</v>
      </c>
      <c r="DN3628">
        <v>1</v>
      </c>
      <c r="DO3628">
        <v>0</v>
      </c>
      <c r="DP3628">
        <v>0</v>
      </c>
      <c r="DQ3628">
        <v>0</v>
      </c>
      <c r="DR3628">
        <v>0</v>
      </c>
      <c r="DS3628">
        <v>0</v>
      </c>
    </row>
    <row r="3629" spans="1:123" x14ac:dyDescent="0.3">
      <c r="A3629" t="str">
        <f>"10/04/2022 19:35:19.292"</f>
        <v>10/04/2022 19:35:19.292</v>
      </c>
      <c r="C3629" t="str">
        <f t="shared" si="1330"/>
        <v>FFDFD3C0</v>
      </c>
      <c r="D3629" t="s">
        <v>141</v>
      </c>
      <c r="E3629">
        <v>4</v>
      </c>
      <c r="H3629">
        <v>4</v>
      </c>
      <c r="I3629" t="s">
        <v>142</v>
      </c>
      <c r="J3629" t="s">
        <v>138</v>
      </c>
      <c r="K3629">
        <v>0</v>
      </c>
      <c r="L3629">
        <v>3</v>
      </c>
      <c r="M3629">
        <v>0</v>
      </c>
      <c r="N3629">
        <v>2</v>
      </c>
      <c r="O3629">
        <v>0</v>
      </c>
      <c r="P3629">
        <v>1</v>
      </c>
      <c r="Q3629">
        <v>0</v>
      </c>
      <c r="S3629" t="str">
        <f t="shared" si="1331"/>
        <v>19:35:19.000</v>
      </c>
      <c r="T3629" t="str">
        <f t="shared" si="1331"/>
        <v>19:35:19.000</v>
      </c>
      <c r="U3629" t="str">
        <f t="shared" si="1311"/>
        <v>AC3944</v>
      </c>
      <c r="V3629">
        <v>0</v>
      </c>
      <c r="W3629">
        <v>0</v>
      </c>
      <c r="X3629">
        <v>2</v>
      </c>
      <c r="Y3629">
        <v>0</v>
      </c>
      <c r="AA3629">
        <v>1</v>
      </c>
      <c r="AB3629">
        <v>8</v>
      </c>
      <c r="AC3629">
        <v>3</v>
      </c>
      <c r="AD3629">
        <v>0</v>
      </c>
      <c r="AE3629">
        <v>9</v>
      </c>
      <c r="AF3629" t="s">
        <v>138</v>
      </c>
      <c r="AG3629">
        <v>0</v>
      </c>
      <c r="AH3629">
        <v>3</v>
      </c>
      <c r="AI3629">
        <v>1</v>
      </c>
      <c r="AJ3629">
        <v>0</v>
      </c>
      <c r="AK3629" t="s">
        <v>1187</v>
      </c>
      <c r="AL3629">
        <v>32.736254000000002</v>
      </c>
      <c r="AM3629" t="s">
        <v>1188</v>
      </c>
      <c r="AN3629">
        <v>-116.722677</v>
      </c>
      <c r="AO3629">
        <v>25</v>
      </c>
      <c r="AP3629">
        <v>4500</v>
      </c>
      <c r="AQ3629" t="s">
        <v>129</v>
      </c>
      <c r="AR3629">
        <v>119</v>
      </c>
      <c r="AS3629">
        <v>19</v>
      </c>
      <c r="AT3629">
        <v>512</v>
      </c>
      <c r="BB3629">
        <v>1200</v>
      </c>
      <c r="BC3629">
        <v>1</v>
      </c>
      <c r="BD3629" t="str">
        <f t="shared" si="1312"/>
        <v xml:space="preserve">N887QR  </v>
      </c>
      <c r="BE3629">
        <v>1</v>
      </c>
      <c r="BG3629">
        <v>0</v>
      </c>
      <c r="BH3629">
        <v>0</v>
      </c>
      <c r="BI3629">
        <v>0</v>
      </c>
      <c r="BJ3629">
        <v>4325</v>
      </c>
      <c r="BK3629">
        <v>-175</v>
      </c>
      <c r="BL3629" t="s">
        <v>163</v>
      </c>
      <c r="BM3629">
        <v>1</v>
      </c>
      <c r="BN3629">
        <v>1</v>
      </c>
      <c r="BO3629">
        <v>1</v>
      </c>
      <c r="BP3629">
        <v>0</v>
      </c>
      <c r="BS3629">
        <v>0.04</v>
      </c>
      <c r="BT3629">
        <v>0</v>
      </c>
      <c r="BU3629">
        <v>0</v>
      </c>
      <c r="CE3629" t="str">
        <f t="shared" si="1332"/>
        <v>19:35:19.052</v>
      </c>
      <c r="CF3629">
        <v>51791214</v>
      </c>
      <c r="CS3629">
        <v>0</v>
      </c>
      <c r="CT3629">
        <v>2</v>
      </c>
      <c r="CU3629">
        <v>0</v>
      </c>
      <c r="CV3629">
        <v>2</v>
      </c>
      <c r="CW3629">
        <v>0</v>
      </c>
      <c r="CX3629">
        <v>5</v>
      </c>
      <c r="CY3629">
        <v>7</v>
      </c>
      <c r="CZ3629" t="s">
        <v>131</v>
      </c>
      <c r="DA3629">
        <v>286</v>
      </c>
      <c r="DB3629">
        <v>0</v>
      </c>
      <c r="DC3629" t="s">
        <v>132</v>
      </c>
      <c r="DD3629" t="s">
        <v>133</v>
      </c>
      <c r="DG3629">
        <v>885513</v>
      </c>
      <c r="DI3629">
        <v>1</v>
      </c>
      <c r="DJ3629">
        <v>0</v>
      </c>
      <c r="DK3629">
        <v>1</v>
      </c>
      <c r="DL3629">
        <v>0</v>
      </c>
      <c r="DM3629">
        <v>0</v>
      </c>
      <c r="DN3629">
        <v>1</v>
      </c>
      <c r="DO3629">
        <v>0</v>
      </c>
      <c r="DP3629">
        <v>0</v>
      </c>
      <c r="DQ3629">
        <v>0</v>
      </c>
      <c r="DR3629">
        <v>0</v>
      </c>
      <c r="DS3629">
        <v>0</v>
      </c>
    </row>
    <row r="3630" spans="1:123" x14ac:dyDescent="0.3">
      <c r="A3630" t="str">
        <f>"10/04/2022 19:35:19.307"</f>
        <v>10/04/2022 19:35:19.307</v>
      </c>
      <c r="C3630" t="str">
        <f t="shared" si="1330"/>
        <v>FFDFD3C0</v>
      </c>
      <c r="D3630" t="s">
        <v>143</v>
      </c>
      <c r="E3630">
        <v>20</v>
      </c>
      <c r="F3630">
        <v>1020</v>
      </c>
      <c r="G3630" t="s">
        <v>144</v>
      </c>
      <c r="J3630" t="s">
        <v>145</v>
      </c>
      <c r="K3630">
        <v>0</v>
      </c>
      <c r="L3630">
        <v>3</v>
      </c>
      <c r="M3630">
        <v>0</v>
      </c>
      <c r="N3630">
        <v>2</v>
      </c>
      <c r="O3630">
        <v>0</v>
      </c>
      <c r="P3630">
        <v>1</v>
      </c>
      <c r="Q3630">
        <v>0</v>
      </c>
      <c r="S3630" t="str">
        <f t="shared" si="1331"/>
        <v>19:35:19.000</v>
      </c>
      <c r="T3630" t="str">
        <f t="shared" si="1331"/>
        <v>19:35:19.000</v>
      </c>
      <c r="U3630" t="str">
        <f t="shared" si="1311"/>
        <v>AC3944</v>
      </c>
      <c r="V3630">
        <v>0</v>
      </c>
      <c r="W3630">
        <v>0</v>
      </c>
      <c r="X3630">
        <v>2</v>
      </c>
      <c r="Y3630">
        <v>0</v>
      </c>
      <c r="AA3630">
        <v>1</v>
      </c>
      <c r="AB3630">
        <v>8</v>
      </c>
      <c r="AC3630">
        <v>3</v>
      </c>
      <c r="AD3630">
        <v>0</v>
      </c>
      <c r="AE3630">
        <v>9</v>
      </c>
      <c r="AF3630" t="s">
        <v>138</v>
      </c>
      <c r="AG3630">
        <v>0</v>
      </c>
      <c r="AH3630">
        <v>3</v>
      </c>
      <c r="AI3630">
        <v>1</v>
      </c>
      <c r="AJ3630">
        <v>0</v>
      </c>
      <c r="AK3630" t="s">
        <v>1187</v>
      </c>
      <c r="AL3630">
        <v>32.736254000000002</v>
      </c>
      <c r="AM3630" t="s">
        <v>1188</v>
      </c>
      <c r="AN3630">
        <v>-116.722677</v>
      </c>
      <c r="AO3630">
        <v>25</v>
      </c>
      <c r="AP3630">
        <v>4500</v>
      </c>
      <c r="AQ3630" t="s">
        <v>129</v>
      </c>
      <c r="AR3630">
        <v>119</v>
      </c>
      <c r="AS3630">
        <v>19</v>
      </c>
      <c r="AT3630">
        <v>512</v>
      </c>
      <c r="BB3630">
        <v>1200</v>
      </c>
      <c r="BC3630">
        <v>1</v>
      </c>
      <c r="BD3630" t="str">
        <f t="shared" si="1312"/>
        <v xml:space="preserve">N887QR  </v>
      </c>
      <c r="BE3630">
        <v>1</v>
      </c>
      <c r="BG3630">
        <v>0</v>
      </c>
      <c r="BH3630">
        <v>0</v>
      </c>
      <c r="BI3630">
        <v>0</v>
      </c>
      <c r="BJ3630">
        <v>4325</v>
      </c>
      <c r="BK3630">
        <v>-175</v>
      </c>
      <c r="BL3630" t="s">
        <v>163</v>
      </c>
      <c r="BM3630">
        <v>1</v>
      </c>
      <c r="BN3630">
        <v>1</v>
      </c>
      <c r="BO3630">
        <v>1</v>
      </c>
      <c r="BP3630">
        <v>0</v>
      </c>
      <c r="BS3630">
        <v>0.04</v>
      </c>
      <c r="BT3630">
        <v>0</v>
      </c>
      <c r="BU3630">
        <v>0</v>
      </c>
      <c r="CE3630" t="str">
        <f t="shared" si="1332"/>
        <v>19:35:19.052</v>
      </c>
      <c r="CF3630">
        <v>51791214</v>
      </c>
      <c r="CS3630">
        <v>0</v>
      </c>
      <c r="CT3630">
        <v>2</v>
      </c>
      <c r="CU3630">
        <v>0</v>
      </c>
      <c r="CV3630">
        <v>2</v>
      </c>
      <c r="CW3630">
        <v>0</v>
      </c>
      <c r="CX3630">
        <v>5</v>
      </c>
      <c r="CY3630">
        <v>7</v>
      </c>
      <c r="CZ3630" t="s">
        <v>131</v>
      </c>
      <c r="DA3630">
        <v>286</v>
      </c>
      <c r="DB3630">
        <v>0</v>
      </c>
      <c r="DC3630" t="s">
        <v>132</v>
      </c>
      <c r="DD3630" t="s">
        <v>133</v>
      </c>
      <c r="DG3630">
        <v>885513</v>
      </c>
      <c r="DI3630">
        <v>1</v>
      </c>
      <c r="DJ3630">
        <v>0</v>
      </c>
      <c r="DK3630">
        <v>1</v>
      </c>
      <c r="DL3630">
        <v>0</v>
      </c>
      <c r="DM3630">
        <v>0</v>
      </c>
      <c r="DN3630">
        <v>1</v>
      </c>
      <c r="DO3630">
        <v>0</v>
      </c>
      <c r="DP3630">
        <v>0</v>
      </c>
      <c r="DQ3630">
        <v>0</v>
      </c>
      <c r="DR3630">
        <v>0</v>
      </c>
      <c r="DS3630">
        <v>0</v>
      </c>
    </row>
    <row r="3631" spans="1:123" x14ac:dyDescent="0.3">
      <c r="A3631" t="str">
        <f>"10/04/2022 19:35:19.323"</f>
        <v>10/04/2022 19:35:19.323</v>
      </c>
      <c r="C3631" t="str">
        <f t="shared" si="1330"/>
        <v>FFDFD3C0</v>
      </c>
      <c r="D3631" t="s">
        <v>123</v>
      </c>
      <c r="E3631">
        <v>7</v>
      </c>
      <c r="F3631">
        <v>2007</v>
      </c>
      <c r="G3631" t="s">
        <v>124</v>
      </c>
      <c r="J3631" t="s">
        <v>125</v>
      </c>
      <c r="K3631">
        <v>0</v>
      </c>
      <c r="L3631">
        <v>3</v>
      </c>
      <c r="M3631">
        <v>0</v>
      </c>
      <c r="N3631">
        <v>2</v>
      </c>
      <c r="O3631">
        <v>0</v>
      </c>
      <c r="P3631">
        <v>1</v>
      </c>
      <c r="Q3631">
        <v>0</v>
      </c>
      <c r="S3631" t="str">
        <f t="shared" si="1331"/>
        <v>19:35:19.000</v>
      </c>
      <c r="T3631" t="str">
        <f t="shared" si="1331"/>
        <v>19:35:19.000</v>
      </c>
      <c r="U3631" t="str">
        <f t="shared" si="1311"/>
        <v>AC3944</v>
      </c>
      <c r="V3631">
        <v>0</v>
      </c>
      <c r="W3631">
        <v>0</v>
      </c>
      <c r="X3631">
        <v>2</v>
      </c>
      <c r="Y3631">
        <v>0</v>
      </c>
      <c r="AA3631">
        <v>1</v>
      </c>
      <c r="AB3631">
        <v>8</v>
      </c>
      <c r="AC3631">
        <v>3</v>
      </c>
      <c r="AD3631">
        <v>0</v>
      </c>
      <c r="AE3631">
        <v>9</v>
      </c>
      <c r="AF3631" t="s">
        <v>138</v>
      </c>
      <c r="AG3631">
        <v>0</v>
      </c>
      <c r="AH3631">
        <v>3</v>
      </c>
      <c r="AI3631">
        <v>1</v>
      </c>
      <c r="AJ3631">
        <v>0</v>
      </c>
      <c r="AK3631" t="s">
        <v>1187</v>
      </c>
      <c r="AL3631">
        <v>32.736254000000002</v>
      </c>
      <c r="AM3631" t="s">
        <v>1188</v>
      </c>
      <c r="AN3631">
        <v>-116.722677</v>
      </c>
      <c r="AO3631">
        <v>25</v>
      </c>
      <c r="AP3631">
        <v>4500</v>
      </c>
      <c r="AQ3631" t="s">
        <v>129</v>
      </c>
      <c r="AR3631">
        <v>119</v>
      </c>
      <c r="AS3631">
        <v>19</v>
      </c>
      <c r="AT3631">
        <v>512</v>
      </c>
      <c r="BB3631">
        <v>1200</v>
      </c>
      <c r="BC3631">
        <v>1</v>
      </c>
      <c r="BD3631" t="str">
        <f t="shared" si="1312"/>
        <v xml:space="preserve">N887QR  </v>
      </c>
      <c r="BE3631">
        <v>1</v>
      </c>
      <c r="BG3631">
        <v>0</v>
      </c>
      <c r="BH3631">
        <v>0</v>
      </c>
      <c r="BI3631">
        <v>0</v>
      </c>
      <c r="BJ3631">
        <v>4325</v>
      </c>
      <c r="BK3631">
        <v>-175</v>
      </c>
      <c r="BL3631" t="s">
        <v>163</v>
      </c>
      <c r="BM3631">
        <v>1</v>
      </c>
      <c r="BN3631">
        <v>1</v>
      </c>
      <c r="BO3631">
        <v>1</v>
      </c>
      <c r="BP3631">
        <v>0</v>
      </c>
      <c r="BS3631">
        <v>0.04</v>
      </c>
      <c r="BT3631">
        <v>0</v>
      </c>
      <c r="BU3631">
        <v>0</v>
      </c>
      <c r="CE3631" t="str">
        <f t="shared" si="1332"/>
        <v>19:35:19.052</v>
      </c>
      <c r="CF3631">
        <v>51791214</v>
      </c>
      <c r="CS3631">
        <v>0</v>
      </c>
      <c r="CT3631">
        <v>2</v>
      </c>
      <c r="CU3631">
        <v>0</v>
      </c>
      <c r="CV3631">
        <v>2</v>
      </c>
      <c r="CW3631">
        <v>0</v>
      </c>
      <c r="CX3631">
        <v>5</v>
      </c>
      <c r="CY3631">
        <v>7</v>
      </c>
      <c r="CZ3631" t="s">
        <v>131</v>
      </c>
      <c r="DA3631">
        <v>286</v>
      </c>
      <c r="DB3631">
        <v>0</v>
      </c>
      <c r="DC3631" t="s">
        <v>132</v>
      </c>
      <c r="DD3631" t="s">
        <v>133</v>
      </c>
      <c r="DG3631">
        <v>885513</v>
      </c>
      <c r="DI3631">
        <v>1</v>
      </c>
      <c r="DJ3631">
        <v>0</v>
      </c>
      <c r="DK3631">
        <v>1</v>
      </c>
      <c r="DL3631">
        <v>0</v>
      </c>
      <c r="DM3631">
        <v>0</v>
      </c>
      <c r="DN3631">
        <v>1</v>
      </c>
      <c r="DO3631">
        <v>0</v>
      </c>
      <c r="DP3631">
        <v>0</v>
      </c>
      <c r="DQ3631">
        <v>0</v>
      </c>
      <c r="DR3631">
        <v>0</v>
      </c>
      <c r="DS3631">
        <v>0</v>
      </c>
    </row>
    <row r="3632" spans="1:123" x14ac:dyDescent="0.3">
      <c r="A3632" t="str">
        <f>"10/04/2022 19:35:19.323"</f>
        <v>10/04/2022 19:35:19.323</v>
      </c>
      <c r="C3632" t="str">
        <f t="shared" si="1330"/>
        <v>FFDFD3C0</v>
      </c>
      <c r="D3632" t="s">
        <v>147</v>
      </c>
      <c r="E3632">
        <v>3</v>
      </c>
      <c r="H3632">
        <v>166</v>
      </c>
      <c r="I3632" t="s">
        <v>144</v>
      </c>
      <c r="J3632" t="s">
        <v>148</v>
      </c>
      <c r="K3632">
        <v>0</v>
      </c>
      <c r="L3632">
        <v>3</v>
      </c>
      <c r="M3632">
        <v>0</v>
      </c>
      <c r="N3632">
        <v>2</v>
      </c>
      <c r="O3632">
        <v>0</v>
      </c>
      <c r="P3632">
        <v>1</v>
      </c>
      <c r="Q3632">
        <v>0</v>
      </c>
      <c r="S3632" t="str">
        <f t="shared" si="1331"/>
        <v>19:35:19.000</v>
      </c>
      <c r="T3632" t="str">
        <f t="shared" si="1331"/>
        <v>19:35:19.000</v>
      </c>
      <c r="U3632" t="str">
        <f t="shared" si="1311"/>
        <v>AC3944</v>
      </c>
      <c r="V3632">
        <v>0</v>
      </c>
      <c r="W3632">
        <v>0</v>
      </c>
      <c r="X3632">
        <v>2</v>
      </c>
      <c r="Y3632">
        <v>0</v>
      </c>
      <c r="AA3632">
        <v>1</v>
      </c>
      <c r="AB3632">
        <v>8</v>
      </c>
      <c r="AC3632">
        <v>3</v>
      </c>
      <c r="AD3632">
        <v>0</v>
      </c>
      <c r="AE3632">
        <v>9</v>
      </c>
      <c r="AF3632" t="s">
        <v>138</v>
      </c>
      <c r="AG3632">
        <v>0</v>
      </c>
      <c r="AH3632">
        <v>3</v>
      </c>
      <c r="AI3632">
        <v>1</v>
      </c>
      <c r="AJ3632">
        <v>0</v>
      </c>
      <c r="AK3632" t="s">
        <v>1187</v>
      </c>
      <c r="AL3632">
        <v>32.736254000000002</v>
      </c>
      <c r="AM3632" t="s">
        <v>1188</v>
      </c>
      <c r="AN3632">
        <v>-116.722677</v>
      </c>
      <c r="AO3632">
        <v>25</v>
      </c>
      <c r="AP3632">
        <v>4500</v>
      </c>
      <c r="AQ3632" t="s">
        <v>129</v>
      </c>
      <c r="AR3632">
        <v>119</v>
      </c>
      <c r="AS3632">
        <v>19</v>
      </c>
      <c r="AT3632">
        <v>512</v>
      </c>
      <c r="BB3632">
        <v>1200</v>
      </c>
      <c r="BC3632">
        <v>1</v>
      </c>
      <c r="BD3632" t="str">
        <f t="shared" si="1312"/>
        <v xml:space="preserve">N887QR  </v>
      </c>
      <c r="BE3632">
        <v>1</v>
      </c>
      <c r="BG3632">
        <v>0</v>
      </c>
      <c r="BH3632">
        <v>0</v>
      </c>
      <c r="BI3632">
        <v>0</v>
      </c>
      <c r="BJ3632">
        <v>4325</v>
      </c>
      <c r="BK3632">
        <v>-175</v>
      </c>
      <c r="BL3632" t="s">
        <v>163</v>
      </c>
      <c r="BM3632">
        <v>1</v>
      </c>
      <c r="BN3632">
        <v>1</v>
      </c>
      <c r="BO3632">
        <v>1</v>
      </c>
      <c r="BP3632">
        <v>0</v>
      </c>
      <c r="BS3632">
        <v>0.04</v>
      </c>
      <c r="BT3632">
        <v>0</v>
      </c>
      <c r="BU3632">
        <v>0</v>
      </c>
      <c r="CE3632" t="str">
        <f t="shared" si="1332"/>
        <v>19:35:19.052</v>
      </c>
      <c r="CF3632">
        <v>51791214</v>
      </c>
      <c r="CS3632">
        <v>0</v>
      </c>
      <c r="CT3632">
        <v>2</v>
      </c>
      <c r="CU3632">
        <v>0</v>
      </c>
      <c r="CV3632">
        <v>2</v>
      </c>
      <c r="CW3632">
        <v>0</v>
      </c>
      <c r="CX3632">
        <v>5</v>
      </c>
      <c r="CY3632">
        <v>7</v>
      </c>
      <c r="CZ3632" t="s">
        <v>131</v>
      </c>
      <c r="DA3632">
        <v>286</v>
      </c>
      <c r="DB3632">
        <v>0</v>
      </c>
      <c r="DC3632" t="s">
        <v>132</v>
      </c>
      <c r="DD3632" t="s">
        <v>133</v>
      </c>
      <c r="DG3632">
        <v>885513</v>
      </c>
      <c r="DI3632">
        <v>1</v>
      </c>
      <c r="DJ3632">
        <v>0</v>
      </c>
      <c r="DK3632">
        <v>1</v>
      </c>
      <c r="DL3632">
        <v>0</v>
      </c>
      <c r="DM3632">
        <v>0</v>
      </c>
      <c r="DN3632">
        <v>1</v>
      </c>
      <c r="DO3632">
        <v>0</v>
      </c>
      <c r="DP3632">
        <v>0</v>
      </c>
      <c r="DQ3632">
        <v>0</v>
      </c>
      <c r="DR3632">
        <v>0</v>
      </c>
      <c r="DS3632">
        <v>0</v>
      </c>
    </row>
    <row r="3633" spans="1:123" x14ac:dyDescent="0.3">
      <c r="A3633" t="str">
        <f>"10/04/2022 19:35:19.323"</f>
        <v>10/04/2022 19:35:19.323</v>
      </c>
      <c r="C3633" t="str">
        <f t="shared" si="1330"/>
        <v>FFDFD3C0</v>
      </c>
      <c r="D3633" t="s">
        <v>136</v>
      </c>
      <c r="E3633">
        <v>8</v>
      </c>
      <c r="H3633">
        <v>225</v>
      </c>
      <c r="I3633" t="s">
        <v>137</v>
      </c>
      <c r="J3633" t="s">
        <v>138</v>
      </c>
      <c r="K3633">
        <v>0</v>
      </c>
      <c r="L3633">
        <v>3</v>
      </c>
      <c r="M3633">
        <v>0</v>
      </c>
      <c r="N3633">
        <v>2</v>
      </c>
      <c r="O3633">
        <v>0</v>
      </c>
      <c r="P3633">
        <v>1</v>
      </c>
      <c r="Q3633">
        <v>0</v>
      </c>
      <c r="S3633" t="str">
        <f t="shared" si="1331"/>
        <v>19:35:19.000</v>
      </c>
      <c r="T3633" t="str">
        <f t="shared" si="1331"/>
        <v>19:35:19.000</v>
      </c>
      <c r="U3633" t="str">
        <f t="shared" si="1311"/>
        <v>AC3944</v>
      </c>
      <c r="V3633">
        <v>0</v>
      </c>
      <c r="W3633">
        <v>0</v>
      </c>
      <c r="X3633">
        <v>2</v>
      </c>
      <c r="Y3633">
        <v>0</v>
      </c>
      <c r="AA3633">
        <v>1</v>
      </c>
      <c r="AB3633">
        <v>8</v>
      </c>
      <c r="AC3633">
        <v>3</v>
      </c>
      <c r="AD3633">
        <v>0</v>
      </c>
      <c r="AE3633">
        <v>9</v>
      </c>
      <c r="AF3633" t="s">
        <v>138</v>
      </c>
      <c r="AG3633">
        <v>0</v>
      </c>
      <c r="AH3633">
        <v>3</v>
      </c>
      <c r="AI3633">
        <v>1</v>
      </c>
      <c r="AJ3633">
        <v>0</v>
      </c>
      <c r="AK3633" t="s">
        <v>1187</v>
      </c>
      <c r="AL3633">
        <v>32.736254000000002</v>
      </c>
      <c r="AM3633" t="s">
        <v>1188</v>
      </c>
      <c r="AN3633">
        <v>-116.722677</v>
      </c>
      <c r="AO3633">
        <v>25</v>
      </c>
      <c r="AP3633">
        <v>4500</v>
      </c>
      <c r="AQ3633" t="s">
        <v>129</v>
      </c>
      <c r="AR3633">
        <v>119</v>
      </c>
      <c r="AS3633">
        <v>19</v>
      </c>
      <c r="AT3633">
        <v>512</v>
      </c>
      <c r="BB3633">
        <v>1200</v>
      </c>
      <c r="BC3633">
        <v>1</v>
      </c>
      <c r="BD3633" t="str">
        <f t="shared" si="1312"/>
        <v xml:space="preserve">N887QR  </v>
      </c>
      <c r="BE3633">
        <v>1</v>
      </c>
      <c r="BG3633">
        <v>0</v>
      </c>
      <c r="BH3633">
        <v>0</v>
      </c>
      <c r="BI3633">
        <v>0</v>
      </c>
      <c r="BJ3633">
        <v>4325</v>
      </c>
      <c r="BK3633">
        <v>-175</v>
      </c>
      <c r="BL3633" t="s">
        <v>163</v>
      </c>
      <c r="BM3633">
        <v>1</v>
      </c>
      <c r="BN3633">
        <v>1</v>
      </c>
      <c r="BO3633">
        <v>1</v>
      </c>
      <c r="BP3633">
        <v>0</v>
      </c>
      <c r="BS3633">
        <v>0.04</v>
      </c>
      <c r="BT3633">
        <v>0</v>
      </c>
      <c r="BU3633">
        <v>0</v>
      </c>
      <c r="CE3633" t="str">
        <f t="shared" si="1332"/>
        <v>19:35:19.052</v>
      </c>
      <c r="CF3633">
        <v>51791214</v>
      </c>
      <c r="CS3633">
        <v>0</v>
      </c>
      <c r="CT3633">
        <v>2</v>
      </c>
      <c r="CU3633">
        <v>0</v>
      </c>
      <c r="CV3633">
        <v>2</v>
      </c>
      <c r="CW3633">
        <v>0</v>
      </c>
      <c r="CX3633">
        <v>5</v>
      </c>
      <c r="CY3633">
        <v>7</v>
      </c>
      <c r="CZ3633" t="s">
        <v>131</v>
      </c>
      <c r="DA3633">
        <v>286</v>
      </c>
      <c r="DB3633">
        <v>0</v>
      </c>
      <c r="DC3633" t="s">
        <v>132</v>
      </c>
      <c r="DD3633" t="s">
        <v>133</v>
      </c>
      <c r="DG3633">
        <v>885513</v>
      </c>
      <c r="DI3633">
        <v>1</v>
      </c>
      <c r="DJ3633">
        <v>0</v>
      </c>
      <c r="DK3633">
        <v>1</v>
      </c>
      <c r="DL3633">
        <v>0</v>
      </c>
      <c r="DM3633">
        <v>0</v>
      </c>
      <c r="DN3633">
        <v>1</v>
      </c>
      <c r="DO3633">
        <v>0</v>
      </c>
      <c r="DP3633">
        <v>0</v>
      </c>
      <c r="DQ3633">
        <v>0</v>
      </c>
      <c r="DR3633">
        <v>0</v>
      </c>
      <c r="DS3633">
        <v>0</v>
      </c>
    </row>
    <row r="3634" spans="1:123" x14ac:dyDescent="0.3">
      <c r="A3634" t="str">
        <f>"10/04/2022 19:35:19.370"</f>
        <v>10/04/2022 19:35:19.370</v>
      </c>
      <c r="C3634" t="str">
        <f t="shared" si="1330"/>
        <v>FFDFD3C0</v>
      </c>
      <c r="D3634" t="s">
        <v>141</v>
      </c>
      <c r="E3634">
        <v>3</v>
      </c>
      <c r="H3634">
        <v>3</v>
      </c>
      <c r="I3634" t="s">
        <v>146</v>
      </c>
      <c r="J3634" t="s">
        <v>138</v>
      </c>
      <c r="K3634">
        <v>0</v>
      </c>
      <c r="L3634">
        <v>3</v>
      </c>
      <c r="M3634">
        <v>0</v>
      </c>
      <c r="N3634">
        <v>2</v>
      </c>
      <c r="O3634">
        <v>0</v>
      </c>
      <c r="P3634">
        <v>1</v>
      </c>
      <c r="Q3634">
        <v>0</v>
      </c>
      <c r="S3634" t="str">
        <f t="shared" si="1331"/>
        <v>19:35:19.000</v>
      </c>
      <c r="T3634" t="str">
        <f t="shared" si="1331"/>
        <v>19:35:19.000</v>
      </c>
      <c r="U3634" t="str">
        <f t="shared" si="1311"/>
        <v>AC3944</v>
      </c>
      <c r="V3634">
        <v>0</v>
      </c>
      <c r="W3634">
        <v>0</v>
      </c>
      <c r="X3634">
        <v>2</v>
      </c>
      <c r="Y3634">
        <v>0</v>
      </c>
      <c r="AA3634">
        <v>1</v>
      </c>
      <c r="AB3634">
        <v>8</v>
      </c>
      <c r="AC3634">
        <v>3</v>
      </c>
      <c r="AD3634">
        <v>0</v>
      </c>
      <c r="AE3634">
        <v>9</v>
      </c>
      <c r="AF3634" t="s">
        <v>138</v>
      </c>
      <c r="AG3634">
        <v>0</v>
      </c>
      <c r="AH3634">
        <v>3</v>
      </c>
      <c r="AI3634">
        <v>1</v>
      </c>
      <c r="AJ3634">
        <v>0</v>
      </c>
      <c r="AK3634" t="s">
        <v>1187</v>
      </c>
      <c r="AL3634">
        <v>32.736254000000002</v>
      </c>
      <c r="AM3634" t="s">
        <v>1188</v>
      </c>
      <c r="AN3634">
        <v>-116.722677</v>
      </c>
      <c r="AO3634">
        <v>25</v>
      </c>
      <c r="AP3634">
        <v>4500</v>
      </c>
      <c r="AQ3634" t="s">
        <v>129</v>
      </c>
      <c r="AR3634">
        <v>119</v>
      </c>
      <c r="AS3634">
        <v>19</v>
      </c>
      <c r="AT3634">
        <v>512</v>
      </c>
      <c r="BB3634">
        <v>1200</v>
      </c>
      <c r="BC3634">
        <v>1</v>
      </c>
      <c r="BD3634" t="str">
        <f t="shared" si="1312"/>
        <v xml:space="preserve">N887QR  </v>
      </c>
      <c r="BE3634">
        <v>1</v>
      </c>
      <c r="BG3634">
        <v>0</v>
      </c>
      <c r="BH3634">
        <v>0</v>
      </c>
      <c r="BI3634">
        <v>0</v>
      </c>
      <c r="BJ3634">
        <v>4325</v>
      </c>
      <c r="BK3634">
        <v>-175</v>
      </c>
      <c r="BL3634" t="s">
        <v>163</v>
      </c>
      <c r="BM3634">
        <v>1</v>
      </c>
      <c r="BN3634">
        <v>1</v>
      </c>
      <c r="BO3634">
        <v>1</v>
      </c>
      <c r="BP3634">
        <v>0</v>
      </c>
      <c r="BS3634">
        <v>0.04</v>
      </c>
      <c r="BT3634">
        <v>0</v>
      </c>
      <c r="BU3634">
        <v>0</v>
      </c>
      <c r="CE3634" t="str">
        <f t="shared" si="1332"/>
        <v>19:35:19.052</v>
      </c>
      <c r="CF3634">
        <v>51791214</v>
      </c>
      <c r="CS3634">
        <v>0</v>
      </c>
      <c r="CT3634">
        <v>2</v>
      </c>
      <c r="CU3634">
        <v>0</v>
      </c>
      <c r="CV3634">
        <v>2</v>
      </c>
      <c r="CW3634">
        <v>0</v>
      </c>
      <c r="CX3634">
        <v>5</v>
      </c>
      <c r="CY3634">
        <v>7</v>
      </c>
      <c r="CZ3634" t="s">
        <v>131</v>
      </c>
      <c r="DA3634">
        <v>286</v>
      </c>
      <c r="DB3634">
        <v>0</v>
      </c>
      <c r="DC3634" t="s">
        <v>132</v>
      </c>
      <c r="DD3634" t="s">
        <v>133</v>
      </c>
      <c r="DG3634">
        <v>885513</v>
      </c>
      <c r="DI3634">
        <v>1</v>
      </c>
      <c r="DJ3634">
        <v>0</v>
      </c>
      <c r="DK3634">
        <v>1</v>
      </c>
      <c r="DL3634">
        <v>0</v>
      </c>
      <c r="DM3634">
        <v>0</v>
      </c>
      <c r="DN3634">
        <v>1</v>
      </c>
      <c r="DO3634">
        <v>0</v>
      </c>
      <c r="DP3634">
        <v>0</v>
      </c>
      <c r="DQ3634">
        <v>0</v>
      </c>
      <c r="DR3634">
        <v>0</v>
      </c>
      <c r="DS3634">
        <v>0</v>
      </c>
    </row>
    <row r="3635" spans="1:123" x14ac:dyDescent="0.3">
      <c r="A3635" t="str">
        <f t="shared" ref="A3635:A3641" si="1333">"10/04/2022 19:35:20.652"</f>
        <v>10/04/2022 19:35:20.652</v>
      </c>
      <c r="C3635" t="str">
        <f t="shared" si="1330"/>
        <v>FFDFD3C0</v>
      </c>
      <c r="D3635" t="s">
        <v>123</v>
      </c>
      <c r="E3635">
        <v>7</v>
      </c>
      <c r="F3635">
        <v>2007</v>
      </c>
      <c r="G3635" t="s">
        <v>124</v>
      </c>
      <c r="J3635" t="s">
        <v>125</v>
      </c>
      <c r="K3635">
        <v>0</v>
      </c>
      <c r="L3635">
        <v>3</v>
      </c>
      <c r="M3635">
        <v>0</v>
      </c>
      <c r="N3635">
        <v>2</v>
      </c>
      <c r="O3635">
        <v>0</v>
      </c>
      <c r="P3635">
        <v>1</v>
      </c>
      <c r="Q3635">
        <v>0</v>
      </c>
      <c r="S3635" t="str">
        <f t="shared" ref="S3635:T3648" si="1334">"19:35:20.000"</f>
        <v>19:35:20.000</v>
      </c>
      <c r="T3635" t="str">
        <f t="shared" si="1334"/>
        <v>19:35:20.000</v>
      </c>
      <c r="U3635" t="str">
        <f t="shared" si="1311"/>
        <v>AC3944</v>
      </c>
      <c r="V3635">
        <v>0</v>
      </c>
      <c r="W3635">
        <v>0</v>
      </c>
      <c r="X3635">
        <v>2</v>
      </c>
      <c r="Y3635">
        <v>0</v>
      </c>
      <c r="AA3635">
        <v>1</v>
      </c>
      <c r="AB3635">
        <v>8</v>
      </c>
      <c r="AC3635">
        <v>3</v>
      </c>
      <c r="AD3635">
        <v>0</v>
      </c>
      <c r="AE3635">
        <v>9</v>
      </c>
      <c r="AF3635" t="s">
        <v>138</v>
      </c>
      <c r="AG3635">
        <v>0</v>
      </c>
      <c r="AH3635">
        <v>3</v>
      </c>
      <c r="AI3635">
        <v>1</v>
      </c>
      <c r="AJ3635">
        <v>0</v>
      </c>
      <c r="AK3635" t="s">
        <v>1189</v>
      </c>
      <c r="AL3635">
        <v>32.736361000000002</v>
      </c>
      <c r="AM3635" t="s">
        <v>1190</v>
      </c>
      <c r="AN3635">
        <v>-116.72188300000001</v>
      </c>
      <c r="AO3635">
        <v>25</v>
      </c>
      <c r="AP3635">
        <v>4500</v>
      </c>
      <c r="AQ3635" t="s">
        <v>129</v>
      </c>
      <c r="AR3635">
        <v>120</v>
      </c>
      <c r="AS3635">
        <v>19</v>
      </c>
      <c r="AT3635">
        <v>512</v>
      </c>
      <c r="BB3635">
        <v>1200</v>
      </c>
      <c r="BC3635">
        <v>1</v>
      </c>
      <c r="BD3635" t="str">
        <f t="shared" si="1312"/>
        <v xml:space="preserve">N887QR  </v>
      </c>
      <c r="BE3635">
        <v>1</v>
      </c>
      <c r="BG3635">
        <v>0</v>
      </c>
      <c r="BH3635">
        <v>0</v>
      </c>
      <c r="BI3635">
        <v>0</v>
      </c>
      <c r="BJ3635">
        <v>4325</v>
      </c>
      <c r="BK3635">
        <v>-175</v>
      </c>
      <c r="BL3635" t="s">
        <v>163</v>
      </c>
      <c r="BM3635">
        <v>1</v>
      </c>
      <c r="BN3635">
        <v>1</v>
      </c>
      <c r="BO3635">
        <v>1</v>
      </c>
      <c r="BP3635">
        <v>0</v>
      </c>
      <c r="BS3635">
        <v>0</v>
      </c>
      <c r="BT3635">
        <v>0</v>
      </c>
      <c r="BU3635">
        <v>0</v>
      </c>
      <c r="CE3635" t="str">
        <f t="shared" ref="CE3635:CE3641" si="1335">"19:35:20.439"</f>
        <v>19:35:20.439</v>
      </c>
      <c r="CF3635">
        <v>439295849</v>
      </c>
      <c r="CS3635">
        <v>0</v>
      </c>
      <c r="CT3635">
        <v>2</v>
      </c>
      <c r="CU3635">
        <v>0</v>
      </c>
      <c r="CV3635">
        <v>2</v>
      </c>
      <c r="CW3635">
        <v>0</v>
      </c>
      <c r="CX3635">
        <v>5</v>
      </c>
      <c r="CY3635">
        <v>7</v>
      </c>
      <c r="CZ3635" t="s">
        <v>131</v>
      </c>
      <c r="DA3635">
        <v>286</v>
      </c>
      <c r="DB3635">
        <v>0</v>
      </c>
      <c r="DC3635" t="s">
        <v>132</v>
      </c>
      <c r="DD3635" t="s">
        <v>133</v>
      </c>
      <c r="DG3635">
        <v>885794</v>
      </c>
      <c r="DI3635">
        <v>1</v>
      </c>
      <c r="DJ3635">
        <v>0</v>
      </c>
      <c r="DK3635">
        <v>0</v>
      </c>
      <c r="DL3635">
        <v>0</v>
      </c>
      <c r="DM3635">
        <v>0</v>
      </c>
      <c r="DN3635">
        <v>1</v>
      </c>
      <c r="DO3635">
        <v>0</v>
      </c>
      <c r="DP3635">
        <v>0</v>
      </c>
      <c r="DQ3635">
        <v>0</v>
      </c>
      <c r="DR3635">
        <v>0</v>
      </c>
      <c r="DS3635">
        <v>0</v>
      </c>
    </row>
    <row r="3636" spans="1:123" x14ac:dyDescent="0.3">
      <c r="A3636" t="str">
        <f t="shared" si="1333"/>
        <v>10/04/2022 19:35:20.652</v>
      </c>
      <c r="C3636" t="str">
        <f t="shared" si="1330"/>
        <v>FFDFD3C0</v>
      </c>
      <c r="D3636" t="s">
        <v>136</v>
      </c>
      <c r="E3636">
        <v>8</v>
      </c>
      <c r="H3636">
        <v>225</v>
      </c>
      <c r="I3636" t="s">
        <v>137</v>
      </c>
      <c r="J3636" t="s">
        <v>138</v>
      </c>
      <c r="K3636">
        <v>0</v>
      </c>
      <c r="L3636">
        <v>3</v>
      </c>
      <c r="M3636">
        <v>0</v>
      </c>
      <c r="N3636">
        <v>2</v>
      </c>
      <c r="O3636">
        <v>0</v>
      </c>
      <c r="P3636">
        <v>1</v>
      </c>
      <c r="Q3636">
        <v>0</v>
      </c>
      <c r="S3636" t="str">
        <f t="shared" si="1334"/>
        <v>19:35:20.000</v>
      </c>
      <c r="T3636" t="str">
        <f t="shared" si="1334"/>
        <v>19:35:20.000</v>
      </c>
      <c r="U3636" t="str">
        <f t="shared" si="1311"/>
        <v>AC3944</v>
      </c>
      <c r="V3636">
        <v>0</v>
      </c>
      <c r="W3636">
        <v>0</v>
      </c>
      <c r="X3636">
        <v>2</v>
      </c>
      <c r="Y3636">
        <v>0</v>
      </c>
      <c r="AA3636">
        <v>1</v>
      </c>
      <c r="AB3636">
        <v>8</v>
      </c>
      <c r="AC3636">
        <v>3</v>
      </c>
      <c r="AD3636">
        <v>0</v>
      </c>
      <c r="AE3636">
        <v>9</v>
      </c>
      <c r="AF3636" t="s">
        <v>138</v>
      </c>
      <c r="AG3636">
        <v>0</v>
      </c>
      <c r="AH3636">
        <v>3</v>
      </c>
      <c r="AI3636">
        <v>1</v>
      </c>
      <c r="AJ3636">
        <v>0</v>
      </c>
      <c r="AK3636" t="s">
        <v>1189</v>
      </c>
      <c r="AL3636">
        <v>32.736361000000002</v>
      </c>
      <c r="AM3636" t="s">
        <v>1190</v>
      </c>
      <c r="AN3636">
        <v>-116.72188300000001</v>
      </c>
      <c r="AO3636">
        <v>25</v>
      </c>
      <c r="AP3636">
        <v>4500</v>
      </c>
      <c r="AQ3636" t="s">
        <v>129</v>
      </c>
      <c r="AR3636">
        <v>120</v>
      </c>
      <c r="AS3636">
        <v>19</v>
      </c>
      <c r="AT3636">
        <v>512</v>
      </c>
      <c r="BB3636">
        <v>1200</v>
      </c>
      <c r="BC3636">
        <v>1</v>
      </c>
      <c r="BD3636" t="str">
        <f t="shared" si="1312"/>
        <v xml:space="preserve">N887QR  </v>
      </c>
      <c r="BE3636">
        <v>1</v>
      </c>
      <c r="BG3636">
        <v>0</v>
      </c>
      <c r="BH3636">
        <v>0</v>
      </c>
      <c r="BI3636">
        <v>0</v>
      </c>
      <c r="BJ3636">
        <v>4325</v>
      </c>
      <c r="BK3636">
        <v>-175</v>
      </c>
      <c r="BL3636" t="s">
        <v>163</v>
      </c>
      <c r="BM3636">
        <v>1</v>
      </c>
      <c r="BN3636">
        <v>1</v>
      </c>
      <c r="BO3636">
        <v>1</v>
      </c>
      <c r="BP3636">
        <v>0</v>
      </c>
      <c r="BS3636">
        <v>0</v>
      </c>
      <c r="BT3636">
        <v>0</v>
      </c>
      <c r="BU3636">
        <v>0</v>
      </c>
      <c r="CE3636" t="str">
        <f t="shared" si="1335"/>
        <v>19:35:20.439</v>
      </c>
      <c r="CF3636">
        <v>439295849</v>
      </c>
      <c r="CS3636">
        <v>0</v>
      </c>
      <c r="CT3636">
        <v>2</v>
      </c>
      <c r="CU3636">
        <v>0</v>
      </c>
      <c r="CV3636">
        <v>2</v>
      </c>
      <c r="CW3636">
        <v>0</v>
      </c>
      <c r="CX3636">
        <v>5</v>
      </c>
      <c r="CY3636">
        <v>7</v>
      </c>
      <c r="CZ3636" t="s">
        <v>131</v>
      </c>
      <c r="DA3636">
        <v>286</v>
      </c>
      <c r="DB3636">
        <v>0</v>
      </c>
      <c r="DC3636" t="s">
        <v>132</v>
      </c>
      <c r="DD3636" t="s">
        <v>133</v>
      </c>
      <c r="DG3636">
        <v>885794</v>
      </c>
      <c r="DI3636">
        <v>1</v>
      </c>
      <c r="DJ3636">
        <v>0</v>
      </c>
      <c r="DK3636">
        <v>1</v>
      </c>
      <c r="DL3636">
        <v>0</v>
      </c>
      <c r="DM3636">
        <v>0</v>
      </c>
      <c r="DN3636">
        <v>1</v>
      </c>
      <c r="DO3636">
        <v>0</v>
      </c>
      <c r="DP3636">
        <v>0</v>
      </c>
      <c r="DQ3636">
        <v>0</v>
      </c>
      <c r="DR3636">
        <v>0</v>
      </c>
      <c r="DS3636">
        <v>0</v>
      </c>
    </row>
    <row r="3637" spans="1:123" x14ac:dyDescent="0.3">
      <c r="A3637" t="str">
        <f t="shared" si="1333"/>
        <v>10/04/2022 19:35:20.652</v>
      </c>
      <c r="C3637" t="str">
        <f t="shared" si="1330"/>
        <v>FFDFD3C0</v>
      </c>
      <c r="D3637" t="s">
        <v>147</v>
      </c>
      <c r="E3637">
        <v>3</v>
      </c>
      <c r="H3637">
        <v>166</v>
      </c>
      <c r="I3637" t="s">
        <v>144</v>
      </c>
      <c r="J3637" t="s">
        <v>148</v>
      </c>
      <c r="K3637">
        <v>0</v>
      </c>
      <c r="L3637">
        <v>3</v>
      </c>
      <c r="M3637">
        <v>0</v>
      </c>
      <c r="N3637">
        <v>2</v>
      </c>
      <c r="O3637">
        <v>0</v>
      </c>
      <c r="P3637">
        <v>1</v>
      </c>
      <c r="Q3637">
        <v>0</v>
      </c>
      <c r="S3637" t="str">
        <f t="shared" si="1334"/>
        <v>19:35:20.000</v>
      </c>
      <c r="T3637" t="str">
        <f t="shared" si="1334"/>
        <v>19:35:20.000</v>
      </c>
      <c r="U3637" t="str">
        <f t="shared" si="1311"/>
        <v>AC3944</v>
      </c>
      <c r="V3637">
        <v>0</v>
      </c>
      <c r="W3637">
        <v>0</v>
      </c>
      <c r="X3637">
        <v>2</v>
      </c>
      <c r="Y3637">
        <v>0</v>
      </c>
      <c r="AA3637">
        <v>1</v>
      </c>
      <c r="AB3637">
        <v>8</v>
      </c>
      <c r="AC3637">
        <v>3</v>
      </c>
      <c r="AD3637">
        <v>0</v>
      </c>
      <c r="AE3637">
        <v>9</v>
      </c>
      <c r="AF3637" t="s">
        <v>138</v>
      </c>
      <c r="AG3637">
        <v>0</v>
      </c>
      <c r="AH3637">
        <v>3</v>
      </c>
      <c r="AI3637">
        <v>1</v>
      </c>
      <c r="AJ3637">
        <v>0</v>
      </c>
      <c r="AK3637" t="s">
        <v>1189</v>
      </c>
      <c r="AL3637">
        <v>32.736361000000002</v>
      </c>
      <c r="AM3637" t="s">
        <v>1190</v>
      </c>
      <c r="AN3637">
        <v>-116.72188300000001</v>
      </c>
      <c r="AO3637">
        <v>25</v>
      </c>
      <c r="AP3637">
        <v>4500</v>
      </c>
      <c r="AQ3637" t="s">
        <v>129</v>
      </c>
      <c r="AR3637">
        <v>120</v>
      </c>
      <c r="AS3637">
        <v>19</v>
      </c>
      <c r="AT3637">
        <v>512</v>
      </c>
      <c r="BB3637">
        <v>1200</v>
      </c>
      <c r="BC3637">
        <v>1</v>
      </c>
      <c r="BD3637" t="str">
        <f t="shared" si="1312"/>
        <v xml:space="preserve">N887QR  </v>
      </c>
      <c r="BE3637">
        <v>1</v>
      </c>
      <c r="BG3637">
        <v>0</v>
      </c>
      <c r="BH3637">
        <v>0</v>
      </c>
      <c r="BI3637">
        <v>0</v>
      </c>
      <c r="BJ3637">
        <v>4325</v>
      </c>
      <c r="BK3637">
        <v>-175</v>
      </c>
      <c r="BL3637" t="s">
        <v>163</v>
      </c>
      <c r="BM3637">
        <v>1</v>
      </c>
      <c r="BN3637">
        <v>1</v>
      </c>
      <c r="BO3637">
        <v>1</v>
      </c>
      <c r="BP3637">
        <v>0</v>
      </c>
      <c r="BS3637">
        <v>0</v>
      </c>
      <c r="BT3637">
        <v>0</v>
      </c>
      <c r="BU3637">
        <v>0</v>
      </c>
      <c r="CE3637" t="str">
        <f t="shared" si="1335"/>
        <v>19:35:20.439</v>
      </c>
      <c r="CF3637">
        <v>439295849</v>
      </c>
      <c r="CS3637">
        <v>0</v>
      </c>
      <c r="CT3637">
        <v>2</v>
      </c>
      <c r="CU3637">
        <v>0</v>
      </c>
      <c r="CV3637">
        <v>2</v>
      </c>
      <c r="CW3637">
        <v>0</v>
      </c>
      <c r="CX3637">
        <v>5</v>
      </c>
      <c r="CY3637">
        <v>7</v>
      </c>
      <c r="CZ3637" t="s">
        <v>131</v>
      </c>
      <c r="DA3637">
        <v>286</v>
      </c>
      <c r="DB3637">
        <v>0</v>
      </c>
      <c r="DC3637" t="s">
        <v>132</v>
      </c>
      <c r="DD3637" t="s">
        <v>133</v>
      </c>
      <c r="DG3637">
        <v>885794</v>
      </c>
      <c r="DI3637">
        <v>1</v>
      </c>
      <c r="DJ3637">
        <v>0</v>
      </c>
      <c r="DK3637">
        <v>1</v>
      </c>
      <c r="DL3637">
        <v>0</v>
      </c>
      <c r="DM3637">
        <v>0</v>
      </c>
      <c r="DN3637">
        <v>1</v>
      </c>
      <c r="DO3637">
        <v>0</v>
      </c>
      <c r="DP3637">
        <v>0</v>
      </c>
      <c r="DQ3637">
        <v>0</v>
      </c>
      <c r="DR3637">
        <v>0</v>
      </c>
      <c r="DS3637">
        <v>0</v>
      </c>
    </row>
    <row r="3638" spans="1:123" x14ac:dyDescent="0.3">
      <c r="A3638" t="str">
        <f t="shared" si="1333"/>
        <v>10/04/2022 19:35:20.652</v>
      </c>
      <c r="C3638" t="str">
        <f t="shared" si="1330"/>
        <v>FFDFD3C0</v>
      </c>
      <c r="D3638" t="s">
        <v>141</v>
      </c>
      <c r="E3638">
        <v>3</v>
      </c>
      <c r="H3638">
        <v>3</v>
      </c>
      <c r="I3638" t="s">
        <v>146</v>
      </c>
      <c r="J3638" t="s">
        <v>138</v>
      </c>
      <c r="K3638">
        <v>0</v>
      </c>
      <c r="L3638">
        <v>3</v>
      </c>
      <c r="M3638">
        <v>0</v>
      </c>
      <c r="N3638">
        <v>2</v>
      </c>
      <c r="O3638">
        <v>0</v>
      </c>
      <c r="P3638">
        <v>1</v>
      </c>
      <c r="Q3638">
        <v>0</v>
      </c>
      <c r="S3638" t="str">
        <f t="shared" si="1334"/>
        <v>19:35:20.000</v>
      </c>
      <c r="T3638" t="str">
        <f t="shared" si="1334"/>
        <v>19:35:20.000</v>
      </c>
      <c r="U3638" t="str">
        <f t="shared" si="1311"/>
        <v>AC3944</v>
      </c>
      <c r="V3638">
        <v>0</v>
      </c>
      <c r="W3638">
        <v>0</v>
      </c>
      <c r="X3638">
        <v>2</v>
      </c>
      <c r="Y3638">
        <v>0</v>
      </c>
      <c r="AA3638">
        <v>1</v>
      </c>
      <c r="AB3638">
        <v>8</v>
      </c>
      <c r="AC3638">
        <v>3</v>
      </c>
      <c r="AD3638">
        <v>0</v>
      </c>
      <c r="AE3638">
        <v>9</v>
      </c>
      <c r="AF3638" t="s">
        <v>138</v>
      </c>
      <c r="AG3638">
        <v>0</v>
      </c>
      <c r="AH3638">
        <v>3</v>
      </c>
      <c r="AI3638">
        <v>1</v>
      </c>
      <c r="AJ3638">
        <v>0</v>
      </c>
      <c r="AK3638" t="s">
        <v>1189</v>
      </c>
      <c r="AL3638">
        <v>32.736361000000002</v>
      </c>
      <c r="AM3638" t="s">
        <v>1190</v>
      </c>
      <c r="AN3638">
        <v>-116.72188300000001</v>
      </c>
      <c r="AO3638">
        <v>25</v>
      </c>
      <c r="AP3638">
        <v>4500</v>
      </c>
      <c r="AQ3638" t="s">
        <v>129</v>
      </c>
      <c r="AR3638">
        <v>120</v>
      </c>
      <c r="AS3638">
        <v>19</v>
      </c>
      <c r="AT3638">
        <v>512</v>
      </c>
      <c r="BB3638">
        <v>1200</v>
      </c>
      <c r="BC3638">
        <v>1</v>
      </c>
      <c r="BD3638" t="str">
        <f t="shared" si="1312"/>
        <v xml:space="preserve">N887QR  </v>
      </c>
      <c r="BE3638">
        <v>1</v>
      </c>
      <c r="BG3638">
        <v>0</v>
      </c>
      <c r="BH3638">
        <v>0</v>
      </c>
      <c r="BI3638">
        <v>0</v>
      </c>
      <c r="BJ3638">
        <v>4325</v>
      </c>
      <c r="BK3638">
        <v>-175</v>
      </c>
      <c r="BL3638" t="s">
        <v>163</v>
      </c>
      <c r="BM3638">
        <v>1</v>
      </c>
      <c r="BN3638">
        <v>1</v>
      </c>
      <c r="BO3638">
        <v>1</v>
      </c>
      <c r="BP3638">
        <v>0</v>
      </c>
      <c r="BS3638">
        <v>0</v>
      </c>
      <c r="BT3638">
        <v>0</v>
      </c>
      <c r="BU3638">
        <v>0</v>
      </c>
      <c r="CE3638" t="str">
        <f t="shared" si="1335"/>
        <v>19:35:20.439</v>
      </c>
      <c r="CF3638">
        <v>439295849</v>
      </c>
      <c r="CS3638">
        <v>0</v>
      </c>
      <c r="CT3638">
        <v>2</v>
      </c>
      <c r="CU3638">
        <v>0</v>
      </c>
      <c r="CV3638">
        <v>2</v>
      </c>
      <c r="CW3638">
        <v>0</v>
      </c>
      <c r="CX3638">
        <v>5</v>
      </c>
      <c r="CY3638">
        <v>7</v>
      </c>
      <c r="CZ3638" t="s">
        <v>131</v>
      </c>
      <c r="DA3638">
        <v>286</v>
      </c>
      <c r="DB3638">
        <v>0</v>
      </c>
      <c r="DC3638" t="s">
        <v>132</v>
      </c>
      <c r="DD3638" t="s">
        <v>133</v>
      </c>
      <c r="DG3638">
        <v>885794</v>
      </c>
      <c r="DI3638">
        <v>1</v>
      </c>
      <c r="DJ3638">
        <v>0</v>
      </c>
      <c r="DK3638">
        <v>1</v>
      </c>
      <c r="DL3638">
        <v>0</v>
      </c>
      <c r="DM3638">
        <v>0</v>
      </c>
      <c r="DN3638">
        <v>1</v>
      </c>
      <c r="DO3638">
        <v>0</v>
      </c>
      <c r="DP3638">
        <v>0</v>
      </c>
      <c r="DQ3638">
        <v>0</v>
      </c>
      <c r="DR3638">
        <v>0</v>
      </c>
      <c r="DS3638">
        <v>0</v>
      </c>
    </row>
    <row r="3639" spans="1:123" x14ac:dyDescent="0.3">
      <c r="A3639" t="str">
        <f t="shared" si="1333"/>
        <v>10/04/2022 19:35:20.652</v>
      </c>
      <c r="C3639" t="str">
        <f t="shared" si="1330"/>
        <v>FFDFD3C0</v>
      </c>
      <c r="D3639" t="s">
        <v>134</v>
      </c>
      <c r="E3639">
        <v>15</v>
      </c>
      <c r="J3639" t="s">
        <v>135</v>
      </c>
      <c r="K3639">
        <v>0</v>
      </c>
      <c r="L3639">
        <v>3</v>
      </c>
      <c r="M3639">
        <v>0</v>
      </c>
      <c r="N3639">
        <v>2</v>
      </c>
      <c r="O3639">
        <v>0</v>
      </c>
      <c r="P3639">
        <v>1</v>
      </c>
      <c r="Q3639">
        <v>0</v>
      </c>
      <c r="S3639" t="str">
        <f t="shared" si="1334"/>
        <v>19:35:20.000</v>
      </c>
      <c r="T3639" t="str">
        <f t="shared" si="1334"/>
        <v>19:35:20.000</v>
      </c>
      <c r="U3639" t="str">
        <f t="shared" si="1311"/>
        <v>AC3944</v>
      </c>
      <c r="V3639">
        <v>0</v>
      </c>
      <c r="W3639">
        <v>0</v>
      </c>
      <c r="X3639">
        <v>2</v>
      </c>
      <c r="Y3639">
        <v>0</v>
      </c>
      <c r="AA3639">
        <v>1</v>
      </c>
      <c r="AB3639">
        <v>8</v>
      </c>
      <c r="AC3639">
        <v>3</v>
      </c>
      <c r="AD3639">
        <v>0</v>
      </c>
      <c r="AE3639">
        <v>9</v>
      </c>
      <c r="AF3639" t="s">
        <v>138</v>
      </c>
      <c r="AG3639">
        <v>0</v>
      </c>
      <c r="AH3639">
        <v>3</v>
      </c>
      <c r="AI3639">
        <v>1</v>
      </c>
      <c r="AJ3639">
        <v>0</v>
      </c>
      <c r="AK3639" t="s">
        <v>1189</v>
      </c>
      <c r="AL3639">
        <v>32.736361000000002</v>
      </c>
      <c r="AM3639" t="s">
        <v>1190</v>
      </c>
      <c r="AN3639">
        <v>-116.72188300000001</v>
      </c>
      <c r="AO3639">
        <v>25</v>
      </c>
      <c r="AP3639">
        <v>4500</v>
      </c>
      <c r="AQ3639" t="s">
        <v>129</v>
      </c>
      <c r="AR3639">
        <v>120</v>
      </c>
      <c r="AS3639">
        <v>19</v>
      </c>
      <c r="AT3639">
        <v>512</v>
      </c>
      <c r="BB3639">
        <v>1200</v>
      </c>
      <c r="BC3639">
        <v>1</v>
      </c>
      <c r="BD3639" t="str">
        <f t="shared" si="1312"/>
        <v xml:space="preserve">N887QR  </v>
      </c>
      <c r="BE3639">
        <v>1</v>
      </c>
      <c r="BG3639">
        <v>0</v>
      </c>
      <c r="BH3639">
        <v>0</v>
      </c>
      <c r="BI3639">
        <v>0</v>
      </c>
      <c r="BJ3639">
        <v>4325</v>
      </c>
      <c r="BK3639">
        <v>-175</v>
      </c>
      <c r="BL3639" t="s">
        <v>163</v>
      </c>
      <c r="BM3639">
        <v>1</v>
      </c>
      <c r="BN3639">
        <v>1</v>
      </c>
      <c r="BO3639">
        <v>1</v>
      </c>
      <c r="BP3639">
        <v>0</v>
      </c>
      <c r="BS3639">
        <v>0</v>
      </c>
      <c r="BT3639">
        <v>0</v>
      </c>
      <c r="BU3639">
        <v>0</v>
      </c>
      <c r="CE3639" t="str">
        <f t="shared" si="1335"/>
        <v>19:35:20.439</v>
      </c>
      <c r="CF3639">
        <v>439295849</v>
      </c>
      <c r="CS3639">
        <v>0</v>
      </c>
      <c r="CT3639">
        <v>2</v>
      </c>
      <c r="CU3639">
        <v>0</v>
      </c>
      <c r="CV3639">
        <v>2</v>
      </c>
      <c r="CW3639">
        <v>0</v>
      </c>
      <c r="CX3639">
        <v>5</v>
      </c>
      <c r="CY3639">
        <v>7</v>
      </c>
      <c r="CZ3639" t="s">
        <v>131</v>
      </c>
      <c r="DA3639">
        <v>286</v>
      </c>
      <c r="DB3639">
        <v>0</v>
      </c>
      <c r="DC3639" t="s">
        <v>132</v>
      </c>
      <c r="DD3639" t="s">
        <v>133</v>
      </c>
      <c r="DG3639">
        <v>885794</v>
      </c>
      <c r="DI3639">
        <v>1</v>
      </c>
      <c r="DJ3639">
        <v>0</v>
      </c>
      <c r="DK3639">
        <v>1</v>
      </c>
      <c r="DL3639">
        <v>0</v>
      </c>
      <c r="DM3639">
        <v>0</v>
      </c>
      <c r="DN3639">
        <v>1</v>
      </c>
      <c r="DO3639">
        <v>0</v>
      </c>
      <c r="DP3639">
        <v>0</v>
      </c>
      <c r="DQ3639">
        <v>0</v>
      </c>
      <c r="DR3639">
        <v>0</v>
      </c>
      <c r="DS3639">
        <v>0</v>
      </c>
    </row>
    <row r="3640" spans="1:123" x14ac:dyDescent="0.3">
      <c r="A3640" t="str">
        <f t="shared" si="1333"/>
        <v>10/04/2022 19:35:20.652</v>
      </c>
      <c r="C3640" t="str">
        <f t="shared" si="1330"/>
        <v>FFDFD3C0</v>
      </c>
      <c r="D3640" t="s">
        <v>141</v>
      </c>
      <c r="E3640">
        <v>4</v>
      </c>
      <c r="H3640">
        <v>4</v>
      </c>
      <c r="I3640" t="s">
        <v>142</v>
      </c>
      <c r="J3640" t="s">
        <v>138</v>
      </c>
      <c r="K3640">
        <v>0</v>
      </c>
      <c r="L3640">
        <v>3</v>
      </c>
      <c r="M3640">
        <v>0</v>
      </c>
      <c r="N3640">
        <v>2</v>
      </c>
      <c r="O3640">
        <v>0</v>
      </c>
      <c r="P3640">
        <v>1</v>
      </c>
      <c r="Q3640">
        <v>0</v>
      </c>
      <c r="S3640" t="str">
        <f t="shared" si="1334"/>
        <v>19:35:20.000</v>
      </c>
      <c r="T3640" t="str">
        <f t="shared" si="1334"/>
        <v>19:35:20.000</v>
      </c>
      <c r="U3640" t="str">
        <f t="shared" si="1311"/>
        <v>AC3944</v>
      </c>
      <c r="V3640">
        <v>0</v>
      </c>
      <c r="W3640">
        <v>0</v>
      </c>
      <c r="X3640">
        <v>2</v>
      </c>
      <c r="Y3640">
        <v>0</v>
      </c>
      <c r="AA3640">
        <v>1</v>
      </c>
      <c r="AB3640">
        <v>8</v>
      </c>
      <c r="AC3640">
        <v>3</v>
      </c>
      <c r="AD3640">
        <v>0</v>
      </c>
      <c r="AE3640">
        <v>9</v>
      </c>
      <c r="AF3640" t="s">
        <v>138</v>
      </c>
      <c r="AG3640">
        <v>0</v>
      </c>
      <c r="AH3640">
        <v>3</v>
      </c>
      <c r="AI3640">
        <v>1</v>
      </c>
      <c r="AJ3640">
        <v>0</v>
      </c>
      <c r="AK3640" t="s">
        <v>1189</v>
      </c>
      <c r="AL3640">
        <v>32.736361000000002</v>
      </c>
      <c r="AM3640" t="s">
        <v>1190</v>
      </c>
      <c r="AN3640">
        <v>-116.72188300000001</v>
      </c>
      <c r="AO3640">
        <v>25</v>
      </c>
      <c r="AP3640">
        <v>4500</v>
      </c>
      <c r="AQ3640" t="s">
        <v>129</v>
      </c>
      <c r="AR3640">
        <v>120</v>
      </c>
      <c r="AS3640">
        <v>19</v>
      </c>
      <c r="AT3640">
        <v>512</v>
      </c>
      <c r="BB3640">
        <v>1200</v>
      </c>
      <c r="BC3640">
        <v>1</v>
      </c>
      <c r="BD3640" t="str">
        <f t="shared" si="1312"/>
        <v xml:space="preserve">N887QR  </v>
      </c>
      <c r="BE3640">
        <v>1</v>
      </c>
      <c r="BG3640">
        <v>0</v>
      </c>
      <c r="BH3640">
        <v>0</v>
      </c>
      <c r="BI3640">
        <v>0</v>
      </c>
      <c r="BJ3640">
        <v>4325</v>
      </c>
      <c r="BK3640">
        <v>-175</v>
      </c>
      <c r="BL3640" t="s">
        <v>163</v>
      </c>
      <c r="BM3640">
        <v>1</v>
      </c>
      <c r="BN3640">
        <v>1</v>
      </c>
      <c r="BO3640">
        <v>1</v>
      </c>
      <c r="BP3640">
        <v>0</v>
      </c>
      <c r="BS3640">
        <v>0</v>
      </c>
      <c r="BT3640">
        <v>0</v>
      </c>
      <c r="BU3640">
        <v>0</v>
      </c>
      <c r="CE3640" t="str">
        <f t="shared" si="1335"/>
        <v>19:35:20.439</v>
      </c>
      <c r="CF3640">
        <v>439295849</v>
      </c>
      <c r="CS3640">
        <v>0</v>
      </c>
      <c r="CT3640">
        <v>2</v>
      </c>
      <c r="CU3640">
        <v>0</v>
      </c>
      <c r="CV3640">
        <v>2</v>
      </c>
      <c r="CW3640">
        <v>0</v>
      </c>
      <c r="CX3640">
        <v>5</v>
      </c>
      <c r="CY3640">
        <v>7</v>
      </c>
      <c r="CZ3640" t="s">
        <v>131</v>
      </c>
      <c r="DA3640">
        <v>286</v>
      </c>
      <c r="DB3640">
        <v>0</v>
      </c>
      <c r="DC3640" t="s">
        <v>132</v>
      </c>
      <c r="DD3640" t="s">
        <v>133</v>
      </c>
      <c r="DG3640">
        <v>885794</v>
      </c>
      <c r="DI3640">
        <v>1</v>
      </c>
      <c r="DJ3640">
        <v>0</v>
      </c>
      <c r="DK3640">
        <v>1</v>
      </c>
      <c r="DL3640">
        <v>0</v>
      </c>
      <c r="DM3640">
        <v>0</v>
      </c>
      <c r="DN3640">
        <v>1</v>
      </c>
      <c r="DO3640">
        <v>0</v>
      </c>
      <c r="DP3640">
        <v>0</v>
      </c>
      <c r="DQ3640">
        <v>0</v>
      </c>
      <c r="DR3640">
        <v>0</v>
      </c>
      <c r="DS3640">
        <v>0</v>
      </c>
    </row>
    <row r="3641" spans="1:123" x14ac:dyDescent="0.3">
      <c r="A3641" t="str">
        <f t="shared" si="1333"/>
        <v>10/04/2022 19:35:20.652</v>
      </c>
      <c r="C3641" t="str">
        <f t="shared" si="1330"/>
        <v>FFDFD3C0</v>
      </c>
      <c r="D3641" t="s">
        <v>143</v>
      </c>
      <c r="E3641">
        <v>20</v>
      </c>
      <c r="F3641">
        <v>1020</v>
      </c>
      <c r="G3641" t="s">
        <v>144</v>
      </c>
      <c r="J3641" t="s">
        <v>145</v>
      </c>
      <c r="K3641">
        <v>0</v>
      </c>
      <c r="L3641">
        <v>3</v>
      </c>
      <c r="M3641">
        <v>0</v>
      </c>
      <c r="N3641">
        <v>2</v>
      </c>
      <c r="O3641">
        <v>0</v>
      </c>
      <c r="P3641">
        <v>1</v>
      </c>
      <c r="Q3641">
        <v>0</v>
      </c>
      <c r="S3641" t="str">
        <f t="shared" si="1334"/>
        <v>19:35:20.000</v>
      </c>
      <c r="T3641" t="str">
        <f t="shared" si="1334"/>
        <v>19:35:20.000</v>
      </c>
      <c r="U3641" t="str">
        <f t="shared" si="1311"/>
        <v>AC3944</v>
      </c>
      <c r="V3641">
        <v>0</v>
      </c>
      <c r="W3641">
        <v>0</v>
      </c>
      <c r="X3641">
        <v>2</v>
      </c>
      <c r="Y3641">
        <v>0</v>
      </c>
      <c r="AA3641">
        <v>1</v>
      </c>
      <c r="AB3641">
        <v>8</v>
      </c>
      <c r="AC3641">
        <v>3</v>
      </c>
      <c r="AD3641">
        <v>0</v>
      </c>
      <c r="AE3641">
        <v>9</v>
      </c>
      <c r="AF3641" t="s">
        <v>138</v>
      </c>
      <c r="AG3641">
        <v>0</v>
      </c>
      <c r="AH3641">
        <v>3</v>
      </c>
      <c r="AI3641">
        <v>1</v>
      </c>
      <c r="AJ3641">
        <v>0</v>
      </c>
      <c r="AK3641" t="s">
        <v>1189</v>
      </c>
      <c r="AL3641">
        <v>32.736361000000002</v>
      </c>
      <c r="AM3641" t="s">
        <v>1190</v>
      </c>
      <c r="AN3641">
        <v>-116.72188300000001</v>
      </c>
      <c r="AO3641">
        <v>25</v>
      </c>
      <c r="AP3641">
        <v>4500</v>
      </c>
      <c r="AQ3641" t="s">
        <v>129</v>
      </c>
      <c r="AR3641">
        <v>120</v>
      </c>
      <c r="AS3641">
        <v>19</v>
      </c>
      <c r="AT3641">
        <v>512</v>
      </c>
      <c r="BB3641">
        <v>1200</v>
      </c>
      <c r="BC3641">
        <v>1</v>
      </c>
      <c r="BD3641" t="str">
        <f t="shared" si="1312"/>
        <v xml:space="preserve">N887QR  </v>
      </c>
      <c r="BE3641">
        <v>1</v>
      </c>
      <c r="BG3641">
        <v>0</v>
      </c>
      <c r="BH3641">
        <v>0</v>
      </c>
      <c r="BI3641">
        <v>0</v>
      </c>
      <c r="BJ3641">
        <v>4325</v>
      </c>
      <c r="BK3641">
        <v>-175</v>
      </c>
      <c r="BL3641" t="s">
        <v>163</v>
      </c>
      <c r="BM3641">
        <v>1</v>
      </c>
      <c r="BN3641">
        <v>1</v>
      </c>
      <c r="BO3641">
        <v>1</v>
      </c>
      <c r="BP3641">
        <v>0</v>
      </c>
      <c r="BS3641">
        <v>0</v>
      </c>
      <c r="BT3641">
        <v>0</v>
      </c>
      <c r="BU3641">
        <v>0</v>
      </c>
      <c r="CE3641" t="str">
        <f t="shared" si="1335"/>
        <v>19:35:20.439</v>
      </c>
      <c r="CF3641">
        <v>439295849</v>
      </c>
      <c r="CS3641">
        <v>0</v>
      </c>
      <c r="CT3641">
        <v>2</v>
      </c>
      <c r="CU3641">
        <v>0</v>
      </c>
      <c r="CV3641">
        <v>2</v>
      </c>
      <c r="CW3641">
        <v>0</v>
      </c>
      <c r="CX3641">
        <v>5</v>
      </c>
      <c r="CY3641">
        <v>7</v>
      </c>
      <c r="CZ3641" t="s">
        <v>131</v>
      </c>
      <c r="DA3641">
        <v>286</v>
      </c>
      <c r="DB3641">
        <v>0</v>
      </c>
      <c r="DC3641" t="s">
        <v>132</v>
      </c>
      <c r="DD3641" t="s">
        <v>133</v>
      </c>
      <c r="DG3641">
        <v>885794</v>
      </c>
      <c r="DI3641">
        <v>1</v>
      </c>
      <c r="DJ3641">
        <v>0</v>
      </c>
      <c r="DK3641">
        <v>1</v>
      </c>
      <c r="DL3641">
        <v>0</v>
      </c>
      <c r="DM3641">
        <v>0</v>
      </c>
      <c r="DN3641">
        <v>1</v>
      </c>
      <c r="DO3641">
        <v>0</v>
      </c>
      <c r="DP3641">
        <v>0</v>
      </c>
      <c r="DQ3641">
        <v>0</v>
      </c>
      <c r="DR3641">
        <v>0</v>
      </c>
      <c r="DS3641">
        <v>0</v>
      </c>
    </row>
    <row r="3642" spans="1:123" x14ac:dyDescent="0.3">
      <c r="A3642" t="str">
        <f t="shared" ref="A3642:A3648" si="1336">"10/04/2022 19:35:21.292"</f>
        <v>10/04/2022 19:35:21.292</v>
      </c>
      <c r="C3642" t="str">
        <f t="shared" si="1330"/>
        <v>FFDFD3C0</v>
      </c>
      <c r="D3642" t="s">
        <v>123</v>
      </c>
      <c r="E3642">
        <v>7</v>
      </c>
      <c r="F3642">
        <v>2007</v>
      </c>
      <c r="G3642" t="s">
        <v>124</v>
      </c>
      <c r="J3642" t="s">
        <v>125</v>
      </c>
      <c r="K3642">
        <v>0</v>
      </c>
      <c r="L3642">
        <v>3</v>
      </c>
      <c r="M3642">
        <v>0</v>
      </c>
      <c r="N3642">
        <v>2</v>
      </c>
      <c r="O3642">
        <v>0</v>
      </c>
      <c r="P3642">
        <v>1</v>
      </c>
      <c r="Q3642">
        <v>0</v>
      </c>
      <c r="S3642" t="str">
        <f t="shared" si="1334"/>
        <v>19:35:20.000</v>
      </c>
      <c r="T3642" t="str">
        <f t="shared" si="1334"/>
        <v>19:35:20.000</v>
      </c>
      <c r="U3642" t="str">
        <f t="shared" si="1311"/>
        <v>AC3944</v>
      </c>
      <c r="V3642">
        <v>0</v>
      </c>
      <c r="W3642">
        <v>0</v>
      </c>
      <c r="X3642">
        <v>2</v>
      </c>
      <c r="Y3642">
        <v>0</v>
      </c>
      <c r="AA3642">
        <v>1</v>
      </c>
      <c r="AB3642">
        <v>8</v>
      </c>
      <c r="AC3642">
        <v>3</v>
      </c>
      <c r="AD3642">
        <v>0</v>
      </c>
      <c r="AE3642">
        <v>9</v>
      </c>
      <c r="AF3642" t="s">
        <v>138</v>
      </c>
      <c r="AG3642">
        <v>0</v>
      </c>
      <c r="AH3642">
        <v>3</v>
      </c>
      <c r="AI3642">
        <v>1</v>
      </c>
      <c r="AJ3642">
        <v>0</v>
      </c>
      <c r="AK3642" t="s">
        <v>1191</v>
      </c>
      <c r="AL3642">
        <v>32.736446999999998</v>
      </c>
      <c r="AM3642" t="s">
        <v>1192</v>
      </c>
      <c r="AN3642">
        <v>-116.721239</v>
      </c>
      <c r="AO3642">
        <v>25</v>
      </c>
      <c r="AP3642">
        <v>4500</v>
      </c>
      <c r="AQ3642" t="s">
        <v>129</v>
      </c>
      <c r="AR3642">
        <v>120</v>
      </c>
      <c r="AS3642">
        <v>19</v>
      </c>
      <c r="AT3642">
        <v>512</v>
      </c>
      <c r="BB3642">
        <v>1200</v>
      </c>
      <c r="BC3642">
        <v>1</v>
      </c>
      <c r="BD3642" t="str">
        <f t="shared" si="1312"/>
        <v xml:space="preserve">N887QR  </v>
      </c>
      <c r="BE3642">
        <v>1</v>
      </c>
      <c r="BG3642">
        <v>0</v>
      </c>
      <c r="BH3642">
        <v>0</v>
      </c>
      <c r="BI3642">
        <v>0</v>
      </c>
      <c r="BJ3642">
        <v>4325</v>
      </c>
      <c r="BK3642">
        <v>-175</v>
      </c>
      <c r="BL3642" t="s">
        <v>163</v>
      </c>
      <c r="BM3642">
        <v>1</v>
      </c>
      <c r="BN3642">
        <v>1</v>
      </c>
      <c r="BO3642">
        <v>1</v>
      </c>
      <c r="BP3642">
        <v>0</v>
      </c>
      <c r="BS3642">
        <v>0</v>
      </c>
      <c r="BT3642">
        <v>0</v>
      </c>
      <c r="BU3642">
        <v>0</v>
      </c>
      <c r="CE3642" t="str">
        <f t="shared" ref="CE3642:CE3648" si="1337">"19:35:20.919"</f>
        <v>19:35:20.919</v>
      </c>
      <c r="CF3642">
        <v>918547458</v>
      </c>
      <c r="CS3642">
        <v>0</v>
      </c>
      <c r="CT3642">
        <v>2</v>
      </c>
      <c r="CU3642">
        <v>0</v>
      </c>
      <c r="CV3642">
        <v>2</v>
      </c>
      <c r="CW3642">
        <v>0</v>
      </c>
      <c r="CX3642">
        <v>5</v>
      </c>
      <c r="CY3642">
        <v>7</v>
      </c>
      <c r="CZ3642" t="s">
        <v>131</v>
      </c>
      <c r="DA3642">
        <v>286</v>
      </c>
      <c r="DB3642">
        <v>0</v>
      </c>
      <c r="DC3642" t="s">
        <v>132</v>
      </c>
      <c r="DD3642" t="s">
        <v>133</v>
      </c>
      <c r="DG3642">
        <v>885923</v>
      </c>
      <c r="DI3642">
        <v>1</v>
      </c>
      <c r="DJ3642">
        <v>0</v>
      </c>
      <c r="DK3642">
        <v>0</v>
      </c>
      <c r="DL3642">
        <v>0</v>
      </c>
      <c r="DM3642">
        <v>0</v>
      </c>
      <c r="DN3642">
        <v>1</v>
      </c>
      <c r="DO3642">
        <v>0</v>
      </c>
      <c r="DP3642">
        <v>0</v>
      </c>
      <c r="DQ3642">
        <v>0</v>
      </c>
      <c r="DR3642">
        <v>0</v>
      </c>
      <c r="DS3642">
        <v>0</v>
      </c>
    </row>
    <row r="3643" spans="1:123" x14ac:dyDescent="0.3">
      <c r="A3643" t="str">
        <f t="shared" si="1336"/>
        <v>10/04/2022 19:35:21.292</v>
      </c>
      <c r="C3643" t="str">
        <f t="shared" si="1330"/>
        <v>FFDFD3C0</v>
      </c>
      <c r="D3643" t="s">
        <v>147</v>
      </c>
      <c r="E3643">
        <v>3</v>
      </c>
      <c r="H3643">
        <v>166</v>
      </c>
      <c r="I3643" t="s">
        <v>144</v>
      </c>
      <c r="J3643" t="s">
        <v>148</v>
      </c>
      <c r="K3643">
        <v>0</v>
      </c>
      <c r="L3643">
        <v>3</v>
      </c>
      <c r="M3643">
        <v>0</v>
      </c>
      <c r="N3643">
        <v>2</v>
      </c>
      <c r="O3643">
        <v>0</v>
      </c>
      <c r="P3643">
        <v>1</v>
      </c>
      <c r="Q3643">
        <v>0</v>
      </c>
      <c r="S3643" t="str">
        <f t="shared" si="1334"/>
        <v>19:35:20.000</v>
      </c>
      <c r="T3643" t="str">
        <f t="shared" si="1334"/>
        <v>19:35:20.000</v>
      </c>
      <c r="U3643" t="str">
        <f t="shared" si="1311"/>
        <v>AC3944</v>
      </c>
      <c r="V3643">
        <v>0</v>
      </c>
      <c r="W3643">
        <v>0</v>
      </c>
      <c r="X3643">
        <v>2</v>
      </c>
      <c r="Y3643">
        <v>0</v>
      </c>
      <c r="AA3643">
        <v>1</v>
      </c>
      <c r="AB3643">
        <v>8</v>
      </c>
      <c r="AC3643">
        <v>3</v>
      </c>
      <c r="AD3643">
        <v>0</v>
      </c>
      <c r="AE3643">
        <v>9</v>
      </c>
      <c r="AF3643" t="s">
        <v>138</v>
      </c>
      <c r="AG3643">
        <v>0</v>
      </c>
      <c r="AH3643">
        <v>3</v>
      </c>
      <c r="AI3643">
        <v>1</v>
      </c>
      <c r="AJ3643">
        <v>0</v>
      </c>
      <c r="AK3643" t="s">
        <v>1191</v>
      </c>
      <c r="AL3643">
        <v>32.736446999999998</v>
      </c>
      <c r="AM3643" t="s">
        <v>1192</v>
      </c>
      <c r="AN3643">
        <v>-116.721239</v>
      </c>
      <c r="AO3643">
        <v>25</v>
      </c>
      <c r="AP3643">
        <v>4500</v>
      </c>
      <c r="AQ3643" t="s">
        <v>129</v>
      </c>
      <c r="AR3643">
        <v>120</v>
      </c>
      <c r="AS3643">
        <v>19</v>
      </c>
      <c r="AT3643">
        <v>512</v>
      </c>
      <c r="BB3643">
        <v>1200</v>
      </c>
      <c r="BC3643">
        <v>1</v>
      </c>
      <c r="BD3643" t="str">
        <f t="shared" si="1312"/>
        <v xml:space="preserve">N887QR  </v>
      </c>
      <c r="BE3643">
        <v>1</v>
      </c>
      <c r="BG3643">
        <v>0</v>
      </c>
      <c r="BH3643">
        <v>0</v>
      </c>
      <c r="BI3643">
        <v>0</v>
      </c>
      <c r="BJ3643">
        <v>4325</v>
      </c>
      <c r="BK3643">
        <v>-175</v>
      </c>
      <c r="BL3643" t="s">
        <v>163</v>
      </c>
      <c r="BM3643">
        <v>1</v>
      </c>
      <c r="BN3643">
        <v>1</v>
      </c>
      <c r="BO3643">
        <v>1</v>
      </c>
      <c r="BP3643">
        <v>0</v>
      </c>
      <c r="BS3643">
        <v>0</v>
      </c>
      <c r="BT3643">
        <v>0</v>
      </c>
      <c r="BU3643">
        <v>0</v>
      </c>
      <c r="CE3643" t="str">
        <f t="shared" si="1337"/>
        <v>19:35:20.919</v>
      </c>
      <c r="CF3643">
        <v>918547458</v>
      </c>
      <c r="CS3643">
        <v>0</v>
      </c>
      <c r="CT3643">
        <v>2</v>
      </c>
      <c r="CU3643">
        <v>0</v>
      </c>
      <c r="CV3643">
        <v>2</v>
      </c>
      <c r="CW3643">
        <v>0</v>
      </c>
      <c r="CX3643">
        <v>5</v>
      </c>
      <c r="CY3643">
        <v>7</v>
      </c>
      <c r="CZ3643" t="s">
        <v>131</v>
      </c>
      <c r="DA3643">
        <v>286</v>
      </c>
      <c r="DB3643">
        <v>0</v>
      </c>
      <c r="DC3643" t="s">
        <v>132</v>
      </c>
      <c r="DD3643" t="s">
        <v>133</v>
      </c>
      <c r="DG3643">
        <v>885923</v>
      </c>
      <c r="DI3643">
        <v>1</v>
      </c>
      <c r="DJ3643">
        <v>0</v>
      </c>
      <c r="DK3643">
        <v>1</v>
      </c>
      <c r="DL3643">
        <v>0</v>
      </c>
      <c r="DM3643">
        <v>0</v>
      </c>
      <c r="DN3643">
        <v>1</v>
      </c>
      <c r="DO3643">
        <v>0</v>
      </c>
      <c r="DP3643">
        <v>0</v>
      </c>
      <c r="DQ3643">
        <v>0</v>
      </c>
      <c r="DR3643">
        <v>0</v>
      </c>
      <c r="DS3643">
        <v>0</v>
      </c>
    </row>
    <row r="3644" spans="1:123" x14ac:dyDescent="0.3">
      <c r="A3644" t="str">
        <f t="shared" si="1336"/>
        <v>10/04/2022 19:35:21.292</v>
      </c>
      <c r="C3644" t="str">
        <f t="shared" si="1330"/>
        <v>FFDFD3C0</v>
      </c>
      <c r="D3644" t="s">
        <v>136</v>
      </c>
      <c r="E3644">
        <v>8</v>
      </c>
      <c r="H3644">
        <v>225</v>
      </c>
      <c r="I3644" t="s">
        <v>137</v>
      </c>
      <c r="J3644" t="s">
        <v>138</v>
      </c>
      <c r="K3644">
        <v>0</v>
      </c>
      <c r="L3644">
        <v>3</v>
      </c>
      <c r="M3644">
        <v>0</v>
      </c>
      <c r="N3644">
        <v>2</v>
      </c>
      <c r="O3644">
        <v>0</v>
      </c>
      <c r="P3644">
        <v>1</v>
      </c>
      <c r="Q3644">
        <v>0</v>
      </c>
      <c r="S3644" t="str">
        <f t="shared" si="1334"/>
        <v>19:35:20.000</v>
      </c>
      <c r="T3644" t="str">
        <f t="shared" si="1334"/>
        <v>19:35:20.000</v>
      </c>
      <c r="U3644" t="str">
        <f t="shared" si="1311"/>
        <v>AC3944</v>
      </c>
      <c r="V3644">
        <v>0</v>
      </c>
      <c r="W3644">
        <v>0</v>
      </c>
      <c r="X3644">
        <v>2</v>
      </c>
      <c r="Y3644">
        <v>0</v>
      </c>
      <c r="AA3644">
        <v>1</v>
      </c>
      <c r="AB3644">
        <v>8</v>
      </c>
      <c r="AC3644">
        <v>3</v>
      </c>
      <c r="AD3644">
        <v>0</v>
      </c>
      <c r="AE3644">
        <v>9</v>
      </c>
      <c r="AF3644" t="s">
        <v>138</v>
      </c>
      <c r="AG3644">
        <v>0</v>
      </c>
      <c r="AH3644">
        <v>3</v>
      </c>
      <c r="AI3644">
        <v>1</v>
      </c>
      <c r="AJ3644">
        <v>0</v>
      </c>
      <c r="AK3644" t="s">
        <v>1191</v>
      </c>
      <c r="AL3644">
        <v>32.736446999999998</v>
      </c>
      <c r="AM3644" t="s">
        <v>1192</v>
      </c>
      <c r="AN3644">
        <v>-116.721239</v>
      </c>
      <c r="AO3644">
        <v>25</v>
      </c>
      <c r="AP3644">
        <v>4500</v>
      </c>
      <c r="AQ3644" t="s">
        <v>129</v>
      </c>
      <c r="AR3644">
        <v>120</v>
      </c>
      <c r="AS3644">
        <v>19</v>
      </c>
      <c r="AT3644">
        <v>512</v>
      </c>
      <c r="BB3644">
        <v>1200</v>
      </c>
      <c r="BC3644">
        <v>1</v>
      </c>
      <c r="BD3644" t="str">
        <f t="shared" si="1312"/>
        <v xml:space="preserve">N887QR  </v>
      </c>
      <c r="BE3644">
        <v>1</v>
      </c>
      <c r="BG3644">
        <v>0</v>
      </c>
      <c r="BH3644">
        <v>0</v>
      </c>
      <c r="BI3644">
        <v>0</v>
      </c>
      <c r="BJ3644">
        <v>4325</v>
      </c>
      <c r="BK3644">
        <v>-175</v>
      </c>
      <c r="BL3644" t="s">
        <v>163</v>
      </c>
      <c r="BM3644">
        <v>1</v>
      </c>
      <c r="BN3644">
        <v>1</v>
      </c>
      <c r="BO3644">
        <v>1</v>
      </c>
      <c r="BP3644">
        <v>0</v>
      </c>
      <c r="BS3644">
        <v>0</v>
      </c>
      <c r="BT3644">
        <v>0</v>
      </c>
      <c r="BU3644">
        <v>0</v>
      </c>
      <c r="CE3644" t="str">
        <f t="shared" si="1337"/>
        <v>19:35:20.919</v>
      </c>
      <c r="CF3644">
        <v>918547458</v>
      </c>
      <c r="CS3644">
        <v>0</v>
      </c>
      <c r="CT3644">
        <v>2</v>
      </c>
      <c r="CU3644">
        <v>0</v>
      </c>
      <c r="CV3644">
        <v>2</v>
      </c>
      <c r="CW3644">
        <v>0</v>
      </c>
      <c r="CX3644">
        <v>5</v>
      </c>
      <c r="CY3644">
        <v>7</v>
      </c>
      <c r="CZ3644" t="s">
        <v>131</v>
      </c>
      <c r="DA3644">
        <v>286</v>
      </c>
      <c r="DB3644">
        <v>0</v>
      </c>
      <c r="DC3644" t="s">
        <v>132</v>
      </c>
      <c r="DD3644" t="s">
        <v>133</v>
      </c>
      <c r="DG3644">
        <v>885923</v>
      </c>
      <c r="DI3644">
        <v>1</v>
      </c>
      <c r="DJ3644">
        <v>0</v>
      </c>
      <c r="DK3644">
        <v>1</v>
      </c>
      <c r="DL3644">
        <v>0</v>
      </c>
      <c r="DM3644">
        <v>0</v>
      </c>
      <c r="DN3644">
        <v>1</v>
      </c>
      <c r="DO3644">
        <v>0</v>
      </c>
      <c r="DP3644">
        <v>0</v>
      </c>
      <c r="DQ3644">
        <v>0</v>
      </c>
      <c r="DR3644">
        <v>0</v>
      </c>
      <c r="DS3644">
        <v>0</v>
      </c>
    </row>
    <row r="3645" spans="1:123" x14ac:dyDescent="0.3">
      <c r="A3645" t="str">
        <f t="shared" si="1336"/>
        <v>10/04/2022 19:35:21.292</v>
      </c>
      <c r="C3645" t="str">
        <f t="shared" si="1330"/>
        <v>FFDFD3C0</v>
      </c>
      <c r="D3645" t="s">
        <v>141</v>
      </c>
      <c r="E3645">
        <v>3</v>
      </c>
      <c r="H3645">
        <v>3</v>
      </c>
      <c r="I3645" t="s">
        <v>146</v>
      </c>
      <c r="J3645" t="s">
        <v>138</v>
      </c>
      <c r="K3645">
        <v>0</v>
      </c>
      <c r="L3645">
        <v>3</v>
      </c>
      <c r="M3645">
        <v>0</v>
      </c>
      <c r="N3645">
        <v>2</v>
      </c>
      <c r="O3645">
        <v>0</v>
      </c>
      <c r="P3645">
        <v>1</v>
      </c>
      <c r="Q3645">
        <v>0</v>
      </c>
      <c r="S3645" t="str">
        <f t="shared" si="1334"/>
        <v>19:35:20.000</v>
      </c>
      <c r="T3645" t="str">
        <f t="shared" si="1334"/>
        <v>19:35:20.000</v>
      </c>
      <c r="U3645" t="str">
        <f t="shared" si="1311"/>
        <v>AC3944</v>
      </c>
      <c r="V3645">
        <v>0</v>
      </c>
      <c r="W3645">
        <v>0</v>
      </c>
      <c r="X3645">
        <v>2</v>
      </c>
      <c r="Y3645">
        <v>0</v>
      </c>
      <c r="AA3645">
        <v>1</v>
      </c>
      <c r="AB3645">
        <v>8</v>
      </c>
      <c r="AC3645">
        <v>3</v>
      </c>
      <c r="AD3645">
        <v>0</v>
      </c>
      <c r="AE3645">
        <v>9</v>
      </c>
      <c r="AF3645" t="s">
        <v>138</v>
      </c>
      <c r="AG3645">
        <v>0</v>
      </c>
      <c r="AH3645">
        <v>3</v>
      </c>
      <c r="AI3645">
        <v>1</v>
      </c>
      <c r="AJ3645">
        <v>0</v>
      </c>
      <c r="AK3645" t="s">
        <v>1191</v>
      </c>
      <c r="AL3645">
        <v>32.736446999999998</v>
      </c>
      <c r="AM3645" t="s">
        <v>1192</v>
      </c>
      <c r="AN3645">
        <v>-116.721239</v>
      </c>
      <c r="AO3645">
        <v>25</v>
      </c>
      <c r="AP3645">
        <v>4500</v>
      </c>
      <c r="AQ3645" t="s">
        <v>129</v>
      </c>
      <c r="AR3645">
        <v>120</v>
      </c>
      <c r="AS3645">
        <v>19</v>
      </c>
      <c r="AT3645">
        <v>512</v>
      </c>
      <c r="BB3645">
        <v>1200</v>
      </c>
      <c r="BC3645">
        <v>1</v>
      </c>
      <c r="BD3645" t="str">
        <f t="shared" si="1312"/>
        <v xml:space="preserve">N887QR  </v>
      </c>
      <c r="BE3645">
        <v>1</v>
      </c>
      <c r="BG3645">
        <v>0</v>
      </c>
      <c r="BH3645">
        <v>0</v>
      </c>
      <c r="BI3645">
        <v>0</v>
      </c>
      <c r="BJ3645">
        <v>4325</v>
      </c>
      <c r="BK3645">
        <v>-175</v>
      </c>
      <c r="BL3645" t="s">
        <v>163</v>
      </c>
      <c r="BM3645">
        <v>1</v>
      </c>
      <c r="BN3645">
        <v>1</v>
      </c>
      <c r="BO3645">
        <v>1</v>
      </c>
      <c r="BP3645">
        <v>0</v>
      </c>
      <c r="BS3645">
        <v>0</v>
      </c>
      <c r="BT3645">
        <v>0</v>
      </c>
      <c r="BU3645">
        <v>0</v>
      </c>
      <c r="CE3645" t="str">
        <f t="shared" si="1337"/>
        <v>19:35:20.919</v>
      </c>
      <c r="CF3645">
        <v>918547458</v>
      </c>
      <c r="CS3645">
        <v>0</v>
      </c>
      <c r="CT3645">
        <v>2</v>
      </c>
      <c r="CU3645">
        <v>0</v>
      </c>
      <c r="CV3645">
        <v>2</v>
      </c>
      <c r="CW3645">
        <v>0</v>
      </c>
      <c r="CX3645">
        <v>5</v>
      </c>
      <c r="CY3645">
        <v>7</v>
      </c>
      <c r="CZ3645" t="s">
        <v>131</v>
      </c>
      <c r="DA3645">
        <v>286</v>
      </c>
      <c r="DB3645">
        <v>0</v>
      </c>
      <c r="DC3645" t="s">
        <v>132</v>
      </c>
      <c r="DD3645" t="s">
        <v>133</v>
      </c>
      <c r="DG3645">
        <v>885923</v>
      </c>
      <c r="DI3645">
        <v>1</v>
      </c>
      <c r="DJ3645">
        <v>0</v>
      </c>
      <c r="DK3645">
        <v>1</v>
      </c>
      <c r="DL3645">
        <v>0</v>
      </c>
      <c r="DM3645">
        <v>0</v>
      </c>
      <c r="DN3645">
        <v>1</v>
      </c>
      <c r="DO3645">
        <v>0</v>
      </c>
      <c r="DP3645">
        <v>0</v>
      </c>
      <c r="DQ3645">
        <v>0</v>
      </c>
      <c r="DR3645">
        <v>0</v>
      </c>
      <c r="DS3645">
        <v>0</v>
      </c>
    </row>
    <row r="3646" spans="1:123" x14ac:dyDescent="0.3">
      <c r="A3646" t="str">
        <f t="shared" si="1336"/>
        <v>10/04/2022 19:35:21.292</v>
      </c>
      <c r="C3646" t="str">
        <f t="shared" si="1330"/>
        <v>FFDFD3C0</v>
      </c>
      <c r="D3646" t="s">
        <v>141</v>
      </c>
      <c r="E3646">
        <v>4</v>
      </c>
      <c r="H3646">
        <v>4</v>
      </c>
      <c r="I3646" t="s">
        <v>142</v>
      </c>
      <c r="J3646" t="s">
        <v>138</v>
      </c>
      <c r="K3646">
        <v>0</v>
      </c>
      <c r="L3646">
        <v>3</v>
      </c>
      <c r="M3646">
        <v>0</v>
      </c>
      <c r="N3646">
        <v>2</v>
      </c>
      <c r="O3646">
        <v>0</v>
      </c>
      <c r="P3646">
        <v>1</v>
      </c>
      <c r="Q3646">
        <v>0</v>
      </c>
      <c r="S3646" t="str">
        <f t="shared" si="1334"/>
        <v>19:35:20.000</v>
      </c>
      <c r="T3646" t="str">
        <f t="shared" si="1334"/>
        <v>19:35:20.000</v>
      </c>
      <c r="U3646" t="str">
        <f t="shared" si="1311"/>
        <v>AC3944</v>
      </c>
      <c r="V3646">
        <v>0</v>
      </c>
      <c r="W3646">
        <v>0</v>
      </c>
      <c r="X3646">
        <v>2</v>
      </c>
      <c r="Y3646">
        <v>0</v>
      </c>
      <c r="AA3646">
        <v>1</v>
      </c>
      <c r="AB3646">
        <v>8</v>
      </c>
      <c r="AC3646">
        <v>3</v>
      </c>
      <c r="AD3646">
        <v>0</v>
      </c>
      <c r="AE3646">
        <v>9</v>
      </c>
      <c r="AF3646" t="s">
        <v>138</v>
      </c>
      <c r="AG3646">
        <v>0</v>
      </c>
      <c r="AH3646">
        <v>3</v>
      </c>
      <c r="AI3646">
        <v>1</v>
      </c>
      <c r="AJ3646">
        <v>0</v>
      </c>
      <c r="AK3646" t="s">
        <v>1191</v>
      </c>
      <c r="AL3646">
        <v>32.736446999999998</v>
      </c>
      <c r="AM3646" t="s">
        <v>1192</v>
      </c>
      <c r="AN3646">
        <v>-116.721239</v>
      </c>
      <c r="AO3646">
        <v>25</v>
      </c>
      <c r="AP3646">
        <v>4500</v>
      </c>
      <c r="AQ3646" t="s">
        <v>129</v>
      </c>
      <c r="AR3646">
        <v>120</v>
      </c>
      <c r="AS3646">
        <v>19</v>
      </c>
      <c r="AT3646">
        <v>512</v>
      </c>
      <c r="BB3646">
        <v>1200</v>
      </c>
      <c r="BC3646">
        <v>1</v>
      </c>
      <c r="BD3646" t="str">
        <f t="shared" si="1312"/>
        <v xml:space="preserve">N887QR  </v>
      </c>
      <c r="BE3646">
        <v>1</v>
      </c>
      <c r="BG3646">
        <v>0</v>
      </c>
      <c r="BH3646">
        <v>0</v>
      </c>
      <c r="BI3646">
        <v>0</v>
      </c>
      <c r="BJ3646">
        <v>4325</v>
      </c>
      <c r="BK3646">
        <v>-175</v>
      </c>
      <c r="BL3646" t="s">
        <v>163</v>
      </c>
      <c r="BM3646">
        <v>1</v>
      </c>
      <c r="BN3646">
        <v>1</v>
      </c>
      <c r="BO3646">
        <v>1</v>
      </c>
      <c r="BP3646">
        <v>0</v>
      </c>
      <c r="BS3646">
        <v>0</v>
      </c>
      <c r="BT3646">
        <v>0</v>
      </c>
      <c r="BU3646">
        <v>0</v>
      </c>
      <c r="CE3646" t="str">
        <f t="shared" si="1337"/>
        <v>19:35:20.919</v>
      </c>
      <c r="CF3646">
        <v>918547458</v>
      </c>
      <c r="CS3646">
        <v>0</v>
      </c>
      <c r="CT3646">
        <v>2</v>
      </c>
      <c r="CU3646">
        <v>0</v>
      </c>
      <c r="CV3646">
        <v>2</v>
      </c>
      <c r="CW3646">
        <v>0</v>
      </c>
      <c r="CX3646">
        <v>5</v>
      </c>
      <c r="CY3646">
        <v>7</v>
      </c>
      <c r="CZ3646" t="s">
        <v>131</v>
      </c>
      <c r="DA3646">
        <v>286</v>
      </c>
      <c r="DB3646">
        <v>0</v>
      </c>
      <c r="DC3646" t="s">
        <v>132</v>
      </c>
      <c r="DD3646" t="s">
        <v>133</v>
      </c>
      <c r="DG3646">
        <v>885923</v>
      </c>
      <c r="DI3646">
        <v>1</v>
      </c>
      <c r="DJ3646">
        <v>0</v>
      </c>
      <c r="DK3646">
        <v>1</v>
      </c>
      <c r="DL3646">
        <v>0</v>
      </c>
      <c r="DM3646">
        <v>0</v>
      </c>
      <c r="DN3646">
        <v>1</v>
      </c>
      <c r="DO3646">
        <v>0</v>
      </c>
      <c r="DP3646">
        <v>0</v>
      </c>
      <c r="DQ3646">
        <v>0</v>
      </c>
      <c r="DR3646">
        <v>0</v>
      </c>
      <c r="DS3646">
        <v>0</v>
      </c>
    </row>
    <row r="3647" spans="1:123" x14ac:dyDescent="0.3">
      <c r="A3647" t="str">
        <f t="shared" si="1336"/>
        <v>10/04/2022 19:35:21.292</v>
      </c>
      <c r="C3647" t="str">
        <f t="shared" si="1330"/>
        <v>FFDFD3C0</v>
      </c>
      <c r="D3647" t="s">
        <v>134</v>
      </c>
      <c r="E3647">
        <v>15</v>
      </c>
      <c r="J3647" t="s">
        <v>135</v>
      </c>
      <c r="K3647">
        <v>0</v>
      </c>
      <c r="L3647">
        <v>3</v>
      </c>
      <c r="M3647">
        <v>0</v>
      </c>
      <c r="N3647">
        <v>2</v>
      </c>
      <c r="O3647">
        <v>0</v>
      </c>
      <c r="P3647">
        <v>1</v>
      </c>
      <c r="Q3647">
        <v>0</v>
      </c>
      <c r="S3647" t="str">
        <f t="shared" si="1334"/>
        <v>19:35:20.000</v>
      </c>
      <c r="T3647" t="str">
        <f t="shared" si="1334"/>
        <v>19:35:20.000</v>
      </c>
      <c r="U3647" t="str">
        <f t="shared" si="1311"/>
        <v>AC3944</v>
      </c>
      <c r="V3647">
        <v>0</v>
      </c>
      <c r="W3647">
        <v>0</v>
      </c>
      <c r="X3647">
        <v>2</v>
      </c>
      <c r="Y3647">
        <v>0</v>
      </c>
      <c r="AA3647">
        <v>1</v>
      </c>
      <c r="AB3647">
        <v>8</v>
      </c>
      <c r="AC3647">
        <v>3</v>
      </c>
      <c r="AD3647">
        <v>0</v>
      </c>
      <c r="AE3647">
        <v>9</v>
      </c>
      <c r="AF3647" t="s">
        <v>138</v>
      </c>
      <c r="AG3647">
        <v>0</v>
      </c>
      <c r="AH3647">
        <v>3</v>
      </c>
      <c r="AI3647">
        <v>1</v>
      </c>
      <c r="AJ3647">
        <v>0</v>
      </c>
      <c r="AK3647" t="s">
        <v>1191</v>
      </c>
      <c r="AL3647">
        <v>32.736446999999998</v>
      </c>
      <c r="AM3647" t="s">
        <v>1192</v>
      </c>
      <c r="AN3647">
        <v>-116.721239</v>
      </c>
      <c r="AO3647">
        <v>25</v>
      </c>
      <c r="AP3647">
        <v>4500</v>
      </c>
      <c r="AQ3647" t="s">
        <v>129</v>
      </c>
      <c r="AR3647">
        <v>120</v>
      </c>
      <c r="AS3647">
        <v>19</v>
      </c>
      <c r="AT3647">
        <v>512</v>
      </c>
      <c r="BB3647">
        <v>1200</v>
      </c>
      <c r="BC3647">
        <v>1</v>
      </c>
      <c r="BD3647" t="str">
        <f t="shared" si="1312"/>
        <v xml:space="preserve">N887QR  </v>
      </c>
      <c r="BE3647">
        <v>1</v>
      </c>
      <c r="BG3647">
        <v>0</v>
      </c>
      <c r="BH3647">
        <v>0</v>
      </c>
      <c r="BI3647">
        <v>0</v>
      </c>
      <c r="BJ3647">
        <v>4325</v>
      </c>
      <c r="BK3647">
        <v>-175</v>
      </c>
      <c r="BL3647" t="s">
        <v>163</v>
      </c>
      <c r="BM3647">
        <v>1</v>
      </c>
      <c r="BN3647">
        <v>1</v>
      </c>
      <c r="BO3647">
        <v>1</v>
      </c>
      <c r="BP3647">
        <v>0</v>
      </c>
      <c r="BS3647">
        <v>0</v>
      </c>
      <c r="BT3647">
        <v>0</v>
      </c>
      <c r="BU3647">
        <v>0</v>
      </c>
      <c r="CE3647" t="str">
        <f t="shared" si="1337"/>
        <v>19:35:20.919</v>
      </c>
      <c r="CF3647">
        <v>918547458</v>
      </c>
      <c r="CS3647">
        <v>0</v>
      </c>
      <c r="CT3647">
        <v>2</v>
      </c>
      <c r="CU3647">
        <v>0</v>
      </c>
      <c r="CV3647">
        <v>2</v>
      </c>
      <c r="CW3647">
        <v>0</v>
      </c>
      <c r="CX3647">
        <v>5</v>
      </c>
      <c r="CY3647">
        <v>7</v>
      </c>
      <c r="CZ3647" t="s">
        <v>131</v>
      </c>
      <c r="DA3647">
        <v>286</v>
      </c>
      <c r="DB3647">
        <v>0</v>
      </c>
      <c r="DC3647" t="s">
        <v>132</v>
      </c>
      <c r="DD3647" t="s">
        <v>133</v>
      </c>
      <c r="DG3647">
        <v>885923</v>
      </c>
      <c r="DI3647">
        <v>1</v>
      </c>
      <c r="DJ3647">
        <v>0</v>
      </c>
      <c r="DK3647">
        <v>1</v>
      </c>
      <c r="DL3647">
        <v>0</v>
      </c>
      <c r="DM3647">
        <v>0</v>
      </c>
      <c r="DN3647">
        <v>1</v>
      </c>
      <c r="DO3647">
        <v>0</v>
      </c>
      <c r="DP3647">
        <v>0</v>
      </c>
      <c r="DQ3647">
        <v>0</v>
      </c>
      <c r="DR3647">
        <v>0</v>
      </c>
      <c r="DS3647">
        <v>0</v>
      </c>
    </row>
    <row r="3648" spans="1:123" x14ac:dyDescent="0.3">
      <c r="A3648" t="str">
        <f t="shared" si="1336"/>
        <v>10/04/2022 19:35:21.292</v>
      </c>
      <c r="C3648" t="str">
        <f t="shared" si="1330"/>
        <v>FFDFD3C0</v>
      </c>
      <c r="D3648" t="s">
        <v>143</v>
      </c>
      <c r="E3648">
        <v>20</v>
      </c>
      <c r="F3648">
        <v>1020</v>
      </c>
      <c r="G3648" t="s">
        <v>144</v>
      </c>
      <c r="J3648" t="s">
        <v>145</v>
      </c>
      <c r="K3648">
        <v>0</v>
      </c>
      <c r="L3648">
        <v>3</v>
      </c>
      <c r="M3648">
        <v>0</v>
      </c>
      <c r="N3648">
        <v>2</v>
      </c>
      <c r="O3648">
        <v>0</v>
      </c>
      <c r="P3648">
        <v>1</v>
      </c>
      <c r="Q3648">
        <v>0</v>
      </c>
      <c r="S3648" t="str">
        <f t="shared" si="1334"/>
        <v>19:35:20.000</v>
      </c>
      <c r="T3648" t="str">
        <f t="shared" si="1334"/>
        <v>19:35:20.000</v>
      </c>
      <c r="U3648" t="str">
        <f t="shared" si="1311"/>
        <v>AC3944</v>
      </c>
      <c r="V3648">
        <v>0</v>
      </c>
      <c r="W3648">
        <v>0</v>
      </c>
      <c r="X3648">
        <v>2</v>
      </c>
      <c r="Y3648">
        <v>0</v>
      </c>
      <c r="AA3648">
        <v>1</v>
      </c>
      <c r="AB3648">
        <v>8</v>
      </c>
      <c r="AC3648">
        <v>3</v>
      </c>
      <c r="AD3648">
        <v>0</v>
      </c>
      <c r="AE3648">
        <v>9</v>
      </c>
      <c r="AF3648" t="s">
        <v>138</v>
      </c>
      <c r="AG3648">
        <v>0</v>
      </c>
      <c r="AH3648">
        <v>3</v>
      </c>
      <c r="AI3648">
        <v>1</v>
      </c>
      <c r="AJ3648">
        <v>0</v>
      </c>
      <c r="AK3648" t="s">
        <v>1191</v>
      </c>
      <c r="AL3648">
        <v>32.736446999999998</v>
      </c>
      <c r="AM3648" t="s">
        <v>1192</v>
      </c>
      <c r="AN3648">
        <v>-116.721239</v>
      </c>
      <c r="AO3648">
        <v>25</v>
      </c>
      <c r="AP3648">
        <v>4500</v>
      </c>
      <c r="AQ3648" t="s">
        <v>129</v>
      </c>
      <c r="AR3648">
        <v>120</v>
      </c>
      <c r="AS3648">
        <v>19</v>
      </c>
      <c r="AT3648">
        <v>512</v>
      </c>
      <c r="BB3648">
        <v>1200</v>
      </c>
      <c r="BC3648">
        <v>1</v>
      </c>
      <c r="BD3648" t="str">
        <f t="shared" si="1312"/>
        <v xml:space="preserve">N887QR  </v>
      </c>
      <c r="BE3648">
        <v>1</v>
      </c>
      <c r="BG3648">
        <v>0</v>
      </c>
      <c r="BH3648">
        <v>0</v>
      </c>
      <c r="BI3648">
        <v>0</v>
      </c>
      <c r="BJ3648">
        <v>4325</v>
      </c>
      <c r="BK3648">
        <v>-175</v>
      </c>
      <c r="BL3648" t="s">
        <v>163</v>
      </c>
      <c r="BM3648">
        <v>1</v>
      </c>
      <c r="BN3648">
        <v>1</v>
      </c>
      <c r="BO3648">
        <v>1</v>
      </c>
      <c r="BP3648">
        <v>0</v>
      </c>
      <c r="BS3648">
        <v>0</v>
      </c>
      <c r="BT3648">
        <v>0</v>
      </c>
      <c r="BU3648">
        <v>0</v>
      </c>
      <c r="CE3648" t="str">
        <f t="shared" si="1337"/>
        <v>19:35:20.919</v>
      </c>
      <c r="CF3648">
        <v>918547458</v>
      </c>
      <c r="CS3648">
        <v>0</v>
      </c>
      <c r="CT3648">
        <v>2</v>
      </c>
      <c r="CU3648">
        <v>0</v>
      </c>
      <c r="CV3648">
        <v>2</v>
      </c>
      <c r="CW3648">
        <v>0</v>
      </c>
      <c r="CX3648">
        <v>5</v>
      </c>
      <c r="CY3648">
        <v>7</v>
      </c>
      <c r="CZ3648" t="s">
        <v>131</v>
      </c>
      <c r="DA3648">
        <v>286</v>
      </c>
      <c r="DB3648">
        <v>0</v>
      </c>
      <c r="DC3648" t="s">
        <v>132</v>
      </c>
      <c r="DD3648" t="s">
        <v>133</v>
      </c>
      <c r="DG3648">
        <v>885923</v>
      </c>
      <c r="DI3648">
        <v>1</v>
      </c>
      <c r="DJ3648">
        <v>0</v>
      </c>
      <c r="DK3648">
        <v>1</v>
      </c>
      <c r="DL3648">
        <v>0</v>
      </c>
      <c r="DM3648">
        <v>0</v>
      </c>
      <c r="DN3648">
        <v>1</v>
      </c>
      <c r="DO3648">
        <v>0</v>
      </c>
      <c r="DP3648">
        <v>0</v>
      </c>
      <c r="DQ3648">
        <v>0</v>
      </c>
      <c r="DR3648">
        <v>0</v>
      </c>
      <c r="DS3648">
        <v>0</v>
      </c>
    </row>
    <row r="3649" spans="1:123" x14ac:dyDescent="0.3">
      <c r="A3649" t="str">
        <f t="shared" ref="A3649:A3655" si="1338">"10/04/2022 19:35:22.479"</f>
        <v>10/04/2022 19:35:22.479</v>
      </c>
      <c r="C3649" t="str">
        <f t="shared" si="1330"/>
        <v>FFDFD3C0</v>
      </c>
      <c r="D3649" t="s">
        <v>147</v>
      </c>
      <c r="E3649">
        <v>3</v>
      </c>
      <c r="H3649">
        <v>166</v>
      </c>
      <c r="I3649" t="s">
        <v>144</v>
      </c>
      <c r="J3649" t="s">
        <v>148</v>
      </c>
      <c r="K3649">
        <v>0</v>
      </c>
      <c r="L3649">
        <v>3</v>
      </c>
      <c r="M3649">
        <v>0</v>
      </c>
      <c r="N3649">
        <v>2</v>
      </c>
      <c r="O3649">
        <v>0</v>
      </c>
      <c r="P3649">
        <v>1</v>
      </c>
      <c r="Q3649">
        <v>0</v>
      </c>
      <c r="S3649" t="str">
        <f t="shared" ref="S3649:T3655" si="1339">"19:35:22.000"</f>
        <v>19:35:22.000</v>
      </c>
      <c r="T3649" t="str">
        <f t="shared" si="1339"/>
        <v>19:35:22.000</v>
      </c>
      <c r="U3649" t="str">
        <f t="shared" si="1311"/>
        <v>AC3944</v>
      </c>
      <c r="V3649">
        <v>0</v>
      </c>
      <c r="W3649">
        <v>0</v>
      </c>
      <c r="X3649">
        <v>2</v>
      </c>
      <c r="Y3649">
        <v>0</v>
      </c>
      <c r="AA3649">
        <v>1</v>
      </c>
      <c r="AB3649">
        <v>8</v>
      </c>
      <c r="AC3649">
        <v>3</v>
      </c>
      <c r="AD3649">
        <v>0</v>
      </c>
      <c r="AE3649">
        <v>9</v>
      </c>
      <c r="AF3649" t="s">
        <v>138</v>
      </c>
      <c r="AG3649">
        <v>0</v>
      </c>
      <c r="AH3649">
        <v>3</v>
      </c>
      <c r="AI3649">
        <v>1</v>
      </c>
      <c r="AJ3649">
        <v>0</v>
      </c>
      <c r="AK3649" t="s">
        <v>1193</v>
      </c>
      <c r="AL3649">
        <v>32.736533000000001</v>
      </c>
      <c r="AM3649" t="s">
        <v>1194</v>
      </c>
      <c r="AN3649">
        <v>-116.720574</v>
      </c>
      <c r="AO3649">
        <v>25</v>
      </c>
      <c r="AP3649">
        <v>4500</v>
      </c>
      <c r="AQ3649" t="s">
        <v>129</v>
      </c>
      <c r="AR3649">
        <v>121</v>
      </c>
      <c r="AS3649">
        <v>18</v>
      </c>
      <c r="AT3649">
        <v>512</v>
      </c>
      <c r="BB3649">
        <v>1200</v>
      </c>
      <c r="BC3649">
        <v>1</v>
      </c>
      <c r="BD3649" t="str">
        <f t="shared" si="1312"/>
        <v xml:space="preserve">N887QR  </v>
      </c>
      <c r="BE3649">
        <v>1</v>
      </c>
      <c r="BG3649">
        <v>0</v>
      </c>
      <c r="BH3649">
        <v>0</v>
      </c>
      <c r="BI3649">
        <v>0</v>
      </c>
      <c r="BJ3649">
        <v>4350</v>
      </c>
      <c r="BK3649">
        <v>-150</v>
      </c>
      <c r="BL3649" t="s">
        <v>163</v>
      </c>
      <c r="BM3649">
        <v>1</v>
      </c>
      <c r="BN3649">
        <v>1</v>
      </c>
      <c r="BO3649">
        <v>1</v>
      </c>
      <c r="BP3649">
        <v>0</v>
      </c>
      <c r="BS3649">
        <v>0</v>
      </c>
      <c r="BT3649">
        <v>0</v>
      </c>
      <c r="BU3649">
        <v>0</v>
      </c>
      <c r="CE3649" t="str">
        <f t="shared" ref="CE3649:CE3655" si="1340">"19:35:22.121"</f>
        <v>19:35:22.121</v>
      </c>
      <c r="CF3649">
        <v>121363524</v>
      </c>
      <c r="CS3649">
        <v>0</v>
      </c>
      <c r="CT3649">
        <v>2</v>
      </c>
      <c r="CU3649">
        <v>0</v>
      </c>
      <c r="CV3649">
        <v>2</v>
      </c>
      <c r="CW3649">
        <v>0</v>
      </c>
      <c r="CX3649">
        <v>5</v>
      </c>
      <c r="CY3649">
        <v>7</v>
      </c>
      <c r="CZ3649" t="s">
        <v>131</v>
      </c>
      <c r="DA3649">
        <v>300</v>
      </c>
      <c r="DB3649">
        <v>0</v>
      </c>
      <c r="DC3649" t="s">
        <v>176</v>
      </c>
      <c r="DD3649" t="s">
        <v>177</v>
      </c>
      <c r="DG3649">
        <v>5444156</v>
      </c>
      <c r="DI3649">
        <v>1</v>
      </c>
      <c r="DJ3649">
        <v>0</v>
      </c>
      <c r="DK3649">
        <v>0</v>
      </c>
      <c r="DL3649">
        <v>0</v>
      </c>
      <c r="DM3649">
        <v>0</v>
      </c>
      <c r="DN3649">
        <v>1</v>
      </c>
      <c r="DO3649">
        <v>0</v>
      </c>
      <c r="DP3649">
        <v>0</v>
      </c>
      <c r="DQ3649">
        <v>0</v>
      </c>
      <c r="DR3649">
        <v>0</v>
      </c>
      <c r="DS3649">
        <v>0</v>
      </c>
    </row>
    <row r="3650" spans="1:123" x14ac:dyDescent="0.3">
      <c r="A3650" t="str">
        <f t="shared" si="1338"/>
        <v>10/04/2022 19:35:22.479</v>
      </c>
      <c r="C3650" t="str">
        <f t="shared" si="1330"/>
        <v>FFDFD3C0</v>
      </c>
      <c r="D3650" t="s">
        <v>136</v>
      </c>
      <c r="E3650">
        <v>8</v>
      </c>
      <c r="H3650">
        <v>225</v>
      </c>
      <c r="I3650" t="s">
        <v>137</v>
      </c>
      <c r="J3650" t="s">
        <v>138</v>
      </c>
      <c r="K3650">
        <v>0</v>
      </c>
      <c r="L3650">
        <v>3</v>
      </c>
      <c r="M3650">
        <v>0</v>
      </c>
      <c r="N3650">
        <v>2</v>
      </c>
      <c r="O3650">
        <v>0</v>
      </c>
      <c r="P3650">
        <v>1</v>
      </c>
      <c r="Q3650">
        <v>0</v>
      </c>
      <c r="S3650" t="str">
        <f t="shared" si="1339"/>
        <v>19:35:22.000</v>
      </c>
      <c r="T3650" t="str">
        <f t="shared" si="1339"/>
        <v>19:35:22.000</v>
      </c>
      <c r="U3650" t="str">
        <f t="shared" ref="U3650:U3713" si="1341">"AC3944"</f>
        <v>AC3944</v>
      </c>
      <c r="V3650">
        <v>0</v>
      </c>
      <c r="W3650">
        <v>0</v>
      </c>
      <c r="X3650">
        <v>2</v>
      </c>
      <c r="Y3650">
        <v>0</v>
      </c>
      <c r="AA3650">
        <v>1</v>
      </c>
      <c r="AB3650">
        <v>8</v>
      </c>
      <c r="AC3650">
        <v>3</v>
      </c>
      <c r="AD3650">
        <v>0</v>
      </c>
      <c r="AE3650">
        <v>9</v>
      </c>
      <c r="AF3650" t="s">
        <v>138</v>
      </c>
      <c r="AG3650">
        <v>0</v>
      </c>
      <c r="AH3650">
        <v>3</v>
      </c>
      <c r="AI3650">
        <v>1</v>
      </c>
      <c r="AJ3650">
        <v>0</v>
      </c>
      <c r="AK3650" t="s">
        <v>1193</v>
      </c>
      <c r="AL3650">
        <v>32.736533000000001</v>
      </c>
      <c r="AM3650" t="s">
        <v>1194</v>
      </c>
      <c r="AN3650">
        <v>-116.720574</v>
      </c>
      <c r="AO3650">
        <v>25</v>
      </c>
      <c r="AP3650">
        <v>4500</v>
      </c>
      <c r="AQ3650" t="s">
        <v>129</v>
      </c>
      <c r="AR3650">
        <v>121</v>
      </c>
      <c r="AS3650">
        <v>18</v>
      </c>
      <c r="AT3650">
        <v>512</v>
      </c>
      <c r="BB3650">
        <v>1200</v>
      </c>
      <c r="BC3650">
        <v>1</v>
      </c>
      <c r="BD3650" t="str">
        <f t="shared" ref="BD3650:BD3713" si="1342">"N887QR  "</f>
        <v xml:space="preserve">N887QR  </v>
      </c>
      <c r="BE3650">
        <v>1</v>
      </c>
      <c r="BG3650">
        <v>0</v>
      </c>
      <c r="BH3650">
        <v>0</v>
      </c>
      <c r="BI3650">
        <v>0</v>
      </c>
      <c r="BJ3650">
        <v>4350</v>
      </c>
      <c r="BK3650">
        <v>-150</v>
      </c>
      <c r="BL3650" t="s">
        <v>163</v>
      </c>
      <c r="BM3650">
        <v>1</v>
      </c>
      <c r="BN3650">
        <v>1</v>
      </c>
      <c r="BO3650">
        <v>1</v>
      </c>
      <c r="BP3650">
        <v>0</v>
      </c>
      <c r="BS3650">
        <v>0</v>
      </c>
      <c r="BT3650">
        <v>0</v>
      </c>
      <c r="BU3650">
        <v>0</v>
      </c>
      <c r="CE3650" t="str">
        <f t="shared" si="1340"/>
        <v>19:35:22.121</v>
      </c>
      <c r="CF3650">
        <v>121363524</v>
      </c>
      <c r="CS3650">
        <v>0</v>
      </c>
      <c r="CT3650">
        <v>2</v>
      </c>
      <c r="CU3650">
        <v>0</v>
      </c>
      <c r="CV3650">
        <v>2</v>
      </c>
      <c r="CW3650">
        <v>0</v>
      </c>
      <c r="CX3650">
        <v>5</v>
      </c>
      <c r="CY3650">
        <v>7</v>
      </c>
      <c r="CZ3650" t="s">
        <v>131</v>
      </c>
      <c r="DA3650">
        <v>300</v>
      </c>
      <c r="DB3650">
        <v>0</v>
      </c>
      <c r="DC3650" t="s">
        <v>176</v>
      </c>
      <c r="DD3650" t="s">
        <v>177</v>
      </c>
      <c r="DG3650">
        <v>5444156</v>
      </c>
      <c r="DI3650">
        <v>1</v>
      </c>
      <c r="DJ3650">
        <v>0</v>
      </c>
      <c r="DK3650">
        <v>1</v>
      </c>
      <c r="DL3650">
        <v>0</v>
      </c>
      <c r="DM3650">
        <v>0</v>
      </c>
      <c r="DN3650">
        <v>1</v>
      </c>
      <c r="DO3650">
        <v>0</v>
      </c>
      <c r="DP3650">
        <v>0</v>
      </c>
      <c r="DQ3650">
        <v>0</v>
      </c>
      <c r="DR3650">
        <v>0</v>
      </c>
      <c r="DS3650">
        <v>0</v>
      </c>
    </row>
    <row r="3651" spans="1:123" x14ac:dyDescent="0.3">
      <c r="A3651" t="str">
        <f t="shared" si="1338"/>
        <v>10/04/2022 19:35:22.479</v>
      </c>
      <c r="C3651" t="str">
        <f t="shared" si="1330"/>
        <v>FFDFD3C0</v>
      </c>
      <c r="D3651" t="s">
        <v>141</v>
      </c>
      <c r="E3651">
        <v>3</v>
      </c>
      <c r="H3651">
        <v>3</v>
      </c>
      <c r="I3651" t="s">
        <v>146</v>
      </c>
      <c r="J3651" t="s">
        <v>138</v>
      </c>
      <c r="K3651">
        <v>0</v>
      </c>
      <c r="L3651">
        <v>3</v>
      </c>
      <c r="M3651">
        <v>0</v>
      </c>
      <c r="N3651">
        <v>2</v>
      </c>
      <c r="O3651">
        <v>0</v>
      </c>
      <c r="P3651">
        <v>1</v>
      </c>
      <c r="Q3651">
        <v>0</v>
      </c>
      <c r="S3651" t="str">
        <f t="shared" si="1339"/>
        <v>19:35:22.000</v>
      </c>
      <c r="T3651" t="str">
        <f t="shared" si="1339"/>
        <v>19:35:22.000</v>
      </c>
      <c r="U3651" t="str">
        <f t="shared" si="1341"/>
        <v>AC3944</v>
      </c>
      <c r="V3651">
        <v>0</v>
      </c>
      <c r="W3651">
        <v>0</v>
      </c>
      <c r="X3651">
        <v>2</v>
      </c>
      <c r="Y3651">
        <v>0</v>
      </c>
      <c r="AA3651">
        <v>1</v>
      </c>
      <c r="AB3651">
        <v>8</v>
      </c>
      <c r="AC3651">
        <v>3</v>
      </c>
      <c r="AD3651">
        <v>0</v>
      </c>
      <c r="AE3651">
        <v>9</v>
      </c>
      <c r="AF3651" t="s">
        <v>138</v>
      </c>
      <c r="AG3651">
        <v>0</v>
      </c>
      <c r="AH3651">
        <v>3</v>
      </c>
      <c r="AI3651">
        <v>1</v>
      </c>
      <c r="AJ3651">
        <v>0</v>
      </c>
      <c r="AK3651" t="s">
        <v>1193</v>
      </c>
      <c r="AL3651">
        <v>32.736533000000001</v>
      </c>
      <c r="AM3651" t="s">
        <v>1194</v>
      </c>
      <c r="AN3651">
        <v>-116.720574</v>
      </c>
      <c r="AO3651">
        <v>25</v>
      </c>
      <c r="AP3651">
        <v>4500</v>
      </c>
      <c r="AQ3651" t="s">
        <v>129</v>
      </c>
      <c r="AR3651">
        <v>121</v>
      </c>
      <c r="AS3651">
        <v>18</v>
      </c>
      <c r="AT3651">
        <v>512</v>
      </c>
      <c r="BB3651">
        <v>1200</v>
      </c>
      <c r="BC3651">
        <v>1</v>
      </c>
      <c r="BD3651" t="str">
        <f t="shared" si="1342"/>
        <v xml:space="preserve">N887QR  </v>
      </c>
      <c r="BE3651">
        <v>1</v>
      </c>
      <c r="BG3651">
        <v>0</v>
      </c>
      <c r="BH3651">
        <v>0</v>
      </c>
      <c r="BI3651">
        <v>0</v>
      </c>
      <c r="BJ3651">
        <v>4350</v>
      </c>
      <c r="BK3651">
        <v>-150</v>
      </c>
      <c r="BL3651" t="s">
        <v>163</v>
      </c>
      <c r="BM3651">
        <v>1</v>
      </c>
      <c r="BN3651">
        <v>1</v>
      </c>
      <c r="BO3651">
        <v>1</v>
      </c>
      <c r="BP3651">
        <v>0</v>
      </c>
      <c r="BS3651">
        <v>0</v>
      </c>
      <c r="BT3651">
        <v>0</v>
      </c>
      <c r="BU3651">
        <v>0</v>
      </c>
      <c r="CE3651" t="str">
        <f t="shared" si="1340"/>
        <v>19:35:22.121</v>
      </c>
      <c r="CF3651">
        <v>121363524</v>
      </c>
      <c r="CS3651">
        <v>0</v>
      </c>
      <c r="CT3651">
        <v>2</v>
      </c>
      <c r="CU3651">
        <v>0</v>
      </c>
      <c r="CV3651">
        <v>2</v>
      </c>
      <c r="CW3651">
        <v>0</v>
      </c>
      <c r="CX3651">
        <v>5</v>
      </c>
      <c r="CY3651">
        <v>7</v>
      </c>
      <c r="CZ3651" t="s">
        <v>131</v>
      </c>
      <c r="DA3651">
        <v>300</v>
      </c>
      <c r="DB3651">
        <v>0</v>
      </c>
      <c r="DC3651" t="s">
        <v>176</v>
      </c>
      <c r="DD3651" t="s">
        <v>177</v>
      </c>
      <c r="DG3651">
        <v>5444156</v>
      </c>
      <c r="DI3651">
        <v>1</v>
      </c>
      <c r="DJ3651">
        <v>0</v>
      </c>
      <c r="DK3651">
        <v>1</v>
      </c>
      <c r="DL3651">
        <v>0</v>
      </c>
      <c r="DM3651">
        <v>0</v>
      </c>
      <c r="DN3651">
        <v>1</v>
      </c>
      <c r="DO3651">
        <v>0</v>
      </c>
      <c r="DP3651">
        <v>0</v>
      </c>
      <c r="DQ3651">
        <v>0</v>
      </c>
      <c r="DR3651">
        <v>0</v>
      </c>
      <c r="DS3651">
        <v>0</v>
      </c>
    </row>
    <row r="3652" spans="1:123" x14ac:dyDescent="0.3">
      <c r="A3652" t="str">
        <f t="shared" si="1338"/>
        <v>10/04/2022 19:35:22.479</v>
      </c>
      <c r="C3652" t="str">
        <f t="shared" si="1330"/>
        <v>FFDFD3C0</v>
      </c>
      <c r="D3652" t="s">
        <v>141</v>
      </c>
      <c r="E3652">
        <v>4</v>
      </c>
      <c r="H3652">
        <v>4</v>
      </c>
      <c r="I3652" t="s">
        <v>142</v>
      </c>
      <c r="J3652" t="s">
        <v>138</v>
      </c>
      <c r="K3652">
        <v>0</v>
      </c>
      <c r="L3652">
        <v>3</v>
      </c>
      <c r="M3652">
        <v>0</v>
      </c>
      <c r="N3652">
        <v>2</v>
      </c>
      <c r="O3652">
        <v>0</v>
      </c>
      <c r="P3652">
        <v>1</v>
      </c>
      <c r="Q3652">
        <v>0</v>
      </c>
      <c r="S3652" t="str">
        <f t="shared" si="1339"/>
        <v>19:35:22.000</v>
      </c>
      <c r="T3652" t="str">
        <f t="shared" si="1339"/>
        <v>19:35:22.000</v>
      </c>
      <c r="U3652" t="str">
        <f t="shared" si="1341"/>
        <v>AC3944</v>
      </c>
      <c r="V3652">
        <v>0</v>
      </c>
      <c r="W3652">
        <v>0</v>
      </c>
      <c r="X3652">
        <v>2</v>
      </c>
      <c r="Y3652">
        <v>0</v>
      </c>
      <c r="AA3652">
        <v>1</v>
      </c>
      <c r="AB3652">
        <v>8</v>
      </c>
      <c r="AC3652">
        <v>3</v>
      </c>
      <c r="AD3652">
        <v>0</v>
      </c>
      <c r="AE3652">
        <v>9</v>
      </c>
      <c r="AF3652" t="s">
        <v>138</v>
      </c>
      <c r="AG3652">
        <v>0</v>
      </c>
      <c r="AH3652">
        <v>3</v>
      </c>
      <c r="AI3652">
        <v>1</v>
      </c>
      <c r="AJ3652">
        <v>0</v>
      </c>
      <c r="AK3652" t="s">
        <v>1193</v>
      </c>
      <c r="AL3652">
        <v>32.736533000000001</v>
      </c>
      <c r="AM3652" t="s">
        <v>1194</v>
      </c>
      <c r="AN3652">
        <v>-116.720574</v>
      </c>
      <c r="AO3652">
        <v>25</v>
      </c>
      <c r="AP3652">
        <v>4500</v>
      </c>
      <c r="AQ3652" t="s">
        <v>129</v>
      </c>
      <c r="AR3652">
        <v>121</v>
      </c>
      <c r="AS3652">
        <v>18</v>
      </c>
      <c r="AT3652">
        <v>512</v>
      </c>
      <c r="BB3652">
        <v>1200</v>
      </c>
      <c r="BC3652">
        <v>1</v>
      </c>
      <c r="BD3652" t="str">
        <f t="shared" si="1342"/>
        <v xml:space="preserve">N887QR  </v>
      </c>
      <c r="BE3652">
        <v>1</v>
      </c>
      <c r="BG3652">
        <v>0</v>
      </c>
      <c r="BH3652">
        <v>0</v>
      </c>
      <c r="BI3652">
        <v>0</v>
      </c>
      <c r="BJ3652">
        <v>4350</v>
      </c>
      <c r="BK3652">
        <v>-150</v>
      </c>
      <c r="BL3652" t="s">
        <v>163</v>
      </c>
      <c r="BM3652">
        <v>1</v>
      </c>
      <c r="BN3652">
        <v>1</v>
      </c>
      <c r="BO3652">
        <v>1</v>
      </c>
      <c r="BP3652">
        <v>0</v>
      </c>
      <c r="BS3652">
        <v>0</v>
      </c>
      <c r="BT3652">
        <v>0</v>
      </c>
      <c r="BU3652">
        <v>0</v>
      </c>
      <c r="CE3652" t="str">
        <f t="shared" si="1340"/>
        <v>19:35:22.121</v>
      </c>
      <c r="CF3652">
        <v>121363524</v>
      </c>
      <c r="CS3652">
        <v>0</v>
      </c>
      <c r="CT3652">
        <v>2</v>
      </c>
      <c r="CU3652">
        <v>0</v>
      </c>
      <c r="CV3652">
        <v>2</v>
      </c>
      <c r="CW3652">
        <v>0</v>
      </c>
      <c r="CX3652">
        <v>5</v>
      </c>
      <c r="CY3652">
        <v>7</v>
      </c>
      <c r="CZ3652" t="s">
        <v>131</v>
      </c>
      <c r="DA3652">
        <v>300</v>
      </c>
      <c r="DB3652">
        <v>0</v>
      </c>
      <c r="DC3652" t="s">
        <v>176</v>
      </c>
      <c r="DD3652" t="s">
        <v>177</v>
      </c>
      <c r="DG3652">
        <v>5444156</v>
      </c>
      <c r="DI3652">
        <v>1</v>
      </c>
      <c r="DJ3652">
        <v>0</v>
      </c>
      <c r="DK3652">
        <v>1</v>
      </c>
      <c r="DL3652">
        <v>0</v>
      </c>
      <c r="DM3652">
        <v>0</v>
      </c>
      <c r="DN3652">
        <v>1</v>
      </c>
      <c r="DO3652">
        <v>0</v>
      </c>
      <c r="DP3652">
        <v>0</v>
      </c>
      <c r="DQ3652">
        <v>0</v>
      </c>
      <c r="DR3652">
        <v>0</v>
      </c>
      <c r="DS3652">
        <v>0</v>
      </c>
    </row>
    <row r="3653" spans="1:123" x14ac:dyDescent="0.3">
      <c r="A3653" t="str">
        <f t="shared" si="1338"/>
        <v>10/04/2022 19:35:22.479</v>
      </c>
      <c r="C3653" t="str">
        <f t="shared" si="1330"/>
        <v>FFDFD3C0</v>
      </c>
      <c r="D3653" t="s">
        <v>143</v>
      </c>
      <c r="E3653">
        <v>20</v>
      </c>
      <c r="F3653">
        <v>1020</v>
      </c>
      <c r="G3653" t="s">
        <v>144</v>
      </c>
      <c r="J3653" t="s">
        <v>145</v>
      </c>
      <c r="K3653">
        <v>0</v>
      </c>
      <c r="L3653">
        <v>3</v>
      </c>
      <c r="M3653">
        <v>0</v>
      </c>
      <c r="N3653">
        <v>2</v>
      </c>
      <c r="O3653">
        <v>0</v>
      </c>
      <c r="P3653">
        <v>1</v>
      </c>
      <c r="Q3653">
        <v>0</v>
      </c>
      <c r="S3653" t="str">
        <f t="shared" si="1339"/>
        <v>19:35:22.000</v>
      </c>
      <c r="T3653" t="str">
        <f t="shared" si="1339"/>
        <v>19:35:22.000</v>
      </c>
      <c r="U3653" t="str">
        <f t="shared" si="1341"/>
        <v>AC3944</v>
      </c>
      <c r="V3653">
        <v>0</v>
      </c>
      <c r="W3653">
        <v>0</v>
      </c>
      <c r="X3653">
        <v>2</v>
      </c>
      <c r="Y3653">
        <v>0</v>
      </c>
      <c r="AA3653">
        <v>1</v>
      </c>
      <c r="AB3653">
        <v>8</v>
      </c>
      <c r="AC3653">
        <v>3</v>
      </c>
      <c r="AD3653">
        <v>0</v>
      </c>
      <c r="AE3653">
        <v>9</v>
      </c>
      <c r="AF3653" t="s">
        <v>138</v>
      </c>
      <c r="AG3653">
        <v>0</v>
      </c>
      <c r="AH3653">
        <v>3</v>
      </c>
      <c r="AI3653">
        <v>1</v>
      </c>
      <c r="AJ3653">
        <v>0</v>
      </c>
      <c r="AK3653" t="s">
        <v>1193</v>
      </c>
      <c r="AL3653">
        <v>32.736533000000001</v>
      </c>
      <c r="AM3653" t="s">
        <v>1194</v>
      </c>
      <c r="AN3653">
        <v>-116.720574</v>
      </c>
      <c r="AO3653">
        <v>25</v>
      </c>
      <c r="AP3653">
        <v>4500</v>
      </c>
      <c r="AQ3653" t="s">
        <v>129</v>
      </c>
      <c r="AR3653">
        <v>121</v>
      </c>
      <c r="AS3653">
        <v>18</v>
      </c>
      <c r="AT3653">
        <v>512</v>
      </c>
      <c r="BB3653">
        <v>1200</v>
      </c>
      <c r="BC3653">
        <v>1</v>
      </c>
      <c r="BD3653" t="str">
        <f t="shared" si="1342"/>
        <v xml:space="preserve">N887QR  </v>
      </c>
      <c r="BE3653">
        <v>1</v>
      </c>
      <c r="BG3653">
        <v>0</v>
      </c>
      <c r="BH3653">
        <v>0</v>
      </c>
      <c r="BI3653">
        <v>0</v>
      </c>
      <c r="BJ3653">
        <v>4350</v>
      </c>
      <c r="BK3653">
        <v>-150</v>
      </c>
      <c r="BL3653" t="s">
        <v>163</v>
      </c>
      <c r="BM3653">
        <v>1</v>
      </c>
      <c r="BN3653">
        <v>1</v>
      </c>
      <c r="BO3653">
        <v>1</v>
      </c>
      <c r="BP3653">
        <v>0</v>
      </c>
      <c r="BS3653">
        <v>0</v>
      </c>
      <c r="BT3653">
        <v>0</v>
      </c>
      <c r="BU3653">
        <v>0</v>
      </c>
      <c r="CE3653" t="str">
        <f t="shared" si="1340"/>
        <v>19:35:22.121</v>
      </c>
      <c r="CF3653">
        <v>121363524</v>
      </c>
      <c r="CS3653">
        <v>0</v>
      </c>
      <c r="CT3653">
        <v>2</v>
      </c>
      <c r="CU3653">
        <v>0</v>
      </c>
      <c r="CV3653">
        <v>2</v>
      </c>
      <c r="CW3653">
        <v>0</v>
      </c>
      <c r="CX3653">
        <v>5</v>
      </c>
      <c r="CY3653">
        <v>7</v>
      </c>
      <c r="CZ3653" t="s">
        <v>131</v>
      </c>
      <c r="DA3653">
        <v>300</v>
      </c>
      <c r="DB3653">
        <v>0</v>
      </c>
      <c r="DC3653" t="s">
        <v>176</v>
      </c>
      <c r="DD3653" t="s">
        <v>177</v>
      </c>
      <c r="DG3653">
        <v>5444156</v>
      </c>
      <c r="DI3653">
        <v>1</v>
      </c>
      <c r="DJ3653">
        <v>0</v>
      </c>
      <c r="DK3653">
        <v>0</v>
      </c>
      <c r="DL3653">
        <v>0</v>
      </c>
      <c r="DM3653">
        <v>0</v>
      </c>
      <c r="DN3653">
        <v>1</v>
      </c>
      <c r="DO3653">
        <v>0</v>
      </c>
      <c r="DP3653">
        <v>0</v>
      </c>
      <c r="DQ3653">
        <v>0</v>
      </c>
      <c r="DR3653">
        <v>0</v>
      </c>
      <c r="DS3653">
        <v>0</v>
      </c>
    </row>
    <row r="3654" spans="1:123" x14ac:dyDescent="0.3">
      <c r="A3654" t="str">
        <f t="shared" si="1338"/>
        <v>10/04/2022 19:35:22.479</v>
      </c>
      <c r="C3654" t="str">
        <f t="shared" si="1330"/>
        <v>FFDFD3C0</v>
      </c>
      <c r="D3654" t="s">
        <v>134</v>
      </c>
      <c r="E3654">
        <v>15</v>
      </c>
      <c r="J3654" t="s">
        <v>135</v>
      </c>
      <c r="K3654">
        <v>0</v>
      </c>
      <c r="L3654">
        <v>3</v>
      </c>
      <c r="M3654">
        <v>0</v>
      </c>
      <c r="N3654">
        <v>2</v>
      </c>
      <c r="O3654">
        <v>0</v>
      </c>
      <c r="P3654">
        <v>1</v>
      </c>
      <c r="Q3654">
        <v>0</v>
      </c>
      <c r="S3654" t="str">
        <f t="shared" si="1339"/>
        <v>19:35:22.000</v>
      </c>
      <c r="T3654" t="str">
        <f t="shared" si="1339"/>
        <v>19:35:22.000</v>
      </c>
      <c r="U3654" t="str">
        <f t="shared" si="1341"/>
        <v>AC3944</v>
      </c>
      <c r="V3654">
        <v>0</v>
      </c>
      <c r="W3654">
        <v>0</v>
      </c>
      <c r="X3654">
        <v>2</v>
      </c>
      <c r="Y3654">
        <v>0</v>
      </c>
      <c r="AA3654">
        <v>1</v>
      </c>
      <c r="AB3654">
        <v>8</v>
      </c>
      <c r="AC3654">
        <v>3</v>
      </c>
      <c r="AD3654">
        <v>0</v>
      </c>
      <c r="AE3654">
        <v>9</v>
      </c>
      <c r="AF3654" t="s">
        <v>138</v>
      </c>
      <c r="AG3654">
        <v>0</v>
      </c>
      <c r="AH3654">
        <v>3</v>
      </c>
      <c r="AI3654">
        <v>1</v>
      </c>
      <c r="AJ3654">
        <v>0</v>
      </c>
      <c r="AK3654" t="s">
        <v>1193</v>
      </c>
      <c r="AL3654">
        <v>32.736533000000001</v>
      </c>
      <c r="AM3654" t="s">
        <v>1194</v>
      </c>
      <c r="AN3654">
        <v>-116.720574</v>
      </c>
      <c r="AO3654">
        <v>25</v>
      </c>
      <c r="AP3654">
        <v>4500</v>
      </c>
      <c r="AQ3654" t="s">
        <v>129</v>
      </c>
      <c r="AR3654">
        <v>121</v>
      </c>
      <c r="AS3654">
        <v>18</v>
      </c>
      <c r="AT3654">
        <v>512</v>
      </c>
      <c r="BB3654">
        <v>1200</v>
      </c>
      <c r="BC3654">
        <v>1</v>
      </c>
      <c r="BD3654" t="str">
        <f t="shared" si="1342"/>
        <v xml:space="preserve">N887QR  </v>
      </c>
      <c r="BE3654">
        <v>1</v>
      </c>
      <c r="BG3654">
        <v>0</v>
      </c>
      <c r="BH3654">
        <v>0</v>
      </c>
      <c r="BI3654">
        <v>0</v>
      </c>
      <c r="BJ3654">
        <v>4350</v>
      </c>
      <c r="BK3654">
        <v>-150</v>
      </c>
      <c r="BL3654" t="s">
        <v>163</v>
      </c>
      <c r="BM3654">
        <v>1</v>
      </c>
      <c r="BN3654">
        <v>1</v>
      </c>
      <c r="BO3654">
        <v>1</v>
      </c>
      <c r="BP3654">
        <v>0</v>
      </c>
      <c r="BS3654">
        <v>0</v>
      </c>
      <c r="BT3654">
        <v>0</v>
      </c>
      <c r="BU3654">
        <v>0</v>
      </c>
      <c r="CE3654" t="str">
        <f t="shared" si="1340"/>
        <v>19:35:22.121</v>
      </c>
      <c r="CF3654">
        <v>121363524</v>
      </c>
      <c r="CS3654">
        <v>0</v>
      </c>
      <c r="CT3654">
        <v>2</v>
      </c>
      <c r="CU3654">
        <v>0</v>
      </c>
      <c r="CV3654">
        <v>2</v>
      </c>
      <c r="CW3654">
        <v>0</v>
      </c>
      <c r="CX3654">
        <v>5</v>
      </c>
      <c r="CY3654">
        <v>7</v>
      </c>
      <c r="CZ3654" t="s">
        <v>131</v>
      </c>
      <c r="DA3654">
        <v>300</v>
      </c>
      <c r="DB3654">
        <v>0</v>
      </c>
      <c r="DC3654" t="s">
        <v>176</v>
      </c>
      <c r="DD3654" t="s">
        <v>177</v>
      </c>
      <c r="DG3654">
        <v>5444156</v>
      </c>
      <c r="DI3654">
        <v>1</v>
      </c>
      <c r="DJ3654">
        <v>0</v>
      </c>
      <c r="DK3654">
        <v>1</v>
      </c>
      <c r="DL3654">
        <v>0</v>
      </c>
      <c r="DM3654">
        <v>0</v>
      </c>
      <c r="DN3654">
        <v>1</v>
      </c>
      <c r="DO3654">
        <v>0</v>
      </c>
      <c r="DP3654">
        <v>0</v>
      </c>
      <c r="DQ3654">
        <v>0</v>
      </c>
      <c r="DR3654">
        <v>0</v>
      </c>
      <c r="DS3654">
        <v>0</v>
      </c>
    </row>
    <row r="3655" spans="1:123" x14ac:dyDescent="0.3">
      <c r="A3655" t="str">
        <f t="shared" si="1338"/>
        <v>10/04/2022 19:35:22.479</v>
      </c>
      <c r="C3655" t="str">
        <f t="shared" si="1330"/>
        <v>FFDFD3C0</v>
      </c>
      <c r="D3655" t="s">
        <v>123</v>
      </c>
      <c r="E3655">
        <v>7</v>
      </c>
      <c r="F3655">
        <v>2007</v>
      </c>
      <c r="G3655" t="s">
        <v>124</v>
      </c>
      <c r="J3655" t="s">
        <v>125</v>
      </c>
      <c r="K3655">
        <v>0</v>
      </c>
      <c r="L3655">
        <v>3</v>
      </c>
      <c r="M3655">
        <v>0</v>
      </c>
      <c r="N3655">
        <v>2</v>
      </c>
      <c r="O3655">
        <v>0</v>
      </c>
      <c r="P3655">
        <v>1</v>
      </c>
      <c r="Q3655">
        <v>0</v>
      </c>
      <c r="S3655" t="str">
        <f t="shared" si="1339"/>
        <v>19:35:22.000</v>
      </c>
      <c r="T3655" t="str">
        <f t="shared" si="1339"/>
        <v>19:35:22.000</v>
      </c>
      <c r="U3655" t="str">
        <f t="shared" si="1341"/>
        <v>AC3944</v>
      </c>
      <c r="V3655">
        <v>0</v>
      </c>
      <c r="W3655">
        <v>0</v>
      </c>
      <c r="X3655">
        <v>2</v>
      </c>
      <c r="Y3655">
        <v>0</v>
      </c>
      <c r="AA3655">
        <v>1</v>
      </c>
      <c r="AB3655">
        <v>8</v>
      </c>
      <c r="AC3655">
        <v>3</v>
      </c>
      <c r="AD3655">
        <v>0</v>
      </c>
      <c r="AE3655">
        <v>9</v>
      </c>
      <c r="AF3655" t="s">
        <v>138</v>
      </c>
      <c r="AG3655">
        <v>0</v>
      </c>
      <c r="AH3655">
        <v>3</v>
      </c>
      <c r="AI3655">
        <v>1</v>
      </c>
      <c r="AJ3655">
        <v>0</v>
      </c>
      <c r="AK3655" t="s">
        <v>1193</v>
      </c>
      <c r="AL3655">
        <v>32.736533000000001</v>
      </c>
      <c r="AM3655" t="s">
        <v>1194</v>
      </c>
      <c r="AN3655">
        <v>-116.720574</v>
      </c>
      <c r="AO3655">
        <v>25</v>
      </c>
      <c r="AP3655">
        <v>4500</v>
      </c>
      <c r="AQ3655" t="s">
        <v>129</v>
      </c>
      <c r="AR3655">
        <v>121</v>
      </c>
      <c r="AS3655">
        <v>18</v>
      </c>
      <c r="AT3655">
        <v>512</v>
      </c>
      <c r="BB3655">
        <v>1200</v>
      </c>
      <c r="BC3655">
        <v>1</v>
      </c>
      <c r="BD3655" t="str">
        <f t="shared" si="1342"/>
        <v xml:space="preserve">N887QR  </v>
      </c>
      <c r="BE3655">
        <v>1</v>
      </c>
      <c r="BG3655">
        <v>0</v>
      </c>
      <c r="BH3655">
        <v>0</v>
      </c>
      <c r="BI3655">
        <v>0</v>
      </c>
      <c r="BJ3655">
        <v>4350</v>
      </c>
      <c r="BK3655">
        <v>-150</v>
      </c>
      <c r="BL3655" t="s">
        <v>163</v>
      </c>
      <c r="BM3655">
        <v>1</v>
      </c>
      <c r="BN3655">
        <v>1</v>
      </c>
      <c r="BO3655">
        <v>1</v>
      </c>
      <c r="BP3655">
        <v>0</v>
      </c>
      <c r="BS3655">
        <v>0</v>
      </c>
      <c r="BT3655">
        <v>0</v>
      </c>
      <c r="BU3655">
        <v>0</v>
      </c>
      <c r="CE3655" t="str">
        <f t="shared" si="1340"/>
        <v>19:35:22.121</v>
      </c>
      <c r="CF3655">
        <v>121363524</v>
      </c>
      <c r="CS3655">
        <v>0</v>
      </c>
      <c r="CT3655">
        <v>2</v>
      </c>
      <c r="CU3655">
        <v>0</v>
      </c>
      <c r="CV3655">
        <v>2</v>
      </c>
      <c r="CW3655">
        <v>0</v>
      </c>
      <c r="CX3655">
        <v>5</v>
      </c>
      <c r="CY3655">
        <v>7</v>
      </c>
      <c r="CZ3655" t="s">
        <v>131</v>
      </c>
      <c r="DA3655">
        <v>300</v>
      </c>
      <c r="DB3655">
        <v>0</v>
      </c>
      <c r="DC3655" t="s">
        <v>176</v>
      </c>
      <c r="DD3655" t="s">
        <v>177</v>
      </c>
      <c r="DG3655">
        <v>5444156</v>
      </c>
      <c r="DI3655">
        <v>1</v>
      </c>
      <c r="DJ3655">
        <v>0</v>
      </c>
      <c r="DK3655">
        <v>1</v>
      </c>
      <c r="DL3655">
        <v>0</v>
      </c>
      <c r="DM3655">
        <v>0</v>
      </c>
      <c r="DN3655">
        <v>1</v>
      </c>
      <c r="DO3655">
        <v>0</v>
      </c>
      <c r="DP3655">
        <v>0</v>
      </c>
      <c r="DQ3655">
        <v>0</v>
      </c>
      <c r="DR3655">
        <v>0</v>
      </c>
      <c r="DS3655">
        <v>0</v>
      </c>
    </row>
    <row r="3656" spans="1:123" x14ac:dyDescent="0.3">
      <c r="A3656" t="str">
        <f t="shared" ref="A3656:A3662" si="1343">"10/04/2022 19:35:23.792"</f>
        <v>10/04/2022 19:35:23.792</v>
      </c>
      <c r="C3656" t="str">
        <f t="shared" si="1330"/>
        <v>FFDFD3C0</v>
      </c>
      <c r="D3656" t="s">
        <v>141</v>
      </c>
      <c r="E3656">
        <v>4</v>
      </c>
      <c r="H3656">
        <v>4</v>
      </c>
      <c r="I3656" t="s">
        <v>142</v>
      </c>
      <c r="J3656" t="s">
        <v>138</v>
      </c>
      <c r="K3656">
        <v>0</v>
      </c>
      <c r="L3656">
        <v>3</v>
      </c>
      <c r="M3656">
        <v>0</v>
      </c>
      <c r="N3656">
        <v>2</v>
      </c>
      <c r="O3656">
        <v>0</v>
      </c>
      <c r="P3656">
        <v>1</v>
      </c>
      <c r="Q3656">
        <v>0</v>
      </c>
      <c r="S3656" t="str">
        <f t="shared" ref="S3656:T3668" si="1344">"19:35:23.000"</f>
        <v>19:35:23.000</v>
      </c>
      <c r="T3656" t="str">
        <f t="shared" si="1344"/>
        <v>19:35:23.000</v>
      </c>
      <c r="U3656" t="str">
        <f t="shared" si="1341"/>
        <v>AC3944</v>
      </c>
      <c r="V3656">
        <v>0</v>
      </c>
      <c r="W3656">
        <v>0</v>
      </c>
      <c r="X3656">
        <v>2</v>
      </c>
      <c r="Y3656">
        <v>0</v>
      </c>
      <c r="AA3656">
        <v>1</v>
      </c>
      <c r="AB3656">
        <v>8</v>
      </c>
      <c r="AC3656">
        <v>3</v>
      </c>
      <c r="AD3656">
        <v>0</v>
      </c>
      <c r="AE3656">
        <v>9</v>
      </c>
      <c r="AF3656" t="s">
        <v>138</v>
      </c>
      <c r="AG3656">
        <v>0</v>
      </c>
      <c r="AH3656">
        <v>3</v>
      </c>
      <c r="AI3656">
        <v>1</v>
      </c>
      <c r="AJ3656">
        <v>0</v>
      </c>
      <c r="AK3656" t="s">
        <v>1195</v>
      </c>
      <c r="AL3656">
        <v>32.736618999999997</v>
      </c>
      <c r="AM3656" t="s">
        <v>1196</v>
      </c>
      <c r="AN3656">
        <v>-116.719909</v>
      </c>
      <c r="AO3656">
        <v>25</v>
      </c>
      <c r="AP3656">
        <v>4500</v>
      </c>
      <c r="AQ3656" t="s">
        <v>129</v>
      </c>
      <c r="AR3656">
        <v>121</v>
      </c>
      <c r="AS3656">
        <v>18</v>
      </c>
      <c r="AT3656">
        <v>448</v>
      </c>
      <c r="BB3656">
        <v>1200</v>
      </c>
      <c r="BC3656">
        <v>1</v>
      </c>
      <c r="BD3656" t="str">
        <f t="shared" si="1342"/>
        <v xml:space="preserve">N887QR  </v>
      </c>
      <c r="BE3656">
        <v>1</v>
      </c>
      <c r="BG3656">
        <v>0</v>
      </c>
      <c r="BH3656">
        <v>0</v>
      </c>
      <c r="BI3656">
        <v>0</v>
      </c>
      <c r="BJ3656">
        <v>4350</v>
      </c>
      <c r="BK3656">
        <v>-150</v>
      </c>
      <c r="BL3656" t="s">
        <v>163</v>
      </c>
      <c r="BM3656">
        <v>1</v>
      </c>
      <c r="BN3656">
        <v>1</v>
      </c>
      <c r="BO3656">
        <v>1</v>
      </c>
      <c r="BP3656">
        <v>0</v>
      </c>
      <c r="BS3656">
        <v>0</v>
      </c>
      <c r="BT3656">
        <v>0</v>
      </c>
      <c r="BU3656">
        <v>0</v>
      </c>
      <c r="CE3656" t="str">
        <f t="shared" ref="CE3656:CE3662" si="1345">"19:35:23.403"</f>
        <v>19:35:23.403</v>
      </c>
      <c r="CF3656">
        <v>402617750</v>
      </c>
      <c r="CS3656">
        <v>0</v>
      </c>
      <c r="CT3656">
        <v>2</v>
      </c>
      <c r="CU3656">
        <v>0</v>
      </c>
      <c r="CV3656">
        <v>2</v>
      </c>
      <c r="CW3656">
        <v>0</v>
      </c>
      <c r="CX3656">
        <v>5</v>
      </c>
      <c r="CY3656">
        <v>7</v>
      </c>
      <c r="CZ3656" t="s">
        <v>131</v>
      </c>
      <c r="DA3656">
        <v>300</v>
      </c>
      <c r="DB3656">
        <v>0</v>
      </c>
      <c r="DC3656" t="s">
        <v>176</v>
      </c>
      <c r="DD3656" t="s">
        <v>177</v>
      </c>
      <c r="DG3656">
        <v>5444370</v>
      </c>
      <c r="DI3656">
        <v>1</v>
      </c>
      <c r="DJ3656">
        <v>0</v>
      </c>
      <c r="DK3656">
        <v>0</v>
      </c>
      <c r="DL3656">
        <v>0</v>
      </c>
      <c r="DM3656">
        <v>0</v>
      </c>
      <c r="DN3656">
        <v>1</v>
      </c>
      <c r="DO3656">
        <v>0</v>
      </c>
      <c r="DP3656">
        <v>0</v>
      </c>
      <c r="DQ3656">
        <v>0</v>
      </c>
      <c r="DR3656">
        <v>0</v>
      </c>
      <c r="DS3656">
        <v>0</v>
      </c>
    </row>
    <row r="3657" spans="1:123" x14ac:dyDescent="0.3">
      <c r="A3657" t="str">
        <f t="shared" si="1343"/>
        <v>10/04/2022 19:35:23.792</v>
      </c>
      <c r="C3657" t="str">
        <f t="shared" si="1330"/>
        <v>FFDFD3C0</v>
      </c>
      <c r="D3657" t="s">
        <v>141</v>
      </c>
      <c r="E3657">
        <v>3</v>
      </c>
      <c r="H3657">
        <v>3</v>
      </c>
      <c r="I3657" t="s">
        <v>146</v>
      </c>
      <c r="J3657" t="s">
        <v>138</v>
      </c>
      <c r="K3657">
        <v>0</v>
      </c>
      <c r="L3657">
        <v>3</v>
      </c>
      <c r="M3657">
        <v>0</v>
      </c>
      <c r="N3657">
        <v>2</v>
      </c>
      <c r="O3657">
        <v>0</v>
      </c>
      <c r="P3657">
        <v>1</v>
      </c>
      <c r="Q3657">
        <v>0</v>
      </c>
      <c r="S3657" t="str">
        <f t="shared" si="1344"/>
        <v>19:35:23.000</v>
      </c>
      <c r="T3657" t="str">
        <f t="shared" si="1344"/>
        <v>19:35:23.000</v>
      </c>
      <c r="U3657" t="str">
        <f t="shared" si="1341"/>
        <v>AC3944</v>
      </c>
      <c r="V3657">
        <v>0</v>
      </c>
      <c r="W3657">
        <v>0</v>
      </c>
      <c r="X3657">
        <v>2</v>
      </c>
      <c r="Y3657">
        <v>0</v>
      </c>
      <c r="AA3657">
        <v>1</v>
      </c>
      <c r="AB3657">
        <v>8</v>
      </c>
      <c r="AC3657">
        <v>3</v>
      </c>
      <c r="AD3657">
        <v>0</v>
      </c>
      <c r="AE3657">
        <v>9</v>
      </c>
      <c r="AF3657" t="s">
        <v>138</v>
      </c>
      <c r="AG3657">
        <v>0</v>
      </c>
      <c r="AH3657">
        <v>3</v>
      </c>
      <c r="AI3657">
        <v>1</v>
      </c>
      <c r="AJ3657">
        <v>0</v>
      </c>
      <c r="AK3657" t="s">
        <v>1195</v>
      </c>
      <c r="AL3657">
        <v>32.736618999999997</v>
      </c>
      <c r="AM3657" t="s">
        <v>1196</v>
      </c>
      <c r="AN3657">
        <v>-116.719909</v>
      </c>
      <c r="AO3657">
        <v>25</v>
      </c>
      <c r="AP3657">
        <v>4500</v>
      </c>
      <c r="AQ3657" t="s">
        <v>129</v>
      </c>
      <c r="AR3657">
        <v>121</v>
      </c>
      <c r="AS3657">
        <v>18</v>
      </c>
      <c r="AT3657">
        <v>448</v>
      </c>
      <c r="BB3657">
        <v>1200</v>
      </c>
      <c r="BC3657">
        <v>1</v>
      </c>
      <c r="BD3657" t="str">
        <f t="shared" si="1342"/>
        <v xml:space="preserve">N887QR  </v>
      </c>
      <c r="BE3657">
        <v>1</v>
      </c>
      <c r="BG3657">
        <v>0</v>
      </c>
      <c r="BH3657">
        <v>0</v>
      </c>
      <c r="BI3657">
        <v>0</v>
      </c>
      <c r="BJ3657">
        <v>4350</v>
      </c>
      <c r="BK3657">
        <v>-150</v>
      </c>
      <c r="BL3657" t="s">
        <v>163</v>
      </c>
      <c r="BM3657">
        <v>1</v>
      </c>
      <c r="BN3657">
        <v>1</v>
      </c>
      <c r="BO3657">
        <v>1</v>
      </c>
      <c r="BP3657">
        <v>0</v>
      </c>
      <c r="BS3657">
        <v>0</v>
      </c>
      <c r="BT3657">
        <v>0</v>
      </c>
      <c r="BU3657">
        <v>0</v>
      </c>
      <c r="CE3657" t="str">
        <f t="shared" si="1345"/>
        <v>19:35:23.403</v>
      </c>
      <c r="CF3657">
        <v>402617750</v>
      </c>
      <c r="CS3657">
        <v>0</v>
      </c>
      <c r="CT3657">
        <v>2</v>
      </c>
      <c r="CU3657">
        <v>0</v>
      </c>
      <c r="CV3657">
        <v>2</v>
      </c>
      <c r="CW3657">
        <v>0</v>
      </c>
      <c r="CX3657">
        <v>5</v>
      </c>
      <c r="CY3657">
        <v>7</v>
      </c>
      <c r="CZ3657" t="s">
        <v>131</v>
      </c>
      <c r="DA3657">
        <v>300</v>
      </c>
      <c r="DB3657">
        <v>0</v>
      </c>
      <c r="DC3657" t="s">
        <v>176</v>
      </c>
      <c r="DD3657" t="s">
        <v>177</v>
      </c>
      <c r="DG3657">
        <v>5444370</v>
      </c>
      <c r="DI3657">
        <v>1</v>
      </c>
      <c r="DJ3657">
        <v>0</v>
      </c>
      <c r="DK3657">
        <v>1</v>
      </c>
      <c r="DL3657">
        <v>0</v>
      </c>
      <c r="DM3657">
        <v>0</v>
      </c>
      <c r="DN3657">
        <v>1</v>
      </c>
      <c r="DO3657">
        <v>0</v>
      </c>
      <c r="DP3657">
        <v>0</v>
      </c>
      <c r="DQ3657">
        <v>0</v>
      </c>
      <c r="DR3657">
        <v>0</v>
      </c>
      <c r="DS3657">
        <v>0</v>
      </c>
    </row>
    <row r="3658" spans="1:123" x14ac:dyDescent="0.3">
      <c r="A3658" t="str">
        <f t="shared" si="1343"/>
        <v>10/04/2022 19:35:23.792</v>
      </c>
      <c r="C3658" t="str">
        <f t="shared" si="1330"/>
        <v>FFDFD3C0</v>
      </c>
      <c r="D3658" t="s">
        <v>143</v>
      </c>
      <c r="E3658">
        <v>20</v>
      </c>
      <c r="F3658">
        <v>1020</v>
      </c>
      <c r="G3658" t="s">
        <v>144</v>
      </c>
      <c r="J3658" t="s">
        <v>145</v>
      </c>
      <c r="K3658">
        <v>0</v>
      </c>
      <c r="L3658">
        <v>3</v>
      </c>
      <c r="M3658">
        <v>0</v>
      </c>
      <c r="N3658">
        <v>2</v>
      </c>
      <c r="O3658">
        <v>0</v>
      </c>
      <c r="P3658">
        <v>1</v>
      </c>
      <c r="Q3658">
        <v>0</v>
      </c>
      <c r="S3658" t="str">
        <f t="shared" si="1344"/>
        <v>19:35:23.000</v>
      </c>
      <c r="T3658" t="str">
        <f t="shared" si="1344"/>
        <v>19:35:23.000</v>
      </c>
      <c r="U3658" t="str">
        <f t="shared" si="1341"/>
        <v>AC3944</v>
      </c>
      <c r="V3658">
        <v>0</v>
      </c>
      <c r="W3658">
        <v>0</v>
      </c>
      <c r="X3658">
        <v>2</v>
      </c>
      <c r="Y3658">
        <v>0</v>
      </c>
      <c r="AA3658">
        <v>1</v>
      </c>
      <c r="AB3658">
        <v>8</v>
      </c>
      <c r="AC3658">
        <v>3</v>
      </c>
      <c r="AD3658">
        <v>0</v>
      </c>
      <c r="AE3658">
        <v>9</v>
      </c>
      <c r="AF3658" t="s">
        <v>138</v>
      </c>
      <c r="AG3658">
        <v>0</v>
      </c>
      <c r="AH3658">
        <v>3</v>
      </c>
      <c r="AI3658">
        <v>1</v>
      </c>
      <c r="AJ3658">
        <v>0</v>
      </c>
      <c r="AK3658" t="s">
        <v>1195</v>
      </c>
      <c r="AL3658">
        <v>32.736618999999997</v>
      </c>
      <c r="AM3658" t="s">
        <v>1196</v>
      </c>
      <c r="AN3658">
        <v>-116.719909</v>
      </c>
      <c r="AO3658">
        <v>25</v>
      </c>
      <c r="AP3658">
        <v>4500</v>
      </c>
      <c r="AQ3658" t="s">
        <v>129</v>
      </c>
      <c r="AR3658">
        <v>121</v>
      </c>
      <c r="AS3658">
        <v>18</v>
      </c>
      <c r="AT3658">
        <v>448</v>
      </c>
      <c r="BB3658">
        <v>1200</v>
      </c>
      <c r="BC3658">
        <v>1</v>
      </c>
      <c r="BD3658" t="str">
        <f t="shared" si="1342"/>
        <v xml:space="preserve">N887QR  </v>
      </c>
      <c r="BE3658">
        <v>1</v>
      </c>
      <c r="BG3658">
        <v>0</v>
      </c>
      <c r="BH3658">
        <v>0</v>
      </c>
      <c r="BI3658">
        <v>0</v>
      </c>
      <c r="BJ3658">
        <v>4350</v>
      </c>
      <c r="BK3658">
        <v>-150</v>
      </c>
      <c r="BL3658" t="s">
        <v>163</v>
      </c>
      <c r="BM3658">
        <v>1</v>
      </c>
      <c r="BN3658">
        <v>1</v>
      </c>
      <c r="BO3658">
        <v>1</v>
      </c>
      <c r="BP3658">
        <v>0</v>
      </c>
      <c r="BS3658">
        <v>0</v>
      </c>
      <c r="BT3658">
        <v>0</v>
      </c>
      <c r="BU3658">
        <v>0</v>
      </c>
      <c r="CE3658" t="str">
        <f t="shared" si="1345"/>
        <v>19:35:23.403</v>
      </c>
      <c r="CF3658">
        <v>402617750</v>
      </c>
      <c r="CS3658">
        <v>0</v>
      </c>
      <c r="CT3658">
        <v>2</v>
      </c>
      <c r="CU3658">
        <v>0</v>
      </c>
      <c r="CV3658">
        <v>2</v>
      </c>
      <c r="CW3658">
        <v>0</v>
      </c>
      <c r="CX3658">
        <v>5</v>
      </c>
      <c r="CY3658">
        <v>7</v>
      </c>
      <c r="CZ3658" t="s">
        <v>131</v>
      </c>
      <c r="DA3658">
        <v>300</v>
      </c>
      <c r="DB3658">
        <v>0</v>
      </c>
      <c r="DC3658" t="s">
        <v>176</v>
      </c>
      <c r="DD3658" t="s">
        <v>177</v>
      </c>
      <c r="DG3658">
        <v>5444370</v>
      </c>
      <c r="DI3658">
        <v>1</v>
      </c>
      <c r="DJ3658">
        <v>0</v>
      </c>
      <c r="DK3658">
        <v>1</v>
      </c>
      <c r="DL3658">
        <v>0</v>
      </c>
      <c r="DM3658">
        <v>0</v>
      </c>
      <c r="DN3658">
        <v>1</v>
      </c>
      <c r="DO3658">
        <v>0</v>
      </c>
      <c r="DP3658">
        <v>0</v>
      </c>
      <c r="DQ3658">
        <v>0</v>
      </c>
      <c r="DR3658">
        <v>0</v>
      </c>
      <c r="DS3658">
        <v>0</v>
      </c>
    </row>
    <row r="3659" spans="1:123" x14ac:dyDescent="0.3">
      <c r="A3659" t="str">
        <f t="shared" si="1343"/>
        <v>10/04/2022 19:35:23.792</v>
      </c>
      <c r="C3659" t="str">
        <f t="shared" si="1330"/>
        <v>FFDFD3C0</v>
      </c>
      <c r="D3659" t="s">
        <v>123</v>
      </c>
      <c r="E3659">
        <v>7</v>
      </c>
      <c r="F3659">
        <v>2007</v>
      </c>
      <c r="G3659" t="s">
        <v>124</v>
      </c>
      <c r="J3659" t="s">
        <v>125</v>
      </c>
      <c r="K3659">
        <v>0</v>
      </c>
      <c r="L3659">
        <v>3</v>
      </c>
      <c r="M3659">
        <v>0</v>
      </c>
      <c r="N3659">
        <v>2</v>
      </c>
      <c r="O3659">
        <v>0</v>
      </c>
      <c r="P3659">
        <v>1</v>
      </c>
      <c r="Q3659">
        <v>0</v>
      </c>
      <c r="S3659" t="str">
        <f t="shared" si="1344"/>
        <v>19:35:23.000</v>
      </c>
      <c r="T3659" t="str">
        <f t="shared" si="1344"/>
        <v>19:35:23.000</v>
      </c>
      <c r="U3659" t="str">
        <f t="shared" si="1341"/>
        <v>AC3944</v>
      </c>
      <c r="V3659">
        <v>0</v>
      </c>
      <c r="W3659">
        <v>0</v>
      </c>
      <c r="X3659">
        <v>2</v>
      </c>
      <c r="Y3659">
        <v>0</v>
      </c>
      <c r="AA3659">
        <v>1</v>
      </c>
      <c r="AB3659">
        <v>8</v>
      </c>
      <c r="AC3659">
        <v>3</v>
      </c>
      <c r="AD3659">
        <v>0</v>
      </c>
      <c r="AE3659">
        <v>9</v>
      </c>
      <c r="AF3659" t="s">
        <v>138</v>
      </c>
      <c r="AG3659">
        <v>0</v>
      </c>
      <c r="AH3659">
        <v>3</v>
      </c>
      <c r="AI3659">
        <v>1</v>
      </c>
      <c r="AJ3659">
        <v>0</v>
      </c>
      <c r="AK3659" t="s">
        <v>1195</v>
      </c>
      <c r="AL3659">
        <v>32.736618999999997</v>
      </c>
      <c r="AM3659" t="s">
        <v>1196</v>
      </c>
      <c r="AN3659">
        <v>-116.719909</v>
      </c>
      <c r="AO3659">
        <v>25</v>
      </c>
      <c r="AP3659">
        <v>4500</v>
      </c>
      <c r="AQ3659" t="s">
        <v>129</v>
      </c>
      <c r="AR3659">
        <v>121</v>
      </c>
      <c r="AS3659">
        <v>18</v>
      </c>
      <c r="AT3659">
        <v>448</v>
      </c>
      <c r="BB3659">
        <v>1200</v>
      </c>
      <c r="BC3659">
        <v>1</v>
      </c>
      <c r="BD3659" t="str">
        <f t="shared" si="1342"/>
        <v xml:space="preserve">N887QR  </v>
      </c>
      <c r="BE3659">
        <v>1</v>
      </c>
      <c r="BG3659">
        <v>0</v>
      </c>
      <c r="BH3659">
        <v>0</v>
      </c>
      <c r="BI3659">
        <v>0</v>
      </c>
      <c r="BJ3659">
        <v>4350</v>
      </c>
      <c r="BK3659">
        <v>-150</v>
      </c>
      <c r="BL3659" t="s">
        <v>163</v>
      </c>
      <c r="BM3659">
        <v>1</v>
      </c>
      <c r="BN3659">
        <v>1</v>
      </c>
      <c r="BO3659">
        <v>1</v>
      </c>
      <c r="BP3659">
        <v>0</v>
      </c>
      <c r="BS3659">
        <v>0</v>
      </c>
      <c r="BT3659">
        <v>0</v>
      </c>
      <c r="BU3659">
        <v>0</v>
      </c>
      <c r="CE3659" t="str">
        <f t="shared" si="1345"/>
        <v>19:35:23.403</v>
      </c>
      <c r="CF3659">
        <v>402617750</v>
      </c>
      <c r="CS3659">
        <v>0</v>
      </c>
      <c r="CT3659">
        <v>2</v>
      </c>
      <c r="CU3659">
        <v>0</v>
      </c>
      <c r="CV3659">
        <v>2</v>
      </c>
      <c r="CW3659">
        <v>0</v>
      </c>
      <c r="CX3659">
        <v>5</v>
      </c>
      <c r="CY3659">
        <v>7</v>
      </c>
      <c r="CZ3659" t="s">
        <v>131</v>
      </c>
      <c r="DA3659">
        <v>300</v>
      </c>
      <c r="DB3659">
        <v>0</v>
      </c>
      <c r="DC3659" t="s">
        <v>176</v>
      </c>
      <c r="DD3659" t="s">
        <v>177</v>
      </c>
      <c r="DG3659">
        <v>5444370</v>
      </c>
      <c r="DI3659">
        <v>1</v>
      </c>
      <c r="DJ3659">
        <v>0</v>
      </c>
      <c r="DK3659">
        <v>1</v>
      </c>
      <c r="DL3659">
        <v>0</v>
      </c>
      <c r="DM3659">
        <v>0</v>
      </c>
      <c r="DN3659">
        <v>1</v>
      </c>
      <c r="DO3659">
        <v>0</v>
      </c>
      <c r="DP3659">
        <v>0</v>
      </c>
      <c r="DQ3659">
        <v>0</v>
      </c>
      <c r="DR3659">
        <v>0</v>
      </c>
      <c r="DS3659">
        <v>0</v>
      </c>
    </row>
    <row r="3660" spans="1:123" x14ac:dyDescent="0.3">
      <c r="A3660" t="str">
        <f t="shared" si="1343"/>
        <v>10/04/2022 19:35:23.792</v>
      </c>
      <c r="C3660" t="str">
        <f t="shared" si="1330"/>
        <v>FFDFD3C0</v>
      </c>
      <c r="D3660" t="s">
        <v>134</v>
      </c>
      <c r="E3660">
        <v>15</v>
      </c>
      <c r="J3660" t="s">
        <v>135</v>
      </c>
      <c r="K3660">
        <v>0</v>
      </c>
      <c r="L3660">
        <v>3</v>
      </c>
      <c r="M3660">
        <v>0</v>
      </c>
      <c r="N3660">
        <v>2</v>
      </c>
      <c r="O3660">
        <v>0</v>
      </c>
      <c r="P3660">
        <v>1</v>
      </c>
      <c r="Q3660">
        <v>0</v>
      </c>
      <c r="S3660" t="str">
        <f t="shared" si="1344"/>
        <v>19:35:23.000</v>
      </c>
      <c r="T3660" t="str">
        <f t="shared" si="1344"/>
        <v>19:35:23.000</v>
      </c>
      <c r="U3660" t="str">
        <f t="shared" si="1341"/>
        <v>AC3944</v>
      </c>
      <c r="V3660">
        <v>0</v>
      </c>
      <c r="W3660">
        <v>0</v>
      </c>
      <c r="X3660">
        <v>2</v>
      </c>
      <c r="Y3660">
        <v>0</v>
      </c>
      <c r="AA3660">
        <v>1</v>
      </c>
      <c r="AB3660">
        <v>8</v>
      </c>
      <c r="AC3660">
        <v>3</v>
      </c>
      <c r="AD3660">
        <v>0</v>
      </c>
      <c r="AE3660">
        <v>9</v>
      </c>
      <c r="AF3660" t="s">
        <v>138</v>
      </c>
      <c r="AG3660">
        <v>0</v>
      </c>
      <c r="AH3660">
        <v>3</v>
      </c>
      <c r="AI3660">
        <v>1</v>
      </c>
      <c r="AJ3660">
        <v>0</v>
      </c>
      <c r="AK3660" t="s">
        <v>1195</v>
      </c>
      <c r="AL3660">
        <v>32.736618999999997</v>
      </c>
      <c r="AM3660" t="s">
        <v>1196</v>
      </c>
      <c r="AN3660">
        <v>-116.719909</v>
      </c>
      <c r="AO3660">
        <v>25</v>
      </c>
      <c r="AP3660">
        <v>4500</v>
      </c>
      <c r="AQ3660" t="s">
        <v>129</v>
      </c>
      <c r="AR3660">
        <v>121</v>
      </c>
      <c r="AS3660">
        <v>18</v>
      </c>
      <c r="AT3660">
        <v>448</v>
      </c>
      <c r="BB3660">
        <v>1200</v>
      </c>
      <c r="BC3660">
        <v>1</v>
      </c>
      <c r="BD3660" t="str">
        <f t="shared" si="1342"/>
        <v xml:space="preserve">N887QR  </v>
      </c>
      <c r="BE3660">
        <v>1</v>
      </c>
      <c r="BG3660">
        <v>0</v>
      </c>
      <c r="BH3660">
        <v>0</v>
      </c>
      <c r="BI3660">
        <v>0</v>
      </c>
      <c r="BJ3660">
        <v>4350</v>
      </c>
      <c r="BK3660">
        <v>-150</v>
      </c>
      <c r="BL3660" t="s">
        <v>163</v>
      </c>
      <c r="BM3660">
        <v>1</v>
      </c>
      <c r="BN3660">
        <v>1</v>
      </c>
      <c r="BO3660">
        <v>1</v>
      </c>
      <c r="BP3660">
        <v>0</v>
      </c>
      <c r="BS3660">
        <v>0</v>
      </c>
      <c r="BT3660">
        <v>0</v>
      </c>
      <c r="BU3660">
        <v>0</v>
      </c>
      <c r="CE3660" t="str">
        <f t="shared" si="1345"/>
        <v>19:35:23.403</v>
      </c>
      <c r="CF3660">
        <v>402617750</v>
      </c>
      <c r="CS3660">
        <v>0</v>
      </c>
      <c r="CT3660">
        <v>2</v>
      </c>
      <c r="CU3660">
        <v>0</v>
      </c>
      <c r="CV3660">
        <v>2</v>
      </c>
      <c r="CW3660">
        <v>0</v>
      </c>
      <c r="CX3660">
        <v>5</v>
      </c>
      <c r="CY3660">
        <v>7</v>
      </c>
      <c r="CZ3660" t="s">
        <v>131</v>
      </c>
      <c r="DA3660">
        <v>300</v>
      </c>
      <c r="DB3660">
        <v>0</v>
      </c>
      <c r="DC3660" t="s">
        <v>176</v>
      </c>
      <c r="DD3660" t="s">
        <v>177</v>
      </c>
      <c r="DG3660">
        <v>5444370</v>
      </c>
      <c r="DI3660">
        <v>1</v>
      </c>
      <c r="DJ3660">
        <v>0</v>
      </c>
      <c r="DK3660">
        <v>1</v>
      </c>
      <c r="DL3660">
        <v>0</v>
      </c>
      <c r="DM3660">
        <v>0</v>
      </c>
      <c r="DN3660">
        <v>1</v>
      </c>
      <c r="DO3660">
        <v>0</v>
      </c>
      <c r="DP3660">
        <v>0</v>
      </c>
      <c r="DQ3660">
        <v>0</v>
      </c>
      <c r="DR3660">
        <v>0</v>
      </c>
      <c r="DS3660">
        <v>0</v>
      </c>
    </row>
    <row r="3661" spans="1:123" x14ac:dyDescent="0.3">
      <c r="A3661" t="str">
        <f t="shared" si="1343"/>
        <v>10/04/2022 19:35:23.792</v>
      </c>
      <c r="C3661" t="str">
        <f t="shared" si="1330"/>
        <v>FFDFD3C0</v>
      </c>
      <c r="D3661" t="s">
        <v>147</v>
      </c>
      <c r="E3661">
        <v>3</v>
      </c>
      <c r="H3661">
        <v>166</v>
      </c>
      <c r="I3661" t="s">
        <v>144</v>
      </c>
      <c r="J3661" t="s">
        <v>148</v>
      </c>
      <c r="K3661">
        <v>0</v>
      </c>
      <c r="L3661">
        <v>3</v>
      </c>
      <c r="M3661">
        <v>0</v>
      </c>
      <c r="N3661">
        <v>2</v>
      </c>
      <c r="O3661">
        <v>0</v>
      </c>
      <c r="P3661">
        <v>1</v>
      </c>
      <c r="Q3661">
        <v>0</v>
      </c>
      <c r="S3661" t="str">
        <f t="shared" si="1344"/>
        <v>19:35:23.000</v>
      </c>
      <c r="T3661" t="str">
        <f t="shared" si="1344"/>
        <v>19:35:23.000</v>
      </c>
      <c r="U3661" t="str">
        <f t="shared" si="1341"/>
        <v>AC3944</v>
      </c>
      <c r="V3661">
        <v>0</v>
      </c>
      <c r="W3661">
        <v>0</v>
      </c>
      <c r="X3661">
        <v>2</v>
      </c>
      <c r="Y3661">
        <v>0</v>
      </c>
      <c r="AA3661">
        <v>1</v>
      </c>
      <c r="AB3661">
        <v>8</v>
      </c>
      <c r="AC3661">
        <v>3</v>
      </c>
      <c r="AD3661">
        <v>0</v>
      </c>
      <c r="AE3661">
        <v>9</v>
      </c>
      <c r="AF3661" t="s">
        <v>138</v>
      </c>
      <c r="AG3661">
        <v>0</v>
      </c>
      <c r="AH3661">
        <v>3</v>
      </c>
      <c r="AI3661">
        <v>1</v>
      </c>
      <c r="AJ3661">
        <v>0</v>
      </c>
      <c r="AK3661" t="s">
        <v>1195</v>
      </c>
      <c r="AL3661">
        <v>32.736618999999997</v>
      </c>
      <c r="AM3661" t="s">
        <v>1196</v>
      </c>
      <c r="AN3661">
        <v>-116.719909</v>
      </c>
      <c r="AO3661">
        <v>25</v>
      </c>
      <c r="AP3661">
        <v>4500</v>
      </c>
      <c r="AQ3661" t="s">
        <v>129</v>
      </c>
      <c r="AR3661">
        <v>121</v>
      </c>
      <c r="AS3661">
        <v>18</v>
      </c>
      <c r="AT3661">
        <v>448</v>
      </c>
      <c r="BB3661">
        <v>1200</v>
      </c>
      <c r="BC3661">
        <v>1</v>
      </c>
      <c r="BD3661" t="str">
        <f t="shared" si="1342"/>
        <v xml:space="preserve">N887QR  </v>
      </c>
      <c r="BE3661">
        <v>1</v>
      </c>
      <c r="BG3661">
        <v>0</v>
      </c>
      <c r="BH3661">
        <v>0</v>
      </c>
      <c r="BI3661">
        <v>0</v>
      </c>
      <c r="BJ3661">
        <v>4350</v>
      </c>
      <c r="BK3661">
        <v>-150</v>
      </c>
      <c r="BL3661" t="s">
        <v>163</v>
      </c>
      <c r="BM3661">
        <v>1</v>
      </c>
      <c r="BN3661">
        <v>1</v>
      </c>
      <c r="BO3661">
        <v>1</v>
      </c>
      <c r="BP3661">
        <v>0</v>
      </c>
      <c r="BS3661">
        <v>0</v>
      </c>
      <c r="BT3661">
        <v>0</v>
      </c>
      <c r="BU3661">
        <v>0</v>
      </c>
      <c r="CE3661" t="str">
        <f t="shared" si="1345"/>
        <v>19:35:23.403</v>
      </c>
      <c r="CF3661">
        <v>402617750</v>
      </c>
      <c r="CS3661">
        <v>0</v>
      </c>
      <c r="CT3661">
        <v>2</v>
      </c>
      <c r="CU3661">
        <v>0</v>
      </c>
      <c r="CV3661">
        <v>2</v>
      </c>
      <c r="CW3661">
        <v>0</v>
      </c>
      <c r="CX3661">
        <v>5</v>
      </c>
      <c r="CY3661">
        <v>7</v>
      </c>
      <c r="CZ3661" t="s">
        <v>131</v>
      </c>
      <c r="DA3661">
        <v>300</v>
      </c>
      <c r="DB3661">
        <v>0</v>
      </c>
      <c r="DC3661" t="s">
        <v>176</v>
      </c>
      <c r="DD3661" t="s">
        <v>177</v>
      </c>
      <c r="DG3661">
        <v>5444370</v>
      </c>
      <c r="DI3661">
        <v>1</v>
      </c>
      <c r="DJ3661">
        <v>0</v>
      </c>
      <c r="DK3661">
        <v>1</v>
      </c>
      <c r="DL3661">
        <v>0</v>
      </c>
      <c r="DM3661">
        <v>0</v>
      </c>
      <c r="DN3661">
        <v>1</v>
      </c>
      <c r="DO3661">
        <v>0</v>
      </c>
      <c r="DP3661">
        <v>0</v>
      </c>
      <c r="DQ3661">
        <v>0</v>
      </c>
      <c r="DR3661">
        <v>0</v>
      </c>
      <c r="DS3661">
        <v>0</v>
      </c>
    </row>
    <row r="3662" spans="1:123" x14ac:dyDescent="0.3">
      <c r="A3662" t="str">
        <f t="shared" si="1343"/>
        <v>10/04/2022 19:35:23.792</v>
      </c>
      <c r="C3662" t="str">
        <f t="shared" si="1330"/>
        <v>FFDFD3C0</v>
      </c>
      <c r="D3662" t="s">
        <v>136</v>
      </c>
      <c r="E3662">
        <v>8</v>
      </c>
      <c r="H3662">
        <v>225</v>
      </c>
      <c r="I3662" t="s">
        <v>137</v>
      </c>
      <c r="J3662" t="s">
        <v>138</v>
      </c>
      <c r="K3662">
        <v>0</v>
      </c>
      <c r="L3662">
        <v>3</v>
      </c>
      <c r="M3662">
        <v>0</v>
      </c>
      <c r="N3662">
        <v>2</v>
      </c>
      <c r="O3662">
        <v>0</v>
      </c>
      <c r="P3662">
        <v>1</v>
      </c>
      <c r="Q3662">
        <v>0</v>
      </c>
      <c r="S3662" t="str">
        <f t="shared" si="1344"/>
        <v>19:35:23.000</v>
      </c>
      <c r="T3662" t="str">
        <f t="shared" si="1344"/>
        <v>19:35:23.000</v>
      </c>
      <c r="U3662" t="str">
        <f t="shared" si="1341"/>
        <v>AC3944</v>
      </c>
      <c r="V3662">
        <v>0</v>
      </c>
      <c r="W3662">
        <v>0</v>
      </c>
      <c r="X3662">
        <v>2</v>
      </c>
      <c r="Y3662">
        <v>0</v>
      </c>
      <c r="AA3662">
        <v>1</v>
      </c>
      <c r="AB3662">
        <v>8</v>
      </c>
      <c r="AC3662">
        <v>3</v>
      </c>
      <c r="AD3662">
        <v>0</v>
      </c>
      <c r="AE3662">
        <v>9</v>
      </c>
      <c r="AF3662" t="s">
        <v>138</v>
      </c>
      <c r="AG3662">
        <v>0</v>
      </c>
      <c r="AH3662">
        <v>3</v>
      </c>
      <c r="AI3662">
        <v>1</v>
      </c>
      <c r="AJ3662">
        <v>0</v>
      </c>
      <c r="AK3662" t="s">
        <v>1195</v>
      </c>
      <c r="AL3662">
        <v>32.736618999999997</v>
      </c>
      <c r="AM3662" t="s">
        <v>1196</v>
      </c>
      <c r="AN3662">
        <v>-116.719909</v>
      </c>
      <c r="AO3662">
        <v>25</v>
      </c>
      <c r="AP3662">
        <v>4500</v>
      </c>
      <c r="AQ3662" t="s">
        <v>129</v>
      </c>
      <c r="AR3662">
        <v>121</v>
      </c>
      <c r="AS3662">
        <v>18</v>
      </c>
      <c r="AT3662">
        <v>448</v>
      </c>
      <c r="BB3662">
        <v>1200</v>
      </c>
      <c r="BC3662">
        <v>1</v>
      </c>
      <c r="BD3662" t="str">
        <f t="shared" si="1342"/>
        <v xml:space="preserve">N887QR  </v>
      </c>
      <c r="BE3662">
        <v>1</v>
      </c>
      <c r="BG3662">
        <v>0</v>
      </c>
      <c r="BH3662">
        <v>0</v>
      </c>
      <c r="BI3662">
        <v>0</v>
      </c>
      <c r="BJ3662">
        <v>4350</v>
      </c>
      <c r="BK3662">
        <v>-150</v>
      </c>
      <c r="BL3662" t="s">
        <v>163</v>
      </c>
      <c r="BM3662">
        <v>1</v>
      </c>
      <c r="BN3662">
        <v>1</v>
      </c>
      <c r="BO3662">
        <v>1</v>
      </c>
      <c r="BP3662">
        <v>0</v>
      </c>
      <c r="BS3662">
        <v>0</v>
      </c>
      <c r="BT3662">
        <v>0</v>
      </c>
      <c r="BU3662">
        <v>0</v>
      </c>
      <c r="CE3662" t="str">
        <f t="shared" si="1345"/>
        <v>19:35:23.403</v>
      </c>
      <c r="CF3662">
        <v>402617750</v>
      </c>
      <c r="CS3662">
        <v>0</v>
      </c>
      <c r="CT3662">
        <v>2</v>
      </c>
      <c r="CU3662">
        <v>0</v>
      </c>
      <c r="CV3662">
        <v>2</v>
      </c>
      <c r="CW3662">
        <v>0</v>
      </c>
      <c r="CX3662">
        <v>5</v>
      </c>
      <c r="CY3662">
        <v>7</v>
      </c>
      <c r="CZ3662" t="s">
        <v>131</v>
      </c>
      <c r="DA3662">
        <v>300</v>
      </c>
      <c r="DB3662">
        <v>0</v>
      </c>
      <c r="DC3662" t="s">
        <v>176</v>
      </c>
      <c r="DD3662" t="s">
        <v>177</v>
      </c>
      <c r="DG3662">
        <v>5444370</v>
      </c>
      <c r="DI3662">
        <v>1</v>
      </c>
      <c r="DJ3662">
        <v>0</v>
      </c>
      <c r="DK3662">
        <v>1</v>
      </c>
      <c r="DL3662">
        <v>0</v>
      </c>
      <c r="DM3662">
        <v>0</v>
      </c>
      <c r="DN3662">
        <v>1</v>
      </c>
      <c r="DO3662">
        <v>0</v>
      </c>
      <c r="DP3662">
        <v>0</v>
      </c>
      <c r="DQ3662">
        <v>0</v>
      </c>
      <c r="DR3662">
        <v>0</v>
      </c>
      <c r="DS3662">
        <v>0</v>
      </c>
    </row>
    <row r="3663" spans="1:123" x14ac:dyDescent="0.3">
      <c r="A3663" t="str">
        <f t="shared" ref="A3663:A3668" si="1346">"10/04/2022 19:35:24.183"</f>
        <v>10/04/2022 19:35:24.183</v>
      </c>
      <c r="C3663" t="str">
        <f t="shared" si="1330"/>
        <v>FFDFD3C0</v>
      </c>
      <c r="D3663" t="s">
        <v>123</v>
      </c>
      <c r="E3663">
        <v>7</v>
      </c>
      <c r="F3663">
        <v>2007</v>
      </c>
      <c r="G3663" t="s">
        <v>124</v>
      </c>
      <c r="J3663" t="s">
        <v>125</v>
      </c>
      <c r="K3663">
        <v>0</v>
      </c>
      <c r="L3663">
        <v>3</v>
      </c>
      <c r="M3663">
        <v>0</v>
      </c>
      <c r="N3663">
        <v>2</v>
      </c>
      <c r="O3663">
        <v>0</v>
      </c>
      <c r="P3663">
        <v>1</v>
      </c>
      <c r="Q3663">
        <v>0</v>
      </c>
      <c r="S3663" t="str">
        <f t="shared" si="1344"/>
        <v>19:35:23.000</v>
      </c>
      <c r="T3663" t="str">
        <f t="shared" si="1344"/>
        <v>19:35:23.000</v>
      </c>
      <c r="U3663" t="str">
        <f t="shared" si="1341"/>
        <v>AC3944</v>
      </c>
      <c r="V3663">
        <v>0</v>
      </c>
      <c r="W3663">
        <v>0</v>
      </c>
      <c r="X3663">
        <v>2</v>
      </c>
      <c r="Y3663">
        <v>0</v>
      </c>
      <c r="AA3663">
        <v>1</v>
      </c>
      <c r="AB3663">
        <v>8</v>
      </c>
      <c r="AC3663">
        <v>3</v>
      </c>
      <c r="AD3663">
        <v>0</v>
      </c>
      <c r="AE3663">
        <v>9</v>
      </c>
      <c r="AF3663" t="s">
        <v>138</v>
      </c>
      <c r="AG3663">
        <v>0</v>
      </c>
      <c r="AH3663">
        <v>3</v>
      </c>
      <c r="AI3663">
        <v>1</v>
      </c>
      <c r="AJ3663">
        <v>0</v>
      </c>
      <c r="AK3663" t="s">
        <v>1197</v>
      </c>
      <c r="AL3663">
        <v>32.736704000000003</v>
      </c>
      <c r="AM3663" t="s">
        <v>1198</v>
      </c>
      <c r="AN3663">
        <v>-116.719244</v>
      </c>
      <c r="AO3663">
        <v>25</v>
      </c>
      <c r="AP3663">
        <v>4500</v>
      </c>
      <c r="AQ3663" t="s">
        <v>129</v>
      </c>
      <c r="AR3663">
        <v>122</v>
      </c>
      <c r="AS3663">
        <v>18</v>
      </c>
      <c r="AT3663">
        <v>448</v>
      </c>
      <c r="BB3663">
        <v>1200</v>
      </c>
      <c r="BC3663">
        <v>1</v>
      </c>
      <c r="BD3663" t="str">
        <f t="shared" si="1342"/>
        <v xml:space="preserve">N887QR  </v>
      </c>
      <c r="BE3663">
        <v>1</v>
      </c>
      <c r="BG3663">
        <v>0</v>
      </c>
      <c r="BH3663">
        <v>0</v>
      </c>
      <c r="BI3663">
        <v>0</v>
      </c>
      <c r="BJ3663">
        <v>4350</v>
      </c>
      <c r="BK3663">
        <v>-150</v>
      </c>
      <c r="BL3663" t="s">
        <v>163</v>
      </c>
      <c r="BM3663">
        <v>1</v>
      </c>
      <c r="BN3663">
        <v>1</v>
      </c>
      <c r="BO3663">
        <v>1</v>
      </c>
      <c r="BP3663">
        <v>0</v>
      </c>
      <c r="BS3663">
        <v>0</v>
      </c>
      <c r="BT3663">
        <v>0</v>
      </c>
      <c r="BU3663">
        <v>0</v>
      </c>
      <c r="CE3663" t="str">
        <f t="shared" ref="CE3663:CE3668" si="1347">"19:35:23.821"</f>
        <v>19:35:23.821</v>
      </c>
      <c r="CF3663">
        <v>820887278</v>
      </c>
      <c r="CS3663">
        <v>0</v>
      </c>
      <c r="CT3663">
        <v>2</v>
      </c>
      <c r="CU3663">
        <v>0</v>
      </c>
      <c r="CV3663">
        <v>2</v>
      </c>
      <c r="CW3663">
        <v>0</v>
      </c>
      <c r="CX3663">
        <v>1</v>
      </c>
      <c r="CY3663">
        <v>7</v>
      </c>
      <c r="CZ3663" t="s">
        <v>131</v>
      </c>
      <c r="DA3663">
        <v>745</v>
      </c>
      <c r="DB3663">
        <v>0</v>
      </c>
      <c r="DC3663" t="s">
        <v>1199</v>
      </c>
      <c r="DD3663" t="s">
        <v>1200</v>
      </c>
      <c r="DG3663">
        <v>9484397</v>
      </c>
      <c r="DI3663">
        <v>1</v>
      </c>
      <c r="DJ3663">
        <v>0</v>
      </c>
      <c r="DK3663">
        <v>0</v>
      </c>
      <c r="DL3663">
        <v>0</v>
      </c>
      <c r="DM3663">
        <v>0</v>
      </c>
      <c r="DN3663">
        <v>1</v>
      </c>
      <c r="DO3663">
        <v>0</v>
      </c>
      <c r="DP3663">
        <v>0</v>
      </c>
      <c r="DQ3663">
        <v>0</v>
      </c>
      <c r="DR3663">
        <v>0</v>
      </c>
      <c r="DS3663">
        <v>0</v>
      </c>
    </row>
    <row r="3664" spans="1:123" x14ac:dyDescent="0.3">
      <c r="A3664" t="str">
        <f t="shared" si="1346"/>
        <v>10/04/2022 19:35:24.183</v>
      </c>
      <c r="C3664" t="str">
        <f t="shared" si="1330"/>
        <v>FFDFD3C0</v>
      </c>
      <c r="D3664" t="s">
        <v>134</v>
      </c>
      <c r="E3664">
        <v>15</v>
      </c>
      <c r="J3664" t="s">
        <v>135</v>
      </c>
      <c r="K3664">
        <v>0</v>
      </c>
      <c r="L3664">
        <v>3</v>
      </c>
      <c r="M3664">
        <v>0</v>
      </c>
      <c r="N3664">
        <v>2</v>
      </c>
      <c r="O3664">
        <v>0</v>
      </c>
      <c r="P3664">
        <v>1</v>
      </c>
      <c r="Q3664">
        <v>0</v>
      </c>
      <c r="S3664" t="str">
        <f t="shared" si="1344"/>
        <v>19:35:23.000</v>
      </c>
      <c r="T3664" t="str">
        <f t="shared" si="1344"/>
        <v>19:35:23.000</v>
      </c>
      <c r="U3664" t="str">
        <f t="shared" si="1341"/>
        <v>AC3944</v>
      </c>
      <c r="V3664">
        <v>0</v>
      </c>
      <c r="W3664">
        <v>0</v>
      </c>
      <c r="X3664">
        <v>2</v>
      </c>
      <c r="Y3664">
        <v>0</v>
      </c>
      <c r="AA3664">
        <v>1</v>
      </c>
      <c r="AB3664">
        <v>8</v>
      </c>
      <c r="AC3664">
        <v>3</v>
      </c>
      <c r="AD3664">
        <v>0</v>
      </c>
      <c r="AE3664">
        <v>9</v>
      </c>
      <c r="AF3664" t="s">
        <v>138</v>
      </c>
      <c r="AG3664">
        <v>0</v>
      </c>
      <c r="AH3664">
        <v>3</v>
      </c>
      <c r="AI3664">
        <v>1</v>
      </c>
      <c r="AJ3664">
        <v>0</v>
      </c>
      <c r="AK3664" t="s">
        <v>1197</v>
      </c>
      <c r="AL3664">
        <v>32.736704000000003</v>
      </c>
      <c r="AM3664" t="s">
        <v>1198</v>
      </c>
      <c r="AN3664">
        <v>-116.719244</v>
      </c>
      <c r="AO3664">
        <v>25</v>
      </c>
      <c r="AP3664">
        <v>4500</v>
      </c>
      <c r="AQ3664" t="s">
        <v>129</v>
      </c>
      <c r="AR3664">
        <v>122</v>
      </c>
      <c r="AS3664">
        <v>18</v>
      </c>
      <c r="AT3664">
        <v>448</v>
      </c>
      <c r="BB3664">
        <v>1200</v>
      </c>
      <c r="BC3664">
        <v>1</v>
      </c>
      <c r="BD3664" t="str">
        <f t="shared" si="1342"/>
        <v xml:space="preserve">N887QR  </v>
      </c>
      <c r="BE3664">
        <v>1</v>
      </c>
      <c r="BG3664">
        <v>0</v>
      </c>
      <c r="BH3664">
        <v>0</v>
      </c>
      <c r="BI3664">
        <v>0</v>
      </c>
      <c r="BJ3664">
        <v>4350</v>
      </c>
      <c r="BK3664">
        <v>-150</v>
      </c>
      <c r="BL3664" t="s">
        <v>163</v>
      </c>
      <c r="BM3664">
        <v>1</v>
      </c>
      <c r="BN3664">
        <v>1</v>
      </c>
      <c r="BO3664">
        <v>1</v>
      </c>
      <c r="BP3664">
        <v>0</v>
      </c>
      <c r="BS3664">
        <v>0</v>
      </c>
      <c r="BT3664">
        <v>0</v>
      </c>
      <c r="BU3664">
        <v>0</v>
      </c>
      <c r="CE3664" t="str">
        <f t="shared" si="1347"/>
        <v>19:35:23.821</v>
      </c>
      <c r="CF3664">
        <v>820887278</v>
      </c>
      <c r="CS3664">
        <v>0</v>
      </c>
      <c r="CT3664">
        <v>2</v>
      </c>
      <c r="CU3664">
        <v>0</v>
      </c>
      <c r="CV3664">
        <v>2</v>
      </c>
      <c r="CW3664">
        <v>0</v>
      </c>
      <c r="CX3664">
        <v>1</v>
      </c>
      <c r="CY3664">
        <v>7</v>
      </c>
      <c r="CZ3664" t="s">
        <v>131</v>
      </c>
      <c r="DA3664">
        <v>745</v>
      </c>
      <c r="DB3664">
        <v>0</v>
      </c>
      <c r="DC3664" t="s">
        <v>1199</v>
      </c>
      <c r="DD3664" t="s">
        <v>1200</v>
      </c>
      <c r="DG3664">
        <v>9484397</v>
      </c>
      <c r="DI3664">
        <v>1</v>
      </c>
      <c r="DJ3664">
        <v>0</v>
      </c>
      <c r="DK3664">
        <v>1</v>
      </c>
      <c r="DL3664">
        <v>0</v>
      </c>
      <c r="DM3664">
        <v>0</v>
      </c>
      <c r="DN3664">
        <v>1</v>
      </c>
      <c r="DO3664">
        <v>0</v>
      </c>
      <c r="DP3664">
        <v>0</v>
      </c>
      <c r="DQ3664">
        <v>0</v>
      </c>
      <c r="DR3664">
        <v>0</v>
      </c>
      <c r="DS3664">
        <v>0</v>
      </c>
    </row>
    <row r="3665" spans="1:123" x14ac:dyDescent="0.3">
      <c r="A3665" t="str">
        <f t="shared" si="1346"/>
        <v>10/04/2022 19:35:24.183</v>
      </c>
      <c r="C3665" t="str">
        <f t="shared" si="1330"/>
        <v>FFDFD3C0</v>
      </c>
      <c r="D3665" t="s">
        <v>136</v>
      </c>
      <c r="E3665">
        <v>8</v>
      </c>
      <c r="H3665">
        <v>225</v>
      </c>
      <c r="I3665" t="s">
        <v>137</v>
      </c>
      <c r="J3665" t="s">
        <v>138</v>
      </c>
      <c r="K3665">
        <v>0</v>
      </c>
      <c r="L3665">
        <v>3</v>
      </c>
      <c r="M3665">
        <v>0</v>
      </c>
      <c r="N3665">
        <v>2</v>
      </c>
      <c r="O3665">
        <v>0</v>
      </c>
      <c r="P3665">
        <v>1</v>
      </c>
      <c r="Q3665">
        <v>0</v>
      </c>
      <c r="S3665" t="str">
        <f t="shared" si="1344"/>
        <v>19:35:23.000</v>
      </c>
      <c r="T3665" t="str">
        <f t="shared" si="1344"/>
        <v>19:35:23.000</v>
      </c>
      <c r="U3665" t="str">
        <f t="shared" si="1341"/>
        <v>AC3944</v>
      </c>
      <c r="V3665">
        <v>0</v>
      </c>
      <c r="W3665">
        <v>0</v>
      </c>
      <c r="X3665">
        <v>2</v>
      </c>
      <c r="Y3665">
        <v>0</v>
      </c>
      <c r="AA3665">
        <v>1</v>
      </c>
      <c r="AB3665">
        <v>8</v>
      </c>
      <c r="AC3665">
        <v>3</v>
      </c>
      <c r="AD3665">
        <v>0</v>
      </c>
      <c r="AE3665">
        <v>9</v>
      </c>
      <c r="AF3665" t="s">
        <v>138</v>
      </c>
      <c r="AG3665">
        <v>0</v>
      </c>
      <c r="AH3665">
        <v>3</v>
      </c>
      <c r="AI3665">
        <v>1</v>
      </c>
      <c r="AJ3665">
        <v>0</v>
      </c>
      <c r="AK3665" t="s">
        <v>1197</v>
      </c>
      <c r="AL3665">
        <v>32.736704000000003</v>
      </c>
      <c r="AM3665" t="s">
        <v>1198</v>
      </c>
      <c r="AN3665">
        <v>-116.719244</v>
      </c>
      <c r="AO3665">
        <v>25</v>
      </c>
      <c r="AP3665">
        <v>4500</v>
      </c>
      <c r="AQ3665" t="s">
        <v>129</v>
      </c>
      <c r="AR3665">
        <v>122</v>
      </c>
      <c r="AS3665">
        <v>18</v>
      </c>
      <c r="AT3665">
        <v>448</v>
      </c>
      <c r="BB3665">
        <v>1200</v>
      </c>
      <c r="BC3665">
        <v>1</v>
      </c>
      <c r="BD3665" t="str">
        <f t="shared" si="1342"/>
        <v xml:space="preserve">N887QR  </v>
      </c>
      <c r="BE3665">
        <v>1</v>
      </c>
      <c r="BG3665">
        <v>0</v>
      </c>
      <c r="BH3665">
        <v>0</v>
      </c>
      <c r="BI3665">
        <v>0</v>
      </c>
      <c r="BJ3665">
        <v>4350</v>
      </c>
      <c r="BK3665">
        <v>-150</v>
      </c>
      <c r="BL3665" t="s">
        <v>163</v>
      </c>
      <c r="BM3665">
        <v>1</v>
      </c>
      <c r="BN3665">
        <v>1</v>
      </c>
      <c r="BO3665">
        <v>1</v>
      </c>
      <c r="BP3665">
        <v>0</v>
      </c>
      <c r="BS3665">
        <v>0</v>
      </c>
      <c r="BT3665">
        <v>0</v>
      </c>
      <c r="BU3665">
        <v>0</v>
      </c>
      <c r="CE3665" t="str">
        <f t="shared" si="1347"/>
        <v>19:35:23.821</v>
      </c>
      <c r="CF3665">
        <v>820887278</v>
      </c>
      <c r="CS3665">
        <v>0</v>
      </c>
      <c r="CT3665">
        <v>2</v>
      </c>
      <c r="CU3665">
        <v>0</v>
      </c>
      <c r="CV3665">
        <v>2</v>
      </c>
      <c r="CW3665">
        <v>0</v>
      </c>
      <c r="CX3665">
        <v>1</v>
      </c>
      <c r="CY3665">
        <v>7</v>
      </c>
      <c r="CZ3665" t="s">
        <v>131</v>
      </c>
      <c r="DA3665">
        <v>745</v>
      </c>
      <c r="DB3665">
        <v>0</v>
      </c>
      <c r="DC3665" t="s">
        <v>1199</v>
      </c>
      <c r="DD3665" t="s">
        <v>1200</v>
      </c>
      <c r="DG3665">
        <v>9484397</v>
      </c>
      <c r="DI3665">
        <v>1</v>
      </c>
      <c r="DJ3665">
        <v>0</v>
      </c>
      <c r="DK3665">
        <v>1</v>
      </c>
      <c r="DL3665">
        <v>0</v>
      </c>
      <c r="DM3665">
        <v>0</v>
      </c>
      <c r="DN3665">
        <v>1</v>
      </c>
      <c r="DO3665">
        <v>0</v>
      </c>
      <c r="DP3665">
        <v>0</v>
      </c>
      <c r="DQ3665">
        <v>0</v>
      </c>
      <c r="DR3665">
        <v>0</v>
      </c>
      <c r="DS3665">
        <v>0</v>
      </c>
    </row>
    <row r="3666" spans="1:123" x14ac:dyDescent="0.3">
      <c r="A3666" t="str">
        <f t="shared" si="1346"/>
        <v>10/04/2022 19:35:24.183</v>
      </c>
      <c r="C3666" t="str">
        <f t="shared" si="1330"/>
        <v>FFDFD3C0</v>
      </c>
      <c r="D3666" t="s">
        <v>141</v>
      </c>
      <c r="E3666">
        <v>4</v>
      </c>
      <c r="H3666">
        <v>4</v>
      </c>
      <c r="I3666" t="s">
        <v>142</v>
      </c>
      <c r="J3666" t="s">
        <v>138</v>
      </c>
      <c r="K3666">
        <v>0</v>
      </c>
      <c r="L3666">
        <v>3</v>
      </c>
      <c r="M3666">
        <v>0</v>
      </c>
      <c r="N3666">
        <v>2</v>
      </c>
      <c r="O3666">
        <v>0</v>
      </c>
      <c r="P3666">
        <v>1</v>
      </c>
      <c r="Q3666">
        <v>0</v>
      </c>
      <c r="S3666" t="str">
        <f t="shared" si="1344"/>
        <v>19:35:23.000</v>
      </c>
      <c r="T3666" t="str">
        <f t="shared" si="1344"/>
        <v>19:35:23.000</v>
      </c>
      <c r="U3666" t="str">
        <f t="shared" si="1341"/>
        <v>AC3944</v>
      </c>
      <c r="V3666">
        <v>0</v>
      </c>
      <c r="W3666">
        <v>0</v>
      </c>
      <c r="X3666">
        <v>2</v>
      </c>
      <c r="Y3666">
        <v>0</v>
      </c>
      <c r="AA3666">
        <v>1</v>
      </c>
      <c r="AB3666">
        <v>8</v>
      </c>
      <c r="AC3666">
        <v>3</v>
      </c>
      <c r="AD3666">
        <v>0</v>
      </c>
      <c r="AE3666">
        <v>9</v>
      </c>
      <c r="AF3666" t="s">
        <v>138</v>
      </c>
      <c r="AG3666">
        <v>0</v>
      </c>
      <c r="AH3666">
        <v>3</v>
      </c>
      <c r="AI3666">
        <v>1</v>
      </c>
      <c r="AJ3666">
        <v>0</v>
      </c>
      <c r="AK3666" t="s">
        <v>1197</v>
      </c>
      <c r="AL3666">
        <v>32.736704000000003</v>
      </c>
      <c r="AM3666" t="s">
        <v>1198</v>
      </c>
      <c r="AN3666">
        <v>-116.719244</v>
      </c>
      <c r="AO3666">
        <v>25</v>
      </c>
      <c r="AP3666">
        <v>4500</v>
      </c>
      <c r="AQ3666" t="s">
        <v>129</v>
      </c>
      <c r="AR3666">
        <v>122</v>
      </c>
      <c r="AS3666">
        <v>18</v>
      </c>
      <c r="AT3666">
        <v>448</v>
      </c>
      <c r="BB3666">
        <v>1200</v>
      </c>
      <c r="BC3666">
        <v>1</v>
      </c>
      <c r="BD3666" t="str">
        <f t="shared" si="1342"/>
        <v xml:space="preserve">N887QR  </v>
      </c>
      <c r="BE3666">
        <v>1</v>
      </c>
      <c r="BG3666">
        <v>0</v>
      </c>
      <c r="BH3666">
        <v>0</v>
      </c>
      <c r="BI3666">
        <v>0</v>
      </c>
      <c r="BJ3666">
        <v>4350</v>
      </c>
      <c r="BK3666">
        <v>-150</v>
      </c>
      <c r="BL3666" t="s">
        <v>163</v>
      </c>
      <c r="BM3666">
        <v>1</v>
      </c>
      <c r="BN3666">
        <v>1</v>
      </c>
      <c r="BO3666">
        <v>1</v>
      </c>
      <c r="BP3666">
        <v>0</v>
      </c>
      <c r="BS3666">
        <v>0</v>
      </c>
      <c r="BT3666">
        <v>0</v>
      </c>
      <c r="BU3666">
        <v>0</v>
      </c>
      <c r="CE3666" t="str">
        <f t="shared" si="1347"/>
        <v>19:35:23.821</v>
      </c>
      <c r="CF3666">
        <v>820887278</v>
      </c>
      <c r="CS3666">
        <v>0</v>
      </c>
      <c r="CT3666">
        <v>2</v>
      </c>
      <c r="CU3666">
        <v>0</v>
      </c>
      <c r="CV3666">
        <v>2</v>
      </c>
      <c r="CW3666">
        <v>0</v>
      </c>
      <c r="CX3666">
        <v>1</v>
      </c>
      <c r="CY3666">
        <v>7</v>
      </c>
      <c r="CZ3666" t="s">
        <v>131</v>
      </c>
      <c r="DA3666">
        <v>745</v>
      </c>
      <c r="DB3666">
        <v>0</v>
      </c>
      <c r="DC3666" t="s">
        <v>1199</v>
      </c>
      <c r="DD3666" t="s">
        <v>1200</v>
      </c>
      <c r="DG3666">
        <v>9484397</v>
      </c>
      <c r="DI3666">
        <v>1</v>
      </c>
      <c r="DJ3666">
        <v>0</v>
      </c>
      <c r="DK3666">
        <v>1</v>
      </c>
      <c r="DL3666">
        <v>0</v>
      </c>
      <c r="DM3666">
        <v>0</v>
      </c>
      <c r="DN3666">
        <v>1</v>
      </c>
      <c r="DO3666">
        <v>0</v>
      </c>
      <c r="DP3666">
        <v>0</v>
      </c>
      <c r="DQ3666">
        <v>0</v>
      </c>
      <c r="DR3666">
        <v>0</v>
      </c>
      <c r="DS3666">
        <v>0</v>
      </c>
    </row>
    <row r="3667" spans="1:123" x14ac:dyDescent="0.3">
      <c r="A3667" t="str">
        <f t="shared" si="1346"/>
        <v>10/04/2022 19:35:24.183</v>
      </c>
      <c r="C3667" t="str">
        <f t="shared" si="1330"/>
        <v>FFDFD3C0</v>
      </c>
      <c r="D3667" t="s">
        <v>141</v>
      </c>
      <c r="E3667">
        <v>3</v>
      </c>
      <c r="H3667">
        <v>3</v>
      </c>
      <c r="I3667" t="s">
        <v>146</v>
      </c>
      <c r="J3667" t="s">
        <v>138</v>
      </c>
      <c r="K3667">
        <v>0</v>
      </c>
      <c r="L3667">
        <v>3</v>
      </c>
      <c r="M3667">
        <v>0</v>
      </c>
      <c r="N3667">
        <v>2</v>
      </c>
      <c r="O3667">
        <v>0</v>
      </c>
      <c r="P3667">
        <v>1</v>
      </c>
      <c r="Q3667">
        <v>0</v>
      </c>
      <c r="S3667" t="str">
        <f t="shared" si="1344"/>
        <v>19:35:23.000</v>
      </c>
      <c r="T3667" t="str">
        <f t="shared" si="1344"/>
        <v>19:35:23.000</v>
      </c>
      <c r="U3667" t="str">
        <f t="shared" si="1341"/>
        <v>AC3944</v>
      </c>
      <c r="V3667">
        <v>0</v>
      </c>
      <c r="W3667">
        <v>0</v>
      </c>
      <c r="X3667">
        <v>2</v>
      </c>
      <c r="Y3667">
        <v>0</v>
      </c>
      <c r="AA3667">
        <v>1</v>
      </c>
      <c r="AB3667">
        <v>8</v>
      </c>
      <c r="AC3667">
        <v>3</v>
      </c>
      <c r="AD3667">
        <v>0</v>
      </c>
      <c r="AE3667">
        <v>9</v>
      </c>
      <c r="AF3667" t="s">
        <v>138</v>
      </c>
      <c r="AG3667">
        <v>0</v>
      </c>
      <c r="AH3667">
        <v>3</v>
      </c>
      <c r="AI3667">
        <v>1</v>
      </c>
      <c r="AJ3667">
        <v>0</v>
      </c>
      <c r="AK3667" t="s">
        <v>1197</v>
      </c>
      <c r="AL3667">
        <v>32.736704000000003</v>
      </c>
      <c r="AM3667" t="s">
        <v>1198</v>
      </c>
      <c r="AN3667">
        <v>-116.719244</v>
      </c>
      <c r="AO3667">
        <v>25</v>
      </c>
      <c r="AP3667">
        <v>4500</v>
      </c>
      <c r="AQ3667" t="s">
        <v>129</v>
      </c>
      <c r="AR3667">
        <v>122</v>
      </c>
      <c r="AS3667">
        <v>18</v>
      </c>
      <c r="AT3667">
        <v>448</v>
      </c>
      <c r="BB3667">
        <v>1200</v>
      </c>
      <c r="BC3667">
        <v>1</v>
      </c>
      <c r="BD3667" t="str">
        <f t="shared" si="1342"/>
        <v xml:space="preserve">N887QR  </v>
      </c>
      <c r="BE3667">
        <v>1</v>
      </c>
      <c r="BG3667">
        <v>0</v>
      </c>
      <c r="BH3667">
        <v>0</v>
      </c>
      <c r="BI3667">
        <v>0</v>
      </c>
      <c r="BJ3667">
        <v>4350</v>
      </c>
      <c r="BK3667">
        <v>-150</v>
      </c>
      <c r="BL3667" t="s">
        <v>163</v>
      </c>
      <c r="BM3667">
        <v>1</v>
      </c>
      <c r="BN3667">
        <v>1</v>
      </c>
      <c r="BO3667">
        <v>1</v>
      </c>
      <c r="BP3667">
        <v>0</v>
      </c>
      <c r="BS3667">
        <v>0</v>
      </c>
      <c r="BT3667">
        <v>0</v>
      </c>
      <c r="BU3667">
        <v>0</v>
      </c>
      <c r="CE3667" t="str">
        <f t="shared" si="1347"/>
        <v>19:35:23.821</v>
      </c>
      <c r="CF3667">
        <v>820887278</v>
      </c>
      <c r="CS3667">
        <v>0</v>
      </c>
      <c r="CT3667">
        <v>2</v>
      </c>
      <c r="CU3667">
        <v>0</v>
      </c>
      <c r="CV3667">
        <v>2</v>
      </c>
      <c r="CW3667">
        <v>0</v>
      </c>
      <c r="CX3667">
        <v>1</v>
      </c>
      <c r="CY3667">
        <v>7</v>
      </c>
      <c r="CZ3667" t="s">
        <v>131</v>
      </c>
      <c r="DA3667">
        <v>745</v>
      </c>
      <c r="DB3667">
        <v>0</v>
      </c>
      <c r="DC3667" t="s">
        <v>1199</v>
      </c>
      <c r="DD3667" t="s">
        <v>1200</v>
      </c>
      <c r="DG3667">
        <v>9484397</v>
      </c>
      <c r="DI3667">
        <v>1</v>
      </c>
      <c r="DJ3667">
        <v>0</v>
      </c>
      <c r="DK3667">
        <v>1</v>
      </c>
      <c r="DL3667">
        <v>0</v>
      </c>
      <c r="DM3667">
        <v>0</v>
      </c>
      <c r="DN3667">
        <v>1</v>
      </c>
      <c r="DO3667">
        <v>0</v>
      </c>
      <c r="DP3667">
        <v>0</v>
      </c>
      <c r="DQ3667">
        <v>0</v>
      </c>
      <c r="DR3667">
        <v>0</v>
      </c>
      <c r="DS3667">
        <v>0</v>
      </c>
    </row>
    <row r="3668" spans="1:123" x14ac:dyDescent="0.3">
      <c r="A3668" t="str">
        <f t="shared" si="1346"/>
        <v>10/04/2022 19:35:24.183</v>
      </c>
      <c r="C3668" t="str">
        <f t="shared" si="1330"/>
        <v>FFDFD3C0</v>
      </c>
      <c r="D3668" t="s">
        <v>143</v>
      </c>
      <c r="E3668">
        <v>20</v>
      </c>
      <c r="F3668">
        <v>1020</v>
      </c>
      <c r="G3668" t="s">
        <v>144</v>
      </c>
      <c r="J3668" t="s">
        <v>145</v>
      </c>
      <c r="K3668">
        <v>0</v>
      </c>
      <c r="L3668">
        <v>3</v>
      </c>
      <c r="M3668">
        <v>0</v>
      </c>
      <c r="N3668">
        <v>2</v>
      </c>
      <c r="O3668">
        <v>0</v>
      </c>
      <c r="P3668">
        <v>1</v>
      </c>
      <c r="Q3668">
        <v>0</v>
      </c>
      <c r="S3668" t="str">
        <f t="shared" si="1344"/>
        <v>19:35:23.000</v>
      </c>
      <c r="T3668" t="str">
        <f t="shared" si="1344"/>
        <v>19:35:23.000</v>
      </c>
      <c r="U3668" t="str">
        <f t="shared" si="1341"/>
        <v>AC3944</v>
      </c>
      <c r="V3668">
        <v>0</v>
      </c>
      <c r="W3668">
        <v>0</v>
      </c>
      <c r="X3668">
        <v>2</v>
      </c>
      <c r="Y3668">
        <v>0</v>
      </c>
      <c r="AA3668">
        <v>1</v>
      </c>
      <c r="AB3668">
        <v>8</v>
      </c>
      <c r="AC3668">
        <v>3</v>
      </c>
      <c r="AD3668">
        <v>0</v>
      </c>
      <c r="AE3668">
        <v>9</v>
      </c>
      <c r="AF3668" t="s">
        <v>138</v>
      </c>
      <c r="AG3668">
        <v>0</v>
      </c>
      <c r="AH3668">
        <v>3</v>
      </c>
      <c r="AI3668">
        <v>1</v>
      </c>
      <c r="AJ3668">
        <v>0</v>
      </c>
      <c r="AK3668" t="s">
        <v>1197</v>
      </c>
      <c r="AL3668">
        <v>32.736704000000003</v>
      </c>
      <c r="AM3668" t="s">
        <v>1198</v>
      </c>
      <c r="AN3668">
        <v>-116.719244</v>
      </c>
      <c r="AO3668">
        <v>25</v>
      </c>
      <c r="AP3668">
        <v>4500</v>
      </c>
      <c r="AQ3668" t="s">
        <v>129</v>
      </c>
      <c r="AR3668">
        <v>122</v>
      </c>
      <c r="AS3668">
        <v>18</v>
      </c>
      <c r="AT3668">
        <v>448</v>
      </c>
      <c r="BB3668">
        <v>1200</v>
      </c>
      <c r="BC3668">
        <v>1</v>
      </c>
      <c r="BD3668" t="str">
        <f t="shared" si="1342"/>
        <v xml:space="preserve">N887QR  </v>
      </c>
      <c r="BE3668">
        <v>1</v>
      </c>
      <c r="BG3668">
        <v>0</v>
      </c>
      <c r="BH3668">
        <v>0</v>
      </c>
      <c r="BI3668">
        <v>0</v>
      </c>
      <c r="BJ3668">
        <v>4350</v>
      </c>
      <c r="BK3668">
        <v>-150</v>
      </c>
      <c r="BL3668" t="s">
        <v>163</v>
      </c>
      <c r="BM3668">
        <v>1</v>
      </c>
      <c r="BN3668">
        <v>1</v>
      </c>
      <c r="BO3668">
        <v>1</v>
      </c>
      <c r="BP3668">
        <v>0</v>
      </c>
      <c r="BS3668">
        <v>0</v>
      </c>
      <c r="BT3668">
        <v>0</v>
      </c>
      <c r="BU3668">
        <v>0</v>
      </c>
      <c r="CE3668" t="str">
        <f t="shared" si="1347"/>
        <v>19:35:23.821</v>
      </c>
      <c r="CF3668">
        <v>820887278</v>
      </c>
      <c r="CS3668">
        <v>0</v>
      </c>
      <c r="CT3668">
        <v>2</v>
      </c>
      <c r="CU3668">
        <v>0</v>
      </c>
      <c r="CV3668">
        <v>2</v>
      </c>
      <c r="CW3668">
        <v>0</v>
      </c>
      <c r="CX3668">
        <v>1</v>
      </c>
      <c r="CY3668">
        <v>7</v>
      </c>
      <c r="CZ3668" t="s">
        <v>131</v>
      </c>
      <c r="DA3668">
        <v>745</v>
      </c>
      <c r="DB3668">
        <v>0</v>
      </c>
      <c r="DC3668" t="s">
        <v>1199</v>
      </c>
      <c r="DD3668" t="s">
        <v>1200</v>
      </c>
      <c r="DG3668">
        <v>9484397</v>
      </c>
      <c r="DI3668">
        <v>1</v>
      </c>
      <c r="DJ3668">
        <v>0</v>
      </c>
      <c r="DK3668">
        <v>1</v>
      </c>
      <c r="DL3668">
        <v>0</v>
      </c>
      <c r="DM3668">
        <v>0</v>
      </c>
      <c r="DN3668">
        <v>1</v>
      </c>
      <c r="DO3668">
        <v>0</v>
      </c>
      <c r="DP3668">
        <v>0</v>
      </c>
      <c r="DQ3668">
        <v>0</v>
      </c>
      <c r="DR3668">
        <v>0</v>
      </c>
      <c r="DS3668">
        <v>0</v>
      </c>
    </row>
    <row r="3669" spans="1:123" x14ac:dyDescent="0.3">
      <c r="A3669" t="str">
        <f>"10/04/2022 19:35:25.856"</f>
        <v>10/04/2022 19:35:25.856</v>
      </c>
      <c r="C3669" t="str">
        <f t="shared" si="1330"/>
        <v>FFDFD3C0</v>
      </c>
      <c r="D3669" t="s">
        <v>141</v>
      </c>
      <c r="E3669">
        <v>3</v>
      </c>
      <c r="H3669">
        <v>3</v>
      </c>
      <c r="I3669" t="s">
        <v>146</v>
      </c>
      <c r="J3669" t="s">
        <v>138</v>
      </c>
      <c r="K3669">
        <v>0</v>
      </c>
      <c r="L3669">
        <v>3</v>
      </c>
      <c r="M3669">
        <v>0</v>
      </c>
      <c r="N3669">
        <v>2</v>
      </c>
      <c r="O3669">
        <v>0</v>
      </c>
      <c r="P3669">
        <v>1</v>
      </c>
      <c r="Q3669">
        <v>0</v>
      </c>
      <c r="S3669" t="str">
        <f t="shared" ref="S3669:T3682" si="1348">"19:35:25.000"</f>
        <v>19:35:25.000</v>
      </c>
      <c r="T3669" t="str">
        <f t="shared" si="1348"/>
        <v>19:35:25.000</v>
      </c>
      <c r="U3669" t="str">
        <f t="shared" si="1341"/>
        <v>AC3944</v>
      </c>
      <c r="V3669">
        <v>0</v>
      </c>
      <c r="W3669">
        <v>0</v>
      </c>
      <c r="X3669">
        <v>2</v>
      </c>
      <c r="Y3669">
        <v>0</v>
      </c>
      <c r="AA3669">
        <v>1</v>
      </c>
      <c r="AB3669">
        <v>8</v>
      </c>
      <c r="AC3669">
        <v>3</v>
      </c>
      <c r="AD3669">
        <v>0</v>
      </c>
      <c r="AE3669">
        <v>9</v>
      </c>
      <c r="AF3669" t="s">
        <v>138</v>
      </c>
      <c r="AG3669">
        <v>0</v>
      </c>
      <c r="AH3669">
        <v>3</v>
      </c>
      <c r="AI3669">
        <v>1</v>
      </c>
      <c r="AJ3669">
        <v>0</v>
      </c>
      <c r="AK3669" t="s">
        <v>1201</v>
      </c>
      <c r="AL3669">
        <v>32.736769000000002</v>
      </c>
      <c r="AM3669" t="s">
        <v>1202</v>
      </c>
      <c r="AN3669">
        <v>-116.71870699999999</v>
      </c>
      <c r="AO3669">
        <v>25</v>
      </c>
      <c r="AP3669">
        <v>4500</v>
      </c>
      <c r="AQ3669" t="s">
        <v>129</v>
      </c>
      <c r="AR3669">
        <v>123</v>
      </c>
      <c r="AS3669">
        <v>17</v>
      </c>
      <c r="AT3669">
        <v>320</v>
      </c>
      <c r="BB3669">
        <v>1200</v>
      </c>
      <c r="BC3669">
        <v>1</v>
      </c>
      <c r="BD3669" t="str">
        <f t="shared" si="1342"/>
        <v xml:space="preserve">N887QR  </v>
      </c>
      <c r="BE3669">
        <v>1</v>
      </c>
      <c r="BG3669">
        <v>0</v>
      </c>
      <c r="BH3669">
        <v>0</v>
      </c>
      <c r="BI3669">
        <v>0</v>
      </c>
      <c r="BJ3669">
        <v>4350</v>
      </c>
      <c r="BK3669">
        <v>-150</v>
      </c>
      <c r="BL3669" t="s">
        <v>163</v>
      </c>
      <c r="BM3669">
        <v>1</v>
      </c>
      <c r="BN3669">
        <v>1</v>
      </c>
      <c r="BO3669">
        <v>1</v>
      </c>
      <c r="BP3669">
        <v>0</v>
      </c>
      <c r="BS3669">
        <v>0</v>
      </c>
      <c r="BT3669">
        <v>0</v>
      </c>
      <c r="BU3669">
        <v>0</v>
      </c>
      <c r="CE3669" t="str">
        <f>"19:35:25.504"</f>
        <v>19:35:25.504</v>
      </c>
      <c r="CF3669">
        <v>503874533</v>
      </c>
      <c r="CS3669">
        <v>0</v>
      </c>
      <c r="CT3669">
        <v>2</v>
      </c>
      <c r="CU3669">
        <v>0</v>
      </c>
      <c r="CV3669">
        <v>2</v>
      </c>
      <c r="CW3669">
        <v>0</v>
      </c>
      <c r="CX3669">
        <v>4</v>
      </c>
      <c r="CY3669">
        <v>7</v>
      </c>
      <c r="CZ3669" t="s">
        <v>131</v>
      </c>
      <c r="DA3669">
        <v>300</v>
      </c>
      <c r="DB3669">
        <v>0</v>
      </c>
      <c r="DC3669" t="s">
        <v>176</v>
      </c>
      <c r="DD3669" t="s">
        <v>177</v>
      </c>
      <c r="DG3669">
        <v>5444697</v>
      </c>
      <c r="DI3669">
        <v>1</v>
      </c>
      <c r="DJ3669">
        <v>0</v>
      </c>
      <c r="DK3669">
        <v>0</v>
      </c>
      <c r="DL3669">
        <v>0</v>
      </c>
      <c r="DM3669">
        <v>0</v>
      </c>
      <c r="DN3669">
        <v>1</v>
      </c>
      <c r="DO3669">
        <v>0</v>
      </c>
      <c r="DP3669">
        <v>0</v>
      </c>
      <c r="DQ3669">
        <v>0</v>
      </c>
      <c r="DR3669">
        <v>0</v>
      </c>
      <c r="DS3669">
        <v>0</v>
      </c>
    </row>
    <row r="3670" spans="1:123" x14ac:dyDescent="0.3">
      <c r="A3670" t="str">
        <f>"10/04/2022 19:35:25.856"</f>
        <v>10/04/2022 19:35:25.856</v>
      </c>
      <c r="C3670" t="str">
        <f t="shared" si="1330"/>
        <v>FFDFD3C0</v>
      </c>
      <c r="D3670" t="s">
        <v>123</v>
      </c>
      <c r="E3670">
        <v>7</v>
      </c>
      <c r="F3670">
        <v>2007</v>
      </c>
      <c r="G3670" t="s">
        <v>124</v>
      </c>
      <c r="J3670" t="s">
        <v>125</v>
      </c>
      <c r="K3670">
        <v>0</v>
      </c>
      <c r="L3670">
        <v>3</v>
      </c>
      <c r="M3670">
        <v>0</v>
      </c>
      <c r="N3670">
        <v>2</v>
      </c>
      <c r="O3670">
        <v>0</v>
      </c>
      <c r="P3670">
        <v>1</v>
      </c>
      <c r="Q3670">
        <v>0</v>
      </c>
      <c r="S3670" t="str">
        <f t="shared" si="1348"/>
        <v>19:35:25.000</v>
      </c>
      <c r="T3670" t="str">
        <f t="shared" si="1348"/>
        <v>19:35:25.000</v>
      </c>
      <c r="U3670" t="str">
        <f t="shared" si="1341"/>
        <v>AC3944</v>
      </c>
      <c r="V3670">
        <v>0</v>
      </c>
      <c r="W3670">
        <v>0</v>
      </c>
      <c r="X3670">
        <v>2</v>
      </c>
      <c r="Y3670">
        <v>0</v>
      </c>
      <c r="AA3670">
        <v>1</v>
      </c>
      <c r="AB3670">
        <v>8</v>
      </c>
      <c r="AC3670">
        <v>3</v>
      </c>
      <c r="AD3670">
        <v>0</v>
      </c>
      <c r="AE3670">
        <v>9</v>
      </c>
      <c r="AF3670" t="s">
        <v>138</v>
      </c>
      <c r="AG3670">
        <v>0</v>
      </c>
      <c r="AH3670">
        <v>3</v>
      </c>
      <c r="AI3670">
        <v>1</v>
      </c>
      <c r="AJ3670">
        <v>0</v>
      </c>
      <c r="AK3670" t="s">
        <v>1201</v>
      </c>
      <c r="AL3670">
        <v>32.736769000000002</v>
      </c>
      <c r="AM3670" t="s">
        <v>1202</v>
      </c>
      <c r="AN3670">
        <v>-116.71870699999999</v>
      </c>
      <c r="AO3670">
        <v>25</v>
      </c>
      <c r="AP3670">
        <v>4500</v>
      </c>
      <c r="AQ3670" t="s">
        <v>129</v>
      </c>
      <c r="AR3670">
        <v>123</v>
      </c>
      <c r="AS3670">
        <v>17</v>
      </c>
      <c r="AT3670">
        <v>320</v>
      </c>
      <c r="BB3670">
        <v>1200</v>
      </c>
      <c r="BC3670">
        <v>1</v>
      </c>
      <c r="BD3670" t="str">
        <f t="shared" si="1342"/>
        <v xml:space="preserve">N887QR  </v>
      </c>
      <c r="BE3670">
        <v>1</v>
      </c>
      <c r="BG3670">
        <v>0</v>
      </c>
      <c r="BH3670">
        <v>0</v>
      </c>
      <c r="BI3670">
        <v>0</v>
      </c>
      <c r="BJ3670">
        <v>4350</v>
      </c>
      <c r="BK3670">
        <v>-150</v>
      </c>
      <c r="BL3670" t="s">
        <v>163</v>
      </c>
      <c r="BM3670">
        <v>1</v>
      </c>
      <c r="BN3670">
        <v>1</v>
      </c>
      <c r="BO3670">
        <v>1</v>
      </c>
      <c r="BP3670">
        <v>0</v>
      </c>
      <c r="BS3670">
        <v>0</v>
      </c>
      <c r="BT3670">
        <v>0</v>
      </c>
      <c r="BU3670">
        <v>0</v>
      </c>
      <c r="CE3670" t="str">
        <f>"19:35:25.504"</f>
        <v>19:35:25.504</v>
      </c>
      <c r="CF3670">
        <v>503874533</v>
      </c>
      <c r="CS3670">
        <v>0</v>
      </c>
      <c r="CT3670">
        <v>2</v>
      </c>
      <c r="CU3670">
        <v>0</v>
      </c>
      <c r="CV3670">
        <v>2</v>
      </c>
      <c r="CW3670">
        <v>0</v>
      </c>
      <c r="CX3670">
        <v>4</v>
      </c>
      <c r="CY3670">
        <v>7</v>
      </c>
      <c r="CZ3670" t="s">
        <v>131</v>
      </c>
      <c r="DA3670">
        <v>300</v>
      </c>
      <c r="DB3670">
        <v>0</v>
      </c>
      <c r="DC3670" t="s">
        <v>176</v>
      </c>
      <c r="DD3670" t="s">
        <v>177</v>
      </c>
      <c r="DG3670">
        <v>5444697</v>
      </c>
      <c r="DI3670">
        <v>1</v>
      </c>
      <c r="DJ3670">
        <v>0</v>
      </c>
      <c r="DK3670">
        <v>1</v>
      </c>
      <c r="DL3670">
        <v>0</v>
      </c>
      <c r="DM3670">
        <v>0</v>
      </c>
      <c r="DN3670">
        <v>1</v>
      </c>
      <c r="DO3670">
        <v>0</v>
      </c>
      <c r="DP3670">
        <v>0</v>
      </c>
      <c r="DQ3670">
        <v>0</v>
      </c>
      <c r="DR3670">
        <v>0</v>
      </c>
      <c r="DS3670">
        <v>0</v>
      </c>
    </row>
    <row r="3671" spans="1:123" x14ac:dyDescent="0.3">
      <c r="A3671" t="str">
        <f>"10/04/2022 19:35:25.856"</f>
        <v>10/04/2022 19:35:25.856</v>
      </c>
      <c r="C3671" t="str">
        <f t="shared" si="1330"/>
        <v>FFDFD3C0</v>
      </c>
      <c r="D3671" t="s">
        <v>134</v>
      </c>
      <c r="E3671">
        <v>15</v>
      </c>
      <c r="J3671" t="s">
        <v>135</v>
      </c>
      <c r="K3671">
        <v>0</v>
      </c>
      <c r="L3671">
        <v>3</v>
      </c>
      <c r="M3671">
        <v>0</v>
      </c>
      <c r="N3671">
        <v>2</v>
      </c>
      <c r="O3671">
        <v>0</v>
      </c>
      <c r="P3671">
        <v>1</v>
      </c>
      <c r="Q3671">
        <v>0</v>
      </c>
      <c r="S3671" t="str">
        <f t="shared" si="1348"/>
        <v>19:35:25.000</v>
      </c>
      <c r="T3671" t="str">
        <f t="shared" si="1348"/>
        <v>19:35:25.000</v>
      </c>
      <c r="U3671" t="str">
        <f t="shared" si="1341"/>
        <v>AC3944</v>
      </c>
      <c r="V3671">
        <v>0</v>
      </c>
      <c r="W3671">
        <v>0</v>
      </c>
      <c r="X3671">
        <v>2</v>
      </c>
      <c r="Y3671">
        <v>0</v>
      </c>
      <c r="AA3671">
        <v>1</v>
      </c>
      <c r="AB3671">
        <v>8</v>
      </c>
      <c r="AC3671">
        <v>3</v>
      </c>
      <c r="AD3671">
        <v>0</v>
      </c>
      <c r="AE3671">
        <v>9</v>
      </c>
      <c r="AF3671" t="s">
        <v>138</v>
      </c>
      <c r="AG3671">
        <v>0</v>
      </c>
      <c r="AH3671">
        <v>3</v>
      </c>
      <c r="AI3671">
        <v>1</v>
      </c>
      <c r="AJ3671">
        <v>0</v>
      </c>
      <c r="AK3671" t="s">
        <v>1201</v>
      </c>
      <c r="AL3671">
        <v>32.736769000000002</v>
      </c>
      <c r="AM3671" t="s">
        <v>1202</v>
      </c>
      <c r="AN3671">
        <v>-116.71870699999999</v>
      </c>
      <c r="AO3671">
        <v>25</v>
      </c>
      <c r="AP3671">
        <v>4500</v>
      </c>
      <c r="AQ3671" t="s">
        <v>129</v>
      </c>
      <c r="AR3671">
        <v>123</v>
      </c>
      <c r="AS3671">
        <v>17</v>
      </c>
      <c r="AT3671">
        <v>320</v>
      </c>
      <c r="BB3671">
        <v>1200</v>
      </c>
      <c r="BC3671">
        <v>1</v>
      </c>
      <c r="BD3671" t="str">
        <f t="shared" si="1342"/>
        <v xml:space="preserve">N887QR  </v>
      </c>
      <c r="BE3671">
        <v>1</v>
      </c>
      <c r="BG3671">
        <v>0</v>
      </c>
      <c r="BH3671">
        <v>0</v>
      </c>
      <c r="BI3671">
        <v>0</v>
      </c>
      <c r="BJ3671">
        <v>4350</v>
      </c>
      <c r="BK3671">
        <v>-150</v>
      </c>
      <c r="BL3671" t="s">
        <v>163</v>
      </c>
      <c r="BM3671">
        <v>1</v>
      </c>
      <c r="BN3671">
        <v>1</v>
      </c>
      <c r="BO3671">
        <v>1</v>
      </c>
      <c r="BP3671">
        <v>0</v>
      </c>
      <c r="BS3671">
        <v>0</v>
      </c>
      <c r="BT3671">
        <v>0</v>
      </c>
      <c r="BU3671">
        <v>0</v>
      </c>
      <c r="CE3671" t="str">
        <f>"19:35:25.504"</f>
        <v>19:35:25.504</v>
      </c>
      <c r="CF3671">
        <v>503874533</v>
      </c>
      <c r="CS3671">
        <v>0</v>
      </c>
      <c r="CT3671">
        <v>2</v>
      </c>
      <c r="CU3671">
        <v>0</v>
      </c>
      <c r="CV3671">
        <v>2</v>
      </c>
      <c r="CW3671">
        <v>0</v>
      </c>
      <c r="CX3671">
        <v>4</v>
      </c>
      <c r="CY3671">
        <v>7</v>
      </c>
      <c r="CZ3671" t="s">
        <v>131</v>
      </c>
      <c r="DA3671">
        <v>300</v>
      </c>
      <c r="DB3671">
        <v>0</v>
      </c>
      <c r="DC3671" t="s">
        <v>176</v>
      </c>
      <c r="DD3671" t="s">
        <v>177</v>
      </c>
      <c r="DG3671">
        <v>5444697</v>
      </c>
      <c r="DI3671">
        <v>1</v>
      </c>
      <c r="DJ3671">
        <v>0</v>
      </c>
      <c r="DK3671">
        <v>1</v>
      </c>
      <c r="DL3671">
        <v>0</v>
      </c>
      <c r="DM3671">
        <v>0</v>
      </c>
      <c r="DN3671">
        <v>1</v>
      </c>
      <c r="DO3671">
        <v>0</v>
      </c>
      <c r="DP3671">
        <v>0</v>
      </c>
      <c r="DQ3671">
        <v>0</v>
      </c>
      <c r="DR3671">
        <v>0</v>
      </c>
      <c r="DS3671">
        <v>0</v>
      </c>
    </row>
    <row r="3672" spans="1:123" x14ac:dyDescent="0.3">
      <c r="A3672" t="str">
        <f>"10/04/2022 19:35:25.856"</f>
        <v>10/04/2022 19:35:25.856</v>
      </c>
      <c r="C3672" t="str">
        <f t="shared" si="1330"/>
        <v>FFDFD3C0</v>
      </c>
      <c r="D3672" t="s">
        <v>147</v>
      </c>
      <c r="E3672">
        <v>3</v>
      </c>
      <c r="H3672">
        <v>166</v>
      </c>
      <c r="I3672" t="s">
        <v>144</v>
      </c>
      <c r="J3672" t="s">
        <v>148</v>
      </c>
      <c r="K3672">
        <v>0</v>
      </c>
      <c r="L3672">
        <v>3</v>
      </c>
      <c r="M3672">
        <v>0</v>
      </c>
      <c r="N3672">
        <v>2</v>
      </c>
      <c r="O3672">
        <v>0</v>
      </c>
      <c r="P3672">
        <v>1</v>
      </c>
      <c r="Q3672">
        <v>0</v>
      </c>
      <c r="S3672" t="str">
        <f t="shared" si="1348"/>
        <v>19:35:25.000</v>
      </c>
      <c r="T3672" t="str">
        <f t="shared" si="1348"/>
        <v>19:35:25.000</v>
      </c>
      <c r="U3672" t="str">
        <f t="shared" si="1341"/>
        <v>AC3944</v>
      </c>
      <c r="V3672">
        <v>0</v>
      </c>
      <c r="W3672">
        <v>0</v>
      </c>
      <c r="X3672">
        <v>2</v>
      </c>
      <c r="Y3672">
        <v>0</v>
      </c>
      <c r="AA3672">
        <v>1</v>
      </c>
      <c r="AB3672">
        <v>8</v>
      </c>
      <c r="AC3672">
        <v>3</v>
      </c>
      <c r="AD3672">
        <v>0</v>
      </c>
      <c r="AE3672">
        <v>9</v>
      </c>
      <c r="AF3672" t="s">
        <v>138</v>
      </c>
      <c r="AG3672">
        <v>0</v>
      </c>
      <c r="AH3672">
        <v>3</v>
      </c>
      <c r="AI3672">
        <v>1</v>
      </c>
      <c r="AJ3672">
        <v>0</v>
      </c>
      <c r="AK3672" t="s">
        <v>1201</v>
      </c>
      <c r="AL3672">
        <v>32.736769000000002</v>
      </c>
      <c r="AM3672" t="s">
        <v>1202</v>
      </c>
      <c r="AN3672">
        <v>-116.71870699999999</v>
      </c>
      <c r="AO3672">
        <v>25</v>
      </c>
      <c r="AP3672">
        <v>4500</v>
      </c>
      <c r="AQ3672" t="s">
        <v>129</v>
      </c>
      <c r="AR3672">
        <v>123</v>
      </c>
      <c r="AS3672">
        <v>17</v>
      </c>
      <c r="AT3672">
        <v>320</v>
      </c>
      <c r="BB3672">
        <v>1200</v>
      </c>
      <c r="BC3672">
        <v>1</v>
      </c>
      <c r="BD3672" t="str">
        <f t="shared" si="1342"/>
        <v xml:space="preserve">N887QR  </v>
      </c>
      <c r="BE3672">
        <v>1</v>
      </c>
      <c r="BG3672">
        <v>0</v>
      </c>
      <c r="BH3672">
        <v>0</v>
      </c>
      <c r="BI3672">
        <v>0</v>
      </c>
      <c r="BJ3672">
        <v>4350</v>
      </c>
      <c r="BK3672">
        <v>-150</v>
      </c>
      <c r="BL3672" t="s">
        <v>163</v>
      </c>
      <c r="BM3672">
        <v>1</v>
      </c>
      <c r="BN3672">
        <v>1</v>
      </c>
      <c r="BO3672">
        <v>1</v>
      </c>
      <c r="BP3672">
        <v>0</v>
      </c>
      <c r="BS3672">
        <v>0</v>
      </c>
      <c r="BT3672">
        <v>0</v>
      </c>
      <c r="BU3672">
        <v>0</v>
      </c>
      <c r="CE3672" t="str">
        <f>"19:35:25.504"</f>
        <v>19:35:25.504</v>
      </c>
      <c r="CF3672">
        <v>503874533</v>
      </c>
      <c r="CS3672">
        <v>0</v>
      </c>
      <c r="CT3672">
        <v>2</v>
      </c>
      <c r="CU3672">
        <v>0</v>
      </c>
      <c r="CV3672">
        <v>2</v>
      </c>
      <c r="CW3672">
        <v>0</v>
      </c>
      <c r="CX3672">
        <v>4</v>
      </c>
      <c r="CY3672">
        <v>7</v>
      </c>
      <c r="CZ3672" t="s">
        <v>131</v>
      </c>
      <c r="DA3672">
        <v>300</v>
      </c>
      <c r="DB3672">
        <v>0</v>
      </c>
      <c r="DC3672" t="s">
        <v>176</v>
      </c>
      <c r="DD3672" t="s">
        <v>177</v>
      </c>
      <c r="DG3672">
        <v>5444697</v>
      </c>
      <c r="DI3672">
        <v>1</v>
      </c>
      <c r="DJ3672">
        <v>0</v>
      </c>
      <c r="DK3672">
        <v>1</v>
      </c>
      <c r="DL3672">
        <v>0</v>
      </c>
      <c r="DM3672">
        <v>0</v>
      </c>
      <c r="DN3672">
        <v>1</v>
      </c>
      <c r="DO3672">
        <v>0</v>
      </c>
      <c r="DP3672">
        <v>0</v>
      </c>
      <c r="DQ3672">
        <v>0</v>
      </c>
      <c r="DR3672">
        <v>0</v>
      </c>
      <c r="DS3672">
        <v>0</v>
      </c>
    </row>
    <row r="3673" spans="1:123" x14ac:dyDescent="0.3">
      <c r="A3673" t="str">
        <f>"10/04/2022 19:35:25.856"</f>
        <v>10/04/2022 19:35:25.856</v>
      </c>
      <c r="C3673" t="str">
        <f t="shared" si="1330"/>
        <v>FFDFD3C0</v>
      </c>
      <c r="D3673" t="s">
        <v>136</v>
      </c>
      <c r="E3673">
        <v>8</v>
      </c>
      <c r="H3673">
        <v>225</v>
      </c>
      <c r="I3673" t="s">
        <v>137</v>
      </c>
      <c r="J3673" t="s">
        <v>138</v>
      </c>
      <c r="K3673">
        <v>0</v>
      </c>
      <c r="L3673">
        <v>3</v>
      </c>
      <c r="M3673">
        <v>0</v>
      </c>
      <c r="N3673">
        <v>2</v>
      </c>
      <c r="O3673">
        <v>0</v>
      </c>
      <c r="P3673">
        <v>1</v>
      </c>
      <c r="Q3673">
        <v>0</v>
      </c>
      <c r="S3673" t="str">
        <f t="shared" si="1348"/>
        <v>19:35:25.000</v>
      </c>
      <c r="T3673" t="str">
        <f t="shared" si="1348"/>
        <v>19:35:25.000</v>
      </c>
      <c r="U3673" t="str">
        <f t="shared" si="1341"/>
        <v>AC3944</v>
      </c>
      <c r="V3673">
        <v>0</v>
      </c>
      <c r="W3673">
        <v>0</v>
      </c>
      <c r="X3673">
        <v>2</v>
      </c>
      <c r="Y3673">
        <v>0</v>
      </c>
      <c r="AA3673">
        <v>1</v>
      </c>
      <c r="AB3673">
        <v>8</v>
      </c>
      <c r="AC3673">
        <v>3</v>
      </c>
      <c r="AD3673">
        <v>0</v>
      </c>
      <c r="AE3673">
        <v>9</v>
      </c>
      <c r="AF3673" t="s">
        <v>138</v>
      </c>
      <c r="AG3673">
        <v>0</v>
      </c>
      <c r="AH3673">
        <v>3</v>
      </c>
      <c r="AI3673">
        <v>1</v>
      </c>
      <c r="AJ3673">
        <v>0</v>
      </c>
      <c r="AK3673" t="s">
        <v>1201</v>
      </c>
      <c r="AL3673">
        <v>32.736769000000002</v>
      </c>
      <c r="AM3673" t="s">
        <v>1202</v>
      </c>
      <c r="AN3673">
        <v>-116.71870699999999</v>
      </c>
      <c r="AO3673">
        <v>25</v>
      </c>
      <c r="AP3673">
        <v>4500</v>
      </c>
      <c r="AQ3673" t="s">
        <v>129</v>
      </c>
      <c r="AR3673">
        <v>123</v>
      </c>
      <c r="AS3673">
        <v>17</v>
      </c>
      <c r="AT3673">
        <v>320</v>
      </c>
      <c r="BB3673">
        <v>1200</v>
      </c>
      <c r="BC3673">
        <v>1</v>
      </c>
      <c r="BD3673" t="str">
        <f t="shared" si="1342"/>
        <v xml:space="preserve">N887QR  </v>
      </c>
      <c r="BE3673">
        <v>1</v>
      </c>
      <c r="BG3673">
        <v>0</v>
      </c>
      <c r="BH3673">
        <v>0</v>
      </c>
      <c r="BI3673">
        <v>0</v>
      </c>
      <c r="BJ3673">
        <v>4350</v>
      </c>
      <c r="BK3673">
        <v>-150</v>
      </c>
      <c r="BL3673" t="s">
        <v>163</v>
      </c>
      <c r="BM3673">
        <v>1</v>
      </c>
      <c r="BN3673">
        <v>1</v>
      </c>
      <c r="BO3673">
        <v>1</v>
      </c>
      <c r="BP3673">
        <v>0</v>
      </c>
      <c r="BS3673">
        <v>0</v>
      </c>
      <c r="BT3673">
        <v>0</v>
      </c>
      <c r="BU3673">
        <v>0</v>
      </c>
      <c r="CE3673" t="str">
        <f>"19:35:25.504"</f>
        <v>19:35:25.504</v>
      </c>
      <c r="CF3673">
        <v>503874533</v>
      </c>
      <c r="CS3673">
        <v>0</v>
      </c>
      <c r="CT3673">
        <v>2</v>
      </c>
      <c r="CU3673">
        <v>0</v>
      </c>
      <c r="CV3673">
        <v>2</v>
      </c>
      <c r="CW3673">
        <v>0</v>
      </c>
      <c r="CX3673">
        <v>4</v>
      </c>
      <c r="CY3673">
        <v>7</v>
      </c>
      <c r="CZ3673" t="s">
        <v>131</v>
      </c>
      <c r="DA3673">
        <v>300</v>
      </c>
      <c r="DB3673">
        <v>0</v>
      </c>
      <c r="DC3673" t="s">
        <v>176</v>
      </c>
      <c r="DD3673" t="s">
        <v>177</v>
      </c>
      <c r="DG3673">
        <v>5444697</v>
      </c>
      <c r="DI3673">
        <v>1</v>
      </c>
      <c r="DJ3673">
        <v>0</v>
      </c>
      <c r="DK3673">
        <v>1</v>
      </c>
      <c r="DL3673">
        <v>0</v>
      </c>
      <c r="DM3673">
        <v>0</v>
      </c>
      <c r="DN3673">
        <v>1</v>
      </c>
      <c r="DO3673">
        <v>0</v>
      </c>
      <c r="DP3673">
        <v>0</v>
      </c>
      <c r="DQ3673">
        <v>0</v>
      </c>
      <c r="DR3673">
        <v>0</v>
      </c>
      <c r="DS3673">
        <v>0</v>
      </c>
    </row>
    <row r="3674" spans="1:123" x14ac:dyDescent="0.3">
      <c r="A3674" t="str">
        <f>"10/04/2022 19:35:26.215"</f>
        <v>10/04/2022 19:35:26.215</v>
      </c>
      <c r="C3674" t="str">
        <f t="shared" si="1330"/>
        <v>FFDFD3C0</v>
      </c>
      <c r="D3674" t="s">
        <v>147</v>
      </c>
      <c r="E3674">
        <v>3</v>
      </c>
      <c r="H3674">
        <v>166</v>
      </c>
      <c r="I3674" t="s">
        <v>144</v>
      </c>
      <c r="J3674" t="s">
        <v>148</v>
      </c>
      <c r="K3674">
        <v>0</v>
      </c>
      <c r="L3674">
        <v>3</v>
      </c>
      <c r="M3674">
        <v>0</v>
      </c>
      <c r="N3674">
        <v>2</v>
      </c>
      <c r="O3674">
        <v>0</v>
      </c>
      <c r="P3674">
        <v>1</v>
      </c>
      <c r="Q3674">
        <v>0</v>
      </c>
      <c r="S3674" t="str">
        <f t="shared" si="1348"/>
        <v>19:35:25.000</v>
      </c>
      <c r="T3674" t="str">
        <f t="shared" si="1348"/>
        <v>19:35:25.000</v>
      </c>
      <c r="U3674" t="str">
        <f t="shared" si="1341"/>
        <v>AC3944</v>
      </c>
      <c r="V3674">
        <v>0</v>
      </c>
      <c r="W3674">
        <v>0</v>
      </c>
      <c r="X3674">
        <v>2</v>
      </c>
      <c r="Y3674">
        <v>0</v>
      </c>
      <c r="AA3674">
        <v>1</v>
      </c>
      <c r="AB3674">
        <v>8</v>
      </c>
      <c r="AC3674">
        <v>3</v>
      </c>
      <c r="AD3674">
        <v>0</v>
      </c>
      <c r="AE3674">
        <v>9</v>
      </c>
      <c r="AF3674" t="s">
        <v>138</v>
      </c>
      <c r="AG3674">
        <v>0</v>
      </c>
      <c r="AH3674">
        <v>3</v>
      </c>
      <c r="AI3674">
        <v>1</v>
      </c>
      <c r="AJ3674">
        <v>0</v>
      </c>
      <c r="AK3674" t="s">
        <v>1203</v>
      </c>
      <c r="AL3674">
        <v>32.736854999999998</v>
      </c>
      <c r="AM3674" t="s">
        <v>1204</v>
      </c>
      <c r="AN3674">
        <v>-116.71802</v>
      </c>
      <c r="AO3674">
        <v>25</v>
      </c>
      <c r="AP3674">
        <v>4500</v>
      </c>
      <c r="AQ3674" t="s">
        <v>129</v>
      </c>
      <c r="AR3674">
        <v>123</v>
      </c>
      <c r="AS3674">
        <v>17</v>
      </c>
      <c r="AT3674">
        <v>320</v>
      </c>
      <c r="BB3674">
        <v>1200</v>
      </c>
      <c r="BC3674">
        <v>1</v>
      </c>
      <c r="BD3674" t="str">
        <f t="shared" si="1342"/>
        <v xml:space="preserve">N887QR  </v>
      </c>
      <c r="BE3674">
        <v>1</v>
      </c>
      <c r="BG3674">
        <v>0</v>
      </c>
      <c r="BH3674">
        <v>0</v>
      </c>
      <c r="BI3674">
        <v>0</v>
      </c>
      <c r="BJ3674">
        <v>4350</v>
      </c>
      <c r="BK3674">
        <v>-150</v>
      </c>
      <c r="BL3674" t="s">
        <v>163</v>
      </c>
      <c r="BM3674">
        <v>1</v>
      </c>
      <c r="BN3674">
        <v>1</v>
      </c>
      <c r="BO3674">
        <v>1</v>
      </c>
      <c r="BP3674">
        <v>0</v>
      </c>
      <c r="BS3674">
        <v>0</v>
      </c>
      <c r="BT3674">
        <v>0</v>
      </c>
      <c r="BU3674">
        <v>0</v>
      </c>
      <c r="CE3674" t="str">
        <f>"19:35:25.912"</f>
        <v>19:35:25.912</v>
      </c>
      <c r="CF3674">
        <v>912314049</v>
      </c>
      <c r="CS3674">
        <v>0</v>
      </c>
      <c r="CT3674">
        <v>2</v>
      </c>
      <c r="CU3674">
        <v>0</v>
      </c>
      <c r="CV3674">
        <v>2</v>
      </c>
      <c r="CW3674">
        <v>0</v>
      </c>
      <c r="CX3674">
        <v>5</v>
      </c>
      <c r="CY3674">
        <v>7</v>
      </c>
      <c r="CZ3674" t="s">
        <v>131</v>
      </c>
      <c r="DA3674">
        <v>286</v>
      </c>
      <c r="DB3674">
        <v>0</v>
      </c>
      <c r="DC3674" t="s">
        <v>132</v>
      </c>
      <c r="DD3674" t="s">
        <v>133</v>
      </c>
      <c r="DG3674">
        <v>887053</v>
      </c>
      <c r="DI3674">
        <v>1</v>
      </c>
      <c r="DJ3674">
        <v>0</v>
      </c>
      <c r="DK3674">
        <v>0</v>
      </c>
      <c r="DL3674">
        <v>0</v>
      </c>
      <c r="DM3674">
        <v>0</v>
      </c>
      <c r="DN3674">
        <v>1</v>
      </c>
      <c r="DO3674">
        <v>0</v>
      </c>
      <c r="DP3674">
        <v>0</v>
      </c>
      <c r="DQ3674">
        <v>0</v>
      </c>
      <c r="DR3674">
        <v>0</v>
      </c>
      <c r="DS3674">
        <v>0</v>
      </c>
    </row>
    <row r="3675" spans="1:123" x14ac:dyDescent="0.3">
      <c r="A3675" t="str">
        <f>"10/04/2022 19:35:25.871"</f>
        <v>10/04/2022 19:35:25.871</v>
      </c>
      <c r="C3675" t="str">
        <f t="shared" si="1330"/>
        <v>FFDFD3C0</v>
      </c>
      <c r="D3675" t="s">
        <v>143</v>
      </c>
      <c r="E3675">
        <v>20</v>
      </c>
      <c r="F3675">
        <v>1020</v>
      </c>
      <c r="G3675" t="s">
        <v>144</v>
      </c>
      <c r="J3675" t="s">
        <v>145</v>
      </c>
      <c r="K3675">
        <v>0</v>
      </c>
      <c r="L3675">
        <v>3</v>
      </c>
      <c r="M3675">
        <v>0</v>
      </c>
      <c r="N3675">
        <v>2</v>
      </c>
      <c r="O3675">
        <v>0</v>
      </c>
      <c r="P3675">
        <v>1</v>
      </c>
      <c r="Q3675">
        <v>0</v>
      </c>
      <c r="S3675" t="str">
        <f t="shared" si="1348"/>
        <v>19:35:25.000</v>
      </c>
      <c r="T3675" t="str">
        <f t="shared" si="1348"/>
        <v>19:35:25.000</v>
      </c>
      <c r="U3675" t="str">
        <f t="shared" si="1341"/>
        <v>AC3944</v>
      </c>
      <c r="V3675">
        <v>0</v>
      </c>
      <c r="W3675">
        <v>0</v>
      </c>
      <c r="X3675">
        <v>2</v>
      </c>
      <c r="Y3675">
        <v>0</v>
      </c>
      <c r="AA3675">
        <v>1</v>
      </c>
      <c r="AB3675">
        <v>8</v>
      </c>
      <c r="AC3675">
        <v>3</v>
      </c>
      <c r="AD3675">
        <v>0</v>
      </c>
      <c r="AE3675">
        <v>9</v>
      </c>
      <c r="AF3675" t="s">
        <v>138</v>
      </c>
      <c r="AG3675">
        <v>0</v>
      </c>
      <c r="AH3675">
        <v>3</v>
      </c>
      <c r="AI3675">
        <v>1</v>
      </c>
      <c r="AJ3675">
        <v>0</v>
      </c>
      <c r="AK3675" t="s">
        <v>1201</v>
      </c>
      <c r="AL3675">
        <v>32.736769000000002</v>
      </c>
      <c r="AM3675" t="s">
        <v>1202</v>
      </c>
      <c r="AN3675">
        <v>-116.71870699999999</v>
      </c>
      <c r="AO3675">
        <v>25</v>
      </c>
      <c r="AP3675">
        <v>4500</v>
      </c>
      <c r="AQ3675" t="s">
        <v>129</v>
      </c>
      <c r="AR3675">
        <v>123</v>
      </c>
      <c r="AS3675">
        <v>17</v>
      </c>
      <c r="AT3675">
        <v>320</v>
      </c>
      <c r="BB3675">
        <v>1200</v>
      </c>
      <c r="BC3675">
        <v>1</v>
      </c>
      <c r="BD3675" t="str">
        <f t="shared" si="1342"/>
        <v xml:space="preserve">N887QR  </v>
      </c>
      <c r="BE3675">
        <v>1</v>
      </c>
      <c r="BG3675">
        <v>0</v>
      </c>
      <c r="BH3675">
        <v>0</v>
      </c>
      <c r="BI3675">
        <v>0</v>
      </c>
      <c r="BJ3675">
        <v>4350</v>
      </c>
      <c r="BK3675">
        <v>-150</v>
      </c>
      <c r="BL3675" t="s">
        <v>163</v>
      </c>
      <c r="BM3675">
        <v>1</v>
      </c>
      <c r="BN3675">
        <v>1</v>
      </c>
      <c r="BO3675">
        <v>1</v>
      </c>
      <c r="BP3675">
        <v>0</v>
      </c>
      <c r="BS3675">
        <v>0</v>
      </c>
      <c r="BT3675">
        <v>0</v>
      </c>
      <c r="BU3675">
        <v>0</v>
      </c>
      <c r="CE3675" t="str">
        <f>"19:35:25.504"</f>
        <v>19:35:25.504</v>
      </c>
      <c r="CF3675">
        <v>503874533</v>
      </c>
      <c r="CS3675">
        <v>0</v>
      </c>
      <c r="CT3675">
        <v>2</v>
      </c>
      <c r="CU3675">
        <v>0</v>
      </c>
      <c r="CV3675">
        <v>2</v>
      </c>
      <c r="CW3675">
        <v>0</v>
      </c>
      <c r="CX3675">
        <v>4</v>
      </c>
      <c r="CY3675">
        <v>7</v>
      </c>
      <c r="CZ3675" t="s">
        <v>131</v>
      </c>
      <c r="DA3675">
        <v>300</v>
      </c>
      <c r="DB3675">
        <v>0</v>
      </c>
      <c r="DC3675" t="s">
        <v>176</v>
      </c>
      <c r="DD3675" t="s">
        <v>177</v>
      </c>
      <c r="DG3675">
        <v>5444697</v>
      </c>
      <c r="DI3675">
        <v>1</v>
      </c>
      <c r="DJ3675">
        <v>0</v>
      </c>
      <c r="DK3675">
        <v>1</v>
      </c>
      <c r="DL3675">
        <v>0</v>
      </c>
      <c r="DM3675">
        <v>0</v>
      </c>
      <c r="DN3675">
        <v>1</v>
      </c>
      <c r="DO3675">
        <v>0</v>
      </c>
      <c r="DP3675">
        <v>0</v>
      </c>
      <c r="DQ3675">
        <v>0</v>
      </c>
      <c r="DR3675">
        <v>0</v>
      </c>
      <c r="DS3675">
        <v>0</v>
      </c>
    </row>
    <row r="3676" spans="1:123" x14ac:dyDescent="0.3">
      <c r="A3676" t="str">
        <f>"10/04/2022 19:35:25.871"</f>
        <v>10/04/2022 19:35:25.871</v>
      </c>
      <c r="C3676" t="str">
        <f t="shared" si="1330"/>
        <v>FFDFD3C0</v>
      </c>
      <c r="D3676" t="s">
        <v>141</v>
      </c>
      <c r="E3676">
        <v>4</v>
      </c>
      <c r="H3676">
        <v>4</v>
      </c>
      <c r="I3676" t="s">
        <v>142</v>
      </c>
      <c r="J3676" t="s">
        <v>138</v>
      </c>
      <c r="K3676">
        <v>0</v>
      </c>
      <c r="L3676">
        <v>3</v>
      </c>
      <c r="M3676">
        <v>0</v>
      </c>
      <c r="N3676">
        <v>2</v>
      </c>
      <c r="O3676">
        <v>0</v>
      </c>
      <c r="P3676">
        <v>1</v>
      </c>
      <c r="Q3676">
        <v>0</v>
      </c>
      <c r="S3676" t="str">
        <f t="shared" si="1348"/>
        <v>19:35:25.000</v>
      </c>
      <c r="T3676" t="str">
        <f t="shared" si="1348"/>
        <v>19:35:25.000</v>
      </c>
      <c r="U3676" t="str">
        <f t="shared" si="1341"/>
        <v>AC3944</v>
      </c>
      <c r="V3676">
        <v>0</v>
      </c>
      <c r="W3676">
        <v>0</v>
      </c>
      <c r="X3676">
        <v>2</v>
      </c>
      <c r="Y3676">
        <v>0</v>
      </c>
      <c r="AA3676">
        <v>1</v>
      </c>
      <c r="AB3676">
        <v>8</v>
      </c>
      <c r="AC3676">
        <v>3</v>
      </c>
      <c r="AD3676">
        <v>0</v>
      </c>
      <c r="AE3676">
        <v>9</v>
      </c>
      <c r="AF3676" t="s">
        <v>138</v>
      </c>
      <c r="AG3676">
        <v>0</v>
      </c>
      <c r="AH3676">
        <v>3</v>
      </c>
      <c r="AI3676">
        <v>1</v>
      </c>
      <c r="AJ3676">
        <v>0</v>
      </c>
      <c r="AK3676" t="s">
        <v>1201</v>
      </c>
      <c r="AL3676">
        <v>32.736769000000002</v>
      </c>
      <c r="AM3676" t="s">
        <v>1202</v>
      </c>
      <c r="AN3676">
        <v>-116.71870699999999</v>
      </c>
      <c r="AO3676">
        <v>25</v>
      </c>
      <c r="AP3676">
        <v>4500</v>
      </c>
      <c r="AQ3676" t="s">
        <v>129</v>
      </c>
      <c r="AR3676">
        <v>123</v>
      </c>
      <c r="AS3676">
        <v>17</v>
      </c>
      <c r="AT3676">
        <v>320</v>
      </c>
      <c r="BB3676">
        <v>1200</v>
      </c>
      <c r="BC3676">
        <v>1</v>
      </c>
      <c r="BD3676" t="str">
        <f t="shared" si="1342"/>
        <v xml:space="preserve">N887QR  </v>
      </c>
      <c r="BE3676">
        <v>1</v>
      </c>
      <c r="BG3676">
        <v>0</v>
      </c>
      <c r="BH3676">
        <v>0</v>
      </c>
      <c r="BI3676">
        <v>0</v>
      </c>
      <c r="BJ3676">
        <v>4350</v>
      </c>
      <c r="BK3676">
        <v>-150</v>
      </c>
      <c r="BL3676" t="s">
        <v>163</v>
      </c>
      <c r="BM3676">
        <v>1</v>
      </c>
      <c r="BN3676">
        <v>1</v>
      </c>
      <c r="BO3676">
        <v>1</v>
      </c>
      <c r="BP3676">
        <v>0</v>
      </c>
      <c r="BS3676">
        <v>0</v>
      </c>
      <c r="BT3676">
        <v>0</v>
      </c>
      <c r="BU3676">
        <v>0</v>
      </c>
      <c r="CE3676" t="str">
        <f>"19:35:25.504"</f>
        <v>19:35:25.504</v>
      </c>
      <c r="CF3676">
        <v>503874533</v>
      </c>
      <c r="CS3676">
        <v>0</v>
      </c>
      <c r="CT3676">
        <v>2</v>
      </c>
      <c r="CU3676">
        <v>0</v>
      </c>
      <c r="CV3676">
        <v>2</v>
      </c>
      <c r="CW3676">
        <v>0</v>
      </c>
      <c r="CX3676">
        <v>4</v>
      </c>
      <c r="CY3676">
        <v>7</v>
      </c>
      <c r="CZ3676" t="s">
        <v>131</v>
      </c>
      <c r="DA3676">
        <v>300</v>
      </c>
      <c r="DB3676">
        <v>0</v>
      </c>
      <c r="DC3676" t="s">
        <v>176</v>
      </c>
      <c r="DD3676" t="s">
        <v>177</v>
      </c>
      <c r="DG3676">
        <v>5444697</v>
      </c>
      <c r="DI3676">
        <v>1</v>
      </c>
      <c r="DJ3676">
        <v>0</v>
      </c>
      <c r="DK3676">
        <v>1</v>
      </c>
      <c r="DL3676">
        <v>0</v>
      </c>
      <c r="DM3676">
        <v>0</v>
      </c>
      <c r="DN3676">
        <v>1</v>
      </c>
      <c r="DO3676">
        <v>0</v>
      </c>
      <c r="DP3676">
        <v>0</v>
      </c>
      <c r="DQ3676">
        <v>0</v>
      </c>
      <c r="DR3676">
        <v>0</v>
      </c>
      <c r="DS3676">
        <v>0</v>
      </c>
    </row>
    <row r="3677" spans="1:123" x14ac:dyDescent="0.3">
      <c r="A3677" t="str">
        <f t="shared" ref="A3677:A3682" si="1349">"10/04/2022 19:35:26.215"</f>
        <v>10/04/2022 19:35:26.215</v>
      </c>
      <c r="C3677" t="str">
        <f t="shared" si="1330"/>
        <v>FFDFD3C0</v>
      </c>
      <c r="D3677" t="s">
        <v>136</v>
      </c>
      <c r="E3677">
        <v>8</v>
      </c>
      <c r="H3677">
        <v>225</v>
      </c>
      <c r="I3677" t="s">
        <v>137</v>
      </c>
      <c r="J3677" t="s">
        <v>138</v>
      </c>
      <c r="K3677">
        <v>0</v>
      </c>
      <c r="L3677">
        <v>3</v>
      </c>
      <c r="M3677">
        <v>0</v>
      </c>
      <c r="N3677">
        <v>2</v>
      </c>
      <c r="O3677">
        <v>0</v>
      </c>
      <c r="P3677">
        <v>1</v>
      </c>
      <c r="Q3677">
        <v>0</v>
      </c>
      <c r="S3677" t="str">
        <f t="shared" si="1348"/>
        <v>19:35:25.000</v>
      </c>
      <c r="T3677" t="str">
        <f t="shared" si="1348"/>
        <v>19:35:25.000</v>
      </c>
      <c r="U3677" t="str">
        <f t="shared" si="1341"/>
        <v>AC3944</v>
      </c>
      <c r="V3677">
        <v>0</v>
      </c>
      <c r="W3677">
        <v>0</v>
      </c>
      <c r="X3677">
        <v>2</v>
      </c>
      <c r="Y3677">
        <v>0</v>
      </c>
      <c r="AA3677">
        <v>1</v>
      </c>
      <c r="AB3677">
        <v>8</v>
      </c>
      <c r="AC3677">
        <v>3</v>
      </c>
      <c r="AD3677">
        <v>0</v>
      </c>
      <c r="AE3677">
        <v>9</v>
      </c>
      <c r="AF3677" t="s">
        <v>138</v>
      </c>
      <c r="AG3677">
        <v>0</v>
      </c>
      <c r="AH3677">
        <v>3</v>
      </c>
      <c r="AI3677">
        <v>1</v>
      </c>
      <c r="AJ3677">
        <v>0</v>
      </c>
      <c r="AK3677" t="s">
        <v>1203</v>
      </c>
      <c r="AL3677">
        <v>32.736854999999998</v>
      </c>
      <c r="AM3677" t="s">
        <v>1204</v>
      </c>
      <c r="AN3677">
        <v>-116.71802</v>
      </c>
      <c r="AO3677">
        <v>25</v>
      </c>
      <c r="AP3677">
        <v>4500</v>
      </c>
      <c r="AQ3677" t="s">
        <v>129</v>
      </c>
      <c r="AR3677">
        <v>123</v>
      </c>
      <c r="AS3677">
        <v>17</v>
      </c>
      <c r="AT3677">
        <v>320</v>
      </c>
      <c r="BB3677">
        <v>1200</v>
      </c>
      <c r="BC3677">
        <v>1</v>
      </c>
      <c r="BD3677" t="str">
        <f t="shared" si="1342"/>
        <v xml:space="preserve">N887QR  </v>
      </c>
      <c r="BE3677">
        <v>1</v>
      </c>
      <c r="BG3677">
        <v>0</v>
      </c>
      <c r="BH3677">
        <v>0</v>
      </c>
      <c r="BI3677">
        <v>0</v>
      </c>
      <c r="BJ3677">
        <v>4350</v>
      </c>
      <c r="BK3677">
        <v>-150</v>
      </c>
      <c r="BL3677" t="s">
        <v>163</v>
      </c>
      <c r="BM3677">
        <v>1</v>
      </c>
      <c r="BN3677">
        <v>1</v>
      </c>
      <c r="BO3677">
        <v>1</v>
      </c>
      <c r="BP3677">
        <v>0</v>
      </c>
      <c r="BS3677">
        <v>0</v>
      </c>
      <c r="BT3677">
        <v>0</v>
      </c>
      <c r="BU3677">
        <v>0</v>
      </c>
      <c r="CE3677" t="str">
        <f t="shared" ref="CE3677:CE3682" si="1350">"19:35:25.912"</f>
        <v>19:35:25.912</v>
      </c>
      <c r="CF3677">
        <v>912314049</v>
      </c>
      <c r="CS3677">
        <v>0</v>
      </c>
      <c r="CT3677">
        <v>2</v>
      </c>
      <c r="CU3677">
        <v>0</v>
      </c>
      <c r="CV3677">
        <v>2</v>
      </c>
      <c r="CW3677">
        <v>0</v>
      </c>
      <c r="CX3677">
        <v>5</v>
      </c>
      <c r="CY3677">
        <v>7</v>
      </c>
      <c r="CZ3677" t="s">
        <v>131</v>
      </c>
      <c r="DA3677">
        <v>286</v>
      </c>
      <c r="DB3677">
        <v>0</v>
      </c>
      <c r="DC3677" t="s">
        <v>132</v>
      </c>
      <c r="DD3677" t="s">
        <v>133</v>
      </c>
      <c r="DG3677">
        <v>887053</v>
      </c>
      <c r="DI3677">
        <v>1</v>
      </c>
      <c r="DJ3677">
        <v>0</v>
      </c>
      <c r="DK3677">
        <v>1</v>
      </c>
      <c r="DL3677">
        <v>0</v>
      </c>
      <c r="DM3677">
        <v>0</v>
      </c>
      <c r="DN3677">
        <v>1</v>
      </c>
      <c r="DO3677">
        <v>0</v>
      </c>
      <c r="DP3677">
        <v>0</v>
      </c>
      <c r="DQ3677">
        <v>0</v>
      </c>
      <c r="DR3677">
        <v>0</v>
      </c>
      <c r="DS3677">
        <v>0</v>
      </c>
    </row>
    <row r="3678" spans="1:123" x14ac:dyDescent="0.3">
      <c r="A3678" t="str">
        <f t="shared" si="1349"/>
        <v>10/04/2022 19:35:26.215</v>
      </c>
      <c r="C3678" t="str">
        <f t="shared" si="1330"/>
        <v>FFDFD3C0</v>
      </c>
      <c r="D3678" t="s">
        <v>141</v>
      </c>
      <c r="E3678">
        <v>4</v>
      </c>
      <c r="H3678">
        <v>4</v>
      </c>
      <c r="I3678" t="s">
        <v>142</v>
      </c>
      <c r="J3678" t="s">
        <v>138</v>
      </c>
      <c r="K3678">
        <v>0</v>
      </c>
      <c r="L3678">
        <v>3</v>
      </c>
      <c r="M3678">
        <v>0</v>
      </c>
      <c r="N3678">
        <v>2</v>
      </c>
      <c r="O3678">
        <v>0</v>
      </c>
      <c r="P3678">
        <v>1</v>
      </c>
      <c r="Q3678">
        <v>0</v>
      </c>
      <c r="S3678" t="str">
        <f t="shared" si="1348"/>
        <v>19:35:25.000</v>
      </c>
      <c r="T3678" t="str">
        <f t="shared" si="1348"/>
        <v>19:35:25.000</v>
      </c>
      <c r="U3678" t="str">
        <f t="shared" si="1341"/>
        <v>AC3944</v>
      </c>
      <c r="V3678">
        <v>0</v>
      </c>
      <c r="W3678">
        <v>0</v>
      </c>
      <c r="X3678">
        <v>2</v>
      </c>
      <c r="Y3678">
        <v>0</v>
      </c>
      <c r="AA3678">
        <v>1</v>
      </c>
      <c r="AB3678">
        <v>8</v>
      </c>
      <c r="AC3678">
        <v>3</v>
      </c>
      <c r="AD3678">
        <v>0</v>
      </c>
      <c r="AE3678">
        <v>9</v>
      </c>
      <c r="AF3678" t="s">
        <v>138</v>
      </c>
      <c r="AG3678">
        <v>0</v>
      </c>
      <c r="AH3678">
        <v>3</v>
      </c>
      <c r="AI3678">
        <v>1</v>
      </c>
      <c r="AJ3678">
        <v>0</v>
      </c>
      <c r="AK3678" t="s">
        <v>1203</v>
      </c>
      <c r="AL3678">
        <v>32.736854999999998</v>
      </c>
      <c r="AM3678" t="s">
        <v>1204</v>
      </c>
      <c r="AN3678">
        <v>-116.71802</v>
      </c>
      <c r="AO3678">
        <v>25</v>
      </c>
      <c r="AP3678">
        <v>4500</v>
      </c>
      <c r="AQ3678" t="s">
        <v>129</v>
      </c>
      <c r="AR3678">
        <v>123</v>
      </c>
      <c r="AS3678">
        <v>17</v>
      </c>
      <c r="AT3678">
        <v>320</v>
      </c>
      <c r="BB3678">
        <v>1200</v>
      </c>
      <c r="BC3678">
        <v>1</v>
      </c>
      <c r="BD3678" t="str">
        <f t="shared" si="1342"/>
        <v xml:space="preserve">N887QR  </v>
      </c>
      <c r="BE3678">
        <v>1</v>
      </c>
      <c r="BG3678">
        <v>0</v>
      </c>
      <c r="BH3678">
        <v>0</v>
      </c>
      <c r="BI3678">
        <v>0</v>
      </c>
      <c r="BJ3678">
        <v>4350</v>
      </c>
      <c r="BK3678">
        <v>-150</v>
      </c>
      <c r="BL3678" t="s">
        <v>163</v>
      </c>
      <c r="BM3678">
        <v>1</v>
      </c>
      <c r="BN3678">
        <v>1</v>
      </c>
      <c r="BO3678">
        <v>1</v>
      </c>
      <c r="BP3678">
        <v>0</v>
      </c>
      <c r="BS3678">
        <v>0</v>
      </c>
      <c r="BT3678">
        <v>0</v>
      </c>
      <c r="BU3678">
        <v>0</v>
      </c>
      <c r="CE3678" t="str">
        <f t="shared" si="1350"/>
        <v>19:35:25.912</v>
      </c>
      <c r="CF3678">
        <v>912314049</v>
      </c>
      <c r="CS3678">
        <v>0</v>
      </c>
      <c r="CT3678">
        <v>2</v>
      </c>
      <c r="CU3678">
        <v>0</v>
      </c>
      <c r="CV3678">
        <v>2</v>
      </c>
      <c r="CW3678">
        <v>0</v>
      </c>
      <c r="CX3678">
        <v>5</v>
      </c>
      <c r="CY3678">
        <v>7</v>
      </c>
      <c r="CZ3678" t="s">
        <v>131</v>
      </c>
      <c r="DA3678">
        <v>286</v>
      </c>
      <c r="DB3678">
        <v>0</v>
      </c>
      <c r="DC3678" t="s">
        <v>132</v>
      </c>
      <c r="DD3678" t="s">
        <v>133</v>
      </c>
      <c r="DG3678">
        <v>887053</v>
      </c>
      <c r="DI3678">
        <v>1</v>
      </c>
      <c r="DJ3678">
        <v>0</v>
      </c>
      <c r="DK3678">
        <v>1</v>
      </c>
      <c r="DL3678">
        <v>0</v>
      </c>
      <c r="DM3678">
        <v>0</v>
      </c>
      <c r="DN3678">
        <v>1</v>
      </c>
      <c r="DO3678">
        <v>0</v>
      </c>
      <c r="DP3678">
        <v>0</v>
      </c>
      <c r="DQ3678">
        <v>0</v>
      </c>
      <c r="DR3678">
        <v>0</v>
      </c>
      <c r="DS3678">
        <v>0</v>
      </c>
    </row>
    <row r="3679" spans="1:123" x14ac:dyDescent="0.3">
      <c r="A3679" t="str">
        <f t="shared" si="1349"/>
        <v>10/04/2022 19:35:26.215</v>
      </c>
      <c r="C3679" t="str">
        <f t="shared" si="1330"/>
        <v>FFDFD3C0</v>
      </c>
      <c r="D3679" t="s">
        <v>143</v>
      </c>
      <c r="E3679">
        <v>20</v>
      </c>
      <c r="F3679">
        <v>1020</v>
      </c>
      <c r="G3679" t="s">
        <v>144</v>
      </c>
      <c r="J3679" t="s">
        <v>145</v>
      </c>
      <c r="K3679">
        <v>0</v>
      </c>
      <c r="L3679">
        <v>3</v>
      </c>
      <c r="M3679">
        <v>0</v>
      </c>
      <c r="N3679">
        <v>2</v>
      </c>
      <c r="O3679">
        <v>0</v>
      </c>
      <c r="P3679">
        <v>1</v>
      </c>
      <c r="Q3679">
        <v>0</v>
      </c>
      <c r="S3679" t="str">
        <f t="shared" si="1348"/>
        <v>19:35:25.000</v>
      </c>
      <c r="T3679" t="str">
        <f t="shared" si="1348"/>
        <v>19:35:25.000</v>
      </c>
      <c r="U3679" t="str">
        <f t="shared" si="1341"/>
        <v>AC3944</v>
      </c>
      <c r="V3679">
        <v>0</v>
      </c>
      <c r="W3679">
        <v>0</v>
      </c>
      <c r="X3679">
        <v>2</v>
      </c>
      <c r="Y3679">
        <v>0</v>
      </c>
      <c r="AA3679">
        <v>1</v>
      </c>
      <c r="AB3679">
        <v>8</v>
      </c>
      <c r="AC3679">
        <v>3</v>
      </c>
      <c r="AD3679">
        <v>0</v>
      </c>
      <c r="AE3679">
        <v>9</v>
      </c>
      <c r="AF3679" t="s">
        <v>138</v>
      </c>
      <c r="AG3679">
        <v>0</v>
      </c>
      <c r="AH3679">
        <v>3</v>
      </c>
      <c r="AI3679">
        <v>1</v>
      </c>
      <c r="AJ3679">
        <v>0</v>
      </c>
      <c r="AK3679" t="s">
        <v>1203</v>
      </c>
      <c r="AL3679">
        <v>32.736854999999998</v>
      </c>
      <c r="AM3679" t="s">
        <v>1204</v>
      </c>
      <c r="AN3679">
        <v>-116.71802</v>
      </c>
      <c r="AO3679">
        <v>25</v>
      </c>
      <c r="AP3679">
        <v>4500</v>
      </c>
      <c r="AQ3679" t="s">
        <v>129</v>
      </c>
      <c r="AR3679">
        <v>123</v>
      </c>
      <c r="AS3679">
        <v>17</v>
      </c>
      <c r="AT3679">
        <v>320</v>
      </c>
      <c r="BB3679">
        <v>1200</v>
      </c>
      <c r="BC3679">
        <v>1</v>
      </c>
      <c r="BD3679" t="str">
        <f t="shared" si="1342"/>
        <v xml:space="preserve">N887QR  </v>
      </c>
      <c r="BE3679">
        <v>1</v>
      </c>
      <c r="BG3679">
        <v>0</v>
      </c>
      <c r="BH3679">
        <v>0</v>
      </c>
      <c r="BI3679">
        <v>0</v>
      </c>
      <c r="BJ3679">
        <v>4350</v>
      </c>
      <c r="BK3679">
        <v>-150</v>
      </c>
      <c r="BL3679" t="s">
        <v>163</v>
      </c>
      <c r="BM3679">
        <v>1</v>
      </c>
      <c r="BN3679">
        <v>1</v>
      </c>
      <c r="BO3679">
        <v>1</v>
      </c>
      <c r="BP3679">
        <v>0</v>
      </c>
      <c r="BS3679">
        <v>0</v>
      </c>
      <c r="BT3679">
        <v>0</v>
      </c>
      <c r="BU3679">
        <v>0</v>
      </c>
      <c r="CE3679" t="str">
        <f t="shared" si="1350"/>
        <v>19:35:25.912</v>
      </c>
      <c r="CF3679">
        <v>912314049</v>
      </c>
      <c r="CS3679">
        <v>0</v>
      </c>
      <c r="CT3679">
        <v>2</v>
      </c>
      <c r="CU3679">
        <v>0</v>
      </c>
      <c r="CV3679">
        <v>2</v>
      </c>
      <c r="CW3679">
        <v>0</v>
      </c>
      <c r="CX3679">
        <v>5</v>
      </c>
      <c r="CY3679">
        <v>7</v>
      </c>
      <c r="CZ3679" t="s">
        <v>131</v>
      </c>
      <c r="DA3679">
        <v>286</v>
      </c>
      <c r="DB3679">
        <v>0</v>
      </c>
      <c r="DC3679" t="s">
        <v>132</v>
      </c>
      <c r="DD3679" t="s">
        <v>133</v>
      </c>
      <c r="DG3679">
        <v>887053</v>
      </c>
      <c r="DI3679">
        <v>1</v>
      </c>
      <c r="DJ3679">
        <v>0</v>
      </c>
      <c r="DK3679">
        <v>1</v>
      </c>
      <c r="DL3679">
        <v>0</v>
      </c>
      <c r="DM3679">
        <v>0</v>
      </c>
      <c r="DN3679">
        <v>1</v>
      </c>
      <c r="DO3679">
        <v>0</v>
      </c>
      <c r="DP3679">
        <v>0</v>
      </c>
      <c r="DQ3679">
        <v>0</v>
      </c>
      <c r="DR3679">
        <v>0</v>
      </c>
      <c r="DS3679">
        <v>0</v>
      </c>
    </row>
    <row r="3680" spans="1:123" x14ac:dyDescent="0.3">
      <c r="A3680" t="str">
        <f t="shared" si="1349"/>
        <v>10/04/2022 19:35:26.215</v>
      </c>
      <c r="C3680" t="str">
        <f t="shared" si="1330"/>
        <v>FFDFD3C0</v>
      </c>
      <c r="D3680" t="s">
        <v>141</v>
      </c>
      <c r="E3680">
        <v>3</v>
      </c>
      <c r="H3680">
        <v>3</v>
      </c>
      <c r="I3680" t="s">
        <v>146</v>
      </c>
      <c r="J3680" t="s">
        <v>138</v>
      </c>
      <c r="K3680">
        <v>0</v>
      </c>
      <c r="L3680">
        <v>3</v>
      </c>
      <c r="M3680">
        <v>0</v>
      </c>
      <c r="N3680">
        <v>2</v>
      </c>
      <c r="O3680">
        <v>0</v>
      </c>
      <c r="P3680">
        <v>1</v>
      </c>
      <c r="Q3680">
        <v>0</v>
      </c>
      <c r="S3680" t="str">
        <f t="shared" si="1348"/>
        <v>19:35:25.000</v>
      </c>
      <c r="T3680" t="str">
        <f t="shared" si="1348"/>
        <v>19:35:25.000</v>
      </c>
      <c r="U3680" t="str">
        <f t="shared" si="1341"/>
        <v>AC3944</v>
      </c>
      <c r="V3680">
        <v>0</v>
      </c>
      <c r="W3680">
        <v>0</v>
      </c>
      <c r="X3680">
        <v>2</v>
      </c>
      <c r="Y3680">
        <v>0</v>
      </c>
      <c r="AA3680">
        <v>1</v>
      </c>
      <c r="AB3680">
        <v>8</v>
      </c>
      <c r="AC3680">
        <v>3</v>
      </c>
      <c r="AD3680">
        <v>0</v>
      </c>
      <c r="AE3680">
        <v>9</v>
      </c>
      <c r="AF3680" t="s">
        <v>138</v>
      </c>
      <c r="AG3680">
        <v>0</v>
      </c>
      <c r="AH3680">
        <v>3</v>
      </c>
      <c r="AI3680">
        <v>1</v>
      </c>
      <c r="AJ3680">
        <v>0</v>
      </c>
      <c r="AK3680" t="s">
        <v>1203</v>
      </c>
      <c r="AL3680">
        <v>32.736854999999998</v>
      </c>
      <c r="AM3680" t="s">
        <v>1204</v>
      </c>
      <c r="AN3680">
        <v>-116.71802</v>
      </c>
      <c r="AO3680">
        <v>25</v>
      </c>
      <c r="AP3680">
        <v>4500</v>
      </c>
      <c r="AQ3680" t="s">
        <v>129</v>
      </c>
      <c r="AR3680">
        <v>123</v>
      </c>
      <c r="AS3680">
        <v>17</v>
      </c>
      <c r="AT3680">
        <v>320</v>
      </c>
      <c r="BB3680">
        <v>1200</v>
      </c>
      <c r="BC3680">
        <v>1</v>
      </c>
      <c r="BD3680" t="str">
        <f t="shared" si="1342"/>
        <v xml:space="preserve">N887QR  </v>
      </c>
      <c r="BE3680">
        <v>1</v>
      </c>
      <c r="BG3680">
        <v>0</v>
      </c>
      <c r="BH3680">
        <v>0</v>
      </c>
      <c r="BI3680">
        <v>0</v>
      </c>
      <c r="BJ3680">
        <v>4350</v>
      </c>
      <c r="BK3680">
        <v>-150</v>
      </c>
      <c r="BL3680" t="s">
        <v>163</v>
      </c>
      <c r="BM3680">
        <v>1</v>
      </c>
      <c r="BN3680">
        <v>1</v>
      </c>
      <c r="BO3680">
        <v>1</v>
      </c>
      <c r="BP3680">
        <v>0</v>
      </c>
      <c r="BS3680">
        <v>0</v>
      </c>
      <c r="BT3680">
        <v>0</v>
      </c>
      <c r="BU3680">
        <v>0</v>
      </c>
      <c r="CE3680" t="str">
        <f t="shared" si="1350"/>
        <v>19:35:25.912</v>
      </c>
      <c r="CF3680">
        <v>912314049</v>
      </c>
      <c r="CS3680">
        <v>0</v>
      </c>
      <c r="CT3680">
        <v>2</v>
      </c>
      <c r="CU3680">
        <v>0</v>
      </c>
      <c r="CV3680">
        <v>2</v>
      </c>
      <c r="CW3680">
        <v>0</v>
      </c>
      <c r="CX3680">
        <v>5</v>
      </c>
      <c r="CY3680">
        <v>7</v>
      </c>
      <c r="CZ3680" t="s">
        <v>131</v>
      </c>
      <c r="DA3680">
        <v>286</v>
      </c>
      <c r="DB3680">
        <v>0</v>
      </c>
      <c r="DC3680" t="s">
        <v>132</v>
      </c>
      <c r="DD3680" t="s">
        <v>133</v>
      </c>
      <c r="DG3680">
        <v>887053</v>
      </c>
      <c r="DI3680">
        <v>1</v>
      </c>
      <c r="DJ3680">
        <v>0</v>
      </c>
      <c r="DK3680">
        <v>1</v>
      </c>
      <c r="DL3680">
        <v>0</v>
      </c>
      <c r="DM3680">
        <v>0</v>
      </c>
      <c r="DN3680">
        <v>1</v>
      </c>
      <c r="DO3680">
        <v>0</v>
      </c>
      <c r="DP3680">
        <v>0</v>
      </c>
      <c r="DQ3680">
        <v>0</v>
      </c>
      <c r="DR3680">
        <v>0</v>
      </c>
      <c r="DS3680">
        <v>0</v>
      </c>
    </row>
    <row r="3681" spans="1:123" x14ac:dyDescent="0.3">
      <c r="A3681" t="str">
        <f t="shared" si="1349"/>
        <v>10/04/2022 19:35:26.215</v>
      </c>
      <c r="C3681" t="str">
        <f t="shared" si="1330"/>
        <v>FFDFD3C0</v>
      </c>
      <c r="D3681" t="s">
        <v>123</v>
      </c>
      <c r="E3681">
        <v>7</v>
      </c>
      <c r="F3681">
        <v>2007</v>
      </c>
      <c r="G3681" t="s">
        <v>124</v>
      </c>
      <c r="J3681" t="s">
        <v>125</v>
      </c>
      <c r="K3681">
        <v>0</v>
      </c>
      <c r="L3681">
        <v>3</v>
      </c>
      <c r="M3681">
        <v>0</v>
      </c>
      <c r="N3681">
        <v>2</v>
      </c>
      <c r="O3681">
        <v>0</v>
      </c>
      <c r="P3681">
        <v>1</v>
      </c>
      <c r="Q3681">
        <v>0</v>
      </c>
      <c r="S3681" t="str">
        <f t="shared" si="1348"/>
        <v>19:35:25.000</v>
      </c>
      <c r="T3681" t="str">
        <f t="shared" si="1348"/>
        <v>19:35:25.000</v>
      </c>
      <c r="U3681" t="str">
        <f t="shared" si="1341"/>
        <v>AC3944</v>
      </c>
      <c r="V3681">
        <v>0</v>
      </c>
      <c r="W3681">
        <v>0</v>
      </c>
      <c r="X3681">
        <v>2</v>
      </c>
      <c r="Y3681">
        <v>0</v>
      </c>
      <c r="AA3681">
        <v>1</v>
      </c>
      <c r="AB3681">
        <v>8</v>
      </c>
      <c r="AC3681">
        <v>3</v>
      </c>
      <c r="AD3681">
        <v>0</v>
      </c>
      <c r="AE3681">
        <v>9</v>
      </c>
      <c r="AF3681" t="s">
        <v>138</v>
      </c>
      <c r="AG3681">
        <v>0</v>
      </c>
      <c r="AH3681">
        <v>3</v>
      </c>
      <c r="AI3681">
        <v>1</v>
      </c>
      <c r="AJ3681">
        <v>0</v>
      </c>
      <c r="AK3681" t="s">
        <v>1203</v>
      </c>
      <c r="AL3681">
        <v>32.736854999999998</v>
      </c>
      <c r="AM3681" t="s">
        <v>1204</v>
      </c>
      <c r="AN3681">
        <v>-116.71802</v>
      </c>
      <c r="AO3681">
        <v>25</v>
      </c>
      <c r="AP3681">
        <v>4500</v>
      </c>
      <c r="AQ3681" t="s">
        <v>129</v>
      </c>
      <c r="AR3681">
        <v>123</v>
      </c>
      <c r="AS3681">
        <v>17</v>
      </c>
      <c r="AT3681">
        <v>320</v>
      </c>
      <c r="BB3681">
        <v>1200</v>
      </c>
      <c r="BC3681">
        <v>1</v>
      </c>
      <c r="BD3681" t="str">
        <f t="shared" si="1342"/>
        <v xml:space="preserve">N887QR  </v>
      </c>
      <c r="BE3681">
        <v>1</v>
      </c>
      <c r="BG3681">
        <v>0</v>
      </c>
      <c r="BH3681">
        <v>0</v>
      </c>
      <c r="BI3681">
        <v>0</v>
      </c>
      <c r="BJ3681">
        <v>4350</v>
      </c>
      <c r="BK3681">
        <v>-150</v>
      </c>
      <c r="BL3681" t="s">
        <v>163</v>
      </c>
      <c r="BM3681">
        <v>1</v>
      </c>
      <c r="BN3681">
        <v>1</v>
      </c>
      <c r="BO3681">
        <v>1</v>
      </c>
      <c r="BP3681">
        <v>0</v>
      </c>
      <c r="BS3681">
        <v>0</v>
      </c>
      <c r="BT3681">
        <v>0</v>
      </c>
      <c r="BU3681">
        <v>0</v>
      </c>
      <c r="CE3681" t="str">
        <f t="shared" si="1350"/>
        <v>19:35:25.912</v>
      </c>
      <c r="CF3681">
        <v>912314049</v>
      </c>
      <c r="CS3681">
        <v>0</v>
      </c>
      <c r="CT3681">
        <v>2</v>
      </c>
      <c r="CU3681">
        <v>0</v>
      </c>
      <c r="CV3681">
        <v>2</v>
      </c>
      <c r="CW3681">
        <v>0</v>
      </c>
      <c r="CX3681">
        <v>5</v>
      </c>
      <c r="CY3681">
        <v>7</v>
      </c>
      <c r="CZ3681" t="s">
        <v>131</v>
      </c>
      <c r="DA3681">
        <v>286</v>
      </c>
      <c r="DB3681">
        <v>0</v>
      </c>
      <c r="DC3681" t="s">
        <v>132</v>
      </c>
      <c r="DD3681" t="s">
        <v>133</v>
      </c>
      <c r="DG3681">
        <v>887053</v>
      </c>
      <c r="DI3681">
        <v>1</v>
      </c>
      <c r="DJ3681">
        <v>0</v>
      </c>
      <c r="DK3681">
        <v>1</v>
      </c>
      <c r="DL3681">
        <v>0</v>
      </c>
      <c r="DM3681">
        <v>0</v>
      </c>
      <c r="DN3681">
        <v>1</v>
      </c>
      <c r="DO3681">
        <v>0</v>
      </c>
      <c r="DP3681">
        <v>0</v>
      </c>
      <c r="DQ3681">
        <v>0</v>
      </c>
      <c r="DR3681">
        <v>0</v>
      </c>
      <c r="DS3681">
        <v>0</v>
      </c>
    </row>
    <row r="3682" spans="1:123" x14ac:dyDescent="0.3">
      <c r="A3682" t="str">
        <f t="shared" si="1349"/>
        <v>10/04/2022 19:35:26.215</v>
      </c>
      <c r="C3682" t="str">
        <f t="shared" si="1330"/>
        <v>FFDFD3C0</v>
      </c>
      <c r="D3682" t="s">
        <v>134</v>
      </c>
      <c r="E3682">
        <v>15</v>
      </c>
      <c r="J3682" t="s">
        <v>135</v>
      </c>
      <c r="K3682">
        <v>0</v>
      </c>
      <c r="L3682">
        <v>3</v>
      </c>
      <c r="M3682">
        <v>0</v>
      </c>
      <c r="N3682">
        <v>2</v>
      </c>
      <c r="O3682">
        <v>0</v>
      </c>
      <c r="P3682">
        <v>1</v>
      </c>
      <c r="Q3682">
        <v>0</v>
      </c>
      <c r="S3682" t="str">
        <f t="shared" si="1348"/>
        <v>19:35:25.000</v>
      </c>
      <c r="T3682" t="str">
        <f t="shared" si="1348"/>
        <v>19:35:25.000</v>
      </c>
      <c r="U3682" t="str">
        <f t="shared" si="1341"/>
        <v>AC3944</v>
      </c>
      <c r="V3682">
        <v>0</v>
      </c>
      <c r="W3682">
        <v>0</v>
      </c>
      <c r="X3682">
        <v>2</v>
      </c>
      <c r="Y3682">
        <v>0</v>
      </c>
      <c r="AA3682">
        <v>1</v>
      </c>
      <c r="AB3682">
        <v>8</v>
      </c>
      <c r="AC3682">
        <v>3</v>
      </c>
      <c r="AD3682">
        <v>0</v>
      </c>
      <c r="AE3682">
        <v>9</v>
      </c>
      <c r="AF3682" t="s">
        <v>138</v>
      </c>
      <c r="AG3682">
        <v>0</v>
      </c>
      <c r="AH3682">
        <v>3</v>
      </c>
      <c r="AI3682">
        <v>1</v>
      </c>
      <c r="AJ3682">
        <v>0</v>
      </c>
      <c r="AK3682" t="s">
        <v>1203</v>
      </c>
      <c r="AL3682">
        <v>32.736854999999998</v>
      </c>
      <c r="AM3682" t="s">
        <v>1204</v>
      </c>
      <c r="AN3682">
        <v>-116.71802</v>
      </c>
      <c r="AO3682">
        <v>25</v>
      </c>
      <c r="AP3682">
        <v>4500</v>
      </c>
      <c r="AQ3682" t="s">
        <v>129</v>
      </c>
      <c r="AR3682">
        <v>123</v>
      </c>
      <c r="AS3682">
        <v>17</v>
      </c>
      <c r="AT3682">
        <v>320</v>
      </c>
      <c r="BB3682">
        <v>1200</v>
      </c>
      <c r="BC3682">
        <v>1</v>
      </c>
      <c r="BD3682" t="str">
        <f t="shared" si="1342"/>
        <v xml:space="preserve">N887QR  </v>
      </c>
      <c r="BE3682">
        <v>1</v>
      </c>
      <c r="BG3682">
        <v>0</v>
      </c>
      <c r="BH3682">
        <v>0</v>
      </c>
      <c r="BI3682">
        <v>0</v>
      </c>
      <c r="BJ3682">
        <v>4350</v>
      </c>
      <c r="BK3682">
        <v>-150</v>
      </c>
      <c r="BL3682" t="s">
        <v>163</v>
      </c>
      <c r="BM3682">
        <v>1</v>
      </c>
      <c r="BN3682">
        <v>1</v>
      </c>
      <c r="BO3682">
        <v>1</v>
      </c>
      <c r="BP3682">
        <v>0</v>
      </c>
      <c r="BS3682">
        <v>0</v>
      </c>
      <c r="BT3682">
        <v>0</v>
      </c>
      <c r="BU3682">
        <v>0</v>
      </c>
      <c r="CE3682" t="str">
        <f t="shared" si="1350"/>
        <v>19:35:25.912</v>
      </c>
      <c r="CF3682">
        <v>912314049</v>
      </c>
      <c r="CS3682">
        <v>0</v>
      </c>
      <c r="CT3682">
        <v>2</v>
      </c>
      <c r="CU3682">
        <v>0</v>
      </c>
      <c r="CV3682">
        <v>2</v>
      </c>
      <c r="CW3682">
        <v>0</v>
      </c>
      <c r="CX3682">
        <v>5</v>
      </c>
      <c r="CY3682">
        <v>7</v>
      </c>
      <c r="CZ3682" t="s">
        <v>131</v>
      </c>
      <c r="DA3682">
        <v>286</v>
      </c>
      <c r="DB3682">
        <v>0</v>
      </c>
      <c r="DC3682" t="s">
        <v>132</v>
      </c>
      <c r="DD3682" t="s">
        <v>133</v>
      </c>
      <c r="DG3682">
        <v>887053</v>
      </c>
      <c r="DI3682">
        <v>1</v>
      </c>
      <c r="DJ3682">
        <v>0</v>
      </c>
      <c r="DK3682">
        <v>1</v>
      </c>
      <c r="DL3682">
        <v>0</v>
      </c>
      <c r="DM3682">
        <v>0</v>
      </c>
      <c r="DN3682">
        <v>1</v>
      </c>
      <c r="DO3682">
        <v>0</v>
      </c>
      <c r="DP3682">
        <v>0</v>
      </c>
      <c r="DQ3682">
        <v>0</v>
      </c>
      <c r="DR3682">
        <v>0</v>
      </c>
      <c r="DS3682">
        <v>0</v>
      </c>
    </row>
    <row r="3683" spans="1:123" x14ac:dyDescent="0.3">
      <c r="A3683" t="str">
        <f t="shared" ref="A3683:A3689" si="1351">"10/04/2022 19:35:27.432"</f>
        <v>10/04/2022 19:35:27.432</v>
      </c>
      <c r="C3683" t="str">
        <f t="shared" si="1330"/>
        <v>FFDFD3C0</v>
      </c>
      <c r="D3683" t="s">
        <v>134</v>
      </c>
      <c r="E3683">
        <v>15</v>
      </c>
      <c r="J3683" t="s">
        <v>135</v>
      </c>
      <c r="K3683">
        <v>0</v>
      </c>
      <c r="L3683">
        <v>3</v>
      </c>
      <c r="M3683">
        <v>0</v>
      </c>
      <c r="N3683">
        <v>2</v>
      </c>
      <c r="O3683">
        <v>0</v>
      </c>
      <c r="P3683">
        <v>1</v>
      </c>
      <c r="Q3683">
        <v>0</v>
      </c>
      <c r="S3683" t="str">
        <f t="shared" ref="S3683:T3689" si="1352">"19:35:27.000"</f>
        <v>19:35:27.000</v>
      </c>
      <c r="T3683" t="str">
        <f t="shared" si="1352"/>
        <v>19:35:27.000</v>
      </c>
      <c r="U3683" t="str">
        <f t="shared" si="1341"/>
        <v>AC3944</v>
      </c>
      <c r="V3683">
        <v>0</v>
      </c>
      <c r="W3683">
        <v>0</v>
      </c>
      <c r="X3683">
        <v>2</v>
      </c>
      <c r="Y3683">
        <v>0</v>
      </c>
      <c r="AA3683">
        <v>1</v>
      </c>
      <c r="AB3683">
        <v>8</v>
      </c>
      <c r="AC3683">
        <v>3</v>
      </c>
      <c r="AD3683">
        <v>0</v>
      </c>
      <c r="AE3683">
        <v>9</v>
      </c>
      <c r="AF3683" t="s">
        <v>138</v>
      </c>
      <c r="AG3683">
        <v>0</v>
      </c>
      <c r="AH3683">
        <v>3</v>
      </c>
      <c r="AI3683">
        <v>1</v>
      </c>
      <c r="AJ3683">
        <v>0</v>
      </c>
      <c r="AK3683" t="s">
        <v>1205</v>
      </c>
      <c r="AL3683">
        <v>32.736939999999997</v>
      </c>
      <c r="AM3683" t="s">
        <v>1206</v>
      </c>
      <c r="AN3683">
        <v>-116.717355</v>
      </c>
      <c r="AO3683">
        <v>25</v>
      </c>
      <c r="AP3683">
        <v>4500</v>
      </c>
      <c r="AQ3683" t="s">
        <v>129</v>
      </c>
      <c r="AR3683">
        <v>124</v>
      </c>
      <c r="AS3683">
        <v>16</v>
      </c>
      <c r="AT3683">
        <v>256</v>
      </c>
      <c r="BB3683">
        <v>1200</v>
      </c>
      <c r="BC3683">
        <v>1</v>
      </c>
      <c r="BD3683" t="str">
        <f t="shared" si="1342"/>
        <v xml:space="preserve">N887QR  </v>
      </c>
      <c r="BE3683">
        <v>1</v>
      </c>
      <c r="BG3683">
        <v>0</v>
      </c>
      <c r="BH3683">
        <v>0</v>
      </c>
      <c r="BI3683">
        <v>0</v>
      </c>
      <c r="BJ3683">
        <v>4350</v>
      </c>
      <c r="BK3683">
        <v>-150</v>
      </c>
      <c r="BL3683" t="s">
        <v>163</v>
      </c>
      <c r="BM3683">
        <v>1</v>
      </c>
      <c r="BN3683">
        <v>1</v>
      </c>
      <c r="BO3683">
        <v>1</v>
      </c>
      <c r="BP3683">
        <v>0</v>
      </c>
      <c r="BS3683">
        <v>0</v>
      </c>
      <c r="BT3683">
        <v>0</v>
      </c>
      <c r="BU3683">
        <v>0</v>
      </c>
      <c r="CE3683" t="str">
        <f t="shared" ref="CE3683:CE3689" si="1353">"19:35:27.198"</f>
        <v>19:35:27.198</v>
      </c>
      <c r="CF3683">
        <v>197793864</v>
      </c>
      <c r="CS3683">
        <v>0</v>
      </c>
      <c r="CT3683">
        <v>2</v>
      </c>
      <c r="CU3683">
        <v>0</v>
      </c>
      <c r="CV3683">
        <v>2</v>
      </c>
      <c r="CW3683">
        <v>0</v>
      </c>
      <c r="CX3683">
        <v>0</v>
      </c>
      <c r="CY3683">
        <v>7</v>
      </c>
      <c r="CZ3683" t="s">
        <v>131</v>
      </c>
      <c r="DA3683">
        <v>296</v>
      </c>
      <c r="DB3683">
        <v>0</v>
      </c>
      <c r="DC3683" t="s">
        <v>816</v>
      </c>
      <c r="DD3683" t="s">
        <v>817</v>
      </c>
      <c r="DG3683">
        <v>11121153</v>
      </c>
      <c r="DI3683">
        <v>1</v>
      </c>
      <c r="DJ3683">
        <v>0</v>
      </c>
      <c r="DK3683">
        <v>0</v>
      </c>
      <c r="DL3683">
        <v>0</v>
      </c>
      <c r="DM3683">
        <v>0</v>
      </c>
      <c r="DN3683">
        <v>1</v>
      </c>
      <c r="DO3683">
        <v>0</v>
      </c>
      <c r="DP3683">
        <v>0</v>
      </c>
      <c r="DQ3683">
        <v>0</v>
      </c>
      <c r="DR3683">
        <v>0</v>
      </c>
      <c r="DS3683">
        <v>0</v>
      </c>
    </row>
    <row r="3684" spans="1:123" x14ac:dyDescent="0.3">
      <c r="A3684" t="str">
        <f t="shared" si="1351"/>
        <v>10/04/2022 19:35:27.432</v>
      </c>
      <c r="C3684" t="str">
        <f t="shared" si="1330"/>
        <v>FFDFD3C0</v>
      </c>
      <c r="D3684" t="s">
        <v>136</v>
      </c>
      <c r="E3684">
        <v>8</v>
      </c>
      <c r="H3684">
        <v>225</v>
      </c>
      <c r="I3684" t="s">
        <v>137</v>
      </c>
      <c r="J3684" t="s">
        <v>138</v>
      </c>
      <c r="K3684">
        <v>0</v>
      </c>
      <c r="L3684">
        <v>3</v>
      </c>
      <c r="M3684">
        <v>0</v>
      </c>
      <c r="N3684">
        <v>2</v>
      </c>
      <c r="O3684">
        <v>0</v>
      </c>
      <c r="P3684">
        <v>1</v>
      </c>
      <c r="Q3684">
        <v>0</v>
      </c>
      <c r="S3684" t="str">
        <f t="shared" si="1352"/>
        <v>19:35:27.000</v>
      </c>
      <c r="T3684" t="str">
        <f t="shared" si="1352"/>
        <v>19:35:27.000</v>
      </c>
      <c r="U3684" t="str">
        <f t="shared" si="1341"/>
        <v>AC3944</v>
      </c>
      <c r="V3684">
        <v>0</v>
      </c>
      <c r="W3684">
        <v>0</v>
      </c>
      <c r="X3684">
        <v>2</v>
      </c>
      <c r="Y3684">
        <v>0</v>
      </c>
      <c r="AA3684">
        <v>1</v>
      </c>
      <c r="AB3684">
        <v>8</v>
      </c>
      <c r="AC3684">
        <v>3</v>
      </c>
      <c r="AD3684">
        <v>0</v>
      </c>
      <c r="AE3684">
        <v>9</v>
      </c>
      <c r="AF3684" t="s">
        <v>138</v>
      </c>
      <c r="AG3684">
        <v>0</v>
      </c>
      <c r="AH3684">
        <v>3</v>
      </c>
      <c r="AI3684">
        <v>1</v>
      </c>
      <c r="AJ3684">
        <v>0</v>
      </c>
      <c r="AK3684" t="s">
        <v>1205</v>
      </c>
      <c r="AL3684">
        <v>32.736939999999997</v>
      </c>
      <c r="AM3684" t="s">
        <v>1206</v>
      </c>
      <c r="AN3684">
        <v>-116.717355</v>
      </c>
      <c r="AO3684">
        <v>25</v>
      </c>
      <c r="AP3684">
        <v>4500</v>
      </c>
      <c r="AQ3684" t="s">
        <v>129</v>
      </c>
      <c r="AR3684">
        <v>124</v>
      </c>
      <c r="AS3684">
        <v>16</v>
      </c>
      <c r="AT3684">
        <v>256</v>
      </c>
      <c r="BB3684">
        <v>1200</v>
      </c>
      <c r="BC3684">
        <v>1</v>
      </c>
      <c r="BD3684" t="str">
        <f t="shared" si="1342"/>
        <v xml:space="preserve">N887QR  </v>
      </c>
      <c r="BE3684">
        <v>1</v>
      </c>
      <c r="BG3684">
        <v>0</v>
      </c>
      <c r="BH3684">
        <v>0</v>
      </c>
      <c r="BI3684">
        <v>0</v>
      </c>
      <c r="BJ3684">
        <v>4350</v>
      </c>
      <c r="BK3684">
        <v>-150</v>
      </c>
      <c r="BL3684" t="s">
        <v>163</v>
      </c>
      <c r="BM3684">
        <v>1</v>
      </c>
      <c r="BN3684">
        <v>1</v>
      </c>
      <c r="BO3684">
        <v>1</v>
      </c>
      <c r="BP3684">
        <v>0</v>
      </c>
      <c r="BS3684">
        <v>0</v>
      </c>
      <c r="BT3684">
        <v>0</v>
      </c>
      <c r="BU3684">
        <v>0</v>
      </c>
      <c r="CE3684" t="str">
        <f t="shared" si="1353"/>
        <v>19:35:27.198</v>
      </c>
      <c r="CF3684">
        <v>197793864</v>
      </c>
      <c r="CS3684">
        <v>0</v>
      </c>
      <c r="CT3684">
        <v>2</v>
      </c>
      <c r="CU3684">
        <v>0</v>
      </c>
      <c r="CV3684">
        <v>2</v>
      </c>
      <c r="CW3684">
        <v>0</v>
      </c>
      <c r="CX3684">
        <v>0</v>
      </c>
      <c r="CY3684">
        <v>7</v>
      </c>
      <c r="CZ3684" t="s">
        <v>131</v>
      </c>
      <c r="DA3684">
        <v>296</v>
      </c>
      <c r="DB3684">
        <v>0</v>
      </c>
      <c r="DC3684" t="s">
        <v>816</v>
      </c>
      <c r="DD3684" t="s">
        <v>817</v>
      </c>
      <c r="DG3684">
        <v>11121153</v>
      </c>
      <c r="DI3684">
        <v>1</v>
      </c>
      <c r="DJ3684">
        <v>0</v>
      </c>
      <c r="DK3684">
        <v>1</v>
      </c>
      <c r="DL3684">
        <v>0</v>
      </c>
      <c r="DM3684">
        <v>0</v>
      </c>
      <c r="DN3684">
        <v>1</v>
      </c>
      <c r="DO3684">
        <v>0</v>
      </c>
      <c r="DP3684">
        <v>0</v>
      </c>
      <c r="DQ3684">
        <v>0</v>
      </c>
      <c r="DR3684">
        <v>0</v>
      </c>
      <c r="DS3684">
        <v>0</v>
      </c>
    </row>
    <row r="3685" spans="1:123" x14ac:dyDescent="0.3">
      <c r="A3685" t="str">
        <f t="shared" si="1351"/>
        <v>10/04/2022 19:35:27.432</v>
      </c>
      <c r="C3685" t="str">
        <f t="shared" si="1330"/>
        <v>FFDFD3C0</v>
      </c>
      <c r="D3685" t="s">
        <v>147</v>
      </c>
      <c r="E3685">
        <v>3</v>
      </c>
      <c r="H3685">
        <v>166</v>
      </c>
      <c r="I3685" t="s">
        <v>144</v>
      </c>
      <c r="J3685" t="s">
        <v>148</v>
      </c>
      <c r="K3685">
        <v>0</v>
      </c>
      <c r="L3685">
        <v>3</v>
      </c>
      <c r="M3685">
        <v>0</v>
      </c>
      <c r="N3685">
        <v>2</v>
      </c>
      <c r="O3685">
        <v>0</v>
      </c>
      <c r="P3685">
        <v>1</v>
      </c>
      <c r="Q3685">
        <v>0</v>
      </c>
      <c r="S3685" t="str">
        <f t="shared" si="1352"/>
        <v>19:35:27.000</v>
      </c>
      <c r="T3685" t="str">
        <f t="shared" si="1352"/>
        <v>19:35:27.000</v>
      </c>
      <c r="U3685" t="str">
        <f t="shared" si="1341"/>
        <v>AC3944</v>
      </c>
      <c r="V3685">
        <v>0</v>
      </c>
      <c r="W3685">
        <v>0</v>
      </c>
      <c r="X3685">
        <v>2</v>
      </c>
      <c r="Y3685">
        <v>0</v>
      </c>
      <c r="AA3685">
        <v>1</v>
      </c>
      <c r="AB3685">
        <v>8</v>
      </c>
      <c r="AC3685">
        <v>3</v>
      </c>
      <c r="AD3685">
        <v>0</v>
      </c>
      <c r="AE3685">
        <v>9</v>
      </c>
      <c r="AF3685" t="s">
        <v>138</v>
      </c>
      <c r="AG3685">
        <v>0</v>
      </c>
      <c r="AH3685">
        <v>3</v>
      </c>
      <c r="AI3685">
        <v>1</v>
      </c>
      <c r="AJ3685">
        <v>0</v>
      </c>
      <c r="AK3685" t="s">
        <v>1205</v>
      </c>
      <c r="AL3685">
        <v>32.736939999999997</v>
      </c>
      <c r="AM3685" t="s">
        <v>1206</v>
      </c>
      <c r="AN3685">
        <v>-116.717355</v>
      </c>
      <c r="AO3685">
        <v>25</v>
      </c>
      <c r="AP3685">
        <v>4500</v>
      </c>
      <c r="AQ3685" t="s">
        <v>129</v>
      </c>
      <c r="AR3685">
        <v>124</v>
      </c>
      <c r="AS3685">
        <v>16</v>
      </c>
      <c r="AT3685">
        <v>256</v>
      </c>
      <c r="BB3685">
        <v>1200</v>
      </c>
      <c r="BC3685">
        <v>1</v>
      </c>
      <c r="BD3685" t="str">
        <f t="shared" si="1342"/>
        <v xml:space="preserve">N887QR  </v>
      </c>
      <c r="BE3685">
        <v>1</v>
      </c>
      <c r="BG3685">
        <v>0</v>
      </c>
      <c r="BH3685">
        <v>0</v>
      </c>
      <c r="BI3685">
        <v>0</v>
      </c>
      <c r="BJ3685">
        <v>4350</v>
      </c>
      <c r="BK3685">
        <v>-150</v>
      </c>
      <c r="BL3685" t="s">
        <v>163</v>
      </c>
      <c r="BM3685">
        <v>1</v>
      </c>
      <c r="BN3685">
        <v>1</v>
      </c>
      <c r="BO3685">
        <v>1</v>
      </c>
      <c r="BP3685">
        <v>0</v>
      </c>
      <c r="BS3685">
        <v>0</v>
      </c>
      <c r="BT3685">
        <v>0</v>
      </c>
      <c r="BU3685">
        <v>0</v>
      </c>
      <c r="CE3685" t="str">
        <f t="shared" si="1353"/>
        <v>19:35:27.198</v>
      </c>
      <c r="CF3685">
        <v>197793864</v>
      </c>
      <c r="CS3685">
        <v>0</v>
      </c>
      <c r="CT3685">
        <v>2</v>
      </c>
      <c r="CU3685">
        <v>0</v>
      </c>
      <c r="CV3685">
        <v>2</v>
      </c>
      <c r="CW3685">
        <v>0</v>
      </c>
      <c r="CX3685">
        <v>0</v>
      </c>
      <c r="CY3685">
        <v>7</v>
      </c>
      <c r="CZ3685" t="s">
        <v>131</v>
      </c>
      <c r="DA3685">
        <v>296</v>
      </c>
      <c r="DB3685">
        <v>0</v>
      </c>
      <c r="DC3685" t="s">
        <v>816</v>
      </c>
      <c r="DD3685" t="s">
        <v>817</v>
      </c>
      <c r="DG3685">
        <v>11121153</v>
      </c>
      <c r="DI3685">
        <v>1</v>
      </c>
      <c r="DJ3685">
        <v>0</v>
      </c>
      <c r="DK3685">
        <v>1</v>
      </c>
      <c r="DL3685">
        <v>0</v>
      </c>
      <c r="DM3685">
        <v>0</v>
      </c>
      <c r="DN3685">
        <v>1</v>
      </c>
      <c r="DO3685">
        <v>0</v>
      </c>
      <c r="DP3685">
        <v>0</v>
      </c>
      <c r="DQ3685">
        <v>0</v>
      </c>
      <c r="DR3685">
        <v>0</v>
      </c>
      <c r="DS3685">
        <v>0</v>
      </c>
    </row>
    <row r="3686" spans="1:123" x14ac:dyDescent="0.3">
      <c r="A3686" t="str">
        <f t="shared" si="1351"/>
        <v>10/04/2022 19:35:27.432</v>
      </c>
      <c r="C3686" t="str">
        <f t="shared" si="1330"/>
        <v>FFDFD3C0</v>
      </c>
      <c r="D3686" t="s">
        <v>141</v>
      </c>
      <c r="E3686">
        <v>4</v>
      </c>
      <c r="H3686">
        <v>4</v>
      </c>
      <c r="I3686" t="s">
        <v>142</v>
      </c>
      <c r="J3686" t="s">
        <v>138</v>
      </c>
      <c r="K3686">
        <v>0</v>
      </c>
      <c r="L3686">
        <v>3</v>
      </c>
      <c r="M3686">
        <v>0</v>
      </c>
      <c r="N3686">
        <v>2</v>
      </c>
      <c r="O3686">
        <v>0</v>
      </c>
      <c r="P3686">
        <v>1</v>
      </c>
      <c r="Q3686">
        <v>0</v>
      </c>
      <c r="S3686" t="str">
        <f t="shared" si="1352"/>
        <v>19:35:27.000</v>
      </c>
      <c r="T3686" t="str">
        <f t="shared" si="1352"/>
        <v>19:35:27.000</v>
      </c>
      <c r="U3686" t="str">
        <f t="shared" si="1341"/>
        <v>AC3944</v>
      </c>
      <c r="V3686">
        <v>0</v>
      </c>
      <c r="W3686">
        <v>0</v>
      </c>
      <c r="X3686">
        <v>2</v>
      </c>
      <c r="Y3686">
        <v>0</v>
      </c>
      <c r="AA3686">
        <v>1</v>
      </c>
      <c r="AB3686">
        <v>8</v>
      </c>
      <c r="AC3686">
        <v>3</v>
      </c>
      <c r="AD3686">
        <v>0</v>
      </c>
      <c r="AE3686">
        <v>9</v>
      </c>
      <c r="AF3686" t="s">
        <v>138</v>
      </c>
      <c r="AG3686">
        <v>0</v>
      </c>
      <c r="AH3686">
        <v>3</v>
      </c>
      <c r="AI3686">
        <v>1</v>
      </c>
      <c r="AJ3686">
        <v>0</v>
      </c>
      <c r="AK3686" t="s">
        <v>1205</v>
      </c>
      <c r="AL3686">
        <v>32.736939999999997</v>
      </c>
      <c r="AM3686" t="s">
        <v>1206</v>
      </c>
      <c r="AN3686">
        <v>-116.717355</v>
      </c>
      <c r="AO3686">
        <v>25</v>
      </c>
      <c r="AP3686">
        <v>4500</v>
      </c>
      <c r="AQ3686" t="s">
        <v>129</v>
      </c>
      <c r="AR3686">
        <v>124</v>
      </c>
      <c r="AS3686">
        <v>16</v>
      </c>
      <c r="AT3686">
        <v>256</v>
      </c>
      <c r="BB3686">
        <v>1200</v>
      </c>
      <c r="BC3686">
        <v>1</v>
      </c>
      <c r="BD3686" t="str">
        <f t="shared" si="1342"/>
        <v xml:space="preserve">N887QR  </v>
      </c>
      <c r="BE3686">
        <v>1</v>
      </c>
      <c r="BG3686">
        <v>0</v>
      </c>
      <c r="BH3686">
        <v>0</v>
      </c>
      <c r="BI3686">
        <v>0</v>
      </c>
      <c r="BJ3686">
        <v>4350</v>
      </c>
      <c r="BK3686">
        <v>-150</v>
      </c>
      <c r="BL3686" t="s">
        <v>163</v>
      </c>
      <c r="BM3686">
        <v>1</v>
      </c>
      <c r="BN3686">
        <v>1</v>
      </c>
      <c r="BO3686">
        <v>1</v>
      </c>
      <c r="BP3686">
        <v>0</v>
      </c>
      <c r="BS3686">
        <v>0</v>
      </c>
      <c r="BT3686">
        <v>0</v>
      </c>
      <c r="BU3686">
        <v>0</v>
      </c>
      <c r="CE3686" t="str">
        <f t="shared" si="1353"/>
        <v>19:35:27.198</v>
      </c>
      <c r="CF3686">
        <v>197793864</v>
      </c>
      <c r="CS3686">
        <v>0</v>
      </c>
      <c r="CT3686">
        <v>2</v>
      </c>
      <c r="CU3686">
        <v>0</v>
      </c>
      <c r="CV3686">
        <v>2</v>
      </c>
      <c r="CW3686">
        <v>0</v>
      </c>
      <c r="CX3686">
        <v>0</v>
      </c>
      <c r="CY3686">
        <v>7</v>
      </c>
      <c r="CZ3686" t="s">
        <v>131</v>
      </c>
      <c r="DA3686">
        <v>296</v>
      </c>
      <c r="DB3686">
        <v>0</v>
      </c>
      <c r="DC3686" t="s">
        <v>816</v>
      </c>
      <c r="DD3686" t="s">
        <v>817</v>
      </c>
      <c r="DG3686">
        <v>11121153</v>
      </c>
      <c r="DI3686">
        <v>1</v>
      </c>
      <c r="DJ3686">
        <v>0</v>
      </c>
      <c r="DK3686">
        <v>1</v>
      </c>
      <c r="DL3686">
        <v>0</v>
      </c>
      <c r="DM3686">
        <v>0</v>
      </c>
      <c r="DN3686">
        <v>1</v>
      </c>
      <c r="DO3686">
        <v>0</v>
      </c>
      <c r="DP3686">
        <v>0</v>
      </c>
      <c r="DQ3686">
        <v>0</v>
      </c>
      <c r="DR3686">
        <v>0</v>
      </c>
      <c r="DS3686">
        <v>0</v>
      </c>
    </row>
    <row r="3687" spans="1:123" x14ac:dyDescent="0.3">
      <c r="A3687" t="str">
        <f t="shared" si="1351"/>
        <v>10/04/2022 19:35:27.432</v>
      </c>
      <c r="C3687" t="str">
        <f t="shared" si="1330"/>
        <v>FFDFD3C0</v>
      </c>
      <c r="D3687" t="s">
        <v>143</v>
      </c>
      <c r="E3687">
        <v>20</v>
      </c>
      <c r="F3687">
        <v>1020</v>
      </c>
      <c r="G3687" t="s">
        <v>144</v>
      </c>
      <c r="J3687" t="s">
        <v>145</v>
      </c>
      <c r="K3687">
        <v>0</v>
      </c>
      <c r="L3687">
        <v>3</v>
      </c>
      <c r="M3687">
        <v>0</v>
      </c>
      <c r="N3687">
        <v>2</v>
      </c>
      <c r="O3687">
        <v>0</v>
      </c>
      <c r="P3687">
        <v>1</v>
      </c>
      <c r="Q3687">
        <v>0</v>
      </c>
      <c r="S3687" t="str">
        <f t="shared" si="1352"/>
        <v>19:35:27.000</v>
      </c>
      <c r="T3687" t="str">
        <f t="shared" si="1352"/>
        <v>19:35:27.000</v>
      </c>
      <c r="U3687" t="str">
        <f t="shared" si="1341"/>
        <v>AC3944</v>
      </c>
      <c r="V3687">
        <v>0</v>
      </c>
      <c r="W3687">
        <v>0</v>
      </c>
      <c r="X3687">
        <v>2</v>
      </c>
      <c r="Y3687">
        <v>0</v>
      </c>
      <c r="AA3687">
        <v>1</v>
      </c>
      <c r="AB3687">
        <v>8</v>
      </c>
      <c r="AC3687">
        <v>3</v>
      </c>
      <c r="AD3687">
        <v>0</v>
      </c>
      <c r="AE3687">
        <v>9</v>
      </c>
      <c r="AF3687" t="s">
        <v>138</v>
      </c>
      <c r="AG3687">
        <v>0</v>
      </c>
      <c r="AH3687">
        <v>3</v>
      </c>
      <c r="AI3687">
        <v>1</v>
      </c>
      <c r="AJ3687">
        <v>0</v>
      </c>
      <c r="AK3687" t="s">
        <v>1205</v>
      </c>
      <c r="AL3687">
        <v>32.736939999999997</v>
      </c>
      <c r="AM3687" t="s">
        <v>1206</v>
      </c>
      <c r="AN3687">
        <v>-116.717355</v>
      </c>
      <c r="AO3687">
        <v>25</v>
      </c>
      <c r="AP3687">
        <v>4500</v>
      </c>
      <c r="AQ3687" t="s">
        <v>129</v>
      </c>
      <c r="AR3687">
        <v>124</v>
      </c>
      <c r="AS3687">
        <v>16</v>
      </c>
      <c r="AT3687">
        <v>256</v>
      </c>
      <c r="BB3687">
        <v>1200</v>
      </c>
      <c r="BC3687">
        <v>1</v>
      </c>
      <c r="BD3687" t="str">
        <f t="shared" si="1342"/>
        <v xml:space="preserve">N887QR  </v>
      </c>
      <c r="BE3687">
        <v>1</v>
      </c>
      <c r="BG3687">
        <v>0</v>
      </c>
      <c r="BH3687">
        <v>0</v>
      </c>
      <c r="BI3687">
        <v>0</v>
      </c>
      <c r="BJ3687">
        <v>4350</v>
      </c>
      <c r="BK3687">
        <v>-150</v>
      </c>
      <c r="BL3687" t="s">
        <v>163</v>
      </c>
      <c r="BM3687">
        <v>1</v>
      </c>
      <c r="BN3687">
        <v>1</v>
      </c>
      <c r="BO3687">
        <v>1</v>
      </c>
      <c r="BP3687">
        <v>0</v>
      </c>
      <c r="BS3687">
        <v>0</v>
      </c>
      <c r="BT3687">
        <v>0</v>
      </c>
      <c r="BU3687">
        <v>0</v>
      </c>
      <c r="CE3687" t="str">
        <f t="shared" si="1353"/>
        <v>19:35:27.198</v>
      </c>
      <c r="CF3687">
        <v>197793864</v>
      </c>
      <c r="CS3687">
        <v>0</v>
      </c>
      <c r="CT3687">
        <v>2</v>
      </c>
      <c r="CU3687">
        <v>0</v>
      </c>
      <c r="CV3687">
        <v>2</v>
      </c>
      <c r="CW3687">
        <v>0</v>
      </c>
      <c r="CX3687">
        <v>0</v>
      </c>
      <c r="CY3687">
        <v>7</v>
      </c>
      <c r="CZ3687" t="s">
        <v>131</v>
      </c>
      <c r="DA3687">
        <v>296</v>
      </c>
      <c r="DB3687">
        <v>0</v>
      </c>
      <c r="DC3687" t="s">
        <v>816</v>
      </c>
      <c r="DD3687" t="s">
        <v>817</v>
      </c>
      <c r="DG3687">
        <v>11121153</v>
      </c>
      <c r="DI3687">
        <v>1</v>
      </c>
      <c r="DJ3687">
        <v>0</v>
      </c>
      <c r="DK3687">
        <v>0</v>
      </c>
      <c r="DL3687">
        <v>0</v>
      </c>
      <c r="DM3687">
        <v>0</v>
      </c>
      <c r="DN3687">
        <v>1</v>
      </c>
      <c r="DO3687">
        <v>0</v>
      </c>
      <c r="DP3687">
        <v>0</v>
      </c>
      <c r="DQ3687">
        <v>0</v>
      </c>
      <c r="DR3687">
        <v>0</v>
      </c>
      <c r="DS3687">
        <v>0</v>
      </c>
    </row>
    <row r="3688" spans="1:123" x14ac:dyDescent="0.3">
      <c r="A3688" t="str">
        <f t="shared" si="1351"/>
        <v>10/04/2022 19:35:27.432</v>
      </c>
      <c r="C3688" t="str">
        <f t="shared" si="1330"/>
        <v>FFDFD3C0</v>
      </c>
      <c r="D3688" t="s">
        <v>141</v>
      </c>
      <c r="E3688">
        <v>3</v>
      </c>
      <c r="H3688">
        <v>3</v>
      </c>
      <c r="I3688" t="s">
        <v>146</v>
      </c>
      <c r="J3688" t="s">
        <v>138</v>
      </c>
      <c r="K3688">
        <v>0</v>
      </c>
      <c r="L3688">
        <v>3</v>
      </c>
      <c r="M3688">
        <v>0</v>
      </c>
      <c r="N3688">
        <v>2</v>
      </c>
      <c r="O3688">
        <v>0</v>
      </c>
      <c r="P3688">
        <v>1</v>
      </c>
      <c r="Q3688">
        <v>0</v>
      </c>
      <c r="S3688" t="str">
        <f t="shared" si="1352"/>
        <v>19:35:27.000</v>
      </c>
      <c r="T3688" t="str">
        <f t="shared" si="1352"/>
        <v>19:35:27.000</v>
      </c>
      <c r="U3688" t="str">
        <f t="shared" si="1341"/>
        <v>AC3944</v>
      </c>
      <c r="V3688">
        <v>0</v>
      </c>
      <c r="W3688">
        <v>0</v>
      </c>
      <c r="X3688">
        <v>2</v>
      </c>
      <c r="Y3688">
        <v>0</v>
      </c>
      <c r="AA3688">
        <v>1</v>
      </c>
      <c r="AB3688">
        <v>8</v>
      </c>
      <c r="AC3688">
        <v>3</v>
      </c>
      <c r="AD3688">
        <v>0</v>
      </c>
      <c r="AE3688">
        <v>9</v>
      </c>
      <c r="AF3688" t="s">
        <v>138</v>
      </c>
      <c r="AG3688">
        <v>0</v>
      </c>
      <c r="AH3688">
        <v>3</v>
      </c>
      <c r="AI3688">
        <v>1</v>
      </c>
      <c r="AJ3688">
        <v>0</v>
      </c>
      <c r="AK3688" t="s">
        <v>1205</v>
      </c>
      <c r="AL3688">
        <v>32.736939999999997</v>
      </c>
      <c r="AM3688" t="s">
        <v>1206</v>
      </c>
      <c r="AN3688">
        <v>-116.717355</v>
      </c>
      <c r="AO3688">
        <v>25</v>
      </c>
      <c r="AP3688">
        <v>4500</v>
      </c>
      <c r="AQ3688" t="s">
        <v>129</v>
      </c>
      <c r="AR3688">
        <v>124</v>
      </c>
      <c r="AS3688">
        <v>16</v>
      </c>
      <c r="AT3688">
        <v>256</v>
      </c>
      <c r="BB3688">
        <v>1200</v>
      </c>
      <c r="BC3688">
        <v>1</v>
      </c>
      <c r="BD3688" t="str">
        <f t="shared" si="1342"/>
        <v xml:space="preserve">N887QR  </v>
      </c>
      <c r="BE3688">
        <v>1</v>
      </c>
      <c r="BG3688">
        <v>0</v>
      </c>
      <c r="BH3688">
        <v>0</v>
      </c>
      <c r="BI3688">
        <v>0</v>
      </c>
      <c r="BJ3688">
        <v>4350</v>
      </c>
      <c r="BK3688">
        <v>-150</v>
      </c>
      <c r="BL3688" t="s">
        <v>163</v>
      </c>
      <c r="BM3688">
        <v>1</v>
      </c>
      <c r="BN3688">
        <v>1</v>
      </c>
      <c r="BO3688">
        <v>1</v>
      </c>
      <c r="BP3688">
        <v>0</v>
      </c>
      <c r="BS3688">
        <v>0</v>
      </c>
      <c r="BT3688">
        <v>0</v>
      </c>
      <c r="BU3688">
        <v>0</v>
      </c>
      <c r="CE3688" t="str">
        <f t="shared" si="1353"/>
        <v>19:35:27.198</v>
      </c>
      <c r="CF3688">
        <v>197793864</v>
      </c>
      <c r="CS3688">
        <v>0</v>
      </c>
      <c r="CT3688">
        <v>2</v>
      </c>
      <c r="CU3688">
        <v>0</v>
      </c>
      <c r="CV3688">
        <v>2</v>
      </c>
      <c r="CW3688">
        <v>0</v>
      </c>
      <c r="CX3688">
        <v>0</v>
      </c>
      <c r="CY3688">
        <v>7</v>
      </c>
      <c r="CZ3688" t="s">
        <v>131</v>
      </c>
      <c r="DA3688">
        <v>296</v>
      </c>
      <c r="DB3688">
        <v>0</v>
      </c>
      <c r="DC3688" t="s">
        <v>816</v>
      </c>
      <c r="DD3688" t="s">
        <v>817</v>
      </c>
      <c r="DG3688">
        <v>11121153</v>
      </c>
      <c r="DI3688">
        <v>1</v>
      </c>
      <c r="DJ3688">
        <v>0</v>
      </c>
      <c r="DK3688">
        <v>1</v>
      </c>
      <c r="DL3688">
        <v>0</v>
      </c>
      <c r="DM3688">
        <v>0</v>
      </c>
      <c r="DN3688">
        <v>1</v>
      </c>
      <c r="DO3688">
        <v>0</v>
      </c>
      <c r="DP3688">
        <v>0</v>
      </c>
      <c r="DQ3688">
        <v>0</v>
      </c>
      <c r="DR3688">
        <v>0</v>
      </c>
      <c r="DS3688">
        <v>0</v>
      </c>
    </row>
    <row r="3689" spans="1:123" x14ac:dyDescent="0.3">
      <c r="A3689" t="str">
        <f t="shared" si="1351"/>
        <v>10/04/2022 19:35:27.432</v>
      </c>
      <c r="C3689" t="str">
        <f t="shared" si="1330"/>
        <v>FFDFD3C0</v>
      </c>
      <c r="D3689" t="s">
        <v>123</v>
      </c>
      <c r="E3689">
        <v>7</v>
      </c>
      <c r="F3689">
        <v>2007</v>
      </c>
      <c r="G3689" t="s">
        <v>124</v>
      </c>
      <c r="J3689" t="s">
        <v>125</v>
      </c>
      <c r="K3689">
        <v>0</v>
      </c>
      <c r="L3689">
        <v>3</v>
      </c>
      <c r="M3689">
        <v>0</v>
      </c>
      <c r="N3689">
        <v>2</v>
      </c>
      <c r="O3689">
        <v>0</v>
      </c>
      <c r="P3689">
        <v>1</v>
      </c>
      <c r="Q3689">
        <v>0</v>
      </c>
      <c r="S3689" t="str">
        <f t="shared" si="1352"/>
        <v>19:35:27.000</v>
      </c>
      <c r="T3689" t="str">
        <f t="shared" si="1352"/>
        <v>19:35:27.000</v>
      </c>
      <c r="U3689" t="str">
        <f t="shared" si="1341"/>
        <v>AC3944</v>
      </c>
      <c r="V3689">
        <v>0</v>
      </c>
      <c r="W3689">
        <v>0</v>
      </c>
      <c r="X3689">
        <v>2</v>
      </c>
      <c r="Y3689">
        <v>0</v>
      </c>
      <c r="AA3689">
        <v>1</v>
      </c>
      <c r="AB3689">
        <v>8</v>
      </c>
      <c r="AC3689">
        <v>3</v>
      </c>
      <c r="AD3689">
        <v>0</v>
      </c>
      <c r="AE3689">
        <v>9</v>
      </c>
      <c r="AF3689" t="s">
        <v>138</v>
      </c>
      <c r="AG3689">
        <v>0</v>
      </c>
      <c r="AH3689">
        <v>3</v>
      </c>
      <c r="AI3689">
        <v>1</v>
      </c>
      <c r="AJ3689">
        <v>0</v>
      </c>
      <c r="AK3689" t="s">
        <v>1205</v>
      </c>
      <c r="AL3689">
        <v>32.736939999999997</v>
      </c>
      <c r="AM3689" t="s">
        <v>1206</v>
      </c>
      <c r="AN3689">
        <v>-116.717355</v>
      </c>
      <c r="AO3689">
        <v>25</v>
      </c>
      <c r="AP3689">
        <v>4500</v>
      </c>
      <c r="AQ3689" t="s">
        <v>129</v>
      </c>
      <c r="AR3689">
        <v>124</v>
      </c>
      <c r="AS3689">
        <v>16</v>
      </c>
      <c r="AT3689">
        <v>256</v>
      </c>
      <c r="BB3689">
        <v>1200</v>
      </c>
      <c r="BC3689">
        <v>1</v>
      </c>
      <c r="BD3689" t="str">
        <f t="shared" si="1342"/>
        <v xml:space="preserve">N887QR  </v>
      </c>
      <c r="BE3689">
        <v>1</v>
      </c>
      <c r="BG3689">
        <v>0</v>
      </c>
      <c r="BH3689">
        <v>0</v>
      </c>
      <c r="BI3689">
        <v>0</v>
      </c>
      <c r="BJ3689">
        <v>4350</v>
      </c>
      <c r="BK3689">
        <v>-150</v>
      </c>
      <c r="BL3689" t="s">
        <v>163</v>
      </c>
      <c r="BM3689">
        <v>1</v>
      </c>
      <c r="BN3689">
        <v>1</v>
      </c>
      <c r="BO3689">
        <v>1</v>
      </c>
      <c r="BP3689">
        <v>0</v>
      </c>
      <c r="BS3689">
        <v>0</v>
      </c>
      <c r="BT3689">
        <v>0</v>
      </c>
      <c r="BU3689">
        <v>0</v>
      </c>
      <c r="CE3689" t="str">
        <f t="shared" si="1353"/>
        <v>19:35:27.198</v>
      </c>
      <c r="CF3689">
        <v>197793864</v>
      </c>
      <c r="CS3689">
        <v>0</v>
      </c>
      <c r="CT3689">
        <v>2</v>
      </c>
      <c r="CU3689">
        <v>0</v>
      </c>
      <c r="CV3689">
        <v>2</v>
      </c>
      <c r="CW3689">
        <v>0</v>
      </c>
      <c r="CX3689">
        <v>0</v>
      </c>
      <c r="CY3689">
        <v>7</v>
      </c>
      <c r="CZ3689" t="s">
        <v>131</v>
      </c>
      <c r="DA3689">
        <v>296</v>
      </c>
      <c r="DB3689">
        <v>0</v>
      </c>
      <c r="DC3689" t="s">
        <v>816</v>
      </c>
      <c r="DD3689" t="s">
        <v>817</v>
      </c>
      <c r="DG3689">
        <v>11121153</v>
      </c>
      <c r="DI3689">
        <v>1</v>
      </c>
      <c r="DJ3689">
        <v>0</v>
      </c>
      <c r="DK3689">
        <v>0</v>
      </c>
      <c r="DL3689">
        <v>0</v>
      </c>
      <c r="DM3689">
        <v>0</v>
      </c>
      <c r="DN3689">
        <v>1</v>
      </c>
      <c r="DO3689">
        <v>0</v>
      </c>
      <c r="DP3689">
        <v>0</v>
      </c>
      <c r="DQ3689">
        <v>0</v>
      </c>
      <c r="DR3689">
        <v>0</v>
      </c>
      <c r="DS3689">
        <v>0</v>
      </c>
    </row>
    <row r="3690" spans="1:123" x14ac:dyDescent="0.3">
      <c r="A3690" t="str">
        <f t="shared" ref="A3690:A3696" si="1354">"10/04/2022 19:35:29.385"</f>
        <v>10/04/2022 19:35:29.385</v>
      </c>
      <c r="C3690" t="str">
        <f t="shared" si="1330"/>
        <v>FFDFD3C0</v>
      </c>
      <c r="D3690" t="s">
        <v>141</v>
      </c>
      <c r="E3690">
        <v>3</v>
      </c>
      <c r="H3690">
        <v>3</v>
      </c>
      <c r="I3690" t="s">
        <v>146</v>
      </c>
      <c r="J3690" t="s">
        <v>138</v>
      </c>
      <c r="K3690">
        <v>0</v>
      </c>
      <c r="L3690">
        <v>3</v>
      </c>
      <c r="M3690">
        <v>0</v>
      </c>
      <c r="N3690">
        <v>2</v>
      </c>
      <c r="O3690">
        <v>0</v>
      </c>
      <c r="P3690">
        <v>1</v>
      </c>
      <c r="Q3690">
        <v>0</v>
      </c>
      <c r="S3690" t="str">
        <f t="shared" ref="S3690:T3696" si="1355">"19:35:29.000"</f>
        <v>19:35:29.000</v>
      </c>
      <c r="T3690" t="str">
        <f t="shared" si="1355"/>
        <v>19:35:29.000</v>
      </c>
      <c r="U3690" t="str">
        <f t="shared" si="1341"/>
        <v>AC3944</v>
      </c>
      <c r="V3690">
        <v>0</v>
      </c>
      <c r="W3690">
        <v>0</v>
      </c>
      <c r="X3690">
        <v>2</v>
      </c>
      <c r="Y3690">
        <v>0</v>
      </c>
      <c r="AA3690">
        <v>1</v>
      </c>
      <c r="AB3690">
        <v>8</v>
      </c>
      <c r="AC3690">
        <v>3</v>
      </c>
      <c r="AD3690">
        <v>0</v>
      </c>
      <c r="AE3690">
        <v>9</v>
      </c>
      <c r="AF3690" t="s">
        <v>138</v>
      </c>
      <c r="AG3690">
        <v>0</v>
      </c>
      <c r="AH3690">
        <v>3</v>
      </c>
      <c r="AI3690">
        <v>1</v>
      </c>
      <c r="AJ3690">
        <v>0</v>
      </c>
      <c r="AK3690" t="s">
        <v>1207</v>
      </c>
      <c r="AL3690">
        <v>32.737090999999999</v>
      </c>
      <c r="AM3690" t="s">
        <v>1208</v>
      </c>
      <c r="AN3690">
        <v>-116.715853</v>
      </c>
      <c r="AO3690">
        <v>25</v>
      </c>
      <c r="AP3690">
        <v>4500</v>
      </c>
      <c r="AQ3690" t="s">
        <v>129</v>
      </c>
      <c r="AR3690">
        <v>124</v>
      </c>
      <c r="AS3690">
        <v>15</v>
      </c>
      <c r="AT3690">
        <v>192</v>
      </c>
      <c r="BB3690">
        <v>1200</v>
      </c>
      <c r="BC3690">
        <v>1</v>
      </c>
      <c r="BD3690" t="str">
        <f t="shared" si="1342"/>
        <v xml:space="preserve">N887QR  </v>
      </c>
      <c r="BE3690">
        <v>1</v>
      </c>
      <c r="BG3690">
        <v>0</v>
      </c>
      <c r="BH3690">
        <v>0</v>
      </c>
      <c r="BI3690">
        <v>0</v>
      </c>
      <c r="BJ3690">
        <v>4350</v>
      </c>
      <c r="BK3690">
        <v>-150</v>
      </c>
      <c r="BL3690" t="s">
        <v>163</v>
      </c>
      <c r="BM3690">
        <v>1</v>
      </c>
      <c r="BN3690">
        <v>1</v>
      </c>
      <c r="BO3690">
        <v>1</v>
      </c>
      <c r="BP3690">
        <v>0</v>
      </c>
      <c r="BS3690">
        <v>0</v>
      </c>
      <c r="BT3690">
        <v>0</v>
      </c>
      <c r="BU3690">
        <v>0</v>
      </c>
      <c r="CE3690" t="str">
        <f t="shared" ref="CE3690:CE3696" si="1356">"19:35:29.110"</f>
        <v>19:35:29.110</v>
      </c>
      <c r="CF3690">
        <v>109824741</v>
      </c>
      <c r="CS3690">
        <v>0</v>
      </c>
      <c r="CT3690">
        <v>2</v>
      </c>
      <c r="CU3690">
        <v>0</v>
      </c>
      <c r="CV3690">
        <v>2</v>
      </c>
      <c r="CW3690">
        <v>0</v>
      </c>
      <c r="CX3690">
        <v>5</v>
      </c>
      <c r="CY3690">
        <v>7</v>
      </c>
      <c r="CZ3690" t="s">
        <v>131</v>
      </c>
      <c r="DA3690">
        <v>286</v>
      </c>
      <c r="DB3690">
        <v>0</v>
      </c>
      <c r="DC3690" t="s">
        <v>132</v>
      </c>
      <c r="DD3690" t="s">
        <v>133</v>
      </c>
      <c r="DG3690">
        <v>887723</v>
      </c>
      <c r="DI3690">
        <v>1</v>
      </c>
      <c r="DJ3690">
        <v>0</v>
      </c>
      <c r="DK3690">
        <v>0</v>
      </c>
      <c r="DL3690">
        <v>0</v>
      </c>
      <c r="DM3690">
        <v>0</v>
      </c>
      <c r="DN3690">
        <v>1</v>
      </c>
      <c r="DO3690">
        <v>0</v>
      </c>
      <c r="DP3690">
        <v>0</v>
      </c>
      <c r="DQ3690">
        <v>0</v>
      </c>
      <c r="DR3690">
        <v>0</v>
      </c>
      <c r="DS3690">
        <v>0</v>
      </c>
    </row>
    <row r="3691" spans="1:123" x14ac:dyDescent="0.3">
      <c r="A3691" t="str">
        <f t="shared" si="1354"/>
        <v>10/04/2022 19:35:29.385</v>
      </c>
      <c r="C3691" t="str">
        <f t="shared" ref="C3691:C3754" si="1357">"FFDFD3C0"</f>
        <v>FFDFD3C0</v>
      </c>
      <c r="D3691" t="s">
        <v>123</v>
      </c>
      <c r="E3691">
        <v>7</v>
      </c>
      <c r="F3691">
        <v>2007</v>
      </c>
      <c r="G3691" t="s">
        <v>124</v>
      </c>
      <c r="J3691" t="s">
        <v>125</v>
      </c>
      <c r="K3691">
        <v>0</v>
      </c>
      <c r="L3691">
        <v>3</v>
      </c>
      <c r="M3691">
        <v>0</v>
      </c>
      <c r="N3691">
        <v>2</v>
      </c>
      <c r="O3691">
        <v>0</v>
      </c>
      <c r="P3691">
        <v>1</v>
      </c>
      <c r="Q3691">
        <v>0</v>
      </c>
      <c r="S3691" t="str">
        <f t="shared" si="1355"/>
        <v>19:35:29.000</v>
      </c>
      <c r="T3691" t="str">
        <f t="shared" si="1355"/>
        <v>19:35:29.000</v>
      </c>
      <c r="U3691" t="str">
        <f t="shared" si="1341"/>
        <v>AC3944</v>
      </c>
      <c r="V3691">
        <v>0</v>
      </c>
      <c r="W3691">
        <v>0</v>
      </c>
      <c r="X3691">
        <v>2</v>
      </c>
      <c r="Y3691">
        <v>0</v>
      </c>
      <c r="AA3691">
        <v>1</v>
      </c>
      <c r="AB3691">
        <v>8</v>
      </c>
      <c r="AC3691">
        <v>3</v>
      </c>
      <c r="AD3691">
        <v>0</v>
      </c>
      <c r="AE3691">
        <v>9</v>
      </c>
      <c r="AF3691" t="s">
        <v>138</v>
      </c>
      <c r="AG3691">
        <v>0</v>
      </c>
      <c r="AH3691">
        <v>3</v>
      </c>
      <c r="AI3691">
        <v>1</v>
      </c>
      <c r="AJ3691">
        <v>0</v>
      </c>
      <c r="AK3691" t="s">
        <v>1207</v>
      </c>
      <c r="AL3691">
        <v>32.737090999999999</v>
      </c>
      <c r="AM3691" t="s">
        <v>1208</v>
      </c>
      <c r="AN3691">
        <v>-116.715853</v>
      </c>
      <c r="AO3691">
        <v>25</v>
      </c>
      <c r="AP3691">
        <v>4500</v>
      </c>
      <c r="AQ3691" t="s">
        <v>129</v>
      </c>
      <c r="AR3691">
        <v>124</v>
      </c>
      <c r="AS3691">
        <v>15</v>
      </c>
      <c r="AT3691">
        <v>192</v>
      </c>
      <c r="BB3691">
        <v>1200</v>
      </c>
      <c r="BC3691">
        <v>1</v>
      </c>
      <c r="BD3691" t="str">
        <f t="shared" si="1342"/>
        <v xml:space="preserve">N887QR  </v>
      </c>
      <c r="BE3691">
        <v>1</v>
      </c>
      <c r="BG3691">
        <v>0</v>
      </c>
      <c r="BH3691">
        <v>0</v>
      </c>
      <c r="BI3691">
        <v>0</v>
      </c>
      <c r="BJ3691">
        <v>4350</v>
      </c>
      <c r="BK3691">
        <v>-150</v>
      </c>
      <c r="BL3691" t="s">
        <v>163</v>
      </c>
      <c r="BM3691">
        <v>1</v>
      </c>
      <c r="BN3691">
        <v>1</v>
      </c>
      <c r="BO3691">
        <v>1</v>
      </c>
      <c r="BP3691">
        <v>0</v>
      </c>
      <c r="BS3691">
        <v>0</v>
      </c>
      <c r="BT3691">
        <v>0</v>
      </c>
      <c r="BU3691">
        <v>0</v>
      </c>
      <c r="CE3691" t="str">
        <f t="shared" si="1356"/>
        <v>19:35:29.110</v>
      </c>
      <c r="CF3691">
        <v>109824741</v>
      </c>
      <c r="CS3691">
        <v>0</v>
      </c>
      <c r="CT3691">
        <v>2</v>
      </c>
      <c r="CU3691">
        <v>0</v>
      </c>
      <c r="CV3691">
        <v>2</v>
      </c>
      <c r="CW3691">
        <v>0</v>
      </c>
      <c r="CX3691">
        <v>5</v>
      </c>
      <c r="CY3691">
        <v>7</v>
      </c>
      <c r="CZ3691" t="s">
        <v>131</v>
      </c>
      <c r="DA3691">
        <v>286</v>
      </c>
      <c r="DB3691">
        <v>0</v>
      </c>
      <c r="DC3691" t="s">
        <v>132</v>
      </c>
      <c r="DD3691" t="s">
        <v>133</v>
      </c>
      <c r="DG3691">
        <v>887723</v>
      </c>
      <c r="DI3691">
        <v>1</v>
      </c>
      <c r="DJ3691">
        <v>0</v>
      </c>
      <c r="DK3691">
        <v>1</v>
      </c>
      <c r="DL3691">
        <v>0</v>
      </c>
      <c r="DM3691">
        <v>0</v>
      </c>
      <c r="DN3691">
        <v>1</v>
      </c>
      <c r="DO3691">
        <v>0</v>
      </c>
      <c r="DP3691">
        <v>0</v>
      </c>
      <c r="DQ3691">
        <v>0</v>
      </c>
      <c r="DR3691">
        <v>0</v>
      </c>
      <c r="DS3691">
        <v>0</v>
      </c>
    </row>
    <row r="3692" spans="1:123" x14ac:dyDescent="0.3">
      <c r="A3692" t="str">
        <f t="shared" si="1354"/>
        <v>10/04/2022 19:35:29.385</v>
      </c>
      <c r="C3692" t="str">
        <f t="shared" si="1357"/>
        <v>FFDFD3C0</v>
      </c>
      <c r="D3692" t="s">
        <v>136</v>
      </c>
      <c r="E3692">
        <v>8</v>
      </c>
      <c r="H3692">
        <v>225</v>
      </c>
      <c r="I3692" t="s">
        <v>137</v>
      </c>
      <c r="J3692" t="s">
        <v>138</v>
      </c>
      <c r="K3692">
        <v>0</v>
      </c>
      <c r="L3692">
        <v>3</v>
      </c>
      <c r="M3692">
        <v>0</v>
      </c>
      <c r="N3692">
        <v>2</v>
      </c>
      <c r="O3692">
        <v>0</v>
      </c>
      <c r="P3692">
        <v>1</v>
      </c>
      <c r="Q3692">
        <v>0</v>
      </c>
      <c r="S3692" t="str">
        <f t="shared" si="1355"/>
        <v>19:35:29.000</v>
      </c>
      <c r="T3692" t="str">
        <f t="shared" si="1355"/>
        <v>19:35:29.000</v>
      </c>
      <c r="U3692" t="str">
        <f t="shared" si="1341"/>
        <v>AC3944</v>
      </c>
      <c r="V3692">
        <v>0</v>
      </c>
      <c r="W3692">
        <v>0</v>
      </c>
      <c r="X3692">
        <v>2</v>
      </c>
      <c r="Y3692">
        <v>0</v>
      </c>
      <c r="AA3692">
        <v>1</v>
      </c>
      <c r="AB3692">
        <v>8</v>
      </c>
      <c r="AC3692">
        <v>3</v>
      </c>
      <c r="AD3692">
        <v>0</v>
      </c>
      <c r="AE3692">
        <v>9</v>
      </c>
      <c r="AF3692" t="s">
        <v>138</v>
      </c>
      <c r="AG3692">
        <v>0</v>
      </c>
      <c r="AH3692">
        <v>3</v>
      </c>
      <c r="AI3692">
        <v>1</v>
      </c>
      <c r="AJ3692">
        <v>0</v>
      </c>
      <c r="AK3692" t="s">
        <v>1207</v>
      </c>
      <c r="AL3692">
        <v>32.737090999999999</v>
      </c>
      <c r="AM3692" t="s">
        <v>1208</v>
      </c>
      <c r="AN3692">
        <v>-116.715853</v>
      </c>
      <c r="AO3692">
        <v>25</v>
      </c>
      <c r="AP3692">
        <v>4500</v>
      </c>
      <c r="AQ3692" t="s">
        <v>129</v>
      </c>
      <c r="AR3692">
        <v>124</v>
      </c>
      <c r="AS3692">
        <v>15</v>
      </c>
      <c r="AT3692">
        <v>192</v>
      </c>
      <c r="BB3692">
        <v>1200</v>
      </c>
      <c r="BC3692">
        <v>1</v>
      </c>
      <c r="BD3692" t="str">
        <f t="shared" si="1342"/>
        <v xml:space="preserve">N887QR  </v>
      </c>
      <c r="BE3692">
        <v>1</v>
      </c>
      <c r="BG3692">
        <v>0</v>
      </c>
      <c r="BH3692">
        <v>0</v>
      </c>
      <c r="BI3692">
        <v>0</v>
      </c>
      <c r="BJ3692">
        <v>4350</v>
      </c>
      <c r="BK3692">
        <v>-150</v>
      </c>
      <c r="BL3692" t="s">
        <v>163</v>
      </c>
      <c r="BM3692">
        <v>1</v>
      </c>
      <c r="BN3692">
        <v>1</v>
      </c>
      <c r="BO3692">
        <v>1</v>
      </c>
      <c r="BP3692">
        <v>0</v>
      </c>
      <c r="BS3692">
        <v>0</v>
      </c>
      <c r="BT3692">
        <v>0</v>
      </c>
      <c r="BU3692">
        <v>0</v>
      </c>
      <c r="CE3692" t="str">
        <f t="shared" si="1356"/>
        <v>19:35:29.110</v>
      </c>
      <c r="CF3692">
        <v>109824741</v>
      </c>
      <c r="CS3692">
        <v>0</v>
      </c>
      <c r="CT3692">
        <v>2</v>
      </c>
      <c r="CU3692">
        <v>0</v>
      </c>
      <c r="CV3692">
        <v>2</v>
      </c>
      <c r="CW3692">
        <v>0</v>
      </c>
      <c r="CX3692">
        <v>5</v>
      </c>
      <c r="CY3692">
        <v>7</v>
      </c>
      <c r="CZ3692" t="s">
        <v>131</v>
      </c>
      <c r="DA3692">
        <v>286</v>
      </c>
      <c r="DB3692">
        <v>0</v>
      </c>
      <c r="DC3692" t="s">
        <v>132</v>
      </c>
      <c r="DD3692" t="s">
        <v>133</v>
      </c>
      <c r="DG3692">
        <v>887723</v>
      </c>
      <c r="DI3692">
        <v>1</v>
      </c>
      <c r="DJ3692">
        <v>0</v>
      </c>
      <c r="DK3692">
        <v>0</v>
      </c>
      <c r="DL3692">
        <v>0</v>
      </c>
      <c r="DM3692">
        <v>0</v>
      </c>
      <c r="DN3692">
        <v>1</v>
      </c>
      <c r="DO3692">
        <v>0</v>
      </c>
      <c r="DP3692">
        <v>0</v>
      </c>
      <c r="DQ3692">
        <v>0</v>
      </c>
      <c r="DR3692">
        <v>0</v>
      </c>
      <c r="DS3692">
        <v>0</v>
      </c>
    </row>
    <row r="3693" spans="1:123" x14ac:dyDescent="0.3">
      <c r="A3693" t="str">
        <f t="shared" si="1354"/>
        <v>10/04/2022 19:35:29.385</v>
      </c>
      <c r="C3693" t="str">
        <f t="shared" si="1357"/>
        <v>FFDFD3C0</v>
      </c>
      <c r="D3693" t="s">
        <v>134</v>
      </c>
      <c r="E3693">
        <v>15</v>
      </c>
      <c r="J3693" t="s">
        <v>135</v>
      </c>
      <c r="K3693">
        <v>0</v>
      </c>
      <c r="L3693">
        <v>3</v>
      </c>
      <c r="M3693">
        <v>0</v>
      </c>
      <c r="N3693">
        <v>2</v>
      </c>
      <c r="O3693">
        <v>0</v>
      </c>
      <c r="P3693">
        <v>1</v>
      </c>
      <c r="Q3693">
        <v>0</v>
      </c>
      <c r="S3693" t="str">
        <f t="shared" si="1355"/>
        <v>19:35:29.000</v>
      </c>
      <c r="T3693" t="str">
        <f t="shared" si="1355"/>
        <v>19:35:29.000</v>
      </c>
      <c r="U3693" t="str">
        <f t="shared" si="1341"/>
        <v>AC3944</v>
      </c>
      <c r="V3693">
        <v>0</v>
      </c>
      <c r="W3693">
        <v>0</v>
      </c>
      <c r="X3693">
        <v>2</v>
      </c>
      <c r="Y3693">
        <v>0</v>
      </c>
      <c r="AA3693">
        <v>1</v>
      </c>
      <c r="AB3693">
        <v>8</v>
      </c>
      <c r="AC3693">
        <v>3</v>
      </c>
      <c r="AD3693">
        <v>0</v>
      </c>
      <c r="AE3693">
        <v>9</v>
      </c>
      <c r="AF3693" t="s">
        <v>138</v>
      </c>
      <c r="AG3693">
        <v>0</v>
      </c>
      <c r="AH3693">
        <v>3</v>
      </c>
      <c r="AI3693">
        <v>1</v>
      </c>
      <c r="AJ3693">
        <v>0</v>
      </c>
      <c r="AK3693" t="s">
        <v>1207</v>
      </c>
      <c r="AL3693">
        <v>32.737090999999999</v>
      </c>
      <c r="AM3693" t="s">
        <v>1208</v>
      </c>
      <c r="AN3693">
        <v>-116.715853</v>
      </c>
      <c r="AO3693">
        <v>25</v>
      </c>
      <c r="AP3693">
        <v>4500</v>
      </c>
      <c r="AQ3693" t="s">
        <v>129</v>
      </c>
      <c r="AR3693">
        <v>124</v>
      </c>
      <c r="AS3693">
        <v>15</v>
      </c>
      <c r="AT3693">
        <v>192</v>
      </c>
      <c r="BB3693">
        <v>1200</v>
      </c>
      <c r="BC3693">
        <v>1</v>
      </c>
      <c r="BD3693" t="str">
        <f t="shared" si="1342"/>
        <v xml:space="preserve">N887QR  </v>
      </c>
      <c r="BE3693">
        <v>1</v>
      </c>
      <c r="BG3693">
        <v>0</v>
      </c>
      <c r="BH3693">
        <v>0</v>
      </c>
      <c r="BI3693">
        <v>0</v>
      </c>
      <c r="BJ3693">
        <v>4350</v>
      </c>
      <c r="BK3693">
        <v>-150</v>
      </c>
      <c r="BL3693" t="s">
        <v>163</v>
      </c>
      <c r="BM3693">
        <v>1</v>
      </c>
      <c r="BN3693">
        <v>1</v>
      </c>
      <c r="BO3693">
        <v>1</v>
      </c>
      <c r="BP3693">
        <v>0</v>
      </c>
      <c r="BS3693">
        <v>0</v>
      </c>
      <c r="BT3693">
        <v>0</v>
      </c>
      <c r="BU3693">
        <v>0</v>
      </c>
      <c r="CE3693" t="str">
        <f t="shared" si="1356"/>
        <v>19:35:29.110</v>
      </c>
      <c r="CF3693">
        <v>109824741</v>
      </c>
      <c r="CS3693">
        <v>0</v>
      </c>
      <c r="CT3693">
        <v>2</v>
      </c>
      <c r="CU3693">
        <v>0</v>
      </c>
      <c r="CV3693">
        <v>2</v>
      </c>
      <c r="CW3693">
        <v>0</v>
      </c>
      <c r="CX3693">
        <v>5</v>
      </c>
      <c r="CY3693">
        <v>7</v>
      </c>
      <c r="CZ3693" t="s">
        <v>131</v>
      </c>
      <c r="DA3693">
        <v>286</v>
      </c>
      <c r="DB3693">
        <v>0</v>
      </c>
      <c r="DC3693" t="s">
        <v>132</v>
      </c>
      <c r="DD3693" t="s">
        <v>133</v>
      </c>
      <c r="DG3693">
        <v>887723</v>
      </c>
      <c r="DI3693">
        <v>1</v>
      </c>
      <c r="DJ3693">
        <v>0</v>
      </c>
      <c r="DK3693">
        <v>1</v>
      </c>
      <c r="DL3693">
        <v>0</v>
      </c>
      <c r="DM3693">
        <v>0</v>
      </c>
      <c r="DN3693">
        <v>1</v>
      </c>
      <c r="DO3693">
        <v>0</v>
      </c>
      <c r="DP3693">
        <v>0</v>
      </c>
      <c r="DQ3693">
        <v>0</v>
      </c>
      <c r="DR3693">
        <v>0</v>
      </c>
      <c r="DS3693">
        <v>0</v>
      </c>
    </row>
    <row r="3694" spans="1:123" x14ac:dyDescent="0.3">
      <c r="A3694" t="str">
        <f t="shared" si="1354"/>
        <v>10/04/2022 19:35:29.385</v>
      </c>
      <c r="C3694" t="str">
        <f t="shared" si="1357"/>
        <v>FFDFD3C0</v>
      </c>
      <c r="D3694" t="s">
        <v>147</v>
      </c>
      <c r="E3694">
        <v>3</v>
      </c>
      <c r="H3694">
        <v>166</v>
      </c>
      <c r="I3694" t="s">
        <v>144</v>
      </c>
      <c r="J3694" t="s">
        <v>148</v>
      </c>
      <c r="K3694">
        <v>0</v>
      </c>
      <c r="L3694">
        <v>3</v>
      </c>
      <c r="M3694">
        <v>0</v>
      </c>
      <c r="N3694">
        <v>2</v>
      </c>
      <c r="O3694">
        <v>0</v>
      </c>
      <c r="P3694">
        <v>1</v>
      </c>
      <c r="Q3694">
        <v>0</v>
      </c>
      <c r="S3694" t="str">
        <f t="shared" si="1355"/>
        <v>19:35:29.000</v>
      </c>
      <c r="T3694" t="str">
        <f t="shared" si="1355"/>
        <v>19:35:29.000</v>
      </c>
      <c r="U3694" t="str">
        <f t="shared" si="1341"/>
        <v>AC3944</v>
      </c>
      <c r="V3694">
        <v>0</v>
      </c>
      <c r="W3694">
        <v>0</v>
      </c>
      <c r="X3694">
        <v>2</v>
      </c>
      <c r="Y3694">
        <v>0</v>
      </c>
      <c r="AA3694">
        <v>1</v>
      </c>
      <c r="AB3694">
        <v>8</v>
      </c>
      <c r="AC3694">
        <v>3</v>
      </c>
      <c r="AD3694">
        <v>0</v>
      </c>
      <c r="AE3694">
        <v>9</v>
      </c>
      <c r="AF3694" t="s">
        <v>138</v>
      </c>
      <c r="AG3694">
        <v>0</v>
      </c>
      <c r="AH3694">
        <v>3</v>
      </c>
      <c r="AI3694">
        <v>1</v>
      </c>
      <c r="AJ3694">
        <v>0</v>
      </c>
      <c r="AK3694" t="s">
        <v>1207</v>
      </c>
      <c r="AL3694">
        <v>32.737090999999999</v>
      </c>
      <c r="AM3694" t="s">
        <v>1208</v>
      </c>
      <c r="AN3694">
        <v>-116.715853</v>
      </c>
      <c r="AO3694">
        <v>25</v>
      </c>
      <c r="AP3694">
        <v>4500</v>
      </c>
      <c r="AQ3694" t="s">
        <v>129</v>
      </c>
      <c r="AR3694">
        <v>124</v>
      </c>
      <c r="AS3694">
        <v>15</v>
      </c>
      <c r="AT3694">
        <v>192</v>
      </c>
      <c r="BB3694">
        <v>1200</v>
      </c>
      <c r="BC3694">
        <v>1</v>
      </c>
      <c r="BD3694" t="str">
        <f t="shared" si="1342"/>
        <v xml:space="preserve">N887QR  </v>
      </c>
      <c r="BE3694">
        <v>1</v>
      </c>
      <c r="BG3694">
        <v>0</v>
      </c>
      <c r="BH3694">
        <v>0</v>
      </c>
      <c r="BI3694">
        <v>0</v>
      </c>
      <c r="BJ3694">
        <v>4350</v>
      </c>
      <c r="BK3694">
        <v>-150</v>
      </c>
      <c r="BL3694" t="s">
        <v>163</v>
      </c>
      <c r="BM3694">
        <v>1</v>
      </c>
      <c r="BN3694">
        <v>1</v>
      </c>
      <c r="BO3694">
        <v>1</v>
      </c>
      <c r="BP3694">
        <v>0</v>
      </c>
      <c r="BS3694">
        <v>0</v>
      </c>
      <c r="BT3694">
        <v>0</v>
      </c>
      <c r="BU3694">
        <v>0</v>
      </c>
      <c r="CE3694" t="str">
        <f t="shared" si="1356"/>
        <v>19:35:29.110</v>
      </c>
      <c r="CF3694">
        <v>109824741</v>
      </c>
      <c r="CS3694">
        <v>0</v>
      </c>
      <c r="CT3694">
        <v>2</v>
      </c>
      <c r="CU3694">
        <v>0</v>
      </c>
      <c r="CV3694">
        <v>2</v>
      </c>
      <c r="CW3694">
        <v>0</v>
      </c>
      <c r="CX3694">
        <v>5</v>
      </c>
      <c r="CY3694">
        <v>7</v>
      </c>
      <c r="CZ3694" t="s">
        <v>131</v>
      </c>
      <c r="DA3694">
        <v>286</v>
      </c>
      <c r="DB3694">
        <v>0</v>
      </c>
      <c r="DC3694" t="s">
        <v>132</v>
      </c>
      <c r="DD3694" t="s">
        <v>133</v>
      </c>
      <c r="DG3694">
        <v>887723</v>
      </c>
      <c r="DI3694">
        <v>1</v>
      </c>
      <c r="DJ3694">
        <v>0</v>
      </c>
      <c r="DK3694">
        <v>1</v>
      </c>
      <c r="DL3694">
        <v>0</v>
      </c>
      <c r="DM3694">
        <v>0</v>
      </c>
      <c r="DN3694">
        <v>1</v>
      </c>
      <c r="DO3694">
        <v>0</v>
      </c>
      <c r="DP3694">
        <v>0</v>
      </c>
      <c r="DQ3694">
        <v>0</v>
      </c>
      <c r="DR3694">
        <v>0</v>
      </c>
      <c r="DS3694">
        <v>0</v>
      </c>
    </row>
    <row r="3695" spans="1:123" x14ac:dyDescent="0.3">
      <c r="A3695" t="str">
        <f t="shared" si="1354"/>
        <v>10/04/2022 19:35:29.385</v>
      </c>
      <c r="C3695" t="str">
        <f t="shared" si="1357"/>
        <v>FFDFD3C0</v>
      </c>
      <c r="D3695" t="s">
        <v>141</v>
      </c>
      <c r="E3695">
        <v>4</v>
      </c>
      <c r="H3695">
        <v>4</v>
      </c>
      <c r="I3695" t="s">
        <v>142</v>
      </c>
      <c r="J3695" t="s">
        <v>138</v>
      </c>
      <c r="K3695">
        <v>0</v>
      </c>
      <c r="L3695">
        <v>3</v>
      </c>
      <c r="M3695">
        <v>0</v>
      </c>
      <c r="N3695">
        <v>2</v>
      </c>
      <c r="O3695">
        <v>0</v>
      </c>
      <c r="P3695">
        <v>1</v>
      </c>
      <c r="Q3695">
        <v>0</v>
      </c>
      <c r="S3695" t="str">
        <f t="shared" si="1355"/>
        <v>19:35:29.000</v>
      </c>
      <c r="T3695" t="str">
        <f t="shared" si="1355"/>
        <v>19:35:29.000</v>
      </c>
      <c r="U3695" t="str">
        <f t="shared" si="1341"/>
        <v>AC3944</v>
      </c>
      <c r="V3695">
        <v>0</v>
      </c>
      <c r="W3695">
        <v>0</v>
      </c>
      <c r="X3695">
        <v>2</v>
      </c>
      <c r="Y3695">
        <v>0</v>
      </c>
      <c r="AA3695">
        <v>1</v>
      </c>
      <c r="AB3695">
        <v>8</v>
      </c>
      <c r="AC3695">
        <v>3</v>
      </c>
      <c r="AD3695">
        <v>0</v>
      </c>
      <c r="AE3695">
        <v>9</v>
      </c>
      <c r="AF3695" t="s">
        <v>138</v>
      </c>
      <c r="AG3695">
        <v>0</v>
      </c>
      <c r="AH3695">
        <v>3</v>
      </c>
      <c r="AI3695">
        <v>1</v>
      </c>
      <c r="AJ3695">
        <v>0</v>
      </c>
      <c r="AK3695" t="s">
        <v>1207</v>
      </c>
      <c r="AL3695">
        <v>32.737090999999999</v>
      </c>
      <c r="AM3695" t="s">
        <v>1208</v>
      </c>
      <c r="AN3695">
        <v>-116.715853</v>
      </c>
      <c r="AO3695">
        <v>25</v>
      </c>
      <c r="AP3695">
        <v>4500</v>
      </c>
      <c r="AQ3695" t="s">
        <v>129</v>
      </c>
      <c r="AR3695">
        <v>124</v>
      </c>
      <c r="AS3695">
        <v>15</v>
      </c>
      <c r="AT3695">
        <v>192</v>
      </c>
      <c r="BB3695">
        <v>1200</v>
      </c>
      <c r="BC3695">
        <v>1</v>
      </c>
      <c r="BD3695" t="str">
        <f t="shared" si="1342"/>
        <v xml:space="preserve">N887QR  </v>
      </c>
      <c r="BE3695">
        <v>1</v>
      </c>
      <c r="BG3695">
        <v>0</v>
      </c>
      <c r="BH3695">
        <v>0</v>
      </c>
      <c r="BI3695">
        <v>0</v>
      </c>
      <c r="BJ3695">
        <v>4350</v>
      </c>
      <c r="BK3695">
        <v>-150</v>
      </c>
      <c r="BL3695" t="s">
        <v>163</v>
      </c>
      <c r="BM3695">
        <v>1</v>
      </c>
      <c r="BN3695">
        <v>1</v>
      </c>
      <c r="BO3695">
        <v>1</v>
      </c>
      <c r="BP3695">
        <v>0</v>
      </c>
      <c r="BS3695">
        <v>0</v>
      </c>
      <c r="BT3695">
        <v>0</v>
      </c>
      <c r="BU3695">
        <v>0</v>
      </c>
      <c r="CE3695" t="str">
        <f t="shared" si="1356"/>
        <v>19:35:29.110</v>
      </c>
      <c r="CF3695">
        <v>109824741</v>
      </c>
      <c r="CS3695">
        <v>0</v>
      </c>
      <c r="CT3695">
        <v>2</v>
      </c>
      <c r="CU3695">
        <v>0</v>
      </c>
      <c r="CV3695">
        <v>2</v>
      </c>
      <c r="CW3695">
        <v>0</v>
      </c>
      <c r="CX3695">
        <v>5</v>
      </c>
      <c r="CY3695">
        <v>7</v>
      </c>
      <c r="CZ3695" t="s">
        <v>131</v>
      </c>
      <c r="DA3695">
        <v>286</v>
      </c>
      <c r="DB3695">
        <v>0</v>
      </c>
      <c r="DC3695" t="s">
        <v>132</v>
      </c>
      <c r="DD3695" t="s">
        <v>133</v>
      </c>
      <c r="DG3695">
        <v>887723</v>
      </c>
      <c r="DI3695">
        <v>1</v>
      </c>
      <c r="DJ3695">
        <v>0</v>
      </c>
      <c r="DK3695">
        <v>1</v>
      </c>
      <c r="DL3695">
        <v>0</v>
      </c>
      <c r="DM3695">
        <v>0</v>
      </c>
      <c r="DN3695">
        <v>1</v>
      </c>
      <c r="DO3695">
        <v>0</v>
      </c>
      <c r="DP3695">
        <v>0</v>
      </c>
      <c r="DQ3695">
        <v>0</v>
      </c>
      <c r="DR3695">
        <v>0</v>
      </c>
      <c r="DS3695">
        <v>0</v>
      </c>
    </row>
    <row r="3696" spans="1:123" x14ac:dyDescent="0.3">
      <c r="A3696" t="str">
        <f t="shared" si="1354"/>
        <v>10/04/2022 19:35:29.385</v>
      </c>
      <c r="C3696" t="str">
        <f t="shared" si="1357"/>
        <v>FFDFD3C0</v>
      </c>
      <c r="D3696" t="s">
        <v>143</v>
      </c>
      <c r="E3696">
        <v>20</v>
      </c>
      <c r="F3696">
        <v>1020</v>
      </c>
      <c r="G3696" t="s">
        <v>144</v>
      </c>
      <c r="J3696" t="s">
        <v>145</v>
      </c>
      <c r="K3696">
        <v>0</v>
      </c>
      <c r="L3696">
        <v>3</v>
      </c>
      <c r="M3696">
        <v>0</v>
      </c>
      <c r="N3696">
        <v>2</v>
      </c>
      <c r="O3696">
        <v>0</v>
      </c>
      <c r="P3696">
        <v>1</v>
      </c>
      <c r="Q3696">
        <v>0</v>
      </c>
      <c r="S3696" t="str">
        <f t="shared" si="1355"/>
        <v>19:35:29.000</v>
      </c>
      <c r="T3696" t="str">
        <f t="shared" si="1355"/>
        <v>19:35:29.000</v>
      </c>
      <c r="U3696" t="str">
        <f t="shared" si="1341"/>
        <v>AC3944</v>
      </c>
      <c r="V3696">
        <v>0</v>
      </c>
      <c r="W3696">
        <v>0</v>
      </c>
      <c r="X3696">
        <v>2</v>
      </c>
      <c r="Y3696">
        <v>0</v>
      </c>
      <c r="AA3696">
        <v>1</v>
      </c>
      <c r="AB3696">
        <v>8</v>
      </c>
      <c r="AC3696">
        <v>3</v>
      </c>
      <c r="AD3696">
        <v>0</v>
      </c>
      <c r="AE3696">
        <v>9</v>
      </c>
      <c r="AF3696" t="s">
        <v>138</v>
      </c>
      <c r="AG3696">
        <v>0</v>
      </c>
      <c r="AH3696">
        <v>3</v>
      </c>
      <c r="AI3696">
        <v>1</v>
      </c>
      <c r="AJ3696">
        <v>0</v>
      </c>
      <c r="AK3696" t="s">
        <v>1207</v>
      </c>
      <c r="AL3696">
        <v>32.737090999999999</v>
      </c>
      <c r="AM3696" t="s">
        <v>1208</v>
      </c>
      <c r="AN3696">
        <v>-116.715853</v>
      </c>
      <c r="AO3696">
        <v>25</v>
      </c>
      <c r="AP3696">
        <v>4500</v>
      </c>
      <c r="AQ3696" t="s">
        <v>129</v>
      </c>
      <c r="AR3696">
        <v>124</v>
      </c>
      <c r="AS3696">
        <v>15</v>
      </c>
      <c r="AT3696">
        <v>192</v>
      </c>
      <c r="BB3696">
        <v>1200</v>
      </c>
      <c r="BC3696">
        <v>1</v>
      </c>
      <c r="BD3696" t="str">
        <f t="shared" si="1342"/>
        <v xml:space="preserve">N887QR  </v>
      </c>
      <c r="BE3696">
        <v>1</v>
      </c>
      <c r="BG3696">
        <v>0</v>
      </c>
      <c r="BH3696">
        <v>0</v>
      </c>
      <c r="BI3696">
        <v>0</v>
      </c>
      <c r="BJ3696">
        <v>4350</v>
      </c>
      <c r="BK3696">
        <v>-150</v>
      </c>
      <c r="BL3696" t="s">
        <v>163</v>
      </c>
      <c r="BM3696">
        <v>1</v>
      </c>
      <c r="BN3696">
        <v>1</v>
      </c>
      <c r="BO3696">
        <v>1</v>
      </c>
      <c r="BP3696">
        <v>0</v>
      </c>
      <c r="BS3696">
        <v>0</v>
      </c>
      <c r="BT3696">
        <v>0</v>
      </c>
      <c r="BU3696">
        <v>0</v>
      </c>
      <c r="CE3696" t="str">
        <f t="shared" si="1356"/>
        <v>19:35:29.110</v>
      </c>
      <c r="CF3696">
        <v>109824741</v>
      </c>
      <c r="CS3696">
        <v>0</v>
      </c>
      <c r="CT3696">
        <v>2</v>
      </c>
      <c r="CU3696">
        <v>0</v>
      </c>
      <c r="CV3696">
        <v>2</v>
      </c>
      <c r="CW3696">
        <v>0</v>
      </c>
      <c r="CX3696">
        <v>5</v>
      </c>
      <c r="CY3696">
        <v>7</v>
      </c>
      <c r="CZ3696" t="s">
        <v>131</v>
      </c>
      <c r="DA3696">
        <v>286</v>
      </c>
      <c r="DB3696">
        <v>0</v>
      </c>
      <c r="DC3696" t="s">
        <v>132</v>
      </c>
      <c r="DD3696" t="s">
        <v>133</v>
      </c>
      <c r="DG3696">
        <v>887723</v>
      </c>
      <c r="DI3696">
        <v>1</v>
      </c>
      <c r="DJ3696">
        <v>0</v>
      </c>
      <c r="DK3696">
        <v>1</v>
      </c>
      <c r="DL3696">
        <v>0</v>
      </c>
      <c r="DM3696">
        <v>0</v>
      </c>
      <c r="DN3696">
        <v>1</v>
      </c>
      <c r="DO3696">
        <v>0</v>
      </c>
      <c r="DP3696">
        <v>0</v>
      </c>
      <c r="DQ3696">
        <v>0</v>
      </c>
      <c r="DR3696">
        <v>0</v>
      </c>
      <c r="DS3696">
        <v>0</v>
      </c>
    </row>
    <row r="3697" spans="1:123" x14ac:dyDescent="0.3">
      <c r="A3697" t="str">
        <f t="shared" ref="A3697:A3703" si="1358">"10/04/2022 19:35:30.605"</f>
        <v>10/04/2022 19:35:30.605</v>
      </c>
      <c r="C3697" t="str">
        <f t="shared" si="1357"/>
        <v>FFDFD3C0</v>
      </c>
      <c r="D3697" t="s">
        <v>143</v>
      </c>
      <c r="E3697">
        <v>20</v>
      </c>
      <c r="F3697">
        <v>1020</v>
      </c>
      <c r="G3697" t="s">
        <v>144</v>
      </c>
      <c r="J3697" t="s">
        <v>145</v>
      </c>
      <c r="K3697">
        <v>0</v>
      </c>
      <c r="L3697">
        <v>3</v>
      </c>
      <c r="M3697">
        <v>0</v>
      </c>
      <c r="N3697">
        <v>2</v>
      </c>
      <c r="O3697">
        <v>0</v>
      </c>
      <c r="P3697">
        <v>1</v>
      </c>
      <c r="Q3697">
        <v>0</v>
      </c>
      <c r="S3697" t="str">
        <f t="shared" ref="S3697:T3703" si="1359">"19:35:30.000"</f>
        <v>19:35:30.000</v>
      </c>
      <c r="T3697" t="str">
        <f t="shared" si="1359"/>
        <v>19:35:30.000</v>
      </c>
      <c r="U3697" t="str">
        <f t="shared" si="1341"/>
        <v>AC3944</v>
      </c>
      <c r="V3697">
        <v>0</v>
      </c>
      <c r="W3697">
        <v>0</v>
      </c>
      <c r="X3697">
        <v>2</v>
      </c>
      <c r="Y3697">
        <v>0</v>
      </c>
      <c r="AA3697">
        <v>1</v>
      </c>
      <c r="AB3697">
        <v>8</v>
      </c>
      <c r="AC3697">
        <v>3</v>
      </c>
      <c r="AD3697">
        <v>0</v>
      </c>
      <c r="AE3697">
        <v>9</v>
      </c>
      <c r="AF3697" t="s">
        <v>138</v>
      </c>
      <c r="AG3697">
        <v>0</v>
      </c>
      <c r="AH3697">
        <v>3</v>
      </c>
      <c r="AI3697">
        <v>1</v>
      </c>
      <c r="AJ3697">
        <v>0</v>
      </c>
      <c r="AK3697" t="s">
        <v>1209</v>
      </c>
      <c r="AL3697">
        <v>32.737175999999998</v>
      </c>
      <c r="AM3697" t="s">
        <v>1210</v>
      </c>
      <c r="AN3697">
        <v>-116.71516699999999</v>
      </c>
      <c r="AO3697">
        <v>25</v>
      </c>
      <c r="AP3697">
        <v>4500</v>
      </c>
      <c r="AQ3697" t="s">
        <v>129</v>
      </c>
      <c r="AR3697">
        <v>125</v>
      </c>
      <c r="AS3697">
        <v>14</v>
      </c>
      <c r="AT3697">
        <v>192</v>
      </c>
      <c r="BB3697">
        <v>1200</v>
      </c>
      <c r="BC3697">
        <v>1</v>
      </c>
      <c r="BD3697" t="str">
        <f t="shared" si="1342"/>
        <v xml:space="preserve">N887QR  </v>
      </c>
      <c r="BE3697">
        <v>1</v>
      </c>
      <c r="BG3697">
        <v>0</v>
      </c>
      <c r="BH3697">
        <v>0</v>
      </c>
      <c r="BI3697">
        <v>0</v>
      </c>
      <c r="BJ3697">
        <v>4375</v>
      </c>
      <c r="BK3697">
        <v>-125</v>
      </c>
      <c r="BL3697" t="s">
        <v>163</v>
      </c>
      <c r="BM3697">
        <v>1</v>
      </c>
      <c r="BN3697">
        <v>1</v>
      </c>
      <c r="BO3697">
        <v>1</v>
      </c>
      <c r="BP3697">
        <v>0</v>
      </c>
      <c r="BS3697">
        <v>0</v>
      </c>
      <c r="BT3697">
        <v>0</v>
      </c>
      <c r="BU3697">
        <v>0</v>
      </c>
      <c r="CE3697" t="str">
        <f t="shared" ref="CE3697:CE3703" si="1360">"19:35:30.352"</f>
        <v>19:35:30.352</v>
      </c>
      <c r="CF3697">
        <v>351578924</v>
      </c>
      <c r="CS3697">
        <v>0</v>
      </c>
      <c r="CT3697">
        <v>2</v>
      </c>
      <c r="CU3697">
        <v>0</v>
      </c>
      <c r="CV3697">
        <v>2</v>
      </c>
      <c r="CW3697">
        <v>0</v>
      </c>
      <c r="CX3697">
        <v>5</v>
      </c>
      <c r="CY3697">
        <v>7</v>
      </c>
      <c r="CZ3697" t="s">
        <v>131</v>
      </c>
      <c r="DA3697">
        <v>286</v>
      </c>
      <c r="DB3697">
        <v>0</v>
      </c>
      <c r="DC3697" t="s">
        <v>132</v>
      </c>
      <c r="DD3697" t="s">
        <v>133</v>
      </c>
      <c r="DG3697">
        <v>887998</v>
      </c>
      <c r="DI3697">
        <v>1</v>
      </c>
      <c r="DJ3697">
        <v>0</v>
      </c>
      <c r="DK3697">
        <v>0</v>
      </c>
      <c r="DL3697">
        <v>0</v>
      </c>
      <c r="DM3697">
        <v>0</v>
      </c>
      <c r="DN3697">
        <v>1</v>
      </c>
      <c r="DO3697">
        <v>0</v>
      </c>
      <c r="DP3697">
        <v>0</v>
      </c>
      <c r="DQ3697">
        <v>0</v>
      </c>
      <c r="DR3697">
        <v>0</v>
      </c>
      <c r="DS3697">
        <v>0</v>
      </c>
    </row>
    <row r="3698" spans="1:123" x14ac:dyDescent="0.3">
      <c r="A3698" t="str">
        <f t="shared" si="1358"/>
        <v>10/04/2022 19:35:30.605</v>
      </c>
      <c r="C3698" t="str">
        <f t="shared" si="1357"/>
        <v>FFDFD3C0</v>
      </c>
      <c r="D3698" t="s">
        <v>141</v>
      </c>
      <c r="E3698">
        <v>3</v>
      </c>
      <c r="H3698">
        <v>3</v>
      </c>
      <c r="I3698" t="s">
        <v>146</v>
      </c>
      <c r="J3698" t="s">
        <v>138</v>
      </c>
      <c r="K3698">
        <v>0</v>
      </c>
      <c r="L3698">
        <v>3</v>
      </c>
      <c r="M3698">
        <v>0</v>
      </c>
      <c r="N3698">
        <v>2</v>
      </c>
      <c r="O3698">
        <v>0</v>
      </c>
      <c r="P3698">
        <v>1</v>
      </c>
      <c r="Q3698">
        <v>0</v>
      </c>
      <c r="S3698" t="str">
        <f t="shared" si="1359"/>
        <v>19:35:30.000</v>
      </c>
      <c r="T3698" t="str">
        <f t="shared" si="1359"/>
        <v>19:35:30.000</v>
      </c>
      <c r="U3698" t="str">
        <f t="shared" si="1341"/>
        <v>AC3944</v>
      </c>
      <c r="V3698">
        <v>0</v>
      </c>
      <c r="W3698">
        <v>0</v>
      </c>
      <c r="X3698">
        <v>2</v>
      </c>
      <c r="Y3698">
        <v>0</v>
      </c>
      <c r="AA3698">
        <v>1</v>
      </c>
      <c r="AB3698">
        <v>8</v>
      </c>
      <c r="AC3698">
        <v>3</v>
      </c>
      <c r="AD3698">
        <v>0</v>
      </c>
      <c r="AE3698">
        <v>9</v>
      </c>
      <c r="AF3698" t="s">
        <v>138</v>
      </c>
      <c r="AG3698">
        <v>0</v>
      </c>
      <c r="AH3698">
        <v>3</v>
      </c>
      <c r="AI3698">
        <v>1</v>
      </c>
      <c r="AJ3698">
        <v>0</v>
      </c>
      <c r="AK3698" t="s">
        <v>1209</v>
      </c>
      <c r="AL3698">
        <v>32.737175999999998</v>
      </c>
      <c r="AM3698" t="s">
        <v>1210</v>
      </c>
      <c r="AN3698">
        <v>-116.71516699999999</v>
      </c>
      <c r="AO3698">
        <v>25</v>
      </c>
      <c r="AP3698">
        <v>4500</v>
      </c>
      <c r="AQ3698" t="s">
        <v>129</v>
      </c>
      <c r="AR3698">
        <v>125</v>
      </c>
      <c r="AS3698">
        <v>14</v>
      </c>
      <c r="AT3698">
        <v>192</v>
      </c>
      <c r="BB3698">
        <v>1200</v>
      </c>
      <c r="BC3698">
        <v>1</v>
      </c>
      <c r="BD3698" t="str">
        <f t="shared" si="1342"/>
        <v xml:space="preserve">N887QR  </v>
      </c>
      <c r="BE3698">
        <v>1</v>
      </c>
      <c r="BG3698">
        <v>0</v>
      </c>
      <c r="BH3698">
        <v>0</v>
      </c>
      <c r="BI3698">
        <v>0</v>
      </c>
      <c r="BJ3698">
        <v>4375</v>
      </c>
      <c r="BK3698">
        <v>-125</v>
      </c>
      <c r="BL3698" t="s">
        <v>163</v>
      </c>
      <c r="BM3698">
        <v>1</v>
      </c>
      <c r="BN3698">
        <v>1</v>
      </c>
      <c r="BO3698">
        <v>1</v>
      </c>
      <c r="BP3698">
        <v>0</v>
      </c>
      <c r="BS3698">
        <v>0</v>
      </c>
      <c r="BT3698">
        <v>0</v>
      </c>
      <c r="BU3698">
        <v>0</v>
      </c>
      <c r="CE3698" t="str">
        <f t="shared" si="1360"/>
        <v>19:35:30.352</v>
      </c>
      <c r="CF3698">
        <v>351578924</v>
      </c>
      <c r="CS3698">
        <v>0</v>
      </c>
      <c r="CT3698">
        <v>2</v>
      </c>
      <c r="CU3698">
        <v>0</v>
      </c>
      <c r="CV3698">
        <v>2</v>
      </c>
      <c r="CW3698">
        <v>0</v>
      </c>
      <c r="CX3698">
        <v>5</v>
      </c>
      <c r="CY3698">
        <v>7</v>
      </c>
      <c r="CZ3698" t="s">
        <v>131</v>
      </c>
      <c r="DA3698">
        <v>286</v>
      </c>
      <c r="DB3698">
        <v>0</v>
      </c>
      <c r="DC3698" t="s">
        <v>132</v>
      </c>
      <c r="DD3698" t="s">
        <v>133</v>
      </c>
      <c r="DG3698">
        <v>887998</v>
      </c>
      <c r="DI3698">
        <v>1</v>
      </c>
      <c r="DJ3698">
        <v>0</v>
      </c>
      <c r="DK3698">
        <v>1</v>
      </c>
      <c r="DL3698">
        <v>0</v>
      </c>
      <c r="DM3698">
        <v>0</v>
      </c>
      <c r="DN3698">
        <v>1</v>
      </c>
      <c r="DO3698">
        <v>0</v>
      </c>
      <c r="DP3698">
        <v>0</v>
      </c>
      <c r="DQ3698">
        <v>0</v>
      </c>
      <c r="DR3698">
        <v>0</v>
      </c>
      <c r="DS3698">
        <v>0</v>
      </c>
    </row>
    <row r="3699" spans="1:123" x14ac:dyDescent="0.3">
      <c r="A3699" t="str">
        <f t="shared" si="1358"/>
        <v>10/04/2022 19:35:30.605</v>
      </c>
      <c r="C3699" t="str">
        <f t="shared" si="1357"/>
        <v>FFDFD3C0</v>
      </c>
      <c r="D3699" t="s">
        <v>123</v>
      </c>
      <c r="E3699">
        <v>7</v>
      </c>
      <c r="F3699">
        <v>2007</v>
      </c>
      <c r="G3699" t="s">
        <v>124</v>
      </c>
      <c r="J3699" t="s">
        <v>125</v>
      </c>
      <c r="K3699">
        <v>0</v>
      </c>
      <c r="L3699">
        <v>3</v>
      </c>
      <c r="M3699">
        <v>0</v>
      </c>
      <c r="N3699">
        <v>2</v>
      </c>
      <c r="O3699">
        <v>0</v>
      </c>
      <c r="P3699">
        <v>1</v>
      </c>
      <c r="Q3699">
        <v>0</v>
      </c>
      <c r="S3699" t="str">
        <f t="shared" si="1359"/>
        <v>19:35:30.000</v>
      </c>
      <c r="T3699" t="str">
        <f t="shared" si="1359"/>
        <v>19:35:30.000</v>
      </c>
      <c r="U3699" t="str">
        <f t="shared" si="1341"/>
        <v>AC3944</v>
      </c>
      <c r="V3699">
        <v>0</v>
      </c>
      <c r="W3699">
        <v>0</v>
      </c>
      <c r="X3699">
        <v>2</v>
      </c>
      <c r="Y3699">
        <v>0</v>
      </c>
      <c r="AA3699">
        <v>1</v>
      </c>
      <c r="AB3699">
        <v>8</v>
      </c>
      <c r="AC3699">
        <v>3</v>
      </c>
      <c r="AD3699">
        <v>0</v>
      </c>
      <c r="AE3699">
        <v>9</v>
      </c>
      <c r="AF3699" t="s">
        <v>138</v>
      </c>
      <c r="AG3699">
        <v>0</v>
      </c>
      <c r="AH3699">
        <v>3</v>
      </c>
      <c r="AI3699">
        <v>1</v>
      </c>
      <c r="AJ3699">
        <v>0</v>
      </c>
      <c r="AK3699" t="s">
        <v>1209</v>
      </c>
      <c r="AL3699">
        <v>32.737175999999998</v>
      </c>
      <c r="AM3699" t="s">
        <v>1210</v>
      </c>
      <c r="AN3699">
        <v>-116.71516699999999</v>
      </c>
      <c r="AO3699">
        <v>25</v>
      </c>
      <c r="AP3699">
        <v>4500</v>
      </c>
      <c r="AQ3699" t="s">
        <v>129</v>
      </c>
      <c r="AR3699">
        <v>125</v>
      </c>
      <c r="AS3699">
        <v>14</v>
      </c>
      <c r="AT3699">
        <v>192</v>
      </c>
      <c r="BB3699">
        <v>1200</v>
      </c>
      <c r="BC3699">
        <v>1</v>
      </c>
      <c r="BD3699" t="str">
        <f t="shared" si="1342"/>
        <v xml:space="preserve">N887QR  </v>
      </c>
      <c r="BE3699">
        <v>1</v>
      </c>
      <c r="BG3699">
        <v>0</v>
      </c>
      <c r="BH3699">
        <v>0</v>
      </c>
      <c r="BI3699">
        <v>0</v>
      </c>
      <c r="BJ3699">
        <v>4375</v>
      </c>
      <c r="BK3699">
        <v>-125</v>
      </c>
      <c r="BL3699" t="s">
        <v>163</v>
      </c>
      <c r="BM3699">
        <v>1</v>
      </c>
      <c r="BN3699">
        <v>1</v>
      </c>
      <c r="BO3699">
        <v>1</v>
      </c>
      <c r="BP3699">
        <v>0</v>
      </c>
      <c r="BS3699">
        <v>0</v>
      </c>
      <c r="BT3699">
        <v>0</v>
      </c>
      <c r="BU3699">
        <v>0</v>
      </c>
      <c r="CE3699" t="str">
        <f t="shared" si="1360"/>
        <v>19:35:30.352</v>
      </c>
      <c r="CF3699">
        <v>351578924</v>
      </c>
      <c r="CS3699">
        <v>0</v>
      </c>
      <c r="CT3699">
        <v>2</v>
      </c>
      <c r="CU3699">
        <v>0</v>
      </c>
      <c r="CV3699">
        <v>2</v>
      </c>
      <c r="CW3699">
        <v>0</v>
      </c>
      <c r="CX3699">
        <v>5</v>
      </c>
      <c r="CY3699">
        <v>7</v>
      </c>
      <c r="CZ3699" t="s">
        <v>131</v>
      </c>
      <c r="DA3699">
        <v>286</v>
      </c>
      <c r="DB3699">
        <v>0</v>
      </c>
      <c r="DC3699" t="s">
        <v>132</v>
      </c>
      <c r="DD3699" t="s">
        <v>133</v>
      </c>
      <c r="DG3699">
        <v>887998</v>
      </c>
      <c r="DI3699">
        <v>1</v>
      </c>
      <c r="DJ3699">
        <v>0</v>
      </c>
      <c r="DK3699">
        <v>1</v>
      </c>
      <c r="DL3699">
        <v>0</v>
      </c>
      <c r="DM3699">
        <v>0</v>
      </c>
      <c r="DN3699">
        <v>1</v>
      </c>
      <c r="DO3699">
        <v>0</v>
      </c>
      <c r="DP3699">
        <v>0</v>
      </c>
      <c r="DQ3699">
        <v>0</v>
      </c>
      <c r="DR3699">
        <v>0</v>
      </c>
      <c r="DS3699">
        <v>0</v>
      </c>
    </row>
    <row r="3700" spans="1:123" x14ac:dyDescent="0.3">
      <c r="A3700" t="str">
        <f t="shared" si="1358"/>
        <v>10/04/2022 19:35:30.605</v>
      </c>
      <c r="C3700" t="str">
        <f t="shared" si="1357"/>
        <v>FFDFD3C0</v>
      </c>
      <c r="D3700" t="s">
        <v>136</v>
      </c>
      <c r="E3700">
        <v>8</v>
      </c>
      <c r="H3700">
        <v>225</v>
      </c>
      <c r="I3700" t="s">
        <v>137</v>
      </c>
      <c r="J3700" t="s">
        <v>138</v>
      </c>
      <c r="K3700">
        <v>0</v>
      </c>
      <c r="L3700">
        <v>3</v>
      </c>
      <c r="M3700">
        <v>0</v>
      </c>
      <c r="N3700">
        <v>2</v>
      </c>
      <c r="O3700">
        <v>0</v>
      </c>
      <c r="P3700">
        <v>1</v>
      </c>
      <c r="Q3700">
        <v>0</v>
      </c>
      <c r="S3700" t="str">
        <f t="shared" si="1359"/>
        <v>19:35:30.000</v>
      </c>
      <c r="T3700" t="str">
        <f t="shared" si="1359"/>
        <v>19:35:30.000</v>
      </c>
      <c r="U3700" t="str">
        <f t="shared" si="1341"/>
        <v>AC3944</v>
      </c>
      <c r="V3700">
        <v>0</v>
      </c>
      <c r="W3700">
        <v>0</v>
      </c>
      <c r="X3700">
        <v>2</v>
      </c>
      <c r="Y3700">
        <v>0</v>
      </c>
      <c r="AA3700">
        <v>1</v>
      </c>
      <c r="AB3700">
        <v>8</v>
      </c>
      <c r="AC3700">
        <v>3</v>
      </c>
      <c r="AD3700">
        <v>0</v>
      </c>
      <c r="AE3700">
        <v>9</v>
      </c>
      <c r="AF3700" t="s">
        <v>138</v>
      </c>
      <c r="AG3700">
        <v>0</v>
      </c>
      <c r="AH3700">
        <v>3</v>
      </c>
      <c r="AI3700">
        <v>1</v>
      </c>
      <c r="AJ3700">
        <v>0</v>
      </c>
      <c r="AK3700" t="s">
        <v>1209</v>
      </c>
      <c r="AL3700">
        <v>32.737175999999998</v>
      </c>
      <c r="AM3700" t="s">
        <v>1210</v>
      </c>
      <c r="AN3700">
        <v>-116.71516699999999</v>
      </c>
      <c r="AO3700">
        <v>25</v>
      </c>
      <c r="AP3700">
        <v>4500</v>
      </c>
      <c r="AQ3700" t="s">
        <v>129</v>
      </c>
      <c r="AR3700">
        <v>125</v>
      </c>
      <c r="AS3700">
        <v>14</v>
      </c>
      <c r="AT3700">
        <v>192</v>
      </c>
      <c r="BB3700">
        <v>1200</v>
      </c>
      <c r="BC3700">
        <v>1</v>
      </c>
      <c r="BD3700" t="str">
        <f t="shared" si="1342"/>
        <v xml:space="preserve">N887QR  </v>
      </c>
      <c r="BE3700">
        <v>1</v>
      </c>
      <c r="BG3700">
        <v>0</v>
      </c>
      <c r="BH3700">
        <v>0</v>
      </c>
      <c r="BI3700">
        <v>0</v>
      </c>
      <c r="BJ3700">
        <v>4375</v>
      </c>
      <c r="BK3700">
        <v>-125</v>
      </c>
      <c r="BL3700" t="s">
        <v>163</v>
      </c>
      <c r="BM3700">
        <v>1</v>
      </c>
      <c r="BN3700">
        <v>1</v>
      </c>
      <c r="BO3700">
        <v>1</v>
      </c>
      <c r="BP3700">
        <v>0</v>
      </c>
      <c r="BS3700">
        <v>0</v>
      </c>
      <c r="BT3700">
        <v>0</v>
      </c>
      <c r="BU3700">
        <v>0</v>
      </c>
      <c r="CE3700" t="str">
        <f t="shared" si="1360"/>
        <v>19:35:30.352</v>
      </c>
      <c r="CF3700">
        <v>351578924</v>
      </c>
      <c r="CS3700">
        <v>0</v>
      </c>
      <c r="CT3700">
        <v>2</v>
      </c>
      <c r="CU3700">
        <v>0</v>
      </c>
      <c r="CV3700">
        <v>2</v>
      </c>
      <c r="CW3700">
        <v>0</v>
      </c>
      <c r="CX3700">
        <v>5</v>
      </c>
      <c r="CY3700">
        <v>7</v>
      </c>
      <c r="CZ3700" t="s">
        <v>131</v>
      </c>
      <c r="DA3700">
        <v>286</v>
      </c>
      <c r="DB3700">
        <v>0</v>
      </c>
      <c r="DC3700" t="s">
        <v>132</v>
      </c>
      <c r="DD3700" t="s">
        <v>133</v>
      </c>
      <c r="DG3700">
        <v>887998</v>
      </c>
      <c r="DI3700">
        <v>1</v>
      </c>
      <c r="DJ3700">
        <v>0</v>
      </c>
      <c r="DK3700">
        <v>1</v>
      </c>
      <c r="DL3700">
        <v>0</v>
      </c>
      <c r="DM3700">
        <v>0</v>
      </c>
      <c r="DN3700">
        <v>1</v>
      </c>
      <c r="DO3700">
        <v>0</v>
      </c>
      <c r="DP3700">
        <v>0</v>
      </c>
      <c r="DQ3700">
        <v>0</v>
      </c>
      <c r="DR3700">
        <v>0</v>
      </c>
      <c r="DS3700">
        <v>0</v>
      </c>
    </row>
    <row r="3701" spans="1:123" x14ac:dyDescent="0.3">
      <c r="A3701" t="str">
        <f t="shared" si="1358"/>
        <v>10/04/2022 19:35:30.605</v>
      </c>
      <c r="C3701" t="str">
        <f t="shared" si="1357"/>
        <v>FFDFD3C0</v>
      </c>
      <c r="D3701" t="s">
        <v>147</v>
      </c>
      <c r="E3701">
        <v>3</v>
      </c>
      <c r="H3701">
        <v>166</v>
      </c>
      <c r="I3701" t="s">
        <v>144</v>
      </c>
      <c r="J3701" t="s">
        <v>148</v>
      </c>
      <c r="K3701">
        <v>0</v>
      </c>
      <c r="L3701">
        <v>3</v>
      </c>
      <c r="M3701">
        <v>0</v>
      </c>
      <c r="N3701">
        <v>2</v>
      </c>
      <c r="O3701">
        <v>0</v>
      </c>
      <c r="P3701">
        <v>1</v>
      </c>
      <c r="Q3701">
        <v>0</v>
      </c>
      <c r="S3701" t="str">
        <f t="shared" si="1359"/>
        <v>19:35:30.000</v>
      </c>
      <c r="T3701" t="str">
        <f t="shared" si="1359"/>
        <v>19:35:30.000</v>
      </c>
      <c r="U3701" t="str">
        <f t="shared" si="1341"/>
        <v>AC3944</v>
      </c>
      <c r="V3701">
        <v>0</v>
      </c>
      <c r="W3701">
        <v>0</v>
      </c>
      <c r="X3701">
        <v>2</v>
      </c>
      <c r="Y3701">
        <v>0</v>
      </c>
      <c r="AA3701">
        <v>1</v>
      </c>
      <c r="AB3701">
        <v>8</v>
      </c>
      <c r="AC3701">
        <v>3</v>
      </c>
      <c r="AD3701">
        <v>0</v>
      </c>
      <c r="AE3701">
        <v>9</v>
      </c>
      <c r="AF3701" t="s">
        <v>138</v>
      </c>
      <c r="AG3701">
        <v>0</v>
      </c>
      <c r="AH3701">
        <v>3</v>
      </c>
      <c r="AI3701">
        <v>1</v>
      </c>
      <c r="AJ3701">
        <v>0</v>
      </c>
      <c r="AK3701" t="s">
        <v>1209</v>
      </c>
      <c r="AL3701">
        <v>32.737175999999998</v>
      </c>
      <c r="AM3701" t="s">
        <v>1210</v>
      </c>
      <c r="AN3701">
        <v>-116.71516699999999</v>
      </c>
      <c r="AO3701">
        <v>25</v>
      </c>
      <c r="AP3701">
        <v>4500</v>
      </c>
      <c r="AQ3701" t="s">
        <v>129</v>
      </c>
      <c r="AR3701">
        <v>125</v>
      </c>
      <c r="AS3701">
        <v>14</v>
      </c>
      <c r="AT3701">
        <v>192</v>
      </c>
      <c r="BB3701">
        <v>1200</v>
      </c>
      <c r="BC3701">
        <v>1</v>
      </c>
      <c r="BD3701" t="str">
        <f t="shared" si="1342"/>
        <v xml:space="preserve">N887QR  </v>
      </c>
      <c r="BE3701">
        <v>1</v>
      </c>
      <c r="BG3701">
        <v>0</v>
      </c>
      <c r="BH3701">
        <v>0</v>
      </c>
      <c r="BI3701">
        <v>0</v>
      </c>
      <c r="BJ3701">
        <v>4375</v>
      </c>
      <c r="BK3701">
        <v>-125</v>
      </c>
      <c r="BL3701" t="s">
        <v>163</v>
      </c>
      <c r="BM3701">
        <v>1</v>
      </c>
      <c r="BN3701">
        <v>1</v>
      </c>
      <c r="BO3701">
        <v>1</v>
      </c>
      <c r="BP3701">
        <v>0</v>
      </c>
      <c r="BS3701">
        <v>0</v>
      </c>
      <c r="BT3701">
        <v>0</v>
      </c>
      <c r="BU3701">
        <v>0</v>
      </c>
      <c r="CE3701" t="str">
        <f t="shared" si="1360"/>
        <v>19:35:30.352</v>
      </c>
      <c r="CF3701">
        <v>351578924</v>
      </c>
      <c r="CS3701">
        <v>0</v>
      </c>
      <c r="CT3701">
        <v>2</v>
      </c>
      <c r="CU3701">
        <v>0</v>
      </c>
      <c r="CV3701">
        <v>2</v>
      </c>
      <c r="CW3701">
        <v>0</v>
      </c>
      <c r="CX3701">
        <v>5</v>
      </c>
      <c r="CY3701">
        <v>7</v>
      </c>
      <c r="CZ3701" t="s">
        <v>131</v>
      </c>
      <c r="DA3701">
        <v>286</v>
      </c>
      <c r="DB3701">
        <v>0</v>
      </c>
      <c r="DC3701" t="s">
        <v>132</v>
      </c>
      <c r="DD3701" t="s">
        <v>133</v>
      </c>
      <c r="DG3701">
        <v>887998</v>
      </c>
      <c r="DI3701">
        <v>1</v>
      </c>
      <c r="DJ3701">
        <v>0</v>
      </c>
      <c r="DK3701">
        <v>1</v>
      </c>
      <c r="DL3701">
        <v>0</v>
      </c>
      <c r="DM3701">
        <v>0</v>
      </c>
      <c r="DN3701">
        <v>1</v>
      </c>
      <c r="DO3701">
        <v>0</v>
      </c>
      <c r="DP3701">
        <v>0</v>
      </c>
      <c r="DQ3701">
        <v>0</v>
      </c>
      <c r="DR3701">
        <v>0</v>
      </c>
      <c r="DS3701">
        <v>0</v>
      </c>
    </row>
    <row r="3702" spans="1:123" x14ac:dyDescent="0.3">
      <c r="A3702" t="str">
        <f t="shared" si="1358"/>
        <v>10/04/2022 19:35:30.605</v>
      </c>
      <c r="C3702" t="str">
        <f t="shared" si="1357"/>
        <v>FFDFD3C0</v>
      </c>
      <c r="D3702" t="s">
        <v>141</v>
      </c>
      <c r="E3702">
        <v>4</v>
      </c>
      <c r="H3702">
        <v>4</v>
      </c>
      <c r="I3702" t="s">
        <v>142</v>
      </c>
      <c r="J3702" t="s">
        <v>138</v>
      </c>
      <c r="K3702">
        <v>0</v>
      </c>
      <c r="L3702">
        <v>3</v>
      </c>
      <c r="M3702">
        <v>0</v>
      </c>
      <c r="N3702">
        <v>2</v>
      </c>
      <c r="O3702">
        <v>0</v>
      </c>
      <c r="P3702">
        <v>1</v>
      </c>
      <c r="Q3702">
        <v>0</v>
      </c>
      <c r="S3702" t="str">
        <f t="shared" si="1359"/>
        <v>19:35:30.000</v>
      </c>
      <c r="T3702" t="str">
        <f t="shared" si="1359"/>
        <v>19:35:30.000</v>
      </c>
      <c r="U3702" t="str">
        <f t="shared" si="1341"/>
        <v>AC3944</v>
      </c>
      <c r="V3702">
        <v>0</v>
      </c>
      <c r="W3702">
        <v>0</v>
      </c>
      <c r="X3702">
        <v>2</v>
      </c>
      <c r="Y3702">
        <v>0</v>
      </c>
      <c r="AA3702">
        <v>1</v>
      </c>
      <c r="AB3702">
        <v>8</v>
      </c>
      <c r="AC3702">
        <v>3</v>
      </c>
      <c r="AD3702">
        <v>0</v>
      </c>
      <c r="AE3702">
        <v>9</v>
      </c>
      <c r="AF3702" t="s">
        <v>138</v>
      </c>
      <c r="AG3702">
        <v>0</v>
      </c>
      <c r="AH3702">
        <v>3</v>
      </c>
      <c r="AI3702">
        <v>1</v>
      </c>
      <c r="AJ3702">
        <v>0</v>
      </c>
      <c r="AK3702" t="s">
        <v>1209</v>
      </c>
      <c r="AL3702">
        <v>32.737175999999998</v>
      </c>
      <c r="AM3702" t="s">
        <v>1210</v>
      </c>
      <c r="AN3702">
        <v>-116.71516699999999</v>
      </c>
      <c r="AO3702">
        <v>25</v>
      </c>
      <c r="AP3702">
        <v>4500</v>
      </c>
      <c r="AQ3702" t="s">
        <v>129</v>
      </c>
      <c r="AR3702">
        <v>125</v>
      </c>
      <c r="AS3702">
        <v>14</v>
      </c>
      <c r="AT3702">
        <v>192</v>
      </c>
      <c r="BB3702">
        <v>1200</v>
      </c>
      <c r="BC3702">
        <v>1</v>
      </c>
      <c r="BD3702" t="str">
        <f t="shared" si="1342"/>
        <v xml:space="preserve">N887QR  </v>
      </c>
      <c r="BE3702">
        <v>1</v>
      </c>
      <c r="BG3702">
        <v>0</v>
      </c>
      <c r="BH3702">
        <v>0</v>
      </c>
      <c r="BI3702">
        <v>0</v>
      </c>
      <c r="BJ3702">
        <v>4375</v>
      </c>
      <c r="BK3702">
        <v>-125</v>
      </c>
      <c r="BL3702" t="s">
        <v>163</v>
      </c>
      <c r="BM3702">
        <v>1</v>
      </c>
      <c r="BN3702">
        <v>1</v>
      </c>
      <c r="BO3702">
        <v>1</v>
      </c>
      <c r="BP3702">
        <v>0</v>
      </c>
      <c r="BS3702">
        <v>0</v>
      </c>
      <c r="BT3702">
        <v>0</v>
      </c>
      <c r="BU3702">
        <v>0</v>
      </c>
      <c r="CE3702" t="str">
        <f t="shared" si="1360"/>
        <v>19:35:30.352</v>
      </c>
      <c r="CF3702">
        <v>351578924</v>
      </c>
      <c r="CS3702">
        <v>0</v>
      </c>
      <c r="CT3702">
        <v>2</v>
      </c>
      <c r="CU3702">
        <v>0</v>
      </c>
      <c r="CV3702">
        <v>2</v>
      </c>
      <c r="CW3702">
        <v>0</v>
      </c>
      <c r="CX3702">
        <v>5</v>
      </c>
      <c r="CY3702">
        <v>7</v>
      </c>
      <c r="CZ3702" t="s">
        <v>131</v>
      </c>
      <c r="DA3702">
        <v>286</v>
      </c>
      <c r="DB3702">
        <v>0</v>
      </c>
      <c r="DC3702" t="s">
        <v>132</v>
      </c>
      <c r="DD3702" t="s">
        <v>133</v>
      </c>
      <c r="DG3702">
        <v>887998</v>
      </c>
      <c r="DI3702">
        <v>1</v>
      </c>
      <c r="DJ3702">
        <v>0</v>
      </c>
      <c r="DK3702">
        <v>1</v>
      </c>
      <c r="DL3702">
        <v>0</v>
      </c>
      <c r="DM3702">
        <v>0</v>
      </c>
      <c r="DN3702">
        <v>1</v>
      </c>
      <c r="DO3702">
        <v>0</v>
      </c>
      <c r="DP3702">
        <v>0</v>
      </c>
      <c r="DQ3702">
        <v>0</v>
      </c>
      <c r="DR3702">
        <v>0</v>
      </c>
      <c r="DS3702">
        <v>0</v>
      </c>
    </row>
    <row r="3703" spans="1:123" x14ac:dyDescent="0.3">
      <c r="A3703" t="str">
        <f t="shared" si="1358"/>
        <v>10/04/2022 19:35:30.605</v>
      </c>
      <c r="C3703" t="str">
        <f t="shared" si="1357"/>
        <v>FFDFD3C0</v>
      </c>
      <c r="D3703" t="s">
        <v>134</v>
      </c>
      <c r="E3703">
        <v>15</v>
      </c>
      <c r="J3703" t="s">
        <v>135</v>
      </c>
      <c r="K3703">
        <v>0</v>
      </c>
      <c r="L3703">
        <v>3</v>
      </c>
      <c r="M3703">
        <v>0</v>
      </c>
      <c r="N3703">
        <v>2</v>
      </c>
      <c r="O3703">
        <v>0</v>
      </c>
      <c r="P3703">
        <v>1</v>
      </c>
      <c r="Q3703">
        <v>0</v>
      </c>
      <c r="S3703" t="str">
        <f t="shared" si="1359"/>
        <v>19:35:30.000</v>
      </c>
      <c r="T3703" t="str">
        <f t="shared" si="1359"/>
        <v>19:35:30.000</v>
      </c>
      <c r="U3703" t="str">
        <f t="shared" si="1341"/>
        <v>AC3944</v>
      </c>
      <c r="V3703">
        <v>0</v>
      </c>
      <c r="W3703">
        <v>0</v>
      </c>
      <c r="X3703">
        <v>2</v>
      </c>
      <c r="Y3703">
        <v>0</v>
      </c>
      <c r="AA3703">
        <v>1</v>
      </c>
      <c r="AB3703">
        <v>8</v>
      </c>
      <c r="AC3703">
        <v>3</v>
      </c>
      <c r="AD3703">
        <v>0</v>
      </c>
      <c r="AE3703">
        <v>9</v>
      </c>
      <c r="AF3703" t="s">
        <v>138</v>
      </c>
      <c r="AG3703">
        <v>0</v>
      </c>
      <c r="AH3703">
        <v>3</v>
      </c>
      <c r="AI3703">
        <v>1</v>
      </c>
      <c r="AJ3703">
        <v>0</v>
      </c>
      <c r="AK3703" t="s">
        <v>1209</v>
      </c>
      <c r="AL3703">
        <v>32.737175999999998</v>
      </c>
      <c r="AM3703" t="s">
        <v>1210</v>
      </c>
      <c r="AN3703">
        <v>-116.71516699999999</v>
      </c>
      <c r="AO3703">
        <v>25</v>
      </c>
      <c r="AP3703">
        <v>4500</v>
      </c>
      <c r="AQ3703" t="s">
        <v>129</v>
      </c>
      <c r="AR3703">
        <v>125</v>
      </c>
      <c r="AS3703">
        <v>14</v>
      </c>
      <c r="AT3703">
        <v>192</v>
      </c>
      <c r="BB3703">
        <v>1200</v>
      </c>
      <c r="BC3703">
        <v>1</v>
      </c>
      <c r="BD3703" t="str">
        <f t="shared" si="1342"/>
        <v xml:space="preserve">N887QR  </v>
      </c>
      <c r="BE3703">
        <v>1</v>
      </c>
      <c r="BG3703">
        <v>0</v>
      </c>
      <c r="BH3703">
        <v>0</v>
      </c>
      <c r="BI3703">
        <v>0</v>
      </c>
      <c r="BJ3703">
        <v>4375</v>
      </c>
      <c r="BK3703">
        <v>-125</v>
      </c>
      <c r="BL3703" t="s">
        <v>163</v>
      </c>
      <c r="BM3703">
        <v>1</v>
      </c>
      <c r="BN3703">
        <v>1</v>
      </c>
      <c r="BO3703">
        <v>1</v>
      </c>
      <c r="BP3703">
        <v>0</v>
      </c>
      <c r="BS3703">
        <v>0</v>
      </c>
      <c r="BT3703">
        <v>0</v>
      </c>
      <c r="BU3703">
        <v>0</v>
      </c>
      <c r="CE3703" t="str">
        <f t="shared" si="1360"/>
        <v>19:35:30.352</v>
      </c>
      <c r="CF3703">
        <v>351578924</v>
      </c>
      <c r="CS3703">
        <v>0</v>
      </c>
      <c r="CT3703">
        <v>2</v>
      </c>
      <c r="CU3703">
        <v>0</v>
      </c>
      <c r="CV3703">
        <v>2</v>
      </c>
      <c r="CW3703">
        <v>0</v>
      </c>
      <c r="CX3703">
        <v>5</v>
      </c>
      <c r="CY3703">
        <v>7</v>
      </c>
      <c r="CZ3703" t="s">
        <v>131</v>
      </c>
      <c r="DA3703">
        <v>286</v>
      </c>
      <c r="DB3703">
        <v>0</v>
      </c>
      <c r="DC3703" t="s">
        <v>132</v>
      </c>
      <c r="DD3703" t="s">
        <v>133</v>
      </c>
      <c r="DG3703">
        <v>887998</v>
      </c>
      <c r="DI3703">
        <v>1</v>
      </c>
      <c r="DJ3703">
        <v>0</v>
      </c>
      <c r="DK3703">
        <v>1</v>
      </c>
      <c r="DL3703">
        <v>0</v>
      </c>
      <c r="DM3703">
        <v>0</v>
      </c>
      <c r="DN3703">
        <v>1</v>
      </c>
      <c r="DO3703">
        <v>0</v>
      </c>
      <c r="DP3703">
        <v>0</v>
      </c>
      <c r="DQ3703">
        <v>0</v>
      </c>
      <c r="DR3703">
        <v>0</v>
      </c>
      <c r="DS3703">
        <v>0</v>
      </c>
    </row>
    <row r="3704" spans="1:123" x14ac:dyDescent="0.3">
      <c r="A3704" t="str">
        <f t="shared" ref="A3704:A3709" si="1361">"10/04/2022 19:35:31.370"</f>
        <v>10/04/2022 19:35:31.370</v>
      </c>
      <c r="C3704" t="str">
        <f t="shared" si="1357"/>
        <v>FFDFD3C0</v>
      </c>
      <c r="D3704" t="s">
        <v>136</v>
      </c>
      <c r="E3704">
        <v>8</v>
      </c>
      <c r="H3704">
        <v>225</v>
      </c>
      <c r="I3704" t="s">
        <v>137</v>
      </c>
      <c r="J3704" t="s">
        <v>138</v>
      </c>
      <c r="K3704">
        <v>0</v>
      </c>
      <c r="L3704">
        <v>3</v>
      </c>
      <c r="M3704">
        <v>0</v>
      </c>
      <c r="N3704">
        <v>2</v>
      </c>
      <c r="O3704">
        <v>0</v>
      </c>
      <c r="P3704">
        <v>1</v>
      </c>
      <c r="Q3704">
        <v>0</v>
      </c>
      <c r="S3704" t="str">
        <f t="shared" ref="S3704:T3709" si="1362">"19:35:31.000"</f>
        <v>19:35:31.000</v>
      </c>
      <c r="T3704" t="str">
        <f t="shared" si="1362"/>
        <v>19:35:31.000</v>
      </c>
      <c r="U3704" t="str">
        <f t="shared" si="1341"/>
        <v>AC3944</v>
      </c>
      <c r="V3704">
        <v>0</v>
      </c>
      <c r="W3704">
        <v>0</v>
      </c>
      <c r="X3704">
        <v>2</v>
      </c>
      <c r="Y3704">
        <v>0</v>
      </c>
      <c r="AA3704">
        <v>1</v>
      </c>
      <c r="AB3704">
        <v>8</v>
      </c>
      <c r="AC3704">
        <v>3</v>
      </c>
      <c r="AD3704">
        <v>0</v>
      </c>
      <c r="AE3704">
        <v>9</v>
      </c>
      <c r="AF3704" t="s">
        <v>138</v>
      </c>
      <c r="AG3704">
        <v>0</v>
      </c>
      <c r="AH3704">
        <v>3</v>
      </c>
      <c r="AI3704">
        <v>1</v>
      </c>
      <c r="AJ3704">
        <v>0</v>
      </c>
      <c r="AK3704" t="s">
        <v>1211</v>
      </c>
      <c r="AL3704">
        <v>32.737240999999997</v>
      </c>
      <c r="AM3704" t="s">
        <v>1212</v>
      </c>
      <c r="AN3704">
        <v>-116.714501</v>
      </c>
      <c r="AO3704">
        <v>25</v>
      </c>
      <c r="AP3704">
        <v>4500</v>
      </c>
      <c r="AQ3704" t="s">
        <v>129</v>
      </c>
      <c r="AR3704">
        <v>125</v>
      </c>
      <c r="AS3704">
        <v>14</v>
      </c>
      <c r="AT3704">
        <v>192</v>
      </c>
      <c r="BB3704">
        <v>1200</v>
      </c>
      <c r="BC3704">
        <v>1</v>
      </c>
      <c r="BD3704" t="str">
        <f t="shared" si="1342"/>
        <v xml:space="preserve">N887QR  </v>
      </c>
      <c r="BE3704">
        <v>1</v>
      </c>
      <c r="BG3704">
        <v>0</v>
      </c>
      <c r="BH3704">
        <v>0</v>
      </c>
      <c r="BI3704">
        <v>0</v>
      </c>
      <c r="BJ3704">
        <v>4375</v>
      </c>
      <c r="BK3704">
        <v>-125</v>
      </c>
      <c r="BL3704" t="s">
        <v>163</v>
      </c>
      <c r="BM3704">
        <v>1</v>
      </c>
      <c r="BN3704">
        <v>1</v>
      </c>
      <c r="BO3704">
        <v>1</v>
      </c>
      <c r="BP3704">
        <v>0</v>
      </c>
      <c r="BS3704">
        <v>0</v>
      </c>
      <c r="BT3704">
        <v>0</v>
      </c>
      <c r="BU3704">
        <v>0</v>
      </c>
      <c r="CE3704" t="str">
        <f t="shared" ref="CE3704:CE3709" si="1363">"19:35:31.040"</f>
        <v>19:35:31.040</v>
      </c>
      <c r="CF3704">
        <v>40161932</v>
      </c>
      <c r="CS3704">
        <v>0</v>
      </c>
      <c r="CT3704">
        <v>2</v>
      </c>
      <c r="CU3704">
        <v>0</v>
      </c>
      <c r="CV3704">
        <v>2</v>
      </c>
      <c r="CW3704">
        <v>0</v>
      </c>
      <c r="CX3704">
        <v>0</v>
      </c>
      <c r="CY3704">
        <v>7</v>
      </c>
      <c r="CZ3704" t="s">
        <v>131</v>
      </c>
      <c r="DA3704">
        <v>745</v>
      </c>
      <c r="DB3704">
        <v>0</v>
      </c>
      <c r="DC3704" t="s">
        <v>1199</v>
      </c>
      <c r="DD3704" t="s">
        <v>1200</v>
      </c>
      <c r="DG3704">
        <v>9484454</v>
      </c>
      <c r="DI3704">
        <v>1</v>
      </c>
      <c r="DJ3704">
        <v>0</v>
      </c>
      <c r="DK3704">
        <v>0</v>
      </c>
      <c r="DL3704">
        <v>0</v>
      </c>
      <c r="DM3704">
        <v>0</v>
      </c>
      <c r="DN3704">
        <v>1</v>
      </c>
      <c r="DO3704">
        <v>0</v>
      </c>
      <c r="DP3704">
        <v>0</v>
      </c>
      <c r="DQ3704">
        <v>0</v>
      </c>
      <c r="DR3704">
        <v>0</v>
      </c>
      <c r="DS3704">
        <v>0</v>
      </c>
    </row>
    <row r="3705" spans="1:123" x14ac:dyDescent="0.3">
      <c r="A3705" t="str">
        <f t="shared" si="1361"/>
        <v>10/04/2022 19:35:31.370</v>
      </c>
      <c r="C3705" t="str">
        <f t="shared" si="1357"/>
        <v>FFDFD3C0</v>
      </c>
      <c r="D3705" t="s">
        <v>143</v>
      </c>
      <c r="E3705">
        <v>20</v>
      </c>
      <c r="F3705">
        <v>1020</v>
      </c>
      <c r="G3705" t="s">
        <v>144</v>
      </c>
      <c r="J3705" t="s">
        <v>145</v>
      </c>
      <c r="K3705">
        <v>0</v>
      </c>
      <c r="L3705">
        <v>3</v>
      </c>
      <c r="M3705">
        <v>0</v>
      </c>
      <c r="N3705">
        <v>2</v>
      </c>
      <c r="O3705">
        <v>0</v>
      </c>
      <c r="P3705">
        <v>1</v>
      </c>
      <c r="Q3705">
        <v>0</v>
      </c>
      <c r="S3705" t="str">
        <f t="shared" si="1362"/>
        <v>19:35:31.000</v>
      </c>
      <c r="T3705" t="str">
        <f t="shared" si="1362"/>
        <v>19:35:31.000</v>
      </c>
      <c r="U3705" t="str">
        <f t="shared" si="1341"/>
        <v>AC3944</v>
      </c>
      <c r="V3705">
        <v>0</v>
      </c>
      <c r="W3705">
        <v>0</v>
      </c>
      <c r="X3705">
        <v>2</v>
      </c>
      <c r="Y3705">
        <v>0</v>
      </c>
      <c r="AA3705">
        <v>1</v>
      </c>
      <c r="AB3705">
        <v>8</v>
      </c>
      <c r="AC3705">
        <v>3</v>
      </c>
      <c r="AD3705">
        <v>0</v>
      </c>
      <c r="AE3705">
        <v>9</v>
      </c>
      <c r="AF3705" t="s">
        <v>138</v>
      </c>
      <c r="AG3705">
        <v>0</v>
      </c>
      <c r="AH3705">
        <v>3</v>
      </c>
      <c r="AI3705">
        <v>1</v>
      </c>
      <c r="AJ3705">
        <v>0</v>
      </c>
      <c r="AK3705" t="s">
        <v>1211</v>
      </c>
      <c r="AL3705">
        <v>32.737240999999997</v>
      </c>
      <c r="AM3705" t="s">
        <v>1212</v>
      </c>
      <c r="AN3705">
        <v>-116.714501</v>
      </c>
      <c r="AO3705">
        <v>25</v>
      </c>
      <c r="AP3705">
        <v>4500</v>
      </c>
      <c r="AQ3705" t="s">
        <v>129</v>
      </c>
      <c r="AR3705">
        <v>125</v>
      </c>
      <c r="AS3705">
        <v>14</v>
      </c>
      <c r="AT3705">
        <v>192</v>
      </c>
      <c r="BB3705">
        <v>1200</v>
      </c>
      <c r="BC3705">
        <v>1</v>
      </c>
      <c r="BD3705" t="str">
        <f t="shared" si="1342"/>
        <v xml:space="preserve">N887QR  </v>
      </c>
      <c r="BE3705">
        <v>1</v>
      </c>
      <c r="BG3705">
        <v>0</v>
      </c>
      <c r="BH3705">
        <v>0</v>
      </c>
      <c r="BI3705">
        <v>0</v>
      </c>
      <c r="BJ3705">
        <v>4375</v>
      </c>
      <c r="BK3705">
        <v>-125</v>
      </c>
      <c r="BL3705" t="s">
        <v>163</v>
      </c>
      <c r="BM3705">
        <v>1</v>
      </c>
      <c r="BN3705">
        <v>1</v>
      </c>
      <c r="BO3705">
        <v>1</v>
      </c>
      <c r="BP3705">
        <v>0</v>
      </c>
      <c r="BS3705">
        <v>0</v>
      </c>
      <c r="BT3705">
        <v>0</v>
      </c>
      <c r="BU3705">
        <v>0</v>
      </c>
      <c r="CE3705" t="str">
        <f t="shared" si="1363"/>
        <v>19:35:31.040</v>
      </c>
      <c r="CF3705">
        <v>40161932</v>
      </c>
      <c r="CS3705">
        <v>0</v>
      </c>
      <c r="CT3705">
        <v>2</v>
      </c>
      <c r="CU3705">
        <v>0</v>
      </c>
      <c r="CV3705">
        <v>2</v>
      </c>
      <c r="CW3705">
        <v>0</v>
      </c>
      <c r="CX3705">
        <v>0</v>
      </c>
      <c r="CY3705">
        <v>7</v>
      </c>
      <c r="CZ3705" t="s">
        <v>131</v>
      </c>
      <c r="DA3705">
        <v>745</v>
      </c>
      <c r="DB3705">
        <v>0</v>
      </c>
      <c r="DC3705" t="s">
        <v>1199</v>
      </c>
      <c r="DD3705" t="s">
        <v>1200</v>
      </c>
      <c r="DG3705">
        <v>9484454</v>
      </c>
      <c r="DI3705">
        <v>1</v>
      </c>
      <c r="DJ3705">
        <v>0</v>
      </c>
      <c r="DK3705">
        <v>1</v>
      </c>
      <c r="DL3705">
        <v>0</v>
      </c>
      <c r="DM3705">
        <v>0</v>
      </c>
      <c r="DN3705">
        <v>1</v>
      </c>
      <c r="DO3705">
        <v>0</v>
      </c>
      <c r="DP3705">
        <v>0</v>
      </c>
      <c r="DQ3705">
        <v>0</v>
      </c>
      <c r="DR3705">
        <v>0</v>
      </c>
      <c r="DS3705">
        <v>0</v>
      </c>
    </row>
    <row r="3706" spans="1:123" x14ac:dyDescent="0.3">
      <c r="A3706" t="str">
        <f t="shared" si="1361"/>
        <v>10/04/2022 19:35:31.370</v>
      </c>
      <c r="C3706" t="str">
        <f t="shared" si="1357"/>
        <v>FFDFD3C0</v>
      </c>
      <c r="D3706" t="s">
        <v>134</v>
      </c>
      <c r="E3706">
        <v>15</v>
      </c>
      <c r="J3706" t="s">
        <v>135</v>
      </c>
      <c r="K3706">
        <v>0</v>
      </c>
      <c r="L3706">
        <v>3</v>
      </c>
      <c r="M3706">
        <v>0</v>
      </c>
      <c r="N3706">
        <v>2</v>
      </c>
      <c r="O3706">
        <v>0</v>
      </c>
      <c r="P3706">
        <v>1</v>
      </c>
      <c r="Q3706">
        <v>0</v>
      </c>
      <c r="S3706" t="str">
        <f t="shared" si="1362"/>
        <v>19:35:31.000</v>
      </c>
      <c r="T3706" t="str">
        <f t="shared" si="1362"/>
        <v>19:35:31.000</v>
      </c>
      <c r="U3706" t="str">
        <f t="shared" si="1341"/>
        <v>AC3944</v>
      </c>
      <c r="V3706">
        <v>0</v>
      </c>
      <c r="W3706">
        <v>0</v>
      </c>
      <c r="X3706">
        <v>2</v>
      </c>
      <c r="Y3706">
        <v>0</v>
      </c>
      <c r="AA3706">
        <v>1</v>
      </c>
      <c r="AB3706">
        <v>8</v>
      </c>
      <c r="AC3706">
        <v>3</v>
      </c>
      <c r="AD3706">
        <v>0</v>
      </c>
      <c r="AE3706">
        <v>9</v>
      </c>
      <c r="AF3706" t="s">
        <v>138</v>
      </c>
      <c r="AG3706">
        <v>0</v>
      </c>
      <c r="AH3706">
        <v>3</v>
      </c>
      <c r="AI3706">
        <v>1</v>
      </c>
      <c r="AJ3706">
        <v>0</v>
      </c>
      <c r="AK3706" t="s">
        <v>1211</v>
      </c>
      <c r="AL3706">
        <v>32.737240999999997</v>
      </c>
      <c r="AM3706" t="s">
        <v>1212</v>
      </c>
      <c r="AN3706">
        <v>-116.714501</v>
      </c>
      <c r="AO3706">
        <v>25</v>
      </c>
      <c r="AP3706">
        <v>4500</v>
      </c>
      <c r="AQ3706" t="s">
        <v>129</v>
      </c>
      <c r="AR3706">
        <v>125</v>
      </c>
      <c r="AS3706">
        <v>14</v>
      </c>
      <c r="AT3706">
        <v>192</v>
      </c>
      <c r="BB3706">
        <v>1200</v>
      </c>
      <c r="BC3706">
        <v>1</v>
      </c>
      <c r="BD3706" t="str">
        <f t="shared" si="1342"/>
        <v xml:space="preserve">N887QR  </v>
      </c>
      <c r="BE3706">
        <v>1</v>
      </c>
      <c r="BG3706">
        <v>0</v>
      </c>
      <c r="BH3706">
        <v>0</v>
      </c>
      <c r="BI3706">
        <v>0</v>
      </c>
      <c r="BJ3706">
        <v>4375</v>
      </c>
      <c r="BK3706">
        <v>-125</v>
      </c>
      <c r="BL3706" t="s">
        <v>163</v>
      </c>
      <c r="BM3706">
        <v>1</v>
      </c>
      <c r="BN3706">
        <v>1</v>
      </c>
      <c r="BO3706">
        <v>1</v>
      </c>
      <c r="BP3706">
        <v>0</v>
      </c>
      <c r="BS3706">
        <v>0</v>
      </c>
      <c r="BT3706">
        <v>0</v>
      </c>
      <c r="BU3706">
        <v>0</v>
      </c>
      <c r="CE3706" t="str">
        <f t="shared" si="1363"/>
        <v>19:35:31.040</v>
      </c>
      <c r="CF3706">
        <v>40161932</v>
      </c>
      <c r="CS3706">
        <v>0</v>
      </c>
      <c r="CT3706">
        <v>2</v>
      </c>
      <c r="CU3706">
        <v>0</v>
      </c>
      <c r="CV3706">
        <v>2</v>
      </c>
      <c r="CW3706">
        <v>0</v>
      </c>
      <c r="CX3706">
        <v>0</v>
      </c>
      <c r="CY3706">
        <v>7</v>
      </c>
      <c r="CZ3706" t="s">
        <v>131</v>
      </c>
      <c r="DA3706">
        <v>745</v>
      </c>
      <c r="DB3706">
        <v>0</v>
      </c>
      <c r="DC3706" t="s">
        <v>1199</v>
      </c>
      <c r="DD3706" t="s">
        <v>1200</v>
      </c>
      <c r="DG3706">
        <v>9484454</v>
      </c>
      <c r="DI3706">
        <v>1</v>
      </c>
      <c r="DJ3706">
        <v>0</v>
      </c>
      <c r="DK3706">
        <v>1</v>
      </c>
      <c r="DL3706">
        <v>0</v>
      </c>
      <c r="DM3706">
        <v>0</v>
      </c>
      <c r="DN3706">
        <v>1</v>
      </c>
      <c r="DO3706">
        <v>0</v>
      </c>
      <c r="DP3706">
        <v>0</v>
      </c>
      <c r="DQ3706">
        <v>0</v>
      </c>
      <c r="DR3706">
        <v>0</v>
      </c>
      <c r="DS3706">
        <v>0</v>
      </c>
    </row>
    <row r="3707" spans="1:123" x14ac:dyDescent="0.3">
      <c r="A3707" t="str">
        <f t="shared" si="1361"/>
        <v>10/04/2022 19:35:31.370</v>
      </c>
      <c r="C3707" t="str">
        <f t="shared" si="1357"/>
        <v>FFDFD3C0</v>
      </c>
      <c r="D3707" t="s">
        <v>141</v>
      </c>
      <c r="E3707">
        <v>4</v>
      </c>
      <c r="H3707">
        <v>4</v>
      </c>
      <c r="I3707" t="s">
        <v>142</v>
      </c>
      <c r="J3707" t="s">
        <v>138</v>
      </c>
      <c r="K3707">
        <v>0</v>
      </c>
      <c r="L3707">
        <v>3</v>
      </c>
      <c r="M3707">
        <v>0</v>
      </c>
      <c r="N3707">
        <v>2</v>
      </c>
      <c r="O3707">
        <v>0</v>
      </c>
      <c r="P3707">
        <v>1</v>
      </c>
      <c r="Q3707">
        <v>0</v>
      </c>
      <c r="S3707" t="str">
        <f t="shared" si="1362"/>
        <v>19:35:31.000</v>
      </c>
      <c r="T3707" t="str">
        <f t="shared" si="1362"/>
        <v>19:35:31.000</v>
      </c>
      <c r="U3707" t="str">
        <f t="shared" si="1341"/>
        <v>AC3944</v>
      </c>
      <c r="V3707">
        <v>0</v>
      </c>
      <c r="W3707">
        <v>0</v>
      </c>
      <c r="X3707">
        <v>2</v>
      </c>
      <c r="Y3707">
        <v>0</v>
      </c>
      <c r="AA3707">
        <v>1</v>
      </c>
      <c r="AB3707">
        <v>8</v>
      </c>
      <c r="AC3707">
        <v>3</v>
      </c>
      <c r="AD3707">
        <v>0</v>
      </c>
      <c r="AE3707">
        <v>9</v>
      </c>
      <c r="AF3707" t="s">
        <v>138</v>
      </c>
      <c r="AG3707">
        <v>0</v>
      </c>
      <c r="AH3707">
        <v>3</v>
      </c>
      <c r="AI3707">
        <v>1</v>
      </c>
      <c r="AJ3707">
        <v>0</v>
      </c>
      <c r="AK3707" t="s">
        <v>1211</v>
      </c>
      <c r="AL3707">
        <v>32.737240999999997</v>
      </c>
      <c r="AM3707" t="s">
        <v>1212</v>
      </c>
      <c r="AN3707">
        <v>-116.714501</v>
      </c>
      <c r="AO3707">
        <v>25</v>
      </c>
      <c r="AP3707">
        <v>4500</v>
      </c>
      <c r="AQ3707" t="s">
        <v>129</v>
      </c>
      <c r="AR3707">
        <v>125</v>
      </c>
      <c r="AS3707">
        <v>14</v>
      </c>
      <c r="AT3707">
        <v>192</v>
      </c>
      <c r="BB3707">
        <v>1200</v>
      </c>
      <c r="BC3707">
        <v>1</v>
      </c>
      <c r="BD3707" t="str">
        <f t="shared" si="1342"/>
        <v xml:space="preserve">N887QR  </v>
      </c>
      <c r="BE3707">
        <v>1</v>
      </c>
      <c r="BG3707">
        <v>0</v>
      </c>
      <c r="BH3707">
        <v>0</v>
      </c>
      <c r="BI3707">
        <v>0</v>
      </c>
      <c r="BJ3707">
        <v>4375</v>
      </c>
      <c r="BK3707">
        <v>-125</v>
      </c>
      <c r="BL3707" t="s">
        <v>163</v>
      </c>
      <c r="BM3707">
        <v>1</v>
      </c>
      <c r="BN3707">
        <v>1</v>
      </c>
      <c r="BO3707">
        <v>1</v>
      </c>
      <c r="BP3707">
        <v>0</v>
      </c>
      <c r="BS3707">
        <v>0</v>
      </c>
      <c r="BT3707">
        <v>0</v>
      </c>
      <c r="BU3707">
        <v>0</v>
      </c>
      <c r="CE3707" t="str">
        <f t="shared" si="1363"/>
        <v>19:35:31.040</v>
      </c>
      <c r="CF3707">
        <v>40161932</v>
      </c>
      <c r="CS3707">
        <v>0</v>
      </c>
      <c r="CT3707">
        <v>2</v>
      </c>
      <c r="CU3707">
        <v>0</v>
      </c>
      <c r="CV3707">
        <v>2</v>
      </c>
      <c r="CW3707">
        <v>0</v>
      </c>
      <c r="CX3707">
        <v>0</v>
      </c>
      <c r="CY3707">
        <v>7</v>
      </c>
      <c r="CZ3707" t="s">
        <v>131</v>
      </c>
      <c r="DA3707">
        <v>745</v>
      </c>
      <c r="DB3707">
        <v>0</v>
      </c>
      <c r="DC3707" t="s">
        <v>1199</v>
      </c>
      <c r="DD3707" t="s">
        <v>1200</v>
      </c>
      <c r="DG3707">
        <v>9484454</v>
      </c>
      <c r="DI3707">
        <v>1</v>
      </c>
      <c r="DJ3707">
        <v>0</v>
      </c>
      <c r="DK3707">
        <v>1</v>
      </c>
      <c r="DL3707">
        <v>0</v>
      </c>
      <c r="DM3707">
        <v>0</v>
      </c>
      <c r="DN3707">
        <v>1</v>
      </c>
      <c r="DO3707">
        <v>0</v>
      </c>
      <c r="DP3707">
        <v>0</v>
      </c>
      <c r="DQ3707">
        <v>0</v>
      </c>
      <c r="DR3707">
        <v>0</v>
      </c>
      <c r="DS3707">
        <v>0</v>
      </c>
    </row>
    <row r="3708" spans="1:123" x14ac:dyDescent="0.3">
      <c r="A3708" t="str">
        <f t="shared" si="1361"/>
        <v>10/04/2022 19:35:31.370</v>
      </c>
      <c r="C3708" t="str">
        <f t="shared" si="1357"/>
        <v>FFDFD3C0</v>
      </c>
      <c r="D3708" t="s">
        <v>123</v>
      </c>
      <c r="E3708">
        <v>7</v>
      </c>
      <c r="F3708">
        <v>2007</v>
      </c>
      <c r="G3708" t="s">
        <v>124</v>
      </c>
      <c r="J3708" t="s">
        <v>125</v>
      </c>
      <c r="K3708">
        <v>0</v>
      </c>
      <c r="L3708">
        <v>3</v>
      </c>
      <c r="M3708">
        <v>0</v>
      </c>
      <c r="N3708">
        <v>2</v>
      </c>
      <c r="O3708">
        <v>0</v>
      </c>
      <c r="P3708">
        <v>1</v>
      </c>
      <c r="Q3708">
        <v>0</v>
      </c>
      <c r="S3708" t="str">
        <f t="shared" si="1362"/>
        <v>19:35:31.000</v>
      </c>
      <c r="T3708" t="str">
        <f t="shared" si="1362"/>
        <v>19:35:31.000</v>
      </c>
      <c r="U3708" t="str">
        <f t="shared" si="1341"/>
        <v>AC3944</v>
      </c>
      <c r="V3708">
        <v>0</v>
      </c>
      <c r="W3708">
        <v>0</v>
      </c>
      <c r="X3708">
        <v>2</v>
      </c>
      <c r="Y3708">
        <v>0</v>
      </c>
      <c r="AA3708">
        <v>1</v>
      </c>
      <c r="AB3708">
        <v>8</v>
      </c>
      <c r="AC3708">
        <v>3</v>
      </c>
      <c r="AD3708">
        <v>0</v>
      </c>
      <c r="AE3708">
        <v>9</v>
      </c>
      <c r="AF3708" t="s">
        <v>138</v>
      </c>
      <c r="AG3708">
        <v>0</v>
      </c>
      <c r="AH3708">
        <v>3</v>
      </c>
      <c r="AI3708">
        <v>1</v>
      </c>
      <c r="AJ3708">
        <v>0</v>
      </c>
      <c r="AK3708" t="s">
        <v>1211</v>
      </c>
      <c r="AL3708">
        <v>32.737240999999997</v>
      </c>
      <c r="AM3708" t="s">
        <v>1212</v>
      </c>
      <c r="AN3708">
        <v>-116.714501</v>
      </c>
      <c r="AO3708">
        <v>25</v>
      </c>
      <c r="AP3708">
        <v>4500</v>
      </c>
      <c r="AQ3708" t="s">
        <v>129</v>
      </c>
      <c r="AR3708">
        <v>125</v>
      </c>
      <c r="AS3708">
        <v>14</v>
      </c>
      <c r="AT3708">
        <v>192</v>
      </c>
      <c r="BB3708">
        <v>1200</v>
      </c>
      <c r="BC3708">
        <v>1</v>
      </c>
      <c r="BD3708" t="str">
        <f t="shared" si="1342"/>
        <v xml:space="preserve">N887QR  </v>
      </c>
      <c r="BE3708">
        <v>1</v>
      </c>
      <c r="BG3708">
        <v>0</v>
      </c>
      <c r="BH3708">
        <v>0</v>
      </c>
      <c r="BI3708">
        <v>0</v>
      </c>
      <c r="BJ3708">
        <v>4375</v>
      </c>
      <c r="BK3708">
        <v>-125</v>
      </c>
      <c r="BL3708" t="s">
        <v>163</v>
      </c>
      <c r="BM3708">
        <v>1</v>
      </c>
      <c r="BN3708">
        <v>1</v>
      </c>
      <c r="BO3708">
        <v>1</v>
      </c>
      <c r="BP3708">
        <v>0</v>
      </c>
      <c r="BS3708">
        <v>0</v>
      </c>
      <c r="BT3708">
        <v>0</v>
      </c>
      <c r="BU3708">
        <v>0</v>
      </c>
      <c r="CE3708" t="str">
        <f t="shared" si="1363"/>
        <v>19:35:31.040</v>
      </c>
      <c r="CF3708">
        <v>40161932</v>
      </c>
      <c r="CS3708">
        <v>0</v>
      </c>
      <c r="CT3708">
        <v>2</v>
      </c>
      <c r="CU3708">
        <v>0</v>
      </c>
      <c r="CV3708">
        <v>2</v>
      </c>
      <c r="CW3708">
        <v>0</v>
      </c>
      <c r="CX3708">
        <v>0</v>
      </c>
      <c r="CY3708">
        <v>7</v>
      </c>
      <c r="CZ3708" t="s">
        <v>131</v>
      </c>
      <c r="DA3708">
        <v>745</v>
      </c>
      <c r="DB3708">
        <v>0</v>
      </c>
      <c r="DC3708" t="s">
        <v>1199</v>
      </c>
      <c r="DD3708" t="s">
        <v>1200</v>
      </c>
      <c r="DG3708">
        <v>9484454</v>
      </c>
      <c r="DI3708">
        <v>1</v>
      </c>
      <c r="DJ3708">
        <v>0</v>
      </c>
      <c r="DK3708">
        <v>1</v>
      </c>
      <c r="DL3708">
        <v>0</v>
      </c>
      <c r="DM3708">
        <v>0</v>
      </c>
      <c r="DN3708">
        <v>1</v>
      </c>
      <c r="DO3708">
        <v>0</v>
      </c>
      <c r="DP3708">
        <v>0</v>
      </c>
      <c r="DQ3708">
        <v>0</v>
      </c>
      <c r="DR3708">
        <v>0</v>
      </c>
      <c r="DS3708">
        <v>0</v>
      </c>
    </row>
    <row r="3709" spans="1:123" x14ac:dyDescent="0.3">
      <c r="A3709" t="str">
        <f t="shared" si="1361"/>
        <v>10/04/2022 19:35:31.370</v>
      </c>
      <c r="C3709" t="str">
        <f t="shared" si="1357"/>
        <v>FFDFD3C0</v>
      </c>
      <c r="D3709" t="s">
        <v>141</v>
      </c>
      <c r="E3709">
        <v>3</v>
      </c>
      <c r="H3709">
        <v>3</v>
      </c>
      <c r="I3709" t="s">
        <v>146</v>
      </c>
      <c r="J3709" t="s">
        <v>138</v>
      </c>
      <c r="K3709">
        <v>0</v>
      </c>
      <c r="L3709">
        <v>3</v>
      </c>
      <c r="M3709">
        <v>0</v>
      </c>
      <c r="N3709">
        <v>2</v>
      </c>
      <c r="O3709">
        <v>0</v>
      </c>
      <c r="P3709">
        <v>1</v>
      </c>
      <c r="Q3709">
        <v>0</v>
      </c>
      <c r="S3709" t="str">
        <f t="shared" si="1362"/>
        <v>19:35:31.000</v>
      </c>
      <c r="T3709" t="str">
        <f t="shared" si="1362"/>
        <v>19:35:31.000</v>
      </c>
      <c r="U3709" t="str">
        <f t="shared" si="1341"/>
        <v>AC3944</v>
      </c>
      <c r="V3709">
        <v>0</v>
      </c>
      <c r="W3709">
        <v>0</v>
      </c>
      <c r="X3709">
        <v>2</v>
      </c>
      <c r="Y3709">
        <v>0</v>
      </c>
      <c r="AA3709">
        <v>1</v>
      </c>
      <c r="AB3709">
        <v>8</v>
      </c>
      <c r="AC3709">
        <v>3</v>
      </c>
      <c r="AD3709">
        <v>0</v>
      </c>
      <c r="AE3709">
        <v>9</v>
      </c>
      <c r="AF3709" t="s">
        <v>138</v>
      </c>
      <c r="AG3709">
        <v>0</v>
      </c>
      <c r="AH3709">
        <v>3</v>
      </c>
      <c r="AI3709">
        <v>1</v>
      </c>
      <c r="AJ3709">
        <v>0</v>
      </c>
      <c r="AK3709" t="s">
        <v>1211</v>
      </c>
      <c r="AL3709">
        <v>32.737240999999997</v>
      </c>
      <c r="AM3709" t="s">
        <v>1212</v>
      </c>
      <c r="AN3709">
        <v>-116.714501</v>
      </c>
      <c r="AO3709">
        <v>25</v>
      </c>
      <c r="AP3709">
        <v>4500</v>
      </c>
      <c r="AQ3709" t="s">
        <v>129</v>
      </c>
      <c r="AR3709">
        <v>125</v>
      </c>
      <c r="AS3709">
        <v>14</v>
      </c>
      <c r="AT3709">
        <v>192</v>
      </c>
      <c r="BB3709">
        <v>1200</v>
      </c>
      <c r="BC3709">
        <v>1</v>
      </c>
      <c r="BD3709" t="str">
        <f t="shared" si="1342"/>
        <v xml:space="preserve">N887QR  </v>
      </c>
      <c r="BE3709">
        <v>1</v>
      </c>
      <c r="BG3709">
        <v>0</v>
      </c>
      <c r="BH3709">
        <v>0</v>
      </c>
      <c r="BI3709">
        <v>0</v>
      </c>
      <c r="BJ3709">
        <v>4375</v>
      </c>
      <c r="BK3709">
        <v>-125</v>
      </c>
      <c r="BL3709" t="s">
        <v>163</v>
      </c>
      <c r="BM3709">
        <v>1</v>
      </c>
      <c r="BN3709">
        <v>1</v>
      </c>
      <c r="BO3709">
        <v>1</v>
      </c>
      <c r="BP3709">
        <v>0</v>
      </c>
      <c r="BS3709">
        <v>0</v>
      </c>
      <c r="BT3709">
        <v>0</v>
      </c>
      <c r="BU3709">
        <v>0</v>
      </c>
      <c r="CE3709" t="str">
        <f t="shared" si="1363"/>
        <v>19:35:31.040</v>
      </c>
      <c r="CF3709">
        <v>40161932</v>
      </c>
      <c r="CS3709">
        <v>0</v>
      </c>
      <c r="CT3709">
        <v>2</v>
      </c>
      <c r="CU3709">
        <v>0</v>
      </c>
      <c r="CV3709">
        <v>2</v>
      </c>
      <c r="CW3709">
        <v>0</v>
      </c>
      <c r="CX3709">
        <v>0</v>
      </c>
      <c r="CY3709">
        <v>7</v>
      </c>
      <c r="CZ3709" t="s">
        <v>131</v>
      </c>
      <c r="DA3709">
        <v>745</v>
      </c>
      <c r="DB3709">
        <v>0</v>
      </c>
      <c r="DC3709" t="s">
        <v>1199</v>
      </c>
      <c r="DD3709" t="s">
        <v>1200</v>
      </c>
      <c r="DG3709">
        <v>9484454</v>
      </c>
      <c r="DI3709">
        <v>1</v>
      </c>
      <c r="DJ3709">
        <v>0</v>
      </c>
      <c r="DK3709">
        <v>1</v>
      </c>
      <c r="DL3709">
        <v>0</v>
      </c>
      <c r="DM3709">
        <v>0</v>
      </c>
      <c r="DN3709">
        <v>1</v>
      </c>
      <c r="DO3709">
        <v>0</v>
      </c>
      <c r="DP3709">
        <v>0</v>
      </c>
      <c r="DQ3709">
        <v>0</v>
      </c>
      <c r="DR3709">
        <v>0</v>
      </c>
      <c r="DS3709">
        <v>0</v>
      </c>
    </row>
    <row r="3710" spans="1:123" x14ac:dyDescent="0.3">
      <c r="A3710" t="str">
        <f t="shared" ref="A3710:A3716" si="1364">"10/04/2022 19:35:32.839"</f>
        <v>10/04/2022 19:35:32.839</v>
      </c>
      <c r="C3710" t="str">
        <f t="shared" si="1357"/>
        <v>FFDFD3C0</v>
      </c>
      <c r="D3710" t="s">
        <v>143</v>
      </c>
      <c r="E3710">
        <v>20</v>
      </c>
      <c r="F3710">
        <v>1020</v>
      </c>
      <c r="G3710" t="s">
        <v>144</v>
      </c>
      <c r="J3710" t="s">
        <v>145</v>
      </c>
      <c r="K3710">
        <v>0</v>
      </c>
      <c r="L3710">
        <v>3</v>
      </c>
      <c r="M3710">
        <v>0</v>
      </c>
      <c r="N3710">
        <v>2</v>
      </c>
      <c r="O3710">
        <v>0</v>
      </c>
      <c r="P3710">
        <v>1</v>
      </c>
      <c r="Q3710">
        <v>0</v>
      </c>
      <c r="S3710" t="str">
        <f t="shared" ref="S3710:T3716" si="1365">"19:35:32.000"</f>
        <v>19:35:32.000</v>
      </c>
      <c r="T3710" t="str">
        <f t="shared" si="1365"/>
        <v>19:35:32.000</v>
      </c>
      <c r="U3710" t="str">
        <f t="shared" si="1341"/>
        <v>AC3944</v>
      </c>
      <c r="V3710">
        <v>0</v>
      </c>
      <c r="W3710">
        <v>0</v>
      </c>
      <c r="X3710">
        <v>2</v>
      </c>
      <c r="Y3710">
        <v>0</v>
      </c>
      <c r="AA3710">
        <v>1</v>
      </c>
      <c r="AB3710">
        <v>8</v>
      </c>
      <c r="AC3710">
        <v>3</v>
      </c>
      <c r="AD3710">
        <v>0</v>
      </c>
      <c r="AE3710">
        <v>9</v>
      </c>
      <c r="AF3710" t="s">
        <v>138</v>
      </c>
      <c r="AG3710">
        <v>0</v>
      </c>
      <c r="AH3710">
        <v>3</v>
      </c>
      <c r="AI3710">
        <v>1</v>
      </c>
      <c r="AJ3710">
        <v>0</v>
      </c>
      <c r="AK3710" t="s">
        <v>1213</v>
      </c>
      <c r="AL3710">
        <v>32.737304999999999</v>
      </c>
      <c r="AM3710" t="s">
        <v>1214</v>
      </c>
      <c r="AN3710">
        <v>-116.713793</v>
      </c>
      <c r="AO3710">
        <v>25</v>
      </c>
      <c r="AP3710">
        <v>4600</v>
      </c>
      <c r="AQ3710" t="s">
        <v>129</v>
      </c>
      <c r="AR3710">
        <v>125</v>
      </c>
      <c r="AS3710">
        <v>14</v>
      </c>
      <c r="AT3710">
        <v>192</v>
      </c>
      <c r="BB3710">
        <v>1200</v>
      </c>
      <c r="BC3710">
        <v>1</v>
      </c>
      <c r="BD3710" t="str">
        <f t="shared" si="1342"/>
        <v xml:space="preserve">N887QR  </v>
      </c>
      <c r="BE3710">
        <v>1</v>
      </c>
      <c r="BG3710">
        <v>0</v>
      </c>
      <c r="BH3710">
        <v>0</v>
      </c>
      <c r="BI3710">
        <v>0</v>
      </c>
      <c r="BJ3710">
        <v>4375</v>
      </c>
      <c r="BK3710">
        <v>-225</v>
      </c>
      <c r="BL3710" t="s">
        <v>163</v>
      </c>
      <c r="BM3710">
        <v>1</v>
      </c>
      <c r="BN3710">
        <v>1</v>
      </c>
      <c r="BO3710">
        <v>1</v>
      </c>
      <c r="BP3710">
        <v>0</v>
      </c>
      <c r="BS3710">
        <v>0</v>
      </c>
      <c r="BT3710">
        <v>0</v>
      </c>
      <c r="BU3710">
        <v>0</v>
      </c>
      <c r="CE3710" t="str">
        <f t="shared" ref="CE3710:CE3716" si="1366">"19:35:32.498"</f>
        <v>19:35:32.498</v>
      </c>
      <c r="CF3710">
        <v>497836077</v>
      </c>
      <c r="CS3710">
        <v>0</v>
      </c>
      <c r="CT3710">
        <v>2</v>
      </c>
      <c r="CU3710">
        <v>0</v>
      </c>
      <c r="CV3710">
        <v>2</v>
      </c>
      <c r="CW3710">
        <v>0</v>
      </c>
      <c r="CX3710">
        <v>5</v>
      </c>
      <c r="CY3710">
        <v>7</v>
      </c>
      <c r="CZ3710" t="s">
        <v>131</v>
      </c>
      <c r="DA3710">
        <v>286</v>
      </c>
      <c r="DB3710">
        <v>0</v>
      </c>
      <c r="DC3710" t="s">
        <v>132</v>
      </c>
      <c r="DD3710" t="s">
        <v>133</v>
      </c>
      <c r="DG3710">
        <v>888500</v>
      </c>
      <c r="DI3710">
        <v>1</v>
      </c>
      <c r="DJ3710">
        <v>0</v>
      </c>
      <c r="DK3710">
        <v>0</v>
      </c>
      <c r="DL3710">
        <v>0</v>
      </c>
      <c r="DM3710">
        <v>0</v>
      </c>
      <c r="DN3710">
        <v>1</v>
      </c>
      <c r="DO3710">
        <v>0</v>
      </c>
      <c r="DP3710">
        <v>0</v>
      </c>
      <c r="DQ3710">
        <v>0</v>
      </c>
      <c r="DR3710">
        <v>0</v>
      </c>
      <c r="DS3710">
        <v>0</v>
      </c>
    </row>
    <row r="3711" spans="1:123" x14ac:dyDescent="0.3">
      <c r="A3711" t="str">
        <f t="shared" si="1364"/>
        <v>10/04/2022 19:35:32.839</v>
      </c>
      <c r="C3711" t="str">
        <f t="shared" si="1357"/>
        <v>FFDFD3C0</v>
      </c>
      <c r="D3711" t="s">
        <v>147</v>
      </c>
      <c r="E3711">
        <v>3</v>
      </c>
      <c r="H3711">
        <v>166</v>
      </c>
      <c r="I3711" t="s">
        <v>144</v>
      </c>
      <c r="J3711" t="s">
        <v>148</v>
      </c>
      <c r="K3711">
        <v>0</v>
      </c>
      <c r="L3711">
        <v>3</v>
      </c>
      <c r="M3711">
        <v>0</v>
      </c>
      <c r="N3711">
        <v>2</v>
      </c>
      <c r="O3711">
        <v>0</v>
      </c>
      <c r="P3711">
        <v>1</v>
      </c>
      <c r="Q3711">
        <v>0</v>
      </c>
      <c r="S3711" t="str">
        <f t="shared" si="1365"/>
        <v>19:35:32.000</v>
      </c>
      <c r="T3711" t="str">
        <f t="shared" si="1365"/>
        <v>19:35:32.000</v>
      </c>
      <c r="U3711" t="str">
        <f t="shared" si="1341"/>
        <v>AC3944</v>
      </c>
      <c r="V3711">
        <v>0</v>
      </c>
      <c r="W3711">
        <v>0</v>
      </c>
      <c r="X3711">
        <v>2</v>
      </c>
      <c r="Y3711">
        <v>0</v>
      </c>
      <c r="AA3711">
        <v>1</v>
      </c>
      <c r="AB3711">
        <v>8</v>
      </c>
      <c r="AC3711">
        <v>3</v>
      </c>
      <c r="AD3711">
        <v>0</v>
      </c>
      <c r="AE3711">
        <v>9</v>
      </c>
      <c r="AF3711" t="s">
        <v>138</v>
      </c>
      <c r="AG3711">
        <v>0</v>
      </c>
      <c r="AH3711">
        <v>3</v>
      </c>
      <c r="AI3711">
        <v>1</v>
      </c>
      <c r="AJ3711">
        <v>0</v>
      </c>
      <c r="AK3711" t="s">
        <v>1213</v>
      </c>
      <c r="AL3711">
        <v>32.737304999999999</v>
      </c>
      <c r="AM3711" t="s">
        <v>1214</v>
      </c>
      <c r="AN3711">
        <v>-116.713793</v>
      </c>
      <c r="AO3711">
        <v>25</v>
      </c>
      <c r="AP3711">
        <v>4600</v>
      </c>
      <c r="AQ3711" t="s">
        <v>129</v>
      </c>
      <c r="AR3711">
        <v>125</v>
      </c>
      <c r="AS3711">
        <v>14</v>
      </c>
      <c r="AT3711">
        <v>192</v>
      </c>
      <c r="BB3711">
        <v>1200</v>
      </c>
      <c r="BC3711">
        <v>1</v>
      </c>
      <c r="BD3711" t="str">
        <f t="shared" si="1342"/>
        <v xml:space="preserve">N887QR  </v>
      </c>
      <c r="BE3711">
        <v>1</v>
      </c>
      <c r="BG3711">
        <v>0</v>
      </c>
      <c r="BH3711">
        <v>0</v>
      </c>
      <c r="BI3711">
        <v>0</v>
      </c>
      <c r="BJ3711">
        <v>4375</v>
      </c>
      <c r="BK3711">
        <v>-225</v>
      </c>
      <c r="BL3711" t="s">
        <v>163</v>
      </c>
      <c r="BM3711">
        <v>1</v>
      </c>
      <c r="BN3711">
        <v>1</v>
      </c>
      <c r="BO3711">
        <v>1</v>
      </c>
      <c r="BP3711">
        <v>0</v>
      </c>
      <c r="BS3711">
        <v>0</v>
      </c>
      <c r="BT3711">
        <v>0</v>
      </c>
      <c r="BU3711">
        <v>0</v>
      </c>
      <c r="CE3711" t="str">
        <f t="shared" si="1366"/>
        <v>19:35:32.498</v>
      </c>
      <c r="CF3711">
        <v>497836077</v>
      </c>
      <c r="CS3711">
        <v>0</v>
      </c>
      <c r="CT3711">
        <v>2</v>
      </c>
      <c r="CU3711">
        <v>0</v>
      </c>
      <c r="CV3711">
        <v>2</v>
      </c>
      <c r="CW3711">
        <v>0</v>
      </c>
      <c r="CX3711">
        <v>5</v>
      </c>
      <c r="CY3711">
        <v>7</v>
      </c>
      <c r="CZ3711" t="s">
        <v>131</v>
      </c>
      <c r="DA3711">
        <v>286</v>
      </c>
      <c r="DB3711">
        <v>0</v>
      </c>
      <c r="DC3711" t="s">
        <v>132</v>
      </c>
      <c r="DD3711" t="s">
        <v>133</v>
      </c>
      <c r="DG3711">
        <v>888500</v>
      </c>
      <c r="DI3711">
        <v>1</v>
      </c>
      <c r="DJ3711">
        <v>0</v>
      </c>
      <c r="DK3711">
        <v>1</v>
      </c>
      <c r="DL3711">
        <v>0</v>
      </c>
      <c r="DM3711">
        <v>0</v>
      </c>
      <c r="DN3711">
        <v>1</v>
      </c>
      <c r="DO3711">
        <v>0</v>
      </c>
      <c r="DP3711">
        <v>0</v>
      </c>
      <c r="DQ3711">
        <v>0</v>
      </c>
      <c r="DR3711">
        <v>0</v>
      </c>
      <c r="DS3711">
        <v>0</v>
      </c>
    </row>
    <row r="3712" spans="1:123" x14ac:dyDescent="0.3">
      <c r="A3712" t="str">
        <f t="shared" si="1364"/>
        <v>10/04/2022 19:35:32.839</v>
      </c>
      <c r="C3712" t="str">
        <f t="shared" si="1357"/>
        <v>FFDFD3C0</v>
      </c>
      <c r="D3712" t="s">
        <v>136</v>
      </c>
      <c r="E3712">
        <v>8</v>
      </c>
      <c r="H3712">
        <v>225</v>
      </c>
      <c r="I3712" t="s">
        <v>137</v>
      </c>
      <c r="J3712" t="s">
        <v>138</v>
      </c>
      <c r="K3712">
        <v>0</v>
      </c>
      <c r="L3712">
        <v>3</v>
      </c>
      <c r="M3712">
        <v>0</v>
      </c>
      <c r="N3712">
        <v>2</v>
      </c>
      <c r="O3712">
        <v>0</v>
      </c>
      <c r="P3712">
        <v>1</v>
      </c>
      <c r="Q3712">
        <v>0</v>
      </c>
      <c r="S3712" t="str">
        <f t="shared" si="1365"/>
        <v>19:35:32.000</v>
      </c>
      <c r="T3712" t="str">
        <f t="shared" si="1365"/>
        <v>19:35:32.000</v>
      </c>
      <c r="U3712" t="str">
        <f t="shared" si="1341"/>
        <v>AC3944</v>
      </c>
      <c r="V3712">
        <v>0</v>
      </c>
      <c r="W3712">
        <v>0</v>
      </c>
      <c r="X3712">
        <v>2</v>
      </c>
      <c r="Y3712">
        <v>0</v>
      </c>
      <c r="AA3712">
        <v>1</v>
      </c>
      <c r="AB3712">
        <v>8</v>
      </c>
      <c r="AC3712">
        <v>3</v>
      </c>
      <c r="AD3712">
        <v>0</v>
      </c>
      <c r="AE3712">
        <v>9</v>
      </c>
      <c r="AF3712" t="s">
        <v>138</v>
      </c>
      <c r="AG3712">
        <v>0</v>
      </c>
      <c r="AH3712">
        <v>3</v>
      </c>
      <c r="AI3712">
        <v>1</v>
      </c>
      <c r="AJ3712">
        <v>0</v>
      </c>
      <c r="AK3712" t="s">
        <v>1213</v>
      </c>
      <c r="AL3712">
        <v>32.737304999999999</v>
      </c>
      <c r="AM3712" t="s">
        <v>1214</v>
      </c>
      <c r="AN3712">
        <v>-116.713793</v>
      </c>
      <c r="AO3712">
        <v>25</v>
      </c>
      <c r="AP3712">
        <v>4600</v>
      </c>
      <c r="AQ3712" t="s">
        <v>129</v>
      </c>
      <c r="AR3712">
        <v>125</v>
      </c>
      <c r="AS3712">
        <v>14</v>
      </c>
      <c r="AT3712">
        <v>192</v>
      </c>
      <c r="BB3712">
        <v>1200</v>
      </c>
      <c r="BC3712">
        <v>1</v>
      </c>
      <c r="BD3712" t="str">
        <f t="shared" si="1342"/>
        <v xml:space="preserve">N887QR  </v>
      </c>
      <c r="BE3712">
        <v>1</v>
      </c>
      <c r="BG3712">
        <v>0</v>
      </c>
      <c r="BH3712">
        <v>0</v>
      </c>
      <c r="BI3712">
        <v>0</v>
      </c>
      <c r="BJ3712">
        <v>4375</v>
      </c>
      <c r="BK3712">
        <v>-225</v>
      </c>
      <c r="BL3712" t="s">
        <v>163</v>
      </c>
      <c r="BM3712">
        <v>1</v>
      </c>
      <c r="BN3712">
        <v>1</v>
      </c>
      <c r="BO3712">
        <v>1</v>
      </c>
      <c r="BP3712">
        <v>0</v>
      </c>
      <c r="BS3712">
        <v>0</v>
      </c>
      <c r="BT3712">
        <v>0</v>
      </c>
      <c r="BU3712">
        <v>0</v>
      </c>
      <c r="CE3712" t="str">
        <f t="shared" si="1366"/>
        <v>19:35:32.498</v>
      </c>
      <c r="CF3712">
        <v>497836077</v>
      </c>
      <c r="CS3712">
        <v>0</v>
      </c>
      <c r="CT3712">
        <v>2</v>
      </c>
      <c r="CU3712">
        <v>0</v>
      </c>
      <c r="CV3712">
        <v>2</v>
      </c>
      <c r="CW3712">
        <v>0</v>
      </c>
      <c r="CX3712">
        <v>5</v>
      </c>
      <c r="CY3712">
        <v>7</v>
      </c>
      <c r="CZ3712" t="s">
        <v>131</v>
      </c>
      <c r="DA3712">
        <v>286</v>
      </c>
      <c r="DB3712">
        <v>0</v>
      </c>
      <c r="DC3712" t="s">
        <v>132</v>
      </c>
      <c r="DD3712" t="s">
        <v>133</v>
      </c>
      <c r="DG3712">
        <v>888500</v>
      </c>
      <c r="DI3712">
        <v>1</v>
      </c>
      <c r="DJ3712">
        <v>0</v>
      </c>
      <c r="DK3712">
        <v>1</v>
      </c>
      <c r="DL3712">
        <v>0</v>
      </c>
      <c r="DM3712">
        <v>0</v>
      </c>
      <c r="DN3712">
        <v>1</v>
      </c>
      <c r="DO3712">
        <v>0</v>
      </c>
      <c r="DP3712">
        <v>0</v>
      </c>
      <c r="DQ3712">
        <v>0</v>
      </c>
      <c r="DR3712">
        <v>0</v>
      </c>
      <c r="DS3712">
        <v>0</v>
      </c>
    </row>
    <row r="3713" spans="1:123" x14ac:dyDescent="0.3">
      <c r="A3713" t="str">
        <f t="shared" si="1364"/>
        <v>10/04/2022 19:35:32.839</v>
      </c>
      <c r="C3713" t="str">
        <f t="shared" si="1357"/>
        <v>FFDFD3C0</v>
      </c>
      <c r="D3713" t="s">
        <v>134</v>
      </c>
      <c r="E3713">
        <v>15</v>
      </c>
      <c r="J3713" t="s">
        <v>135</v>
      </c>
      <c r="K3713">
        <v>0</v>
      </c>
      <c r="L3713">
        <v>3</v>
      </c>
      <c r="M3713">
        <v>0</v>
      </c>
      <c r="N3713">
        <v>2</v>
      </c>
      <c r="O3713">
        <v>0</v>
      </c>
      <c r="P3713">
        <v>1</v>
      </c>
      <c r="Q3713">
        <v>0</v>
      </c>
      <c r="S3713" t="str">
        <f t="shared" si="1365"/>
        <v>19:35:32.000</v>
      </c>
      <c r="T3713" t="str">
        <f t="shared" si="1365"/>
        <v>19:35:32.000</v>
      </c>
      <c r="U3713" t="str">
        <f t="shared" si="1341"/>
        <v>AC3944</v>
      </c>
      <c r="V3713">
        <v>0</v>
      </c>
      <c r="W3713">
        <v>0</v>
      </c>
      <c r="X3713">
        <v>2</v>
      </c>
      <c r="Y3713">
        <v>0</v>
      </c>
      <c r="AA3713">
        <v>1</v>
      </c>
      <c r="AB3713">
        <v>8</v>
      </c>
      <c r="AC3713">
        <v>3</v>
      </c>
      <c r="AD3713">
        <v>0</v>
      </c>
      <c r="AE3713">
        <v>9</v>
      </c>
      <c r="AF3713" t="s">
        <v>138</v>
      </c>
      <c r="AG3713">
        <v>0</v>
      </c>
      <c r="AH3713">
        <v>3</v>
      </c>
      <c r="AI3713">
        <v>1</v>
      </c>
      <c r="AJ3713">
        <v>0</v>
      </c>
      <c r="AK3713" t="s">
        <v>1213</v>
      </c>
      <c r="AL3713">
        <v>32.737304999999999</v>
      </c>
      <c r="AM3713" t="s">
        <v>1214</v>
      </c>
      <c r="AN3713">
        <v>-116.713793</v>
      </c>
      <c r="AO3713">
        <v>25</v>
      </c>
      <c r="AP3713">
        <v>4600</v>
      </c>
      <c r="AQ3713" t="s">
        <v>129</v>
      </c>
      <c r="AR3713">
        <v>125</v>
      </c>
      <c r="AS3713">
        <v>14</v>
      </c>
      <c r="AT3713">
        <v>192</v>
      </c>
      <c r="BB3713">
        <v>1200</v>
      </c>
      <c r="BC3713">
        <v>1</v>
      </c>
      <c r="BD3713" t="str">
        <f t="shared" si="1342"/>
        <v xml:space="preserve">N887QR  </v>
      </c>
      <c r="BE3713">
        <v>1</v>
      </c>
      <c r="BG3713">
        <v>0</v>
      </c>
      <c r="BH3713">
        <v>0</v>
      </c>
      <c r="BI3713">
        <v>0</v>
      </c>
      <c r="BJ3713">
        <v>4375</v>
      </c>
      <c r="BK3713">
        <v>-225</v>
      </c>
      <c r="BL3713" t="s">
        <v>163</v>
      </c>
      <c r="BM3713">
        <v>1</v>
      </c>
      <c r="BN3713">
        <v>1</v>
      </c>
      <c r="BO3713">
        <v>1</v>
      </c>
      <c r="BP3713">
        <v>0</v>
      </c>
      <c r="BS3713">
        <v>0</v>
      </c>
      <c r="BT3713">
        <v>0</v>
      </c>
      <c r="BU3713">
        <v>0</v>
      </c>
      <c r="CE3713" t="str">
        <f t="shared" si="1366"/>
        <v>19:35:32.498</v>
      </c>
      <c r="CF3713">
        <v>497836077</v>
      </c>
      <c r="CS3713">
        <v>0</v>
      </c>
      <c r="CT3713">
        <v>2</v>
      </c>
      <c r="CU3713">
        <v>0</v>
      </c>
      <c r="CV3713">
        <v>2</v>
      </c>
      <c r="CW3713">
        <v>0</v>
      </c>
      <c r="CX3713">
        <v>5</v>
      </c>
      <c r="CY3713">
        <v>7</v>
      </c>
      <c r="CZ3713" t="s">
        <v>131</v>
      </c>
      <c r="DA3713">
        <v>286</v>
      </c>
      <c r="DB3713">
        <v>0</v>
      </c>
      <c r="DC3713" t="s">
        <v>132</v>
      </c>
      <c r="DD3713" t="s">
        <v>133</v>
      </c>
      <c r="DG3713">
        <v>888500</v>
      </c>
      <c r="DI3713">
        <v>1</v>
      </c>
      <c r="DJ3713">
        <v>0</v>
      </c>
      <c r="DK3713">
        <v>1</v>
      </c>
      <c r="DL3713">
        <v>0</v>
      </c>
      <c r="DM3713">
        <v>0</v>
      </c>
      <c r="DN3713">
        <v>1</v>
      </c>
      <c r="DO3713">
        <v>0</v>
      </c>
      <c r="DP3713">
        <v>0</v>
      </c>
      <c r="DQ3713">
        <v>0</v>
      </c>
      <c r="DR3713">
        <v>0</v>
      </c>
      <c r="DS3713">
        <v>0</v>
      </c>
    </row>
    <row r="3714" spans="1:123" x14ac:dyDescent="0.3">
      <c r="A3714" t="str">
        <f t="shared" si="1364"/>
        <v>10/04/2022 19:35:32.839</v>
      </c>
      <c r="C3714" t="str">
        <f t="shared" si="1357"/>
        <v>FFDFD3C0</v>
      </c>
      <c r="D3714" t="s">
        <v>123</v>
      </c>
      <c r="E3714">
        <v>7</v>
      </c>
      <c r="F3714">
        <v>2007</v>
      </c>
      <c r="G3714" t="s">
        <v>124</v>
      </c>
      <c r="J3714" t="s">
        <v>125</v>
      </c>
      <c r="K3714">
        <v>0</v>
      </c>
      <c r="L3714">
        <v>3</v>
      </c>
      <c r="M3714">
        <v>0</v>
      </c>
      <c r="N3714">
        <v>2</v>
      </c>
      <c r="O3714">
        <v>0</v>
      </c>
      <c r="P3714">
        <v>1</v>
      </c>
      <c r="Q3714">
        <v>0</v>
      </c>
      <c r="S3714" t="str">
        <f t="shared" si="1365"/>
        <v>19:35:32.000</v>
      </c>
      <c r="T3714" t="str">
        <f t="shared" si="1365"/>
        <v>19:35:32.000</v>
      </c>
      <c r="U3714" t="str">
        <f t="shared" ref="U3714:U3777" si="1367">"AC3944"</f>
        <v>AC3944</v>
      </c>
      <c r="V3714">
        <v>0</v>
      </c>
      <c r="W3714">
        <v>0</v>
      </c>
      <c r="X3714">
        <v>2</v>
      </c>
      <c r="Y3714">
        <v>0</v>
      </c>
      <c r="AA3714">
        <v>1</v>
      </c>
      <c r="AB3714">
        <v>8</v>
      </c>
      <c r="AC3714">
        <v>3</v>
      </c>
      <c r="AD3714">
        <v>0</v>
      </c>
      <c r="AE3714">
        <v>9</v>
      </c>
      <c r="AF3714" t="s">
        <v>138</v>
      </c>
      <c r="AG3714">
        <v>0</v>
      </c>
      <c r="AH3714">
        <v>3</v>
      </c>
      <c r="AI3714">
        <v>1</v>
      </c>
      <c r="AJ3714">
        <v>0</v>
      </c>
      <c r="AK3714" t="s">
        <v>1213</v>
      </c>
      <c r="AL3714">
        <v>32.737304999999999</v>
      </c>
      <c r="AM3714" t="s">
        <v>1214</v>
      </c>
      <c r="AN3714">
        <v>-116.713793</v>
      </c>
      <c r="AO3714">
        <v>25</v>
      </c>
      <c r="AP3714">
        <v>4600</v>
      </c>
      <c r="AQ3714" t="s">
        <v>129</v>
      </c>
      <c r="AR3714">
        <v>125</v>
      </c>
      <c r="AS3714">
        <v>14</v>
      </c>
      <c r="AT3714">
        <v>192</v>
      </c>
      <c r="BB3714">
        <v>1200</v>
      </c>
      <c r="BC3714">
        <v>1</v>
      </c>
      <c r="BD3714" t="str">
        <f t="shared" ref="BD3714:BD3777" si="1368">"N887QR  "</f>
        <v xml:space="preserve">N887QR  </v>
      </c>
      <c r="BE3714">
        <v>1</v>
      </c>
      <c r="BG3714">
        <v>0</v>
      </c>
      <c r="BH3714">
        <v>0</v>
      </c>
      <c r="BI3714">
        <v>0</v>
      </c>
      <c r="BJ3714">
        <v>4375</v>
      </c>
      <c r="BK3714">
        <v>-225</v>
      </c>
      <c r="BL3714" t="s">
        <v>163</v>
      </c>
      <c r="BM3714">
        <v>1</v>
      </c>
      <c r="BN3714">
        <v>1</v>
      </c>
      <c r="BO3714">
        <v>1</v>
      </c>
      <c r="BP3714">
        <v>0</v>
      </c>
      <c r="BS3714">
        <v>0</v>
      </c>
      <c r="BT3714">
        <v>0</v>
      </c>
      <c r="BU3714">
        <v>0</v>
      </c>
      <c r="CE3714" t="str">
        <f t="shared" si="1366"/>
        <v>19:35:32.498</v>
      </c>
      <c r="CF3714">
        <v>497836077</v>
      </c>
      <c r="CS3714">
        <v>0</v>
      </c>
      <c r="CT3714">
        <v>2</v>
      </c>
      <c r="CU3714">
        <v>0</v>
      </c>
      <c r="CV3714">
        <v>2</v>
      </c>
      <c r="CW3714">
        <v>0</v>
      </c>
      <c r="CX3714">
        <v>5</v>
      </c>
      <c r="CY3714">
        <v>7</v>
      </c>
      <c r="CZ3714" t="s">
        <v>131</v>
      </c>
      <c r="DA3714">
        <v>286</v>
      </c>
      <c r="DB3714">
        <v>0</v>
      </c>
      <c r="DC3714" t="s">
        <v>132</v>
      </c>
      <c r="DD3714" t="s">
        <v>133</v>
      </c>
      <c r="DG3714">
        <v>888500</v>
      </c>
      <c r="DI3714">
        <v>1</v>
      </c>
      <c r="DJ3714">
        <v>0</v>
      </c>
      <c r="DK3714">
        <v>1</v>
      </c>
      <c r="DL3714">
        <v>0</v>
      </c>
      <c r="DM3714">
        <v>0</v>
      </c>
      <c r="DN3714">
        <v>1</v>
      </c>
      <c r="DO3714">
        <v>0</v>
      </c>
      <c r="DP3714">
        <v>0</v>
      </c>
      <c r="DQ3714">
        <v>0</v>
      </c>
      <c r="DR3714">
        <v>0</v>
      </c>
      <c r="DS3714">
        <v>0</v>
      </c>
    </row>
    <row r="3715" spans="1:123" x14ac:dyDescent="0.3">
      <c r="A3715" t="str">
        <f t="shared" si="1364"/>
        <v>10/04/2022 19:35:32.839</v>
      </c>
      <c r="C3715" t="str">
        <f t="shared" si="1357"/>
        <v>FFDFD3C0</v>
      </c>
      <c r="D3715" t="s">
        <v>141</v>
      </c>
      <c r="E3715">
        <v>3</v>
      </c>
      <c r="H3715">
        <v>3</v>
      </c>
      <c r="I3715" t="s">
        <v>146</v>
      </c>
      <c r="J3715" t="s">
        <v>138</v>
      </c>
      <c r="K3715">
        <v>0</v>
      </c>
      <c r="L3715">
        <v>3</v>
      </c>
      <c r="M3715">
        <v>0</v>
      </c>
      <c r="N3715">
        <v>2</v>
      </c>
      <c r="O3715">
        <v>0</v>
      </c>
      <c r="P3715">
        <v>1</v>
      </c>
      <c r="Q3715">
        <v>0</v>
      </c>
      <c r="S3715" t="str">
        <f t="shared" si="1365"/>
        <v>19:35:32.000</v>
      </c>
      <c r="T3715" t="str">
        <f t="shared" si="1365"/>
        <v>19:35:32.000</v>
      </c>
      <c r="U3715" t="str">
        <f t="shared" si="1367"/>
        <v>AC3944</v>
      </c>
      <c r="V3715">
        <v>0</v>
      </c>
      <c r="W3715">
        <v>0</v>
      </c>
      <c r="X3715">
        <v>2</v>
      </c>
      <c r="Y3715">
        <v>0</v>
      </c>
      <c r="AA3715">
        <v>1</v>
      </c>
      <c r="AB3715">
        <v>8</v>
      </c>
      <c r="AC3715">
        <v>3</v>
      </c>
      <c r="AD3715">
        <v>0</v>
      </c>
      <c r="AE3715">
        <v>9</v>
      </c>
      <c r="AF3715" t="s">
        <v>138</v>
      </c>
      <c r="AG3715">
        <v>0</v>
      </c>
      <c r="AH3715">
        <v>3</v>
      </c>
      <c r="AI3715">
        <v>1</v>
      </c>
      <c r="AJ3715">
        <v>0</v>
      </c>
      <c r="AK3715" t="s">
        <v>1213</v>
      </c>
      <c r="AL3715">
        <v>32.737304999999999</v>
      </c>
      <c r="AM3715" t="s">
        <v>1214</v>
      </c>
      <c r="AN3715">
        <v>-116.713793</v>
      </c>
      <c r="AO3715">
        <v>25</v>
      </c>
      <c r="AP3715">
        <v>4600</v>
      </c>
      <c r="AQ3715" t="s">
        <v>129</v>
      </c>
      <c r="AR3715">
        <v>125</v>
      </c>
      <c r="AS3715">
        <v>14</v>
      </c>
      <c r="AT3715">
        <v>192</v>
      </c>
      <c r="BB3715">
        <v>1200</v>
      </c>
      <c r="BC3715">
        <v>1</v>
      </c>
      <c r="BD3715" t="str">
        <f t="shared" si="1368"/>
        <v xml:space="preserve">N887QR  </v>
      </c>
      <c r="BE3715">
        <v>1</v>
      </c>
      <c r="BG3715">
        <v>0</v>
      </c>
      <c r="BH3715">
        <v>0</v>
      </c>
      <c r="BI3715">
        <v>0</v>
      </c>
      <c r="BJ3715">
        <v>4375</v>
      </c>
      <c r="BK3715">
        <v>-225</v>
      </c>
      <c r="BL3715" t="s">
        <v>163</v>
      </c>
      <c r="BM3715">
        <v>1</v>
      </c>
      <c r="BN3715">
        <v>1</v>
      </c>
      <c r="BO3715">
        <v>1</v>
      </c>
      <c r="BP3715">
        <v>0</v>
      </c>
      <c r="BS3715">
        <v>0</v>
      </c>
      <c r="BT3715">
        <v>0</v>
      </c>
      <c r="BU3715">
        <v>0</v>
      </c>
      <c r="CE3715" t="str">
        <f t="shared" si="1366"/>
        <v>19:35:32.498</v>
      </c>
      <c r="CF3715">
        <v>497836077</v>
      </c>
      <c r="CS3715">
        <v>0</v>
      </c>
      <c r="CT3715">
        <v>2</v>
      </c>
      <c r="CU3715">
        <v>0</v>
      </c>
      <c r="CV3715">
        <v>2</v>
      </c>
      <c r="CW3715">
        <v>0</v>
      </c>
      <c r="CX3715">
        <v>5</v>
      </c>
      <c r="CY3715">
        <v>7</v>
      </c>
      <c r="CZ3715" t="s">
        <v>131</v>
      </c>
      <c r="DA3715">
        <v>286</v>
      </c>
      <c r="DB3715">
        <v>0</v>
      </c>
      <c r="DC3715" t="s">
        <v>132</v>
      </c>
      <c r="DD3715" t="s">
        <v>133</v>
      </c>
      <c r="DG3715">
        <v>888500</v>
      </c>
      <c r="DI3715">
        <v>1</v>
      </c>
      <c r="DJ3715">
        <v>0</v>
      </c>
      <c r="DK3715">
        <v>1</v>
      </c>
      <c r="DL3715">
        <v>0</v>
      </c>
      <c r="DM3715">
        <v>0</v>
      </c>
      <c r="DN3715">
        <v>1</v>
      </c>
      <c r="DO3715">
        <v>0</v>
      </c>
      <c r="DP3715">
        <v>0</v>
      </c>
      <c r="DQ3715">
        <v>0</v>
      </c>
      <c r="DR3715">
        <v>0</v>
      </c>
      <c r="DS3715">
        <v>0</v>
      </c>
    </row>
    <row r="3716" spans="1:123" x14ac:dyDescent="0.3">
      <c r="A3716" t="str">
        <f t="shared" si="1364"/>
        <v>10/04/2022 19:35:32.839</v>
      </c>
      <c r="C3716" t="str">
        <f t="shared" si="1357"/>
        <v>FFDFD3C0</v>
      </c>
      <c r="D3716" t="s">
        <v>141</v>
      </c>
      <c r="E3716">
        <v>4</v>
      </c>
      <c r="H3716">
        <v>4</v>
      </c>
      <c r="I3716" t="s">
        <v>142</v>
      </c>
      <c r="J3716" t="s">
        <v>138</v>
      </c>
      <c r="K3716">
        <v>0</v>
      </c>
      <c r="L3716">
        <v>3</v>
      </c>
      <c r="M3716">
        <v>0</v>
      </c>
      <c r="N3716">
        <v>2</v>
      </c>
      <c r="O3716">
        <v>0</v>
      </c>
      <c r="P3716">
        <v>1</v>
      </c>
      <c r="Q3716">
        <v>0</v>
      </c>
      <c r="S3716" t="str">
        <f t="shared" si="1365"/>
        <v>19:35:32.000</v>
      </c>
      <c r="T3716" t="str">
        <f t="shared" si="1365"/>
        <v>19:35:32.000</v>
      </c>
      <c r="U3716" t="str">
        <f t="shared" si="1367"/>
        <v>AC3944</v>
      </c>
      <c r="V3716">
        <v>0</v>
      </c>
      <c r="W3716">
        <v>0</v>
      </c>
      <c r="X3716">
        <v>2</v>
      </c>
      <c r="Y3716">
        <v>0</v>
      </c>
      <c r="AA3716">
        <v>1</v>
      </c>
      <c r="AB3716">
        <v>8</v>
      </c>
      <c r="AC3716">
        <v>3</v>
      </c>
      <c r="AD3716">
        <v>0</v>
      </c>
      <c r="AE3716">
        <v>9</v>
      </c>
      <c r="AF3716" t="s">
        <v>138</v>
      </c>
      <c r="AG3716">
        <v>0</v>
      </c>
      <c r="AH3716">
        <v>3</v>
      </c>
      <c r="AI3716">
        <v>1</v>
      </c>
      <c r="AJ3716">
        <v>0</v>
      </c>
      <c r="AK3716" t="s">
        <v>1213</v>
      </c>
      <c r="AL3716">
        <v>32.737304999999999</v>
      </c>
      <c r="AM3716" t="s">
        <v>1214</v>
      </c>
      <c r="AN3716">
        <v>-116.713793</v>
      </c>
      <c r="AO3716">
        <v>25</v>
      </c>
      <c r="AP3716">
        <v>4600</v>
      </c>
      <c r="AQ3716" t="s">
        <v>129</v>
      </c>
      <c r="AR3716">
        <v>125</v>
      </c>
      <c r="AS3716">
        <v>14</v>
      </c>
      <c r="AT3716">
        <v>192</v>
      </c>
      <c r="BB3716">
        <v>1200</v>
      </c>
      <c r="BC3716">
        <v>1</v>
      </c>
      <c r="BD3716" t="str">
        <f t="shared" si="1368"/>
        <v xml:space="preserve">N887QR  </v>
      </c>
      <c r="BE3716">
        <v>1</v>
      </c>
      <c r="BG3716">
        <v>0</v>
      </c>
      <c r="BH3716">
        <v>0</v>
      </c>
      <c r="BI3716">
        <v>0</v>
      </c>
      <c r="BJ3716">
        <v>4375</v>
      </c>
      <c r="BK3716">
        <v>-225</v>
      </c>
      <c r="BL3716" t="s">
        <v>163</v>
      </c>
      <c r="BM3716">
        <v>1</v>
      </c>
      <c r="BN3716">
        <v>1</v>
      </c>
      <c r="BO3716">
        <v>1</v>
      </c>
      <c r="BP3716">
        <v>0</v>
      </c>
      <c r="BS3716">
        <v>0</v>
      </c>
      <c r="BT3716">
        <v>0</v>
      </c>
      <c r="BU3716">
        <v>0</v>
      </c>
      <c r="CE3716" t="str">
        <f t="shared" si="1366"/>
        <v>19:35:32.498</v>
      </c>
      <c r="CF3716">
        <v>497836077</v>
      </c>
      <c r="CS3716">
        <v>0</v>
      </c>
      <c r="CT3716">
        <v>2</v>
      </c>
      <c r="CU3716">
        <v>0</v>
      </c>
      <c r="CV3716">
        <v>2</v>
      </c>
      <c r="CW3716">
        <v>0</v>
      </c>
      <c r="CX3716">
        <v>5</v>
      </c>
      <c r="CY3716">
        <v>7</v>
      </c>
      <c r="CZ3716" t="s">
        <v>131</v>
      </c>
      <c r="DA3716">
        <v>286</v>
      </c>
      <c r="DB3716">
        <v>0</v>
      </c>
      <c r="DC3716" t="s">
        <v>132</v>
      </c>
      <c r="DD3716" t="s">
        <v>133</v>
      </c>
      <c r="DG3716">
        <v>888500</v>
      </c>
      <c r="DI3716">
        <v>1</v>
      </c>
      <c r="DJ3716">
        <v>0</v>
      </c>
      <c r="DK3716">
        <v>1</v>
      </c>
      <c r="DL3716">
        <v>0</v>
      </c>
      <c r="DM3716">
        <v>0</v>
      </c>
      <c r="DN3716">
        <v>1</v>
      </c>
      <c r="DO3716">
        <v>0</v>
      </c>
      <c r="DP3716">
        <v>0</v>
      </c>
      <c r="DQ3716">
        <v>0</v>
      </c>
      <c r="DR3716">
        <v>0</v>
      </c>
      <c r="DS3716">
        <v>0</v>
      </c>
    </row>
    <row r="3717" spans="1:123" x14ac:dyDescent="0.3">
      <c r="A3717" t="str">
        <f>"10/04/2022 19:35:34.104"</f>
        <v>10/04/2022 19:35:34.104</v>
      </c>
      <c r="C3717" t="str">
        <f t="shared" si="1357"/>
        <v>FFDFD3C0</v>
      </c>
      <c r="D3717" t="s">
        <v>143</v>
      </c>
      <c r="E3717">
        <v>20</v>
      </c>
      <c r="F3717">
        <v>1020</v>
      </c>
      <c r="G3717" t="s">
        <v>144</v>
      </c>
      <c r="J3717" t="s">
        <v>145</v>
      </c>
      <c r="K3717">
        <v>0</v>
      </c>
      <c r="L3717">
        <v>3</v>
      </c>
      <c r="M3717">
        <v>0</v>
      </c>
      <c r="N3717">
        <v>2</v>
      </c>
      <c r="O3717">
        <v>0</v>
      </c>
      <c r="P3717">
        <v>1</v>
      </c>
      <c r="Q3717">
        <v>0</v>
      </c>
      <c r="S3717" t="str">
        <f t="shared" ref="S3717:T3723" si="1369">"19:35:33.000"</f>
        <v>19:35:33.000</v>
      </c>
      <c r="T3717" t="str">
        <f t="shared" si="1369"/>
        <v>19:35:33.000</v>
      </c>
      <c r="U3717" t="str">
        <f t="shared" si="1367"/>
        <v>AC3944</v>
      </c>
      <c r="V3717">
        <v>0</v>
      </c>
      <c r="W3717">
        <v>0</v>
      </c>
      <c r="X3717">
        <v>2</v>
      </c>
      <c r="Y3717">
        <v>0</v>
      </c>
      <c r="AA3717">
        <v>1</v>
      </c>
      <c r="AB3717">
        <v>8</v>
      </c>
      <c r="AC3717">
        <v>3</v>
      </c>
      <c r="AD3717">
        <v>0</v>
      </c>
      <c r="AE3717">
        <v>9</v>
      </c>
      <c r="AF3717" t="s">
        <v>138</v>
      </c>
      <c r="AG3717">
        <v>0</v>
      </c>
      <c r="AH3717">
        <v>3</v>
      </c>
      <c r="AI3717">
        <v>1</v>
      </c>
      <c r="AJ3717">
        <v>0</v>
      </c>
      <c r="AK3717" t="s">
        <v>1215</v>
      </c>
      <c r="AL3717">
        <v>32.737411999999999</v>
      </c>
      <c r="AM3717" t="s">
        <v>1216</v>
      </c>
      <c r="AN3717">
        <v>-116.712549</v>
      </c>
      <c r="AO3717">
        <v>25</v>
      </c>
      <c r="AP3717">
        <v>4600</v>
      </c>
      <c r="AQ3717" t="s">
        <v>129</v>
      </c>
      <c r="AR3717">
        <v>126</v>
      </c>
      <c r="AS3717">
        <v>13</v>
      </c>
      <c r="AT3717">
        <v>192</v>
      </c>
      <c r="BB3717">
        <v>1200</v>
      </c>
      <c r="BC3717">
        <v>1</v>
      </c>
      <c r="BD3717" t="str">
        <f t="shared" si="1368"/>
        <v xml:space="preserve">N887QR  </v>
      </c>
      <c r="BE3717">
        <v>1</v>
      </c>
      <c r="BG3717">
        <v>0</v>
      </c>
      <c r="BH3717">
        <v>0</v>
      </c>
      <c r="BI3717">
        <v>0</v>
      </c>
      <c r="BJ3717">
        <v>4375</v>
      </c>
      <c r="BK3717">
        <v>-225</v>
      </c>
      <c r="BL3717" t="s">
        <v>163</v>
      </c>
      <c r="BM3717">
        <v>1</v>
      </c>
      <c r="BN3717">
        <v>1</v>
      </c>
      <c r="BO3717">
        <v>1</v>
      </c>
      <c r="BP3717">
        <v>0</v>
      </c>
      <c r="BS3717">
        <v>0</v>
      </c>
      <c r="BT3717">
        <v>0</v>
      </c>
      <c r="BU3717">
        <v>0</v>
      </c>
      <c r="CE3717" t="str">
        <f t="shared" ref="CE3717:CE3723" si="1370">"19:35:33.860"</f>
        <v>19:35:33.860</v>
      </c>
      <c r="CF3717">
        <v>860152236</v>
      </c>
      <c r="CS3717">
        <v>0</v>
      </c>
      <c r="CT3717">
        <v>2</v>
      </c>
      <c r="CU3717">
        <v>0</v>
      </c>
      <c r="CV3717">
        <v>2</v>
      </c>
      <c r="CW3717">
        <v>0</v>
      </c>
      <c r="CX3717">
        <v>5</v>
      </c>
      <c r="CY3717">
        <v>7</v>
      </c>
      <c r="CZ3717" t="s">
        <v>131</v>
      </c>
      <c r="DA3717">
        <v>300</v>
      </c>
      <c r="DB3717">
        <v>0</v>
      </c>
      <c r="DC3717" t="s">
        <v>176</v>
      </c>
      <c r="DD3717" t="s">
        <v>177</v>
      </c>
      <c r="DG3717">
        <v>5446015</v>
      </c>
      <c r="DI3717">
        <v>1</v>
      </c>
      <c r="DJ3717">
        <v>0</v>
      </c>
      <c r="DK3717">
        <v>0</v>
      </c>
      <c r="DL3717">
        <v>0</v>
      </c>
      <c r="DM3717">
        <v>0</v>
      </c>
      <c r="DN3717">
        <v>1</v>
      </c>
      <c r="DO3717">
        <v>0</v>
      </c>
      <c r="DP3717">
        <v>0</v>
      </c>
      <c r="DQ3717">
        <v>0</v>
      </c>
      <c r="DR3717">
        <v>0</v>
      </c>
      <c r="DS3717">
        <v>0</v>
      </c>
    </row>
    <row r="3718" spans="1:123" x14ac:dyDescent="0.3">
      <c r="A3718" t="str">
        <f>"10/04/2022 19:35:34.104"</f>
        <v>10/04/2022 19:35:34.104</v>
      </c>
      <c r="C3718" t="str">
        <f t="shared" si="1357"/>
        <v>FFDFD3C0</v>
      </c>
      <c r="D3718" t="s">
        <v>147</v>
      </c>
      <c r="E3718">
        <v>3</v>
      </c>
      <c r="H3718">
        <v>166</v>
      </c>
      <c r="I3718" t="s">
        <v>144</v>
      </c>
      <c r="J3718" t="s">
        <v>148</v>
      </c>
      <c r="K3718">
        <v>0</v>
      </c>
      <c r="L3718">
        <v>3</v>
      </c>
      <c r="M3718">
        <v>0</v>
      </c>
      <c r="N3718">
        <v>2</v>
      </c>
      <c r="O3718">
        <v>0</v>
      </c>
      <c r="P3718">
        <v>1</v>
      </c>
      <c r="Q3718">
        <v>0</v>
      </c>
      <c r="S3718" t="str">
        <f t="shared" si="1369"/>
        <v>19:35:33.000</v>
      </c>
      <c r="T3718" t="str">
        <f t="shared" si="1369"/>
        <v>19:35:33.000</v>
      </c>
      <c r="U3718" t="str">
        <f t="shared" si="1367"/>
        <v>AC3944</v>
      </c>
      <c r="V3718">
        <v>0</v>
      </c>
      <c r="W3718">
        <v>0</v>
      </c>
      <c r="X3718">
        <v>2</v>
      </c>
      <c r="Y3718">
        <v>0</v>
      </c>
      <c r="AA3718">
        <v>1</v>
      </c>
      <c r="AB3718">
        <v>8</v>
      </c>
      <c r="AC3718">
        <v>3</v>
      </c>
      <c r="AD3718">
        <v>0</v>
      </c>
      <c r="AE3718">
        <v>9</v>
      </c>
      <c r="AF3718" t="s">
        <v>138</v>
      </c>
      <c r="AG3718">
        <v>0</v>
      </c>
      <c r="AH3718">
        <v>3</v>
      </c>
      <c r="AI3718">
        <v>1</v>
      </c>
      <c r="AJ3718">
        <v>0</v>
      </c>
      <c r="AK3718" t="s">
        <v>1215</v>
      </c>
      <c r="AL3718">
        <v>32.737411999999999</v>
      </c>
      <c r="AM3718" t="s">
        <v>1216</v>
      </c>
      <c r="AN3718">
        <v>-116.712549</v>
      </c>
      <c r="AO3718">
        <v>25</v>
      </c>
      <c r="AP3718">
        <v>4600</v>
      </c>
      <c r="AQ3718" t="s">
        <v>129</v>
      </c>
      <c r="AR3718">
        <v>126</v>
      </c>
      <c r="AS3718">
        <v>13</v>
      </c>
      <c r="AT3718">
        <v>192</v>
      </c>
      <c r="BB3718">
        <v>1200</v>
      </c>
      <c r="BC3718">
        <v>1</v>
      </c>
      <c r="BD3718" t="str">
        <f t="shared" si="1368"/>
        <v xml:space="preserve">N887QR  </v>
      </c>
      <c r="BE3718">
        <v>1</v>
      </c>
      <c r="BG3718">
        <v>0</v>
      </c>
      <c r="BH3718">
        <v>0</v>
      </c>
      <c r="BI3718">
        <v>0</v>
      </c>
      <c r="BJ3718">
        <v>4375</v>
      </c>
      <c r="BK3718">
        <v>-225</v>
      </c>
      <c r="BL3718" t="s">
        <v>163</v>
      </c>
      <c r="BM3718">
        <v>1</v>
      </c>
      <c r="BN3718">
        <v>1</v>
      </c>
      <c r="BO3718">
        <v>1</v>
      </c>
      <c r="BP3718">
        <v>0</v>
      </c>
      <c r="BS3718">
        <v>0</v>
      </c>
      <c r="BT3718">
        <v>0</v>
      </c>
      <c r="BU3718">
        <v>0</v>
      </c>
      <c r="CE3718" t="str">
        <f t="shared" si="1370"/>
        <v>19:35:33.860</v>
      </c>
      <c r="CF3718">
        <v>860152236</v>
      </c>
      <c r="CS3718">
        <v>0</v>
      </c>
      <c r="CT3718">
        <v>2</v>
      </c>
      <c r="CU3718">
        <v>0</v>
      </c>
      <c r="CV3718">
        <v>2</v>
      </c>
      <c r="CW3718">
        <v>0</v>
      </c>
      <c r="CX3718">
        <v>5</v>
      </c>
      <c r="CY3718">
        <v>7</v>
      </c>
      <c r="CZ3718" t="s">
        <v>131</v>
      </c>
      <c r="DA3718">
        <v>300</v>
      </c>
      <c r="DB3718">
        <v>0</v>
      </c>
      <c r="DC3718" t="s">
        <v>176</v>
      </c>
      <c r="DD3718" t="s">
        <v>177</v>
      </c>
      <c r="DG3718">
        <v>5446015</v>
      </c>
      <c r="DI3718">
        <v>1</v>
      </c>
      <c r="DJ3718">
        <v>0</v>
      </c>
      <c r="DK3718">
        <v>1</v>
      </c>
      <c r="DL3718">
        <v>0</v>
      </c>
      <c r="DM3718">
        <v>0</v>
      </c>
      <c r="DN3718">
        <v>1</v>
      </c>
      <c r="DO3718">
        <v>0</v>
      </c>
      <c r="DP3718">
        <v>0</v>
      </c>
      <c r="DQ3718">
        <v>0</v>
      </c>
      <c r="DR3718">
        <v>0</v>
      </c>
      <c r="DS3718">
        <v>0</v>
      </c>
    </row>
    <row r="3719" spans="1:123" x14ac:dyDescent="0.3">
      <c r="A3719" t="str">
        <f>"10/04/2022 19:35:34.104"</f>
        <v>10/04/2022 19:35:34.104</v>
      </c>
      <c r="C3719" t="str">
        <f t="shared" si="1357"/>
        <v>FFDFD3C0</v>
      </c>
      <c r="D3719" t="s">
        <v>136</v>
      </c>
      <c r="E3719">
        <v>8</v>
      </c>
      <c r="H3719">
        <v>225</v>
      </c>
      <c r="I3719" t="s">
        <v>137</v>
      </c>
      <c r="J3719" t="s">
        <v>138</v>
      </c>
      <c r="K3719">
        <v>0</v>
      </c>
      <c r="L3719">
        <v>3</v>
      </c>
      <c r="M3719">
        <v>0</v>
      </c>
      <c r="N3719">
        <v>2</v>
      </c>
      <c r="O3719">
        <v>0</v>
      </c>
      <c r="P3719">
        <v>1</v>
      </c>
      <c r="Q3719">
        <v>0</v>
      </c>
      <c r="S3719" t="str">
        <f t="shared" si="1369"/>
        <v>19:35:33.000</v>
      </c>
      <c r="T3719" t="str">
        <f t="shared" si="1369"/>
        <v>19:35:33.000</v>
      </c>
      <c r="U3719" t="str">
        <f t="shared" si="1367"/>
        <v>AC3944</v>
      </c>
      <c r="V3719">
        <v>0</v>
      </c>
      <c r="W3719">
        <v>0</v>
      </c>
      <c r="X3719">
        <v>2</v>
      </c>
      <c r="Y3719">
        <v>0</v>
      </c>
      <c r="AA3719">
        <v>1</v>
      </c>
      <c r="AB3719">
        <v>8</v>
      </c>
      <c r="AC3719">
        <v>3</v>
      </c>
      <c r="AD3719">
        <v>0</v>
      </c>
      <c r="AE3719">
        <v>9</v>
      </c>
      <c r="AF3719" t="s">
        <v>138</v>
      </c>
      <c r="AG3719">
        <v>0</v>
      </c>
      <c r="AH3719">
        <v>3</v>
      </c>
      <c r="AI3719">
        <v>1</v>
      </c>
      <c r="AJ3719">
        <v>0</v>
      </c>
      <c r="AK3719" t="s">
        <v>1215</v>
      </c>
      <c r="AL3719">
        <v>32.737411999999999</v>
      </c>
      <c r="AM3719" t="s">
        <v>1216</v>
      </c>
      <c r="AN3719">
        <v>-116.712549</v>
      </c>
      <c r="AO3719">
        <v>25</v>
      </c>
      <c r="AP3719">
        <v>4600</v>
      </c>
      <c r="AQ3719" t="s">
        <v>129</v>
      </c>
      <c r="AR3719">
        <v>126</v>
      </c>
      <c r="AS3719">
        <v>13</v>
      </c>
      <c r="AT3719">
        <v>192</v>
      </c>
      <c r="BB3719">
        <v>1200</v>
      </c>
      <c r="BC3719">
        <v>1</v>
      </c>
      <c r="BD3719" t="str">
        <f t="shared" si="1368"/>
        <v xml:space="preserve">N887QR  </v>
      </c>
      <c r="BE3719">
        <v>1</v>
      </c>
      <c r="BG3719">
        <v>0</v>
      </c>
      <c r="BH3719">
        <v>0</v>
      </c>
      <c r="BI3719">
        <v>0</v>
      </c>
      <c r="BJ3719">
        <v>4375</v>
      </c>
      <c r="BK3719">
        <v>-225</v>
      </c>
      <c r="BL3719" t="s">
        <v>163</v>
      </c>
      <c r="BM3719">
        <v>1</v>
      </c>
      <c r="BN3719">
        <v>1</v>
      </c>
      <c r="BO3719">
        <v>1</v>
      </c>
      <c r="BP3719">
        <v>0</v>
      </c>
      <c r="BS3719">
        <v>0</v>
      </c>
      <c r="BT3719">
        <v>0</v>
      </c>
      <c r="BU3719">
        <v>0</v>
      </c>
      <c r="CE3719" t="str">
        <f t="shared" si="1370"/>
        <v>19:35:33.860</v>
      </c>
      <c r="CF3719">
        <v>860152236</v>
      </c>
      <c r="CS3719">
        <v>0</v>
      </c>
      <c r="CT3719">
        <v>2</v>
      </c>
      <c r="CU3719">
        <v>0</v>
      </c>
      <c r="CV3719">
        <v>2</v>
      </c>
      <c r="CW3719">
        <v>0</v>
      </c>
      <c r="CX3719">
        <v>5</v>
      </c>
      <c r="CY3719">
        <v>7</v>
      </c>
      <c r="CZ3719" t="s">
        <v>131</v>
      </c>
      <c r="DA3719">
        <v>300</v>
      </c>
      <c r="DB3719">
        <v>0</v>
      </c>
      <c r="DC3719" t="s">
        <v>176</v>
      </c>
      <c r="DD3719" t="s">
        <v>177</v>
      </c>
      <c r="DG3719">
        <v>5446015</v>
      </c>
      <c r="DI3719">
        <v>1</v>
      </c>
      <c r="DJ3719">
        <v>0</v>
      </c>
      <c r="DK3719">
        <v>1</v>
      </c>
      <c r="DL3719">
        <v>0</v>
      </c>
      <c r="DM3719">
        <v>0</v>
      </c>
      <c r="DN3719">
        <v>1</v>
      </c>
      <c r="DO3719">
        <v>0</v>
      </c>
      <c r="DP3719">
        <v>0</v>
      </c>
      <c r="DQ3719">
        <v>0</v>
      </c>
      <c r="DR3719">
        <v>0</v>
      </c>
      <c r="DS3719">
        <v>0</v>
      </c>
    </row>
    <row r="3720" spans="1:123" x14ac:dyDescent="0.3">
      <c r="A3720" t="str">
        <f>"10/04/2022 19:35:34.104"</f>
        <v>10/04/2022 19:35:34.104</v>
      </c>
      <c r="C3720" t="str">
        <f t="shared" si="1357"/>
        <v>FFDFD3C0</v>
      </c>
      <c r="D3720" t="s">
        <v>123</v>
      </c>
      <c r="E3720">
        <v>7</v>
      </c>
      <c r="F3720">
        <v>2007</v>
      </c>
      <c r="G3720" t="s">
        <v>124</v>
      </c>
      <c r="J3720" t="s">
        <v>125</v>
      </c>
      <c r="K3720">
        <v>0</v>
      </c>
      <c r="L3720">
        <v>3</v>
      </c>
      <c r="M3720">
        <v>0</v>
      </c>
      <c r="N3720">
        <v>2</v>
      </c>
      <c r="O3720">
        <v>0</v>
      </c>
      <c r="P3720">
        <v>1</v>
      </c>
      <c r="Q3720">
        <v>0</v>
      </c>
      <c r="S3720" t="str">
        <f t="shared" si="1369"/>
        <v>19:35:33.000</v>
      </c>
      <c r="T3720" t="str">
        <f t="shared" si="1369"/>
        <v>19:35:33.000</v>
      </c>
      <c r="U3720" t="str">
        <f t="shared" si="1367"/>
        <v>AC3944</v>
      </c>
      <c r="V3720">
        <v>0</v>
      </c>
      <c r="W3720">
        <v>0</v>
      </c>
      <c r="X3720">
        <v>2</v>
      </c>
      <c r="Y3720">
        <v>0</v>
      </c>
      <c r="AA3720">
        <v>1</v>
      </c>
      <c r="AB3720">
        <v>8</v>
      </c>
      <c r="AC3720">
        <v>3</v>
      </c>
      <c r="AD3720">
        <v>0</v>
      </c>
      <c r="AE3720">
        <v>9</v>
      </c>
      <c r="AF3720" t="s">
        <v>138</v>
      </c>
      <c r="AG3720">
        <v>0</v>
      </c>
      <c r="AH3720">
        <v>3</v>
      </c>
      <c r="AI3720">
        <v>1</v>
      </c>
      <c r="AJ3720">
        <v>0</v>
      </c>
      <c r="AK3720" t="s">
        <v>1215</v>
      </c>
      <c r="AL3720">
        <v>32.737411999999999</v>
      </c>
      <c r="AM3720" t="s">
        <v>1216</v>
      </c>
      <c r="AN3720">
        <v>-116.712549</v>
      </c>
      <c r="AO3720">
        <v>25</v>
      </c>
      <c r="AP3720">
        <v>4600</v>
      </c>
      <c r="AQ3720" t="s">
        <v>129</v>
      </c>
      <c r="AR3720">
        <v>126</v>
      </c>
      <c r="AS3720">
        <v>13</v>
      </c>
      <c r="AT3720">
        <v>192</v>
      </c>
      <c r="BB3720">
        <v>1200</v>
      </c>
      <c r="BC3720">
        <v>1</v>
      </c>
      <c r="BD3720" t="str">
        <f t="shared" si="1368"/>
        <v xml:space="preserve">N887QR  </v>
      </c>
      <c r="BE3720">
        <v>1</v>
      </c>
      <c r="BG3720">
        <v>0</v>
      </c>
      <c r="BH3720">
        <v>0</v>
      </c>
      <c r="BI3720">
        <v>0</v>
      </c>
      <c r="BJ3720">
        <v>4375</v>
      </c>
      <c r="BK3720">
        <v>-225</v>
      </c>
      <c r="BL3720" t="s">
        <v>163</v>
      </c>
      <c r="BM3720">
        <v>1</v>
      </c>
      <c r="BN3720">
        <v>1</v>
      </c>
      <c r="BO3720">
        <v>1</v>
      </c>
      <c r="BP3720">
        <v>0</v>
      </c>
      <c r="BS3720">
        <v>0</v>
      </c>
      <c r="BT3720">
        <v>0</v>
      </c>
      <c r="BU3720">
        <v>0</v>
      </c>
      <c r="CE3720" t="str">
        <f t="shared" si="1370"/>
        <v>19:35:33.860</v>
      </c>
      <c r="CF3720">
        <v>860152236</v>
      </c>
      <c r="CS3720">
        <v>0</v>
      </c>
      <c r="CT3720">
        <v>2</v>
      </c>
      <c r="CU3720">
        <v>0</v>
      </c>
      <c r="CV3720">
        <v>2</v>
      </c>
      <c r="CW3720">
        <v>0</v>
      </c>
      <c r="CX3720">
        <v>5</v>
      </c>
      <c r="CY3720">
        <v>7</v>
      </c>
      <c r="CZ3720" t="s">
        <v>131</v>
      </c>
      <c r="DA3720">
        <v>300</v>
      </c>
      <c r="DB3720">
        <v>0</v>
      </c>
      <c r="DC3720" t="s">
        <v>176</v>
      </c>
      <c r="DD3720" t="s">
        <v>177</v>
      </c>
      <c r="DG3720">
        <v>5446015</v>
      </c>
      <c r="DI3720">
        <v>1</v>
      </c>
      <c r="DJ3720">
        <v>0</v>
      </c>
      <c r="DK3720">
        <v>1</v>
      </c>
      <c r="DL3720">
        <v>0</v>
      </c>
      <c r="DM3720">
        <v>0</v>
      </c>
      <c r="DN3720">
        <v>1</v>
      </c>
      <c r="DO3720">
        <v>0</v>
      </c>
      <c r="DP3720">
        <v>0</v>
      </c>
      <c r="DQ3720">
        <v>0</v>
      </c>
      <c r="DR3720">
        <v>0</v>
      </c>
      <c r="DS3720">
        <v>0</v>
      </c>
    </row>
    <row r="3721" spans="1:123" x14ac:dyDescent="0.3">
      <c r="A3721" t="str">
        <f>"10/04/2022 19:35:34.136"</f>
        <v>10/04/2022 19:35:34.136</v>
      </c>
      <c r="C3721" t="str">
        <f t="shared" si="1357"/>
        <v>FFDFD3C0</v>
      </c>
      <c r="D3721" t="s">
        <v>134</v>
      </c>
      <c r="E3721">
        <v>15</v>
      </c>
      <c r="J3721" t="s">
        <v>135</v>
      </c>
      <c r="K3721">
        <v>0</v>
      </c>
      <c r="L3721">
        <v>3</v>
      </c>
      <c r="M3721">
        <v>0</v>
      </c>
      <c r="N3721">
        <v>2</v>
      </c>
      <c r="O3721">
        <v>0</v>
      </c>
      <c r="P3721">
        <v>1</v>
      </c>
      <c r="Q3721">
        <v>0</v>
      </c>
      <c r="S3721" t="str">
        <f t="shared" si="1369"/>
        <v>19:35:33.000</v>
      </c>
      <c r="T3721" t="str">
        <f t="shared" si="1369"/>
        <v>19:35:33.000</v>
      </c>
      <c r="U3721" t="str">
        <f t="shared" si="1367"/>
        <v>AC3944</v>
      </c>
      <c r="V3721">
        <v>0</v>
      </c>
      <c r="W3721">
        <v>0</v>
      </c>
      <c r="X3721">
        <v>2</v>
      </c>
      <c r="Y3721">
        <v>0</v>
      </c>
      <c r="AA3721">
        <v>1</v>
      </c>
      <c r="AB3721">
        <v>8</v>
      </c>
      <c r="AC3721">
        <v>3</v>
      </c>
      <c r="AD3721">
        <v>0</v>
      </c>
      <c r="AE3721">
        <v>9</v>
      </c>
      <c r="AF3721" t="s">
        <v>138</v>
      </c>
      <c r="AG3721">
        <v>0</v>
      </c>
      <c r="AH3721">
        <v>3</v>
      </c>
      <c r="AI3721">
        <v>1</v>
      </c>
      <c r="AJ3721">
        <v>0</v>
      </c>
      <c r="AK3721" t="s">
        <v>1215</v>
      </c>
      <c r="AL3721">
        <v>32.737411999999999</v>
      </c>
      <c r="AM3721" t="s">
        <v>1216</v>
      </c>
      <c r="AN3721">
        <v>-116.712549</v>
      </c>
      <c r="AO3721">
        <v>25</v>
      </c>
      <c r="AP3721">
        <v>4600</v>
      </c>
      <c r="AQ3721" t="s">
        <v>129</v>
      </c>
      <c r="AR3721">
        <v>126</v>
      </c>
      <c r="AS3721">
        <v>13</v>
      </c>
      <c r="AT3721">
        <v>192</v>
      </c>
      <c r="BB3721">
        <v>1200</v>
      </c>
      <c r="BC3721">
        <v>1</v>
      </c>
      <c r="BD3721" t="str">
        <f t="shared" si="1368"/>
        <v xml:space="preserve">N887QR  </v>
      </c>
      <c r="BE3721">
        <v>1</v>
      </c>
      <c r="BG3721">
        <v>0</v>
      </c>
      <c r="BH3721">
        <v>0</v>
      </c>
      <c r="BI3721">
        <v>0</v>
      </c>
      <c r="BJ3721">
        <v>4375</v>
      </c>
      <c r="BK3721">
        <v>-225</v>
      </c>
      <c r="BL3721" t="s">
        <v>163</v>
      </c>
      <c r="BM3721">
        <v>1</v>
      </c>
      <c r="BN3721">
        <v>1</v>
      </c>
      <c r="BO3721">
        <v>1</v>
      </c>
      <c r="BP3721">
        <v>0</v>
      </c>
      <c r="BS3721">
        <v>0</v>
      </c>
      <c r="BT3721">
        <v>0</v>
      </c>
      <c r="BU3721">
        <v>0</v>
      </c>
      <c r="CE3721" t="str">
        <f t="shared" si="1370"/>
        <v>19:35:33.860</v>
      </c>
      <c r="CF3721">
        <v>860152236</v>
      </c>
      <c r="CS3721">
        <v>0</v>
      </c>
      <c r="CT3721">
        <v>2</v>
      </c>
      <c r="CU3721">
        <v>0</v>
      </c>
      <c r="CV3721">
        <v>2</v>
      </c>
      <c r="CW3721">
        <v>0</v>
      </c>
      <c r="CX3721">
        <v>5</v>
      </c>
      <c r="CY3721">
        <v>7</v>
      </c>
      <c r="CZ3721" t="s">
        <v>131</v>
      </c>
      <c r="DA3721">
        <v>300</v>
      </c>
      <c r="DB3721">
        <v>0</v>
      </c>
      <c r="DC3721" t="s">
        <v>176</v>
      </c>
      <c r="DD3721" t="s">
        <v>177</v>
      </c>
      <c r="DG3721">
        <v>5446015</v>
      </c>
      <c r="DI3721">
        <v>1</v>
      </c>
      <c r="DJ3721">
        <v>0</v>
      </c>
      <c r="DK3721">
        <v>1</v>
      </c>
      <c r="DL3721">
        <v>0</v>
      </c>
      <c r="DM3721">
        <v>0</v>
      </c>
      <c r="DN3721">
        <v>1</v>
      </c>
      <c r="DO3721">
        <v>0</v>
      </c>
      <c r="DP3721">
        <v>0</v>
      </c>
      <c r="DQ3721">
        <v>0</v>
      </c>
      <c r="DR3721">
        <v>0</v>
      </c>
      <c r="DS3721">
        <v>0</v>
      </c>
    </row>
    <row r="3722" spans="1:123" x14ac:dyDescent="0.3">
      <c r="A3722" t="str">
        <f>"10/04/2022 19:35:34.136"</f>
        <v>10/04/2022 19:35:34.136</v>
      </c>
      <c r="C3722" t="str">
        <f t="shared" si="1357"/>
        <v>FFDFD3C0</v>
      </c>
      <c r="D3722" t="s">
        <v>141</v>
      </c>
      <c r="E3722">
        <v>4</v>
      </c>
      <c r="H3722">
        <v>4</v>
      </c>
      <c r="I3722" t="s">
        <v>142</v>
      </c>
      <c r="J3722" t="s">
        <v>138</v>
      </c>
      <c r="K3722">
        <v>0</v>
      </c>
      <c r="L3722">
        <v>3</v>
      </c>
      <c r="M3722">
        <v>0</v>
      </c>
      <c r="N3722">
        <v>2</v>
      </c>
      <c r="O3722">
        <v>0</v>
      </c>
      <c r="P3722">
        <v>1</v>
      </c>
      <c r="Q3722">
        <v>0</v>
      </c>
      <c r="S3722" t="str">
        <f t="shared" si="1369"/>
        <v>19:35:33.000</v>
      </c>
      <c r="T3722" t="str">
        <f t="shared" si="1369"/>
        <v>19:35:33.000</v>
      </c>
      <c r="U3722" t="str">
        <f t="shared" si="1367"/>
        <v>AC3944</v>
      </c>
      <c r="V3722">
        <v>0</v>
      </c>
      <c r="W3722">
        <v>0</v>
      </c>
      <c r="X3722">
        <v>2</v>
      </c>
      <c r="Y3722">
        <v>0</v>
      </c>
      <c r="AA3722">
        <v>1</v>
      </c>
      <c r="AB3722">
        <v>8</v>
      </c>
      <c r="AC3722">
        <v>3</v>
      </c>
      <c r="AD3722">
        <v>0</v>
      </c>
      <c r="AE3722">
        <v>9</v>
      </c>
      <c r="AF3722" t="s">
        <v>138</v>
      </c>
      <c r="AG3722">
        <v>0</v>
      </c>
      <c r="AH3722">
        <v>3</v>
      </c>
      <c r="AI3722">
        <v>1</v>
      </c>
      <c r="AJ3722">
        <v>0</v>
      </c>
      <c r="AK3722" t="s">
        <v>1215</v>
      </c>
      <c r="AL3722">
        <v>32.737411999999999</v>
      </c>
      <c r="AM3722" t="s">
        <v>1216</v>
      </c>
      <c r="AN3722">
        <v>-116.712549</v>
      </c>
      <c r="AO3722">
        <v>25</v>
      </c>
      <c r="AP3722">
        <v>4600</v>
      </c>
      <c r="AQ3722" t="s">
        <v>129</v>
      </c>
      <c r="AR3722">
        <v>126</v>
      </c>
      <c r="AS3722">
        <v>13</v>
      </c>
      <c r="AT3722">
        <v>192</v>
      </c>
      <c r="BB3722">
        <v>1200</v>
      </c>
      <c r="BC3722">
        <v>1</v>
      </c>
      <c r="BD3722" t="str">
        <f t="shared" si="1368"/>
        <v xml:space="preserve">N887QR  </v>
      </c>
      <c r="BE3722">
        <v>1</v>
      </c>
      <c r="BG3722">
        <v>0</v>
      </c>
      <c r="BH3722">
        <v>0</v>
      </c>
      <c r="BI3722">
        <v>0</v>
      </c>
      <c r="BJ3722">
        <v>4375</v>
      </c>
      <c r="BK3722">
        <v>-225</v>
      </c>
      <c r="BL3722" t="s">
        <v>163</v>
      </c>
      <c r="BM3722">
        <v>1</v>
      </c>
      <c r="BN3722">
        <v>1</v>
      </c>
      <c r="BO3722">
        <v>1</v>
      </c>
      <c r="BP3722">
        <v>0</v>
      </c>
      <c r="BS3722">
        <v>0</v>
      </c>
      <c r="BT3722">
        <v>0</v>
      </c>
      <c r="BU3722">
        <v>0</v>
      </c>
      <c r="CE3722" t="str">
        <f t="shared" si="1370"/>
        <v>19:35:33.860</v>
      </c>
      <c r="CF3722">
        <v>860152236</v>
      </c>
      <c r="CS3722">
        <v>0</v>
      </c>
      <c r="CT3722">
        <v>2</v>
      </c>
      <c r="CU3722">
        <v>0</v>
      </c>
      <c r="CV3722">
        <v>2</v>
      </c>
      <c r="CW3722">
        <v>0</v>
      </c>
      <c r="CX3722">
        <v>5</v>
      </c>
      <c r="CY3722">
        <v>7</v>
      </c>
      <c r="CZ3722" t="s">
        <v>131</v>
      </c>
      <c r="DA3722">
        <v>300</v>
      </c>
      <c r="DB3722">
        <v>0</v>
      </c>
      <c r="DC3722" t="s">
        <v>176</v>
      </c>
      <c r="DD3722" t="s">
        <v>177</v>
      </c>
      <c r="DG3722">
        <v>5446015</v>
      </c>
      <c r="DI3722">
        <v>1</v>
      </c>
      <c r="DJ3722">
        <v>0</v>
      </c>
      <c r="DK3722">
        <v>1</v>
      </c>
      <c r="DL3722">
        <v>0</v>
      </c>
      <c r="DM3722">
        <v>0</v>
      </c>
      <c r="DN3722">
        <v>1</v>
      </c>
      <c r="DO3722">
        <v>0</v>
      </c>
      <c r="DP3722">
        <v>0</v>
      </c>
      <c r="DQ3722">
        <v>0</v>
      </c>
      <c r="DR3722">
        <v>0</v>
      </c>
      <c r="DS3722">
        <v>0</v>
      </c>
    </row>
    <row r="3723" spans="1:123" x14ac:dyDescent="0.3">
      <c r="A3723" t="str">
        <f>"10/04/2022 19:35:34.136"</f>
        <v>10/04/2022 19:35:34.136</v>
      </c>
      <c r="C3723" t="str">
        <f t="shared" si="1357"/>
        <v>FFDFD3C0</v>
      </c>
      <c r="D3723" t="s">
        <v>141</v>
      </c>
      <c r="E3723">
        <v>3</v>
      </c>
      <c r="H3723">
        <v>3</v>
      </c>
      <c r="I3723" t="s">
        <v>146</v>
      </c>
      <c r="J3723" t="s">
        <v>138</v>
      </c>
      <c r="K3723">
        <v>0</v>
      </c>
      <c r="L3723">
        <v>3</v>
      </c>
      <c r="M3723">
        <v>0</v>
      </c>
      <c r="N3723">
        <v>2</v>
      </c>
      <c r="O3723">
        <v>0</v>
      </c>
      <c r="P3723">
        <v>1</v>
      </c>
      <c r="Q3723">
        <v>0</v>
      </c>
      <c r="S3723" t="str">
        <f t="shared" si="1369"/>
        <v>19:35:33.000</v>
      </c>
      <c r="T3723" t="str">
        <f t="shared" si="1369"/>
        <v>19:35:33.000</v>
      </c>
      <c r="U3723" t="str">
        <f t="shared" si="1367"/>
        <v>AC3944</v>
      </c>
      <c r="V3723">
        <v>0</v>
      </c>
      <c r="W3723">
        <v>0</v>
      </c>
      <c r="X3723">
        <v>2</v>
      </c>
      <c r="Y3723">
        <v>0</v>
      </c>
      <c r="AA3723">
        <v>1</v>
      </c>
      <c r="AB3723">
        <v>8</v>
      </c>
      <c r="AC3723">
        <v>3</v>
      </c>
      <c r="AD3723">
        <v>0</v>
      </c>
      <c r="AE3723">
        <v>9</v>
      </c>
      <c r="AF3723" t="s">
        <v>138</v>
      </c>
      <c r="AG3723">
        <v>0</v>
      </c>
      <c r="AH3723">
        <v>3</v>
      </c>
      <c r="AI3723">
        <v>1</v>
      </c>
      <c r="AJ3723">
        <v>0</v>
      </c>
      <c r="AK3723" t="s">
        <v>1215</v>
      </c>
      <c r="AL3723">
        <v>32.737411999999999</v>
      </c>
      <c r="AM3723" t="s">
        <v>1216</v>
      </c>
      <c r="AN3723">
        <v>-116.712549</v>
      </c>
      <c r="AO3723">
        <v>25</v>
      </c>
      <c r="AP3723">
        <v>4600</v>
      </c>
      <c r="AQ3723" t="s">
        <v>129</v>
      </c>
      <c r="AR3723">
        <v>126</v>
      </c>
      <c r="AS3723">
        <v>13</v>
      </c>
      <c r="AT3723">
        <v>192</v>
      </c>
      <c r="BB3723">
        <v>1200</v>
      </c>
      <c r="BC3723">
        <v>1</v>
      </c>
      <c r="BD3723" t="str">
        <f t="shared" si="1368"/>
        <v xml:space="preserve">N887QR  </v>
      </c>
      <c r="BE3723">
        <v>1</v>
      </c>
      <c r="BG3723">
        <v>0</v>
      </c>
      <c r="BH3723">
        <v>0</v>
      </c>
      <c r="BI3723">
        <v>0</v>
      </c>
      <c r="BJ3723">
        <v>4375</v>
      </c>
      <c r="BK3723">
        <v>-225</v>
      </c>
      <c r="BL3723" t="s">
        <v>163</v>
      </c>
      <c r="BM3723">
        <v>1</v>
      </c>
      <c r="BN3723">
        <v>1</v>
      </c>
      <c r="BO3723">
        <v>1</v>
      </c>
      <c r="BP3723">
        <v>0</v>
      </c>
      <c r="BS3723">
        <v>0</v>
      </c>
      <c r="BT3723">
        <v>0</v>
      </c>
      <c r="BU3723">
        <v>0</v>
      </c>
      <c r="CE3723" t="str">
        <f t="shared" si="1370"/>
        <v>19:35:33.860</v>
      </c>
      <c r="CF3723">
        <v>860152236</v>
      </c>
      <c r="CS3723">
        <v>0</v>
      </c>
      <c r="CT3723">
        <v>2</v>
      </c>
      <c r="CU3723">
        <v>0</v>
      </c>
      <c r="CV3723">
        <v>2</v>
      </c>
      <c r="CW3723">
        <v>0</v>
      </c>
      <c r="CX3723">
        <v>5</v>
      </c>
      <c r="CY3723">
        <v>7</v>
      </c>
      <c r="CZ3723" t="s">
        <v>131</v>
      </c>
      <c r="DA3723">
        <v>300</v>
      </c>
      <c r="DB3723">
        <v>0</v>
      </c>
      <c r="DC3723" t="s">
        <v>176</v>
      </c>
      <c r="DD3723" t="s">
        <v>177</v>
      </c>
      <c r="DG3723">
        <v>5446015</v>
      </c>
      <c r="DI3723">
        <v>1</v>
      </c>
      <c r="DJ3723">
        <v>0</v>
      </c>
      <c r="DK3723">
        <v>1</v>
      </c>
      <c r="DL3723">
        <v>0</v>
      </c>
      <c r="DM3723">
        <v>0</v>
      </c>
      <c r="DN3723">
        <v>1</v>
      </c>
      <c r="DO3723">
        <v>0</v>
      </c>
      <c r="DP3723">
        <v>0</v>
      </c>
      <c r="DQ3723">
        <v>0</v>
      </c>
      <c r="DR3723">
        <v>0</v>
      </c>
      <c r="DS3723">
        <v>0</v>
      </c>
    </row>
    <row r="3724" spans="1:123" x14ac:dyDescent="0.3">
      <c r="A3724" t="str">
        <f>"10/04/2022 19:35:35.151"</f>
        <v>10/04/2022 19:35:35.151</v>
      </c>
      <c r="C3724" t="str">
        <f t="shared" si="1357"/>
        <v>FFDFD3C0</v>
      </c>
      <c r="D3724" t="s">
        <v>141</v>
      </c>
      <c r="E3724">
        <v>4</v>
      </c>
      <c r="H3724">
        <v>4</v>
      </c>
      <c r="I3724" t="s">
        <v>142</v>
      </c>
      <c r="J3724" t="s">
        <v>138</v>
      </c>
      <c r="K3724">
        <v>0</v>
      </c>
      <c r="L3724">
        <v>3</v>
      </c>
      <c r="M3724">
        <v>0</v>
      </c>
      <c r="N3724">
        <v>2</v>
      </c>
      <c r="O3724">
        <v>0</v>
      </c>
      <c r="P3724">
        <v>1</v>
      </c>
      <c r="Q3724">
        <v>0</v>
      </c>
      <c r="S3724" t="str">
        <f t="shared" ref="S3724:T3730" si="1371">"19:35:34.000"</f>
        <v>19:35:34.000</v>
      </c>
      <c r="T3724" t="str">
        <f t="shared" si="1371"/>
        <v>19:35:34.000</v>
      </c>
      <c r="U3724" t="str">
        <f t="shared" si="1367"/>
        <v>AC3944</v>
      </c>
      <c r="V3724">
        <v>0</v>
      </c>
      <c r="W3724">
        <v>0</v>
      </c>
      <c r="X3724">
        <v>2</v>
      </c>
      <c r="Y3724">
        <v>0</v>
      </c>
      <c r="AA3724">
        <v>1</v>
      </c>
      <c r="AB3724">
        <v>8</v>
      </c>
      <c r="AC3724">
        <v>3</v>
      </c>
      <c r="AD3724">
        <v>0</v>
      </c>
      <c r="AE3724">
        <v>9</v>
      </c>
      <c r="AF3724" t="s">
        <v>138</v>
      </c>
      <c r="AG3724">
        <v>0</v>
      </c>
      <c r="AH3724">
        <v>3</v>
      </c>
      <c r="AI3724">
        <v>1</v>
      </c>
      <c r="AJ3724">
        <v>0</v>
      </c>
      <c r="AK3724" t="s">
        <v>1217</v>
      </c>
      <c r="AL3724">
        <v>32.737476999999998</v>
      </c>
      <c r="AM3724" t="s">
        <v>1218</v>
      </c>
      <c r="AN3724">
        <v>-116.711862</v>
      </c>
      <c r="AO3724">
        <v>25</v>
      </c>
      <c r="AP3724">
        <v>4600</v>
      </c>
      <c r="AQ3724" t="s">
        <v>129</v>
      </c>
      <c r="AR3724">
        <v>126</v>
      </c>
      <c r="AS3724">
        <v>12</v>
      </c>
      <c r="AT3724">
        <v>256</v>
      </c>
      <c r="BB3724">
        <v>1200</v>
      </c>
      <c r="BC3724">
        <v>1</v>
      </c>
      <c r="BD3724" t="str">
        <f t="shared" si="1368"/>
        <v xml:space="preserve">N887QR  </v>
      </c>
      <c r="BE3724">
        <v>1</v>
      </c>
      <c r="BG3724">
        <v>0</v>
      </c>
      <c r="BH3724">
        <v>0</v>
      </c>
      <c r="BI3724">
        <v>0</v>
      </c>
      <c r="BJ3724">
        <v>4400</v>
      </c>
      <c r="BK3724">
        <v>-200</v>
      </c>
      <c r="BL3724" t="s">
        <v>163</v>
      </c>
      <c r="BM3724">
        <v>1</v>
      </c>
      <c r="BN3724">
        <v>1</v>
      </c>
      <c r="BO3724">
        <v>1</v>
      </c>
      <c r="BP3724">
        <v>0</v>
      </c>
      <c r="BS3724">
        <v>0</v>
      </c>
      <c r="BT3724">
        <v>0</v>
      </c>
      <c r="BU3724">
        <v>0</v>
      </c>
      <c r="CE3724" t="str">
        <f t="shared" ref="CE3724:CE3730" si="1372">"19:35:34.951"</f>
        <v>19:35:34.951</v>
      </c>
      <c r="CF3724">
        <v>951344296</v>
      </c>
      <c r="CS3724">
        <v>0</v>
      </c>
      <c r="CT3724">
        <v>2</v>
      </c>
      <c r="CU3724">
        <v>0</v>
      </c>
      <c r="CV3724">
        <v>2</v>
      </c>
      <c r="CW3724">
        <v>2</v>
      </c>
      <c r="CX3724">
        <v>5</v>
      </c>
      <c r="CY3724">
        <v>7</v>
      </c>
      <c r="CZ3724" t="s">
        <v>131</v>
      </c>
      <c r="DA3724">
        <v>286</v>
      </c>
      <c r="DB3724">
        <v>0</v>
      </c>
      <c r="DC3724" t="s">
        <v>132</v>
      </c>
      <c r="DD3724" t="s">
        <v>133</v>
      </c>
      <c r="DG3724">
        <v>889113</v>
      </c>
      <c r="DI3724">
        <v>1</v>
      </c>
      <c r="DJ3724">
        <v>0</v>
      </c>
      <c r="DK3724">
        <v>0</v>
      </c>
      <c r="DL3724">
        <v>0</v>
      </c>
      <c r="DM3724">
        <v>0</v>
      </c>
      <c r="DN3724">
        <v>1</v>
      </c>
      <c r="DO3724">
        <v>0</v>
      </c>
      <c r="DP3724">
        <v>0</v>
      </c>
      <c r="DQ3724">
        <v>0</v>
      </c>
      <c r="DR3724">
        <v>0</v>
      </c>
      <c r="DS3724">
        <v>0</v>
      </c>
    </row>
    <row r="3725" spans="1:123" x14ac:dyDescent="0.3">
      <c r="A3725" t="str">
        <f>"10/04/2022 19:35:35.198"</f>
        <v>10/04/2022 19:35:35.198</v>
      </c>
      <c r="C3725" t="str">
        <f t="shared" si="1357"/>
        <v>FFDFD3C0</v>
      </c>
      <c r="D3725" t="s">
        <v>143</v>
      </c>
      <c r="E3725">
        <v>20</v>
      </c>
      <c r="F3725">
        <v>1020</v>
      </c>
      <c r="G3725" t="s">
        <v>144</v>
      </c>
      <c r="J3725" t="s">
        <v>145</v>
      </c>
      <c r="K3725">
        <v>0</v>
      </c>
      <c r="L3725">
        <v>3</v>
      </c>
      <c r="M3725">
        <v>0</v>
      </c>
      <c r="N3725">
        <v>2</v>
      </c>
      <c r="O3725">
        <v>0</v>
      </c>
      <c r="P3725">
        <v>1</v>
      </c>
      <c r="Q3725">
        <v>0</v>
      </c>
      <c r="S3725" t="str">
        <f t="shared" si="1371"/>
        <v>19:35:34.000</v>
      </c>
      <c r="T3725" t="str">
        <f t="shared" si="1371"/>
        <v>19:35:34.000</v>
      </c>
      <c r="U3725" t="str">
        <f t="shared" si="1367"/>
        <v>AC3944</v>
      </c>
      <c r="V3725">
        <v>0</v>
      </c>
      <c r="W3725">
        <v>0</v>
      </c>
      <c r="X3725">
        <v>2</v>
      </c>
      <c r="Y3725">
        <v>0</v>
      </c>
      <c r="AA3725">
        <v>1</v>
      </c>
      <c r="AB3725">
        <v>8</v>
      </c>
      <c r="AC3725">
        <v>3</v>
      </c>
      <c r="AD3725">
        <v>0</v>
      </c>
      <c r="AE3725">
        <v>9</v>
      </c>
      <c r="AF3725" t="s">
        <v>138</v>
      </c>
      <c r="AG3725">
        <v>0</v>
      </c>
      <c r="AH3725">
        <v>3</v>
      </c>
      <c r="AI3725">
        <v>1</v>
      </c>
      <c r="AJ3725">
        <v>0</v>
      </c>
      <c r="AK3725" t="s">
        <v>1217</v>
      </c>
      <c r="AL3725">
        <v>32.737476999999998</v>
      </c>
      <c r="AM3725" t="s">
        <v>1218</v>
      </c>
      <c r="AN3725">
        <v>-116.711862</v>
      </c>
      <c r="AO3725">
        <v>25</v>
      </c>
      <c r="AP3725">
        <v>4600</v>
      </c>
      <c r="AQ3725" t="s">
        <v>129</v>
      </c>
      <c r="AR3725">
        <v>126</v>
      </c>
      <c r="AS3725">
        <v>12</v>
      </c>
      <c r="AT3725">
        <v>256</v>
      </c>
      <c r="BB3725">
        <v>1200</v>
      </c>
      <c r="BC3725">
        <v>1</v>
      </c>
      <c r="BD3725" t="str">
        <f t="shared" si="1368"/>
        <v xml:space="preserve">N887QR  </v>
      </c>
      <c r="BE3725">
        <v>1</v>
      </c>
      <c r="BG3725">
        <v>0</v>
      </c>
      <c r="BH3725">
        <v>0</v>
      </c>
      <c r="BI3725">
        <v>0</v>
      </c>
      <c r="BJ3725">
        <v>4400</v>
      </c>
      <c r="BK3725">
        <v>-200</v>
      </c>
      <c r="BL3725" t="s">
        <v>163</v>
      </c>
      <c r="BM3725">
        <v>1</v>
      </c>
      <c r="BN3725">
        <v>1</v>
      </c>
      <c r="BO3725">
        <v>1</v>
      </c>
      <c r="BP3725">
        <v>0</v>
      </c>
      <c r="BS3725">
        <v>0</v>
      </c>
      <c r="BT3725">
        <v>0</v>
      </c>
      <c r="BU3725">
        <v>0</v>
      </c>
      <c r="CE3725" t="str">
        <f t="shared" si="1372"/>
        <v>19:35:34.951</v>
      </c>
      <c r="CF3725">
        <v>951344296</v>
      </c>
      <c r="CS3725">
        <v>0</v>
      </c>
      <c r="CT3725">
        <v>2</v>
      </c>
      <c r="CU3725">
        <v>0</v>
      </c>
      <c r="CV3725">
        <v>2</v>
      </c>
      <c r="CW3725">
        <v>2</v>
      </c>
      <c r="CX3725">
        <v>5</v>
      </c>
      <c r="CY3725">
        <v>7</v>
      </c>
      <c r="CZ3725" t="s">
        <v>131</v>
      </c>
      <c r="DA3725">
        <v>286</v>
      </c>
      <c r="DB3725">
        <v>0</v>
      </c>
      <c r="DC3725" t="s">
        <v>132</v>
      </c>
      <c r="DD3725" t="s">
        <v>133</v>
      </c>
      <c r="DG3725">
        <v>889113</v>
      </c>
      <c r="DI3725">
        <v>1</v>
      </c>
      <c r="DJ3725">
        <v>0</v>
      </c>
      <c r="DK3725">
        <v>1</v>
      </c>
      <c r="DL3725">
        <v>0</v>
      </c>
      <c r="DM3725">
        <v>0</v>
      </c>
      <c r="DN3725">
        <v>1</v>
      </c>
      <c r="DO3725">
        <v>0</v>
      </c>
      <c r="DP3725">
        <v>0</v>
      </c>
      <c r="DQ3725">
        <v>0</v>
      </c>
      <c r="DR3725">
        <v>0</v>
      </c>
      <c r="DS3725">
        <v>0</v>
      </c>
    </row>
    <row r="3726" spans="1:123" x14ac:dyDescent="0.3">
      <c r="A3726" t="str">
        <f>"10/04/2022 19:35:35.198"</f>
        <v>10/04/2022 19:35:35.198</v>
      </c>
      <c r="C3726" t="str">
        <f t="shared" si="1357"/>
        <v>FFDFD3C0</v>
      </c>
      <c r="D3726" t="s">
        <v>147</v>
      </c>
      <c r="E3726">
        <v>3</v>
      </c>
      <c r="H3726">
        <v>166</v>
      </c>
      <c r="I3726" t="s">
        <v>144</v>
      </c>
      <c r="J3726" t="s">
        <v>148</v>
      </c>
      <c r="K3726">
        <v>0</v>
      </c>
      <c r="L3726">
        <v>3</v>
      </c>
      <c r="M3726">
        <v>0</v>
      </c>
      <c r="N3726">
        <v>2</v>
      </c>
      <c r="O3726">
        <v>0</v>
      </c>
      <c r="P3726">
        <v>1</v>
      </c>
      <c r="Q3726">
        <v>0</v>
      </c>
      <c r="S3726" t="str">
        <f t="shared" si="1371"/>
        <v>19:35:34.000</v>
      </c>
      <c r="T3726" t="str">
        <f t="shared" si="1371"/>
        <v>19:35:34.000</v>
      </c>
      <c r="U3726" t="str">
        <f t="shared" si="1367"/>
        <v>AC3944</v>
      </c>
      <c r="V3726">
        <v>0</v>
      </c>
      <c r="W3726">
        <v>0</v>
      </c>
      <c r="X3726">
        <v>2</v>
      </c>
      <c r="Y3726">
        <v>0</v>
      </c>
      <c r="AA3726">
        <v>1</v>
      </c>
      <c r="AB3726">
        <v>8</v>
      </c>
      <c r="AC3726">
        <v>3</v>
      </c>
      <c r="AD3726">
        <v>0</v>
      </c>
      <c r="AE3726">
        <v>9</v>
      </c>
      <c r="AF3726" t="s">
        <v>138</v>
      </c>
      <c r="AG3726">
        <v>0</v>
      </c>
      <c r="AH3726">
        <v>3</v>
      </c>
      <c r="AI3726">
        <v>1</v>
      </c>
      <c r="AJ3726">
        <v>0</v>
      </c>
      <c r="AK3726" t="s">
        <v>1217</v>
      </c>
      <c r="AL3726">
        <v>32.737476999999998</v>
      </c>
      <c r="AM3726" t="s">
        <v>1218</v>
      </c>
      <c r="AN3726">
        <v>-116.711862</v>
      </c>
      <c r="AO3726">
        <v>25</v>
      </c>
      <c r="AP3726">
        <v>4600</v>
      </c>
      <c r="AQ3726" t="s">
        <v>129</v>
      </c>
      <c r="AR3726">
        <v>126</v>
      </c>
      <c r="AS3726">
        <v>12</v>
      </c>
      <c r="AT3726">
        <v>256</v>
      </c>
      <c r="BB3726">
        <v>1200</v>
      </c>
      <c r="BC3726">
        <v>1</v>
      </c>
      <c r="BD3726" t="str">
        <f t="shared" si="1368"/>
        <v xml:space="preserve">N887QR  </v>
      </c>
      <c r="BE3726">
        <v>1</v>
      </c>
      <c r="BG3726">
        <v>0</v>
      </c>
      <c r="BH3726">
        <v>0</v>
      </c>
      <c r="BI3726">
        <v>0</v>
      </c>
      <c r="BJ3726">
        <v>4400</v>
      </c>
      <c r="BK3726">
        <v>-200</v>
      </c>
      <c r="BL3726" t="s">
        <v>163</v>
      </c>
      <c r="BM3726">
        <v>1</v>
      </c>
      <c r="BN3726">
        <v>1</v>
      </c>
      <c r="BO3726">
        <v>1</v>
      </c>
      <c r="BP3726">
        <v>0</v>
      </c>
      <c r="BS3726">
        <v>0</v>
      </c>
      <c r="BT3726">
        <v>0</v>
      </c>
      <c r="BU3726">
        <v>0</v>
      </c>
      <c r="CE3726" t="str">
        <f t="shared" si="1372"/>
        <v>19:35:34.951</v>
      </c>
      <c r="CF3726">
        <v>951344296</v>
      </c>
      <c r="CS3726">
        <v>0</v>
      </c>
      <c r="CT3726">
        <v>2</v>
      </c>
      <c r="CU3726">
        <v>0</v>
      </c>
      <c r="CV3726">
        <v>2</v>
      </c>
      <c r="CW3726">
        <v>2</v>
      </c>
      <c r="CX3726">
        <v>5</v>
      </c>
      <c r="CY3726">
        <v>7</v>
      </c>
      <c r="CZ3726" t="s">
        <v>131</v>
      </c>
      <c r="DA3726">
        <v>286</v>
      </c>
      <c r="DB3726">
        <v>0</v>
      </c>
      <c r="DC3726" t="s">
        <v>132</v>
      </c>
      <c r="DD3726" t="s">
        <v>133</v>
      </c>
      <c r="DG3726">
        <v>889113</v>
      </c>
      <c r="DI3726">
        <v>1</v>
      </c>
      <c r="DJ3726">
        <v>0</v>
      </c>
      <c r="DK3726">
        <v>1</v>
      </c>
      <c r="DL3726">
        <v>0</v>
      </c>
      <c r="DM3726">
        <v>0</v>
      </c>
      <c r="DN3726">
        <v>1</v>
      </c>
      <c r="DO3726">
        <v>0</v>
      </c>
      <c r="DP3726">
        <v>0</v>
      </c>
      <c r="DQ3726">
        <v>0</v>
      </c>
      <c r="DR3726">
        <v>0</v>
      </c>
      <c r="DS3726">
        <v>0</v>
      </c>
    </row>
    <row r="3727" spans="1:123" x14ac:dyDescent="0.3">
      <c r="A3727" t="str">
        <f>"10/04/2022 19:35:35.231"</f>
        <v>10/04/2022 19:35:35.231</v>
      </c>
      <c r="C3727" t="str">
        <f t="shared" si="1357"/>
        <v>FFDFD3C0</v>
      </c>
      <c r="D3727" t="s">
        <v>136</v>
      </c>
      <c r="E3727">
        <v>8</v>
      </c>
      <c r="H3727">
        <v>225</v>
      </c>
      <c r="I3727" t="s">
        <v>137</v>
      </c>
      <c r="J3727" t="s">
        <v>138</v>
      </c>
      <c r="K3727">
        <v>0</v>
      </c>
      <c r="L3727">
        <v>3</v>
      </c>
      <c r="M3727">
        <v>0</v>
      </c>
      <c r="N3727">
        <v>2</v>
      </c>
      <c r="O3727">
        <v>0</v>
      </c>
      <c r="P3727">
        <v>1</v>
      </c>
      <c r="Q3727">
        <v>0</v>
      </c>
      <c r="S3727" t="str">
        <f t="shared" si="1371"/>
        <v>19:35:34.000</v>
      </c>
      <c r="T3727" t="str">
        <f t="shared" si="1371"/>
        <v>19:35:34.000</v>
      </c>
      <c r="U3727" t="str">
        <f t="shared" si="1367"/>
        <v>AC3944</v>
      </c>
      <c r="V3727">
        <v>0</v>
      </c>
      <c r="W3727">
        <v>0</v>
      </c>
      <c r="X3727">
        <v>2</v>
      </c>
      <c r="Y3727">
        <v>0</v>
      </c>
      <c r="AA3727">
        <v>1</v>
      </c>
      <c r="AB3727">
        <v>8</v>
      </c>
      <c r="AC3727">
        <v>3</v>
      </c>
      <c r="AD3727">
        <v>0</v>
      </c>
      <c r="AE3727">
        <v>9</v>
      </c>
      <c r="AF3727" t="s">
        <v>138</v>
      </c>
      <c r="AG3727">
        <v>0</v>
      </c>
      <c r="AH3727">
        <v>3</v>
      </c>
      <c r="AI3727">
        <v>1</v>
      </c>
      <c r="AJ3727">
        <v>0</v>
      </c>
      <c r="AK3727" t="s">
        <v>1217</v>
      </c>
      <c r="AL3727">
        <v>32.737476999999998</v>
      </c>
      <c r="AM3727" t="s">
        <v>1218</v>
      </c>
      <c r="AN3727">
        <v>-116.711862</v>
      </c>
      <c r="AO3727">
        <v>25</v>
      </c>
      <c r="AP3727">
        <v>4600</v>
      </c>
      <c r="AQ3727" t="s">
        <v>129</v>
      </c>
      <c r="AR3727">
        <v>126</v>
      </c>
      <c r="AS3727">
        <v>12</v>
      </c>
      <c r="AT3727">
        <v>256</v>
      </c>
      <c r="BB3727">
        <v>1200</v>
      </c>
      <c r="BC3727">
        <v>1</v>
      </c>
      <c r="BD3727" t="str">
        <f t="shared" si="1368"/>
        <v xml:space="preserve">N887QR  </v>
      </c>
      <c r="BE3727">
        <v>1</v>
      </c>
      <c r="BG3727">
        <v>0</v>
      </c>
      <c r="BH3727">
        <v>0</v>
      </c>
      <c r="BI3727">
        <v>0</v>
      </c>
      <c r="BJ3727">
        <v>4400</v>
      </c>
      <c r="BK3727">
        <v>-200</v>
      </c>
      <c r="BL3727" t="s">
        <v>163</v>
      </c>
      <c r="BM3727">
        <v>1</v>
      </c>
      <c r="BN3727">
        <v>1</v>
      </c>
      <c r="BO3727">
        <v>1</v>
      </c>
      <c r="BP3727">
        <v>0</v>
      </c>
      <c r="BS3727">
        <v>0</v>
      </c>
      <c r="BT3727">
        <v>0</v>
      </c>
      <c r="BU3727">
        <v>0</v>
      </c>
      <c r="CE3727" t="str">
        <f t="shared" si="1372"/>
        <v>19:35:34.951</v>
      </c>
      <c r="CF3727">
        <v>951344296</v>
      </c>
      <c r="CS3727">
        <v>0</v>
      </c>
      <c r="CT3727">
        <v>2</v>
      </c>
      <c r="CU3727">
        <v>0</v>
      </c>
      <c r="CV3727">
        <v>2</v>
      </c>
      <c r="CW3727">
        <v>2</v>
      </c>
      <c r="CX3727">
        <v>5</v>
      </c>
      <c r="CY3727">
        <v>7</v>
      </c>
      <c r="CZ3727" t="s">
        <v>131</v>
      </c>
      <c r="DA3727">
        <v>286</v>
      </c>
      <c r="DB3727">
        <v>0</v>
      </c>
      <c r="DC3727" t="s">
        <v>132</v>
      </c>
      <c r="DD3727" t="s">
        <v>133</v>
      </c>
      <c r="DG3727">
        <v>889113</v>
      </c>
      <c r="DI3727">
        <v>1</v>
      </c>
      <c r="DJ3727">
        <v>0</v>
      </c>
      <c r="DK3727">
        <v>1</v>
      </c>
      <c r="DL3727">
        <v>0</v>
      </c>
      <c r="DM3727">
        <v>0</v>
      </c>
      <c r="DN3727">
        <v>1</v>
      </c>
      <c r="DO3727">
        <v>0</v>
      </c>
      <c r="DP3727">
        <v>0</v>
      </c>
      <c r="DQ3727">
        <v>0</v>
      </c>
      <c r="DR3727">
        <v>0</v>
      </c>
      <c r="DS3727">
        <v>0</v>
      </c>
    </row>
    <row r="3728" spans="1:123" x14ac:dyDescent="0.3">
      <c r="A3728" t="str">
        <f>"10/04/2022 19:35:35.246"</f>
        <v>10/04/2022 19:35:35.246</v>
      </c>
      <c r="C3728" t="str">
        <f t="shared" si="1357"/>
        <v>FFDFD3C0</v>
      </c>
      <c r="D3728" t="s">
        <v>123</v>
      </c>
      <c r="E3728">
        <v>7</v>
      </c>
      <c r="F3728">
        <v>2007</v>
      </c>
      <c r="G3728" t="s">
        <v>124</v>
      </c>
      <c r="J3728" t="s">
        <v>125</v>
      </c>
      <c r="K3728">
        <v>0</v>
      </c>
      <c r="L3728">
        <v>3</v>
      </c>
      <c r="M3728">
        <v>0</v>
      </c>
      <c r="N3728">
        <v>2</v>
      </c>
      <c r="O3728">
        <v>0</v>
      </c>
      <c r="P3728">
        <v>1</v>
      </c>
      <c r="Q3728">
        <v>0</v>
      </c>
      <c r="S3728" t="str">
        <f t="shared" si="1371"/>
        <v>19:35:34.000</v>
      </c>
      <c r="T3728" t="str">
        <f t="shared" si="1371"/>
        <v>19:35:34.000</v>
      </c>
      <c r="U3728" t="str">
        <f t="shared" si="1367"/>
        <v>AC3944</v>
      </c>
      <c r="V3728">
        <v>0</v>
      </c>
      <c r="W3728">
        <v>0</v>
      </c>
      <c r="X3728">
        <v>2</v>
      </c>
      <c r="Y3728">
        <v>0</v>
      </c>
      <c r="AA3728">
        <v>1</v>
      </c>
      <c r="AB3728">
        <v>8</v>
      </c>
      <c r="AC3728">
        <v>3</v>
      </c>
      <c r="AD3728">
        <v>0</v>
      </c>
      <c r="AE3728">
        <v>9</v>
      </c>
      <c r="AF3728" t="s">
        <v>138</v>
      </c>
      <c r="AG3728">
        <v>0</v>
      </c>
      <c r="AH3728">
        <v>3</v>
      </c>
      <c r="AI3728">
        <v>1</v>
      </c>
      <c r="AJ3728">
        <v>0</v>
      </c>
      <c r="AK3728" t="s">
        <v>1217</v>
      </c>
      <c r="AL3728">
        <v>32.737476999999998</v>
      </c>
      <c r="AM3728" t="s">
        <v>1218</v>
      </c>
      <c r="AN3728">
        <v>-116.711862</v>
      </c>
      <c r="AO3728">
        <v>25</v>
      </c>
      <c r="AP3728">
        <v>4600</v>
      </c>
      <c r="AQ3728" t="s">
        <v>129</v>
      </c>
      <c r="AR3728">
        <v>126</v>
      </c>
      <c r="AS3728">
        <v>12</v>
      </c>
      <c r="AT3728">
        <v>256</v>
      </c>
      <c r="BB3728">
        <v>1200</v>
      </c>
      <c r="BC3728">
        <v>1</v>
      </c>
      <c r="BD3728" t="str">
        <f t="shared" si="1368"/>
        <v xml:space="preserve">N887QR  </v>
      </c>
      <c r="BE3728">
        <v>1</v>
      </c>
      <c r="BG3728">
        <v>0</v>
      </c>
      <c r="BH3728">
        <v>0</v>
      </c>
      <c r="BI3728">
        <v>0</v>
      </c>
      <c r="BJ3728">
        <v>4400</v>
      </c>
      <c r="BK3728">
        <v>-200</v>
      </c>
      <c r="BL3728" t="s">
        <v>163</v>
      </c>
      <c r="BM3728">
        <v>1</v>
      </c>
      <c r="BN3728">
        <v>1</v>
      </c>
      <c r="BO3728">
        <v>1</v>
      </c>
      <c r="BP3728">
        <v>0</v>
      </c>
      <c r="BS3728">
        <v>0</v>
      </c>
      <c r="BT3728">
        <v>0</v>
      </c>
      <c r="BU3728">
        <v>0</v>
      </c>
      <c r="CE3728" t="str">
        <f t="shared" si="1372"/>
        <v>19:35:34.951</v>
      </c>
      <c r="CF3728">
        <v>951344296</v>
      </c>
      <c r="CS3728">
        <v>0</v>
      </c>
      <c r="CT3728">
        <v>2</v>
      </c>
      <c r="CU3728">
        <v>0</v>
      </c>
      <c r="CV3728">
        <v>2</v>
      </c>
      <c r="CW3728">
        <v>2</v>
      </c>
      <c r="CX3728">
        <v>5</v>
      </c>
      <c r="CY3728">
        <v>7</v>
      </c>
      <c r="CZ3728" t="s">
        <v>131</v>
      </c>
      <c r="DA3728">
        <v>286</v>
      </c>
      <c r="DB3728">
        <v>0</v>
      </c>
      <c r="DC3728" t="s">
        <v>132</v>
      </c>
      <c r="DD3728" t="s">
        <v>133</v>
      </c>
      <c r="DG3728">
        <v>889113</v>
      </c>
      <c r="DI3728">
        <v>1</v>
      </c>
      <c r="DJ3728">
        <v>0</v>
      </c>
      <c r="DK3728">
        <v>1</v>
      </c>
      <c r="DL3728">
        <v>0</v>
      </c>
      <c r="DM3728">
        <v>0</v>
      </c>
      <c r="DN3728">
        <v>1</v>
      </c>
      <c r="DO3728">
        <v>0</v>
      </c>
      <c r="DP3728">
        <v>0</v>
      </c>
      <c r="DQ3728">
        <v>0</v>
      </c>
      <c r="DR3728">
        <v>0</v>
      </c>
      <c r="DS3728">
        <v>0</v>
      </c>
    </row>
    <row r="3729" spans="1:123" x14ac:dyDescent="0.3">
      <c r="A3729" t="str">
        <f>"10/04/2022 19:35:35.309"</f>
        <v>10/04/2022 19:35:35.309</v>
      </c>
      <c r="C3729" t="str">
        <f t="shared" si="1357"/>
        <v>FFDFD3C0</v>
      </c>
      <c r="D3729" t="s">
        <v>141</v>
      </c>
      <c r="E3729">
        <v>3</v>
      </c>
      <c r="H3729">
        <v>3</v>
      </c>
      <c r="I3729" t="s">
        <v>146</v>
      </c>
      <c r="J3729" t="s">
        <v>138</v>
      </c>
      <c r="K3729">
        <v>0</v>
      </c>
      <c r="L3729">
        <v>3</v>
      </c>
      <c r="M3729">
        <v>0</v>
      </c>
      <c r="N3729">
        <v>2</v>
      </c>
      <c r="O3729">
        <v>0</v>
      </c>
      <c r="P3729">
        <v>1</v>
      </c>
      <c r="Q3729">
        <v>0</v>
      </c>
      <c r="S3729" t="str">
        <f t="shared" si="1371"/>
        <v>19:35:34.000</v>
      </c>
      <c r="T3729" t="str">
        <f t="shared" si="1371"/>
        <v>19:35:34.000</v>
      </c>
      <c r="U3729" t="str">
        <f t="shared" si="1367"/>
        <v>AC3944</v>
      </c>
      <c r="V3729">
        <v>0</v>
      </c>
      <c r="W3729">
        <v>0</v>
      </c>
      <c r="X3729">
        <v>2</v>
      </c>
      <c r="Y3729">
        <v>0</v>
      </c>
      <c r="AA3729">
        <v>1</v>
      </c>
      <c r="AB3729">
        <v>8</v>
      </c>
      <c r="AC3729">
        <v>3</v>
      </c>
      <c r="AD3729">
        <v>0</v>
      </c>
      <c r="AE3729">
        <v>9</v>
      </c>
      <c r="AF3729" t="s">
        <v>138</v>
      </c>
      <c r="AG3729">
        <v>0</v>
      </c>
      <c r="AH3729">
        <v>3</v>
      </c>
      <c r="AI3729">
        <v>1</v>
      </c>
      <c r="AJ3729">
        <v>0</v>
      </c>
      <c r="AK3729" t="s">
        <v>1217</v>
      </c>
      <c r="AL3729">
        <v>32.737476999999998</v>
      </c>
      <c r="AM3729" t="s">
        <v>1218</v>
      </c>
      <c r="AN3729">
        <v>-116.711862</v>
      </c>
      <c r="AO3729">
        <v>25</v>
      </c>
      <c r="AP3729">
        <v>4600</v>
      </c>
      <c r="AQ3729" t="s">
        <v>129</v>
      </c>
      <c r="AR3729">
        <v>126</v>
      </c>
      <c r="AS3729">
        <v>12</v>
      </c>
      <c r="AT3729">
        <v>256</v>
      </c>
      <c r="BB3729">
        <v>1200</v>
      </c>
      <c r="BC3729">
        <v>1</v>
      </c>
      <c r="BD3729" t="str">
        <f t="shared" si="1368"/>
        <v xml:space="preserve">N887QR  </v>
      </c>
      <c r="BE3729">
        <v>1</v>
      </c>
      <c r="BG3729">
        <v>0</v>
      </c>
      <c r="BH3729">
        <v>0</v>
      </c>
      <c r="BI3729">
        <v>0</v>
      </c>
      <c r="BJ3729">
        <v>4400</v>
      </c>
      <c r="BK3729">
        <v>-200</v>
      </c>
      <c r="BL3729" t="s">
        <v>163</v>
      </c>
      <c r="BM3729">
        <v>1</v>
      </c>
      <c r="BN3729">
        <v>1</v>
      </c>
      <c r="BO3729">
        <v>1</v>
      </c>
      <c r="BP3729">
        <v>0</v>
      </c>
      <c r="BS3729">
        <v>0</v>
      </c>
      <c r="BT3729">
        <v>0</v>
      </c>
      <c r="BU3729">
        <v>0</v>
      </c>
      <c r="CE3729" t="str">
        <f t="shared" si="1372"/>
        <v>19:35:34.951</v>
      </c>
      <c r="CF3729">
        <v>951344296</v>
      </c>
      <c r="CS3729">
        <v>0</v>
      </c>
      <c r="CT3729">
        <v>2</v>
      </c>
      <c r="CU3729">
        <v>0</v>
      </c>
      <c r="CV3729">
        <v>2</v>
      </c>
      <c r="CW3729">
        <v>2</v>
      </c>
      <c r="CX3729">
        <v>5</v>
      </c>
      <c r="CY3729">
        <v>7</v>
      </c>
      <c r="CZ3729" t="s">
        <v>131</v>
      </c>
      <c r="DA3729">
        <v>286</v>
      </c>
      <c r="DB3729">
        <v>0</v>
      </c>
      <c r="DC3729" t="s">
        <v>132</v>
      </c>
      <c r="DD3729" t="s">
        <v>133</v>
      </c>
      <c r="DG3729">
        <v>889113</v>
      </c>
      <c r="DI3729">
        <v>1</v>
      </c>
      <c r="DJ3729">
        <v>0</v>
      </c>
      <c r="DK3729">
        <v>1</v>
      </c>
      <c r="DL3729">
        <v>0</v>
      </c>
      <c r="DM3729">
        <v>0</v>
      </c>
      <c r="DN3729">
        <v>1</v>
      </c>
      <c r="DO3729">
        <v>0</v>
      </c>
      <c r="DP3729">
        <v>0</v>
      </c>
      <c r="DQ3729">
        <v>0</v>
      </c>
      <c r="DR3729">
        <v>0</v>
      </c>
      <c r="DS3729">
        <v>0</v>
      </c>
    </row>
    <row r="3730" spans="1:123" x14ac:dyDescent="0.3">
      <c r="A3730" t="str">
        <f>"10/04/2022 19:35:35.309"</f>
        <v>10/04/2022 19:35:35.309</v>
      </c>
      <c r="C3730" t="str">
        <f t="shared" si="1357"/>
        <v>FFDFD3C0</v>
      </c>
      <c r="D3730" t="s">
        <v>134</v>
      </c>
      <c r="E3730">
        <v>15</v>
      </c>
      <c r="J3730" t="s">
        <v>135</v>
      </c>
      <c r="K3730">
        <v>0</v>
      </c>
      <c r="L3730">
        <v>3</v>
      </c>
      <c r="M3730">
        <v>0</v>
      </c>
      <c r="N3730">
        <v>2</v>
      </c>
      <c r="O3730">
        <v>0</v>
      </c>
      <c r="P3730">
        <v>1</v>
      </c>
      <c r="Q3730">
        <v>0</v>
      </c>
      <c r="S3730" t="str">
        <f t="shared" si="1371"/>
        <v>19:35:34.000</v>
      </c>
      <c r="T3730" t="str">
        <f t="shared" si="1371"/>
        <v>19:35:34.000</v>
      </c>
      <c r="U3730" t="str">
        <f t="shared" si="1367"/>
        <v>AC3944</v>
      </c>
      <c r="V3730">
        <v>0</v>
      </c>
      <c r="W3730">
        <v>0</v>
      </c>
      <c r="X3730">
        <v>2</v>
      </c>
      <c r="Y3730">
        <v>0</v>
      </c>
      <c r="AA3730">
        <v>1</v>
      </c>
      <c r="AB3730">
        <v>8</v>
      </c>
      <c r="AC3730">
        <v>3</v>
      </c>
      <c r="AD3730">
        <v>0</v>
      </c>
      <c r="AE3730">
        <v>9</v>
      </c>
      <c r="AF3730" t="s">
        <v>138</v>
      </c>
      <c r="AG3730">
        <v>0</v>
      </c>
      <c r="AH3730">
        <v>3</v>
      </c>
      <c r="AI3730">
        <v>1</v>
      </c>
      <c r="AJ3730">
        <v>0</v>
      </c>
      <c r="AK3730" t="s">
        <v>1217</v>
      </c>
      <c r="AL3730">
        <v>32.737476999999998</v>
      </c>
      <c r="AM3730" t="s">
        <v>1218</v>
      </c>
      <c r="AN3730">
        <v>-116.711862</v>
      </c>
      <c r="AO3730">
        <v>25</v>
      </c>
      <c r="AP3730">
        <v>4600</v>
      </c>
      <c r="AQ3730" t="s">
        <v>129</v>
      </c>
      <c r="AR3730">
        <v>126</v>
      </c>
      <c r="AS3730">
        <v>12</v>
      </c>
      <c r="AT3730">
        <v>256</v>
      </c>
      <c r="BB3730">
        <v>1200</v>
      </c>
      <c r="BC3730">
        <v>1</v>
      </c>
      <c r="BD3730" t="str">
        <f t="shared" si="1368"/>
        <v xml:space="preserve">N887QR  </v>
      </c>
      <c r="BE3730">
        <v>1</v>
      </c>
      <c r="BG3730">
        <v>0</v>
      </c>
      <c r="BH3730">
        <v>0</v>
      </c>
      <c r="BI3730">
        <v>0</v>
      </c>
      <c r="BJ3730">
        <v>4400</v>
      </c>
      <c r="BK3730">
        <v>-200</v>
      </c>
      <c r="BL3730" t="s">
        <v>163</v>
      </c>
      <c r="BM3730">
        <v>1</v>
      </c>
      <c r="BN3730">
        <v>1</v>
      </c>
      <c r="BO3730">
        <v>1</v>
      </c>
      <c r="BP3730">
        <v>0</v>
      </c>
      <c r="BS3730">
        <v>0</v>
      </c>
      <c r="BT3730">
        <v>0</v>
      </c>
      <c r="BU3730">
        <v>0</v>
      </c>
      <c r="CE3730" t="str">
        <f t="shared" si="1372"/>
        <v>19:35:34.951</v>
      </c>
      <c r="CF3730">
        <v>951344296</v>
      </c>
      <c r="CS3730">
        <v>0</v>
      </c>
      <c r="CT3730">
        <v>2</v>
      </c>
      <c r="CU3730">
        <v>0</v>
      </c>
      <c r="CV3730">
        <v>2</v>
      </c>
      <c r="CW3730">
        <v>2</v>
      </c>
      <c r="CX3730">
        <v>5</v>
      </c>
      <c r="CY3730">
        <v>7</v>
      </c>
      <c r="CZ3730" t="s">
        <v>131</v>
      </c>
      <c r="DA3730">
        <v>286</v>
      </c>
      <c r="DB3730">
        <v>0</v>
      </c>
      <c r="DC3730" t="s">
        <v>132</v>
      </c>
      <c r="DD3730" t="s">
        <v>133</v>
      </c>
      <c r="DG3730">
        <v>889113</v>
      </c>
      <c r="DI3730">
        <v>1</v>
      </c>
      <c r="DJ3730">
        <v>0</v>
      </c>
      <c r="DK3730">
        <v>1</v>
      </c>
      <c r="DL3730">
        <v>0</v>
      </c>
      <c r="DM3730">
        <v>0</v>
      </c>
      <c r="DN3730">
        <v>1</v>
      </c>
      <c r="DO3730">
        <v>0</v>
      </c>
      <c r="DP3730">
        <v>0</v>
      </c>
      <c r="DQ3730">
        <v>0</v>
      </c>
      <c r="DR3730">
        <v>0</v>
      </c>
      <c r="DS3730">
        <v>0</v>
      </c>
    </row>
    <row r="3731" spans="1:123" x14ac:dyDescent="0.3">
      <c r="A3731" t="str">
        <f t="shared" ref="A3731:A3737" si="1373">"10/04/2022 19:35:36.121"</f>
        <v>10/04/2022 19:35:36.121</v>
      </c>
      <c r="C3731" t="str">
        <f t="shared" si="1357"/>
        <v>FFDFD3C0</v>
      </c>
      <c r="D3731" t="s">
        <v>147</v>
      </c>
      <c r="E3731">
        <v>3</v>
      </c>
      <c r="H3731">
        <v>166</v>
      </c>
      <c r="I3731" t="s">
        <v>144</v>
      </c>
      <c r="J3731" t="s">
        <v>148</v>
      </c>
      <c r="K3731">
        <v>0</v>
      </c>
      <c r="L3731">
        <v>3</v>
      </c>
      <c r="M3731">
        <v>0</v>
      </c>
      <c r="N3731">
        <v>2</v>
      </c>
      <c r="O3731">
        <v>0</v>
      </c>
      <c r="P3731">
        <v>1</v>
      </c>
      <c r="Q3731">
        <v>0</v>
      </c>
      <c r="S3731" t="str">
        <f t="shared" ref="S3731:T3737" si="1374">"19:35:35.000"</f>
        <v>19:35:35.000</v>
      </c>
      <c r="T3731" t="str">
        <f t="shared" si="1374"/>
        <v>19:35:35.000</v>
      </c>
      <c r="U3731" t="str">
        <f t="shared" si="1367"/>
        <v>AC3944</v>
      </c>
      <c r="V3731">
        <v>0</v>
      </c>
      <c r="W3731">
        <v>0</v>
      </c>
      <c r="X3731">
        <v>2</v>
      </c>
      <c r="Y3731">
        <v>0</v>
      </c>
      <c r="AA3731">
        <v>1</v>
      </c>
      <c r="AB3731">
        <v>8</v>
      </c>
      <c r="AC3731">
        <v>3</v>
      </c>
      <c r="AD3731">
        <v>0</v>
      </c>
      <c r="AE3731">
        <v>9</v>
      </c>
      <c r="AF3731" t="s">
        <v>138</v>
      </c>
      <c r="AG3731">
        <v>0</v>
      </c>
      <c r="AH3731">
        <v>3</v>
      </c>
      <c r="AI3731">
        <v>1</v>
      </c>
      <c r="AJ3731">
        <v>0</v>
      </c>
      <c r="AK3731" t="s">
        <v>1219</v>
      </c>
      <c r="AL3731">
        <v>32.737563000000002</v>
      </c>
      <c r="AM3731" t="s">
        <v>1220</v>
      </c>
      <c r="AN3731">
        <v>-116.71102500000001</v>
      </c>
      <c r="AO3731">
        <v>25</v>
      </c>
      <c r="AP3731">
        <v>4600</v>
      </c>
      <c r="AQ3731" t="s">
        <v>129</v>
      </c>
      <c r="AR3731">
        <v>126</v>
      </c>
      <c r="AS3731">
        <v>11</v>
      </c>
      <c r="AT3731">
        <v>256</v>
      </c>
      <c r="BB3731">
        <v>1200</v>
      </c>
      <c r="BC3731">
        <v>1</v>
      </c>
      <c r="BD3731" t="str">
        <f t="shared" si="1368"/>
        <v xml:space="preserve">N887QR  </v>
      </c>
      <c r="BE3731">
        <v>1</v>
      </c>
      <c r="BG3731">
        <v>0</v>
      </c>
      <c r="BH3731">
        <v>0</v>
      </c>
      <c r="BI3731">
        <v>0</v>
      </c>
      <c r="BJ3731">
        <v>4400</v>
      </c>
      <c r="BK3731">
        <v>-200</v>
      </c>
      <c r="BL3731" t="s">
        <v>163</v>
      </c>
      <c r="BM3731">
        <v>1</v>
      </c>
      <c r="BN3731">
        <v>1</v>
      </c>
      <c r="BO3731">
        <v>1</v>
      </c>
      <c r="BP3731">
        <v>0</v>
      </c>
      <c r="BS3731">
        <v>0</v>
      </c>
      <c r="BT3731">
        <v>0</v>
      </c>
      <c r="BU3731">
        <v>0</v>
      </c>
      <c r="CE3731" t="str">
        <f t="shared" ref="CE3731:CE3737" si="1375">"19:35:35.841"</f>
        <v>19:35:35.841</v>
      </c>
      <c r="CF3731">
        <v>841408862</v>
      </c>
      <c r="CS3731">
        <v>0</v>
      </c>
      <c r="CT3731">
        <v>2</v>
      </c>
      <c r="CU3731">
        <v>0</v>
      </c>
      <c r="CV3731">
        <v>2</v>
      </c>
      <c r="CW3731">
        <v>0</v>
      </c>
      <c r="CX3731">
        <v>4</v>
      </c>
      <c r="CY3731">
        <v>7</v>
      </c>
      <c r="CZ3731" t="s">
        <v>131</v>
      </c>
      <c r="DA3731">
        <v>300</v>
      </c>
      <c r="DB3731">
        <v>0</v>
      </c>
      <c r="DC3731" t="s">
        <v>176</v>
      </c>
      <c r="DD3731" t="s">
        <v>177</v>
      </c>
      <c r="DG3731">
        <v>5446291</v>
      </c>
      <c r="DI3731">
        <v>1</v>
      </c>
      <c r="DJ3731">
        <v>0</v>
      </c>
      <c r="DK3731">
        <v>0</v>
      </c>
      <c r="DL3731">
        <v>0</v>
      </c>
      <c r="DM3731">
        <v>0</v>
      </c>
      <c r="DN3731">
        <v>1</v>
      </c>
      <c r="DO3731">
        <v>0</v>
      </c>
      <c r="DP3731">
        <v>0</v>
      </c>
      <c r="DQ3731">
        <v>0</v>
      </c>
      <c r="DR3731">
        <v>0</v>
      </c>
      <c r="DS3731">
        <v>0</v>
      </c>
    </row>
    <row r="3732" spans="1:123" x14ac:dyDescent="0.3">
      <c r="A3732" t="str">
        <f t="shared" si="1373"/>
        <v>10/04/2022 19:35:36.121</v>
      </c>
      <c r="C3732" t="str">
        <f t="shared" si="1357"/>
        <v>FFDFD3C0</v>
      </c>
      <c r="D3732" t="s">
        <v>123</v>
      </c>
      <c r="E3732">
        <v>7</v>
      </c>
      <c r="F3732">
        <v>2007</v>
      </c>
      <c r="G3732" t="s">
        <v>124</v>
      </c>
      <c r="J3732" t="s">
        <v>125</v>
      </c>
      <c r="K3732">
        <v>0</v>
      </c>
      <c r="L3732">
        <v>3</v>
      </c>
      <c r="M3732">
        <v>0</v>
      </c>
      <c r="N3732">
        <v>2</v>
      </c>
      <c r="O3732">
        <v>0</v>
      </c>
      <c r="P3732">
        <v>1</v>
      </c>
      <c r="Q3732">
        <v>0</v>
      </c>
      <c r="S3732" t="str">
        <f t="shared" si="1374"/>
        <v>19:35:35.000</v>
      </c>
      <c r="T3732" t="str">
        <f t="shared" si="1374"/>
        <v>19:35:35.000</v>
      </c>
      <c r="U3732" t="str">
        <f t="shared" si="1367"/>
        <v>AC3944</v>
      </c>
      <c r="V3732">
        <v>0</v>
      </c>
      <c r="W3732">
        <v>0</v>
      </c>
      <c r="X3732">
        <v>2</v>
      </c>
      <c r="Y3732">
        <v>0</v>
      </c>
      <c r="AA3732">
        <v>1</v>
      </c>
      <c r="AB3732">
        <v>8</v>
      </c>
      <c r="AC3732">
        <v>3</v>
      </c>
      <c r="AD3732">
        <v>0</v>
      </c>
      <c r="AE3732">
        <v>9</v>
      </c>
      <c r="AF3732" t="s">
        <v>138</v>
      </c>
      <c r="AG3732">
        <v>0</v>
      </c>
      <c r="AH3732">
        <v>3</v>
      </c>
      <c r="AI3732">
        <v>1</v>
      </c>
      <c r="AJ3732">
        <v>0</v>
      </c>
      <c r="AK3732" t="s">
        <v>1219</v>
      </c>
      <c r="AL3732">
        <v>32.737563000000002</v>
      </c>
      <c r="AM3732" t="s">
        <v>1220</v>
      </c>
      <c r="AN3732">
        <v>-116.71102500000001</v>
      </c>
      <c r="AO3732">
        <v>25</v>
      </c>
      <c r="AP3732">
        <v>4600</v>
      </c>
      <c r="AQ3732" t="s">
        <v>129</v>
      </c>
      <c r="AR3732">
        <v>126</v>
      </c>
      <c r="AS3732">
        <v>11</v>
      </c>
      <c r="AT3732">
        <v>256</v>
      </c>
      <c r="BB3732">
        <v>1200</v>
      </c>
      <c r="BC3732">
        <v>1</v>
      </c>
      <c r="BD3732" t="str">
        <f t="shared" si="1368"/>
        <v xml:space="preserve">N887QR  </v>
      </c>
      <c r="BE3732">
        <v>1</v>
      </c>
      <c r="BG3732">
        <v>0</v>
      </c>
      <c r="BH3732">
        <v>0</v>
      </c>
      <c r="BI3732">
        <v>0</v>
      </c>
      <c r="BJ3732">
        <v>4400</v>
      </c>
      <c r="BK3732">
        <v>-200</v>
      </c>
      <c r="BL3732" t="s">
        <v>163</v>
      </c>
      <c r="BM3732">
        <v>1</v>
      </c>
      <c r="BN3732">
        <v>1</v>
      </c>
      <c r="BO3732">
        <v>1</v>
      </c>
      <c r="BP3732">
        <v>0</v>
      </c>
      <c r="BS3732">
        <v>0</v>
      </c>
      <c r="BT3732">
        <v>0</v>
      </c>
      <c r="BU3732">
        <v>0</v>
      </c>
      <c r="CE3732" t="str">
        <f t="shared" si="1375"/>
        <v>19:35:35.841</v>
      </c>
      <c r="CF3732">
        <v>841408862</v>
      </c>
      <c r="CS3732">
        <v>0</v>
      </c>
      <c r="CT3732">
        <v>2</v>
      </c>
      <c r="CU3732">
        <v>0</v>
      </c>
      <c r="CV3732">
        <v>2</v>
      </c>
      <c r="CW3732">
        <v>0</v>
      </c>
      <c r="CX3732">
        <v>4</v>
      </c>
      <c r="CY3732">
        <v>7</v>
      </c>
      <c r="CZ3732" t="s">
        <v>131</v>
      </c>
      <c r="DA3732">
        <v>300</v>
      </c>
      <c r="DB3732">
        <v>0</v>
      </c>
      <c r="DC3732" t="s">
        <v>176</v>
      </c>
      <c r="DD3732" t="s">
        <v>177</v>
      </c>
      <c r="DG3732">
        <v>5446291</v>
      </c>
      <c r="DI3732">
        <v>1</v>
      </c>
      <c r="DJ3732">
        <v>0</v>
      </c>
      <c r="DK3732">
        <v>1</v>
      </c>
      <c r="DL3732">
        <v>0</v>
      </c>
      <c r="DM3732">
        <v>0</v>
      </c>
      <c r="DN3732">
        <v>1</v>
      </c>
      <c r="DO3732">
        <v>0</v>
      </c>
      <c r="DP3732">
        <v>0</v>
      </c>
      <c r="DQ3732">
        <v>0</v>
      </c>
      <c r="DR3732">
        <v>0</v>
      </c>
      <c r="DS3732">
        <v>0</v>
      </c>
    </row>
    <row r="3733" spans="1:123" x14ac:dyDescent="0.3">
      <c r="A3733" t="str">
        <f t="shared" si="1373"/>
        <v>10/04/2022 19:35:36.121</v>
      </c>
      <c r="C3733" t="str">
        <f t="shared" si="1357"/>
        <v>FFDFD3C0</v>
      </c>
      <c r="D3733" t="s">
        <v>136</v>
      </c>
      <c r="E3733">
        <v>8</v>
      </c>
      <c r="H3733">
        <v>225</v>
      </c>
      <c r="I3733" t="s">
        <v>137</v>
      </c>
      <c r="J3733" t="s">
        <v>138</v>
      </c>
      <c r="K3733">
        <v>0</v>
      </c>
      <c r="L3733">
        <v>3</v>
      </c>
      <c r="M3733">
        <v>0</v>
      </c>
      <c r="N3733">
        <v>2</v>
      </c>
      <c r="O3733">
        <v>0</v>
      </c>
      <c r="P3733">
        <v>1</v>
      </c>
      <c r="Q3733">
        <v>0</v>
      </c>
      <c r="S3733" t="str">
        <f t="shared" si="1374"/>
        <v>19:35:35.000</v>
      </c>
      <c r="T3733" t="str">
        <f t="shared" si="1374"/>
        <v>19:35:35.000</v>
      </c>
      <c r="U3733" t="str">
        <f t="shared" si="1367"/>
        <v>AC3944</v>
      </c>
      <c r="V3733">
        <v>0</v>
      </c>
      <c r="W3733">
        <v>0</v>
      </c>
      <c r="X3733">
        <v>2</v>
      </c>
      <c r="Y3733">
        <v>0</v>
      </c>
      <c r="AA3733">
        <v>1</v>
      </c>
      <c r="AB3733">
        <v>8</v>
      </c>
      <c r="AC3733">
        <v>3</v>
      </c>
      <c r="AD3733">
        <v>0</v>
      </c>
      <c r="AE3733">
        <v>9</v>
      </c>
      <c r="AF3733" t="s">
        <v>138</v>
      </c>
      <c r="AG3733">
        <v>0</v>
      </c>
      <c r="AH3733">
        <v>3</v>
      </c>
      <c r="AI3733">
        <v>1</v>
      </c>
      <c r="AJ3733">
        <v>0</v>
      </c>
      <c r="AK3733" t="s">
        <v>1219</v>
      </c>
      <c r="AL3733">
        <v>32.737563000000002</v>
      </c>
      <c r="AM3733" t="s">
        <v>1220</v>
      </c>
      <c r="AN3733">
        <v>-116.71102500000001</v>
      </c>
      <c r="AO3733">
        <v>25</v>
      </c>
      <c r="AP3733">
        <v>4600</v>
      </c>
      <c r="AQ3733" t="s">
        <v>129</v>
      </c>
      <c r="AR3733">
        <v>126</v>
      </c>
      <c r="AS3733">
        <v>11</v>
      </c>
      <c r="AT3733">
        <v>256</v>
      </c>
      <c r="BB3733">
        <v>1200</v>
      </c>
      <c r="BC3733">
        <v>1</v>
      </c>
      <c r="BD3733" t="str">
        <f t="shared" si="1368"/>
        <v xml:space="preserve">N887QR  </v>
      </c>
      <c r="BE3733">
        <v>1</v>
      </c>
      <c r="BG3733">
        <v>0</v>
      </c>
      <c r="BH3733">
        <v>0</v>
      </c>
      <c r="BI3733">
        <v>0</v>
      </c>
      <c r="BJ3733">
        <v>4400</v>
      </c>
      <c r="BK3733">
        <v>-200</v>
      </c>
      <c r="BL3733" t="s">
        <v>163</v>
      </c>
      <c r="BM3733">
        <v>1</v>
      </c>
      <c r="BN3733">
        <v>1</v>
      </c>
      <c r="BO3733">
        <v>1</v>
      </c>
      <c r="BP3733">
        <v>0</v>
      </c>
      <c r="BS3733">
        <v>0</v>
      </c>
      <c r="BT3733">
        <v>0</v>
      </c>
      <c r="BU3733">
        <v>0</v>
      </c>
      <c r="CE3733" t="str">
        <f t="shared" si="1375"/>
        <v>19:35:35.841</v>
      </c>
      <c r="CF3733">
        <v>841408862</v>
      </c>
      <c r="CS3733">
        <v>0</v>
      </c>
      <c r="CT3733">
        <v>2</v>
      </c>
      <c r="CU3733">
        <v>0</v>
      </c>
      <c r="CV3733">
        <v>2</v>
      </c>
      <c r="CW3733">
        <v>0</v>
      </c>
      <c r="CX3733">
        <v>4</v>
      </c>
      <c r="CY3733">
        <v>7</v>
      </c>
      <c r="CZ3733" t="s">
        <v>131</v>
      </c>
      <c r="DA3733">
        <v>300</v>
      </c>
      <c r="DB3733">
        <v>0</v>
      </c>
      <c r="DC3733" t="s">
        <v>176</v>
      </c>
      <c r="DD3733" t="s">
        <v>177</v>
      </c>
      <c r="DG3733">
        <v>5446291</v>
      </c>
      <c r="DI3733">
        <v>1</v>
      </c>
      <c r="DJ3733">
        <v>0</v>
      </c>
      <c r="DK3733">
        <v>1</v>
      </c>
      <c r="DL3733">
        <v>0</v>
      </c>
      <c r="DM3733">
        <v>0</v>
      </c>
      <c r="DN3733">
        <v>1</v>
      </c>
      <c r="DO3733">
        <v>0</v>
      </c>
      <c r="DP3733">
        <v>0</v>
      </c>
      <c r="DQ3733">
        <v>0</v>
      </c>
      <c r="DR3733">
        <v>0</v>
      </c>
      <c r="DS3733">
        <v>0</v>
      </c>
    </row>
    <row r="3734" spans="1:123" x14ac:dyDescent="0.3">
      <c r="A3734" t="str">
        <f t="shared" si="1373"/>
        <v>10/04/2022 19:35:36.121</v>
      </c>
      <c r="C3734" t="str">
        <f t="shared" si="1357"/>
        <v>FFDFD3C0</v>
      </c>
      <c r="D3734" t="s">
        <v>141</v>
      </c>
      <c r="E3734">
        <v>3</v>
      </c>
      <c r="H3734">
        <v>3</v>
      </c>
      <c r="I3734" t="s">
        <v>146</v>
      </c>
      <c r="J3734" t="s">
        <v>138</v>
      </c>
      <c r="K3734">
        <v>0</v>
      </c>
      <c r="L3734">
        <v>3</v>
      </c>
      <c r="M3734">
        <v>0</v>
      </c>
      <c r="N3734">
        <v>2</v>
      </c>
      <c r="O3734">
        <v>0</v>
      </c>
      <c r="P3734">
        <v>1</v>
      </c>
      <c r="Q3734">
        <v>0</v>
      </c>
      <c r="S3734" t="str">
        <f t="shared" si="1374"/>
        <v>19:35:35.000</v>
      </c>
      <c r="T3734" t="str">
        <f t="shared" si="1374"/>
        <v>19:35:35.000</v>
      </c>
      <c r="U3734" t="str">
        <f t="shared" si="1367"/>
        <v>AC3944</v>
      </c>
      <c r="V3734">
        <v>0</v>
      </c>
      <c r="W3734">
        <v>0</v>
      </c>
      <c r="X3734">
        <v>2</v>
      </c>
      <c r="Y3734">
        <v>0</v>
      </c>
      <c r="AA3734">
        <v>1</v>
      </c>
      <c r="AB3734">
        <v>8</v>
      </c>
      <c r="AC3734">
        <v>3</v>
      </c>
      <c r="AD3734">
        <v>0</v>
      </c>
      <c r="AE3734">
        <v>9</v>
      </c>
      <c r="AF3734" t="s">
        <v>138</v>
      </c>
      <c r="AG3734">
        <v>0</v>
      </c>
      <c r="AH3734">
        <v>3</v>
      </c>
      <c r="AI3734">
        <v>1</v>
      </c>
      <c r="AJ3734">
        <v>0</v>
      </c>
      <c r="AK3734" t="s">
        <v>1219</v>
      </c>
      <c r="AL3734">
        <v>32.737563000000002</v>
      </c>
      <c r="AM3734" t="s">
        <v>1220</v>
      </c>
      <c r="AN3734">
        <v>-116.71102500000001</v>
      </c>
      <c r="AO3734">
        <v>25</v>
      </c>
      <c r="AP3734">
        <v>4600</v>
      </c>
      <c r="AQ3734" t="s">
        <v>129</v>
      </c>
      <c r="AR3734">
        <v>126</v>
      </c>
      <c r="AS3734">
        <v>11</v>
      </c>
      <c r="AT3734">
        <v>256</v>
      </c>
      <c r="BB3734">
        <v>1200</v>
      </c>
      <c r="BC3734">
        <v>1</v>
      </c>
      <c r="BD3734" t="str">
        <f t="shared" si="1368"/>
        <v xml:space="preserve">N887QR  </v>
      </c>
      <c r="BE3734">
        <v>1</v>
      </c>
      <c r="BG3734">
        <v>0</v>
      </c>
      <c r="BH3734">
        <v>0</v>
      </c>
      <c r="BI3734">
        <v>0</v>
      </c>
      <c r="BJ3734">
        <v>4400</v>
      </c>
      <c r="BK3734">
        <v>-200</v>
      </c>
      <c r="BL3734" t="s">
        <v>163</v>
      </c>
      <c r="BM3734">
        <v>1</v>
      </c>
      <c r="BN3734">
        <v>1</v>
      </c>
      <c r="BO3734">
        <v>1</v>
      </c>
      <c r="BP3734">
        <v>0</v>
      </c>
      <c r="BS3734">
        <v>0</v>
      </c>
      <c r="BT3734">
        <v>0</v>
      </c>
      <c r="BU3734">
        <v>0</v>
      </c>
      <c r="CE3734" t="str">
        <f t="shared" si="1375"/>
        <v>19:35:35.841</v>
      </c>
      <c r="CF3734">
        <v>841408862</v>
      </c>
      <c r="CS3734">
        <v>0</v>
      </c>
      <c r="CT3734">
        <v>2</v>
      </c>
      <c r="CU3734">
        <v>0</v>
      </c>
      <c r="CV3734">
        <v>2</v>
      </c>
      <c r="CW3734">
        <v>0</v>
      </c>
      <c r="CX3734">
        <v>4</v>
      </c>
      <c r="CY3734">
        <v>7</v>
      </c>
      <c r="CZ3734" t="s">
        <v>131</v>
      </c>
      <c r="DA3734">
        <v>300</v>
      </c>
      <c r="DB3734">
        <v>0</v>
      </c>
      <c r="DC3734" t="s">
        <v>176</v>
      </c>
      <c r="DD3734" t="s">
        <v>177</v>
      </c>
      <c r="DG3734">
        <v>5446291</v>
      </c>
      <c r="DI3734">
        <v>1</v>
      </c>
      <c r="DJ3734">
        <v>0</v>
      </c>
      <c r="DK3734">
        <v>1</v>
      </c>
      <c r="DL3734">
        <v>0</v>
      </c>
      <c r="DM3734">
        <v>0</v>
      </c>
      <c r="DN3734">
        <v>1</v>
      </c>
      <c r="DO3734">
        <v>0</v>
      </c>
      <c r="DP3734">
        <v>0</v>
      </c>
      <c r="DQ3734">
        <v>0</v>
      </c>
      <c r="DR3734">
        <v>0</v>
      </c>
      <c r="DS3734">
        <v>0</v>
      </c>
    </row>
    <row r="3735" spans="1:123" x14ac:dyDescent="0.3">
      <c r="A3735" t="str">
        <f t="shared" si="1373"/>
        <v>10/04/2022 19:35:36.121</v>
      </c>
      <c r="C3735" t="str">
        <f t="shared" si="1357"/>
        <v>FFDFD3C0</v>
      </c>
      <c r="D3735" t="s">
        <v>134</v>
      </c>
      <c r="E3735">
        <v>15</v>
      </c>
      <c r="J3735" t="s">
        <v>135</v>
      </c>
      <c r="K3735">
        <v>0</v>
      </c>
      <c r="L3735">
        <v>3</v>
      </c>
      <c r="M3735">
        <v>0</v>
      </c>
      <c r="N3735">
        <v>2</v>
      </c>
      <c r="O3735">
        <v>0</v>
      </c>
      <c r="P3735">
        <v>1</v>
      </c>
      <c r="Q3735">
        <v>0</v>
      </c>
      <c r="S3735" t="str">
        <f t="shared" si="1374"/>
        <v>19:35:35.000</v>
      </c>
      <c r="T3735" t="str">
        <f t="shared" si="1374"/>
        <v>19:35:35.000</v>
      </c>
      <c r="U3735" t="str">
        <f t="shared" si="1367"/>
        <v>AC3944</v>
      </c>
      <c r="V3735">
        <v>0</v>
      </c>
      <c r="W3735">
        <v>0</v>
      </c>
      <c r="X3735">
        <v>2</v>
      </c>
      <c r="Y3735">
        <v>0</v>
      </c>
      <c r="AA3735">
        <v>1</v>
      </c>
      <c r="AB3735">
        <v>8</v>
      </c>
      <c r="AC3735">
        <v>3</v>
      </c>
      <c r="AD3735">
        <v>0</v>
      </c>
      <c r="AE3735">
        <v>9</v>
      </c>
      <c r="AF3735" t="s">
        <v>138</v>
      </c>
      <c r="AG3735">
        <v>0</v>
      </c>
      <c r="AH3735">
        <v>3</v>
      </c>
      <c r="AI3735">
        <v>1</v>
      </c>
      <c r="AJ3735">
        <v>0</v>
      </c>
      <c r="AK3735" t="s">
        <v>1219</v>
      </c>
      <c r="AL3735">
        <v>32.737563000000002</v>
      </c>
      <c r="AM3735" t="s">
        <v>1220</v>
      </c>
      <c r="AN3735">
        <v>-116.71102500000001</v>
      </c>
      <c r="AO3735">
        <v>25</v>
      </c>
      <c r="AP3735">
        <v>4600</v>
      </c>
      <c r="AQ3735" t="s">
        <v>129</v>
      </c>
      <c r="AR3735">
        <v>126</v>
      </c>
      <c r="AS3735">
        <v>11</v>
      </c>
      <c r="AT3735">
        <v>256</v>
      </c>
      <c r="BB3735">
        <v>1200</v>
      </c>
      <c r="BC3735">
        <v>1</v>
      </c>
      <c r="BD3735" t="str">
        <f t="shared" si="1368"/>
        <v xml:space="preserve">N887QR  </v>
      </c>
      <c r="BE3735">
        <v>1</v>
      </c>
      <c r="BG3735">
        <v>0</v>
      </c>
      <c r="BH3735">
        <v>0</v>
      </c>
      <c r="BI3735">
        <v>0</v>
      </c>
      <c r="BJ3735">
        <v>4400</v>
      </c>
      <c r="BK3735">
        <v>-200</v>
      </c>
      <c r="BL3735" t="s">
        <v>163</v>
      </c>
      <c r="BM3735">
        <v>1</v>
      </c>
      <c r="BN3735">
        <v>1</v>
      </c>
      <c r="BO3735">
        <v>1</v>
      </c>
      <c r="BP3735">
        <v>0</v>
      </c>
      <c r="BS3735">
        <v>0</v>
      </c>
      <c r="BT3735">
        <v>0</v>
      </c>
      <c r="BU3735">
        <v>0</v>
      </c>
      <c r="CE3735" t="str">
        <f t="shared" si="1375"/>
        <v>19:35:35.841</v>
      </c>
      <c r="CF3735">
        <v>841408862</v>
      </c>
      <c r="CS3735">
        <v>0</v>
      </c>
      <c r="CT3735">
        <v>2</v>
      </c>
      <c r="CU3735">
        <v>0</v>
      </c>
      <c r="CV3735">
        <v>2</v>
      </c>
      <c r="CW3735">
        <v>0</v>
      </c>
      <c r="CX3735">
        <v>4</v>
      </c>
      <c r="CY3735">
        <v>7</v>
      </c>
      <c r="CZ3735" t="s">
        <v>131</v>
      </c>
      <c r="DA3735">
        <v>300</v>
      </c>
      <c r="DB3735">
        <v>0</v>
      </c>
      <c r="DC3735" t="s">
        <v>176</v>
      </c>
      <c r="DD3735" t="s">
        <v>177</v>
      </c>
      <c r="DG3735">
        <v>5446291</v>
      </c>
      <c r="DI3735">
        <v>1</v>
      </c>
      <c r="DJ3735">
        <v>0</v>
      </c>
      <c r="DK3735">
        <v>1</v>
      </c>
      <c r="DL3735">
        <v>0</v>
      </c>
      <c r="DM3735">
        <v>0</v>
      </c>
      <c r="DN3735">
        <v>1</v>
      </c>
      <c r="DO3735">
        <v>0</v>
      </c>
      <c r="DP3735">
        <v>0</v>
      </c>
      <c r="DQ3735">
        <v>0</v>
      </c>
      <c r="DR3735">
        <v>0</v>
      </c>
      <c r="DS3735">
        <v>0</v>
      </c>
    </row>
    <row r="3736" spans="1:123" x14ac:dyDescent="0.3">
      <c r="A3736" t="str">
        <f t="shared" si="1373"/>
        <v>10/04/2022 19:35:36.121</v>
      </c>
      <c r="C3736" t="str">
        <f t="shared" si="1357"/>
        <v>FFDFD3C0</v>
      </c>
      <c r="D3736" t="s">
        <v>143</v>
      </c>
      <c r="E3736">
        <v>20</v>
      </c>
      <c r="F3736">
        <v>1020</v>
      </c>
      <c r="G3736" t="s">
        <v>144</v>
      </c>
      <c r="J3736" t="s">
        <v>145</v>
      </c>
      <c r="K3736">
        <v>0</v>
      </c>
      <c r="L3736">
        <v>3</v>
      </c>
      <c r="M3736">
        <v>0</v>
      </c>
      <c r="N3736">
        <v>2</v>
      </c>
      <c r="O3736">
        <v>0</v>
      </c>
      <c r="P3736">
        <v>1</v>
      </c>
      <c r="Q3736">
        <v>0</v>
      </c>
      <c r="S3736" t="str">
        <f t="shared" si="1374"/>
        <v>19:35:35.000</v>
      </c>
      <c r="T3736" t="str">
        <f t="shared" si="1374"/>
        <v>19:35:35.000</v>
      </c>
      <c r="U3736" t="str">
        <f t="shared" si="1367"/>
        <v>AC3944</v>
      </c>
      <c r="V3736">
        <v>0</v>
      </c>
      <c r="W3736">
        <v>0</v>
      </c>
      <c r="X3736">
        <v>2</v>
      </c>
      <c r="Y3736">
        <v>0</v>
      </c>
      <c r="AA3736">
        <v>1</v>
      </c>
      <c r="AB3736">
        <v>8</v>
      </c>
      <c r="AC3736">
        <v>3</v>
      </c>
      <c r="AD3736">
        <v>0</v>
      </c>
      <c r="AE3736">
        <v>9</v>
      </c>
      <c r="AF3736" t="s">
        <v>138</v>
      </c>
      <c r="AG3736">
        <v>0</v>
      </c>
      <c r="AH3736">
        <v>3</v>
      </c>
      <c r="AI3736">
        <v>1</v>
      </c>
      <c r="AJ3736">
        <v>0</v>
      </c>
      <c r="AK3736" t="s">
        <v>1219</v>
      </c>
      <c r="AL3736">
        <v>32.737563000000002</v>
      </c>
      <c r="AM3736" t="s">
        <v>1220</v>
      </c>
      <c r="AN3736">
        <v>-116.71102500000001</v>
      </c>
      <c r="AO3736">
        <v>25</v>
      </c>
      <c r="AP3736">
        <v>4600</v>
      </c>
      <c r="AQ3736" t="s">
        <v>129</v>
      </c>
      <c r="AR3736">
        <v>126</v>
      </c>
      <c r="AS3736">
        <v>11</v>
      </c>
      <c r="AT3736">
        <v>256</v>
      </c>
      <c r="BB3736">
        <v>1200</v>
      </c>
      <c r="BC3736">
        <v>1</v>
      </c>
      <c r="BD3736" t="str">
        <f t="shared" si="1368"/>
        <v xml:space="preserve">N887QR  </v>
      </c>
      <c r="BE3736">
        <v>1</v>
      </c>
      <c r="BG3736">
        <v>0</v>
      </c>
      <c r="BH3736">
        <v>0</v>
      </c>
      <c r="BI3736">
        <v>0</v>
      </c>
      <c r="BJ3736">
        <v>4400</v>
      </c>
      <c r="BK3736">
        <v>-200</v>
      </c>
      <c r="BL3736" t="s">
        <v>163</v>
      </c>
      <c r="BM3736">
        <v>1</v>
      </c>
      <c r="BN3736">
        <v>1</v>
      </c>
      <c r="BO3736">
        <v>1</v>
      </c>
      <c r="BP3736">
        <v>0</v>
      </c>
      <c r="BS3736">
        <v>0</v>
      </c>
      <c r="BT3736">
        <v>0</v>
      </c>
      <c r="BU3736">
        <v>0</v>
      </c>
      <c r="CE3736" t="str">
        <f t="shared" si="1375"/>
        <v>19:35:35.841</v>
      </c>
      <c r="CF3736">
        <v>841408862</v>
      </c>
      <c r="CS3736">
        <v>0</v>
      </c>
      <c r="CT3736">
        <v>2</v>
      </c>
      <c r="CU3736">
        <v>0</v>
      </c>
      <c r="CV3736">
        <v>2</v>
      </c>
      <c r="CW3736">
        <v>0</v>
      </c>
      <c r="CX3736">
        <v>4</v>
      </c>
      <c r="CY3736">
        <v>7</v>
      </c>
      <c r="CZ3736" t="s">
        <v>131</v>
      </c>
      <c r="DA3736">
        <v>300</v>
      </c>
      <c r="DB3736">
        <v>0</v>
      </c>
      <c r="DC3736" t="s">
        <v>176</v>
      </c>
      <c r="DD3736" t="s">
        <v>177</v>
      </c>
      <c r="DG3736">
        <v>5446291</v>
      </c>
      <c r="DI3736">
        <v>1</v>
      </c>
      <c r="DJ3736">
        <v>0</v>
      </c>
      <c r="DK3736">
        <v>1</v>
      </c>
      <c r="DL3736">
        <v>0</v>
      </c>
      <c r="DM3736">
        <v>0</v>
      </c>
      <c r="DN3736">
        <v>1</v>
      </c>
      <c r="DO3736">
        <v>0</v>
      </c>
      <c r="DP3736">
        <v>0</v>
      </c>
      <c r="DQ3736">
        <v>0</v>
      </c>
      <c r="DR3736">
        <v>0</v>
      </c>
      <c r="DS3736">
        <v>0</v>
      </c>
    </row>
    <row r="3737" spans="1:123" x14ac:dyDescent="0.3">
      <c r="A3737" t="str">
        <f t="shared" si="1373"/>
        <v>10/04/2022 19:35:36.121</v>
      </c>
      <c r="C3737" t="str">
        <f t="shared" si="1357"/>
        <v>FFDFD3C0</v>
      </c>
      <c r="D3737" t="s">
        <v>141</v>
      </c>
      <c r="E3737">
        <v>4</v>
      </c>
      <c r="H3737">
        <v>4</v>
      </c>
      <c r="I3737" t="s">
        <v>142</v>
      </c>
      <c r="J3737" t="s">
        <v>138</v>
      </c>
      <c r="K3737">
        <v>0</v>
      </c>
      <c r="L3737">
        <v>3</v>
      </c>
      <c r="M3737">
        <v>0</v>
      </c>
      <c r="N3737">
        <v>2</v>
      </c>
      <c r="O3737">
        <v>0</v>
      </c>
      <c r="P3737">
        <v>1</v>
      </c>
      <c r="Q3737">
        <v>0</v>
      </c>
      <c r="S3737" t="str">
        <f t="shared" si="1374"/>
        <v>19:35:35.000</v>
      </c>
      <c r="T3737" t="str">
        <f t="shared" si="1374"/>
        <v>19:35:35.000</v>
      </c>
      <c r="U3737" t="str">
        <f t="shared" si="1367"/>
        <v>AC3944</v>
      </c>
      <c r="V3737">
        <v>0</v>
      </c>
      <c r="W3737">
        <v>0</v>
      </c>
      <c r="X3737">
        <v>2</v>
      </c>
      <c r="Y3737">
        <v>0</v>
      </c>
      <c r="AA3737">
        <v>1</v>
      </c>
      <c r="AB3737">
        <v>8</v>
      </c>
      <c r="AC3737">
        <v>3</v>
      </c>
      <c r="AD3737">
        <v>0</v>
      </c>
      <c r="AE3737">
        <v>9</v>
      </c>
      <c r="AF3737" t="s">
        <v>138</v>
      </c>
      <c r="AG3737">
        <v>0</v>
      </c>
      <c r="AH3737">
        <v>3</v>
      </c>
      <c r="AI3737">
        <v>1</v>
      </c>
      <c r="AJ3737">
        <v>0</v>
      </c>
      <c r="AK3737" t="s">
        <v>1219</v>
      </c>
      <c r="AL3737">
        <v>32.737563000000002</v>
      </c>
      <c r="AM3737" t="s">
        <v>1220</v>
      </c>
      <c r="AN3737">
        <v>-116.71102500000001</v>
      </c>
      <c r="AO3737">
        <v>25</v>
      </c>
      <c r="AP3737">
        <v>4600</v>
      </c>
      <c r="AQ3737" t="s">
        <v>129</v>
      </c>
      <c r="AR3737">
        <v>126</v>
      </c>
      <c r="AS3737">
        <v>11</v>
      </c>
      <c r="AT3737">
        <v>256</v>
      </c>
      <c r="BB3737">
        <v>1200</v>
      </c>
      <c r="BC3737">
        <v>1</v>
      </c>
      <c r="BD3737" t="str">
        <f t="shared" si="1368"/>
        <v xml:space="preserve">N887QR  </v>
      </c>
      <c r="BE3737">
        <v>1</v>
      </c>
      <c r="BG3737">
        <v>0</v>
      </c>
      <c r="BH3737">
        <v>0</v>
      </c>
      <c r="BI3737">
        <v>0</v>
      </c>
      <c r="BJ3737">
        <v>4400</v>
      </c>
      <c r="BK3737">
        <v>-200</v>
      </c>
      <c r="BL3737" t="s">
        <v>163</v>
      </c>
      <c r="BM3737">
        <v>1</v>
      </c>
      <c r="BN3737">
        <v>1</v>
      </c>
      <c r="BO3737">
        <v>1</v>
      </c>
      <c r="BP3737">
        <v>0</v>
      </c>
      <c r="BS3737">
        <v>0</v>
      </c>
      <c r="BT3737">
        <v>0</v>
      </c>
      <c r="BU3737">
        <v>0</v>
      </c>
      <c r="CE3737" t="str">
        <f t="shared" si="1375"/>
        <v>19:35:35.841</v>
      </c>
      <c r="CF3737">
        <v>841408862</v>
      </c>
      <c r="CS3737">
        <v>0</v>
      </c>
      <c r="CT3737">
        <v>2</v>
      </c>
      <c r="CU3737">
        <v>0</v>
      </c>
      <c r="CV3737">
        <v>2</v>
      </c>
      <c r="CW3737">
        <v>0</v>
      </c>
      <c r="CX3737">
        <v>4</v>
      </c>
      <c r="CY3737">
        <v>7</v>
      </c>
      <c r="CZ3737" t="s">
        <v>131</v>
      </c>
      <c r="DA3737">
        <v>300</v>
      </c>
      <c r="DB3737">
        <v>0</v>
      </c>
      <c r="DC3737" t="s">
        <v>176</v>
      </c>
      <c r="DD3737" t="s">
        <v>177</v>
      </c>
      <c r="DG3737">
        <v>5446291</v>
      </c>
      <c r="DI3737">
        <v>1</v>
      </c>
      <c r="DJ3737">
        <v>0</v>
      </c>
      <c r="DK3737">
        <v>1</v>
      </c>
      <c r="DL3737">
        <v>0</v>
      </c>
      <c r="DM3737">
        <v>0</v>
      </c>
      <c r="DN3737">
        <v>1</v>
      </c>
      <c r="DO3737">
        <v>0</v>
      </c>
      <c r="DP3737">
        <v>0</v>
      </c>
      <c r="DQ3737">
        <v>0</v>
      </c>
      <c r="DR3737">
        <v>0</v>
      </c>
      <c r="DS3737">
        <v>0</v>
      </c>
    </row>
    <row r="3738" spans="1:123" x14ac:dyDescent="0.3">
      <c r="A3738" t="str">
        <f t="shared" ref="A3738:A3744" si="1376">"10/04/2022 19:35:37.387"</f>
        <v>10/04/2022 19:35:37.387</v>
      </c>
      <c r="C3738" t="str">
        <f t="shared" si="1357"/>
        <v>FFDFD3C0</v>
      </c>
      <c r="D3738" t="s">
        <v>141</v>
      </c>
      <c r="E3738">
        <v>3</v>
      </c>
      <c r="H3738">
        <v>3</v>
      </c>
      <c r="I3738" t="s">
        <v>146</v>
      </c>
      <c r="J3738" t="s">
        <v>138</v>
      </c>
      <c r="K3738">
        <v>0</v>
      </c>
      <c r="L3738">
        <v>3</v>
      </c>
      <c r="M3738">
        <v>0</v>
      </c>
      <c r="N3738">
        <v>2</v>
      </c>
      <c r="O3738">
        <v>0</v>
      </c>
      <c r="P3738">
        <v>1</v>
      </c>
      <c r="Q3738">
        <v>0</v>
      </c>
      <c r="S3738" t="str">
        <f t="shared" ref="S3738:T3751" si="1377">"19:35:37.000"</f>
        <v>19:35:37.000</v>
      </c>
      <c r="T3738" t="str">
        <f t="shared" si="1377"/>
        <v>19:35:37.000</v>
      </c>
      <c r="U3738" t="str">
        <f t="shared" si="1367"/>
        <v>AC3944</v>
      </c>
      <c r="V3738">
        <v>0</v>
      </c>
      <c r="W3738">
        <v>0</v>
      </c>
      <c r="X3738">
        <v>2</v>
      </c>
      <c r="Y3738">
        <v>0</v>
      </c>
      <c r="AA3738">
        <v>1</v>
      </c>
      <c r="AB3738">
        <v>8</v>
      </c>
      <c r="AC3738">
        <v>3</v>
      </c>
      <c r="AD3738">
        <v>0</v>
      </c>
      <c r="AE3738">
        <v>9</v>
      </c>
      <c r="AF3738" t="s">
        <v>138</v>
      </c>
      <c r="AG3738">
        <v>0</v>
      </c>
      <c r="AH3738">
        <v>3</v>
      </c>
      <c r="AI3738">
        <v>1</v>
      </c>
      <c r="AJ3738">
        <v>0</v>
      </c>
      <c r="AK3738" t="s">
        <v>1221</v>
      </c>
      <c r="AL3738">
        <v>32.737606</v>
      </c>
      <c r="AM3738" t="s">
        <v>1222</v>
      </c>
      <c r="AN3738">
        <v>-116.710317</v>
      </c>
      <c r="AO3738">
        <v>25</v>
      </c>
      <c r="AP3738">
        <v>4600</v>
      </c>
      <c r="AQ3738" t="s">
        <v>129</v>
      </c>
      <c r="AR3738">
        <v>127</v>
      </c>
      <c r="AS3738">
        <v>10</v>
      </c>
      <c r="AT3738">
        <v>256</v>
      </c>
      <c r="BB3738">
        <v>1200</v>
      </c>
      <c r="BC3738">
        <v>1</v>
      </c>
      <c r="BD3738" t="str">
        <f t="shared" si="1368"/>
        <v xml:space="preserve">N887QR  </v>
      </c>
      <c r="BE3738">
        <v>1</v>
      </c>
      <c r="BG3738">
        <v>0</v>
      </c>
      <c r="BH3738">
        <v>0</v>
      </c>
      <c r="BI3738">
        <v>0</v>
      </c>
      <c r="BJ3738">
        <v>4400</v>
      </c>
      <c r="BK3738">
        <v>-200</v>
      </c>
      <c r="BL3738" t="s">
        <v>163</v>
      </c>
      <c r="BM3738">
        <v>1</v>
      </c>
      <c r="BN3738">
        <v>1</v>
      </c>
      <c r="BO3738">
        <v>1</v>
      </c>
      <c r="BP3738">
        <v>0</v>
      </c>
      <c r="BS3738">
        <v>0</v>
      </c>
      <c r="BT3738">
        <v>0</v>
      </c>
      <c r="BU3738">
        <v>0</v>
      </c>
      <c r="CE3738" t="str">
        <f t="shared" ref="CE3738:CE3744" si="1378">"19:35:37.134"</f>
        <v>19:35:37.134</v>
      </c>
      <c r="CF3738">
        <v>134101554</v>
      </c>
      <c r="CS3738">
        <v>0</v>
      </c>
      <c r="CT3738">
        <v>2</v>
      </c>
      <c r="CU3738">
        <v>0</v>
      </c>
      <c r="CV3738">
        <v>2</v>
      </c>
      <c r="CW3738">
        <v>2</v>
      </c>
      <c r="CX3738">
        <v>5</v>
      </c>
      <c r="CY3738">
        <v>7</v>
      </c>
      <c r="CZ3738" t="s">
        <v>131</v>
      </c>
      <c r="DA3738">
        <v>286</v>
      </c>
      <c r="DB3738">
        <v>0</v>
      </c>
      <c r="DC3738" t="s">
        <v>132</v>
      </c>
      <c r="DD3738" t="s">
        <v>133</v>
      </c>
      <c r="DG3738">
        <v>889567</v>
      </c>
      <c r="DI3738">
        <v>1</v>
      </c>
      <c r="DJ3738">
        <v>0</v>
      </c>
      <c r="DK3738">
        <v>0</v>
      </c>
      <c r="DL3738">
        <v>0</v>
      </c>
      <c r="DM3738">
        <v>0</v>
      </c>
      <c r="DN3738">
        <v>1</v>
      </c>
      <c r="DO3738">
        <v>0</v>
      </c>
      <c r="DP3738">
        <v>0</v>
      </c>
      <c r="DQ3738">
        <v>0</v>
      </c>
      <c r="DR3738">
        <v>0</v>
      </c>
      <c r="DS3738">
        <v>0</v>
      </c>
    </row>
    <row r="3739" spans="1:123" x14ac:dyDescent="0.3">
      <c r="A3739" t="str">
        <f t="shared" si="1376"/>
        <v>10/04/2022 19:35:37.387</v>
      </c>
      <c r="C3739" t="str">
        <f t="shared" si="1357"/>
        <v>FFDFD3C0</v>
      </c>
      <c r="D3739" t="s">
        <v>134</v>
      </c>
      <c r="E3739">
        <v>15</v>
      </c>
      <c r="J3739" t="s">
        <v>135</v>
      </c>
      <c r="K3739">
        <v>0</v>
      </c>
      <c r="L3739">
        <v>3</v>
      </c>
      <c r="M3739">
        <v>0</v>
      </c>
      <c r="N3739">
        <v>2</v>
      </c>
      <c r="O3739">
        <v>0</v>
      </c>
      <c r="P3739">
        <v>1</v>
      </c>
      <c r="Q3739">
        <v>0</v>
      </c>
      <c r="S3739" t="str">
        <f t="shared" si="1377"/>
        <v>19:35:37.000</v>
      </c>
      <c r="T3739" t="str">
        <f t="shared" si="1377"/>
        <v>19:35:37.000</v>
      </c>
      <c r="U3739" t="str">
        <f t="shared" si="1367"/>
        <v>AC3944</v>
      </c>
      <c r="V3739">
        <v>0</v>
      </c>
      <c r="W3739">
        <v>0</v>
      </c>
      <c r="X3739">
        <v>2</v>
      </c>
      <c r="Y3739">
        <v>0</v>
      </c>
      <c r="AA3739">
        <v>1</v>
      </c>
      <c r="AB3739">
        <v>8</v>
      </c>
      <c r="AC3739">
        <v>3</v>
      </c>
      <c r="AD3739">
        <v>0</v>
      </c>
      <c r="AE3739">
        <v>9</v>
      </c>
      <c r="AF3739" t="s">
        <v>138</v>
      </c>
      <c r="AG3739">
        <v>0</v>
      </c>
      <c r="AH3739">
        <v>3</v>
      </c>
      <c r="AI3739">
        <v>1</v>
      </c>
      <c r="AJ3739">
        <v>0</v>
      </c>
      <c r="AK3739" t="s">
        <v>1221</v>
      </c>
      <c r="AL3739">
        <v>32.737606</v>
      </c>
      <c r="AM3739" t="s">
        <v>1222</v>
      </c>
      <c r="AN3739">
        <v>-116.710317</v>
      </c>
      <c r="AO3739">
        <v>25</v>
      </c>
      <c r="AP3739">
        <v>4600</v>
      </c>
      <c r="AQ3739" t="s">
        <v>129</v>
      </c>
      <c r="AR3739">
        <v>127</v>
      </c>
      <c r="AS3739">
        <v>10</v>
      </c>
      <c r="AT3739">
        <v>256</v>
      </c>
      <c r="BB3739">
        <v>1200</v>
      </c>
      <c r="BC3739">
        <v>1</v>
      </c>
      <c r="BD3739" t="str">
        <f t="shared" si="1368"/>
        <v xml:space="preserve">N887QR  </v>
      </c>
      <c r="BE3739">
        <v>1</v>
      </c>
      <c r="BG3739">
        <v>0</v>
      </c>
      <c r="BH3739">
        <v>0</v>
      </c>
      <c r="BI3739">
        <v>0</v>
      </c>
      <c r="BJ3739">
        <v>4400</v>
      </c>
      <c r="BK3739">
        <v>-200</v>
      </c>
      <c r="BL3739" t="s">
        <v>163</v>
      </c>
      <c r="BM3739">
        <v>1</v>
      </c>
      <c r="BN3739">
        <v>1</v>
      </c>
      <c r="BO3739">
        <v>1</v>
      </c>
      <c r="BP3739">
        <v>0</v>
      </c>
      <c r="BS3739">
        <v>0</v>
      </c>
      <c r="BT3739">
        <v>0</v>
      </c>
      <c r="BU3739">
        <v>0</v>
      </c>
      <c r="CE3739" t="str">
        <f t="shared" si="1378"/>
        <v>19:35:37.134</v>
      </c>
      <c r="CF3739">
        <v>134101554</v>
      </c>
      <c r="CS3739">
        <v>0</v>
      </c>
      <c r="CT3739">
        <v>2</v>
      </c>
      <c r="CU3739">
        <v>0</v>
      </c>
      <c r="CV3739">
        <v>2</v>
      </c>
      <c r="CW3739">
        <v>2</v>
      </c>
      <c r="CX3739">
        <v>5</v>
      </c>
      <c r="CY3739">
        <v>7</v>
      </c>
      <c r="CZ3739" t="s">
        <v>131</v>
      </c>
      <c r="DA3739">
        <v>286</v>
      </c>
      <c r="DB3739">
        <v>0</v>
      </c>
      <c r="DC3739" t="s">
        <v>132</v>
      </c>
      <c r="DD3739" t="s">
        <v>133</v>
      </c>
      <c r="DG3739">
        <v>889567</v>
      </c>
      <c r="DI3739">
        <v>1</v>
      </c>
      <c r="DJ3739">
        <v>0</v>
      </c>
      <c r="DK3739">
        <v>1</v>
      </c>
      <c r="DL3739">
        <v>0</v>
      </c>
      <c r="DM3739">
        <v>0</v>
      </c>
      <c r="DN3739">
        <v>1</v>
      </c>
      <c r="DO3739">
        <v>0</v>
      </c>
      <c r="DP3739">
        <v>0</v>
      </c>
      <c r="DQ3739">
        <v>0</v>
      </c>
      <c r="DR3739">
        <v>0</v>
      </c>
      <c r="DS3739">
        <v>0</v>
      </c>
    </row>
    <row r="3740" spans="1:123" x14ac:dyDescent="0.3">
      <c r="A3740" t="str">
        <f t="shared" si="1376"/>
        <v>10/04/2022 19:35:37.387</v>
      </c>
      <c r="C3740" t="str">
        <f t="shared" si="1357"/>
        <v>FFDFD3C0</v>
      </c>
      <c r="D3740" t="s">
        <v>141</v>
      </c>
      <c r="E3740">
        <v>4</v>
      </c>
      <c r="H3740">
        <v>4</v>
      </c>
      <c r="I3740" t="s">
        <v>142</v>
      </c>
      <c r="J3740" t="s">
        <v>138</v>
      </c>
      <c r="K3740">
        <v>0</v>
      </c>
      <c r="L3740">
        <v>3</v>
      </c>
      <c r="M3740">
        <v>0</v>
      </c>
      <c r="N3740">
        <v>2</v>
      </c>
      <c r="O3740">
        <v>0</v>
      </c>
      <c r="P3740">
        <v>1</v>
      </c>
      <c r="Q3740">
        <v>0</v>
      </c>
      <c r="S3740" t="str">
        <f t="shared" si="1377"/>
        <v>19:35:37.000</v>
      </c>
      <c r="T3740" t="str">
        <f t="shared" si="1377"/>
        <v>19:35:37.000</v>
      </c>
      <c r="U3740" t="str">
        <f t="shared" si="1367"/>
        <v>AC3944</v>
      </c>
      <c r="V3740">
        <v>0</v>
      </c>
      <c r="W3740">
        <v>0</v>
      </c>
      <c r="X3740">
        <v>2</v>
      </c>
      <c r="Y3740">
        <v>0</v>
      </c>
      <c r="AA3740">
        <v>1</v>
      </c>
      <c r="AB3740">
        <v>8</v>
      </c>
      <c r="AC3740">
        <v>3</v>
      </c>
      <c r="AD3740">
        <v>0</v>
      </c>
      <c r="AE3740">
        <v>9</v>
      </c>
      <c r="AF3740" t="s">
        <v>138</v>
      </c>
      <c r="AG3740">
        <v>0</v>
      </c>
      <c r="AH3740">
        <v>3</v>
      </c>
      <c r="AI3740">
        <v>1</v>
      </c>
      <c r="AJ3740">
        <v>0</v>
      </c>
      <c r="AK3740" t="s">
        <v>1221</v>
      </c>
      <c r="AL3740">
        <v>32.737606</v>
      </c>
      <c r="AM3740" t="s">
        <v>1222</v>
      </c>
      <c r="AN3740">
        <v>-116.710317</v>
      </c>
      <c r="AO3740">
        <v>25</v>
      </c>
      <c r="AP3740">
        <v>4600</v>
      </c>
      <c r="AQ3740" t="s">
        <v>129</v>
      </c>
      <c r="AR3740">
        <v>127</v>
      </c>
      <c r="AS3740">
        <v>10</v>
      </c>
      <c r="AT3740">
        <v>256</v>
      </c>
      <c r="BB3740">
        <v>1200</v>
      </c>
      <c r="BC3740">
        <v>1</v>
      </c>
      <c r="BD3740" t="str">
        <f t="shared" si="1368"/>
        <v xml:space="preserve">N887QR  </v>
      </c>
      <c r="BE3740">
        <v>1</v>
      </c>
      <c r="BG3740">
        <v>0</v>
      </c>
      <c r="BH3740">
        <v>0</v>
      </c>
      <c r="BI3740">
        <v>0</v>
      </c>
      <c r="BJ3740">
        <v>4400</v>
      </c>
      <c r="BK3740">
        <v>-200</v>
      </c>
      <c r="BL3740" t="s">
        <v>163</v>
      </c>
      <c r="BM3740">
        <v>1</v>
      </c>
      <c r="BN3740">
        <v>1</v>
      </c>
      <c r="BO3740">
        <v>1</v>
      </c>
      <c r="BP3740">
        <v>0</v>
      </c>
      <c r="BS3740">
        <v>0</v>
      </c>
      <c r="BT3740">
        <v>0</v>
      </c>
      <c r="BU3740">
        <v>0</v>
      </c>
      <c r="CE3740" t="str">
        <f t="shared" si="1378"/>
        <v>19:35:37.134</v>
      </c>
      <c r="CF3740">
        <v>134101554</v>
      </c>
      <c r="CS3740">
        <v>0</v>
      </c>
      <c r="CT3740">
        <v>2</v>
      </c>
      <c r="CU3740">
        <v>0</v>
      </c>
      <c r="CV3740">
        <v>2</v>
      </c>
      <c r="CW3740">
        <v>2</v>
      </c>
      <c r="CX3740">
        <v>5</v>
      </c>
      <c r="CY3740">
        <v>7</v>
      </c>
      <c r="CZ3740" t="s">
        <v>131</v>
      </c>
      <c r="DA3740">
        <v>286</v>
      </c>
      <c r="DB3740">
        <v>0</v>
      </c>
      <c r="DC3740" t="s">
        <v>132</v>
      </c>
      <c r="DD3740" t="s">
        <v>133</v>
      </c>
      <c r="DG3740">
        <v>889567</v>
      </c>
      <c r="DI3740">
        <v>1</v>
      </c>
      <c r="DJ3740">
        <v>0</v>
      </c>
      <c r="DK3740">
        <v>1</v>
      </c>
      <c r="DL3740">
        <v>0</v>
      </c>
      <c r="DM3740">
        <v>0</v>
      </c>
      <c r="DN3740">
        <v>1</v>
      </c>
      <c r="DO3740">
        <v>0</v>
      </c>
      <c r="DP3740">
        <v>0</v>
      </c>
      <c r="DQ3740">
        <v>0</v>
      </c>
      <c r="DR3740">
        <v>0</v>
      </c>
      <c r="DS3740">
        <v>0</v>
      </c>
    </row>
    <row r="3741" spans="1:123" x14ac:dyDescent="0.3">
      <c r="A3741" t="str">
        <f t="shared" si="1376"/>
        <v>10/04/2022 19:35:37.387</v>
      </c>
      <c r="C3741" t="str">
        <f t="shared" si="1357"/>
        <v>FFDFD3C0</v>
      </c>
      <c r="D3741" t="s">
        <v>143</v>
      </c>
      <c r="E3741">
        <v>20</v>
      </c>
      <c r="F3741">
        <v>1020</v>
      </c>
      <c r="G3741" t="s">
        <v>144</v>
      </c>
      <c r="J3741" t="s">
        <v>145</v>
      </c>
      <c r="K3741">
        <v>0</v>
      </c>
      <c r="L3741">
        <v>3</v>
      </c>
      <c r="M3741">
        <v>0</v>
      </c>
      <c r="N3741">
        <v>2</v>
      </c>
      <c r="O3741">
        <v>0</v>
      </c>
      <c r="P3741">
        <v>1</v>
      </c>
      <c r="Q3741">
        <v>0</v>
      </c>
      <c r="S3741" t="str">
        <f t="shared" si="1377"/>
        <v>19:35:37.000</v>
      </c>
      <c r="T3741" t="str">
        <f t="shared" si="1377"/>
        <v>19:35:37.000</v>
      </c>
      <c r="U3741" t="str">
        <f t="shared" si="1367"/>
        <v>AC3944</v>
      </c>
      <c r="V3741">
        <v>0</v>
      </c>
      <c r="W3741">
        <v>0</v>
      </c>
      <c r="X3741">
        <v>2</v>
      </c>
      <c r="Y3741">
        <v>0</v>
      </c>
      <c r="AA3741">
        <v>1</v>
      </c>
      <c r="AB3741">
        <v>8</v>
      </c>
      <c r="AC3741">
        <v>3</v>
      </c>
      <c r="AD3741">
        <v>0</v>
      </c>
      <c r="AE3741">
        <v>9</v>
      </c>
      <c r="AF3741" t="s">
        <v>138</v>
      </c>
      <c r="AG3741">
        <v>0</v>
      </c>
      <c r="AH3741">
        <v>3</v>
      </c>
      <c r="AI3741">
        <v>1</v>
      </c>
      <c r="AJ3741">
        <v>0</v>
      </c>
      <c r="AK3741" t="s">
        <v>1221</v>
      </c>
      <c r="AL3741">
        <v>32.737606</v>
      </c>
      <c r="AM3741" t="s">
        <v>1222</v>
      </c>
      <c r="AN3741">
        <v>-116.710317</v>
      </c>
      <c r="AO3741">
        <v>25</v>
      </c>
      <c r="AP3741">
        <v>4600</v>
      </c>
      <c r="AQ3741" t="s">
        <v>129</v>
      </c>
      <c r="AR3741">
        <v>127</v>
      </c>
      <c r="AS3741">
        <v>10</v>
      </c>
      <c r="AT3741">
        <v>256</v>
      </c>
      <c r="BB3741">
        <v>1200</v>
      </c>
      <c r="BC3741">
        <v>1</v>
      </c>
      <c r="BD3741" t="str">
        <f t="shared" si="1368"/>
        <v xml:space="preserve">N887QR  </v>
      </c>
      <c r="BE3741">
        <v>1</v>
      </c>
      <c r="BG3741">
        <v>0</v>
      </c>
      <c r="BH3741">
        <v>0</v>
      </c>
      <c r="BI3741">
        <v>0</v>
      </c>
      <c r="BJ3741">
        <v>4400</v>
      </c>
      <c r="BK3741">
        <v>-200</v>
      </c>
      <c r="BL3741" t="s">
        <v>163</v>
      </c>
      <c r="BM3741">
        <v>1</v>
      </c>
      <c r="BN3741">
        <v>1</v>
      </c>
      <c r="BO3741">
        <v>1</v>
      </c>
      <c r="BP3741">
        <v>0</v>
      </c>
      <c r="BS3741">
        <v>0</v>
      </c>
      <c r="BT3741">
        <v>0</v>
      </c>
      <c r="BU3741">
        <v>0</v>
      </c>
      <c r="CE3741" t="str">
        <f t="shared" si="1378"/>
        <v>19:35:37.134</v>
      </c>
      <c r="CF3741">
        <v>134101554</v>
      </c>
      <c r="CS3741">
        <v>0</v>
      </c>
      <c r="CT3741">
        <v>2</v>
      </c>
      <c r="CU3741">
        <v>0</v>
      </c>
      <c r="CV3741">
        <v>2</v>
      </c>
      <c r="CW3741">
        <v>2</v>
      </c>
      <c r="CX3741">
        <v>5</v>
      </c>
      <c r="CY3741">
        <v>7</v>
      </c>
      <c r="CZ3741" t="s">
        <v>131</v>
      </c>
      <c r="DA3741">
        <v>286</v>
      </c>
      <c r="DB3741">
        <v>0</v>
      </c>
      <c r="DC3741" t="s">
        <v>132</v>
      </c>
      <c r="DD3741" t="s">
        <v>133</v>
      </c>
      <c r="DG3741">
        <v>889567</v>
      </c>
      <c r="DI3741">
        <v>1</v>
      </c>
      <c r="DJ3741">
        <v>0</v>
      </c>
      <c r="DK3741">
        <v>1</v>
      </c>
      <c r="DL3741">
        <v>0</v>
      </c>
      <c r="DM3741">
        <v>0</v>
      </c>
      <c r="DN3741">
        <v>1</v>
      </c>
      <c r="DO3741">
        <v>0</v>
      </c>
      <c r="DP3741">
        <v>0</v>
      </c>
      <c r="DQ3741">
        <v>0</v>
      </c>
      <c r="DR3741">
        <v>0</v>
      </c>
      <c r="DS3741">
        <v>0</v>
      </c>
    </row>
    <row r="3742" spans="1:123" x14ac:dyDescent="0.3">
      <c r="A3742" t="str">
        <f t="shared" si="1376"/>
        <v>10/04/2022 19:35:37.387</v>
      </c>
      <c r="C3742" t="str">
        <f t="shared" si="1357"/>
        <v>FFDFD3C0</v>
      </c>
      <c r="D3742" t="s">
        <v>147</v>
      </c>
      <c r="E3742">
        <v>3</v>
      </c>
      <c r="H3742">
        <v>166</v>
      </c>
      <c r="I3742" t="s">
        <v>144</v>
      </c>
      <c r="J3742" t="s">
        <v>148</v>
      </c>
      <c r="K3742">
        <v>0</v>
      </c>
      <c r="L3742">
        <v>3</v>
      </c>
      <c r="M3742">
        <v>0</v>
      </c>
      <c r="N3742">
        <v>2</v>
      </c>
      <c r="O3742">
        <v>0</v>
      </c>
      <c r="P3742">
        <v>1</v>
      </c>
      <c r="Q3742">
        <v>0</v>
      </c>
      <c r="S3742" t="str">
        <f t="shared" si="1377"/>
        <v>19:35:37.000</v>
      </c>
      <c r="T3742" t="str">
        <f t="shared" si="1377"/>
        <v>19:35:37.000</v>
      </c>
      <c r="U3742" t="str">
        <f t="shared" si="1367"/>
        <v>AC3944</v>
      </c>
      <c r="V3742">
        <v>0</v>
      </c>
      <c r="W3742">
        <v>0</v>
      </c>
      <c r="X3742">
        <v>2</v>
      </c>
      <c r="Y3742">
        <v>0</v>
      </c>
      <c r="AA3742">
        <v>1</v>
      </c>
      <c r="AB3742">
        <v>8</v>
      </c>
      <c r="AC3742">
        <v>3</v>
      </c>
      <c r="AD3742">
        <v>0</v>
      </c>
      <c r="AE3742">
        <v>9</v>
      </c>
      <c r="AF3742" t="s">
        <v>138</v>
      </c>
      <c r="AG3742">
        <v>0</v>
      </c>
      <c r="AH3742">
        <v>3</v>
      </c>
      <c r="AI3742">
        <v>1</v>
      </c>
      <c r="AJ3742">
        <v>0</v>
      </c>
      <c r="AK3742" t="s">
        <v>1221</v>
      </c>
      <c r="AL3742">
        <v>32.737606</v>
      </c>
      <c r="AM3742" t="s">
        <v>1222</v>
      </c>
      <c r="AN3742">
        <v>-116.710317</v>
      </c>
      <c r="AO3742">
        <v>25</v>
      </c>
      <c r="AP3742">
        <v>4600</v>
      </c>
      <c r="AQ3742" t="s">
        <v>129</v>
      </c>
      <c r="AR3742">
        <v>127</v>
      </c>
      <c r="AS3742">
        <v>10</v>
      </c>
      <c r="AT3742">
        <v>256</v>
      </c>
      <c r="BB3742">
        <v>1200</v>
      </c>
      <c r="BC3742">
        <v>1</v>
      </c>
      <c r="BD3742" t="str">
        <f t="shared" si="1368"/>
        <v xml:space="preserve">N887QR  </v>
      </c>
      <c r="BE3742">
        <v>1</v>
      </c>
      <c r="BG3742">
        <v>0</v>
      </c>
      <c r="BH3742">
        <v>0</v>
      </c>
      <c r="BI3742">
        <v>0</v>
      </c>
      <c r="BJ3742">
        <v>4400</v>
      </c>
      <c r="BK3742">
        <v>-200</v>
      </c>
      <c r="BL3742" t="s">
        <v>163</v>
      </c>
      <c r="BM3742">
        <v>1</v>
      </c>
      <c r="BN3742">
        <v>1</v>
      </c>
      <c r="BO3742">
        <v>1</v>
      </c>
      <c r="BP3742">
        <v>0</v>
      </c>
      <c r="BS3742">
        <v>0</v>
      </c>
      <c r="BT3742">
        <v>0</v>
      </c>
      <c r="BU3742">
        <v>0</v>
      </c>
      <c r="CE3742" t="str">
        <f t="shared" si="1378"/>
        <v>19:35:37.134</v>
      </c>
      <c r="CF3742">
        <v>134101554</v>
      </c>
      <c r="CS3742">
        <v>0</v>
      </c>
      <c r="CT3742">
        <v>2</v>
      </c>
      <c r="CU3742">
        <v>0</v>
      </c>
      <c r="CV3742">
        <v>2</v>
      </c>
      <c r="CW3742">
        <v>2</v>
      </c>
      <c r="CX3742">
        <v>5</v>
      </c>
      <c r="CY3742">
        <v>7</v>
      </c>
      <c r="CZ3742" t="s">
        <v>131</v>
      </c>
      <c r="DA3742">
        <v>286</v>
      </c>
      <c r="DB3742">
        <v>0</v>
      </c>
      <c r="DC3742" t="s">
        <v>132</v>
      </c>
      <c r="DD3742" t="s">
        <v>133</v>
      </c>
      <c r="DG3742">
        <v>889567</v>
      </c>
      <c r="DI3742">
        <v>1</v>
      </c>
      <c r="DJ3742">
        <v>0</v>
      </c>
      <c r="DK3742">
        <v>1</v>
      </c>
      <c r="DL3742">
        <v>0</v>
      </c>
      <c r="DM3742">
        <v>0</v>
      </c>
      <c r="DN3742">
        <v>1</v>
      </c>
      <c r="DO3742">
        <v>0</v>
      </c>
      <c r="DP3742">
        <v>0</v>
      </c>
      <c r="DQ3742">
        <v>0</v>
      </c>
      <c r="DR3742">
        <v>0</v>
      </c>
      <c r="DS3742">
        <v>0</v>
      </c>
    </row>
    <row r="3743" spans="1:123" x14ac:dyDescent="0.3">
      <c r="A3743" t="str">
        <f t="shared" si="1376"/>
        <v>10/04/2022 19:35:37.387</v>
      </c>
      <c r="C3743" t="str">
        <f t="shared" si="1357"/>
        <v>FFDFD3C0</v>
      </c>
      <c r="D3743" t="s">
        <v>123</v>
      </c>
      <c r="E3743">
        <v>7</v>
      </c>
      <c r="F3743">
        <v>2007</v>
      </c>
      <c r="G3743" t="s">
        <v>124</v>
      </c>
      <c r="J3743" t="s">
        <v>125</v>
      </c>
      <c r="K3743">
        <v>0</v>
      </c>
      <c r="L3743">
        <v>3</v>
      </c>
      <c r="M3743">
        <v>0</v>
      </c>
      <c r="N3743">
        <v>2</v>
      </c>
      <c r="O3743">
        <v>0</v>
      </c>
      <c r="P3743">
        <v>1</v>
      </c>
      <c r="Q3743">
        <v>0</v>
      </c>
      <c r="S3743" t="str">
        <f t="shared" si="1377"/>
        <v>19:35:37.000</v>
      </c>
      <c r="T3743" t="str">
        <f t="shared" si="1377"/>
        <v>19:35:37.000</v>
      </c>
      <c r="U3743" t="str">
        <f t="shared" si="1367"/>
        <v>AC3944</v>
      </c>
      <c r="V3743">
        <v>0</v>
      </c>
      <c r="W3743">
        <v>0</v>
      </c>
      <c r="X3743">
        <v>2</v>
      </c>
      <c r="Y3743">
        <v>0</v>
      </c>
      <c r="AA3743">
        <v>1</v>
      </c>
      <c r="AB3743">
        <v>8</v>
      </c>
      <c r="AC3743">
        <v>3</v>
      </c>
      <c r="AD3743">
        <v>0</v>
      </c>
      <c r="AE3743">
        <v>9</v>
      </c>
      <c r="AF3743" t="s">
        <v>138</v>
      </c>
      <c r="AG3743">
        <v>0</v>
      </c>
      <c r="AH3743">
        <v>3</v>
      </c>
      <c r="AI3743">
        <v>1</v>
      </c>
      <c r="AJ3743">
        <v>0</v>
      </c>
      <c r="AK3743" t="s">
        <v>1221</v>
      </c>
      <c r="AL3743">
        <v>32.737606</v>
      </c>
      <c r="AM3743" t="s">
        <v>1222</v>
      </c>
      <c r="AN3743">
        <v>-116.710317</v>
      </c>
      <c r="AO3743">
        <v>25</v>
      </c>
      <c r="AP3743">
        <v>4600</v>
      </c>
      <c r="AQ3743" t="s">
        <v>129</v>
      </c>
      <c r="AR3743">
        <v>127</v>
      </c>
      <c r="AS3743">
        <v>10</v>
      </c>
      <c r="AT3743">
        <v>256</v>
      </c>
      <c r="BB3743">
        <v>1200</v>
      </c>
      <c r="BC3743">
        <v>1</v>
      </c>
      <c r="BD3743" t="str">
        <f t="shared" si="1368"/>
        <v xml:space="preserve">N887QR  </v>
      </c>
      <c r="BE3743">
        <v>1</v>
      </c>
      <c r="BG3743">
        <v>0</v>
      </c>
      <c r="BH3743">
        <v>0</v>
      </c>
      <c r="BI3743">
        <v>0</v>
      </c>
      <c r="BJ3743">
        <v>4400</v>
      </c>
      <c r="BK3743">
        <v>-200</v>
      </c>
      <c r="BL3743" t="s">
        <v>163</v>
      </c>
      <c r="BM3743">
        <v>1</v>
      </c>
      <c r="BN3743">
        <v>1</v>
      </c>
      <c r="BO3743">
        <v>1</v>
      </c>
      <c r="BP3743">
        <v>0</v>
      </c>
      <c r="BS3743">
        <v>0</v>
      </c>
      <c r="BT3743">
        <v>0</v>
      </c>
      <c r="BU3743">
        <v>0</v>
      </c>
      <c r="CE3743" t="str">
        <f t="shared" si="1378"/>
        <v>19:35:37.134</v>
      </c>
      <c r="CF3743">
        <v>134101554</v>
      </c>
      <c r="CS3743">
        <v>0</v>
      </c>
      <c r="CT3743">
        <v>2</v>
      </c>
      <c r="CU3743">
        <v>0</v>
      </c>
      <c r="CV3743">
        <v>2</v>
      </c>
      <c r="CW3743">
        <v>2</v>
      </c>
      <c r="CX3743">
        <v>5</v>
      </c>
      <c r="CY3743">
        <v>7</v>
      </c>
      <c r="CZ3743" t="s">
        <v>131</v>
      </c>
      <c r="DA3743">
        <v>286</v>
      </c>
      <c r="DB3743">
        <v>0</v>
      </c>
      <c r="DC3743" t="s">
        <v>132</v>
      </c>
      <c r="DD3743" t="s">
        <v>133</v>
      </c>
      <c r="DG3743">
        <v>889567</v>
      </c>
      <c r="DI3743">
        <v>1</v>
      </c>
      <c r="DJ3743">
        <v>0</v>
      </c>
      <c r="DK3743">
        <v>1</v>
      </c>
      <c r="DL3743">
        <v>0</v>
      </c>
      <c r="DM3743">
        <v>0</v>
      </c>
      <c r="DN3743">
        <v>1</v>
      </c>
      <c r="DO3743">
        <v>0</v>
      </c>
      <c r="DP3743">
        <v>0</v>
      </c>
      <c r="DQ3743">
        <v>0</v>
      </c>
      <c r="DR3743">
        <v>0</v>
      </c>
      <c r="DS3743">
        <v>0</v>
      </c>
    </row>
    <row r="3744" spans="1:123" x14ac:dyDescent="0.3">
      <c r="A3744" t="str">
        <f t="shared" si="1376"/>
        <v>10/04/2022 19:35:37.387</v>
      </c>
      <c r="C3744" t="str">
        <f t="shared" si="1357"/>
        <v>FFDFD3C0</v>
      </c>
      <c r="D3744" t="s">
        <v>136</v>
      </c>
      <c r="E3744">
        <v>8</v>
      </c>
      <c r="H3744">
        <v>225</v>
      </c>
      <c r="I3744" t="s">
        <v>137</v>
      </c>
      <c r="J3744" t="s">
        <v>138</v>
      </c>
      <c r="K3744">
        <v>0</v>
      </c>
      <c r="L3744">
        <v>3</v>
      </c>
      <c r="M3744">
        <v>0</v>
      </c>
      <c r="N3744">
        <v>2</v>
      </c>
      <c r="O3744">
        <v>0</v>
      </c>
      <c r="P3744">
        <v>1</v>
      </c>
      <c r="Q3744">
        <v>0</v>
      </c>
      <c r="S3744" t="str">
        <f t="shared" si="1377"/>
        <v>19:35:37.000</v>
      </c>
      <c r="T3744" t="str">
        <f t="shared" si="1377"/>
        <v>19:35:37.000</v>
      </c>
      <c r="U3744" t="str">
        <f t="shared" si="1367"/>
        <v>AC3944</v>
      </c>
      <c r="V3744">
        <v>0</v>
      </c>
      <c r="W3744">
        <v>0</v>
      </c>
      <c r="X3744">
        <v>2</v>
      </c>
      <c r="Y3744">
        <v>0</v>
      </c>
      <c r="AA3744">
        <v>1</v>
      </c>
      <c r="AB3744">
        <v>8</v>
      </c>
      <c r="AC3744">
        <v>3</v>
      </c>
      <c r="AD3744">
        <v>0</v>
      </c>
      <c r="AE3744">
        <v>9</v>
      </c>
      <c r="AF3744" t="s">
        <v>138</v>
      </c>
      <c r="AG3744">
        <v>0</v>
      </c>
      <c r="AH3744">
        <v>3</v>
      </c>
      <c r="AI3744">
        <v>1</v>
      </c>
      <c r="AJ3744">
        <v>0</v>
      </c>
      <c r="AK3744" t="s">
        <v>1221</v>
      </c>
      <c r="AL3744">
        <v>32.737606</v>
      </c>
      <c r="AM3744" t="s">
        <v>1222</v>
      </c>
      <c r="AN3744">
        <v>-116.710317</v>
      </c>
      <c r="AO3744">
        <v>25</v>
      </c>
      <c r="AP3744">
        <v>4600</v>
      </c>
      <c r="AQ3744" t="s">
        <v>129</v>
      </c>
      <c r="AR3744">
        <v>127</v>
      </c>
      <c r="AS3744">
        <v>10</v>
      </c>
      <c r="AT3744">
        <v>256</v>
      </c>
      <c r="BB3744">
        <v>1200</v>
      </c>
      <c r="BC3744">
        <v>1</v>
      </c>
      <c r="BD3744" t="str">
        <f t="shared" si="1368"/>
        <v xml:space="preserve">N887QR  </v>
      </c>
      <c r="BE3744">
        <v>1</v>
      </c>
      <c r="BG3744">
        <v>0</v>
      </c>
      <c r="BH3744">
        <v>0</v>
      </c>
      <c r="BI3744">
        <v>0</v>
      </c>
      <c r="BJ3744">
        <v>4400</v>
      </c>
      <c r="BK3744">
        <v>-200</v>
      </c>
      <c r="BL3744" t="s">
        <v>163</v>
      </c>
      <c r="BM3744">
        <v>1</v>
      </c>
      <c r="BN3744">
        <v>1</v>
      </c>
      <c r="BO3744">
        <v>1</v>
      </c>
      <c r="BP3744">
        <v>0</v>
      </c>
      <c r="BS3744">
        <v>0</v>
      </c>
      <c r="BT3744">
        <v>0</v>
      </c>
      <c r="BU3744">
        <v>0</v>
      </c>
      <c r="CE3744" t="str">
        <f t="shared" si="1378"/>
        <v>19:35:37.134</v>
      </c>
      <c r="CF3744">
        <v>134101554</v>
      </c>
      <c r="CS3744">
        <v>0</v>
      </c>
      <c r="CT3744">
        <v>2</v>
      </c>
      <c r="CU3744">
        <v>0</v>
      </c>
      <c r="CV3744">
        <v>2</v>
      </c>
      <c r="CW3744">
        <v>2</v>
      </c>
      <c r="CX3744">
        <v>5</v>
      </c>
      <c r="CY3744">
        <v>7</v>
      </c>
      <c r="CZ3744" t="s">
        <v>131</v>
      </c>
      <c r="DA3744">
        <v>286</v>
      </c>
      <c r="DB3744">
        <v>0</v>
      </c>
      <c r="DC3744" t="s">
        <v>132</v>
      </c>
      <c r="DD3744" t="s">
        <v>133</v>
      </c>
      <c r="DG3744">
        <v>889567</v>
      </c>
      <c r="DI3744">
        <v>1</v>
      </c>
      <c r="DJ3744">
        <v>0</v>
      </c>
      <c r="DK3744">
        <v>1</v>
      </c>
      <c r="DL3744">
        <v>0</v>
      </c>
      <c r="DM3744">
        <v>0</v>
      </c>
      <c r="DN3744">
        <v>1</v>
      </c>
      <c r="DO3744">
        <v>0</v>
      </c>
      <c r="DP3744">
        <v>0</v>
      </c>
      <c r="DQ3744">
        <v>0</v>
      </c>
      <c r="DR3744">
        <v>0</v>
      </c>
      <c r="DS3744">
        <v>0</v>
      </c>
    </row>
    <row r="3745" spans="1:123" x14ac:dyDescent="0.3">
      <c r="A3745" t="str">
        <f>"10/04/2022 19:35:38.090"</f>
        <v>10/04/2022 19:35:38.090</v>
      </c>
      <c r="C3745" t="str">
        <f t="shared" si="1357"/>
        <v>FFDFD3C0</v>
      </c>
      <c r="D3745" t="s">
        <v>147</v>
      </c>
      <c r="E3745">
        <v>3</v>
      </c>
      <c r="H3745">
        <v>166</v>
      </c>
      <c r="I3745" t="s">
        <v>144</v>
      </c>
      <c r="J3745" t="s">
        <v>148</v>
      </c>
      <c r="K3745">
        <v>0</v>
      </c>
      <c r="L3745">
        <v>3</v>
      </c>
      <c r="M3745">
        <v>0</v>
      </c>
      <c r="N3745">
        <v>2</v>
      </c>
      <c r="O3745">
        <v>0</v>
      </c>
      <c r="P3745">
        <v>1</v>
      </c>
      <c r="Q3745">
        <v>0</v>
      </c>
      <c r="S3745" t="str">
        <f t="shared" si="1377"/>
        <v>19:35:37.000</v>
      </c>
      <c r="T3745" t="str">
        <f t="shared" si="1377"/>
        <v>19:35:37.000</v>
      </c>
      <c r="U3745" t="str">
        <f t="shared" si="1367"/>
        <v>AC3944</v>
      </c>
      <c r="V3745">
        <v>0</v>
      </c>
      <c r="W3745">
        <v>0</v>
      </c>
      <c r="X3745">
        <v>2</v>
      </c>
      <c r="Y3745">
        <v>0</v>
      </c>
      <c r="AA3745">
        <v>1</v>
      </c>
      <c r="AB3745">
        <v>8</v>
      </c>
      <c r="AC3745">
        <v>3</v>
      </c>
      <c r="AD3745">
        <v>0</v>
      </c>
      <c r="AE3745">
        <v>9</v>
      </c>
      <c r="AF3745" t="s">
        <v>138</v>
      </c>
      <c r="AG3745">
        <v>0</v>
      </c>
      <c r="AH3745">
        <v>3</v>
      </c>
      <c r="AI3745">
        <v>1</v>
      </c>
      <c r="AJ3745">
        <v>0</v>
      </c>
      <c r="AK3745" t="s">
        <v>1223</v>
      </c>
      <c r="AL3745">
        <v>32.737648</v>
      </c>
      <c r="AM3745" t="s">
        <v>1224</v>
      </c>
      <c r="AN3745">
        <v>-116.70963</v>
      </c>
      <c r="AO3745">
        <v>25</v>
      </c>
      <c r="AP3745">
        <v>4600</v>
      </c>
      <c r="AQ3745" t="s">
        <v>129</v>
      </c>
      <c r="AR3745">
        <v>127</v>
      </c>
      <c r="AS3745">
        <v>9</v>
      </c>
      <c r="AT3745">
        <v>256</v>
      </c>
      <c r="BB3745">
        <v>1200</v>
      </c>
      <c r="BC3745">
        <v>1</v>
      </c>
      <c r="BD3745" t="str">
        <f t="shared" si="1368"/>
        <v xml:space="preserve">N887QR  </v>
      </c>
      <c r="BE3745">
        <v>1</v>
      </c>
      <c r="BG3745">
        <v>0</v>
      </c>
      <c r="BH3745">
        <v>0</v>
      </c>
      <c r="BI3745">
        <v>0</v>
      </c>
      <c r="BJ3745">
        <v>4400</v>
      </c>
      <c r="BK3745">
        <v>-200</v>
      </c>
      <c r="BL3745" t="s">
        <v>163</v>
      </c>
      <c r="BM3745">
        <v>1</v>
      </c>
      <c r="BN3745">
        <v>1</v>
      </c>
      <c r="BO3745">
        <v>1</v>
      </c>
      <c r="BP3745">
        <v>0</v>
      </c>
      <c r="BS3745">
        <v>0</v>
      </c>
      <c r="BT3745">
        <v>0</v>
      </c>
      <c r="BU3745">
        <v>0</v>
      </c>
      <c r="CE3745" t="str">
        <f t="shared" ref="CE3745:CE3751" si="1379">"19:35:37.840"</f>
        <v>19:35:37.840</v>
      </c>
      <c r="CF3745">
        <v>840415454</v>
      </c>
      <c r="CS3745">
        <v>0</v>
      </c>
      <c r="CT3745">
        <v>2</v>
      </c>
      <c r="CU3745">
        <v>0</v>
      </c>
      <c r="CV3745">
        <v>2</v>
      </c>
      <c r="CW3745">
        <v>1</v>
      </c>
      <c r="CX3745">
        <v>5</v>
      </c>
      <c r="CY3745">
        <v>7</v>
      </c>
      <c r="CZ3745" t="s">
        <v>131</v>
      </c>
      <c r="DA3745">
        <v>300</v>
      </c>
      <c r="DB3745">
        <v>0</v>
      </c>
      <c r="DC3745" t="s">
        <v>176</v>
      </c>
      <c r="DD3745" t="s">
        <v>177</v>
      </c>
      <c r="DG3745">
        <v>5446599</v>
      </c>
      <c r="DI3745">
        <v>1</v>
      </c>
      <c r="DJ3745">
        <v>0</v>
      </c>
      <c r="DK3745">
        <v>0</v>
      </c>
      <c r="DL3745">
        <v>0</v>
      </c>
      <c r="DM3745">
        <v>0</v>
      </c>
      <c r="DN3745">
        <v>1</v>
      </c>
      <c r="DO3745">
        <v>0</v>
      </c>
      <c r="DP3745">
        <v>0</v>
      </c>
      <c r="DQ3745">
        <v>0</v>
      </c>
      <c r="DR3745">
        <v>0</v>
      </c>
      <c r="DS3745">
        <v>0</v>
      </c>
    </row>
    <row r="3746" spans="1:123" x14ac:dyDescent="0.3">
      <c r="A3746" t="str">
        <f>"10/04/2022 19:35:38.106"</f>
        <v>10/04/2022 19:35:38.106</v>
      </c>
      <c r="C3746" t="str">
        <f t="shared" si="1357"/>
        <v>FFDFD3C0</v>
      </c>
      <c r="D3746" t="s">
        <v>123</v>
      </c>
      <c r="E3746">
        <v>7</v>
      </c>
      <c r="F3746">
        <v>2007</v>
      </c>
      <c r="G3746" t="s">
        <v>124</v>
      </c>
      <c r="J3746" t="s">
        <v>125</v>
      </c>
      <c r="K3746">
        <v>0</v>
      </c>
      <c r="L3746">
        <v>3</v>
      </c>
      <c r="M3746">
        <v>0</v>
      </c>
      <c r="N3746">
        <v>2</v>
      </c>
      <c r="O3746">
        <v>0</v>
      </c>
      <c r="P3746">
        <v>1</v>
      </c>
      <c r="Q3746">
        <v>0</v>
      </c>
      <c r="S3746" t="str">
        <f t="shared" si="1377"/>
        <v>19:35:37.000</v>
      </c>
      <c r="T3746" t="str">
        <f t="shared" si="1377"/>
        <v>19:35:37.000</v>
      </c>
      <c r="U3746" t="str">
        <f t="shared" si="1367"/>
        <v>AC3944</v>
      </c>
      <c r="V3746">
        <v>0</v>
      </c>
      <c r="W3746">
        <v>0</v>
      </c>
      <c r="X3746">
        <v>2</v>
      </c>
      <c r="Y3746">
        <v>0</v>
      </c>
      <c r="AA3746">
        <v>1</v>
      </c>
      <c r="AB3746">
        <v>8</v>
      </c>
      <c r="AC3746">
        <v>3</v>
      </c>
      <c r="AD3746">
        <v>0</v>
      </c>
      <c r="AE3746">
        <v>9</v>
      </c>
      <c r="AF3746" t="s">
        <v>138</v>
      </c>
      <c r="AG3746">
        <v>0</v>
      </c>
      <c r="AH3746">
        <v>3</v>
      </c>
      <c r="AI3746">
        <v>1</v>
      </c>
      <c r="AJ3746">
        <v>0</v>
      </c>
      <c r="AK3746" t="s">
        <v>1223</v>
      </c>
      <c r="AL3746">
        <v>32.737648</v>
      </c>
      <c r="AM3746" t="s">
        <v>1224</v>
      </c>
      <c r="AN3746">
        <v>-116.70963</v>
      </c>
      <c r="AO3746">
        <v>25</v>
      </c>
      <c r="AP3746">
        <v>4600</v>
      </c>
      <c r="AQ3746" t="s">
        <v>129</v>
      </c>
      <c r="AR3746">
        <v>127</v>
      </c>
      <c r="AS3746">
        <v>9</v>
      </c>
      <c r="AT3746">
        <v>256</v>
      </c>
      <c r="BB3746">
        <v>1200</v>
      </c>
      <c r="BC3746">
        <v>1</v>
      </c>
      <c r="BD3746" t="str">
        <f t="shared" si="1368"/>
        <v xml:space="preserve">N887QR  </v>
      </c>
      <c r="BE3746">
        <v>1</v>
      </c>
      <c r="BG3746">
        <v>0</v>
      </c>
      <c r="BH3746">
        <v>0</v>
      </c>
      <c r="BI3746">
        <v>0</v>
      </c>
      <c r="BJ3746">
        <v>4400</v>
      </c>
      <c r="BK3746">
        <v>-200</v>
      </c>
      <c r="BL3746" t="s">
        <v>163</v>
      </c>
      <c r="BM3746">
        <v>1</v>
      </c>
      <c r="BN3746">
        <v>1</v>
      </c>
      <c r="BO3746">
        <v>1</v>
      </c>
      <c r="BP3746">
        <v>0</v>
      </c>
      <c r="BS3746">
        <v>0</v>
      </c>
      <c r="BT3746">
        <v>0</v>
      </c>
      <c r="BU3746">
        <v>0</v>
      </c>
      <c r="CE3746" t="str">
        <f t="shared" si="1379"/>
        <v>19:35:37.840</v>
      </c>
      <c r="CF3746">
        <v>840415454</v>
      </c>
      <c r="CS3746">
        <v>0</v>
      </c>
      <c r="CT3746">
        <v>2</v>
      </c>
      <c r="CU3746">
        <v>0</v>
      </c>
      <c r="CV3746">
        <v>2</v>
      </c>
      <c r="CW3746">
        <v>1</v>
      </c>
      <c r="CX3746">
        <v>5</v>
      </c>
      <c r="CY3746">
        <v>7</v>
      </c>
      <c r="CZ3746" t="s">
        <v>131</v>
      </c>
      <c r="DA3746">
        <v>300</v>
      </c>
      <c r="DB3746">
        <v>0</v>
      </c>
      <c r="DC3746" t="s">
        <v>176</v>
      </c>
      <c r="DD3746" t="s">
        <v>177</v>
      </c>
      <c r="DG3746">
        <v>5446599</v>
      </c>
      <c r="DI3746">
        <v>1</v>
      </c>
      <c r="DJ3746">
        <v>0</v>
      </c>
      <c r="DK3746">
        <v>1</v>
      </c>
      <c r="DL3746">
        <v>0</v>
      </c>
      <c r="DM3746">
        <v>0</v>
      </c>
      <c r="DN3746">
        <v>1</v>
      </c>
      <c r="DO3746">
        <v>0</v>
      </c>
      <c r="DP3746">
        <v>0</v>
      </c>
      <c r="DQ3746">
        <v>0</v>
      </c>
      <c r="DR3746">
        <v>0</v>
      </c>
      <c r="DS3746">
        <v>0</v>
      </c>
    </row>
    <row r="3747" spans="1:123" x14ac:dyDescent="0.3">
      <c r="A3747" t="str">
        <f>"10/04/2022 19:35:38.106"</f>
        <v>10/04/2022 19:35:38.106</v>
      </c>
      <c r="C3747" t="str">
        <f t="shared" si="1357"/>
        <v>FFDFD3C0</v>
      </c>
      <c r="D3747" t="s">
        <v>136</v>
      </c>
      <c r="E3747">
        <v>8</v>
      </c>
      <c r="H3747">
        <v>225</v>
      </c>
      <c r="I3747" t="s">
        <v>137</v>
      </c>
      <c r="J3747" t="s">
        <v>138</v>
      </c>
      <c r="K3747">
        <v>0</v>
      </c>
      <c r="L3747">
        <v>3</v>
      </c>
      <c r="M3747">
        <v>0</v>
      </c>
      <c r="N3747">
        <v>2</v>
      </c>
      <c r="O3747">
        <v>0</v>
      </c>
      <c r="P3747">
        <v>1</v>
      </c>
      <c r="Q3747">
        <v>0</v>
      </c>
      <c r="S3747" t="str">
        <f t="shared" si="1377"/>
        <v>19:35:37.000</v>
      </c>
      <c r="T3747" t="str">
        <f t="shared" si="1377"/>
        <v>19:35:37.000</v>
      </c>
      <c r="U3747" t="str">
        <f t="shared" si="1367"/>
        <v>AC3944</v>
      </c>
      <c r="V3747">
        <v>0</v>
      </c>
      <c r="W3747">
        <v>0</v>
      </c>
      <c r="X3747">
        <v>2</v>
      </c>
      <c r="Y3747">
        <v>0</v>
      </c>
      <c r="AA3747">
        <v>1</v>
      </c>
      <c r="AB3747">
        <v>8</v>
      </c>
      <c r="AC3747">
        <v>3</v>
      </c>
      <c r="AD3747">
        <v>0</v>
      </c>
      <c r="AE3747">
        <v>9</v>
      </c>
      <c r="AF3747" t="s">
        <v>138</v>
      </c>
      <c r="AG3747">
        <v>0</v>
      </c>
      <c r="AH3747">
        <v>3</v>
      </c>
      <c r="AI3747">
        <v>1</v>
      </c>
      <c r="AJ3747">
        <v>0</v>
      </c>
      <c r="AK3747" t="s">
        <v>1223</v>
      </c>
      <c r="AL3747">
        <v>32.737648</v>
      </c>
      <c r="AM3747" t="s">
        <v>1224</v>
      </c>
      <c r="AN3747">
        <v>-116.70963</v>
      </c>
      <c r="AO3747">
        <v>25</v>
      </c>
      <c r="AP3747">
        <v>4600</v>
      </c>
      <c r="AQ3747" t="s">
        <v>129</v>
      </c>
      <c r="AR3747">
        <v>127</v>
      </c>
      <c r="AS3747">
        <v>9</v>
      </c>
      <c r="AT3747">
        <v>256</v>
      </c>
      <c r="BB3747">
        <v>1200</v>
      </c>
      <c r="BC3747">
        <v>1</v>
      </c>
      <c r="BD3747" t="str">
        <f t="shared" si="1368"/>
        <v xml:space="preserve">N887QR  </v>
      </c>
      <c r="BE3747">
        <v>1</v>
      </c>
      <c r="BG3747">
        <v>0</v>
      </c>
      <c r="BH3747">
        <v>0</v>
      </c>
      <c r="BI3747">
        <v>0</v>
      </c>
      <c r="BJ3747">
        <v>4400</v>
      </c>
      <c r="BK3747">
        <v>-200</v>
      </c>
      <c r="BL3747" t="s">
        <v>163</v>
      </c>
      <c r="BM3747">
        <v>1</v>
      </c>
      <c r="BN3747">
        <v>1</v>
      </c>
      <c r="BO3747">
        <v>1</v>
      </c>
      <c r="BP3747">
        <v>0</v>
      </c>
      <c r="BS3747">
        <v>0</v>
      </c>
      <c r="BT3747">
        <v>0</v>
      </c>
      <c r="BU3747">
        <v>0</v>
      </c>
      <c r="CE3747" t="str">
        <f t="shared" si="1379"/>
        <v>19:35:37.840</v>
      </c>
      <c r="CF3747">
        <v>840415454</v>
      </c>
      <c r="CS3747">
        <v>0</v>
      </c>
      <c r="CT3747">
        <v>2</v>
      </c>
      <c r="CU3747">
        <v>0</v>
      </c>
      <c r="CV3747">
        <v>2</v>
      </c>
      <c r="CW3747">
        <v>1</v>
      </c>
      <c r="CX3747">
        <v>5</v>
      </c>
      <c r="CY3747">
        <v>7</v>
      </c>
      <c r="CZ3747" t="s">
        <v>131</v>
      </c>
      <c r="DA3747">
        <v>300</v>
      </c>
      <c r="DB3747">
        <v>0</v>
      </c>
      <c r="DC3747" t="s">
        <v>176</v>
      </c>
      <c r="DD3747" t="s">
        <v>177</v>
      </c>
      <c r="DG3747">
        <v>5446599</v>
      </c>
      <c r="DI3747">
        <v>1</v>
      </c>
      <c r="DJ3747">
        <v>0</v>
      </c>
      <c r="DK3747">
        <v>1</v>
      </c>
      <c r="DL3747">
        <v>0</v>
      </c>
      <c r="DM3747">
        <v>0</v>
      </c>
      <c r="DN3747">
        <v>1</v>
      </c>
      <c r="DO3747">
        <v>0</v>
      </c>
      <c r="DP3747">
        <v>0</v>
      </c>
      <c r="DQ3747">
        <v>0</v>
      </c>
      <c r="DR3747">
        <v>0</v>
      </c>
      <c r="DS3747">
        <v>0</v>
      </c>
    </row>
    <row r="3748" spans="1:123" x14ac:dyDescent="0.3">
      <c r="A3748" t="str">
        <f>"10/04/2022 19:35:38.199"</f>
        <v>10/04/2022 19:35:38.199</v>
      </c>
      <c r="C3748" t="str">
        <f t="shared" si="1357"/>
        <v>FFDFD3C0</v>
      </c>
      <c r="D3748" t="s">
        <v>141</v>
      </c>
      <c r="E3748">
        <v>3</v>
      </c>
      <c r="H3748">
        <v>3</v>
      </c>
      <c r="I3748" t="s">
        <v>146</v>
      </c>
      <c r="J3748" t="s">
        <v>138</v>
      </c>
      <c r="K3748">
        <v>0</v>
      </c>
      <c r="L3748">
        <v>3</v>
      </c>
      <c r="M3748">
        <v>0</v>
      </c>
      <c r="N3748">
        <v>2</v>
      </c>
      <c r="O3748">
        <v>0</v>
      </c>
      <c r="P3748">
        <v>1</v>
      </c>
      <c r="Q3748">
        <v>0</v>
      </c>
      <c r="S3748" t="str">
        <f t="shared" si="1377"/>
        <v>19:35:37.000</v>
      </c>
      <c r="T3748" t="str">
        <f t="shared" si="1377"/>
        <v>19:35:37.000</v>
      </c>
      <c r="U3748" t="str">
        <f t="shared" si="1367"/>
        <v>AC3944</v>
      </c>
      <c r="V3748">
        <v>0</v>
      </c>
      <c r="W3748">
        <v>0</v>
      </c>
      <c r="X3748">
        <v>2</v>
      </c>
      <c r="Y3748">
        <v>0</v>
      </c>
      <c r="AA3748">
        <v>1</v>
      </c>
      <c r="AB3748">
        <v>8</v>
      </c>
      <c r="AC3748">
        <v>3</v>
      </c>
      <c r="AD3748">
        <v>0</v>
      </c>
      <c r="AE3748">
        <v>9</v>
      </c>
      <c r="AF3748" t="s">
        <v>138</v>
      </c>
      <c r="AG3748">
        <v>0</v>
      </c>
      <c r="AH3748">
        <v>3</v>
      </c>
      <c r="AI3748">
        <v>1</v>
      </c>
      <c r="AJ3748">
        <v>0</v>
      </c>
      <c r="AK3748" t="s">
        <v>1223</v>
      </c>
      <c r="AL3748">
        <v>32.737648</v>
      </c>
      <c r="AM3748" t="s">
        <v>1224</v>
      </c>
      <c r="AN3748">
        <v>-116.70963</v>
      </c>
      <c r="AO3748">
        <v>25</v>
      </c>
      <c r="AP3748">
        <v>4600</v>
      </c>
      <c r="AQ3748" t="s">
        <v>129</v>
      </c>
      <c r="AR3748">
        <v>127</v>
      </c>
      <c r="AS3748">
        <v>9</v>
      </c>
      <c r="AT3748">
        <v>256</v>
      </c>
      <c r="BB3748">
        <v>1200</v>
      </c>
      <c r="BC3748">
        <v>1</v>
      </c>
      <c r="BD3748" t="str">
        <f t="shared" si="1368"/>
        <v xml:space="preserve">N887QR  </v>
      </c>
      <c r="BE3748">
        <v>1</v>
      </c>
      <c r="BG3748">
        <v>0</v>
      </c>
      <c r="BH3748">
        <v>0</v>
      </c>
      <c r="BI3748">
        <v>0</v>
      </c>
      <c r="BJ3748">
        <v>4400</v>
      </c>
      <c r="BK3748">
        <v>-200</v>
      </c>
      <c r="BL3748" t="s">
        <v>163</v>
      </c>
      <c r="BM3748">
        <v>1</v>
      </c>
      <c r="BN3748">
        <v>1</v>
      </c>
      <c r="BO3748">
        <v>1</v>
      </c>
      <c r="BP3748">
        <v>0</v>
      </c>
      <c r="BS3748">
        <v>0</v>
      </c>
      <c r="BT3748">
        <v>0</v>
      </c>
      <c r="BU3748">
        <v>0</v>
      </c>
      <c r="CE3748" t="str">
        <f t="shared" si="1379"/>
        <v>19:35:37.840</v>
      </c>
      <c r="CF3748">
        <v>840415454</v>
      </c>
      <c r="CS3748">
        <v>0</v>
      </c>
      <c r="CT3748">
        <v>2</v>
      </c>
      <c r="CU3748">
        <v>0</v>
      </c>
      <c r="CV3748">
        <v>2</v>
      </c>
      <c r="CW3748">
        <v>1</v>
      </c>
      <c r="CX3748">
        <v>5</v>
      </c>
      <c r="CY3748">
        <v>7</v>
      </c>
      <c r="CZ3748" t="s">
        <v>131</v>
      </c>
      <c r="DA3748">
        <v>300</v>
      </c>
      <c r="DB3748">
        <v>0</v>
      </c>
      <c r="DC3748" t="s">
        <v>176</v>
      </c>
      <c r="DD3748" t="s">
        <v>177</v>
      </c>
      <c r="DG3748">
        <v>5446599</v>
      </c>
      <c r="DI3748">
        <v>1</v>
      </c>
      <c r="DJ3748">
        <v>0</v>
      </c>
      <c r="DK3748">
        <v>0</v>
      </c>
      <c r="DL3748">
        <v>0</v>
      </c>
      <c r="DM3748">
        <v>0</v>
      </c>
      <c r="DN3748">
        <v>1</v>
      </c>
      <c r="DO3748">
        <v>0</v>
      </c>
      <c r="DP3748">
        <v>0</v>
      </c>
      <c r="DQ3748">
        <v>0</v>
      </c>
      <c r="DR3748">
        <v>0</v>
      </c>
      <c r="DS3748">
        <v>0</v>
      </c>
    </row>
    <row r="3749" spans="1:123" x14ac:dyDescent="0.3">
      <c r="A3749" t="str">
        <f>"10/04/2022 19:35:38.199"</f>
        <v>10/04/2022 19:35:38.199</v>
      </c>
      <c r="C3749" t="str">
        <f t="shared" si="1357"/>
        <v>FFDFD3C0</v>
      </c>
      <c r="D3749" t="s">
        <v>141</v>
      </c>
      <c r="E3749">
        <v>4</v>
      </c>
      <c r="H3749">
        <v>4</v>
      </c>
      <c r="I3749" t="s">
        <v>142</v>
      </c>
      <c r="J3749" t="s">
        <v>138</v>
      </c>
      <c r="K3749">
        <v>0</v>
      </c>
      <c r="L3749">
        <v>3</v>
      </c>
      <c r="M3749">
        <v>0</v>
      </c>
      <c r="N3749">
        <v>2</v>
      </c>
      <c r="O3749">
        <v>0</v>
      </c>
      <c r="P3749">
        <v>1</v>
      </c>
      <c r="Q3749">
        <v>0</v>
      </c>
      <c r="S3749" t="str">
        <f t="shared" si="1377"/>
        <v>19:35:37.000</v>
      </c>
      <c r="T3749" t="str">
        <f t="shared" si="1377"/>
        <v>19:35:37.000</v>
      </c>
      <c r="U3749" t="str">
        <f t="shared" si="1367"/>
        <v>AC3944</v>
      </c>
      <c r="V3749">
        <v>0</v>
      </c>
      <c r="W3749">
        <v>0</v>
      </c>
      <c r="X3749">
        <v>2</v>
      </c>
      <c r="Y3749">
        <v>0</v>
      </c>
      <c r="AA3749">
        <v>1</v>
      </c>
      <c r="AB3749">
        <v>8</v>
      </c>
      <c r="AC3749">
        <v>3</v>
      </c>
      <c r="AD3749">
        <v>0</v>
      </c>
      <c r="AE3749">
        <v>9</v>
      </c>
      <c r="AF3749" t="s">
        <v>138</v>
      </c>
      <c r="AG3749">
        <v>0</v>
      </c>
      <c r="AH3749">
        <v>3</v>
      </c>
      <c r="AI3749">
        <v>1</v>
      </c>
      <c r="AJ3749">
        <v>0</v>
      </c>
      <c r="AK3749" t="s">
        <v>1223</v>
      </c>
      <c r="AL3749">
        <v>32.737648</v>
      </c>
      <c r="AM3749" t="s">
        <v>1224</v>
      </c>
      <c r="AN3749">
        <v>-116.70963</v>
      </c>
      <c r="AO3749">
        <v>25</v>
      </c>
      <c r="AP3749">
        <v>4600</v>
      </c>
      <c r="AQ3749" t="s">
        <v>129</v>
      </c>
      <c r="AR3749">
        <v>127</v>
      </c>
      <c r="AS3749">
        <v>9</v>
      </c>
      <c r="AT3749">
        <v>256</v>
      </c>
      <c r="BB3749">
        <v>1200</v>
      </c>
      <c r="BC3749">
        <v>1</v>
      </c>
      <c r="BD3749" t="str">
        <f t="shared" si="1368"/>
        <v xml:space="preserve">N887QR  </v>
      </c>
      <c r="BE3749">
        <v>1</v>
      </c>
      <c r="BG3749">
        <v>0</v>
      </c>
      <c r="BH3749">
        <v>0</v>
      </c>
      <c r="BI3749">
        <v>0</v>
      </c>
      <c r="BJ3749">
        <v>4400</v>
      </c>
      <c r="BK3749">
        <v>-200</v>
      </c>
      <c r="BL3749" t="s">
        <v>163</v>
      </c>
      <c r="BM3749">
        <v>1</v>
      </c>
      <c r="BN3749">
        <v>1</v>
      </c>
      <c r="BO3749">
        <v>1</v>
      </c>
      <c r="BP3749">
        <v>0</v>
      </c>
      <c r="BS3749">
        <v>0</v>
      </c>
      <c r="BT3749">
        <v>0</v>
      </c>
      <c r="BU3749">
        <v>0</v>
      </c>
      <c r="CE3749" t="str">
        <f t="shared" si="1379"/>
        <v>19:35:37.840</v>
      </c>
      <c r="CF3749">
        <v>840415454</v>
      </c>
      <c r="CS3749">
        <v>0</v>
      </c>
      <c r="CT3749">
        <v>2</v>
      </c>
      <c r="CU3749">
        <v>0</v>
      </c>
      <c r="CV3749">
        <v>2</v>
      </c>
      <c r="CW3749">
        <v>1</v>
      </c>
      <c r="CX3749">
        <v>5</v>
      </c>
      <c r="CY3749">
        <v>7</v>
      </c>
      <c r="CZ3749" t="s">
        <v>131</v>
      </c>
      <c r="DA3749">
        <v>300</v>
      </c>
      <c r="DB3749">
        <v>0</v>
      </c>
      <c r="DC3749" t="s">
        <v>176</v>
      </c>
      <c r="DD3749" t="s">
        <v>177</v>
      </c>
      <c r="DG3749">
        <v>5446599</v>
      </c>
      <c r="DI3749">
        <v>1</v>
      </c>
      <c r="DJ3749">
        <v>0</v>
      </c>
      <c r="DK3749">
        <v>0</v>
      </c>
      <c r="DL3749">
        <v>0</v>
      </c>
      <c r="DM3749">
        <v>0</v>
      </c>
      <c r="DN3749">
        <v>1</v>
      </c>
      <c r="DO3749">
        <v>0</v>
      </c>
      <c r="DP3749">
        <v>0</v>
      </c>
      <c r="DQ3749">
        <v>0</v>
      </c>
      <c r="DR3749">
        <v>0</v>
      </c>
      <c r="DS3749">
        <v>0</v>
      </c>
    </row>
    <row r="3750" spans="1:123" x14ac:dyDescent="0.3">
      <c r="A3750" t="str">
        <f>"10/04/2022 19:35:38.199"</f>
        <v>10/04/2022 19:35:38.199</v>
      </c>
      <c r="C3750" t="str">
        <f t="shared" si="1357"/>
        <v>FFDFD3C0</v>
      </c>
      <c r="D3750" t="s">
        <v>134</v>
      </c>
      <c r="E3750">
        <v>15</v>
      </c>
      <c r="J3750" t="s">
        <v>135</v>
      </c>
      <c r="K3750">
        <v>0</v>
      </c>
      <c r="L3750">
        <v>3</v>
      </c>
      <c r="M3750">
        <v>0</v>
      </c>
      <c r="N3750">
        <v>2</v>
      </c>
      <c r="O3750">
        <v>0</v>
      </c>
      <c r="P3750">
        <v>1</v>
      </c>
      <c r="Q3750">
        <v>0</v>
      </c>
      <c r="S3750" t="str">
        <f t="shared" si="1377"/>
        <v>19:35:37.000</v>
      </c>
      <c r="T3750" t="str">
        <f t="shared" si="1377"/>
        <v>19:35:37.000</v>
      </c>
      <c r="U3750" t="str">
        <f t="shared" si="1367"/>
        <v>AC3944</v>
      </c>
      <c r="V3750">
        <v>0</v>
      </c>
      <c r="W3750">
        <v>0</v>
      </c>
      <c r="X3750">
        <v>2</v>
      </c>
      <c r="Y3750">
        <v>0</v>
      </c>
      <c r="AA3750">
        <v>1</v>
      </c>
      <c r="AB3750">
        <v>8</v>
      </c>
      <c r="AC3750">
        <v>3</v>
      </c>
      <c r="AD3750">
        <v>0</v>
      </c>
      <c r="AE3750">
        <v>9</v>
      </c>
      <c r="AF3750" t="s">
        <v>138</v>
      </c>
      <c r="AG3750">
        <v>0</v>
      </c>
      <c r="AH3750">
        <v>3</v>
      </c>
      <c r="AI3750">
        <v>1</v>
      </c>
      <c r="AJ3750">
        <v>0</v>
      </c>
      <c r="AK3750" t="s">
        <v>1223</v>
      </c>
      <c r="AL3750">
        <v>32.737648</v>
      </c>
      <c r="AM3750" t="s">
        <v>1224</v>
      </c>
      <c r="AN3750">
        <v>-116.70963</v>
      </c>
      <c r="AO3750">
        <v>25</v>
      </c>
      <c r="AP3750">
        <v>4600</v>
      </c>
      <c r="AQ3750" t="s">
        <v>129</v>
      </c>
      <c r="AR3750">
        <v>127</v>
      </c>
      <c r="AS3750">
        <v>9</v>
      </c>
      <c r="AT3750">
        <v>256</v>
      </c>
      <c r="BB3750">
        <v>1200</v>
      </c>
      <c r="BC3750">
        <v>1</v>
      </c>
      <c r="BD3750" t="str">
        <f t="shared" si="1368"/>
        <v xml:space="preserve">N887QR  </v>
      </c>
      <c r="BE3750">
        <v>1</v>
      </c>
      <c r="BG3750">
        <v>0</v>
      </c>
      <c r="BH3750">
        <v>0</v>
      </c>
      <c r="BI3750">
        <v>0</v>
      </c>
      <c r="BJ3750">
        <v>4400</v>
      </c>
      <c r="BK3750">
        <v>-200</v>
      </c>
      <c r="BL3750" t="s">
        <v>163</v>
      </c>
      <c r="BM3750">
        <v>1</v>
      </c>
      <c r="BN3750">
        <v>1</v>
      </c>
      <c r="BO3750">
        <v>1</v>
      </c>
      <c r="BP3750">
        <v>0</v>
      </c>
      <c r="BS3750">
        <v>0</v>
      </c>
      <c r="BT3750">
        <v>0</v>
      </c>
      <c r="BU3750">
        <v>0</v>
      </c>
      <c r="CE3750" t="str">
        <f t="shared" si="1379"/>
        <v>19:35:37.840</v>
      </c>
      <c r="CF3750">
        <v>840415454</v>
      </c>
      <c r="CS3750">
        <v>0</v>
      </c>
      <c r="CT3750">
        <v>2</v>
      </c>
      <c r="CU3750">
        <v>0</v>
      </c>
      <c r="CV3750">
        <v>2</v>
      </c>
      <c r="CW3750">
        <v>1</v>
      </c>
      <c r="CX3750">
        <v>5</v>
      </c>
      <c r="CY3750">
        <v>7</v>
      </c>
      <c r="CZ3750" t="s">
        <v>131</v>
      </c>
      <c r="DA3750">
        <v>300</v>
      </c>
      <c r="DB3750">
        <v>0</v>
      </c>
      <c r="DC3750" t="s">
        <v>176</v>
      </c>
      <c r="DD3750" t="s">
        <v>177</v>
      </c>
      <c r="DG3750">
        <v>5446599</v>
      </c>
      <c r="DI3750">
        <v>1</v>
      </c>
      <c r="DJ3750">
        <v>0</v>
      </c>
      <c r="DK3750">
        <v>1</v>
      </c>
      <c r="DL3750">
        <v>0</v>
      </c>
      <c r="DM3750">
        <v>0</v>
      </c>
      <c r="DN3750">
        <v>1</v>
      </c>
      <c r="DO3750">
        <v>0</v>
      </c>
      <c r="DP3750">
        <v>0</v>
      </c>
      <c r="DQ3750">
        <v>0</v>
      </c>
      <c r="DR3750">
        <v>0</v>
      </c>
      <c r="DS3750">
        <v>0</v>
      </c>
    </row>
    <row r="3751" spans="1:123" x14ac:dyDescent="0.3">
      <c r="A3751" t="str">
        <f>"10/04/2022 19:35:38.246"</f>
        <v>10/04/2022 19:35:38.246</v>
      </c>
      <c r="C3751" t="str">
        <f t="shared" si="1357"/>
        <v>FFDFD3C0</v>
      </c>
      <c r="D3751" t="s">
        <v>143</v>
      </c>
      <c r="E3751">
        <v>20</v>
      </c>
      <c r="F3751">
        <v>1020</v>
      </c>
      <c r="G3751" t="s">
        <v>144</v>
      </c>
      <c r="J3751" t="s">
        <v>145</v>
      </c>
      <c r="K3751">
        <v>0</v>
      </c>
      <c r="L3751">
        <v>3</v>
      </c>
      <c r="M3751">
        <v>0</v>
      </c>
      <c r="N3751">
        <v>2</v>
      </c>
      <c r="O3751">
        <v>0</v>
      </c>
      <c r="P3751">
        <v>1</v>
      </c>
      <c r="Q3751">
        <v>0</v>
      </c>
      <c r="S3751" t="str">
        <f t="shared" si="1377"/>
        <v>19:35:37.000</v>
      </c>
      <c r="T3751" t="str">
        <f t="shared" si="1377"/>
        <v>19:35:37.000</v>
      </c>
      <c r="U3751" t="str">
        <f t="shared" si="1367"/>
        <v>AC3944</v>
      </c>
      <c r="V3751">
        <v>0</v>
      </c>
      <c r="W3751">
        <v>0</v>
      </c>
      <c r="X3751">
        <v>2</v>
      </c>
      <c r="Y3751">
        <v>0</v>
      </c>
      <c r="AA3751">
        <v>1</v>
      </c>
      <c r="AB3751">
        <v>8</v>
      </c>
      <c r="AC3751">
        <v>3</v>
      </c>
      <c r="AD3751">
        <v>0</v>
      </c>
      <c r="AE3751">
        <v>9</v>
      </c>
      <c r="AF3751" t="s">
        <v>138</v>
      </c>
      <c r="AG3751">
        <v>0</v>
      </c>
      <c r="AH3751">
        <v>3</v>
      </c>
      <c r="AI3751">
        <v>1</v>
      </c>
      <c r="AJ3751">
        <v>0</v>
      </c>
      <c r="AK3751" t="s">
        <v>1223</v>
      </c>
      <c r="AL3751">
        <v>32.737648</v>
      </c>
      <c r="AM3751" t="s">
        <v>1224</v>
      </c>
      <c r="AN3751">
        <v>-116.70963</v>
      </c>
      <c r="AO3751">
        <v>25</v>
      </c>
      <c r="AP3751">
        <v>4600</v>
      </c>
      <c r="AQ3751" t="s">
        <v>129</v>
      </c>
      <c r="AR3751">
        <v>127</v>
      </c>
      <c r="AS3751">
        <v>9</v>
      </c>
      <c r="AT3751">
        <v>256</v>
      </c>
      <c r="BB3751">
        <v>1200</v>
      </c>
      <c r="BC3751">
        <v>1</v>
      </c>
      <c r="BD3751" t="str">
        <f t="shared" si="1368"/>
        <v xml:space="preserve">N887QR  </v>
      </c>
      <c r="BE3751">
        <v>1</v>
      </c>
      <c r="BG3751">
        <v>0</v>
      </c>
      <c r="BH3751">
        <v>0</v>
      </c>
      <c r="BI3751">
        <v>0</v>
      </c>
      <c r="BJ3751">
        <v>4400</v>
      </c>
      <c r="BK3751">
        <v>-200</v>
      </c>
      <c r="BL3751" t="s">
        <v>163</v>
      </c>
      <c r="BM3751">
        <v>1</v>
      </c>
      <c r="BN3751">
        <v>1</v>
      </c>
      <c r="BO3751">
        <v>1</v>
      </c>
      <c r="BP3751">
        <v>0</v>
      </c>
      <c r="BS3751">
        <v>0</v>
      </c>
      <c r="BT3751">
        <v>0</v>
      </c>
      <c r="BU3751">
        <v>0</v>
      </c>
      <c r="CE3751" t="str">
        <f t="shared" si="1379"/>
        <v>19:35:37.840</v>
      </c>
      <c r="CF3751">
        <v>840415454</v>
      </c>
      <c r="CS3751">
        <v>0</v>
      </c>
      <c r="CT3751">
        <v>2</v>
      </c>
      <c r="CU3751">
        <v>0</v>
      </c>
      <c r="CV3751">
        <v>2</v>
      </c>
      <c r="CW3751">
        <v>1</v>
      </c>
      <c r="CX3751">
        <v>5</v>
      </c>
      <c r="CY3751">
        <v>7</v>
      </c>
      <c r="CZ3751" t="s">
        <v>131</v>
      </c>
      <c r="DA3751">
        <v>300</v>
      </c>
      <c r="DB3751">
        <v>0</v>
      </c>
      <c r="DC3751" t="s">
        <v>176</v>
      </c>
      <c r="DD3751" t="s">
        <v>177</v>
      </c>
      <c r="DG3751">
        <v>5446599</v>
      </c>
      <c r="DI3751">
        <v>1</v>
      </c>
      <c r="DJ3751">
        <v>0</v>
      </c>
      <c r="DK3751">
        <v>1</v>
      </c>
      <c r="DL3751">
        <v>0</v>
      </c>
      <c r="DM3751">
        <v>0</v>
      </c>
      <c r="DN3751">
        <v>1</v>
      </c>
      <c r="DO3751">
        <v>0</v>
      </c>
      <c r="DP3751">
        <v>0</v>
      </c>
      <c r="DQ3751">
        <v>0</v>
      </c>
      <c r="DR3751">
        <v>0</v>
      </c>
      <c r="DS3751">
        <v>0</v>
      </c>
    </row>
    <row r="3752" spans="1:123" x14ac:dyDescent="0.3">
      <c r="A3752" t="str">
        <f t="shared" ref="A3752:A3758" si="1380">"10/04/2022 19:35:40.090"</f>
        <v>10/04/2022 19:35:40.090</v>
      </c>
      <c r="C3752" t="str">
        <f t="shared" si="1357"/>
        <v>FFDFD3C0</v>
      </c>
      <c r="D3752" t="s">
        <v>147</v>
      </c>
      <c r="E3752">
        <v>3</v>
      </c>
      <c r="H3752">
        <v>166</v>
      </c>
      <c r="I3752" t="s">
        <v>144</v>
      </c>
      <c r="J3752" t="s">
        <v>148</v>
      </c>
      <c r="K3752">
        <v>0</v>
      </c>
      <c r="L3752">
        <v>3</v>
      </c>
      <c r="M3752">
        <v>0</v>
      </c>
      <c r="N3752">
        <v>2</v>
      </c>
      <c r="O3752">
        <v>0</v>
      </c>
      <c r="P3752">
        <v>1</v>
      </c>
      <c r="Q3752">
        <v>0</v>
      </c>
      <c r="S3752" t="str">
        <f t="shared" ref="S3752:T3758" si="1381">"19:35:39.000"</f>
        <v>19:35:39.000</v>
      </c>
      <c r="T3752" t="str">
        <f t="shared" si="1381"/>
        <v>19:35:39.000</v>
      </c>
      <c r="U3752" t="str">
        <f t="shared" si="1367"/>
        <v>AC3944</v>
      </c>
      <c r="V3752">
        <v>0</v>
      </c>
      <c r="W3752">
        <v>0</v>
      </c>
      <c r="X3752">
        <v>2</v>
      </c>
      <c r="Y3752">
        <v>0</v>
      </c>
      <c r="AA3752">
        <v>1</v>
      </c>
      <c r="AB3752">
        <v>8</v>
      </c>
      <c r="AC3752">
        <v>3</v>
      </c>
      <c r="AD3752">
        <v>0</v>
      </c>
      <c r="AE3752">
        <v>9</v>
      </c>
      <c r="AF3752" t="s">
        <v>138</v>
      </c>
      <c r="AG3752">
        <v>0</v>
      </c>
      <c r="AH3752">
        <v>3</v>
      </c>
      <c r="AI3752">
        <v>1</v>
      </c>
      <c r="AJ3752">
        <v>0</v>
      </c>
      <c r="AK3752" t="s">
        <v>936</v>
      </c>
      <c r="AL3752">
        <v>32.737734000000003</v>
      </c>
      <c r="AM3752" t="s">
        <v>1225</v>
      </c>
      <c r="AN3752">
        <v>-116.708236</v>
      </c>
      <c r="AO3752">
        <v>25</v>
      </c>
      <c r="AP3752">
        <v>4600</v>
      </c>
      <c r="AQ3752" t="s">
        <v>129</v>
      </c>
      <c r="AR3752">
        <v>126</v>
      </c>
      <c r="AS3752">
        <v>6</v>
      </c>
      <c r="AT3752">
        <v>256</v>
      </c>
      <c r="BB3752">
        <v>1200</v>
      </c>
      <c r="BC3752">
        <v>1</v>
      </c>
      <c r="BD3752" t="str">
        <f t="shared" si="1368"/>
        <v xml:space="preserve">N887QR  </v>
      </c>
      <c r="BE3752">
        <v>1</v>
      </c>
      <c r="BG3752">
        <v>0</v>
      </c>
      <c r="BH3752">
        <v>0</v>
      </c>
      <c r="BI3752">
        <v>0</v>
      </c>
      <c r="BJ3752">
        <v>4400</v>
      </c>
      <c r="BK3752">
        <v>-200</v>
      </c>
      <c r="BL3752" t="s">
        <v>163</v>
      </c>
      <c r="BM3752">
        <v>1</v>
      </c>
      <c r="BN3752">
        <v>1</v>
      </c>
      <c r="BO3752">
        <v>1</v>
      </c>
      <c r="BP3752">
        <v>0</v>
      </c>
      <c r="BS3752">
        <v>0</v>
      </c>
      <c r="BT3752">
        <v>0</v>
      </c>
      <c r="BU3752">
        <v>0</v>
      </c>
      <c r="CE3752" t="str">
        <f t="shared" ref="CE3752:CE3758" si="1382">"19:35:39.857"</f>
        <v>19:35:39.857</v>
      </c>
      <c r="CF3752">
        <v>856610697</v>
      </c>
      <c r="CS3752">
        <v>0</v>
      </c>
      <c r="CT3752">
        <v>2</v>
      </c>
      <c r="CU3752">
        <v>0</v>
      </c>
      <c r="CV3752">
        <v>2</v>
      </c>
      <c r="CW3752">
        <v>0</v>
      </c>
      <c r="CX3752">
        <v>5</v>
      </c>
      <c r="CY3752">
        <v>7</v>
      </c>
      <c r="CZ3752" t="s">
        <v>131</v>
      </c>
      <c r="DA3752">
        <v>286</v>
      </c>
      <c r="DB3752">
        <v>0</v>
      </c>
      <c r="DC3752" t="s">
        <v>132</v>
      </c>
      <c r="DD3752" t="s">
        <v>133</v>
      </c>
      <c r="DG3752">
        <v>890199</v>
      </c>
      <c r="DI3752">
        <v>1</v>
      </c>
      <c r="DJ3752">
        <v>0</v>
      </c>
      <c r="DK3752">
        <v>0</v>
      </c>
      <c r="DL3752">
        <v>0</v>
      </c>
      <c r="DM3752">
        <v>0</v>
      </c>
      <c r="DN3752">
        <v>1</v>
      </c>
      <c r="DO3752">
        <v>0</v>
      </c>
      <c r="DP3752">
        <v>0</v>
      </c>
      <c r="DQ3752">
        <v>0</v>
      </c>
      <c r="DR3752">
        <v>0</v>
      </c>
      <c r="DS3752">
        <v>0</v>
      </c>
    </row>
    <row r="3753" spans="1:123" x14ac:dyDescent="0.3">
      <c r="A3753" t="str">
        <f t="shared" si="1380"/>
        <v>10/04/2022 19:35:40.090</v>
      </c>
      <c r="C3753" t="str">
        <f t="shared" si="1357"/>
        <v>FFDFD3C0</v>
      </c>
      <c r="D3753" t="s">
        <v>136</v>
      </c>
      <c r="E3753">
        <v>8</v>
      </c>
      <c r="H3753">
        <v>225</v>
      </c>
      <c r="I3753" t="s">
        <v>137</v>
      </c>
      <c r="J3753" t="s">
        <v>138</v>
      </c>
      <c r="K3753">
        <v>0</v>
      </c>
      <c r="L3753">
        <v>3</v>
      </c>
      <c r="M3753">
        <v>0</v>
      </c>
      <c r="N3753">
        <v>2</v>
      </c>
      <c r="O3753">
        <v>0</v>
      </c>
      <c r="P3753">
        <v>1</v>
      </c>
      <c r="Q3753">
        <v>0</v>
      </c>
      <c r="S3753" t="str">
        <f t="shared" si="1381"/>
        <v>19:35:39.000</v>
      </c>
      <c r="T3753" t="str">
        <f t="shared" si="1381"/>
        <v>19:35:39.000</v>
      </c>
      <c r="U3753" t="str">
        <f t="shared" si="1367"/>
        <v>AC3944</v>
      </c>
      <c r="V3753">
        <v>0</v>
      </c>
      <c r="W3753">
        <v>0</v>
      </c>
      <c r="X3753">
        <v>2</v>
      </c>
      <c r="Y3753">
        <v>0</v>
      </c>
      <c r="AA3753">
        <v>1</v>
      </c>
      <c r="AB3753">
        <v>8</v>
      </c>
      <c r="AC3753">
        <v>3</v>
      </c>
      <c r="AD3753">
        <v>0</v>
      </c>
      <c r="AE3753">
        <v>9</v>
      </c>
      <c r="AF3753" t="s">
        <v>138</v>
      </c>
      <c r="AG3753">
        <v>0</v>
      </c>
      <c r="AH3753">
        <v>3</v>
      </c>
      <c r="AI3753">
        <v>1</v>
      </c>
      <c r="AJ3753">
        <v>0</v>
      </c>
      <c r="AK3753" t="s">
        <v>936</v>
      </c>
      <c r="AL3753">
        <v>32.737734000000003</v>
      </c>
      <c r="AM3753" t="s">
        <v>1225</v>
      </c>
      <c r="AN3753">
        <v>-116.708236</v>
      </c>
      <c r="AO3753">
        <v>25</v>
      </c>
      <c r="AP3753">
        <v>4600</v>
      </c>
      <c r="AQ3753" t="s">
        <v>129</v>
      </c>
      <c r="AR3753">
        <v>126</v>
      </c>
      <c r="AS3753">
        <v>6</v>
      </c>
      <c r="AT3753">
        <v>256</v>
      </c>
      <c r="BB3753">
        <v>1200</v>
      </c>
      <c r="BC3753">
        <v>1</v>
      </c>
      <c r="BD3753" t="str">
        <f t="shared" si="1368"/>
        <v xml:space="preserve">N887QR  </v>
      </c>
      <c r="BE3753">
        <v>1</v>
      </c>
      <c r="BG3753">
        <v>0</v>
      </c>
      <c r="BH3753">
        <v>0</v>
      </c>
      <c r="BI3753">
        <v>0</v>
      </c>
      <c r="BJ3753">
        <v>4400</v>
      </c>
      <c r="BK3753">
        <v>-200</v>
      </c>
      <c r="BL3753" t="s">
        <v>163</v>
      </c>
      <c r="BM3753">
        <v>1</v>
      </c>
      <c r="BN3753">
        <v>1</v>
      </c>
      <c r="BO3753">
        <v>1</v>
      </c>
      <c r="BP3753">
        <v>0</v>
      </c>
      <c r="BS3753">
        <v>0</v>
      </c>
      <c r="BT3753">
        <v>0</v>
      </c>
      <c r="BU3753">
        <v>0</v>
      </c>
      <c r="CE3753" t="str">
        <f t="shared" si="1382"/>
        <v>19:35:39.857</v>
      </c>
      <c r="CF3753">
        <v>856610697</v>
      </c>
      <c r="CS3753">
        <v>0</v>
      </c>
      <c r="CT3753">
        <v>2</v>
      </c>
      <c r="CU3753">
        <v>0</v>
      </c>
      <c r="CV3753">
        <v>2</v>
      </c>
      <c r="CW3753">
        <v>0</v>
      </c>
      <c r="CX3753">
        <v>5</v>
      </c>
      <c r="CY3753">
        <v>7</v>
      </c>
      <c r="CZ3753" t="s">
        <v>131</v>
      </c>
      <c r="DA3753">
        <v>286</v>
      </c>
      <c r="DB3753">
        <v>0</v>
      </c>
      <c r="DC3753" t="s">
        <v>132</v>
      </c>
      <c r="DD3753" t="s">
        <v>133</v>
      </c>
      <c r="DG3753">
        <v>890199</v>
      </c>
      <c r="DI3753">
        <v>1</v>
      </c>
      <c r="DJ3753">
        <v>0</v>
      </c>
      <c r="DK3753">
        <v>1</v>
      </c>
      <c r="DL3753">
        <v>0</v>
      </c>
      <c r="DM3753">
        <v>0</v>
      </c>
      <c r="DN3753">
        <v>1</v>
      </c>
      <c r="DO3753">
        <v>0</v>
      </c>
      <c r="DP3753">
        <v>0</v>
      </c>
      <c r="DQ3753">
        <v>0</v>
      </c>
      <c r="DR3753">
        <v>0</v>
      </c>
      <c r="DS3753">
        <v>0</v>
      </c>
    </row>
    <row r="3754" spans="1:123" x14ac:dyDescent="0.3">
      <c r="A3754" t="str">
        <f t="shared" si="1380"/>
        <v>10/04/2022 19:35:40.090</v>
      </c>
      <c r="C3754" t="str">
        <f t="shared" si="1357"/>
        <v>FFDFD3C0</v>
      </c>
      <c r="D3754" t="s">
        <v>141</v>
      </c>
      <c r="E3754">
        <v>3</v>
      </c>
      <c r="H3754">
        <v>3</v>
      </c>
      <c r="I3754" t="s">
        <v>146</v>
      </c>
      <c r="J3754" t="s">
        <v>138</v>
      </c>
      <c r="K3754">
        <v>0</v>
      </c>
      <c r="L3754">
        <v>3</v>
      </c>
      <c r="M3754">
        <v>0</v>
      </c>
      <c r="N3754">
        <v>2</v>
      </c>
      <c r="O3754">
        <v>0</v>
      </c>
      <c r="P3754">
        <v>1</v>
      </c>
      <c r="Q3754">
        <v>0</v>
      </c>
      <c r="S3754" t="str">
        <f t="shared" si="1381"/>
        <v>19:35:39.000</v>
      </c>
      <c r="T3754" t="str">
        <f t="shared" si="1381"/>
        <v>19:35:39.000</v>
      </c>
      <c r="U3754" t="str">
        <f t="shared" si="1367"/>
        <v>AC3944</v>
      </c>
      <c r="V3754">
        <v>0</v>
      </c>
      <c r="W3754">
        <v>0</v>
      </c>
      <c r="X3754">
        <v>2</v>
      </c>
      <c r="Y3754">
        <v>0</v>
      </c>
      <c r="AA3754">
        <v>1</v>
      </c>
      <c r="AB3754">
        <v>8</v>
      </c>
      <c r="AC3754">
        <v>3</v>
      </c>
      <c r="AD3754">
        <v>0</v>
      </c>
      <c r="AE3754">
        <v>9</v>
      </c>
      <c r="AF3754" t="s">
        <v>138</v>
      </c>
      <c r="AG3754">
        <v>0</v>
      </c>
      <c r="AH3754">
        <v>3</v>
      </c>
      <c r="AI3754">
        <v>1</v>
      </c>
      <c r="AJ3754">
        <v>0</v>
      </c>
      <c r="AK3754" t="s">
        <v>936</v>
      </c>
      <c r="AL3754">
        <v>32.737734000000003</v>
      </c>
      <c r="AM3754" t="s">
        <v>1225</v>
      </c>
      <c r="AN3754">
        <v>-116.708236</v>
      </c>
      <c r="AO3754">
        <v>25</v>
      </c>
      <c r="AP3754">
        <v>4600</v>
      </c>
      <c r="AQ3754" t="s">
        <v>129</v>
      </c>
      <c r="AR3754">
        <v>126</v>
      </c>
      <c r="AS3754">
        <v>6</v>
      </c>
      <c r="AT3754">
        <v>256</v>
      </c>
      <c r="BB3754">
        <v>1200</v>
      </c>
      <c r="BC3754">
        <v>1</v>
      </c>
      <c r="BD3754" t="str">
        <f t="shared" si="1368"/>
        <v xml:space="preserve">N887QR  </v>
      </c>
      <c r="BE3754">
        <v>1</v>
      </c>
      <c r="BG3754">
        <v>0</v>
      </c>
      <c r="BH3754">
        <v>0</v>
      </c>
      <c r="BI3754">
        <v>0</v>
      </c>
      <c r="BJ3754">
        <v>4400</v>
      </c>
      <c r="BK3754">
        <v>-200</v>
      </c>
      <c r="BL3754" t="s">
        <v>163</v>
      </c>
      <c r="BM3754">
        <v>1</v>
      </c>
      <c r="BN3754">
        <v>1</v>
      </c>
      <c r="BO3754">
        <v>1</v>
      </c>
      <c r="BP3754">
        <v>0</v>
      </c>
      <c r="BS3754">
        <v>0</v>
      </c>
      <c r="BT3754">
        <v>0</v>
      </c>
      <c r="BU3754">
        <v>0</v>
      </c>
      <c r="CE3754" t="str">
        <f t="shared" si="1382"/>
        <v>19:35:39.857</v>
      </c>
      <c r="CF3754">
        <v>856610697</v>
      </c>
      <c r="CS3754">
        <v>0</v>
      </c>
      <c r="CT3754">
        <v>2</v>
      </c>
      <c r="CU3754">
        <v>0</v>
      </c>
      <c r="CV3754">
        <v>2</v>
      </c>
      <c r="CW3754">
        <v>0</v>
      </c>
      <c r="CX3754">
        <v>5</v>
      </c>
      <c r="CY3754">
        <v>7</v>
      </c>
      <c r="CZ3754" t="s">
        <v>131</v>
      </c>
      <c r="DA3754">
        <v>286</v>
      </c>
      <c r="DB3754">
        <v>0</v>
      </c>
      <c r="DC3754" t="s">
        <v>132</v>
      </c>
      <c r="DD3754" t="s">
        <v>133</v>
      </c>
      <c r="DG3754">
        <v>890199</v>
      </c>
      <c r="DI3754">
        <v>1</v>
      </c>
      <c r="DJ3754">
        <v>0</v>
      </c>
      <c r="DK3754">
        <v>1</v>
      </c>
      <c r="DL3754">
        <v>0</v>
      </c>
      <c r="DM3754">
        <v>0</v>
      </c>
      <c r="DN3754">
        <v>1</v>
      </c>
      <c r="DO3754">
        <v>0</v>
      </c>
      <c r="DP3754">
        <v>0</v>
      </c>
      <c r="DQ3754">
        <v>0</v>
      </c>
      <c r="DR3754">
        <v>0</v>
      </c>
      <c r="DS3754">
        <v>0</v>
      </c>
    </row>
    <row r="3755" spans="1:123" x14ac:dyDescent="0.3">
      <c r="A3755" t="str">
        <f t="shared" si="1380"/>
        <v>10/04/2022 19:35:40.090</v>
      </c>
      <c r="C3755" t="str">
        <f t="shared" ref="C3755:C3818" si="1383">"FFDFD3C0"</f>
        <v>FFDFD3C0</v>
      </c>
      <c r="D3755" t="s">
        <v>141</v>
      </c>
      <c r="E3755">
        <v>4</v>
      </c>
      <c r="H3755">
        <v>4</v>
      </c>
      <c r="I3755" t="s">
        <v>142</v>
      </c>
      <c r="J3755" t="s">
        <v>138</v>
      </c>
      <c r="K3755">
        <v>0</v>
      </c>
      <c r="L3755">
        <v>3</v>
      </c>
      <c r="M3755">
        <v>0</v>
      </c>
      <c r="N3755">
        <v>2</v>
      </c>
      <c r="O3755">
        <v>0</v>
      </c>
      <c r="P3755">
        <v>1</v>
      </c>
      <c r="Q3755">
        <v>0</v>
      </c>
      <c r="S3755" t="str">
        <f t="shared" si="1381"/>
        <v>19:35:39.000</v>
      </c>
      <c r="T3755" t="str">
        <f t="shared" si="1381"/>
        <v>19:35:39.000</v>
      </c>
      <c r="U3755" t="str">
        <f t="shared" si="1367"/>
        <v>AC3944</v>
      </c>
      <c r="V3755">
        <v>0</v>
      </c>
      <c r="W3755">
        <v>0</v>
      </c>
      <c r="X3755">
        <v>2</v>
      </c>
      <c r="Y3755">
        <v>0</v>
      </c>
      <c r="AA3755">
        <v>1</v>
      </c>
      <c r="AB3755">
        <v>8</v>
      </c>
      <c r="AC3755">
        <v>3</v>
      </c>
      <c r="AD3755">
        <v>0</v>
      </c>
      <c r="AE3755">
        <v>9</v>
      </c>
      <c r="AF3755" t="s">
        <v>138</v>
      </c>
      <c r="AG3755">
        <v>0</v>
      </c>
      <c r="AH3755">
        <v>3</v>
      </c>
      <c r="AI3755">
        <v>1</v>
      </c>
      <c r="AJ3755">
        <v>0</v>
      </c>
      <c r="AK3755" t="s">
        <v>936</v>
      </c>
      <c r="AL3755">
        <v>32.737734000000003</v>
      </c>
      <c r="AM3755" t="s">
        <v>1225</v>
      </c>
      <c r="AN3755">
        <v>-116.708236</v>
      </c>
      <c r="AO3755">
        <v>25</v>
      </c>
      <c r="AP3755">
        <v>4600</v>
      </c>
      <c r="AQ3755" t="s">
        <v>129</v>
      </c>
      <c r="AR3755">
        <v>126</v>
      </c>
      <c r="AS3755">
        <v>6</v>
      </c>
      <c r="AT3755">
        <v>256</v>
      </c>
      <c r="BB3755">
        <v>1200</v>
      </c>
      <c r="BC3755">
        <v>1</v>
      </c>
      <c r="BD3755" t="str">
        <f t="shared" si="1368"/>
        <v xml:space="preserve">N887QR  </v>
      </c>
      <c r="BE3755">
        <v>1</v>
      </c>
      <c r="BG3755">
        <v>0</v>
      </c>
      <c r="BH3755">
        <v>0</v>
      </c>
      <c r="BI3755">
        <v>0</v>
      </c>
      <c r="BJ3755">
        <v>4400</v>
      </c>
      <c r="BK3755">
        <v>-200</v>
      </c>
      <c r="BL3755" t="s">
        <v>163</v>
      </c>
      <c r="BM3755">
        <v>1</v>
      </c>
      <c r="BN3755">
        <v>1</v>
      </c>
      <c r="BO3755">
        <v>1</v>
      </c>
      <c r="BP3755">
        <v>0</v>
      </c>
      <c r="BS3755">
        <v>0</v>
      </c>
      <c r="BT3755">
        <v>0</v>
      </c>
      <c r="BU3755">
        <v>0</v>
      </c>
      <c r="CE3755" t="str">
        <f t="shared" si="1382"/>
        <v>19:35:39.857</v>
      </c>
      <c r="CF3755">
        <v>856610697</v>
      </c>
      <c r="CS3755">
        <v>0</v>
      </c>
      <c r="CT3755">
        <v>2</v>
      </c>
      <c r="CU3755">
        <v>0</v>
      </c>
      <c r="CV3755">
        <v>2</v>
      </c>
      <c r="CW3755">
        <v>0</v>
      </c>
      <c r="CX3755">
        <v>5</v>
      </c>
      <c r="CY3755">
        <v>7</v>
      </c>
      <c r="CZ3755" t="s">
        <v>131</v>
      </c>
      <c r="DA3755">
        <v>286</v>
      </c>
      <c r="DB3755">
        <v>0</v>
      </c>
      <c r="DC3755" t="s">
        <v>132</v>
      </c>
      <c r="DD3755" t="s">
        <v>133</v>
      </c>
      <c r="DG3755">
        <v>890199</v>
      </c>
      <c r="DI3755">
        <v>1</v>
      </c>
      <c r="DJ3755">
        <v>0</v>
      </c>
      <c r="DK3755">
        <v>1</v>
      </c>
      <c r="DL3755">
        <v>0</v>
      </c>
      <c r="DM3755">
        <v>0</v>
      </c>
      <c r="DN3755">
        <v>1</v>
      </c>
      <c r="DO3755">
        <v>0</v>
      </c>
      <c r="DP3755">
        <v>0</v>
      </c>
      <c r="DQ3755">
        <v>0</v>
      </c>
      <c r="DR3755">
        <v>0</v>
      </c>
      <c r="DS3755">
        <v>0</v>
      </c>
    </row>
    <row r="3756" spans="1:123" x14ac:dyDescent="0.3">
      <c r="A3756" t="str">
        <f t="shared" si="1380"/>
        <v>10/04/2022 19:35:40.090</v>
      </c>
      <c r="C3756" t="str">
        <f t="shared" si="1383"/>
        <v>FFDFD3C0</v>
      </c>
      <c r="D3756" t="s">
        <v>143</v>
      </c>
      <c r="E3756">
        <v>20</v>
      </c>
      <c r="F3756">
        <v>1020</v>
      </c>
      <c r="G3756" t="s">
        <v>144</v>
      </c>
      <c r="J3756" t="s">
        <v>145</v>
      </c>
      <c r="K3756">
        <v>0</v>
      </c>
      <c r="L3756">
        <v>3</v>
      </c>
      <c r="M3756">
        <v>0</v>
      </c>
      <c r="N3756">
        <v>2</v>
      </c>
      <c r="O3756">
        <v>0</v>
      </c>
      <c r="P3756">
        <v>1</v>
      </c>
      <c r="Q3756">
        <v>0</v>
      </c>
      <c r="S3756" t="str">
        <f t="shared" si="1381"/>
        <v>19:35:39.000</v>
      </c>
      <c r="T3756" t="str">
        <f t="shared" si="1381"/>
        <v>19:35:39.000</v>
      </c>
      <c r="U3756" t="str">
        <f t="shared" si="1367"/>
        <v>AC3944</v>
      </c>
      <c r="V3756">
        <v>0</v>
      </c>
      <c r="W3756">
        <v>0</v>
      </c>
      <c r="X3756">
        <v>2</v>
      </c>
      <c r="Y3756">
        <v>0</v>
      </c>
      <c r="AA3756">
        <v>1</v>
      </c>
      <c r="AB3756">
        <v>8</v>
      </c>
      <c r="AC3756">
        <v>3</v>
      </c>
      <c r="AD3756">
        <v>0</v>
      </c>
      <c r="AE3756">
        <v>9</v>
      </c>
      <c r="AF3756" t="s">
        <v>138</v>
      </c>
      <c r="AG3756">
        <v>0</v>
      </c>
      <c r="AH3756">
        <v>3</v>
      </c>
      <c r="AI3756">
        <v>1</v>
      </c>
      <c r="AJ3756">
        <v>0</v>
      </c>
      <c r="AK3756" t="s">
        <v>936</v>
      </c>
      <c r="AL3756">
        <v>32.737734000000003</v>
      </c>
      <c r="AM3756" t="s">
        <v>1225</v>
      </c>
      <c r="AN3756">
        <v>-116.708236</v>
      </c>
      <c r="AO3756">
        <v>25</v>
      </c>
      <c r="AP3756">
        <v>4600</v>
      </c>
      <c r="AQ3756" t="s">
        <v>129</v>
      </c>
      <c r="AR3756">
        <v>126</v>
      </c>
      <c r="AS3756">
        <v>6</v>
      </c>
      <c r="AT3756">
        <v>256</v>
      </c>
      <c r="BB3756">
        <v>1200</v>
      </c>
      <c r="BC3756">
        <v>1</v>
      </c>
      <c r="BD3756" t="str">
        <f t="shared" si="1368"/>
        <v xml:space="preserve">N887QR  </v>
      </c>
      <c r="BE3756">
        <v>1</v>
      </c>
      <c r="BG3756">
        <v>0</v>
      </c>
      <c r="BH3756">
        <v>0</v>
      </c>
      <c r="BI3756">
        <v>0</v>
      </c>
      <c r="BJ3756">
        <v>4400</v>
      </c>
      <c r="BK3756">
        <v>-200</v>
      </c>
      <c r="BL3756" t="s">
        <v>163</v>
      </c>
      <c r="BM3756">
        <v>1</v>
      </c>
      <c r="BN3756">
        <v>1</v>
      </c>
      <c r="BO3756">
        <v>1</v>
      </c>
      <c r="BP3756">
        <v>0</v>
      </c>
      <c r="BS3756">
        <v>0</v>
      </c>
      <c r="BT3756">
        <v>0</v>
      </c>
      <c r="BU3756">
        <v>0</v>
      </c>
      <c r="CE3756" t="str">
        <f t="shared" si="1382"/>
        <v>19:35:39.857</v>
      </c>
      <c r="CF3756">
        <v>856610697</v>
      </c>
      <c r="CS3756">
        <v>0</v>
      </c>
      <c r="CT3756">
        <v>2</v>
      </c>
      <c r="CU3756">
        <v>0</v>
      </c>
      <c r="CV3756">
        <v>2</v>
      </c>
      <c r="CW3756">
        <v>0</v>
      </c>
      <c r="CX3756">
        <v>5</v>
      </c>
      <c r="CY3756">
        <v>7</v>
      </c>
      <c r="CZ3756" t="s">
        <v>131</v>
      </c>
      <c r="DA3756">
        <v>286</v>
      </c>
      <c r="DB3756">
        <v>0</v>
      </c>
      <c r="DC3756" t="s">
        <v>132</v>
      </c>
      <c r="DD3756" t="s">
        <v>133</v>
      </c>
      <c r="DG3756">
        <v>890199</v>
      </c>
      <c r="DI3756">
        <v>1</v>
      </c>
      <c r="DJ3756">
        <v>0</v>
      </c>
      <c r="DK3756">
        <v>1</v>
      </c>
      <c r="DL3756">
        <v>0</v>
      </c>
      <c r="DM3756">
        <v>0</v>
      </c>
      <c r="DN3756">
        <v>1</v>
      </c>
      <c r="DO3756">
        <v>0</v>
      </c>
      <c r="DP3756">
        <v>0</v>
      </c>
      <c r="DQ3756">
        <v>0</v>
      </c>
      <c r="DR3756">
        <v>0</v>
      </c>
      <c r="DS3756">
        <v>0</v>
      </c>
    </row>
    <row r="3757" spans="1:123" x14ac:dyDescent="0.3">
      <c r="A3757" t="str">
        <f t="shared" si="1380"/>
        <v>10/04/2022 19:35:40.090</v>
      </c>
      <c r="C3757" t="str">
        <f t="shared" si="1383"/>
        <v>FFDFD3C0</v>
      </c>
      <c r="D3757" t="s">
        <v>134</v>
      </c>
      <c r="E3757">
        <v>15</v>
      </c>
      <c r="J3757" t="s">
        <v>135</v>
      </c>
      <c r="K3757">
        <v>0</v>
      </c>
      <c r="L3757">
        <v>3</v>
      </c>
      <c r="M3757">
        <v>0</v>
      </c>
      <c r="N3757">
        <v>2</v>
      </c>
      <c r="O3757">
        <v>0</v>
      </c>
      <c r="P3757">
        <v>1</v>
      </c>
      <c r="Q3757">
        <v>0</v>
      </c>
      <c r="S3757" t="str">
        <f t="shared" si="1381"/>
        <v>19:35:39.000</v>
      </c>
      <c r="T3757" t="str">
        <f t="shared" si="1381"/>
        <v>19:35:39.000</v>
      </c>
      <c r="U3757" t="str">
        <f t="shared" si="1367"/>
        <v>AC3944</v>
      </c>
      <c r="V3757">
        <v>0</v>
      </c>
      <c r="W3757">
        <v>0</v>
      </c>
      <c r="X3757">
        <v>2</v>
      </c>
      <c r="Y3757">
        <v>0</v>
      </c>
      <c r="AA3757">
        <v>1</v>
      </c>
      <c r="AB3757">
        <v>8</v>
      </c>
      <c r="AC3757">
        <v>3</v>
      </c>
      <c r="AD3757">
        <v>0</v>
      </c>
      <c r="AE3757">
        <v>9</v>
      </c>
      <c r="AF3757" t="s">
        <v>138</v>
      </c>
      <c r="AG3757">
        <v>0</v>
      </c>
      <c r="AH3757">
        <v>3</v>
      </c>
      <c r="AI3757">
        <v>1</v>
      </c>
      <c r="AJ3757">
        <v>0</v>
      </c>
      <c r="AK3757" t="s">
        <v>936</v>
      </c>
      <c r="AL3757">
        <v>32.737734000000003</v>
      </c>
      <c r="AM3757" t="s">
        <v>1225</v>
      </c>
      <c r="AN3757">
        <v>-116.708236</v>
      </c>
      <c r="AO3757">
        <v>25</v>
      </c>
      <c r="AP3757">
        <v>4600</v>
      </c>
      <c r="AQ3757" t="s">
        <v>129</v>
      </c>
      <c r="AR3757">
        <v>126</v>
      </c>
      <c r="AS3757">
        <v>6</v>
      </c>
      <c r="AT3757">
        <v>256</v>
      </c>
      <c r="BB3757">
        <v>1200</v>
      </c>
      <c r="BC3757">
        <v>1</v>
      </c>
      <c r="BD3757" t="str">
        <f t="shared" si="1368"/>
        <v xml:space="preserve">N887QR  </v>
      </c>
      <c r="BE3757">
        <v>1</v>
      </c>
      <c r="BG3757">
        <v>0</v>
      </c>
      <c r="BH3757">
        <v>0</v>
      </c>
      <c r="BI3757">
        <v>0</v>
      </c>
      <c r="BJ3757">
        <v>4400</v>
      </c>
      <c r="BK3757">
        <v>-200</v>
      </c>
      <c r="BL3757" t="s">
        <v>163</v>
      </c>
      <c r="BM3757">
        <v>1</v>
      </c>
      <c r="BN3757">
        <v>1</v>
      </c>
      <c r="BO3757">
        <v>1</v>
      </c>
      <c r="BP3757">
        <v>0</v>
      </c>
      <c r="BS3757">
        <v>0</v>
      </c>
      <c r="BT3757">
        <v>0</v>
      </c>
      <c r="BU3757">
        <v>0</v>
      </c>
      <c r="CE3757" t="str">
        <f t="shared" si="1382"/>
        <v>19:35:39.857</v>
      </c>
      <c r="CF3757">
        <v>856610697</v>
      </c>
      <c r="CS3757">
        <v>0</v>
      </c>
      <c r="CT3757">
        <v>2</v>
      </c>
      <c r="CU3757">
        <v>0</v>
      </c>
      <c r="CV3757">
        <v>2</v>
      </c>
      <c r="CW3757">
        <v>0</v>
      </c>
      <c r="CX3757">
        <v>5</v>
      </c>
      <c r="CY3757">
        <v>7</v>
      </c>
      <c r="CZ3757" t="s">
        <v>131</v>
      </c>
      <c r="DA3757">
        <v>286</v>
      </c>
      <c r="DB3757">
        <v>0</v>
      </c>
      <c r="DC3757" t="s">
        <v>132</v>
      </c>
      <c r="DD3757" t="s">
        <v>133</v>
      </c>
      <c r="DG3757">
        <v>890199</v>
      </c>
      <c r="DI3757">
        <v>1</v>
      </c>
      <c r="DJ3757">
        <v>0</v>
      </c>
      <c r="DK3757">
        <v>1</v>
      </c>
      <c r="DL3757">
        <v>0</v>
      </c>
      <c r="DM3757">
        <v>0</v>
      </c>
      <c r="DN3757">
        <v>1</v>
      </c>
      <c r="DO3757">
        <v>0</v>
      </c>
      <c r="DP3757">
        <v>0</v>
      </c>
      <c r="DQ3757">
        <v>0</v>
      </c>
      <c r="DR3757">
        <v>0</v>
      </c>
      <c r="DS3757">
        <v>0</v>
      </c>
    </row>
    <row r="3758" spans="1:123" x14ac:dyDescent="0.3">
      <c r="A3758" t="str">
        <f t="shared" si="1380"/>
        <v>10/04/2022 19:35:40.090</v>
      </c>
      <c r="C3758" t="str">
        <f t="shared" si="1383"/>
        <v>FFDFD3C0</v>
      </c>
      <c r="D3758" t="s">
        <v>123</v>
      </c>
      <c r="E3758">
        <v>7</v>
      </c>
      <c r="F3758">
        <v>2007</v>
      </c>
      <c r="G3758" t="s">
        <v>124</v>
      </c>
      <c r="J3758" t="s">
        <v>125</v>
      </c>
      <c r="K3758">
        <v>0</v>
      </c>
      <c r="L3758">
        <v>3</v>
      </c>
      <c r="M3758">
        <v>0</v>
      </c>
      <c r="N3758">
        <v>2</v>
      </c>
      <c r="O3758">
        <v>0</v>
      </c>
      <c r="P3758">
        <v>1</v>
      </c>
      <c r="Q3758">
        <v>0</v>
      </c>
      <c r="S3758" t="str">
        <f t="shared" si="1381"/>
        <v>19:35:39.000</v>
      </c>
      <c r="T3758" t="str">
        <f t="shared" si="1381"/>
        <v>19:35:39.000</v>
      </c>
      <c r="U3758" t="str">
        <f t="shared" si="1367"/>
        <v>AC3944</v>
      </c>
      <c r="V3758">
        <v>0</v>
      </c>
      <c r="W3758">
        <v>0</v>
      </c>
      <c r="X3758">
        <v>2</v>
      </c>
      <c r="Y3758">
        <v>0</v>
      </c>
      <c r="AA3758">
        <v>1</v>
      </c>
      <c r="AB3758">
        <v>8</v>
      </c>
      <c r="AC3758">
        <v>3</v>
      </c>
      <c r="AD3758">
        <v>0</v>
      </c>
      <c r="AE3758">
        <v>9</v>
      </c>
      <c r="AF3758" t="s">
        <v>138</v>
      </c>
      <c r="AG3758">
        <v>0</v>
      </c>
      <c r="AH3758">
        <v>3</v>
      </c>
      <c r="AI3758">
        <v>1</v>
      </c>
      <c r="AJ3758">
        <v>0</v>
      </c>
      <c r="AK3758" t="s">
        <v>936</v>
      </c>
      <c r="AL3758">
        <v>32.737734000000003</v>
      </c>
      <c r="AM3758" t="s">
        <v>1225</v>
      </c>
      <c r="AN3758">
        <v>-116.708236</v>
      </c>
      <c r="AO3758">
        <v>25</v>
      </c>
      <c r="AP3758">
        <v>4600</v>
      </c>
      <c r="AQ3758" t="s">
        <v>129</v>
      </c>
      <c r="AR3758">
        <v>126</v>
      </c>
      <c r="AS3758">
        <v>6</v>
      </c>
      <c r="AT3758">
        <v>256</v>
      </c>
      <c r="BB3758">
        <v>1200</v>
      </c>
      <c r="BC3758">
        <v>1</v>
      </c>
      <c r="BD3758" t="str">
        <f t="shared" si="1368"/>
        <v xml:space="preserve">N887QR  </v>
      </c>
      <c r="BE3758">
        <v>1</v>
      </c>
      <c r="BG3758">
        <v>0</v>
      </c>
      <c r="BH3758">
        <v>0</v>
      </c>
      <c r="BI3758">
        <v>0</v>
      </c>
      <c r="BJ3758">
        <v>4400</v>
      </c>
      <c r="BK3758">
        <v>-200</v>
      </c>
      <c r="BL3758" t="s">
        <v>163</v>
      </c>
      <c r="BM3758">
        <v>1</v>
      </c>
      <c r="BN3758">
        <v>1</v>
      </c>
      <c r="BO3758">
        <v>1</v>
      </c>
      <c r="BP3758">
        <v>0</v>
      </c>
      <c r="BS3758">
        <v>0</v>
      </c>
      <c r="BT3758">
        <v>0</v>
      </c>
      <c r="BU3758">
        <v>0</v>
      </c>
      <c r="CE3758" t="str">
        <f t="shared" si="1382"/>
        <v>19:35:39.857</v>
      </c>
      <c r="CF3758">
        <v>856610697</v>
      </c>
      <c r="CS3758">
        <v>0</v>
      </c>
      <c r="CT3758">
        <v>2</v>
      </c>
      <c r="CU3758">
        <v>0</v>
      </c>
      <c r="CV3758">
        <v>2</v>
      </c>
      <c r="CW3758">
        <v>0</v>
      </c>
      <c r="CX3758">
        <v>5</v>
      </c>
      <c r="CY3758">
        <v>7</v>
      </c>
      <c r="CZ3758" t="s">
        <v>131</v>
      </c>
      <c r="DA3758">
        <v>286</v>
      </c>
      <c r="DB3758">
        <v>0</v>
      </c>
      <c r="DC3758" t="s">
        <v>132</v>
      </c>
      <c r="DD3758" t="s">
        <v>133</v>
      </c>
      <c r="DG3758">
        <v>890199</v>
      </c>
      <c r="DI3758">
        <v>1</v>
      </c>
      <c r="DJ3758">
        <v>0</v>
      </c>
      <c r="DK3758">
        <v>1</v>
      </c>
      <c r="DL3758">
        <v>0</v>
      </c>
      <c r="DM3758">
        <v>0</v>
      </c>
      <c r="DN3758">
        <v>1</v>
      </c>
      <c r="DO3758">
        <v>0</v>
      </c>
      <c r="DP3758">
        <v>0</v>
      </c>
      <c r="DQ3758">
        <v>0</v>
      </c>
      <c r="DR3758">
        <v>0</v>
      </c>
      <c r="DS3758">
        <v>0</v>
      </c>
    </row>
    <row r="3759" spans="1:123" x14ac:dyDescent="0.3">
      <c r="A3759" t="str">
        <f>"10/04/2022 19:35:41.605"</f>
        <v>10/04/2022 19:35:41.605</v>
      </c>
      <c r="C3759" t="str">
        <f t="shared" si="1383"/>
        <v>FFDFD3C0</v>
      </c>
      <c r="D3759" t="s">
        <v>123</v>
      </c>
      <c r="E3759">
        <v>7</v>
      </c>
      <c r="F3759">
        <v>2007</v>
      </c>
      <c r="G3759" t="s">
        <v>124</v>
      </c>
      <c r="J3759" t="s">
        <v>125</v>
      </c>
      <c r="K3759">
        <v>0</v>
      </c>
      <c r="L3759">
        <v>3</v>
      </c>
      <c r="M3759">
        <v>0</v>
      </c>
      <c r="N3759">
        <v>2</v>
      </c>
      <c r="O3759">
        <v>0</v>
      </c>
      <c r="P3759">
        <v>1</v>
      </c>
      <c r="Q3759">
        <v>0</v>
      </c>
      <c r="S3759" t="str">
        <f t="shared" ref="S3759:T3765" si="1384">"19:35:41.000"</f>
        <v>19:35:41.000</v>
      </c>
      <c r="T3759" t="str">
        <f t="shared" si="1384"/>
        <v>19:35:41.000</v>
      </c>
      <c r="U3759" t="str">
        <f t="shared" si="1367"/>
        <v>AC3944</v>
      </c>
      <c r="V3759">
        <v>0</v>
      </c>
      <c r="W3759">
        <v>0</v>
      </c>
      <c r="X3759">
        <v>2</v>
      </c>
      <c r="Y3759">
        <v>0</v>
      </c>
      <c r="AA3759">
        <v>1</v>
      </c>
      <c r="AB3759">
        <v>8</v>
      </c>
      <c r="AC3759">
        <v>3</v>
      </c>
      <c r="AD3759">
        <v>0</v>
      </c>
      <c r="AE3759">
        <v>9</v>
      </c>
      <c r="AF3759" t="s">
        <v>138</v>
      </c>
      <c r="AG3759">
        <v>0</v>
      </c>
      <c r="AH3759">
        <v>3</v>
      </c>
      <c r="AI3759">
        <v>1</v>
      </c>
      <c r="AJ3759">
        <v>0</v>
      </c>
      <c r="AK3759" t="s">
        <v>1226</v>
      </c>
      <c r="AL3759">
        <v>32.737755999999997</v>
      </c>
      <c r="AM3759" t="s">
        <v>1227</v>
      </c>
      <c r="AN3759">
        <v>-116.707549</v>
      </c>
      <c r="AO3759">
        <v>25</v>
      </c>
      <c r="AP3759">
        <v>4600</v>
      </c>
      <c r="AQ3759" t="s">
        <v>129</v>
      </c>
      <c r="AR3759">
        <v>126</v>
      </c>
      <c r="AS3759">
        <v>4</v>
      </c>
      <c r="AT3759">
        <v>384</v>
      </c>
      <c r="BB3759">
        <v>1200</v>
      </c>
      <c r="BC3759">
        <v>1</v>
      </c>
      <c r="BD3759" t="str">
        <f t="shared" si="1368"/>
        <v xml:space="preserve">N887QR  </v>
      </c>
      <c r="BE3759">
        <v>1</v>
      </c>
      <c r="BG3759">
        <v>0</v>
      </c>
      <c r="BH3759">
        <v>0</v>
      </c>
      <c r="BI3759">
        <v>0</v>
      </c>
      <c r="BJ3759">
        <v>4425</v>
      </c>
      <c r="BK3759">
        <v>-175</v>
      </c>
      <c r="BL3759" t="s">
        <v>163</v>
      </c>
      <c r="BM3759">
        <v>1</v>
      </c>
      <c r="BN3759">
        <v>1</v>
      </c>
      <c r="BO3759">
        <v>1</v>
      </c>
      <c r="BP3759">
        <v>0</v>
      </c>
      <c r="BS3759">
        <v>0</v>
      </c>
      <c r="BT3759">
        <v>0</v>
      </c>
      <c r="BU3759">
        <v>0</v>
      </c>
      <c r="CE3759" t="str">
        <f t="shared" ref="CE3759:CE3765" si="1385">"19:35:41.351"</f>
        <v>19:35:41.351</v>
      </c>
      <c r="CF3759">
        <v>351115669</v>
      </c>
      <c r="CS3759">
        <v>0</v>
      </c>
      <c r="CT3759">
        <v>2</v>
      </c>
      <c r="CU3759">
        <v>0</v>
      </c>
      <c r="CV3759">
        <v>2</v>
      </c>
      <c r="CW3759">
        <v>0</v>
      </c>
      <c r="CX3759">
        <v>4</v>
      </c>
      <c r="CY3759">
        <v>7</v>
      </c>
      <c r="CZ3759" t="s">
        <v>131</v>
      </c>
      <c r="DA3759">
        <v>286</v>
      </c>
      <c r="DB3759">
        <v>0</v>
      </c>
      <c r="DC3759" t="s">
        <v>132</v>
      </c>
      <c r="DD3759" t="s">
        <v>133</v>
      </c>
      <c r="DG3759">
        <v>890507</v>
      </c>
      <c r="DI3759">
        <v>1</v>
      </c>
      <c r="DJ3759">
        <v>0</v>
      </c>
      <c r="DK3759">
        <v>0</v>
      </c>
      <c r="DL3759">
        <v>0</v>
      </c>
      <c r="DM3759">
        <v>0</v>
      </c>
      <c r="DN3759">
        <v>1</v>
      </c>
      <c r="DO3759">
        <v>0</v>
      </c>
      <c r="DP3759">
        <v>0</v>
      </c>
      <c r="DQ3759">
        <v>0</v>
      </c>
      <c r="DR3759">
        <v>0</v>
      </c>
      <c r="DS3759">
        <v>0</v>
      </c>
    </row>
    <row r="3760" spans="1:123" x14ac:dyDescent="0.3">
      <c r="A3760" t="str">
        <f>"10/04/2022 19:35:41.605"</f>
        <v>10/04/2022 19:35:41.605</v>
      </c>
      <c r="C3760" t="str">
        <f t="shared" si="1383"/>
        <v>FFDFD3C0</v>
      </c>
      <c r="D3760" t="s">
        <v>134</v>
      </c>
      <c r="E3760">
        <v>15</v>
      </c>
      <c r="J3760" t="s">
        <v>135</v>
      </c>
      <c r="K3760">
        <v>0</v>
      </c>
      <c r="L3760">
        <v>3</v>
      </c>
      <c r="M3760">
        <v>0</v>
      </c>
      <c r="N3760">
        <v>2</v>
      </c>
      <c r="O3760">
        <v>0</v>
      </c>
      <c r="P3760">
        <v>1</v>
      </c>
      <c r="Q3760">
        <v>0</v>
      </c>
      <c r="S3760" t="str">
        <f t="shared" si="1384"/>
        <v>19:35:41.000</v>
      </c>
      <c r="T3760" t="str">
        <f t="shared" si="1384"/>
        <v>19:35:41.000</v>
      </c>
      <c r="U3760" t="str">
        <f t="shared" si="1367"/>
        <v>AC3944</v>
      </c>
      <c r="V3760">
        <v>0</v>
      </c>
      <c r="W3760">
        <v>0</v>
      </c>
      <c r="X3760">
        <v>2</v>
      </c>
      <c r="Y3760">
        <v>0</v>
      </c>
      <c r="AA3760">
        <v>1</v>
      </c>
      <c r="AB3760">
        <v>8</v>
      </c>
      <c r="AC3760">
        <v>3</v>
      </c>
      <c r="AD3760">
        <v>0</v>
      </c>
      <c r="AE3760">
        <v>9</v>
      </c>
      <c r="AF3760" t="s">
        <v>138</v>
      </c>
      <c r="AG3760">
        <v>0</v>
      </c>
      <c r="AH3760">
        <v>3</v>
      </c>
      <c r="AI3760">
        <v>1</v>
      </c>
      <c r="AJ3760">
        <v>0</v>
      </c>
      <c r="AK3760" t="s">
        <v>1226</v>
      </c>
      <c r="AL3760">
        <v>32.737755999999997</v>
      </c>
      <c r="AM3760" t="s">
        <v>1227</v>
      </c>
      <c r="AN3760">
        <v>-116.707549</v>
      </c>
      <c r="AO3760">
        <v>25</v>
      </c>
      <c r="AP3760">
        <v>4600</v>
      </c>
      <c r="AQ3760" t="s">
        <v>129</v>
      </c>
      <c r="AR3760">
        <v>126</v>
      </c>
      <c r="AS3760">
        <v>4</v>
      </c>
      <c r="AT3760">
        <v>384</v>
      </c>
      <c r="BB3760">
        <v>1200</v>
      </c>
      <c r="BC3760">
        <v>1</v>
      </c>
      <c r="BD3760" t="str">
        <f t="shared" si="1368"/>
        <v xml:space="preserve">N887QR  </v>
      </c>
      <c r="BE3760">
        <v>1</v>
      </c>
      <c r="BG3760">
        <v>0</v>
      </c>
      <c r="BH3760">
        <v>0</v>
      </c>
      <c r="BI3760">
        <v>0</v>
      </c>
      <c r="BJ3760">
        <v>4425</v>
      </c>
      <c r="BK3760">
        <v>-175</v>
      </c>
      <c r="BL3760" t="s">
        <v>163</v>
      </c>
      <c r="BM3760">
        <v>1</v>
      </c>
      <c r="BN3760">
        <v>1</v>
      </c>
      <c r="BO3760">
        <v>1</v>
      </c>
      <c r="BP3760">
        <v>0</v>
      </c>
      <c r="BS3760">
        <v>0</v>
      </c>
      <c r="BT3760">
        <v>0</v>
      </c>
      <c r="BU3760">
        <v>0</v>
      </c>
      <c r="CE3760" t="str">
        <f t="shared" si="1385"/>
        <v>19:35:41.351</v>
      </c>
      <c r="CF3760">
        <v>351115669</v>
      </c>
      <c r="CS3760">
        <v>0</v>
      </c>
      <c r="CT3760">
        <v>2</v>
      </c>
      <c r="CU3760">
        <v>0</v>
      </c>
      <c r="CV3760">
        <v>2</v>
      </c>
      <c r="CW3760">
        <v>0</v>
      </c>
      <c r="CX3760">
        <v>4</v>
      </c>
      <c r="CY3760">
        <v>7</v>
      </c>
      <c r="CZ3760" t="s">
        <v>131</v>
      </c>
      <c r="DA3760">
        <v>286</v>
      </c>
      <c r="DB3760">
        <v>0</v>
      </c>
      <c r="DC3760" t="s">
        <v>132</v>
      </c>
      <c r="DD3760" t="s">
        <v>133</v>
      </c>
      <c r="DG3760">
        <v>890507</v>
      </c>
      <c r="DI3760">
        <v>1</v>
      </c>
      <c r="DJ3760">
        <v>0</v>
      </c>
      <c r="DK3760">
        <v>1</v>
      </c>
      <c r="DL3760">
        <v>0</v>
      </c>
      <c r="DM3760">
        <v>0</v>
      </c>
      <c r="DN3760">
        <v>1</v>
      </c>
      <c r="DO3760">
        <v>0</v>
      </c>
      <c r="DP3760">
        <v>0</v>
      </c>
      <c r="DQ3760">
        <v>0</v>
      </c>
      <c r="DR3760">
        <v>0</v>
      </c>
      <c r="DS3760">
        <v>0</v>
      </c>
    </row>
    <row r="3761" spans="1:123" x14ac:dyDescent="0.3">
      <c r="A3761" t="str">
        <f>"10/04/2022 19:35:41.605"</f>
        <v>10/04/2022 19:35:41.605</v>
      </c>
      <c r="C3761" t="str">
        <f t="shared" si="1383"/>
        <v>FFDFD3C0</v>
      </c>
      <c r="D3761" t="s">
        <v>136</v>
      </c>
      <c r="E3761">
        <v>8</v>
      </c>
      <c r="H3761">
        <v>225</v>
      </c>
      <c r="I3761" t="s">
        <v>137</v>
      </c>
      <c r="J3761" t="s">
        <v>138</v>
      </c>
      <c r="K3761">
        <v>0</v>
      </c>
      <c r="L3761">
        <v>3</v>
      </c>
      <c r="M3761">
        <v>0</v>
      </c>
      <c r="N3761">
        <v>2</v>
      </c>
      <c r="O3761">
        <v>0</v>
      </c>
      <c r="P3761">
        <v>1</v>
      </c>
      <c r="Q3761">
        <v>0</v>
      </c>
      <c r="S3761" t="str">
        <f t="shared" si="1384"/>
        <v>19:35:41.000</v>
      </c>
      <c r="T3761" t="str">
        <f t="shared" si="1384"/>
        <v>19:35:41.000</v>
      </c>
      <c r="U3761" t="str">
        <f t="shared" si="1367"/>
        <v>AC3944</v>
      </c>
      <c r="V3761">
        <v>0</v>
      </c>
      <c r="W3761">
        <v>0</v>
      </c>
      <c r="X3761">
        <v>2</v>
      </c>
      <c r="Y3761">
        <v>0</v>
      </c>
      <c r="AA3761">
        <v>1</v>
      </c>
      <c r="AB3761">
        <v>8</v>
      </c>
      <c r="AC3761">
        <v>3</v>
      </c>
      <c r="AD3761">
        <v>0</v>
      </c>
      <c r="AE3761">
        <v>9</v>
      </c>
      <c r="AF3761" t="s">
        <v>138</v>
      </c>
      <c r="AG3761">
        <v>0</v>
      </c>
      <c r="AH3761">
        <v>3</v>
      </c>
      <c r="AI3761">
        <v>1</v>
      </c>
      <c r="AJ3761">
        <v>0</v>
      </c>
      <c r="AK3761" t="s">
        <v>1226</v>
      </c>
      <c r="AL3761">
        <v>32.737755999999997</v>
      </c>
      <c r="AM3761" t="s">
        <v>1227</v>
      </c>
      <c r="AN3761">
        <v>-116.707549</v>
      </c>
      <c r="AO3761">
        <v>25</v>
      </c>
      <c r="AP3761">
        <v>4600</v>
      </c>
      <c r="AQ3761" t="s">
        <v>129</v>
      </c>
      <c r="AR3761">
        <v>126</v>
      </c>
      <c r="AS3761">
        <v>4</v>
      </c>
      <c r="AT3761">
        <v>384</v>
      </c>
      <c r="BB3761">
        <v>1200</v>
      </c>
      <c r="BC3761">
        <v>1</v>
      </c>
      <c r="BD3761" t="str">
        <f t="shared" si="1368"/>
        <v xml:space="preserve">N887QR  </v>
      </c>
      <c r="BE3761">
        <v>1</v>
      </c>
      <c r="BG3761">
        <v>0</v>
      </c>
      <c r="BH3761">
        <v>0</v>
      </c>
      <c r="BI3761">
        <v>0</v>
      </c>
      <c r="BJ3761">
        <v>4425</v>
      </c>
      <c r="BK3761">
        <v>-175</v>
      </c>
      <c r="BL3761" t="s">
        <v>163</v>
      </c>
      <c r="BM3761">
        <v>1</v>
      </c>
      <c r="BN3761">
        <v>1</v>
      </c>
      <c r="BO3761">
        <v>1</v>
      </c>
      <c r="BP3761">
        <v>0</v>
      </c>
      <c r="BS3761">
        <v>0</v>
      </c>
      <c r="BT3761">
        <v>0</v>
      </c>
      <c r="BU3761">
        <v>0</v>
      </c>
      <c r="CE3761" t="str">
        <f t="shared" si="1385"/>
        <v>19:35:41.351</v>
      </c>
      <c r="CF3761">
        <v>351115669</v>
      </c>
      <c r="CS3761">
        <v>0</v>
      </c>
      <c r="CT3761">
        <v>2</v>
      </c>
      <c r="CU3761">
        <v>0</v>
      </c>
      <c r="CV3761">
        <v>2</v>
      </c>
      <c r="CW3761">
        <v>0</v>
      </c>
      <c r="CX3761">
        <v>4</v>
      </c>
      <c r="CY3761">
        <v>7</v>
      </c>
      <c r="CZ3761" t="s">
        <v>131</v>
      </c>
      <c r="DA3761">
        <v>286</v>
      </c>
      <c r="DB3761">
        <v>0</v>
      </c>
      <c r="DC3761" t="s">
        <v>132</v>
      </c>
      <c r="DD3761" t="s">
        <v>133</v>
      </c>
      <c r="DG3761">
        <v>890507</v>
      </c>
      <c r="DI3761">
        <v>1</v>
      </c>
      <c r="DJ3761">
        <v>0</v>
      </c>
      <c r="DK3761">
        <v>1</v>
      </c>
      <c r="DL3761">
        <v>0</v>
      </c>
      <c r="DM3761">
        <v>0</v>
      </c>
      <c r="DN3761">
        <v>1</v>
      </c>
      <c r="DO3761">
        <v>0</v>
      </c>
      <c r="DP3761">
        <v>0</v>
      </c>
      <c r="DQ3761">
        <v>0</v>
      </c>
      <c r="DR3761">
        <v>0</v>
      </c>
      <c r="DS3761">
        <v>0</v>
      </c>
    </row>
    <row r="3762" spans="1:123" x14ac:dyDescent="0.3">
      <c r="A3762" t="str">
        <f>"10/04/2022 19:35:41.605"</f>
        <v>10/04/2022 19:35:41.605</v>
      </c>
      <c r="C3762" t="str">
        <f t="shared" si="1383"/>
        <v>FFDFD3C0</v>
      </c>
      <c r="D3762" t="s">
        <v>147</v>
      </c>
      <c r="E3762">
        <v>3</v>
      </c>
      <c r="H3762">
        <v>166</v>
      </c>
      <c r="I3762" t="s">
        <v>144</v>
      </c>
      <c r="J3762" t="s">
        <v>148</v>
      </c>
      <c r="K3762">
        <v>0</v>
      </c>
      <c r="L3762">
        <v>3</v>
      </c>
      <c r="M3762">
        <v>0</v>
      </c>
      <c r="N3762">
        <v>2</v>
      </c>
      <c r="O3762">
        <v>0</v>
      </c>
      <c r="P3762">
        <v>1</v>
      </c>
      <c r="Q3762">
        <v>0</v>
      </c>
      <c r="S3762" t="str">
        <f t="shared" si="1384"/>
        <v>19:35:41.000</v>
      </c>
      <c r="T3762" t="str">
        <f t="shared" si="1384"/>
        <v>19:35:41.000</v>
      </c>
      <c r="U3762" t="str">
        <f t="shared" si="1367"/>
        <v>AC3944</v>
      </c>
      <c r="V3762">
        <v>0</v>
      </c>
      <c r="W3762">
        <v>0</v>
      </c>
      <c r="X3762">
        <v>2</v>
      </c>
      <c r="Y3762">
        <v>0</v>
      </c>
      <c r="AA3762">
        <v>1</v>
      </c>
      <c r="AB3762">
        <v>8</v>
      </c>
      <c r="AC3762">
        <v>3</v>
      </c>
      <c r="AD3762">
        <v>0</v>
      </c>
      <c r="AE3762">
        <v>9</v>
      </c>
      <c r="AF3762" t="s">
        <v>138</v>
      </c>
      <c r="AG3762">
        <v>0</v>
      </c>
      <c r="AH3762">
        <v>3</v>
      </c>
      <c r="AI3762">
        <v>1</v>
      </c>
      <c r="AJ3762">
        <v>0</v>
      </c>
      <c r="AK3762" t="s">
        <v>1226</v>
      </c>
      <c r="AL3762">
        <v>32.737755999999997</v>
      </c>
      <c r="AM3762" t="s">
        <v>1227</v>
      </c>
      <c r="AN3762">
        <v>-116.707549</v>
      </c>
      <c r="AO3762">
        <v>25</v>
      </c>
      <c r="AP3762">
        <v>4600</v>
      </c>
      <c r="AQ3762" t="s">
        <v>129</v>
      </c>
      <c r="AR3762">
        <v>126</v>
      </c>
      <c r="AS3762">
        <v>4</v>
      </c>
      <c r="AT3762">
        <v>384</v>
      </c>
      <c r="BB3762">
        <v>1200</v>
      </c>
      <c r="BC3762">
        <v>1</v>
      </c>
      <c r="BD3762" t="str">
        <f t="shared" si="1368"/>
        <v xml:space="preserve">N887QR  </v>
      </c>
      <c r="BE3762">
        <v>1</v>
      </c>
      <c r="BG3762">
        <v>0</v>
      </c>
      <c r="BH3762">
        <v>0</v>
      </c>
      <c r="BI3762">
        <v>0</v>
      </c>
      <c r="BJ3762">
        <v>4425</v>
      </c>
      <c r="BK3762">
        <v>-175</v>
      </c>
      <c r="BL3762" t="s">
        <v>163</v>
      </c>
      <c r="BM3762">
        <v>1</v>
      </c>
      <c r="BN3762">
        <v>1</v>
      </c>
      <c r="BO3762">
        <v>1</v>
      </c>
      <c r="BP3762">
        <v>0</v>
      </c>
      <c r="BS3762">
        <v>0</v>
      </c>
      <c r="BT3762">
        <v>0</v>
      </c>
      <c r="BU3762">
        <v>0</v>
      </c>
      <c r="CE3762" t="str">
        <f t="shared" si="1385"/>
        <v>19:35:41.351</v>
      </c>
      <c r="CF3762">
        <v>351115669</v>
      </c>
      <c r="CS3762">
        <v>0</v>
      </c>
      <c r="CT3762">
        <v>2</v>
      </c>
      <c r="CU3762">
        <v>0</v>
      </c>
      <c r="CV3762">
        <v>2</v>
      </c>
      <c r="CW3762">
        <v>0</v>
      </c>
      <c r="CX3762">
        <v>4</v>
      </c>
      <c r="CY3762">
        <v>7</v>
      </c>
      <c r="CZ3762" t="s">
        <v>131</v>
      </c>
      <c r="DA3762">
        <v>286</v>
      </c>
      <c r="DB3762">
        <v>0</v>
      </c>
      <c r="DC3762" t="s">
        <v>132</v>
      </c>
      <c r="DD3762" t="s">
        <v>133</v>
      </c>
      <c r="DG3762">
        <v>890507</v>
      </c>
      <c r="DI3762">
        <v>1</v>
      </c>
      <c r="DJ3762">
        <v>0</v>
      </c>
      <c r="DK3762">
        <v>1</v>
      </c>
      <c r="DL3762">
        <v>0</v>
      </c>
      <c r="DM3762">
        <v>0</v>
      </c>
      <c r="DN3762">
        <v>1</v>
      </c>
      <c r="DO3762">
        <v>0</v>
      </c>
      <c r="DP3762">
        <v>0</v>
      </c>
      <c r="DQ3762">
        <v>0</v>
      </c>
      <c r="DR3762">
        <v>0</v>
      </c>
      <c r="DS3762">
        <v>0</v>
      </c>
    </row>
    <row r="3763" spans="1:123" x14ac:dyDescent="0.3">
      <c r="A3763" t="str">
        <f>"10/04/2022 19:35:41.620"</f>
        <v>10/04/2022 19:35:41.620</v>
      </c>
      <c r="C3763" t="str">
        <f t="shared" si="1383"/>
        <v>FFDFD3C0</v>
      </c>
      <c r="D3763" t="s">
        <v>141</v>
      </c>
      <c r="E3763">
        <v>4</v>
      </c>
      <c r="H3763">
        <v>4</v>
      </c>
      <c r="I3763" t="s">
        <v>142</v>
      </c>
      <c r="J3763" t="s">
        <v>138</v>
      </c>
      <c r="K3763">
        <v>0</v>
      </c>
      <c r="L3763">
        <v>3</v>
      </c>
      <c r="M3763">
        <v>0</v>
      </c>
      <c r="N3763">
        <v>2</v>
      </c>
      <c r="O3763">
        <v>0</v>
      </c>
      <c r="P3763">
        <v>1</v>
      </c>
      <c r="Q3763">
        <v>0</v>
      </c>
      <c r="S3763" t="str">
        <f t="shared" si="1384"/>
        <v>19:35:41.000</v>
      </c>
      <c r="T3763" t="str">
        <f t="shared" si="1384"/>
        <v>19:35:41.000</v>
      </c>
      <c r="U3763" t="str">
        <f t="shared" si="1367"/>
        <v>AC3944</v>
      </c>
      <c r="V3763">
        <v>0</v>
      </c>
      <c r="W3763">
        <v>0</v>
      </c>
      <c r="X3763">
        <v>2</v>
      </c>
      <c r="Y3763">
        <v>0</v>
      </c>
      <c r="AA3763">
        <v>1</v>
      </c>
      <c r="AB3763">
        <v>8</v>
      </c>
      <c r="AC3763">
        <v>3</v>
      </c>
      <c r="AD3763">
        <v>0</v>
      </c>
      <c r="AE3763">
        <v>9</v>
      </c>
      <c r="AF3763" t="s">
        <v>138</v>
      </c>
      <c r="AG3763">
        <v>0</v>
      </c>
      <c r="AH3763">
        <v>3</v>
      </c>
      <c r="AI3763">
        <v>1</v>
      </c>
      <c r="AJ3763">
        <v>0</v>
      </c>
      <c r="AK3763" t="s">
        <v>1226</v>
      </c>
      <c r="AL3763">
        <v>32.737755999999997</v>
      </c>
      <c r="AM3763" t="s">
        <v>1227</v>
      </c>
      <c r="AN3763">
        <v>-116.707549</v>
      </c>
      <c r="AO3763">
        <v>25</v>
      </c>
      <c r="AP3763">
        <v>4600</v>
      </c>
      <c r="AQ3763" t="s">
        <v>129</v>
      </c>
      <c r="AR3763">
        <v>126</v>
      </c>
      <c r="AS3763">
        <v>4</v>
      </c>
      <c r="AT3763">
        <v>384</v>
      </c>
      <c r="BB3763">
        <v>1200</v>
      </c>
      <c r="BC3763">
        <v>1</v>
      </c>
      <c r="BD3763" t="str">
        <f t="shared" si="1368"/>
        <v xml:space="preserve">N887QR  </v>
      </c>
      <c r="BE3763">
        <v>1</v>
      </c>
      <c r="BG3763">
        <v>0</v>
      </c>
      <c r="BH3763">
        <v>0</v>
      </c>
      <c r="BI3763">
        <v>0</v>
      </c>
      <c r="BJ3763">
        <v>4425</v>
      </c>
      <c r="BK3763">
        <v>-175</v>
      </c>
      <c r="BL3763" t="s">
        <v>163</v>
      </c>
      <c r="BM3763">
        <v>1</v>
      </c>
      <c r="BN3763">
        <v>1</v>
      </c>
      <c r="BO3763">
        <v>1</v>
      </c>
      <c r="BP3763">
        <v>0</v>
      </c>
      <c r="BS3763">
        <v>0</v>
      </c>
      <c r="BT3763">
        <v>0</v>
      </c>
      <c r="BU3763">
        <v>0</v>
      </c>
      <c r="CE3763" t="str">
        <f t="shared" si="1385"/>
        <v>19:35:41.351</v>
      </c>
      <c r="CF3763">
        <v>351115669</v>
      </c>
      <c r="CS3763">
        <v>0</v>
      </c>
      <c r="CT3763">
        <v>2</v>
      </c>
      <c r="CU3763">
        <v>0</v>
      </c>
      <c r="CV3763">
        <v>2</v>
      </c>
      <c r="CW3763">
        <v>0</v>
      </c>
      <c r="CX3763">
        <v>4</v>
      </c>
      <c r="CY3763">
        <v>7</v>
      </c>
      <c r="CZ3763" t="s">
        <v>131</v>
      </c>
      <c r="DA3763">
        <v>286</v>
      </c>
      <c r="DB3763">
        <v>0</v>
      </c>
      <c r="DC3763" t="s">
        <v>132</v>
      </c>
      <c r="DD3763" t="s">
        <v>133</v>
      </c>
      <c r="DG3763">
        <v>890507</v>
      </c>
      <c r="DI3763">
        <v>1</v>
      </c>
      <c r="DJ3763">
        <v>0</v>
      </c>
      <c r="DK3763">
        <v>1</v>
      </c>
      <c r="DL3763">
        <v>0</v>
      </c>
      <c r="DM3763">
        <v>0</v>
      </c>
      <c r="DN3763">
        <v>1</v>
      </c>
      <c r="DO3763">
        <v>0</v>
      </c>
      <c r="DP3763">
        <v>0</v>
      </c>
      <c r="DQ3763">
        <v>0</v>
      </c>
      <c r="DR3763">
        <v>0</v>
      </c>
      <c r="DS3763">
        <v>0</v>
      </c>
    </row>
    <row r="3764" spans="1:123" x14ac:dyDescent="0.3">
      <c r="A3764" t="str">
        <f>"10/04/2022 19:35:41.620"</f>
        <v>10/04/2022 19:35:41.620</v>
      </c>
      <c r="C3764" t="str">
        <f t="shared" si="1383"/>
        <v>FFDFD3C0</v>
      </c>
      <c r="D3764" t="s">
        <v>141</v>
      </c>
      <c r="E3764">
        <v>3</v>
      </c>
      <c r="H3764">
        <v>3</v>
      </c>
      <c r="I3764" t="s">
        <v>146</v>
      </c>
      <c r="J3764" t="s">
        <v>138</v>
      </c>
      <c r="K3764">
        <v>0</v>
      </c>
      <c r="L3764">
        <v>3</v>
      </c>
      <c r="M3764">
        <v>0</v>
      </c>
      <c r="N3764">
        <v>2</v>
      </c>
      <c r="O3764">
        <v>0</v>
      </c>
      <c r="P3764">
        <v>1</v>
      </c>
      <c r="Q3764">
        <v>0</v>
      </c>
      <c r="S3764" t="str">
        <f t="shared" si="1384"/>
        <v>19:35:41.000</v>
      </c>
      <c r="T3764" t="str">
        <f t="shared" si="1384"/>
        <v>19:35:41.000</v>
      </c>
      <c r="U3764" t="str">
        <f t="shared" si="1367"/>
        <v>AC3944</v>
      </c>
      <c r="V3764">
        <v>0</v>
      </c>
      <c r="W3764">
        <v>0</v>
      </c>
      <c r="X3764">
        <v>2</v>
      </c>
      <c r="Y3764">
        <v>0</v>
      </c>
      <c r="AA3764">
        <v>1</v>
      </c>
      <c r="AB3764">
        <v>8</v>
      </c>
      <c r="AC3764">
        <v>3</v>
      </c>
      <c r="AD3764">
        <v>0</v>
      </c>
      <c r="AE3764">
        <v>9</v>
      </c>
      <c r="AF3764" t="s">
        <v>138</v>
      </c>
      <c r="AG3764">
        <v>0</v>
      </c>
      <c r="AH3764">
        <v>3</v>
      </c>
      <c r="AI3764">
        <v>1</v>
      </c>
      <c r="AJ3764">
        <v>0</v>
      </c>
      <c r="AK3764" t="s">
        <v>1226</v>
      </c>
      <c r="AL3764">
        <v>32.737755999999997</v>
      </c>
      <c r="AM3764" t="s">
        <v>1227</v>
      </c>
      <c r="AN3764">
        <v>-116.707549</v>
      </c>
      <c r="AO3764">
        <v>25</v>
      </c>
      <c r="AP3764">
        <v>4600</v>
      </c>
      <c r="AQ3764" t="s">
        <v>129</v>
      </c>
      <c r="AR3764">
        <v>126</v>
      </c>
      <c r="AS3764">
        <v>4</v>
      </c>
      <c r="AT3764">
        <v>384</v>
      </c>
      <c r="BB3764">
        <v>1200</v>
      </c>
      <c r="BC3764">
        <v>1</v>
      </c>
      <c r="BD3764" t="str">
        <f t="shared" si="1368"/>
        <v xml:space="preserve">N887QR  </v>
      </c>
      <c r="BE3764">
        <v>1</v>
      </c>
      <c r="BG3764">
        <v>0</v>
      </c>
      <c r="BH3764">
        <v>0</v>
      </c>
      <c r="BI3764">
        <v>0</v>
      </c>
      <c r="BJ3764">
        <v>4425</v>
      </c>
      <c r="BK3764">
        <v>-175</v>
      </c>
      <c r="BL3764" t="s">
        <v>163</v>
      </c>
      <c r="BM3764">
        <v>1</v>
      </c>
      <c r="BN3764">
        <v>1</v>
      </c>
      <c r="BO3764">
        <v>1</v>
      </c>
      <c r="BP3764">
        <v>0</v>
      </c>
      <c r="BS3764">
        <v>0</v>
      </c>
      <c r="BT3764">
        <v>0</v>
      </c>
      <c r="BU3764">
        <v>0</v>
      </c>
      <c r="CE3764" t="str">
        <f t="shared" si="1385"/>
        <v>19:35:41.351</v>
      </c>
      <c r="CF3764">
        <v>351115669</v>
      </c>
      <c r="CS3764">
        <v>0</v>
      </c>
      <c r="CT3764">
        <v>2</v>
      </c>
      <c r="CU3764">
        <v>0</v>
      </c>
      <c r="CV3764">
        <v>2</v>
      </c>
      <c r="CW3764">
        <v>0</v>
      </c>
      <c r="CX3764">
        <v>4</v>
      </c>
      <c r="CY3764">
        <v>7</v>
      </c>
      <c r="CZ3764" t="s">
        <v>131</v>
      </c>
      <c r="DA3764">
        <v>286</v>
      </c>
      <c r="DB3764">
        <v>0</v>
      </c>
      <c r="DC3764" t="s">
        <v>132</v>
      </c>
      <c r="DD3764" t="s">
        <v>133</v>
      </c>
      <c r="DG3764">
        <v>890507</v>
      </c>
      <c r="DI3764">
        <v>1</v>
      </c>
      <c r="DJ3764">
        <v>0</v>
      </c>
      <c r="DK3764">
        <v>0</v>
      </c>
      <c r="DL3764">
        <v>0</v>
      </c>
      <c r="DM3764">
        <v>0</v>
      </c>
      <c r="DN3764">
        <v>1</v>
      </c>
      <c r="DO3764">
        <v>0</v>
      </c>
      <c r="DP3764">
        <v>0</v>
      </c>
      <c r="DQ3764">
        <v>0</v>
      </c>
      <c r="DR3764">
        <v>0</v>
      </c>
      <c r="DS3764">
        <v>0</v>
      </c>
    </row>
    <row r="3765" spans="1:123" x14ac:dyDescent="0.3">
      <c r="A3765" t="str">
        <f>"10/04/2022 19:35:41.620"</f>
        <v>10/04/2022 19:35:41.620</v>
      </c>
      <c r="C3765" t="str">
        <f t="shared" si="1383"/>
        <v>FFDFD3C0</v>
      </c>
      <c r="D3765" t="s">
        <v>143</v>
      </c>
      <c r="E3765">
        <v>20</v>
      </c>
      <c r="F3765">
        <v>1020</v>
      </c>
      <c r="G3765" t="s">
        <v>144</v>
      </c>
      <c r="J3765" t="s">
        <v>145</v>
      </c>
      <c r="K3765">
        <v>0</v>
      </c>
      <c r="L3765">
        <v>3</v>
      </c>
      <c r="M3765">
        <v>0</v>
      </c>
      <c r="N3765">
        <v>2</v>
      </c>
      <c r="O3765">
        <v>0</v>
      </c>
      <c r="P3765">
        <v>1</v>
      </c>
      <c r="Q3765">
        <v>0</v>
      </c>
      <c r="S3765" t="str">
        <f t="shared" si="1384"/>
        <v>19:35:41.000</v>
      </c>
      <c r="T3765" t="str">
        <f t="shared" si="1384"/>
        <v>19:35:41.000</v>
      </c>
      <c r="U3765" t="str">
        <f t="shared" si="1367"/>
        <v>AC3944</v>
      </c>
      <c r="V3765">
        <v>0</v>
      </c>
      <c r="W3765">
        <v>0</v>
      </c>
      <c r="X3765">
        <v>2</v>
      </c>
      <c r="Y3765">
        <v>0</v>
      </c>
      <c r="AA3765">
        <v>1</v>
      </c>
      <c r="AB3765">
        <v>8</v>
      </c>
      <c r="AC3765">
        <v>3</v>
      </c>
      <c r="AD3765">
        <v>0</v>
      </c>
      <c r="AE3765">
        <v>9</v>
      </c>
      <c r="AF3765" t="s">
        <v>138</v>
      </c>
      <c r="AG3765">
        <v>0</v>
      </c>
      <c r="AH3765">
        <v>3</v>
      </c>
      <c r="AI3765">
        <v>1</v>
      </c>
      <c r="AJ3765">
        <v>0</v>
      </c>
      <c r="AK3765" t="s">
        <v>1226</v>
      </c>
      <c r="AL3765">
        <v>32.737755999999997</v>
      </c>
      <c r="AM3765" t="s">
        <v>1227</v>
      </c>
      <c r="AN3765">
        <v>-116.707549</v>
      </c>
      <c r="AO3765">
        <v>25</v>
      </c>
      <c r="AP3765">
        <v>4600</v>
      </c>
      <c r="AQ3765" t="s">
        <v>129</v>
      </c>
      <c r="AR3765">
        <v>126</v>
      </c>
      <c r="AS3765">
        <v>4</v>
      </c>
      <c r="AT3765">
        <v>384</v>
      </c>
      <c r="BB3765">
        <v>1200</v>
      </c>
      <c r="BC3765">
        <v>1</v>
      </c>
      <c r="BD3765" t="str">
        <f t="shared" si="1368"/>
        <v xml:space="preserve">N887QR  </v>
      </c>
      <c r="BE3765">
        <v>1</v>
      </c>
      <c r="BG3765">
        <v>0</v>
      </c>
      <c r="BH3765">
        <v>0</v>
      </c>
      <c r="BI3765">
        <v>0</v>
      </c>
      <c r="BJ3765">
        <v>4425</v>
      </c>
      <c r="BK3765">
        <v>-175</v>
      </c>
      <c r="BL3765" t="s">
        <v>163</v>
      </c>
      <c r="BM3765">
        <v>1</v>
      </c>
      <c r="BN3765">
        <v>1</v>
      </c>
      <c r="BO3765">
        <v>1</v>
      </c>
      <c r="BP3765">
        <v>0</v>
      </c>
      <c r="BS3765">
        <v>0</v>
      </c>
      <c r="BT3765">
        <v>0</v>
      </c>
      <c r="BU3765">
        <v>0</v>
      </c>
      <c r="CE3765" t="str">
        <f t="shared" si="1385"/>
        <v>19:35:41.351</v>
      </c>
      <c r="CF3765">
        <v>351115669</v>
      </c>
      <c r="CS3765">
        <v>0</v>
      </c>
      <c r="CT3765">
        <v>2</v>
      </c>
      <c r="CU3765">
        <v>0</v>
      </c>
      <c r="CV3765">
        <v>2</v>
      </c>
      <c r="CW3765">
        <v>0</v>
      </c>
      <c r="CX3765">
        <v>4</v>
      </c>
      <c r="CY3765">
        <v>7</v>
      </c>
      <c r="CZ3765" t="s">
        <v>131</v>
      </c>
      <c r="DA3765">
        <v>286</v>
      </c>
      <c r="DB3765">
        <v>0</v>
      </c>
      <c r="DC3765" t="s">
        <v>132</v>
      </c>
      <c r="DD3765" t="s">
        <v>133</v>
      </c>
      <c r="DG3765">
        <v>890507</v>
      </c>
      <c r="DI3765">
        <v>1</v>
      </c>
      <c r="DJ3765">
        <v>0</v>
      </c>
      <c r="DK3765">
        <v>1</v>
      </c>
      <c r="DL3765">
        <v>0</v>
      </c>
      <c r="DM3765">
        <v>0</v>
      </c>
      <c r="DN3765">
        <v>1</v>
      </c>
      <c r="DO3765">
        <v>0</v>
      </c>
      <c r="DP3765">
        <v>0</v>
      </c>
      <c r="DQ3765">
        <v>0</v>
      </c>
      <c r="DR3765">
        <v>0</v>
      </c>
      <c r="DS3765">
        <v>0</v>
      </c>
    </row>
    <row r="3766" spans="1:123" x14ac:dyDescent="0.3">
      <c r="A3766" t="str">
        <f t="shared" ref="A3766:A3772" si="1386">"10/04/2022 19:35:42.339"</f>
        <v>10/04/2022 19:35:42.339</v>
      </c>
      <c r="C3766" t="str">
        <f t="shared" si="1383"/>
        <v>FFDFD3C0</v>
      </c>
      <c r="D3766" t="s">
        <v>141</v>
      </c>
      <c r="E3766">
        <v>4</v>
      </c>
      <c r="H3766">
        <v>4</v>
      </c>
      <c r="I3766" t="s">
        <v>142</v>
      </c>
      <c r="J3766" t="s">
        <v>138</v>
      </c>
      <c r="K3766">
        <v>0</v>
      </c>
      <c r="L3766">
        <v>3</v>
      </c>
      <c r="M3766">
        <v>0</v>
      </c>
      <c r="N3766">
        <v>2</v>
      </c>
      <c r="O3766">
        <v>0</v>
      </c>
      <c r="P3766">
        <v>1</v>
      </c>
      <c r="Q3766">
        <v>0</v>
      </c>
      <c r="S3766" t="str">
        <f t="shared" ref="S3766:T3772" si="1387">"19:35:42.000"</f>
        <v>19:35:42.000</v>
      </c>
      <c r="T3766" t="str">
        <f t="shared" si="1387"/>
        <v>19:35:42.000</v>
      </c>
      <c r="U3766" t="str">
        <f t="shared" si="1367"/>
        <v>AC3944</v>
      </c>
      <c r="V3766">
        <v>0</v>
      </c>
      <c r="W3766">
        <v>0</v>
      </c>
      <c r="X3766">
        <v>2</v>
      </c>
      <c r="Y3766">
        <v>0</v>
      </c>
      <c r="AA3766">
        <v>1</v>
      </c>
      <c r="AB3766">
        <v>8</v>
      </c>
      <c r="AC3766">
        <v>3</v>
      </c>
      <c r="AD3766">
        <v>0</v>
      </c>
      <c r="AE3766">
        <v>9</v>
      </c>
      <c r="AF3766" t="s">
        <v>138</v>
      </c>
      <c r="AG3766">
        <v>0</v>
      </c>
      <c r="AH3766">
        <v>3</v>
      </c>
      <c r="AI3766">
        <v>1</v>
      </c>
      <c r="AJ3766">
        <v>0</v>
      </c>
      <c r="AK3766" t="s">
        <v>1228</v>
      </c>
      <c r="AL3766">
        <v>32.737777000000001</v>
      </c>
      <c r="AM3766" t="s">
        <v>1229</v>
      </c>
      <c r="AN3766">
        <v>-116.70697</v>
      </c>
      <c r="AO3766">
        <v>25</v>
      </c>
      <c r="AP3766">
        <v>4600</v>
      </c>
      <c r="AQ3766" t="s">
        <v>129</v>
      </c>
      <c r="AR3766">
        <v>126</v>
      </c>
      <c r="AS3766">
        <v>3</v>
      </c>
      <c r="AT3766">
        <v>384</v>
      </c>
      <c r="BB3766">
        <v>1200</v>
      </c>
      <c r="BC3766">
        <v>1</v>
      </c>
      <c r="BD3766" t="str">
        <f t="shared" si="1368"/>
        <v xml:space="preserve">N887QR  </v>
      </c>
      <c r="BE3766">
        <v>1</v>
      </c>
      <c r="BG3766">
        <v>0</v>
      </c>
      <c r="BH3766">
        <v>0</v>
      </c>
      <c r="BI3766">
        <v>0</v>
      </c>
      <c r="BJ3766">
        <v>4425</v>
      </c>
      <c r="BK3766">
        <v>-175</v>
      </c>
      <c r="BL3766" t="s">
        <v>163</v>
      </c>
      <c r="BM3766">
        <v>1</v>
      </c>
      <c r="BN3766">
        <v>1</v>
      </c>
      <c r="BO3766">
        <v>1</v>
      </c>
      <c r="BP3766">
        <v>0</v>
      </c>
      <c r="BS3766">
        <v>0</v>
      </c>
      <c r="BT3766">
        <v>0</v>
      </c>
      <c r="BU3766">
        <v>0</v>
      </c>
      <c r="CE3766" t="str">
        <f t="shared" ref="CE3766:CE3772" si="1388">"19:35:42.088"</f>
        <v>19:35:42.088</v>
      </c>
      <c r="CF3766">
        <v>88368172</v>
      </c>
      <c r="CS3766">
        <v>0</v>
      </c>
      <c r="CT3766">
        <v>2</v>
      </c>
      <c r="CU3766">
        <v>0</v>
      </c>
      <c r="CV3766">
        <v>2</v>
      </c>
      <c r="CW3766">
        <v>0</v>
      </c>
      <c r="CX3766">
        <v>5</v>
      </c>
      <c r="CY3766">
        <v>7</v>
      </c>
      <c r="CZ3766" t="s">
        <v>131</v>
      </c>
      <c r="DA3766">
        <v>286</v>
      </c>
      <c r="DB3766">
        <v>0</v>
      </c>
      <c r="DC3766" t="s">
        <v>132</v>
      </c>
      <c r="DD3766" t="s">
        <v>133</v>
      </c>
      <c r="DG3766">
        <v>890662</v>
      </c>
      <c r="DI3766">
        <v>1</v>
      </c>
      <c r="DJ3766">
        <v>0</v>
      </c>
      <c r="DK3766">
        <v>0</v>
      </c>
      <c r="DL3766">
        <v>0</v>
      </c>
      <c r="DM3766">
        <v>0</v>
      </c>
      <c r="DN3766">
        <v>1</v>
      </c>
      <c r="DO3766">
        <v>0</v>
      </c>
      <c r="DP3766">
        <v>0</v>
      </c>
      <c r="DQ3766">
        <v>0</v>
      </c>
      <c r="DR3766">
        <v>0</v>
      </c>
      <c r="DS3766">
        <v>0</v>
      </c>
    </row>
    <row r="3767" spans="1:123" x14ac:dyDescent="0.3">
      <c r="A3767" t="str">
        <f t="shared" si="1386"/>
        <v>10/04/2022 19:35:42.339</v>
      </c>
      <c r="C3767" t="str">
        <f t="shared" si="1383"/>
        <v>FFDFD3C0</v>
      </c>
      <c r="D3767" t="s">
        <v>141</v>
      </c>
      <c r="E3767">
        <v>3</v>
      </c>
      <c r="H3767">
        <v>3</v>
      </c>
      <c r="I3767" t="s">
        <v>146</v>
      </c>
      <c r="J3767" t="s">
        <v>138</v>
      </c>
      <c r="K3767">
        <v>0</v>
      </c>
      <c r="L3767">
        <v>3</v>
      </c>
      <c r="M3767">
        <v>0</v>
      </c>
      <c r="N3767">
        <v>2</v>
      </c>
      <c r="O3767">
        <v>0</v>
      </c>
      <c r="P3767">
        <v>1</v>
      </c>
      <c r="Q3767">
        <v>0</v>
      </c>
      <c r="S3767" t="str">
        <f t="shared" si="1387"/>
        <v>19:35:42.000</v>
      </c>
      <c r="T3767" t="str">
        <f t="shared" si="1387"/>
        <v>19:35:42.000</v>
      </c>
      <c r="U3767" t="str">
        <f t="shared" si="1367"/>
        <v>AC3944</v>
      </c>
      <c r="V3767">
        <v>0</v>
      </c>
      <c r="W3767">
        <v>0</v>
      </c>
      <c r="X3767">
        <v>2</v>
      </c>
      <c r="Y3767">
        <v>0</v>
      </c>
      <c r="AA3767">
        <v>1</v>
      </c>
      <c r="AB3767">
        <v>8</v>
      </c>
      <c r="AC3767">
        <v>3</v>
      </c>
      <c r="AD3767">
        <v>0</v>
      </c>
      <c r="AE3767">
        <v>9</v>
      </c>
      <c r="AF3767" t="s">
        <v>138</v>
      </c>
      <c r="AG3767">
        <v>0</v>
      </c>
      <c r="AH3767">
        <v>3</v>
      </c>
      <c r="AI3767">
        <v>1</v>
      </c>
      <c r="AJ3767">
        <v>0</v>
      </c>
      <c r="AK3767" t="s">
        <v>1228</v>
      </c>
      <c r="AL3767">
        <v>32.737777000000001</v>
      </c>
      <c r="AM3767" t="s">
        <v>1229</v>
      </c>
      <c r="AN3767">
        <v>-116.70697</v>
      </c>
      <c r="AO3767">
        <v>25</v>
      </c>
      <c r="AP3767">
        <v>4600</v>
      </c>
      <c r="AQ3767" t="s">
        <v>129</v>
      </c>
      <c r="AR3767">
        <v>126</v>
      </c>
      <c r="AS3767">
        <v>3</v>
      </c>
      <c r="AT3767">
        <v>384</v>
      </c>
      <c r="BB3767">
        <v>1200</v>
      </c>
      <c r="BC3767">
        <v>1</v>
      </c>
      <c r="BD3767" t="str">
        <f t="shared" si="1368"/>
        <v xml:space="preserve">N887QR  </v>
      </c>
      <c r="BE3767">
        <v>1</v>
      </c>
      <c r="BG3767">
        <v>0</v>
      </c>
      <c r="BH3767">
        <v>0</v>
      </c>
      <c r="BI3767">
        <v>0</v>
      </c>
      <c r="BJ3767">
        <v>4425</v>
      </c>
      <c r="BK3767">
        <v>-175</v>
      </c>
      <c r="BL3767" t="s">
        <v>163</v>
      </c>
      <c r="BM3767">
        <v>1</v>
      </c>
      <c r="BN3767">
        <v>1</v>
      </c>
      <c r="BO3767">
        <v>1</v>
      </c>
      <c r="BP3767">
        <v>0</v>
      </c>
      <c r="BS3767">
        <v>0</v>
      </c>
      <c r="BT3767">
        <v>0</v>
      </c>
      <c r="BU3767">
        <v>0</v>
      </c>
      <c r="CE3767" t="str">
        <f t="shared" si="1388"/>
        <v>19:35:42.088</v>
      </c>
      <c r="CF3767">
        <v>88368172</v>
      </c>
      <c r="CS3767">
        <v>0</v>
      </c>
      <c r="CT3767">
        <v>2</v>
      </c>
      <c r="CU3767">
        <v>0</v>
      </c>
      <c r="CV3767">
        <v>2</v>
      </c>
      <c r="CW3767">
        <v>0</v>
      </c>
      <c r="CX3767">
        <v>5</v>
      </c>
      <c r="CY3767">
        <v>7</v>
      </c>
      <c r="CZ3767" t="s">
        <v>131</v>
      </c>
      <c r="DA3767">
        <v>286</v>
      </c>
      <c r="DB3767">
        <v>0</v>
      </c>
      <c r="DC3767" t="s">
        <v>132</v>
      </c>
      <c r="DD3767" t="s">
        <v>133</v>
      </c>
      <c r="DG3767">
        <v>890662</v>
      </c>
      <c r="DI3767">
        <v>1</v>
      </c>
      <c r="DJ3767">
        <v>0</v>
      </c>
      <c r="DK3767">
        <v>1</v>
      </c>
      <c r="DL3767">
        <v>0</v>
      </c>
      <c r="DM3767">
        <v>0</v>
      </c>
      <c r="DN3767">
        <v>1</v>
      </c>
      <c r="DO3767">
        <v>0</v>
      </c>
      <c r="DP3767">
        <v>0</v>
      </c>
      <c r="DQ3767">
        <v>0</v>
      </c>
      <c r="DR3767">
        <v>0</v>
      </c>
      <c r="DS3767">
        <v>0</v>
      </c>
    </row>
    <row r="3768" spans="1:123" x14ac:dyDescent="0.3">
      <c r="A3768" t="str">
        <f t="shared" si="1386"/>
        <v>10/04/2022 19:35:42.339</v>
      </c>
      <c r="C3768" t="str">
        <f t="shared" si="1383"/>
        <v>FFDFD3C0</v>
      </c>
      <c r="D3768" t="s">
        <v>143</v>
      </c>
      <c r="E3768">
        <v>20</v>
      </c>
      <c r="F3768">
        <v>1020</v>
      </c>
      <c r="G3768" t="s">
        <v>144</v>
      </c>
      <c r="J3768" t="s">
        <v>145</v>
      </c>
      <c r="K3768">
        <v>0</v>
      </c>
      <c r="L3768">
        <v>3</v>
      </c>
      <c r="M3768">
        <v>0</v>
      </c>
      <c r="N3768">
        <v>2</v>
      </c>
      <c r="O3768">
        <v>0</v>
      </c>
      <c r="P3768">
        <v>1</v>
      </c>
      <c r="Q3768">
        <v>0</v>
      </c>
      <c r="S3768" t="str">
        <f t="shared" si="1387"/>
        <v>19:35:42.000</v>
      </c>
      <c r="T3768" t="str">
        <f t="shared" si="1387"/>
        <v>19:35:42.000</v>
      </c>
      <c r="U3768" t="str">
        <f t="shared" si="1367"/>
        <v>AC3944</v>
      </c>
      <c r="V3768">
        <v>0</v>
      </c>
      <c r="W3768">
        <v>0</v>
      </c>
      <c r="X3768">
        <v>2</v>
      </c>
      <c r="Y3768">
        <v>0</v>
      </c>
      <c r="AA3768">
        <v>1</v>
      </c>
      <c r="AB3768">
        <v>8</v>
      </c>
      <c r="AC3768">
        <v>3</v>
      </c>
      <c r="AD3768">
        <v>0</v>
      </c>
      <c r="AE3768">
        <v>9</v>
      </c>
      <c r="AF3768" t="s">
        <v>138</v>
      </c>
      <c r="AG3768">
        <v>0</v>
      </c>
      <c r="AH3768">
        <v>3</v>
      </c>
      <c r="AI3768">
        <v>1</v>
      </c>
      <c r="AJ3768">
        <v>0</v>
      </c>
      <c r="AK3768" t="s">
        <v>1228</v>
      </c>
      <c r="AL3768">
        <v>32.737777000000001</v>
      </c>
      <c r="AM3768" t="s">
        <v>1229</v>
      </c>
      <c r="AN3768">
        <v>-116.70697</v>
      </c>
      <c r="AO3768">
        <v>25</v>
      </c>
      <c r="AP3768">
        <v>4600</v>
      </c>
      <c r="AQ3768" t="s">
        <v>129</v>
      </c>
      <c r="AR3768">
        <v>126</v>
      </c>
      <c r="AS3768">
        <v>3</v>
      </c>
      <c r="AT3768">
        <v>384</v>
      </c>
      <c r="BB3768">
        <v>1200</v>
      </c>
      <c r="BC3768">
        <v>1</v>
      </c>
      <c r="BD3768" t="str">
        <f t="shared" si="1368"/>
        <v xml:space="preserve">N887QR  </v>
      </c>
      <c r="BE3768">
        <v>1</v>
      </c>
      <c r="BG3768">
        <v>0</v>
      </c>
      <c r="BH3768">
        <v>0</v>
      </c>
      <c r="BI3768">
        <v>0</v>
      </c>
      <c r="BJ3768">
        <v>4425</v>
      </c>
      <c r="BK3768">
        <v>-175</v>
      </c>
      <c r="BL3768" t="s">
        <v>163</v>
      </c>
      <c r="BM3768">
        <v>1</v>
      </c>
      <c r="BN3768">
        <v>1</v>
      </c>
      <c r="BO3768">
        <v>1</v>
      </c>
      <c r="BP3768">
        <v>0</v>
      </c>
      <c r="BS3768">
        <v>0</v>
      </c>
      <c r="BT3768">
        <v>0</v>
      </c>
      <c r="BU3768">
        <v>0</v>
      </c>
      <c r="CE3768" t="str">
        <f t="shared" si="1388"/>
        <v>19:35:42.088</v>
      </c>
      <c r="CF3768">
        <v>88368172</v>
      </c>
      <c r="CS3768">
        <v>0</v>
      </c>
      <c r="CT3768">
        <v>2</v>
      </c>
      <c r="CU3768">
        <v>0</v>
      </c>
      <c r="CV3768">
        <v>2</v>
      </c>
      <c r="CW3768">
        <v>0</v>
      </c>
      <c r="CX3768">
        <v>5</v>
      </c>
      <c r="CY3768">
        <v>7</v>
      </c>
      <c r="CZ3768" t="s">
        <v>131</v>
      </c>
      <c r="DA3768">
        <v>286</v>
      </c>
      <c r="DB3768">
        <v>0</v>
      </c>
      <c r="DC3768" t="s">
        <v>132</v>
      </c>
      <c r="DD3768" t="s">
        <v>133</v>
      </c>
      <c r="DG3768">
        <v>890662</v>
      </c>
      <c r="DI3768">
        <v>1</v>
      </c>
      <c r="DJ3768">
        <v>0</v>
      </c>
      <c r="DK3768">
        <v>1</v>
      </c>
      <c r="DL3768">
        <v>0</v>
      </c>
      <c r="DM3768">
        <v>0</v>
      </c>
      <c r="DN3768">
        <v>1</v>
      </c>
      <c r="DO3768">
        <v>0</v>
      </c>
      <c r="DP3768">
        <v>0</v>
      </c>
      <c r="DQ3768">
        <v>0</v>
      </c>
      <c r="DR3768">
        <v>0</v>
      </c>
      <c r="DS3768">
        <v>0</v>
      </c>
    </row>
    <row r="3769" spans="1:123" x14ac:dyDescent="0.3">
      <c r="A3769" t="str">
        <f t="shared" si="1386"/>
        <v>10/04/2022 19:35:42.339</v>
      </c>
      <c r="C3769" t="str">
        <f t="shared" si="1383"/>
        <v>FFDFD3C0</v>
      </c>
      <c r="D3769" t="s">
        <v>123</v>
      </c>
      <c r="E3769">
        <v>7</v>
      </c>
      <c r="F3769">
        <v>2007</v>
      </c>
      <c r="G3769" t="s">
        <v>124</v>
      </c>
      <c r="J3769" t="s">
        <v>125</v>
      </c>
      <c r="K3769">
        <v>0</v>
      </c>
      <c r="L3769">
        <v>3</v>
      </c>
      <c r="M3769">
        <v>0</v>
      </c>
      <c r="N3769">
        <v>2</v>
      </c>
      <c r="O3769">
        <v>0</v>
      </c>
      <c r="P3769">
        <v>1</v>
      </c>
      <c r="Q3769">
        <v>0</v>
      </c>
      <c r="S3769" t="str">
        <f t="shared" si="1387"/>
        <v>19:35:42.000</v>
      </c>
      <c r="T3769" t="str">
        <f t="shared" si="1387"/>
        <v>19:35:42.000</v>
      </c>
      <c r="U3769" t="str">
        <f t="shared" si="1367"/>
        <v>AC3944</v>
      </c>
      <c r="V3769">
        <v>0</v>
      </c>
      <c r="W3769">
        <v>0</v>
      </c>
      <c r="X3769">
        <v>2</v>
      </c>
      <c r="Y3769">
        <v>0</v>
      </c>
      <c r="AA3769">
        <v>1</v>
      </c>
      <c r="AB3769">
        <v>8</v>
      </c>
      <c r="AC3769">
        <v>3</v>
      </c>
      <c r="AD3769">
        <v>0</v>
      </c>
      <c r="AE3769">
        <v>9</v>
      </c>
      <c r="AF3769" t="s">
        <v>138</v>
      </c>
      <c r="AG3769">
        <v>0</v>
      </c>
      <c r="AH3769">
        <v>3</v>
      </c>
      <c r="AI3769">
        <v>1</v>
      </c>
      <c r="AJ3769">
        <v>0</v>
      </c>
      <c r="AK3769" t="s">
        <v>1228</v>
      </c>
      <c r="AL3769">
        <v>32.737777000000001</v>
      </c>
      <c r="AM3769" t="s">
        <v>1229</v>
      </c>
      <c r="AN3769">
        <v>-116.70697</v>
      </c>
      <c r="AO3769">
        <v>25</v>
      </c>
      <c r="AP3769">
        <v>4600</v>
      </c>
      <c r="AQ3769" t="s">
        <v>129</v>
      </c>
      <c r="AR3769">
        <v>126</v>
      </c>
      <c r="AS3769">
        <v>3</v>
      </c>
      <c r="AT3769">
        <v>384</v>
      </c>
      <c r="BB3769">
        <v>1200</v>
      </c>
      <c r="BC3769">
        <v>1</v>
      </c>
      <c r="BD3769" t="str">
        <f t="shared" si="1368"/>
        <v xml:space="preserve">N887QR  </v>
      </c>
      <c r="BE3769">
        <v>1</v>
      </c>
      <c r="BG3769">
        <v>0</v>
      </c>
      <c r="BH3769">
        <v>0</v>
      </c>
      <c r="BI3769">
        <v>0</v>
      </c>
      <c r="BJ3769">
        <v>4425</v>
      </c>
      <c r="BK3769">
        <v>-175</v>
      </c>
      <c r="BL3769" t="s">
        <v>163</v>
      </c>
      <c r="BM3769">
        <v>1</v>
      </c>
      <c r="BN3769">
        <v>1</v>
      </c>
      <c r="BO3769">
        <v>1</v>
      </c>
      <c r="BP3769">
        <v>0</v>
      </c>
      <c r="BS3769">
        <v>0</v>
      </c>
      <c r="BT3769">
        <v>0</v>
      </c>
      <c r="BU3769">
        <v>0</v>
      </c>
      <c r="CE3769" t="str">
        <f t="shared" si="1388"/>
        <v>19:35:42.088</v>
      </c>
      <c r="CF3769">
        <v>88368172</v>
      </c>
      <c r="CS3769">
        <v>0</v>
      </c>
      <c r="CT3769">
        <v>2</v>
      </c>
      <c r="CU3769">
        <v>0</v>
      </c>
      <c r="CV3769">
        <v>2</v>
      </c>
      <c r="CW3769">
        <v>0</v>
      </c>
      <c r="CX3769">
        <v>5</v>
      </c>
      <c r="CY3769">
        <v>7</v>
      </c>
      <c r="CZ3769" t="s">
        <v>131</v>
      </c>
      <c r="DA3769">
        <v>286</v>
      </c>
      <c r="DB3769">
        <v>0</v>
      </c>
      <c r="DC3769" t="s">
        <v>132</v>
      </c>
      <c r="DD3769" t="s">
        <v>133</v>
      </c>
      <c r="DG3769">
        <v>890662</v>
      </c>
      <c r="DI3769">
        <v>1</v>
      </c>
      <c r="DJ3769">
        <v>0</v>
      </c>
      <c r="DK3769">
        <v>1</v>
      </c>
      <c r="DL3769">
        <v>0</v>
      </c>
      <c r="DM3769">
        <v>0</v>
      </c>
      <c r="DN3769">
        <v>1</v>
      </c>
      <c r="DO3769">
        <v>0</v>
      </c>
      <c r="DP3769">
        <v>0</v>
      </c>
      <c r="DQ3769">
        <v>0</v>
      </c>
      <c r="DR3769">
        <v>0</v>
      </c>
      <c r="DS3769">
        <v>0</v>
      </c>
    </row>
    <row r="3770" spans="1:123" x14ac:dyDescent="0.3">
      <c r="A3770" t="str">
        <f t="shared" si="1386"/>
        <v>10/04/2022 19:35:42.339</v>
      </c>
      <c r="C3770" t="str">
        <f t="shared" si="1383"/>
        <v>FFDFD3C0</v>
      </c>
      <c r="D3770" t="s">
        <v>136</v>
      </c>
      <c r="E3770">
        <v>8</v>
      </c>
      <c r="H3770">
        <v>225</v>
      </c>
      <c r="I3770" t="s">
        <v>137</v>
      </c>
      <c r="J3770" t="s">
        <v>138</v>
      </c>
      <c r="K3770">
        <v>0</v>
      </c>
      <c r="L3770">
        <v>3</v>
      </c>
      <c r="M3770">
        <v>0</v>
      </c>
      <c r="N3770">
        <v>2</v>
      </c>
      <c r="O3770">
        <v>0</v>
      </c>
      <c r="P3770">
        <v>1</v>
      </c>
      <c r="Q3770">
        <v>0</v>
      </c>
      <c r="S3770" t="str">
        <f t="shared" si="1387"/>
        <v>19:35:42.000</v>
      </c>
      <c r="T3770" t="str">
        <f t="shared" si="1387"/>
        <v>19:35:42.000</v>
      </c>
      <c r="U3770" t="str">
        <f t="shared" si="1367"/>
        <v>AC3944</v>
      </c>
      <c r="V3770">
        <v>0</v>
      </c>
      <c r="W3770">
        <v>0</v>
      </c>
      <c r="X3770">
        <v>2</v>
      </c>
      <c r="Y3770">
        <v>0</v>
      </c>
      <c r="AA3770">
        <v>1</v>
      </c>
      <c r="AB3770">
        <v>8</v>
      </c>
      <c r="AC3770">
        <v>3</v>
      </c>
      <c r="AD3770">
        <v>0</v>
      </c>
      <c r="AE3770">
        <v>9</v>
      </c>
      <c r="AF3770" t="s">
        <v>138</v>
      </c>
      <c r="AG3770">
        <v>0</v>
      </c>
      <c r="AH3770">
        <v>3</v>
      </c>
      <c r="AI3770">
        <v>1</v>
      </c>
      <c r="AJ3770">
        <v>0</v>
      </c>
      <c r="AK3770" t="s">
        <v>1228</v>
      </c>
      <c r="AL3770">
        <v>32.737777000000001</v>
      </c>
      <c r="AM3770" t="s">
        <v>1229</v>
      </c>
      <c r="AN3770">
        <v>-116.70697</v>
      </c>
      <c r="AO3770">
        <v>25</v>
      </c>
      <c r="AP3770">
        <v>4600</v>
      </c>
      <c r="AQ3770" t="s">
        <v>129</v>
      </c>
      <c r="AR3770">
        <v>126</v>
      </c>
      <c r="AS3770">
        <v>3</v>
      </c>
      <c r="AT3770">
        <v>384</v>
      </c>
      <c r="BB3770">
        <v>1200</v>
      </c>
      <c r="BC3770">
        <v>1</v>
      </c>
      <c r="BD3770" t="str">
        <f t="shared" si="1368"/>
        <v xml:space="preserve">N887QR  </v>
      </c>
      <c r="BE3770">
        <v>1</v>
      </c>
      <c r="BG3770">
        <v>0</v>
      </c>
      <c r="BH3770">
        <v>0</v>
      </c>
      <c r="BI3770">
        <v>0</v>
      </c>
      <c r="BJ3770">
        <v>4425</v>
      </c>
      <c r="BK3770">
        <v>-175</v>
      </c>
      <c r="BL3770" t="s">
        <v>163</v>
      </c>
      <c r="BM3770">
        <v>1</v>
      </c>
      <c r="BN3770">
        <v>1</v>
      </c>
      <c r="BO3770">
        <v>1</v>
      </c>
      <c r="BP3770">
        <v>0</v>
      </c>
      <c r="BS3770">
        <v>0</v>
      </c>
      <c r="BT3770">
        <v>0</v>
      </c>
      <c r="BU3770">
        <v>0</v>
      </c>
      <c r="CE3770" t="str">
        <f t="shared" si="1388"/>
        <v>19:35:42.088</v>
      </c>
      <c r="CF3770">
        <v>88368172</v>
      </c>
      <c r="CS3770">
        <v>0</v>
      </c>
      <c r="CT3770">
        <v>2</v>
      </c>
      <c r="CU3770">
        <v>0</v>
      </c>
      <c r="CV3770">
        <v>2</v>
      </c>
      <c r="CW3770">
        <v>0</v>
      </c>
      <c r="CX3770">
        <v>5</v>
      </c>
      <c r="CY3770">
        <v>7</v>
      </c>
      <c r="CZ3770" t="s">
        <v>131</v>
      </c>
      <c r="DA3770">
        <v>286</v>
      </c>
      <c r="DB3770">
        <v>0</v>
      </c>
      <c r="DC3770" t="s">
        <v>132</v>
      </c>
      <c r="DD3770" t="s">
        <v>133</v>
      </c>
      <c r="DG3770">
        <v>890662</v>
      </c>
      <c r="DI3770">
        <v>1</v>
      </c>
      <c r="DJ3770">
        <v>0</v>
      </c>
      <c r="DK3770">
        <v>0</v>
      </c>
      <c r="DL3770">
        <v>0</v>
      </c>
      <c r="DM3770">
        <v>0</v>
      </c>
      <c r="DN3770">
        <v>1</v>
      </c>
      <c r="DO3770">
        <v>0</v>
      </c>
      <c r="DP3770">
        <v>0</v>
      </c>
      <c r="DQ3770">
        <v>0</v>
      </c>
      <c r="DR3770">
        <v>0</v>
      </c>
      <c r="DS3770">
        <v>0</v>
      </c>
    </row>
    <row r="3771" spans="1:123" x14ac:dyDescent="0.3">
      <c r="A3771" t="str">
        <f t="shared" si="1386"/>
        <v>10/04/2022 19:35:42.339</v>
      </c>
      <c r="C3771" t="str">
        <f t="shared" si="1383"/>
        <v>FFDFD3C0</v>
      </c>
      <c r="D3771" t="s">
        <v>134</v>
      </c>
      <c r="E3771">
        <v>15</v>
      </c>
      <c r="J3771" t="s">
        <v>135</v>
      </c>
      <c r="K3771">
        <v>0</v>
      </c>
      <c r="L3771">
        <v>3</v>
      </c>
      <c r="M3771">
        <v>0</v>
      </c>
      <c r="N3771">
        <v>2</v>
      </c>
      <c r="O3771">
        <v>0</v>
      </c>
      <c r="P3771">
        <v>1</v>
      </c>
      <c r="Q3771">
        <v>0</v>
      </c>
      <c r="S3771" t="str">
        <f t="shared" si="1387"/>
        <v>19:35:42.000</v>
      </c>
      <c r="T3771" t="str">
        <f t="shared" si="1387"/>
        <v>19:35:42.000</v>
      </c>
      <c r="U3771" t="str">
        <f t="shared" si="1367"/>
        <v>AC3944</v>
      </c>
      <c r="V3771">
        <v>0</v>
      </c>
      <c r="W3771">
        <v>0</v>
      </c>
      <c r="X3771">
        <v>2</v>
      </c>
      <c r="Y3771">
        <v>0</v>
      </c>
      <c r="AA3771">
        <v>1</v>
      </c>
      <c r="AB3771">
        <v>8</v>
      </c>
      <c r="AC3771">
        <v>3</v>
      </c>
      <c r="AD3771">
        <v>0</v>
      </c>
      <c r="AE3771">
        <v>9</v>
      </c>
      <c r="AF3771" t="s">
        <v>138</v>
      </c>
      <c r="AG3771">
        <v>0</v>
      </c>
      <c r="AH3771">
        <v>3</v>
      </c>
      <c r="AI3771">
        <v>1</v>
      </c>
      <c r="AJ3771">
        <v>0</v>
      </c>
      <c r="AK3771" t="s">
        <v>1228</v>
      </c>
      <c r="AL3771">
        <v>32.737777000000001</v>
      </c>
      <c r="AM3771" t="s">
        <v>1229</v>
      </c>
      <c r="AN3771">
        <v>-116.70697</v>
      </c>
      <c r="AO3771">
        <v>25</v>
      </c>
      <c r="AP3771">
        <v>4600</v>
      </c>
      <c r="AQ3771" t="s">
        <v>129</v>
      </c>
      <c r="AR3771">
        <v>126</v>
      </c>
      <c r="AS3771">
        <v>3</v>
      </c>
      <c r="AT3771">
        <v>384</v>
      </c>
      <c r="BB3771">
        <v>1200</v>
      </c>
      <c r="BC3771">
        <v>1</v>
      </c>
      <c r="BD3771" t="str">
        <f t="shared" si="1368"/>
        <v xml:space="preserve">N887QR  </v>
      </c>
      <c r="BE3771">
        <v>1</v>
      </c>
      <c r="BG3771">
        <v>0</v>
      </c>
      <c r="BH3771">
        <v>0</v>
      </c>
      <c r="BI3771">
        <v>0</v>
      </c>
      <c r="BJ3771">
        <v>4425</v>
      </c>
      <c r="BK3771">
        <v>-175</v>
      </c>
      <c r="BL3771" t="s">
        <v>163</v>
      </c>
      <c r="BM3771">
        <v>1</v>
      </c>
      <c r="BN3771">
        <v>1</v>
      </c>
      <c r="BO3771">
        <v>1</v>
      </c>
      <c r="BP3771">
        <v>0</v>
      </c>
      <c r="BS3771">
        <v>0</v>
      </c>
      <c r="BT3771">
        <v>0</v>
      </c>
      <c r="BU3771">
        <v>0</v>
      </c>
      <c r="CE3771" t="str">
        <f t="shared" si="1388"/>
        <v>19:35:42.088</v>
      </c>
      <c r="CF3771">
        <v>88368172</v>
      </c>
      <c r="CS3771">
        <v>0</v>
      </c>
      <c r="CT3771">
        <v>2</v>
      </c>
      <c r="CU3771">
        <v>0</v>
      </c>
      <c r="CV3771">
        <v>2</v>
      </c>
      <c r="CW3771">
        <v>0</v>
      </c>
      <c r="CX3771">
        <v>5</v>
      </c>
      <c r="CY3771">
        <v>7</v>
      </c>
      <c r="CZ3771" t="s">
        <v>131</v>
      </c>
      <c r="DA3771">
        <v>286</v>
      </c>
      <c r="DB3771">
        <v>0</v>
      </c>
      <c r="DC3771" t="s">
        <v>132</v>
      </c>
      <c r="DD3771" t="s">
        <v>133</v>
      </c>
      <c r="DG3771">
        <v>890662</v>
      </c>
      <c r="DI3771">
        <v>1</v>
      </c>
      <c r="DJ3771">
        <v>0</v>
      </c>
      <c r="DK3771">
        <v>1</v>
      </c>
      <c r="DL3771">
        <v>0</v>
      </c>
      <c r="DM3771">
        <v>0</v>
      </c>
      <c r="DN3771">
        <v>1</v>
      </c>
      <c r="DO3771">
        <v>0</v>
      </c>
      <c r="DP3771">
        <v>0</v>
      </c>
      <c r="DQ3771">
        <v>0</v>
      </c>
      <c r="DR3771">
        <v>0</v>
      </c>
      <c r="DS3771">
        <v>0</v>
      </c>
    </row>
    <row r="3772" spans="1:123" x14ac:dyDescent="0.3">
      <c r="A3772" t="str">
        <f t="shared" si="1386"/>
        <v>10/04/2022 19:35:42.339</v>
      </c>
      <c r="C3772" t="str">
        <f t="shared" si="1383"/>
        <v>FFDFD3C0</v>
      </c>
      <c r="D3772" t="s">
        <v>147</v>
      </c>
      <c r="E3772">
        <v>3</v>
      </c>
      <c r="H3772">
        <v>166</v>
      </c>
      <c r="I3772" t="s">
        <v>144</v>
      </c>
      <c r="J3772" t="s">
        <v>148</v>
      </c>
      <c r="K3772">
        <v>0</v>
      </c>
      <c r="L3772">
        <v>3</v>
      </c>
      <c r="M3772">
        <v>0</v>
      </c>
      <c r="N3772">
        <v>2</v>
      </c>
      <c r="O3772">
        <v>0</v>
      </c>
      <c r="P3772">
        <v>1</v>
      </c>
      <c r="Q3772">
        <v>0</v>
      </c>
      <c r="S3772" t="str">
        <f t="shared" si="1387"/>
        <v>19:35:42.000</v>
      </c>
      <c r="T3772" t="str">
        <f t="shared" si="1387"/>
        <v>19:35:42.000</v>
      </c>
      <c r="U3772" t="str">
        <f t="shared" si="1367"/>
        <v>AC3944</v>
      </c>
      <c r="V3772">
        <v>0</v>
      </c>
      <c r="W3772">
        <v>0</v>
      </c>
      <c r="X3772">
        <v>2</v>
      </c>
      <c r="Y3772">
        <v>0</v>
      </c>
      <c r="AA3772">
        <v>1</v>
      </c>
      <c r="AB3772">
        <v>8</v>
      </c>
      <c r="AC3772">
        <v>3</v>
      </c>
      <c r="AD3772">
        <v>0</v>
      </c>
      <c r="AE3772">
        <v>9</v>
      </c>
      <c r="AF3772" t="s">
        <v>138</v>
      </c>
      <c r="AG3772">
        <v>0</v>
      </c>
      <c r="AH3772">
        <v>3</v>
      </c>
      <c r="AI3772">
        <v>1</v>
      </c>
      <c r="AJ3772">
        <v>0</v>
      </c>
      <c r="AK3772" t="s">
        <v>1228</v>
      </c>
      <c r="AL3772">
        <v>32.737777000000001</v>
      </c>
      <c r="AM3772" t="s">
        <v>1229</v>
      </c>
      <c r="AN3772">
        <v>-116.70697</v>
      </c>
      <c r="AO3772">
        <v>25</v>
      </c>
      <c r="AP3772">
        <v>4600</v>
      </c>
      <c r="AQ3772" t="s">
        <v>129</v>
      </c>
      <c r="AR3772">
        <v>126</v>
      </c>
      <c r="AS3772">
        <v>3</v>
      </c>
      <c r="AT3772">
        <v>384</v>
      </c>
      <c r="BB3772">
        <v>1200</v>
      </c>
      <c r="BC3772">
        <v>1</v>
      </c>
      <c r="BD3772" t="str">
        <f t="shared" si="1368"/>
        <v xml:space="preserve">N887QR  </v>
      </c>
      <c r="BE3772">
        <v>1</v>
      </c>
      <c r="BG3772">
        <v>0</v>
      </c>
      <c r="BH3772">
        <v>0</v>
      </c>
      <c r="BI3772">
        <v>0</v>
      </c>
      <c r="BJ3772">
        <v>4425</v>
      </c>
      <c r="BK3772">
        <v>-175</v>
      </c>
      <c r="BL3772" t="s">
        <v>163</v>
      </c>
      <c r="BM3772">
        <v>1</v>
      </c>
      <c r="BN3772">
        <v>1</v>
      </c>
      <c r="BO3772">
        <v>1</v>
      </c>
      <c r="BP3772">
        <v>0</v>
      </c>
      <c r="BS3772">
        <v>0</v>
      </c>
      <c r="BT3772">
        <v>0</v>
      </c>
      <c r="BU3772">
        <v>0</v>
      </c>
      <c r="CE3772" t="str">
        <f t="shared" si="1388"/>
        <v>19:35:42.088</v>
      </c>
      <c r="CF3772">
        <v>88368172</v>
      </c>
      <c r="CS3772">
        <v>0</v>
      </c>
      <c r="CT3772">
        <v>2</v>
      </c>
      <c r="CU3772">
        <v>0</v>
      </c>
      <c r="CV3772">
        <v>2</v>
      </c>
      <c r="CW3772">
        <v>0</v>
      </c>
      <c r="CX3772">
        <v>5</v>
      </c>
      <c r="CY3772">
        <v>7</v>
      </c>
      <c r="CZ3772" t="s">
        <v>131</v>
      </c>
      <c r="DA3772">
        <v>286</v>
      </c>
      <c r="DB3772">
        <v>0</v>
      </c>
      <c r="DC3772" t="s">
        <v>132</v>
      </c>
      <c r="DD3772" t="s">
        <v>133</v>
      </c>
      <c r="DG3772">
        <v>890662</v>
      </c>
      <c r="DI3772">
        <v>1</v>
      </c>
      <c r="DJ3772">
        <v>0</v>
      </c>
      <c r="DK3772">
        <v>1</v>
      </c>
      <c r="DL3772">
        <v>0</v>
      </c>
      <c r="DM3772">
        <v>0</v>
      </c>
      <c r="DN3772">
        <v>1</v>
      </c>
      <c r="DO3772">
        <v>0</v>
      </c>
      <c r="DP3772">
        <v>0</v>
      </c>
      <c r="DQ3772">
        <v>0</v>
      </c>
      <c r="DR3772">
        <v>0</v>
      </c>
      <c r="DS3772">
        <v>0</v>
      </c>
    </row>
    <row r="3773" spans="1:123" x14ac:dyDescent="0.3">
      <c r="A3773" t="str">
        <f>"10/04/2022 19:35:43.543"</f>
        <v>10/04/2022 19:35:43.543</v>
      </c>
      <c r="C3773" t="str">
        <f t="shared" si="1383"/>
        <v>FFDFD3C0</v>
      </c>
      <c r="D3773" t="s">
        <v>141</v>
      </c>
      <c r="E3773">
        <v>3</v>
      </c>
      <c r="H3773">
        <v>3</v>
      </c>
      <c r="I3773" t="s">
        <v>146</v>
      </c>
      <c r="J3773" t="s">
        <v>138</v>
      </c>
      <c r="K3773">
        <v>0</v>
      </c>
      <c r="L3773">
        <v>3</v>
      </c>
      <c r="M3773">
        <v>0</v>
      </c>
      <c r="N3773">
        <v>2</v>
      </c>
      <c r="O3773">
        <v>0</v>
      </c>
      <c r="P3773">
        <v>1</v>
      </c>
      <c r="Q3773">
        <v>0</v>
      </c>
      <c r="S3773" t="str">
        <f t="shared" ref="S3773:T3779" si="1389">"19:35:43.000"</f>
        <v>19:35:43.000</v>
      </c>
      <c r="T3773" t="str">
        <f t="shared" si="1389"/>
        <v>19:35:43.000</v>
      </c>
      <c r="U3773" t="str">
        <f t="shared" si="1367"/>
        <v>AC3944</v>
      </c>
      <c r="V3773">
        <v>0</v>
      </c>
      <c r="W3773">
        <v>0</v>
      </c>
      <c r="X3773">
        <v>2</v>
      </c>
      <c r="Y3773">
        <v>0</v>
      </c>
      <c r="AA3773">
        <v>1</v>
      </c>
      <c r="AB3773">
        <v>8</v>
      </c>
      <c r="AC3773">
        <v>3</v>
      </c>
      <c r="AD3773">
        <v>0</v>
      </c>
      <c r="AE3773">
        <v>9</v>
      </c>
      <c r="AF3773" t="s">
        <v>138</v>
      </c>
      <c r="AG3773">
        <v>0</v>
      </c>
      <c r="AH3773">
        <v>3</v>
      </c>
      <c r="AI3773">
        <v>1</v>
      </c>
      <c r="AJ3773">
        <v>0</v>
      </c>
      <c r="AK3773" t="s">
        <v>1230</v>
      </c>
      <c r="AL3773">
        <v>32.737799000000003</v>
      </c>
      <c r="AM3773" t="s">
        <v>1231</v>
      </c>
      <c r="AN3773">
        <v>-116.706154</v>
      </c>
      <c r="AO3773">
        <v>25</v>
      </c>
      <c r="AP3773">
        <v>4600</v>
      </c>
      <c r="AQ3773" t="s">
        <v>129</v>
      </c>
      <c r="AR3773">
        <v>126</v>
      </c>
      <c r="AS3773">
        <v>0</v>
      </c>
      <c r="AT3773">
        <v>512</v>
      </c>
      <c r="BB3773">
        <v>1200</v>
      </c>
      <c r="BC3773">
        <v>1</v>
      </c>
      <c r="BD3773" t="str">
        <f t="shared" si="1368"/>
        <v xml:space="preserve">N887QR  </v>
      </c>
      <c r="BE3773">
        <v>1</v>
      </c>
      <c r="BG3773">
        <v>0</v>
      </c>
      <c r="BH3773">
        <v>0</v>
      </c>
      <c r="BI3773">
        <v>0</v>
      </c>
      <c r="BJ3773">
        <v>4450</v>
      </c>
      <c r="BK3773">
        <v>-150</v>
      </c>
      <c r="BL3773" t="s">
        <v>163</v>
      </c>
      <c r="BM3773">
        <v>1</v>
      </c>
      <c r="BN3773">
        <v>1</v>
      </c>
      <c r="BO3773">
        <v>1</v>
      </c>
      <c r="BP3773">
        <v>0</v>
      </c>
      <c r="BS3773">
        <v>0</v>
      </c>
      <c r="BT3773">
        <v>0</v>
      </c>
      <c r="BU3773">
        <v>0</v>
      </c>
      <c r="CE3773" t="str">
        <f t="shared" ref="CE3773:CE3779" si="1390">"19:35:43.383"</f>
        <v>19:35:43.383</v>
      </c>
      <c r="CF3773">
        <v>383433920</v>
      </c>
      <c r="CS3773">
        <v>0</v>
      </c>
      <c r="CT3773">
        <v>2</v>
      </c>
      <c r="CU3773">
        <v>0</v>
      </c>
      <c r="CV3773">
        <v>2</v>
      </c>
      <c r="CW3773">
        <v>0</v>
      </c>
      <c r="CX3773">
        <v>4</v>
      </c>
      <c r="CY3773">
        <v>7</v>
      </c>
      <c r="CZ3773" t="s">
        <v>131</v>
      </c>
      <c r="DA3773">
        <v>300</v>
      </c>
      <c r="DB3773">
        <v>0</v>
      </c>
      <c r="DC3773" t="s">
        <v>176</v>
      </c>
      <c r="DD3773" t="s">
        <v>177</v>
      </c>
      <c r="DG3773">
        <v>5447465</v>
      </c>
      <c r="DI3773">
        <v>1</v>
      </c>
      <c r="DJ3773">
        <v>0</v>
      </c>
      <c r="DK3773">
        <v>0</v>
      </c>
      <c r="DL3773">
        <v>0</v>
      </c>
      <c r="DM3773">
        <v>0</v>
      </c>
      <c r="DN3773">
        <v>1</v>
      </c>
      <c r="DO3773">
        <v>0</v>
      </c>
      <c r="DP3773">
        <v>0</v>
      </c>
      <c r="DQ3773">
        <v>0</v>
      </c>
      <c r="DR3773">
        <v>0</v>
      </c>
      <c r="DS3773">
        <v>0</v>
      </c>
    </row>
    <row r="3774" spans="1:123" x14ac:dyDescent="0.3">
      <c r="A3774" t="str">
        <f>"10/04/2022 19:35:43.605"</f>
        <v>10/04/2022 19:35:43.605</v>
      </c>
      <c r="C3774" t="str">
        <f t="shared" si="1383"/>
        <v>FFDFD3C0</v>
      </c>
      <c r="D3774" t="s">
        <v>123</v>
      </c>
      <c r="E3774">
        <v>7</v>
      </c>
      <c r="F3774">
        <v>2007</v>
      </c>
      <c r="G3774" t="s">
        <v>124</v>
      </c>
      <c r="J3774" t="s">
        <v>125</v>
      </c>
      <c r="K3774">
        <v>0</v>
      </c>
      <c r="L3774">
        <v>3</v>
      </c>
      <c r="M3774">
        <v>0</v>
      </c>
      <c r="N3774">
        <v>2</v>
      </c>
      <c r="O3774">
        <v>0</v>
      </c>
      <c r="P3774">
        <v>1</v>
      </c>
      <c r="Q3774">
        <v>0</v>
      </c>
      <c r="S3774" t="str">
        <f t="shared" si="1389"/>
        <v>19:35:43.000</v>
      </c>
      <c r="T3774" t="str">
        <f t="shared" si="1389"/>
        <v>19:35:43.000</v>
      </c>
      <c r="U3774" t="str">
        <f t="shared" si="1367"/>
        <v>AC3944</v>
      </c>
      <c r="V3774">
        <v>0</v>
      </c>
      <c r="W3774">
        <v>0</v>
      </c>
      <c r="X3774">
        <v>2</v>
      </c>
      <c r="Y3774">
        <v>0</v>
      </c>
      <c r="AA3774">
        <v>1</v>
      </c>
      <c r="AB3774">
        <v>8</v>
      </c>
      <c r="AC3774">
        <v>3</v>
      </c>
      <c r="AD3774">
        <v>0</v>
      </c>
      <c r="AE3774">
        <v>9</v>
      </c>
      <c r="AF3774" t="s">
        <v>138</v>
      </c>
      <c r="AG3774">
        <v>0</v>
      </c>
      <c r="AH3774">
        <v>3</v>
      </c>
      <c r="AI3774">
        <v>1</v>
      </c>
      <c r="AJ3774">
        <v>0</v>
      </c>
      <c r="AK3774" t="s">
        <v>1230</v>
      </c>
      <c r="AL3774">
        <v>32.737799000000003</v>
      </c>
      <c r="AM3774" t="s">
        <v>1231</v>
      </c>
      <c r="AN3774">
        <v>-116.706154</v>
      </c>
      <c r="AO3774">
        <v>25</v>
      </c>
      <c r="AP3774">
        <v>4600</v>
      </c>
      <c r="AQ3774" t="s">
        <v>129</v>
      </c>
      <c r="AR3774">
        <v>126</v>
      </c>
      <c r="AS3774">
        <v>0</v>
      </c>
      <c r="AT3774">
        <v>512</v>
      </c>
      <c r="BB3774">
        <v>1200</v>
      </c>
      <c r="BC3774">
        <v>1</v>
      </c>
      <c r="BD3774" t="str">
        <f t="shared" si="1368"/>
        <v xml:space="preserve">N887QR  </v>
      </c>
      <c r="BE3774">
        <v>1</v>
      </c>
      <c r="BG3774">
        <v>0</v>
      </c>
      <c r="BH3774">
        <v>0</v>
      </c>
      <c r="BI3774">
        <v>0</v>
      </c>
      <c r="BJ3774">
        <v>4450</v>
      </c>
      <c r="BK3774">
        <v>-150</v>
      </c>
      <c r="BL3774" t="s">
        <v>163</v>
      </c>
      <c r="BM3774">
        <v>1</v>
      </c>
      <c r="BN3774">
        <v>1</v>
      </c>
      <c r="BO3774">
        <v>1</v>
      </c>
      <c r="BP3774">
        <v>0</v>
      </c>
      <c r="BS3774">
        <v>0</v>
      </c>
      <c r="BT3774">
        <v>0</v>
      </c>
      <c r="BU3774">
        <v>0</v>
      </c>
      <c r="CE3774" t="str">
        <f t="shared" si="1390"/>
        <v>19:35:43.383</v>
      </c>
      <c r="CF3774">
        <v>383433920</v>
      </c>
      <c r="CS3774">
        <v>0</v>
      </c>
      <c r="CT3774">
        <v>2</v>
      </c>
      <c r="CU3774">
        <v>0</v>
      </c>
      <c r="CV3774">
        <v>2</v>
      </c>
      <c r="CW3774">
        <v>0</v>
      </c>
      <c r="CX3774">
        <v>4</v>
      </c>
      <c r="CY3774">
        <v>7</v>
      </c>
      <c r="CZ3774" t="s">
        <v>131</v>
      </c>
      <c r="DA3774">
        <v>300</v>
      </c>
      <c r="DB3774">
        <v>0</v>
      </c>
      <c r="DC3774" t="s">
        <v>176</v>
      </c>
      <c r="DD3774" t="s">
        <v>177</v>
      </c>
      <c r="DG3774">
        <v>5447465</v>
      </c>
      <c r="DI3774">
        <v>1</v>
      </c>
      <c r="DJ3774">
        <v>0</v>
      </c>
      <c r="DK3774">
        <v>1</v>
      </c>
      <c r="DL3774">
        <v>0</v>
      </c>
      <c r="DM3774">
        <v>0</v>
      </c>
      <c r="DN3774">
        <v>1</v>
      </c>
      <c r="DO3774">
        <v>0</v>
      </c>
      <c r="DP3774">
        <v>0</v>
      </c>
      <c r="DQ3774">
        <v>0</v>
      </c>
      <c r="DR3774">
        <v>0</v>
      </c>
      <c r="DS3774">
        <v>0</v>
      </c>
    </row>
    <row r="3775" spans="1:123" x14ac:dyDescent="0.3">
      <c r="A3775" t="str">
        <f>"10/04/2022 19:35:43.605"</f>
        <v>10/04/2022 19:35:43.605</v>
      </c>
      <c r="C3775" t="str">
        <f t="shared" si="1383"/>
        <v>FFDFD3C0</v>
      </c>
      <c r="D3775" t="s">
        <v>136</v>
      </c>
      <c r="E3775">
        <v>8</v>
      </c>
      <c r="H3775">
        <v>225</v>
      </c>
      <c r="I3775" t="s">
        <v>137</v>
      </c>
      <c r="J3775" t="s">
        <v>138</v>
      </c>
      <c r="K3775">
        <v>0</v>
      </c>
      <c r="L3775">
        <v>3</v>
      </c>
      <c r="M3775">
        <v>0</v>
      </c>
      <c r="N3775">
        <v>2</v>
      </c>
      <c r="O3775">
        <v>0</v>
      </c>
      <c r="P3775">
        <v>1</v>
      </c>
      <c r="Q3775">
        <v>0</v>
      </c>
      <c r="S3775" t="str">
        <f t="shared" si="1389"/>
        <v>19:35:43.000</v>
      </c>
      <c r="T3775" t="str">
        <f t="shared" si="1389"/>
        <v>19:35:43.000</v>
      </c>
      <c r="U3775" t="str">
        <f t="shared" si="1367"/>
        <v>AC3944</v>
      </c>
      <c r="V3775">
        <v>0</v>
      </c>
      <c r="W3775">
        <v>0</v>
      </c>
      <c r="X3775">
        <v>2</v>
      </c>
      <c r="Y3775">
        <v>0</v>
      </c>
      <c r="AA3775">
        <v>1</v>
      </c>
      <c r="AB3775">
        <v>8</v>
      </c>
      <c r="AC3775">
        <v>3</v>
      </c>
      <c r="AD3775">
        <v>0</v>
      </c>
      <c r="AE3775">
        <v>9</v>
      </c>
      <c r="AF3775" t="s">
        <v>138</v>
      </c>
      <c r="AG3775">
        <v>0</v>
      </c>
      <c r="AH3775">
        <v>3</v>
      </c>
      <c r="AI3775">
        <v>1</v>
      </c>
      <c r="AJ3775">
        <v>0</v>
      </c>
      <c r="AK3775" t="s">
        <v>1230</v>
      </c>
      <c r="AL3775">
        <v>32.737799000000003</v>
      </c>
      <c r="AM3775" t="s">
        <v>1231</v>
      </c>
      <c r="AN3775">
        <v>-116.706154</v>
      </c>
      <c r="AO3775">
        <v>25</v>
      </c>
      <c r="AP3775">
        <v>4600</v>
      </c>
      <c r="AQ3775" t="s">
        <v>129</v>
      </c>
      <c r="AR3775">
        <v>126</v>
      </c>
      <c r="AS3775">
        <v>0</v>
      </c>
      <c r="AT3775">
        <v>512</v>
      </c>
      <c r="BB3775">
        <v>1200</v>
      </c>
      <c r="BC3775">
        <v>1</v>
      </c>
      <c r="BD3775" t="str">
        <f t="shared" si="1368"/>
        <v xml:space="preserve">N887QR  </v>
      </c>
      <c r="BE3775">
        <v>1</v>
      </c>
      <c r="BG3775">
        <v>0</v>
      </c>
      <c r="BH3775">
        <v>0</v>
      </c>
      <c r="BI3775">
        <v>0</v>
      </c>
      <c r="BJ3775">
        <v>4450</v>
      </c>
      <c r="BK3775">
        <v>-150</v>
      </c>
      <c r="BL3775" t="s">
        <v>163</v>
      </c>
      <c r="BM3775">
        <v>1</v>
      </c>
      <c r="BN3775">
        <v>1</v>
      </c>
      <c r="BO3775">
        <v>1</v>
      </c>
      <c r="BP3775">
        <v>0</v>
      </c>
      <c r="BS3775">
        <v>0</v>
      </c>
      <c r="BT3775">
        <v>0</v>
      </c>
      <c r="BU3775">
        <v>0</v>
      </c>
      <c r="CE3775" t="str">
        <f t="shared" si="1390"/>
        <v>19:35:43.383</v>
      </c>
      <c r="CF3775">
        <v>383433920</v>
      </c>
      <c r="CS3775">
        <v>0</v>
      </c>
      <c r="CT3775">
        <v>2</v>
      </c>
      <c r="CU3775">
        <v>0</v>
      </c>
      <c r="CV3775">
        <v>2</v>
      </c>
      <c r="CW3775">
        <v>0</v>
      </c>
      <c r="CX3775">
        <v>4</v>
      </c>
      <c r="CY3775">
        <v>7</v>
      </c>
      <c r="CZ3775" t="s">
        <v>131</v>
      </c>
      <c r="DA3775">
        <v>300</v>
      </c>
      <c r="DB3775">
        <v>0</v>
      </c>
      <c r="DC3775" t="s">
        <v>176</v>
      </c>
      <c r="DD3775" t="s">
        <v>177</v>
      </c>
      <c r="DG3775">
        <v>5447465</v>
      </c>
      <c r="DI3775">
        <v>1</v>
      </c>
      <c r="DJ3775">
        <v>0</v>
      </c>
      <c r="DK3775">
        <v>1</v>
      </c>
      <c r="DL3775">
        <v>0</v>
      </c>
      <c r="DM3775">
        <v>0</v>
      </c>
      <c r="DN3775">
        <v>1</v>
      </c>
      <c r="DO3775">
        <v>0</v>
      </c>
      <c r="DP3775">
        <v>0</v>
      </c>
      <c r="DQ3775">
        <v>0</v>
      </c>
      <c r="DR3775">
        <v>0</v>
      </c>
      <c r="DS3775">
        <v>0</v>
      </c>
    </row>
    <row r="3776" spans="1:123" x14ac:dyDescent="0.3">
      <c r="A3776" t="str">
        <f>"10/04/2022 19:35:43.605"</f>
        <v>10/04/2022 19:35:43.605</v>
      </c>
      <c r="C3776" t="str">
        <f t="shared" si="1383"/>
        <v>FFDFD3C0</v>
      </c>
      <c r="D3776" t="s">
        <v>147</v>
      </c>
      <c r="E3776">
        <v>3</v>
      </c>
      <c r="H3776">
        <v>166</v>
      </c>
      <c r="I3776" t="s">
        <v>144</v>
      </c>
      <c r="J3776" t="s">
        <v>148</v>
      </c>
      <c r="K3776">
        <v>0</v>
      </c>
      <c r="L3776">
        <v>3</v>
      </c>
      <c r="M3776">
        <v>0</v>
      </c>
      <c r="N3776">
        <v>2</v>
      </c>
      <c r="O3776">
        <v>0</v>
      </c>
      <c r="P3776">
        <v>1</v>
      </c>
      <c r="Q3776">
        <v>0</v>
      </c>
      <c r="S3776" t="str">
        <f t="shared" si="1389"/>
        <v>19:35:43.000</v>
      </c>
      <c r="T3776" t="str">
        <f t="shared" si="1389"/>
        <v>19:35:43.000</v>
      </c>
      <c r="U3776" t="str">
        <f t="shared" si="1367"/>
        <v>AC3944</v>
      </c>
      <c r="V3776">
        <v>0</v>
      </c>
      <c r="W3776">
        <v>0</v>
      </c>
      <c r="X3776">
        <v>2</v>
      </c>
      <c r="Y3776">
        <v>0</v>
      </c>
      <c r="AA3776">
        <v>1</v>
      </c>
      <c r="AB3776">
        <v>8</v>
      </c>
      <c r="AC3776">
        <v>3</v>
      </c>
      <c r="AD3776">
        <v>0</v>
      </c>
      <c r="AE3776">
        <v>9</v>
      </c>
      <c r="AF3776" t="s">
        <v>138</v>
      </c>
      <c r="AG3776">
        <v>0</v>
      </c>
      <c r="AH3776">
        <v>3</v>
      </c>
      <c r="AI3776">
        <v>1</v>
      </c>
      <c r="AJ3776">
        <v>0</v>
      </c>
      <c r="AK3776" t="s">
        <v>1230</v>
      </c>
      <c r="AL3776">
        <v>32.737799000000003</v>
      </c>
      <c r="AM3776" t="s">
        <v>1231</v>
      </c>
      <c r="AN3776">
        <v>-116.706154</v>
      </c>
      <c r="AO3776">
        <v>25</v>
      </c>
      <c r="AP3776">
        <v>4600</v>
      </c>
      <c r="AQ3776" t="s">
        <v>129</v>
      </c>
      <c r="AR3776">
        <v>126</v>
      </c>
      <c r="AS3776">
        <v>0</v>
      </c>
      <c r="AT3776">
        <v>512</v>
      </c>
      <c r="BB3776">
        <v>1200</v>
      </c>
      <c r="BC3776">
        <v>1</v>
      </c>
      <c r="BD3776" t="str">
        <f t="shared" si="1368"/>
        <v xml:space="preserve">N887QR  </v>
      </c>
      <c r="BE3776">
        <v>1</v>
      </c>
      <c r="BG3776">
        <v>0</v>
      </c>
      <c r="BH3776">
        <v>0</v>
      </c>
      <c r="BI3776">
        <v>0</v>
      </c>
      <c r="BJ3776">
        <v>4450</v>
      </c>
      <c r="BK3776">
        <v>-150</v>
      </c>
      <c r="BL3776" t="s">
        <v>163</v>
      </c>
      <c r="BM3776">
        <v>1</v>
      </c>
      <c r="BN3776">
        <v>1</v>
      </c>
      <c r="BO3776">
        <v>1</v>
      </c>
      <c r="BP3776">
        <v>0</v>
      </c>
      <c r="BS3776">
        <v>0</v>
      </c>
      <c r="BT3776">
        <v>0</v>
      </c>
      <c r="BU3776">
        <v>0</v>
      </c>
      <c r="CE3776" t="str">
        <f t="shared" si="1390"/>
        <v>19:35:43.383</v>
      </c>
      <c r="CF3776">
        <v>383433920</v>
      </c>
      <c r="CS3776">
        <v>0</v>
      </c>
      <c r="CT3776">
        <v>2</v>
      </c>
      <c r="CU3776">
        <v>0</v>
      </c>
      <c r="CV3776">
        <v>2</v>
      </c>
      <c r="CW3776">
        <v>0</v>
      </c>
      <c r="CX3776">
        <v>4</v>
      </c>
      <c r="CY3776">
        <v>7</v>
      </c>
      <c r="CZ3776" t="s">
        <v>131</v>
      </c>
      <c r="DA3776">
        <v>300</v>
      </c>
      <c r="DB3776">
        <v>0</v>
      </c>
      <c r="DC3776" t="s">
        <v>176</v>
      </c>
      <c r="DD3776" t="s">
        <v>177</v>
      </c>
      <c r="DG3776">
        <v>5447465</v>
      </c>
      <c r="DI3776">
        <v>1</v>
      </c>
      <c r="DJ3776">
        <v>0</v>
      </c>
      <c r="DK3776">
        <v>1</v>
      </c>
      <c r="DL3776">
        <v>0</v>
      </c>
      <c r="DM3776">
        <v>0</v>
      </c>
      <c r="DN3776">
        <v>1</v>
      </c>
      <c r="DO3776">
        <v>0</v>
      </c>
      <c r="DP3776">
        <v>0</v>
      </c>
      <c r="DQ3776">
        <v>0</v>
      </c>
      <c r="DR3776">
        <v>0</v>
      </c>
      <c r="DS3776">
        <v>0</v>
      </c>
    </row>
    <row r="3777" spans="1:123" x14ac:dyDescent="0.3">
      <c r="A3777" t="str">
        <f>"10/04/2022 19:35:43.605"</f>
        <v>10/04/2022 19:35:43.605</v>
      </c>
      <c r="C3777" t="str">
        <f t="shared" si="1383"/>
        <v>FFDFD3C0</v>
      </c>
      <c r="D3777" t="s">
        <v>134</v>
      </c>
      <c r="E3777">
        <v>15</v>
      </c>
      <c r="J3777" t="s">
        <v>135</v>
      </c>
      <c r="K3777">
        <v>0</v>
      </c>
      <c r="L3777">
        <v>3</v>
      </c>
      <c r="M3777">
        <v>0</v>
      </c>
      <c r="N3777">
        <v>2</v>
      </c>
      <c r="O3777">
        <v>0</v>
      </c>
      <c r="P3777">
        <v>1</v>
      </c>
      <c r="Q3777">
        <v>0</v>
      </c>
      <c r="S3777" t="str">
        <f t="shared" si="1389"/>
        <v>19:35:43.000</v>
      </c>
      <c r="T3777" t="str">
        <f t="shared" si="1389"/>
        <v>19:35:43.000</v>
      </c>
      <c r="U3777" t="str">
        <f t="shared" si="1367"/>
        <v>AC3944</v>
      </c>
      <c r="V3777">
        <v>0</v>
      </c>
      <c r="W3777">
        <v>0</v>
      </c>
      <c r="X3777">
        <v>2</v>
      </c>
      <c r="Y3777">
        <v>0</v>
      </c>
      <c r="AA3777">
        <v>1</v>
      </c>
      <c r="AB3777">
        <v>8</v>
      </c>
      <c r="AC3777">
        <v>3</v>
      </c>
      <c r="AD3777">
        <v>0</v>
      </c>
      <c r="AE3777">
        <v>9</v>
      </c>
      <c r="AF3777" t="s">
        <v>138</v>
      </c>
      <c r="AG3777">
        <v>0</v>
      </c>
      <c r="AH3777">
        <v>3</v>
      </c>
      <c r="AI3777">
        <v>1</v>
      </c>
      <c r="AJ3777">
        <v>0</v>
      </c>
      <c r="AK3777" t="s">
        <v>1230</v>
      </c>
      <c r="AL3777">
        <v>32.737799000000003</v>
      </c>
      <c r="AM3777" t="s">
        <v>1231</v>
      </c>
      <c r="AN3777">
        <v>-116.706154</v>
      </c>
      <c r="AO3777">
        <v>25</v>
      </c>
      <c r="AP3777">
        <v>4600</v>
      </c>
      <c r="AQ3777" t="s">
        <v>129</v>
      </c>
      <c r="AR3777">
        <v>126</v>
      </c>
      <c r="AS3777">
        <v>0</v>
      </c>
      <c r="AT3777">
        <v>512</v>
      </c>
      <c r="BB3777">
        <v>1200</v>
      </c>
      <c r="BC3777">
        <v>1</v>
      </c>
      <c r="BD3777" t="str">
        <f t="shared" si="1368"/>
        <v xml:space="preserve">N887QR  </v>
      </c>
      <c r="BE3777">
        <v>1</v>
      </c>
      <c r="BG3777">
        <v>0</v>
      </c>
      <c r="BH3777">
        <v>0</v>
      </c>
      <c r="BI3777">
        <v>0</v>
      </c>
      <c r="BJ3777">
        <v>4450</v>
      </c>
      <c r="BK3777">
        <v>-150</v>
      </c>
      <c r="BL3777" t="s">
        <v>163</v>
      </c>
      <c r="BM3777">
        <v>1</v>
      </c>
      <c r="BN3777">
        <v>1</v>
      </c>
      <c r="BO3777">
        <v>1</v>
      </c>
      <c r="BP3777">
        <v>0</v>
      </c>
      <c r="BS3777">
        <v>0</v>
      </c>
      <c r="BT3777">
        <v>0</v>
      </c>
      <c r="BU3777">
        <v>0</v>
      </c>
      <c r="CE3777" t="str">
        <f t="shared" si="1390"/>
        <v>19:35:43.383</v>
      </c>
      <c r="CF3777">
        <v>383433920</v>
      </c>
      <c r="CS3777">
        <v>0</v>
      </c>
      <c r="CT3777">
        <v>2</v>
      </c>
      <c r="CU3777">
        <v>0</v>
      </c>
      <c r="CV3777">
        <v>2</v>
      </c>
      <c r="CW3777">
        <v>0</v>
      </c>
      <c r="CX3777">
        <v>4</v>
      </c>
      <c r="CY3777">
        <v>7</v>
      </c>
      <c r="CZ3777" t="s">
        <v>131</v>
      </c>
      <c r="DA3777">
        <v>300</v>
      </c>
      <c r="DB3777">
        <v>0</v>
      </c>
      <c r="DC3777" t="s">
        <v>176</v>
      </c>
      <c r="DD3777" t="s">
        <v>177</v>
      </c>
      <c r="DG3777">
        <v>5447465</v>
      </c>
      <c r="DI3777">
        <v>1</v>
      </c>
      <c r="DJ3777">
        <v>0</v>
      </c>
      <c r="DK3777">
        <v>1</v>
      </c>
      <c r="DL3777">
        <v>0</v>
      </c>
      <c r="DM3777">
        <v>0</v>
      </c>
      <c r="DN3777">
        <v>1</v>
      </c>
      <c r="DO3777">
        <v>0</v>
      </c>
      <c r="DP3777">
        <v>0</v>
      </c>
      <c r="DQ3777">
        <v>0</v>
      </c>
      <c r="DR3777">
        <v>0</v>
      </c>
      <c r="DS3777">
        <v>0</v>
      </c>
    </row>
    <row r="3778" spans="1:123" x14ac:dyDescent="0.3">
      <c r="A3778" t="str">
        <f>"10/04/2022 19:35:43.605"</f>
        <v>10/04/2022 19:35:43.605</v>
      </c>
      <c r="C3778" t="str">
        <f t="shared" si="1383"/>
        <v>FFDFD3C0</v>
      </c>
      <c r="D3778" t="s">
        <v>141</v>
      </c>
      <c r="E3778">
        <v>4</v>
      </c>
      <c r="H3778">
        <v>4</v>
      </c>
      <c r="I3778" t="s">
        <v>142</v>
      </c>
      <c r="J3778" t="s">
        <v>138</v>
      </c>
      <c r="K3778">
        <v>0</v>
      </c>
      <c r="L3778">
        <v>3</v>
      </c>
      <c r="M3778">
        <v>0</v>
      </c>
      <c r="N3778">
        <v>2</v>
      </c>
      <c r="O3778">
        <v>0</v>
      </c>
      <c r="P3778">
        <v>1</v>
      </c>
      <c r="Q3778">
        <v>0</v>
      </c>
      <c r="S3778" t="str">
        <f t="shared" si="1389"/>
        <v>19:35:43.000</v>
      </c>
      <c r="T3778" t="str">
        <f t="shared" si="1389"/>
        <v>19:35:43.000</v>
      </c>
      <c r="U3778" t="str">
        <f t="shared" ref="U3778:U3841" si="1391">"AC3944"</f>
        <v>AC3944</v>
      </c>
      <c r="V3778">
        <v>0</v>
      </c>
      <c r="W3778">
        <v>0</v>
      </c>
      <c r="X3778">
        <v>2</v>
      </c>
      <c r="Y3778">
        <v>0</v>
      </c>
      <c r="AA3778">
        <v>1</v>
      </c>
      <c r="AB3778">
        <v>8</v>
      </c>
      <c r="AC3778">
        <v>3</v>
      </c>
      <c r="AD3778">
        <v>0</v>
      </c>
      <c r="AE3778">
        <v>9</v>
      </c>
      <c r="AF3778" t="s">
        <v>138</v>
      </c>
      <c r="AG3778">
        <v>0</v>
      </c>
      <c r="AH3778">
        <v>3</v>
      </c>
      <c r="AI3778">
        <v>1</v>
      </c>
      <c r="AJ3778">
        <v>0</v>
      </c>
      <c r="AK3778" t="s">
        <v>1230</v>
      </c>
      <c r="AL3778">
        <v>32.737799000000003</v>
      </c>
      <c r="AM3778" t="s">
        <v>1231</v>
      </c>
      <c r="AN3778">
        <v>-116.706154</v>
      </c>
      <c r="AO3778">
        <v>25</v>
      </c>
      <c r="AP3778">
        <v>4600</v>
      </c>
      <c r="AQ3778" t="s">
        <v>129</v>
      </c>
      <c r="AR3778">
        <v>126</v>
      </c>
      <c r="AS3778">
        <v>0</v>
      </c>
      <c r="AT3778">
        <v>512</v>
      </c>
      <c r="BB3778">
        <v>1200</v>
      </c>
      <c r="BC3778">
        <v>1</v>
      </c>
      <c r="BD3778" t="str">
        <f t="shared" ref="BD3778:BD3841" si="1392">"N887QR  "</f>
        <v xml:space="preserve">N887QR  </v>
      </c>
      <c r="BE3778">
        <v>1</v>
      </c>
      <c r="BG3778">
        <v>0</v>
      </c>
      <c r="BH3778">
        <v>0</v>
      </c>
      <c r="BI3778">
        <v>0</v>
      </c>
      <c r="BJ3778">
        <v>4450</v>
      </c>
      <c r="BK3778">
        <v>-150</v>
      </c>
      <c r="BL3778" t="s">
        <v>163</v>
      </c>
      <c r="BM3778">
        <v>1</v>
      </c>
      <c r="BN3778">
        <v>1</v>
      </c>
      <c r="BO3778">
        <v>1</v>
      </c>
      <c r="BP3778">
        <v>0</v>
      </c>
      <c r="BS3778">
        <v>0</v>
      </c>
      <c r="BT3778">
        <v>0</v>
      </c>
      <c r="BU3778">
        <v>0</v>
      </c>
      <c r="CE3778" t="str">
        <f t="shared" si="1390"/>
        <v>19:35:43.383</v>
      </c>
      <c r="CF3778">
        <v>383433920</v>
      </c>
      <c r="CS3778">
        <v>0</v>
      </c>
      <c r="CT3778">
        <v>2</v>
      </c>
      <c r="CU3778">
        <v>0</v>
      </c>
      <c r="CV3778">
        <v>2</v>
      </c>
      <c r="CW3778">
        <v>0</v>
      </c>
      <c r="CX3778">
        <v>4</v>
      </c>
      <c r="CY3778">
        <v>7</v>
      </c>
      <c r="CZ3778" t="s">
        <v>131</v>
      </c>
      <c r="DA3778">
        <v>300</v>
      </c>
      <c r="DB3778">
        <v>0</v>
      </c>
      <c r="DC3778" t="s">
        <v>176</v>
      </c>
      <c r="DD3778" t="s">
        <v>177</v>
      </c>
      <c r="DG3778">
        <v>5447465</v>
      </c>
      <c r="DI3778">
        <v>1</v>
      </c>
      <c r="DJ3778">
        <v>0</v>
      </c>
      <c r="DK3778">
        <v>1</v>
      </c>
      <c r="DL3778">
        <v>0</v>
      </c>
      <c r="DM3778">
        <v>0</v>
      </c>
      <c r="DN3778">
        <v>1</v>
      </c>
      <c r="DO3778">
        <v>0</v>
      </c>
      <c r="DP3778">
        <v>0</v>
      </c>
      <c r="DQ3778">
        <v>0</v>
      </c>
      <c r="DR3778">
        <v>0</v>
      </c>
      <c r="DS3778">
        <v>0</v>
      </c>
    </row>
    <row r="3779" spans="1:123" x14ac:dyDescent="0.3">
      <c r="A3779" t="str">
        <f>"10/04/2022 19:35:43.652"</f>
        <v>10/04/2022 19:35:43.652</v>
      </c>
      <c r="C3779" t="str">
        <f t="shared" si="1383"/>
        <v>FFDFD3C0</v>
      </c>
      <c r="D3779" t="s">
        <v>143</v>
      </c>
      <c r="E3779">
        <v>20</v>
      </c>
      <c r="F3779">
        <v>1020</v>
      </c>
      <c r="G3779" t="s">
        <v>144</v>
      </c>
      <c r="J3779" t="s">
        <v>145</v>
      </c>
      <c r="K3779">
        <v>0</v>
      </c>
      <c r="L3779">
        <v>3</v>
      </c>
      <c r="M3779">
        <v>0</v>
      </c>
      <c r="N3779">
        <v>2</v>
      </c>
      <c r="O3779">
        <v>0</v>
      </c>
      <c r="P3779">
        <v>1</v>
      </c>
      <c r="Q3779">
        <v>0</v>
      </c>
      <c r="S3779" t="str">
        <f t="shared" si="1389"/>
        <v>19:35:43.000</v>
      </c>
      <c r="T3779" t="str">
        <f t="shared" si="1389"/>
        <v>19:35:43.000</v>
      </c>
      <c r="U3779" t="str">
        <f t="shared" si="1391"/>
        <v>AC3944</v>
      </c>
      <c r="V3779">
        <v>0</v>
      </c>
      <c r="W3779">
        <v>0</v>
      </c>
      <c r="X3779">
        <v>2</v>
      </c>
      <c r="Y3779">
        <v>0</v>
      </c>
      <c r="AA3779">
        <v>1</v>
      </c>
      <c r="AB3779">
        <v>8</v>
      </c>
      <c r="AC3779">
        <v>3</v>
      </c>
      <c r="AD3779">
        <v>0</v>
      </c>
      <c r="AE3779">
        <v>9</v>
      </c>
      <c r="AF3779" t="s">
        <v>138</v>
      </c>
      <c r="AG3779">
        <v>0</v>
      </c>
      <c r="AH3779">
        <v>3</v>
      </c>
      <c r="AI3779">
        <v>1</v>
      </c>
      <c r="AJ3779">
        <v>0</v>
      </c>
      <c r="AK3779" t="s">
        <v>1230</v>
      </c>
      <c r="AL3779">
        <v>32.737799000000003</v>
      </c>
      <c r="AM3779" t="s">
        <v>1231</v>
      </c>
      <c r="AN3779">
        <v>-116.706154</v>
      </c>
      <c r="AO3779">
        <v>25</v>
      </c>
      <c r="AP3779">
        <v>4600</v>
      </c>
      <c r="AQ3779" t="s">
        <v>129</v>
      </c>
      <c r="AR3779">
        <v>126</v>
      </c>
      <c r="AS3779">
        <v>0</v>
      </c>
      <c r="AT3779">
        <v>512</v>
      </c>
      <c r="BB3779">
        <v>1200</v>
      </c>
      <c r="BC3779">
        <v>1</v>
      </c>
      <c r="BD3779" t="str">
        <f t="shared" si="1392"/>
        <v xml:space="preserve">N887QR  </v>
      </c>
      <c r="BE3779">
        <v>1</v>
      </c>
      <c r="BG3779">
        <v>0</v>
      </c>
      <c r="BH3779">
        <v>0</v>
      </c>
      <c r="BI3779">
        <v>0</v>
      </c>
      <c r="BJ3779">
        <v>4450</v>
      </c>
      <c r="BK3779">
        <v>-150</v>
      </c>
      <c r="BL3779" t="s">
        <v>163</v>
      </c>
      <c r="BM3779">
        <v>1</v>
      </c>
      <c r="BN3779">
        <v>1</v>
      </c>
      <c r="BO3779">
        <v>1</v>
      </c>
      <c r="BP3779">
        <v>0</v>
      </c>
      <c r="BS3779">
        <v>0</v>
      </c>
      <c r="BT3779">
        <v>0</v>
      </c>
      <c r="BU3779">
        <v>0</v>
      </c>
      <c r="CE3779" t="str">
        <f t="shared" si="1390"/>
        <v>19:35:43.383</v>
      </c>
      <c r="CF3779">
        <v>383433920</v>
      </c>
      <c r="CS3779">
        <v>0</v>
      </c>
      <c r="CT3779">
        <v>2</v>
      </c>
      <c r="CU3779">
        <v>0</v>
      </c>
      <c r="CV3779">
        <v>2</v>
      </c>
      <c r="CW3779">
        <v>0</v>
      </c>
      <c r="CX3779">
        <v>4</v>
      </c>
      <c r="CY3779">
        <v>7</v>
      </c>
      <c r="CZ3779" t="s">
        <v>131</v>
      </c>
      <c r="DA3779">
        <v>300</v>
      </c>
      <c r="DB3779">
        <v>0</v>
      </c>
      <c r="DC3779" t="s">
        <v>176</v>
      </c>
      <c r="DD3779" t="s">
        <v>177</v>
      </c>
      <c r="DG3779">
        <v>5447465</v>
      </c>
      <c r="DI3779">
        <v>1</v>
      </c>
      <c r="DJ3779">
        <v>0</v>
      </c>
      <c r="DK3779">
        <v>1</v>
      </c>
      <c r="DL3779">
        <v>0</v>
      </c>
      <c r="DM3779">
        <v>0</v>
      </c>
      <c r="DN3779">
        <v>1</v>
      </c>
      <c r="DO3779">
        <v>0</v>
      </c>
      <c r="DP3779">
        <v>0</v>
      </c>
      <c r="DQ3779">
        <v>0</v>
      </c>
      <c r="DR3779">
        <v>0</v>
      </c>
      <c r="DS3779">
        <v>0</v>
      </c>
    </row>
    <row r="3780" spans="1:123" x14ac:dyDescent="0.3">
      <c r="A3780" t="str">
        <f>"10/04/2022 19:35:44.574"</f>
        <v>10/04/2022 19:35:44.574</v>
      </c>
      <c r="C3780" t="str">
        <f t="shared" si="1383"/>
        <v>FFDFD3C0</v>
      </c>
      <c r="D3780" t="s">
        <v>136</v>
      </c>
      <c r="E3780">
        <v>8</v>
      </c>
      <c r="H3780">
        <v>225</v>
      </c>
      <c r="I3780" t="s">
        <v>137</v>
      </c>
      <c r="J3780" t="s">
        <v>138</v>
      </c>
      <c r="K3780">
        <v>0</v>
      </c>
      <c r="L3780">
        <v>3</v>
      </c>
      <c r="M3780">
        <v>0</v>
      </c>
      <c r="N3780">
        <v>2</v>
      </c>
      <c r="O3780">
        <v>0</v>
      </c>
      <c r="P3780">
        <v>1</v>
      </c>
      <c r="Q3780">
        <v>0</v>
      </c>
      <c r="S3780" t="str">
        <f t="shared" ref="S3780:T3793" si="1393">"19:35:44.000"</f>
        <v>19:35:44.000</v>
      </c>
      <c r="T3780" t="str">
        <f t="shared" si="1393"/>
        <v>19:35:44.000</v>
      </c>
      <c r="U3780" t="str">
        <f t="shared" si="1391"/>
        <v>AC3944</v>
      </c>
      <c r="V3780">
        <v>0</v>
      </c>
      <c r="W3780">
        <v>0</v>
      </c>
      <c r="X3780">
        <v>2</v>
      </c>
      <c r="Y3780">
        <v>0</v>
      </c>
      <c r="AA3780">
        <v>1</v>
      </c>
      <c r="AB3780">
        <v>8</v>
      </c>
      <c r="AC3780">
        <v>3</v>
      </c>
      <c r="AD3780">
        <v>0</v>
      </c>
      <c r="AE3780">
        <v>9</v>
      </c>
      <c r="AF3780" t="s">
        <v>138</v>
      </c>
      <c r="AG3780">
        <v>0</v>
      </c>
      <c r="AH3780">
        <v>3</v>
      </c>
      <c r="AI3780">
        <v>1</v>
      </c>
      <c r="AJ3780">
        <v>0</v>
      </c>
      <c r="AK3780" t="s">
        <v>1230</v>
      </c>
      <c r="AL3780">
        <v>32.737799000000003</v>
      </c>
      <c r="AM3780" t="s">
        <v>1232</v>
      </c>
      <c r="AN3780">
        <v>-116.70544599999999</v>
      </c>
      <c r="AO3780">
        <v>25</v>
      </c>
      <c r="AP3780">
        <v>4600</v>
      </c>
      <c r="AQ3780" t="s">
        <v>129</v>
      </c>
      <c r="AR3780">
        <v>126</v>
      </c>
      <c r="AS3780">
        <v>0</v>
      </c>
      <c r="AT3780">
        <v>640</v>
      </c>
      <c r="BB3780">
        <v>1200</v>
      </c>
      <c r="BC3780">
        <v>1</v>
      </c>
      <c r="BD3780" t="str">
        <f t="shared" si="1392"/>
        <v xml:space="preserve">N887QR  </v>
      </c>
      <c r="BE3780">
        <v>1</v>
      </c>
      <c r="BG3780">
        <v>0</v>
      </c>
      <c r="BH3780">
        <v>0</v>
      </c>
      <c r="BI3780">
        <v>0</v>
      </c>
      <c r="BJ3780">
        <v>4475</v>
      </c>
      <c r="BK3780">
        <v>-125</v>
      </c>
      <c r="BL3780" t="s">
        <v>163</v>
      </c>
      <c r="BM3780">
        <v>1</v>
      </c>
      <c r="BN3780">
        <v>1</v>
      </c>
      <c r="BO3780">
        <v>1</v>
      </c>
      <c r="BP3780">
        <v>0</v>
      </c>
      <c r="BS3780">
        <v>0</v>
      </c>
      <c r="BT3780">
        <v>0</v>
      </c>
      <c r="BU3780">
        <v>0</v>
      </c>
      <c r="CE3780" t="str">
        <f t="shared" ref="CE3780:CE3786" si="1394">"19:35:44.338"</f>
        <v>19:35:44.338</v>
      </c>
      <c r="CF3780">
        <v>338437120</v>
      </c>
      <c r="CS3780">
        <v>0</v>
      </c>
      <c r="CT3780">
        <v>2</v>
      </c>
      <c r="CU3780">
        <v>0</v>
      </c>
      <c r="CV3780">
        <v>2</v>
      </c>
      <c r="CW3780">
        <v>0</v>
      </c>
      <c r="CX3780">
        <v>5</v>
      </c>
      <c r="CY3780">
        <v>7</v>
      </c>
      <c r="CZ3780" t="s">
        <v>131</v>
      </c>
      <c r="DA3780">
        <v>300</v>
      </c>
      <c r="DB3780">
        <v>0</v>
      </c>
      <c r="DC3780" t="s">
        <v>176</v>
      </c>
      <c r="DD3780" t="s">
        <v>177</v>
      </c>
      <c r="DG3780">
        <v>5447606</v>
      </c>
      <c r="DI3780">
        <v>1</v>
      </c>
      <c r="DJ3780">
        <v>0</v>
      </c>
      <c r="DK3780">
        <v>0</v>
      </c>
      <c r="DL3780">
        <v>0</v>
      </c>
      <c r="DM3780">
        <v>0</v>
      </c>
      <c r="DN3780">
        <v>1</v>
      </c>
      <c r="DO3780">
        <v>0</v>
      </c>
      <c r="DP3780">
        <v>0</v>
      </c>
      <c r="DQ3780">
        <v>0</v>
      </c>
      <c r="DR3780">
        <v>0</v>
      </c>
      <c r="DS3780">
        <v>0</v>
      </c>
    </row>
    <row r="3781" spans="1:123" x14ac:dyDescent="0.3">
      <c r="A3781" t="str">
        <f>"10/04/2022 19:35:44.574"</f>
        <v>10/04/2022 19:35:44.574</v>
      </c>
      <c r="C3781" t="str">
        <f t="shared" si="1383"/>
        <v>FFDFD3C0</v>
      </c>
      <c r="D3781" t="s">
        <v>147</v>
      </c>
      <c r="E3781">
        <v>3</v>
      </c>
      <c r="H3781">
        <v>166</v>
      </c>
      <c r="I3781" t="s">
        <v>144</v>
      </c>
      <c r="J3781" t="s">
        <v>148</v>
      </c>
      <c r="K3781">
        <v>0</v>
      </c>
      <c r="L3781">
        <v>3</v>
      </c>
      <c r="M3781">
        <v>0</v>
      </c>
      <c r="N3781">
        <v>2</v>
      </c>
      <c r="O3781">
        <v>0</v>
      </c>
      <c r="P3781">
        <v>1</v>
      </c>
      <c r="Q3781">
        <v>0</v>
      </c>
      <c r="S3781" t="str">
        <f t="shared" si="1393"/>
        <v>19:35:44.000</v>
      </c>
      <c r="T3781" t="str">
        <f t="shared" si="1393"/>
        <v>19:35:44.000</v>
      </c>
      <c r="U3781" t="str">
        <f t="shared" si="1391"/>
        <v>AC3944</v>
      </c>
      <c r="V3781">
        <v>0</v>
      </c>
      <c r="W3781">
        <v>0</v>
      </c>
      <c r="X3781">
        <v>2</v>
      </c>
      <c r="Y3781">
        <v>0</v>
      </c>
      <c r="AA3781">
        <v>1</v>
      </c>
      <c r="AB3781">
        <v>8</v>
      </c>
      <c r="AC3781">
        <v>3</v>
      </c>
      <c r="AD3781">
        <v>0</v>
      </c>
      <c r="AE3781">
        <v>9</v>
      </c>
      <c r="AF3781" t="s">
        <v>138</v>
      </c>
      <c r="AG3781">
        <v>0</v>
      </c>
      <c r="AH3781">
        <v>3</v>
      </c>
      <c r="AI3781">
        <v>1</v>
      </c>
      <c r="AJ3781">
        <v>0</v>
      </c>
      <c r="AK3781" t="s">
        <v>1230</v>
      </c>
      <c r="AL3781">
        <v>32.737799000000003</v>
      </c>
      <c r="AM3781" t="s">
        <v>1232</v>
      </c>
      <c r="AN3781">
        <v>-116.70544599999999</v>
      </c>
      <c r="AO3781">
        <v>25</v>
      </c>
      <c r="AP3781">
        <v>4600</v>
      </c>
      <c r="AQ3781" t="s">
        <v>129</v>
      </c>
      <c r="AR3781">
        <v>126</v>
      </c>
      <c r="AS3781">
        <v>0</v>
      </c>
      <c r="AT3781">
        <v>640</v>
      </c>
      <c r="BB3781">
        <v>1200</v>
      </c>
      <c r="BC3781">
        <v>1</v>
      </c>
      <c r="BD3781" t="str">
        <f t="shared" si="1392"/>
        <v xml:space="preserve">N887QR  </v>
      </c>
      <c r="BE3781">
        <v>1</v>
      </c>
      <c r="BG3781">
        <v>0</v>
      </c>
      <c r="BH3781">
        <v>0</v>
      </c>
      <c r="BI3781">
        <v>0</v>
      </c>
      <c r="BJ3781">
        <v>4475</v>
      </c>
      <c r="BK3781">
        <v>-125</v>
      </c>
      <c r="BL3781" t="s">
        <v>163</v>
      </c>
      <c r="BM3781">
        <v>1</v>
      </c>
      <c r="BN3781">
        <v>1</v>
      </c>
      <c r="BO3781">
        <v>1</v>
      </c>
      <c r="BP3781">
        <v>0</v>
      </c>
      <c r="BS3781">
        <v>0</v>
      </c>
      <c r="BT3781">
        <v>0</v>
      </c>
      <c r="BU3781">
        <v>0</v>
      </c>
      <c r="CE3781" t="str">
        <f t="shared" si="1394"/>
        <v>19:35:44.338</v>
      </c>
      <c r="CF3781">
        <v>338437120</v>
      </c>
      <c r="CS3781">
        <v>0</v>
      </c>
      <c r="CT3781">
        <v>2</v>
      </c>
      <c r="CU3781">
        <v>0</v>
      </c>
      <c r="CV3781">
        <v>2</v>
      </c>
      <c r="CW3781">
        <v>0</v>
      </c>
      <c r="CX3781">
        <v>5</v>
      </c>
      <c r="CY3781">
        <v>7</v>
      </c>
      <c r="CZ3781" t="s">
        <v>131</v>
      </c>
      <c r="DA3781">
        <v>300</v>
      </c>
      <c r="DB3781">
        <v>0</v>
      </c>
      <c r="DC3781" t="s">
        <v>176</v>
      </c>
      <c r="DD3781" t="s">
        <v>177</v>
      </c>
      <c r="DG3781">
        <v>5447606</v>
      </c>
      <c r="DI3781">
        <v>1</v>
      </c>
      <c r="DJ3781">
        <v>0</v>
      </c>
      <c r="DK3781">
        <v>1</v>
      </c>
      <c r="DL3781">
        <v>0</v>
      </c>
      <c r="DM3781">
        <v>0</v>
      </c>
      <c r="DN3781">
        <v>1</v>
      </c>
      <c r="DO3781">
        <v>0</v>
      </c>
      <c r="DP3781">
        <v>0</v>
      </c>
      <c r="DQ3781">
        <v>0</v>
      </c>
      <c r="DR3781">
        <v>0</v>
      </c>
      <c r="DS3781">
        <v>0</v>
      </c>
    </row>
    <row r="3782" spans="1:123" x14ac:dyDescent="0.3">
      <c r="A3782" t="str">
        <f>"10/04/2022 19:35:44.574"</f>
        <v>10/04/2022 19:35:44.574</v>
      </c>
      <c r="C3782" t="str">
        <f t="shared" si="1383"/>
        <v>FFDFD3C0</v>
      </c>
      <c r="D3782" t="s">
        <v>134</v>
      </c>
      <c r="E3782">
        <v>15</v>
      </c>
      <c r="J3782" t="s">
        <v>135</v>
      </c>
      <c r="K3782">
        <v>0</v>
      </c>
      <c r="L3782">
        <v>3</v>
      </c>
      <c r="M3782">
        <v>0</v>
      </c>
      <c r="N3782">
        <v>2</v>
      </c>
      <c r="O3782">
        <v>0</v>
      </c>
      <c r="P3782">
        <v>1</v>
      </c>
      <c r="Q3782">
        <v>0</v>
      </c>
      <c r="S3782" t="str">
        <f t="shared" si="1393"/>
        <v>19:35:44.000</v>
      </c>
      <c r="T3782" t="str">
        <f t="shared" si="1393"/>
        <v>19:35:44.000</v>
      </c>
      <c r="U3782" t="str">
        <f t="shared" si="1391"/>
        <v>AC3944</v>
      </c>
      <c r="V3782">
        <v>0</v>
      </c>
      <c r="W3782">
        <v>0</v>
      </c>
      <c r="X3782">
        <v>2</v>
      </c>
      <c r="Y3782">
        <v>0</v>
      </c>
      <c r="AA3782">
        <v>1</v>
      </c>
      <c r="AB3782">
        <v>8</v>
      </c>
      <c r="AC3782">
        <v>3</v>
      </c>
      <c r="AD3782">
        <v>0</v>
      </c>
      <c r="AE3782">
        <v>9</v>
      </c>
      <c r="AF3782" t="s">
        <v>138</v>
      </c>
      <c r="AG3782">
        <v>0</v>
      </c>
      <c r="AH3782">
        <v>3</v>
      </c>
      <c r="AI3782">
        <v>1</v>
      </c>
      <c r="AJ3782">
        <v>0</v>
      </c>
      <c r="AK3782" t="s">
        <v>1230</v>
      </c>
      <c r="AL3782">
        <v>32.737799000000003</v>
      </c>
      <c r="AM3782" t="s">
        <v>1232</v>
      </c>
      <c r="AN3782">
        <v>-116.70544599999999</v>
      </c>
      <c r="AO3782">
        <v>25</v>
      </c>
      <c r="AP3782">
        <v>4600</v>
      </c>
      <c r="AQ3782" t="s">
        <v>129</v>
      </c>
      <c r="AR3782">
        <v>126</v>
      </c>
      <c r="AS3782">
        <v>0</v>
      </c>
      <c r="AT3782">
        <v>640</v>
      </c>
      <c r="BB3782">
        <v>1200</v>
      </c>
      <c r="BC3782">
        <v>1</v>
      </c>
      <c r="BD3782" t="str">
        <f t="shared" si="1392"/>
        <v xml:space="preserve">N887QR  </v>
      </c>
      <c r="BE3782">
        <v>1</v>
      </c>
      <c r="BG3782">
        <v>0</v>
      </c>
      <c r="BH3782">
        <v>0</v>
      </c>
      <c r="BI3782">
        <v>0</v>
      </c>
      <c r="BJ3782">
        <v>4475</v>
      </c>
      <c r="BK3782">
        <v>-125</v>
      </c>
      <c r="BL3782" t="s">
        <v>163</v>
      </c>
      <c r="BM3782">
        <v>1</v>
      </c>
      <c r="BN3782">
        <v>1</v>
      </c>
      <c r="BO3782">
        <v>1</v>
      </c>
      <c r="BP3782">
        <v>0</v>
      </c>
      <c r="BS3782">
        <v>0</v>
      </c>
      <c r="BT3782">
        <v>0</v>
      </c>
      <c r="BU3782">
        <v>0</v>
      </c>
      <c r="CE3782" t="str">
        <f t="shared" si="1394"/>
        <v>19:35:44.338</v>
      </c>
      <c r="CF3782">
        <v>338437120</v>
      </c>
      <c r="CS3782">
        <v>0</v>
      </c>
      <c r="CT3782">
        <v>2</v>
      </c>
      <c r="CU3782">
        <v>0</v>
      </c>
      <c r="CV3782">
        <v>2</v>
      </c>
      <c r="CW3782">
        <v>0</v>
      </c>
      <c r="CX3782">
        <v>5</v>
      </c>
      <c r="CY3782">
        <v>7</v>
      </c>
      <c r="CZ3782" t="s">
        <v>131</v>
      </c>
      <c r="DA3782">
        <v>300</v>
      </c>
      <c r="DB3782">
        <v>0</v>
      </c>
      <c r="DC3782" t="s">
        <v>176</v>
      </c>
      <c r="DD3782" t="s">
        <v>177</v>
      </c>
      <c r="DG3782">
        <v>5447606</v>
      </c>
      <c r="DI3782">
        <v>1</v>
      </c>
      <c r="DJ3782">
        <v>0</v>
      </c>
      <c r="DK3782">
        <v>1</v>
      </c>
      <c r="DL3782">
        <v>0</v>
      </c>
      <c r="DM3782">
        <v>0</v>
      </c>
      <c r="DN3782">
        <v>1</v>
      </c>
      <c r="DO3782">
        <v>0</v>
      </c>
      <c r="DP3782">
        <v>0</v>
      </c>
      <c r="DQ3782">
        <v>0</v>
      </c>
      <c r="DR3782">
        <v>0</v>
      </c>
      <c r="DS3782">
        <v>0</v>
      </c>
    </row>
    <row r="3783" spans="1:123" x14ac:dyDescent="0.3">
      <c r="A3783" t="str">
        <f>"10/04/2022 19:35:44.574"</f>
        <v>10/04/2022 19:35:44.574</v>
      </c>
      <c r="C3783" t="str">
        <f t="shared" si="1383"/>
        <v>FFDFD3C0</v>
      </c>
      <c r="D3783" t="s">
        <v>141</v>
      </c>
      <c r="E3783">
        <v>4</v>
      </c>
      <c r="H3783">
        <v>4</v>
      </c>
      <c r="I3783" t="s">
        <v>142</v>
      </c>
      <c r="J3783" t="s">
        <v>138</v>
      </c>
      <c r="K3783">
        <v>0</v>
      </c>
      <c r="L3783">
        <v>3</v>
      </c>
      <c r="M3783">
        <v>0</v>
      </c>
      <c r="N3783">
        <v>2</v>
      </c>
      <c r="O3783">
        <v>0</v>
      </c>
      <c r="P3783">
        <v>1</v>
      </c>
      <c r="Q3783">
        <v>0</v>
      </c>
      <c r="S3783" t="str">
        <f t="shared" si="1393"/>
        <v>19:35:44.000</v>
      </c>
      <c r="T3783" t="str">
        <f t="shared" si="1393"/>
        <v>19:35:44.000</v>
      </c>
      <c r="U3783" t="str">
        <f t="shared" si="1391"/>
        <v>AC3944</v>
      </c>
      <c r="V3783">
        <v>0</v>
      </c>
      <c r="W3783">
        <v>0</v>
      </c>
      <c r="X3783">
        <v>2</v>
      </c>
      <c r="Y3783">
        <v>0</v>
      </c>
      <c r="AA3783">
        <v>1</v>
      </c>
      <c r="AB3783">
        <v>8</v>
      </c>
      <c r="AC3783">
        <v>3</v>
      </c>
      <c r="AD3783">
        <v>0</v>
      </c>
      <c r="AE3783">
        <v>9</v>
      </c>
      <c r="AF3783" t="s">
        <v>138</v>
      </c>
      <c r="AG3783">
        <v>0</v>
      </c>
      <c r="AH3783">
        <v>3</v>
      </c>
      <c r="AI3783">
        <v>1</v>
      </c>
      <c r="AJ3783">
        <v>0</v>
      </c>
      <c r="AK3783" t="s">
        <v>1230</v>
      </c>
      <c r="AL3783">
        <v>32.737799000000003</v>
      </c>
      <c r="AM3783" t="s">
        <v>1232</v>
      </c>
      <c r="AN3783">
        <v>-116.70544599999999</v>
      </c>
      <c r="AO3783">
        <v>25</v>
      </c>
      <c r="AP3783">
        <v>4600</v>
      </c>
      <c r="AQ3783" t="s">
        <v>129</v>
      </c>
      <c r="AR3783">
        <v>126</v>
      </c>
      <c r="AS3783">
        <v>0</v>
      </c>
      <c r="AT3783">
        <v>640</v>
      </c>
      <c r="BB3783">
        <v>1200</v>
      </c>
      <c r="BC3783">
        <v>1</v>
      </c>
      <c r="BD3783" t="str">
        <f t="shared" si="1392"/>
        <v xml:space="preserve">N887QR  </v>
      </c>
      <c r="BE3783">
        <v>1</v>
      </c>
      <c r="BG3783">
        <v>0</v>
      </c>
      <c r="BH3783">
        <v>0</v>
      </c>
      <c r="BI3783">
        <v>0</v>
      </c>
      <c r="BJ3783">
        <v>4475</v>
      </c>
      <c r="BK3783">
        <v>-125</v>
      </c>
      <c r="BL3783" t="s">
        <v>163</v>
      </c>
      <c r="BM3783">
        <v>1</v>
      </c>
      <c r="BN3783">
        <v>1</v>
      </c>
      <c r="BO3783">
        <v>1</v>
      </c>
      <c r="BP3783">
        <v>0</v>
      </c>
      <c r="BS3783">
        <v>0</v>
      </c>
      <c r="BT3783">
        <v>0</v>
      </c>
      <c r="BU3783">
        <v>0</v>
      </c>
      <c r="CE3783" t="str">
        <f t="shared" si="1394"/>
        <v>19:35:44.338</v>
      </c>
      <c r="CF3783">
        <v>338437120</v>
      </c>
      <c r="CS3783">
        <v>0</v>
      </c>
      <c r="CT3783">
        <v>2</v>
      </c>
      <c r="CU3783">
        <v>0</v>
      </c>
      <c r="CV3783">
        <v>2</v>
      </c>
      <c r="CW3783">
        <v>0</v>
      </c>
      <c r="CX3783">
        <v>5</v>
      </c>
      <c r="CY3783">
        <v>7</v>
      </c>
      <c r="CZ3783" t="s">
        <v>131</v>
      </c>
      <c r="DA3783">
        <v>300</v>
      </c>
      <c r="DB3783">
        <v>0</v>
      </c>
      <c r="DC3783" t="s">
        <v>176</v>
      </c>
      <c r="DD3783" t="s">
        <v>177</v>
      </c>
      <c r="DG3783">
        <v>5447606</v>
      </c>
      <c r="DI3783">
        <v>1</v>
      </c>
      <c r="DJ3783">
        <v>0</v>
      </c>
      <c r="DK3783">
        <v>1</v>
      </c>
      <c r="DL3783">
        <v>0</v>
      </c>
      <c r="DM3783">
        <v>0</v>
      </c>
      <c r="DN3783">
        <v>1</v>
      </c>
      <c r="DO3783">
        <v>0</v>
      </c>
      <c r="DP3783">
        <v>0</v>
      </c>
      <c r="DQ3783">
        <v>0</v>
      </c>
      <c r="DR3783">
        <v>0</v>
      </c>
      <c r="DS3783">
        <v>0</v>
      </c>
    </row>
    <row r="3784" spans="1:123" x14ac:dyDescent="0.3">
      <c r="A3784" t="str">
        <f>"10/04/2022 19:35:44.636"</f>
        <v>10/04/2022 19:35:44.636</v>
      </c>
      <c r="C3784" t="str">
        <f t="shared" si="1383"/>
        <v>FFDFD3C0</v>
      </c>
      <c r="D3784" t="s">
        <v>143</v>
      </c>
      <c r="E3784">
        <v>20</v>
      </c>
      <c r="F3784">
        <v>1020</v>
      </c>
      <c r="G3784" t="s">
        <v>144</v>
      </c>
      <c r="J3784" t="s">
        <v>145</v>
      </c>
      <c r="K3784">
        <v>0</v>
      </c>
      <c r="L3784">
        <v>3</v>
      </c>
      <c r="M3784">
        <v>0</v>
      </c>
      <c r="N3784">
        <v>2</v>
      </c>
      <c r="O3784">
        <v>0</v>
      </c>
      <c r="P3784">
        <v>1</v>
      </c>
      <c r="Q3784">
        <v>0</v>
      </c>
      <c r="S3784" t="str">
        <f t="shared" si="1393"/>
        <v>19:35:44.000</v>
      </c>
      <c r="T3784" t="str">
        <f t="shared" si="1393"/>
        <v>19:35:44.000</v>
      </c>
      <c r="U3784" t="str">
        <f t="shared" si="1391"/>
        <v>AC3944</v>
      </c>
      <c r="V3784">
        <v>0</v>
      </c>
      <c r="W3784">
        <v>0</v>
      </c>
      <c r="X3784">
        <v>2</v>
      </c>
      <c r="Y3784">
        <v>0</v>
      </c>
      <c r="AA3784">
        <v>1</v>
      </c>
      <c r="AB3784">
        <v>8</v>
      </c>
      <c r="AC3784">
        <v>3</v>
      </c>
      <c r="AD3784">
        <v>0</v>
      </c>
      <c r="AE3784">
        <v>9</v>
      </c>
      <c r="AF3784" t="s">
        <v>138</v>
      </c>
      <c r="AG3784">
        <v>0</v>
      </c>
      <c r="AH3784">
        <v>3</v>
      </c>
      <c r="AI3784">
        <v>1</v>
      </c>
      <c r="AJ3784">
        <v>0</v>
      </c>
      <c r="AK3784" t="s">
        <v>1230</v>
      </c>
      <c r="AL3784">
        <v>32.737799000000003</v>
      </c>
      <c r="AM3784" t="s">
        <v>1232</v>
      </c>
      <c r="AN3784">
        <v>-116.70544599999999</v>
      </c>
      <c r="AO3784">
        <v>25</v>
      </c>
      <c r="AP3784">
        <v>4600</v>
      </c>
      <c r="AQ3784" t="s">
        <v>129</v>
      </c>
      <c r="AR3784">
        <v>126</v>
      </c>
      <c r="AS3784">
        <v>0</v>
      </c>
      <c r="AT3784">
        <v>640</v>
      </c>
      <c r="BB3784">
        <v>1200</v>
      </c>
      <c r="BC3784">
        <v>1</v>
      </c>
      <c r="BD3784" t="str">
        <f t="shared" si="1392"/>
        <v xml:space="preserve">N887QR  </v>
      </c>
      <c r="BE3784">
        <v>1</v>
      </c>
      <c r="BG3784">
        <v>0</v>
      </c>
      <c r="BH3784">
        <v>0</v>
      </c>
      <c r="BI3784">
        <v>0</v>
      </c>
      <c r="BJ3784">
        <v>4475</v>
      </c>
      <c r="BK3784">
        <v>-125</v>
      </c>
      <c r="BL3784" t="s">
        <v>163</v>
      </c>
      <c r="BM3784">
        <v>1</v>
      </c>
      <c r="BN3784">
        <v>1</v>
      </c>
      <c r="BO3784">
        <v>1</v>
      </c>
      <c r="BP3784">
        <v>0</v>
      </c>
      <c r="BS3784">
        <v>0</v>
      </c>
      <c r="BT3784">
        <v>0</v>
      </c>
      <c r="BU3784">
        <v>0</v>
      </c>
      <c r="CE3784" t="str">
        <f t="shared" si="1394"/>
        <v>19:35:44.338</v>
      </c>
      <c r="CF3784">
        <v>338437120</v>
      </c>
      <c r="CS3784">
        <v>0</v>
      </c>
      <c r="CT3784">
        <v>2</v>
      </c>
      <c r="CU3784">
        <v>0</v>
      </c>
      <c r="CV3784">
        <v>2</v>
      </c>
      <c r="CW3784">
        <v>0</v>
      </c>
      <c r="CX3784">
        <v>5</v>
      </c>
      <c r="CY3784">
        <v>7</v>
      </c>
      <c r="CZ3784" t="s">
        <v>131</v>
      </c>
      <c r="DA3784">
        <v>300</v>
      </c>
      <c r="DB3784">
        <v>0</v>
      </c>
      <c r="DC3784" t="s">
        <v>176</v>
      </c>
      <c r="DD3784" t="s">
        <v>177</v>
      </c>
      <c r="DG3784">
        <v>5447606</v>
      </c>
      <c r="DI3784">
        <v>1</v>
      </c>
      <c r="DJ3784">
        <v>0</v>
      </c>
      <c r="DK3784">
        <v>1</v>
      </c>
      <c r="DL3784">
        <v>0</v>
      </c>
      <c r="DM3784">
        <v>0</v>
      </c>
      <c r="DN3784">
        <v>1</v>
      </c>
      <c r="DO3784">
        <v>0</v>
      </c>
      <c r="DP3784">
        <v>0</v>
      </c>
      <c r="DQ3784">
        <v>0</v>
      </c>
      <c r="DR3784">
        <v>0</v>
      </c>
      <c r="DS3784">
        <v>0</v>
      </c>
    </row>
    <row r="3785" spans="1:123" x14ac:dyDescent="0.3">
      <c r="A3785" t="str">
        <f>"10/04/2022 19:35:44.636"</f>
        <v>10/04/2022 19:35:44.636</v>
      </c>
      <c r="C3785" t="str">
        <f t="shared" si="1383"/>
        <v>FFDFD3C0</v>
      </c>
      <c r="D3785" t="s">
        <v>141</v>
      </c>
      <c r="E3785">
        <v>3</v>
      </c>
      <c r="H3785">
        <v>3</v>
      </c>
      <c r="I3785" t="s">
        <v>146</v>
      </c>
      <c r="J3785" t="s">
        <v>138</v>
      </c>
      <c r="K3785">
        <v>0</v>
      </c>
      <c r="L3785">
        <v>3</v>
      </c>
      <c r="M3785">
        <v>0</v>
      </c>
      <c r="N3785">
        <v>2</v>
      </c>
      <c r="O3785">
        <v>0</v>
      </c>
      <c r="P3785">
        <v>1</v>
      </c>
      <c r="Q3785">
        <v>0</v>
      </c>
      <c r="S3785" t="str">
        <f t="shared" si="1393"/>
        <v>19:35:44.000</v>
      </c>
      <c r="T3785" t="str">
        <f t="shared" si="1393"/>
        <v>19:35:44.000</v>
      </c>
      <c r="U3785" t="str">
        <f t="shared" si="1391"/>
        <v>AC3944</v>
      </c>
      <c r="V3785">
        <v>0</v>
      </c>
      <c r="W3785">
        <v>0</v>
      </c>
      <c r="X3785">
        <v>2</v>
      </c>
      <c r="Y3785">
        <v>0</v>
      </c>
      <c r="AA3785">
        <v>1</v>
      </c>
      <c r="AB3785">
        <v>8</v>
      </c>
      <c r="AC3785">
        <v>3</v>
      </c>
      <c r="AD3785">
        <v>0</v>
      </c>
      <c r="AE3785">
        <v>9</v>
      </c>
      <c r="AF3785" t="s">
        <v>138</v>
      </c>
      <c r="AG3785">
        <v>0</v>
      </c>
      <c r="AH3785">
        <v>3</v>
      </c>
      <c r="AI3785">
        <v>1</v>
      </c>
      <c r="AJ3785">
        <v>0</v>
      </c>
      <c r="AK3785" t="s">
        <v>1230</v>
      </c>
      <c r="AL3785">
        <v>32.737799000000003</v>
      </c>
      <c r="AM3785" t="s">
        <v>1232</v>
      </c>
      <c r="AN3785">
        <v>-116.70544599999999</v>
      </c>
      <c r="AO3785">
        <v>25</v>
      </c>
      <c r="AP3785">
        <v>4600</v>
      </c>
      <c r="AQ3785" t="s">
        <v>129</v>
      </c>
      <c r="AR3785">
        <v>126</v>
      </c>
      <c r="AS3785">
        <v>0</v>
      </c>
      <c r="AT3785">
        <v>640</v>
      </c>
      <c r="BB3785">
        <v>1200</v>
      </c>
      <c r="BC3785">
        <v>1</v>
      </c>
      <c r="BD3785" t="str">
        <f t="shared" si="1392"/>
        <v xml:space="preserve">N887QR  </v>
      </c>
      <c r="BE3785">
        <v>1</v>
      </c>
      <c r="BG3785">
        <v>0</v>
      </c>
      <c r="BH3785">
        <v>0</v>
      </c>
      <c r="BI3785">
        <v>0</v>
      </c>
      <c r="BJ3785">
        <v>4475</v>
      </c>
      <c r="BK3785">
        <v>-125</v>
      </c>
      <c r="BL3785" t="s">
        <v>163</v>
      </c>
      <c r="BM3785">
        <v>1</v>
      </c>
      <c r="BN3785">
        <v>1</v>
      </c>
      <c r="BO3785">
        <v>1</v>
      </c>
      <c r="BP3785">
        <v>0</v>
      </c>
      <c r="BS3785">
        <v>0</v>
      </c>
      <c r="BT3785">
        <v>0</v>
      </c>
      <c r="BU3785">
        <v>0</v>
      </c>
      <c r="CE3785" t="str">
        <f t="shared" si="1394"/>
        <v>19:35:44.338</v>
      </c>
      <c r="CF3785">
        <v>338437120</v>
      </c>
      <c r="CS3785">
        <v>0</v>
      </c>
      <c r="CT3785">
        <v>2</v>
      </c>
      <c r="CU3785">
        <v>0</v>
      </c>
      <c r="CV3785">
        <v>2</v>
      </c>
      <c r="CW3785">
        <v>0</v>
      </c>
      <c r="CX3785">
        <v>5</v>
      </c>
      <c r="CY3785">
        <v>7</v>
      </c>
      <c r="CZ3785" t="s">
        <v>131</v>
      </c>
      <c r="DA3785">
        <v>300</v>
      </c>
      <c r="DB3785">
        <v>0</v>
      </c>
      <c r="DC3785" t="s">
        <v>176</v>
      </c>
      <c r="DD3785" t="s">
        <v>177</v>
      </c>
      <c r="DG3785">
        <v>5447606</v>
      </c>
      <c r="DI3785">
        <v>1</v>
      </c>
      <c r="DJ3785">
        <v>0</v>
      </c>
      <c r="DK3785">
        <v>1</v>
      </c>
      <c r="DL3785">
        <v>0</v>
      </c>
      <c r="DM3785">
        <v>0</v>
      </c>
      <c r="DN3785">
        <v>1</v>
      </c>
      <c r="DO3785">
        <v>0</v>
      </c>
      <c r="DP3785">
        <v>0</v>
      </c>
      <c r="DQ3785">
        <v>0</v>
      </c>
      <c r="DR3785">
        <v>0</v>
      </c>
      <c r="DS3785">
        <v>0</v>
      </c>
    </row>
    <row r="3786" spans="1:123" x14ac:dyDescent="0.3">
      <c r="A3786" t="str">
        <f>"10/04/2022 19:35:44.636"</f>
        <v>10/04/2022 19:35:44.636</v>
      </c>
      <c r="C3786" t="str">
        <f t="shared" si="1383"/>
        <v>FFDFD3C0</v>
      </c>
      <c r="D3786" t="s">
        <v>123</v>
      </c>
      <c r="E3786">
        <v>7</v>
      </c>
      <c r="F3786">
        <v>2007</v>
      </c>
      <c r="G3786" t="s">
        <v>124</v>
      </c>
      <c r="J3786" t="s">
        <v>125</v>
      </c>
      <c r="K3786">
        <v>0</v>
      </c>
      <c r="L3786">
        <v>3</v>
      </c>
      <c r="M3786">
        <v>0</v>
      </c>
      <c r="N3786">
        <v>2</v>
      </c>
      <c r="O3786">
        <v>0</v>
      </c>
      <c r="P3786">
        <v>1</v>
      </c>
      <c r="Q3786">
        <v>0</v>
      </c>
      <c r="S3786" t="str">
        <f t="shared" si="1393"/>
        <v>19:35:44.000</v>
      </c>
      <c r="T3786" t="str">
        <f t="shared" si="1393"/>
        <v>19:35:44.000</v>
      </c>
      <c r="U3786" t="str">
        <f t="shared" si="1391"/>
        <v>AC3944</v>
      </c>
      <c r="V3786">
        <v>0</v>
      </c>
      <c r="W3786">
        <v>0</v>
      </c>
      <c r="X3786">
        <v>2</v>
      </c>
      <c r="Y3786">
        <v>0</v>
      </c>
      <c r="AA3786">
        <v>1</v>
      </c>
      <c r="AB3786">
        <v>8</v>
      </c>
      <c r="AC3786">
        <v>3</v>
      </c>
      <c r="AD3786">
        <v>0</v>
      </c>
      <c r="AE3786">
        <v>9</v>
      </c>
      <c r="AF3786" t="s">
        <v>138</v>
      </c>
      <c r="AG3786">
        <v>0</v>
      </c>
      <c r="AH3786">
        <v>3</v>
      </c>
      <c r="AI3786">
        <v>1</v>
      </c>
      <c r="AJ3786">
        <v>0</v>
      </c>
      <c r="AK3786" t="s">
        <v>1230</v>
      </c>
      <c r="AL3786">
        <v>32.737799000000003</v>
      </c>
      <c r="AM3786" t="s">
        <v>1232</v>
      </c>
      <c r="AN3786">
        <v>-116.70544599999999</v>
      </c>
      <c r="AO3786">
        <v>25</v>
      </c>
      <c r="AP3786">
        <v>4600</v>
      </c>
      <c r="AQ3786" t="s">
        <v>129</v>
      </c>
      <c r="AR3786">
        <v>126</v>
      </c>
      <c r="AS3786">
        <v>0</v>
      </c>
      <c r="AT3786">
        <v>640</v>
      </c>
      <c r="BB3786">
        <v>1200</v>
      </c>
      <c r="BC3786">
        <v>1</v>
      </c>
      <c r="BD3786" t="str">
        <f t="shared" si="1392"/>
        <v xml:space="preserve">N887QR  </v>
      </c>
      <c r="BE3786">
        <v>1</v>
      </c>
      <c r="BG3786">
        <v>0</v>
      </c>
      <c r="BH3786">
        <v>0</v>
      </c>
      <c r="BI3786">
        <v>0</v>
      </c>
      <c r="BJ3786">
        <v>4475</v>
      </c>
      <c r="BK3786">
        <v>-125</v>
      </c>
      <c r="BL3786" t="s">
        <v>163</v>
      </c>
      <c r="BM3786">
        <v>1</v>
      </c>
      <c r="BN3786">
        <v>1</v>
      </c>
      <c r="BO3786">
        <v>1</v>
      </c>
      <c r="BP3786">
        <v>0</v>
      </c>
      <c r="BS3786">
        <v>0</v>
      </c>
      <c r="BT3786">
        <v>0</v>
      </c>
      <c r="BU3786">
        <v>0</v>
      </c>
      <c r="CE3786" t="str">
        <f t="shared" si="1394"/>
        <v>19:35:44.338</v>
      </c>
      <c r="CF3786">
        <v>338437120</v>
      </c>
      <c r="CS3786">
        <v>0</v>
      </c>
      <c r="CT3786">
        <v>2</v>
      </c>
      <c r="CU3786">
        <v>0</v>
      </c>
      <c r="CV3786">
        <v>2</v>
      </c>
      <c r="CW3786">
        <v>0</v>
      </c>
      <c r="CX3786">
        <v>5</v>
      </c>
      <c r="CY3786">
        <v>7</v>
      </c>
      <c r="CZ3786" t="s">
        <v>131</v>
      </c>
      <c r="DA3786">
        <v>300</v>
      </c>
      <c r="DB3786">
        <v>0</v>
      </c>
      <c r="DC3786" t="s">
        <v>176</v>
      </c>
      <c r="DD3786" t="s">
        <v>177</v>
      </c>
      <c r="DG3786">
        <v>5447606</v>
      </c>
      <c r="DI3786">
        <v>1</v>
      </c>
      <c r="DJ3786">
        <v>0</v>
      </c>
      <c r="DK3786">
        <v>1</v>
      </c>
      <c r="DL3786">
        <v>0</v>
      </c>
      <c r="DM3786">
        <v>0</v>
      </c>
      <c r="DN3786">
        <v>1</v>
      </c>
      <c r="DO3786">
        <v>0</v>
      </c>
      <c r="DP3786">
        <v>0</v>
      </c>
      <c r="DQ3786">
        <v>0</v>
      </c>
      <c r="DR3786">
        <v>0</v>
      </c>
      <c r="DS3786">
        <v>0</v>
      </c>
    </row>
    <row r="3787" spans="1:123" x14ac:dyDescent="0.3">
      <c r="A3787" t="str">
        <f t="shared" ref="A3787:A3793" si="1395">"10/04/2022 19:35:45.278"</f>
        <v>10/04/2022 19:35:45.278</v>
      </c>
      <c r="C3787" t="str">
        <f t="shared" si="1383"/>
        <v>FFDFD3C0</v>
      </c>
      <c r="D3787" t="s">
        <v>141</v>
      </c>
      <c r="E3787">
        <v>4</v>
      </c>
      <c r="H3787">
        <v>4</v>
      </c>
      <c r="I3787" t="s">
        <v>142</v>
      </c>
      <c r="J3787" t="s">
        <v>138</v>
      </c>
      <c r="K3787">
        <v>0</v>
      </c>
      <c r="L3787">
        <v>3</v>
      </c>
      <c r="M3787">
        <v>0</v>
      </c>
      <c r="N3787">
        <v>2</v>
      </c>
      <c r="O3787">
        <v>0</v>
      </c>
      <c r="P3787">
        <v>1</v>
      </c>
      <c r="Q3787">
        <v>0</v>
      </c>
      <c r="S3787" t="str">
        <f t="shared" si="1393"/>
        <v>19:35:44.000</v>
      </c>
      <c r="T3787" t="str">
        <f t="shared" si="1393"/>
        <v>19:35:44.000</v>
      </c>
      <c r="U3787" t="str">
        <f t="shared" si="1391"/>
        <v>AC3944</v>
      </c>
      <c r="V3787">
        <v>0</v>
      </c>
      <c r="W3787">
        <v>0</v>
      </c>
      <c r="X3787">
        <v>2</v>
      </c>
      <c r="Y3787">
        <v>0</v>
      </c>
      <c r="AA3787">
        <v>1</v>
      </c>
      <c r="AB3787">
        <v>8</v>
      </c>
      <c r="AC3787">
        <v>3</v>
      </c>
      <c r="AD3787">
        <v>0</v>
      </c>
      <c r="AE3787">
        <v>9</v>
      </c>
      <c r="AF3787" t="s">
        <v>138</v>
      </c>
      <c r="AG3787">
        <v>0</v>
      </c>
      <c r="AH3787">
        <v>3</v>
      </c>
      <c r="AI3787">
        <v>1</v>
      </c>
      <c r="AJ3787">
        <v>0</v>
      </c>
      <c r="AK3787" t="s">
        <v>1230</v>
      </c>
      <c r="AL3787">
        <v>32.737799000000003</v>
      </c>
      <c r="AM3787" t="s">
        <v>1233</v>
      </c>
      <c r="AN3787">
        <v>-116.70475999999999</v>
      </c>
      <c r="AO3787">
        <v>25</v>
      </c>
      <c r="AP3787">
        <v>4700</v>
      </c>
      <c r="AQ3787" t="s">
        <v>129</v>
      </c>
      <c r="AR3787">
        <v>125</v>
      </c>
      <c r="AS3787">
        <v>-1</v>
      </c>
      <c r="AT3787">
        <v>640</v>
      </c>
      <c r="BB3787">
        <v>1200</v>
      </c>
      <c r="BC3787">
        <v>1</v>
      </c>
      <c r="BD3787" t="str">
        <f t="shared" si="1392"/>
        <v xml:space="preserve">N887QR  </v>
      </c>
      <c r="BE3787">
        <v>1</v>
      </c>
      <c r="BG3787">
        <v>0</v>
      </c>
      <c r="BH3787">
        <v>0</v>
      </c>
      <c r="BI3787">
        <v>0</v>
      </c>
      <c r="BJ3787">
        <v>4475</v>
      </c>
      <c r="BK3787">
        <v>-225</v>
      </c>
      <c r="BL3787" t="s">
        <v>163</v>
      </c>
      <c r="BM3787">
        <v>1</v>
      </c>
      <c r="BN3787">
        <v>1</v>
      </c>
      <c r="BO3787">
        <v>1</v>
      </c>
      <c r="BP3787">
        <v>0</v>
      </c>
      <c r="BS3787">
        <v>0</v>
      </c>
      <c r="BT3787">
        <v>0</v>
      </c>
      <c r="BU3787">
        <v>0</v>
      </c>
      <c r="CE3787" t="str">
        <f t="shared" ref="CE3787:CE3793" si="1396">"19:35:44.833"</f>
        <v>19:35:44.833</v>
      </c>
      <c r="CF3787">
        <v>833438777</v>
      </c>
      <c r="CS3787">
        <v>0</v>
      </c>
      <c r="CT3787">
        <v>2</v>
      </c>
      <c r="CU3787">
        <v>0</v>
      </c>
      <c r="CV3787">
        <v>2</v>
      </c>
      <c r="CW3787">
        <v>0</v>
      </c>
      <c r="CX3787">
        <v>5</v>
      </c>
      <c r="CY3787">
        <v>7</v>
      </c>
      <c r="CZ3787" t="s">
        <v>131</v>
      </c>
      <c r="DA3787">
        <v>300</v>
      </c>
      <c r="DB3787">
        <v>0</v>
      </c>
      <c r="DC3787" t="s">
        <v>176</v>
      </c>
      <c r="DD3787" t="s">
        <v>177</v>
      </c>
      <c r="DG3787">
        <v>5447684</v>
      </c>
      <c r="DI3787">
        <v>1</v>
      </c>
      <c r="DJ3787">
        <v>0</v>
      </c>
      <c r="DK3787">
        <v>0</v>
      </c>
      <c r="DL3787">
        <v>0</v>
      </c>
      <c r="DM3787">
        <v>0</v>
      </c>
      <c r="DN3787">
        <v>1</v>
      </c>
      <c r="DO3787">
        <v>0</v>
      </c>
      <c r="DP3787">
        <v>0</v>
      </c>
      <c r="DQ3787">
        <v>0</v>
      </c>
      <c r="DR3787">
        <v>0</v>
      </c>
      <c r="DS3787">
        <v>0</v>
      </c>
    </row>
    <row r="3788" spans="1:123" x14ac:dyDescent="0.3">
      <c r="A3788" t="str">
        <f t="shared" si="1395"/>
        <v>10/04/2022 19:35:45.278</v>
      </c>
      <c r="C3788" t="str">
        <f t="shared" si="1383"/>
        <v>FFDFD3C0</v>
      </c>
      <c r="D3788" t="s">
        <v>143</v>
      </c>
      <c r="E3788">
        <v>20</v>
      </c>
      <c r="F3788">
        <v>1020</v>
      </c>
      <c r="G3788" t="s">
        <v>144</v>
      </c>
      <c r="J3788" t="s">
        <v>145</v>
      </c>
      <c r="K3788">
        <v>0</v>
      </c>
      <c r="L3788">
        <v>3</v>
      </c>
      <c r="M3788">
        <v>0</v>
      </c>
      <c r="N3788">
        <v>2</v>
      </c>
      <c r="O3788">
        <v>0</v>
      </c>
      <c r="P3788">
        <v>1</v>
      </c>
      <c r="Q3788">
        <v>0</v>
      </c>
      <c r="S3788" t="str">
        <f t="shared" si="1393"/>
        <v>19:35:44.000</v>
      </c>
      <c r="T3788" t="str">
        <f t="shared" si="1393"/>
        <v>19:35:44.000</v>
      </c>
      <c r="U3788" t="str">
        <f t="shared" si="1391"/>
        <v>AC3944</v>
      </c>
      <c r="V3788">
        <v>0</v>
      </c>
      <c r="W3788">
        <v>0</v>
      </c>
      <c r="X3788">
        <v>2</v>
      </c>
      <c r="Y3788">
        <v>0</v>
      </c>
      <c r="AA3788">
        <v>1</v>
      </c>
      <c r="AB3788">
        <v>8</v>
      </c>
      <c r="AC3788">
        <v>3</v>
      </c>
      <c r="AD3788">
        <v>0</v>
      </c>
      <c r="AE3788">
        <v>9</v>
      </c>
      <c r="AF3788" t="s">
        <v>138</v>
      </c>
      <c r="AG3788">
        <v>0</v>
      </c>
      <c r="AH3788">
        <v>3</v>
      </c>
      <c r="AI3788">
        <v>1</v>
      </c>
      <c r="AJ3788">
        <v>0</v>
      </c>
      <c r="AK3788" t="s">
        <v>1230</v>
      </c>
      <c r="AL3788">
        <v>32.737799000000003</v>
      </c>
      <c r="AM3788" t="s">
        <v>1233</v>
      </c>
      <c r="AN3788">
        <v>-116.70475999999999</v>
      </c>
      <c r="AO3788">
        <v>25</v>
      </c>
      <c r="AP3788">
        <v>4700</v>
      </c>
      <c r="AQ3788" t="s">
        <v>129</v>
      </c>
      <c r="AR3788">
        <v>125</v>
      </c>
      <c r="AS3788">
        <v>-1</v>
      </c>
      <c r="AT3788">
        <v>640</v>
      </c>
      <c r="BB3788">
        <v>1200</v>
      </c>
      <c r="BC3788">
        <v>1</v>
      </c>
      <c r="BD3788" t="str">
        <f t="shared" si="1392"/>
        <v xml:space="preserve">N887QR  </v>
      </c>
      <c r="BE3788">
        <v>1</v>
      </c>
      <c r="BG3788">
        <v>0</v>
      </c>
      <c r="BH3788">
        <v>0</v>
      </c>
      <c r="BI3788">
        <v>0</v>
      </c>
      <c r="BJ3788">
        <v>4475</v>
      </c>
      <c r="BK3788">
        <v>-225</v>
      </c>
      <c r="BL3788" t="s">
        <v>163</v>
      </c>
      <c r="BM3788">
        <v>1</v>
      </c>
      <c r="BN3788">
        <v>1</v>
      </c>
      <c r="BO3788">
        <v>1</v>
      </c>
      <c r="BP3788">
        <v>0</v>
      </c>
      <c r="BS3788">
        <v>0</v>
      </c>
      <c r="BT3788">
        <v>0</v>
      </c>
      <c r="BU3788">
        <v>0</v>
      </c>
      <c r="CE3788" t="str">
        <f t="shared" si="1396"/>
        <v>19:35:44.833</v>
      </c>
      <c r="CF3788">
        <v>833438777</v>
      </c>
      <c r="CS3788">
        <v>0</v>
      </c>
      <c r="CT3788">
        <v>2</v>
      </c>
      <c r="CU3788">
        <v>0</v>
      </c>
      <c r="CV3788">
        <v>2</v>
      </c>
      <c r="CW3788">
        <v>0</v>
      </c>
      <c r="CX3788">
        <v>5</v>
      </c>
      <c r="CY3788">
        <v>7</v>
      </c>
      <c r="CZ3788" t="s">
        <v>131</v>
      </c>
      <c r="DA3788">
        <v>300</v>
      </c>
      <c r="DB3788">
        <v>0</v>
      </c>
      <c r="DC3788" t="s">
        <v>176</v>
      </c>
      <c r="DD3788" t="s">
        <v>177</v>
      </c>
      <c r="DG3788">
        <v>5447684</v>
      </c>
      <c r="DI3788">
        <v>1</v>
      </c>
      <c r="DJ3788">
        <v>0</v>
      </c>
      <c r="DK3788">
        <v>1</v>
      </c>
      <c r="DL3788">
        <v>0</v>
      </c>
      <c r="DM3788">
        <v>0</v>
      </c>
      <c r="DN3788">
        <v>1</v>
      </c>
      <c r="DO3788">
        <v>0</v>
      </c>
      <c r="DP3788">
        <v>0</v>
      </c>
      <c r="DQ3788">
        <v>0</v>
      </c>
      <c r="DR3788">
        <v>0</v>
      </c>
      <c r="DS3788">
        <v>0</v>
      </c>
    </row>
    <row r="3789" spans="1:123" x14ac:dyDescent="0.3">
      <c r="A3789" t="str">
        <f t="shared" si="1395"/>
        <v>10/04/2022 19:35:45.278</v>
      </c>
      <c r="C3789" t="str">
        <f t="shared" si="1383"/>
        <v>FFDFD3C0</v>
      </c>
      <c r="D3789" t="s">
        <v>141</v>
      </c>
      <c r="E3789">
        <v>3</v>
      </c>
      <c r="H3789">
        <v>3</v>
      </c>
      <c r="I3789" t="s">
        <v>146</v>
      </c>
      <c r="J3789" t="s">
        <v>138</v>
      </c>
      <c r="K3789">
        <v>0</v>
      </c>
      <c r="L3789">
        <v>3</v>
      </c>
      <c r="M3789">
        <v>0</v>
      </c>
      <c r="N3789">
        <v>2</v>
      </c>
      <c r="O3789">
        <v>0</v>
      </c>
      <c r="P3789">
        <v>1</v>
      </c>
      <c r="Q3789">
        <v>0</v>
      </c>
      <c r="S3789" t="str">
        <f t="shared" si="1393"/>
        <v>19:35:44.000</v>
      </c>
      <c r="T3789" t="str">
        <f t="shared" si="1393"/>
        <v>19:35:44.000</v>
      </c>
      <c r="U3789" t="str">
        <f t="shared" si="1391"/>
        <v>AC3944</v>
      </c>
      <c r="V3789">
        <v>0</v>
      </c>
      <c r="W3789">
        <v>0</v>
      </c>
      <c r="X3789">
        <v>2</v>
      </c>
      <c r="Y3789">
        <v>0</v>
      </c>
      <c r="AA3789">
        <v>1</v>
      </c>
      <c r="AB3789">
        <v>8</v>
      </c>
      <c r="AC3789">
        <v>3</v>
      </c>
      <c r="AD3789">
        <v>0</v>
      </c>
      <c r="AE3789">
        <v>9</v>
      </c>
      <c r="AF3789" t="s">
        <v>138</v>
      </c>
      <c r="AG3789">
        <v>0</v>
      </c>
      <c r="AH3789">
        <v>3</v>
      </c>
      <c r="AI3789">
        <v>1</v>
      </c>
      <c r="AJ3789">
        <v>0</v>
      </c>
      <c r="AK3789" t="s">
        <v>1230</v>
      </c>
      <c r="AL3789">
        <v>32.737799000000003</v>
      </c>
      <c r="AM3789" t="s">
        <v>1233</v>
      </c>
      <c r="AN3789">
        <v>-116.70475999999999</v>
      </c>
      <c r="AO3789">
        <v>25</v>
      </c>
      <c r="AP3789">
        <v>4700</v>
      </c>
      <c r="AQ3789" t="s">
        <v>129</v>
      </c>
      <c r="AR3789">
        <v>125</v>
      </c>
      <c r="AS3789">
        <v>-1</v>
      </c>
      <c r="AT3789">
        <v>640</v>
      </c>
      <c r="BB3789">
        <v>1200</v>
      </c>
      <c r="BC3789">
        <v>1</v>
      </c>
      <c r="BD3789" t="str">
        <f t="shared" si="1392"/>
        <v xml:space="preserve">N887QR  </v>
      </c>
      <c r="BE3789">
        <v>1</v>
      </c>
      <c r="BG3789">
        <v>0</v>
      </c>
      <c r="BH3789">
        <v>0</v>
      </c>
      <c r="BI3789">
        <v>0</v>
      </c>
      <c r="BJ3789">
        <v>4475</v>
      </c>
      <c r="BK3789">
        <v>-225</v>
      </c>
      <c r="BL3789" t="s">
        <v>163</v>
      </c>
      <c r="BM3789">
        <v>1</v>
      </c>
      <c r="BN3789">
        <v>1</v>
      </c>
      <c r="BO3789">
        <v>1</v>
      </c>
      <c r="BP3789">
        <v>0</v>
      </c>
      <c r="BS3789">
        <v>0</v>
      </c>
      <c r="BT3789">
        <v>0</v>
      </c>
      <c r="BU3789">
        <v>0</v>
      </c>
      <c r="CE3789" t="str">
        <f t="shared" si="1396"/>
        <v>19:35:44.833</v>
      </c>
      <c r="CF3789">
        <v>833438777</v>
      </c>
      <c r="CS3789">
        <v>0</v>
      </c>
      <c r="CT3789">
        <v>2</v>
      </c>
      <c r="CU3789">
        <v>0</v>
      </c>
      <c r="CV3789">
        <v>2</v>
      </c>
      <c r="CW3789">
        <v>0</v>
      </c>
      <c r="CX3789">
        <v>5</v>
      </c>
      <c r="CY3789">
        <v>7</v>
      </c>
      <c r="CZ3789" t="s">
        <v>131</v>
      </c>
      <c r="DA3789">
        <v>300</v>
      </c>
      <c r="DB3789">
        <v>0</v>
      </c>
      <c r="DC3789" t="s">
        <v>176</v>
      </c>
      <c r="DD3789" t="s">
        <v>177</v>
      </c>
      <c r="DG3789">
        <v>5447684</v>
      </c>
      <c r="DI3789">
        <v>1</v>
      </c>
      <c r="DJ3789">
        <v>0</v>
      </c>
      <c r="DK3789">
        <v>1</v>
      </c>
      <c r="DL3789">
        <v>0</v>
      </c>
      <c r="DM3789">
        <v>0</v>
      </c>
      <c r="DN3789">
        <v>1</v>
      </c>
      <c r="DO3789">
        <v>0</v>
      </c>
      <c r="DP3789">
        <v>0</v>
      </c>
      <c r="DQ3789">
        <v>0</v>
      </c>
      <c r="DR3789">
        <v>0</v>
      </c>
      <c r="DS3789">
        <v>0</v>
      </c>
    </row>
    <row r="3790" spans="1:123" x14ac:dyDescent="0.3">
      <c r="A3790" t="str">
        <f t="shared" si="1395"/>
        <v>10/04/2022 19:35:45.278</v>
      </c>
      <c r="C3790" t="str">
        <f t="shared" si="1383"/>
        <v>FFDFD3C0</v>
      </c>
      <c r="D3790" t="s">
        <v>123</v>
      </c>
      <c r="E3790">
        <v>7</v>
      </c>
      <c r="F3790">
        <v>2007</v>
      </c>
      <c r="G3790" t="s">
        <v>124</v>
      </c>
      <c r="J3790" t="s">
        <v>125</v>
      </c>
      <c r="K3790">
        <v>0</v>
      </c>
      <c r="L3790">
        <v>3</v>
      </c>
      <c r="M3790">
        <v>0</v>
      </c>
      <c r="N3790">
        <v>2</v>
      </c>
      <c r="O3790">
        <v>0</v>
      </c>
      <c r="P3790">
        <v>1</v>
      </c>
      <c r="Q3790">
        <v>0</v>
      </c>
      <c r="S3790" t="str">
        <f t="shared" si="1393"/>
        <v>19:35:44.000</v>
      </c>
      <c r="T3790" t="str">
        <f t="shared" si="1393"/>
        <v>19:35:44.000</v>
      </c>
      <c r="U3790" t="str">
        <f t="shared" si="1391"/>
        <v>AC3944</v>
      </c>
      <c r="V3790">
        <v>0</v>
      </c>
      <c r="W3790">
        <v>0</v>
      </c>
      <c r="X3790">
        <v>2</v>
      </c>
      <c r="Y3790">
        <v>0</v>
      </c>
      <c r="AA3790">
        <v>1</v>
      </c>
      <c r="AB3790">
        <v>8</v>
      </c>
      <c r="AC3790">
        <v>3</v>
      </c>
      <c r="AD3790">
        <v>0</v>
      </c>
      <c r="AE3790">
        <v>9</v>
      </c>
      <c r="AF3790" t="s">
        <v>138</v>
      </c>
      <c r="AG3790">
        <v>0</v>
      </c>
      <c r="AH3790">
        <v>3</v>
      </c>
      <c r="AI3790">
        <v>1</v>
      </c>
      <c r="AJ3790">
        <v>0</v>
      </c>
      <c r="AK3790" t="s">
        <v>1230</v>
      </c>
      <c r="AL3790">
        <v>32.737799000000003</v>
      </c>
      <c r="AM3790" t="s">
        <v>1233</v>
      </c>
      <c r="AN3790">
        <v>-116.70475999999999</v>
      </c>
      <c r="AO3790">
        <v>25</v>
      </c>
      <c r="AP3790">
        <v>4700</v>
      </c>
      <c r="AQ3790" t="s">
        <v>129</v>
      </c>
      <c r="AR3790">
        <v>125</v>
      </c>
      <c r="AS3790">
        <v>-1</v>
      </c>
      <c r="AT3790">
        <v>640</v>
      </c>
      <c r="BB3790">
        <v>1200</v>
      </c>
      <c r="BC3790">
        <v>1</v>
      </c>
      <c r="BD3790" t="str">
        <f t="shared" si="1392"/>
        <v xml:space="preserve">N887QR  </v>
      </c>
      <c r="BE3790">
        <v>1</v>
      </c>
      <c r="BG3790">
        <v>0</v>
      </c>
      <c r="BH3790">
        <v>0</v>
      </c>
      <c r="BI3790">
        <v>0</v>
      </c>
      <c r="BJ3790">
        <v>4475</v>
      </c>
      <c r="BK3790">
        <v>-225</v>
      </c>
      <c r="BL3790" t="s">
        <v>163</v>
      </c>
      <c r="BM3790">
        <v>1</v>
      </c>
      <c r="BN3790">
        <v>1</v>
      </c>
      <c r="BO3790">
        <v>1</v>
      </c>
      <c r="BP3790">
        <v>0</v>
      </c>
      <c r="BS3790">
        <v>0</v>
      </c>
      <c r="BT3790">
        <v>0</v>
      </c>
      <c r="BU3790">
        <v>0</v>
      </c>
      <c r="CE3790" t="str">
        <f t="shared" si="1396"/>
        <v>19:35:44.833</v>
      </c>
      <c r="CF3790">
        <v>833438777</v>
      </c>
      <c r="CS3790">
        <v>0</v>
      </c>
      <c r="CT3790">
        <v>2</v>
      </c>
      <c r="CU3790">
        <v>0</v>
      </c>
      <c r="CV3790">
        <v>2</v>
      </c>
      <c r="CW3790">
        <v>0</v>
      </c>
      <c r="CX3790">
        <v>5</v>
      </c>
      <c r="CY3790">
        <v>7</v>
      </c>
      <c r="CZ3790" t="s">
        <v>131</v>
      </c>
      <c r="DA3790">
        <v>300</v>
      </c>
      <c r="DB3790">
        <v>0</v>
      </c>
      <c r="DC3790" t="s">
        <v>176</v>
      </c>
      <c r="DD3790" t="s">
        <v>177</v>
      </c>
      <c r="DG3790">
        <v>5447684</v>
      </c>
      <c r="DI3790">
        <v>1</v>
      </c>
      <c r="DJ3790">
        <v>0</v>
      </c>
      <c r="DK3790">
        <v>1</v>
      </c>
      <c r="DL3790">
        <v>0</v>
      </c>
      <c r="DM3790">
        <v>0</v>
      </c>
      <c r="DN3790">
        <v>1</v>
      </c>
      <c r="DO3790">
        <v>0</v>
      </c>
      <c r="DP3790">
        <v>0</v>
      </c>
      <c r="DQ3790">
        <v>0</v>
      </c>
      <c r="DR3790">
        <v>0</v>
      </c>
      <c r="DS3790">
        <v>0</v>
      </c>
    </row>
    <row r="3791" spans="1:123" x14ac:dyDescent="0.3">
      <c r="A3791" t="str">
        <f t="shared" si="1395"/>
        <v>10/04/2022 19:35:45.278</v>
      </c>
      <c r="C3791" t="str">
        <f t="shared" si="1383"/>
        <v>FFDFD3C0</v>
      </c>
      <c r="D3791" t="s">
        <v>136</v>
      </c>
      <c r="E3791">
        <v>8</v>
      </c>
      <c r="H3791">
        <v>225</v>
      </c>
      <c r="I3791" t="s">
        <v>137</v>
      </c>
      <c r="J3791" t="s">
        <v>138</v>
      </c>
      <c r="K3791">
        <v>0</v>
      </c>
      <c r="L3791">
        <v>3</v>
      </c>
      <c r="M3791">
        <v>0</v>
      </c>
      <c r="N3791">
        <v>2</v>
      </c>
      <c r="O3791">
        <v>0</v>
      </c>
      <c r="P3791">
        <v>1</v>
      </c>
      <c r="Q3791">
        <v>0</v>
      </c>
      <c r="S3791" t="str">
        <f t="shared" si="1393"/>
        <v>19:35:44.000</v>
      </c>
      <c r="T3791" t="str">
        <f t="shared" si="1393"/>
        <v>19:35:44.000</v>
      </c>
      <c r="U3791" t="str">
        <f t="shared" si="1391"/>
        <v>AC3944</v>
      </c>
      <c r="V3791">
        <v>0</v>
      </c>
      <c r="W3791">
        <v>0</v>
      </c>
      <c r="X3791">
        <v>2</v>
      </c>
      <c r="Y3791">
        <v>0</v>
      </c>
      <c r="AA3791">
        <v>1</v>
      </c>
      <c r="AB3791">
        <v>8</v>
      </c>
      <c r="AC3791">
        <v>3</v>
      </c>
      <c r="AD3791">
        <v>0</v>
      </c>
      <c r="AE3791">
        <v>9</v>
      </c>
      <c r="AF3791" t="s">
        <v>138</v>
      </c>
      <c r="AG3791">
        <v>0</v>
      </c>
      <c r="AH3791">
        <v>3</v>
      </c>
      <c r="AI3791">
        <v>1</v>
      </c>
      <c r="AJ3791">
        <v>0</v>
      </c>
      <c r="AK3791" t="s">
        <v>1230</v>
      </c>
      <c r="AL3791">
        <v>32.737799000000003</v>
      </c>
      <c r="AM3791" t="s">
        <v>1233</v>
      </c>
      <c r="AN3791">
        <v>-116.70475999999999</v>
      </c>
      <c r="AO3791">
        <v>25</v>
      </c>
      <c r="AP3791">
        <v>4700</v>
      </c>
      <c r="AQ3791" t="s">
        <v>129</v>
      </c>
      <c r="AR3791">
        <v>125</v>
      </c>
      <c r="AS3791">
        <v>-1</v>
      </c>
      <c r="AT3791">
        <v>640</v>
      </c>
      <c r="BB3791">
        <v>1200</v>
      </c>
      <c r="BC3791">
        <v>1</v>
      </c>
      <c r="BD3791" t="str">
        <f t="shared" si="1392"/>
        <v xml:space="preserve">N887QR  </v>
      </c>
      <c r="BE3791">
        <v>1</v>
      </c>
      <c r="BG3791">
        <v>0</v>
      </c>
      <c r="BH3791">
        <v>0</v>
      </c>
      <c r="BI3791">
        <v>0</v>
      </c>
      <c r="BJ3791">
        <v>4475</v>
      </c>
      <c r="BK3791">
        <v>-225</v>
      </c>
      <c r="BL3791" t="s">
        <v>163</v>
      </c>
      <c r="BM3791">
        <v>1</v>
      </c>
      <c r="BN3791">
        <v>1</v>
      </c>
      <c r="BO3791">
        <v>1</v>
      </c>
      <c r="BP3791">
        <v>0</v>
      </c>
      <c r="BS3791">
        <v>0</v>
      </c>
      <c r="BT3791">
        <v>0</v>
      </c>
      <c r="BU3791">
        <v>0</v>
      </c>
      <c r="CE3791" t="str">
        <f t="shared" si="1396"/>
        <v>19:35:44.833</v>
      </c>
      <c r="CF3791">
        <v>833438777</v>
      </c>
      <c r="CS3791">
        <v>0</v>
      </c>
      <c r="CT3791">
        <v>2</v>
      </c>
      <c r="CU3791">
        <v>0</v>
      </c>
      <c r="CV3791">
        <v>2</v>
      </c>
      <c r="CW3791">
        <v>0</v>
      </c>
      <c r="CX3791">
        <v>5</v>
      </c>
      <c r="CY3791">
        <v>7</v>
      </c>
      <c r="CZ3791" t="s">
        <v>131</v>
      </c>
      <c r="DA3791">
        <v>300</v>
      </c>
      <c r="DB3791">
        <v>0</v>
      </c>
      <c r="DC3791" t="s">
        <v>176</v>
      </c>
      <c r="DD3791" t="s">
        <v>177</v>
      </c>
      <c r="DG3791">
        <v>5447684</v>
      </c>
      <c r="DI3791">
        <v>1</v>
      </c>
      <c r="DJ3791">
        <v>0</v>
      </c>
      <c r="DK3791">
        <v>1</v>
      </c>
      <c r="DL3791">
        <v>0</v>
      </c>
      <c r="DM3791">
        <v>0</v>
      </c>
      <c r="DN3791">
        <v>1</v>
      </c>
      <c r="DO3791">
        <v>0</v>
      </c>
      <c r="DP3791">
        <v>0</v>
      </c>
      <c r="DQ3791">
        <v>0</v>
      </c>
      <c r="DR3791">
        <v>0</v>
      </c>
      <c r="DS3791">
        <v>0</v>
      </c>
    </row>
    <row r="3792" spans="1:123" x14ac:dyDescent="0.3">
      <c r="A3792" t="str">
        <f t="shared" si="1395"/>
        <v>10/04/2022 19:35:45.278</v>
      </c>
      <c r="C3792" t="str">
        <f t="shared" si="1383"/>
        <v>FFDFD3C0</v>
      </c>
      <c r="D3792" t="s">
        <v>147</v>
      </c>
      <c r="E3792">
        <v>3</v>
      </c>
      <c r="H3792">
        <v>166</v>
      </c>
      <c r="I3792" t="s">
        <v>144</v>
      </c>
      <c r="J3792" t="s">
        <v>148</v>
      </c>
      <c r="K3792">
        <v>0</v>
      </c>
      <c r="L3792">
        <v>3</v>
      </c>
      <c r="M3792">
        <v>0</v>
      </c>
      <c r="N3792">
        <v>2</v>
      </c>
      <c r="O3792">
        <v>0</v>
      </c>
      <c r="P3792">
        <v>1</v>
      </c>
      <c r="Q3792">
        <v>0</v>
      </c>
      <c r="S3792" t="str">
        <f t="shared" si="1393"/>
        <v>19:35:44.000</v>
      </c>
      <c r="T3792" t="str">
        <f t="shared" si="1393"/>
        <v>19:35:44.000</v>
      </c>
      <c r="U3792" t="str">
        <f t="shared" si="1391"/>
        <v>AC3944</v>
      </c>
      <c r="V3792">
        <v>0</v>
      </c>
      <c r="W3792">
        <v>0</v>
      </c>
      <c r="X3792">
        <v>2</v>
      </c>
      <c r="Y3792">
        <v>0</v>
      </c>
      <c r="AA3792">
        <v>1</v>
      </c>
      <c r="AB3792">
        <v>8</v>
      </c>
      <c r="AC3792">
        <v>3</v>
      </c>
      <c r="AD3792">
        <v>0</v>
      </c>
      <c r="AE3792">
        <v>9</v>
      </c>
      <c r="AF3792" t="s">
        <v>138</v>
      </c>
      <c r="AG3792">
        <v>0</v>
      </c>
      <c r="AH3792">
        <v>3</v>
      </c>
      <c r="AI3792">
        <v>1</v>
      </c>
      <c r="AJ3792">
        <v>0</v>
      </c>
      <c r="AK3792" t="s">
        <v>1230</v>
      </c>
      <c r="AL3792">
        <v>32.737799000000003</v>
      </c>
      <c r="AM3792" t="s">
        <v>1233</v>
      </c>
      <c r="AN3792">
        <v>-116.70475999999999</v>
      </c>
      <c r="AO3792">
        <v>25</v>
      </c>
      <c r="AP3792">
        <v>4700</v>
      </c>
      <c r="AQ3792" t="s">
        <v>129</v>
      </c>
      <c r="AR3792">
        <v>125</v>
      </c>
      <c r="AS3792">
        <v>-1</v>
      </c>
      <c r="AT3792">
        <v>640</v>
      </c>
      <c r="BB3792">
        <v>1200</v>
      </c>
      <c r="BC3792">
        <v>1</v>
      </c>
      <c r="BD3792" t="str">
        <f t="shared" si="1392"/>
        <v xml:space="preserve">N887QR  </v>
      </c>
      <c r="BE3792">
        <v>1</v>
      </c>
      <c r="BG3792">
        <v>0</v>
      </c>
      <c r="BH3792">
        <v>0</v>
      </c>
      <c r="BI3792">
        <v>0</v>
      </c>
      <c r="BJ3792">
        <v>4475</v>
      </c>
      <c r="BK3792">
        <v>-225</v>
      </c>
      <c r="BL3792" t="s">
        <v>163</v>
      </c>
      <c r="BM3792">
        <v>1</v>
      </c>
      <c r="BN3792">
        <v>1</v>
      </c>
      <c r="BO3792">
        <v>1</v>
      </c>
      <c r="BP3792">
        <v>0</v>
      </c>
      <c r="BS3792">
        <v>0</v>
      </c>
      <c r="BT3792">
        <v>0</v>
      </c>
      <c r="BU3792">
        <v>0</v>
      </c>
      <c r="CE3792" t="str">
        <f t="shared" si="1396"/>
        <v>19:35:44.833</v>
      </c>
      <c r="CF3792">
        <v>833438777</v>
      </c>
      <c r="CS3792">
        <v>0</v>
      </c>
      <c r="CT3792">
        <v>2</v>
      </c>
      <c r="CU3792">
        <v>0</v>
      </c>
      <c r="CV3792">
        <v>2</v>
      </c>
      <c r="CW3792">
        <v>0</v>
      </c>
      <c r="CX3792">
        <v>5</v>
      </c>
      <c r="CY3792">
        <v>7</v>
      </c>
      <c r="CZ3792" t="s">
        <v>131</v>
      </c>
      <c r="DA3792">
        <v>300</v>
      </c>
      <c r="DB3792">
        <v>0</v>
      </c>
      <c r="DC3792" t="s">
        <v>176</v>
      </c>
      <c r="DD3792" t="s">
        <v>177</v>
      </c>
      <c r="DG3792">
        <v>5447684</v>
      </c>
      <c r="DI3792">
        <v>1</v>
      </c>
      <c r="DJ3792">
        <v>0</v>
      </c>
      <c r="DK3792">
        <v>1</v>
      </c>
      <c r="DL3792">
        <v>0</v>
      </c>
      <c r="DM3792">
        <v>0</v>
      </c>
      <c r="DN3792">
        <v>1</v>
      </c>
      <c r="DO3792">
        <v>0</v>
      </c>
      <c r="DP3792">
        <v>0</v>
      </c>
      <c r="DQ3792">
        <v>0</v>
      </c>
      <c r="DR3792">
        <v>0</v>
      </c>
      <c r="DS3792">
        <v>0</v>
      </c>
    </row>
    <row r="3793" spans="1:123" x14ac:dyDescent="0.3">
      <c r="A3793" t="str">
        <f t="shared" si="1395"/>
        <v>10/04/2022 19:35:45.278</v>
      </c>
      <c r="C3793" t="str">
        <f t="shared" si="1383"/>
        <v>FFDFD3C0</v>
      </c>
      <c r="D3793" t="s">
        <v>134</v>
      </c>
      <c r="E3793">
        <v>15</v>
      </c>
      <c r="J3793" t="s">
        <v>135</v>
      </c>
      <c r="K3793">
        <v>0</v>
      </c>
      <c r="L3793">
        <v>3</v>
      </c>
      <c r="M3793">
        <v>0</v>
      </c>
      <c r="N3793">
        <v>2</v>
      </c>
      <c r="O3793">
        <v>0</v>
      </c>
      <c r="P3793">
        <v>1</v>
      </c>
      <c r="Q3793">
        <v>0</v>
      </c>
      <c r="S3793" t="str">
        <f t="shared" si="1393"/>
        <v>19:35:44.000</v>
      </c>
      <c r="T3793" t="str">
        <f t="shared" si="1393"/>
        <v>19:35:44.000</v>
      </c>
      <c r="U3793" t="str">
        <f t="shared" si="1391"/>
        <v>AC3944</v>
      </c>
      <c r="V3793">
        <v>0</v>
      </c>
      <c r="W3793">
        <v>0</v>
      </c>
      <c r="X3793">
        <v>2</v>
      </c>
      <c r="Y3793">
        <v>0</v>
      </c>
      <c r="AA3793">
        <v>1</v>
      </c>
      <c r="AB3793">
        <v>8</v>
      </c>
      <c r="AC3793">
        <v>3</v>
      </c>
      <c r="AD3793">
        <v>0</v>
      </c>
      <c r="AE3793">
        <v>9</v>
      </c>
      <c r="AF3793" t="s">
        <v>138</v>
      </c>
      <c r="AG3793">
        <v>0</v>
      </c>
      <c r="AH3793">
        <v>3</v>
      </c>
      <c r="AI3793">
        <v>1</v>
      </c>
      <c r="AJ3793">
        <v>0</v>
      </c>
      <c r="AK3793" t="s">
        <v>1230</v>
      </c>
      <c r="AL3793">
        <v>32.737799000000003</v>
      </c>
      <c r="AM3793" t="s">
        <v>1233</v>
      </c>
      <c r="AN3793">
        <v>-116.70475999999999</v>
      </c>
      <c r="AO3793">
        <v>25</v>
      </c>
      <c r="AP3793">
        <v>4700</v>
      </c>
      <c r="AQ3793" t="s">
        <v>129</v>
      </c>
      <c r="AR3793">
        <v>125</v>
      </c>
      <c r="AS3793">
        <v>-1</v>
      </c>
      <c r="AT3793">
        <v>640</v>
      </c>
      <c r="BB3793">
        <v>1200</v>
      </c>
      <c r="BC3793">
        <v>1</v>
      </c>
      <c r="BD3793" t="str">
        <f t="shared" si="1392"/>
        <v xml:space="preserve">N887QR  </v>
      </c>
      <c r="BE3793">
        <v>1</v>
      </c>
      <c r="BG3793">
        <v>0</v>
      </c>
      <c r="BH3793">
        <v>0</v>
      </c>
      <c r="BI3793">
        <v>0</v>
      </c>
      <c r="BJ3793">
        <v>4475</v>
      </c>
      <c r="BK3793">
        <v>-225</v>
      </c>
      <c r="BL3793" t="s">
        <v>163</v>
      </c>
      <c r="BM3793">
        <v>1</v>
      </c>
      <c r="BN3793">
        <v>1</v>
      </c>
      <c r="BO3793">
        <v>1</v>
      </c>
      <c r="BP3793">
        <v>0</v>
      </c>
      <c r="BS3793">
        <v>0</v>
      </c>
      <c r="BT3793">
        <v>0</v>
      </c>
      <c r="BU3793">
        <v>0</v>
      </c>
      <c r="CE3793" t="str">
        <f t="shared" si="1396"/>
        <v>19:35:44.833</v>
      </c>
      <c r="CF3793">
        <v>833438777</v>
      </c>
      <c r="CS3793">
        <v>0</v>
      </c>
      <c r="CT3793">
        <v>2</v>
      </c>
      <c r="CU3793">
        <v>0</v>
      </c>
      <c r="CV3793">
        <v>2</v>
      </c>
      <c r="CW3793">
        <v>0</v>
      </c>
      <c r="CX3793">
        <v>5</v>
      </c>
      <c r="CY3793">
        <v>7</v>
      </c>
      <c r="CZ3793" t="s">
        <v>131</v>
      </c>
      <c r="DA3793">
        <v>300</v>
      </c>
      <c r="DB3793">
        <v>0</v>
      </c>
      <c r="DC3793" t="s">
        <v>176</v>
      </c>
      <c r="DD3793" t="s">
        <v>177</v>
      </c>
      <c r="DG3793">
        <v>5447684</v>
      </c>
      <c r="DI3793">
        <v>1</v>
      </c>
      <c r="DJ3793">
        <v>0</v>
      </c>
      <c r="DK3793">
        <v>1</v>
      </c>
      <c r="DL3793">
        <v>0</v>
      </c>
      <c r="DM3793">
        <v>0</v>
      </c>
      <c r="DN3793">
        <v>1</v>
      </c>
      <c r="DO3793">
        <v>0</v>
      </c>
      <c r="DP3793">
        <v>0</v>
      </c>
      <c r="DQ3793">
        <v>0</v>
      </c>
      <c r="DR3793">
        <v>0</v>
      </c>
      <c r="DS3793">
        <v>0</v>
      </c>
    </row>
    <row r="3794" spans="1:123" x14ac:dyDescent="0.3">
      <c r="A3794" t="str">
        <f>"10/04/2022 19:35:45.982"</f>
        <v>10/04/2022 19:35:45.982</v>
      </c>
      <c r="C3794" t="str">
        <f t="shared" si="1383"/>
        <v>FFDFD3C0</v>
      </c>
      <c r="D3794" t="s">
        <v>141</v>
      </c>
      <c r="E3794">
        <v>3</v>
      </c>
      <c r="H3794">
        <v>3</v>
      </c>
      <c r="I3794" t="s">
        <v>146</v>
      </c>
      <c r="J3794" t="s">
        <v>138</v>
      </c>
      <c r="K3794">
        <v>0</v>
      </c>
      <c r="L3794">
        <v>3</v>
      </c>
      <c r="M3794">
        <v>0</v>
      </c>
      <c r="N3794">
        <v>2</v>
      </c>
      <c r="O3794">
        <v>0</v>
      </c>
      <c r="P3794">
        <v>1</v>
      </c>
      <c r="Q3794">
        <v>0</v>
      </c>
      <c r="S3794" t="str">
        <f t="shared" ref="S3794:T3800" si="1397">"19:35:45.000"</f>
        <v>19:35:45.000</v>
      </c>
      <c r="T3794" t="str">
        <f t="shared" si="1397"/>
        <v>19:35:45.000</v>
      </c>
      <c r="U3794" t="str">
        <f t="shared" si="1391"/>
        <v>AC3944</v>
      </c>
      <c r="V3794">
        <v>0</v>
      </c>
      <c r="W3794">
        <v>0</v>
      </c>
      <c r="X3794">
        <v>2</v>
      </c>
      <c r="Y3794">
        <v>0</v>
      </c>
      <c r="AA3794">
        <v>1</v>
      </c>
      <c r="AB3794">
        <v>8</v>
      </c>
      <c r="AC3794">
        <v>3</v>
      </c>
      <c r="AD3794">
        <v>0</v>
      </c>
      <c r="AE3794">
        <v>9</v>
      </c>
      <c r="AF3794" t="s">
        <v>138</v>
      </c>
      <c r="AG3794">
        <v>0</v>
      </c>
      <c r="AH3794">
        <v>3</v>
      </c>
      <c r="AI3794">
        <v>1</v>
      </c>
      <c r="AJ3794">
        <v>0</v>
      </c>
      <c r="AK3794" t="s">
        <v>1228</v>
      </c>
      <c r="AL3794">
        <v>32.737777000000001</v>
      </c>
      <c r="AM3794" t="s">
        <v>1234</v>
      </c>
      <c r="AN3794">
        <v>-116.70405100000001</v>
      </c>
      <c r="AO3794">
        <v>25</v>
      </c>
      <c r="AP3794">
        <v>4700</v>
      </c>
      <c r="AQ3794" t="s">
        <v>129</v>
      </c>
      <c r="AR3794">
        <v>125</v>
      </c>
      <c r="AS3794">
        <v>-4</v>
      </c>
      <c r="AT3794">
        <v>640</v>
      </c>
      <c r="BB3794">
        <v>1200</v>
      </c>
      <c r="BC3794">
        <v>1</v>
      </c>
      <c r="BD3794" t="str">
        <f t="shared" si="1392"/>
        <v xml:space="preserve">N887QR  </v>
      </c>
      <c r="BE3794">
        <v>1</v>
      </c>
      <c r="BG3794">
        <v>0</v>
      </c>
      <c r="BH3794">
        <v>0</v>
      </c>
      <c r="BI3794">
        <v>0</v>
      </c>
      <c r="BJ3794">
        <v>4500</v>
      </c>
      <c r="BK3794">
        <v>-200</v>
      </c>
      <c r="BL3794" t="s">
        <v>163</v>
      </c>
      <c r="BM3794">
        <v>1</v>
      </c>
      <c r="BN3794">
        <v>1</v>
      </c>
      <c r="BO3794">
        <v>1</v>
      </c>
      <c r="BP3794">
        <v>0</v>
      </c>
      <c r="BS3794">
        <v>0</v>
      </c>
      <c r="BT3794">
        <v>0</v>
      </c>
      <c r="BU3794">
        <v>0</v>
      </c>
      <c r="CE3794" t="str">
        <f t="shared" ref="CE3794:CE3800" si="1398">"19:35:45.805"</f>
        <v>19:35:45.805</v>
      </c>
      <c r="CF3794">
        <v>804692009</v>
      </c>
      <c r="CS3794">
        <v>0</v>
      </c>
      <c r="CT3794">
        <v>2</v>
      </c>
      <c r="CU3794">
        <v>0</v>
      </c>
      <c r="CV3794">
        <v>2</v>
      </c>
      <c r="CW3794">
        <v>0</v>
      </c>
      <c r="CX3794">
        <v>5</v>
      </c>
      <c r="CY3794">
        <v>7</v>
      </c>
      <c r="CZ3794" t="s">
        <v>131</v>
      </c>
      <c r="DA3794">
        <v>300</v>
      </c>
      <c r="DB3794">
        <v>0</v>
      </c>
      <c r="DC3794" t="s">
        <v>176</v>
      </c>
      <c r="DD3794" t="s">
        <v>177</v>
      </c>
      <c r="DG3794">
        <v>5447841</v>
      </c>
      <c r="DI3794">
        <v>1</v>
      </c>
      <c r="DJ3794">
        <v>0</v>
      </c>
      <c r="DK3794">
        <v>0</v>
      </c>
      <c r="DL3794">
        <v>0</v>
      </c>
      <c r="DM3794">
        <v>0</v>
      </c>
      <c r="DN3794">
        <v>1</v>
      </c>
      <c r="DO3794">
        <v>0</v>
      </c>
      <c r="DP3794">
        <v>0</v>
      </c>
      <c r="DQ3794">
        <v>0</v>
      </c>
      <c r="DR3794">
        <v>0</v>
      </c>
      <c r="DS3794">
        <v>0</v>
      </c>
    </row>
    <row r="3795" spans="1:123" x14ac:dyDescent="0.3">
      <c r="A3795" t="str">
        <f>"10/04/2022 19:35:45.982"</f>
        <v>10/04/2022 19:35:45.982</v>
      </c>
      <c r="C3795" t="str">
        <f t="shared" si="1383"/>
        <v>FFDFD3C0</v>
      </c>
      <c r="D3795" t="s">
        <v>143</v>
      </c>
      <c r="E3795">
        <v>20</v>
      </c>
      <c r="F3795">
        <v>1020</v>
      </c>
      <c r="G3795" t="s">
        <v>144</v>
      </c>
      <c r="J3795" t="s">
        <v>145</v>
      </c>
      <c r="K3795">
        <v>0</v>
      </c>
      <c r="L3795">
        <v>3</v>
      </c>
      <c r="M3795">
        <v>0</v>
      </c>
      <c r="N3795">
        <v>2</v>
      </c>
      <c r="O3795">
        <v>0</v>
      </c>
      <c r="P3795">
        <v>1</v>
      </c>
      <c r="Q3795">
        <v>0</v>
      </c>
      <c r="S3795" t="str">
        <f t="shared" si="1397"/>
        <v>19:35:45.000</v>
      </c>
      <c r="T3795" t="str">
        <f t="shared" si="1397"/>
        <v>19:35:45.000</v>
      </c>
      <c r="U3795" t="str">
        <f t="shared" si="1391"/>
        <v>AC3944</v>
      </c>
      <c r="V3795">
        <v>0</v>
      </c>
      <c r="W3795">
        <v>0</v>
      </c>
      <c r="X3795">
        <v>2</v>
      </c>
      <c r="Y3795">
        <v>0</v>
      </c>
      <c r="AA3795">
        <v>1</v>
      </c>
      <c r="AB3795">
        <v>8</v>
      </c>
      <c r="AC3795">
        <v>3</v>
      </c>
      <c r="AD3795">
        <v>0</v>
      </c>
      <c r="AE3795">
        <v>9</v>
      </c>
      <c r="AF3795" t="s">
        <v>138</v>
      </c>
      <c r="AG3795">
        <v>0</v>
      </c>
      <c r="AH3795">
        <v>3</v>
      </c>
      <c r="AI3795">
        <v>1</v>
      </c>
      <c r="AJ3795">
        <v>0</v>
      </c>
      <c r="AK3795" t="s">
        <v>1228</v>
      </c>
      <c r="AL3795">
        <v>32.737777000000001</v>
      </c>
      <c r="AM3795" t="s">
        <v>1234</v>
      </c>
      <c r="AN3795">
        <v>-116.70405100000001</v>
      </c>
      <c r="AO3795">
        <v>25</v>
      </c>
      <c r="AP3795">
        <v>4700</v>
      </c>
      <c r="AQ3795" t="s">
        <v>129</v>
      </c>
      <c r="AR3795">
        <v>125</v>
      </c>
      <c r="AS3795">
        <v>-4</v>
      </c>
      <c r="AT3795">
        <v>640</v>
      </c>
      <c r="BB3795">
        <v>1200</v>
      </c>
      <c r="BC3795">
        <v>1</v>
      </c>
      <c r="BD3795" t="str">
        <f t="shared" si="1392"/>
        <v xml:space="preserve">N887QR  </v>
      </c>
      <c r="BE3795">
        <v>1</v>
      </c>
      <c r="BG3795">
        <v>0</v>
      </c>
      <c r="BH3795">
        <v>0</v>
      </c>
      <c r="BI3795">
        <v>0</v>
      </c>
      <c r="BJ3795">
        <v>4500</v>
      </c>
      <c r="BK3795">
        <v>-200</v>
      </c>
      <c r="BL3795" t="s">
        <v>163</v>
      </c>
      <c r="BM3795">
        <v>1</v>
      </c>
      <c r="BN3795">
        <v>1</v>
      </c>
      <c r="BO3795">
        <v>1</v>
      </c>
      <c r="BP3795">
        <v>0</v>
      </c>
      <c r="BS3795">
        <v>0</v>
      </c>
      <c r="BT3795">
        <v>0</v>
      </c>
      <c r="BU3795">
        <v>0</v>
      </c>
      <c r="CE3795" t="str">
        <f t="shared" si="1398"/>
        <v>19:35:45.805</v>
      </c>
      <c r="CF3795">
        <v>804692009</v>
      </c>
      <c r="CS3795">
        <v>0</v>
      </c>
      <c r="CT3795">
        <v>2</v>
      </c>
      <c r="CU3795">
        <v>0</v>
      </c>
      <c r="CV3795">
        <v>2</v>
      </c>
      <c r="CW3795">
        <v>0</v>
      </c>
      <c r="CX3795">
        <v>5</v>
      </c>
      <c r="CY3795">
        <v>7</v>
      </c>
      <c r="CZ3795" t="s">
        <v>131</v>
      </c>
      <c r="DA3795">
        <v>300</v>
      </c>
      <c r="DB3795">
        <v>0</v>
      </c>
      <c r="DC3795" t="s">
        <v>176</v>
      </c>
      <c r="DD3795" t="s">
        <v>177</v>
      </c>
      <c r="DG3795">
        <v>5447841</v>
      </c>
      <c r="DI3795">
        <v>1</v>
      </c>
      <c r="DJ3795">
        <v>0</v>
      </c>
      <c r="DK3795">
        <v>1</v>
      </c>
      <c r="DL3795">
        <v>0</v>
      </c>
      <c r="DM3795">
        <v>0</v>
      </c>
      <c r="DN3795">
        <v>1</v>
      </c>
      <c r="DO3795">
        <v>0</v>
      </c>
      <c r="DP3795">
        <v>0</v>
      </c>
      <c r="DQ3795">
        <v>0</v>
      </c>
      <c r="DR3795">
        <v>0</v>
      </c>
      <c r="DS3795">
        <v>0</v>
      </c>
    </row>
    <row r="3796" spans="1:123" x14ac:dyDescent="0.3">
      <c r="A3796" t="str">
        <f>"10/04/2022 19:35:46.014"</f>
        <v>10/04/2022 19:35:46.014</v>
      </c>
      <c r="C3796" t="str">
        <f t="shared" si="1383"/>
        <v>FFDFD3C0</v>
      </c>
      <c r="D3796" t="s">
        <v>123</v>
      </c>
      <c r="E3796">
        <v>7</v>
      </c>
      <c r="F3796">
        <v>2007</v>
      </c>
      <c r="G3796" t="s">
        <v>124</v>
      </c>
      <c r="J3796" t="s">
        <v>125</v>
      </c>
      <c r="K3796">
        <v>0</v>
      </c>
      <c r="L3796">
        <v>3</v>
      </c>
      <c r="M3796">
        <v>0</v>
      </c>
      <c r="N3796">
        <v>2</v>
      </c>
      <c r="O3796">
        <v>0</v>
      </c>
      <c r="P3796">
        <v>1</v>
      </c>
      <c r="Q3796">
        <v>0</v>
      </c>
      <c r="S3796" t="str">
        <f t="shared" si="1397"/>
        <v>19:35:45.000</v>
      </c>
      <c r="T3796" t="str">
        <f t="shared" si="1397"/>
        <v>19:35:45.000</v>
      </c>
      <c r="U3796" t="str">
        <f t="shared" si="1391"/>
        <v>AC3944</v>
      </c>
      <c r="V3796">
        <v>0</v>
      </c>
      <c r="W3796">
        <v>0</v>
      </c>
      <c r="X3796">
        <v>2</v>
      </c>
      <c r="Y3796">
        <v>0</v>
      </c>
      <c r="AA3796">
        <v>1</v>
      </c>
      <c r="AB3796">
        <v>8</v>
      </c>
      <c r="AC3796">
        <v>3</v>
      </c>
      <c r="AD3796">
        <v>0</v>
      </c>
      <c r="AE3796">
        <v>9</v>
      </c>
      <c r="AF3796" t="s">
        <v>138</v>
      </c>
      <c r="AG3796">
        <v>0</v>
      </c>
      <c r="AH3796">
        <v>3</v>
      </c>
      <c r="AI3796">
        <v>1</v>
      </c>
      <c r="AJ3796">
        <v>0</v>
      </c>
      <c r="AK3796" t="s">
        <v>1228</v>
      </c>
      <c r="AL3796">
        <v>32.737777000000001</v>
      </c>
      <c r="AM3796" t="s">
        <v>1234</v>
      </c>
      <c r="AN3796">
        <v>-116.70405100000001</v>
      </c>
      <c r="AO3796">
        <v>25</v>
      </c>
      <c r="AP3796">
        <v>4700</v>
      </c>
      <c r="AQ3796" t="s">
        <v>129</v>
      </c>
      <c r="AR3796">
        <v>125</v>
      </c>
      <c r="AS3796">
        <v>-4</v>
      </c>
      <c r="AT3796">
        <v>640</v>
      </c>
      <c r="BB3796">
        <v>1200</v>
      </c>
      <c r="BC3796">
        <v>1</v>
      </c>
      <c r="BD3796" t="str">
        <f t="shared" si="1392"/>
        <v xml:space="preserve">N887QR  </v>
      </c>
      <c r="BE3796">
        <v>1</v>
      </c>
      <c r="BG3796">
        <v>0</v>
      </c>
      <c r="BH3796">
        <v>0</v>
      </c>
      <c r="BI3796">
        <v>0</v>
      </c>
      <c r="BJ3796">
        <v>4500</v>
      </c>
      <c r="BK3796">
        <v>-200</v>
      </c>
      <c r="BL3796" t="s">
        <v>163</v>
      </c>
      <c r="BM3796">
        <v>1</v>
      </c>
      <c r="BN3796">
        <v>1</v>
      </c>
      <c r="BO3796">
        <v>1</v>
      </c>
      <c r="BP3796">
        <v>0</v>
      </c>
      <c r="BS3796">
        <v>0</v>
      </c>
      <c r="BT3796">
        <v>0</v>
      </c>
      <c r="BU3796">
        <v>0</v>
      </c>
      <c r="CE3796" t="str">
        <f t="shared" si="1398"/>
        <v>19:35:45.805</v>
      </c>
      <c r="CF3796">
        <v>804692009</v>
      </c>
      <c r="CS3796">
        <v>0</v>
      </c>
      <c r="CT3796">
        <v>2</v>
      </c>
      <c r="CU3796">
        <v>0</v>
      </c>
      <c r="CV3796">
        <v>2</v>
      </c>
      <c r="CW3796">
        <v>0</v>
      </c>
      <c r="CX3796">
        <v>5</v>
      </c>
      <c r="CY3796">
        <v>7</v>
      </c>
      <c r="CZ3796" t="s">
        <v>131</v>
      </c>
      <c r="DA3796">
        <v>300</v>
      </c>
      <c r="DB3796">
        <v>0</v>
      </c>
      <c r="DC3796" t="s">
        <v>176</v>
      </c>
      <c r="DD3796" t="s">
        <v>177</v>
      </c>
      <c r="DG3796">
        <v>5447841</v>
      </c>
      <c r="DI3796">
        <v>1</v>
      </c>
      <c r="DJ3796">
        <v>0</v>
      </c>
      <c r="DK3796">
        <v>1</v>
      </c>
      <c r="DL3796">
        <v>0</v>
      </c>
      <c r="DM3796">
        <v>0</v>
      </c>
      <c r="DN3796">
        <v>1</v>
      </c>
      <c r="DO3796">
        <v>0</v>
      </c>
      <c r="DP3796">
        <v>0</v>
      </c>
      <c r="DQ3796">
        <v>0</v>
      </c>
      <c r="DR3796">
        <v>0</v>
      </c>
      <c r="DS3796">
        <v>0</v>
      </c>
    </row>
    <row r="3797" spans="1:123" x14ac:dyDescent="0.3">
      <c r="A3797" t="str">
        <f>"10/04/2022 19:35:46.092"</f>
        <v>10/04/2022 19:35:46.092</v>
      </c>
      <c r="C3797" t="str">
        <f t="shared" si="1383"/>
        <v>FFDFD3C0</v>
      </c>
      <c r="D3797" t="s">
        <v>136</v>
      </c>
      <c r="E3797">
        <v>8</v>
      </c>
      <c r="H3797">
        <v>225</v>
      </c>
      <c r="I3797" t="s">
        <v>137</v>
      </c>
      <c r="J3797" t="s">
        <v>138</v>
      </c>
      <c r="K3797">
        <v>0</v>
      </c>
      <c r="L3797">
        <v>3</v>
      </c>
      <c r="M3797">
        <v>0</v>
      </c>
      <c r="N3797">
        <v>2</v>
      </c>
      <c r="O3797">
        <v>0</v>
      </c>
      <c r="P3797">
        <v>1</v>
      </c>
      <c r="Q3797">
        <v>0</v>
      </c>
      <c r="S3797" t="str">
        <f t="shared" si="1397"/>
        <v>19:35:45.000</v>
      </c>
      <c r="T3797" t="str">
        <f t="shared" si="1397"/>
        <v>19:35:45.000</v>
      </c>
      <c r="U3797" t="str">
        <f t="shared" si="1391"/>
        <v>AC3944</v>
      </c>
      <c r="V3797">
        <v>0</v>
      </c>
      <c r="W3797">
        <v>0</v>
      </c>
      <c r="X3797">
        <v>2</v>
      </c>
      <c r="Y3797">
        <v>0</v>
      </c>
      <c r="AA3797">
        <v>1</v>
      </c>
      <c r="AB3797">
        <v>8</v>
      </c>
      <c r="AC3797">
        <v>3</v>
      </c>
      <c r="AD3797">
        <v>0</v>
      </c>
      <c r="AE3797">
        <v>9</v>
      </c>
      <c r="AF3797" t="s">
        <v>138</v>
      </c>
      <c r="AG3797">
        <v>0</v>
      </c>
      <c r="AH3797">
        <v>3</v>
      </c>
      <c r="AI3797">
        <v>1</v>
      </c>
      <c r="AJ3797">
        <v>0</v>
      </c>
      <c r="AK3797" t="s">
        <v>1228</v>
      </c>
      <c r="AL3797">
        <v>32.737777000000001</v>
      </c>
      <c r="AM3797" t="s">
        <v>1234</v>
      </c>
      <c r="AN3797">
        <v>-116.70405100000001</v>
      </c>
      <c r="AO3797">
        <v>25</v>
      </c>
      <c r="AP3797">
        <v>4700</v>
      </c>
      <c r="AQ3797" t="s">
        <v>129</v>
      </c>
      <c r="AR3797">
        <v>125</v>
      </c>
      <c r="AS3797">
        <v>-4</v>
      </c>
      <c r="AT3797">
        <v>640</v>
      </c>
      <c r="BB3797">
        <v>1200</v>
      </c>
      <c r="BC3797">
        <v>1</v>
      </c>
      <c r="BD3797" t="str">
        <f t="shared" si="1392"/>
        <v xml:space="preserve">N887QR  </v>
      </c>
      <c r="BE3797">
        <v>1</v>
      </c>
      <c r="BG3797">
        <v>0</v>
      </c>
      <c r="BH3797">
        <v>0</v>
      </c>
      <c r="BI3797">
        <v>0</v>
      </c>
      <c r="BJ3797">
        <v>4500</v>
      </c>
      <c r="BK3797">
        <v>-200</v>
      </c>
      <c r="BL3797" t="s">
        <v>163</v>
      </c>
      <c r="BM3797">
        <v>1</v>
      </c>
      <c r="BN3797">
        <v>1</v>
      </c>
      <c r="BO3797">
        <v>1</v>
      </c>
      <c r="BP3797">
        <v>0</v>
      </c>
      <c r="BS3797">
        <v>0</v>
      </c>
      <c r="BT3797">
        <v>0</v>
      </c>
      <c r="BU3797">
        <v>0</v>
      </c>
      <c r="CE3797" t="str">
        <f t="shared" si="1398"/>
        <v>19:35:45.805</v>
      </c>
      <c r="CF3797">
        <v>804692009</v>
      </c>
      <c r="CS3797">
        <v>0</v>
      </c>
      <c r="CT3797">
        <v>2</v>
      </c>
      <c r="CU3797">
        <v>0</v>
      </c>
      <c r="CV3797">
        <v>2</v>
      </c>
      <c r="CW3797">
        <v>0</v>
      </c>
      <c r="CX3797">
        <v>5</v>
      </c>
      <c r="CY3797">
        <v>7</v>
      </c>
      <c r="CZ3797" t="s">
        <v>131</v>
      </c>
      <c r="DA3797">
        <v>300</v>
      </c>
      <c r="DB3797">
        <v>0</v>
      </c>
      <c r="DC3797" t="s">
        <v>176</v>
      </c>
      <c r="DD3797" t="s">
        <v>177</v>
      </c>
      <c r="DG3797">
        <v>5447841</v>
      </c>
      <c r="DI3797">
        <v>1</v>
      </c>
      <c r="DJ3797">
        <v>0</v>
      </c>
      <c r="DK3797">
        <v>1</v>
      </c>
      <c r="DL3797">
        <v>0</v>
      </c>
      <c r="DM3797">
        <v>0</v>
      </c>
      <c r="DN3797">
        <v>1</v>
      </c>
      <c r="DO3797">
        <v>0</v>
      </c>
      <c r="DP3797">
        <v>0</v>
      </c>
      <c r="DQ3797">
        <v>0</v>
      </c>
      <c r="DR3797">
        <v>0</v>
      </c>
      <c r="DS3797">
        <v>0</v>
      </c>
    </row>
    <row r="3798" spans="1:123" x14ac:dyDescent="0.3">
      <c r="A3798" t="str">
        <f>"10/04/2022 19:35:46.092"</f>
        <v>10/04/2022 19:35:46.092</v>
      </c>
      <c r="C3798" t="str">
        <f t="shared" si="1383"/>
        <v>FFDFD3C0</v>
      </c>
      <c r="D3798" t="s">
        <v>147</v>
      </c>
      <c r="E3798">
        <v>3</v>
      </c>
      <c r="H3798">
        <v>166</v>
      </c>
      <c r="I3798" t="s">
        <v>144</v>
      </c>
      <c r="J3798" t="s">
        <v>148</v>
      </c>
      <c r="K3798">
        <v>0</v>
      </c>
      <c r="L3798">
        <v>3</v>
      </c>
      <c r="M3798">
        <v>0</v>
      </c>
      <c r="N3798">
        <v>2</v>
      </c>
      <c r="O3798">
        <v>0</v>
      </c>
      <c r="P3798">
        <v>1</v>
      </c>
      <c r="Q3798">
        <v>0</v>
      </c>
      <c r="S3798" t="str">
        <f t="shared" si="1397"/>
        <v>19:35:45.000</v>
      </c>
      <c r="T3798" t="str">
        <f t="shared" si="1397"/>
        <v>19:35:45.000</v>
      </c>
      <c r="U3798" t="str">
        <f t="shared" si="1391"/>
        <v>AC3944</v>
      </c>
      <c r="V3798">
        <v>0</v>
      </c>
      <c r="W3798">
        <v>0</v>
      </c>
      <c r="X3798">
        <v>2</v>
      </c>
      <c r="Y3798">
        <v>0</v>
      </c>
      <c r="AA3798">
        <v>1</v>
      </c>
      <c r="AB3798">
        <v>8</v>
      </c>
      <c r="AC3798">
        <v>3</v>
      </c>
      <c r="AD3798">
        <v>0</v>
      </c>
      <c r="AE3798">
        <v>9</v>
      </c>
      <c r="AF3798" t="s">
        <v>138</v>
      </c>
      <c r="AG3798">
        <v>0</v>
      </c>
      <c r="AH3798">
        <v>3</v>
      </c>
      <c r="AI3798">
        <v>1</v>
      </c>
      <c r="AJ3798">
        <v>0</v>
      </c>
      <c r="AK3798" t="s">
        <v>1228</v>
      </c>
      <c r="AL3798">
        <v>32.737777000000001</v>
      </c>
      <c r="AM3798" t="s">
        <v>1234</v>
      </c>
      <c r="AN3798">
        <v>-116.70405100000001</v>
      </c>
      <c r="AO3798">
        <v>25</v>
      </c>
      <c r="AP3798">
        <v>4700</v>
      </c>
      <c r="AQ3798" t="s">
        <v>129</v>
      </c>
      <c r="AR3798">
        <v>125</v>
      </c>
      <c r="AS3798">
        <v>-4</v>
      </c>
      <c r="AT3798">
        <v>640</v>
      </c>
      <c r="BB3798">
        <v>1200</v>
      </c>
      <c r="BC3798">
        <v>1</v>
      </c>
      <c r="BD3798" t="str">
        <f t="shared" si="1392"/>
        <v xml:space="preserve">N887QR  </v>
      </c>
      <c r="BE3798">
        <v>1</v>
      </c>
      <c r="BG3798">
        <v>0</v>
      </c>
      <c r="BH3798">
        <v>0</v>
      </c>
      <c r="BI3798">
        <v>0</v>
      </c>
      <c r="BJ3798">
        <v>4500</v>
      </c>
      <c r="BK3798">
        <v>-200</v>
      </c>
      <c r="BL3798" t="s">
        <v>163</v>
      </c>
      <c r="BM3798">
        <v>1</v>
      </c>
      <c r="BN3798">
        <v>1</v>
      </c>
      <c r="BO3798">
        <v>1</v>
      </c>
      <c r="BP3798">
        <v>0</v>
      </c>
      <c r="BS3798">
        <v>0</v>
      </c>
      <c r="BT3798">
        <v>0</v>
      </c>
      <c r="BU3798">
        <v>0</v>
      </c>
      <c r="CE3798" t="str">
        <f t="shared" si="1398"/>
        <v>19:35:45.805</v>
      </c>
      <c r="CF3798">
        <v>804692009</v>
      </c>
      <c r="CS3798">
        <v>0</v>
      </c>
      <c r="CT3798">
        <v>2</v>
      </c>
      <c r="CU3798">
        <v>0</v>
      </c>
      <c r="CV3798">
        <v>2</v>
      </c>
      <c r="CW3798">
        <v>0</v>
      </c>
      <c r="CX3798">
        <v>5</v>
      </c>
      <c r="CY3798">
        <v>7</v>
      </c>
      <c r="CZ3798" t="s">
        <v>131</v>
      </c>
      <c r="DA3798">
        <v>300</v>
      </c>
      <c r="DB3798">
        <v>0</v>
      </c>
      <c r="DC3798" t="s">
        <v>176</v>
      </c>
      <c r="DD3798" t="s">
        <v>177</v>
      </c>
      <c r="DG3798">
        <v>5447841</v>
      </c>
      <c r="DI3798">
        <v>1</v>
      </c>
      <c r="DJ3798">
        <v>0</v>
      </c>
      <c r="DK3798">
        <v>1</v>
      </c>
      <c r="DL3798">
        <v>0</v>
      </c>
      <c r="DM3798">
        <v>0</v>
      </c>
      <c r="DN3798">
        <v>1</v>
      </c>
      <c r="DO3798">
        <v>0</v>
      </c>
      <c r="DP3798">
        <v>0</v>
      </c>
      <c r="DQ3798">
        <v>0</v>
      </c>
      <c r="DR3798">
        <v>0</v>
      </c>
      <c r="DS3798">
        <v>0</v>
      </c>
    </row>
    <row r="3799" spans="1:123" x14ac:dyDescent="0.3">
      <c r="A3799" t="str">
        <f>"10/04/2022 19:35:46.092"</f>
        <v>10/04/2022 19:35:46.092</v>
      </c>
      <c r="C3799" t="str">
        <f t="shared" si="1383"/>
        <v>FFDFD3C0</v>
      </c>
      <c r="D3799" t="s">
        <v>134</v>
      </c>
      <c r="E3799">
        <v>15</v>
      </c>
      <c r="J3799" t="s">
        <v>135</v>
      </c>
      <c r="K3799">
        <v>0</v>
      </c>
      <c r="L3799">
        <v>3</v>
      </c>
      <c r="M3799">
        <v>0</v>
      </c>
      <c r="N3799">
        <v>2</v>
      </c>
      <c r="O3799">
        <v>0</v>
      </c>
      <c r="P3799">
        <v>1</v>
      </c>
      <c r="Q3799">
        <v>0</v>
      </c>
      <c r="S3799" t="str">
        <f t="shared" si="1397"/>
        <v>19:35:45.000</v>
      </c>
      <c r="T3799" t="str">
        <f t="shared" si="1397"/>
        <v>19:35:45.000</v>
      </c>
      <c r="U3799" t="str">
        <f t="shared" si="1391"/>
        <v>AC3944</v>
      </c>
      <c r="V3799">
        <v>0</v>
      </c>
      <c r="W3799">
        <v>0</v>
      </c>
      <c r="X3799">
        <v>2</v>
      </c>
      <c r="Y3799">
        <v>0</v>
      </c>
      <c r="AA3799">
        <v>1</v>
      </c>
      <c r="AB3799">
        <v>8</v>
      </c>
      <c r="AC3799">
        <v>3</v>
      </c>
      <c r="AD3799">
        <v>0</v>
      </c>
      <c r="AE3799">
        <v>9</v>
      </c>
      <c r="AF3799" t="s">
        <v>138</v>
      </c>
      <c r="AG3799">
        <v>0</v>
      </c>
      <c r="AH3799">
        <v>3</v>
      </c>
      <c r="AI3799">
        <v>1</v>
      </c>
      <c r="AJ3799">
        <v>0</v>
      </c>
      <c r="AK3799" t="s">
        <v>1228</v>
      </c>
      <c r="AL3799">
        <v>32.737777000000001</v>
      </c>
      <c r="AM3799" t="s">
        <v>1234</v>
      </c>
      <c r="AN3799">
        <v>-116.70405100000001</v>
      </c>
      <c r="AO3799">
        <v>25</v>
      </c>
      <c r="AP3799">
        <v>4700</v>
      </c>
      <c r="AQ3799" t="s">
        <v>129</v>
      </c>
      <c r="AR3799">
        <v>125</v>
      </c>
      <c r="AS3799">
        <v>-4</v>
      </c>
      <c r="AT3799">
        <v>640</v>
      </c>
      <c r="BB3799">
        <v>1200</v>
      </c>
      <c r="BC3799">
        <v>1</v>
      </c>
      <c r="BD3799" t="str">
        <f t="shared" si="1392"/>
        <v xml:space="preserve">N887QR  </v>
      </c>
      <c r="BE3799">
        <v>1</v>
      </c>
      <c r="BG3799">
        <v>0</v>
      </c>
      <c r="BH3799">
        <v>0</v>
      </c>
      <c r="BI3799">
        <v>0</v>
      </c>
      <c r="BJ3799">
        <v>4500</v>
      </c>
      <c r="BK3799">
        <v>-200</v>
      </c>
      <c r="BL3799" t="s">
        <v>163</v>
      </c>
      <c r="BM3799">
        <v>1</v>
      </c>
      <c r="BN3799">
        <v>1</v>
      </c>
      <c r="BO3799">
        <v>1</v>
      </c>
      <c r="BP3799">
        <v>0</v>
      </c>
      <c r="BS3799">
        <v>0</v>
      </c>
      <c r="BT3799">
        <v>0</v>
      </c>
      <c r="BU3799">
        <v>0</v>
      </c>
      <c r="CE3799" t="str">
        <f t="shared" si="1398"/>
        <v>19:35:45.805</v>
      </c>
      <c r="CF3799">
        <v>804692009</v>
      </c>
      <c r="CS3799">
        <v>0</v>
      </c>
      <c r="CT3799">
        <v>2</v>
      </c>
      <c r="CU3799">
        <v>0</v>
      </c>
      <c r="CV3799">
        <v>2</v>
      </c>
      <c r="CW3799">
        <v>0</v>
      </c>
      <c r="CX3799">
        <v>5</v>
      </c>
      <c r="CY3799">
        <v>7</v>
      </c>
      <c r="CZ3799" t="s">
        <v>131</v>
      </c>
      <c r="DA3799">
        <v>300</v>
      </c>
      <c r="DB3799">
        <v>0</v>
      </c>
      <c r="DC3799" t="s">
        <v>176</v>
      </c>
      <c r="DD3799" t="s">
        <v>177</v>
      </c>
      <c r="DG3799">
        <v>5447841</v>
      </c>
      <c r="DI3799">
        <v>1</v>
      </c>
      <c r="DJ3799">
        <v>0</v>
      </c>
      <c r="DK3799">
        <v>1</v>
      </c>
      <c r="DL3799">
        <v>0</v>
      </c>
      <c r="DM3799">
        <v>0</v>
      </c>
      <c r="DN3799">
        <v>1</v>
      </c>
      <c r="DO3799">
        <v>0</v>
      </c>
      <c r="DP3799">
        <v>0</v>
      </c>
      <c r="DQ3799">
        <v>0</v>
      </c>
      <c r="DR3799">
        <v>0</v>
      </c>
      <c r="DS3799">
        <v>0</v>
      </c>
    </row>
    <row r="3800" spans="1:123" x14ac:dyDescent="0.3">
      <c r="A3800" t="str">
        <f>"10/04/2022 19:35:46.092"</f>
        <v>10/04/2022 19:35:46.092</v>
      </c>
      <c r="C3800" t="str">
        <f t="shared" si="1383"/>
        <v>FFDFD3C0</v>
      </c>
      <c r="D3800" t="s">
        <v>141</v>
      </c>
      <c r="E3800">
        <v>4</v>
      </c>
      <c r="H3800">
        <v>4</v>
      </c>
      <c r="I3800" t="s">
        <v>142</v>
      </c>
      <c r="J3800" t="s">
        <v>138</v>
      </c>
      <c r="K3800">
        <v>0</v>
      </c>
      <c r="L3800">
        <v>3</v>
      </c>
      <c r="M3800">
        <v>0</v>
      </c>
      <c r="N3800">
        <v>2</v>
      </c>
      <c r="O3800">
        <v>0</v>
      </c>
      <c r="P3800">
        <v>1</v>
      </c>
      <c r="Q3800">
        <v>0</v>
      </c>
      <c r="S3800" t="str">
        <f t="shared" si="1397"/>
        <v>19:35:45.000</v>
      </c>
      <c r="T3800" t="str">
        <f t="shared" si="1397"/>
        <v>19:35:45.000</v>
      </c>
      <c r="U3800" t="str">
        <f t="shared" si="1391"/>
        <v>AC3944</v>
      </c>
      <c r="V3800">
        <v>0</v>
      </c>
      <c r="W3800">
        <v>0</v>
      </c>
      <c r="X3800">
        <v>2</v>
      </c>
      <c r="Y3800">
        <v>0</v>
      </c>
      <c r="AA3800">
        <v>1</v>
      </c>
      <c r="AB3800">
        <v>8</v>
      </c>
      <c r="AC3800">
        <v>3</v>
      </c>
      <c r="AD3800">
        <v>0</v>
      </c>
      <c r="AE3800">
        <v>9</v>
      </c>
      <c r="AF3800" t="s">
        <v>138</v>
      </c>
      <c r="AG3800">
        <v>0</v>
      </c>
      <c r="AH3800">
        <v>3</v>
      </c>
      <c r="AI3800">
        <v>1</v>
      </c>
      <c r="AJ3800">
        <v>0</v>
      </c>
      <c r="AK3800" t="s">
        <v>1228</v>
      </c>
      <c r="AL3800">
        <v>32.737777000000001</v>
      </c>
      <c r="AM3800" t="s">
        <v>1234</v>
      </c>
      <c r="AN3800">
        <v>-116.70405100000001</v>
      </c>
      <c r="AO3800">
        <v>25</v>
      </c>
      <c r="AP3800">
        <v>4700</v>
      </c>
      <c r="AQ3800" t="s">
        <v>129</v>
      </c>
      <c r="AR3800">
        <v>125</v>
      </c>
      <c r="AS3800">
        <v>-4</v>
      </c>
      <c r="AT3800">
        <v>640</v>
      </c>
      <c r="BB3800">
        <v>1200</v>
      </c>
      <c r="BC3800">
        <v>1</v>
      </c>
      <c r="BD3800" t="str">
        <f t="shared" si="1392"/>
        <v xml:space="preserve">N887QR  </v>
      </c>
      <c r="BE3800">
        <v>1</v>
      </c>
      <c r="BG3800">
        <v>0</v>
      </c>
      <c r="BH3800">
        <v>0</v>
      </c>
      <c r="BI3800">
        <v>0</v>
      </c>
      <c r="BJ3800">
        <v>4500</v>
      </c>
      <c r="BK3800">
        <v>-200</v>
      </c>
      <c r="BL3800" t="s">
        <v>163</v>
      </c>
      <c r="BM3800">
        <v>1</v>
      </c>
      <c r="BN3800">
        <v>1</v>
      </c>
      <c r="BO3800">
        <v>1</v>
      </c>
      <c r="BP3800">
        <v>0</v>
      </c>
      <c r="BS3800">
        <v>0</v>
      </c>
      <c r="BT3800">
        <v>0</v>
      </c>
      <c r="BU3800">
        <v>0</v>
      </c>
      <c r="CE3800" t="str">
        <f t="shared" si="1398"/>
        <v>19:35:45.805</v>
      </c>
      <c r="CF3800">
        <v>804692009</v>
      </c>
      <c r="CS3800">
        <v>0</v>
      </c>
      <c r="CT3800">
        <v>2</v>
      </c>
      <c r="CU3800">
        <v>0</v>
      </c>
      <c r="CV3800">
        <v>2</v>
      </c>
      <c r="CW3800">
        <v>0</v>
      </c>
      <c r="CX3800">
        <v>5</v>
      </c>
      <c r="CY3800">
        <v>7</v>
      </c>
      <c r="CZ3800" t="s">
        <v>131</v>
      </c>
      <c r="DA3800">
        <v>300</v>
      </c>
      <c r="DB3800">
        <v>0</v>
      </c>
      <c r="DC3800" t="s">
        <v>176</v>
      </c>
      <c r="DD3800" t="s">
        <v>177</v>
      </c>
      <c r="DG3800">
        <v>5447841</v>
      </c>
      <c r="DI3800">
        <v>1</v>
      </c>
      <c r="DJ3800">
        <v>0</v>
      </c>
      <c r="DK3800">
        <v>1</v>
      </c>
      <c r="DL3800">
        <v>0</v>
      </c>
      <c r="DM3800">
        <v>0</v>
      </c>
      <c r="DN3800">
        <v>1</v>
      </c>
      <c r="DO3800">
        <v>0</v>
      </c>
      <c r="DP3800">
        <v>0</v>
      </c>
      <c r="DQ3800">
        <v>0</v>
      </c>
      <c r="DR3800">
        <v>0</v>
      </c>
      <c r="DS3800">
        <v>0</v>
      </c>
    </row>
    <row r="3801" spans="1:123" x14ac:dyDescent="0.3">
      <c r="A3801" t="str">
        <f>"10/04/2022 19:35:47.557"</f>
        <v>10/04/2022 19:35:47.557</v>
      </c>
      <c r="C3801" t="str">
        <f t="shared" si="1383"/>
        <v>FFDFD3C0</v>
      </c>
      <c r="D3801" t="s">
        <v>141</v>
      </c>
      <c r="E3801">
        <v>3</v>
      </c>
      <c r="H3801">
        <v>3</v>
      </c>
      <c r="I3801" t="s">
        <v>146</v>
      </c>
      <c r="J3801" t="s">
        <v>138</v>
      </c>
      <c r="K3801">
        <v>0</v>
      </c>
      <c r="L3801">
        <v>3</v>
      </c>
      <c r="M3801">
        <v>0</v>
      </c>
      <c r="N3801">
        <v>2</v>
      </c>
      <c r="O3801">
        <v>0</v>
      </c>
      <c r="P3801">
        <v>1</v>
      </c>
      <c r="Q3801">
        <v>0</v>
      </c>
      <c r="S3801" t="str">
        <f t="shared" ref="S3801:T3807" si="1399">"19:35:47.000"</f>
        <v>19:35:47.000</v>
      </c>
      <c r="T3801" t="str">
        <f t="shared" si="1399"/>
        <v>19:35:47.000</v>
      </c>
      <c r="U3801" t="str">
        <f t="shared" si="1391"/>
        <v>AC3944</v>
      </c>
      <c r="V3801">
        <v>0</v>
      </c>
      <c r="W3801">
        <v>0</v>
      </c>
      <c r="X3801">
        <v>2</v>
      </c>
      <c r="Y3801">
        <v>0</v>
      </c>
      <c r="AA3801">
        <v>1</v>
      </c>
      <c r="AB3801">
        <v>8</v>
      </c>
      <c r="AC3801">
        <v>3</v>
      </c>
      <c r="AD3801">
        <v>0</v>
      </c>
      <c r="AE3801">
        <v>9</v>
      </c>
      <c r="AF3801" t="s">
        <v>138</v>
      </c>
      <c r="AG3801">
        <v>0</v>
      </c>
      <c r="AH3801">
        <v>3</v>
      </c>
      <c r="AI3801">
        <v>1</v>
      </c>
      <c r="AJ3801">
        <v>0</v>
      </c>
      <c r="AK3801" t="s">
        <v>1226</v>
      </c>
      <c r="AL3801">
        <v>32.737755999999997</v>
      </c>
      <c r="AM3801" t="s">
        <v>1235</v>
      </c>
      <c r="AN3801">
        <v>-116.70338599999999</v>
      </c>
      <c r="AO3801">
        <v>25</v>
      </c>
      <c r="AP3801">
        <v>4700</v>
      </c>
      <c r="AQ3801" t="s">
        <v>129</v>
      </c>
      <c r="AR3801">
        <v>124</v>
      </c>
      <c r="AS3801">
        <v>-7</v>
      </c>
      <c r="AT3801">
        <v>640</v>
      </c>
      <c r="BB3801">
        <v>1200</v>
      </c>
      <c r="BC3801">
        <v>1</v>
      </c>
      <c r="BD3801" t="str">
        <f t="shared" si="1392"/>
        <v xml:space="preserve">N887QR  </v>
      </c>
      <c r="BE3801">
        <v>1</v>
      </c>
      <c r="BG3801">
        <v>0</v>
      </c>
      <c r="BH3801">
        <v>0</v>
      </c>
      <c r="BI3801">
        <v>0</v>
      </c>
      <c r="BJ3801">
        <v>4500</v>
      </c>
      <c r="BK3801">
        <v>-200</v>
      </c>
      <c r="BL3801" t="s">
        <v>163</v>
      </c>
      <c r="BM3801">
        <v>1</v>
      </c>
      <c r="BN3801">
        <v>1</v>
      </c>
      <c r="BO3801">
        <v>1</v>
      </c>
      <c r="BP3801">
        <v>0</v>
      </c>
      <c r="BS3801">
        <v>0</v>
      </c>
      <c r="BT3801">
        <v>0</v>
      </c>
      <c r="BU3801">
        <v>0</v>
      </c>
      <c r="CE3801" t="str">
        <f t="shared" ref="CE3801:CE3807" si="1400">"19:35:47.299"</f>
        <v>19:35:47.299</v>
      </c>
      <c r="CF3801">
        <v>299196982</v>
      </c>
      <c r="CS3801">
        <v>0</v>
      </c>
      <c r="CT3801">
        <v>2</v>
      </c>
      <c r="CU3801">
        <v>0</v>
      </c>
      <c r="CV3801">
        <v>2</v>
      </c>
      <c r="CW3801">
        <v>3</v>
      </c>
      <c r="CX3801">
        <v>4</v>
      </c>
      <c r="CY3801">
        <v>7</v>
      </c>
      <c r="CZ3801" t="s">
        <v>131</v>
      </c>
      <c r="DA3801">
        <v>300</v>
      </c>
      <c r="DB3801">
        <v>0</v>
      </c>
      <c r="DC3801" t="s">
        <v>176</v>
      </c>
      <c r="DD3801" t="s">
        <v>177</v>
      </c>
      <c r="DG3801">
        <v>5448091</v>
      </c>
      <c r="DI3801">
        <v>1</v>
      </c>
      <c r="DJ3801">
        <v>0</v>
      </c>
      <c r="DK3801">
        <v>0</v>
      </c>
      <c r="DL3801">
        <v>0</v>
      </c>
      <c r="DM3801">
        <v>0</v>
      </c>
      <c r="DN3801">
        <v>1</v>
      </c>
      <c r="DO3801">
        <v>0</v>
      </c>
      <c r="DP3801">
        <v>0</v>
      </c>
      <c r="DQ3801">
        <v>0</v>
      </c>
      <c r="DR3801">
        <v>0</v>
      </c>
      <c r="DS3801">
        <v>0</v>
      </c>
    </row>
    <row r="3802" spans="1:123" x14ac:dyDescent="0.3">
      <c r="A3802" t="str">
        <f>"10/04/2022 19:35:47.557"</f>
        <v>10/04/2022 19:35:47.557</v>
      </c>
      <c r="C3802" t="str">
        <f t="shared" si="1383"/>
        <v>FFDFD3C0</v>
      </c>
      <c r="D3802" t="s">
        <v>123</v>
      </c>
      <c r="E3802">
        <v>7</v>
      </c>
      <c r="F3802">
        <v>2007</v>
      </c>
      <c r="G3802" t="s">
        <v>124</v>
      </c>
      <c r="J3802" t="s">
        <v>125</v>
      </c>
      <c r="K3802">
        <v>0</v>
      </c>
      <c r="L3802">
        <v>3</v>
      </c>
      <c r="M3802">
        <v>0</v>
      </c>
      <c r="N3802">
        <v>2</v>
      </c>
      <c r="O3802">
        <v>0</v>
      </c>
      <c r="P3802">
        <v>1</v>
      </c>
      <c r="Q3802">
        <v>0</v>
      </c>
      <c r="S3802" t="str">
        <f t="shared" si="1399"/>
        <v>19:35:47.000</v>
      </c>
      <c r="T3802" t="str">
        <f t="shared" si="1399"/>
        <v>19:35:47.000</v>
      </c>
      <c r="U3802" t="str">
        <f t="shared" si="1391"/>
        <v>AC3944</v>
      </c>
      <c r="V3802">
        <v>0</v>
      </c>
      <c r="W3802">
        <v>0</v>
      </c>
      <c r="X3802">
        <v>2</v>
      </c>
      <c r="Y3802">
        <v>0</v>
      </c>
      <c r="AA3802">
        <v>1</v>
      </c>
      <c r="AB3802">
        <v>8</v>
      </c>
      <c r="AC3802">
        <v>3</v>
      </c>
      <c r="AD3802">
        <v>0</v>
      </c>
      <c r="AE3802">
        <v>9</v>
      </c>
      <c r="AF3802" t="s">
        <v>138</v>
      </c>
      <c r="AG3802">
        <v>0</v>
      </c>
      <c r="AH3802">
        <v>3</v>
      </c>
      <c r="AI3802">
        <v>1</v>
      </c>
      <c r="AJ3802">
        <v>0</v>
      </c>
      <c r="AK3802" t="s">
        <v>1226</v>
      </c>
      <c r="AL3802">
        <v>32.737755999999997</v>
      </c>
      <c r="AM3802" t="s">
        <v>1235</v>
      </c>
      <c r="AN3802">
        <v>-116.70338599999999</v>
      </c>
      <c r="AO3802">
        <v>25</v>
      </c>
      <c r="AP3802">
        <v>4700</v>
      </c>
      <c r="AQ3802" t="s">
        <v>129</v>
      </c>
      <c r="AR3802">
        <v>124</v>
      </c>
      <c r="AS3802">
        <v>-7</v>
      </c>
      <c r="AT3802">
        <v>640</v>
      </c>
      <c r="BB3802">
        <v>1200</v>
      </c>
      <c r="BC3802">
        <v>1</v>
      </c>
      <c r="BD3802" t="str">
        <f t="shared" si="1392"/>
        <v xml:space="preserve">N887QR  </v>
      </c>
      <c r="BE3802">
        <v>1</v>
      </c>
      <c r="BG3802">
        <v>0</v>
      </c>
      <c r="BH3802">
        <v>0</v>
      </c>
      <c r="BI3802">
        <v>0</v>
      </c>
      <c r="BJ3802">
        <v>4500</v>
      </c>
      <c r="BK3802">
        <v>-200</v>
      </c>
      <c r="BL3802" t="s">
        <v>163</v>
      </c>
      <c r="BM3802">
        <v>1</v>
      </c>
      <c r="BN3802">
        <v>1</v>
      </c>
      <c r="BO3802">
        <v>1</v>
      </c>
      <c r="BP3802">
        <v>0</v>
      </c>
      <c r="BS3802">
        <v>0</v>
      </c>
      <c r="BT3802">
        <v>0</v>
      </c>
      <c r="BU3802">
        <v>0</v>
      </c>
      <c r="CE3802" t="str">
        <f t="shared" si="1400"/>
        <v>19:35:47.299</v>
      </c>
      <c r="CF3802">
        <v>299196982</v>
      </c>
      <c r="CS3802">
        <v>0</v>
      </c>
      <c r="CT3802">
        <v>2</v>
      </c>
      <c r="CU3802">
        <v>0</v>
      </c>
      <c r="CV3802">
        <v>2</v>
      </c>
      <c r="CW3802">
        <v>3</v>
      </c>
      <c r="CX3802">
        <v>4</v>
      </c>
      <c r="CY3802">
        <v>7</v>
      </c>
      <c r="CZ3802" t="s">
        <v>131</v>
      </c>
      <c r="DA3802">
        <v>300</v>
      </c>
      <c r="DB3802">
        <v>0</v>
      </c>
      <c r="DC3802" t="s">
        <v>176</v>
      </c>
      <c r="DD3802" t="s">
        <v>177</v>
      </c>
      <c r="DG3802">
        <v>5448091</v>
      </c>
      <c r="DI3802">
        <v>1</v>
      </c>
      <c r="DJ3802">
        <v>0</v>
      </c>
      <c r="DK3802">
        <v>1</v>
      </c>
      <c r="DL3802">
        <v>0</v>
      </c>
      <c r="DM3802">
        <v>0</v>
      </c>
      <c r="DN3802">
        <v>1</v>
      </c>
      <c r="DO3802">
        <v>0</v>
      </c>
      <c r="DP3802">
        <v>0</v>
      </c>
      <c r="DQ3802">
        <v>0</v>
      </c>
      <c r="DR3802">
        <v>0</v>
      </c>
      <c r="DS3802">
        <v>0</v>
      </c>
    </row>
    <row r="3803" spans="1:123" x14ac:dyDescent="0.3">
      <c r="A3803" t="str">
        <f>"10/04/2022 19:35:47.620"</f>
        <v>10/04/2022 19:35:47.620</v>
      </c>
      <c r="C3803" t="str">
        <f t="shared" si="1383"/>
        <v>FFDFD3C0</v>
      </c>
      <c r="D3803" t="s">
        <v>136</v>
      </c>
      <c r="E3803">
        <v>8</v>
      </c>
      <c r="H3803">
        <v>225</v>
      </c>
      <c r="I3803" t="s">
        <v>137</v>
      </c>
      <c r="J3803" t="s">
        <v>138</v>
      </c>
      <c r="K3803">
        <v>0</v>
      </c>
      <c r="L3803">
        <v>3</v>
      </c>
      <c r="M3803">
        <v>0</v>
      </c>
      <c r="N3803">
        <v>2</v>
      </c>
      <c r="O3803">
        <v>0</v>
      </c>
      <c r="P3803">
        <v>1</v>
      </c>
      <c r="Q3803">
        <v>0</v>
      </c>
      <c r="S3803" t="str">
        <f t="shared" si="1399"/>
        <v>19:35:47.000</v>
      </c>
      <c r="T3803" t="str">
        <f t="shared" si="1399"/>
        <v>19:35:47.000</v>
      </c>
      <c r="U3803" t="str">
        <f t="shared" si="1391"/>
        <v>AC3944</v>
      </c>
      <c r="V3803">
        <v>0</v>
      </c>
      <c r="W3803">
        <v>0</v>
      </c>
      <c r="X3803">
        <v>2</v>
      </c>
      <c r="Y3803">
        <v>0</v>
      </c>
      <c r="AA3803">
        <v>1</v>
      </c>
      <c r="AB3803">
        <v>8</v>
      </c>
      <c r="AC3803">
        <v>3</v>
      </c>
      <c r="AD3803">
        <v>0</v>
      </c>
      <c r="AE3803">
        <v>9</v>
      </c>
      <c r="AF3803" t="s">
        <v>138</v>
      </c>
      <c r="AG3803">
        <v>0</v>
      </c>
      <c r="AH3803">
        <v>3</v>
      </c>
      <c r="AI3803">
        <v>1</v>
      </c>
      <c r="AJ3803">
        <v>0</v>
      </c>
      <c r="AK3803" t="s">
        <v>1226</v>
      </c>
      <c r="AL3803">
        <v>32.737755999999997</v>
      </c>
      <c r="AM3803" t="s">
        <v>1235</v>
      </c>
      <c r="AN3803">
        <v>-116.70338599999999</v>
      </c>
      <c r="AO3803">
        <v>25</v>
      </c>
      <c r="AP3803">
        <v>4700</v>
      </c>
      <c r="AQ3803" t="s">
        <v>129</v>
      </c>
      <c r="AR3803">
        <v>124</v>
      </c>
      <c r="AS3803">
        <v>-7</v>
      </c>
      <c r="AT3803">
        <v>640</v>
      </c>
      <c r="BB3803">
        <v>1200</v>
      </c>
      <c r="BC3803">
        <v>1</v>
      </c>
      <c r="BD3803" t="str">
        <f t="shared" si="1392"/>
        <v xml:space="preserve">N887QR  </v>
      </c>
      <c r="BE3803">
        <v>1</v>
      </c>
      <c r="BG3803">
        <v>0</v>
      </c>
      <c r="BH3803">
        <v>0</v>
      </c>
      <c r="BI3803">
        <v>0</v>
      </c>
      <c r="BJ3803">
        <v>4500</v>
      </c>
      <c r="BK3803">
        <v>-200</v>
      </c>
      <c r="BL3803" t="s">
        <v>163</v>
      </c>
      <c r="BM3803">
        <v>1</v>
      </c>
      <c r="BN3803">
        <v>1</v>
      </c>
      <c r="BO3803">
        <v>1</v>
      </c>
      <c r="BP3803">
        <v>0</v>
      </c>
      <c r="BS3803">
        <v>0</v>
      </c>
      <c r="BT3803">
        <v>0</v>
      </c>
      <c r="BU3803">
        <v>0</v>
      </c>
      <c r="CE3803" t="str">
        <f t="shared" si="1400"/>
        <v>19:35:47.299</v>
      </c>
      <c r="CF3803">
        <v>299196982</v>
      </c>
      <c r="CS3803">
        <v>0</v>
      </c>
      <c r="CT3803">
        <v>2</v>
      </c>
      <c r="CU3803">
        <v>0</v>
      </c>
      <c r="CV3803">
        <v>2</v>
      </c>
      <c r="CW3803">
        <v>3</v>
      </c>
      <c r="CX3803">
        <v>4</v>
      </c>
      <c r="CY3803">
        <v>7</v>
      </c>
      <c r="CZ3803" t="s">
        <v>131</v>
      </c>
      <c r="DA3803">
        <v>300</v>
      </c>
      <c r="DB3803">
        <v>0</v>
      </c>
      <c r="DC3803" t="s">
        <v>176</v>
      </c>
      <c r="DD3803" t="s">
        <v>177</v>
      </c>
      <c r="DG3803">
        <v>5448091</v>
      </c>
      <c r="DI3803">
        <v>1</v>
      </c>
      <c r="DJ3803">
        <v>0</v>
      </c>
      <c r="DK3803">
        <v>1</v>
      </c>
      <c r="DL3803">
        <v>0</v>
      </c>
      <c r="DM3803">
        <v>0</v>
      </c>
      <c r="DN3803">
        <v>1</v>
      </c>
      <c r="DO3803">
        <v>0</v>
      </c>
      <c r="DP3803">
        <v>0</v>
      </c>
      <c r="DQ3803">
        <v>0</v>
      </c>
      <c r="DR3803">
        <v>0</v>
      </c>
      <c r="DS3803">
        <v>0</v>
      </c>
    </row>
    <row r="3804" spans="1:123" x14ac:dyDescent="0.3">
      <c r="A3804" t="str">
        <f>"10/04/2022 19:35:47.620"</f>
        <v>10/04/2022 19:35:47.620</v>
      </c>
      <c r="C3804" t="str">
        <f t="shared" si="1383"/>
        <v>FFDFD3C0</v>
      </c>
      <c r="D3804" t="s">
        <v>147</v>
      </c>
      <c r="E3804">
        <v>3</v>
      </c>
      <c r="H3804">
        <v>166</v>
      </c>
      <c r="I3804" t="s">
        <v>144</v>
      </c>
      <c r="J3804" t="s">
        <v>148</v>
      </c>
      <c r="K3804">
        <v>0</v>
      </c>
      <c r="L3804">
        <v>3</v>
      </c>
      <c r="M3804">
        <v>0</v>
      </c>
      <c r="N3804">
        <v>2</v>
      </c>
      <c r="O3804">
        <v>0</v>
      </c>
      <c r="P3804">
        <v>1</v>
      </c>
      <c r="Q3804">
        <v>0</v>
      </c>
      <c r="S3804" t="str">
        <f t="shared" si="1399"/>
        <v>19:35:47.000</v>
      </c>
      <c r="T3804" t="str">
        <f t="shared" si="1399"/>
        <v>19:35:47.000</v>
      </c>
      <c r="U3804" t="str">
        <f t="shared" si="1391"/>
        <v>AC3944</v>
      </c>
      <c r="V3804">
        <v>0</v>
      </c>
      <c r="W3804">
        <v>0</v>
      </c>
      <c r="X3804">
        <v>2</v>
      </c>
      <c r="Y3804">
        <v>0</v>
      </c>
      <c r="AA3804">
        <v>1</v>
      </c>
      <c r="AB3804">
        <v>8</v>
      </c>
      <c r="AC3804">
        <v>3</v>
      </c>
      <c r="AD3804">
        <v>0</v>
      </c>
      <c r="AE3804">
        <v>9</v>
      </c>
      <c r="AF3804" t="s">
        <v>138</v>
      </c>
      <c r="AG3804">
        <v>0</v>
      </c>
      <c r="AH3804">
        <v>3</v>
      </c>
      <c r="AI3804">
        <v>1</v>
      </c>
      <c r="AJ3804">
        <v>0</v>
      </c>
      <c r="AK3804" t="s">
        <v>1226</v>
      </c>
      <c r="AL3804">
        <v>32.737755999999997</v>
      </c>
      <c r="AM3804" t="s">
        <v>1235</v>
      </c>
      <c r="AN3804">
        <v>-116.70338599999999</v>
      </c>
      <c r="AO3804">
        <v>25</v>
      </c>
      <c r="AP3804">
        <v>4700</v>
      </c>
      <c r="AQ3804" t="s">
        <v>129</v>
      </c>
      <c r="AR3804">
        <v>124</v>
      </c>
      <c r="AS3804">
        <v>-7</v>
      </c>
      <c r="AT3804">
        <v>640</v>
      </c>
      <c r="BB3804">
        <v>1200</v>
      </c>
      <c r="BC3804">
        <v>1</v>
      </c>
      <c r="BD3804" t="str">
        <f t="shared" si="1392"/>
        <v xml:space="preserve">N887QR  </v>
      </c>
      <c r="BE3804">
        <v>1</v>
      </c>
      <c r="BG3804">
        <v>0</v>
      </c>
      <c r="BH3804">
        <v>0</v>
      </c>
      <c r="BI3804">
        <v>0</v>
      </c>
      <c r="BJ3804">
        <v>4500</v>
      </c>
      <c r="BK3804">
        <v>-200</v>
      </c>
      <c r="BL3804" t="s">
        <v>163</v>
      </c>
      <c r="BM3804">
        <v>1</v>
      </c>
      <c r="BN3804">
        <v>1</v>
      </c>
      <c r="BO3804">
        <v>1</v>
      </c>
      <c r="BP3804">
        <v>0</v>
      </c>
      <c r="BS3804">
        <v>0</v>
      </c>
      <c r="BT3804">
        <v>0</v>
      </c>
      <c r="BU3804">
        <v>0</v>
      </c>
      <c r="CE3804" t="str">
        <f t="shared" si="1400"/>
        <v>19:35:47.299</v>
      </c>
      <c r="CF3804">
        <v>299196982</v>
      </c>
      <c r="CS3804">
        <v>0</v>
      </c>
      <c r="CT3804">
        <v>2</v>
      </c>
      <c r="CU3804">
        <v>0</v>
      </c>
      <c r="CV3804">
        <v>2</v>
      </c>
      <c r="CW3804">
        <v>3</v>
      </c>
      <c r="CX3804">
        <v>4</v>
      </c>
      <c r="CY3804">
        <v>7</v>
      </c>
      <c r="CZ3804" t="s">
        <v>131</v>
      </c>
      <c r="DA3804">
        <v>300</v>
      </c>
      <c r="DB3804">
        <v>0</v>
      </c>
      <c r="DC3804" t="s">
        <v>176</v>
      </c>
      <c r="DD3804" t="s">
        <v>177</v>
      </c>
      <c r="DG3804">
        <v>5448091</v>
      </c>
      <c r="DI3804">
        <v>1</v>
      </c>
      <c r="DJ3804">
        <v>0</v>
      </c>
      <c r="DK3804">
        <v>1</v>
      </c>
      <c r="DL3804">
        <v>0</v>
      </c>
      <c r="DM3804">
        <v>0</v>
      </c>
      <c r="DN3804">
        <v>1</v>
      </c>
      <c r="DO3804">
        <v>0</v>
      </c>
      <c r="DP3804">
        <v>0</v>
      </c>
      <c r="DQ3804">
        <v>0</v>
      </c>
      <c r="DR3804">
        <v>0</v>
      </c>
      <c r="DS3804">
        <v>0</v>
      </c>
    </row>
    <row r="3805" spans="1:123" x14ac:dyDescent="0.3">
      <c r="A3805" t="str">
        <f>"10/04/2022 19:35:47.651"</f>
        <v>10/04/2022 19:35:47.651</v>
      </c>
      <c r="C3805" t="str">
        <f t="shared" si="1383"/>
        <v>FFDFD3C0</v>
      </c>
      <c r="D3805" t="s">
        <v>141</v>
      </c>
      <c r="E3805">
        <v>4</v>
      </c>
      <c r="H3805">
        <v>4</v>
      </c>
      <c r="I3805" t="s">
        <v>142</v>
      </c>
      <c r="J3805" t="s">
        <v>138</v>
      </c>
      <c r="K3805">
        <v>0</v>
      </c>
      <c r="L3805">
        <v>3</v>
      </c>
      <c r="M3805">
        <v>0</v>
      </c>
      <c r="N3805">
        <v>2</v>
      </c>
      <c r="O3805">
        <v>0</v>
      </c>
      <c r="P3805">
        <v>1</v>
      </c>
      <c r="Q3805">
        <v>0</v>
      </c>
      <c r="S3805" t="str">
        <f t="shared" si="1399"/>
        <v>19:35:47.000</v>
      </c>
      <c r="T3805" t="str">
        <f t="shared" si="1399"/>
        <v>19:35:47.000</v>
      </c>
      <c r="U3805" t="str">
        <f t="shared" si="1391"/>
        <v>AC3944</v>
      </c>
      <c r="V3805">
        <v>0</v>
      </c>
      <c r="W3805">
        <v>0</v>
      </c>
      <c r="X3805">
        <v>2</v>
      </c>
      <c r="Y3805">
        <v>0</v>
      </c>
      <c r="AA3805">
        <v>1</v>
      </c>
      <c r="AB3805">
        <v>8</v>
      </c>
      <c r="AC3805">
        <v>3</v>
      </c>
      <c r="AD3805">
        <v>0</v>
      </c>
      <c r="AE3805">
        <v>9</v>
      </c>
      <c r="AF3805" t="s">
        <v>138</v>
      </c>
      <c r="AG3805">
        <v>0</v>
      </c>
      <c r="AH3805">
        <v>3</v>
      </c>
      <c r="AI3805">
        <v>1</v>
      </c>
      <c r="AJ3805">
        <v>0</v>
      </c>
      <c r="AK3805" t="s">
        <v>1226</v>
      </c>
      <c r="AL3805">
        <v>32.737755999999997</v>
      </c>
      <c r="AM3805" t="s">
        <v>1235</v>
      </c>
      <c r="AN3805">
        <v>-116.70338599999999</v>
      </c>
      <c r="AO3805">
        <v>25</v>
      </c>
      <c r="AP3805">
        <v>4700</v>
      </c>
      <c r="AQ3805" t="s">
        <v>129</v>
      </c>
      <c r="AR3805">
        <v>124</v>
      </c>
      <c r="AS3805">
        <v>-7</v>
      </c>
      <c r="AT3805">
        <v>640</v>
      </c>
      <c r="BB3805">
        <v>1200</v>
      </c>
      <c r="BC3805">
        <v>1</v>
      </c>
      <c r="BD3805" t="str">
        <f t="shared" si="1392"/>
        <v xml:space="preserve">N887QR  </v>
      </c>
      <c r="BE3805">
        <v>1</v>
      </c>
      <c r="BG3805">
        <v>0</v>
      </c>
      <c r="BH3805">
        <v>0</v>
      </c>
      <c r="BI3805">
        <v>0</v>
      </c>
      <c r="BJ3805">
        <v>4500</v>
      </c>
      <c r="BK3805">
        <v>-200</v>
      </c>
      <c r="BL3805" t="s">
        <v>163</v>
      </c>
      <c r="BM3805">
        <v>1</v>
      </c>
      <c r="BN3805">
        <v>1</v>
      </c>
      <c r="BO3805">
        <v>1</v>
      </c>
      <c r="BP3805">
        <v>0</v>
      </c>
      <c r="BS3805">
        <v>0</v>
      </c>
      <c r="BT3805">
        <v>0</v>
      </c>
      <c r="BU3805">
        <v>0</v>
      </c>
      <c r="CE3805" t="str">
        <f t="shared" si="1400"/>
        <v>19:35:47.299</v>
      </c>
      <c r="CF3805">
        <v>299196982</v>
      </c>
      <c r="CS3805">
        <v>0</v>
      </c>
      <c r="CT3805">
        <v>2</v>
      </c>
      <c r="CU3805">
        <v>0</v>
      </c>
      <c r="CV3805">
        <v>2</v>
      </c>
      <c r="CW3805">
        <v>3</v>
      </c>
      <c r="CX3805">
        <v>4</v>
      </c>
      <c r="CY3805">
        <v>7</v>
      </c>
      <c r="CZ3805" t="s">
        <v>131</v>
      </c>
      <c r="DA3805">
        <v>300</v>
      </c>
      <c r="DB3805">
        <v>0</v>
      </c>
      <c r="DC3805" t="s">
        <v>176</v>
      </c>
      <c r="DD3805" t="s">
        <v>177</v>
      </c>
      <c r="DG3805">
        <v>5448091</v>
      </c>
      <c r="DI3805">
        <v>1</v>
      </c>
      <c r="DJ3805">
        <v>0</v>
      </c>
      <c r="DK3805">
        <v>1</v>
      </c>
      <c r="DL3805">
        <v>0</v>
      </c>
      <c r="DM3805">
        <v>0</v>
      </c>
      <c r="DN3805">
        <v>1</v>
      </c>
      <c r="DO3805">
        <v>0</v>
      </c>
      <c r="DP3805">
        <v>0</v>
      </c>
      <c r="DQ3805">
        <v>0</v>
      </c>
      <c r="DR3805">
        <v>0</v>
      </c>
      <c r="DS3805">
        <v>0</v>
      </c>
    </row>
    <row r="3806" spans="1:123" x14ac:dyDescent="0.3">
      <c r="A3806" t="str">
        <f>"10/04/2022 19:35:47.651"</f>
        <v>10/04/2022 19:35:47.651</v>
      </c>
      <c r="C3806" t="str">
        <f t="shared" si="1383"/>
        <v>FFDFD3C0</v>
      </c>
      <c r="D3806" t="s">
        <v>134</v>
      </c>
      <c r="E3806">
        <v>15</v>
      </c>
      <c r="J3806" t="s">
        <v>135</v>
      </c>
      <c r="K3806">
        <v>0</v>
      </c>
      <c r="L3806">
        <v>3</v>
      </c>
      <c r="M3806">
        <v>0</v>
      </c>
      <c r="N3806">
        <v>2</v>
      </c>
      <c r="O3806">
        <v>0</v>
      </c>
      <c r="P3806">
        <v>1</v>
      </c>
      <c r="Q3806">
        <v>0</v>
      </c>
      <c r="S3806" t="str">
        <f t="shared" si="1399"/>
        <v>19:35:47.000</v>
      </c>
      <c r="T3806" t="str">
        <f t="shared" si="1399"/>
        <v>19:35:47.000</v>
      </c>
      <c r="U3806" t="str">
        <f t="shared" si="1391"/>
        <v>AC3944</v>
      </c>
      <c r="V3806">
        <v>0</v>
      </c>
      <c r="W3806">
        <v>0</v>
      </c>
      <c r="X3806">
        <v>2</v>
      </c>
      <c r="Y3806">
        <v>0</v>
      </c>
      <c r="AA3806">
        <v>1</v>
      </c>
      <c r="AB3806">
        <v>8</v>
      </c>
      <c r="AC3806">
        <v>3</v>
      </c>
      <c r="AD3806">
        <v>0</v>
      </c>
      <c r="AE3806">
        <v>9</v>
      </c>
      <c r="AF3806" t="s">
        <v>138</v>
      </c>
      <c r="AG3806">
        <v>0</v>
      </c>
      <c r="AH3806">
        <v>3</v>
      </c>
      <c r="AI3806">
        <v>1</v>
      </c>
      <c r="AJ3806">
        <v>0</v>
      </c>
      <c r="AK3806" t="s">
        <v>1226</v>
      </c>
      <c r="AL3806">
        <v>32.737755999999997</v>
      </c>
      <c r="AM3806" t="s">
        <v>1235</v>
      </c>
      <c r="AN3806">
        <v>-116.70338599999999</v>
      </c>
      <c r="AO3806">
        <v>25</v>
      </c>
      <c r="AP3806">
        <v>4700</v>
      </c>
      <c r="AQ3806" t="s">
        <v>129</v>
      </c>
      <c r="AR3806">
        <v>124</v>
      </c>
      <c r="AS3806">
        <v>-7</v>
      </c>
      <c r="AT3806">
        <v>640</v>
      </c>
      <c r="BB3806">
        <v>1200</v>
      </c>
      <c r="BC3806">
        <v>1</v>
      </c>
      <c r="BD3806" t="str">
        <f t="shared" si="1392"/>
        <v xml:space="preserve">N887QR  </v>
      </c>
      <c r="BE3806">
        <v>1</v>
      </c>
      <c r="BG3806">
        <v>0</v>
      </c>
      <c r="BH3806">
        <v>0</v>
      </c>
      <c r="BI3806">
        <v>0</v>
      </c>
      <c r="BJ3806">
        <v>4500</v>
      </c>
      <c r="BK3806">
        <v>-200</v>
      </c>
      <c r="BL3806" t="s">
        <v>163</v>
      </c>
      <c r="BM3806">
        <v>1</v>
      </c>
      <c r="BN3806">
        <v>1</v>
      </c>
      <c r="BO3806">
        <v>1</v>
      </c>
      <c r="BP3806">
        <v>0</v>
      </c>
      <c r="BS3806">
        <v>0</v>
      </c>
      <c r="BT3806">
        <v>0</v>
      </c>
      <c r="BU3806">
        <v>0</v>
      </c>
      <c r="CE3806" t="str">
        <f t="shared" si="1400"/>
        <v>19:35:47.299</v>
      </c>
      <c r="CF3806">
        <v>299196982</v>
      </c>
      <c r="CS3806">
        <v>0</v>
      </c>
      <c r="CT3806">
        <v>2</v>
      </c>
      <c r="CU3806">
        <v>0</v>
      </c>
      <c r="CV3806">
        <v>2</v>
      </c>
      <c r="CW3806">
        <v>3</v>
      </c>
      <c r="CX3806">
        <v>4</v>
      </c>
      <c r="CY3806">
        <v>7</v>
      </c>
      <c r="CZ3806" t="s">
        <v>131</v>
      </c>
      <c r="DA3806">
        <v>300</v>
      </c>
      <c r="DB3806">
        <v>0</v>
      </c>
      <c r="DC3806" t="s">
        <v>176</v>
      </c>
      <c r="DD3806" t="s">
        <v>177</v>
      </c>
      <c r="DG3806">
        <v>5448091</v>
      </c>
      <c r="DI3806">
        <v>1</v>
      </c>
      <c r="DJ3806">
        <v>0</v>
      </c>
      <c r="DK3806">
        <v>1</v>
      </c>
      <c r="DL3806">
        <v>0</v>
      </c>
      <c r="DM3806">
        <v>0</v>
      </c>
      <c r="DN3806">
        <v>1</v>
      </c>
      <c r="DO3806">
        <v>0</v>
      </c>
      <c r="DP3806">
        <v>0</v>
      </c>
      <c r="DQ3806">
        <v>0</v>
      </c>
      <c r="DR3806">
        <v>0</v>
      </c>
      <c r="DS3806">
        <v>0</v>
      </c>
    </row>
    <row r="3807" spans="1:123" x14ac:dyDescent="0.3">
      <c r="A3807" t="str">
        <f>"10/04/2022 19:35:47.651"</f>
        <v>10/04/2022 19:35:47.651</v>
      </c>
      <c r="C3807" t="str">
        <f t="shared" si="1383"/>
        <v>FFDFD3C0</v>
      </c>
      <c r="D3807" t="s">
        <v>143</v>
      </c>
      <c r="E3807">
        <v>20</v>
      </c>
      <c r="F3807">
        <v>1020</v>
      </c>
      <c r="G3807" t="s">
        <v>144</v>
      </c>
      <c r="J3807" t="s">
        <v>145</v>
      </c>
      <c r="K3807">
        <v>0</v>
      </c>
      <c r="L3807">
        <v>3</v>
      </c>
      <c r="M3807">
        <v>0</v>
      </c>
      <c r="N3807">
        <v>2</v>
      </c>
      <c r="O3807">
        <v>0</v>
      </c>
      <c r="P3807">
        <v>1</v>
      </c>
      <c r="Q3807">
        <v>0</v>
      </c>
      <c r="S3807" t="str">
        <f t="shared" si="1399"/>
        <v>19:35:47.000</v>
      </c>
      <c r="T3807" t="str">
        <f t="shared" si="1399"/>
        <v>19:35:47.000</v>
      </c>
      <c r="U3807" t="str">
        <f t="shared" si="1391"/>
        <v>AC3944</v>
      </c>
      <c r="V3807">
        <v>0</v>
      </c>
      <c r="W3807">
        <v>0</v>
      </c>
      <c r="X3807">
        <v>2</v>
      </c>
      <c r="Y3807">
        <v>0</v>
      </c>
      <c r="AA3807">
        <v>1</v>
      </c>
      <c r="AB3807">
        <v>8</v>
      </c>
      <c r="AC3807">
        <v>3</v>
      </c>
      <c r="AD3807">
        <v>0</v>
      </c>
      <c r="AE3807">
        <v>9</v>
      </c>
      <c r="AF3807" t="s">
        <v>138</v>
      </c>
      <c r="AG3807">
        <v>0</v>
      </c>
      <c r="AH3807">
        <v>3</v>
      </c>
      <c r="AI3807">
        <v>1</v>
      </c>
      <c r="AJ3807">
        <v>0</v>
      </c>
      <c r="AK3807" t="s">
        <v>1226</v>
      </c>
      <c r="AL3807">
        <v>32.737755999999997</v>
      </c>
      <c r="AM3807" t="s">
        <v>1235</v>
      </c>
      <c r="AN3807">
        <v>-116.70338599999999</v>
      </c>
      <c r="AO3807">
        <v>25</v>
      </c>
      <c r="AP3807">
        <v>4700</v>
      </c>
      <c r="AQ3807" t="s">
        <v>129</v>
      </c>
      <c r="AR3807">
        <v>124</v>
      </c>
      <c r="AS3807">
        <v>-7</v>
      </c>
      <c r="AT3807">
        <v>640</v>
      </c>
      <c r="BB3807">
        <v>1200</v>
      </c>
      <c r="BC3807">
        <v>1</v>
      </c>
      <c r="BD3807" t="str">
        <f t="shared" si="1392"/>
        <v xml:space="preserve">N887QR  </v>
      </c>
      <c r="BE3807">
        <v>1</v>
      </c>
      <c r="BG3807">
        <v>0</v>
      </c>
      <c r="BH3807">
        <v>0</v>
      </c>
      <c r="BI3807">
        <v>0</v>
      </c>
      <c r="BJ3807">
        <v>4500</v>
      </c>
      <c r="BK3807">
        <v>-200</v>
      </c>
      <c r="BL3807" t="s">
        <v>163</v>
      </c>
      <c r="BM3807">
        <v>1</v>
      </c>
      <c r="BN3807">
        <v>1</v>
      </c>
      <c r="BO3807">
        <v>1</v>
      </c>
      <c r="BP3807">
        <v>0</v>
      </c>
      <c r="BS3807">
        <v>0</v>
      </c>
      <c r="BT3807">
        <v>0</v>
      </c>
      <c r="BU3807">
        <v>0</v>
      </c>
      <c r="CE3807" t="str">
        <f t="shared" si="1400"/>
        <v>19:35:47.299</v>
      </c>
      <c r="CF3807">
        <v>299196982</v>
      </c>
      <c r="CS3807">
        <v>0</v>
      </c>
      <c r="CT3807">
        <v>2</v>
      </c>
      <c r="CU3807">
        <v>0</v>
      </c>
      <c r="CV3807">
        <v>2</v>
      </c>
      <c r="CW3807">
        <v>3</v>
      </c>
      <c r="CX3807">
        <v>4</v>
      </c>
      <c r="CY3807">
        <v>7</v>
      </c>
      <c r="CZ3807" t="s">
        <v>131</v>
      </c>
      <c r="DA3807">
        <v>300</v>
      </c>
      <c r="DB3807">
        <v>0</v>
      </c>
      <c r="DC3807" t="s">
        <v>176</v>
      </c>
      <c r="DD3807" t="s">
        <v>177</v>
      </c>
      <c r="DG3807">
        <v>5448091</v>
      </c>
      <c r="DI3807">
        <v>1</v>
      </c>
      <c r="DJ3807">
        <v>0</v>
      </c>
      <c r="DK3807">
        <v>1</v>
      </c>
      <c r="DL3807">
        <v>0</v>
      </c>
      <c r="DM3807">
        <v>0</v>
      </c>
      <c r="DN3807">
        <v>1</v>
      </c>
      <c r="DO3807">
        <v>0</v>
      </c>
      <c r="DP3807">
        <v>0</v>
      </c>
      <c r="DQ3807">
        <v>0</v>
      </c>
      <c r="DR3807">
        <v>0</v>
      </c>
      <c r="DS3807">
        <v>0</v>
      </c>
    </row>
    <row r="3808" spans="1:123" x14ac:dyDescent="0.3">
      <c r="A3808" t="str">
        <f t="shared" ref="A3808:A3814" si="1401">"10/04/2022 19:35:48.401"</f>
        <v>10/04/2022 19:35:48.401</v>
      </c>
      <c r="C3808" t="str">
        <f t="shared" si="1383"/>
        <v>FFDFD3C0</v>
      </c>
      <c r="D3808" t="s">
        <v>141</v>
      </c>
      <c r="E3808">
        <v>3</v>
      </c>
      <c r="H3808">
        <v>3</v>
      </c>
      <c r="I3808" t="s">
        <v>146</v>
      </c>
      <c r="J3808" t="s">
        <v>138</v>
      </c>
      <c r="K3808">
        <v>0</v>
      </c>
      <c r="L3808">
        <v>3</v>
      </c>
      <c r="M3808">
        <v>0</v>
      </c>
      <c r="N3808">
        <v>2</v>
      </c>
      <c r="O3808">
        <v>0</v>
      </c>
      <c r="P3808">
        <v>1</v>
      </c>
      <c r="Q3808">
        <v>0</v>
      </c>
      <c r="S3808" t="str">
        <f t="shared" ref="S3808:T3814" si="1402">"19:35:48.000"</f>
        <v>19:35:48.000</v>
      </c>
      <c r="T3808" t="str">
        <f t="shared" si="1402"/>
        <v>19:35:48.000</v>
      </c>
      <c r="U3808" t="str">
        <f t="shared" si="1391"/>
        <v>AC3944</v>
      </c>
      <c r="V3808">
        <v>0</v>
      </c>
      <c r="W3808">
        <v>0</v>
      </c>
      <c r="X3808">
        <v>2</v>
      </c>
      <c r="Y3808">
        <v>0</v>
      </c>
      <c r="AA3808">
        <v>1</v>
      </c>
      <c r="AB3808">
        <v>8</v>
      </c>
      <c r="AC3808">
        <v>3</v>
      </c>
      <c r="AD3808">
        <v>0</v>
      </c>
      <c r="AE3808">
        <v>9</v>
      </c>
      <c r="AF3808" t="s">
        <v>138</v>
      </c>
      <c r="AG3808">
        <v>0</v>
      </c>
      <c r="AH3808">
        <v>3</v>
      </c>
      <c r="AI3808">
        <v>1</v>
      </c>
      <c r="AJ3808">
        <v>0</v>
      </c>
      <c r="AK3808" t="s">
        <v>936</v>
      </c>
      <c r="AL3808">
        <v>32.737734000000003</v>
      </c>
      <c r="AM3808" t="s">
        <v>1236</v>
      </c>
      <c r="AN3808">
        <v>-116.70269999999999</v>
      </c>
      <c r="AO3808">
        <v>25</v>
      </c>
      <c r="AP3808">
        <v>4700</v>
      </c>
      <c r="AQ3808" t="s">
        <v>129</v>
      </c>
      <c r="AR3808">
        <v>123</v>
      </c>
      <c r="AS3808">
        <v>-9</v>
      </c>
      <c r="AT3808">
        <v>640</v>
      </c>
      <c r="BB3808">
        <v>1200</v>
      </c>
      <c r="BC3808">
        <v>1</v>
      </c>
      <c r="BD3808" t="str">
        <f t="shared" si="1392"/>
        <v xml:space="preserve">N887QR  </v>
      </c>
      <c r="BE3808">
        <v>1</v>
      </c>
      <c r="BG3808">
        <v>0</v>
      </c>
      <c r="BH3808">
        <v>0</v>
      </c>
      <c r="BI3808">
        <v>0</v>
      </c>
      <c r="BJ3808">
        <v>4500</v>
      </c>
      <c r="BK3808">
        <v>-200</v>
      </c>
      <c r="BL3808" t="s">
        <v>163</v>
      </c>
      <c r="BM3808">
        <v>1</v>
      </c>
      <c r="BN3808">
        <v>1</v>
      </c>
      <c r="BO3808">
        <v>1</v>
      </c>
      <c r="BP3808">
        <v>0</v>
      </c>
      <c r="BS3808">
        <v>0</v>
      </c>
      <c r="BT3808">
        <v>0</v>
      </c>
      <c r="BU3808">
        <v>0</v>
      </c>
      <c r="CE3808" t="str">
        <f t="shared" ref="CE3808:CE3814" si="1403">"19:35:48.086"</f>
        <v>19:35:48.086</v>
      </c>
      <c r="CF3808">
        <v>86138093</v>
      </c>
      <c r="CS3808">
        <v>0</v>
      </c>
      <c r="CT3808">
        <v>2</v>
      </c>
      <c r="CU3808">
        <v>0</v>
      </c>
      <c r="CV3808">
        <v>2</v>
      </c>
      <c r="CW3808">
        <v>3</v>
      </c>
      <c r="CX3808">
        <v>4</v>
      </c>
      <c r="CY3808">
        <v>7</v>
      </c>
      <c r="CZ3808" t="s">
        <v>131</v>
      </c>
      <c r="DA3808">
        <v>286</v>
      </c>
      <c r="DB3808">
        <v>0</v>
      </c>
      <c r="DC3808" t="s">
        <v>132</v>
      </c>
      <c r="DD3808" t="s">
        <v>133</v>
      </c>
      <c r="DG3808">
        <v>891973</v>
      </c>
      <c r="DI3808">
        <v>1</v>
      </c>
      <c r="DJ3808">
        <v>0</v>
      </c>
      <c r="DK3808">
        <v>0</v>
      </c>
      <c r="DL3808">
        <v>0</v>
      </c>
      <c r="DM3808">
        <v>0</v>
      </c>
      <c r="DN3808">
        <v>1</v>
      </c>
      <c r="DO3808">
        <v>0</v>
      </c>
      <c r="DP3808">
        <v>0</v>
      </c>
      <c r="DQ3808">
        <v>0</v>
      </c>
      <c r="DR3808">
        <v>0</v>
      </c>
      <c r="DS3808">
        <v>0</v>
      </c>
    </row>
    <row r="3809" spans="1:123" x14ac:dyDescent="0.3">
      <c r="A3809" t="str">
        <f t="shared" si="1401"/>
        <v>10/04/2022 19:35:48.401</v>
      </c>
      <c r="C3809" t="str">
        <f t="shared" si="1383"/>
        <v>FFDFD3C0</v>
      </c>
      <c r="D3809" t="s">
        <v>123</v>
      </c>
      <c r="E3809">
        <v>7</v>
      </c>
      <c r="F3809">
        <v>2007</v>
      </c>
      <c r="G3809" t="s">
        <v>124</v>
      </c>
      <c r="J3809" t="s">
        <v>125</v>
      </c>
      <c r="K3809">
        <v>0</v>
      </c>
      <c r="L3809">
        <v>3</v>
      </c>
      <c r="M3809">
        <v>0</v>
      </c>
      <c r="N3809">
        <v>2</v>
      </c>
      <c r="O3809">
        <v>0</v>
      </c>
      <c r="P3809">
        <v>1</v>
      </c>
      <c r="Q3809">
        <v>0</v>
      </c>
      <c r="S3809" t="str">
        <f t="shared" si="1402"/>
        <v>19:35:48.000</v>
      </c>
      <c r="T3809" t="str">
        <f t="shared" si="1402"/>
        <v>19:35:48.000</v>
      </c>
      <c r="U3809" t="str">
        <f t="shared" si="1391"/>
        <v>AC3944</v>
      </c>
      <c r="V3809">
        <v>0</v>
      </c>
      <c r="W3809">
        <v>0</v>
      </c>
      <c r="X3809">
        <v>2</v>
      </c>
      <c r="Y3809">
        <v>0</v>
      </c>
      <c r="AA3809">
        <v>1</v>
      </c>
      <c r="AB3809">
        <v>8</v>
      </c>
      <c r="AC3809">
        <v>3</v>
      </c>
      <c r="AD3809">
        <v>0</v>
      </c>
      <c r="AE3809">
        <v>9</v>
      </c>
      <c r="AF3809" t="s">
        <v>138</v>
      </c>
      <c r="AG3809">
        <v>0</v>
      </c>
      <c r="AH3809">
        <v>3</v>
      </c>
      <c r="AI3809">
        <v>1</v>
      </c>
      <c r="AJ3809">
        <v>0</v>
      </c>
      <c r="AK3809" t="s">
        <v>936</v>
      </c>
      <c r="AL3809">
        <v>32.737734000000003</v>
      </c>
      <c r="AM3809" t="s">
        <v>1236</v>
      </c>
      <c r="AN3809">
        <v>-116.70269999999999</v>
      </c>
      <c r="AO3809">
        <v>25</v>
      </c>
      <c r="AP3809">
        <v>4700</v>
      </c>
      <c r="AQ3809" t="s">
        <v>129</v>
      </c>
      <c r="AR3809">
        <v>123</v>
      </c>
      <c r="AS3809">
        <v>-9</v>
      </c>
      <c r="AT3809">
        <v>640</v>
      </c>
      <c r="BB3809">
        <v>1200</v>
      </c>
      <c r="BC3809">
        <v>1</v>
      </c>
      <c r="BD3809" t="str">
        <f t="shared" si="1392"/>
        <v xml:space="preserve">N887QR  </v>
      </c>
      <c r="BE3809">
        <v>1</v>
      </c>
      <c r="BG3809">
        <v>0</v>
      </c>
      <c r="BH3809">
        <v>0</v>
      </c>
      <c r="BI3809">
        <v>0</v>
      </c>
      <c r="BJ3809">
        <v>4500</v>
      </c>
      <c r="BK3809">
        <v>-200</v>
      </c>
      <c r="BL3809" t="s">
        <v>163</v>
      </c>
      <c r="BM3809">
        <v>1</v>
      </c>
      <c r="BN3809">
        <v>1</v>
      </c>
      <c r="BO3809">
        <v>1</v>
      </c>
      <c r="BP3809">
        <v>0</v>
      </c>
      <c r="BS3809">
        <v>0</v>
      </c>
      <c r="BT3809">
        <v>0</v>
      </c>
      <c r="BU3809">
        <v>0</v>
      </c>
      <c r="CE3809" t="str">
        <f t="shared" si="1403"/>
        <v>19:35:48.086</v>
      </c>
      <c r="CF3809">
        <v>86138093</v>
      </c>
      <c r="CS3809">
        <v>0</v>
      </c>
      <c r="CT3809">
        <v>2</v>
      </c>
      <c r="CU3809">
        <v>0</v>
      </c>
      <c r="CV3809">
        <v>2</v>
      </c>
      <c r="CW3809">
        <v>3</v>
      </c>
      <c r="CX3809">
        <v>4</v>
      </c>
      <c r="CY3809">
        <v>7</v>
      </c>
      <c r="CZ3809" t="s">
        <v>131</v>
      </c>
      <c r="DA3809">
        <v>286</v>
      </c>
      <c r="DB3809">
        <v>0</v>
      </c>
      <c r="DC3809" t="s">
        <v>132</v>
      </c>
      <c r="DD3809" t="s">
        <v>133</v>
      </c>
      <c r="DG3809">
        <v>891973</v>
      </c>
      <c r="DI3809">
        <v>1</v>
      </c>
      <c r="DJ3809">
        <v>0</v>
      </c>
      <c r="DK3809">
        <v>1</v>
      </c>
      <c r="DL3809">
        <v>0</v>
      </c>
      <c r="DM3809">
        <v>0</v>
      </c>
      <c r="DN3809">
        <v>1</v>
      </c>
      <c r="DO3809">
        <v>0</v>
      </c>
      <c r="DP3809">
        <v>0</v>
      </c>
      <c r="DQ3809">
        <v>0</v>
      </c>
      <c r="DR3809">
        <v>0</v>
      </c>
      <c r="DS3809">
        <v>0</v>
      </c>
    </row>
    <row r="3810" spans="1:123" x14ac:dyDescent="0.3">
      <c r="A3810" t="str">
        <f t="shared" si="1401"/>
        <v>10/04/2022 19:35:48.401</v>
      </c>
      <c r="C3810" t="str">
        <f t="shared" si="1383"/>
        <v>FFDFD3C0</v>
      </c>
      <c r="D3810" t="s">
        <v>141</v>
      </c>
      <c r="E3810">
        <v>4</v>
      </c>
      <c r="H3810">
        <v>4</v>
      </c>
      <c r="I3810" t="s">
        <v>142</v>
      </c>
      <c r="J3810" t="s">
        <v>138</v>
      </c>
      <c r="K3810">
        <v>0</v>
      </c>
      <c r="L3810">
        <v>3</v>
      </c>
      <c r="M3810">
        <v>0</v>
      </c>
      <c r="N3810">
        <v>2</v>
      </c>
      <c r="O3810">
        <v>0</v>
      </c>
      <c r="P3810">
        <v>1</v>
      </c>
      <c r="Q3810">
        <v>0</v>
      </c>
      <c r="S3810" t="str">
        <f t="shared" si="1402"/>
        <v>19:35:48.000</v>
      </c>
      <c r="T3810" t="str">
        <f t="shared" si="1402"/>
        <v>19:35:48.000</v>
      </c>
      <c r="U3810" t="str">
        <f t="shared" si="1391"/>
        <v>AC3944</v>
      </c>
      <c r="V3810">
        <v>0</v>
      </c>
      <c r="W3810">
        <v>0</v>
      </c>
      <c r="X3810">
        <v>2</v>
      </c>
      <c r="Y3810">
        <v>0</v>
      </c>
      <c r="AA3810">
        <v>1</v>
      </c>
      <c r="AB3810">
        <v>8</v>
      </c>
      <c r="AC3810">
        <v>3</v>
      </c>
      <c r="AD3810">
        <v>0</v>
      </c>
      <c r="AE3810">
        <v>9</v>
      </c>
      <c r="AF3810" t="s">
        <v>138</v>
      </c>
      <c r="AG3810">
        <v>0</v>
      </c>
      <c r="AH3810">
        <v>3</v>
      </c>
      <c r="AI3810">
        <v>1</v>
      </c>
      <c r="AJ3810">
        <v>0</v>
      </c>
      <c r="AK3810" t="s">
        <v>936</v>
      </c>
      <c r="AL3810">
        <v>32.737734000000003</v>
      </c>
      <c r="AM3810" t="s">
        <v>1236</v>
      </c>
      <c r="AN3810">
        <v>-116.70269999999999</v>
      </c>
      <c r="AO3810">
        <v>25</v>
      </c>
      <c r="AP3810">
        <v>4700</v>
      </c>
      <c r="AQ3810" t="s">
        <v>129</v>
      </c>
      <c r="AR3810">
        <v>123</v>
      </c>
      <c r="AS3810">
        <v>-9</v>
      </c>
      <c r="AT3810">
        <v>640</v>
      </c>
      <c r="BB3810">
        <v>1200</v>
      </c>
      <c r="BC3810">
        <v>1</v>
      </c>
      <c r="BD3810" t="str">
        <f t="shared" si="1392"/>
        <v xml:space="preserve">N887QR  </v>
      </c>
      <c r="BE3810">
        <v>1</v>
      </c>
      <c r="BG3810">
        <v>0</v>
      </c>
      <c r="BH3810">
        <v>0</v>
      </c>
      <c r="BI3810">
        <v>0</v>
      </c>
      <c r="BJ3810">
        <v>4500</v>
      </c>
      <c r="BK3810">
        <v>-200</v>
      </c>
      <c r="BL3810" t="s">
        <v>163</v>
      </c>
      <c r="BM3810">
        <v>1</v>
      </c>
      <c r="BN3810">
        <v>1</v>
      </c>
      <c r="BO3810">
        <v>1</v>
      </c>
      <c r="BP3810">
        <v>0</v>
      </c>
      <c r="BS3810">
        <v>0</v>
      </c>
      <c r="BT3810">
        <v>0</v>
      </c>
      <c r="BU3810">
        <v>0</v>
      </c>
      <c r="CE3810" t="str">
        <f t="shared" si="1403"/>
        <v>19:35:48.086</v>
      </c>
      <c r="CF3810">
        <v>86138093</v>
      </c>
      <c r="CS3810">
        <v>0</v>
      </c>
      <c r="CT3810">
        <v>2</v>
      </c>
      <c r="CU3810">
        <v>0</v>
      </c>
      <c r="CV3810">
        <v>2</v>
      </c>
      <c r="CW3810">
        <v>3</v>
      </c>
      <c r="CX3810">
        <v>4</v>
      </c>
      <c r="CY3810">
        <v>7</v>
      </c>
      <c r="CZ3810" t="s">
        <v>131</v>
      </c>
      <c r="DA3810">
        <v>286</v>
      </c>
      <c r="DB3810">
        <v>0</v>
      </c>
      <c r="DC3810" t="s">
        <v>132</v>
      </c>
      <c r="DD3810" t="s">
        <v>133</v>
      </c>
      <c r="DG3810">
        <v>891973</v>
      </c>
      <c r="DI3810">
        <v>1</v>
      </c>
      <c r="DJ3810">
        <v>0</v>
      </c>
      <c r="DK3810">
        <v>0</v>
      </c>
      <c r="DL3810">
        <v>0</v>
      </c>
      <c r="DM3810">
        <v>0</v>
      </c>
      <c r="DN3810">
        <v>1</v>
      </c>
      <c r="DO3810">
        <v>0</v>
      </c>
      <c r="DP3810">
        <v>0</v>
      </c>
      <c r="DQ3810">
        <v>0</v>
      </c>
      <c r="DR3810">
        <v>0</v>
      </c>
      <c r="DS3810">
        <v>0</v>
      </c>
    </row>
    <row r="3811" spans="1:123" x14ac:dyDescent="0.3">
      <c r="A3811" t="str">
        <f t="shared" si="1401"/>
        <v>10/04/2022 19:35:48.401</v>
      </c>
      <c r="C3811" t="str">
        <f t="shared" si="1383"/>
        <v>FFDFD3C0</v>
      </c>
      <c r="D3811" t="s">
        <v>136</v>
      </c>
      <c r="E3811">
        <v>8</v>
      </c>
      <c r="H3811">
        <v>225</v>
      </c>
      <c r="I3811" t="s">
        <v>137</v>
      </c>
      <c r="J3811" t="s">
        <v>138</v>
      </c>
      <c r="K3811">
        <v>0</v>
      </c>
      <c r="L3811">
        <v>3</v>
      </c>
      <c r="M3811">
        <v>0</v>
      </c>
      <c r="N3811">
        <v>2</v>
      </c>
      <c r="O3811">
        <v>0</v>
      </c>
      <c r="P3811">
        <v>1</v>
      </c>
      <c r="Q3811">
        <v>0</v>
      </c>
      <c r="S3811" t="str">
        <f t="shared" si="1402"/>
        <v>19:35:48.000</v>
      </c>
      <c r="T3811" t="str">
        <f t="shared" si="1402"/>
        <v>19:35:48.000</v>
      </c>
      <c r="U3811" t="str">
        <f t="shared" si="1391"/>
        <v>AC3944</v>
      </c>
      <c r="V3811">
        <v>0</v>
      </c>
      <c r="W3811">
        <v>0</v>
      </c>
      <c r="X3811">
        <v>2</v>
      </c>
      <c r="Y3811">
        <v>0</v>
      </c>
      <c r="AA3811">
        <v>1</v>
      </c>
      <c r="AB3811">
        <v>8</v>
      </c>
      <c r="AC3811">
        <v>3</v>
      </c>
      <c r="AD3811">
        <v>0</v>
      </c>
      <c r="AE3811">
        <v>9</v>
      </c>
      <c r="AF3811" t="s">
        <v>138</v>
      </c>
      <c r="AG3811">
        <v>0</v>
      </c>
      <c r="AH3811">
        <v>3</v>
      </c>
      <c r="AI3811">
        <v>1</v>
      </c>
      <c r="AJ3811">
        <v>0</v>
      </c>
      <c r="AK3811" t="s">
        <v>936</v>
      </c>
      <c r="AL3811">
        <v>32.737734000000003</v>
      </c>
      <c r="AM3811" t="s">
        <v>1236</v>
      </c>
      <c r="AN3811">
        <v>-116.70269999999999</v>
      </c>
      <c r="AO3811">
        <v>25</v>
      </c>
      <c r="AP3811">
        <v>4700</v>
      </c>
      <c r="AQ3811" t="s">
        <v>129</v>
      </c>
      <c r="AR3811">
        <v>123</v>
      </c>
      <c r="AS3811">
        <v>-9</v>
      </c>
      <c r="AT3811">
        <v>640</v>
      </c>
      <c r="BB3811">
        <v>1200</v>
      </c>
      <c r="BC3811">
        <v>1</v>
      </c>
      <c r="BD3811" t="str">
        <f t="shared" si="1392"/>
        <v xml:space="preserve">N887QR  </v>
      </c>
      <c r="BE3811">
        <v>1</v>
      </c>
      <c r="BG3811">
        <v>0</v>
      </c>
      <c r="BH3811">
        <v>0</v>
      </c>
      <c r="BI3811">
        <v>0</v>
      </c>
      <c r="BJ3811">
        <v>4500</v>
      </c>
      <c r="BK3811">
        <v>-200</v>
      </c>
      <c r="BL3811" t="s">
        <v>163</v>
      </c>
      <c r="BM3811">
        <v>1</v>
      </c>
      <c r="BN3811">
        <v>1</v>
      </c>
      <c r="BO3811">
        <v>1</v>
      </c>
      <c r="BP3811">
        <v>0</v>
      </c>
      <c r="BS3811">
        <v>0</v>
      </c>
      <c r="BT3811">
        <v>0</v>
      </c>
      <c r="BU3811">
        <v>0</v>
      </c>
      <c r="CE3811" t="str">
        <f t="shared" si="1403"/>
        <v>19:35:48.086</v>
      </c>
      <c r="CF3811">
        <v>86138093</v>
      </c>
      <c r="CS3811">
        <v>0</v>
      </c>
      <c r="CT3811">
        <v>2</v>
      </c>
      <c r="CU3811">
        <v>0</v>
      </c>
      <c r="CV3811">
        <v>2</v>
      </c>
      <c r="CW3811">
        <v>3</v>
      </c>
      <c r="CX3811">
        <v>4</v>
      </c>
      <c r="CY3811">
        <v>7</v>
      </c>
      <c r="CZ3811" t="s">
        <v>131</v>
      </c>
      <c r="DA3811">
        <v>286</v>
      </c>
      <c r="DB3811">
        <v>0</v>
      </c>
      <c r="DC3811" t="s">
        <v>132</v>
      </c>
      <c r="DD3811" t="s">
        <v>133</v>
      </c>
      <c r="DG3811">
        <v>891973</v>
      </c>
      <c r="DI3811">
        <v>1</v>
      </c>
      <c r="DJ3811">
        <v>0</v>
      </c>
      <c r="DK3811">
        <v>1</v>
      </c>
      <c r="DL3811">
        <v>0</v>
      </c>
      <c r="DM3811">
        <v>0</v>
      </c>
      <c r="DN3811">
        <v>1</v>
      </c>
      <c r="DO3811">
        <v>0</v>
      </c>
      <c r="DP3811">
        <v>0</v>
      </c>
      <c r="DQ3811">
        <v>0</v>
      </c>
      <c r="DR3811">
        <v>0</v>
      </c>
      <c r="DS3811">
        <v>0</v>
      </c>
    </row>
    <row r="3812" spans="1:123" x14ac:dyDescent="0.3">
      <c r="A3812" t="str">
        <f t="shared" si="1401"/>
        <v>10/04/2022 19:35:48.401</v>
      </c>
      <c r="C3812" t="str">
        <f t="shared" si="1383"/>
        <v>FFDFD3C0</v>
      </c>
      <c r="D3812" t="s">
        <v>147</v>
      </c>
      <c r="E3812">
        <v>3</v>
      </c>
      <c r="H3812">
        <v>166</v>
      </c>
      <c r="I3812" t="s">
        <v>144</v>
      </c>
      <c r="J3812" t="s">
        <v>148</v>
      </c>
      <c r="K3812">
        <v>0</v>
      </c>
      <c r="L3812">
        <v>3</v>
      </c>
      <c r="M3812">
        <v>0</v>
      </c>
      <c r="N3812">
        <v>2</v>
      </c>
      <c r="O3812">
        <v>0</v>
      </c>
      <c r="P3812">
        <v>1</v>
      </c>
      <c r="Q3812">
        <v>0</v>
      </c>
      <c r="S3812" t="str">
        <f t="shared" si="1402"/>
        <v>19:35:48.000</v>
      </c>
      <c r="T3812" t="str">
        <f t="shared" si="1402"/>
        <v>19:35:48.000</v>
      </c>
      <c r="U3812" t="str">
        <f t="shared" si="1391"/>
        <v>AC3944</v>
      </c>
      <c r="V3812">
        <v>0</v>
      </c>
      <c r="W3812">
        <v>0</v>
      </c>
      <c r="X3812">
        <v>2</v>
      </c>
      <c r="Y3812">
        <v>0</v>
      </c>
      <c r="AA3812">
        <v>1</v>
      </c>
      <c r="AB3812">
        <v>8</v>
      </c>
      <c r="AC3812">
        <v>3</v>
      </c>
      <c r="AD3812">
        <v>0</v>
      </c>
      <c r="AE3812">
        <v>9</v>
      </c>
      <c r="AF3812" t="s">
        <v>138</v>
      </c>
      <c r="AG3812">
        <v>0</v>
      </c>
      <c r="AH3812">
        <v>3</v>
      </c>
      <c r="AI3812">
        <v>1</v>
      </c>
      <c r="AJ3812">
        <v>0</v>
      </c>
      <c r="AK3812" t="s">
        <v>936</v>
      </c>
      <c r="AL3812">
        <v>32.737734000000003</v>
      </c>
      <c r="AM3812" t="s">
        <v>1236</v>
      </c>
      <c r="AN3812">
        <v>-116.70269999999999</v>
      </c>
      <c r="AO3812">
        <v>25</v>
      </c>
      <c r="AP3812">
        <v>4700</v>
      </c>
      <c r="AQ3812" t="s">
        <v>129</v>
      </c>
      <c r="AR3812">
        <v>123</v>
      </c>
      <c r="AS3812">
        <v>-9</v>
      </c>
      <c r="AT3812">
        <v>640</v>
      </c>
      <c r="BB3812">
        <v>1200</v>
      </c>
      <c r="BC3812">
        <v>1</v>
      </c>
      <c r="BD3812" t="str">
        <f t="shared" si="1392"/>
        <v xml:space="preserve">N887QR  </v>
      </c>
      <c r="BE3812">
        <v>1</v>
      </c>
      <c r="BG3812">
        <v>0</v>
      </c>
      <c r="BH3812">
        <v>0</v>
      </c>
      <c r="BI3812">
        <v>0</v>
      </c>
      <c r="BJ3812">
        <v>4500</v>
      </c>
      <c r="BK3812">
        <v>-200</v>
      </c>
      <c r="BL3812" t="s">
        <v>163</v>
      </c>
      <c r="BM3812">
        <v>1</v>
      </c>
      <c r="BN3812">
        <v>1</v>
      </c>
      <c r="BO3812">
        <v>1</v>
      </c>
      <c r="BP3812">
        <v>0</v>
      </c>
      <c r="BS3812">
        <v>0</v>
      </c>
      <c r="BT3812">
        <v>0</v>
      </c>
      <c r="BU3812">
        <v>0</v>
      </c>
      <c r="CE3812" t="str">
        <f t="shared" si="1403"/>
        <v>19:35:48.086</v>
      </c>
      <c r="CF3812">
        <v>86138093</v>
      </c>
      <c r="CS3812">
        <v>0</v>
      </c>
      <c r="CT3812">
        <v>2</v>
      </c>
      <c r="CU3812">
        <v>0</v>
      </c>
      <c r="CV3812">
        <v>2</v>
      </c>
      <c r="CW3812">
        <v>3</v>
      </c>
      <c r="CX3812">
        <v>4</v>
      </c>
      <c r="CY3812">
        <v>7</v>
      </c>
      <c r="CZ3812" t="s">
        <v>131</v>
      </c>
      <c r="DA3812">
        <v>286</v>
      </c>
      <c r="DB3812">
        <v>0</v>
      </c>
      <c r="DC3812" t="s">
        <v>132</v>
      </c>
      <c r="DD3812" t="s">
        <v>133</v>
      </c>
      <c r="DG3812">
        <v>891973</v>
      </c>
      <c r="DI3812">
        <v>1</v>
      </c>
      <c r="DJ3812">
        <v>0</v>
      </c>
      <c r="DK3812">
        <v>1</v>
      </c>
      <c r="DL3812">
        <v>0</v>
      </c>
      <c r="DM3812">
        <v>0</v>
      </c>
      <c r="DN3812">
        <v>1</v>
      </c>
      <c r="DO3812">
        <v>0</v>
      </c>
      <c r="DP3812">
        <v>0</v>
      </c>
      <c r="DQ3812">
        <v>0</v>
      </c>
      <c r="DR3812">
        <v>0</v>
      </c>
      <c r="DS3812">
        <v>0</v>
      </c>
    </row>
    <row r="3813" spans="1:123" x14ac:dyDescent="0.3">
      <c r="A3813" t="str">
        <f t="shared" si="1401"/>
        <v>10/04/2022 19:35:48.401</v>
      </c>
      <c r="C3813" t="str">
        <f t="shared" si="1383"/>
        <v>FFDFD3C0</v>
      </c>
      <c r="D3813" t="s">
        <v>134</v>
      </c>
      <c r="E3813">
        <v>15</v>
      </c>
      <c r="J3813" t="s">
        <v>135</v>
      </c>
      <c r="K3813">
        <v>0</v>
      </c>
      <c r="L3813">
        <v>3</v>
      </c>
      <c r="M3813">
        <v>0</v>
      </c>
      <c r="N3813">
        <v>2</v>
      </c>
      <c r="O3813">
        <v>0</v>
      </c>
      <c r="P3813">
        <v>1</v>
      </c>
      <c r="Q3813">
        <v>0</v>
      </c>
      <c r="S3813" t="str">
        <f t="shared" si="1402"/>
        <v>19:35:48.000</v>
      </c>
      <c r="T3813" t="str">
        <f t="shared" si="1402"/>
        <v>19:35:48.000</v>
      </c>
      <c r="U3813" t="str">
        <f t="shared" si="1391"/>
        <v>AC3944</v>
      </c>
      <c r="V3813">
        <v>0</v>
      </c>
      <c r="W3813">
        <v>0</v>
      </c>
      <c r="X3813">
        <v>2</v>
      </c>
      <c r="Y3813">
        <v>0</v>
      </c>
      <c r="AA3813">
        <v>1</v>
      </c>
      <c r="AB3813">
        <v>8</v>
      </c>
      <c r="AC3813">
        <v>3</v>
      </c>
      <c r="AD3813">
        <v>0</v>
      </c>
      <c r="AE3813">
        <v>9</v>
      </c>
      <c r="AF3813" t="s">
        <v>138</v>
      </c>
      <c r="AG3813">
        <v>0</v>
      </c>
      <c r="AH3813">
        <v>3</v>
      </c>
      <c r="AI3813">
        <v>1</v>
      </c>
      <c r="AJ3813">
        <v>0</v>
      </c>
      <c r="AK3813" t="s">
        <v>936</v>
      </c>
      <c r="AL3813">
        <v>32.737734000000003</v>
      </c>
      <c r="AM3813" t="s">
        <v>1236</v>
      </c>
      <c r="AN3813">
        <v>-116.70269999999999</v>
      </c>
      <c r="AO3813">
        <v>25</v>
      </c>
      <c r="AP3813">
        <v>4700</v>
      </c>
      <c r="AQ3813" t="s">
        <v>129</v>
      </c>
      <c r="AR3813">
        <v>123</v>
      </c>
      <c r="AS3813">
        <v>-9</v>
      </c>
      <c r="AT3813">
        <v>640</v>
      </c>
      <c r="BB3813">
        <v>1200</v>
      </c>
      <c r="BC3813">
        <v>1</v>
      </c>
      <c r="BD3813" t="str">
        <f t="shared" si="1392"/>
        <v xml:space="preserve">N887QR  </v>
      </c>
      <c r="BE3813">
        <v>1</v>
      </c>
      <c r="BG3813">
        <v>0</v>
      </c>
      <c r="BH3813">
        <v>0</v>
      </c>
      <c r="BI3813">
        <v>0</v>
      </c>
      <c r="BJ3813">
        <v>4500</v>
      </c>
      <c r="BK3813">
        <v>-200</v>
      </c>
      <c r="BL3813" t="s">
        <v>163</v>
      </c>
      <c r="BM3813">
        <v>1</v>
      </c>
      <c r="BN3813">
        <v>1</v>
      </c>
      <c r="BO3813">
        <v>1</v>
      </c>
      <c r="BP3813">
        <v>0</v>
      </c>
      <c r="BS3813">
        <v>0</v>
      </c>
      <c r="BT3813">
        <v>0</v>
      </c>
      <c r="BU3813">
        <v>0</v>
      </c>
      <c r="CE3813" t="str">
        <f t="shared" si="1403"/>
        <v>19:35:48.086</v>
      </c>
      <c r="CF3813">
        <v>86138093</v>
      </c>
      <c r="CS3813">
        <v>0</v>
      </c>
      <c r="CT3813">
        <v>2</v>
      </c>
      <c r="CU3813">
        <v>0</v>
      </c>
      <c r="CV3813">
        <v>2</v>
      </c>
      <c r="CW3813">
        <v>3</v>
      </c>
      <c r="CX3813">
        <v>4</v>
      </c>
      <c r="CY3813">
        <v>7</v>
      </c>
      <c r="CZ3813" t="s">
        <v>131</v>
      </c>
      <c r="DA3813">
        <v>286</v>
      </c>
      <c r="DB3813">
        <v>0</v>
      </c>
      <c r="DC3813" t="s">
        <v>132</v>
      </c>
      <c r="DD3813" t="s">
        <v>133</v>
      </c>
      <c r="DG3813">
        <v>891973</v>
      </c>
      <c r="DI3813">
        <v>1</v>
      </c>
      <c r="DJ3813">
        <v>0</v>
      </c>
      <c r="DK3813">
        <v>1</v>
      </c>
      <c r="DL3813">
        <v>0</v>
      </c>
      <c r="DM3813">
        <v>0</v>
      </c>
      <c r="DN3813">
        <v>1</v>
      </c>
      <c r="DO3813">
        <v>0</v>
      </c>
      <c r="DP3813">
        <v>0</v>
      </c>
      <c r="DQ3813">
        <v>0</v>
      </c>
      <c r="DR3813">
        <v>0</v>
      </c>
      <c r="DS3813">
        <v>0</v>
      </c>
    </row>
    <row r="3814" spans="1:123" x14ac:dyDescent="0.3">
      <c r="A3814" t="str">
        <f t="shared" si="1401"/>
        <v>10/04/2022 19:35:48.401</v>
      </c>
      <c r="C3814" t="str">
        <f t="shared" si="1383"/>
        <v>FFDFD3C0</v>
      </c>
      <c r="D3814" t="s">
        <v>143</v>
      </c>
      <c r="E3814">
        <v>20</v>
      </c>
      <c r="F3814">
        <v>1020</v>
      </c>
      <c r="G3814" t="s">
        <v>144</v>
      </c>
      <c r="J3814" t="s">
        <v>145</v>
      </c>
      <c r="K3814">
        <v>0</v>
      </c>
      <c r="L3814">
        <v>3</v>
      </c>
      <c r="M3814">
        <v>0</v>
      </c>
      <c r="N3814">
        <v>2</v>
      </c>
      <c r="O3814">
        <v>0</v>
      </c>
      <c r="P3814">
        <v>1</v>
      </c>
      <c r="Q3814">
        <v>0</v>
      </c>
      <c r="S3814" t="str">
        <f t="shared" si="1402"/>
        <v>19:35:48.000</v>
      </c>
      <c r="T3814" t="str">
        <f t="shared" si="1402"/>
        <v>19:35:48.000</v>
      </c>
      <c r="U3814" t="str">
        <f t="shared" si="1391"/>
        <v>AC3944</v>
      </c>
      <c r="V3814">
        <v>0</v>
      </c>
      <c r="W3814">
        <v>0</v>
      </c>
      <c r="X3814">
        <v>2</v>
      </c>
      <c r="Y3814">
        <v>0</v>
      </c>
      <c r="AA3814">
        <v>1</v>
      </c>
      <c r="AB3814">
        <v>8</v>
      </c>
      <c r="AC3814">
        <v>3</v>
      </c>
      <c r="AD3814">
        <v>0</v>
      </c>
      <c r="AE3814">
        <v>9</v>
      </c>
      <c r="AF3814" t="s">
        <v>138</v>
      </c>
      <c r="AG3814">
        <v>0</v>
      </c>
      <c r="AH3814">
        <v>3</v>
      </c>
      <c r="AI3814">
        <v>1</v>
      </c>
      <c r="AJ3814">
        <v>0</v>
      </c>
      <c r="AK3814" t="s">
        <v>936</v>
      </c>
      <c r="AL3814">
        <v>32.737734000000003</v>
      </c>
      <c r="AM3814" t="s">
        <v>1236</v>
      </c>
      <c r="AN3814">
        <v>-116.70269999999999</v>
      </c>
      <c r="AO3814">
        <v>25</v>
      </c>
      <c r="AP3814">
        <v>4700</v>
      </c>
      <c r="AQ3814" t="s">
        <v>129</v>
      </c>
      <c r="AR3814">
        <v>123</v>
      </c>
      <c r="AS3814">
        <v>-9</v>
      </c>
      <c r="AT3814">
        <v>640</v>
      </c>
      <c r="BB3814">
        <v>1200</v>
      </c>
      <c r="BC3814">
        <v>1</v>
      </c>
      <c r="BD3814" t="str">
        <f t="shared" si="1392"/>
        <v xml:space="preserve">N887QR  </v>
      </c>
      <c r="BE3814">
        <v>1</v>
      </c>
      <c r="BG3814">
        <v>0</v>
      </c>
      <c r="BH3814">
        <v>0</v>
      </c>
      <c r="BI3814">
        <v>0</v>
      </c>
      <c r="BJ3814">
        <v>4500</v>
      </c>
      <c r="BK3814">
        <v>-200</v>
      </c>
      <c r="BL3814" t="s">
        <v>163</v>
      </c>
      <c r="BM3814">
        <v>1</v>
      </c>
      <c r="BN3814">
        <v>1</v>
      </c>
      <c r="BO3814">
        <v>1</v>
      </c>
      <c r="BP3814">
        <v>0</v>
      </c>
      <c r="BS3814">
        <v>0</v>
      </c>
      <c r="BT3814">
        <v>0</v>
      </c>
      <c r="BU3814">
        <v>0</v>
      </c>
      <c r="CE3814" t="str">
        <f t="shared" si="1403"/>
        <v>19:35:48.086</v>
      </c>
      <c r="CF3814">
        <v>86138093</v>
      </c>
      <c r="CS3814">
        <v>0</v>
      </c>
      <c r="CT3814">
        <v>2</v>
      </c>
      <c r="CU3814">
        <v>0</v>
      </c>
      <c r="CV3814">
        <v>2</v>
      </c>
      <c r="CW3814">
        <v>3</v>
      </c>
      <c r="CX3814">
        <v>4</v>
      </c>
      <c r="CY3814">
        <v>7</v>
      </c>
      <c r="CZ3814" t="s">
        <v>131</v>
      </c>
      <c r="DA3814">
        <v>286</v>
      </c>
      <c r="DB3814">
        <v>0</v>
      </c>
      <c r="DC3814" t="s">
        <v>132</v>
      </c>
      <c r="DD3814" t="s">
        <v>133</v>
      </c>
      <c r="DG3814">
        <v>891973</v>
      </c>
      <c r="DI3814">
        <v>1</v>
      </c>
      <c r="DJ3814">
        <v>0</v>
      </c>
      <c r="DK3814">
        <v>1</v>
      </c>
      <c r="DL3814">
        <v>0</v>
      </c>
      <c r="DM3814">
        <v>0</v>
      </c>
      <c r="DN3814">
        <v>1</v>
      </c>
      <c r="DO3814">
        <v>0</v>
      </c>
      <c r="DP3814">
        <v>0</v>
      </c>
      <c r="DQ3814">
        <v>0</v>
      </c>
      <c r="DR3814">
        <v>0</v>
      </c>
      <c r="DS3814">
        <v>0</v>
      </c>
    </row>
    <row r="3815" spans="1:123" x14ac:dyDescent="0.3">
      <c r="A3815" t="str">
        <f>"10/04/2022 19:35:49.417"</f>
        <v>10/04/2022 19:35:49.417</v>
      </c>
      <c r="C3815" t="str">
        <f t="shared" si="1383"/>
        <v>FFDFD3C0</v>
      </c>
      <c r="D3815" t="s">
        <v>143</v>
      </c>
      <c r="E3815">
        <v>20</v>
      </c>
      <c r="F3815">
        <v>1020</v>
      </c>
      <c r="G3815" t="s">
        <v>144</v>
      </c>
      <c r="J3815" t="s">
        <v>145</v>
      </c>
      <c r="K3815">
        <v>0</v>
      </c>
      <c r="L3815">
        <v>3</v>
      </c>
      <c r="M3815">
        <v>0</v>
      </c>
      <c r="N3815">
        <v>2</v>
      </c>
      <c r="O3815">
        <v>0</v>
      </c>
      <c r="P3815">
        <v>1</v>
      </c>
      <c r="Q3815">
        <v>0</v>
      </c>
      <c r="S3815" t="str">
        <f t="shared" ref="S3815:T3821" si="1404">"19:35:49.000"</f>
        <v>19:35:49.000</v>
      </c>
      <c r="T3815" t="str">
        <f t="shared" si="1404"/>
        <v>19:35:49.000</v>
      </c>
      <c r="U3815" t="str">
        <f t="shared" si="1391"/>
        <v>AC3944</v>
      </c>
      <c r="V3815">
        <v>0</v>
      </c>
      <c r="W3815">
        <v>0</v>
      </c>
      <c r="X3815">
        <v>2</v>
      </c>
      <c r="Y3815">
        <v>0</v>
      </c>
      <c r="AA3815">
        <v>1</v>
      </c>
      <c r="AB3815">
        <v>8</v>
      </c>
      <c r="AC3815">
        <v>3</v>
      </c>
      <c r="AD3815">
        <v>0</v>
      </c>
      <c r="AE3815">
        <v>9</v>
      </c>
      <c r="AF3815" t="s">
        <v>138</v>
      </c>
      <c r="AG3815">
        <v>0</v>
      </c>
      <c r="AH3815">
        <v>3</v>
      </c>
      <c r="AI3815">
        <v>1</v>
      </c>
      <c r="AJ3815">
        <v>0</v>
      </c>
      <c r="AK3815" t="s">
        <v>1237</v>
      </c>
      <c r="AL3815">
        <v>32.737670000000001</v>
      </c>
      <c r="AM3815" t="s">
        <v>1238</v>
      </c>
      <c r="AN3815">
        <v>-116.702034</v>
      </c>
      <c r="AO3815">
        <v>25</v>
      </c>
      <c r="AP3815">
        <v>4700</v>
      </c>
      <c r="AQ3815" t="s">
        <v>129</v>
      </c>
      <c r="AR3815">
        <v>122</v>
      </c>
      <c r="AS3815">
        <v>-11</v>
      </c>
      <c r="AT3815">
        <v>640</v>
      </c>
      <c r="BB3815">
        <v>1200</v>
      </c>
      <c r="BC3815">
        <v>1</v>
      </c>
      <c r="BD3815" t="str">
        <f t="shared" si="1392"/>
        <v xml:space="preserve">N887QR  </v>
      </c>
      <c r="BE3815">
        <v>1</v>
      </c>
      <c r="BG3815">
        <v>0</v>
      </c>
      <c r="BH3815">
        <v>0</v>
      </c>
      <c r="BI3815">
        <v>0</v>
      </c>
      <c r="BJ3815">
        <v>4525</v>
      </c>
      <c r="BK3815">
        <v>-175</v>
      </c>
      <c r="BL3815" t="s">
        <v>163</v>
      </c>
      <c r="BM3815">
        <v>1</v>
      </c>
      <c r="BN3815">
        <v>1</v>
      </c>
      <c r="BO3815">
        <v>1</v>
      </c>
      <c r="BP3815">
        <v>0</v>
      </c>
      <c r="BS3815">
        <v>0</v>
      </c>
      <c r="BT3815">
        <v>0</v>
      </c>
      <c r="BU3815">
        <v>0</v>
      </c>
      <c r="CE3815" t="str">
        <f t="shared" ref="CE3815:CE3821" si="1405">"19:35:49.180"</f>
        <v>19:35:49.180</v>
      </c>
      <c r="CF3815">
        <v>179641712</v>
      </c>
      <c r="CS3815">
        <v>0</v>
      </c>
      <c r="CT3815">
        <v>2</v>
      </c>
      <c r="CU3815">
        <v>0</v>
      </c>
      <c r="CV3815">
        <v>2</v>
      </c>
      <c r="CW3815">
        <v>0</v>
      </c>
      <c r="CX3815">
        <v>4</v>
      </c>
      <c r="CY3815">
        <v>7</v>
      </c>
      <c r="CZ3815" t="s">
        <v>131</v>
      </c>
      <c r="DA3815">
        <v>286</v>
      </c>
      <c r="DB3815">
        <v>0</v>
      </c>
      <c r="DC3815" t="s">
        <v>132</v>
      </c>
      <c r="DD3815" t="s">
        <v>133</v>
      </c>
      <c r="DG3815">
        <v>892184</v>
      </c>
      <c r="DI3815">
        <v>1</v>
      </c>
      <c r="DJ3815">
        <v>0</v>
      </c>
      <c r="DK3815">
        <v>0</v>
      </c>
      <c r="DL3815">
        <v>0</v>
      </c>
      <c r="DM3815">
        <v>0</v>
      </c>
      <c r="DN3815">
        <v>1</v>
      </c>
      <c r="DO3815">
        <v>0</v>
      </c>
      <c r="DP3815">
        <v>0</v>
      </c>
      <c r="DQ3815">
        <v>0</v>
      </c>
      <c r="DR3815">
        <v>0</v>
      </c>
      <c r="DS3815">
        <v>0</v>
      </c>
    </row>
    <row r="3816" spans="1:123" x14ac:dyDescent="0.3">
      <c r="A3816" t="str">
        <f>"10/04/2022 19:35:49.417"</f>
        <v>10/04/2022 19:35:49.417</v>
      </c>
      <c r="C3816" t="str">
        <f t="shared" si="1383"/>
        <v>FFDFD3C0</v>
      </c>
      <c r="D3816" t="s">
        <v>134</v>
      </c>
      <c r="E3816">
        <v>15</v>
      </c>
      <c r="J3816" t="s">
        <v>135</v>
      </c>
      <c r="K3816">
        <v>0</v>
      </c>
      <c r="L3816">
        <v>3</v>
      </c>
      <c r="M3816">
        <v>0</v>
      </c>
      <c r="N3816">
        <v>2</v>
      </c>
      <c r="O3816">
        <v>0</v>
      </c>
      <c r="P3816">
        <v>1</v>
      </c>
      <c r="Q3816">
        <v>0</v>
      </c>
      <c r="S3816" t="str">
        <f t="shared" si="1404"/>
        <v>19:35:49.000</v>
      </c>
      <c r="T3816" t="str">
        <f t="shared" si="1404"/>
        <v>19:35:49.000</v>
      </c>
      <c r="U3816" t="str">
        <f t="shared" si="1391"/>
        <v>AC3944</v>
      </c>
      <c r="V3816">
        <v>0</v>
      </c>
      <c r="W3816">
        <v>0</v>
      </c>
      <c r="X3816">
        <v>2</v>
      </c>
      <c r="Y3816">
        <v>0</v>
      </c>
      <c r="AA3816">
        <v>1</v>
      </c>
      <c r="AB3816">
        <v>8</v>
      </c>
      <c r="AC3816">
        <v>3</v>
      </c>
      <c r="AD3816">
        <v>0</v>
      </c>
      <c r="AE3816">
        <v>9</v>
      </c>
      <c r="AF3816" t="s">
        <v>138</v>
      </c>
      <c r="AG3816">
        <v>0</v>
      </c>
      <c r="AH3816">
        <v>3</v>
      </c>
      <c r="AI3816">
        <v>1</v>
      </c>
      <c r="AJ3816">
        <v>0</v>
      </c>
      <c r="AK3816" t="s">
        <v>1237</v>
      </c>
      <c r="AL3816">
        <v>32.737670000000001</v>
      </c>
      <c r="AM3816" t="s">
        <v>1238</v>
      </c>
      <c r="AN3816">
        <v>-116.702034</v>
      </c>
      <c r="AO3816">
        <v>25</v>
      </c>
      <c r="AP3816">
        <v>4700</v>
      </c>
      <c r="AQ3816" t="s">
        <v>129</v>
      </c>
      <c r="AR3816">
        <v>122</v>
      </c>
      <c r="AS3816">
        <v>-11</v>
      </c>
      <c r="AT3816">
        <v>640</v>
      </c>
      <c r="BB3816">
        <v>1200</v>
      </c>
      <c r="BC3816">
        <v>1</v>
      </c>
      <c r="BD3816" t="str">
        <f t="shared" si="1392"/>
        <v xml:space="preserve">N887QR  </v>
      </c>
      <c r="BE3816">
        <v>1</v>
      </c>
      <c r="BG3816">
        <v>0</v>
      </c>
      <c r="BH3816">
        <v>0</v>
      </c>
      <c r="BI3816">
        <v>0</v>
      </c>
      <c r="BJ3816">
        <v>4525</v>
      </c>
      <c r="BK3816">
        <v>-175</v>
      </c>
      <c r="BL3816" t="s">
        <v>163</v>
      </c>
      <c r="BM3816">
        <v>1</v>
      </c>
      <c r="BN3816">
        <v>1</v>
      </c>
      <c r="BO3816">
        <v>1</v>
      </c>
      <c r="BP3816">
        <v>0</v>
      </c>
      <c r="BS3816">
        <v>0</v>
      </c>
      <c r="BT3816">
        <v>0</v>
      </c>
      <c r="BU3816">
        <v>0</v>
      </c>
      <c r="CE3816" t="str">
        <f t="shared" si="1405"/>
        <v>19:35:49.180</v>
      </c>
      <c r="CF3816">
        <v>179641712</v>
      </c>
      <c r="CS3816">
        <v>0</v>
      </c>
      <c r="CT3816">
        <v>2</v>
      </c>
      <c r="CU3816">
        <v>0</v>
      </c>
      <c r="CV3816">
        <v>2</v>
      </c>
      <c r="CW3816">
        <v>0</v>
      </c>
      <c r="CX3816">
        <v>4</v>
      </c>
      <c r="CY3816">
        <v>7</v>
      </c>
      <c r="CZ3816" t="s">
        <v>131</v>
      </c>
      <c r="DA3816">
        <v>286</v>
      </c>
      <c r="DB3816">
        <v>0</v>
      </c>
      <c r="DC3816" t="s">
        <v>132</v>
      </c>
      <c r="DD3816" t="s">
        <v>133</v>
      </c>
      <c r="DG3816">
        <v>892184</v>
      </c>
      <c r="DI3816">
        <v>1</v>
      </c>
      <c r="DJ3816">
        <v>0</v>
      </c>
      <c r="DK3816">
        <v>1</v>
      </c>
      <c r="DL3816">
        <v>0</v>
      </c>
      <c r="DM3816">
        <v>0</v>
      </c>
      <c r="DN3816">
        <v>1</v>
      </c>
      <c r="DO3816">
        <v>0</v>
      </c>
      <c r="DP3816">
        <v>0</v>
      </c>
      <c r="DQ3816">
        <v>0</v>
      </c>
      <c r="DR3816">
        <v>0</v>
      </c>
      <c r="DS3816">
        <v>0</v>
      </c>
    </row>
    <row r="3817" spans="1:123" x14ac:dyDescent="0.3">
      <c r="A3817" t="str">
        <f>"10/04/2022 19:35:49.417"</f>
        <v>10/04/2022 19:35:49.417</v>
      </c>
      <c r="C3817" t="str">
        <f t="shared" si="1383"/>
        <v>FFDFD3C0</v>
      </c>
      <c r="D3817" t="s">
        <v>123</v>
      </c>
      <c r="E3817">
        <v>7</v>
      </c>
      <c r="F3817">
        <v>2007</v>
      </c>
      <c r="G3817" t="s">
        <v>124</v>
      </c>
      <c r="J3817" t="s">
        <v>125</v>
      </c>
      <c r="K3817">
        <v>0</v>
      </c>
      <c r="L3817">
        <v>3</v>
      </c>
      <c r="M3817">
        <v>0</v>
      </c>
      <c r="N3817">
        <v>2</v>
      </c>
      <c r="O3817">
        <v>0</v>
      </c>
      <c r="P3817">
        <v>1</v>
      </c>
      <c r="Q3817">
        <v>0</v>
      </c>
      <c r="S3817" t="str">
        <f t="shared" si="1404"/>
        <v>19:35:49.000</v>
      </c>
      <c r="T3817" t="str">
        <f t="shared" si="1404"/>
        <v>19:35:49.000</v>
      </c>
      <c r="U3817" t="str">
        <f t="shared" si="1391"/>
        <v>AC3944</v>
      </c>
      <c r="V3817">
        <v>0</v>
      </c>
      <c r="W3817">
        <v>0</v>
      </c>
      <c r="X3817">
        <v>2</v>
      </c>
      <c r="Y3817">
        <v>0</v>
      </c>
      <c r="AA3817">
        <v>1</v>
      </c>
      <c r="AB3817">
        <v>8</v>
      </c>
      <c r="AC3817">
        <v>3</v>
      </c>
      <c r="AD3817">
        <v>0</v>
      </c>
      <c r="AE3817">
        <v>9</v>
      </c>
      <c r="AF3817" t="s">
        <v>138</v>
      </c>
      <c r="AG3817">
        <v>0</v>
      </c>
      <c r="AH3817">
        <v>3</v>
      </c>
      <c r="AI3817">
        <v>1</v>
      </c>
      <c r="AJ3817">
        <v>0</v>
      </c>
      <c r="AK3817" t="s">
        <v>1237</v>
      </c>
      <c r="AL3817">
        <v>32.737670000000001</v>
      </c>
      <c r="AM3817" t="s">
        <v>1238</v>
      </c>
      <c r="AN3817">
        <v>-116.702034</v>
      </c>
      <c r="AO3817">
        <v>25</v>
      </c>
      <c r="AP3817">
        <v>4700</v>
      </c>
      <c r="AQ3817" t="s">
        <v>129</v>
      </c>
      <c r="AR3817">
        <v>122</v>
      </c>
      <c r="AS3817">
        <v>-11</v>
      </c>
      <c r="AT3817">
        <v>640</v>
      </c>
      <c r="BB3817">
        <v>1200</v>
      </c>
      <c r="BC3817">
        <v>1</v>
      </c>
      <c r="BD3817" t="str">
        <f t="shared" si="1392"/>
        <v xml:space="preserve">N887QR  </v>
      </c>
      <c r="BE3817">
        <v>1</v>
      </c>
      <c r="BG3817">
        <v>0</v>
      </c>
      <c r="BH3817">
        <v>0</v>
      </c>
      <c r="BI3817">
        <v>0</v>
      </c>
      <c r="BJ3817">
        <v>4525</v>
      </c>
      <c r="BK3817">
        <v>-175</v>
      </c>
      <c r="BL3817" t="s">
        <v>163</v>
      </c>
      <c r="BM3817">
        <v>1</v>
      </c>
      <c r="BN3817">
        <v>1</v>
      </c>
      <c r="BO3817">
        <v>1</v>
      </c>
      <c r="BP3817">
        <v>0</v>
      </c>
      <c r="BS3817">
        <v>0</v>
      </c>
      <c r="BT3817">
        <v>0</v>
      </c>
      <c r="BU3817">
        <v>0</v>
      </c>
      <c r="CE3817" t="str">
        <f t="shared" si="1405"/>
        <v>19:35:49.180</v>
      </c>
      <c r="CF3817">
        <v>179641712</v>
      </c>
      <c r="CS3817">
        <v>0</v>
      </c>
      <c r="CT3817">
        <v>2</v>
      </c>
      <c r="CU3817">
        <v>0</v>
      </c>
      <c r="CV3817">
        <v>2</v>
      </c>
      <c r="CW3817">
        <v>0</v>
      </c>
      <c r="CX3817">
        <v>4</v>
      </c>
      <c r="CY3817">
        <v>7</v>
      </c>
      <c r="CZ3817" t="s">
        <v>131</v>
      </c>
      <c r="DA3817">
        <v>286</v>
      </c>
      <c r="DB3817">
        <v>0</v>
      </c>
      <c r="DC3817" t="s">
        <v>132</v>
      </c>
      <c r="DD3817" t="s">
        <v>133</v>
      </c>
      <c r="DG3817">
        <v>892184</v>
      </c>
      <c r="DI3817">
        <v>1</v>
      </c>
      <c r="DJ3817">
        <v>0</v>
      </c>
      <c r="DK3817">
        <v>1</v>
      </c>
      <c r="DL3817">
        <v>0</v>
      </c>
      <c r="DM3817">
        <v>0</v>
      </c>
      <c r="DN3817">
        <v>1</v>
      </c>
      <c r="DO3817">
        <v>0</v>
      </c>
      <c r="DP3817">
        <v>0</v>
      </c>
      <c r="DQ3817">
        <v>0</v>
      </c>
      <c r="DR3817">
        <v>0</v>
      </c>
      <c r="DS3817">
        <v>0</v>
      </c>
    </row>
    <row r="3818" spans="1:123" x14ac:dyDescent="0.3">
      <c r="A3818" t="str">
        <f>"10/04/2022 19:35:49.479"</f>
        <v>10/04/2022 19:35:49.479</v>
      </c>
      <c r="C3818" t="str">
        <f t="shared" si="1383"/>
        <v>FFDFD3C0</v>
      </c>
      <c r="D3818" t="s">
        <v>141</v>
      </c>
      <c r="E3818">
        <v>3</v>
      </c>
      <c r="H3818">
        <v>3</v>
      </c>
      <c r="I3818" t="s">
        <v>146</v>
      </c>
      <c r="J3818" t="s">
        <v>138</v>
      </c>
      <c r="K3818">
        <v>0</v>
      </c>
      <c r="L3818">
        <v>3</v>
      </c>
      <c r="M3818">
        <v>0</v>
      </c>
      <c r="N3818">
        <v>2</v>
      </c>
      <c r="O3818">
        <v>0</v>
      </c>
      <c r="P3818">
        <v>1</v>
      </c>
      <c r="Q3818">
        <v>0</v>
      </c>
      <c r="S3818" t="str">
        <f t="shared" si="1404"/>
        <v>19:35:49.000</v>
      </c>
      <c r="T3818" t="str">
        <f t="shared" si="1404"/>
        <v>19:35:49.000</v>
      </c>
      <c r="U3818" t="str">
        <f t="shared" si="1391"/>
        <v>AC3944</v>
      </c>
      <c r="V3818">
        <v>0</v>
      </c>
      <c r="W3818">
        <v>0</v>
      </c>
      <c r="X3818">
        <v>2</v>
      </c>
      <c r="Y3818">
        <v>0</v>
      </c>
      <c r="AA3818">
        <v>1</v>
      </c>
      <c r="AB3818">
        <v>8</v>
      </c>
      <c r="AC3818">
        <v>3</v>
      </c>
      <c r="AD3818">
        <v>0</v>
      </c>
      <c r="AE3818">
        <v>9</v>
      </c>
      <c r="AF3818" t="s">
        <v>138</v>
      </c>
      <c r="AG3818">
        <v>0</v>
      </c>
      <c r="AH3818">
        <v>3</v>
      </c>
      <c r="AI3818">
        <v>1</v>
      </c>
      <c r="AJ3818">
        <v>0</v>
      </c>
      <c r="AK3818" t="s">
        <v>1237</v>
      </c>
      <c r="AL3818">
        <v>32.737670000000001</v>
      </c>
      <c r="AM3818" t="s">
        <v>1238</v>
      </c>
      <c r="AN3818">
        <v>-116.702034</v>
      </c>
      <c r="AO3818">
        <v>25</v>
      </c>
      <c r="AP3818">
        <v>4700</v>
      </c>
      <c r="AQ3818" t="s">
        <v>129</v>
      </c>
      <c r="AR3818">
        <v>122</v>
      </c>
      <c r="AS3818">
        <v>-11</v>
      </c>
      <c r="AT3818">
        <v>640</v>
      </c>
      <c r="BB3818">
        <v>1200</v>
      </c>
      <c r="BC3818">
        <v>1</v>
      </c>
      <c r="BD3818" t="str">
        <f t="shared" si="1392"/>
        <v xml:space="preserve">N887QR  </v>
      </c>
      <c r="BE3818">
        <v>1</v>
      </c>
      <c r="BG3818">
        <v>0</v>
      </c>
      <c r="BH3818">
        <v>0</v>
      </c>
      <c r="BI3818">
        <v>0</v>
      </c>
      <c r="BJ3818">
        <v>4525</v>
      </c>
      <c r="BK3818">
        <v>-175</v>
      </c>
      <c r="BL3818" t="s">
        <v>163</v>
      </c>
      <c r="BM3818">
        <v>1</v>
      </c>
      <c r="BN3818">
        <v>1</v>
      </c>
      <c r="BO3818">
        <v>1</v>
      </c>
      <c r="BP3818">
        <v>0</v>
      </c>
      <c r="BS3818">
        <v>0</v>
      </c>
      <c r="BT3818">
        <v>0</v>
      </c>
      <c r="BU3818">
        <v>0</v>
      </c>
      <c r="CE3818" t="str">
        <f t="shared" si="1405"/>
        <v>19:35:49.180</v>
      </c>
      <c r="CF3818">
        <v>179641712</v>
      </c>
      <c r="CS3818">
        <v>0</v>
      </c>
      <c r="CT3818">
        <v>2</v>
      </c>
      <c r="CU3818">
        <v>0</v>
      </c>
      <c r="CV3818">
        <v>2</v>
      </c>
      <c r="CW3818">
        <v>0</v>
      </c>
      <c r="CX3818">
        <v>4</v>
      </c>
      <c r="CY3818">
        <v>7</v>
      </c>
      <c r="CZ3818" t="s">
        <v>131</v>
      </c>
      <c r="DA3818">
        <v>286</v>
      </c>
      <c r="DB3818">
        <v>0</v>
      </c>
      <c r="DC3818" t="s">
        <v>132</v>
      </c>
      <c r="DD3818" t="s">
        <v>133</v>
      </c>
      <c r="DG3818">
        <v>892184</v>
      </c>
      <c r="DI3818">
        <v>1</v>
      </c>
      <c r="DJ3818">
        <v>0</v>
      </c>
      <c r="DK3818">
        <v>1</v>
      </c>
      <c r="DL3818">
        <v>0</v>
      </c>
      <c r="DM3818">
        <v>0</v>
      </c>
      <c r="DN3818">
        <v>1</v>
      </c>
      <c r="DO3818">
        <v>0</v>
      </c>
      <c r="DP3818">
        <v>0</v>
      </c>
      <c r="DQ3818">
        <v>0</v>
      </c>
      <c r="DR3818">
        <v>0</v>
      </c>
      <c r="DS3818">
        <v>0</v>
      </c>
    </row>
    <row r="3819" spans="1:123" x14ac:dyDescent="0.3">
      <c r="A3819" t="str">
        <f>"10/04/2022 19:35:49.511"</f>
        <v>10/04/2022 19:35:49.511</v>
      </c>
      <c r="C3819" t="str">
        <f t="shared" ref="C3819:C3882" si="1406">"FFDFD3C0"</f>
        <v>FFDFD3C0</v>
      </c>
      <c r="D3819" t="s">
        <v>141</v>
      </c>
      <c r="E3819">
        <v>4</v>
      </c>
      <c r="H3819">
        <v>4</v>
      </c>
      <c r="I3819" t="s">
        <v>142</v>
      </c>
      <c r="J3819" t="s">
        <v>138</v>
      </c>
      <c r="K3819">
        <v>0</v>
      </c>
      <c r="L3819">
        <v>3</v>
      </c>
      <c r="M3819">
        <v>0</v>
      </c>
      <c r="N3819">
        <v>2</v>
      </c>
      <c r="O3819">
        <v>0</v>
      </c>
      <c r="P3819">
        <v>1</v>
      </c>
      <c r="Q3819">
        <v>0</v>
      </c>
      <c r="S3819" t="str">
        <f t="shared" si="1404"/>
        <v>19:35:49.000</v>
      </c>
      <c r="T3819" t="str">
        <f t="shared" si="1404"/>
        <v>19:35:49.000</v>
      </c>
      <c r="U3819" t="str">
        <f t="shared" si="1391"/>
        <v>AC3944</v>
      </c>
      <c r="V3819">
        <v>0</v>
      </c>
      <c r="W3819">
        <v>0</v>
      </c>
      <c r="X3819">
        <v>2</v>
      </c>
      <c r="Y3819">
        <v>0</v>
      </c>
      <c r="AA3819">
        <v>1</v>
      </c>
      <c r="AB3819">
        <v>8</v>
      </c>
      <c r="AC3819">
        <v>3</v>
      </c>
      <c r="AD3819">
        <v>0</v>
      </c>
      <c r="AE3819">
        <v>9</v>
      </c>
      <c r="AF3819" t="s">
        <v>138</v>
      </c>
      <c r="AG3819">
        <v>0</v>
      </c>
      <c r="AH3819">
        <v>3</v>
      </c>
      <c r="AI3819">
        <v>1</v>
      </c>
      <c r="AJ3819">
        <v>0</v>
      </c>
      <c r="AK3819" t="s">
        <v>1237</v>
      </c>
      <c r="AL3819">
        <v>32.737670000000001</v>
      </c>
      <c r="AM3819" t="s">
        <v>1238</v>
      </c>
      <c r="AN3819">
        <v>-116.702034</v>
      </c>
      <c r="AO3819">
        <v>25</v>
      </c>
      <c r="AP3819">
        <v>4700</v>
      </c>
      <c r="AQ3819" t="s">
        <v>129</v>
      </c>
      <c r="AR3819">
        <v>122</v>
      </c>
      <c r="AS3819">
        <v>-11</v>
      </c>
      <c r="AT3819">
        <v>640</v>
      </c>
      <c r="BB3819">
        <v>1200</v>
      </c>
      <c r="BC3819">
        <v>1</v>
      </c>
      <c r="BD3819" t="str">
        <f t="shared" si="1392"/>
        <v xml:space="preserve">N887QR  </v>
      </c>
      <c r="BE3819">
        <v>1</v>
      </c>
      <c r="BG3819">
        <v>0</v>
      </c>
      <c r="BH3819">
        <v>0</v>
      </c>
      <c r="BI3819">
        <v>0</v>
      </c>
      <c r="BJ3819">
        <v>4525</v>
      </c>
      <c r="BK3819">
        <v>-175</v>
      </c>
      <c r="BL3819" t="s">
        <v>163</v>
      </c>
      <c r="BM3819">
        <v>1</v>
      </c>
      <c r="BN3819">
        <v>1</v>
      </c>
      <c r="BO3819">
        <v>1</v>
      </c>
      <c r="BP3819">
        <v>0</v>
      </c>
      <c r="BS3819">
        <v>0</v>
      </c>
      <c r="BT3819">
        <v>0</v>
      </c>
      <c r="BU3819">
        <v>0</v>
      </c>
      <c r="CE3819" t="str">
        <f t="shared" si="1405"/>
        <v>19:35:49.180</v>
      </c>
      <c r="CF3819">
        <v>179641712</v>
      </c>
      <c r="CS3819">
        <v>0</v>
      </c>
      <c r="CT3819">
        <v>2</v>
      </c>
      <c r="CU3819">
        <v>0</v>
      </c>
      <c r="CV3819">
        <v>2</v>
      </c>
      <c r="CW3819">
        <v>0</v>
      </c>
      <c r="CX3819">
        <v>4</v>
      </c>
      <c r="CY3819">
        <v>7</v>
      </c>
      <c r="CZ3819" t="s">
        <v>131</v>
      </c>
      <c r="DA3819">
        <v>286</v>
      </c>
      <c r="DB3819">
        <v>0</v>
      </c>
      <c r="DC3819" t="s">
        <v>132</v>
      </c>
      <c r="DD3819" t="s">
        <v>133</v>
      </c>
      <c r="DG3819">
        <v>892184</v>
      </c>
      <c r="DI3819">
        <v>1</v>
      </c>
      <c r="DJ3819">
        <v>0</v>
      </c>
      <c r="DK3819">
        <v>1</v>
      </c>
      <c r="DL3819">
        <v>0</v>
      </c>
      <c r="DM3819">
        <v>0</v>
      </c>
      <c r="DN3819">
        <v>1</v>
      </c>
      <c r="DO3819">
        <v>0</v>
      </c>
      <c r="DP3819">
        <v>0</v>
      </c>
      <c r="DQ3819">
        <v>0</v>
      </c>
      <c r="DR3819">
        <v>0</v>
      </c>
      <c r="DS3819">
        <v>0</v>
      </c>
    </row>
    <row r="3820" spans="1:123" x14ac:dyDescent="0.3">
      <c r="A3820" t="str">
        <f>"10/04/2022 19:35:49.511"</f>
        <v>10/04/2022 19:35:49.511</v>
      </c>
      <c r="C3820" t="str">
        <f t="shared" si="1406"/>
        <v>FFDFD3C0</v>
      </c>
      <c r="D3820" t="s">
        <v>136</v>
      </c>
      <c r="E3820">
        <v>8</v>
      </c>
      <c r="H3820">
        <v>225</v>
      </c>
      <c r="I3820" t="s">
        <v>137</v>
      </c>
      <c r="J3820" t="s">
        <v>138</v>
      </c>
      <c r="K3820">
        <v>0</v>
      </c>
      <c r="L3820">
        <v>3</v>
      </c>
      <c r="M3820">
        <v>0</v>
      </c>
      <c r="N3820">
        <v>2</v>
      </c>
      <c r="O3820">
        <v>0</v>
      </c>
      <c r="P3820">
        <v>1</v>
      </c>
      <c r="Q3820">
        <v>0</v>
      </c>
      <c r="S3820" t="str">
        <f t="shared" si="1404"/>
        <v>19:35:49.000</v>
      </c>
      <c r="T3820" t="str">
        <f t="shared" si="1404"/>
        <v>19:35:49.000</v>
      </c>
      <c r="U3820" t="str">
        <f t="shared" si="1391"/>
        <v>AC3944</v>
      </c>
      <c r="V3820">
        <v>0</v>
      </c>
      <c r="W3820">
        <v>0</v>
      </c>
      <c r="X3820">
        <v>2</v>
      </c>
      <c r="Y3820">
        <v>0</v>
      </c>
      <c r="AA3820">
        <v>1</v>
      </c>
      <c r="AB3820">
        <v>8</v>
      </c>
      <c r="AC3820">
        <v>3</v>
      </c>
      <c r="AD3820">
        <v>0</v>
      </c>
      <c r="AE3820">
        <v>9</v>
      </c>
      <c r="AF3820" t="s">
        <v>138</v>
      </c>
      <c r="AG3820">
        <v>0</v>
      </c>
      <c r="AH3820">
        <v>3</v>
      </c>
      <c r="AI3820">
        <v>1</v>
      </c>
      <c r="AJ3820">
        <v>0</v>
      </c>
      <c r="AK3820" t="s">
        <v>1237</v>
      </c>
      <c r="AL3820">
        <v>32.737670000000001</v>
      </c>
      <c r="AM3820" t="s">
        <v>1238</v>
      </c>
      <c r="AN3820">
        <v>-116.702034</v>
      </c>
      <c r="AO3820">
        <v>25</v>
      </c>
      <c r="AP3820">
        <v>4700</v>
      </c>
      <c r="AQ3820" t="s">
        <v>129</v>
      </c>
      <c r="AR3820">
        <v>122</v>
      </c>
      <c r="AS3820">
        <v>-11</v>
      </c>
      <c r="AT3820">
        <v>640</v>
      </c>
      <c r="BB3820">
        <v>1200</v>
      </c>
      <c r="BC3820">
        <v>1</v>
      </c>
      <c r="BD3820" t="str">
        <f t="shared" si="1392"/>
        <v xml:space="preserve">N887QR  </v>
      </c>
      <c r="BE3820">
        <v>1</v>
      </c>
      <c r="BG3820">
        <v>0</v>
      </c>
      <c r="BH3820">
        <v>0</v>
      </c>
      <c r="BI3820">
        <v>0</v>
      </c>
      <c r="BJ3820">
        <v>4525</v>
      </c>
      <c r="BK3820">
        <v>-175</v>
      </c>
      <c r="BL3820" t="s">
        <v>163</v>
      </c>
      <c r="BM3820">
        <v>1</v>
      </c>
      <c r="BN3820">
        <v>1</v>
      </c>
      <c r="BO3820">
        <v>1</v>
      </c>
      <c r="BP3820">
        <v>0</v>
      </c>
      <c r="BS3820">
        <v>0</v>
      </c>
      <c r="BT3820">
        <v>0</v>
      </c>
      <c r="BU3820">
        <v>0</v>
      </c>
      <c r="CE3820" t="str">
        <f t="shared" si="1405"/>
        <v>19:35:49.180</v>
      </c>
      <c r="CF3820">
        <v>179641712</v>
      </c>
      <c r="CS3820">
        <v>0</v>
      </c>
      <c r="CT3820">
        <v>2</v>
      </c>
      <c r="CU3820">
        <v>0</v>
      </c>
      <c r="CV3820">
        <v>2</v>
      </c>
      <c r="CW3820">
        <v>0</v>
      </c>
      <c r="CX3820">
        <v>4</v>
      </c>
      <c r="CY3820">
        <v>7</v>
      </c>
      <c r="CZ3820" t="s">
        <v>131</v>
      </c>
      <c r="DA3820">
        <v>286</v>
      </c>
      <c r="DB3820">
        <v>0</v>
      </c>
      <c r="DC3820" t="s">
        <v>132</v>
      </c>
      <c r="DD3820" t="s">
        <v>133</v>
      </c>
      <c r="DG3820">
        <v>892184</v>
      </c>
      <c r="DI3820">
        <v>1</v>
      </c>
      <c r="DJ3820">
        <v>0</v>
      </c>
      <c r="DK3820">
        <v>1</v>
      </c>
      <c r="DL3820">
        <v>0</v>
      </c>
      <c r="DM3820">
        <v>0</v>
      </c>
      <c r="DN3820">
        <v>1</v>
      </c>
      <c r="DO3820">
        <v>0</v>
      </c>
      <c r="DP3820">
        <v>0</v>
      </c>
      <c r="DQ3820">
        <v>0</v>
      </c>
      <c r="DR3820">
        <v>0</v>
      </c>
      <c r="DS3820">
        <v>0</v>
      </c>
    </row>
    <row r="3821" spans="1:123" x14ac:dyDescent="0.3">
      <c r="A3821" t="str">
        <f>"10/04/2022 19:35:49.511"</f>
        <v>10/04/2022 19:35:49.511</v>
      </c>
      <c r="C3821" t="str">
        <f t="shared" si="1406"/>
        <v>FFDFD3C0</v>
      </c>
      <c r="D3821" t="s">
        <v>147</v>
      </c>
      <c r="E3821">
        <v>3</v>
      </c>
      <c r="H3821">
        <v>166</v>
      </c>
      <c r="I3821" t="s">
        <v>144</v>
      </c>
      <c r="J3821" t="s">
        <v>148</v>
      </c>
      <c r="K3821">
        <v>0</v>
      </c>
      <c r="L3821">
        <v>3</v>
      </c>
      <c r="M3821">
        <v>0</v>
      </c>
      <c r="N3821">
        <v>2</v>
      </c>
      <c r="O3821">
        <v>0</v>
      </c>
      <c r="P3821">
        <v>1</v>
      </c>
      <c r="Q3821">
        <v>0</v>
      </c>
      <c r="S3821" t="str">
        <f t="shared" si="1404"/>
        <v>19:35:49.000</v>
      </c>
      <c r="T3821" t="str">
        <f t="shared" si="1404"/>
        <v>19:35:49.000</v>
      </c>
      <c r="U3821" t="str">
        <f t="shared" si="1391"/>
        <v>AC3944</v>
      </c>
      <c r="V3821">
        <v>0</v>
      </c>
      <c r="W3821">
        <v>0</v>
      </c>
      <c r="X3821">
        <v>2</v>
      </c>
      <c r="Y3821">
        <v>0</v>
      </c>
      <c r="AA3821">
        <v>1</v>
      </c>
      <c r="AB3821">
        <v>8</v>
      </c>
      <c r="AC3821">
        <v>3</v>
      </c>
      <c r="AD3821">
        <v>0</v>
      </c>
      <c r="AE3821">
        <v>9</v>
      </c>
      <c r="AF3821" t="s">
        <v>138</v>
      </c>
      <c r="AG3821">
        <v>0</v>
      </c>
      <c r="AH3821">
        <v>3</v>
      </c>
      <c r="AI3821">
        <v>1</v>
      </c>
      <c r="AJ3821">
        <v>0</v>
      </c>
      <c r="AK3821" t="s">
        <v>1237</v>
      </c>
      <c r="AL3821">
        <v>32.737670000000001</v>
      </c>
      <c r="AM3821" t="s">
        <v>1238</v>
      </c>
      <c r="AN3821">
        <v>-116.702034</v>
      </c>
      <c r="AO3821">
        <v>25</v>
      </c>
      <c r="AP3821">
        <v>4700</v>
      </c>
      <c r="AQ3821" t="s">
        <v>129</v>
      </c>
      <c r="AR3821">
        <v>122</v>
      </c>
      <c r="AS3821">
        <v>-11</v>
      </c>
      <c r="AT3821">
        <v>640</v>
      </c>
      <c r="BB3821">
        <v>1200</v>
      </c>
      <c r="BC3821">
        <v>1</v>
      </c>
      <c r="BD3821" t="str">
        <f t="shared" si="1392"/>
        <v xml:space="preserve">N887QR  </v>
      </c>
      <c r="BE3821">
        <v>1</v>
      </c>
      <c r="BG3821">
        <v>0</v>
      </c>
      <c r="BH3821">
        <v>0</v>
      </c>
      <c r="BI3821">
        <v>0</v>
      </c>
      <c r="BJ3821">
        <v>4525</v>
      </c>
      <c r="BK3821">
        <v>-175</v>
      </c>
      <c r="BL3821" t="s">
        <v>163</v>
      </c>
      <c r="BM3821">
        <v>1</v>
      </c>
      <c r="BN3821">
        <v>1</v>
      </c>
      <c r="BO3821">
        <v>1</v>
      </c>
      <c r="BP3821">
        <v>0</v>
      </c>
      <c r="BS3821">
        <v>0</v>
      </c>
      <c r="BT3821">
        <v>0</v>
      </c>
      <c r="BU3821">
        <v>0</v>
      </c>
      <c r="CE3821" t="str">
        <f t="shared" si="1405"/>
        <v>19:35:49.180</v>
      </c>
      <c r="CF3821">
        <v>179641712</v>
      </c>
      <c r="CS3821">
        <v>0</v>
      </c>
      <c r="CT3821">
        <v>2</v>
      </c>
      <c r="CU3821">
        <v>0</v>
      </c>
      <c r="CV3821">
        <v>2</v>
      </c>
      <c r="CW3821">
        <v>0</v>
      </c>
      <c r="CX3821">
        <v>4</v>
      </c>
      <c r="CY3821">
        <v>7</v>
      </c>
      <c r="CZ3821" t="s">
        <v>131</v>
      </c>
      <c r="DA3821">
        <v>286</v>
      </c>
      <c r="DB3821">
        <v>0</v>
      </c>
      <c r="DC3821" t="s">
        <v>132</v>
      </c>
      <c r="DD3821" t="s">
        <v>133</v>
      </c>
      <c r="DG3821">
        <v>892184</v>
      </c>
      <c r="DI3821">
        <v>1</v>
      </c>
      <c r="DJ3821">
        <v>0</v>
      </c>
      <c r="DK3821">
        <v>1</v>
      </c>
      <c r="DL3821">
        <v>0</v>
      </c>
      <c r="DM3821">
        <v>0</v>
      </c>
      <c r="DN3821">
        <v>1</v>
      </c>
      <c r="DO3821">
        <v>0</v>
      </c>
      <c r="DP3821">
        <v>0</v>
      </c>
      <c r="DQ3821">
        <v>0</v>
      </c>
      <c r="DR3821">
        <v>0</v>
      </c>
      <c r="DS3821">
        <v>0</v>
      </c>
    </row>
    <row r="3822" spans="1:123" x14ac:dyDescent="0.3">
      <c r="A3822" t="str">
        <f>"10/04/2022 19:35:50.606"</f>
        <v>10/04/2022 19:35:50.606</v>
      </c>
      <c r="C3822" t="str">
        <f t="shared" si="1406"/>
        <v>FFDFD3C0</v>
      </c>
      <c r="D3822" t="s">
        <v>123</v>
      </c>
      <c r="E3822">
        <v>7</v>
      </c>
      <c r="F3822">
        <v>2007</v>
      </c>
      <c r="G3822" t="s">
        <v>124</v>
      </c>
      <c r="J3822" t="s">
        <v>125</v>
      </c>
      <c r="K3822">
        <v>0</v>
      </c>
      <c r="L3822">
        <v>3</v>
      </c>
      <c r="M3822">
        <v>0</v>
      </c>
      <c r="N3822">
        <v>2</v>
      </c>
      <c r="O3822">
        <v>0</v>
      </c>
      <c r="P3822">
        <v>1</v>
      </c>
      <c r="Q3822">
        <v>0</v>
      </c>
      <c r="S3822" t="str">
        <f t="shared" ref="S3822:T3828" si="1407">"19:35:50.000"</f>
        <v>19:35:50.000</v>
      </c>
      <c r="T3822" t="str">
        <f t="shared" si="1407"/>
        <v>19:35:50.000</v>
      </c>
      <c r="U3822" t="str">
        <f t="shared" si="1391"/>
        <v>AC3944</v>
      </c>
      <c r="V3822">
        <v>0</v>
      </c>
      <c r="W3822">
        <v>0</v>
      </c>
      <c r="X3822">
        <v>2</v>
      </c>
      <c r="Y3822">
        <v>0</v>
      </c>
      <c r="AA3822">
        <v>1</v>
      </c>
      <c r="AB3822">
        <v>8</v>
      </c>
      <c r="AC3822">
        <v>3</v>
      </c>
      <c r="AD3822">
        <v>0</v>
      </c>
      <c r="AE3822">
        <v>9</v>
      </c>
      <c r="AF3822" t="s">
        <v>138</v>
      </c>
      <c r="AG3822">
        <v>0</v>
      </c>
      <c r="AH3822">
        <v>3</v>
      </c>
      <c r="AI3822">
        <v>1</v>
      </c>
      <c r="AJ3822">
        <v>0</v>
      </c>
      <c r="AK3822" t="s">
        <v>1223</v>
      </c>
      <c r="AL3822">
        <v>32.737648</v>
      </c>
      <c r="AM3822" t="s">
        <v>1239</v>
      </c>
      <c r="AN3822">
        <v>-116.701477</v>
      </c>
      <c r="AO3822">
        <v>25</v>
      </c>
      <c r="AP3822">
        <v>4700</v>
      </c>
      <c r="AQ3822" t="s">
        <v>129</v>
      </c>
      <c r="AR3822">
        <v>122</v>
      </c>
      <c r="AS3822">
        <v>-12</v>
      </c>
      <c r="AT3822">
        <v>704</v>
      </c>
      <c r="BB3822">
        <v>1200</v>
      </c>
      <c r="BC3822">
        <v>1</v>
      </c>
      <c r="BD3822" t="str">
        <f t="shared" si="1392"/>
        <v xml:space="preserve">N887QR  </v>
      </c>
      <c r="BE3822">
        <v>1</v>
      </c>
      <c r="BG3822">
        <v>0</v>
      </c>
      <c r="BH3822">
        <v>0</v>
      </c>
      <c r="BI3822">
        <v>0</v>
      </c>
      <c r="BJ3822">
        <v>4525</v>
      </c>
      <c r="BK3822">
        <v>-175</v>
      </c>
      <c r="BL3822" t="s">
        <v>163</v>
      </c>
      <c r="BM3822">
        <v>1</v>
      </c>
      <c r="BN3822">
        <v>1</v>
      </c>
      <c r="BO3822">
        <v>1</v>
      </c>
      <c r="BP3822">
        <v>0</v>
      </c>
      <c r="BS3822">
        <v>0</v>
      </c>
      <c r="BT3822">
        <v>0</v>
      </c>
      <c r="BU3822">
        <v>0</v>
      </c>
      <c r="CE3822" t="str">
        <f t="shared" ref="CE3822:CE3828" si="1408">"19:35:50.381"</f>
        <v>19:35:50.381</v>
      </c>
      <c r="CF3822">
        <v>380895735</v>
      </c>
      <c r="CS3822">
        <v>0</v>
      </c>
      <c r="CT3822">
        <v>2</v>
      </c>
      <c r="CU3822">
        <v>0</v>
      </c>
      <c r="CV3822">
        <v>2</v>
      </c>
      <c r="CW3822">
        <v>0</v>
      </c>
      <c r="CX3822">
        <v>4</v>
      </c>
      <c r="CY3822">
        <v>7</v>
      </c>
      <c r="CZ3822" t="s">
        <v>131</v>
      </c>
      <c r="DA3822">
        <v>286</v>
      </c>
      <c r="DB3822">
        <v>0</v>
      </c>
      <c r="DC3822" t="s">
        <v>132</v>
      </c>
      <c r="DD3822" t="s">
        <v>133</v>
      </c>
      <c r="DG3822">
        <v>892475</v>
      </c>
      <c r="DI3822">
        <v>1</v>
      </c>
      <c r="DJ3822">
        <v>0</v>
      </c>
      <c r="DK3822">
        <v>0</v>
      </c>
      <c r="DL3822">
        <v>0</v>
      </c>
      <c r="DM3822">
        <v>0</v>
      </c>
      <c r="DN3822">
        <v>1</v>
      </c>
      <c r="DO3822">
        <v>0</v>
      </c>
      <c r="DP3822">
        <v>0</v>
      </c>
      <c r="DQ3822">
        <v>0</v>
      </c>
      <c r="DR3822">
        <v>0</v>
      </c>
      <c r="DS3822">
        <v>0</v>
      </c>
    </row>
    <row r="3823" spans="1:123" x14ac:dyDescent="0.3">
      <c r="A3823" t="str">
        <f>"10/04/2022 19:35:50.668"</f>
        <v>10/04/2022 19:35:50.668</v>
      </c>
      <c r="C3823" t="str">
        <f t="shared" si="1406"/>
        <v>FFDFD3C0</v>
      </c>
      <c r="D3823" t="s">
        <v>141</v>
      </c>
      <c r="E3823">
        <v>3</v>
      </c>
      <c r="H3823">
        <v>3</v>
      </c>
      <c r="I3823" t="s">
        <v>146</v>
      </c>
      <c r="J3823" t="s">
        <v>138</v>
      </c>
      <c r="K3823">
        <v>0</v>
      </c>
      <c r="L3823">
        <v>3</v>
      </c>
      <c r="M3823">
        <v>0</v>
      </c>
      <c r="N3823">
        <v>2</v>
      </c>
      <c r="O3823">
        <v>0</v>
      </c>
      <c r="P3823">
        <v>1</v>
      </c>
      <c r="Q3823">
        <v>0</v>
      </c>
      <c r="S3823" t="str">
        <f t="shared" si="1407"/>
        <v>19:35:50.000</v>
      </c>
      <c r="T3823" t="str">
        <f t="shared" si="1407"/>
        <v>19:35:50.000</v>
      </c>
      <c r="U3823" t="str">
        <f t="shared" si="1391"/>
        <v>AC3944</v>
      </c>
      <c r="V3823">
        <v>0</v>
      </c>
      <c r="W3823">
        <v>0</v>
      </c>
      <c r="X3823">
        <v>2</v>
      </c>
      <c r="Y3823">
        <v>0</v>
      </c>
      <c r="AA3823">
        <v>1</v>
      </c>
      <c r="AB3823">
        <v>8</v>
      </c>
      <c r="AC3823">
        <v>3</v>
      </c>
      <c r="AD3823">
        <v>0</v>
      </c>
      <c r="AE3823">
        <v>9</v>
      </c>
      <c r="AF3823" t="s">
        <v>138</v>
      </c>
      <c r="AG3823">
        <v>0</v>
      </c>
      <c r="AH3823">
        <v>3</v>
      </c>
      <c r="AI3823">
        <v>1</v>
      </c>
      <c r="AJ3823">
        <v>0</v>
      </c>
      <c r="AK3823" t="s">
        <v>1223</v>
      </c>
      <c r="AL3823">
        <v>32.737648</v>
      </c>
      <c r="AM3823" t="s">
        <v>1239</v>
      </c>
      <c r="AN3823">
        <v>-116.701477</v>
      </c>
      <c r="AO3823">
        <v>25</v>
      </c>
      <c r="AP3823">
        <v>4700</v>
      </c>
      <c r="AQ3823" t="s">
        <v>129</v>
      </c>
      <c r="AR3823">
        <v>122</v>
      </c>
      <c r="AS3823">
        <v>-12</v>
      </c>
      <c r="AT3823">
        <v>704</v>
      </c>
      <c r="BB3823">
        <v>1200</v>
      </c>
      <c r="BC3823">
        <v>1</v>
      </c>
      <c r="BD3823" t="str">
        <f t="shared" si="1392"/>
        <v xml:space="preserve">N887QR  </v>
      </c>
      <c r="BE3823">
        <v>1</v>
      </c>
      <c r="BG3823">
        <v>0</v>
      </c>
      <c r="BH3823">
        <v>0</v>
      </c>
      <c r="BI3823">
        <v>0</v>
      </c>
      <c r="BJ3823">
        <v>4525</v>
      </c>
      <c r="BK3823">
        <v>-175</v>
      </c>
      <c r="BL3823" t="s">
        <v>163</v>
      </c>
      <c r="BM3823">
        <v>1</v>
      </c>
      <c r="BN3823">
        <v>1</v>
      </c>
      <c r="BO3823">
        <v>1</v>
      </c>
      <c r="BP3823">
        <v>0</v>
      </c>
      <c r="BS3823">
        <v>0</v>
      </c>
      <c r="BT3823">
        <v>0</v>
      </c>
      <c r="BU3823">
        <v>0</v>
      </c>
      <c r="CE3823" t="str">
        <f t="shared" si="1408"/>
        <v>19:35:50.381</v>
      </c>
      <c r="CF3823">
        <v>380895735</v>
      </c>
      <c r="CS3823">
        <v>0</v>
      </c>
      <c r="CT3823">
        <v>2</v>
      </c>
      <c r="CU3823">
        <v>0</v>
      </c>
      <c r="CV3823">
        <v>2</v>
      </c>
      <c r="CW3823">
        <v>0</v>
      </c>
      <c r="CX3823">
        <v>4</v>
      </c>
      <c r="CY3823">
        <v>7</v>
      </c>
      <c r="CZ3823" t="s">
        <v>131</v>
      </c>
      <c r="DA3823">
        <v>286</v>
      </c>
      <c r="DB3823">
        <v>0</v>
      </c>
      <c r="DC3823" t="s">
        <v>132</v>
      </c>
      <c r="DD3823" t="s">
        <v>133</v>
      </c>
      <c r="DG3823">
        <v>892475</v>
      </c>
      <c r="DI3823">
        <v>1</v>
      </c>
      <c r="DJ3823">
        <v>0</v>
      </c>
      <c r="DK3823">
        <v>1</v>
      </c>
      <c r="DL3823">
        <v>0</v>
      </c>
      <c r="DM3823">
        <v>0</v>
      </c>
      <c r="DN3823">
        <v>1</v>
      </c>
      <c r="DO3823">
        <v>0</v>
      </c>
      <c r="DP3823">
        <v>0</v>
      </c>
      <c r="DQ3823">
        <v>0</v>
      </c>
      <c r="DR3823">
        <v>0</v>
      </c>
      <c r="DS3823">
        <v>0</v>
      </c>
    </row>
    <row r="3824" spans="1:123" x14ac:dyDescent="0.3">
      <c r="A3824" t="str">
        <f>"10/04/2022 19:35:50.684"</f>
        <v>10/04/2022 19:35:50.684</v>
      </c>
      <c r="C3824" t="str">
        <f t="shared" si="1406"/>
        <v>FFDFD3C0</v>
      </c>
      <c r="D3824" t="s">
        <v>141</v>
      </c>
      <c r="E3824">
        <v>4</v>
      </c>
      <c r="H3824">
        <v>4</v>
      </c>
      <c r="I3824" t="s">
        <v>142</v>
      </c>
      <c r="J3824" t="s">
        <v>138</v>
      </c>
      <c r="K3824">
        <v>0</v>
      </c>
      <c r="L3824">
        <v>3</v>
      </c>
      <c r="M3824">
        <v>0</v>
      </c>
      <c r="N3824">
        <v>2</v>
      </c>
      <c r="O3824">
        <v>0</v>
      </c>
      <c r="P3824">
        <v>1</v>
      </c>
      <c r="Q3824">
        <v>0</v>
      </c>
      <c r="S3824" t="str">
        <f t="shared" si="1407"/>
        <v>19:35:50.000</v>
      </c>
      <c r="T3824" t="str">
        <f t="shared" si="1407"/>
        <v>19:35:50.000</v>
      </c>
      <c r="U3824" t="str">
        <f t="shared" si="1391"/>
        <v>AC3944</v>
      </c>
      <c r="V3824">
        <v>0</v>
      </c>
      <c r="W3824">
        <v>0</v>
      </c>
      <c r="X3824">
        <v>2</v>
      </c>
      <c r="Y3824">
        <v>0</v>
      </c>
      <c r="AA3824">
        <v>1</v>
      </c>
      <c r="AB3824">
        <v>8</v>
      </c>
      <c r="AC3824">
        <v>3</v>
      </c>
      <c r="AD3824">
        <v>0</v>
      </c>
      <c r="AE3824">
        <v>9</v>
      </c>
      <c r="AF3824" t="s">
        <v>138</v>
      </c>
      <c r="AG3824">
        <v>0</v>
      </c>
      <c r="AH3824">
        <v>3</v>
      </c>
      <c r="AI3824">
        <v>1</v>
      </c>
      <c r="AJ3824">
        <v>0</v>
      </c>
      <c r="AK3824" t="s">
        <v>1223</v>
      </c>
      <c r="AL3824">
        <v>32.737648</v>
      </c>
      <c r="AM3824" t="s">
        <v>1239</v>
      </c>
      <c r="AN3824">
        <v>-116.701477</v>
      </c>
      <c r="AO3824">
        <v>25</v>
      </c>
      <c r="AP3824">
        <v>4700</v>
      </c>
      <c r="AQ3824" t="s">
        <v>129</v>
      </c>
      <c r="AR3824">
        <v>122</v>
      </c>
      <c r="AS3824">
        <v>-12</v>
      </c>
      <c r="AT3824">
        <v>704</v>
      </c>
      <c r="BB3824">
        <v>1200</v>
      </c>
      <c r="BC3824">
        <v>1</v>
      </c>
      <c r="BD3824" t="str">
        <f t="shared" si="1392"/>
        <v xml:space="preserve">N887QR  </v>
      </c>
      <c r="BE3824">
        <v>1</v>
      </c>
      <c r="BG3824">
        <v>0</v>
      </c>
      <c r="BH3824">
        <v>0</v>
      </c>
      <c r="BI3824">
        <v>0</v>
      </c>
      <c r="BJ3824">
        <v>4525</v>
      </c>
      <c r="BK3824">
        <v>-175</v>
      </c>
      <c r="BL3824" t="s">
        <v>163</v>
      </c>
      <c r="BM3824">
        <v>1</v>
      </c>
      <c r="BN3824">
        <v>1</v>
      </c>
      <c r="BO3824">
        <v>1</v>
      </c>
      <c r="BP3824">
        <v>0</v>
      </c>
      <c r="BS3824">
        <v>0</v>
      </c>
      <c r="BT3824">
        <v>0</v>
      </c>
      <c r="BU3824">
        <v>0</v>
      </c>
      <c r="CE3824" t="str">
        <f t="shared" si="1408"/>
        <v>19:35:50.381</v>
      </c>
      <c r="CF3824">
        <v>380895735</v>
      </c>
      <c r="CS3824">
        <v>0</v>
      </c>
      <c r="CT3824">
        <v>2</v>
      </c>
      <c r="CU3824">
        <v>0</v>
      </c>
      <c r="CV3824">
        <v>2</v>
      </c>
      <c r="CW3824">
        <v>0</v>
      </c>
      <c r="CX3824">
        <v>4</v>
      </c>
      <c r="CY3824">
        <v>7</v>
      </c>
      <c r="CZ3824" t="s">
        <v>131</v>
      </c>
      <c r="DA3824">
        <v>286</v>
      </c>
      <c r="DB3824">
        <v>0</v>
      </c>
      <c r="DC3824" t="s">
        <v>132</v>
      </c>
      <c r="DD3824" t="s">
        <v>133</v>
      </c>
      <c r="DG3824">
        <v>892475</v>
      </c>
      <c r="DI3824">
        <v>1</v>
      </c>
      <c r="DJ3824">
        <v>0</v>
      </c>
      <c r="DK3824">
        <v>1</v>
      </c>
      <c r="DL3824">
        <v>0</v>
      </c>
      <c r="DM3824">
        <v>0</v>
      </c>
      <c r="DN3824">
        <v>1</v>
      </c>
      <c r="DO3824">
        <v>0</v>
      </c>
      <c r="DP3824">
        <v>0</v>
      </c>
      <c r="DQ3824">
        <v>0</v>
      </c>
      <c r="DR3824">
        <v>0</v>
      </c>
      <c r="DS3824">
        <v>0</v>
      </c>
    </row>
    <row r="3825" spans="1:123" x14ac:dyDescent="0.3">
      <c r="A3825" t="str">
        <f>"10/04/2022 19:35:50.684"</f>
        <v>10/04/2022 19:35:50.684</v>
      </c>
      <c r="C3825" t="str">
        <f t="shared" si="1406"/>
        <v>FFDFD3C0</v>
      </c>
      <c r="D3825" t="s">
        <v>136</v>
      </c>
      <c r="E3825">
        <v>8</v>
      </c>
      <c r="H3825">
        <v>225</v>
      </c>
      <c r="I3825" t="s">
        <v>137</v>
      </c>
      <c r="J3825" t="s">
        <v>138</v>
      </c>
      <c r="K3825">
        <v>0</v>
      </c>
      <c r="L3825">
        <v>3</v>
      </c>
      <c r="M3825">
        <v>0</v>
      </c>
      <c r="N3825">
        <v>2</v>
      </c>
      <c r="O3825">
        <v>0</v>
      </c>
      <c r="P3825">
        <v>1</v>
      </c>
      <c r="Q3825">
        <v>0</v>
      </c>
      <c r="S3825" t="str">
        <f t="shared" si="1407"/>
        <v>19:35:50.000</v>
      </c>
      <c r="T3825" t="str">
        <f t="shared" si="1407"/>
        <v>19:35:50.000</v>
      </c>
      <c r="U3825" t="str">
        <f t="shared" si="1391"/>
        <v>AC3944</v>
      </c>
      <c r="V3825">
        <v>0</v>
      </c>
      <c r="W3825">
        <v>0</v>
      </c>
      <c r="X3825">
        <v>2</v>
      </c>
      <c r="Y3825">
        <v>0</v>
      </c>
      <c r="AA3825">
        <v>1</v>
      </c>
      <c r="AB3825">
        <v>8</v>
      </c>
      <c r="AC3825">
        <v>3</v>
      </c>
      <c r="AD3825">
        <v>0</v>
      </c>
      <c r="AE3825">
        <v>9</v>
      </c>
      <c r="AF3825" t="s">
        <v>138</v>
      </c>
      <c r="AG3825">
        <v>0</v>
      </c>
      <c r="AH3825">
        <v>3</v>
      </c>
      <c r="AI3825">
        <v>1</v>
      </c>
      <c r="AJ3825">
        <v>0</v>
      </c>
      <c r="AK3825" t="s">
        <v>1223</v>
      </c>
      <c r="AL3825">
        <v>32.737648</v>
      </c>
      <c r="AM3825" t="s">
        <v>1239</v>
      </c>
      <c r="AN3825">
        <v>-116.701477</v>
      </c>
      <c r="AO3825">
        <v>25</v>
      </c>
      <c r="AP3825">
        <v>4700</v>
      </c>
      <c r="AQ3825" t="s">
        <v>129</v>
      </c>
      <c r="AR3825">
        <v>122</v>
      </c>
      <c r="AS3825">
        <v>-12</v>
      </c>
      <c r="AT3825">
        <v>704</v>
      </c>
      <c r="BB3825">
        <v>1200</v>
      </c>
      <c r="BC3825">
        <v>1</v>
      </c>
      <c r="BD3825" t="str">
        <f t="shared" si="1392"/>
        <v xml:space="preserve">N887QR  </v>
      </c>
      <c r="BE3825">
        <v>1</v>
      </c>
      <c r="BG3825">
        <v>0</v>
      </c>
      <c r="BH3825">
        <v>0</v>
      </c>
      <c r="BI3825">
        <v>0</v>
      </c>
      <c r="BJ3825">
        <v>4525</v>
      </c>
      <c r="BK3825">
        <v>-175</v>
      </c>
      <c r="BL3825" t="s">
        <v>163</v>
      </c>
      <c r="BM3825">
        <v>1</v>
      </c>
      <c r="BN3825">
        <v>1</v>
      </c>
      <c r="BO3825">
        <v>1</v>
      </c>
      <c r="BP3825">
        <v>0</v>
      </c>
      <c r="BS3825">
        <v>0</v>
      </c>
      <c r="BT3825">
        <v>0</v>
      </c>
      <c r="BU3825">
        <v>0</v>
      </c>
      <c r="CE3825" t="str">
        <f t="shared" si="1408"/>
        <v>19:35:50.381</v>
      </c>
      <c r="CF3825">
        <v>380895735</v>
      </c>
      <c r="CS3825">
        <v>0</v>
      </c>
      <c r="CT3825">
        <v>2</v>
      </c>
      <c r="CU3825">
        <v>0</v>
      </c>
      <c r="CV3825">
        <v>2</v>
      </c>
      <c r="CW3825">
        <v>0</v>
      </c>
      <c r="CX3825">
        <v>4</v>
      </c>
      <c r="CY3825">
        <v>7</v>
      </c>
      <c r="CZ3825" t="s">
        <v>131</v>
      </c>
      <c r="DA3825">
        <v>286</v>
      </c>
      <c r="DB3825">
        <v>0</v>
      </c>
      <c r="DC3825" t="s">
        <v>132</v>
      </c>
      <c r="DD3825" t="s">
        <v>133</v>
      </c>
      <c r="DG3825">
        <v>892475</v>
      </c>
      <c r="DI3825">
        <v>1</v>
      </c>
      <c r="DJ3825">
        <v>0</v>
      </c>
      <c r="DK3825">
        <v>1</v>
      </c>
      <c r="DL3825">
        <v>0</v>
      </c>
      <c r="DM3825">
        <v>0</v>
      </c>
      <c r="DN3825">
        <v>1</v>
      </c>
      <c r="DO3825">
        <v>0</v>
      </c>
      <c r="DP3825">
        <v>0</v>
      </c>
      <c r="DQ3825">
        <v>0</v>
      </c>
      <c r="DR3825">
        <v>0</v>
      </c>
      <c r="DS3825">
        <v>0</v>
      </c>
    </row>
    <row r="3826" spans="1:123" x14ac:dyDescent="0.3">
      <c r="A3826" t="str">
        <f>"10/04/2022 19:35:50.684"</f>
        <v>10/04/2022 19:35:50.684</v>
      </c>
      <c r="C3826" t="str">
        <f t="shared" si="1406"/>
        <v>FFDFD3C0</v>
      </c>
      <c r="D3826" t="s">
        <v>147</v>
      </c>
      <c r="E3826">
        <v>3</v>
      </c>
      <c r="H3826">
        <v>166</v>
      </c>
      <c r="I3826" t="s">
        <v>144</v>
      </c>
      <c r="J3826" t="s">
        <v>148</v>
      </c>
      <c r="K3826">
        <v>0</v>
      </c>
      <c r="L3826">
        <v>3</v>
      </c>
      <c r="M3826">
        <v>0</v>
      </c>
      <c r="N3826">
        <v>2</v>
      </c>
      <c r="O3826">
        <v>0</v>
      </c>
      <c r="P3826">
        <v>1</v>
      </c>
      <c r="Q3826">
        <v>0</v>
      </c>
      <c r="S3826" t="str">
        <f t="shared" si="1407"/>
        <v>19:35:50.000</v>
      </c>
      <c r="T3826" t="str">
        <f t="shared" si="1407"/>
        <v>19:35:50.000</v>
      </c>
      <c r="U3826" t="str">
        <f t="shared" si="1391"/>
        <v>AC3944</v>
      </c>
      <c r="V3826">
        <v>0</v>
      </c>
      <c r="W3826">
        <v>0</v>
      </c>
      <c r="X3826">
        <v>2</v>
      </c>
      <c r="Y3826">
        <v>0</v>
      </c>
      <c r="AA3826">
        <v>1</v>
      </c>
      <c r="AB3826">
        <v>8</v>
      </c>
      <c r="AC3826">
        <v>3</v>
      </c>
      <c r="AD3826">
        <v>0</v>
      </c>
      <c r="AE3826">
        <v>9</v>
      </c>
      <c r="AF3826" t="s">
        <v>138</v>
      </c>
      <c r="AG3826">
        <v>0</v>
      </c>
      <c r="AH3826">
        <v>3</v>
      </c>
      <c r="AI3826">
        <v>1</v>
      </c>
      <c r="AJ3826">
        <v>0</v>
      </c>
      <c r="AK3826" t="s">
        <v>1223</v>
      </c>
      <c r="AL3826">
        <v>32.737648</v>
      </c>
      <c r="AM3826" t="s">
        <v>1239</v>
      </c>
      <c r="AN3826">
        <v>-116.701477</v>
      </c>
      <c r="AO3826">
        <v>25</v>
      </c>
      <c r="AP3826">
        <v>4700</v>
      </c>
      <c r="AQ3826" t="s">
        <v>129</v>
      </c>
      <c r="AR3826">
        <v>122</v>
      </c>
      <c r="AS3826">
        <v>-12</v>
      </c>
      <c r="AT3826">
        <v>704</v>
      </c>
      <c r="BB3826">
        <v>1200</v>
      </c>
      <c r="BC3826">
        <v>1</v>
      </c>
      <c r="BD3826" t="str">
        <f t="shared" si="1392"/>
        <v xml:space="preserve">N887QR  </v>
      </c>
      <c r="BE3826">
        <v>1</v>
      </c>
      <c r="BG3826">
        <v>0</v>
      </c>
      <c r="BH3826">
        <v>0</v>
      </c>
      <c r="BI3826">
        <v>0</v>
      </c>
      <c r="BJ3826">
        <v>4525</v>
      </c>
      <c r="BK3826">
        <v>-175</v>
      </c>
      <c r="BL3826" t="s">
        <v>163</v>
      </c>
      <c r="BM3826">
        <v>1</v>
      </c>
      <c r="BN3826">
        <v>1</v>
      </c>
      <c r="BO3826">
        <v>1</v>
      </c>
      <c r="BP3826">
        <v>0</v>
      </c>
      <c r="BS3826">
        <v>0</v>
      </c>
      <c r="BT3826">
        <v>0</v>
      </c>
      <c r="BU3826">
        <v>0</v>
      </c>
      <c r="CE3826" t="str">
        <f t="shared" si="1408"/>
        <v>19:35:50.381</v>
      </c>
      <c r="CF3826">
        <v>380895735</v>
      </c>
      <c r="CS3826">
        <v>0</v>
      </c>
      <c r="CT3826">
        <v>2</v>
      </c>
      <c r="CU3826">
        <v>0</v>
      </c>
      <c r="CV3826">
        <v>2</v>
      </c>
      <c r="CW3826">
        <v>0</v>
      </c>
      <c r="CX3826">
        <v>4</v>
      </c>
      <c r="CY3826">
        <v>7</v>
      </c>
      <c r="CZ3826" t="s">
        <v>131</v>
      </c>
      <c r="DA3826">
        <v>286</v>
      </c>
      <c r="DB3826">
        <v>0</v>
      </c>
      <c r="DC3826" t="s">
        <v>132</v>
      </c>
      <c r="DD3826" t="s">
        <v>133</v>
      </c>
      <c r="DG3826">
        <v>892475</v>
      </c>
      <c r="DI3826">
        <v>1</v>
      </c>
      <c r="DJ3826">
        <v>0</v>
      </c>
      <c r="DK3826">
        <v>1</v>
      </c>
      <c r="DL3826">
        <v>0</v>
      </c>
      <c r="DM3826">
        <v>0</v>
      </c>
      <c r="DN3826">
        <v>1</v>
      </c>
      <c r="DO3826">
        <v>0</v>
      </c>
      <c r="DP3826">
        <v>0</v>
      </c>
      <c r="DQ3826">
        <v>0</v>
      </c>
      <c r="DR3826">
        <v>0</v>
      </c>
      <c r="DS3826">
        <v>0</v>
      </c>
    </row>
    <row r="3827" spans="1:123" x14ac:dyDescent="0.3">
      <c r="A3827" t="str">
        <f>"10/04/2022 19:35:50.684"</f>
        <v>10/04/2022 19:35:50.684</v>
      </c>
      <c r="C3827" t="str">
        <f t="shared" si="1406"/>
        <v>FFDFD3C0</v>
      </c>
      <c r="D3827" t="s">
        <v>143</v>
      </c>
      <c r="E3827">
        <v>20</v>
      </c>
      <c r="F3827">
        <v>1020</v>
      </c>
      <c r="G3827" t="s">
        <v>144</v>
      </c>
      <c r="J3827" t="s">
        <v>145</v>
      </c>
      <c r="K3827">
        <v>0</v>
      </c>
      <c r="L3827">
        <v>3</v>
      </c>
      <c r="M3827">
        <v>0</v>
      </c>
      <c r="N3827">
        <v>2</v>
      </c>
      <c r="O3827">
        <v>0</v>
      </c>
      <c r="P3827">
        <v>1</v>
      </c>
      <c r="Q3827">
        <v>0</v>
      </c>
      <c r="S3827" t="str">
        <f t="shared" si="1407"/>
        <v>19:35:50.000</v>
      </c>
      <c r="T3827" t="str">
        <f t="shared" si="1407"/>
        <v>19:35:50.000</v>
      </c>
      <c r="U3827" t="str">
        <f t="shared" si="1391"/>
        <v>AC3944</v>
      </c>
      <c r="V3827">
        <v>0</v>
      </c>
      <c r="W3827">
        <v>0</v>
      </c>
      <c r="X3827">
        <v>2</v>
      </c>
      <c r="Y3827">
        <v>0</v>
      </c>
      <c r="AA3827">
        <v>1</v>
      </c>
      <c r="AB3827">
        <v>8</v>
      </c>
      <c r="AC3827">
        <v>3</v>
      </c>
      <c r="AD3827">
        <v>0</v>
      </c>
      <c r="AE3827">
        <v>9</v>
      </c>
      <c r="AF3827" t="s">
        <v>138</v>
      </c>
      <c r="AG3827">
        <v>0</v>
      </c>
      <c r="AH3827">
        <v>3</v>
      </c>
      <c r="AI3827">
        <v>1</v>
      </c>
      <c r="AJ3827">
        <v>0</v>
      </c>
      <c r="AK3827" t="s">
        <v>1223</v>
      </c>
      <c r="AL3827">
        <v>32.737648</v>
      </c>
      <c r="AM3827" t="s">
        <v>1239</v>
      </c>
      <c r="AN3827">
        <v>-116.701477</v>
      </c>
      <c r="AO3827">
        <v>25</v>
      </c>
      <c r="AP3827">
        <v>4700</v>
      </c>
      <c r="AQ3827" t="s">
        <v>129</v>
      </c>
      <c r="AR3827">
        <v>122</v>
      </c>
      <c r="AS3827">
        <v>-12</v>
      </c>
      <c r="AT3827">
        <v>704</v>
      </c>
      <c r="BB3827">
        <v>1200</v>
      </c>
      <c r="BC3827">
        <v>1</v>
      </c>
      <c r="BD3827" t="str">
        <f t="shared" si="1392"/>
        <v xml:space="preserve">N887QR  </v>
      </c>
      <c r="BE3827">
        <v>1</v>
      </c>
      <c r="BG3827">
        <v>0</v>
      </c>
      <c r="BH3827">
        <v>0</v>
      </c>
      <c r="BI3827">
        <v>0</v>
      </c>
      <c r="BJ3827">
        <v>4525</v>
      </c>
      <c r="BK3827">
        <v>-175</v>
      </c>
      <c r="BL3827" t="s">
        <v>163</v>
      </c>
      <c r="BM3827">
        <v>1</v>
      </c>
      <c r="BN3827">
        <v>1</v>
      </c>
      <c r="BO3827">
        <v>1</v>
      </c>
      <c r="BP3827">
        <v>0</v>
      </c>
      <c r="BS3827">
        <v>0</v>
      </c>
      <c r="BT3827">
        <v>0</v>
      </c>
      <c r="BU3827">
        <v>0</v>
      </c>
      <c r="CE3827" t="str">
        <f t="shared" si="1408"/>
        <v>19:35:50.381</v>
      </c>
      <c r="CF3827">
        <v>380895735</v>
      </c>
      <c r="CS3827">
        <v>0</v>
      </c>
      <c r="CT3827">
        <v>2</v>
      </c>
      <c r="CU3827">
        <v>0</v>
      </c>
      <c r="CV3827">
        <v>2</v>
      </c>
      <c r="CW3827">
        <v>0</v>
      </c>
      <c r="CX3827">
        <v>4</v>
      </c>
      <c r="CY3827">
        <v>7</v>
      </c>
      <c r="CZ3827" t="s">
        <v>131</v>
      </c>
      <c r="DA3827">
        <v>286</v>
      </c>
      <c r="DB3827">
        <v>0</v>
      </c>
      <c r="DC3827" t="s">
        <v>132</v>
      </c>
      <c r="DD3827" t="s">
        <v>133</v>
      </c>
      <c r="DG3827">
        <v>892475</v>
      </c>
      <c r="DI3827">
        <v>1</v>
      </c>
      <c r="DJ3827">
        <v>0</v>
      </c>
      <c r="DK3827">
        <v>1</v>
      </c>
      <c r="DL3827">
        <v>0</v>
      </c>
      <c r="DM3827">
        <v>0</v>
      </c>
      <c r="DN3827">
        <v>1</v>
      </c>
      <c r="DO3827">
        <v>0</v>
      </c>
      <c r="DP3827">
        <v>0</v>
      </c>
      <c r="DQ3827">
        <v>0</v>
      </c>
      <c r="DR3827">
        <v>0</v>
      </c>
      <c r="DS3827">
        <v>0</v>
      </c>
    </row>
    <row r="3828" spans="1:123" x14ac:dyDescent="0.3">
      <c r="A3828" t="str">
        <f>"10/04/2022 19:35:50.684"</f>
        <v>10/04/2022 19:35:50.684</v>
      </c>
      <c r="C3828" t="str">
        <f t="shared" si="1406"/>
        <v>FFDFD3C0</v>
      </c>
      <c r="D3828" t="s">
        <v>134</v>
      </c>
      <c r="E3828">
        <v>15</v>
      </c>
      <c r="J3828" t="s">
        <v>135</v>
      </c>
      <c r="K3828">
        <v>0</v>
      </c>
      <c r="L3828">
        <v>3</v>
      </c>
      <c r="M3828">
        <v>0</v>
      </c>
      <c r="N3828">
        <v>2</v>
      </c>
      <c r="O3828">
        <v>0</v>
      </c>
      <c r="P3828">
        <v>1</v>
      </c>
      <c r="Q3828">
        <v>0</v>
      </c>
      <c r="S3828" t="str">
        <f t="shared" si="1407"/>
        <v>19:35:50.000</v>
      </c>
      <c r="T3828" t="str">
        <f t="shared" si="1407"/>
        <v>19:35:50.000</v>
      </c>
      <c r="U3828" t="str">
        <f t="shared" si="1391"/>
        <v>AC3944</v>
      </c>
      <c r="V3828">
        <v>0</v>
      </c>
      <c r="W3828">
        <v>0</v>
      </c>
      <c r="X3828">
        <v>2</v>
      </c>
      <c r="Y3828">
        <v>0</v>
      </c>
      <c r="AA3828">
        <v>1</v>
      </c>
      <c r="AB3828">
        <v>8</v>
      </c>
      <c r="AC3828">
        <v>3</v>
      </c>
      <c r="AD3828">
        <v>0</v>
      </c>
      <c r="AE3828">
        <v>9</v>
      </c>
      <c r="AF3828" t="s">
        <v>138</v>
      </c>
      <c r="AG3828">
        <v>0</v>
      </c>
      <c r="AH3828">
        <v>3</v>
      </c>
      <c r="AI3828">
        <v>1</v>
      </c>
      <c r="AJ3828">
        <v>0</v>
      </c>
      <c r="AK3828" t="s">
        <v>1223</v>
      </c>
      <c r="AL3828">
        <v>32.737648</v>
      </c>
      <c r="AM3828" t="s">
        <v>1239</v>
      </c>
      <c r="AN3828">
        <v>-116.701477</v>
      </c>
      <c r="AO3828">
        <v>25</v>
      </c>
      <c r="AP3828">
        <v>4700</v>
      </c>
      <c r="AQ3828" t="s">
        <v>129</v>
      </c>
      <c r="AR3828">
        <v>122</v>
      </c>
      <c r="AS3828">
        <v>-12</v>
      </c>
      <c r="AT3828">
        <v>704</v>
      </c>
      <c r="BB3828">
        <v>1200</v>
      </c>
      <c r="BC3828">
        <v>1</v>
      </c>
      <c r="BD3828" t="str">
        <f t="shared" si="1392"/>
        <v xml:space="preserve">N887QR  </v>
      </c>
      <c r="BE3828">
        <v>1</v>
      </c>
      <c r="BG3828">
        <v>0</v>
      </c>
      <c r="BH3828">
        <v>0</v>
      </c>
      <c r="BI3828">
        <v>0</v>
      </c>
      <c r="BJ3828">
        <v>4525</v>
      </c>
      <c r="BK3828">
        <v>-175</v>
      </c>
      <c r="BL3828" t="s">
        <v>163</v>
      </c>
      <c r="BM3828">
        <v>1</v>
      </c>
      <c r="BN3828">
        <v>1</v>
      </c>
      <c r="BO3828">
        <v>1</v>
      </c>
      <c r="BP3828">
        <v>0</v>
      </c>
      <c r="BS3828">
        <v>0</v>
      </c>
      <c r="BT3828">
        <v>0</v>
      </c>
      <c r="BU3828">
        <v>0</v>
      </c>
      <c r="CE3828" t="str">
        <f t="shared" si="1408"/>
        <v>19:35:50.381</v>
      </c>
      <c r="CF3828">
        <v>380895735</v>
      </c>
      <c r="CS3828">
        <v>0</v>
      </c>
      <c r="CT3828">
        <v>2</v>
      </c>
      <c r="CU3828">
        <v>0</v>
      </c>
      <c r="CV3828">
        <v>2</v>
      </c>
      <c r="CW3828">
        <v>0</v>
      </c>
      <c r="CX3828">
        <v>4</v>
      </c>
      <c r="CY3828">
        <v>7</v>
      </c>
      <c r="CZ3828" t="s">
        <v>131</v>
      </c>
      <c r="DA3828">
        <v>286</v>
      </c>
      <c r="DB3828">
        <v>0</v>
      </c>
      <c r="DC3828" t="s">
        <v>132</v>
      </c>
      <c r="DD3828" t="s">
        <v>133</v>
      </c>
      <c r="DG3828">
        <v>892475</v>
      </c>
      <c r="DI3828">
        <v>1</v>
      </c>
      <c r="DJ3828">
        <v>0</v>
      </c>
      <c r="DK3828">
        <v>1</v>
      </c>
      <c r="DL3828">
        <v>0</v>
      </c>
      <c r="DM3828">
        <v>0</v>
      </c>
      <c r="DN3828">
        <v>1</v>
      </c>
      <c r="DO3828">
        <v>0</v>
      </c>
      <c r="DP3828">
        <v>0</v>
      </c>
      <c r="DQ3828">
        <v>0</v>
      </c>
      <c r="DR3828">
        <v>0</v>
      </c>
      <c r="DS3828">
        <v>0</v>
      </c>
    </row>
    <row r="3829" spans="1:123" x14ac:dyDescent="0.3">
      <c r="A3829" t="str">
        <f>"10/04/2022 19:35:51.495"</f>
        <v>10/04/2022 19:35:51.495</v>
      </c>
      <c r="C3829" t="str">
        <f t="shared" si="1406"/>
        <v>FFDFD3C0</v>
      </c>
      <c r="D3829" t="s">
        <v>141</v>
      </c>
      <c r="E3829">
        <v>4</v>
      </c>
      <c r="H3829">
        <v>4</v>
      </c>
      <c r="I3829" t="s">
        <v>142</v>
      </c>
      <c r="J3829" t="s">
        <v>138</v>
      </c>
      <c r="K3829">
        <v>0</v>
      </c>
      <c r="L3829">
        <v>3</v>
      </c>
      <c r="M3829">
        <v>0</v>
      </c>
      <c r="N3829">
        <v>2</v>
      </c>
      <c r="O3829">
        <v>0</v>
      </c>
      <c r="P3829">
        <v>1</v>
      </c>
      <c r="Q3829">
        <v>0</v>
      </c>
      <c r="S3829" t="str">
        <f t="shared" ref="S3829:T3835" si="1409">"19:35:51.000"</f>
        <v>19:35:51.000</v>
      </c>
      <c r="T3829" t="str">
        <f t="shared" si="1409"/>
        <v>19:35:51.000</v>
      </c>
      <c r="U3829" t="str">
        <f t="shared" si="1391"/>
        <v>AC3944</v>
      </c>
      <c r="V3829">
        <v>0</v>
      </c>
      <c r="W3829">
        <v>0</v>
      </c>
      <c r="X3829">
        <v>2</v>
      </c>
      <c r="Y3829">
        <v>0</v>
      </c>
      <c r="AA3829">
        <v>1</v>
      </c>
      <c r="AB3829">
        <v>8</v>
      </c>
      <c r="AC3829">
        <v>3</v>
      </c>
      <c r="AD3829">
        <v>0</v>
      </c>
      <c r="AE3829">
        <v>9</v>
      </c>
      <c r="AF3829" t="s">
        <v>138</v>
      </c>
      <c r="AG3829">
        <v>0</v>
      </c>
      <c r="AH3829">
        <v>3</v>
      </c>
      <c r="AI3829">
        <v>1</v>
      </c>
      <c r="AJ3829">
        <v>0</v>
      </c>
      <c r="AK3829" t="s">
        <v>1240</v>
      </c>
      <c r="AL3829">
        <v>32.737583999999998</v>
      </c>
      <c r="AM3829" t="s">
        <v>1241</v>
      </c>
      <c r="AN3829">
        <v>-116.700811</v>
      </c>
      <c r="AO3829">
        <v>25</v>
      </c>
      <c r="AP3829">
        <v>4700</v>
      </c>
      <c r="AQ3829" t="s">
        <v>129</v>
      </c>
      <c r="AR3829">
        <v>121</v>
      </c>
      <c r="AS3829">
        <v>-13</v>
      </c>
      <c r="AT3829">
        <v>704</v>
      </c>
      <c r="BB3829">
        <v>1200</v>
      </c>
      <c r="BC3829">
        <v>1</v>
      </c>
      <c r="BD3829" t="str">
        <f t="shared" si="1392"/>
        <v xml:space="preserve">N887QR  </v>
      </c>
      <c r="BE3829">
        <v>1</v>
      </c>
      <c r="BG3829">
        <v>0</v>
      </c>
      <c r="BH3829">
        <v>0</v>
      </c>
      <c r="BI3829">
        <v>0</v>
      </c>
      <c r="BJ3829">
        <v>4550</v>
      </c>
      <c r="BK3829">
        <v>-150</v>
      </c>
      <c r="BL3829" t="s">
        <v>163</v>
      </c>
      <c r="BM3829">
        <v>1</v>
      </c>
      <c r="BN3829">
        <v>1</v>
      </c>
      <c r="BO3829">
        <v>1</v>
      </c>
      <c r="BP3829">
        <v>0</v>
      </c>
      <c r="BS3829">
        <v>0</v>
      </c>
      <c r="BT3829">
        <v>0</v>
      </c>
      <c r="BU3829">
        <v>0</v>
      </c>
      <c r="CE3829" t="str">
        <f t="shared" ref="CE3829:CE3835" si="1410">"19:35:51.273"</f>
        <v>19:35:51.273</v>
      </c>
      <c r="CF3829">
        <v>273460278</v>
      </c>
      <c r="CS3829">
        <v>0</v>
      </c>
      <c r="CT3829">
        <v>2</v>
      </c>
      <c r="CU3829">
        <v>0</v>
      </c>
      <c r="CV3829">
        <v>2</v>
      </c>
      <c r="CW3829">
        <v>0</v>
      </c>
      <c r="CX3829">
        <v>4</v>
      </c>
      <c r="CY3829">
        <v>7</v>
      </c>
      <c r="CZ3829" t="s">
        <v>131</v>
      </c>
      <c r="DA3829">
        <v>300</v>
      </c>
      <c r="DB3829">
        <v>0</v>
      </c>
      <c r="DC3829" t="s">
        <v>176</v>
      </c>
      <c r="DD3829" t="s">
        <v>177</v>
      </c>
      <c r="DG3829">
        <v>5448678</v>
      </c>
      <c r="DI3829">
        <v>1</v>
      </c>
      <c r="DJ3829">
        <v>0</v>
      </c>
      <c r="DK3829">
        <v>0</v>
      </c>
      <c r="DL3829">
        <v>0</v>
      </c>
      <c r="DM3829">
        <v>0</v>
      </c>
      <c r="DN3829">
        <v>1</v>
      </c>
      <c r="DO3829">
        <v>0</v>
      </c>
      <c r="DP3829">
        <v>0</v>
      </c>
      <c r="DQ3829">
        <v>0</v>
      </c>
      <c r="DR3829">
        <v>0</v>
      </c>
      <c r="DS3829">
        <v>0</v>
      </c>
    </row>
    <row r="3830" spans="1:123" x14ac:dyDescent="0.3">
      <c r="A3830" t="str">
        <f>"10/04/2022 19:35:51.511"</f>
        <v>10/04/2022 19:35:51.511</v>
      </c>
      <c r="C3830" t="str">
        <f t="shared" si="1406"/>
        <v>FFDFD3C0</v>
      </c>
      <c r="D3830" t="s">
        <v>147</v>
      </c>
      <c r="E3830">
        <v>3</v>
      </c>
      <c r="H3830">
        <v>166</v>
      </c>
      <c r="I3830" t="s">
        <v>144</v>
      </c>
      <c r="J3830" t="s">
        <v>148</v>
      </c>
      <c r="K3830">
        <v>0</v>
      </c>
      <c r="L3830">
        <v>3</v>
      </c>
      <c r="M3830">
        <v>0</v>
      </c>
      <c r="N3830">
        <v>2</v>
      </c>
      <c r="O3830">
        <v>0</v>
      </c>
      <c r="P3830">
        <v>1</v>
      </c>
      <c r="Q3830">
        <v>0</v>
      </c>
      <c r="S3830" t="str">
        <f t="shared" si="1409"/>
        <v>19:35:51.000</v>
      </c>
      <c r="T3830" t="str">
        <f t="shared" si="1409"/>
        <v>19:35:51.000</v>
      </c>
      <c r="U3830" t="str">
        <f t="shared" si="1391"/>
        <v>AC3944</v>
      </c>
      <c r="V3830">
        <v>0</v>
      </c>
      <c r="W3830">
        <v>0</v>
      </c>
      <c r="X3830">
        <v>2</v>
      </c>
      <c r="Y3830">
        <v>0</v>
      </c>
      <c r="AA3830">
        <v>1</v>
      </c>
      <c r="AB3830">
        <v>8</v>
      </c>
      <c r="AC3830">
        <v>3</v>
      </c>
      <c r="AD3830">
        <v>0</v>
      </c>
      <c r="AE3830">
        <v>9</v>
      </c>
      <c r="AF3830" t="s">
        <v>138</v>
      </c>
      <c r="AG3830">
        <v>0</v>
      </c>
      <c r="AH3830">
        <v>3</v>
      </c>
      <c r="AI3830">
        <v>1</v>
      </c>
      <c r="AJ3830">
        <v>0</v>
      </c>
      <c r="AK3830" t="s">
        <v>1240</v>
      </c>
      <c r="AL3830">
        <v>32.737583999999998</v>
      </c>
      <c r="AM3830" t="s">
        <v>1241</v>
      </c>
      <c r="AN3830">
        <v>-116.700811</v>
      </c>
      <c r="AO3830">
        <v>25</v>
      </c>
      <c r="AP3830">
        <v>4700</v>
      </c>
      <c r="AQ3830" t="s">
        <v>129</v>
      </c>
      <c r="AR3830">
        <v>121</v>
      </c>
      <c r="AS3830">
        <v>-13</v>
      </c>
      <c r="AT3830">
        <v>704</v>
      </c>
      <c r="BB3830">
        <v>1200</v>
      </c>
      <c r="BC3830">
        <v>1</v>
      </c>
      <c r="BD3830" t="str">
        <f t="shared" si="1392"/>
        <v xml:space="preserve">N887QR  </v>
      </c>
      <c r="BE3830">
        <v>1</v>
      </c>
      <c r="BG3830">
        <v>0</v>
      </c>
      <c r="BH3830">
        <v>0</v>
      </c>
      <c r="BI3830">
        <v>0</v>
      </c>
      <c r="BJ3830">
        <v>4550</v>
      </c>
      <c r="BK3830">
        <v>-150</v>
      </c>
      <c r="BL3830" t="s">
        <v>163</v>
      </c>
      <c r="BM3830">
        <v>1</v>
      </c>
      <c r="BN3830">
        <v>1</v>
      </c>
      <c r="BO3830">
        <v>1</v>
      </c>
      <c r="BP3830">
        <v>0</v>
      </c>
      <c r="BS3830">
        <v>0</v>
      </c>
      <c r="BT3830">
        <v>0</v>
      </c>
      <c r="BU3830">
        <v>0</v>
      </c>
      <c r="CE3830" t="str">
        <f t="shared" si="1410"/>
        <v>19:35:51.273</v>
      </c>
      <c r="CF3830">
        <v>273460278</v>
      </c>
      <c r="CS3830">
        <v>0</v>
      </c>
      <c r="CT3830">
        <v>2</v>
      </c>
      <c r="CU3830">
        <v>0</v>
      </c>
      <c r="CV3830">
        <v>2</v>
      </c>
      <c r="CW3830">
        <v>0</v>
      </c>
      <c r="CX3830">
        <v>4</v>
      </c>
      <c r="CY3830">
        <v>7</v>
      </c>
      <c r="CZ3830" t="s">
        <v>131</v>
      </c>
      <c r="DA3830">
        <v>300</v>
      </c>
      <c r="DB3830">
        <v>0</v>
      </c>
      <c r="DC3830" t="s">
        <v>176</v>
      </c>
      <c r="DD3830" t="s">
        <v>177</v>
      </c>
      <c r="DG3830">
        <v>5448678</v>
      </c>
      <c r="DI3830">
        <v>1</v>
      </c>
      <c r="DJ3830">
        <v>0</v>
      </c>
      <c r="DK3830">
        <v>1</v>
      </c>
      <c r="DL3830">
        <v>0</v>
      </c>
      <c r="DM3830">
        <v>0</v>
      </c>
      <c r="DN3830">
        <v>1</v>
      </c>
      <c r="DO3830">
        <v>0</v>
      </c>
      <c r="DP3830">
        <v>0</v>
      </c>
      <c r="DQ3830">
        <v>0</v>
      </c>
      <c r="DR3830">
        <v>0</v>
      </c>
      <c r="DS3830">
        <v>0</v>
      </c>
    </row>
    <row r="3831" spans="1:123" x14ac:dyDescent="0.3">
      <c r="A3831" t="str">
        <f>"10/04/2022 19:35:51.511"</f>
        <v>10/04/2022 19:35:51.511</v>
      </c>
      <c r="C3831" t="str">
        <f t="shared" si="1406"/>
        <v>FFDFD3C0</v>
      </c>
      <c r="D3831" t="s">
        <v>136</v>
      </c>
      <c r="E3831">
        <v>8</v>
      </c>
      <c r="H3831">
        <v>225</v>
      </c>
      <c r="I3831" t="s">
        <v>137</v>
      </c>
      <c r="J3831" t="s">
        <v>138</v>
      </c>
      <c r="K3831">
        <v>0</v>
      </c>
      <c r="L3831">
        <v>3</v>
      </c>
      <c r="M3831">
        <v>0</v>
      </c>
      <c r="N3831">
        <v>2</v>
      </c>
      <c r="O3831">
        <v>0</v>
      </c>
      <c r="P3831">
        <v>1</v>
      </c>
      <c r="Q3831">
        <v>0</v>
      </c>
      <c r="S3831" t="str">
        <f t="shared" si="1409"/>
        <v>19:35:51.000</v>
      </c>
      <c r="T3831" t="str">
        <f t="shared" si="1409"/>
        <v>19:35:51.000</v>
      </c>
      <c r="U3831" t="str">
        <f t="shared" si="1391"/>
        <v>AC3944</v>
      </c>
      <c r="V3831">
        <v>0</v>
      </c>
      <c r="W3831">
        <v>0</v>
      </c>
      <c r="X3831">
        <v>2</v>
      </c>
      <c r="Y3831">
        <v>0</v>
      </c>
      <c r="AA3831">
        <v>1</v>
      </c>
      <c r="AB3831">
        <v>8</v>
      </c>
      <c r="AC3831">
        <v>3</v>
      </c>
      <c r="AD3831">
        <v>0</v>
      </c>
      <c r="AE3831">
        <v>9</v>
      </c>
      <c r="AF3831" t="s">
        <v>138</v>
      </c>
      <c r="AG3831">
        <v>0</v>
      </c>
      <c r="AH3831">
        <v>3</v>
      </c>
      <c r="AI3831">
        <v>1</v>
      </c>
      <c r="AJ3831">
        <v>0</v>
      </c>
      <c r="AK3831" t="s">
        <v>1240</v>
      </c>
      <c r="AL3831">
        <v>32.737583999999998</v>
      </c>
      <c r="AM3831" t="s">
        <v>1241</v>
      </c>
      <c r="AN3831">
        <v>-116.700811</v>
      </c>
      <c r="AO3831">
        <v>25</v>
      </c>
      <c r="AP3831">
        <v>4700</v>
      </c>
      <c r="AQ3831" t="s">
        <v>129</v>
      </c>
      <c r="AR3831">
        <v>121</v>
      </c>
      <c r="AS3831">
        <v>-13</v>
      </c>
      <c r="AT3831">
        <v>704</v>
      </c>
      <c r="BB3831">
        <v>1200</v>
      </c>
      <c r="BC3831">
        <v>1</v>
      </c>
      <c r="BD3831" t="str">
        <f t="shared" si="1392"/>
        <v xml:space="preserve">N887QR  </v>
      </c>
      <c r="BE3831">
        <v>1</v>
      </c>
      <c r="BG3831">
        <v>0</v>
      </c>
      <c r="BH3831">
        <v>0</v>
      </c>
      <c r="BI3831">
        <v>0</v>
      </c>
      <c r="BJ3831">
        <v>4550</v>
      </c>
      <c r="BK3831">
        <v>-150</v>
      </c>
      <c r="BL3831" t="s">
        <v>163</v>
      </c>
      <c r="BM3831">
        <v>1</v>
      </c>
      <c r="BN3831">
        <v>1</v>
      </c>
      <c r="BO3831">
        <v>1</v>
      </c>
      <c r="BP3831">
        <v>0</v>
      </c>
      <c r="BS3831">
        <v>0</v>
      </c>
      <c r="BT3831">
        <v>0</v>
      </c>
      <c r="BU3831">
        <v>0</v>
      </c>
      <c r="CE3831" t="str">
        <f t="shared" si="1410"/>
        <v>19:35:51.273</v>
      </c>
      <c r="CF3831">
        <v>273460278</v>
      </c>
      <c r="CS3831">
        <v>0</v>
      </c>
      <c r="CT3831">
        <v>2</v>
      </c>
      <c r="CU3831">
        <v>0</v>
      </c>
      <c r="CV3831">
        <v>2</v>
      </c>
      <c r="CW3831">
        <v>0</v>
      </c>
      <c r="CX3831">
        <v>4</v>
      </c>
      <c r="CY3831">
        <v>7</v>
      </c>
      <c r="CZ3831" t="s">
        <v>131</v>
      </c>
      <c r="DA3831">
        <v>300</v>
      </c>
      <c r="DB3831">
        <v>0</v>
      </c>
      <c r="DC3831" t="s">
        <v>176</v>
      </c>
      <c r="DD3831" t="s">
        <v>177</v>
      </c>
      <c r="DG3831">
        <v>5448678</v>
      </c>
      <c r="DI3831">
        <v>1</v>
      </c>
      <c r="DJ3831">
        <v>0</v>
      </c>
      <c r="DK3831">
        <v>1</v>
      </c>
      <c r="DL3831">
        <v>0</v>
      </c>
      <c r="DM3831">
        <v>0</v>
      </c>
      <c r="DN3831">
        <v>1</v>
      </c>
      <c r="DO3831">
        <v>0</v>
      </c>
      <c r="DP3831">
        <v>0</v>
      </c>
      <c r="DQ3831">
        <v>0</v>
      </c>
      <c r="DR3831">
        <v>0</v>
      </c>
      <c r="DS3831">
        <v>0</v>
      </c>
    </row>
    <row r="3832" spans="1:123" x14ac:dyDescent="0.3">
      <c r="A3832" t="str">
        <f>"10/04/2022 19:35:51.511"</f>
        <v>10/04/2022 19:35:51.511</v>
      </c>
      <c r="C3832" t="str">
        <f t="shared" si="1406"/>
        <v>FFDFD3C0</v>
      </c>
      <c r="D3832" t="s">
        <v>143</v>
      </c>
      <c r="E3832">
        <v>20</v>
      </c>
      <c r="F3832">
        <v>1020</v>
      </c>
      <c r="G3832" t="s">
        <v>144</v>
      </c>
      <c r="J3832" t="s">
        <v>145</v>
      </c>
      <c r="K3832">
        <v>0</v>
      </c>
      <c r="L3832">
        <v>3</v>
      </c>
      <c r="M3832">
        <v>0</v>
      </c>
      <c r="N3832">
        <v>2</v>
      </c>
      <c r="O3832">
        <v>0</v>
      </c>
      <c r="P3832">
        <v>1</v>
      </c>
      <c r="Q3832">
        <v>0</v>
      </c>
      <c r="S3832" t="str">
        <f t="shared" si="1409"/>
        <v>19:35:51.000</v>
      </c>
      <c r="T3832" t="str">
        <f t="shared" si="1409"/>
        <v>19:35:51.000</v>
      </c>
      <c r="U3832" t="str">
        <f t="shared" si="1391"/>
        <v>AC3944</v>
      </c>
      <c r="V3832">
        <v>0</v>
      </c>
      <c r="W3832">
        <v>0</v>
      </c>
      <c r="X3832">
        <v>2</v>
      </c>
      <c r="Y3832">
        <v>0</v>
      </c>
      <c r="AA3832">
        <v>1</v>
      </c>
      <c r="AB3832">
        <v>8</v>
      </c>
      <c r="AC3832">
        <v>3</v>
      </c>
      <c r="AD3832">
        <v>0</v>
      </c>
      <c r="AE3832">
        <v>9</v>
      </c>
      <c r="AF3832" t="s">
        <v>138</v>
      </c>
      <c r="AG3832">
        <v>0</v>
      </c>
      <c r="AH3832">
        <v>3</v>
      </c>
      <c r="AI3832">
        <v>1</v>
      </c>
      <c r="AJ3832">
        <v>0</v>
      </c>
      <c r="AK3832" t="s">
        <v>1240</v>
      </c>
      <c r="AL3832">
        <v>32.737583999999998</v>
      </c>
      <c r="AM3832" t="s">
        <v>1241</v>
      </c>
      <c r="AN3832">
        <v>-116.700811</v>
      </c>
      <c r="AO3832">
        <v>25</v>
      </c>
      <c r="AP3832">
        <v>4700</v>
      </c>
      <c r="AQ3832" t="s">
        <v>129</v>
      </c>
      <c r="AR3832">
        <v>121</v>
      </c>
      <c r="AS3832">
        <v>-13</v>
      </c>
      <c r="AT3832">
        <v>704</v>
      </c>
      <c r="BB3832">
        <v>1200</v>
      </c>
      <c r="BC3832">
        <v>1</v>
      </c>
      <c r="BD3832" t="str">
        <f t="shared" si="1392"/>
        <v xml:space="preserve">N887QR  </v>
      </c>
      <c r="BE3832">
        <v>1</v>
      </c>
      <c r="BG3832">
        <v>0</v>
      </c>
      <c r="BH3832">
        <v>0</v>
      </c>
      <c r="BI3832">
        <v>0</v>
      </c>
      <c r="BJ3832">
        <v>4550</v>
      </c>
      <c r="BK3832">
        <v>-150</v>
      </c>
      <c r="BL3832" t="s">
        <v>163</v>
      </c>
      <c r="BM3832">
        <v>1</v>
      </c>
      <c r="BN3832">
        <v>1</v>
      </c>
      <c r="BO3832">
        <v>1</v>
      </c>
      <c r="BP3832">
        <v>0</v>
      </c>
      <c r="BS3832">
        <v>0</v>
      </c>
      <c r="BT3832">
        <v>0</v>
      </c>
      <c r="BU3832">
        <v>0</v>
      </c>
      <c r="CE3832" t="str">
        <f t="shared" si="1410"/>
        <v>19:35:51.273</v>
      </c>
      <c r="CF3832">
        <v>273460278</v>
      </c>
      <c r="CS3832">
        <v>0</v>
      </c>
      <c r="CT3832">
        <v>2</v>
      </c>
      <c r="CU3832">
        <v>0</v>
      </c>
      <c r="CV3832">
        <v>2</v>
      </c>
      <c r="CW3832">
        <v>0</v>
      </c>
      <c r="CX3832">
        <v>4</v>
      </c>
      <c r="CY3832">
        <v>7</v>
      </c>
      <c r="CZ3832" t="s">
        <v>131</v>
      </c>
      <c r="DA3832">
        <v>300</v>
      </c>
      <c r="DB3832">
        <v>0</v>
      </c>
      <c r="DC3832" t="s">
        <v>176</v>
      </c>
      <c r="DD3832" t="s">
        <v>177</v>
      </c>
      <c r="DG3832">
        <v>5448678</v>
      </c>
      <c r="DI3832">
        <v>1</v>
      </c>
      <c r="DJ3832">
        <v>0</v>
      </c>
      <c r="DK3832">
        <v>1</v>
      </c>
      <c r="DL3832">
        <v>0</v>
      </c>
      <c r="DM3832">
        <v>0</v>
      </c>
      <c r="DN3832">
        <v>1</v>
      </c>
      <c r="DO3832">
        <v>0</v>
      </c>
      <c r="DP3832">
        <v>0</v>
      </c>
      <c r="DQ3832">
        <v>0</v>
      </c>
      <c r="DR3832">
        <v>0</v>
      </c>
      <c r="DS3832">
        <v>0</v>
      </c>
    </row>
    <row r="3833" spans="1:123" x14ac:dyDescent="0.3">
      <c r="A3833" t="str">
        <f>"10/04/2022 19:35:51.589"</f>
        <v>10/04/2022 19:35:51.589</v>
      </c>
      <c r="C3833" t="str">
        <f t="shared" si="1406"/>
        <v>FFDFD3C0</v>
      </c>
      <c r="D3833" t="s">
        <v>123</v>
      </c>
      <c r="E3833">
        <v>7</v>
      </c>
      <c r="F3833">
        <v>2007</v>
      </c>
      <c r="G3833" t="s">
        <v>124</v>
      </c>
      <c r="J3833" t="s">
        <v>125</v>
      </c>
      <c r="K3833">
        <v>0</v>
      </c>
      <c r="L3833">
        <v>3</v>
      </c>
      <c r="M3833">
        <v>0</v>
      </c>
      <c r="N3833">
        <v>2</v>
      </c>
      <c r="O3833">
        <v>0</v>
      </c>
      <c r="P3833">
        <v>1</v>
      </c>
      <c r="Q3833">
        <v>0</v>
      </c>
      <c r="S3833" t="str">
        <f t="shared" si="1409"/>
        <v>19:35:51.000</v>
      </c>
      <c r="T3833" t="str">
        <f t="shared" si="1409"/>
        <v>19:35:51.000</v>
      </c>
      <c r="U3833" t="str">
        <f t="shared" si="1391"/>
        <v>AC3944</v>
      </c>
      <c r="V3833">
        <v>0</v>
      </c>
      <c r="W3833">
        <v>0</v>
      </c>
      <c r="X3833">
        <v>2</v>
      </c>
      <c r="Y3833">
        <v>0</v>
      </c>
      <c r="AA3833">
        <v>1</v>
      </c>
      <c r="AB3833">
        <v>8</v>
      </c>
      <c r="AC3833">
        <v>3</v>
      </c>
      <c r="AD3833">
        <v>0</v>
      </c>
      <c r="AE3833">
        <v>9</v>
      </c>
      <c r="AF3833" t="s">
        <v>138</v>
      </c>
      <c r="AG3833">
        <v>0</v>
      </c>
      <c r="AH3833">
        <v>3</v>
      </c>
      <c r="AI3833">
        <v>1</v>
      </c>
      <c r="AJ3833">
        <v>0</v>
      </c>
      <c r="AK3833" t="s">
        <v>1240</v>
      </c>
      <c r="AL3833">
        <v>32.737583999999998</v>
      </c>
      <c r="AM3833" t="s">
        <v>1241</v>
      </c>
      <c r="AN3833">
        <v>-116.700811</v>
      </c>
      <c r="AO3833">
        <v>25</v>
      </c>
      <c r="AP3833">
        <v>4700</v>
      </c>
      <c r="AQ3833" t="s">
        <v>129</v>
      </c>
      <c r="AR3833">
        <v>121</v>
      </c>
      <c r="AS3833">
        <v>-13</v>
      </c>
      <c r="AT3833">
        <v>704</v>
      </c>
      <c r="BB3833">
        <v>1200</v>
      </c>
      <c r="BC3833">
        <v>1</v>
      </c>
      <c r="BD3833" t="str">
        <f t="shared" si="1392"/>
        <v xml:space="preserve">N887QR  </v>
      </c>
      <c r="BE3833">
        <v>1</v>
      </c>
      <c r="BG3833">
        <v>0</v>
      </c>
      <c r="BH3833">
        <v>0</v>
      </c>
      <c r="BI3833">
        <v>0</v>
      </c>
      <c r="BJ3833">
        <v>4550</v>
      </c>
      <c r="BK3833">
        <v>-150</v>
      </c>
      <c r="BL3833" t="s">
        <v>163</v>
      </c>
      <c r="BM3833">
        <v>1</v>
      </c>
      <c r="BN3833">
        <v>1</v>
      </c>
      <c r="BO3833">
        <v>1</v>
      </c>
      <c r="BP3833">
        <v>0</v>
      </c>
      <c r="BS3833">
        <v>0</v>
      </c>
      <c r="BT3833">
        <v>0</v>
      </c>
      <c r="BU3833">
        <v>0</v>
      </c>
      <c r="CE3833" t="str">
        <f t="shared" si="1410"/>
        <v>19:35:51.273</v>
      </c>
      <c r="CF3833">
        <v>273460278</v>
      </c>
      <c r="CS3833">
        <v>0</v>
      </c>
      <c r="CT3833">
        <v>2</v>
      </c>
      <c r="CU3833">
        <v>0</v>
      </c>
      <c r="CV3833">
        <v>2</v>
      </c>
      <c r="CW3833">
        <v>0</v>
      </c>
      <c r="CX3833">
        <v>4</v>
      </c>
      <c r="CY3833">
        <v>7</v>
      </c>
      <c r="CZ3833" t="s">
        <v>131</v>
      </c>
      <c r="DA3833">
        <v>300</v>
      </c>
      <c r="DB3833">
        <v>0</v>
      </c>
      <c r="DC3833" t="s">
        <v>176</v>
      </c>
      <c r="DD3833" t="s">
        <v>177</v>
      </c>
      <c r="DG3833">
        <v>5448678</v>
      </c>
      <c r="DI3833">
        <v>1</v>
      </c>
      <c r="DJ3833">
        <v>0</v>
      </c>
      <c r="DK3833">
        <v>1</v>
      </c>
      <c r="DL3833">
        <v>0</v>
      </c>
      <c r="DM3833">
        <v>0</v>
      </c>
      <c r="DN3833">
        <v>1</v>
      </c>
      <c r="DO3833">
        <v>0</v>
      </c>
      <c r="DP3833">
        <v>0</v>
      </c>
      <c r="DQ3833">
        <v>0</v>
      </c>
      <c r="DR3833">
        <v>0</v>
      </c>
      <c r="DS3833">
        <v>0</v>
      </c>
    </row>
    <row r="3834" spans="1:123" x14ac:dyDescent="0.3">
      <c r="A3834" t="str">
        <f>"10/04/2022 19:35:51.589"</f>
        <v>10/04/2022 19:35:51.589</v>
      </c>
      <c r="C3834" t="str">
        <f t="shared" si="1406"/>
        <v>FFDFD3C0</v>
      </c>
      <c r="D3834" t="s">
        <v>134</v>
      </c>
      <c r="E3834">
        <v>15</v>
      </c>
      <c r="J3834" t="s">
        <v>135</v>
      </c>
      <c r="K3834">
        <v>0</v>
      </c>
      <c r="L3834">
        <v>3</v>
      </c>
      <c r="M3834">
        <v>0</v>
      </c>
      <c r="N3834">
        <v>2</v>
      </c>
      <c r="O3834">
        <v>0</v>
      </c>
      <c r="P3834">
        <v>1</v>
      </c>
      <c r="Q3834">
        <v>0</v>
      </c>
      <c r="S3834" t="str">
        <f t="shared" si="1409"/>
        <v>19:35:51.000</v>
      </c>
      <c r="T3834" t="str">
        <f t="shared" si="1409"/>
        <v>19:35:51.000</v>
      </c>
      <c r="U3834" t="str">
        <f t="shared" si="1391"/>
        <v>AC3944</v>
      </c>
      <c r="V3834">
        <v>0</v>
      </c>
      <c r="W3834">
        <v>0</v>
      </c>
      <c r="X3834">
        <v>2</v>
      </c>
      <c r="Y3834">
        <v>0</v>
      </c>
      <c r="AA3834">
        <v>1</v>
      </c>
      <c r="AB3834">
        <v>8</v>
      </c>
      <c r="AC3834">
        <v>3</v>
      </c>
      <c r="AD3834">
        <v>0</v>
      </c>
      <c r="AE3834">
        <v>9</v>
      </c>
      <c r="AF3834" t="s">
        <v>138</v>
      </c>
      <c r="AG3834">
        <v>0</v>
      </c>
      <c r="AH3834">
        <v>3</v>
      </c>
      <c r="AI3834">
        <v>1</v>
      </c>
      <c r="AJ3834">
        <v>0</v>
      </c>
      <c r="AK3834" t="s">
        <v>1240</v>
      </c>
      <c r="AL3834">
        <v>32.737583999999998</v>
      </c>
      <c r="AM3834" t="s">
        <v>1241</v>
      </c>
      <c r="AN3834">
        <v>-116.700811</v>
      </c>
      <c r="AO3834">
        <v>25</v>
      </c>
      <c r="AP3834">
        <v>4700</v>
      </c>
      <c r="AQ3834" t="s">
        <v>129</v>
      </c>
      <c r="AR3834">
        <v>121</v>
      </c>
      <c r="AS3834">
        <v>-13</v>
      </c>
      <c r="AT3834">
        <v>704</v>
      </c>
      <c r="BB3834">
        <v>1200</v>
      </c>
      <c r="BC3834">
        <v>1</v>
      </c>
      <c r="BD3834" t="str">
        <f t="shared" si="1392"/>
        <v xml:space="preserve">N887QR  </v>
      </c>
      <c r="BE3834">
        <v>1</v>
      </c>
      <c r="BG3834">
        <v>0</v>
      </c>
      <c r="BH3834">
        <v>0</v>
      </c>
      <c r="BI3834">
        <v>0</v>
      </c>
      <c r="BJ3834">
        <v>4550</v>
      </c>
      <c r="BK3834">
        <v>-150</v>
      </c>
      <c r="BL3834" t="s">
        <v>163</v>
      </c>
      <c r="BM3834">
        <v>1</v>
      </c>
      <c r="BN3834">
        <v>1</v>
      </c>
      <c r="BO3834">
        <v>1</v>
      </c>
      <c r="BP3834">
        <v>0</v>
      </c>
      <c r="BS3834">
        <v>0</v>
      </c>
      <c r="BT3834">
        <v>0</v>
      </c>
      <c r="BU3834">
        <v>0</v>
      </c>
      <c r="CE3834" t="str">
        <f t="shared" si="1410"/>
        <v>19:35:51.273</v>
      </c>
      <c r="CF3834">
        <v>273460278</v>
      </c>
      <c r="CS3834">
        <v>0</v>
      </c>
      <c r="CT3834">
        <v>2</v>
      </c>
      <c r="CU3834">
        <v>0</v>
      </c>
      <c r="CV3834">
        <v>2</v>
      </c>
      <c r="CW3834">
        <v>0</v>
      </c>
      <c r="CX3834">
        <v>4</v>
      </c>
      <c r="CY3834">
        <v>7</v>
      </c>
      <c r="CZ3834" t="s">
        <v>131</v>
      </c>
      <c r="DA3834">
        <v>300</v>
      </c>
      <c r="DB3834">
        <v>0</v>
      </c>
      <c r="DC3834" t="s">
        <v>176</v>
      </c>
      <c r="DD3834" t="s">
        <v>177</v>
      </c>
      <c r="DG3834">
        <v>5448678</v>
      </c>
      <c r="DI3834">
        <v>1</v>
      </c>
      <c r="DJ3834">
        <v>0</v>
      </c>
      <c r="DK3834">
        <v>1</v>
      </c>
      <c r="DL3834">
        <v>0</v>
      </c>
      <c r="DM3834">
        <v>0</v>
      </c>
      <c r="DN3834">
        <v>1</v>
      </c>
      <c r="DO3834">
        <v>0</v>
      </c>
      <c r="DP3834">
        <v>0</v>
      </c>
      <c r="DQ3834">
        <v>0</v>
      </c>
      <c r="DR3834">
        <v>0</v>
      </c>
      <c r="DS3834">
        <v>0</v>
      </c>
    </row>
    <row r="3835" spans="1:123" x14ac:dyDescent="0.3">
      <c r="A3835" t="str">
        <f>"10/04/2022 19:35:51.589"</f>
        <v>10/04/2022 19:35:51.589</v>
      </c>
      <c r="C3835" t="str">
        <f t="shared" si="1406"/>
        <v>FFDFD3C0</v>
      </c>
      <c r="D3835" t="s">
        <v>141</v>
      </c>
      <c r="E3835">
        <v>3</v>
      </c>
      <c r="H3835">
        <v>3</v>
      </c>
      <c r="I3835" t="s">
        <v>146</v>
      </c>
      <c r="J3835" t="s">
        <v>138</v>
      </c>
      <c r="K3835">
        <v>0</v>
      </c>
      <c r="L3835">
        <v>3</v>
      </c>
      <c r="M3835">
        <v>0</v>
      </c>
      <c r="N3835">
        <v>2</v>
      </c>
      <c r="O3835">
        <v>0</v>
      </c>
      <c r="P3835">
        <v>1</v>
      </c>
      <c r="Q3835">
        <v>0</v>
      </c>
      <c r="S3835" t="str">
        <f t="shared" si="1409"/>
        <v>19:35:51.000</v>
      </c>
      <c r="T3835" t="str">
        <f t="shared" si="1409"/>
        <v>19:35:51.000</v>
      </c>
      <c r="U3835" t="str">
        <f t="shared" si="1391"/>
        <v>AC3944</v>
      </c>
      <c r="V3835">
        <v>0</v>
      </c>
      <c r="W3835">
        <v>0</v>
      </c>
      <c r="X3835">
        <v>2</v>
      </c>
      <c r="Y3835">
        <v>0</v>
      </c>
      <c r="AA3835">
        <v>1</v>
      </c>
      <c r="AB3835">
        <v>8</v>
      </c>
      <c r="AC3835">
        <v>3</v>
      </c>
      <c r="AD3835">
        <v>0</v>
      </c>
      <c r="AE3835">
        <v>9</v>
      </c>
      <c r="AF3835" t="s">
        <v>138</v>
      </c>
      <c r="AG3835">
        <v>0</v>
      </c>
      <c r="AH3835">
        <v>3</v>
      </c>
      <c r="AI3835">
        <v>1</v>
      </c>
      <c r="AJ3835">
        <v>0</v>
      </c>
      <c r="AK3835" t="s">
        <v>1240</v>
      </c>
      <c r="AL3835">
        <v>32.737583999999998</v>
      </c>
      <c r="AM3835" t="s">
        <v>1241</v>
      </c>
      <c r="AN3835">
        <v>-116.700811</v>
      </c>
      <c r="AO3835">
        <v>25</v>
      </c>
      <c r="AP3835">
        <v>4700</v>
      </c>
      <c r="AQ3835" t="s">
        <v>129</v>
      </c>
      <c r="AR3835">
        <v>121</v>
      </c>
      <c r="AS3835">
        <v>-13</v>
      </c>
      <c r="AT3835">
        <v>704</v>
      </c>
      <c r="BB3835">
        <v>1200</v>
      </c>
      <c r="BC3835">
        <v>1</v>
      </c>
      <c r="BD3835" t="str">
        <f t="shared" si="1392"/>
        <v xml:space="preserve">N887QR  </v>
      </c>
      <c r="BE3835">
        <v>1</v>
      </c>
      <c r="BG3835">
        <v>0</v>
      </c>
      <c r="BH3835">
        <v>0</v>
      </c>
      <c r="BI3835">
        <v>0</v>
      </c>
      <c r="BJ3835">
        <v>4550</v>
      </c>
      <c r="BK3835">
        <v>-150</v>
      </c>
      <c r="BL3835" t="s">
        <v>163</v>
      </c>
      <c r="BM3835">
        <v>1</v>
      </c>
      <c r="BN3835">
        <v>1</v>
      </c>
      <c r="BO3835">
        <v>1</v>
      </c>
      <c r="BP3835">
        <v>0</v>
      </c>
      <c r="BS3835">
        <v>0</v>
      </c>
      <c r="BT3835">
        <v>0</v>
      </c>
      <c r="BU3835">
        <v>0</v>
      </c>
      <c r="CE3835" t="str">
        <f t="shared" si="1410"/>
        <v>19:35:51.273</v>
      </c>
      <c r="CF3835">
        <v>273460278</v>
      </c>
      <c r="CS3835">
        <v>0</v>
      </c>
      <c r="CT3835">
        <v>2</v>
      </c>
      <c r="CU3835">
        <v>0</v>
      </c>
      <c r="CV3835">
        <v>2</v>
      </c>
      <c r="CW3835">
        <v>0</v>
      </c>
      <c r="CX3835">
        <v>4</v>
      </c>
      <c r="CY3835">
        <v>7</v>
      </c>
      <c r="CZ3835" t="s">
        <v>131</v>
      </c>
      <c r="DA3835">
        <v>300</v>
      </c>
      <c r="DB3835">
        <v>0</v>
      </c>
      <c r="DC3835" t="s">
        <v>176</v>
      </c>
      <c r="DD3835" t="s">
        <v>177</v>
      </c>
      <c r="DG3835">
        <v>5448678</v>
      </c>
      <c r="DI3835">
        <v>1</v>
      </c>
      <c r="DJ3835">
        <v>0</v>
      </c>
      <c r="DK3835">
        <v>1</v>
      </c>
      <c r="DL3835">
        <v>0</v>
      </c>
      <c r="DM3835">
        <v>0</v>
      </c>
      <c r="DN3835">
        <v>1</v>
      </c>
      <c r="DO3835">
        <v>0</v>
      </c>
      <c r="DP3835">
        <v>0</v>
      </c>
      <c r="DQ3835">
        <v>0</v>
      </c>
      <c r="DR3835">
        <v>0</v>
      </c>
      <c r="DS3835">
        <v>0</v>
      </c>
    </row>
    <row r="3836" spans="1:123" x14ac:dyDescent="0.3">
      <c r="A3836" t="str">
        <f>"10/04/2022 19:35:52.480"</f>
        <v>10/04/2022 19:35:52.480</v>
      </c>
      <c r="C3836" t="str">
        <f t="shared" si="1406"/>
        <v>FFDFD3C0</v>
      </c>
      <c r="D3836" t="s">
        <v>147</v>
      </c>
      <c r="E3836">
        <v>3</v>
      </c>
      <c r="H3836">
        <v>166</v>
      </c>
      <c r="I3836" t="s">
        <v>144</v>
      </c>
      <c r="J3836" t="s">
        <v>148</v>
      </c>
      <c r="K3836">
        <v>0</v>
      </c>
      <c r="L3836">
        <v>3</v>
      </c>
      <c r="M3836">
        <v>0</v>
      </c>
      <c r="N3836">
        <v>2</v>
      </c>
      <c r="O3836">
        <v>0</v>
      </c>
      <c r="P3836">
        <v>1</v>
      </c>
      <c r="Q3836">
        <v>0</v>
      </c>
      <c r="S3836" t="str">
        <f t="shared" ref="S3836:T3842" si="1411">"19:35:52.000"</f>
        <v>19:35:52.000</v>
      </c>
      <c r="T3836" t="str">
        <f t="shared" si="1411"/>
        <v>19:35:52.000</v>
      </c>
      <c r="U3836" t="str">
        <f t="shared" si="1391"/>
        <v>AC3944</v>
      </c>
      <c r="V3836">
        <v>0</v>
      </c>
      <c r="W3836">
        <v>0</v>
      </c>
      <c r="X3836">
        <v>2</v>
      </c>
      <c r="Y3836">
        <v>0</v>
      </c>
      <c r="AA3836">
        <v>1</v>
      </c>
      <c r="AB3836">
        <v>8</v>
      </c>
      <c r="AC3836">
        <v>3</v>
      </c>
      <c r="AD3836">
        <v>0</v>
      </c>
      <c r="AE3836">
        <v>9</v>
      </c>
      <c r="AF3836" t="s">
        <v>138</v>
      </c>
      <c r="AG3836">
        <v>0</v>
      </c>
      <c r="AH3836">
        <v>3</v>
      </c>
      <c r="AI3836">
        <v>1</v>
      </c>
      <c r="AJ3836">
        <v>0</v>
      </c>
      <c r="AK3836" t="s">
        <v>1242</v>
      </c>
      <c r="AL3836">
        <v>32.737498000000002</v>
      </c>
      <c r="AM3836" t="s">
        <v>1243</v>
      </c>
      <c r="AN3836">
        <v>-116.699996</v>
      </c>
      <c r="AO3836">
        <v>25</v>
      </c>
      <c r="AP3836">
        <v>4700</v>
      </c>
      <c r="AQ3836" t="s">
        <v>129</v>
      </c>
      <c r="AR3836">
        <v>120</v>
      </c>
      <c r="AS3836">
        <v>-14</v>
      </c>
      <c r="AT3836">
        <v>768</v>
      </c>
      <c r="BB3836">
        <v>1200</v>
      </c>
      <c r="BC3836">
        <v>1</v>
      </c>
      <c r="BD3836" t="str">
        <f t="shared" si="1392"/>
        <v xml:space="preserve">N887QR  </v>
      </c>
      <c r="BE3836">
        <v>1</v>
      </c>
      <c r="BG3836">
        <v>0</v>
      </c>
      <c r="BH3836">
        <v>0</v>
      </c>
      <c r="BI3836">
        <v>0</v>
      </c>
      <c r="BJ3836">
        <v>4575</v>
      </c>
      <c r="BK3836">
        <v>-125</v>
      </c>
      <c r="BL3836" t="s">
        <v>163</v>
      </c>
      <c r="BM3836">
        <v>1</v>
      </c>
      <c r="BN3836">
        <v>1</v>
      </c>
      <c r="BO3836">
        <v>1</v>
      </c>
      <c r="BP3836">
        <v>0</v>
      </c>
      <c r="BS3836">
        <v>0</v>
      </c>
      <c r="BT3836">
        <v>0</v>
      </c>
      <c r="BU3836">
        <v>0</v>
      </c>
      <c r="CE3836" t="str">
        <f t="shared" ref="CE3836:CE3842" si="1412">"19:35:52.292"</f>
        <v>19:35:52.292</v>
      </c>
      <c r="CF3836">
        <v>291963721</v>
      </c>
      <c r="CS3836">
        <v>0</v>
      </c>
      <c r="CT3836">
        <v>2</v>
      </c>
      <c r="CU3836">
        <v>0</v>
      </c>
      <c r="CV3836">
        <v>2</v>
      </c>
      <c r="CW3836">
        <v>0</v>
      </c>
      <c r="CX3836">
        <v>4</v>
      </c>
      <c r="CY3836">
        <v>7</v>
      </c>
      <c r="CZ3836" t="s">
        <v>131</v>
      </c>
      <c r="DA3836">
        <v>300</v>
      </c>
      <c r="DB3836">
        <v>0</v>
      </c>
      <c r="DC3836" t="s">
        <v>176</v>
      </c>
      <c r="DD3836" t="s">
        <v>177</v>
      </c>
      <c r="DG3836">
        <v>5448840</v>
      </c>
      <c r="DI3836">
        <v>1</v>
      </c>
      <c r="DJ3836">
        <v>0</v>
      </c>
      <c r="DK3836">
        <v>0</v>
      </c>
      <c r="DL3836">
        <v>0</v>
      </c>
      <c r="DM3836">
        <v>0</v>
      </c>
      <c r="DN3836">
        <v>1</v>
      </c>
      <c r="DO3836">
        <v>0</v>
      </c>
      <c r="DP3836">
        <v>0</v>
      </c>
      <c r="DQ3836">
        <v>0</v>
      </c>
      <c r="DR3836">
        <v>0</v>
      </c>
      <c r="DS3836">
        <v>0</v>
      </c>
    </row>
    <row r="3837" spans="1:123" x14ac:dyDescent="0.3">
      <c r="A3837" t="str">
        <f>"10/04/2022 19:35:52.480"</f>
        <v>10/04/2022 19:35:52.480</v>
      </c>
      <c r="C3837" t="str">
        <f t="shared" si="1406"/>
        <v>FFDFD3C0</v>
      </c>
      <c r="D3837" t="s">
        <v>136</v>
      </c>
      <c r="E3837">
        <v>8</v>
      </c>
      <c r="H3837">
        <v>225</v>
      </c>
      <c r="I3837" t="s">
        <v>137</v>
      </c>
      <c r="J3837" t="s">
        <v>138</v>
      </c>
      <c r="K3837">
        <v>0</v>
      </c>
      <c r="L3837">
        <v>3</v>
      </c>
      <c r="M3837">
        <v>0</v>
      </c>
      <c r="N3837">
        <v>2</v>
      </c>
      <c r="O3837">
        <v>0</v>
      </c>
      <c r="P3837">
        <v>1</v>
      </c>
      <c r="Q3837">
        <v>0</v>
      </c>
      <c r="S3837" t="str">
        <f t="shared" si="1411"/>
        <v>19:35:52.000</v>
      </c>
      <c r="T3837" t="str">
        <f t="shared" si="1411"/>
        <v>19:35:52.000</v>
      </c>
      <c r="U3837" t="str">
        <f t="shared" si="1391"/>
        <v>AC3944</v>
      </c>
      <c r="V3837">
        <v>0</v>
      </c>
      <c r="W3837">
        <v>0</v>
      </c>
      <c r="X3837">
        <v>2</v>
      </c>
      <c r="Y3837">
        <v>0</v>
      </c>
      <c r="AA3837">
        <v>1</v>
      </c>
      <c r="AB3837">
        <v>8</v>
      </c>
      <c r="AC3837">
        <v>3</v>
      </c>
      <c r="AD3837">
        <v>0</v>
      </c>
      <c r="AE3837">
        <v>9</v>
      </c>
      <c r="AF3837" t="s">
        <v>138</v>
      </c>
      <c r="AG3837">
        <v>0</v>
      </c>
      <c r="AH3837">
        <v>3</v>
      </c>
      <c r="AI3837">
        <v>1</v>
      </c>
      <c r="AJ3837">
        <v>0</v>
      </c>
      <c r="AK3837" t="s">
        <v>1242</v>
      </c>
      <c r="AL3837">
        <v>32.737498000000002</v>
      </c>
      <c r="AM3837" t="s">
        <v>1243</v>
      </c>
      <c r="AN3837">
        <v>-116.699996</v>
      </c>
      <c r="AO3837">
        <v>25</v>
      </c>
      <c r="AP3837">
        <v>4700</v>
      </c>
      <c r="AQ3837" t="s">
        <v>129</v>
      </c>
      <c r="AR3837">
        <v>120</v>
      </c>
      <c r="AS3837">
        <v>-14</v>
      </c>
      <c r="AT3837">
        <v>768</v>
      </c>
      <c r="BB3837">
        <v>1200</v>
      </c>
      <c r="BC3837">
        <v>1</v>
      </c>
      <c r="BD3837" t="str">
        <f t="shared" si="1392"/>
        <v xml:space="preserve">N887QR  </v>
      </c>
      <c r="BE3837">
        <v>1</v>
      </c>
      <c r="BG3837">
        <v>0</v>
      </c>
      <c r="BH3837">
        <v>0</v>
      </c>
      <c r="BI3837">
        <v>0</v>
      </c>
      <c r="BJ3837">
        <v>4575</v>
      </c>
      <c r="BK3837">
        <v>-125</v>
      </c>
      <c r="BL3837" t="s">
        <v>163</v>
      </c>
      <c r="BM3837">
        <v>1</v>
      </c>
      <c r="BN3837">
        <v>1</v>
      </c>
      <c r="BO3837">
        <v>1</v>
      </c>
      <c r="BP3837">
        <v>0</v>
      </c>
      <c r="BS3837">
        <v>0</v>
      </c>
      <c r="BT3837">
        <v>0</v>
      </c>
      <c r="BU3837">
        <v>0</v>
      </c>
      <c r="CE3837" t="str">
        <f t="shared" si="1412"/>
        <v>19:35:52.292</v>
      </c>
      <c r="CF3837">
        <v>291963721</v>
      </c>
      <c r="CS3837">
        <v>0</v>
      </c>
      <c r="CT3837">
        <v>2</v>
      </c>
      <c r="CU3837">
        <v>0</v>
      </c>
      <c r="CV3837">
        <v>2</v>
      </c>
      <c r="CW3837">
        <v>0</v>
      </c>
      <c r="CX3837">
        <v>4</v>
      </c>
      <c r="CY3837">
        <v>7</v>
      </c>
      <c r="CZ3837" t="s">
        <v>131</v>
      </c>
      <c r="DA3837">
        <v>300</v>
      </c>
      <c r="DB3837">
        <v>0</v>
      </c>
      <c r="DC3837" t="s">
        <v>176</v>
      </c>
      <c r="DD3837" t="s">
        <v>177</v>
      </c>
      <c r="DG3837">
        <v>5448840</v>
      </c>
      <c r="DI3837">
        <v>1</v>
      </c>
      <c r="DJ3837">
        <v>0</v>
      </c>
      <c r="DK3837">
        <v>1</v>
      </c>
      <c r="DL3837">
        <v>0</v>
      </c>
      <c r="DM3837">
        <v>0</v>
      </c>
      <c r="DN3837">
        <v>1</v>
      </c>
      <c r="DO3837">
        <v>0</v>
      </c>
      <c r="DP3837">
        <v>0</v>
      </c>
      <c r="DQ3837">
        <v>0</v>
      </c>
      <c r="DR3837">
        <v>0</v>
      </c>
      <c r="DS3837">
        <v>0</v>
      </c>
    </row>
    <row r="3838" spans="1:123" x14ac:dyDescent="0.3">
      <c r="A3838" t="str">
        <f>"10/04/2022 19:35:52.480"</f>
        <v>10/04/2022 19:35:52.480</v>
      </c>
      <c r="C3838" t="str">
        <f t="shared" si="1406"/>
        <v>FFDFD3C0</v>
      </c>
      <c r="D3838" t="s">
        <v>143</v>
      </c>
      <c r="E3838">
        <v>20</v>
      </c>
      <c r="F3838">
        <v>1020</v>
      </c>
      <c r="G3838" t="s">
        <v>144</v>
      </c>
      <c r="J3838" t="s">
        <v>145</v>
      </c>
      <c r="K3838">
        <v>0</v>
      </c>
      <c r="L3838">
        <v>3</v>
      </c>
      <c r="M3838">
        <v>0</v>
      </c>
      <c r="N3838">
        <v>2</v>
      </c>
      <c r="O3838">
        <v>0</v>
      </c>
      <c r="P3838">
        <v>1</v>
      </c>
      <c r="Q3838">
        <v>0</v>
      </c>
      <c r="S3838" t="str">
        <f t="shared" si="1411"/>
        <v>19:35:52.000</v>
      </c>
      <c r="T3838" t="str">
        <f t="shared" si="1411"/>
        <v>19:35:52.000</v>
      </c>
      <c r="U3838" t="str">
        <f t="shared" si="1391"/>
        <v>AC3944</v>
      </c>
      <c r="V3838">
        <v>0</v>
      </c>
      <c r="W3838">
        <v>0</v>
      </c>
      <c r="X3838">
        <v>2</v>
      </c>
      <c r="Y3838">
        <v>0</v>
      </c>
      <c r="AA3838">
        <v>1</v>
      </c>
      <c r="AB3838">
        <v>8</v>
      </c>
      <c r="AC3838">
        <v>3</v>
      </c>
      <c r="AD3838">
        <v>0</v>
      </c>
      <c r="AE3838">
        <v>9</v>
      </c>
      <c r="AF3838" t="s">
        <v>138</v>
      </c>
      <c r="AG3838">
        <v>0</v>
      </c>
      <c r="AH3838">
        <v>3</v>
      </c>
      <c r="AI3838">
        <v>1</v>
      </c>
      <c r="AJ3838">
        <v>0</v>
      </c>
      <c r="AK3838" t="s">
        <v>1242</v>
      </c>
      <c r="AL3838">
        <v>32.737498000000002</v>
      </c>
      <c r="AM3838" t="s">
        <v>1243</v>
      </c>
      <c r="AN3838">
        <v>-116.699996</v>
      </c>
      <c r="AO3838">
        <v>25</v>
      </c>
      <c r="AP3838">
        <v>4700</v>
      </c>
      <c r="AQ3838" t="s">
        <v>129</v>
      </c>
      <c r="AR3838">
        <v>120</v>
      </c>
      <c r="AS3838">
        <v>-14</v>
      </c>
      <c r="AT3838">
        <v>768</v>
      </c>
      <c r="BB3838">
        <v>1200</v>
      </c>
      <c r="BC3838">
        <v>1</v>
      </c>
      <c r="BD3838" t="str">
        <f t="shared" si="1392"/>
        <v xml:space="preserve">N887QR  </v>
      </c>
      <c r="BE3838">
        <v>1</v>
      </c>
      <c r="BG3838">
        <v>0</v>
      </c>
      <c r="BH3838">
        <v>0</v>
      </c>
      <c r="BI3838">
        <v>0</v>
      </c>
      <c r="BJ3838">
        <v>4575</v>
      </c>
      <c r="BK3838">
        <v>-125</v>
      </c>
      <c r="BL3838" t="s">
        <v>163</v>
      </c>
      <c r="BM3838">
        <v>1</v>
      </c>
      <c r="BN3838">
        <v>1</v>
      </c>
      <c r="BO3838">
        <v>1</v>
      </c>
      <c r="BP3838">
        <v>0</v>
      </c>
      <c r="BS3838">
        <v>0</v>
      </c>
      <c r="BT3838">
        <v>0</v>
      </c>
      <c r="BU3838">
        <v>0</v>
      </c>
      <c r="CE3838" t="str">
        <f t="shared" si="1412"/>
        <v>19:35:52.292</v>
      </c>
      <c r="CF3838">
        <v>291963721</v>
      </c>
      <c r="CS3838">
        <v>0</v>
      </c>
      <c r="CT3838">
        <v>2</v>
      </c>
      <c r="CU3838">
        <v>0</v>
      </c>
      <c r="CV3838">
        <v>2</v>
      </c>
      <c r="CW3838">
        <v>0</v>
      </c>
      <c r="CX3838">
        <v>4</v>
      </c>
      <c r="CY3838">
        <v>7</v>
      </c>
      <c r="CZ3838" t="s">
        <v>131</v>
      </c>
      <c r="DA3838">
        <v>300</v>
      </c>
      <c r="DB3838">
        <v>0</v>
      </c>
      <c r="DC3838" t="s">
        <v>176</v>
      </c>
      <c r="DD3838" t="s">
        <v>177</v>
      </c>
      <c r="DG3838">
        <v>5448840</v>
      </c>
      <c r="DI3838">
        <v>1</v>
      </c>
      <c r="DJ3838">
        <v>0</v>
      </c>
      <c r="DK3838">
        <v>1</v>
      </c>
      <c r="DL3838">
        <v>0</v>
      </c>
      <c r="DM3838">
        <v>0</v>
      </c>
      <c r="DN3838">
        <v>1</v>
      </c>
      <c r="DO3838">
        <v>0</v>
      </c>
      <c r="DP3838">
        <v>0</v>
      </c>
      <c r="DQ3838">
        <v>0</v>
      </c>
      <c r="DR3838">
        <v>0</v>
      </c>
      <c r="DS3838">
        <v>0</v>
      </c>
    </row>
    <row r="3839" spans="1:123" x14ac:dyDescent="0.3">
      <c r="A3839" t="str">
        <f>"10/04/2022 19:35:52.542"</f>
        <v>10/04/2022 19:35:52.542</v>
      </c>
      <c r="C3839" t="str">
        <f t="shared" si="1406"/>
        <v>FFDFD3C0</v>
      </c>
      <c r="D3839" t="s">
        <v>123</v>
      </c>
      <c r="E3839">
        <v>7</v>
      </c>
      <c r="F3839">
        <v>2007</v>
      </c>
      <c r="G3839" t="s">
        <v>124</v>
      </c>
      <c r="J3839" t="s">
        <v>125</v>
      </c>
      <c r="K3839">
        <v>0</v>
      </c>
      <c r="L3839">
        <v>3</v>
      </c>
      <c r="M3839">
        <v>0</v>
      </c>
      <c r="N3839">
        <v>2</v>
      </c>
      <c r="O3839">
        <v>0</v>
      </c>
      <c r="P3839">
        <v>1</v>
      </c>
      <c r="Q3839">
        <v>0</v>
      </c>
      <c r="S3839" t="str">
        <f t="shared" si="1411"/>
        <v>19:35:52.000</v>
      </c>
      <c r="T3839" t="str">
        <f t="shared" si="1411"/>
        <v>19:35:52.000</v>
      </c>
      <c r="U3839" t="str">
        <f t="shared" si="1391"/>
        <v>AC3944</v>
      </c>
      <c r="V3839">
        <v>0</v>
      </c>
      <c r="W3839">
        <v>0</v>
      </c>
      <c r="X3839">
        <v>2</v>
      </c>
      <c r="Y3839">
        <v>0</v>
      </c>
      <c r="AA3839">
        <v>1</v>
      </c>
      <c r="AB3839">
        <v>8</v>
      </c>
      <c r="AC3839">
        <v>3</v>
      </c>
      <c r="AD3839">
        <v>0</v>
      </c>
      <c r="AE3839">
        <v>9</v>
      </c>
      <c r="AF3839" t="s">
        <v>138</v>
      </c>
      <c r="AG3839">
        <v>0</v>
      </c>
      <c r="AH3839">
        <v>3</v>
      </c>
      <c r="AI3839">
        <v>1</v>
      </c>
      <c r="AJ3839">
        <v>0</v>
      </c>
      <c r="AK3839" t="s">
        <v>1242</v>
      </c>
      <c r="AL3839">
        <v>32.737498000000002</v>
      </c>
      <c r="AM3839" t="s">
        <v>1243</v>
      </c>
      <c r="AN3839">
        <v>-116.699996</v>
      </c>
      <c r="AO3839">
        <v>25</v>
      </c>
      <c r="AP3839">
        <v>4700</v>
      </c>
      <c r="AQ3839" t="s">
        <v>129</v>
      </c>
      <c r="AR3839">
        <v>120</v>
      </c>
      <c r="AS3839">
        <v>-14</v>
      </c>
      <c r="AT3839">
        <v>768</v>
      </c>
      <c r="BB3839">
        <v>1200</v>
      </c>
      <c r="BC3839">
        <v>1</v>
      </c>
      <c r="BD3839" t="str">
        <f t="shared" si="1392"/>
        <v xml:space="preserve">N887QR  </v>
      </c>
      <c r="BE3839">
        <v>1</v>
      </c>
      <c r="BG3839">
        <v>0</v>
      </c>
      <c r="BH3839">
        <v>0</v>
      </c>
      <c r="BI3839">
        <v>0</v>
      </c>
      <c r="BJ3839">
        <v>4575</v>
      </c>
      <c r="BK3839">
        <v>-125</v>
      </c>
      <c r="BL3839" t="s">
        <v>163</v>
      </c>
      <c r="BM3839">
        <v>1</v>
      </c>
      <c r="BN3839">
        <v>1</v>
      </c>
      <c r="BO3839">
        <v>1</v>
      </c>
      <c r="BP3839">
        <v>0</v>
      </c>
      <c r="BS3839">
        <v>0</v>
      </c>
      <c r="BT3839">
        <v>0</v>
      </c>
      <c r="BU3839">
        <v>0</v>
      </c>
      <c r="CE3839" t="str">
        <f t="shared" si="1412"/>
        <v>19:35:52.292</v>
      </c>
      <c r="CF3839">
        <v>291963721</v>
      </c>
      <c r="CS3839">
        <v>0</v>
      </c>
      <c r="CT3839">
        <v>2</v>
      </c>
      <c r="CU3839">
        <v>0</v>
      </c>
      <c r="CV3839">
        <v>2</v>
      </c>
      <c r="CW3839">
        <v>0</v>
      </c>
      <c r="CX3839">
        <v>4</v>
      </c>
      <c r="CY3839">
        <v>7</v>
      </c>
      <c r="CZ3839" t="s">
        <v>131</v>
      </c>
      <c r="DA3839">
        <v>300</v>
      </c>
      <c r="DB3839">
        <v>0</v>
      </c>
      <c r="DC3839" t="s">
        <v>176</v>
      </c>
      <c r="DD3839" t="s">
        <v>177</v>
      </c>
      <c r="DG3839">
        <v>5448840</v>
      </c>
      <c r="DI3839">
        <v>1</v>
      </c>
      <c r="DJ3839">
        <v>0</v>
      </c>
      <c r="DK3839">
        <v>0</v>
      </c>
      <c r="DL3839">
        <v>0</v>
      </c>
      <c r="DM3839">
        <v>0</v>
      </c>
      <c r="DN3839">
        <v>1</v>
      </c>
      <c r="DO3839">
        <v>0</v>
      </c>
      <c r="DP3839">
        <v>0</v>
      </c>
      <c r="DQ3839">
        <v>0</v>
      </c>
      <c r="DR3839">
        <v>0</v>
      </c>
      <c r="DS3839">
        <v>0</v>
      </c>
    </row>
    <row r="3840" spans="1:123" x14ac:dyDescent="0.3">
      <c r="A3840" t="str">
        <f>"10/04/2022 19:35:52.558"</f>
        <v>10/04/2022 19:35:52.558</v>
      </c>
      <c r="C3840" t="str">
        <f t="shared" si="1406"/>
        <v>FFDFD3C0</v>
      </c>
      <c r="D3840" t="s">
        <v>134</v>
      </c>
      <c r="E3840">
        <v>15</v>
      </c>
      <c r="J3840" t="s">
        <v>135</v>
      </c>
      <c r="K3840">
        <v>0</v>
      </c>
      <c r="L3840">
        <v>3</v>
      </c>
      <c r="M3840">
        <v>0</v>
      </c>
      <c r="N3840">
        <v>2</v>
      </c>
      <c r="O3840">
        <v>0</v>
      </c>
      <c r="P3840">
        <v>1</v>
      </c>
      <c r="Q3840">
        <v>0</v>
      </c>
      <c r="S3840" t="str">
        <f t="shared" si="1411"/>
        <v>19:35:52.000</v>
      </c>
      <c r="T3840" t="str">
        <f t="shared" si="1411"/>
        <v>19:35:52.000</v>
      </c>
      <c r="U3840" t="str">
        <f t="shared" si="1391"/>
        <v>AC3944</v>
      </c>
      <c r="V3840">
        <v>0</v>
      </c>
      <c r="W3840">
        <v>0</v>
      </c>
      <c r="X3840">
        <v>2</v>
      </c>
      <c r="Y3840">
        <v>0</v>
      </c>
      <c r="AA3840">
        <v>1</v>
      </c>
      <c r="AB3840">
        <v>8</v>
      </c>
      <c r="AC3840">
        <v>3</v>
      </c>
      <c r="AD3840">
        <v>0</v>
      </c>
      <c r="AE3840">
        <v>9</v>
      </c>
      <c r="AF3840" t="s">
        <v>138</v>
      </c>
      <c r="AG3840">
        <v>0</v>
      </c>
      <c r="AH3840">
        <v>3</v>
      </c>
      <c r="AI3840">
        <v>1</v>
      </c>
      <c r="AJ3840">
        <v>0</v>
      </c>
      <c r="AK3840" t="s">
        <v>1242</v>
      </c>
      <c r="AL3840">
        <v>32.737498000000002</v>
      </c>
      <c r="AM3840" t="s">
        <v>1243</v>
      </c>
      <c r="AN3840">
        <v>-116.699996</v>
      </c>
      <c r="AO3840">
        <v>25</v>
      </c>
      <c r="AP3840">
        <v>4700</v>
      </c>
      <c r="AQ3840" t="s">
        <v>129</v>
      </c>
      <c r="AR3840">
        <v>120</v>
      </c>
      <c r="AS3840">
        <v>-14</v>
      </c>
      <c r="AT3840">
        <v>768</v>
      </c>
      <c r="BB3840">
        <v>1200</v>
      </c>
      <c r="BC3840">
        <v>1</v>
      </c>
      <c r="BD3840" t="str">
        <f t="shared" si="1392"/>
        <v xml:space="preserve">N887QR  </v>
      </c>
      <c r="BE3840">
        <v>1</v>
      </c>
      <c r="BG3840">
        <v>0</v>
      </c>
      <c r="BH3840">
        <v>0</v>
      </c>
      <c r="BI3840">
        <v>0</v>
      </c>
      <c r="BJ3840">
        <v>4575</v>
      </c>
      <c r="BK3840">
        <v>-125</v>
      </c>
      <c r="BL3840" t="s">
        <v>163</v>
      </c>
      <c r="BM3840">
        <v>1</v>
      </c>
      <c r="BN3840">
        <v>1</v>
      </c>
      <c r="BO3840">
        <v>1</v>
      </c>
      <c r="BP3840">
        <v>0</v>
      </c>
      <c r="BS3840">
        <v>0</v>
      </c>
      <c r="BT3840">
        <v>0</v>
      </c>
      <c r="BU3840">
        <v>0</v>
      </c>
      <c r="CE3840" t="str">
        <f t="shared" si="1412"/>
        <v>19:35:52.292</v>
      </c>
      <c r="CF3840">
        <v>291963721</v>
      </c>
      <c r="CS3840">
        <v>0</v>
      </c>
      <c r="CT3840">
        <v>2</v>
      </c>
      <c r="CU3840">
        <v>0</v>
      </c>
      <c r="CV3840">
        <v>2</v>
      </c>
      <c r="CW3840">
        <v>0</v>
      </c>
      <c r="CX3840">
        <v>4</v>
      </c>
      <c r="CY3840">
        <v>7</v>
      </c>
      <c r="CZ3840" t="s">
        <v>131</v>
      </c>
      <c r="DA3840">
        <v>300</v>
      </c>
      <c r="DB3840">
        <v>0</v>
      </c>
      <c r="DC3840" t="s">
        <v>176</v>
      </c>
      <c r="DD3840" t="s">
        <v>177</v>
      </c>
      <c r="DG3840">
        <v>5448840</v>
      </c>
      <c r="DI3840">
        <v>1</v>
      </c>
      <c r="DJ3840">
        <v>0</v>
      </c>
      <c r="DK3840">
        <v>1</v>
      </c>
      <c r="DL3840">
        <v>0</v>
      </c>
      <c r="DM3840">
        <v>0</v>
      </c>
      <c r="DN3840">
        <v>1</v>
      </c>
      <c r="DO3840">
        <v>0</v>
      </c>
      <c r="DP3840">
        <v>0</v>
      </c>
      <c r="DQ3840">
        <v>0</v>
      </c>
      <c r="DR3840">
        <v>0</v>
      </c>
      <c r="DS3840">
        <v>0</v>
      </c>
    </row>
    <row r="3841" spans="1:123" x14ac:dyDescent="0.3">
      <c r="A3841" t="str">
        <f>"10/04/2022 19:35:52.558"</f>
        <v>10/04/2022 19:35:52.558</v>
      </c>
      <c r="C3841" t="str">
        <f t="shared" si="1406"/>
        <v>FFDFD3C0</v>
      </c>
      <c r="D3841" t="s">
        <v>141</v>
      </c>
      <c r="E3841">
        <v>4</v>
      </c>
      <c r="H3841">
        <v>4</v>
      </c>
      <c r="I3841" t="s">
        <v>142</v>
      </c>
      <c r="J3841" t="s">
        <v>138</v>
      </c>
      <c r="K3841">
        <v>0</v>
      </c>
      <c r="L3841">
        <v>3</v>
      </c>
      <c r="M3841">
        <v>0</v>
      </c>
      <c r="N3841">
        <v>2</v>
      </c>
      <c r="O3841">
        <v>0</v>
      </c>
      <c r="P3841">
        <v>1</v>
      </c>
      <c r="Q3841">
        <v>0</v>
      </c>
      <c r="S3841" t="str">
        <f t="shared" si="1411"/>
        <v>19:35:52.000</v>
      </c>
      <c r="T3841" t="str">
        <f t="shared" si="1411"/>
        <v>19:35:52.000</v>
      </c>
      <c r="U3841" t="str">
        <f t="shared" si="1391"/>
        <v>AC3944</v>
      </c>
      <c r="V3841">
        <v>0</v>
      </c>
      <c r="W3841">
        <v>0</v>
      </c>
      <c r="X3841">
        <v>2</v>
      </c>
      <c r="Y3841">
        <v>0</v>
      </c>
      <c r="AA3841">
        <v>1</v>
      </c>
      <c r="AB3841">
        <v>8</v>
      </c>
      <c r="AC3841">
        <v>3</v>
      </c>
      <c r="AD3841">
        <v>0</v>
      </c>
      <c r="AE3841">
        <v>9</v>
      </c>
      <c r="AF3841" t="s">
        <v>138</v>
      </c>
      <c r="AG3841">
        <v>0</v>
      </c>
      <c r="AH3841">
        <v>3</v>
      </c>
      <c r="AI3841">
        <v>1</v>
      </c>
      <c r="AJ3841">
        <v>0</v>
      </c>
      <c r="AK3841" t="s">
        <v>1242</v>
      </c>
      <c r="AL3841">
        <v>32.737498000000002</v>
      </c>
      <c r="AM3841" t="s">
        <v>1243</v>
      </c>
      <c r="AN3841">
        <v>-116.699996</v>
      </c>
      <c r="AO3841">
        <v>25</v>
      </c>
      <c r="AP3841">
        <v>4700</v>
      </c>
      <c r="AQ3841" t="s">
        <v>129</v>
      </c>
      <c r="AR3841">
        <v>120</v>
      </c>
      <c r="AS3841">
        <v>-14</v>
      </c>
      <c r="AT3841">
        <v>768</v>
      </c>
      <c r="BB3841">
        <v>1200</v>
      </c>
      <c r="BC3841">
        <v>1</v>
      </c>
      <c r="BD3841" t="str">
        <f t="shared" si="1392"/>
        <v xml:space="preserve">N887QR  </v>
      </c>
      <c r="BE3841">
        <v>1</v>
      </c>
      <c r="BG3841">
        <v>0</v>
      </c>
      <c r="BH3841">
        <v>0</v>
      </c>
      <c r="BI3841">
        <v>0</v>
      </c>
      <c r="BJ3841">
        <v>4575</v>
      </c>
      <c r="BK3841">
        <v>-125</v>
      </c>
      <c r="BL3841" t="s">
        <v>163</v>
      </c>
      <c r="BM3841">
        <v>1</v>
      </c>
      <c r="BN3841">
        <v>1</v>
      </c>
      <c r="BO3841">
        <v>1</v>
      </c>
      <c r="BP3841">
        <v>0</v>
      </c>
      <c r="BS3841">
        <v>0</v>
      </c>
      <c r="BT3841">
        <v>0</v>
      </c>
      <c r="BU3841">
        <v>0</v>
      </c>
      <c r="CE3841" t="str">
        <f t="shared" si="1412"/>
        <v>19:35:52.292</v>
      </c>
      <c r="CF3841">
        <v>291963721</v>
      </c>
      <c r="CS3841">
        <v>0</v>
      </c>
      <c r="CT3841">
        <v>2</v>
      </c>
      <c r="CU3841">
        <v>0</v>
      </c>
      <c r="CV3841">
        <v>2</v>
      </c>
      <c r="CW3841">
        <v>0</v>
      </c>
      <c r="CX3841">
        <v>4</v>
      </c>
      <c r="CY3841">
        <v>7</v>
      </c>
      <c r="CZ3841" t="s">
        <v>131</v>
      </c>
      <c r="DA3841">
        <v>300</v>
      </c>
      <c r="DB3841">
        <v>0</v>
      </c>
      <c r="DC3841" t="s">
        <v>176</v>
      </c>
      <c r="DD3841" t="s">
        <v>177</v>
      </c>
      <c r="DG3841">
        <v>5448840</v>
      </c>
      <c r="DI3841">
        <v>1</v>
      </c>
      <c r="DJ3841">
        <v>0</v>
      </c>
      <c r="DK3841">
        <v>1</v>
      </c>
      <c r="DL3841">
        <v>0</v>
      </c>
      <c r="DM3841">
        <v>0</v>
      </c>
      <c r="DN3841">
        <v>1</v>
      </c>
      <c r="DO3841">
        <v>0</v>
      </c>
      <c r="DP3841">
        <v>0</v>
      </c>
      <c r="DQ3841">
        <v>0</v>
      </c>
      <c r="DR3841">
        <v>0</v>
      </c>
      <c r="DS3841">
        <v>0</v>
      </c>
    </row>
    <row r="3842" spans="1:123" x14ac:dyDescent="0.3">
      <c r="A3842" t="str">
        <f>"10/04/2022 19:35:52.558"</f>
        <v>10/04/2022 19:35:52.558</v>
      </c>
      <c r="C3842" t="str">
        <f t="shared" si="1406"/>
        <v>FFDFD3C0</v>
      </c>
      <c r="D3842" t="s">
        <v>141</v>
      </c>
      <c r="E3842">
        <v>3</v>
      </c>
      <c r="H3842">
        <v>3</v>
      </c>
      <c r="I3842" t="s">
        <v>146</v>
      </c>
      <c r="J3842" t="s">
        <v>138</v>
      </c>
      <c r="K3842">
        <v>0</v>
      </c>
      <c r="L3842">
        <v>3</v>
      </c>
      <c r="M3842">
        <v>0</v>
      </c>
      <c r="N3842">
        <v>2</v>
      </c>
      <c r="O3842">
        <v>0</v>
      </c>
      <c r="P3842">
        <v>1</v>
      </c>
      <c r="Q3842">
        <v>0</v>
      </c>
      <c r="S3842" t="str">
        <f t="shared" si="1411"/>
        <v>19:35:52.000</v>
      </c>
      <c r="T3842" t="str">
        <f t="shared" si="1411"/>
        <v>19:35:52.000</v>
      </c>
      <c r="U3842" t="str">
        <f t="shared" ref="U3842:U3905" si="1413">"AC3944"</f>
        <v>AC3944</v>
      </c>
      <c r="V3842">
        <v>0</v>
      </c>
      <c r="W3842">
        <v>0</v>
      </c>
      <c r="X3842">
        <v>2</v>
      </c>
      <c r="Y3842">
        <v>0</v>
      </c>
      <c r="AA3842">
        <v>1</v>
      </c>
      <c r="AB3842">
        <v>8</v>
      </c>
      <c r="AC3842">
        <v>3</v>
      </c>
      <c r="AD3842">
        <v>0</v>
      </c>
      <c r="AE3842">
        <v>9</v>
      </c>
      <c r="AF3842" t="s">
        <v>138</v>
      </c>
      <c r="AG3842">
        <v>0</v>
      </c>
      <c r="AH3842">
        <v>3</v>
      </c>
      <c r="AI3842">
        <v>1</v>
      </c>
      <c r="AJ3842">
        <v>0</v>
      </c>
      <c r="AK3842" t="s">
        <v>1242</v>
      </c>
      <c r="AL3842">
        <v>32.737498000000002</v>
      </c>
      <c r="AM3842" t="s">
        <v>1243</v>
      </c>
      <c r="AN3842">
        <v>-116.699996</v>
      </c>
      <c r="AO3842">
        <v>25</v>
      </c>
      <c r="AP3842">
        <v>4700</v>
      </c>
      <c r="AQ3842" t="s">
        <v>129</v>
      </c>
      <c r="AR3842">
        <v>120</v>
      </c>
      <c r="AS3842">
        <v>-14</v>
      </c>
      <c r="AT3842">
        <v>768</v>
      </c>
      <c r="BB3842">
        <v>1200</v>
      </c>
      <c r="BC3842">
        <v>1</v>
      </c>
      <c r="BD3842" t="str">
        <f t="shared" ref="BD3842:BD3905" si="1414">"N887QR  "</f>
        <v xml:space="preserve">N887QR  </v>
      </c>
      <c r="BE3842">
        <v>1</v>
      </c>
      <c r="BG3842">
        <v>0</v>
      </c>
      <c r="BH3842">
        <v>0</v>
      </c>
      <c r="BI3842">
        <v>0</v>
      </c>
      <c r="BJ3842">
        <v>4575</v>
      </c>
      <c r="BK3842">
        <v>-125</v>
      </c>
      <c r="BL3842" t="s">
        <v>163</v>
      </c>
      <c r="BM3842">
        <v>1</v>
      </c>
      <c r="BN3842">
        <v>1</v>
      </c>
      <c r="BO3842">
        <v>1</v>
      </c>
      <c r="BP3842">
        <v>0</v>
      </c>
      <c r="BS3842">
        <v>0</v>
      </c>
      <c r="BT3842">
        <v>0</v>
      </c>
      <c r="BU3842">
        <v>0</v>
      </c>
      <c r="CE3842" t="str">
        <f t="shared" si="1412"/>
        <v>19:35:52.292</v>
      </c>
      <c r="CF3842">
        <v>291963721</v>
      </c>
      <c r="CS3842">
        <v>0</v>
      </c>
      <c r="CT3842">
        <v>2</v>
      </c>
      <c r="CU3842">
        <v>0</v>
      </c>
      <c r="CV3842">
        <v>2</v>
      </c>
      <c r="CW3842">
        <v>0</v>
      </c>
      <c r="CX3842">
        <v>4</v>
      </c>
      <c r="CY3842">
        <v>7</v>
      </c>
      <c r="CZ3842" t="s">
        <v>131</v>
      </c>
      <c r="DA3842">
        <v>300</v>
      </c>
      <c r="DB3842">
        <v>0</v>
      </c>
      <c r="DC3842" t="s">
        <v>176</v>
      </c>
      <c r="DD3842" t="s">
        <v>177</v>
      </c>
      <c r="DG3842">
        <v>5448840</v>
      </c>
      <c r="DI3842">
        <v>1</v>
      </c>
      <c r="DJ3842">
        <v>0</v>
      </c>
      <c r="DK3842">
        <v>1</v>
      </c>
      <c r="DL3842">
        <v>0</v>
      </c>
      <c r="DM3842">
        <v>0</v>
      </c>
      <c r="DN3842">
        <v>1</v>
      </c>
      <c r="DO3842">
        <v>0</v>
      </c>
      <c r="DP3842">
        <v>0</v>
      </c>
      <c r="DQ3842">
        <v>0</v>
      </c>
      <c r="DR3842">
        <v>0</v>
      </c>
      <c r="DS3842">
        <v>0</v>
      </c>
    </row>
    <row r="3843" spans="1:123" x14ac:dyDescent="0.3">
      <c r="A3843" t="str">
        <f>"10/04/2022 19:35:53.495"</f>
        <v>10/04/2022 19:35:53.495</v>
      </c>
      <c r="C3843" t="str">
        <f t="shared" si="1406"/>
        <v>FFDFD3C0</v>
      </c>
      <c r="D3843" t="s">
        <v>123</v>
      </c>
      <c r="E3843">
        <v>7</v>
      </c>
      <c r="F3843">
        <v>2007</v>
      </c>
      <c r="G3843" t="s">
        <v>124</v>
      </c>
      <c r="J3843" t="s">
        <v>125</v>
      </c>
      <c r="K3843">
        <v>0</v>
      </c>
      <c r="L3843">
        <v>3</v>
      </c>
      <c r="M3843">
        <v>0</v>
      </c>
      <c r="N3843">
        <v>2</v>
      </c>
      <c r="O3843">
        <v>0</v>
      </c>
      <c r="P3843">
        <v>1</v>
      </c>
      <c r="Q3843">
        <v>0</v>
      </c>
      <c r="S3843" t="str">
        <f t="shared" ref="S3843:T3849" si="1415">"19:35:53.000"</f>
        <v>19:35:53.000</v>
      </c>
      <c r="T3843" t="str">
        <f t="shared" si="1415"/>
        <v>19:35:53.000</v>
      </c>
      <c r="U3843" t="str">
        <f t="shared" si="1413"/>
        <v>AC3944</v>
      </c>
      <c r="V3843">
        <v>0</v>
      </c>
      <c r="W3843">
        <v>0</v>
      </c>
      <c r="X3843">
        <v>2</v>
      </c>
      <c r="Y3843">
        <v>0</v>
      </c>
      <c r="AA3843">
        <v>1</v>
      </c>
      <c r="AB3843">
        <v>8</v>
      </c>
      <c r="AC3843">
        <v>3</v>
      </c>
      <c r="AD3843">
        <v>0</v>
      </c>
      <c r="AE3843">
        <v>9</v>
      </c>
      <c r="AF3843" t="s">
        <v>138</v>
      </c>
      <c r="AG3843">
        <v>0</v>
      </c>
      <c r="AH3843">
        <v>3</v>
      </c>
      <c r="AI3843">
        <v>1</v>
      </c>
      <c r="AJ3843">
        <v>0</v>
      </c>
      <c r="AK3843" t="s">
        <v>1244</v>
      </c>
      <c r="AL3843">
        <v>32.737434</v>
      </c>
      <c r="AM3843" t="s">
        <v>1245</v>
      </c>
      <c r="AN3843">
        <v>-116.699331</v>
      </c>
      <c r="AO3843">
        <v>25</v>
      </c>
      <c r="AP3843">
        <v>4700</v>
      </c>
      <c r="AQ3843" t="s">
        <v>129</v>
      </c>
      <c r="AR3843">
        <v>120</v>
      </c>
      <c r="AS3843">
        <v>-15</v>
      </c>
      <c r="AT3843">
        <v>768</v>
      </c>
      <c r="BB3843">
        <v>1200</v>
      </c>
      <c r="BC3843">
        <v>1</v>
      </c>
      <c r="BD3843" t="str">
        <f t="shared" si="1414"/>
        <v xml:space="preserve">N887QR  </v>
      </c>
      <c r="BE3843">
        <v>1</v>
      </c>
      <c r="BG3843">
        <v>0</v>
      </c>
      <c r="BH3843">
        <v>0</v>
      </c>
      <c r="BI3843">
        <v>0</v>
      </c>
      <c r="BJ3843">
        <v>4575</v>
      </c>
      <c r="BK3843">
        <v>-125</v>
      </c>
      <c r="BL3843" t="s">
        <v>163</v>
      </c>
      <c r="BM3843">
        <v>1</v>
      </c>
      <c r="BN3843">
        <v>1</v>
      </c>
      <c r="BO3843">
        <v>1</v>
      </c>
      <c r="BP3843">
        <v>0</v>
      </c>
      <c r="BS3843">
        <v>0</v>
      </c>
      <c r="BT3843">
        <v>0</v>
      </c>
      <c r="BU3843">
        <v>0</v>
      </c>
      <c r="CE3843" t="str">
        <f t="shared" ref="CE3843:CE3849" si="1416">"19:35:53.183"</f>
        <v>19:35:53.183</v>
      </c>
      <c r="CF3843">
        <v>182655020</v>
      </c>
      <c r="CS3843">
        <v>0</v>
      </c>
      <c r="CT3843">
        <v>2</v>
      </c>
      <c r="CU3843">
        <v>0</v>
      </c>
      <c r="CV3843">
        <v>2</v>
      </c>
      <c r="CW3843">
        <v>0</v>
      </c>
      <c r="CX3843">
        <v>5</v>
      </c>
      <c r="CY3843">
        <v>7</v>
      </c>
      <c r="CZ3843" t="s">
        <v>131</v>
      </c>
      <c r="DA3843">
        <v>286</v>
      </c>
      <c r="DB3843">
        <v>0</v>
      </c>
      <c r="DC3843" t="s">
        <v>132</v>
      </c>
      <c r="DD3843" t="s">
        <v>133</v>
      </c>
      <c r="DG3843">
        <v>893053</v>
      </c>
      <c r="DI3843">
        <v>1</v>
      </c>
      <c r="DJ3843">
        <v>0</v>
      </c>
      <c r="DK3843">
        <v>0</v>
      </c>
      <c r="DL3843">
        <v>0</v>
      </c>
      <c r="DM3843">
        <v>0</v>
      </c>
      <c r="DN3843">
        <v>1</v>
      </c>
      <c r="DO3843">
        <v>0</v>
      </c>
      <c r="DP3843">
        <v>0</v>
      </c>
      <c r="DQ3843">
        <v>0</v>
      </c>
      <c r="DR3843">
        <v>0</v>
      </c>
      <c r="DS3843">
        <v>0</v>
      </c>
    </row>
    <row r="3844" spans="1:123" x14ac:dyDescent="0.3">
      <c r="A3844" t="str">
        <f t="shared" ref="A3844:A3849" si="1417">"10/04/2022 19:35:53.558"</f>
        <v>10/04/2022 19:35:53.558</v>
      </c>
      <c r="C3844" t="str">
        <f t="shared" si="1406"/>
        <v>FFDFD3C0</v>
      </c>
      <c r="D3844" t="s">
        <v>134</v>
      </c>
      <c r="E3844">
        <v>15</v>
      </c>
      <c r="J3844" t="s">
        <v>135</v>
      </c>
      <c r="K3844">
        <v>0</v>
      </c>
      <c r="L3844">
        <v>3</v>
      </c>
      <c r="M3844">
        <v>0</v>
      </c>
      <c r="N3844">
        <v>2</v>
      </c>
      <c r="O3844">
        <v>0</v>
      </c>
      <c r="P3844">
        <v>1</v>
      </c>
      <c r="Q3844">
        <v>0</v>
      </c>
      <c r="S3844" t="str">
        <f t="shared" si="1415"/>
        <v>19:35:53.000</v>
      </c>
      <c r="T3844" t="str">
        <f t="shared" si="1415"/>
        <v>19:35:53.000</v>
      </c>
      <c r="U3844" t="str">
        <f t="shared" si="1413"/>
        <v>AC3944</v>
      </c>
      <c r="V3844">
        <v>0</v>
      </c>
      <c r="W3844">
        <v>0</v>
      </c>
      <c r="X3844">
        <v>2</v>
      </c>
      <c r="Y3844">
        <v>0</v>
      </c>
      <c r="AA3844">
        <v>1</v>
      </c>
      <c r="AB3844">
        <v>8</v>
      </c>
      <c r="AC3844">
        <v>3</v>
      </c>
      <c r="AD3844">
        <v>0</v>
      </c>
      <c r="AE3844">
        <v>9</v>
      </c>
      <c r="AF3844" t="s">
        <v>138</v>
      </c>
      <c r="AG3844">
        <v>0</v>
      </c>
      <c r="AH3844">
        <v>3</v>
      </c>
      <c r="AI3844">
        <v>1</v>
      </c>
      <c r="AJ3844">
        <v>0</v>
      </c>
      <c r="AK3844" t="s">
        <v>1244</v>
      </c>
      <c r="AL3844">
        <v>32.737434</v>
      </c>
      <c r="AM3844" t="s">
        <v>1245</v>
      </c>
      <c r="AN3844">
        <v>-116.699331</v>
      </c>
      <c r="AO3844">
        <v>25</v>
      </c>
      <c r="AP3844">
        <v>4700</v>
      </c>
      <c r="AQ3844" t="s">
        <v>129</v>
      </c>
      <c r="AR3844">
        <v>120</v>
      </c>
      <c r="AS3844">
        <v>-15</v>
      </c>
      <c r="AT3844">
        <v>768</v>
      </c>
      <c r="BB3844">
        <v>1200</v>
      </c>
      <c r="BC3844">
        <v>1</v>
      </c>
      <c r="BD3844" t="str">
        <f t="shared" si="1414"/>
        <v xml:space="preserve">N887QR  </v>
      </c>
      <c r="BE3844">
        <v>1</v>
      </c>
      <c r="BG3844">
        <v>0</v>
      </c>
      <c r="BH3844">
        <v>0</v>
      </c>
      <c r="BI3844">
        <v>0</v>
      </c>
      <c r="BJ3844">
        <v>4575</v>
      </c>
      <c r="BK3844">
        <v>-125</v>
      </c>
      <c r="BL3844" t="s">
        <v>163</v>
      </c>
      <c r="BM3844">
        <v>1</v>
      </c>
      <c r="BN3844">
        <v>1</v>
      </c>
      <c r="BO3844">
        <v>1</v>
      </c>
      <c r="BP3844">
        <v>0</v>
      </c>
      <c r="BS3844">
        <v>0</v>
      </c>
      <c r="BT3844">
        <v>0</v>
      </c>
      <c r="BU3844">
        <v>0</v>
      </c>
      <c r="CE3844" t="str">
        <f t="shared" si="1416"/>
        <v>19:35:53.183</v>
      </c>
      <c r="CF3844">
        <v>182655020</v>
      </c>
      <c r="CS3844">
        <v>0</v>
      </c>
      <c r="CT3844">
        <v>2</v>
      </c>
      <c r="CU3844">
        <v>0</v>
      </c>
      <c r="CV3844">
        <v>2</v>
      </c>
      <c r="CW3844">
        <v>0</v>
      </c>
      <c r="CX3844">
        <v>5</v>
      </c>
      <c r="CY3844">
        <v>7</v>
      </c>
      <c r="CZ3844" t="s">
        <v>131</v>
      </c>
      <c r="DA3844">
        <v>286</v>
      </c>
      <c r="DB3844">
        <v>0</v>
      </c>
      <c r="DC3844" t="s">
        <v>132</v>
      </c>
      <c r="DD3844" t="s">
        <v>133</v>
      </c>
      <c r="DG3844">
        <v>893053</v>
      </c>
      <c r="DI3844">
        <v>1</v>
      </c>
      <c r="DJ3844">
        <v>0</v>
      </c>
      <c r="DK3844">
        <v>0</v>
      </c>
      <c r="DL3844">
        <v>0</v>
      </c>
      <c r="DM3844">
        <v>0</v>
      </c>
      <c r="DN3844">
        <v>1</v>
      </c>
      <c r="DO3844">
        <v>0</v>
      </c>
      <c r="DP3844">
        <v>0</v>
      </c>
      <c r="DQ3844">
        <v>0</v>
      </c>
      <c r="DR3844">
        <v>0</v>
      </c>
      <c r="DS3844">
        <v>0</v>
      </c>
    </row>
    <row r="3845" spans="1:123" x14ac:dyDescent="0.3">
      <c r="A3845" t="str">
        <f t="shared" si="1417"/>
        <v>10/04/2022 19:35:53.558</v>
      </c>
      <c r="C3845" t="str">
        <f t="shared" si="1406"/>
        <v>FFDFD3C0</v>
      </c>
      <c r="D3845" t="s">
        <v>141</v>
      </c>
      <c r="E3845">
        <v>3</v>
      </c>
      <c r="H3845">
        <v>3</v>
      </c>
      <c r="I3845" t="s">
        <v>146</v>
      </c>
      <c r="J3845" t="s">
        <v>138</v>
      </c>
      <c r="K3845">
        <v>0</v>
      </c>
      <c r="L3845">
        <v>3</v>
      </c>
      <c r="M3845">
        <v>0</v>
      </c>
      <c r="N3845">
        <v>2</v>
      </c>
      <c r="O3845">
        <v>0</v>
      </c>
      <c r="P3845">
        <v>1</v>
      </c>
      <c r="Q3845">
        <v>0</v>
      </c>
      <c r="S3845" t="str">
        <f t="shared" si="1415"/>
        <v>19:35:53.000</v>
      </c>
      <c r="T3845" t="str">
        <f t="shared" si="1415"/>
        <v>19:35:53.000</v>
      </c>
      <c r="U3845" t="str">
        <f t="shared" si="1413"/>
        <v>AC3944</v>
      </c>
      <c r="V3845">
        <v>0</v>
      </c>
      <c r="W3845">
        <v>0</v>
      </c>
      <c r="X3845">
        <v>2</v>
      </c>
      <c r="Y3845">
        <v>0</v>
      </c>
      <c r="AA3845">
        <v>1</v>
      </c>
      <c r="AB3845">
        <v>8</v>
      </c>
      <c r="AC3845">
        <v>3</v>
      </c>
      <c r="AD3845">
        <v>0</v>
      </c>
      <c r="AE3845">
        <v>9</v>
      </c>
      <c r="AF3845" t="s">
        <v>138</v>
      </c>
      <c r="AG3845">
        <v>0</v>
      </c>
      <c r="AH3845">
        <v>3</v>
      </c>
      <c r="AI3845">
        <v>1</v>
      </c>
      <c r="AJ3845">
        <v>0</v>
      </c>
      <c r="AK3845" t="s">
        <v>1244</v>
      </c>
      <c r="AL3845">
        <v>32.737434</v>
      </c>
      <c r="AM3845" t="s">
        <v>1245</v>
      </c>
      <c r="AN3845">
        <v>-116.699331</v>
      </c>
      <c r="AO3845">
        <v>25</v>
      </c>
      <c r="AP3845">
        <v>4700</v>
      </c>
      <c r="AQ3845" t="s">
        <v>129</v>
      </c>
      <c r="AR3845">
        <v>120</v>
      </c>
      <c r="AS3845">
        <v>-15</v>
      </c>
      <c r="AT3845">
        <v>768</v>
      </c>
      <c r="BB3845">
        <v>1200</v>
      </c>
      <c r="BC3845">
        <v>1</v>
      </c>
      <c r="BD3845" t="str">
        <f t="shared" si="1414"/>
        <v xml:space="preserve">N887QR  </v>
      </c>
      <c r="BE3845">
        <v>1</v>
      </c>
      <c r="BG3845">
        <v>0</v>
      </c>
      <c r="BH3845">
        <v>0</v>
      </c>
      <c r="BI3845">
        <v>0</v>
      </c>
      <c r="BJ3845">
        <v>4575</v>
      </c>
      <c r="BK3845">
        <v>-125</v>
      </c>
      <c r="BL3845" t="s">
        <v>163</v>
      </c>
      <c r="BM3845">
        <v>1</v>
      </c>
      <c r="BN3845">
        <v>1</v>
      </c>
      <c r="BO3845">
        <v>1</v>
      </c>
      <c r="BP3845">
        <v>0</v>
      </c>
      <c r="BS3845">
        <v>0</v>
      </c>
      <c r="BT3845">
        <v>0</v>
      </c>
      <c r="BU3845">
        <v>0</v>
      </c>
      <c r="CE3845" t="str">
        <f t="shared" si="1416"/>
        <v>19:35:53.183</v>
      </c>
      <c r="CF3845">
        <v>182655020</v>
      </c>
      <c r="CS3845">
        <v>0</v>
      </c>
      <c r="CT3845">
        <v>2</v>
      </c>
      <c r="CU3845">
        <v>0</v>
      </c>
      <c r="CV3845">
        <v>2</v>
      </c>
      <c r="CW3845">
        <v>0</v>
      </c>
      <c r="CX3845">
        <v>5</v>
      </c>
      <c r="CY3845">
        <v>7</v>
      </c>
      <c r="CZ3845" t="s">
        <v>131</v>
      </c>
      <c r="DA3845">
        <v>286</v>
      </c>
      <c r="DB3845">
        <v>0</v>
      </c>
      <c r="DC3845" t="s">
        <v>132</v>
      </c>
      <c r="DD3845" t="s">
        <v>133</v>
      </c>
      <c r="DG3845">
        <v>893053</v>
      </c>
      <c r="DI3845">
        <v>1</v>
      </c>
      <c r="DJ3845">
        <v>0</v>
      </c>
      <c r="DK3845">
        <v>1</v>
      </c>
      <c r="DL3845">
        <v>0</v>
      </c>
      <c r="DM3845">
        <v>0</v>
      </c>
      <c r="DN3845">
        <v>1</v>
      </c>
      <c r="DO3845">
        <v>0</v>
      </c>
      <c r="DP3845">
        <v>0</v>
      </c>
      <c r="DQ3845">
        <v>0</v>
      </c>
      <c r="DR3845">
        <v>0</v>
      </c>
      <c r="DS3845">
        <v>0</v>
      </c>
    </row>
    <row r="3846" spans="1:123" x14ac:dyDescent="0.3">
      <c r="A3846" t="str">
        <f t="shared" si="1417"/>
        <v>10/04/2022 19:35:53.558</v>
      </c>
      <c r="C3846" t="str">
        <f t="shared" si="1406"/>
        <v>FFDFD3C0</v>
      </c>
      <c r="D3846" t="s">
        <v>141</v>
      </c>
      <c r="E3846">
        <v>4</v>
      </c>
      <c r="H3846">
        <v>4</v>
      </c>
      <c r="I3846" t="s">
        <v>142</v>
      </c>
      <c r="J3846" t="s">
        <v>138</v>
      </c>
      <c r="K3846">
        <v>0</v>
      </c>
      <c r="L3846">
        <v>3</v>
      </c>
      <c r="M3846">
        <v>0</v>
      </c>
      <c r="N3846">
        <v>2</v>
      </c>
      <c r="O3846">
        <v>0</v>
      </c>
      <c r="P3846">
        <v>1</v>
      </c>
      <c r="Q3846">
        <v>0</v>
      </c>
      <c r="S3846" t="str">
        <f t="shared" si="1415"/>
        <v>19:35:53.000</v>
      </c>
      <c r="T3846" t="str">
        <f t="shared" si="1415"/>
        <v>19:35:53.000</v>
      </c>
      <c r="U3846" t="str">
        <f t="shared" si="1413"/>
        <v>AC3944</v>
      </c>
      <c r="V3846">
        <v>0</v>
      </c>
      <c r="W3846">
        <v>0</v>
      </c>
      <c r="X3846">
        <v>2</v>
      </c>
      <c r="Y3846">
        <v>0</v>
      </c>
      <c r="AA3846">
        <v>1</v>
      </c>
      <c r="AB3846">
        <v>8</v>
      </c>
      <c r="AC3846">
        <v>3</v>
      </c>
      <c r="AD3846">
        <v>0</v>
      </c>
      <c r="AE3846">
        <v>9</v>
      </c>
      <c r="AF3846" t="s">
        <v>138</v>
      </c>
      <c r="AG3846">
        <v>0</v>
      </c>
      <c r="AH3846">
        <v>3</v>
      </c>
      <c r="AI3846">
        <v>1</v>
      </c>
      <c r="AJ3846">
        <v>0</v>
      </c>
      <c r="AK3846" t="s">
        <v>1244</v>
      </c>
      <c r="AL3846">
        <v>32.737434</v>
      </c>
      <c r="AM3846" t="s">
        <v>1245</v>
      </c>
      <c r="AN3846">
        <v>-116.699331</v>
      </c>
      <c r="AO3846">
        <v>25</v>
      </c>
      <c r="AP3846">
        <v>4700</v>
      </c>
      <c r="AQ3846" t="s">
        <v>129</v>
      </c>
      <c r="AR3846">
        <v>120</v>
      </c>
      <c r="AS3846">
        <v>-15</v>
      </c>
      <c r="AT3846">
        <v>768</v>
      </c>
      <c r="BB3846">
        <v>1200</v>
      </c>
      <c r="BC3846">
        <v>1</v>
      </c>
      <c r="BD3846" t="str">
        <f t="shared" si="1414"/>
        <v xml:space="preserve">N887QR  </v>
      </c>
      <c r="BE3846">
        <v>1</v>
      </c>
      <c r="BG3846">
        <v>0</v>
      </c>
      <c r="BH3846">
        <v>0</v>
      </c>
      <c r="BI3846">
        <v>0</v>
      </c>
      <c r="BJ3846">
        <v>4575</v>
      </c>
      <c r="BK3846">
        <v>-125</v>
      </c>
      <c r="BL3846" t="s">
        <v>163</v>
      </c>
      <c r="BM3846">
        <v>1</v>
      </c>
      <c r="BN3846">
        <v>1</v>
      </c>
      <c r="BO3846">
        <v>1</v>
      </c>
      <c r="BP3846">
        <v>0</v>
      </c>
      <c r="BS3846">
        <v>0</v>
      </c>
      <c r="BT3846">
        <v>0</v>
      </c>
      <c r="BU3846">
        <v>0</v>
      </c>
      <c r="CE3846" t="str">
        <f t="shared" si="1416"/>
        <v>19:35:53.183</v>
      </c>
      <c r="CF3846">
        <v>182655020</v>
      </c>
      <c r="CS3846">
        <v>0</v>
      </c>
      <c r="CT3846">
        <v>2</v>
      </c>
      <c r="CU3846">
        <v>0</v>
      </c>
      <c r="CV3846">
        <v>2</v>
      </c>
      <c r="CW3846">
        <v>0</v>
      </c>
      <c r="CX3846">
        <v>5</v>
      </c>
      <c r="CY3846">
        <v>7</v>
      </c>
      <c r="CZ3846" t="s">
        <v>131</v>
      </c>
      <c r="DA3846">
        <v>286</v>
      </c>
      <c r="DB3846">
        <v>0</v>
      </c>
      <c r="DC3846" t="s">
        <v>132</v>
      </c>
      <c r="DD3846" t="s">
        <v>133</v>
      </c>
      <c r="DG3846">
        <v>893053</v>
      </c>
      <c r="DI3846">
        <v>1</v>
      </c>
      <c r="DJ3846">
        <v>0</v>
      </c>
      <c r="DK3846">
        <v>1</v>
      </c>
      <c r="DL3846">
        <v>0</v>
      </c>
      <c r="DM3846">
        <v>0</v>
      </c>
      <c r="DN3846">
        <v>1</v>
      </c>
      <c r="DO3846">
        <v>0</v>
      </c>
      <c r="DP3846">
        <v>0</v>
      </c>
      <c r="DQ3846">
        <v>0</v>
      </c>
      <c r="DR3846">
        <v>0</v>
      </c>
      <c r="DS3846">
        <v>0</v>
      </c>
    </row>
    <row r="3847" spans="1:123" x14ac:dyDescent="0.3">
      <c r="A3847" t="str">
        <f t="shared" si="1417"/>
        <v>10/04/2022 19:35:53.558</v>
      </c>
      <c r="C3847" t="str">
        <f t="shared" si="1406"/>
        <v>FFDFD3C0</v>
      </c>
      <c r="D3847" t="s">
        <v>147</v>
      </c>
      <c r="E3847">
        <v>3</v>
      </c>
      <c r="H3847">
        <v>166</v>
      </c>
      <c r="I3847" t="s">
        <v>144</v>
      </c>
      <c r="J3847" t="s">
        <v>148</v>
      </c>
      <c r="K3847">
        <v>0</v>
      </c>
      <c r="L3847">
        <v>3</v>
      </c>
      <c r="M3847">
        <v>0</v>
      </c>
      <c r="N3847">
        <v>2</v>
      </c>
      <c r="O3847">
        <v>0</v>
      </c>
      <c r="P3847">
        <v>1</v>
      </c>
      <c r="Q3847">
        <v>0</v>
      </c>
      <c r="S3847" t="str">
        <f t="shared" si="1415"/>
        <v>19:35:53.000</v>
      </c>
      <c r="T3847" t="str">
        <f t="shared" si="1415"/>
        <v>19:35:53.000</v>
      </c>
      <c r="U3847" t="str">
        <f t="shared" si="1413"/>
        <v>AC3944</v>
      </c>
      <c r="V3847">
        <v>0</v>
      </c>
      <c r="W3847">
        <v>0</v>
      </c>
      <c r="X3847">
        <v>2</v>
      </c>
      <c r="Y3847">
        <v>0</v>
      </c>
      <c r="AA3847">
        <v>1</v>
      </c>
      <c r="AB3847">
        <v>8</v>
      </c>
      <c r="AC3847">
        <v>3</v>
      </c>
      <c r="AD3847">
        <v>0</v>
      </c>
      <c r="AE3847">
        <v>9</v>
      </c>
      <c r="AF3847" t="s">
        <v>138</v>
      </c>
      <c r="AG3847">
        <v>0</v>
      </c>
      <c r="AH3847">
        <v>3</v>
      </c>
      <c r="AI3847">
        <v>1</v>
      </c>
      <c r="AJ3847">
        <v>0</v>
      </c>
      <c r="AK3847" t="s">
        <v>1244</v>
      </c>
      <c r="AL3847">
        <v>32.737434</v>
      </c>
      <c r="AM3847" t="s">
        <v>1245</v>
      </c>
      <c r="AN3847">
        <v>-116.699331</v>
      </c>
      <c r="AO3847">
        <v>25</v>
      </c>
      <c r="AP3847">
        <v>4700</v>
      </c>
      <c r="AQ3847" t="s">
        <v>129</v>
      </c>
      <c r="AR3847">
        <v>120</v>
      </c>
      <c r="AS3847">
        <v>-15</v>
      </c>
      <c r="AT3847">
        <v>768</v>
      </c>
      <c r="BB3847">
        <v>1200</v>
      </c>
      <c r="BC3847">
        <v>1</v>
      </c>
      <c r="BD3847" t="str">
        <f t="shared" si="1414"/>
        <v xml:space="preserve">N887QR  </v>
      </c>
      <c r="BE3847">
        <v>1</v>
      </c>
      <c r="BG3847">
        <v>0</v>
      </c>
      <c r="BH3847">
        <v>0</v>
      </c>
      <c r="BI3847">
        <v>0</v>
      </c>
      <c r="BJ3847">
        <v>4575</v>
      </c>
      <c r="BK3847">
        <v>-125</v>
      </c>
      <c r="BL3847" t="s">
        <v>163</v>
      </c>
      <c r="BM3847">
        <v>1</v>
      </c>
      <c r="BN3847">
        <v>1</v>
      </c>
      <c r="BO3847">
        <v>1</v>
      </c>
      <c r="BP3847">
        <v>0</v>
      </c>
      <c r="BS3847">
        <v>0</v>
      </c>
      <c r="BT3847">
        <v>0</v>
      </c>
      <c r="BU3847">
        <v>0</v>
      </c>
      <c r="CE3847" t="str">
        <f t="shared" si="1416"/>
        <v>19:35:53.183</v>
      </c>
      <c r="CF3847">
        <v>182655020</v>
      </c>
      <c r="CS3847">
        <v>0</v>
      </c>
      <c r="CT3847">
        <v>2</v>
      </c>
      <c r="CU3847">
        <v>0</v>
      </c>
      <c r="CV3847">
        <v>2</v>
      </c>
      <c r="CW3847">
        <v>0</v>
      </c>
      <c r="CX3847">
        <v>5</v>
      </c>
      <c r="CY3847">
        <v>7</v>
      </c>
      <c r="CZ3847" t="s">
        <v>131</v>
      </c>
      <c r="DA3847">
        <v>286</v>
      </c>
      <c r="DB3847">
        <v>0</v>
      </c>
      <c r="DC3847" t="s">
        <v>132</v>
      </c>
      <c r="DD3847" t="s">
        <v>133</v>
      </c>
      <c r="DG3847">
        <v>893053</v>
      </c>
      <c r="DI3847">
        <v>1</v>
      </c>
      <c r="DJ3847">
        <v>0</v>
      </c>
      <c r="DK3847">
        <v>1</v>
      </c>
      <c r="DL3847">
        <v>0</v>
      </c>
      <c r="DM3847">
        <v>0</v>
      </c>
      <c r="DN3847">
        <v>1</v>
      </c>
      <c r="DO3847">
        <v>0</v>
      </c>
      <c r="DP3847">
        <v>0</v>
      </c>
      <c r="DQ3847">
        <v>0</v>
      </c>
      <c r="DR3847">
        <v>0</v>
      </c>
      <c r="DS3847">
        <v>0</v>
      </c>
    </row>
    <row r="3848" spans="1:123" x14ac:dyDescent="0.3">
      <c r="A3848" t="str">
        <f t="shared" si="1417"/>
        <v>10/04/2022 19:35:53.558</v>
      </c>
      <c r="C3848" t="str">
        <f t="shared" si="1406"/>
        <v>FFDFD3C0</v>
      </c>
      <c r="D3848" t="s">
        <v>136</v>
      </c>
      <c r="E3848">
        <v>8</v>
      </c>
      <c r="H3848">
        <v>225</v>
      </c>
      <c r="I3848" t="s">
        <v>137</v>
      </c>
      <c r="J3848" t="s">
        <v>138</v>
      </c>
      <c r="K3848">
        <v>0</v>
      </c>
      <c r="L3848">
        <v>3</v>
      </c>
      <c r="M3848">
        <v>0</v>
      </c>
      <c r="N3848">
        <v>2</v>
      </c>
      <c r="O3848">
        <v>0</v>
      </c>
      <c r="P3848">
        <v>1</v>
      </c>
      <c r="Q3848">
        <v>0</v>
      </c>
      <c r="S3848" t="str">
        <f t="shared" si="1415"/>
        <v>19:35:53.000</v>
      </c>
      <c r="T3848" t="str">
        <f t="shared" si="1415"/>
        <v>19:35:53.000</v>
      </c>
      <c r="U3848" t="str">
        <f t="shared" si="1413"/>
        <v>AC3944</v>
      </c>
      <c r="V3848">
        <v>0</v>
      </c>
      <c r="W3848">
        <v>0</v>
      </c>
      <c r="X3848">
        <v>2</v>
      </c>
      <c r="Y3848">
        <v>0</v>
      </c>
      <c r="AA3848">
        <v>1</v>
      </c>
      <c r="AB3848">
        <v>8</v>
      </c>
      <c r="AC3848">
        <v>3</v>
      </c>
      <c r="AD3848">
        <v>0</v>
      </c>
      <c r="AE3848">
        <v>9</v>
      </c>
      <c r="AF3848" t="s">
        <v>138</v>
      </c>
      <c r="AG3848">
        <v>0</v>
      </c>
      <c r="AH3848">
        <v>3</v>
      </c>
      <c r="AI3848">
        <v>1</v>
      </c>
      <c r="AJ3848">
        <v>0</v>
      </c>
      <c r="AK3848" t="s">
        <v>1244</v>
      </c>
      <c r="AL3848">
        <v>32.737434</v>
      </c>
      <c r="AM3848" t="s">
        <v>1245</v>
      </c>
      <c r="AN3848">
        <v>-116.699331</v>
      </c>
      <c r="AO3848">
        <v>25</v>
      </c>
      <c r="AP3848">
        <v>4700</v>
      </c>
      <c r="AQ3848" t="s">
        <v>129</v>
      </c>
      <c r="AR3848">
        <v>120</v>
      </c>
      <c r="AS3848">
        <v>-15</v>
      </c>
      <c r="AT3848">
        <v>768</v>
      </c>
      <c r="BB3848">
        <v>1200</v>
      </c>
      <c r="BC3848">
        <v>1</v>
      </c>
      <c r="BD3848" t="str">
        <f t="shared" si="1414"/>
        <v xml:space="preserve">N887QR  </v>
      </c>
      <c r="BE3848">
        <v>1</v>
      </c>
      <c r="BG3848">
        <v>0</v>
      </c>
      <c r="BH3848">
        <v>0</v>
      </c>
      <c r="BI3848">
        <v>0</v>
      </c>
      <c r="BJ3848">
        <v>4575</v>
      </c>
      <c r="BK3848">
        <v>-125</v>
      </c>
      <c r="BL3848" t="s">
        <v>163</v>
      </c>
      <c r="BM3848">
        <v>1</v>
      </c>
      <c r="BN3848">
        <v>1</v>
      </c>
      <c r="BO3848">
        <v>1</v>
      </c>
      <c r="BP3848">
        <v>0</v>
      </c>
      <c r="BS3848">
        <v>0</v>
      </c>
      <c r="BT3848">
        <v>0</v>
      </c>
      <c r="BU3848">
        <v>0</v>
      </c>
      <c r="CE3848" t="str">
        <f t="shared" si="1416"/>
        <v>19:35:53.183</v>
      </c>
      <c r="CF3848">
        <v>182655020</v>
      </c>
      <c r="CS3848">
        <v>0</v>
      </c>
      <c r="CT3848">
        <v>2</v>
      </c>
      <c r="CU3848">
        <v>0</v>
      </c>
      <c r="CV3848">
        <v>2</v>
      </c>
      <c r="CW3848">
        <v>0</v>
      </c>
      <c r="CX3848">
        <v>5</v>
      </c>
      <c r="CY3848">
        <v>7</v>
      </c>
      <c r="CZ3848" t="s">
        <v>131</v>
      </c>
      <c r="DA3848">
        <v>286</v>
      </c>
      <c r="DB3848">
        <v>0</v>
      </c>
      <c r="DC3848" t="s">
        <v>132</v>
      </c>
      <c r="DD3848" t="s">
        <v>133</v>
      </c>
      <c r="DG3848">
        <v>893053</v>
      </c>
      <c r="DI3848">
        <v>1</v>
      </c>
      <c r="DJ3848">
        <v>0</v>
      </c>
      <c r="DK3848">
        <v>1</v>
      </c>
      <c r="DL3848">
        <v>0</v>
      </c>
      <c r="DM3848">
        <v>0</v>
      </c>
      <c r="DN3848">
        <v>1</v>
      </c>
      <c r="DO3848">
        <v>0</v>
      </c>
      <c r="DP3848">
        <v>0</v>
      </c>
      <c r="DQ3848">
        <v>0</v>
      </c>
      <c r="DR3848">
        <v>0</v>
      </c>
      <c r="DS3848">
        <v>0</v>
      </c>
    </row>
    <row r="3849" spans="1:123" x14ac:dyDescent="0.3">
      <c r="A3849" t="str">
        <f t="shared" si="1417"/>
        <v>10/04/2022 19:35:53.558</v>
      </c>
      <c r="C3849" t="str">
        <f t="shared" si="1406"/>
        <v>FFDFD3C0</v>
      </c>
      <c r="D3849" t="s">
        <v>143</v>
      </c>
      <c r="E3849">
        <v>20</v>
      </c>
      <c r="F3849">
        <v>1020</v>
      </c>
      <c r="G3849" t="s">
        <v>144</v>
      </c>
      <c r="J3849" t="s">
        <v>145</v>
      </c>
      <c r="K3849">
        <v>0</v>
      </c>
      <c r="L3849">
        <v>3</v>
      </c>
      <c r="M3849">
        <v>0</v>
      </c>
      <c r="N3849">
        <v>2</v>
      </c>
      <c r="O3849">
        <v>0</v>
      </c>
      <c r="P3849">
        <v>1</v>
      </c>
      <c r="Q3849">
        <v>0</v>
      </c>
      <c r="S3849" t="str">
        <f t="shared" si="1415"/>
        <v>19:35:53.000</v>
      </c>
      <c r="T3849" t="str">
        <f t="shared" si="1415"/>
        <v>19:35:53.000</v>
      </c>
      <c r="U3849" t="str">
        <f t="shared" si="1413"/>
        <v>AC3944</v>
      </c>
      <c r="V3849">
        <v>0</v>
      </c>
      <c r="W3849">
        <v>0</v>
      </c>
      <c r="X3849">
        <v>2</v>
      </c>
      <c r="Y3849">
        <v>0</v>
      </c>
      <c r="AA3849">
        <v>1</v>
      </c>
      <c r="AB3849">
        <v>8</v>
      </c>
      <c r="AC3849">
        <v>3</v>
      </c>
      <c r="AD3849">
        <v>0</v>
      </c>
      <c r="AE3849">
        <v>9</v>
      </c>
      <c r="AF3849" t="s">
        <v>138</v>
      </c>
      <c r="AG3849">
        <v>0</v>
      </c>
      <c r="AH3849">
        <v>3</v>
      </c>
      <c r="AI3849">
        <v>1</v>
      </c>
      <c r="AJ3849">
        <v>0</v>
      </c>
      <c r="AK3849" t="s">
        <v>1244</v>
      </c>
      <c r="AL3849">
        <v>32.737434</v>
      </c>
      <c r="AM3849" t="s">
        <v>1245</v>
      </c>
      <c r="AN3849">
        <v>-116.699331</v>
      </c>
      <c r="AO3849">
        <v>25</v>
      </c>
      <c r="AP3849">
        <v>4700</v>
      </c>
      <c r="AQ3849" t="s">
        <v>129</v>
      </c>
      <c r="AR3849">
        <v>120</v>
      </c>
      <c r="AS3849">
        <v>-15</v>
      </c>
      <c r="AT3849">
        <v>768</v>
      </c>
      <c r="BB3849">
        <v>1200</v>
      </c>
      <c r="BC3849">
        <v>1</v>
      </c>
      <c r="BD3849" t="str">
        <f t="shared" si="1414"/>
        <v xml:space="preserve">N887QR  </v>
      </c>
      <c r="BE3849">
        <v>1</v>
      </c>
      <c r="BG3849">
        <v>0</v>
      </c>
      <c r="BH3849">
        <v>0</v>
      </c>
      <c r="BI3849">
        <v>0</v>
      </c>
      <c r="BJ3849">
        <v>4575</v>
      </c>
      <c r="BK3849">
        <v>-125</v>
      </c>
      <c r="BL3849" t="s">
        <v>163</v>
      </c>
      <c r="BM3849">
        <v>1</v>
      </c>
      <c r="BN3849">
        <v>1</v>
      </c>
      <c r="BO3849">
        <v>1</v>
      </c>
      <c r="BP3849">
        <v>0</v>
      </c>
      <c r="BS3849">
        <v>0</v>
      </c>
      <c r="BT3849">
        <v>0</v>
      </c>
      <c r="BU3849">
        <v>0</v>
      </c>
      <c r="CE3849" t="str">
        <f t="shared" si="1416"/>
        <v>19:35:53.183</v>
      </c>
      <c r="CF3849">
        <v>182655020</v>
      </c>
      <c r="CS3849">
        <v>0</v>
      </c>
      <c r="CT3849">
        <v>2</v>
      </c>
      <c r="CU3849">
        <v>0</v>
      </c>
      <c r="CV3849">
        <v>2</v>
      </c>
      <c r="CW3849">
        <v>0</v>
      </c>
      <c r="CX3849">
        <v>5</v>
      </c>
      <c r="CY3849">
        <v>7</v>
      </c>
      <c r="CZ3849" t="s">
        <v>131</v>
      </c>
      <c r="DA3849">
        <v>286</v>
      </c>
      <c r="DB3849">
        <v>0</v>
      </c>
      <c r="DC3849" t="s">
        <v>132</v>
      </c>
      <c r="DD3849" t="s">
        <v>133</v>
      </c>
      <c r="DG3849">
        <v>893053</v>
      </c>
      <c r="DI3849">
        <v>1</v>
      </c>
      <c r="DJ3849">
        <v>0</v>
      </c>
      <c r="DK3849">
        <v>1</v>
      </c>
      <c r="DL3849">
        <v>0</v>
      </c>
      <c r="DM3849">
        <v>0</v>
      </c>
      <c r="DN3849">
        <v>1</v>
      </c>
      <c r="DO3849">
        <v>0</v>
      </c>
      <c r="DP3849">
        <v>0</v>
      </c>
      <c r="DQ3849">
        <v>0</v>
      </c>
      <c r="DR3849">
        <v>0</v>
      </c>
      <c r="DS3849">
        <v>0</v>
      </c>
    </row>
    <row r="3850" spans="1:123" x14ac:dyDescent="0.3">
      <c r="A3850" t="str">
        <f>"10/04/2022 19:35:54.636"</f>
        <v>10/04/2022 19:35:54.636</v>
      </c>
      <c r="C3850" t="str">
        <f t="shared" si="1406"/>
        <v>FFDFD3C0</v>
      </c>
      <c r="D3850" t="s">
        <v>147</v>
      </c>
      <c r="E3850">
        <v>3</v>
      </c>
      <c r="H3850">
        <v>166</v>
      </c>
      <c r="I3850" t="s">
        <v>144</v>
      </c>
      <c r="J3850" t="s">
        <v>148</v>
      </c>
      <c r="K3850">
        <v>0</v>
      </c>
      <c r="L3850">
        <v>3</v>
      </c>
      <c r="M3850">
        <v>0</v>
      </c>
      <c r="N3850">
        <v>2</v>
      </c>
      <c r="O3850">
        <v>0</v>
      </c>
      <c r="P3850">
        <v>1</v>
      </c>
      <c r="Q3850">
        <v>0</v>
      </c>
      <c r="S3850" t="str">
        <f t="shared" ref="S3850:T3863" si="1418">"19:35:54.000"</f>
        <v>19:35:54.000</v>
      </c>
      <c r="T3850" t="str">
        <f t="shared" si="1418"/>
        <v>19:35:54.000</v>
      </c>
      <c r="U3850" t="str">
        <f t="shared" si="1413"/>
        <v>AC3944</v>
      </c>
      <c r="V3850">
        <v>0</v>
      </c>
      <c r="W3850">
        <v>0</v>
      </c>
      <c r="X3850">
        <v>2</v>
      </c>
      <c r="Y3850">
        <v>0</v>
      </c>
      <c r="AA3850">
        <v>1</v>
      </c>
      <c r="AB3850">
        <v>8</v>
      </c>
      <c r="AC3850">
        <v>3</v>
      </c>
      <c r="AD3850">
        <v>0</v>
      </c>
      <c r="AE3850">
        <v>9</v>
      </c>
      <c r="AF3850" t="s">
        <v>138</v>
      </c>
      <c r="AG3850">
        <v>0</v>
      </c>
      <c r="AH3850">
        <v>3</v>
      </c>
      <c r="AI3850">
        <v>1</v>
      </c>
      <c r="AJ3850">
        <v>0</v>
      </c>
      <c r="AK3850" t="s">
        <v>1246</v>
      </c>
      <c r="AL3850">
        <v>32.737369999999999</v>
      </c>
      <c r="AM3850" t="s">
        <v>1247</v>
      </c>
      <c r="AN3850">
        <v>-116.69868700000001</v>
      </c>
      <c r="AO3850">
        <v>25</v>
      </c>
      <c r="AP3850">
        <v>4800</v>
      </c>
      <c r="AQ3850" t="s">
        <v>129</v>
      </c>
      <c r="AR3850">
        <v>119</v>
      </c>
      <c r="AS3850">
        <v>-16</v>
      </c>
      <c r="AT3850">
        <v>768</v>
      </c>
      <c r="BB3850">
        <v>1200</v>
      </c>
      <c r="BC3850">
        <v>1</v>
      </c>
      <c r="BD3850" t="str">
        <f t="shared" si="1414"/>
        <v xml:space="preserve">N887QR  </v>
      </c>
      <c r="BE3850">
        <v>1</v>
      </c>
      <c r="BG3850">
        <v>0</v>
      </c>
      <c r="BH3850">
        <v>0</v>
      </c>
      <c r="BI3850">
        <v>0</v>
      </c>
      <c r="BJ3850">
        <v>4600</v>
      </c>
      <c r="BK3850">
        <v>-200</v>
      </c>
      <c r="BL3850" t="s">
        <v>163</v>
      </c>
      <c r="BM3850">
        <v>1</v>
      </c>
      <c r="BN3850">
        <v>1</v>
      </c>
      <c r="BO3850">
        <v>1</v>
      </c>
      <c r="BP3850">
        <v>0</v>
      </c>
      <c r="BS3850">
        <v>0</v>
      </c>
      <c r="BT3850">
        <v>0</v>
      </c>
      <c r="BU3850">
        <v>0</v>
      </c>
      <c r="CE3850" t="str">
        <f t="shared" ref="CE3850:CE3856" si="1419">"19:35:54.416"</f>
        <v>19:35:54.416</v>
      </c>
      <c r="CF3850">
        <v>416409125</v>
      </c>
      <c r="CS3850">
        <v>0</v>
      </c>
      <c r="CT3850">
        <v>2</v>
      </c>
      <c r="CU3850">
        <v>0</v>
      </c>
      <c r="CV3850">
        <v>2</v>
      </c>
      <c r="CW3850">
        <v>0</v>
      </c>
      <c r="CX3850">
        <v>5</v>
      </c>
      <c r="CY3850">
        <v>7</v>
      </c>
      <c r="CZ3850" t="s">
        <v>131</v>
      </c>
      <c r="DA3850">
        <v>286</v>
      </c>
      <c r="DB3850">
        <v>0</v>
      </c>
      <c r="DC3850" t="s">
        <v>132</v>
      </c>
      <c r="DD3850" t="s">
        <v>133</v>
      </c>
      <c r="DG3850">
        <v>893356</v>
      </c>
      <c r="DI3850">
        <v>1</v>
      </c>
      <c r="DJ3850">
        <v>0</v>
      </c>
      <c r="DK3850">
        <v>0</v>
      </c>
      <c r="DL3850">
        <v>0</v>
      </c>
      <c r="DM3850">
        <v>0</v>
      </c>
      <c r="DN3850">
        <v>1</v>
      </c>
      <c r="DO3850">
        <v>0</v>
      </c>
      <c r="DP3850">
        <v>0</v>
      </c>
      <c r="DQ3850">
        <v>0</v>
      </c>
      <c r="DR3850">
        <v>0</v>
      </c>
      <c r="DS3850">
        <v>0</v>
      </c>
    </row>
    <row r="3851" spans="1:123" x14ac:dyDescent="0.3">
      <c r="A3851" t="str">
        <f>"10/04/2022 19:35:54.636"</f>
        <v>10/04/2022 19:35:54.636</v>
      </c>
      <c r="C3851" t="str">
        <f t="shared" si="1406"/>
        <v>FFDFD3C0</v>
      </c>
      <c r="D3851" t="s">
        <v>143</v>
      </c>
      <c r="E3851">
        <v>20</v>
      </c>
      <c r="F3851">
        <v>1020</v>
      </c>
      <c r="G3851" t="s">
        <v>144</v>
      </c>
      <c r="J3851" t="s">
        <v>145</v>
      </c>
      <c r="K3851">
        <v>0</v>
      </c>
      <c r="L3851">
        <v>3</v>
      </c>
      <c r="M3851">
        <v>0</v>
      </c>
      <c r="N3851">
        <v>2</v>
      </c>
      <c r="O3851">
        <v>0</v>
      </c>
      <c r="P3851">
        <v>1</v>
      </c>
      <c r="Q3851">
        <v>0</v>
      </c>
      <c r="S3851" t="str">
        <f t="shared" si="1418"/>
        <v>19:35:54.000</v>
      </c>
      <c r="T3851" t="str">
        <f t="shared" si="1418"/>
        <v>19:35:54.000</v>
      </c>
      <c r="U3851" t="str">
        <f t="shared" si="1413"/>
        <v>AC3944</v>
      </c>
      <c r="V3851">
        <v>0</v>
      </c>
      <c r="W3851">
        <v>0</v>
      </c>
      <c r="X3851">
        <v>2</v>
      </c>
      <c r="Y3851">
        <v>0</v>
      </c>
      <c r="AA3851">
        <v>1</v>
      </c>
      <c r="AB3851">
        <v>8</v>
      </c>
      <c r="AC3851">
        <v>3</v>
      </c>
      <c r="AD3851">
        <v>0</v>
      </c>
      <c r="AE3851">
        <v>9</v>
      </c>
      <c r="AF3851" t="s">
        <v>138</v>
      </c>
      <c r="AG3851">
        <v>0</v>
      </c>
      <c r="AH3851">
        <v>3</v>
      </c>
      <c r="AI3851">
        <v>1</v>
      </c>
      <c r="AJ3851">
        <v>0</v>
      </c>
      <c r="AK3851" t="s">
        <v>1246</v>
      </c>
      <c r="AL3851">
        <v>32.737369999999999</v>
      </c>
      <c r="AM3851" t="s">
        <v>1247</v>
      </c>
      <c r="AN3851">
        <v>-116.69868700000001</v>
      </c>
      <c r="AO3851">
        <v>25</v>
      </c>
      <c r="AP3851">
        <v>4800</v>
      </c>
      <c r="AQ3851" t="s">
        <v>129</v>
      </c>
      <c r="AR3851">
        <v>119</v>
      </c>
      <c r="AS3851">
        <v>-16</v>
      </c>
      <c r="AT3851">
        <v>768</v>
      </c>
      <c r="BB3851">
        <v>1200</v>
      </c>
      <c r="BC3851">
        <v>1</v>
      </c>
      <c r="BD3851" t="str">
        <f t="shared" si="1414"/>
        <v xml:space="preserve">N887QR  </v>
      </c>
      <c r="BE3851">
        <v>1</v>
      </c>
      <c r="BG3851">
        <v>0</v>
      </c>
      <c r="BH3851">
        <v>0</v>
      </c>
      <c r="BI3851">
        <v>0</v>
      </c>
      <c r="BJ3851">
        <v>4600</v>
      </c>
      <c r="BK3851">
        <v>-200</v>
      </c>
      <c r="BL3851" t="s">
        <v>163</v>
      </c>
      <c r="BM3851">
        <v>1</v>
      </c>
      <c r="BN3851">
        <v>1</v>
      </c>
      <c r="BO3851">
        <v>1</v>
      </c>
      <c r="BP3851">
        <v>0</v>
      </c>
      <c r="BS3851">
        <v>0</v>
      </c>
      <c r="BT3851">
        <v>0</v>
      </c>
      <c r="BU3851">
        <v>0</v>
      </c>
      <c r="CE3851" t="str">
        <f t="shared" si="1419"/>
        <v>19:35:54.416</v>
      </c>
      <c r="CF3851">
        <v>416409125</v>
      </c>
      <c r="CS3851">
        <v>0</v>
      </c>
      <c r="CT3851">
        <v>2</v>
      </c>
      <c r="CU3851">
        <v>0</v>
      </c>
      <c r="CV3851">
        <v>2</v>
      </c>
      <c r="CW3851">
        <v>0</v>
      </c>
      <c r="CX3851">
        <v>5</v>
      </c>
      <c r="CY3851">
        <v>7</v>
      </c>
      <c r="CZ3851" t="s">
        <v>131</v>
      </c>
      <c r="DA3851">
        <v>286</v>
      </c>
      <c r="DB3851">
        <v>0</v>
      </c>
      <c r="DC3851" t="s">
        <v>132</v>
      </c>
      <c r="DD3851" t="s">
        <v>133</v>
      </c>
      <c r="DG3851">
        <v>893356</v>
      </c>
      <c r="DI3851">
        <v>1</v>
      </c>
      <c r="DJ3851">
        <v>0</v>
      </c>
      <c r="DK3851">
        <v>0</v>
      </c>
      <c r="DL3851">
        <v>0</v>
      </c>
      <c r="DM3851">
        <v>0</v>
      </c>
      <c r="DN3851">
        <v>1</v>
      </c>
      <c r="DO3851">
        <v>0</v>
      </c>
      <c r="DP3851">
        <v>0</v>
      </c>
      <c r="DQ3851">
        <v>0</v>
      </c>
      <c r="DR3851">
        <v>0</v>
      </c>
      <c r="DS3851">
        <v>0</v>
      </c>
    </row>
    <row r="3852" spans="1:123" x14ac:dyDescent="0.3">
      <c r="A3852" t="str">
        <f>"10/04/2022 19:35:54.636"</f>
        <v>10/04/2022 19:35:54.636</v>
      </c>
      <c r="C3852" t="str">
        <f t="shared" si="1406"/>
        <v>FFDFD3C0</v>
      </c>
      <c r="D3852" t="s">
        <v>136</v>
      </c>
      <c r="E3852">
        <v>8</v>
      </c>
      <c r="H3852">
        <v>225</v>
      </c>
      <c r="I3852" t="s">
        <v>137</v>
      </c>
      <c r="J3852" t="s">
        <v>138</v>
      </c>
      <c r="K3852">
        <v>0</v>
      </c>
      <c r="L3852">
        <v>3</v>
      </c>
      <c r="M3852">
        <v>0</v>
      </c>
      <c r="N3852">
        <v>2</v>
      </c>
      <c r="O3852">
        <v>0</v>
      </c>
      <c r="P3852">
        <v>1</v>
      </c>
      <c r="Q3852">
        <v>0</v>
      </c>
      <c r="S3852" t="str">
        <f t="shared" si="1418"/>
        <v>19:35:54.000</v>
      </c>
      <c r="T3852" t="str">
        <f t="shared" si="1418"/>
        <v>19:35:54.000</v>
      </c>
      <c r="U3852" t="str">
        <f t="shared" si="1413"/>
        <v>AC3944</v>
      </c>
      <c r="V3852">
        <v>0</v>
      </c>
      <c r="W3852">
        <v>0</v>
      </c>
      <c r="X3852">
        <v>2</v>
      </c>
      <c r="Y3852">
        <v>0</v>
      </c>
      <c r="AA3852">
        <v>1</v>
      </c>
      <c r="AB3852">
        <v>8</v>
      </c>
      <c r="AC3852">
        <v>3</v>
      </c>
      <c r="AD3852">
        <v>0</v>
      </c>
      <c r="AE3852">
        <v>9</v>
      </c>
      <c r="AF3852" t="s">
        <v>138</v>
      </c>
      <c r="AG3852">
        <v>0</v>
      </c>
      <c r="AH3852">
        <v>3</v>
      </c>
      <c r="AI3852">
        <v>1</v>
      </c>
      <c r="AJ3852">
        <v>0</v>
      </c>
      <c r="AK3852" t="s">
        <v>1246</v>
      </c>
      <c r="AL3852">
        <v>32.737369999999999</v>
      </c>
      <c r="AM3852" t="s">
        <v>1247</v>
      </c>
      <c r="AN3852">
        <v>-116.69868700000001</v>
      </c>
      <c r="AO3852">
        <v>25</v>
      </c>
      <c r="AP3852">
        <v>4800</v>
      </c>
      <c r="AQ3852" t="s">
        <v>129</v>
      </c>
      <c r="AR3852">
        <v>119</v>
      </c>
      <c r="AS3852">
        <v>-16</v>
      </c>
      <c r="AT3852">
        <v>768</v>
      </c>
      <c r="BB3852">
        <v>1200</v>
      </c>
      <c r="BC3852">
        <v>1</v>
      </c>
      <c r="BD3852" t="str">
        <f t="shared" si="1414"/>
        <v xml:space="preserve">N887QR  </v>
      </c>
      <c r="BE3852">
        <v>1</v>
      </c>
      <c r="BG3852">
        <v>0</v>
      </c>
      <c r="BH3852">
        <v>0</v>
      </c>
      <c r="BI3852">
        <v>0</v>
      </c>
      <c r="BJ3852">
        <v>4600</v>
      </c>
      <c r="BK3852">
        <v>-200</v>
      </c>
      <c r="BL3852" t="s">
        <v>163</v>
      </c>
      <c r="BM3852">
        <v>1</v>
      </c>
      <c r="BN3852">
        <v>1</v>
      </c>
      <c r="BO3852">
        <v>1</v>
      </c>
      <c r="BP3852">
        <v>0</v>
      </c>
      <c r="BS3852">
        <v>0</v>
      </c>
      <c r="BT3852">
        <v>0</v>
      </c>
      <c r="BU3852">
        <v>0</v>
      </c>
      <c r="CE3852" t="str">
        <f t="shared" si="1419"/>
        <v>19:35:54.416</v>
      </c>
      <c r="CF3852">
        <v>416409125</v>
      </c>
      <c r="CS3852">
        <v>0</v>
      </c>
      <c r="CT3852">
        <v>2</v>
      </c>
      <c r="CU3852">
        <v>0</v>
      </c>
      <c r="CV3852">
        <v>2</v>
      </c>
      <c r="CW3852">
        <v>0</v>
      </c>
      <c r="CX3852">
        <v>5</v>
      </c>
      <c r="CY3852">
        <v>7</v>
      </c>
      <c r="CZ3852" t="s">
        <v>131</v>
      </c>
      <c r="DA3852">
        <v>286</v>
      </c>
      <c r="DB3852">
        <v>0</v>
      </c>
      <c r="DC3852" t="s">
        <v>132</v>
      </c>
      <c r="DD3852" t="s">
        <v>133</v>
      </c>
      <c r="DG3852">
        <v>893356</v>
      </c>
      <c r="DI3852">
        <v>1</v>
      </c>
      <c r="DJ3852">
        <v>0</v>
      </c>
      <c r="DK3852">
        <v>1</v>
      </c>
      <c r="DL3852">
        <v>0</v>
      </c>
      <c r="DM3852">
        <v>0</v>
      </c>
      <c r="DN3852">
        <v>1</v>
      </c>
      <c r="DO3852">
        <v>0</v>
      </c>
      <c r="DP3852">
        <v>0</v>
      </c>
      <c r="DQ3852">
        <v>0</v>
      </c>
      <c r="DR3852">
        <v>0</v>
      </c>
      <c r="DS3852">
        <v>0</v>
      </c>
    </row>
    <row r="3853" spans="1:123" x14ac:dyDescent="0.3">
      <c r="A3853" t="str">
        <f>"10/04/2022 19:35:54.652"</f>
        <v>10/04/2022 19:35:54.652</v>
      </c>
      <c r="C3853" t="str">
        <f t="shared" si="1406"/>
        <v>FFDFD3C0</v>
      </c>
      <c r="D3853" t="s">
        <v>123</v>
      </c>
      <c r="E3853">
        <v>7</v>
      </c>
      <c r="F3853">
        <v>2007</v>
      </c>
      <c r="G3853" t="s">
        <v>124</v>
      </c>
      <c r="J3853" t="s">
        <v>125</v>
      </c>
      <c r="K3853">
        <v>0</v>
      </c>
      <c r="L3853">
        <v>3</v>
      </c>
      <c r="M3853">
        <v>0</v>
      </c>
      <c r="N3853">
        <v>2</v>
      </c>
      <c r="O3853">
        <v>0</v>
      </c>
      <c r="P3853">
        <v>1</v>
      </c>
      <c r="Q3853">
        <v>0</v>
      </c>
      <c r="S3853" t="str">
        <f t="shared" si="1418"/>
        <v>19:35:54.000</v>
      </c>
      <c r="T3853" t="str">
        <f t="shared" si="1418"/>
        <v>19:35:54.000</v>
      </c>
      <c r="U3853" t="str">
        <f t="shared" si="1413"/>
        <v>AC3944</v>
      </c>
      <c r="V3853">
        <v>0</v>
      </c>
      <c r="W3853">
        <v>0</v>
      </c>
      <c r="X3853">
        <v>2</v>
      </c>
      <c r="Y3853">
        <v>0</v>
      </c>
      <c r="AA3853">
        <v>1</v>
      </c>
      <c r="AB3853">
        <v>8</v>
      </c>
      <c r="AC3853">
        <v>3</v>
      </c>
      <c r="AD3853">
        <v>0</v>
      </c>
      <c r="AE3853">
        <v>9</v>
      </c>
      <c r="AF3853" t="s">
        <v>138</v>
      </c>
      <c r="AG3853">
        <v>0</v>
      </c>
      <c r="AH3853">
        <v>3</v>
      </c>
      <c r="AI3853">
        <v>1</v>
      </c>
      <c r="AJ3853">
        <v>0</v>
      </c>
      <c r="AK3853" t="s">
        <v>1246</v>
      </c>
      <c r="AL3853">
        <v>32.737369999999999</v>
      </c>
      <c r="AM3853" t="s">
        <v>1247</v>
      </c>
      <c r="AN3853">
        <v>-116.69868700000001</v>
      </c>
      <c r="AO3853">
        <v>25</v>
      </c>
      <c r="AP3853">
        <v>4800</v>
      </c>
      <c r="AQ3853" t="s">
        <v>129</v>
      </c>
      <c r="AR3853">
        <v>119</v>
      </c>
      <c r="AS3853">
        <v>-16</v>
      </c>
      <c r="AT3853">
        <v>768</v>
      </c>
      <c r="BB3853">
        <v>1200</v>
      </c>
      <c r="BC3853">
        <v>1</v>
      </c>
      <c r="BD3853" t="str">
        <f t="shared" si="1414"/>
        <v xml:space="preserve">N887QR  </v>
      </c>
      <c r="BE3853">
        <v>1</v>
      </c>
      <c r="BG3853">
        <v>0</v>
      </c>
      <c r="BH3853">
        <v>0</v>
      </c>
      <c r="BI3853">
        <v>0</v>
      </c>
      <c r="BJ3853">
        <v>4600</v>
      </c>
      <c r="BK3853">
        <v>-200</v>
      </c>
      <c r="BL3853" t="s">
        <v>163</v>
      </c>
      <c r="BM3853">
        <v>1</v>
      </c>
      <c r="BN3853">
        <v>1</v>
      </c>
      <c r="BO3853">
        <v>1</v>
      </c>
      <c r="BP3853">
        <v>0</v>
      </c>
      <c r="BS3853">
        <v>0</v>
      </c>
      <c r="BT3853">
        <v>0</v>
      </c>
      <c r="BU3853">
        <v>0</v>
      </c>
      <c r="CE3853" t="str">
        <f t="shared" si="1419"/>
        <v>19:35:54.416</v>
      </c>
      <c r="CF3853">
        <v>416409125</v>
      </c>
      <c r="CS3853">
        <v>0</v>
      </c>
      <c r="CT3853">
        <v>2</v>
      </c>
      <c r="CU3853">
        <v>0</v>
      </c>
      <c r="CV3853">
        <v>2</v>
      </c>
      <c r="CW3853">
        <v>0</v>
      </c>
      <c r="CX3853">
        <v>5</v>
      </c>
      <c r="CY3853">
        <v>7</v>
      </c>
      <c r="CZ3853" t="s">
        <v>131</v>
      </c>
      <c r="DA3853">
        <v>286</v>
      </c>
      <c r="DB3853">
        <v>0</v>
      </c>
      <c r="DC3853" t="s">
        <v>132</v>
      </c>
      <c r="DD3853" t="s">
        <v>133</v>
      </c>
      <c r="DG3853">
        <v>893356</v>
      </c>
      <c r="DI3853">
        <v>1</v>
      </c>
      <c r="DJ3853">
        <v>0</v>
      </c>
      <c r="DK3853">
        <v>1</v>
      </c>
      <c r="DL3853">
        <v>0</v>
      </c>
      <c r="DM3853">
        <v>0</v>
      </c>
      <c r="DN3853">
        <v>1</v>
      </c>
      <c r="DO3853">
        <v>0</v>
      </c>
      <c r="DP3853">
        <v>0</v>
      </c>
      <c r="DQ3853">
        <v>0</v>
      </c>
      <c r="DR3853">
        <v>0</v>
      </c>
      <c r="DS3853">
        <v>0</v>
      </c>
    </row>
    <row r="3854" spans="1:123" x14ac:dyDescent="0.3">
      <c r="A3854" t="str">
        <f>"10/04/2022 19:35:54.652"</f>
        <v>10/04/2022 19:35:54.652</v>
      </c>
      <c r="C3854" t="str">
        <f t="shared" si="1406"/>
        <v>FFDFD3C0</v>
      </c>
      <c r="D3854" t="s">
        <v>141</v>
      </c>
      <c r="E3854">
        <v>3</v>
      </c>
      <c r="H3854">
        <v>3</v>
      </c>
      <c r="I3854" t="s">
        <v>146</v>
      </c>
      <c r="J3854" t="s">
        <v>138</v>
      </c>
      <c r="K3854">
        <v>0</v>
      </c>
      <c r="L3854">
        <v>3</v>
      </c>
      <c r="M3854">
        <v>0</v>
      </c>
      <c r="N3854">
        <v>2</v>
      </c>
      <c r="O3854">
        <v>0</v>
      </c>
      <c r="P3854">
        <v>1</v>
      </c>
      <c r="Q3854">
        <v>0</v>
      </c>
      <c r="S3854" t="str">
        <f t="shared" si="1418"/>
        <v>19:35:54.000</v>
      </c>
      <c r="T3854" t="str">
        <f t="shared" si="1418"/>
        <v>19:35:54.000</v>
      </c>
      <c r="U3854" t="str">
        <f t="shared" si="1413"/>
        <v>AC3944</v>
      </c>
      <c r="V3854">
        <v>0</v>
      </c>
      <c r="W3854">
        <v>0</v>
      </c>
      <c r="X3854">
        <v>2</v>
      </c>
      <c r="Y3854">
        <v>0</v>
      </c>
      <c r="AA3854">
        <v>1</v>
      </c>
      <c r="AB3854">
        <v>8</v>
      </c>
      <c r="AC3854">
        <v>3</v>
      </c>
      <c r="AD3854">
        <v>0</v>
      </c>
      <c r="AE3854">
        <v>9</v>
      </c>
      <c r="AF3854" t="s">
        <v>138</v>
      </c>
      <c r="AG3854">
        <v>0</v>
      </c>
      <c r="AH3854">
        <v>3</v>
      </c>
      <c r="AI3854">
        <v>1</v>
      </c>
      <c r="AJ3854">
        <v>0</v>
      </c>
      <c r="AK3854" t="s">
        <v>1246</v>
      </c>
      <c r="AL3854">
        <v>32.737369999999999</v>
      </c>
      <c r="AM3854" t="s">
        <v>1247</v>
      </c>
      <c r="AN3854">
        <v>-116.69868700000001</v>
      </c>
      <c r="AO3854">
        <v>25</v>
      </c>
      <c r="AP3854">
        <v>4800</v>
      </c>
      <c r="AQ3854" t="s">
        <v>129</v>
      </c>
      <c r="AR3854">
        <v>119</v>
      </c>
      <c r="AS3854">
        <v>-16</v>
      </c>
      <c r="AT3854">
        <v>768</v>
      </c>
      <c r="BB3854">
        <v>1200</v>
      </c>
      <c r="BC3854">
        <v>1</v>
      </c>
      <c r="BD3854" t="str">
        <f t="shared" si="1414"/>
        <v xml:space="preserve">N887QR  </v>
      </c>
      <c r="BE3854">
        <v>1</v>
      </c>
      <c r="BG3854">
        <v>0</v>
      </c>
      <c r="BH3854">
        <v>0</v>
      </c>
      <c r="BI3854">
        <v>0</v>
      </c>
      <c r="BJ3854">
        <v>4600</v>
      </c>
      <c r="BK3854">
        <v>-200</v>
      </c>
      <c r="BL3854" t="s">
        <v>163</v>
      </c>
      <c r="BM3854">
        <v>1</v>
      </c>
      <c r="BN3854">
        <v>1</v>
      </c>
      <c r="BO3854">
        <v>1</v>
      </c>
      <c r="BP3854">
        <v>0</v>
      </c>
      <c r="BS3854">
        <v>0</v>
      </c>
      <c r="BT3854">
        <v>0</v>
      </c>
      <c r="BU3854">
        <v>0</v>
      </c>
      <c r="CE3854" t="str">
        <f t="shared" si="1419"/>
        <v>19:35:54.416</v>
      </c>
      <c r="CF3854">
        <v>416409125</v>
      </c>
      <c r="CS3854">
        <v>0</v>
      </c>
      <c r="CT3854">
        <v>2</v>
      </c>
      <c r="CU3854">
        <v>0</v>
      </c>
      <c r="CV3854">
        <v>2</v>
      </c>
      <c r="CW3854">
        <v>0</v>
      </c>
      <c r="CX3854">
        <v>5</v>
      </c>
      <c r="CY3854">
        <v>7</v>
      </c>
      <c r="CZ3854" t="s">
        <v>131</v>
      </c>
      <c r="DA3854">
        <v>286</v>
      </c>
      <c r="DB3854">
        <v>0</v>
      </c>
      <c r="DC3854" t="s">
        <v>132</v>
      </c>
      <c r="DD3854" t="s">
        <v>133</v>
      </c>
      <c r="DG3854">
        <v>893356</v>
      </c>
      <c r="DI3854">
        <v>1</v>
      </c>
      <c r="DJ3854">
        <v>0</v>
      </c>
      <c r="DK3854">
        <v>1</v>
      </c>
      <c r="DL3854">
        <v>0</v>
      </c>
      <c r="DM3854">
        <v>0</v>
      </c>
      <c r="DN3854">
        <v>1</v>
      </c>
      <c r="DO3854">
        <v>0</v>
      </c>
      <c r="DP3854">
        <v>0</v>
      </c>
      <c r="DQ3854">
        <v>0</v>
      </c>
      <c r="DR3854">
        <v>0</v>
      </c>
      <c r="DS3854">
        <v>0</v>
      </c>
    </row>
    <row r="3855" spans="1:123" x14ac:dyDescent="0.3">
      <c r="A3855" t="str">
        <f>"10/04/2022 19:35:54.652"</f>
        <v>10/04/2022 19:35:54.652</v>
      </c>
      <c r="C3855" t="str">
        <f t="shared" si="1406"/>
        <v>FFDFD3C0</v>
      </c>
      <c r="D3855" t="s">
        <v>134</v>
      </c>
      <c r="E3855">
        <v>15</v>
      </c>
      <c r="J3855" t="s">
        <v>135</v>
      </c>
      <c r="K3855">
        <v>0</v>
      </c>
      <c r="L3855">
        <v>3</v>
      </c>
      <c r="M3855">
        <v>0</v>
      </c>
      <c r="N3855">
        <v>2</v>
      </c>
      <c r="O3855">
        <v>0</v>
      </c>
      <c r="P3855">
        <v>1</v>
      </c>
      <c r="Q3855">
        <v>0</v>
      </c>
      <c r="S3855" t="str">
        <f t="shared" si="1418"/>
        <v>19:35:54.000</v>
      </c>
      <c r="T3855" t="str">
        <f t="shared" si="1418"/>
        <v>19:35:54.000</v>
      </c>
      <c r="U3855" t="str">
        <f t="shared" si="1413"/>
        <v>AC3944</v>
      </c>
      <c r="V3855">
        <v>0</v>
      </c>
      <c r="W3855">
        <v>0</v>
      </c>
      <c r="X3855">
        <v>2</v>
      </c>
      <c r="Y3855">
        <v>0</v>
      </c>
      <c r="AA3855">
        <v>1</v>
      </c>
      <c r="AB3855">
        <v>8</v>
      </c>
      <c r="AC3855">
        <v>3</v>
      </c>
      <c r="AD3855">
        <v>0</v>
      </c>
      <c r="AE3855">
        <v>9</v>
      </c>
      <c r="AF3855" t="s">
        <v>138</v>
      </c>
      <c r="AG3855">
        <v>0</v>
      </c>
      <c r="AH3855">
        <v>3</v>
      </c>
      <c r="AI3855">
        <v>1</v>
      </c>
      <c r="AJ3855">
        <v>0</v>
      </c>
      <c r="AK3855" t="s">
        <v>1246</v>
      </c>
      <c r="AL3855">
        <v>32.737369999999999</v>
      </c>
      <c r="AM3855" t="s">
        <v>1247</v>
      </c>
      <c r="AN3855">
        <v>-116.69868700000001</v>
      </c>
      <c r="AO3855">
        <v>25</v>
      </c>
      <c r="AP3855">
        <v>4800</v>
      </c>
      <c r="AQ3855" t="s">
        <v>129</v>
      </c>
      <c r="AR3855">
        <v>119</v>
      </c>
      <c r="AS3855">
        <v>-16</v>
      </c>
      <c r="AT3855">
        <v>768</v>
      </c>
      <c r="BB3855">
        <v>1200</v>
      </c>
      <c r="BC3855">
        <v>1</v>
      </c>
      <c r="BD3855" t="str">
        <f t="shared" si="1414"/>
        <v xml:space="preserve">N887QR  </v>
      </c>
      <c r="BE3855">
        <v>1</v>
      </c>
      <c r="BG3855">
        <v>0</v>
      </c>
      <c r="BH3855">
        <v>0</v>
      </c>
      <c r="BI3855">
        <v>0</v>
      </c>
      <c r="BJ3855">
        <v>4600</v>
      </c>
      <c r="BK3855">
        <v>-200</v>
      </c>
      <c r="BL3855" t="s">
        <v>163</v>
      </c>
      <c r="BM3855">
        <v>1</v>
      </c>
      <c r="BN3855">
        <v>1</v>
      </c>
      <c r="BO3855">
        <v>1</v>
      </c>
      <c r="BP3855">
        <v>0</v>
      </c>
      <c r="BS3855">
        <v>0</v>
      </c>
      <c r="BT3855">
        <v>0</v>
      </c>
      <c r="BU3855">
        <v>0</v>
      </c>
      <c r="CE3855" t="str">
        <f t="shared" si="1419"/>
        <v>19:35:54.416</v>
      </c>
      <c r="CF3855">
        <v>416409125</v>
      </c>
      <c r="CS3855">
        <v>0</v>
      </c>
      <c r="CT3855">
        <v>2</v>
      </c>
      <c r="CU3855">
        <v>0</v>
      </c>
      <c r="CV3855">
        <v>2</v>
      </c>
      <c r="CW3855">
        <v>0</v>
      </c>
      <c r="CX3855">
        <v>5</v>
      </c>
      <c r="CY3855">
        <v>7</v>
      </c>
      <c r="CZ3855" t="s">
        <v>131</v>
      </c>
      <c r="DA3855">
        <v>286</v>
      </c>
      <c r="DB3855">
        <v>0</v>
      </c>
      <c r="DC3855" t="s">
        <v>132</v>
      </c>
      <c r="DD3855" t="s">
        <v>133</v>
      </c>
      <c r="DG3855">
        <v>893356</v>
      </c>
      <c r="DI3855">
        <v>1</v>
      </c>
      <c r="DJ3855">
        <v>0</v>
      </c>
      <c r="DK3855">
        <v>1</v>
      </c>
      <c r="DL3855">
        <v>0</v>
      </c>
      <c r="DM3855">
        <v>0</v>
      </c>
      <c r="DN3855">
        <v>1</v>
      </c>
      <c r="DO3855">
        <v>0</v>
      </c>
      <c r="DP3855">
        <v>0</v>
      </c>
      <c r="DQ3855">
        <v>0</v>
      </c>
      <c r="DR3855">
        <v>0</v>
      </c>
      <c r="DS3855">
        <v>0</v>
      </c>
    </row>
    <row r="3856" spans="1:123" x14ac:dyDescent="0.3">
      <c r="A3856" t="str">
        <f>"10/04/2022 19:35:54.652"</f>
        <v>10/04/2022 19:35:54.652</v>
      </c>
      <c r="C3856" t="str">
        <f t="shared" si="1406"/>
        <v>FFDFD3C0</v>
      </c>
      <c r="D3856" t="s">
        <v>141</v>
      </c>
      <c r="E3856">
        <v>4</v>
      </c>
      <c r="H3856">
        <v>4</v>
      </c>
      <c r="I3856" t="s">
        <v>142</v>
      </c>
      <c r="J3856" t="s">
        <v>138</v>
      </c>
      <c r="K3856">
        <v>0</v>
      </c>
      <c r="L3856">
        <v>3</v>
      </c>
      <c r="M3856">
        <v>0</v>
      </c>
      <c r="N3856">
        <v>2</v>
      </c>
      <c r="O3856">
        <v>0</v>
      </c>
      <c r="P3856">
        <v>1</v>
      </c>
      <c r="Q3856">
        <v>0</v>
      </c>
      <c r="S3856" t="str">
        <f t="shared" si="1418"/>
        <v>19:35:54.000</v>
      </c>
      <c r="T3856" t="str">
        <f t="shared" si="1418"/>
        <v>19:35:54.000</v>
      </c>
      <c r="U3856" t="str">
        <f t="shared" si="1413"/>
        <v>AC3944</v>
      </c>
      <c r="V3856">
        <v>0</v>
      </c>
      <c r="W3856">
        <v>0</v>
      </c>
      <c r="X3856">
        <v>2</v>
      </c>
      <c r="Y3856">
        <v>0</v>
      </c>
      <c r="AA3856">
        <v>1</v>
      </c>
      <c r="AB3856">
        <v>8</v>
      </c>
      <c r="AC3856">
        <v>3</v>
      </c>
      <c r="AD3856">
        <v>0</v>
      </c>
      <c r="AE3856">
        <v>9</v>
      </c>
      <c r="AF3856" t="s">
        <v>138</v>
      </c>
      <c r="AG3856">
        <v>0</v>
      </c>
      <c r="AH3856">
        <v>3</v>
      </c>
      <c r="AI3856">
        <v>1</v>
      </c>
      <c r="AJ3856">
        <v>0</v>
      </c>
      <c r="AK3856" t="s">
        <v>1246</v>
      </c>
      <c r="AL3856">
        <v>32.737369999999999</v>
      </c>
      <c r="AM3856" t="s">
        <v>1247</v>
      </c>
      <c r="AN3856">
        <v>-116.69868700000001</v>
      </c>
      <c r="AO3856">
        <v>25</v>
      </c>
      <c r="AP3856">
        <v>4800</v>
      </c>
      <c r="AQ3856" t="s">
        <v>129</v>
      </c>
      <c r="AR3856">
        <v>119</v>
      </c>
      <c r="AS3856">
        <v>-16</v>
      </c>
      <c r="AT3856">
        <v>768</v>
      </c>
      <c r="BB3856">
        <v>1200</v>
      </c>
      <c r="BC3856">
        <v>1</v>
      </c>
      <c r="BD3856" t="str">
        <f t="shared" si="1414"/>
        <v xml:space="preserve">N887QR  </v>
      </c>
      <c r="BE3856">
        <v>1</v>
      </c>
      <c r="BG3856">
        <v>0</v>
      </c>
      <c r="BH3856">
        <v>0</v>
      </c>
      <c r="BI3856">
        <v>0</v>
      </c>
      <c r="BJ3856">
        <v>4600</v>
      </c>
      <c r="BK3856">
        <v>-200</v>
      </c>
      <c r="BL3856" t="s">
        <v>163</v>
      </c>
      <c r="BM3856">
        <v>1</v>
      </c>
      <c r="BN3856">
        <v>1</v>
      </c>
      <c r="BO3856">
        <v>1</v>
      </c>
      <c r="BP3856">
        <v>0</v>
      </c>
      <c r="BS3856">
        <v>0</v>
      </c>
      <c r="BT3856">
        <v>0</v>
      </c>
      <c r="BU3856">
        <v>0</v>
      </c>
      <c r="CE3856" t="str">
        <f t="shared" si="1419"/>
        <v>19:35:54.416</v>
      </c>
      <c r="CF3856">
        <v>416409125</v>
      </c>
      <c r="CS3856">
        <v>0</v>
      </c>
      <c r="CT3856">
        <v>2</v>
      </c>
      <c r="CU3856">
        <v>0</v>
      </c>
      <c r="CV3856">
        <v>2</v>
      </c>
      <c r="CW3856">
        <v>0</v>
      </c>
      <c r="CX3856">
        <v>5</v>
      </c>
      <c r="CY3856">
        <v>7</v>
      </c>
      <c r="CZ3856" t="s">
        <v>131</v>
      </c>
      <c r="DA3856">
        <v>286</v>
      </c>
      <c r="DB3856">
        <v>0</v>
      </c>
      <c r="DC3856" t="s">
        <v>132</v>
      </c>
      <c r="DD3856" t="s">
        <v>133</v>
      </c>
      <c r="DG3856">
        <v>893356</v>
      </c>
      <c r="DI3856">
        <v>1</v>
      </c>
      <c r="DJ3856">
        <v>0</v>
      </c>
      <c r="DK3856">
        <v>1</v>
      </c>
      <c r="DL3856">
        <v>0</v>
      </c>
      <c r="DM3856">
        <v>0</v>
      </c>
      <c r="DN3856">
        <v>1</v>
      </c>
      <c r="DO3856">
        <v>0</v>
      </c>
      <c r="DP3856">
        <v>0</v>
      </c>
      <c r="DQ3856">
        <v>0</v>
      </c>
      <c r="DR3856">
        <v>0</v>
      </c>
      <c r="DS3856">
        <v>0</v>
      </c>
    </row>
    <row r="3857" spans="1:123" x14ac:dyDescent="0.3">
      <c r="A3857" t="str">
        <f>"10/04/2022 19:35:55.183"</f>
        <v>10/04/2022 19:35:55.183</v>
      </c>
      <c r="C3857" t="str">
        <f t="shared" si="1406"/>
        <v>FFDFD3C0</v>
      </c>
      <c r="D3857" t="s">
        <v>147</v>
      </c>
      <c r="E3857">
        <v>3</v>
      </c>
      <c r="H3857">
        <v>166</v>
      </c>
      <c r="I3857" t="s">
        <v>144</v>
      </c>
      <c r="J3857" t="s">
        <v>148</v>
      </c>
      <c r="K3857">
        <v>0</v>
      </c>
      <c r="L3857">
        <v>3</v>
      </c>
      <c r="M3857">
        <v>0</v>
      </c>
      <c r="N3857">
        <v>2</v>
      </c>
      <c r="O3857">
        <v>0</v>
      </c>
      <c r="P3857">
        <v>1</v>
      </c>
      <c r="Q3857">
        <v>0</v>
      </c>
      <c r="S3857" t="str">
        <f t="shared" si="1418"/>
        <v>19:35:54.000</v>
      </c>
      <c r="T3857" t="str">
        <f t="shared" si="1418"/>
        <v>19:35:54.000</v>
      </c>
      <c r="U3857" t="str">
        <f t="shared" si="1413"/>
        <v>AC3944</v>
      </c>
      <c r="V3857">
        <v>0</v>
      </c>
      <c r="W3857">
        <v>0</v>
      </c>
      <c r="X3857">
        <v>2</v>
      </c>
      <c r="Y3857">
        <v>0</v>
      </c>
      <c r="AA3857">
        <v>1</v>
      </c>
      <c r="AB3857">
        <v>8</v>
      </c>
      <c r="AC3857">
        <v>3</v>
      </c>
      <c r="AD3857">
        <v>0</v>
      </c>
      <c r="AE3857">
        <v>9</v>
      </c>
      <c r="AF3857" t="s">
        <v>138</v>
      </c>
      <c r="AG3857">
        <v>0</v>
      </c>
      <c r="AH3857">
        <v>3</v>
      </c>
      <c r="AI3857">
        <v>1</v>
      </c>
      <c r="AJ3857">
        <v>0</v>
      </c>
      <c r="AK3857" t="s">
        <v>1248</v>
      </c>
      <c r="AL3857">
        <v>32.737284000000002</v>
      </c>
      <c r="AM3857" t="s">
        <v>1249</v>
      </c>
      <c r="AN3857">
        <v>-116.69802199999999</v>
      </c>
      <c r="AO3857">
        <v>25</v>
      </c>
      <c r="AP3857">
        <v>4800</v>
      </c>
      <c r="AQ3857" t="s">
        <v>129</v>
      </c>
      <c r="AR3857">
        <v>119</v>
      </c>
      <c r="AS3857">
        <v>-16</v>
      </c>
      <c r="AT3857">
        <v>768</v>
      </c>
      <c r="BB3857">
        <v>1200</v>
      </c>
      <c r="BC3857">
        <v>1</v>
      </c>
      <c r="BD3857" t="str">
        <f t="shared" si="1414"/>
        <v xml:space="preserve">N887QR  </v>
      </c>
      <c r="BE3857">
        <v>1</v>
      </c>
      <c r="BG3857">
        <v>0</v>
      </c>
      <c r="BH3857">
        <v>0</v>
      </c>
      <c r="BI3857">
        <v>0</v>
      </c>
      <c r="BJ3857">
        <v>4600</v>
      </c>
      <c r="BK3857">
        <v>-200</v>
      </c>
      <c r="BL3857" t="s">
        <v>163</v>
      </c>
      <c r="BM3857">
        <v>1</v>
      </c>
      <c r="BN3857">
        <v>1</v>
      </c>
      <c r="BO3857">
        <v>1</v>
      </c>
      <c r="BP3857">
        <v>0</v>
      </c>
      <c r="BS3857">
        <v>0</v>
      </c>
      <c r="BT3857">
        <v>0</v>
      </c>
      <c r="BU3857">
        <v>0</v>
      </c>
      <c r="CE3857" t="str">
        <f t="shared" ref="CE3857:CE3863" si="1420">"19:35:54.905"</f>
        <v>19:35:54.905</v>
      </c>
      <c r="CF3857">
        <v>905410757</v>
      </c>
      <c r="CS3857">
        <v>0</v>
      </c>
      <c r="CT3857">
        <v>2</v>
      </c>
      <c r="CU3857">
        <v>0</v>
      </c>
      <c r="CV3857">
        <v>2</v>
      </c>
      <c r="CW3857">
        <v>0</v>
      </c>
      <c r="CX3857">
        <v>5</v>
      </c>
      <c r="CY3857">
        <v>7</v>
      </c>
      <c r="CZ3857" t="s">
        <v>131</v>
      </c>
      <c r="DA3857">
        <v>286</v>
      </c>
      <c r="DB3857">
        <v>0</v>
      </c>
      <c r="DC3857" t="s">
        <v>132</v>
      </c>
      <c r="DD3857" t="s">
        <v>133</v>
      </c>
      <c r="DG3857">
        <v>893505</v>
      </c>
      <c r="DI3857">
        <v>1</v>
      </c>
      <c r="DJ3857">
        <v>0</v>
      </c>
      <c r="DK3857">
        <v>0</v>
      </c>
      <c r="DL3857">
        <v>0</v>
      </c>
      <c r="DM3857">
        <v>0</v>
      </c>
      <c r="DN3857">
        <v>1</v>
      </c>
      <c r="DO3857">
        <v>0</v>
      </c>
      <c r="DP3857">
        <v>0</v>
      </c>
      <c r="DQ3857">
        <v>0</v>
      </c>
      <c r="DR3857">
        <v>0</v>
      </c>
      <c r="DS3857">
        <v>0</v>
      </c>
    </row>
    <row r="3858" spans="1:123" x14ac:dyDescent="0.3">
      <c r="A3858" t="str">
        <f>"10/04/2022 19:35:55.293"</f>
        <v>10/04/2022 19:35:55.293</v>
      </c>
      <c r="C3858" t="str">
        <f t="shared" si="1406"/>
        <v>FFDFD3C0</v>
      </c>
      <c r="D3858" t="s">
        <v>143</v>
      </c>
      <c r="E3858">
        <v>20</v>
      </c>
      <c r="F3858">
        <v>1020</v>
      </c>
      <c r="G3858" t="s">
        <v>144</v>
      </c>
      <c r="J3858" t="s">
        <v>145</v>
      </c>
      <c r="K3858">
        <v>0</v>
      </c>
      <c r="L3858">
        <v>3</v>
      </c>
      <c r="M3858">
        <v>0</v>
      </c>
      <c r="N3858">
        <v>2</v>
      </c>
      <c r="O3858">
        <v>0</v>
      </c>
      <c r="P3858">
        <v>1</v>
      </c>
      <c r="Q3858">
        <v>0</v>
      </c>
      <c r="S3858" t="str">
        <f t="shared" si="1418"/>
        <v>19:35:54.000</v>
      </c>
      <c r="T3858" t="str">
        <f t="shared" si="1418"/>
        <v>19:35:54.000</v>
      </c>
      <c r="U3858" t="str">
        <f t="shared" si="1413"/>
        <v>AC3944</v>
      </c>
      <c r="V3858">
        <v>0</v>
      </c>
      <c r="W3858">
        <v>0</v>
      </c>
      <c r="X3858">
        <v>2</v>
      </c>
      <c r="Y3858">
        <v>0</v>
      </c>
      <c r="AA3858">
        <v>1</v>
      </c>
      <c r="AB3858">
        <v>8</v>
      </c>
      <c r="AC3858">
        <v>3</v>
      </c>
      <c r="AD3858">
        <v>0</v>
      </c>
      <c r="AE3858">
        <v>9</v>
      </c>
      <c r="AF3858" t="s">
        <v>138</v>
      </c>
      <c r="AG3858">
        <v>0</v>
      </c>
      <c r="AH3858">
        <v>3</v>
      </c>
      <c r="AI3858">
        <v>1</v>
      </c>
      <c r="AJ3858">
        <v>0</v>
      </c>
      <c r="AK3858" t="s">
        <v>1248</v>
      </c>
      <c r="AL3858">
        <v>32.737284000000002</v>
      </c>
      <c r="AM3858" t="s">
        <v>1249</v>
      </c>
      <c r="AN3858">
        <v>-116.69802199999999</v>
      </c>
      <c r="AO3858">
        <v>25</v>
      </c>
      <c r="AP3858">
        <v>4800</v>
      </c>
      <c r="AQ3858" t="s">
        <v>129</v>
      </c>
      <c r="AR3858">
        <v>119</v>
      </c>
      <c r="AS3858">
        <v>-16</v>
      </c>
      <c r="AT3858">
        <v>768</v>
      </c>
      <c r="BB3858">
        <v>1200</v>
      </c>
      <c r="BC3858">
        <v>1</v>
      </c>
      <c r="BD3858" t="str">
        <f t="shared" si="1414"/>
        <v xml:space="preserve">N887QR  </v>
      </c>
      <c r="BE3858">
        <v>1</v>
      </c>
      <c r="BG3858">
        <v>0</v>
      </c>
      <c r="BH3858">
        <v>0</v>
      </c>
      <c r="BI3858">
        <v>0</v>
      </c>
      <c r="BJ3858">
        <v>4600</v>
      </c>
      <c r="BK3858">
        <v>-200</v>
      </c>
      <c r="BL3858" t="s">
        <v>163</v>
      </c>
      <c r="BM3858">
        <v>1</v>
      </c>
      <c r="BN3858">
        <v>1</v>
      </c>
      <c r="BO3858">
        <v>1</v>
      </c>
      <c r="BP3858">
        <v>0</v>
      </c>
      <c r="BS3858">
        <v>0</v>
      </c>
      <c r="BT3858">
        <v>0</v>
      </c>
      <c r="BU3858">
        <v>0</v>
      </c>
      <c r="CE3858" t="str">
        <f t="shared" si="1420"/>
        <v>19:35:54.905</v>
      </c>
      <c r="CF3858">
        <v>905410757</v>
      </c>
      <c r="CS3858">
        <v>0</v>
      </c>
      <c r="CT3858">
        <v>2</v>
      </c>
      <c r="CU3858">
        <v>0</v>
      </c>
      <c r="CV3858">
        <v>2</v>
      </c>
      <c r="CW3858">
        <v>0</v>
      </c>
      <c r="CX3858">
        <v>5</v>
      </c>
      <c r="CY3858">
        <v>7</v>
      </c>
      <c r="CZ3858" t="s">
        <v>131</v>
      </c>
      <c r="DA3858">
        <v>286</v>
      </c>
      <c r="DB3858">
        <v>0</v>
      </c>
      <c r="DC3858" t="s">
        <v>132</v>
      </c>
      <c r="DD3858" t="s">
        <v>133</v>
      </c>
      <c r="DG3858">
        <v>893505</v>
      </c>
      <c r="DI3858">
        <v>1</v>
      </c>
      <c r="DJ3858">
        <v>0</v>
      </c>
      <c r="DK3858">
        <v>1</v>
      </c>
      <c r="DL3858">
        <v>0</v>
      </c>
      <c r="DM3858">
        <v>0</v>
      </c>
      <c r="DN3858">
        <v>1</v>
      </c>
      <c r="DO3858">
        <v>0</v>
      </c>
      <c r="DP3858">
        <v>0</v>
      </c>
      <c r="DQ3858">
        <v>0</v>
      </c>
      <c r="DR3858">
        <v>0</v>
      </c>
      <c r="DS3858">
        <v>0</v>
      </c>
    </row>
    <row r="3859" spans="1:123" x14ac:dyDescent="0.3">
      <c r="A3859" t="str">
        <f>"10/04/2022 19:35:55.293"</f>
        <v>10/04/2022 19:35:55.293</v>
      </c>
      <c r="C3859" t="str">
        <f t="shared" si="1406"/>
        <v>FFDFD3C0</v>
      </c>
      <c r="D3859" t="s">
        <v>136</v>
      </c>
      <c r="E3859">
        <v>8</v>
      </c>
      <c r="H3859">
        <v>225</v>
      </c>
      <c r="I3859" t="s">
        <v>137</v>
      </c>
      <c r="J3859" t="s">
        <v>138</v>
      </c>
      <c r="K3859">
        <v>0</v>
      </c>
      <c r="L3859">
        <v>3</v>
      </c>
      <c r="M3859">
        <v>0</v>
      </c>
      <c r="N3859">
        <v>2</v>
      </c>
      <c r="O3859">
        <v>0</v>
      </c>
      <c r="P3859">
        <v>1</v>
      </c>
      <c r="Q3859">
        <v>0</v>
      </c>
      <c r="S3859" t="str">
        <f t="shared" si="1418"/>
        <v>19:35:54.000</v>
      </c>
      <c r="T3859" t="str">
        <f t="shared" si="1418"/>
        <v>19:35:54.000</v>
      </c>
      <c r="U3859" t="str">
        <f t="shared" si="1413"/>
        <v>AC3944</v>
      </c>
      <c r="V3859">
        <v>0</v>
      </c>
      <c r="W3859">
        <v>0</v>
      </c>
      <c r="X3859">
        <v>2</v>
      </c>
      <c r="Y3859">
        <v>0</v>
      </c>
      <c r="AA3859">
        <v>1</v>
      </c>
      <c r="AB3859">
        <v>8</v>
      </c>
      <c r="AC3859">
        <v>3</v>
      </c>
      <c r="AD3859">
        <v>0</v>
      </c>
      <c r="AE3859">
        <v>9</v>
      </c>
      <c r="AF3859" t="s">
        <v>138</v>
      </c>
      <c r="AG3859">
        <v>0</v>
      </c>
      <c r="AH3859">
        <v>3</v>
      </c>
      <c r="AI3859">
        <v>1</v>
      </c>
      <c r="AJ3859">
        <v>0</v>
      </c>
      <c r="AK3859" t="s">
        <v>1248</v>
      </c>
      <c r="AL3859">
        <v>32.737284000000002</v>
      </c>
      <c r="AM3859" t="s">
        <v>1249</v>
      </c>
      <c r="AN3859">
        <v>-116.69802199999999</v>
      </c>
      <c r="AO3859">
        <v>25</v>
      </c>
      <c r="AP3859">
        <v>4800</v>
      </c>
      <c r="AQ3859" t="s">
        <v>129</v>
      </c>
      <c r="AR3859">
        <v>119</v>
      </c>
      <c r="AS3859">
        <v>-16</v>
      </c>
      <c r="AT3859">
        <v>768</v>
      </c>
      <c r="BB3859">
        <v>1200</v>
      </c>
      <c r="BC3859">
        <v>1</v>
      </c>
      <c r="BD3859" t="str">
        <f t="shared" si="1414"/>
        <v xml:space="preserve">N887QR  </v>
      </c>
      <c r="BE3859">
        <v>1</v>
      </c>
      <c r="BG3859">
        <v>0</v>
      </c>
      <c r="BH3859">
        <v>0</v>
      </c>
      <c r="BI3859">
        <v>0</v>
      </c>
      <c r="BJ3859">
        <v>4600</v>
      </c>
      <c r="BK3859">
        <v>-200</v>
      </c>
      <c r="BL3859" t="s">
        <v>163</v>
      </c>
      <c r="BM3859">
        <v>1</v>
      </c>
      <c r="BN3859">
        <v>1</v>
      </c>
      <c r="BO3859">
        <v>1</v>
      </c>
      <c r="BP3859">
        <v>0</v>
      </c>
      <c r="BS3859">
        <v>0</v>
      </c>
      <c r="BT3859">
        <v>0</v>
      </c>
      <c r="BU3859">
        <v>0</v>
      </c>
      <c r="CE3859" t="str">
        <f t="shared" si="1420"/>
        <v>19:35:54.905</v>
      </c>
      <c r="CF3859">
        <v>905410757</v>
      </c>
      <c r="CS3859">
        <v>0</v>
      </c>
      <c r="CT3859">
        <v>2</v>
      </c>
      <c r="CU3859">
        <v>0</v>
      </c>
      <c r="CV3859">
        <v>2</v>
      </c>
      <c r="CW3859">
        <v>0</v>
      </c>
      <c r="CX3859">
        <v>5</v>
      </c>
      <c r="CY3859">
        <v>7</v>
      </c>
      <c r="CZ3859" t="s">
        <v>131</v>
      </c>
      <c r="DA3859">
        <v>286</v>
      </c>
      <c r="DB3859">
        <v>0</v>
      </c>
      <c r="DC3859" t="s">
        <v>132</v>
      </c>
      <c r="DD3859" t="s">
        <v>133</v>
      </c>
      <c r="DG3859">
        <v>893505</v>
      </c>
      <c r="DI3859">
        <v>1</v>
      </c>
      <c r="DJ3859">
        <v>0</v>
      </c>
      <c r="DK3859">
        <v>1</v>
      </c>
      <c r="DL3859">
        <v>0</v>
      </c>
      <c r="DM3859">
        <v>0</v>
      </c>
      <c r="DN3859">
        <v>1</v>
      </c>
      <c r="DO3859">
        <v>0</v>
      </c>
      <c r="DP3859">
        <v>0</v>
      </c>
      <c r="DQ3859">
        <v>0</v>
      </c>
      <c r="DR3859">
        <v>0</v>
      </c>
      <c r="DS3859">
        <v>0</v>
      </c>
    </row>
    <row r="3860" spans="1:123" x14ac:dyDescent="0.3">
      <c r="A3860" t="str">
        <f>"10/04/2022 19:35:55.293"</f>
        <v>10/04/2022 19:35:55.293</v>
      </c>
      <c r="C3860" t="str">
        <f t="shared" si="1406"/>
        <v>FFDFD3C0</v>
      </c>
      <c r="D3860" t="s">
        <v>123</v>
      </c>
      <c r="E3860">
        <v>7</v>
      </c>
      <c r="F3860">
        <v>2007</v>
      </c>
      <c r="G3860" t="s">
        <v>124</v>
      </c>
      <c r="J3860" t="s">
        <v>125</v>
      </c>
      <c r="K3860">
        <v>0</v>
      </c>
      <c r="L3860">
        <v>3</v>
      </c>
      <c r="M3860">
        <v>0</v>
      </c>
      <c r="N3860">
        <v>2</v>
      </c>
      <c r="O3860">
        <v>0</v>
      </c>
      <c r="P3860">
        <v>1</v>
      </c>
      <c r="Q3860">
        <v>0</v>
      </c>
      <c r="S3860" t="str">
        <f t="shared" si="1418"/>
        <v>19:35:54.000</v>
      </c>
      <c r="T3860" t="str">
        <f t="shared" si="1418"/>
        <v>19:35:54.000</v>
      </c>
      <c r="U3860" t="str">
        <f t="shared" si="1413"/>
        <v>AC3944</v>
      </c>
      <c r="V3860">
        <v>0</v>
      </c>
      <c r="W3860">
        <v>0</v>
      </c>
      <c r="X3860">
        <v>2</v>
      </c>
      <c r="Y3860">
        <v>0</v>
      </c>
      <c r="AA3860">
        <v>1</v>
      </c>
      <c r="AB3860">
        <v>8</v>
      </c>
      <c r="AC3860">
        <v>3</v>
      </c>
      <c r="AD3860">
        <v>0</v>
      </c>
      <c r="AE3860">
        <v>9</v>
      </c>
      <c r="AF3860" t="s">
        <v>138</v>
      </c>
      <c r="AG3860">
        <v>0</v>
      </c>
      <c r="AH3860">
        <v>3</v>
      </c>
      <c r="AI3860">
        <v>1</v>
      </c>
      <c r="AJ3860">
        <v>0</v>
      </c>
      <c r="AK3860" t="s">
        <v>1248</v>
      </c>
      <c r="AL3860">
        <v>32.737284000000002</v>
      </c>
      <c r="AM3860" t="s">
        <v>1249</v>
      </c>
      <c r="AN3860">
        <v>-116.69802199999999</v>
      </c>
      <c r="AO3860">
        <v>25</v>
      </c>
      <c r="AP3860">
        <v>4800</v>
      </c>
      <c r="AQ3860" t="s">
        <v>129</v>
      </c>
      <c r="AR3860">
        <v>119</v>
      </c>
      <c r="AS3860">
        <v>-16</v>
      </c>
      <c r="AT3860">
        <v>768</v>
      </c>
      <c r="BB3860">
        <v>1200</v>
      </c>
      <c r="BC3860">
        <v>1</v>
      </c>
      <c r="BD3860" t="str">
        <f t="shared" si="1414"/>
        <v xml:space="preserve">N887QR  </v>
      </c>
      <c r="BE3860">
        <v>1</v>
      </c>
      <c r="BG3860">
        <v>0</v>
      </c>
      <c r="BH3860">
        <v>0</v>
      </c>
      <c r="BI3860">
        <v>0</v>
      </c>
      <c r="BJ3860">
        <v>4600</v>
      </c>
      <c r="BK3860">
        <v>-200</v>
      </c>
      <c r="BL3860" t="s">
        <v>163</v>
      </c>
      <c r="BM3860">
        <v>1</v>
      </c>
      <c r="BN3860">
        <v>1</v>
      </c>
      <c r="BO3860">
        <v>1</v>
      </c>
      <c r="BP3860">
        <v>0</v>
      </c>
      <c r="BS3860">
        <v>0</v>
      </c>
      <c r="BT3860">
        <v>0</v>
      </c>
      <c r="BU3860">
        <v>0</v>
      </c>
      <c r="CE3860" t="str">
        <f t="shared" si="1420"/>
        <v>19:35:54.905</v>
      </c>
      <c r="CF3860">
        <v>905410757</v>
      </c>
      <c r="CS3860">
        <v>0</v>
      </c>
      <c r="CT3860">
        <v>2</v>
      </c>
      <c r="CU3860">
        <v>0</v>
      </c>
      <c r="CV3860">
        <v>2</v>
      </c>
      <c r="CW3860">
        <v>0</v>
      </c>
      <c r="CX3860">
        <v>5</v>
      </c>
      <c r="CY3860">
        <v>7</v>
      </c>
      <c r="CZ3860" t="s">
        <v>131</v>
      </c>
      <c r="DA3860">
        <v>286</v>
      </c>
      <c r="DB3860">
        <v>0</v>
      </c>
      <c r="DC3860" t="s">
        <v>132</v>
      </c>
      <c r="DD3860" t="s">
        <v>133</v>
      </c>
      <c r="DG3860">
        <v>893505</v>
      </c>
      <c r="DI3860">
        <v>1</v>
      </c>
      <c r="DJ3860">
        <v>0</v>
      </c>
      <c r="DK3860">
        <v>0</v>
      </c>
      <c r="DL3860">
        <v>0</v>
      </c>
      <c r="DM3860">
        <v>0</v>
      </c>
      <c r="DN3860">
        <v>1</v>
      </c>
      <c r="DO3860">
        <v>0</v>
      </c>
      <c r="DP3860">
        <v>0</v>
      </c>
      <c r="DQ3860">
        <v>0</v>
      </c>
      <c r="DR3860">
        <v>0</v>
      </c>
      <c r="DS3860">
        <v>0</v>
      </c>
    </row>
    <row r="3861" spans="1:123" x14ac:dyDescent="0.3">
      <c r="A3861" t="str">
        <f>"10/04/2022 19:35:55.325"</f>
        <v>10/04/2022 19:35:55.325</v>
      </c>
      <c r="C3861" t="str">
        <f t="shared" si="1406"/>
        <v>FFDFD3C0</v>
      </c>
      <c r="D3861" t="s">
        <v>141</v>
      </c>
      <c r="E3861">
        <v>3</v>
      </c>
      <c r="H3861">
        <v>3</v>
      </c>
      <c r="I3861" t="s">
        <v>146</v>
      </c>
      <c r="J3861" t="s">
        <v>138</v>
      </c>
      <c r="K3861">
        <v>0</v>
      </c>
      <c r="L3861">
        <v>3</v>
      </c>
      <c r="M3861">
        <v>0</v>
      </c>
      <c r="N3861">
        <v>2</v>
      </c>
      <c r="O3861">
        <v>0</v>
      </c>
      <c r="P3861">
        <v>1</v>
      </c>
      <c r="Q3861">
        <v>0</v>
      </c>
      <c r="S3861" t="str">
        <f t="shared" si="1418"/>
        <v>19:35:54.000</v>
      </c>
      <c r="T3861" t="str">
        <f t="shared" si="1418"/>
        <v>19:35:54.000</v>
      </c>
      <c r="U3861" t="str">
        <f t="shared" si="1413"/>
        <v>AC3944</v>
      </c>
      <c r="V3861">
        <v>0</v>
      </c>
      <c r="W3861">
        <v>0</v>
      </c>
      <c r="X3861">
        <v>2</v>
      </c>
      <c r="Y3861">
        <v>0</v>
      </c>
      <c r="AA3861">
        <v>1</v>
      </c>
      <c r="AB3861">
        <v>8</v>
      </c>
      <c r="AC3861">
        <v>3</v>
      </c>
      <c r="AD3861">
        <v>0</v>
      </c>
      <c r="AE3861">
        <v>9</v>
      </c>
      <c r="AF3861" t="s">
        <v>138</v>
      </c>
      <c r="AG3861">
        <v>0</v>
      </c>
      <c r="AH3861">
        <v>3</v>
      </c>
      <c r="AI3861">
        <v>1</v>
      </c>
      <c r="AJ3861">
        <v>0</v>
      </c>
      <c r="AK3861" t="s">
        <v>1248</v>
      </c>
      <c r="AL3861">
        <v>32.737284000000002</v>
      </c>
      <c r="AM3861" t="s">
        <v>1249</v>
      </c>
      <c r="AN3861">
        <v>-116.69802199999999</v>
      </c>
      <c r="AO3861">
        <v>25</v>
      </c>
      <c r="AP3861">
        <v>4800</v>
      </c>
      <c r="AQ3861" t="s">
        <v>129</v>
      </c>
      <c r="AR3861">
        <v>119</v>
      </c>
      <c r="AS3861">
        <v>-16</v>
      </c>
      <c r="AT3861">
        <v>768</v>
      </c>
      <c r="BB3861">
        <v>1200</v>
      </c>
      <c r="BC3861">
        <v>1</v>
      </c>
      <c r="BD3861" t="str">
        <f t="shared" si="1414"/>
        <v xml:space="preserve">N887QR  </v>
      </c>
      <c r="BE3861">
        <v>1</v>
      </c>
      <c r="BG3861">
        <v>0</v>
      </c>
      <c r="BH3861">
        <v>0</v>
      </c>
      <c r="BI3861">
        <v>0</v>
      </c>
      <c r="BJ3861">
        <v>4600</v>
      </c>
      <c r="BK3861">
        <v>-200</v>
      </c>
      <c r="BL3861" t="s">
        <v>163</v>
      </c>
      <c r="BM3861">
        <v>1</v>
      </c>
      <c r="BN3861">
        <v>1</v>
      </c>
      <c r="BO3861">
        <v>1</v>
      </c>
      <c r="BP3861">
        <v>0</v>
      </c>
      <c r="BS3861">
        <v>0</v>
      </c>
      <c r="BT3861">
        <v>0</v>
      </c>
      <c r="BU3861">
        <v>0</v>
      </c>
      <c r="CE3861" t="str">
        <f t="shared" si="1420"/>
        <v>19:35:54.905</v>
      </c>
      <c r="CF3861">
        <v>905410757</v>
      </c>
      <c r="CS3861">
        <v>0</v>
      </c>
      <c r="CT3861">
        <v>2</v>
      </c>
      <c r="CU3861">
        <v>0</v>
      </c>
      <c r="CV3861">
        <v>2</v>
      </c>
      <c r="CW3861">
        <v>0</v>
      </c>
      <c r="CX3861">
        <v>5</v>
      </c>
      <c r="CY3861">
        <v>7</v>
      </c>
      <c r="CZ3861" t="s">
        <v>131</v>
      </c>
      <c r="DA3861">
        <v>286</v>
      </c>
      <c r="DB3861">
        <v>0</v>
      </c>
      <c r="DC3861" t="s">
        <v>132</v>
      </c>
      <c r="DD3861" t="s">
        <v>133</v>
      </c>
      <c r="DG3861">
        <v>893505</v>
      </c>
      <c r="DI3861">
        <v>1</v>
      </c>
      <c r="DJ3861">
        <v>0</v>
      </c>
      <c r="DK3861">
        <v>0</v>
      </c>
      <c r="DL3861">
        <v>0</v>
      </c>
      <c r="DM3861">
        <v>0</v>
      </c>
      <c r="DN3861">
        <v>1</v>
      </c>
      <c r="DO3861">
        <v>0</v>
      </c>
      <c r="DP3861">
        <v>0</v>
      </c>
      <c r="DQ3861">
        <v>0</v>
      </c>
      <c r="DR3861">
        <v>0</v>
      </c>
      <c r="DS3861">
        <v>0</v>
      </c>
    </row>
    <row r="3862" spans="1:123" x14ac:dyDescent="0.3">
      <c r="A3862" t="str">
        <f>"10/04/2022 19:35:55.325"</f>
        <v>10/04/2022 19:35:55.325</v>
      </c>
      <c r="C3862" t="str">
        <f t="shared" si="1406"/>
        <v>FFDFD3C0</v>
      </c>
      <c r="D3862" t="s">
        <v>134</v>
      </c>
      <c r="E3862">
        <v>15</v>
      </c>
      <c r="J3862" t="s">
        <v>135</v>
      </c>
      <c r="K3862">
        <v>0</v>
      </c>
      <c r="L3862">
        <v>3</v>
      </c>
      <c r="M3862">
        <v>0</v>
      </c>
      <c r="N3862">
        <v>2</v>
      </c>
      <c r="O3862">
        <v>0</v>
      </c>
      <c r="P3862">
        <v>1</v>
      </c>
      <c r="Q3862">
        <v>0</v>
      </c>
      <c r="S3862" t="str">
        <f t="shared" si="1418"/>
        <v>19:35:54.000</v>
      </c>
      <c r="T3862" t="str">
        <f t="shared" si="1418"/>
        <v>19:35:54.000</v>
      </c>
      <c r="U3862" t="str">
        <f t="shared" si="1413"/>
        <v>AC3944</v>
      </c>
      <c r="V3862">
        <v>0</v>
      </c>
      <c r="W3862">
        <v>0</v>
      </c>
      <c r="X3862">
        <v>2</v>
      </c>
      <c r="Y3862">
        <v>0</v>
      </c>
      <c r="AA3862">
        <v>1</v>
      </c>
      <c r="AB3862">
        <v>8</v>
      </c>
      <c r="AC3862">
        <v>3</v>
      </c>
      <c r="AD3862">
        <v>0</v>
      </c>
      <c r="AE3862">
        <v>9</v>
      </c>
      <c r="AF3862" t="s">
        <v>138</v>
      </c>
      <c r="AG3862">
        <v>0</v>
      </c>
      <c r="AH3862">
        <v>3</v>
      </c>
      <c r="AI3862">
        <v>1</v>
      </c>
      <c r="AJ3862">
        <v>0</v>
      </c>
      <c r="AK3862" t="s">
        <v>1248</v>
      </c>
      <c r="AL3862">
        <v>32.737284000000002</v>
      </c>
      <c r="AM3862" t="s">
        <v>1249</v>
      </c>
      <c r="AN3862">
        <v>-116.69802199999999</v>
      </c>
      <c r="AO3862">
        <v>25</v>
      </c>
      <c r="AP3862">
        <v>4800</v>
      </c>
      <c r="AQ3862" t="s">
        <v>129</v>
      </c>
      <c r="AR3862">
        <v>119</v>
      </c>
      <c r="AS3862">
        <v>-16</v>
      </c>
      <c r="AT3862">
        <v>768</v>
      </c>
      <c r="BB3862">
        <v>1200</v>
      </c>
      <c r="BC3862">
        <v>1</v>
      </c>
      <c r="BD3862" t="str">
        <f t="shared" si="1414"/>
        <v xml:space="preserve">N887QR  </v>
      </c>
      <c r="BE3862">
        <v>1</v>
      </c>
      <c r="BG3862">
        <v>0</v>
      </c>
      <c r="BH3862">
        <v>0</v>
      </c>
      <c r="BI3862">
        <v>0</v>
      </c>
      <c r="BJ3862">
        <v>4600</v>
      </c>
      <c r="BK3862">
        <v>-200</v>
      </c>
      <c r="BL3862" t="s">
        <v>163</v>
      </c>
      <c r="BM3862">
        <v>1</v>
      </c>
      <c r="BN3862">
        <v>1</v>
      </c>
      <c r="BO3862">
        <v>1</v>
      </c>
      <c r="BP3862">
        <v>0</v>
      </c>
      <c r="BS3862">
        <v>0</v>
      </c>
      <c r="BT3862">
        <v>0</v>
      </c>
      <c r="BU3862">
        <v>0</v>
      </c>
      <c r="CE3862" t="str">
        <f t="shared" si="1420"/>
        <v>19:35:54.905</v>
      </c>
      <c r="CF3862">
        <v>905410757</v>
      </c>
      <c r="CS3862">
        <v>0</v>
      </c>
      <c r="CT3862">
        <v>2</v>
      </c>
      <c r="CU3862">
        <v>0</v>
      </c>
      <c r="CV3862">
        <v>2</v>
      </c>
      <c r="CW3862">
        <v>0</v>
      </c>
      <c r="CX3862">
        <v>5</v>
      </c>
      <c r="CY3862">
        <v>7</v>
      </c>
      <c r="CZ3862" t="s">
        <v>131</v>
      </c>
      <c r="DA3862">
        <v>286</v>
      </c>
      <c r="DB3862">
        <v>0</v>
      </c>
      <c r="DC3862" t="s">
        <v>132</v>
      </c>
      <c r="DD3862" t="s">
        <v>133</v>
      </c>
      <c r="DG3862">
        <v>893505</v>
      </c>
      <c r="DI3862">
        <v>1</v>
      </c>
      <c r="DJ3862">
        <v>0</v>
      </c>
      <c r="DK3862">
        <v>1</v>
      </c>
      <c r="DL3862">
        <v>0</v>
      </c>
      <c r="DM3862">
        <v>0</v>
      </c>
      <c r="DN3862">
        <v>1</v>
      </c>
      <c r="DO3862">
        <v>0</v>
      </c>
      <c r="DP3862">
        <v>0</v>
      </c>
      <c r="DQ3862">
        <v>0</v>
      </c>
      <c r="DR3862">
        <v>0</v>
      </c>
      <c r="DS3862">
        <v>0</v>
      </c>
    </row>
    <row r="3863" spans="1:123" x14ac:dyDescent="0.3">
      <c r="A3863" t="str">
        <f>"10/04/2022 19:35:55.325"</f>
        <v>10/04/2022 19:35:55.325</v>
      </c>
      <c r="C3863" t="str">
        <f t="shared" si="1406"/>
        <v>FFDFD3C0</v>
      </c>
      <c r="D3863" t="s">
        <v>141</v>
      </c>
      <c r="E3863">
        <v>4</v>
      </c>
      <c r="H3863">
        <v>4</v>
      </c>
      <c r="I3863" t="s">
        <v>142</v>
      </c>
      <c r="J3863" t="s">
        <v>138</v>
      </c>
      <c r="K3863">
        <v>0</v>
      </c>
      <c r="L3863">
        <v>3</v>
      </c>
      <c r="M3863">
        <v>0</v>
      </c>
      <c r="N3863">
        <v>2</v>
      </c>
      <c r="O3863">
        <v>0</v>
      </c>
      <c r="P3863">
        <v>1</v>
      </c>
      <c r="Q3863">
        <v>0</v>
      </c>
      <c r="S3863" t="str">
        <f t="shared" si="1418"/>
        <v>19:35:54.000</v>
      </c>
      <c r="T3863" t="str">
        <f t="shared" si="1418"/>
        <v>19:35:54.000</v>
      </c>
      <c r="U3863" t="str">
        <f t="shared" si="1413"/>
        <v>AC3944</v>
      </c>
      <c r="V3863">
        <v>0</v>
      </c>
      <c r="W3863">
        <v>0</v>
      </c>
      <c r="X3863">
        <v>2</v>
      </c>
      <c r="Y3863">
        <v>0</v>
      </c>
      <c r="AA3863">
        <v>1</v>
      </c>
      <c r="AB3863">
        <v>8</v>
      </c>
      <c r="AC3863">
        <v>3</v>
      </c>
      <c r="AD3863">
        <v>0</v>
      </c>
      <c r="AE3863">
        <v>9</v>
      </c>
      <c r="AF3863" t="s">
        <v>138</v>
      </c>
      <c r="AG3863">
        <v>0</v>
      </c>
      <c r="AH3863">
        <v>3</v>
      </c>
      <c r="AI3863">
        <v>1</v>
      </c>
      <c r="AJ3863">
        <v>0</v>
      </c>
      <c r="AK3863" t="s">
        <v>1248</v>
      </c>
      <c r="AL3863">
        <v>32.737284000000002</v>
      </c>
      <c r="AM3863" t="s">
        <v>1249</v>
      </c>
      <c r="AN3863">
        <v>-116.69802199999999</v>
      </c>
      <c r="AO3863">
        <v>25</v>
      </c>
      <c r="AP3863">
        <v>4800</v>
      </c>
      <c r="AQ3863" t="s">
        <v>129</v>
      </c>
      <c r="AR3863">
        <v>119</v>
      </c>
      <c r="AS3863">
        <v>-16</v>
      </c>
      <c r="AT3863">
        <v>768</v>
      </c>
      <c r="BB3863">
        <v>1200</v>
      </c>
      <c r="BC3863">
        <v>1</v>
      </c>
      <c r="BD3863" t="str">
        <f t="shared" si="1414"/>
        <v xml:space="preserve">N887QR  </v>
      </c>
      <c r="BE3863">
        <v>1</v>
      </c>
      <c r="BG3863">
        <v>0</v>
      </c>
      <c r="BH3863">
        <v>0</v>
      </c>
      <c r="BI3863">
        <v>0</v>
      </c>
      <c r="BJ3863">
        <v>4600</v>
      </c>
      <c r="BK3863">
        <v>-200</v>
      </c>
      <c r="BL3863" t="s">
        <v>163</v>
      </c>
      <c r="BM3863">
        <v>1</v>
      </c>
      <c r="BN3863">
        <v>1</v>
      </c>
      <c r="BO3863">
        <v>1</v>
      </c>
      <c r="BP3863">
        <v>0</v>
      </c>
      <c r="BS3863">
        <v>0</v>
      </c>
      <c r="BT3863">
        <v>0</v>
      </c>
      <c r="BU3863">
        <v>0</v>
      </c>
      <c r="CE3863" t="str">
        <f t="shared" si="1420"/>
        <v>19:35:54.905</v>
      </c>
      <c r="CF3863">
        <v>905410757</v>
      </c>
      <c r="CS3863">
        <v>0</v>
      </c>
      <c r="CT3863">
        <v>2</v>
      </c>
      <c r="CU3863">
        <v>0</v>
      </c>
      <c r="CV3863">
        <v>2</v>
      </c>
      <c r="CW3863">
        <v>0</v>
      </c>
      <c r="CX3863">
        <v>5</v>
      </c>
      <c r="CY3863">
        <v>7</v>
      </c>
      <c r="CZ3863" t="s">
        <v>131</v>
      </c>
      <c r="DA3863">
        <v>286</v>
      </c>
      <c r="DB3863">
        <v>0</v>
      </c>
      <c r="DC3863" t="s">
        <v>132</v>
      </c>
      <c r="DD3863" t="s">
        <v>133</v>
      </c>
      <c r="DG3863">
        <v>893505</v>
      </c>
      <c r="DI3863">
        <v>1</v>
      </c>
      <c r="DJ3863">
        <v>0</v>
      </c>
      <c r="DK3863">
        <v>1</v>
      </c>
      <c r="DL3863">
        <v>0</v>
      </c>
      <c r="DM3863">
        <v>0</v>
      </c>
      <c r="DN3863">
        <v>1</v>
      </c>
      <c r="DO3863">
        <v>0</v>
      </c>
      <c r="DP3863">
        <v>0</v>
      </c>
      <c r="DQ3863">
        <v>0</v>
      </c>
      <c r="DR3863">
        <v>0</v>
      </c>
      <c r="DS3863">
        <v>0</v>
      </c>
    </row>
    <row r="3864" spans="1:123" x14ac:dyDescent="0.3">
      <c r="A3864" t="str">
        <f>"10/04/2022 19:35:56.254"</f>
        <v>10/04/2022 19:35:56.254</v>
      </c>
      <c r="C3864" t="str">
        <f t="shared" si="1406"/>
        <v>FFDFD3C0</v>
      </c>
      <c r="D3864" t="s">
        <v>134</v>
      </c>
      <c r="E3864">
        <v>15</v>
      </c>
      <c r="J3864" t="s">
        <v>135</v>
      </c>
      <c r="K3864">
        <v>0</v>
      </c>
      <c r="L3864">
        <v>3</v>
      </c>
      <c r="M3864">
        <v>0</v>
      </c>
      <c r="N3864">
        <v>2</v>
      </c>
      <c r="O3864">
        <v>0</v>
      </c>
      <c r="P3864">
        <v>1</v>
      </c>
      <c r="Q3864">
        <v>0</v>
      </c>
      <c r="S3864" t="str">
        <f t="shared" ref="S3864:T3868" si="1421">"19:35:55.000"</f>
        <v>19:35:55.000</v>
      </c>
      <c r="T3864" t="str">
        <f t="shared" si="1421"/>
        <v>19:35:55.000</v>
      </c>
      <c r="U3864" t="str">
        <f t="shared" si="1413"/>
        <v>AC3944</v>
      </c>
      <c r="V3864">
        <v>0</v>
      </c>
      <c r="W3864">
        <v>0</v>
      </c>
      <c r="X3864">
        <v>2</v>
      </c>
      <c r="Y3864">
        <v>0</v>
      </c>
      <c r="AA3864">
        <v>1</v>
      </c>
      <c r="AB3864">
        <v>8</v>
      </c>
      <c r="AC3864">
        <v>3</v>
      </c>
      <c r="AD3864">
        <v>0</v>
      </c>
      <c r="AE3864">
        <v>9</v>
      </c>
      <c r="AF3864" t="s">
        <v>138</v>
      </c>
      <c r="AG3864">
        <v>0</v>
      </c>
      <c r="AH3864">
        <v>3</v>
      </c>
      <c r="AI3864">
        <v>1</v>
      </c>
      <c r="AJ3864">
        <v>0</v>
      </c>
      <c r="AK3864" t="s">
        <v>938</v>
      </c>
      <c r="AL3864">
        <v>32.737219000000003</v>
      </c>
      <c r="AM3864" t="s">
        <v>1250</v>
      </c>
      <c r="AN3864">
        <v>-116.697378</v>
      </c>
      <c r="AO3864">
        <v>25</v>
      </c>
      <c r="AP3864">
        <v>4800</v>
      </c>
      <c r="AQ3864" t="s">
        <v>129</v>
      </c>
      <c r="AR3864">
        <v>119</v>
      </c>
      <c r="AS3864">
        <v>-16</v>
      </c>
      <c r="AT3864">
        <v>768</v>
      </c>
      <c r="BB3864">
        <v>1200</v>
      </c>
      <c r="BC3864">
        <v>1</v>
      </c>
      <c r="BD3864" t="str">
        <f t="shared" si="1414"/>
        <v xml:space="preserve">N887QR  </v>
      </c>
      <c r="BE3864">
        <v>1</v>
      </c>
      <c r="BG3864">
        <v>0</v>
      </c>
      <c r="BH3864">
        <v>0</v>
      </c>
      <c r="BI3864">
        <v>0</v>
      </c>
      <c r="BJ3864">
        <v>4600</v>
      </c>
      <c r="BK3864">
        <v>-200</v>
      </c>
      <c r="BL3864" t="s">
        <v>163</v>
      </c>
      <c r="BM3864">
        <v>1</v>
      </c>
      <c r="BN3864">
        <v>1</v>
      </c>
      <c r="BO3864">
        <v>1</v>
      </c>
      <c r="BP3864">
        <v>0</v>
      </c>
      <c r="BS3864">
        <v>0</v>
      </c>
      <c r="BT3864">
        <v>0</v>
      </c>
      <c r="BU3864">
        <v>0</v>
      </c>
      <c r="CE3864" t="str">
        <f>"19:35:55.954"</f>
        <v>19:35:55.954</v>
      </c>
      <c r="CF3864">
        <v>954414226</v>
      </c>
      <c r="CS3864">
        <v>0</v>
      </c>
      <c r="CT3864">
        <v>2</v>
      </c>
      <c r="CU3864">
        <v>0</v>
      </c>
      <c r="CV3864">
        <v>2</v>
      </c>
      <c r="CW3864">
        <v>0</v>
      </c>
      <c r="CX3864">
        <v>5</v>
      </c>
      <c r="CY3864">
        <v>7</v>
      </c>
      <c r="CZ3864" t="s">
        <v>131</v>
      </c>
      <c r="DA3864">
        <v>286</v>
      </c>
      <c r="DB3864">
        <v>0</v>
      </c>
      <c r="DC3864" t="s">
        <v>132</v>
      </c>
      <c r="DD3864" t="s">
        <v>133</v>
      </c>
      <c r="DG3864">
        <v>893714</v>
      </c>
      <c r="DI3864">
        <v>1</v>
      </c>
      <c r="DJ3864">
        <v>0</v>
      </c>
      <c r="DK3864">
        <v>0</v>
      </c>
      <c r="DL3864">
        <v>0</v>
      </c>
      <c r="DM3864">
        <v>0</v>
      </c>
      <c r="DN3864">
        <v>1</v>
      </c>
      <c r="DO3864">
        <v>0</v>
      </c>
      <c r="DP3864">
        <v>0</v>
      </c>
      <c r="DQ3864">
        <v>0</v>
      </c>
      <c r="DR3864">
        <v>0</v>
      </c>
      <c r="DS3864">
        <v>0</v>
      </c>
    </row>
    <row r="3865" spans="1:123" x14ac:dyDescent="0.3">
      <c r="A3865" t="str">
        <f>"10/04/2022 19:35:56.254"</f>
        <v>10/04/2022 19:35:56.254</v>
      </c>
      <c r="C3865" t="str">
        <f t="shared" si="1406"/>
        <v>FFDFD3C0</v>
      </c>
      <c r="D3865" t="s">
        <v>147</v>
      </c>
      <c r="E3865">
        <v>3</v>
      </c>
      <c r="H3865">
        <v>166</v>
      </c>
      <c r="I3865" t="s">
        <v>144</v>
      </c>
      <c r="J3865" t="s">
        <v>148</v>
      </c>
      <c r="K3865">
        <v>0</v>
      </c>
      <c r="L3865">
        <v>3</v>
      </c>
      <c r="M3865">
        <v>0</v>
      </c>
      <c r="N3865">
        <v>2</v>
      </c>
      <c r="O3865">
        <v>0</v>
      </c>
      <c r="P3865">
        <v>1</v>
      </c>
      <c r="Q3865">
        <v>0</v>
      </c>
      <c r="S3865" t="str">
        <f t="shared" si="1421"/>
        <v>19:35:55.000</v>
      </c>
      <c r="T3865" t="str">
        <f t="shared" si="1421"/>
        <v>19:35:55.000</v>
      </c>
      <c r="U3865" t="str">
        <f t="shared" si="1413"/>
        <v>AC3944</v>
      </c>
      <c r="V3865">
        <v>0</v>
      </c>
      <c r="W3865">
        <v>0</v>
      </c>
      <c r="X3865">
        <v>2</v>
      </c>
      <c r="Y3865">
        <v>0</v>
      </c>
      <c r="AA3865">
        <v>1</v>
      </c>
      <c r="AB3865">
        <v>8</v>
      </c>
      <c r="AC3865">
        <v>3</v>
      </c>
      <c r="AD3865">
        <v>0</v>
      </c>
      <c r="AE3865">
        <v>9</v>
      </c>
      <c r="AF3865" t="s">
        <v>138</v>
      </c>
      <c r="AG3865">
        <v>0</v>
      </c>
      <c r="AH3865">
        <v>3</v>
      </c>
      <c r="AI3865">
        <v>1</v>
      </c>
      <c r="AJ3865">
        <v>0</v>
      </c>
      <c r="AK3865" t="s">
        <v>938</v>
      </c>
      <c r="AL3865">
        <v>32.737219000000003</v>
      </c>
      <c r="AM3865" t="s">
        <v>1250</v>
      </c>
      <c r="AN3865">
        <v>-116.697378</v>
      </c>
      <c r="AO3865">
        <v>25</v>
      </c>
      <c r="AP3865">
        <v>4800</v>
      </c>
      <c r="AQ3865" t="s">
        <v>129</v>
      </c>
      <c r="AR3865">
        <v>119</v>
      </c>
      <c r="AS3865">
        <v>-16</v>
      </c>
      <c r="AT3865">
        <v>768</v>
      </c>
      <c r="BB3865">
        <v>1200</v>
      </c>
      <c r="BC3865">
        <v>1</v>
      </c>
      <c r="BD3865" t="str">
        <f t="shared" si="1414"/>
        <v xml:space="preserve">N887QR  </v>
      </c>
      <c r="BE3865">
        <v>1</v>
      </c>
      <c r="BG3865">
        <v>0</v>
      </c>
      <c r="BH3865">
        <v>0</v>
      </c>
      <c r="BI3865">
        <v>0</v>
      </c>
      <c r="BJ3865">
        <v>4600</v>
      </c>
      <c r="BK3865">
        <v>-200</v>
      </c>
      <c r="BL3865" t="s">
        <v>163</v>
      </c>
      <c r="BM3865">
        <v>1</v>
      </c>
      <c r="BN3865">
        <v>1</v>
      </c>
      <c r="BO3865">
        <v>1</v>
      </c>
      <c r="BP3865">
        <v>0</v>
      </c>
      <c r="BS3865">
        <v>0</v>
      </c>
      <c r="BT3865">
        <v>0</v>
      </c>
      <c r="BU3865">
        <v>0</v>
      </c>
      <c r="CE3865" t="str">
        <f>"19:35:55.954"</f>
        <v>19:35:55.954</v>
      </c>
      <c r="CF3865">
        <v>954414226</v>
      </c>
      <c r="CS3865">
        <v>0</v>
      </c>
      <c r="CT3865">
        <v>2</v>
      </c>
      <c r="CU3865">
        <v>0</v>
      </c>
      <c r="CV3865">
        <v>2</v>
      </c>
      <c r="CW3865">
        <v>0</v>
      </c>
      <c r="CX3865">
        <v>5</v>
      </c>
      <c r="CY3865">
        <v>7</v>
      </c>
      <c r="CZ3865" t="s">
        <v>131</v>
      </c>
      <c r="DA3865">
        <v>286</v>
      </c>
      <c r="DB3865">
        <v>0</v>
      </c>
      <c r="DC3865" t="s">
        <v>132</v>
      </c>
      <c r="DD3865" t="s">
        <v>133</v>
      </c>
      <c r="DG3865">
        <v>893714</v>
      </c>
      <c r="DI3865">
        <v>1</v>
      </c>
      <c r="DJ3865">
        <v>0</v>
      </c>
      <c r="DK3865">
        <v>1</v>
      </c>
      <c r="DL3865">
        <v>0</v>
      </c>
      <c r="DM3865">
        <v>0</v>
      </c>
      <c r="DN3865">
        <v>1</v>
      </c>
      <c r="DO3865">
        <v>0</v>
      </c>
      <c r="DP3865">
        <v>0</v>
      </c>
      <c r="DQ3865">
        <v>0</v>
      </c>
      <c r="DR3865">
        <v>0</v>
      </c>
      <c r="DS3865">
        <v>0</v>
      </c>
    </row>
    <row r="3866" spans="1:123" x14ac:dyDescent="0.3">
      <c r="A3866" t="str">
        <f>"10/04/2022 19:35:56.255"</f>
        <v>10/04/2022 19:35:56.255</v>
      </c>
      <c r="C3866" t="str">
        <f t="shared" si="1406"/>
        <v>FFDFD3C0</v>
      </c>
      <c r="D3866" t="s">
        <v>143</v>
      </c>
      <c r="E3866">
        <v>20</v>
      </c>
      <c r="F3866">
        <v>1020</v>
      </c>
      <c r="G3866" t="s">
        <v>144</v>
      </c>
      <c r="J3866" t="s">
        <v>145</v>
      </c>
      <c r="K3866">
        <v>0</v>
      </c>
      <c r="L3866">
        <v>3</v>
      </c>
      <c r="M3866">
        <v>0</v>
      </c>
      <c r="N3866">
        <v>2</v>
      </c>
      <c r="O3866">
        <v>0</v>
      </c>
      <c r="P3866">
        <v>1</v>
      </c>
      <c r="Q3866">
        <v>0</v>
      </c>
      <c r="S3866" t="str">
        <f t="shared" si="1421"/>
        <v>19:35:55.000</v>
      </c>
      <c r="T3866" t="str">
        <f t="shared" si="1421"/>
        <v>19:35:55.000</v>
      </c>
      <c r="U3866" t="str">
        <f t="shared" si="1413"/>
        <v>AC3944</v>
      </c>
      <c r="V3866">
        <v>0</v>
      </c>
      <c r="W3866">
        <v>0</v>
      </c>
      <c r="X3866">
        <v>2</v>
      </c>
      <c r="Y3866">
        <v>0</v>
      </c>
      <c r="AA3866">
        <v>1</v>
      </c>
      <c r="AB3866">
        <v>8</v>
      </c>
      <c r="AC3866">
        <v>3</v>
      </c>
      <c r="AD3866">
        <v>0</v>
      </c>
      <c r="AE3866">
        <v>9</v>
      </c>
      <c r="AF3866" t="s">
        <v>138</v>
      </c>
      <c r="AG3866">
        <v>0</v>
      </c>
      <c r="AH3866">
        <v>3</v>
      </c>
      <c r="AI3866">
        <v>1</v>
      </c>
      <c r="AJ3866">
        <v>0</v>
      </c>
      <c r="AK3866" t="s">
        <v>938</v>
      </c>
      <c r="AL3866">
        <v>32.737219000000003</v>
      </c>
      <c r="AM3866" t="s">
        <v>1250</v>
      </c>
      <c r="AN3866">
        <v>-116.697378</v>
      </c>
      <c r="AO3866">
        <v>25</v>
      </c>
      <c r="AP3866">
        <v>4800</v>
      </c>
      <c r="AQ3866" t="s">
        <v>129</v>
      </c>
      <c r="AR3866">
        <v>119</v>
      </c>
      <c r="AS3866">
        <v>-16</v>
      </c>
      <c r="AT3866">
        <v>768</v>
      </c>
      <c r="BB3866">
        <v>1200</v>
      </c>
      <c r="BC3866">
        <v>1</v>
      </c>
      <c r="BD3866" t="str">
        <f t="shared" si="1414"/>
        <v xml:space="preserve">N887QR  </v>
      </c>
      <c r="BE3866">
        <v>1</v>
      </c>
      <c r="BG3866">
        <v>0</v>
      </c>
      <c r="BH3866">
        <v>0</v>
      </c>
      <c r="BI3866">
        <v>0</v>
      </c>
      <c r="BJ3866">
        <v>4600</v>
      </c>
      <c r="BK3866">
        <v>-200</v>
      </c>
      <c r="BL3866" t="s">
        <v>163</v>
      </c>
      <c r="BM3866">
        <v>1</v>
      </c>
      <c r="BN3866">
        <v>1</v>
      </c>
      <c r="BO3866">
        <v>1</v>
      </c>
      <c r="BP3866">
        <v>0</v>
      </c>
      <c r="BS3866">
        <v>0</v>
      </c>
      <c r="BT3866">
        <v>0</v>
      </c>
      <c r="BU3866">
        <v>0</v>
      </c>
      <c r="CE3866" t="str">
        <f>"19:35:55.954"</f>
        <v>19:35:55.954</v>
      </c>
      <c r="CF3866">
        <v>954414226</v>
      </c>
      <c r="CS3866">
        <v>0</v>
      </c>
      <c r="CT3866">
        <v>2</v>
      </c>
      <c r="CU3866">
        <v>0</v>
      </c>
      <c r="CV3866">
        <v>2</v>
      </c>
      <c r="CW3866">
        <v>0</v>
      </c>
      <c r="CX3866">
        <v>5</v>
      </c>
      <c r="CY3866">
        <v>7</v>
      </c>
      <c r="CZ3866" t="s">
        <v>131</v>
      </c>
      <c r="DA3866">
        <v>286</v>
      </c>
      <c r="DB3866">
        <v>0</v>
      </c>
      <c r="DC3866" t="s">
        <v>132</v>
      </c>
      <c r="DD3866" t="s">
        <v>133</v>
      </c>
      <c r="DG3866">
        <v>893714</v>
      </c>
      <c r="DI3866">
        <v>1</v>
      </c>
      <c r="DJ3866">
        <v>0</v>
      </c>
      <c r="DK3866">
        <v>1</v>
      </c>
      <c r="DL3866">
        <v>0</v>
      </c>
      <c r="DM3866">
        <v>0</v>
      </c>
      <c r="DN3866">
        <v>1</v>
      </c>
      <c r="DO3866">
        <v>0</v>
      </c>
      <c r="DP3866">
        <v>0</v>
      </c>
      <c r="DQ3866">
        <v>0</v>
      </c>
      <c r="DR3866">
        <v>0</v>
      </c>
      <c r="DS3866">
        <v>0</v>
      </c>
    </row>
    <row r="3867" spans="1:123" x14ac:dyDescent="0.3">
      <c r="A3867" t="str">
        <f>"10/04/2022 19:35:56.255"</f>
        <v>10/04/2022 19:35:56.255</v>
      </c>
      <c r="C3867" t="str">
        <f t="shared" si="1406"/>
        <v>FFDFD3C0</v>
      </c>
      <c r="D3867" t="s">
        <v>136</v>
      </c>
      <c r="E3867">
        <v>8</v>
      </c>
      <c r="H3867">
        <v>225</v>
      </c>
      <c r="I3867" t="s">
        <v>137</v>
      </c>
      <c r="J3867" t="s">
        <v>138</v>
      </c>
      <c r="K3867">
        <v>0</v>
      </c>
      <c r="L3867">
        <v>3</v>
      </c>
      <c r="M3867">
        <v>0</v>
      </c>
      <c r="N3867">
        <v>2</v>
      </c>
      <c r="O3867">
        <v>0</v>
      </c>
      <c r="P3867">
        <v>1</v>
      </c>
      <c r="Q3867">
        <v>0</v>
      </c>
      <c r="S3867" t="str">
        <f t="shared" si="1421"/>
        <v>19:35:55.000</v>
      </c>
      <c r="T3867" t="str">
        <f t="shared" si="1421"/>
        <v>19:35:55.000</v>
      </c>
      <c r="U3867" t="str">
        <f t="shared" si="1413"/>
        <v>AC3944</v>
      </c>
      <c r="V3867">
        <v>0</v>
      </c>
      <c r="W3867">
        <v>0</v>
      </c>
      <c r="X3867">
        <v>2</v>
      </c>
      <c r="Y3867">
        <v>0</v>
      </c>
      <c r="AA3867">
        <v>1</v>
      </c>
      <c r="AB3867">
        <v>8</v>
      </c>
      <c r="AC3867">
        <v>3</v>
      </c>
      <c r="AD3867">
        <v>0</v>
      </c>
      <c r="AE3867">
        <v>9</v>
      </c>
      <c r="AF3867" t="s">
        <v>138</v>
      </c>
      <c r="AG3867">
        <v>0</v>
      </c>
      <c r="AH3867">
        <v>3</v>
      </c>
      <c r="AI3867">
        <v>1</v>
      </c>
      <c r="AJ3867">
        <v>0</v>
      </c>
      <c r="AK3867" t="s">
        <v>938</v>
      </c>
      <c r="AL3867">
        <v>32.737219000000003</v>
      </c>
      <c r="AM3867" t="s">
        <v>1250</v>
      </c>
      <c r="AN3867">
        <v>-116.697378</v>
      </c>
      <c r="AO3867">
        <v>25</v>
      </c>
      <c r="AP3867">
        <v>4800</v>
      </c>
      <c r="AQ3867" t="s">
        <v>129</v>
      </c>
      <c r="AR3867">
        <v>119</v>
      </c>
      <c r="AS3867">
        <v>-16</v>
      </c>
      <c r="AT3867">
        <v>768</v>
      </c>
      <c r="BB3867">
        <v>1200</v>
      </c>
      <c r="BC3867">
        <v>1</v>
      </c>
      <c r="BD3867" t="str">
        <f t="shared" si="1414"/>
        <v xml:space="preserve">N887QR  </v>
      </c>
      <c r="BE3867">
        <v>1</v>
      </c>
      <c r="BG3867">
        <v>0</v>
      </c>
      <c r="BH3867">
        <v>0</v>
      </c>
      <c r="BI3867">
        <v>0</v>
      </c>
      <c r="BJ3867">
        <v>4600</v>
      </c>
      <c r="BK3867">
        <v>-200</v>
      </c>
      <c r="BL3867" t="s">
        <v>163</v>
      </c>
      <c r="BM3867">
        <v>1</v>
      </c>
      <c r="BN3867">
        <v>1</v>
      </c>
      <c r="BO3867">
        <v>1</v>
      </c>
      <c r="BP3867">
        <v>0</v>
      </c>
      <c r="BS3867">
        <v>0</v>
      </c>
      <c r="BT3867">
        <v>0</v>
      </c>
      <c r="BU3867">
        <v>0</v>
      </c>
      <c r="CE3867" t="str">
        <f>"19:35:55.954"</f>
        <v>19:35:55.954</v>
      </c>
      <c r="CF3867">
        <v>954414226</v>
      </c>
      <c r="CS3867">
        <v>0</v>
      </c>
      <c r="CT3867">
        <v>2</v>
      </c>
      <c r="CU3867">
        <v>0</v>
      </c>
      <c r="CV3867">
        <v>2</v>
      </c>
      <c r="CW3867">
        <v>0</v>
      </c>
      <c r="CX3867">
        <v>5</v>
      </c>
      <c r="CY3867">
        <v>7</v>
      </c>
      <c r="CZ3867" t="s">
        <v>131</v>
      </c>
      <c r="DA3867">
        <v>286</v>
      </c>
      <c r="DB3867">
        <v>0</v>
      </c>
      <c r="DC3867" t="s">
        <v>132</v>
      </c>
      <c r="DD3867" t="s">
        <v>133</v>
      </c>
      <c r="DG3867">
        <v>893714</v>
      </c>
      <c r="DI3867">
        <v>1</v>
      </c>
      <c r="DJ3867">
        <v>0</v>
      </c>
      <c r="DK3867">
        <v>1</v>
      </c>
      <c r="DL3867">
        <v>0</v>
      </c>
      <c r="DM3867">
        <v>0</v>
      </c>
      <c r="DN3867">
        <v>1</v>
      </c>
      <c r="DO3867">
        <v>0</v>
      </c>
      <c r="DP3867">
        <v>0</v>
      </c>
      <c r="DQ3867">
        <v>0</v>
      </c>
      <c r="DR3867">
        <v>0</v>
      </c>
      <c r="DS3867">
        <v>0</v>
      </c>
    </row>
    <row r="3868" spans="1:123" x14ac:dyDescent="0.3">
      <c r="A3868" t="str">
        <f>"10/04/2022 19:35:56.255"</f>
        <v>10/04/2022 19:35:56.255</v>
      </c>
      <c r="C3868" t="str">
        <f t="shared" si="1406"/>
        <v>FFDFD3C0</v>
      </c>
      <c r="D3868" t="s">
        <v>123</v>
      </c>
      <c r="E3868">
        <v>7</v>
      </c>
      <c r="F3868">
        <v>2007</v>
      </c>
      <c r="G3868" t="s">
        <v>124</v>
      </c>
      <c r="J3868" t="s">
        <v>125</v>
      </c>
      <c r="K3868">
        <v>0</v>
      </c>
      <c r="L3868">
        <v>3</v>
      </c>
      <c r="M3868">
        <v>0</v>
      </c>
      <c r="N3868">
        <v>2</v>
      </c>
      <c r="O3868">
        <v>0</v>
      </c>
      <c r="P3868">
        <v>1</v>
      </c>
      <c r="Q3868">
        <v>0</v>
      </c>
      <c r="S3868" t="str">
        <f t="shared" si="1421"/>
        <v>19:35:55.000</v>
      </c>
      <c r="T3868" t="str">
        <f t="shared" si="1421"/>
        <v>19:35:55.000</v>
      </c>
      <c r="U3868" t="str">
        <f t="shared" si="1413"/>
        <v>AC3944</v>
      </c>
      <c r="V3868">
        <v>0</v>
      </c>
      <c r="W3868">
        <v>0</v>
      </c>
      <c r="X3868">
        <v>2</v>
      </c>
      <c r="Y3868">
        <v>0</v>
      </c>
      <c r="AA3868">
        <v>1</v>
      </c>
      <c r="AB3868">
        <v>8</v>
      </c>
      <c r="AC3868">
        <v>3</v>
      </c>
      <c r="AD3868">
        <v>0</v>
      </c>
      <c r="AE3868">
        <v>9</v>
      </c>
      <c r="AF3868" t="s">
        <v>138</v>
      </c>
      <c r="AG3868">
        <v>0</v>
      </c>
      <c r="AH3868">
        <v>3</v>
      </c>
      <c r="AI3868">
        <v>1</v>
      </c>
      <c r="AJ3868">
        <v>0</v>
      </c>
      <c r="AK3868" t="s">
        <v>938</v>
      </c>
      <c r="AL3868">
        <v>32.737219000000003</v>
      </c>
      <c r="AM3868" t="s">
        <v>1250</v>
      </c>
      <c r="AN3868">
        <v>-116.697378</v>
      </c>
      <c r="AO3868">
        <v>25</v>
      </c>
      <c r="AP3868">
        <v>4800</v>
      </c>
      <c r="AQ3868" t="s">
        <v>129</v>
      </c>
      <c r="AR3868">
        <v>119</v>
      </c>
      <c r="AS3868">
        <v>-16</v>
      </c>
      <c r="AT3868">
        <v>768</v>
      </c>
      <c r="BB3868">
        <v>1200</v>
      </c>
      <c r="BC3868">
        <v>1</v>
      </c>
      <c r="BD3868" t="str">
        <f t="shared" si="1414"/>
        <v xml:space="preserve">N887QR  </v>
      </c>
      <c r="BE3868">
        <v>1</v>
      </c>
      <c r="BG3868">
        <v>0</v>
      </c>
      <c r="BH3868">
        <v>0</v>
      </c>
      <c r="BI3868">
        <v>0</v>
      </c>
      <c r="BJ3868">
        <v>4600</v>
      </c>
      <c r="BK3868">
        <v>-200</v>
      </c>
      <c r="BL3868" t="s">
        <v>163</v>
      </c>
      <c r="BM3868">
        <v>1</v>
      </c>
      <c r="BN3868">
        <v>1</v>
      </c>
      <c r="BO3868">
        <v>1</v>
      </c>
      <c r="BP3868">
        <v>0</v>
      </c>
      <c r="BS3868">
        <v>0</v>
      </c>
      <c r="BT3868">
        <v>0</v>
      </c>
      <c r="BU3868">
        <v>0</v>
      </c>
      <c r="CE3868" t="str">
        <f>"19:35:55.954"</f>
        <v>19:35:55.954</v>
      </c>
      <c r="CF3868">
        <v>954414226</v>
      </c>
      <c r="CS3868">
        <v>0</v>
      </c>
      <c r="CT3868">
        <v>2</v>
      </c>
      <c r="CU3868">
        <v>0</v>
      </c>
      <c r="CV3868">
        <v>2</v>
      </c>
      <c r="CW3868">
        <v>0</v>
      </c>
      <c r="CX3868">
        <v>5</v>
      </c>
      <c r="CY3868">
        <v>7</v>
      </c>
      <c r="CZ3868" t="s">
        <v>131</v>
      </c>
      <c r="DA3868">
        <v>286</v>
      </c>
      <c r="DB3868">
        <v>0</v>
      </c>
      <c r="DC3868" t="s">
        <v>132</v>
      </c>
      <c r="DD3868" t="s">
        <v>133</v>
      </c>
      <c r="DG3868">
        <v>893714</v>
      </c>
      <c r="DI3868">
        <v>1</v>
      </c>
      <c r="DJ3868">
        <v>0</v>
      </c>
      <c r="DK3868">
        <v>1</v>
      </c>
      <c r="DL3868">
        <v>0</v>
      </c>
      <c r="DM3868">
        <v>0</v>
      </c>
      <c r="DN3868">
        <v>1</v>
      </c>
      <c r="DO3868">
        <v>0</v>
      </c>
      <c r="DP3868">
        <v>0</v>
      </c>
      <c r="DQ3868">
        <v>0</v>
      </c>
      <c r="DR3868">
        <v>0</v>
      </c>
      <c r="DS3868">
        <v>0</v>
      </c>
    </row>
    <row r="3869" spans="1:123" x14ac:dyDescent="0.3">
      <c r="A3869" t="str">
        <f t="shared" ref="A3869:A3874" si="1422">"10/04/2022 19:35:57.453"</f>
        <v>10/04/2022 19:35:57.453</v>
      </c>
      <c r="C3869" t="str">
        <f t="shared" si="1406"/>
        <v>FFDFD3C0</v>
      </c>
      <c r="D3869" t="s">
        <v>141</v>
      </c>
      <c r="E3869">
        <v>3</v>
      </c>
      <c r="H3869">
        <v>3</v>
      </c>
      <c r="I3869" t="s">
        <v>146</v>
      </c>
      <c r="J3869" t="s">
        <v>138</v>
      </c>
      <c r="K3869">
        <v>0</v>
      </c>
      <c r="L3869">
        <v>3</v>
      </c>
      <c r="M3869">
        <v>0</v>
      </c>
      <c r="N3869">
        <v>2</v>
      </c>
      <c r="O3869">
        <v>0</v>
      </c>
      <c r="P3869">
        <v>1</v>
      </c>
      <c r="Q3869">
        <v>0</v>
      </c>
      <c r="S3869" t="str">
        <f t="shared" ref="S3869:T3882" si="1423">"19:35:57.000"</f>
        <v>19:35:57.000</v>
      </c>
      <c r="T3869" t="str">
        <f t="shared" si="1423"/>
        <v>19:35:57.000</v>
      </c>
      <c r="U3869" t="str">
        <f t="shared" si="1413"/>
        <v>AC3944</v>
      </c>
      <c r="V3869">
        <v>0</v>
      </c>
      <c r="W3869">
        <v>0</v>
      </c>
      <c r="X3869">
        <v>2</v>
      </c>
      <c r="Y3869">
        <v>0</v>
      </c>
      <c r="AA3869">
        <v>1</v>
      </c>
      <c r="AB3869">
        <v>8</v>
      </c>
      <c r="AC3869">
        <v>3</v>
      </c>
      <c r="AD3869">
        <v>0</v>
      </c>
      <c r="AE3869">
        <v>9</v>
      </c>
      <c r="AF3869" t="s">
        <v>138</v>
      </c>
      <c r="AG3869">
        <v>0</v>
      </c>
      <c r="AH3869">
        <v>3</v>
      </c>
      <c r="AI3869">
        <v>1</v>
      </c>
      <c r="AJ3869">
        <v>0</v>
      </c>
      <c r="AK3869" t="s">
        <v>1251</v>
      </c>
      <c r="AL3869">
        <v>32.737155000000001</v>
      </c>
      <c r="AM3869" t="s">
        <v>1252</v>
      </c>
      <c r="AN3869">
        <v>-116.696842</v>
      </c>
      <c r="AO3869">
        <v>25</v>
      </c>
      <c r="AP3869">
        <v>4800</v>
      </c>
      <c r="AQ3869" t="s">
        <v>129</v>
      </c>
      <c r="AR3869">
        <v>118</v>
      </c>
      <c r="AS3869">
        <v>-17</v>
      </c>
      <c r="AT3869">
        <v>832</v>
      </c>
      <c r="BB3869">
        <v>1200</v>
      </c>
      <c r="BC3869">
        <v>1</v>
      </c>
      <c r="BD3869" t="str">
        <f t="shared" si="1414"/>
        <v xml:space="preserve">N887QR  </v>
      </c>
      <c r="BE3869">
        <v>1</v>
      </c>
      <c r="BG3869">
        <v>0</v>
      </c>
      <c r="BH3869">
        <v>0</v>
      </c>
      <c r="BI3869">
        <v>0</v>
      </c>
      <c r="BJ3869">
        <v>4650</v>
      </c>
      <c r="BK3869">
        <v>-150</v>
      </c>
      <c r="BL3869" t="s">
        <v>163</v>
      </c>
      <c r="BM3869">
        <v>1</v>
      </c>
      <c r="BN3869">
        <v>1</v>
      </c>
      <c r="BO3869">
        <v>1</v>
      </c>
      <c r="BP3869">
        <v>0</v>
      </c>
      <c r="BS3869">
        <v>0</v>
      </c>
      <c r="BT3869">
        <v>0</v>
      </c>
      <c r="BU3869">
        <v>0</v>
      </c>
      <c r="CE3869" t="str">
        <f t="shared" ref="CE3869:CE3875" si="1424">"19:35:57.242"</f>
        <v>19:35:57.242</v>
      </c>
      <c r="CF3869">
        <v>241918479</v>
      </c>
      <c r="CS3869">
        <v>0</v>
      </c>
      <c r="CT3869">
        <v>2</v>
      </c>
      <c r="CU3869">
        <v>0</v>
      </c>
      <c r="CV3869">
        <v>2</v>
      </c>
      <c r="CW3869">
        <v>0</v>
      </c>
      <c r="CX3869">
        <v>5</v>
      </c>
      <c r="CY3869">
        <v>7</v>
      </c>
      <c r="CZ3869" t="s">
        <v>131</v>
      </c>
      <c r="DA3869">
        <v>286</v>
      </c>
      <c r="DB3869">
        <v>0</v>
      </c>
      <c r="DC3869" t="s">
        <v>132</v>
      </c>
      <c r="DD3869" t="s">
        <v>133</v>
      </c>
      <c r="DG3869">
        <v>893964</v>
      </c>
      <c r="DI3869">
        <v>1</v>
      </c>
      <c r="DJ3869">
        <v>0</v>
      </c>
      <c r="DK3869">
        <v>0</v>
      </c>
      <c r="DL3869">
        <v>0</v>
      </c>
      <c r="DM3869">
        <v>0</v>
      </c>
      <c r="DN3869">
        <v>1</v>
      </c>
      <c r="DO3869">
        <v>0</v>
      </c>
      <c r="DP3869">
        <v>0</v>
      </c>
      <c r="DQ3869">
        <v>0</v>
      </c>
      <c r="DR3869">
        <v>0</v>
      </c>
      <c r="DS3869">
        <v>0</v>
      </c>
    </row>
    <row r="3870" spans="1:123" x14ac:dyDescent="0.3">
      <c r="A3870" t="str">
        <f t="shared" si="1422"/>
        <v>10/04/2022 19:35:57.453</v>
      </c>
      <c r="C3870" t="str">
        <f t="shared" si="1406"/>
        <v>FFDFD3C0</v>
      </c>
      <c r="D3870" t="s">
        <v>134</v>
      </c>
      <c r="E3870">
        <v>15</v>
      </c>
      <c r="J3870" t="s">
        <v>135</v>
      </c>
      <c r="K3870">
        <v>0</v>
      </c>
      <c r="L3870">
        <v>3</v>
      </c>
      <c r="M3870">
        <v>0</v>
      </c>
      <c r="N3870">
        <v>2</v>
      </c>
      <c r="O3870">
        <v>0</v>
      </c>
      <c r="P3870">
        <v>1</v>
      </c>
      <c r="Q3870">
        <v>0</v>
      </c>
      <c r="S3870" t="str">
        <f t="shared" si="1423"/>
        <v>19:35:57.000</v>
      </c>
      <c r="T3870" t="str">
        <f t="shared" si="1423"/>
        <v>19:35:57.000</v>
      </c>
      <c r="U3870" t="str">
        <f t="shared" si="1413"/>
        <v>AC3944</v>
      </c>
      <c r="V3870">
        <v>0</v>
      </c>
      <c r="W3870">
        <v>0</v>
      </c>
      <c r="X3870">
        <v>2</v>
      </c>
      <c r="Y3870">
        <v>0</v>
      </c>
      <c r="AA3870">
        <v>1</v>
      </c>
      <c r="AB3870">
        <v>8</v>
      </c>
      <c r="AC3870">
        <v>3</v>
      </c>
      <c r="AD3870">
        <v>0</v>
      </c>
      <c r="AE3870">
        <v>9</v>
      </c>
      <c r="AF3870" t="s">
        <v>138</v>
      </c>
      <c r="AG3870">
        <v>0</v>
      </c>
      <c r="AH3870">
        <v>3</v>
      </c>
      <c r="AI3870">
        <v>1</v>
      </c>
      <c r="AJ3870">
        <v>0</v>
      </c>
      <c r="AK3870" t="s">
        <v>1251</v>
      </c>
      <c r="AL3870">
        <v>32.737155000000001</v>
      </c>
      <c r="AM3870" t="s">
        <v>1252</v>
      </c>
      <c r="AN3870">
        <v>-116.696842</v>
      </c>
      <c r="AO3870">
        <v>25</v>
      </c>
      <c r="AP3870">
        <v>4800</v>
      </c>
      <c r="AQ3870" t="s">
        <v>129</v>
      </c>
      <c r="AR3870">
        <v>118</v>
      </c>
      <c r="AS3870">
        <v>-17</v>
      </c>
      <c r="AT3870">
        <v>832</v>
      </c>
      <c r="BB3870">
        <v>1200</v>
      </c>
      <c r="BC3870">
        <v>1</v>
      </c>
      <c r="BD3870" t="str">
        <f t="shared" si="1414"/>
        <v xml:space="preserve">N887QR  </v>
      </c>
      <c r="BE3870">
        <v>1</v>
      </c>
      <c r="BG3870">
        <v>0</v>
      </c>
      <c r="BH3870">
        <v>0</v>
      </c>
      <c r="BI3870">
        <v>0</v>
      </c>
      <c r="BJ3870">
        <v>4650</v>
      </c>
      <c r="BK3870">
        <v>-150</v>
      </c>
      <c r="BL3870" t="s">
        <v>163</v>
      </c>
      <c r="BM3870">
        <v>1</v>
      </c>
      <c r="BN3870">
        <v>1</v>
      </c>
      <c r="BO3870">
        <v>1</v>
      </c>
      <c r="BP3870">
        <v>0</v>
      </c>
      <c r="BS3870">
        <v>0</v>
      </c>
      <c r="BT3870">
        <v>0</v>
      </c>
      <c r="BU3870">
        <v>0</v>
      </c>
      <c r="CE3870" t="str">
        <f t="shared" si="1424"/>
        <v>19:35:57.242</v>
      </c>
      <c r="CF3870">
        <v>241918479</v>
      </c>
      <c r="CS3870">
        <v>0</v>
      </c>
      <c r="CT3870">
        <v>2</v>
      </c>
      <c r="CU3870">
        <v>0</v>
      </c>
      <c r="CV3870">
        <v>2</v>
      </c>
      <c r="CW3870">
        <v>0</v>
      </c>
      <c r="CX3870">
        <v>5</v>
      </c>
      <c r="CY3870">
        <v>7</v>
      </c>
      <c r="CZ3870" t="s">
        <v>131</v>
      </c>
      <c r="DA3870">
        <v>286</v>
      </c>
      <c r="DB3870">
        <v>0</v>
      </c>
      <c r="DC3870" t="s">
        <v>132</v>
      </c>
      <c r="DD3870" t="s">
        <v>133</v>
      </c>
      <c r="DG3870">
        <v>893964</v>
      </c>
      <c r="DI3870">
        <v>1</v>
      </c>
      <c r="DJ3870">
        <v>0</v>
      </c>
      <c r="DK3870">
        <v>1</v>
      </c>
      <c r="DL3870">
        <v>0</v>
      </c>
      <c r="DM3870">
        <v>0</v>
      </c>
      <c r="DN3870">
        <v>1</v>
      </c>
      <c r="DO3870">
        <v>0</v>
      </c>
      <c r="DP3870">
        <v>0</v>
      </c>
      <c r="DQ3870">
        <v>0</v>
      </c>
      <c r="DR3870">
        <v>0</v>
      </c>
      <c r="DS3870">
        <v>0</v>
      </c>
    </row>
    <row r="3871" spans="1:123" x14ac:dyDescent="0.3">
      <c r="A3871" t="str">
        <f t="shared" si="1422"/>
        <v>10/04/2022 19:35:57.453</v>
      </c>
      <c r="C3871" t="str">
        <f t="shared" si="1406"/>
        <v>FFDFD3C0</v>
      </c>
      <c r="D3871" t="s">
        <v>143</v>
      </c>
      <c r="E3871">
        <v>20</v>
      </c>
      <c r="F3871">
        <v>1020</v>
      </c>
      <c r="G3871" t="s">
        <v>144</v>
      </c>
      <c r="J3871" t="s">
        <v>145</v>
      </c>
      <c r="K3871">
        <v>0</v>
      </c>
      <c r="L3871">
        <v>3</v>
      </c>
      <c r="M3871">
        <v>0</v>
      </c>
      <c r="N3871">
        <v>2</v>
      </c>
      <c r="O3871">
        <v>0</v>
      </c>
      <c r="P3871">
        <v>1</v>
      </c>
      <c r="Q3871">
        <v>0</v>
      </c>
      <c r="S3871" t="str">
        <f t="shared" si="1423"/>
        <v>19:35:57.000</v>
      </c>
      <c r="T3871" t="str">
        <f t="shared" si="1423"/>
        <v>19:35:57.000</v>
      </c>
      <c r="U3871" t="str">
        <f t="shared" si="1413"/>
        <v>AC3944</v>
      </c>
      <c r="V3871">
        <v>0</v>
      </c>
      <c r="W3871">
        <v>0</v>
      </c>
      <c r="X3871">
        <v>2</v>
      </c>
      <c r="Y3871">
        <v>0</v>
      </c>
      <c r="AA3871">
        <v>1</v>
      </c>
      <c r="AB3871">
        <v>8</v>
      </c>
      <c r="AC3871">
        <v>3</v>
      </c>
      <c r="AD3871">
        <v>0</v>
      </c>
      <c r="AE3871">
        <v>9</v>
      </c>
      <c r="AF3871" t="s">
        <v>138</v>
      </c>
      <c r="AG3871">
        <v>0</v>
      </c>
      <c r="AH3871">
        <v>3</v>
      </c>
      <c r="AI3871">
        <v>1</v>
      </c>
      <c r="AJ3871">
        <v>0</v>
      </c>
      <c r="AK3871" t="s">
        <v>1251</v>
      </c>
      <c r="AL3871">
        <v>32.737155000000001</v>
      </c>
      <c r="AM3871" t="s">
        <v>1252</v>
      </c>
      <c r="AN3871">
        <v>-116.696842</v>
      </c>
      <c r="AO3871">
        <v>25</v>
      </c>
      <c r="AP3871">
        <v>4800</v>
      </c>
      <c r="AQ3871" t="s">
        <v>129</v>
      </c>
      <c r="AR3871">
        <v>118</v>
      </c>
      <c r="AS3871">
        <v>-17</v>
      </c>
      <c r="AT3871">
        <v>832</v>
      </c>
      <c r="BB3871">
        <v>1200</v>
      </c>
      <c r="BC3871">
        <v>1</v>
      </c>
      <c r="BD3871" t="str">
        <f t="shared" si="1414"/>
        <v xml:space="preserve">N887QR  </v>
      </c>
      <c r="BE3871">
        <v>1</v>
      </c>
      <c r="BG3871">
        <v>0</v>
      </c>
      <c r="BH3871">
        <v>0</v>
      </c>
      <c r="BI3871">
        <v>0</v>
      </c>
      <c r="BJ3871">
        <v>4650</v>
      </c>
      <c r="BK3871">
        <v>-150</v>
      </c>
      <c r="BL3871" t="s">
        <v>163</v>
      </c>
      <c r="BM3871">
        <v>1</v>
      </c>
      <c r="BN3871">
        <v>1</v>
      </c>
      <c r="BO3871">
        <v>1</v>
      </c>
      <c r="BP3871">
        <v>0</v>
      </c>
      <c r="BS3871">
        <v>0</v>
      </c>
      <c r="BT3871">
        <v>0</v>
      </c>
      <c r="BU3871">
        <v>0</v>
      </c>
      <c r="CE3871" t="str">
        <f t="shared" si="1424"/>
        <v>19:35:57.242</v>
      </c>
      <c r="CF3871">
        <v>241918479</v>
      </c>
      <c r="CS3871">
        <v>0</v>
      </c>
      <c r="CT3871">
        <v>2</v>
      </c>
      <c r="CU3871">
        <v>0</v>
      </c>
      <c r="CV3871">
        <v>2</v>
      </c>
      <c r="CW3871">
        <v>0</v>
      </c>
      <c r="CX3871">
        <v>5</v>
      </c>
      <c r="CY3871">
        <v>7</v>
      </c>
      <c r="CZ3871" t="s">
        <v>131</v>
      </c>
      <c r="DA3871">
        <v>286</v>
      </c>
      <c r="DB3871">
        <v>0</v>
      </c>
      <c r="DC3871" t="s">
        <v>132</v>
      </c>
      <c r="DD3871" t="s">
        <v>133</v>
      </c>
      <c r="DG3871">
        <v>893964</v>
      </c>
      <c r="DI3871">
        <v>1</v>
      </c>
      <c r="DJ3871">
        <v>0</v>
      </c>
      <c r="DK3871">
        <v>1</v>
      </c>
      <c r="DL3871">
        <v>0</v>
      </c>
      <c r="DM3871">
        <v>0</v>
      </c>
      <c r="DN3871">
        <v>1</v>
      </c>
      <c r="DO3871">
        <v>0</v>
      </c>
      <c r="DP3871">
        <v>0</v>
      </c>
      <c r="DQ3871">
        <v>0</v>
      </c>
      <c r="DR3871">
        <v>0</v>
      </c>
      <c r="DS3871">
        <v>0</v>
      </c>
    </row>
    <row r="3872" spans="1:123" x14ac:dyDescent="0.3">
      <c r="A3872" t="str">
        <f t="shared" si="1422"/>
        <v>10/04/2022 19:35:57.453</v>
      </c>
      <c r="C3872" t="str">
        <f t="shared" si="1406"/>
        <v>FFDFD3C0</v>
      </c>
      <c r="D3872" t="s">
        <v>147</v>
      </c>
      <c r="E3872">
        <v>3</v>
      </c>
      <c r="H3872">
        <v>166</v>
      </c>
      <c r="I3872" t="s">
        <v>144</v>
      </c>
      <c r="J3872" t="s">
        <v>148</v>
      </c>
      <c r="K3872">
        <v>0</v>
      </c>
      <c r="L3872">
        <v>3</v>
      </c>
      <c r="M3872">
        <v>0</v>
      </c>
      <c r="N3872">
        <v>2</v>
      </c>
      <c r="O3872">
        <v>0</v>
      </c>
      <c r="P3872">
        <v>1</v>
      </c>
      <c r="Q3872">
        <v>0</v>
      </c>
      <c r="S3872" t="str">
        <f t="shared" si="1423"/>
        <v>19:35:57.000</v>
      </c>
      <c r="T3872" t="str">
        <f t="shared" si="1423"/>
        <v>19:35:57.000</v>
      </c>
      <c r="U3872" t="str">
        <f t="shared" si="1413"/>
        <v>AC3944</v>
      </c>
      <c r="V3872">
        <v>0</v>
      </c>
      <c r="W3872">
        <v>0</v>
      </c>
      <c r="X3872">
        <v>2</v>
      </c>
      <c r="Y3872">
        <v>0</v>
      </c>
      <c r="AA3872">
        <v>1</v>
      </c>
      <c r="AB3872">
        <v>8</v>
      </c>
      <c r="AC3872">
        <v>3</v>
      </c>
      <c r="AD3872">
        <v>0</v>
      </c>
      <c r="AE3872">
        <v>9</v>
      </c>
      <c r="AF3872" t="s">
        <v>138</v>
      </c>
      <c r="AG3872">
        <v>0</v>
      </c>
      <c r="AH3872">
        <v>3</v>
      </c>
      <c r="AI3872">
        <v>1</v>
      </c>
      <c r="AJ3872">
        <v>0</v>
      </c>
      <c r="AK3872" t="s">
        <v>1251</v>
      </c>
      <c r="AL3872">
        <v>32.737155000000001</v>
      </c>
      <c r="AM3872" t="s">
        <v>1252</v>
      </c>
      <c r="AN3872">
        <v>-116.696842</v>
      </c>
      <c r="AO3872">
        <v>25</v>
      </c>
      <c r="AP3872">
        <v>4800</v>
      </c>
      <c r="AQ3872" t="s">
        <v>129</v>
      </c>
      <c r="AR3872">
        <v>118</v>
      </c>
      <c r="AS3872">
        <v>-17</v>
      </c>
      <c r="AT3872">
        <v>832</v>
      </c>
      <c r="BB3872">
        <v>1200</v>
      </c>
      <c r="BC3872">
        <v>1</v>
      </c>
      <c r="BD3872" t="str">
        <f t="shared" si="1414"/>
        <v xml:space="preserve">N887QR  </v>
      </c>
      <c r="BE3872">
        <v>1</v>
      </c>
      <c r="BG3872">
        <v>0</v>
      </c>
      <c r="BH3872">
        <v>0</v>
      </c>
      <c r="BI3872">
        <v>0</v>
      </c>
      <c r="BJ3872">
        <v>4650</v>
      </c>
      <c r="BK3872">
        <v>-150</v>
      </c>
      <c r="BL3872" t="s">
        <v>163</v>
      </c>
      <c r="BM3872">
        <v>1</v>
      </c>
      <c r="BN3872">
        <v>1</v>
      </c>
      <c r="BO3872">
        <v>1</v>
      </c>
      <c r="BP3872">
        <v>0</v>
      </c>
      <c r="BS3872">
        <v>0</v>
      </c>
      <c r="BT3872">
        <v>0</v>
      </c>
      <c r="BU3872">
        <v>0</v>
      </c>
      <c r="CE3872" t="str">
        <f t="shared" si="1424"/>
        <v>19:35:57.242</v>
      </c>
      <c r="CF3872">
        <v>241918479</v>
      </c>
      <c r="CS3872">
        <v>0</v>
      </c>
      <c r="CT3872">
        <v>2</v>
      </c>
      <c r="CU3872">
        <v>0</v>
      </c>
      <c r="CV3872">
        <v>2</v>
      </c>
      <c r="CW3872">
        <v>0</v>
      </c>
      <c r="CX3872">
        <v>5</v>
      </c>
      <c r="CY3872">
        <v>7</v>
      </c>
      <c r="CZ3872" t="s">
        <v>131</v>
      </c>
      <c r="DA3872">
        <v>286</v>
      </c>
      <c r="DB3872">
        <v>0</v>
      </c>
      <c r="DC3872" t="s">
        <v>132</v>
      </c>
      <c r="DD3872" t="s">
        <v>133</v>
      </c>
      <c r="DG3872">
        <v>893964</v>
      </c>
      <c r="DI3872">
        <v>1</v>
      </c>
      <c r="DJ3872">
        <v>0</v>
      </c>
      <c r="DK3872">
        <v>1</v>
      </c>
      <c r="DL3872">
        <v>0</v>
      </c>
      <c r="DM3872">
        <v>0</v>
      </c>
      <c r="DN3872">
        <v>1</v>
      </c>
      <c r="DO3872">
        <v>0</v>
      </c>
      <c r="DP3872">
        <v>0</v>
      </c>
      <c r="DQ3872">
        <v>0</v>
      </c>
      <c r="DR3872">
        <v>0</v>
      </c>
      <c r="DS3872">
        <v>0</v>
      </c>
    </row>
    <row r="3873" spans="1:123" x14ac:dyDescent="0.3">
      <c r="A3873" t="str">
        <f t="shared" si="1422"/>
        <v>10/04/2022 19:35:57.453</v>
      </c>
      <c r="C3873" t="str">
        <f t="shared" si="1406"/>
        <v>FFDFD3C0</v>
      </c>
      <c r="D3873" t="s">
        <v>136</v>
      </c>
      <c r="E3873">
        <v>8</v>
      </c>
      <c r="H3873">
        <v>225</v>
      </c>
      <c r="I3873" t="s">
        <v>137</v>
      </c>
      <c r="J3873" t="s">
        <v>138</v>
      </c>
      <c r="K3873">
        <v>0</v>
      </c>
      <c r="L3873">
        <v>3</v>
      </c>
      <c r="M3873">
        <v>0</v>
      </c>
      <c r="N3873">
        <v>2</v>
      </c>
      <c r="O3873">
        <v>0</v>
      </c>
      <c r="P3873">
        <v>1</v>
      </c>
      <c r="Q3873">
        <v>0</v>
      </c>
      <c r="S3873" t="str">
        <f t="shared" si="1423"/>
        <v>19:35:57.000</v>
      </c>
      <c r="T3873" t="str">
        <f t="shared" si="1423"/>
        <v>19:35:57.000</v>
      </c>
      <c r="U3873" t="str">
        <f t="shared" si="1413"/>
        <v>AC3944</v>
      </c>
      <c r="V3873">
        <v>0</v>
      </c>
      <c r="W3873">
        <v>0</v>
      </c>
      <c r="X3873">
        <v>2</v>
      </c>
      <c r="Y3873">
        <v>0</v>
      </c>
      <c r="AA3873">
        <v>1</v>
      </c>
      <c r="AB3873">
        <v>8</v>
      </c>
      <c r="AC3873">
        <v>3</v>
      </c>
      <c r="AD3873">
        <v>0</v>
      </c>
      <c r="AE3873">
        <v>9</v>
      </c>
      <c r="AF3873" t="s">
        <v>138</v>
      </c>
      <c r="AG3873">
        <v>0</v>
      </c>
      <c r="AH3873">
        <v>3</v>
      </c>
      <c r="AI3873">
        <v>1</v>
      </c>
      <c r="AJ3873">
        <v>0</v>
      </c>
      <c r="AK3873" t="s">
        <v>1251</v>
      </c>
      <c r="AL3873">
        <v>32.737155000000001</v>
      </c>
      <c r="AM3873" t="s">
        <v>1252</v>
      </c>
      <c r="AN3873">
        <v>-116.696842</v>
      </c>
      <c r="AO3873">
        <v>25</v>
      </c>
      <c r="AP3873">
        <v>4800</v>
      </c>
      <c r="AQ3873" t="s">
        <v>129</v>
      </c>
      <c r="AR3873">
        <v>118</v>
      </c>
      <c r="AS3873">
        <v>-17</v>
      </c>
      <c r="AT3873">
        <v>832</v>
      </c>
      <c r="BB3873">
        <v>1200</v>
      </c>
      <c r="BC3873">
        <v>1</v>
      </c>
      <c r="BD3873" t="str">
        <f t="shared" si="1414"/>
        <v xml:space="preserve">N887QR  </v>
      </c>
      <c r="BE3873">
        <v>1</v>
      </c>
      <c r="BG3873">
        <v>0</v>
      </c>
      <c r="BH3873">
        <v>0</v>
      </c>
      <c r="BI3873">
        <v>0</v>
      </c>
      <c r="BJ3873">
        <v>4650</v>
      </c>
      <c r="BK3873">
        <v>-150</v>
      </c>
      <c r="BL3873" t="s">
        <v>163</v>
      </c>
      <c r="BM3873">
        <v>1</v>
      </c>
      <c r="BN3873">
        <v>1</v>
      </c>
      <c r="BO3873">
        <v>1</v>
      </c>
      <c r="BP3873">
        <v>0</v>
      </c>
      <c r="BS3873">
        <v>0</v>
      </c>
      <c r="BT3873">
        <v>0</v>
      </c>
      <c r="BU3873">
        <v>0</v>
      </c>
      <c r="CE3873" t="str">
        <f t="shared" si="1424"/>
        <v>19:35:57.242</v>
      </c>
      <c r="CF3873">
        <v>241918479</v>
      </c>
      <c r="CS3873">
        <v>0</v>
      </c>
      <c r="CT3873">
        <v>2</v>
      </c>
      <c r="CU3873">
        <v>0</v>
      </c>
      <c r="CV3873">
        <v>2</v>
      </c>
      <c r="CW3873">
        <v>0</v>
      </c>
      <c r="CX3873">
        <v>5</v>
      </c>
      <c r="CY3873">
        <v>7</v>
      </c>
      <c r="CZ3873" t="s">
        <v>131</v>
      </c>
      <c r="DA3873">
        <v>286</v>
      </c>
      <c r="DB3873">
        <v>0</v>
      </c>
      <c r="DC3873" t="s">
        <v>132</v>
      </c>
      <c r="DD3873" t="s">
        <v>133</v>
      </c>
      <c r="DG3873">
        <v>893964</v>
      </c>
      <c r="DI3873">
        <v>1</v>
      </c>
      <c r="DJ3873">
        <v>0</v>
      </c>
      <c r="DK3873">
        <v>1</v>
      </c>
      <c r="DL3873">
        <v>0</v>
      </c>
      <c r="DM3873">
        <v>0</v>
      </c>
      <c r="DN3873">
        <v>1</v>
      </c>
      <c r="DO3873">
        <v>0</v>
      </c>
      <c r="DP3873">
        <v>0</v>
      </c>
      <c r="DQ3873">
        <v>0</v>
      </c>
      <c r="DR3873">
        <v>0</v>
      </c>
      <c r="DS3873">
        <v>0</v>
      </c>
    </row>
    <row r="3874" spans="1:123" x14ac:dyDescent="0.3">
      <c r="A3874" t="str">
        <f t="shared" si="1422"/>
        <v>10/04/2022 19:35:57.453</v>
      </c>
      <c r="C3874" t="str">
        <f t="shared" si="1406"/>
        <v>FFDFD3C0</v>
      </c>
      <c r="D3874" t="s">
        <v>123</v>
      </c>
      <c r="E3874">
        <v>7</v>
      </c>
      <c r="F3874">
        <v>2007</v>
      </c>
      <c r="G3874" t="s">
        <v>124</v>
      </c>
      <c r="J3874" t="s">
        <v>125</v>
      </c>
      <c r="K3874">
        <v>0</v>
      </c>
      <c r="L3874">
        <v>3</v>
      </c>
      <c r="M3874">
        <v>0</v>
      </c>
      <c r="N3874">
        <v>2</v>
      </c>
      <c r="O3874">
        <v>0</v>
      </c>
      <c r="P3874">
        <v>1</v>
      </c>
      <c r="Q3874">
        <v>0</v>
      </c>
      <c r="S3874" t="str">
        <f t="shared" si="1423"/>
        <v>19:35:57.000</v>
      </c>
      <c r="T3874" t="str">
        <f t="shared" si="1423"/>
        <v>19:35:57.000</v>
      </c>
      <c r="U3874" t="str">
        <f t="shared" si="1413"/>
        <v>AC3944</v>
      </c>
      <c r="V3874">
        <v>0</v>
      </c>
      <c r="W3874">
        <v>0</v>
      </c>
      <c r="X3874">
        <v>2</v>
      </c>
      <c r="Y3874">
        <v>0</v>
      </c>
      <c r="AA3874">
        <v>1</v>
      </c>
      <c r="AB3874">
        <v>8</v>
      </c>
      <c r="AC3874">
        <v>3</v>
      </c>
      <c r="AD3874">
        <v>0</v>
      </c>
      <c r="AE3874">
        <v>9</v>
      </c>
      <c r="AF3874" t="s">
        <v>138</v>
      </c>
      <c r="AG3874">
        <v>0</v>
      </c>
      <c r="AH3874">
        <v>3</v>
      </c>
      <c r="AI3874">
        <v>1</v>
      </c>
      <c r="AJ3874">
        <v>0</v>
      </c>
      <c r="AK3874" t="s">
        <v>1251</v>
      </c>
      <c r="AL3874">
        <v>32.737155000000001</v>
      </c>
      <c r="AM3874" t="s">
        <v>1252</v>
      </c>
      <c r="AN3874">
        <v>-116.696842</v>
      </c>
      <c r="AO3874">
        <v>25</v>
      </c>
      <c r="AP3874">
        <v>4800</v>
      </c>
      <c r="AQ3874" t="s">
        <v>129</v>
      </c>
      <c r="AR3874">
        <v>118</v>
      </c>
      <c r="AS3874">
        <v>-17</v>
      </c>
      <c r="AT3874">
        <v>832</v>
      </c>
      <c r="BB3874">
        <v>1200</v>
      </c>
      <c r="BC3874">
        <v>1</v>
      </c>
      <c r="BD3874" t="str">
        <f t="shared" si="1414"/>
        <v xml:space="preserve">N887QR  </v>
      </c>
      <c r="BE3874">
        <v>1</v>
      </c>
      <c r="BG3874">
        <v>0</v>
      </c>
      <c r="BH3874">
        <v>0</v>
      </c>
      <c r="BI3874">
        <v>0</v>
      </c>
      <c r="BJ3874">
        <v>4650</v>
      </c>
      <c r="BK3874">
        <v>-150</v>
      </c>
      <c r="BL3874" t="s">
        <v>163</v>
      </c>
      <c r="BM3874">
        <v>1</v>
      </c>
      <c r="BN3874">
        <v>1</v>
      </c>
      <c r="BO3874">
        <v>1</v>
      </c>
      <c r="BP3874">
        <v>0</v>
      </c>
      <c r="BS3874">
        <v>0</v>
      </c>
      <c r="BT3874">
        <v>0</v>
      </c>
      <c r="BU3874">
        <v>0</v>
      </c>
      <c r="CE3874" t="str">
        <f t="shared" si="1424"/>
        <v>19:35:57.242</v>
      </c>
      <c r="CF3874">
        <v>241918479</v>
      </c>
      <c r="CS3874">
        <v>0</v>
      </c>
      <c r="CT3874">
        <v>2</v>
      </c>
      <c r="CU3874">
        <v>0</v>
      </c>
      <c r="CV3874">
        <v>2</v>
      </c>
      <c r="CW3874">
        <v>0</v>
      </c>
      <c r="CX3874">
        <v>5</v>
      </c>
      <c r="CY3874">
        <v>7</v>
      </c>
      <c r="CZ3874" t="s">
        <v>131</v>
      </c>
      <c r="DA3874">
        <v>286</v>
      </c>
      <c r="DB3874">
        <v>0</v>
      </c>
      <c r="DC3874" t="s">
        <v>132</v>
      </c>
      <c r="DD3874" t="s">
        <v>133</v>
      </c>
      <c r="DG3874">
        <v>893964</v>
      </c>
      <c r="DI3874">
        <v>1</v>
      </c>
      <c r="DJ3874">
        <v>0</v>
      </c>
      <c r="DK3874">
        <v>1</v>
      </c>
      <c r="DL3874">
        <v>0</v>
      </c>
      <c r="DM3874">
        <v>0</v>
      </c>
      <c r="DN3874">
        <v>1</v>
      </c>
      <c r="DO3874">
        <v>0</v>
      </c>
      <c r="DP3874">
        <v>0</v>
      </c>
      <c r="DQ3874">
        <v>0</v>
      </c>
      <c r="DR3874">
        <v>0</v>
      </c>
      <c r="DS3874">
        <v>0</v>
      </c>
    </row>
    <row r="3875" spans="1:123" x14ac:dyDescent="0.3">
      <c r="A3875" t="str">
        <f>"10/04/2022 19:35:57.516"</f>
        <v>10/04/2022 19:35:57.516</v>
      </c>
      <c r="C3875" t="str">
        <f t="shared" si="1406"/>
        <v>FFDFD3C0</v>
      </c>
      <c r="D3875" t="s">
        <v>141</v>
      </c>
      <c r="E3875">
        <v>4</v>
      </c>
      <c r="H3875">
        <v>4</v>
      </c>
      <c r="I3875" t="s">
        <v>142</v>
      </c>
      <c r="J3875" t="s">
        <v>138</v>
      </c>
      <c r="K3875">
        <v>0</v>
      </c>
      <c r="L3875">
        <v>3</v>
      </c>
      <c r="M3875">
        <v>0</v>
      </c>
      <c r="N3875">
        <v>2</v>
      </c>
      <c r="O3875">
        <v>0</v>
      </c>
      <c r="P3875">
        <v>1</v>
      </c>
      <c r="Q3875">
        <v>0</v>
      </c>
      <c r="S3875" t="str">
        <f t="shared" si="1423"/>
        <v>19:35:57.000</v>
      </c>
      <c r="T3875" t="str">
        <f t="shared" si="1423"/>
        <v>19:35:57.000</v>
      </c>
      <c r="U3875" t="str">
        <f t="shared" si="1413"/>
        <v>AC3944</v>
      </c>
      <c r="V3875">
        <v>0</v>
      </c>
      <c r="W3875">
        <v>0</v>
      </c>
      <c r="X3875">
        <v>2</v>
      </c>
      <c r="Y3875">
        <v>0</v>
      </c>
      <c r="AA3875">
        <v>1</v>
      </c>
      <c r="AB3875">
        <v>8</v>
      </c>
      <c r="AC3875">
        <v>3</v>
      </c>
      <c r="AD3875">
        <v>0</v>
      </c>
      <c r="AE3875">
        <v>9</v>
      </c>
      <c r="AF3875" t="s">
        <v>138</v>
      </c>
      <c r="AG3875">
        <v>0</v>
      </c>
      <c r="AH3875">
        <v>3</v>
      </c>
      <c r="AI3875">
        <v>1</v>
      </c>
      <c r="AJ3875">
        <v>0</v>
      </c>
      <c r="AK3875" t="s">
        <v>1251</v>
      </c>
      <c r="AL3875">
        <v>32.737155000000001</v>
      </c>
      <c r="AM3875" t="s">
        <v>1252</v>
      </c>
      <c r="AN3875">
        <v>-116.696842</v>
      </c>
      <c r="AO3875">
        <v>25</v>
      </c>
      <c r="AP3875">
        <v>4800</v>
      </c>
      <c r="AQ3875" t="s">
        <v>129</v>
      </c>
      <c r="AR3875">
        <v>118</v>
      </c>
      <c r="AS3875">
        <v>-17</v>
      </c>
      <c r="AT3875">
        <v>832</v>
      </c>
      <c r="BB3875">
        <v>1200</v>
      </c>
      <c r="BC3875">
        <v>1</v>
      </c>
      <c r="BD3875" t="str">
        <f t="shared" si="1414"/>
        <v xml:space="preserve">N887QR  </v>
      </c>
      <c r="BE3875">
        <v>1</v>
      </c>
      <c r="BG3875">
        <v>0</v>
      </c>
      <c r="BH3875">
        <v>0</v>
      </c>
      <c r="BI3875">
        <v>0</v>
      </c>
      <c r="BJ3875">
        <v>4650</v>
      </c>
      <c r="BK3875">
        <v>-150</v>
      </c>
      <c r="BL3875" t="s">
        <v>163</v>
      </c>
      <c r="BM3875">
        <v>1</v>
      </c>
      <c r="BN3875">
        <v>1</v>
      </c>
      <c r="BO3875">
        <v>1</v>
      </c>
      <c r="BP3875">
        <v>0</v>
      </c>
      <c r="BS3875">
        <v>0</v>
      </c>
      <c r="BT3875">
        <v>0</v>
      </c>
      <c r="BU3875">
        <v>0</v>
      </c>
      <c r="CE3875" t="str">
        <f t="shared" si="1424"/>
        <v>19:35:57.242</v>
      </c>
      <c r="CF3875">
        <v>241918479</v>
      </c>
      <c r="CS3875">
        <v>0</v>
      </c>
      <c r="CT3875">
        <v>2</v>
      </c>
      <c r="CU3875">
        <v>0</v>
      </c>
      <c r="CV3875">
        <v>2</v>
      </c>
      <c r="CW3875">
        <v>0</v>
      </c>
      <c r="CX3875">
        <v>5</v>
      </c>
      <c r="CY3875">
        <v>7</v>
      </c>
      <c r="CZ3875" t="s">
        <v>131</v>
      </c>
      <c r="DA3875">
        <v>286</v>
      </c>
      <c r="DB3875">
        <v>0</v>
      </c>
      <c r="DC3875" t="s">
        <v>132</v>
      </c>
      <c r="DD3875" t="s">
        <v>133</v>
      </c>
      <c r="DG3875">
        <v>893964</v>
      </c>
      <c r="DI3875">
        <v>1</v>
      </c>
      <c r="DJ3875">
        <v>0</v>
      </c>
      <c r="DK3875">
        <v>1</v>
      </c>
      <c r="DL3875">
        <v>0</v>
      </c>
      <c r="DM3875">
        <v>0</v>
      </c>
      <c r="DN3875">
        <v>1</v>
      </c>
      <c r="DO3875">
        <v>0</v>
      </c>
      <c r="DP3875">
        <v>0</v>
      </c>
      <c r="DQ3875">
        <v>0</v>
      </c>
      <c r="DR3875">
        <v>0</v>
      </c>
      <c r="DS3875">
        <v>0</v>
      </c>
    </row>
    <row r="3876" spans="1:123" x14ac:dyDescent="0.3">
      <c r="A3876" t="str">
        <f t="shared" ref="A3876:A3882" si="1425">"10/04/2022 19:35:58.156"</f>
        <v>10/04/2022 19:35:58.156</v>
      </c>
      <c r="C3876" t="str">
        <f t="shared" si="1406"/>
        <v>FFDFD3C0</v>
      </c>
      <c r="D3876" t="s">
        <v>141</v>
      </c>
      <c r="E3876">
        <v>3</v>
      </c>
      <c r="H3876">
        <v>3</v>
      </c>
      <c r="I3876" t="s">
        <v>146</v>
      </c>
      <c r="J3876" t="s">
        <v>138</v>
      </c>
      <c r="K3876">
        <v>0</v>
      </c>
      <c r="L3876">
        <v>3</v>
      </c>
      <c r="M3876">
        <v>0</v>
      </c>
      <c r="N3876">
        <v>2</v>
      </c>
      <c r="O3876">
        <v>0</v>
      </c>
      <c r="P3876">
        <v>1</v>
      </c>
      <c r="Q3876">
        <v>0</v>
      </c>
      <c r="S3876" t="str">
        <f t="shared" si="1423"/>
        <v>19:35:57.000</v>
      </c>
      <c r="T3876" t="str">
        <f t="shared" si="1423"/>
        <v>19:35:57.000</v>
      </c>
      <c r="U3876" t="str">
        <f t="shared" si="1413"/>
        <v>AC3944</v>
      </c>
      <c r="V3876">
        <v>0</v>
      </c>
      <c r="W3876">
        <v>0</v>
      </c>
      <c r="X3876">
        <v>2</v>
      </c>
      <c r="Y3876">
        <v>0</v>
      </c>
      <c r="AA3876">
        <v>1</v>
      </c>
      <c r="AB3876">
        <v>8</v>
      </c>
      <c r="AC3876">
        <v>3</v>
      </c>
      <c r="AD3876">
        <v>0</v>
      </c>
      <c r="AE3876">
        <v>9</v>
      </c>
      <c r="AF3876" t="s">
        <v>138</v>
      </c>
      <c r="AG3876">
        <v>0</v>
      </c>
      <c r="AH3876">
        <v>3</v>
      </c>
      <c r="AI3876">
        <v>1</v>
      </c>
      <c r="AJ3876">
        <v>0</v>
      </c>
      <c r="AK3876" t="s">
        <v>1253</v>
      </c>
      <c r="AL3876">
        <v>32.737068999999998</v>
      </c>
      <c r="AM3876" t="s">
        <v>1254</v>
      </c>
      <c r="AN3876">
        <v>-116.696198</v>
      </c>
      <c r="AO3876">
        <v>25</v>
      </c>
      <c r="AP3876">
        <v>4800</v>
      </c>
      <c r="AQ3876" t="s">
        <v>129</v>
      </c>
      <c r="AR3876">
        <v>118</v>
      </c>
      <c r="AS3876">
        <v>-18</v>
      </c>
      <c r="AT3876">
        <v>832</v>
      </c>
      <c r="BB3876">
        <v>1200</v>
      </c>
      <c r="BC3876">
        <v>1</v>
      </c>
      <c r="BD3876" t="str">
        <f t="shared" si="1414"/>
        <v xml:space="preserve">N887QR  </v>
      </c>
      <c r="BE3876">
        <v>1</v>
      </c>
      <c r="BG3876">
        <v>0</v>
      </c>
      <c r="BH3876">
        <v>0</v>
      </c>
      <c r="BI3876">
        <v>0</v>
      </c>
      <c r="BJ3876">
        <v>4650</v>
      </c>
      <c r="BK3876">
        <v>-150</v>
      </c>
      <c r="BL3876" t="s">
        <v>163</v>
      </c>
      <c r="BM3876">
        <v>1</v>
      </c>
      <c r="BN3876">
        <v>1</v>
      </c>
      <c r="BO3876">
        <v>1</v>
      </c>
      <c r="BP3876">
        <v>0</v>
      </c>
      <c r="BS3876">
        <v>0</v>
      </c>
      <c r="BT3876">
        <v>0</v>
      </c>
      <c r="BU3876">
        <v>0</v>
      </c>
      <c r="CE3876" t="str">
        <f t="shared" ref="CE3876:CE3882" si="1426">"19:35:57.905"</f>
        <v>19:35:57.905</v>
      </c>
      <c r="CF3876">
        <v>904670667</v>
      </c>
      <c r="CS3876">
        <v>0</v>
      </c>
      <c r="CT3876">
        <v>2</v>
      </c>
      <c r="CU3876">
        <v>0</v>
      </c>
      <c r="CV3876">
        <v>2</v>
      </c>
      <c r="CW3876">
        <v>0</v>
      </c>
      <c r="CX3876">
        <v>5</v>
      </c>
      <c r="CY3876">
        <v>7</v>
      </c>
      <c r="CZ3876" t="s">
        <v>131</v>
      </c>
      <c r="DA3876">
        <v>286</v>
      </c>
      <c r="DB3876">
        <v>0</v>
      </c>
      <c r="DC3876" t="s">
        <v>132</v>
      </c>
      <c r="DD3876" t="s">
        <v>133</v>
      </c>
      <c r="DG3876">
        <v>894120</v>
      </c>
      <c r="DI3876">
        <v>1</v>
      </c>
      <c r="DJ3876">
        <v>0</v>
      </c>
      <c r="DK3876">
        <v>0</v>
      </c>
      <c r="DL3876">
        <v>0</v>
      </c>
      <c r="DM3876">
        <v>0</v>
      </c>
      <c r="DN3876">
        <v>1</v>
      </c>
      <c r="DO3876">
        <v>0</v>
      </c>
      <c r="DP3876">
        <v>0</v>
      </c>
      <c r="DQ3876">
        <v>0</v>
      </c>
      <c r="DR3876">
        <v>0</v>
      </c>
      <c r="DS3876">
        <v>0</v>
      </c>
    </row>
    <row r="3877" spans="1:123" x14ac:dyDescent="0.3">
      <c r="A3877" t="str">
        <f t="shared" si="1425"/>
        <v>10/04/2022 19:35:58.156</v>
      </c>
      <c r="C3877" t="str">
        <f t="shared" si="1406"/>
        <v>FFDFD3C0</v>
      </c>
      <c r="D3877" t="s">
        <v>134</v>
      </c>
      <c r="E3877">
        <v>15</v>
      </c>
      <c r="J3877" t="s">
        <v>135</v>
      </c>
      <c r="K3877">
        <v>0</v>
      </c>
      <c r="L3877">
        <v>3</v>
      </c>
      <c r="M3877">
        <v>0</v>
      </c>
      <c r="N3877">
        <v>2</v>
      </c>
      <c r="O3877">
        <v>0</v>
      </c>
      <c r="P3877">
        <v>1</v>
      </c>
      <c r="Q3877">
        <v>0</v>
      </c>
      <c r="S3877" t="str">
        <f t="shared" si="1423"/>
        <v>19:35:57.000</v>
      </c>
      <c r="T3877" t="str">
        <f t="shared" si="1423"/>
        <v>19:35:57.000</v>
      </c>
      <c r="U3877" t="str">
        <f t="shared" si="1413"/>
        <v>AC3944</v>
      </c>
      <c r="V3877">
        <v>0</v>
      </c>
      <c r="W3877">
        <v>0</v>
      </c>
      <c r="X3877">
        <v>2</v>
      </c>
      <c r="Y3877">
        <v>0</v>
      </c>
      <c r="AA3877">
        <v>1</v>
      </c>
      <c r="AB3877">
        <v>8</v>
      </c>
      <c r="AC3877">
        <v>3</v>
      </c>
      <c r="AD3877">
        <v>0</v>
      </c>
      <c r="AE3877">
        <v>9</v>
      </c>
      <c r="AF3877" t="s">
        <v>138</v>
      </c>
      <c r="AG3877">
        <v>0</v>
      </c>
      <c r="AH3877">
        <v>3</v>
      </c>
      <c r="AI3877">
        <v>1</v>
      </c>
      <c r="AJ3877">
        <v>0</v>
      </c>
      <c r="AK3877" t="s">
        <v>1253</v>
      </c>
      <c r="AL3877">
        <v>32.737068999999998</v>
      </c>
      <c r="AM3877" t="s">
        <v>1254</v>
      </c>
      <c r="AN3877">
        <v>-116.696198</v>
      </c>
      <c r="AO3877">
        <v>25</v>
      </c>
      <c r="AP3877">
        <v>4800</v>
      </c>
      <c r="AQ3877" t="s">
        <v>129</v>
      </c>
      <c r="AR3877">
        <v>118</v>
      </c>
      <c r="AS3877">
        <v>-18</v>
      </c>
      <c r="AT3877">
        <v>832</v>
      </c>
      <c r="BB3877">
        <v>1200</v>
      </c>
      <c r="BC3877">
        <v>1</v>
      </c>
      <c r="BD3877" t="str">
        <f t="shared" si="1414"/>
        <v xml:space="preserve">N887QR  </v>
      </c>
      <c r="BE3877">
        <v>1</v>
      </c>
      <c r="BG3877">
        <v>0</v>
      </c>
      <c r="BH3877">
        <v>0</v>
      </c>
      <c r="BI3877">
        <v>0</v>
      </c>
      <c r="BJ3877">
        <v>4650</v>
      </c>
      <c r="BK3877">
        <v>-150</v>
      </c>
      <c r="BL3877" t="s">
        <v>163</v>
      </c>
      <c r="BM3877">
        <v>1</v>
      </c>
      <c r="BN3877">
        <v>1</v>
      </c>
      <c r="BO3877">
        <v>1</v>
      </c>
      <c r="BP3877">
        <v>0</v>
      </c>
      <c r="BS3877">
        <v>0</v>
      </c>
      <c r="BT3877">
        <v>0</v>
      </c>
      <c r="BU3877">
        <v>0</v>
      </c>
      <c r="CE3877" t="str">
        <f t="shared" si="1426"/>
        <v>19:35:57.905</v>
      </c>
      <c r="CF3877">
        <v>904670667</v>
      </c>
      <c r="CS3877">
        <v>0</v>
      </c>
      <c r="CT3877">
        <v>2</v>
      </c>
      <c r="CU3877">
        <v>0</v>
      </c>
      <c r="CV3877">
        <v>2</v>
      </c>
      <c r="CW3877">
        <v>0</v>
      </c>
      <c r="CX3877">
        <v>5</v>
      </c>
      <c r="CY3877">
        <v>7</v>
      </c>
      <c r="CZ3877" t="s">
        <v>131</v>
      </c>
      <c r="DA3877">
        <v>286</v>
      </c>
      <c r="DB3877">
        <v>0</v>
      </c>
      <c r="DC3877" t="s">
        <v>132</v>
      </c>
      <c r="DD3877" t="s">
        <v>133</v>
      </c>
      <c r="DG3877">
        <v>894120</v>
      </c>
      <c r="DI3877">
        <v>1</v>
      </c>
      <c r="DJ3877">
        <v>0</v>
      </c>
      <c r="DK3877">
        <v>1</v>
      </c>
      <c r="DL3877">
        <v>0</v>
      </c>
      <c r="DM3877">
        <v>0</v>
      </c>
      <c r="DN3877">
        <v>1</v>
      </c>
      <c r="DO3877">
        <v>0</v>
      </c>
      <c r="DP3877">
        <v>0</v>
      </c>
      <c r="DQ3877">
        <v>0</v>
      </c>
      <c r="DR3877">
        <v>0</v>
      </c>
      <c r="DS3877">
        <v>0</v>
      </c>
    </row>
    <row r="3878" spans="1:123" x14ac:dyDescent="0.3">
      <c r="A3878" t="str">
        <f t="shared" si="1425"/>
        <v>10/04/2022 19:35:58.156</v>
      </c>
      <c r="C3878" t="str">
        <f t="shared" si="1406"/>
        <v>FFDFD3C0</v>
      </c>
      <c r="D3878" t="s">
        <v>147</v>
      </c>
      <c r="E3878">
        <v>3</v>
      </c>
      <c r="H3878">
        <v>166</v>
      </c>
      <c r="I3878" t="s">
        <v>144</v>
      </c>
      <c r="J3878" t="s">
        <v>148</v>
      </c>
      <c r="K3878">
        <v>0</v>
      </c>
      <c r="L3878">
        <v>3</v>
      </c>
      <c r="M3878">
        <v>0</v>
      </c>
      <c r="N3878">
        <v>2</v>
      </c>
      <c r="O3878">
        <v>0</v>
      </c>
      <c r="P3878">
        <v>1</v>
      </c>
      <c r="Q3878">
        <v>0</v>
      </c>
      <c r="S3878" t="str">
        <f t="shared" si="1423"/>
        <v>19:35:57.000</v>
      </c>
      <c r="T3878" t="str">
        <f t="shared" si="1423"/>
        <v>19:35:57.000</v>
      </c>
      <c r="U3878" t="str">
        <f t="shared" si="1413"/>
        <v>AC3944</v>
      </c>
      <c r="V3878">
        <v>0</v>
      </c>
      <c r="W3878">
        <v>0</v>
      </c>
      <c r="X3878">
        <v>2</v>
      </c>
      <c r="Y3878">
        <v>0</v>
      </c>
      <c r="AA3878">
        <v>1</v>
      </c>
      <c r="AB3878">
        <v>8</v>
      </c>
      <c r="AC3878">
        <v>3</v>
      </c>
      <c r="AD3878">
        <v>0</v>
      </c>
      <c r="AE3878">
        <v>9</v>
      </c>
      <c r="AF3878" t="s">
        <v>138</v>
      </c>
      <c r="AG3878">
        <v>0</v>
      </c>
      <c r="AH3878">
        <v>3</v>
      </c>
      <c r="AI3878">
        <v>1</v>
      </c>
      <c r="AJ3878">
        <v>0</v>
      </c>
      <c r="AK3878" t="s">
        <v>1253</v>
      </c>
      <c r="AL3878">
        <v>32.737068999999998</v>
      </c>
      <c r="AM3878" t="s">
        <v>1254</v>
      </c>
      <c r="AN3878">
        <v>-116.696198</v>
      </c>
      <c r="AO3878">
        <v>25</v>
      </c>
      <c r="AP3878">
        <v>4800</v>
      </c>
      <c r="AQ3878" t="s">
        <v>129</v>
      </c>
      <c r="AR3878">
        <v>118</v>
      </c>
      <c r="AS3878">
        <v>-18</v>
      </c>
      <c r="AT3878">
        <v>832</v>
      </c>
      <c r="BB3878">
        <v>1200</v>
      </c>
      <c r="BC3878">
        <v>1</v>
      </c>
      <c r="BD3878" t="str">
        <f t="shared" si="1414"/>
        <v xml:space="preserve">N887QR  </v>
      </c>
      <c r="BE3878">
        <v>1</v>
      </c>
      <c r="BG3878">
        <v>0</v>
      </c>
      <c r="BH3878">
        <v>0</v>
      </c>
      <c r="BI3878">
        <v>0</v>
      </c>
      <c r="BJ3878">
        <v>4650</v>
      </c>
      <c r="BK3878">
        <v>-150</v>
      </c>
      <c r="BL3878" t="s">
        <v>163</v>
      </c>
      <c r="BM3878">
        <v>1</v>
      </c>
      <c r="BN3878">
        <v>1</v>
      </c>
      <c r="BO3878">
        <v>1</v>
      </c>
      <c r="BP3878">
        <v>0</v>
      </c>
      <c r="BS3878">
        <v>0</v>
      </c>
      <c r="BT3878">
        <v>0</v>
      </c>
      <c r="BU3878">
        <v>0</v>
      </c>
      <c r="CE3878" t="str">
        <f t="shared" si="1426"/>
        <v>19:35:57.905</v>
      </c>
      <c r="CF3878">
        <v>904670667</v>
      </c>
      <c r="CS3878">
        <v>0</v>
      </c>
      <c r="CT3878">
        <v>2</v>
      </c>
      <c r="CU3878">
        <v>0</v>
      </c>
      <c r="CV3878">
        <v>2</v>
      </c>
      <c r="CW3878">
        <v>0</v>
      </c>
      <c r="CX3878">
        <v>5</v>
      </c>
      <c r="CY3878">
        <v>7</v>
      </c>
      <c r="CZ3878" t="s">
        <v>131</v>
      </c>
      <c r="DA3878">
        <v>286</v>
      </c>
      <c r="DB3878">
        <v>0</v>
      </c>
      <c r="DC3878" t="s">
        <v>132</v>
      </c>
      <c r="DD3878" t="s">
        <v>133</v>
      </c>
      <c r="DG3878">
        <v>894120</v>
      </c>
      <c r="DI3878">
        <v>1</v>
      </c>
      <c r="DJ3878">
        <v>0</v>
      </c>
      <c r="DK3878">
        <v>1</v>
      </c>
      <c r="DL3878">
        <v>0</v>
      </c>
      <c r="DM3878">
        <v>0</v>
      </c>
      <c r="DN3878">
        <v>1</v>
      </c>
      <c r="DO3878">
        <v>0</v>
      </c>
      <c r="DP3878">
        <v>0</v>
      </c>
      <c r="DQ3878">
        <v>0</v>
      </c>
      <c r="DR3878">
        <v>0</v>
      </c>
      <c r="DS3878">
        <v>0</v>
      </c>
    </row>
    <row r="3879" spans="1:123" x14ac:dyDescent="0.3">
      <c r="A3879" t="str">
        <f t="shared" si="1425"/>
        <v>10/04/2022 19:35:58.156</v>
      </c>
      <c r="C3879" t="str">
        <f t="shared" si="1406"/>
        <v>FFDFD3C0</v>
      </c>
      <c r="D3879" t="s">
        <v>143</v>
      </c>
      <c r="E3879">
        <v>20</v>
      </c>
      <c r="F3879">
        <v>1020</v>
      </c>
      <c r="G3879" t="s">
        <v>144</v>
      </c>
      <c r="J3879" t="s">
        <v>145</v>
      </c>
      <c r="K3879">
        <v>0</v>
      </c>
      <c r="L3879">
        <v>3</v>
      </c>
      <c r="M3879">
        <v>0</v>
      </c>
      <c r="N3879">
        <v>2</v>
      </c>
      <c r="O3879">
        <v>0</v>
      </c>
      <c r="P3879">
        <v>1</v>
      </c>
      <c r="Q3879">
        <v>0</v>
      </c>
      <c r="S3879" t="str">
        <f t="shared" si="1423"/>
        <v>19:35:57.000</v>
      </c>
      <c r="T3879" t="str">
        <f t="shared" si="1423"/>
        <v>19:35:57.000</v>
      </c>
      <c r="U3879" t="str">
        <f t="shared" si="1413"/>
        <v>AC3944</v>
      </c>
      <c r="V3879">
        <v>0</v>
      </c>
      <c r="W3879">
        <v>0</v>
      </c>
      <c r="X3879">
        <v>2</v>
      </c>
      <c r="Y3879">
        <v>0</v>
      </c>
      <c r="AA3879">
        <v>1</v>
      </c>
      <c r="AB3879">
        <v>8</v>
      </c>
      <c r="AC3879">
        <v>3</v>
      </c>
      <c r="AD3879">
        <v>0</v>
      </c>
      <c r="AE3879">
        <v>9</v>
      </c>
      <c r="AF3879" t="s">
        <v>138</v>
      </c>
      <c r="AG3879">
        <v>0</v>
      </c>
      <c r="AH3879">
        <v>3</v>
      </c>
      <c r="AI3879">
        <v>1</v>
      </c>
      <c r="AJ3879">
        <v>0</v>
      </c>
      <c r="AK3879" t="s">
        <v>1253</v>
      </c>
      <c r="AL3879">
        <v>32.737068999999998</v>
      </c>
      <c r="AM3879" t="s">
        <v>1254</v>
      </c>
      <c r="AN3879">
        <v>-116.696198</v>
      </c>
      <c r="AO3879">
        <v>25</v>
      </c>
      <c r="AP3879">
        <v>4800</v>
      </c>
      <c r="AQ3879" t="s">
        <v>129</v>
      </c>
      <c r="AR3879">
        <v>118</v>
      </c>
      <c r="AS3879">
        <v>-18</v>
      </c>
      <c r="AT3879">
        <v>832</v>
      </c>
      <c r="BB3879">
        <v>1200</v>
      </c>
      <c r="BC3879">
        <v>1</v>
      </c>
      <c r="BD3879" t="str">
        <f t="shared" si="1414"/>
        <v xml:space="preserve">N887QR  </v>
      </c>
      <c r="BE3879">
        <v>1</v>
      </c>
      <c r="BG3879">
        <v>0</v>
      </c>
      <c r="BH3879">
        <v>0</v>
      </c>
      <c r="BI3879">
        <v>0</v>
      </c>
      <c r="BJ3879">
        <v>4650</v>
      </c>
      <c r="BK3879">
        <v>-150</v>
      </c>
      <c r="BL3879" t="s">
        <v>163</v>
      </c>
      <c r="BM3879">
        <v>1</v>
      </c>
      <c r="BN3879">
        <v>1</v>
      </c>
      <c r="BO3879">
        <v>1</v>
      </c>
      <c r="BP3879">
        <v>0</v>
      </c>
      <c r="BS3879">
        <v>0</v>
      </c>
      <c r="BT3879">
        <v>0</v>
      </c>
      <c r="BU3879">
        <v>0</v>
      </c>
      <c r="CE3879" t="str">
        <f t="shared" si="1426"/>
        <v>19:35:57.905</v>
      </c>
      <c r="CF3879">
        <v>904670667</v>
      </c>
      <c r="CS3879">
        <v>0</v>
      </c>
      <c r="CT3879">
        <v>2</v>
      </c>
      <c r="CU3879">
        <v>0</v>
      </c>
      <c r="CV3879">
        <v>2</v>
      </c>
      <c r="CW3879">
        <v>0</v>
      </c>
      <c r="CX3879">
        <v>5</v>
      </c>
      <c r="CY3879">
        <v>7</v>
      </c>
      <c r="CZ3879" t="s">
        <v>131</v>
      </c>
      <c r="DA3879">
        <v>286</v>
      </c>
      <c r="DB3879">
        <v>0</v>
      </c>
      <c r="DC3879" t="s">
        <v>132</v>
      </c>
      <c r="DD3879" t="s">
        <v>133</v>
      </c>
      <c r="DG3879">
        <v>894120</v>
      </c>
      <c r="DI3879">
        <v>1</v>
      </c>
      <c r="DJ3879">
        <v>0</v>
      </c>
      <c r="DK3879">
        <v>1</v>
      </c>
      <c r="DL3879">
        <v>0</v>
      </c>
      <c r="DM3879">
        <v>0</v>
      </c>
      <c r="DN3879">
        <v>1</v>
      </c>
      <c r="DO3879">
        <v>0</v>
      </c>
      <c r="DP3879">
        <v>0</v>
      </c>
      <c r="DQ3879">
        <v>0</v>
      </c>
      <c r="DR3879">
        <v>0</v>
      </c>
      <c r="DS3879">
        <v>0</v>
      </c>
    </row>
    <row r="3880" spans="1:123" x14ac:dyDescent="0.3">
      <c r="A3880" t="str">
        <f t="shared" si="1425"/>
        <v>10/04/2022 19:35:58.156</v>
      </c>
      <c r="C3880" t="str">
        <f t="shared" si="1406"/>
        <v>FFDFD3C0</v>
      </c>
      <c r="D3880" t="s">
        <v>136</v>
      </c>
      <c r="E3880">
        <v>8</v>
      </c>
      <c r="H3880">
        <v>225</v>
      </c>
      <c r="I3880" t="s">
        <v>137</v>
      </c>
      <c r="J3880" t="s">
        <v>138</v>
      </c>
      <c r="K3880">
        <v>0</v>
      </c>
      <c r="L3880">
        <v>3</v>
      </c>
      <c r="M3880">
        <v>0</v>
      </c>
      <c r="N3880">
        <v>2</v>
      </c>
      <c r="O3880">
        <v>0</v>
      </c>
      <c r="P3880">
        <v>1</v>
      </c>
      <c r="Q3880">
        <v>0</v>
      </c>
      <c r="S3880" t="str">
        <f t="shared" si="1423"/>
        <v>19:35:57.000</v>
      </c>
      <c r="T3880" t="str">
        <f t="shared" si="1423"/>
        <v>19:35:57.000</v>
      </c>
      <c r="U3880" t="str">
        <f t="shared" si="1413"/>
        <v>AC3944</v>
      </c>
      <c r="V3880">
        <v>0</v>
      </c>
      <c r="W3880">
        <v>0</v>
      </c>
      <c r="X3880">
        <v>2</v>
      </c>
      <c r="Y3880">
        <v>0</v>
      </c>
      <c r="AA3880">
        <v>1</v>
      </c>
      <c r="AB3880">
        <v>8</v>
      </c>
      <c r="AC3880">
        <v>3</v>
      </c>
      <c r="AD3880">
        <v>0</v>
      </c>
      <c r="AE3880">
        <v>9</v>
      </c>
      <c r="AF3880" t="s">
        <v>138</v>
      </c>
      <c r="AG3880">
        <v>0</v>
      </c>
      <c r="AH3880">
        <v>3</v>
      </c>
      <c r="AI3880">
        <v>1</v>
      </c>
      <c r="AJ3880">
        <v>0</v>
      </c>
      <c r="AK3880" t="s">
        <v>1253</v>
      </c>
      <c r="AL3880">
        <v>32.737068999999998</v>
      </c>
      <c r="AM3880" t="s">
        <v>1254</v>
      </c>
      <c r="AN3880">
        <v>-116.696198</v>
      </c>
      <c r="AO3880">
        <v>25</v>
      </c>
      <c r="AP3880">
        <v>4800</v>
      </c>
      <c r="AQ3880" t="s">
        <v>129</v>
      </c>
      <c r="AR3880">
        <v>118</v>
      </c>
      <c r="AS3880">
        <v>-18</v>
      </c>
      <c r="AT3880">
        <v>832</v>
      </c>
      <c r="BB3880">
        <v>1200</v>
      </c>
      <c r="BC3880">
        <v>1</v>
      </c>
      <c r="BD3880" t="str">
        <f t="shared" si="1414"/>
        <v xml:space="preserve">N887QR  </v>
      </c>
      <c r="BE3880">
        <v>1</v>
      </c>
      <c r="BG3880">
        <v>0</v>
      </c>
      <c r="BH3880">
        <v>0</v>
      </c>
      <c r="BI3880">
        <v>0</v>
      </c>
      <c r="BJ3880">
        <v>4650</v>
      </c>
      <c r="BK3880">
        <v>-150</v>
      </c>
      <c r="BL3880" t="s">
        <v>163</v>
      </c>
      <c r="BM3880">
        <v>1</v>
      </c>
      <c r="BN3880">
        <v>1</v>
      </c>
      <c r="BO3880">
        <v>1</v>
      </c>
      <c r="BP3880">
        <v>0</v>
      </c>
      <c r="BS3880">
        <v>0</v>
      </c>
      <c r="BT3880">
        <v>0</v>
      </c>
      <c r="BU3880">
        <v>0</v>
      </c>
      <c r="CE3880" t="str">
        <f t="shared" si="1426"/>
        <v>19:35:57.905</v>
      </c>
      <c r="CF3880">
        <v>904670667</v>
      </c>
      <c r="CS3880">
        <v>0</v>
      </c>
      <c r="CT3880">
        <v>2</v>
      </c>
      <c r="CU3880">
        <v>0</v>
      </c>
      <c r="CV3880">
        <v>2</v>
      </c>
      <c r="CW3880">
        <v>0</v>
      </c>
      <c r="CX3880">
        <v>5</v>
      </c>
      <c r="CY3880">
        <v>7</v>
      </c>
      <c r="CZ3880" t="s">
        <v>131</v>
      </c>
      <c r="DA3880">
        <v>286</v>
      </c>
      <c r="DB3880">
        <v>0</v>
      </c>
      <c r="DC3880" t="s">
        <v>132</v>
      </c>
      <c r="DD3880" t="s">
        <v>133</v>
      </c>
      <c r="DG3880">
        <v>894120</v>
      </c>
      <c r="DI3880">
        <v>1</v>
      </c>
      <c r="DJ3880">
        <v>0</v>
      </c>
      <c r="DK3880">
        <v>1</v>
      </c>
      <c r="DL3880">
        <v>0</v>
      </c>
      <c r="DM3880">
        <v>0</v>
      </c>
      <c r="DN3880">
        <v>1</v>
      </c>
      <c r="DO3880">
        <v>0</v>
      </c>
      <c r="DP3880">
        <v>0</v>
      </c>
      <c r="DQ3880">
        <v>0</v>
      </c>
      <c r="DR3880">
        <v>0</v>
      </c>
      <c r="DS3880">
        <v>0</v>
      </c>
    </row>
    <row r="3881" spans="1:123" x14ac:dyDescent="0.3">
      <c r="A3881" t="str">
        <f t="shared" si="1425"/>
        <v>10/04/2022 19:35:58.156</v>
      </c>
      <c r="C3881" t="str">
        <f t="shared" si="1406"/>
        <v>FFDFD3C0</v>
      </c>
      <c r="D3881" t="s">
        <v>123</v>
      </c>
      <c r="E3881">
        <v>7</v>
      </c>
      <c r="F3881">
        <v>2007</v>
      </c>
      <c r="G3881" t="s">
        <v>124</v>
      </c>
      <c r="J3881" t="s">
        <v>125</v>
      </c>
      <c r="K3881">
        <v>0</v>
      </c>
      <c r="L3881">
        <v>3</v>
      </c>
      <c r="M3881">
        <v>0</v>
      </c>
      <c r="N3881">
        <v>2</v>
      </c>
      <c r="O3881">
        <v>0</v>
      </c>
      <c r="P3881">
        <v>1</v>
      </c>
      <c r="Q3881">
        <v>0</v>
      </c>
      <c r="S3881" t="str">
        <f t="shared" si="1423"/>
        <v>19:35:57.000</v>
      </c>
      <c r="T3881" t="str">
        <f t="shared" si="1423"/>
        <v>19:35:57.000</v>
      </c>
      <c r="U3881" t="str">
        <f t="shared" si="1413"/>
        <v>AC3944</v>
      </c>
      <c r="V3881">
        <v>0</v>
      </c>
      <c r="W3881">
        <v>0</v>
      </c>
      <c r="X3881">
        <v>2</v>
      </c>
      <c r="Y3881">
        <v>0</v>
      </c>
      <c r="AA3881">
        <v>1</v>
      </c>
      <c r="AB3881">
        <v>8</v>
      </c>
      <c r="AC3881">
        <v>3</v>
      </c>
      <c r="AD3881">
        <v>0</v>
      </c>
      <c r="AE3881">
        <v>9</v>
      </c>
      <c r="AF3881" t="s">
        <v>138</v>
      </c>
      <c r="AG3881">
        <v>0</v>
      </c>
      <c r="AH3881">
        <v>3</v>
      </c>
      <c r="AI3881">
        <v>1</v>
      </c>
      <c r="AJ3881">
        <v>0</v>
      </c>
      <c r="AK3881" t="s">
        <v>1253</v>
      </c>
      <c r="AL3881">
        <v>32.737068999999998</v>
      </c>
      <c r="AM3881" t="s">
        <v>1254</v>
      </c>
      <c r="AN3881">
        <v>-116.696198</v>
      </c>
      <c r="AO3881">
        <v>25</v>
      </c>
      <c r="AP3881">
        <v>4800</v>
      </c>
      <c r="AQ3881" t="s">
        <v>129</v>
      </c>
      <c r="AR3881">
        <v>118</v>
      </c>
      <c r="AS3881">
        <v>-18</v>
      </c>
      <c r="AT3881">
        <v>832</v>
      </c>
      <c r="BB3881">
        <v>1200</v>
      </c>
      <c r="BC3881">
        <v>1</v>
      </c>
      <c r="BD3881" t="str">
        <f t="shared" si="1414"/>
        <v xml:space="preserve">N887QR  </v>
      </c>
      <c r="BE3881">
        <v>1</v>
      </c>
      <c r="BG3881">
        <v>0</v>
      </c>
      <c r="BH3881">
        <v>0</v>
      </c>
      <c r="BI3881">
        <v>0</v>
      </c>
      <c r="BJ3881">
        <v>4650</v>
      </c>
      <c r="BK3881">
        <v>-150</v>
      </c>
      <c r="BL3881" t="s">
        <v>163</v>
      </c>
      <c r="BM3881">
        <v>1</v>
      </c>
      <c r="BN3881">
        <v>1</v>
      </c>
      <c r="BO3881">
        <v>1</v>
      </c>
      <c r="BP3881">
        <v>0</v>
      </c>
      <c r="BS3881">
        <v>0</v>
      </c>
      <c r="BT3881">
        <v>0</v>
      </c>
      <c r="BU3881">
        <v>0</v>
      </c>
      <c r="CE3881" t="str">
        <f t="shared" si="1426"/>
        <v>19:35:57.905</v>
      </c>
      <c r="CF3881">
        <v>904670667</v>
      </c>
      <c r="CS3881">
        <v>0</v>
      </c>
      <c r="CT3881">
        <v>2</v>
      </c>
      <c r="CU3881">
        <v>0</v>
      </c>
      <c r="CV3881">
        <v>2</v>
      </c>
      <c r="CW3881">
        <v>0</v>
      </c>
      <c r="CX3881">
        <v>5</v>
      </c>
      <c r="CY3881">
        <v>7</v>
      </c>
      <c r="CZ3881" t="s">
        <v>131</v>
      </c>
      <c r="DA3881">
        <v>286</v>
      </c>
      <c r="DB3881">
        <v>0</v>
      </c>
      <c r="DC3881" t="s">
        <v>132</v>
      </c>
      <c r="DD3881" t="s">
        <v>133</v>
      </c>
      <c r="DG3881">
        <v>894120</v>
      </c>
      <c r="DI3881">
        <v>1</v>
      </c>
      <c r="DJ3881">
        <v>0</v>
      </c>
      <c r="DK3881">
        <v>0</v>
      </c>
      <c r="DL3881">
        <v>0</v>
      </c>
      <c r="DM3881">
        <v>0</v>
      </c>
      <c r="DN3881">
        <v>1</v>
      </c>
      <c r="DO3881">
        <v>0</v>
      </c>
      <c r="DP3881">
        <v>0</v>
      </c>
      <c r="DQ3881">
        <v>0</v>
      </c>
      <c r="DR3881">
        <v>0</v>
      </c>
      <c r="DS3881">
        <v>0</v>
      </c>
    </row>
    <row r="3882" spans="1:123" x14ac:dyDescent="0.3">
      <c r="A3882" t="str">
        <f t="shared" si="1425"/>
        <v>10/04/2022 19:35:58.156</v>
      </c>
      <c r="C3882" t="str">
        <f t="shared" si="1406"/>
        <v>FFDFD3C0</v>
      </c>
      <c r="D3882" t="s">
        <v>141</v>
      </c>
      <c r="E3882">
        <v>4</v>
      </c>
      <c r="H3882">
        <v>4</v>
      </c>
      <c r="I3882" t="s">
        <v>142</v>
      </c>
      <c r="J3882" t="s">
        <v>138</v>
      </c>
      <c r="K3882">
        <v>0</v>
      </c>
      <c r="L3882">
        <v>3</v>
      </c>
      <c r="M3882">
        <v>0</v>
      </c>
      <c r="N3882">
        <v>2</v>
      </c>
      <c r="O3882">
        <v>0</v>
      </c>
      <c r="P3882">
        <v>1</v>
      </c>
      <c r="Q3882">
        <v>0</v>
      </c>
      <c r="S3882" t="str">
        <f t="shared" si="1423"/>
        <v>19:35:57.000</v>
      </c>
      <c r="T3882" t="str">
        <f t="shared" si="1423"/>
        <v>19:35:57.000</v>
      </c>
      <c r="U3882" t="str">
        <f t="shared" si="1413"/>
        <v>AC3944</v>
      </c>
      <c r="V3882">
        <v>0</v>
      </c>
      <c r="W3882">
        <v>0</v>
      </c>
      <c r="X3882">
        <v>2</v>
      </c>
      <c r="Y3882">
        <v>0</v>
      </c>
      <c r="AA3882">
        <v>1</v>
      </c>
      <c r="AB3882">
        <v>8</v>
      </c>
      <c r="AC3882">
        <v>3</v>
      </c>
      <c r="AD3882">
        <v>0</v>
      </c>
      <c r="AE3882">
        <v>9</v>
      </c>
      <c r="AF3882" t="s">
        <v>138</v>
      </c>
      <c r="AG3882">
        <v>0</v>
      </c>
      <c r="AH3882">
        <v>3</v>
      </c>
      <c r="AI3882">
        <v>1</v>
      </c>
      <c r="AJ3882">
        <v>0</v>
      </c>
      <c r="AK3882" t="s">
        <v>1253</v>
      </c>
      <c r="AL3882">
        <v>32.737068999999998</v>
      </c>
      <c r="AM3882" t="s">
        <v>1254</v>
      </c>
      <c r="AN3882">
        <v>-116.696198</v>
      </c>
      <c r="AO3882">
        <v>25</v>
      </c>
      <c r="AP3882">
        <v>4800</v>
      </c>
      <c r="AQ3882" t="s">
        <v>129</v>
      </c>
      <c r="AR3882">
        <v>118</v>
      </c>
      <c r="AS3882">
        <v>-18</v>
      </c>
      <c r="AT3882">
        <v>832</v>
      </c>
      <c r="BB3882">
        <v>1200</v>
      </c>
      <c r="BC3882">
        <v>1</v>
      </c>
      <c r="BD3882" t="str">
        <f t="shared" si="1414"/>
        <v xml:space="preserve">N887QR  </v>
      </c>
      <c r="BE3882">
        <v>1</v>
      </c>
      <c r="BG3882">
        <v>0</v>
      </c>
      <c r="BH3882">
        <v>0</v>
      </c>
      <c r="BI3882">
        <v>0</v>
      </c>
      <c r="BJ3882">
        <v>4650</v>
      </c>
      <c r="BK3882">
        <v>-150</v>
      </c>
      <c r="BL3882" t="s">
        <v>163</v>
      </c>
      <c r="BM3882">
        <v>1</v>
      </c>
      <c r="BN3882">
        <v>1</v>
      </c>
      <c r="BO3882">
        <v>1</v>
      </c>
      <c r="BP3882">
        <v>0</v>
      </c>
      <c r="BS3882">
        <v>0</v>
      </c>
      <c r="BT3882">
        <v>0</v>
      </c>
      <c r="BU3882">
        <v>0</v>
      </c>
      <c r="CE3882" t="str">
        <f t="shared" si="1426"/>
        <v>19:35:57.905</v>
      </c>
      <c r="CF3882">
        <v>904670667</v>
      </c>
      <c r="CS3882">
        <v>0</v>
      </c>
      <c r="CT3882">
        <v>2</v>
      </c>
      <c r="CU3882">
        <v>0</v>
      </c>
      <c r="CV3882">
        <v>2</v>
      </c>
      <c r="CW3882">
        <v>0</v>
      </c>
      <c r="CX3882">
        <v>5</v>
      </c>
      <c r="CY3882">
        <v>7</v>
      </c>
      <c r="CZ3882" t="s">
        <v>131</v>
      </c>
      <c r="DA3882">
        <v>286</v>
      </c>
      <c r="DB3882">
        <v>0</v>
      </c>
      <c r="DC3882" t="s">
        <v>132</v>
      </c>
      <c r="DD3882" t="s">
        <v>133</v>
      </c>
      <c r="DG3882">
        <v>894120</v>
      </c>
      <c r="DI3882">
        <v>1</v>
      </c>
      <c r="DJ3882">
        <v>0</v>
      </c>
      <c r="DK3882">
        <v>0</v>
      </c>
      <c r="DL3882">
        <v>0</v>
      </c>
      <c r="DM3882">
        <v>0</v>
      </c>
      <c r="DN3882">
        <v>1</v>
      </c>
      <c r="DO3882">
        <v>0</v>
      </c>
      <c r="DP3882">
        <v>0</v>
      </c>
      <c r="DQ3882">
        <v>0</v>
      </c>
      <c r="DR3882">
        <v>0</v>
      </c>
      <c r="DS3882">
        <v>0</v>
      </c>
    </row>
    <row r="3883" spans="1:123" x14ac:dyDescent="0.3">
      <c r="A3883" t="str">
        <f>"10/04/2022 19:35:59.578"</f>
        <v>10/04/2022 19:35:59.578</v>
      </c>
      <c r="C3883" t="str">
        <f t="shared" ref="C3883:C3946" si="1427">"FFDFD3C0"</f>
        <v>FFDFD3C0</v>
      </c>
      <c r="D3883" t="s">
        <v>141</v>
      </c>
      <c r="E3883">
        <v>4</v>
      </c>
      <c r="H3883">
        <v>4</v>
      </c>
      <c r="I3883" t="s">
        <v>142</v>
      </c>
      <c r="J3883" t="s">
        <v>138</v>
      </c>
      <c r="K3883">
        <v>0</v>
      </c>
      <c r="L3883">
        <v>3</v>
      </c>
      <c r="M3883">
        <v>0</v>
      </c>
      <c r="N3883">
        <v>2</v>
      </c>
      <c r="O3883">
        <v>0</v>
      </c>
      <c r="P3883">
        <v>1</v>
      </c>
      <c r="Q3883">
        <v>0</v>
      </c>
      <c r="S3883" t="str">
        <f t="shared" ref="S3883:T3889" si="1428">"19:35:59.000"</f>
        <v>19:35:59.000</v>
      </c>
      <c r="T3883" t="str">
        <f t="shared" si="1428"/>
        <v>19:35:59.000</v>
      </c>
      <c r="U3883" t="str">
        <f t="shared" si="1413"/>
        <v>AC3944</v>
      </c>
      <c r="V3883">
        <v>0</v>
      </c>
      <c r="W3883">
        <v>0</v>
      </c>
      <c r="X3883">
        <v>2</v>
      </c>
      <c r="Y3883">
        <v>0</v>
      </c>
      <c r="AA3883">
        <v>1</v>
      </c>
      <c r="AB3883">
        <v>8</v>
      </c>
      <c r="AC3883">
        <v>3</v>
      </c>
      <c r="AD3883">
        <v>0</v>
      </c>
      <c r="AE3883">
        <v>9</v>
      </c>
      <c r="AF3883" t="s">
        <v>138</v>
      </c>
      <c r="AG3883">
        <v>0</v>
      </c>
      <c r="AH3883">
        <v>3</v>
      </c>
      <c r="AI3883">
        <v>1</v>
      </c>
      <c r="AJ3883">
        <v>0</v>
      </c>
      <c r="AK3883" t="s">
        <v>1255</v>
      </c>
      <c r="AL3883">
        <v>32.736961999999998</v>
      </c>
      <c r="AM3883" t="s">
        <v>1256</v>
      </c>
      <c r="AN3883">
        <v>-116.695404</v>
      </c>
      <c r="AO3883">
        <v>25</v>
      </c>
      <c r="AP3883">
        <v>4800</v>
      </c>
      <c r="AQ3883" t="s">
        <v>129</v>
      </c>
      <c r="AR3883">
        <v>118</v>
      </c>
      <c r="AS3883">
        <v>-18</v>
      </c>
      <c r="AT3883">
        <v>768</v>
      </c>
      <c r="BB3883">
        <v>1200</v>
      </c>
      <c r="BC3883">
        <v>1</v>
      </c>
      <c r="BD3883" t="str">
        <f t="shared" si="1414"/>
        <v xml:space="preserve">N887QR  </v>
      </c>
      <c r="BE3883">
        <v>1</v>
      </c>
      <c r="BG3883">
        <v>0</v>
      </c>
      <c r="BH3883">
        <v>0</v>
      </c>
      <c r="BI3883">
        <v>0</v>
      </c>
      <c r="BJ3883">
        <v>4675</v>
      </c>
      <c r="BK3883">
        <v>-125</v>
      </c>
      <c r="BL3883" t="s">
        <v>163</v>
      </c>
      <c r="BM3883">
        <v>1</v>
      </c>
      <c r="BN3883">
        <v>1</v>
      </c>
      <c r="BO3883">
        <v>1</v>
      </c>
      <c r="BP3883">
        <v>0</v>
      </c>
      <c r="BS3883">
        <v>0</v>
      </c>
      <c r="BT3883">
        <v>0</v>
      </c>
      <c r="BU3883">
        <v>0</v>
      </c>
      <c r="CE3883" t="str">
        <f t="shared" ref="CE3883:CE3889" si="1429">"19:35:59.390"</f>
        <v>19:35:59.390</v>
      </c>
      <c r="CF3883">
        <v>389925611</v>
      </c>
      <c r="CS3883">
        <v>0</v>
      </c>
      <c r="CT3883">
        <v>2</v>
      </c>
      <c r="CU3883">
        <v>0</v>
      </c>
      <c r="CV3883">
        <v>2</v>
      </c>
      <c r="CW3883">
        <v>0</v>
      </c>
      <c r="CX3883">
        <v>5</v>
      </c>
      <c r="CY3883">
        <v>7</v>
      </c>
      <c r="CZ3883" t="s">
        <v>131</v>
      </c>
      <c r="DA3883">
        <v>286</v>
      </c>
      <c r="DB3883">
        <v>0</v>
      </c>
      <c r="DC3883" t="s">
        <v>132</v>
      </c>
      <c r="DD3883" t="s">
        <v>133</v>
      </c>
      <c r="DG3883">
        <v>894405</v>
      </c>
      <c r="DI3883">
        <v>1</v>
      </c>
      <c r="DJ3883">
        <v>0</v>
      </c>
      <c r="DK3883">
        <v>0</v>
      </c>
      <c r="DL3883">
        <v>0</v>
      </c>
      <c r="DM3883">
        <v>0</v>
      </c>
      <c r="DN3883">
        <v>1</v>
      </c>
      <c r="DO3883">
        <v>0</v>
      </c>
      <c r="DP3883">
        <v>0</v>
      </c>
      <c r="DQ3883">
        <v>0</v>
      </c>
      <c r="DR3883">
        <v>0</v>
      </c>
      <c r="DS3883">
        <v>0</v>
      </c>
    </row>
    <row r="3884" spans="1:123" x14ac:dyDescent="0.3">
      <c r="A3884" t="str">
        <f t="shared" ref="A3884:A3889" si="1430">"10/04/2022 19:35:59.672"</f>
        <v>10/04/2022 19:35:59.672</v>
      </c>
      <c r="C3884" t="str">
        <f t="shared" si="1427"/>
        <v>FFDFD3C0</v>
      </c>
      <c r="D3884" t="s">
        <v>141</v>
      </c>
      <c r="E3884">
        <v>3</v>
      </c>
      <c r="H3884">
        <v>3</v>
      </c>
      <c r="I3884" t="s">
        <v>146</v>
      </c>
      <c r="J3884" t="s">
        <v>138</v>
      </c>
      <c r="K3884">
        <v>0</v>
      </c>
      <c r="L3884">
        <v>3</v>
      </c>
      <c r="M3884">
        <v>0</v>
      </c>
      <c r="N3884">
        <v>2</v>
      </c>
      <c r="O3884">
        <v>0</v>
      </c>
      <c r="P3884">
        <v>1</v>
      </c>
      <c r="Q3884">
        <v>0</v>
      </c>
      <c r="S3884" t="str">
        <f t="shared" si="1428"/>
        <v>19:35:59.000</v>
      </c>
      <c r="T3884" t="str">
        <f t="shared" si="1428"/>
        <v>19:35:59.000</v>
      </c>
      <c r="U3884" t="str">
        <f t="shared" si="1413"/>
        <v>AC3944</v>
      </c>
      <c r="V3884">
        <v>0</v>
      </c>
      <c r="W3884">
        <v>0</v>
      </c>
      <c r="X3884">
        <v>2</v>
      </c>
      <c r="Y3884">
        <v>0</v>
      </c>
      <c r="AA3884">
        <v>1</v>
      </c>
      <c r="AB3884">
        <v>8</v>
      </c>
      <c r="AC3884">
        <v>3</v>
      </c>
      <c r="AD3884">
        <v>0</v>
      </c>
      <c r="AE3884">
        <v>9</v>
      </c>
      <c r="AF3884" t="s">
        <v>138</v>
      </c>
      <c r="AG3884">
        <v>0</v>
      </c>
      <c r="AH3884">
        <v>3</v>
      </c>
      <c r="AI3884">
        <v>1</v>
      </c>
      <c r="AJ3884">
        <v>0</v>
      </c>
      <c r="AK3884" t="s">
        <v>1255</v>
      </c>
      <c r="AL3884">
        <v>32.736961999999998</v>
      </c>
      <c r="AM3884" t="s">
        <v>1256</v>
      </c>
      <c r="AN3884">
        <v>-116.695404</v>
      </c>
      <c r="AO3884">
        <v>25</v>
      </c>
      <c r="AP3884">
        <v>4800</v>
      </c>
      <c r="AQ3884" t="s">
        <v>129</v>
      </c>
      <c r="AR3884">
        <v>118</v>
      </c>
      <c r="AS3884">
        <v>-18</v>
      </c>
      <c r="AT3884">
        <v>768</v>
      </c>
      <c r="BB3884">
        <v>1200</v>
      </c>
      <c r="BC3884">
        <v>1</v>
      </c>
      <c r="BD3884" t="str">
        <f t="shared" si="1414"/>
        <v xml:space="preserve">N887QR  </v>
      </c>
      <c r="BE3884">
        <v>1</v>
      </c>
      <c r="BG3884">
        <v>0</v>
      </c>
      <c r="BH3884">
        <v>0</v>
      </c>
      <c r="BI3884">
        <v>0</v>
      </c>
      <c r="BJ3884">
        <v>4675</v>
      </c>
      <c r="BK3884">
        <v>-125</v>
      </c>
      <c r="BL3884" t="s">
        <v>163</v>
      </c>
      <c r="BM3884">
        <v>1</v>
      </c>
      <c r="BN3884">
        <v>1</v>
      </c>
      <c r="BO3884">
        <v>1</v>
      </c>
      <c r="BP3884">
        <v>0</v>
      </c>
      <c r="BS3884">
        <v>0</v>
      </c>
      <c r="BT3884">
        <v>0</v>
      </c>
      <c r="BU3884">
        <v>0</v>
      </c>
      <c r="CE3884" t="str">
        <f t="shared" si="1429"/>
        <v>19:35:59.390</v>
      </c>
      <c r="CF3884">
        <v>389925611</v>
      </c>
      <c r="CS3884">
        <v>0</v>
      </c>
      <c r="CT3884">
        <v>2</v>
      </c>
      <c r="CU3884">
        <v>0</v>
      </c>
      <c r="CV3884">
        <v>2</v>
      </c>
      <c r="CW3884">
        <v>0</v>
      </c>
      <c r="CX3884">
        <v>5</v>
      </c>
      <c r="CY3884">
        <v>7</v>
      </c>
      <c r="CZ3884" t="s">
        <v>131</v>
      </c>
      <c r="DA3884">
        <v>286</v>
      </c>
      <c r="DB3884">
        <v>0</v>
      </c>
      <c r="DC3884" t="s">
        <v>132</v>
      </c>
      <c r="DD3884" t="s">
        <v>133</v>
      </c>
      <c r="DG3884">
        <v>894405</v>
      </c>
      <c r="DI3884">
        <v>1</v>
      </c>
      <c r="DJ3884">
        <v>0</v>
      </c>
      <c r="DK3884">
        <v>1</v>
      </c>
      <c r="DL3884">
        <v>0</v>
      </c>
      <c r="DM3884">
        <v>0</v>
      </c>
      <c r="DN3884">
        <v>1</v>
      </c>
      <c r="DO3884">
        <v>0</v>
      </c>
      <c r="DP3884">
        <v>0</v>
      </c>
      <c r="DQ3884">
        <v>0</v>
      </c>
      <c r="DR3884">
        <v>0</v>
      </c>
      <c r="DS3884">
        <v>0</v>
      </c>
    </row>
    <row r="3885" spans="1:123" x14ac:dyDescent="0.3">
      <c r="A3885" t="str">
        <f t="shared" si="1430"/>
        <v>10/04/2022 19:35:59.672</v>
      </c>
      <c r="C3885" t="str">
        <f t="shared" si="1427"/>
        <v>FFDFD3C0</v>
      </c>
      <c r="D3885" t="s">
        <v>143</v>
      </c>
      <c r="E3885">
        <v>20</v>
      </c>
      <c r="F3885">
        <v>1020</v>
      </c>
      <c r="G3885" t="s">
        <v>144</v>
      </c>
      <c r="J3885" t="s">
        <v>145</v>
      </c>
      <c r="K3885">
        <v>0</v>
      </c>
      <c r="L3885">
        <v>3</v>
      </c>
      <c r="M3885">
        <v>0</v>
      </c>
      <c r="N3885">
        <v>2</v>
      </c>
      <c r="O3885">
        <v>0</v>
      </c>
      <c r="P3885">
        <v>1</v>
      </c>
      <c r="Q3885">
        <v>0</v>
      </c>
      <c r="S3885" t="str">
        <f t="shared" si="1428"/>
        <v>19:35:59.000</v>
      </c>
      <c r="T3885" t="str">
        <f t="shared" si="1428"/>
        <v>19:35:59.000</v>
      </c>
      <c r="U3885" t="str">
        <f t="shared" si="1413"/>
        <v>AC3944</v>
      </c>
      <c r="V3885">
        <v>0</v>
      </c>
      <c r="W3885">
        <v>0</v>
      </c>
      <c r="X3885">
        <v>2</v>
      </c>
      <c r="Y3885">
        <v>0</v>
      </c>
      <c r="AA3885">
        <v>1</v>
      </c>
      <c r="AB3885">
        <v>8</v>
      </c>
      <c r="AC3885">
        <v>3</v>
      </c>
      <c r="AD3885">
        <v>0</v>
      </c>
      <c r="AE3885">
        <v>9</v>
      </c>
      <c r="AF3885" t="s">
        <v>138</v>
      </c>
      <c r="AG3885">
        <v>0</v>
      </c>
      <c r="AH3885">
        <v>3</v>
      </c>
      <c r="AI3885">
        <v>1</v>
      </c>
      <c r="AJ3885">
        <v>0</v>
      </c>
      <c r="AK3885" t="s">
        <v>1255</v>
      </c>
      <c r="AL3885">
        <v>32.736961999999998</v>
      </c>
      <c r="AM3885" t="s">
        <v>1256</v>
      </c>
      <c r="AN3885">
        <v>-116.695404</v>
      </c>
      <c r="AO3885">
        <v>25</v>
      </c>
      <c r="AP3885">
        <v>4800</v>
      </c>
      <c r="AQ3885" t="s">
        <v>129</v>
      </c>
      <c r="AR3885">
        <v>118</v>
      </c>
      <c r="AS3885">
        <v>-18</v>
      </c>
      <c r="AT3885">
        <v>768</v>
      </c>
      <c r="BB3885">
        <v>1200</v>
      </c>
      <c r="BC3885">
        <v>1</v>
      </c>
      <c r="BD3885" t="str">
        <f t="shared" si="1414"/>
        <v xml:space="preserve">N887QR  </v>
      </c>
      <c r="BE3885">
        <v>1</v>
      </c>
      <c r="BG3885">
        <v>0</v>
      </c>
      <c r="BH3885">
        <v>0</v>
      </c>
      <c r="BI3885">
        <v>0</v>
      </c>
      <c r="BJ3885">
        <v>4675</v>
      </c>
      <c r="BK3885">
        <v>-125</v>
      </c>
      <c r="BL3885" t="s">
        <v>163</v>
      </c>
      <c r="BM3885">
        <v>1</v>
      </c>
      <c r="BN3885">
        <v>1</v>
      </c>
      <c r="BO3885">
        <v>1</v>
      </c>
      <c r="BP3885">
        <v>0</v>
      </c>
      <c r="BS3885">
        <v>0</v>
      </c>
      <c r="BT3885">
        <v>0</v>
      </c>
      <c r="BU3885">
        <v>0</v>
      </c>
      <c r="CE3885" t="str">
        <f t="shared" si="1429"/>
        <v>19:35:59.390</v>
      </c>
      <c r="CF3885">
        <v>389925611</v>
      </c>
      <c r="CS3885">
        <v>0</v>
      </c>
      <c r="CT3885">
        <v>2</v>
      </c>
      <c r="CU3885">
        <v>0</v>
      </c>
      <c r="CV3885">
        <v>2</v>
      </c>
      <c r="CW3885">
        <v>0</v>
      </c>
      <c r="CX3885">
        <v>5</v>
      </c>
      <c r="CY3885">
        <v>7</v>
      </c>
      <c r="CZ3885" t="s">
        <v>131</v>
      </c>
      <c r="DA3885">
        <v>286</v>
      </c>
      <c r="DB3885">
        <v>0</v>
      </c>
      <c r="DC3885" t="s">
        <v>132</v>
      </c>
      <c r="DD3885" t="s">
        <v>133</v>
      </c>
      <c r="DG3885">
        <v>894405</v>
      </c>
      <c r="DI3885">
        <v>1</v>
      </c>
      <c r="DJ3885">
        <v>0</v>
      </c>
      <c r="DK3885">
        <v>1</v>
      </c>
      <c r="DL3885">
        <v>0</v>
      </c>
      <c r="DM3885">
        <v>0</v>
      </c>
      <c r="DN3885">
        <v>1</v>
      </c>
      <c r="DO3885">
        <v>0</v>
      </c>
      <c r="DP3885">
        <v>0</v>
      </c>
      <c r="DQ3885">
        <v>0</v>
      </c>
      <c r="DR3885">
        <v>0</v>
      </c>
      <c r="DS3885">
        <v>0</v>
      </c>
    </row>
    <row r="3886" spans="1:123" x14ac:dyDescent="0.3">
      <c r="A3886" t="str">
        <f t="shared" si="1430"/>
        <v>10/04/2022 19:35:59.672</v>
      </c>
      <c r="C3886" t="str">
        <f t="shared" si="1427"/>
        <v>FFDFD3C0</v>
      </c>
      <c r="D3886" t="s">
        <v>147</v>
      </c>
      <c r="E3886">
        <v>3</v>
      </c>
      <c r="H3886">
        <v>166</v>
      </c>
      <c r="I3886" t="s">
        <v>144</v>
      </c>
      <c r="J3886" t="s">
        <v>148</v>
      </c>
      <c r="K3886">
        <v>0</v>
      </c>
      <c r="L3886">
        <v>3</v>
      </c>
      <c r="M3886">
        <v>0</v>
      </c>
      <c r="N3886">
        <v>2</v>
      </c>
      <c r="O3886">
        <v>0</v>
      </c>
      <c r="P3886">
        <v>1</v>
      </c>
      <c r="Q3886">
        <v>0</v>
      </c>
      <c r="S3886" t="str">
        <f t="shared" si="1428"/>
        <v>19:35:59.000</v>
      </c>
      <c r="T3886" t="str">
        <f t="shared" si="1428"/>
        <v>19:35:59.000</v>
      </c>
      <c r="U3886" t="str">
        <f t="shared" si="1413"/>
        <v>AC3944</v>
      </c>
      <c r="V3886">
        <v>0</v>
      </c>
      <c r="W3886">
        <v>0</v>
      </c>
      <c r="X3886">
        <v>2</v>
      </c>
      <c r="Y3886">
        <v>0</v>
      </c>
      <c r="AA3886">
        <v>1</v>
      </c>
      <c r="AB3886">
        <v>8</v>
      </c>
      <c r="AC3886">
        <v>3</v>
      </c>
      <c r="AD3886">
        <v>0</v>
      </c>
      <c r="AE3886">
        <v>9</v>
      </c>
      <c r="AF3886" t="s">
        <v>138</v>
      </c>
      <c r="AG3886">
        <v>0</v>
      </c>
      <c r="AH3886">
        <v>3</v>
      </c>
      <c r="AI3886">
        <v>1</v>
      </c>
      <c r="AJ3886">
        <v>0</v>
      </c>
      <c r="AK3886" t="s">
        <v>1255</v>
      </c>
      <c r="AL3886">
        <v>32.736961999999998</v>
      </c>
      <c r="AM3886" t="s">
        <v>1256</v>
      </c>
      <c r="AN3886">
        <v>-116.695404</v>
      </c>
      <c r="AO3886">
        <v>25</v>
      </c>
      <c r="AP3886">
        <v>4800</v>
      </c>
      <c r="AQ3886" t="s">
        <v>129</v>
      </c>
      <c r="AR3886">
        <v>118</v>
      </c>
      <c r="AS3886">
        <v>-18</v>
      </c>
      <c r="AT3886">
        <v>768</v>
      </c>
      <c r="BB3886">
        <v>1200</v>
      </c>
      <c r="BC3886">
        <v>1</v>
      </c>
      <c r="BD3886" t="str">
        <f t="shared" si="1414"/>
        <v xml:space="preserve">N887QR  </v>
      </c>
      <c r="BE3886">
        <v>1</v>
      </c>
      <c r="BG3886">
        <v>0</v>
      </c>
      <c r="BH3886">
        <v>0</v>
      </c>
      <c r="BI3886">
        <v>0</v>
      </c>
      <c r="BJ3886">
        <v>4675</v>
      </c>
      <c r="BK3886">
        <v>-125</v>
      </c>
      <c r="BL3886" t="s">
        <v>163</v>
      </c>
      <c r="BM3886">
        <v>1</v>
      </c>
      <c r="BN3886">
        <v>1</v>
      </c>
      <c r="BO3886">
        <v>1</v>
      </c>
      <c r="BP3886">
        <v>0</v>
      </c>
      <c r="BS3886">
        <v>0</v>
      </c>
      <c r="BT3886">
        <v>0</v>
      </c>
      <c r="BU3886">
        <v>0</v>
      </c>
      <c r="CE3886" t="str">
        <f t="shared" si="1429"/>
        <v>19:35:59.390</v>
      </c>
      <c r="CF3886">
        <v>389925611</v>
      </c>
      <c r="CS3886">
        <v>0</v>
      </c>
      <c r="CT3886">
        <v>2</v>
      </c>
      <c r="CU3886">
        <v>0</v>
      </c>
      <c r="CV3886">
        <v>2</v>
      </c>
      <c r="CW3886">
        <v>0</v>
      </c>
      <c r="CX3886">
        <v>5</v>
      </c>
      <c r="CY3886">
        <v>7</v>
      </c>
      <c r="CZ3886" t="s">
        <v>131</v>
      </c>
      <c r="DA3886">
        <v>286</v>
      </c>
      <c r="DB3886">
        <v>0</v>
      </c>
      <c r="DC3886" t="s">
        <v>132</v>
      </c>
      <c r="DD3886" t="s">
        <v>133</v>
      </c>
      <c r="DG3886">
        <v>894405</v>
      </c>
      <c r="DI3886">
        <v>1</v>
      </c>
      <c r="DJ3886">
        <v>0</v>
      </c>
      <c r="DK3886">
        <v>1</v>
      </c>
      <c r="DL3886">
        <v>0</v>
      </c>
      <c r="DM3886">
        <v>0</v>
      </c>
      <c r="DN3886">
        <v>1</v>
      </c>
      <c r="DO3886">
        <v>0</v>
      </c>
      <c r="DP3886">
        <v>0</v>
      </c>
      <c r="DQ3886">
        <v>0</v>
      </c>
      <c r="DR3886">
        <v>0</v>
      </c>
      <c r="DS3886">
        <v>0</v>
      </c>
    </row>
    <row r="3887" spans="1:123" x14ac:dyDescent="0.3">
      <c r="A3887" t="str">
        <f t="shared" si="1430"/>
        <v>10/04/2022 19:35:59.672</v>
      </c>
      <c r="C3887" t="str">
        <f t="shared" si="1427"/>
        <v>FFDFD3C0</v>
      </c>
      <c r="D3887" t="s">
        <v>134</v>
      </c>
      <c r="E3887">
        <v>15</v>
      </c>
      <c r="J3887" t="s">
        <v>135</v>
      </c>
      <c r="K3887">
        <v>0</v>
      </c>
      <c r="L3887">
        <v>3</v>
      </c>
      <c r="M3887">
        <v>0</v>
      </c>
      <c r="N3887">
        <v>2</v>
      </c>
      <c r="O3887">
        <v>0</v>
      </c>
      <c r="P3887">
        <v>1</v>
      </c>
      <c r="Q3887">
        <v>0</v>
      </c>
      <c r="S3887" t="str">
        <f t="shared" si="1428"/>
        <v>19:35:59.000</v>
      </c>
      <c r="T3887" t="str">
        <f t="shared" si="1428"/>
        <v>19:35:59.000</v>
      </c>
      <c r="U3887" t="str">
        <f t="shared" si="1413"/>
        <v>AC3944</v>
      </c>
      <c r="V3887">
        <v>0</v>
      </c>
      <c r="W3887">
        <v>0</v>
      </c>
      <c r="X3887">
        <v>2</v>
      </c>
      <c r="Y3887">
        <v>0</v>
      </c>
      <c r="AA3887">
        <v>1</v>
      </c>
      <c r="AB3887">
        <v>8</v>
      </c>
      <c r="AC3887">
        <v>3</v>
      </c>
      <c r="AD3887">
        <v>0</v>
      </c>
      <c r="AE3887">
        <v>9</v>
      </c>
      <c r="AF3887" t="s">
        <v>138</v>
      </c>
      <c r="AG3887">
        <v>0</v>
      </c>
      <c r="AH3887">
        <v>3</v>
      </c>
      <c r="AI3887">
        <v>1</v>
      </c>
      <c r="AJ3887">
        <v>0</v>
      </c>
      <c r="AK3887" t="s">
        <v>1255</v>
      </c>
      <c r="AL3887">
        <v>32.736961999999998</v>
      </c>
      <c r="AM3887" t="s">
        <v>1256</v>
      </c>
      <c r="AN3887">
        <v>-116.695404</v>
      </c>
      <c r="AO3887">
        <v>25</v>
      </c>
      <c r="AP3887">
        <v>4800</v>
      </c>
      <c r="AQ3887" t="s">
        <v>129</v>
      </c>
      <c r="AR3887">
        <v>118</v>
      </c>
      <c r="AS3887">
        <v>-18</v>
      </c>
      <c r="AT3887">
        <v>768</v>
      </c>
      <c r="BB3887">
        <v>1200</v>
      </c>
      <c r="BC3887">
        <v>1</v>
      </c>
      <c r="BD3887" t="str">
        <f t="shared" si="1414"/>
        <v xml:space="preserve">N887QR  </v>
      </c>
      <c r="BE3887">
        <v>1</v>
      </c>
      <c r="BG3887">
        <v>0</v>
      </c>
      <c r="BH3887">
        <v>0</v>
      </c>
      <c r="BI3887">
        <v>0</v>
      </c>
      <c r="BJ3887">
        <v>4675</v>
      </c>
      <c r="BK3887">
        <v>-125</v>
      </c>
      <c r="BL3887" t="s">
        <v>163</v>
      </c>
      <c r="BM3887">
        <v>1</v>
      </c>
      <c r="BN3887">
        <v>1</v>
      </c>
      <c r="BO3887">
        <v>1</v>
      </c>
      <c r="BP3887">
        <v>0</v>
      </c>
      <c r="BS3887">
        <v>0</v>
      </c>
      <c r="BT3887">
        <v>0</v>
      </c>
      <c r="BU3887">
        <v>0</v>
      </c>
      <c r="CE3887" t="str">
        <f t="shared" si="1429"/>
        <v>19:35:59.390</v>
      </c>
      <c r="CF3887">
        <v>389925611</v>
      </c>
      <c r="CS3887">
        <v>0</v>
      </c>
      <c r="CT3887">
        <v>2</v>
      </c>
      <c r="CU3887">
        <v>0</v>
      </c>
      <c r="CV3887">
        <v>2</v>
      </c>
      <c r="CW3887">
        <v>0</v>
      </c>
      <c r="CX3887">
        <v>5</v>
      </c>
      <c r="CY3887">
        <v>7</v>
      </c>
      <c r="CZ3887" t="s">
        <v>131</v>
      </c>
      <c r="DA3887">
        <v>286</v>
      </c>
      <c r="DB3887">
        <v>0</v>
      </c>
      <c r="DC3887" t="s">
        <v>132</v>
      </c>
      <c r="DD3887" t="s">
        <v>133</v>
      </c>
      <c r="DG3887">
        <v>894405</v>
      </c>
      <c r="DI3887">
        <v>1</v>
      </c>
      <c r="DJ3887">
        <v>0</v>
      </c>
      <c r="DK3887">
        <v>1</v>
      </c>
      <c r="DL3887">
        <v>0</v>
      </c>
      <c r="DM3887">
        <v>0</v>
      </c>
      <c r="DN3887">
        <v>1</v>
      </c>
      <c r="DO3887">
        <v>0</v>
      </c>
      <c r="DP3887">
        <v>0</v>
      </c>
      <c r="DQ3887">
        <v>0</v>
      </c>
      <c r="DR3887">
        <v>0</v>
      </c>
      <c r="DS3887">
        <v>0</v>
      </c>
    </row>
    <row r="3888" spans="1:123" x14ac:dyDescent="0.3">
      <c r="A3888" t="str">
        <f t="shared" si="1430"/>
        <v>10/04/2022 19:35:59.672</v>
      </c>
      <c r="C3888" t="str">
        <f t="shared" si="1427"/>
        <v>FFDFD3C0</v>
      </c>
      <c r="D3888" t="s">
        <v>123</v>
      </c>
      <c r="E3888">
        <v>7</v>
      </c>
      <c r="F3888">
        <v>2007</v>
      </c>
      <c r="G3888" t="s">
        <v>124</v>
      </c>
      <c r="J3888" t="s">
        <v>125</v>
      </c>
      <c r="K3888">
        <v>0</v>
      </c>
      <c r="L3888">
        <v>3</v>
      </c>
      <c r="M3888">
        <v>0</v>
      </c>
      <c r="N3888">
        <v>2</v>
      </c>
      <c r="O3888">
        <v>0</v>
      </c>
      <c r="P3888">
        <v>1</v>
      </c>
      <c r="Q3888">
        <v>0</v>
      </c>
      <c r="S3888" t="str">
        <f t="shared" si="1428"/>
        <v>19:35:59.000</v>
      </c>
      <c r="T3888" t="str">
        <f t="shared" si="1428"/>
        <v>19:35:59.000</v>
      </c>
      <c r="U3888" t="str">
        <f t="shared" si="1413"/>
        <v>AC3944</v>
      </c>
      <c r="V3888">
        <v>0</v>
      </c>
      <c r="W3888">
        <v>0</v>
      </c>
      <c r="X3888">
        <v>2</v>
      </c>
      <c r="Y3888">
        <v>0</v>
      </c>
      <c r="AA3888">
        <v>1</v>
      </c>
      <c r="AB3888">
        <v>8</v>
      </c>
      <c r="AC3888">
        <v>3</v>
      </c>
      <c r="AD3888">
        <v>0</v>
      </c>
      <c r="AE3888">
        <v>9</v>
      </c>
      <c r="AF3888" t="s">
        <v>138</v>
      </c>
      <c r="AG3888">
        <v>0</v>
      </c>
      <c r="AH3888">
        <v>3</v>
      </c>
      <c r="AI3888">
        <v>1</v>
      </c>
      <c r="AJ3888">
        <v>0</v>
      </c>
      <c r="AK3888" t="s">
        <v>1255</v>
      </c>
      <c r="AL3888">
        <v>32.736961999999998</v>
      </c>
      <c r="AM3888" t="s">
        <v>1256</v>
      </c>
      <c r="AN3888">
        <v>-116.695404</v>
      </c>
      <c r="AO3888">
        <v>25</v>
      </c>
      <c r="AP3888">
        <v>4800</v>
      </c>
      <c r="AQ3888" t="s">
        <v>129</v>
      </c>
      <c r="AR3888">
        <v>118</v>
      </c>
      <c r="AS3888">
        <v>-18</v>
      </c>
      <c r="AT3888">
        <v>768</v>
      </c>
      <c r="BB3888">
        <v>1200</v>
      </c>
      <c r="BC3888">
        <v>1</v>
      </c>
      <c r="BD3888" t="str">
        <f t="shared" si="1414"/>
        <v xml:space="preserve">N887QR  </v>
      </c>
      <c r="BE3888">
        <v>1</v>
      </c>
      <c r="BG3888">
        <v>0</v>
      </c>
      <c r="BH3888">
        <v>0</v>
      </c>
      <c r="BI3888">
        <v>0</v>
      </c>
      <c r="BJ3888">
        <v>4675</v>
      </c>
      <c r="BK3888">
        <v>-125</v>
      </c>
      <c r="BL3888" t="s">
        <v>163</v>
      </c>
      <c r="BM3888">
        <v>1</v>
      </c>
      <c r="BN3888">
        <v>1</v>
      </c>
      <c r="BO3888">
        <v>1</v>
      </c>
      <c r="BP3888">
        <v>0</v>
      </c>
      <c r="BS3888">
        <v>0</v>
      </c>
      <c r="BT3888">
        <v>0</v>
      </c>
      <c r="BU3888">
        <v>0</v>
      </c>
      <c r="CE3888" t="str">
        <f t="shared" si="1429"/>
        <v>19:35:59.390</v>
      </c>
      <c r="CF3888">
        <v>389925611</v>
      </c>
      <c r="CS3888">
        <v>0</v>
      </c>
      <c r="CT3888">
        <v>2</v>
      </c>
      <c r="CU3888">
        <v>0</v>
      </c>
      <c r="CV3888">
        <v>2</v>
      </c>
      <c r="CW3888">
        <v>0</v>
      </c>
      <c r="CX3888">
        <v>5</v>
      </c>
      <c r="CY3888">
        <v>7</v>
      </c>
      <c r="CZ3888" t="s">
        <v>131</v>
      </c>
      <c r="DA3888">
        <v>286</v>
      </c>
      <c r="DB3888">
        <v>0</v>
      </c>
      <c r="DC3888" t="s">
        <v>132</v>
      </c>
      <c r="DD3888" t="s">
        <v>133</v>
      </c>
      <c r="DG3888">
        <v>894405</v>
      </c>
      <c r="DI3888">
        <v>1</v>
      </c>
      <c r="DJ3888">
        <v>0</v>
      </c>
      <c r="DK3888">
        <v>1</v>
      </c>
      <c r="DL3888">
        <v>0</v>
      </c>
      <c r="DM3888">
        <v>0</v>
      </c>
      <c r="DN3888">
        <v>1</v>
      </c>
      <c r="DO3888">
        <v>0</v>
      </c>
      <c r="DP3888">
        <v>0</v>
      </c>
      <c r="DQ3888">
        <v>0</v>
      </c>
      <c r="DR3888">
        <v>0</v>
      </c>
      <c r="DS3888">
        <v>0</v>
      </c>
    </row>
    <row r="3889" spans="1:123" x14ac:dyDescent="0.3">
      <c r="A3889" t="str">
        <f t="shared" si="1430"/>
        <v>10/04/2022 19:35:59.672</v>
      </c>
      <c r="C3889" t="str">
        <f t="shared" si="1427"/>
        <v>FFDFD3C0</v>
      </c>
      <c r="D3889" t="s">
        <v>136</v>
      </c>
      <c r="E3889">
        <v>8</v>
      </c>
      <c r="H3889">
        <v>225</v>
      </c>
      <c r="I3889" t="s">
        <v>137</v>
      </c>
      <c r="J3889" t="s">
        <v>138</v>
      </c>
      <c r="K3889">
        <v>0</v>
      </c>
      <c r="L3889">
        <v>3</v>
      </c>
      <c r="M3889">
        <v>0</v>
      </c>
      <c r="N3889">
        <v>2</v>
      </c>
      <c r="O3889">
        <v>0</v>
      </c>
      <c r="P3889">
        <v>1</v>
      </c>
      <c r="Q3889">
        <v>0</v>
      </c>
      <c r="S3889" t="str">
        <f t="shared" si="1428"/>
        <v>19:35:59.000</v>
      </c>
      <c r="T3889" t="str">
        <f t="shared" si="1428"/>
        <v>19:35:59.000</v>
      </c>
      <c r="U3889" t="str">
        <f t="shared" si="1413"/>
        <v>AC3944</v>
      </c>
      <c r="V3889">
        <v>0</v>
      </c>
      <c r="W3889">
        <v>0</v>
      </c>
      <c r="X3889">
        <v>2</v>
      </c>
      <c r="Y3889">
        <v>0</v>
      </c>
      <c r="AA3889">
        <v>1</v>
      </c>
      <c r="AB3889">
        <v>8</v>
      </c>
      <c r="AC3889">
        <v>3</v>
      </c>
      <c r="AD3889">
        <v>0</v>
      </c>
      <c r="AE3889">
        <v>9</v>
      </c>
      <c r="AF3889" t="s">
        <v>138</v>
      </c>
      <c r="AG3889">
        <v>0</v>
      </c>
      <c r="AH3889">
        <v>3</v>
      </c>
      <c r="AI3889">
        <v>1</v>
      </c>
      <c r="AJ3889">
        <v>0</v>
      </c>
      <c r="AK3889" t="s">
        <v>1255</v>
      </c>
      <c r="AL3889">
        <v>32.736961999999998</v>
      </c>
      <c r="AM3889" t="s">
        <v>1256</v>
      </c>
      <c r="AN3889">
        <v>-116.695404</v>
      </c>
      <c r="AO3889">
        <v>25</v>
      </c>
      <c r="AP3889">
        <v>4800</v>
      </c>
      <c r="AQ3889" t="s">
        <v>129</v>
      </c>
      <c r="AR3889">
        <v>118</v>
      </c>
      <c r="AS3889">
        <v>-18</v>
      </c>
      <c r="AT3889">
        <v>768</v>
      </c>
      <c r="BB3889">
        <v>1200</v>
      </c>
      <c r="BC3889">
        <v>1</v>
      </c>
      <c r="BD3889" t="str">
        <f t="shared" si="1414"/>
        <v xml:space="preserve">N887QR  </v>
      </c>
      <c r="BE3889">
        <v>1</v>
      </c>
      <c r="BG3889">
        <v>0</v>
      </c>
      <c r="BH3889">
        <v>0</v>
      </c>
      <c r="BI3889">
        <v>0</v>
      </c>
      <c r="BJ3889">
        <v>4675</v>
      </c>
      <c r="BK3889">
        <v>-125</v>
      </c>
      <c r="BL3889" t="s">
        <v>163</v>
      </c>
      <c r="BM3889">
        <v>1</v>
      </c>
      <c r="BN3889">
        <v>1</v>
      </c>
      <c r="BO3889">
        <v>1</v>
      </c>
      <c r="BP3889">
        <v>0</v>
      </c>
      <c r="BS3889">
        <v>0</v>
      </c>
      <c r="BT3889">
        <v>0</v>
      </c>
      <c r="BU3889">
        <v>0</v>
      </c>
      <c r="CE3889" t="str">
        <f t="shared" si="1429"/>
        <v>19:35:59.390</v>
      </c>
      <c r="CF3889">
        <v>389925611</v>
      </c>
      <c r="CS3889">
        <v>0</v>
      </c>
      <c r="CT3889">
        <v>2</v>
      </c>
      <c r="CU3889">
        <v>0</v>
      </c>
      <c r="CV3889">
        <v>2</v>
      </c>
      <c r="CW3889">
        <v>0</v>
      </c>
      <c r="CX3889">
        <v>5</v>
      </c>
      <c r="CY3889">
        <v>7</v>
      </c>
      <c r="CZ3889" t="s">
        <v>131</v>
      </c>
      <c r="DA3889">
        <v>286</v>
      </c>
      <c r="DB3889">
        <v>0</v>
      </c>
      <c r="DC3889" t="s">
        <v>132</v>
      </c>
      <c r="DD3889" t="s">
        <v>133</v>
      </c>
      <c r="DG3889">
        <v>894405</v>
      </c>
      <c r="DI3889">
        <v>1</v>
      </c>
      <c r="DJ3889">
        <v>0</v>
      </c>
      <c r="DK3889">
        <v>1</v>
      </c>
      <c r="DL3889">
        <v>0</v>
      </c>
      <c r="DM3889">
        <v>0</v>
      </c>
      <c r="DN3889">
        <v>1</v>
      </c>
      <c r="DO3889">
        <v>0</v>
      </c>
      <c r="DP3889">
        <v>0</v>
      </c>
      <c r="DQ3889">
        <v>0</v>
      </c>
      <c r="DR3889">
        <v>0</v>
      </c>
      <c r="DS3889">
        <v>0</v>
      </c>
    </row>
    <row r="3890" spans="1:123" x14ac:dyDescent="0.3">
      <c r="A3890" t="str">
        <f t="shared" ref="A3890:A3895" si="1431">"10/04/2022 19:36:00.345"</f>
        <v>10/04/2022 19:36:00.345</v>
      </c>
      <c r="C3890" t="str">
        <f t="shared" si="1427"/>
        <v>FFDFD3C0</v>
      </c>
      <c r="D3890" t="s">
        <v>141</v>
      </c>
      <c r="E3890">
        <v>4</v>
      </c>
      <c r="H3890">
        <v>4</v>
      </c>
      <c r="I3890" t="s">
        <v>142</v>
      </c>
      <c r="J3890" t="s">
        <v>138</v>
      </c>
      <c r="K3890">
        <v>0</v>
      </c>
      <c r="L3890">
        <v>3</v>
      </c>
      <c r="M3890">
        <v>0</v>
      </c>
      <c r="N3890">
        <v>2</v>
      </c>
      <c r="O3890">
        <v>0</v>
      </c>
      <c r="P3890">
        <v>1</v>
      </c>
      <c r="Q3890">
        <v>0</v>
      </c>
      <c r="S3890" t="str">
        <f t="shared" ref="S3890:T3895" si="1432">"19:36:00.000"</f>
        <v>19:36:00.000</v>
      </c>
      <c r="T3890" t="str">
        <f t="shared" si="1432"/>
        <v>19:36:00.000</v>
      </c>
      <c r="U3890" t="str">
        <f t="shared" si="1413"/>
        <v>AC3944</v>
      </c>
      <c r="V3890">
        <v>0</v>
      </c>
      <c r="W3890">
        <v>0</v>
      </c>
      <c r="X3890">
        <v>2</v>
      </c>
      <c r="Y3890">
        <v>0</v>
      </c>
      <c r="AA3890">
        <v>1</v>
      </c>
      <c r="AB3890">
        <v>8</v>
      </c>
      <c r="AC3890">
        <v>3</v>
      </c>
      <c r="AD3890">
        <v>0</v>
      </c>
      <c r="AE3890">
        <v>9</v>
      </c>
      <c r="AF3890" t="s">
        <v>138</v>
      </c>
      <c r="AG3890">
        <v>0</v>
      </c>
      <c r="AH3890">
        <v>3</v>
      </c>
      <c r="AI3890">
        <v>1</v>
      </c>
      <c r="AJ3890">
        <v>0</v>
      </c>
      <c r="AK3890" t="s">
        <v>1257</v>
      </c>
      <c r="AL3890">
        <v>32.736876000000002</v>
      </c>
      <c r="AM3890" t="s">
        <v>1258</v>
      </c>
      <c r="AN3890">
        <v>-116.69476</v>
      </c>
      <c r="AO3890">
        <v>25</v>
      </c>
      <c r="AP3890">
        <v>4800</v>
      </c>
      <c r="AQ3890" t="s">
        <v>129</v>
      </c>
      <c r="AR3890">
        <v>119</v>
      </c>
      <c r="AS3890">
        <v>-19</v>
      </c>
      <c r="AT3890">
        <v>768</v>
      </c>
      <c r="BB3890">
        <v>1200</v>
      </c>
      <c r="BC3890">
        <v>1</v>
      </c>
      <c r="BD3890" t="str">
        <f t="shared" si="1414"/>
        <v xml:space="preserve">N887QR  </v>
      </c>
      <c r="BE3890">
        <v>1</v>
      </c>
      <c r="BG3890">
        <v>0</v>
      </c>
      <c r="BH3890">
        <v>0</v>
      </c>
      <c r="BI3890">
        <v>0</v>
      </c>
      <c r="BJ3890">
        <v>4675</v>
      </c>
      <c r="BK3890">
        <v>-125</v>
      </c>
      <c r="BL3890" t="s">
        <v>163</v>
      </c>
      <c r="BM3890">
        <v>1</v>
      </c>
      <c r="BN3890">
        <v>1</v>
      </c>
      <c r="BO3890">
        <v>1</v>
      </c>
      <c r="BP3890">
        <v>0</v>
      </c>
      <c r="BS3890">
        <v>0</v>
      </c>
      <c r="BT3890">
        <v>0</v>
      </c>
      <c r="BU3890">
        <v>0</v>
      </c>
      <c r="CE3890" t="str">
        <f t="shared" ref="CE3890:CE3895" si="1433">"19:36:00.070"</f>
        <v>19:36:00.070</v>
      </c>
      <c r="CF3890">
        <v>69510808</v>
      </c>
      <c r="CS3890">
        <v>0</v>
      </c>
      <c r="CT3890">
        <v>2</v>
      </c>
      <c r="CU3890">
        <v>0</v>
      </c>
      <c r="CV3890">
        <v>2</v>
      </c>
      <c r="CW3890">
        <v>0</v>
      </c>
      <c r="CX3890">
        <v>2</v>
      </c>
      <c r="CY3890">
        <v>7</v>
      </c>
      <c r="CZ3890" t="s">
        <v>131</v>
      </c>
      <c r="DA3890">
        <v>745</v>
      </c>
      <c r="DB3890">
        <v>0</v>
      </c>
      <c r="DC3890" t="s">
        <v>1199</v>
      </c>
      <c r="DD3890" t="s">
        <v>1200</v>
      </c>
      <c r="DG3890">
        <v>9484697</v>
      </c>
      <c r="DI3890">
        <v>1</v>
      </c>
      <c r="DJ3890">
        <v>0</v>
      </c>
      <c r="DK3890">
        <v>0</v>
      </c>
      <c r="DL3890">
        <v>0</v>
      </c>
      <c r="DM3890">
        <v>0</v>
      </c>
      <c r="DN3890">
        <v>1</v>
      </c>
      <c r="DO3890">
        <v>0</v>
      </c>
      <c r="DP3890">
        <v>0</v>
      </c>
      <c r="DQ3890">
        <v>0</v>
      </c>
      <c r="DR3890">
        <v>0</v>
      </c>
      <c r="DS3890">
        <v>0</v>
      </c>
    </row>
    <row r="3891" spans="1:123" x14ac:dyDescent="0.3">
      <c r="A3891" t="str">
        <f t="shared" si="1431"/>
        <v>10/04/2022 19:36:00.345</v>
      </c>
      <c r="C3891" t="str">
        <f t="shared" si="1427"/>
        <v>FFDFD3C0</v>
      </c>
      <c r="D3891" t="s">
        <v>141</v>
      </c>
      <c r="E3891">
        <v>3</v>
      </c>
      <c r="H3891">
        <v>3</v>
      </c>
      <c r="I3891" t="s">
        <v>146</v>
      </c>
      <c r="J3891" t="s">
        <v>138</v>
      </c>
      <c r="K3891">
        <v>0</v>
      </c>
      <c r="L3891">
        <v>3</v>
      </c>
      <c r="M3891">
        <v>0</v>
      </c>
      <c r="N3891">
        <v>2</v>
      </c>
      <c r="O3891">
        <v>0</v>
      </c>
      <c r="P3891">
        <v>1</v>
      </c>
      <c r="Q3891">
        <v>0</v>
      </c>
      <c r="S3891" t="str">
        <f t="shared" si="1432"/>
        <v>19:36:00.000</v>
      </c>
      <c r="T3891" t="str">
        <f t="shared" si="1432"/>
        <v>19:36:00.000</v>
      </c>
      <c r="U3891" t="str">
        <f t="shared" si="1413"/>
        <v>AC3944</v>
      </c>
      <c r="V3891">
        <v>0</v>
      </c>
      <c r="W3891">
        <v>0</v>
      </c>
      <c r="X3891">
        <v>2</v>
      </c>
      <c r="Y3891">
        <v>0</v>
      </c>
      <c r="AA3891">
        <v>1</v>
      </c>
      <c r="AB3891">
        <v>8</v>
      </c>
      <c r="AC3891">
        <v>3</v>
      </c>
      <c r="AD3891">
        <v>0</v>
      </c>
      <c r="AE3891">
        <v>9</v>
      </c>
      <c r="AF3891" t="s">
        <v>138</v>
      </c>
      <c r="AG3891">
        <v>0</v>
      </c>
      <c r="AH3891">
        <v>3</v>
      </c>
      <c r="AI3891">
        <v>1</v>
      </c>
      <c r="AJ3891">
        <v>0</v>
      </c>
      <c r="AK3891" t="s">
        <v>1257</v>
      </c>
      <c r="AL3891">
        <v>32.736876000000002</v>
      </c>
      <c r="AM3891" t="s">
        <v>1258</v>
      </c>
      <c r="AN3891">
        <v>-116.69476</v>
      </c>
      <c r="AO3891">
        <v>25</v>
      </c>
      <c r="AP3891">
        <v>4800</v>
      </c>
      <c r="AQ3891" t="s">
        <v>129</v>
      </c>
      <c r="AR3891">
        <v>119</v>
      </c>
      <c r="AS3891">
        <v>-19</v>
      </c>
      <c r="AT3891">
        <v>768</v>
      </c>
      <c r="BB3891">
        <v>1200</v>
      </c>
      <c r="BC3891">
        <v>1</v>
      </c>
      <c r="BD3891" t="str">
        <f t="shared" si="1414"/>
        <v xml:space="preserve">N887QR  </v>
      </c>
      <c r="BE3891">
        <v>1</v>
      </c>
      <c r="BG3891">
        <v>0</v>
      </c>
      <c r="BH3891">
        <v>0</v>
      </c>
      <c r="BI3891">
        <v>0</v>
      </c>
      <c r="BJ3891">
        <v>4675</v>
      </c>
      <c r="BK3891">
        <v>-125</v>
      </c>
      <c r="BL3891" t="s">
        <v>163</v>
      </c>
      <c r="BM3891">
        <v>1</v>
      </c>
      <c r="BN3891">
        <v>1</v>
      </c>
      <c r="BO3891">
        <v>1</v>
      </c>
      <c r="BP3891">
        <v>0</v>
      </c>
      <c r="BS3891">
        <v>0</v>
      </c>
      <c r="BT3891">
        <v>0</v>
      </c>
      <c r="BU3891">
        <v>0</v>
      </c>
      <c r="CE3891" t="str">
        <f t="shared" si="1433"/>
        <v>19:36:00.070</v>
      </c>
      <c r="CF3891">
        <v>69510808</v>
      </c>
      <c r="CS3891">
        <v>0</v>
      </c>
      <c r="CT3891">
        <v>2</v>
      </c>
      <c r="CU3891">
        <v>0</v>
      </c>
      <c r="CV3891">
        <v>2</v>
      </c>
      <c r="CW3891">
        <v>0</v>
      </c>
      <c r="CX3891">
        <v>2</v>
      </c>
      <c r="CY3891">
        <v>7</v>
      </c>
      <c r="CZ3891" t="s">
        <v>131</v>
      </c>
      <c r="DA3891">
        <v>745</v>
      </c>
      <c r="DB3891">
        <v>0</v>
      </c>
      <c r="DC3891" t="s">
        <v>1199</v>
      </c>
      <c r="DD3891" t="s">
        <v>1200</v>
      </c>
      <c r="DG3891">
        <v>9484697</v>
      </c>
      <c r="DI3891">
        <v>1</v>
      </c>
      <c r="DJ3891">
        <v>0</v>
      </c>
      <c r="DK3891">
        <v>1</v>
      </c>
      <c r="DL3891">
        <v>0</v>
      </c>
      <c r="DM3891">
        <v>0</v>
      </c>
      <c r="DN3891">
        <v>1</v>
      </c>
      <c r="DO3891">
        <v>0</v>
      </c>
      <c r="DP3891">
        <v>0</v>
      </c>
      <c r="DQ3891">
        <v>0</v>
      </c>
      <c r="DR3891">
        <v>0</v>
      </c>
      <c r="DS3891">
        <v>0</v>
      </c>
    </row>
    <row r="3892" spans="1:123" x14ac:dyDescent="0.3">
      <c r="A3892" t="str">
        <f t="shared" si="1431"/>
        <v>10/04/2022 19:36:00.345</v>
      </c>
      <c r="C3892" t="str">
        <f t="shared" si="1427"/>
        <v>FFDFD3C0</v>
      </c>
      <c r="D3892" t="s">
        <v>143</v>
      </c>
      <c r="E3892">
        <v>20</v>
      </c>
      <c r="F3892">
        <v>1020</v>
      </c>
      <c r="G3892" t="s">
        <v>144</v>
      </c>
      <c r="J3892" t="s">
        <v>145</v>
      </c>
      <c r="K3892">
        <v>0</v>
      </c>
      <c r="L3892">
        <v>3</v>
      </c>
      <c r="M3892">
        <v>0</v>
      </c>
      <c r="N3892">
        <v>2</v>
      </c>
      <c r="O3892">
        <v>0</v>
      </c>
      <c r="P3892">
        <v>1</v>
      </c>
      <c r="Q3892">
        <v>0</v>
      </c>
      <c r="S3892" t="str">
        <f t="shared" si="1432"/>
        <v>19:36:00.000</v>
      </c>
      <c r="T3892" t="str">
        <f t="shared" si="1432"/>
        <v>19:36:00.000</v>
      </c>
      <c r="U3892" t="str">
        <f t="shared" si="1413"/>
        <v>AC3944</v>
      </c>
      <c r="V3892">
        <v>0</v>
      </c>
      <c r="W3892">
        <v>0</v>
      </c>
      <c r="X3892">
        <v>2</v>
      </c>
      <c r="Y3892">
        <v>0</v>
      </c>
      <c r="AA3892">
        <v>1</v>
      </c>
      <c r="AB3892">
        <v>8</v>
      </c>
      <c r="AC3892">
        <v>3</v>
      </c>
      <c r="AD3892">
        <v>0</v>
      </c>
      <c r="AE3892">
        <v>9</v>
      </c>
      <c r="AF3892" t="s">
        <v>138</v>
      </c>
      <c r="AG3892">
        <v>0</v>
      </c>
      <c r="AH3892">
        <v>3</v>
      </c>
      <c r="AI3892">
        <v>1</v>
      </c>
      <c r="AJ3892">
        <v>0</v>
      </c>
      <c r="AK3892" t="s">
        <v>1257</v>
      </c>
      <c r="AL3892">
        <v>32.736876000000002</v>
      </c>
      <c r="AM3892" t="s">
        <v>1258</v>
      </c>
      <c r="AN3892">
        <v>-116.69476</v>
      </c>
      <c r="AO3892">
        <v>25</v>
      </c>
      <c r="AP3892">
        <v>4800</v>
      </c>
      <c r="AQ3892" t="s">
        <v>129</v>
      </c>
      <c r="AR3892">
        <v>119</v>
      </c>
      <c r="AS3892">
        <v>-19</v>
      </c>
      <c r="AT3892">
        <v>768</v>
      </c>
      <c r="BB3892">
        <v>1200</v>
      </c>
      <c r="BC3892">
        <v>1</v>
      </c>
      <c r="BD3892" t="str">
        <f t="shared" si="1414"/>
        <v xml:space="preserve">N887QR  </v>
      </c>
      <c r="BE3892">
        <v>1</v>
      </c>
      <c r="BG3892">
        <v>0</v>
      </c>
      <c r="BH3892">
        <v>0</v>
      </c>
      <c r="BI3892">
        <v>0</v>
      </c>
      <c r="BJ3892">
        <v>4675</v>
      </c>
      <c r="BK3892">
        <v>-125</v>
      </c>
      <c r="BL3892" t="s">
        <v>163</v>
      </c>
      <c r="BM3892">
        <v>1</v>
      </c>
      <c r="BN3892">
        <v>1</v>
      </c>
      <c r="BO3892">
        <v>1</v>
      </c>
      <c r="BP3892">
        <v>0</v>
      </c>
      <c r="BS3892">
        <v>0</v>
      </c>
      <c r="BT3892">
        <v>0</v>
      </c>
      <c r="BU3892">
        <v>0</v>
      </c>
      <c r="CE3892" t="str">
        <f t="shared" si="1433"/>
        <v>19:36:00.070</v>
      </c>
      <c r="CF3892">
        <v>69510808</v>
      </c>
      <c r="CS3892">
        <v>0</v>
      </c>
      <c r="CT3892">
        <v>2</v>
      </c>
      <c r="CU3892">
        <v>0</v>
      </c>
      <c r="CV3892">
        <v>2</v>
      </c>
      <c r="CW3892">
        <v>0</v>
      </c>
      <c r="CX3892">
        <v>2</v>
      </c>
      <c r="CY3892">
        <v>7</v>
      </c>
      <c r="CZ3892" t="s">
        <v>131</v>
      </c>
      <c r="DA3892">
        <v>745</v>
      </c>
      <c r="DB3892">
        <v>0</v>
      </c>
      <c r="DC3892" t="s">
        <v>1199</v>
      </c>
      <c r="DD3892" t="s">
        <v>1200</v>
      </c>
      <c r="DG3892">
        <v>9484697</v>
      </c>
      <c r="DI3892">
        <v>1</v>
      </c>
      <c r="DJ3892">
        <v>0</v>
      </c>
      <c r="DK3892">
        <v>1</v>
      </c>
      <c r="DL3892">
        <v>0</v>
      </c>
      <c r="DM3892">
        <v>0</v>
      </c>
      <c r="DN3892">
        <v>1</v>
      </c>
      <c r="DO3892">
        <v>0</v>
      </c>
      <c r="DP3892">
        <v>0</v>
      </c>
      <c r="DQ3892">
        <v>0</v>
      </c>
      <c r="DR3892">
        <v>0</v>
      </c>
      <c r="DS3892">
        <v>0</v>
      </c>
    </row>
    <row r="3893" spans="1:123" x14ac:dyDescent="0.3">
      <c r="A3893" t="str">
        <f t="shared" si="1431"/>
        <v>10/04/2022 19:36:00.345</v>
      </c>
      <c r="C3893" t="str">
        <f t="shared" si="1427"/>
        <v>FFDFD3C0</v>
      </c>
      <c r="D3893" t="s">
        <v>134</v>
      </c>
      <c r="E3893">
        <v>15</v>
      </c>
      <c r="J3893" t="s">
        <v>135</v>
      </c>
      <c r="K3893">
        <v>0</v>
      </c>
      <c r="L3893">
        <v>3</v>
      </c>
      <c r="M3893">
        <v>0</v>
      </c>
      <c r="N3893">
        <v>2</v>
      </c>
      <c r="O3893">
        <v>0</v>
      </c>
      <c r="P3893">
        <v>1</v>
      </c>
      <c r="Q3893">
        <v>0</v>
      </c>
      <c r="S3893" t="str">
        <f t="shared" si="1432"/>
        <v>19:36:00.000</v>
      </c>
      <c r="T3893" t="str">
        <f t="shared" si="1432"/>
        <v>19:36:00.000</v>
      </c>
      <c r="U3893" t="str">
        <f t="shared" si="1413"/>
        <v>AC3944</v>
      </c>
      <c r="V3893">
        <v>0</v>
      </c>
      <c r="W3893">
        <v>0</v>
      </c>
      <c r="X3893">
        <v>2</v>
      </c>
      <c r="Y3893">
        <v>0</v>
      </c>
      <c r="AA3893">
        <v>1</v>
      </c>
      <c r="AB3893">
        <v>8</v>
      </c>
      <c r="AC3893">
        <v>3</v>
      </c>
      <c r="AD3893">
        <v>0</v>
      </c>
      <c r="AE3893">
        <v>9</v>
      </c>
      <c r="AF3893" t="s">
        <v>138</v>
      </c>
      <c r="AG3893">
        <v>0</v>
      </c>
      <c r="AH3893">
        <v>3</v>
      </c>
      <c r="AI3893">
        <v>1</v>
      </c>
      <c r="AJ3893">
        <v>0</v>
      </c>
      <c r="AK3893" t="s">
        <v>1257</v>
      </c>
      <c r="AL3893">
        <v>32.736876000000002</v>
      </c>
      <c r="AM3893" t="s">
        <v>1258</v>
      </c>
      <c r="AN3893">
        <v>-116.69476</v>
      </c>
      <c r="AO3893">
        <v>25</v>
      </c>
      <c r="AP3893">
        <v>4800</v>
      </c>
      <c r="AQ3893" t="s">
        <v>129</v>
      </c>
      <c r="AR3893">
        <v>119</v>
      </c>
      <c r="AS3893">
        <v>-19</v>
      </c>
      <c r="AT3893">
        <v>768</v>
      </c>
      <c r="BB3893">
        <v>1200</v>
      </c>
      <c r="BC3893">
        <v>1</v>
      </c>
      <c r="BD3893" t="str">
        <f t="shared" si="1414"/>
        <v xml:space="preserve">N887QR  </v>
      </c>
      <c r="BE3893">
        <v>1</v>
      </c>
      <c r="BG3893">
        <v>0</v>
      </c>
      <c r="BH3893">
        <v>0</v>
      </c>
      <c r="BI3893">
        <v>0</v>
      </c>
      <c r="BJ3893">
        <v>4675</v>
      </c>
      <c r="BK3893">
        <v>-125</v>
      </c>
      <c r="BL3893" t="s">
        <v>163</v>
      </c>
      <c r="BM3893">
        <v>1</v>
      </c>
      <c r="BN3893">
        <v>1</v>
      </c>
      <c r="BO3893">
        <v>1</v>
      </c>
      <c r="BP3893">
        <v>0</v>
      </c>
      <c r="BS3893">
        <v>0</v>
      </c>
      <c r="BT3893">
        <v>0</v>
      </c>
      <c r="BU3893">
        <v>0</v>
      </c>
      <c r="CE3893" t="str">
        <f t="shared" si="1433"/>
        <v>19:36:00.070</v>
      </c>
      <c r="CF3893">
        <v>69510808</v>
      </c>
      <c r="CS3893">
        <v>0</v>
      </c>
      <c r="CT3893">
        <v>2</v>
      </c>
      <c r="CU3893">
        <v>0</v>
      </c>
      <c r="CV3893">
        <v>2</v>
      </c>
      <c r="CW3893">
        <v>0</v>
      </c>
      <c r="CX3893">
        <v>2</v>
      </c>
      <c r="CY3893">
        <v>7</v>
      </c>
      <c r="CZ3893" t="s">
        <v>131</v>
      </c>
      <c r="DA3893">
        <v>745</v>
      </c>
      <c r="DB3893">
        <v>0</v>
      </c>
      <c r="DC3893" t="s">
        <v>1199</v>
      </c>
      <c r="DD3893" t="s">
        <v>1200</v>
      </c>
      <c r="DG3893">
        <v>9484697</v>
      </c>
      <c r="DI3893">
        <v>1</v>
      </c>
      <c r="DJ3893">
        <v>0</v>
      </c>
      <c r="DK3893">
        <v>1</v>
      </c>
      <c r="DL3893">
        <v>0</v>
      </c>
      <c r="DM3893">
        <v>0</v>
      </c>
      <c r="DN3893">
        <v>1</v>
      </c>
      <c r="DO3893">
        <v>0</v>
      </c>
      <c r="DP3893">
        <v>0</v>
      </c>
      <c r="DQ3893">
        <v>0</v>
      </c>
      <c r="DR3893">
        <v>0</v>
      </c>
      <c r="DS3893">
        <v>0</v>
      </c>
    </row>
    <row r="3894" spans="1:123" x14ac:dyDescent="0.3">
      <c r="A3894" t="str">
        <f t="shared" si="1431"/>
        <v>10/04/2022 19:36:00.345</v>
      </c>
      <c r="C3894" t="str">
        <f t="shared" si="1427"/>
        <v>FFDFD3C0</v>
      </c>
      <c r="D3894" t="s">
        <v>123</v>
      </c>
      <c r="E3894">
        <v>7</v>
      </c>
      <c r="F3894">
        <v>2007</v>
      </c>
      <c r="G3894" t="s">
        <v>124</v>
      </c>
      <c r="J3894" t="s">
        <v>125</v>
      </c>
      <c r="K3894">
        <v>0</v>
      </c>
      <c r="L3894">
        <v>3</v>
      </c>
      <c r="M3894">
        <v>0</v>
      </c>
      <c r="N3894">
        <v>2</v>
      </c>
      <c r="O3894">
        <v>0</v>
      </c>
      <c r="P3894">
        <v>1</v>
      </c>
      <c r="Q3894">
        <v>0</v>
      </c>
      <c r="S3894" t="str">
        <f t="shared" si="1432"/>
        <v>19:36:00.000</v>
      </c>
      <c r="T3894" t="str">
        <f t="shared" si="1432"/>
        <v>19:36:00.000</v>
      </c>
      <c r="U3894" t="str">
        <f t="shared" si="1413"/>
        <v>AC3944</v>
      </c>
      <c r="V3894">
        <v>0</v>
      </c>
      <c r="W3894">
        <v>0</v>
      </c>
      <c r="X3894">
        <v>2</v>
      </c>
      <c r="Y3894">
        <v>0</v>
      </c>
      <c r="AA3894">
        <v>1</v>
      </c>
      <c r="AB3894">
        <v>8</v>
      </c>
      <c r="AC3894">
        <v>3</v>
      </c>
      <c r="AD3894">
        <v>0</v>
      </c>
      <c r="AE3894">
        <v>9</v>
      </c>
      <c r="AF3894" t="s">
        <v>138</v>
      </c>
      <c r="AG3894">
        <v>0</v>
      </c>
      <c r="AH3894">
        <v>3</v>
      </c>
      <c r="AI3894">
        <v>1</v>
      </c>
      <c r="AJ3894">
        <v>0</v>
      </c>
      <c r="AK3894" t="s">
        <v>1257</v>
      </c>
      <c r="AL3894">
        <v>32.736876000000002</v>
      </c>
      <c r="AM3894" t="s">
        <v>1258</v>
      </c>
      <c r="AN3894">
        <v>-116.69476</v>
      </c>
      <c r="AO3894">
        <v>25</v>
      </c>
      <c r="AP3894">
        <v>4800</v>
      </c>
      <c r="AQ3894" t="s">
        <v>129</v>
      </c>
      <c r="AR3894">
        <v>119</v>
      </c>
      <c r="AS3894">
        <v>-19</v>
      </c>
      <c r="AT3894">
        <v>768</v>
      </c>
      <c r="BB3894">
        <v>1200</v>
      </c>
      <c r="BC3894">
        <v>1</v>
      </c>
      <c r="BD3894" t="str">
        <f t="shared" si="1414"/>
        <v xml:space="preserve">N887QR  </v>
      </c>
      <c r="BE3894">
        <v>1</v>
      </c>
      <c r="BG3894">
        <v>0</v>
      </c>
      <c r="BH3894">
        <v>0</v>
      </c>
      <c r="BI3894">
        <v>0</v>
      </c>
      <c r="BJ3894">
        <v>4675</v>
      </c>
      <c r="BK3894">
        <v>-125</v>
      </c>
      <c r="BL3894" t="s">
        <v>163</v>
      </c>
      <c r="BM3894">
        <v>1</v>
      </c>
      <c r="BN3894">
        <v>1</v>
      </c>
      <c r="BO3894">
        <v>1</v>
      </c>
      <c r="BP3894">
        <v>0</v>
      </c>
      <c r="BS3894">
        <v>0</v>
      </c>
      <c r="BT3894">
        <v>0</v>
      </c>
      <c r="BU3894">
        <v>0</v>
      </c>
      <c r="CE3894" t="str">
        <f t="shared" si="1433"/>
        <v>19:36:00.070</v>
      </c>
      <c r="CF3894">
        <v>69510808</v>
      </c>
      <c r="CS3894">
        <v>0</v>
      </c>
      <c r="CT3894">
        <v>2</v>
      </c>
      <c r="CU3894">
        <v>0</v>
      </c>
      <c r="CV3894">
        <v>2</v>
      </c>
      <c r="CW3894">
        <v>0</v>
      </c>
      <c r="CX3894">
        <v>2</v>
      </c>
      <c r="CY3894">
        <v>7</v>
      </c>
      <c r="CZ3894" t="s">
        <v>131</v>
      </c>
      <c r="DA3894">
        <v>745</v>
      </c>
      <c r="DB3894">
        <v>0</v>
      </c>
      <c r="DC3894" t="s">
        <v>1199</v>
      </c>
      <c r="DD3894" t="s">
        <v>1200</v>
      </c>
      <c r="DG3894">
        <v>9484697</v>
      </c>
      <c r="DI3894">
        <v>1</v>
      </c>
      <c r="DJ3894">
        <v>0</v>
      </c>
      <c r="DK3894">
        <v>1</v>
      </c>
      <c r="DL3894">
        <v>0</v>
      </c>
      <c r="DM3894">
        <v>0</v>
      </c>
      <c r="DN3894">
        <v>1</v>
      </c>
      <c r="DO3894">
        <v>0</v>
      </c>
      <c r="DP3894">
        <v>0</v>
      </c>
      <c r="DQ3894">
        <v>0</v>
      </c>
      <c r="DR3894">
        <v>0</v>
      </c>
      <c r="DS3894">
        <v>0</v>
      </c>
    </row>
    <row r="3895" spans="1:123" x14ac:dyDescent="0.3">
      <c r="A3895" t="str">
        <f t="shared" si="1431"/>
        <v>10/04/2022 19:36:00.345</v>
      </c>
      <c r="C3895" t="str">
        <f t="shared" si="1427"/>
        <v>FFDFD3C0</v>
      </c>
      <c r="D3895" t="s">
        <v>136</v>
      </c>
      <c r="E3895">
        <v>8</v>
      </c>
      <c r="H3895">
        <v>225</v>
      </c>
      <c r="I3895" t="s">
        <v>137</v>
      </c>
      <c r="J3895" t="s">
        <v>138</v>
      </c>
      <c r="K3895">
        <v>0</v>
      </c>
      <c r="L3895">
        <v>3</v>
      </c>
      <c r="M3895">
        <v>0</v>
      </c>
      <c r="N3895">
        <v>2</v>
      </c>
      <c r="O3895">
        <v>0</v>
      </c>
      <c r="P3895">
        <v>1</v>
      </c>
      <c r="Q3895">
        <v>0</v>
      </c>
      <c r="S3895" t="str">
        <f t="shared" si="1432"/>
        <v>19:36:00.000</v>
      </c>
      <c r="T3895" t="str">
        <f t="shared" si="1432"/>
        <v>19:36:00.000</v>
      </c>
      <c r="U3895" t="str">
        <f t="shared" si="1413"/>
        <v>AC3944</v>
      </c>
      <c r="V3895">
        <v>0</v>
      </c>
      <c r="W3895">
        <v>0</v>
      </c>
      <c r="X3895">
        <v>2</v>
      </c>
      <c r="Y3895">
        <v>0</v>
      </c>
      <c r="AA3895">
        <v>1</v>
      </c>
      <c r="AB3895">
        <v>8</v>
      </c>
      <c r="AC3895">
        <v>3</v>
      </c>
      <c r="AD3895">
        <v>0</v>
      </c>
      <c r="AE3895">
        <v>9</v>
      </c>
      <c r="AF3895" t="s">
        <v>138</v>
      </c>
      <c r="AG3895">
        <v>0</v>
      </c>
      <c r="AH3895">
        <v>3</v>
      </c>
      <c r="AI3895">
        <v>1</v>
      </c>
      <c r="AJ3895">
        <v>0</v>
      </c>
      <c r="AK3895" t="s">
        <v>1257</v>
      </c>
      <c r="AL3895">
        <v>32.736876000000002</v>
      </c>
      <c r="AM3895" t="s">
        <v>1258</v>
      </c>
      <c r="AN3895">
        <v>-116.69476</v>
      </c>
      <c r="AO3895">
        <v>25</v>
      </c>
      <c r="AP3895">
        <v>4800</v>
      </c>
      <c r="AQ3895" t="s">
        <v>129</v>
      </c>
      <c r="AR3895">
        <v>119</v>
      </c>
      <c r="AS3895">
        <v>-19</v>
      </c>
      <c r="AT3895">
        <v>768</v>
      </c>
      <c r="BB3895">
        <v>1200</v>
      </c>
      <c r="BC3895">
        <v>1</v>
      </c>
      <c r="BD3895" t="str">
        <f t="shared" si="1414"/>
        <v xml:space="preserve">N887QR  </v>
      </c>
      <c r="BE3895">
        <v>1</v>
      </c>
      <c r="BG3895">
        <v>0</v>
      </c>
      <c r="BH3895">
        <v>0</v>
      </c>
      <c r="BI3895">
        <v>0</v>
      </c>
      <c r="BJ3895">
        <v>4675</v>
      </c>
      <c r="BK3895">
        <v>-125</v>
      </c>
      <c r="BL3895" t="s">
        <v>163</v>
      </c>
      <c r="BM3895">
        <v>1</v>
      </c>
      <c r="BN3895">
        <v>1</v>
      </c>
      <c r="BO3895">
        <v>1</v>
      </c>
      <c r="BP3895">
        <v>0</v>
      </c>
      <c r="BS3895">
        <v>0</v>
      </c>
      <c r="BT3895">
        <v>0</v>
      </c>
      <c r="BU3895">
        <v>0</v>
      </c>
      <c r="CE3895" t="str">
        <f t="shared" si="1433"/>
        <v>19:36:00.070</v>
      </c>
      <c r="CF3895">
        <v>69510808</v>
      </c>
      <c r="CS3895">
        <v>0</v>
      </c>
      <c r="CT3895">
        <v>2</v>
      </c>
      <c r="CU3895">
        <v>0</v>
      </c>
      <c r="CV3895">
        <v>2</v>
      </c>
      <c r="CW3895">
        <v>0</v>
      </c>
      <c r="CX3895">
        <v>2</v>
      </c>
      <c r="CY3895">
        <v>7</v>
      </c>
      <c r="CZ3895" t="s">
        <v>131</v>
      </c>
      <c r="DA3895">
        <v>745</v>
      </c>
      <c r="DB3895">
        <v>0</v>
      </c>
      <c r="DC3895" t="s">
        <v>1199</v>
      </c>
      <c r="DD3895" t="s">
        <v>1200</v>
      </c>
      <c r="DG3895">
        <v>9484697</v>
      </c>
      <c r="DI3895">
        <v>1</v>
      </c>
      <c r="DJ3895">
        <v>0</v>
      </c>
      <c r="DK3895">
        <v>1</v>
      </c>
      <c r="DL3895">
        <v>0</v>
      </c>
      <c r="DM3895">
        <v>0</v>
      </c>
      <c r="DN3895">
        <v>1</v>
      </c>
      <c r="DO3895">
        <v>0</v>
      </c>
      <c r="DP3895">
        <v>0</v>
      </c>
      <c r="DQ3895">
        <v>0</v>
      </c>
      <c r="DR3895">
        <v>0</v>
      </c>
      <c r="DS3895">
        <v>0</v>
      </c>
    </row>
    <row r="3896" spans="1:123" x14ac:dyDescent="0.3">
      <c r="A3896" t="str">
        <f>"10/04/2022 19:36:01.673"</f>
        <v>10/04/2022 19:36:01.673</v>
      </c>
      <c r="C3896" t="str">
        <f t="shared" si="1427"/>
        <v>FFDFD3C0</v>
      </c>
      <c r="D3896" t="s">
        <v>141</v>
      </c>
      <c r="E3896">
        <v>4</v>
      </c>
      <c r="H3896">
        <v>4</v>
      </c>
      <c r="I3896" t="s">
        <v>142</v>
      </c>
      <c r="J3896" t="s">
        <v>138</v>
      </c>
      <c r="K3896">
        <v>0</v>
      </c>
      <c r="L3896">
        <v>3</v>
      </c>
      <c r="M3896">
        <v>0</v>
      </c>
      <c r="N3896">
        <v>2</v>
      </c>
      <c r="O3896">
        <v>0</v>
      </c>
      <c r="P3896">
        <v>1</v>
      </c>
      <c r="Q3896">
        <v>0</v>
      </c>
      <c r="S3896" t="str">
        <f t="shared" ref="S3896:T3909" si="1434">"19:36:01.000"</f>
        <v>19:36:01.000</v>
      </c>
      <c r="T3896" t="str">
        <f t="shared" si="1434"/>
        <v>19:36:01.000</v>
      </c>
      <c r="U3896" t="str">
        <f t="shared" si="1413"/>
        <v>AC3944</v>
      </c>
      <c r="V3896">
        <v>0</v>
      </c>
      <c r="W3896">
        <v>0</v>
      </c>
      <c r="X3896">
        <v>2</v>
      </c>
      <c r="Y3896">
        <v>0</v>
      </c>
      <c r="AA3896">
        <v>1</v>
      </c>
      <c r="AB3896">
        <v>8</v>
      </c>
      <c r="AC3896">
        <v>3</v>
      </c>
      <c r="AD3896">
        <v>0</v>
      </c>
      <c r="AE3896">
        <v>9</v>
      </c>
      <c r="AF3896" t="s">
        <v>138</v>
      </c>
      <c r="AG3896">
        <v>0</v>
      </c>
      <c r="AH3896">
        <v>3</v>
      </c>
      <c r="AI3896">
        <v>1</v>
      </c>
      <c r="AJ3896">
        <v>0</v>
      </c>
      <c r="AK3896" t="s">
        <v>940</v>
      </c>
      <c r="AL3896">
        <v>32.736789999999999</v>
      </c>
      <c r="AM3896" t="s">
        <v>1259</v>
      </c>
      <c r="AN3896">
        <v>-116.694095</v>
      </c>
      <c r="AO3896">
        <v>25</v>
      </c>
      <c r="AP3896">
        <v>4800</v>
      </c>
      <c r="AQ3896" t="s">
        <v>129</v>
      </c>
      <c r="AR3896">
        <v>119</v>
      </c>
      <c r="AS3896">
        <v>-22</v>
      </c>
      <c r="AT3896">
        <v>704</v>
      </c>
      <c r="BB3896">
        <v>1200</v>
      </c>
      <c r="BC3896">
        <v>1</v>
      </c>
      <c r="BD3896" t="str">
        <f t="shared" si="1414"/>
        <v xml:space="preserve">N887QR  </v>
      </c>
      <c r="BE3896">
        <v>1</v>
      </c>
      <c r="BG3896">
        <v>0</v>
      </c>
      <c r="BH3896">
        <v>0</v>
      </c>
      <c r="BI3896">
        <v>0</v>
      </c>
      <c r="BJ3896">
        <v>4675</v>
      </c>
      <c r="BK3896">
        <v>-125</v>
      </c>
      <c r="BL3896" t="s">
        <v>163</v>
      </c>
      <c r="BM3896">
        <v>1</v>
      </c>
      <c r="BN3896">
        <v>1</v>
      </c>
      <c r="BO3896">
        <v>1</v>
      </c>
      <c r="BP3896">
        <v>0</v>
      </c>
      <c r="BS3896">
        <v>0</v>
      </c>
      <c r="BT3896">
        <v>0</v>
      </c>
      <c r="BU3896">
        <v>0</v>
      </c>
      <c r="CE3896" t="str">
        <f t="shared" ref="CE3896:CE3902" si="1435">"19:36:01.353"</f>
        <v>19:36:01.353</v>
      </c>
      <c r="CF3896">
        <v>352744107</v>
      </c>
      <c r="CS3896">
        <v>0</v>
      </c>
      <c r="CT3896">
        <v>2</v>
      </c>
      <c r="CU3896">
        <v>0</v>
      </c>
      <c r="CV3896">
        <v>2</v>
      </c>
      <c r="CW3896">
        <v>0</v>
      </c>
      <c r="CX3896">
        <v>5</v>
      </c>
      <c r="CY3896">
        <v>7</v>
      </c>
      <c r="CZ3896" t="s">
        <v>131</v>
      </c>
      <c r="DA3896">
        <v>300</v>
      </c>
      <c r="DB3896">
        <v>0</v>
      </c>
      <c r="DC3896" t="s">
        <v>176</v>
      </c>
      <c r="DD3896" t="s">
        <v>177</v>
      </c>
      <c r="DG3896">
        <v>5450230</v>
      </c>
      <c r="DI3896">
        <v>1</v>
      </c>
      <c r="DJ3896">
        <v>0</v>
      </c>
      <c r="DK3896">
        <v>0</v>
      </c>
      <c r="DL3896">
        <v>0</v>
      </c>
      <c r="DM3896">
        <v>0</v>
      </c>
      <c r="DN3896">
        <v>1</v>
      </c>
      <c r="DO3896">
        <v>0</v>
      </c>
      <c r="DP3896">
        <v>0</v>
      </c>
      <c r="DQ3896">
        <v>0</v>
      </c>
      <c r="DR3896">
        <v>0</v>
      </c>
      <c r="DS3896">
        <v>0</v>
      </c>
    </row>
    <row r="3897" spans="1:123" x14ac:dyDescent="0.3">
      <c r="A3897" t="str">
        <f>"10/04/2022 19:36:01.673"</f>
        <v>10/04/2022 19:36:01.673</v>
      </c>
      <c r="C3897" t="str">
        <f t="shared" si="1427"/>
        <v>FFDFD3C0</v>
      </c>
      <c r="D3897" t="s">
        <v>143</v>
      </c>
      <c r="E3897">
        <v>20</v>
      </c>
      <c r="F3897">
        <v>1020</v>
      </c>
      <c r="G3897" t="s">
        <v>144</v>
      </c>
      <c r="J3897" t="s">
        <v>145</v>
      </c>
      <c r="K3897">
        <v>0</v>
      </c>
      <c r="L3897">
        <v>3</v>
      </c>
      <c r="M3897">
        <v>0</v>
      </c>
      <c r="N3897">
        <v>2</v>
      </c>
      <c r="O3897">
        <v>0</v>
      </c>
      <c r="P3897">
        <v>1</v>
      </c>
      <c r="Q3897">
        <v>0</v>
      </c>
      <c r="S3897" t="str">
        <f t="shared" si="1434"/>
        <v>19:36:01.000</v>
      </c>
      <c r="T3897" t="str">
        <f t="shared" si="1434"/>
        <v>19:36:01.000</v>
      </c>
      <c r="U3897" t="str">
        <f t="shared" si="1413"/>
        <v>AC3944</v>
      </c>
      <c r="V3897">
        <v>0</v>
      </c>
      <c r="W3897">
        <v>0</v>
      </c>
      <c r="X3897">
        <v>2</v>
      </c>
      <c r="Y3897">
        <v>0</v>
      </c>
      <c r="AA3897">
        <v>1</v>
      </c>
      <c r="AB3897">
        <v>8</v>
      </c>
      <c r="AC3897">
        <v>3</v>
      </c>
      <c r="AD3897">
        <v>0</v>
      </c>
      <c r="AE3897">
        <v>9</v>
      </c>
      <c r="AF3897" t="s">
        <v>138</v>
      </c>
      <c r="AG3897">
        <v>0</v>
      </c>
      <c r="AH3897">
        <v>3</v>
      </c>
      <c r="AI3897">
        <v>1</v>
      </c>
      <c r="AJ3897">
        <v>0</v>
      </c>
      <c r="AK3897" t="s">
        <v>940</v>
      </c>
      <c r="AL3897">
        <v>32.736789999999999</v>
      </c>
      <c r="AM3897" t="s">
        <v>1259</v>
      </c>
      <c r="AN3897">
        <v>-116.694095</v>
      </c>
      <c r="AO3897">
        <v>25</v>
      </c>
      <c r="AP3897">
        <v>4800</v>
      </c>
      <c r="AQ3897" t="s">
        <v>129</v>
      </c>
      <c r="AR3897">
        <v>119</v>
      </c>
      <c r="AS3897">
        <v>-22</v>
      </c>
      <c r="AT3897">
        <v>704</v>
      </c>
      <c r="BB3897">
        <v>1200</v>
      </c>
      <c r="BC3897">
        <v>1</v>
      </c>
      <c r="BD3897" t="str">
        <f t="shared" si="1414"/>
        <v xml:space="preserve">N887QR  </v>
      </c>
      <c r="BE3897">
        <v>1</v>
      </c>
      <c r="BG3897">
        <v>0</v>
      </c>
      <c r="BH3897">
        <v>0</v>
      </c>
      <c r="BI3897">
        <v>0</v>
      </c>
      <c r="BJ3897">
        <v>4675</v>
      </c>
      <c r="BK3897">
        <v>-125</v>
      </c>
      <c r="BL3897" t="s">
        <v>163</v>
      </c>
      <c r="BM3897">
        <v>1</v>
      </c>
      <c r="BN3897">
        <v>1</v>
      </c>
      <c r="BO3897">
        <v>1</v>
      </c>
      <c r="BP3897">
        <v>0</v>
      </c>
      <c r="BS3897">
        <v>0</v>
      </c>
      <c r="BT3897">
        <v>0</v>
      </c>
      <c r="BU3897">
        <v>0</v>
      </c>
      <c r="CE3897" t="str">
        <f t="shared" si="1435"/>
        <v>19:36:01.353</v>
      </c>
      <c r="CF3897">
        <v>352744107</v>
      </c>
      <c r="CS3897">
        <v>0</v>
      </c>
      <c r="CT3897">
        <v>2</v>
      </c>
      <c r="CU3897">
        <v>0</v>
      </c>
      <c r="CV3897">
        <v>2</v>
      </c>
      <c r="CW3897">
        <v>0</v>
      </c>
      <c r="CX3897">
        <v>5</v>
      </c>
      <c r="CY3897">
        <v>7</v>
      </c>
      <c r="CZ3897" t="s">
        <v>131</v>
      </c>
      <c r="DA3897">
        <v>300</v>
      </c>
      <c r="DB3897">
        <v>0</v>
      </c>
      <c r="DC3897" t="s">
        <v>176</v>
      </c>
      <c r="DD3897" t="s">
        <v>177</v>
      </c>
      <c r="DG3897">
        <v>5450230</v>
      </c>
      <c r="DI3897">
        <v>1</v>
      </c>
      <c r="DJ3897">
        <v>0</v>
      </c>
      <c r="DK3897">
        <v>1</v>
      </c>
      <c r="DL3897">
        <v>0</v>
      </c>
      <c r="DM3897">
        <v>0</v>
      </c>
      <c r="DN3897">
        <v>1</v>
      </c>
      <c r="DO3897">
        <v>0</v>
      </c>
      <c r="DP3897">
        <v>0</v>
      </c>
      <c r="DQ3897">
        <v>0</v>
      </c>
      <c r="DR3897">
        <v>0</v>
      </c>
      <c r="DS3897">
        <v>0</v>
      </c>
    </row>
    <row r="3898" spans="1:123" x14ac:dyDescent="0.3">
      <c r="A3898" t="str">
        <f>"10/04/2022 19:36:01.673"</f>
        <v>10/04/2022 19:36:01.673</v>
      </c>
      <c r="C3898" t="str">
        <f t="shared" si="1427"/>
        <v>FFDFD3C0</v>
      </c>
      <c r="D3898" t="s">
        <v>141</v>
      </c>
      <c r="E3898">
        <v>3</v>
      </c>
      <c r="H3898">
        <v>3</v>
      </c>
      <c r="I3898" t="s">
        <v>146</v>
      </c>
      <c r="J3898" t="s">
        <v>138</v>
      </c>
      <c r="K3898">
        <v>0</v>
      </c>
      <c r="L3898">
        <v>3</v>
      </c>
      <c r="M3898">
        <v>0</v>
      </c>
      <c r="N3898">
        <v>2</v>
      </c>
      <c r="O3898">
        <v>0</v>
      </c>
      <c r="P3898">
        <v>1</v>
      </c>
      <c r="Q3898">
        <v>0</v>
      </c>
      <c r="S3898" t="str">
        <f t="shared" si="1434"/>
        <v>19:36:01.000</v>
      </c>
      <c r="T3898" t="str">
        <f t="shared" si="1434"/>
        <v>19:36:01.000</v>
      </c>
      <c r="U3898" t="str">
        <f t="shared" si="1413"/>
        <v>AC3944</v>
      </c>
      <c r="V3898">
        <v>0</v>
      </c>
      <c r="W3898">
        <v>0</v>
      </c>
      <c r="X3898">
        <v>2</v>
      </c>
      <c r="Y3898">
        <v>0</v>
      </c>
      <c r="AA3898">
        <v>1</v>
      </c>
      <c r="AB3898">
        <v>8</v>
      </c>
      <c r="AC3898">
        <v>3</v>
      </c>
      <c r="AD3898">
        <v>0</v>
      </c>
      <c r="AE3898">
        <v>9</v>
      </c>
      <c r="AF3898" t="s">
        <v>138</v>
      </c>
      <c r="AG3898">
        <v>0</v>
      </c>
      <c r="AH3898">
        <v>3</v>
      </c>
      <c r="AI3898">
        <v>1</v>
      </c>
      <c r="AJ3898">
        <v>0</v>
      </c>
      <c r="AK3898" t="s">
        <v>940</v>
      </c>
      <c r="AL3898">
        <v>32.736789999999999</v>
      </c>
      <c r="AM3898" t="s">
        <v>1259</v>
      </c>
      <c r="AN3898">
        <v>-116.694095</v>
      </c>
      <c r="AO3898">
        <v>25</v>
      </c>
      <c r="AP3898">
        <v>4800</v>
      </c>
      <c r="AQ3898" t="s">
        <v>129</v>
      </c>
      <c r="AR3898">
        <v>119</v>
      </c>
      <c r="AS3898">
        <v>-22</v>
      </c>
      <c r="AT3898">
        <v>704</v>
      </c>
      <c r="BB3898">
        <v>1200</v>
      </c>
      <c r="BC3898">
        <v>1</v>
      </c>
      <c r="BD3898" t="str">
        <f t="shared" si="1414"/>
        <v xml:space="preserve">N887QR  </v>
      </c>
      <c r="BE3898">
        <v>1</v>
      </c>
      <c r="BG3898">
        <v>0</v>
      </c>
      <c r="BH3898">
        <v>0</v>
      </c>
      <c r="BI3898">
        <v>0</v>
      </c>
      <c r="BJ3898">
        <v>4675</v>
      </c>
      <c r="BK3898">
        <v>-125</v>
      </c>
      <c r="BL3898" t="s">
        <v>163</v>
      </c>
      <c r="BM3898">
        <v>1</v>
      </c>
      <c r="BN3898">
        <v>1</v>
      </c>
      <c r="BO3898">
        <v>1</v>
      </c>
      <c r="BP3898">
        <v>0</v>
      </c>
      <c r="BS3898">
        <v>0</v>
      </c>
      <c r="BT3898">
        <v>0</v>
      </c>
      <c r="BU3898">
        <v>0</v>
      </c>
      <c r="CE3898" t="str">
        <f t="shared" si="1435"/>
        <v>19:36:01.353</v>
      </c>
      <c r="CF3898">
        <v>352744107</v>
      </c>
      <c r="CS3898">
        <v>0</v>
      </c>
      <c r="CT3898">
        <v>2</v>
      </c>
      <c r="CU3898">
        <v>0</v>
      </c>
      <c r="CV3898">
        <v>2</v>
      </c>
      <c r="CW3898">
        <v>0</v>
      </c>
      <c r="CX3898">
        <v>5</v>
      </c>
      <c r="CY3898">
        <v>7</v>
      </c>
      <c r="CZ3898" t="s">
        <v>131</v>
      </c>
      <c r="DA3898">
        <v>300</v>
      </c>
      <c r="DB3898">
        <v>0</v>
      </c>
      <c r="DC3898" t="s">
        <v>176</v>
      </c>
      <c r="DD3898" t="s">
        <v>177</v>
      </c>
      <c r="DG3898">
        <v>5450230</v>
      </c>
      <c r="DI3898">
        <v>1</v>
      </c>
      <c r="DJ3898">
        <v>0</v>
      </c>
      <c r="DK3898">
        <v>1</v>
      </c>
      <c r="DL3898">
        <v>0</v>
      </c>
      <c r="DM3898">
        <v>0</v>
      </c>
      <c r="DN3898">
        <v>1</v>
      </c>
      <c r="DO3898">
        <v>0</v>
      </c>
      <c r="DP3898">
        <v>0</v>
      </c>
      <c r="DQ3898">
        <v>0</v>
      </c>
      <c r="DR3898">
        <v>0</v>
      </c>
      <c r="DS3898">
        <v>0</v>
      </c>
    </row>
    <row r="3899" spans="1:123" x14ac:dyDescent="0.3">
      <c r="A3899" t="str">
        <f>"10/04/2022 19:36:01.673"</f>
        <v>10/04/2022 19:36:01.673</v>
      </c>
      <c r="C3899" t="str">
        <f t="shared" si="1427"/>
        <v>FFDFD3C0</v>
      </c>
      <c r="D3899" t="s">
        <v>147</v>
      </c>
      <c r="E3899">
        <v>3</v>
      </c>
      <c r="H3899">
        <v>166</v>
      </c>
      <c r="I3899" t="s">
        <v>144</v>
      </c>
      <c r="J3899" t="s">
        <v>148</v>
      </c>
      <c r="K3899">
        <v>0</v>
      </c>
      <c r="L3899">
        <v>3</v>
      </c>
      <c r="M3899">
        <v>0</v>
      </c>
      <c r="N3899">
        <v>2</v>
      </c>
      <c r="O3899">
        <v>0</v>
      </c>
      <c r="P3899">
        <v>1</v>
      </c>
      <c r="Q3899">
        <v>0</v>
      </c>
      <c r="S3899" t="str">
        <f t="shared" si="1434"/>
        <v>19:36:01.000</v>
      </c>
      <c r="T3899" t="str">
        <f t="shared" si="1434"/>
        <v>19:36:01.000</v>
      </c>
      <c r="U3899" t="str">
        <f t="shared" si="1413"/>
        <v>AC3944</v>
      </c>
      <c r="V3899">
        <v>0</v>
      </c>
      <c r="W3899">
        <v>0</v>
      </c>
      <c r="X3899">
        <v>2</v>
      </c>
      <c r="Y3899">
        <v>0</v>
      </c>
      <c r="AA3899">
        <v>1</v>
      </c>
      <c r="AB3899">
        <v>8</v>
      </c>
      <c r="AC3899">
        <v>3</v>
      </c>
      <c r="AD3899">
        <v>0</v>
      </c>
      <c r="AE3899">
        <v>9</v>
      </c>
      <c r="AF3899" t="s">
        <v>138</v>
      </c>
      <c r="AG3899">
        <v>0</v>
      </c>
      <c r="AH3899">
        <v>3</v>
      </c>
      <c r="AI3899">
        <v>1</v>
      </c>
      <c r="AJ3899">
        <v>0</v>
      </c>
      <c r="AK3899" t="s">
        <v>940</v>
      </c>
      <c r="AL3899">
        <v>32.736789999999999</v>
      </c>
      <c r="AM3899" t="s">
        <v>1259</v>
      </c>
      <c r="AN3899">
        <v>-116.694095</v>
      </c>
      <c r="AO3899">
        <v>25</v>
      </c>
      <c r="AP3899">
        <v>4800</v>
      </c>
      <c r="AQ3899" t="s">
        <v>129</v>
      </c>
      <c r="AR3899">
        <v>119</v>
      </c>
      <c r="AS3899">
        <v>-22</v>
      </c>
      <c r="AT3899">
        <v>704</v>
      </c>
      <c r="BB3899">
        <v>1200</v>
      </c>
      <c r="BC3899">
        <v>1</v>
      </c>
      <c r="BD3899" t="str">
        <f t="shared" si="1414"/>
        <v xml:space="preserve">N887QR  </v>
      </c>
      <c r="BE3899">
        <v>1</v>
      </c>
      <c r="BG3899">
        <v>0</v>
      </c>
      <c r="BH3899">
        <v>0</v>
      </c>
      <c r="BI3899">
        <v>0</v>
      </c>
      <c r="BJ3899">
        <v>4675</v>
      </c>
      <c r="BK3899">
        <v>-125</v>
      </c>
      <c r="BL3899" t="s">
        <v>163</v>
      </c>
      <c r="BM3899">
        <v>1</v>
      </c>
      <c r="BN3899">
        <v>1</v>
      </c>
      <c r="BO3899">
        <v>1</v>
      </c>
      <c r="BP3899">
        <v>0</v>
      </c>
      <c r="BS3899">
        <v>0</v>
      </c>
      <c r="BT3899">
        <v>0</v>
      </c>
      <c r="BU3899">
        <v>0</v>
      </c>
      <c r="CE3899" t="str">
        <f t="shared" si="1435"/>
        <v>19:36:01.353</v>
      </c>
      <c r="CF3899">
        <v>352744107</v>
      </c>
      <c r="CS3899">
        <v>0</v>
      </c>
      <c r="CT3899">
        <v>2</v>
      </c>
      <c r="CU3899">
        <v>0</v>
      </c>
      <c r="CV3899">
        <v>2</v>
      </c>
      <c r="CW3899">
        <v>0</v>
      </c>
      <c r="CX3899">
        <v>5</v>
      </c>
      <c r="CY3899">
        <v>7</v>
      </c>
      <c r="CZ3899" t="s">
        <v>131</v>
      </c>
      <c r="DA3899">
        <v>300</v>
      </c>
      <c r="DB3899">
        <v>0</v>
      </c>
      <c r="DC3899" t="s">
        <v>176</v>
      </c>
      <c r="DD3899" t="s">
        <v>177</v>
      </c>
      <c r="DG3899">
        <v>5450230</v>
      </c>
      <c r="DI3899">
        <v>1</v>
      </c>
      <c r="DJ3899">
        <v>0</v>
      </c>
      <c r="DK3899">
        <v>1</v>
      </c>
      <c r="DL3899">
        <v>0</v>
      </c>
      <c r="DM3899">
        <v>0</v>
      </c>
      <c r="DN3899">
        <v>1</v>
      </c>
      <c r="DO3899">
        <v>0</v>
      </c>
      <c r="DP3899">
        <v>0</v>
      </c>
      <c r="DQ3899">
        <v>0</v>
      </c>
      <c r="DR3899">
        <v>0</v>
      </c>
      <c r="DS3899">
        <v>0</v>
      </c>
    </row>
    <row r="3900" spans="1:123" x14ac:dyDescent="0.3">
      <c r="A3900" t="str">
        <f>"10/04/2022 19:36:01.688"</f>
        <v>10/04/2022 19:36:01.688</v>
      </c>
      <c r="C3900" t="str">
        <f t="shared" si="1427"/>
        <v>FFDFD3C0</v>
      </c>
      <c r="D3900" t="s">
        <v>123</v>
      </c>
      <c r="E3900">
        <v>7</v>
      </c>
      <c r="F3900">
        <v>2007</v>
      </c>
      <c r="G3900" t="s">
        <v>124</v>
      </c>
      <c r="J3900" t="s">
        <v>125</v>
      </c>
      <c r="K3900">
        <v>0</v>
      </c>
      <c r="L3900">
        <v>3</v>
      </c>
      <c r="M3900">
        <v>0</v>
      </c>
      <c r="N3900">
        <v>2</v>
      </c>
      <c r="O3900">
        <v>0</v>
      </c>
      <c r="P3900">
        <v>1</v>
      </c>
      <c r="Q3900">
        <v>0</v>
      </c>
      <c r="S3900" t="str">
        <f t="shared" si="1434"/>
        <v>19:36:01.000</v>
      </c>
      <c r="T3900" t="str">
        <f t="shared" si="1434"/>
        <v>19:36:01.000</v>
      </c>
      <c r="U3900" t="str">
        <f t="shared" si="1413"/>
        <v>AC3944</v>
      </c>
      <c r="V3900">
        <v>0</v>
      </c>
      <c r="W3900">
        <v>0</v>
      </c>
      <c r="X3900">
        <v>2</v>
      </c>
      <c r="Y3900">
        <v>0</v>
      </c>
      <c r="AA3900">
        <v>1</v>
      </c>
      <c r="AB3900">
        <v>8</v>
      </c>
      <c r="AC3900">
        <v>3</v>
      </c>
      <c r="AD3900">
        <v>0</v>
      </c>
      <c r="AE3900">
        <v>9</v>
      </c>
      <c r="AF3900" t="s">
        <v>138</v>
      </c>
      <c r="AG3900">
        <v>0</v>
      </c>
      <c r="AH3900">
        <v>3</v>
      </c>
      <c r="AI3900">
        <v>1</v>
      </c>
      <c r="AJ3900">
        <v>0</v>
      </c>
      <c r="AK3900" t="s">
        <v>940</v>
      </c>
      <c r="AL3900">
        <v>32.736789999999999</v>
      </c>
      <c r="AM3900" t="s">
        <v>1259</v>
      </c>
      <c r="AN3900">
        <v>-116.694095</v>
      </c>
      <c r="AO3900">
        <v>25</v>
      </c>
      <c r="AP3900">
        <v>4800</v>
      </c>
      <c r="AQ3900" t="s">
        <v>129</v>
      </c>
      <c r="AR3900">
        <v>119</v>
      </c>
      <c r="AS3900">
        <v>-22</v>
      </c>
      <c r="AT3900">
        <v>704</v>
      </c>
      <c r="BB3900">
        <v>1200</v>
      </c>
      <c r="BC3900">
        <v>1</v>
      </c>
      <c r="BD3900" t="str">
        <f t="shared" si="1414"/>
        <v xml:space="preserve">N887QR  </v>
      </c>
      <c r="BE3900">
        <v>1</v>
      </c>
      <c r="BG3900">
        <v>0</v>
      </c>
      <c r="BH3900">
        <v>0</v>
      </c>
      <c r="BI3900">
        <v>0</v>
      </c>
      <c r="BJ3900">
        <v>4675</v>
      </c>
      <c r="BK3900">
        <v>-125</v>
      </c>
      <c r="BL3900" t="s">
        <v>163</v>
      </c>
      <c r="BM3900">
        <v>1</v>
      </c>
      <c r="BN3900">
        <v>1</v>
      </c>
      <c r="BO3900">
        <v>1</v>
      </c>
      <c r="BP3900">
        <v>0</v>
      </c>
      <c r="BS3900">
        <v>0</v>
      </c>
      <c r="BT3900">
        <v>0</v>
      </c>
      <c r="BU3900">
        <v>0</v>
      </c>
      <c r="CE3900" t="str">
        <f t="shared" si="1435"/>
        <v>19:36:01.353</v>
      </c>
      <c r="CF3900">
        <v>352744107</v>
      </c>
      <c r="CS3900">
        <v>0</v>
      </c>
      <c r="CT3900">
        <v>2</v>
      </c>
      <c r="CU3900">
        <v>0</v>
      </c>
      <c r="CV3900">
        <v>2</v>
      </c>
      <c r="CW3900">
        <v>0</v>
      </c>
      <c r="CX3900">
        <v>5</v>
      </c>
      <c r="CY3900">
        <v>7</v>
      </c>
      <c r="CZ3900" t="s">
        <v>131</v>
      </c>
      <c r="DA3900">
        <v>300</v>
      </c>
      <c r="DB3900">
        <v>0</v>
      </c>
      <c r="DC3900" t="s">
        <v>176</v>
      </c>
      <c r="DD3900" t="s">
        <v>177</v>
      </c>
      <c r="DG3900">
        <v>5450230</v>
      </c>
      <c r="DI3900">
        <v>1</v>
      </c>
      <c r="DJ3900">
        <v>0</v>
      </c>
      <c r="DK3900">
        <v>1</v>
      </c>
      <c r="DL3900">
        <v>0</v>
      </c>
      <c r="DM3900">
        <v>0</v>
      </c>
      <c r="DN3900">
        <v>1</v>
      </c>
      <c r="DO3900">
        <v>0</v>
      </c>
      <c r="DP3900">
        <v>0</v>
      </c>
      <c r="DQ3900">
        <v>0</v>
      </c>
      <c r="DR3900">
        <v>0</v>
      </c>
      <c r="DS3900">
        <v>0</v>
      </c>
    </row>
    <row r="3901" spans="1:123" x14ac:dyDescent="0.3">
      <c r="A3901" t="str">
        <f>"10/04/2022 19:36:01.688"</f>
        <v>10/04/2022 19:36:01.688</v>
      </c>
      <c r="C3901" t="str">
        <f t="shared" si="1427"/>
        <v>FFDFD3C0</v>
      </c>
      <c r="D3901" t="s">
        <v>136</v>
      </c>
      <c r="E3901">
        <v>8</v>
      </c>
      <c r="H3901">
        <v>225</v>
      </c>
      <c r="I3901" t="s">
        <v>137</v>
      </c>
      <c r="J3901" t="s">
        <v>138</v>
      </c>
      <c r="K3901">
        <v>0</v>
      </c>
      <c r="L3901">
        <v>3</v>
      </c>
      <c r="M3901">
        <v>0</v>
      </c>
      <c r="N3901">
        <v>2</v>
      </c>
      <c r="O3901">
        <v>0</v>
      </c>
      <c r="P3901">
        <v>1</v>
      </c>
      <c r="Q3901">
        <v>0</v>
      </c>
      <c r="S3901" t="str">
        <f t="shared" si="1434"/>
        <v>19:36:01.000</v>
      </c>
      <c r="T3901" t="str">
        <f t="shared" si="1434"/>
        <v>19:36:01.000</v>
      </c>
      <c r="U3901" t="str">
        <f t="shared" si="1413"/>
        <v>AC3944</v>
      </c>
      <c r="V3901">
        <v>0</v>
      </c>
      <c r="W3901">
        <v>0</v>
      </c>
      <c r="X3901">
        <v>2</v>
      </c>
      <c r="Y3901">
        <v>0</v>
      </c>
      <c r="AA3901">
        <v>1</v>
      </c>
      <c r="AB3901">
        <v>8</v>
      </c>
      <c r="AC3901">
        <v>3</v>
      </c>
      <c r="AD3901">
        <v>0</v>
      </c>
      <c r="AE3901">
        <v>9</v>
      </c>
      <c r="AF3901" t="s">
        <v>138</v>
      </c>
      <c r="AG3901">
        <v>0</v>
      </c>
      <c r="AH3901">
        <v>3</v>
      </c>
      <c r="AI3901">
        <v>1</v>
      </c>
      <c r="AJ3901">
        <v>0</v>
      </c>
      <c r="AK3901" t="s">
        <v>940</v>
      </c>
      <c r="AL3901">
        <v>32.736789999999999</v>
      </c>
      <c r="AM3901" t="s">
        <v>1259</v>
      </c>
      <c r="AN3901">
        <v>-116.694095</v>
      </c>
      <c r="AO3901">
        <v>25</v>
      </c>
      <c r="AP3901">
        <v>4800</v>
      </c>
      <c r="AQ3901" t="s">
        <v>129</v>
      </c>
      <c r="AR3901">
        <v>119</v>
      </c>
      <c r="AS3901">
        <v>-22</v>
      </c>
      <c r="AT3901">
        <v>704</v>
      </c>
      <c r="BB3901">
        <v>1200</v>
      </c>
      <c r="BC3901">
        <v>1</v>
      </c>
      <c r="BD3901" t="str">
        <f t="shared" si="1414"/>
        <v xml:space="preserve">N887QR  </v>
      </c>
      <c r="BE3901">
        <v>1</v>
      </c>
      <c r="BG3901">
        <v>0</v>
      </c>
      <c r="BH3901">
        <v>0</v>
      </c>
      <c r="BI3901">
        <v>0</v>
      </c>
      <c r="BJ3901">
        <v>4675</v>
      </c>
      <c r="BK3901">
        <v>-125</v>
      </c>
      <c r="BL3901" t="s">
        <v>163</v>
      </c>
      <c r="BM3901">
        <v>1</v>
      </c>
      <c r="BN3901">
        <v>1</v>
      </c>
      <c r="BO3901">
        <v>1</v>
      </c>
      <c r="BP3901">
        <v>0</v>
      </c>
      <c r="BS3901">
        <v>0</v>
      </c>
      <c r="BT3901">
        <v>0</v>
      </c>
      <c r="BU3901">
        <v>0</v>
      </c>
      <c r="CE3901" t="str">
        <f t="shared" si="1435"/>
        <v>19:36:01.353</v>
      </c>
      <c r="CF3901">
        <v>352744107</v>
      </c>
      <c r="CS3901">
        <v>0</v>
      </c>
      <c r="CT3901">
        <v>2</v>
      </c>
      <c r="CU3901">
        <v>0</v>
      </c>
      <c r="CV3901">
        <v>2</v>
      </c>
      <c r="CW3901">
        <v>0</v>
      </c>
      <c r="CX3901">
        <v>5</v>
      </c>
      <c r="CY3901">
        <v>7</v>
      </c>
      <c r="CZ3901" t="s">
        <v>131</v>
      </c>
      <c r="DA3901">
        <v>300</v>
      </c>
      <c r="DB3901">
        <v>0</v>
      </c>
      <c r="DC3901" t="s">
        <v>176</v>
      </c>
      <c r="DD3901" t="s">
        <v>177</v>
      </c>
      <c r="DG3901">
        <v>5450230</v>
      </c>
      <c r="DI3901">
        <v>1</v>
      </c>
      <c r="DJ3901">
        <v>0</v>
      </c>
      <c r="DK3901">
        <v>1</v>
      </c>
      <c r="DL3901">
        <v>0</v>
      </c>
      <c r="DM3901">
        <v>0</v>
      </c>
      <c r="DN3901">
        <v>1</v>
      </c>
      <c r="DO3901">
        <v>0</v>
      </c>
      <c r="DP3901">
        <v>0</v>
      </c>
      <c r="DQ3901">
        <v>0</v>
      </c>
      <c r="DR3901">
        <v>0</v>
      </c>
      <c r="DS3901">
        <v>0</v>
      </c>
    </row>
    <row r="3902" spans="1:123" x14ac:dyDescent="0.3">
      <c r="A3902" t="str">
        <f>"10/04/2022 19:36:01.688"</f>
        <v>10/04/2022 19:36:01.688</v>
      </c>
      <c r="C3902" t="str">
        <f t="shared" si="1427"/>
        <v>FFDFD3C0</v>
      </c>
      <c r="D3902" t="s">
        <v>134</v>
      </c>
      <c r="E3902">
        <v>15</v>
      </c>
      <c r="J3902" t="s">
        <v>135</v>
      </c>
      <c r="K3902">
        <v>0</v>
      </c>
      <c r="L3902">
        <v>3</v>
      </c>
      <c r="M3902">
        <v>0</v>
      </c>
      <c r="N3902">
        <v>2</v>
      </c>
      <c r="O3902">
        <v>0</v>
      </c>
      <c r="P3902">
        <v>1</v>
      </c>
      <c r="Q3902">
        <v>0</v>
      </c>
      <c r="S3902" t="str">
        <f t="shared" si="1434"/>
        <v>19:36:01.000</v>
      </c>
      <c r="T3902" t="str">
        <f t="shared" si="1434"/>
        <v>19:36:01.000</v>
      </c>
      <c r="U3902" t="str">
        <f t="shared" si="1413"/>
        <v>AC3944</v>
      </c>
      <c r="V3902">
        <v>0</v>
      </c>
      <c r="W3902">
        <v>0</v>
      </c>
      <c r="X3902">
        <v>2</v>
      </c>
      <c r="Y3902">
        <v>0</v>
      </c>
      <c r="AA3902">
        <v>1</v>
      </c>
      <c r="AB3902">
        <v>8</v>
      </c>
      <c r="AC3902">
        <v>3</v>
      </c>
      <c r="AD3902">
        <v>0</v>
      </c>
      <c r="AE3902">
        <v>9</v>
      </c>
      <c r="AF3902" t="s">
        <v>138</v>
      </c>
      <c r="AG3902">
        <v>0</v>
      </c>
      <c r="AH3902">
        <v>3</v>
      </c>
      <c r="AI3902">
        <v>1</v>
      </c>
      <c r="AJ3902">
        <v>0</v>
      </c>
      <c r="AK3902" t="s">
        <v>940</v>
      </c>
      <c r="AL3902">
        <v>32.736789999999999</v>
      </c>
      <c r="AM3902" t="s">
        <v>1259</v>
      </c>
      <c r="AN3902">
        <v>-116.694095</v>
      </c>
      <c r="AO3902">
        <v>25</v>
      </c>
      <c r="AP3902">
        <v>4800</v>
      </c>
      <c r="AQ3902" t="s">
        <v>129</v>
      </c>
      <c r="AR3902">
        <v>119</v>
      </c>
      <c r="AS3902">
        <v>-22</v>
      </c>
      <c r="AT3902">
        <v>704</v>
      </c>
      <c r="BB3902">
        <v>1200</v>
      </c>
      <c r="BC3902">
        <v>1</v>
      </c>
      <c r="BD3902" t="str">
        <f t="shared" si="1414"/>
        <v xml:space="preserve">N887QR  </v>
      </c>
      <c r="BE3902">
        <v>1</v>
      </c>
      <c r="BG3902">
        <v>0</v>
      </c>
      <c r="BH3902">
        <v>0</v>
      </c>
      <c r="BI3902">
        <v>0</v>
      </c>
      <c r="BJ3902">
        <v>4675</v>
      </c>
      <c r="BK3902">
        <v>-125</v>
      </c>
      <c r="BL3902" t="s">
        <v>163</v>
      </c>
      <c r="BM3902">
        <v>1</v>
      </c>
      <c r="BN3902">
        <v>1</v>
      </c>
      <c r="BO3902">
        <v>1</v>
      </c>
      <c r="BP3902">
        <v>0</v>
      </c>
      <c r="BS3902">
        <v>0</v>
      </c>
      <c r="BT3902">
        <v>0</v>
      </c>
      <c r="BU3902">
        <v>0</v>
      </c>
      <c r="CE3902" t="str">
        <f t="shared" si="1435"/>
        <v>19:36:01.353</v>
      </c>
      <c r="CF3902">
        <v>352744107</v>
      </c>
      <c r="CS3902">
        <v>0</v>
      </c>
      <c r="CT3902">
        <v>2</v>
      </c>
      <c r="CU3902">
        <v>0</v>
      </c>
      <c r="CV3902">
        <v>2</v>
      </c>
      <c r="CW3902">
        <v>0</v>
      </c>
      <c r="CX3902">
        <v>5</v>
      </c>
      <c r="CY3902">
        <v>7</v>
      </c>
      <c r="CZ3902" t="s">
        <v>131</v>
      </c>
      <c r="DA3902">
        <v>300</v>
      </c>
      <c r="DB3902">
        <v>0</v>
      </c>
      <c r="DC3902" t="s">
        <v>176</v>
      </c>
      <c r="DD3902" t="s">
        <v>177</v>
      </c>
      <c r="DG3902">
        <v>5450230</v>
      </c>
      <c r="DI3902">
        <v>1</v>
      </c>
      <c r="DJ3902">
        <v>0</v>
      </c>
      <c r="DK3902">
        <v>1</v>
      </c>
      <c r="DL3902">
        <v>0</v>
      </c>
      <c r="DM3902">
        <v>0</v>
      </c>
      <c r="DN3902">
        <v>1</v>
      </c>
      <c r="DO3902">
        <v>0</v>
      </c>
      <c r="DP3902">
        <v>0</v>
      </c>
      <c r="DQ3902">
        <v>0</v>
      </c>
      <c r="DR3902">
        <v>0</v>
      </c>
      <c r="DS3902">
        <v>0</v>
      </c>
    </row>
    <row r="3903" spans="1:123" x14ac:dyDescent="0.3">
      <c r="A3903" t="str">
        <f>"10/04/2022 19:36:02.141"</f>
        <v>10/04/2022 19:36:02.141</v>
      </c>
      <c r="C3903" t="str">
        <f t="shared" si="1427"/>
        <v>FFDFD3C0</v>
      </c>
      <c r="D3903" t="s">
        <v>143</v>
      </c>
      <c r="E3903">
        <v>20</v>
      </c>
      <c r="F3903">
        <v>1020</v>
      </c>
      <c r="G3903" t="s">
        <v>144</v>
      </c>
      <c r="J3903" t="s">
        <v>145</v>
      </c>
      <c r="K3903">
        <v>0</v>
      </c>
      <c r="L3903">
        <v>3</v>
      </c>
      <c r="M3903">
        <v>0</v>
      </c>
      <c r="N3903">
        <v>2</v>
      </c>
      <c r="O3903">
        <v>0</v>
      </c>
      <c r="P3903">
        <v>1</v>
      </c>
      <c r="Q3903">
        <v>0</v>
      </c>
      <c r="S3903" t="str">
        <f t="shared" si="1434"/>
        <v>19:36:01.000</v>
      </c>
      <c r="T3903" t="str">
        <f t="shared" si="1434"/>
        <v>19:36:01.000</v>
      </c>
      <c r="U3903" t="str">
        <f t="shared" si="1413"/>
        <v>AC3944</v>
      </c>
      <c r="V3903">
        <v>0</v>
      </c>
      <c r="W3903">
        <v>0</v>
      </c>
      <c r="X3903">
        <v>2</v>
      </c>
      <c r="Y3903">
        <v>0</v>
      </c>
      <c r="AA3903">
        <v>1</v>
      </c>
      <c r="AB3903">
        <v>8</v>
      </c>
      <c r="AC3903">
        <v>3</v>
      </c>
      <c r="AD3903">
        <v>0</v>
      </c>
      <c r="AE3903">
        <v>9</v>
      </c>
      <c r="AF3903" t="s">
        <v>138</v>
      </c>
      <c r="AG3903">
        <v>0</v>
      </c>
      <c r="AH3903">
        <v>3</v>
      </c>
      <c r="AI3903">
        <v>1</v>
      </c>
      <c r="AJ3903">
        <v>0</v>
      </c>
      <c r="AK3903" t="s">
        <v>1260</v>
      </c>
      <c r="AL3903">
        <v>32.736682999999999</v>
      </c>
      <c r="AM3903" t="s">
        <v>1261</v>
      </c>
      <c r="AN3903">
        <v>-116.69343000000001</v>
      </c>
      <c r="AO3903">
        <v>25</v>
      </c>
      <c r="AP3903">
        <v>4800</v>
      </c>
      <c r="AQ3903" t="s">
        <v>129</v>
      </c>
      <c r="AR3903">
        <v>119</v>
      </c>
      <c r="AS3903">
        <v>-23</v>
      </c>
      <c r="AT3903">
        <v>704</v>
      </c>
      <c r="BB3903">
        <v>1200</v>
      </c>
      <c r="BC3903">
        <v>1</v>
      </c>
      <c r="BD3903" t="str">
        <f t="shared" si="1414"/>
        <v xml:space="preserve">N887QR  </v>
      </c>
      <c r="BE3903">
        <v>1</v>
      </c>
      <c r="BG3903">
        <v>0</v>
      </c>
      <c r="BH3903">
        <v>0</v>
      </c>
      <c r="BI3903">
        <v>0</v>
      </c>
      <c r="BJ3903">
        <v>4700</v>
      </c>
      <c r="BK3903">
        <v>-100</v>
      </c>
      <c r="BL3903" t="s">
        <v>163</v>
      </c>
      <c r="BM3903">
        <v>1</v>
      </c>
      <c r="BN3903">
        <v>1</v>
      </c>
      <c r="BO3903">
        <v>1</v>
      </c>
      <c r="BP3903">
        <v>0</v>
      </c>
      <c r="BS3903">
        <v>0</v>
      </c>
      <c r="BT3903">
        <v>0</v>
      </c>
      <c r="BU3903">
        <v>0</v>
      </c>
      <c r="CE3903" t="str">
        <f t="shared" ref="CE3903:CE3909" si="1436">"19:36:01.848"</f>
        <v>19:36:01.848</v>
      </c>
      <c r="CF3903">
        <v>847745764</v>
      </c>
      <c r="CS3903">
        <v>0</v>
      </c>
      <c r="CT3903">
        <v>2</v>
      </c>
      <c r="CU3903">
        <v>0</v>
      </c>
      <c r="CV3903">
        <v>2</v>
      </c>
      <c r="CW3903">
        <v>0</v>
      </c>
      <c r="CX3903">
        <v>5</v>
      </c>
      <c r="CY3903">
        <v>7</v>
      </c>
      <c r="CZ3903" t="s">
        <v>131</v>
      </c>
      <c r="DA3903">
        <v>300</v>
      </c>
      <c r="DB3903">
        <v>0</v>
      </c>
      <c r="DC3903" t="s">
        <v>176</v>
      </c>
      <c r="DD3903" t="s">
        <v>177</v>
      </c>
      <c r="DG3903">
        <v>5450310</v>
      </c>
      <c r="DI3903">
        <v>1</v>
      </c>
      <c r="DJ3903">
        <v>0</v>
      </c>
      <c r="DK3903">
        <v>0</v>
      </c>
      <c r="DL3903">
        <v>0</v>
      </c>
      <c r="DM3903">
        <v>0</v>
      </c>
      <c r="DN3903">
        <v>1</v>
      </c>
      <c r="DO3903">
        <v>0</v>
      </c>
      <c r="DP3903">
        <v>0</v>
      </c>
      <c r="DQ3903">
        <v>0</v>
      </c>
      <c r="DR3903">
        <v>0</v>
      </c>
      <c r="DS3903">
        <v>0</v>
      </c>
    </row>
    <row r="3904" spans="1:123" x14ac:dyDescent="0.3">
      <c r="A3904" t="str">
        <f>"10/04/2022 19:36:02.141"</f>
        <v>10/04/2022 19:36:02.141</v>
      </c>
      <c r="C3904" t="str">
        <f t="shared" si="1427"/>
        <v>FFDFD3C0</v>
      </c>
      <c r="D3904" t="s">
        <v>147</v>
      </c>
      <c r="E3904">
        <v>3</v>
      </c>
      <c r="H3904">
        <v>166</v>
      </c>
      <c r="I3904" t="s">
        <v>144</v>
      </c>
      <c r="J3904" t="s">
        <v>148</v>
      </c>
      <c r="K3904">
        <v>0</v>
      </c>
      <c r="L3904">
        <v>3</v>
      </c>
      <c r="M3904">
        <v>0</v>
      </c>
      <c r="N3904">
        <v>2</v>
      </c>
      <c r="O3904">
        <v>0</v>
      </c>
      <c r="P3904">
        <v>1</v>
      </c>
      <c r="Q3904">
        <v>0</v>
      </c>
      <c r="S3904" t="str">
        <f t="shared" si="1434"/>
        <v>19:36:01.000</v>
      </c>
      <c r="T3904" t="str">
        <f t="shared" si="1434"/>
        <v>19:36:01.000</v>
      </c>
      <c r="U3904" t="str">
        <f t="shared" si="1413"/>
        <v>AC3944</v>
      </c>
      <c r="V3904">
        <v>0</v>
      </c>
      <c r="W3904">
        <v>0</v>
      </c>
      <c r="X3904">
        <v>2</v>
      </c>
      <c r="Y3904">
        <v>0</v>
      </c>
      <c r="AA3904">
        <v>1</v>
      </c>
      <c r="AB3904">
        <v>8</v>
      </c>
      <c r="AC3904">
        <v>3</v>
      </c>
      <c r="AD3904">
        <v>0</v>
      </c>
      <c r="AE3904">
        <v>9</v>
      </c>
      <c r="AF3904" t="s">
        <v>138</v>
      </c>
      <c r="AG3904">
        <v>0</v>
      </c>
      <c r="AH3904">
        <v>3</v>
      </c>
      <c r="AI3904">
        <v>1</v>
      </c>
      <c r="AJ3904">
        <v>0</v>
      </c>
      <c r="AK3904" t="s">
        <v>1260</v>
      </c>
      <c r="AL3904">
        <v>32.736682999999999</v>
      </c>
      <c r="AM3904" t="s">
        <v>1261</v>
      </c>
      <c r="AN3904">
        <v>-116.69343000000001</v>
      </c>
      <c r="AO3904">
        <v>25</v>
      </c>
      <c r="AP3904">
        <v>4800</v>
      </c>
      <c r="AQ3904" t="s">
        <v>129</v>
      </c>
      <c r="AR3904">
        <v>119</v>
      </c>
      <c r="AS3904">
        <v>-23</v>
      </c>
      <c r="AT3904">
        <v>704</v>
      </c>
      <c r="BB3904">
        <v>1200</v>
      </c>
      <c r="BC3904">
        <v>1</v>
      </c>
      <c r="BD3904" t="str">
        <f t="shared" si="1414"/>
        <v xml:space="preserve">N887QR  </v>
      </c>
      <c r="BE3904">
        <v>1</v>
      </c>
      <c r="BG3904">
        <v>0</v>
      </c>
      <c r="BH3904">
        <v>0</v>
      </c>
      <c r="BI3904">
        <v>0</v>
      </c>
      <c r="BJ3904">
        <v>4700</v>
      </c>
      <c r="BK3904">
        <v>-100</v>
      </c>
      <c r="BL3904" t="s">
        <v>163</v>
      </c>
      <c r="BM3904">
        <v>1</v>
      </c>
      <c r="BN3904">
        <v>1</v>
      </c>
      <c r="BO3904">
        <v>1</v>
      </c>
      <c r="BP3904">
        <v>0</v>
      </c>
      <c r="BS3904">
        <v>0</v>
      </c>
      <c r="BT3904">
        <v>0</v>
      </c>
      <c r="BU3904">
        <v>0</v>
      </c>
      <c r="CE3904" t="str">
        <f t="shared" si="1436"/>
        <v>19:36:01.848</v>
      </c>
      <c r="CF3904">
        <v>847745764</v>
      </c>
      <c r="CS3904">
        <v>0</v>
      </c>
      <c r="CT3904">
        <v>2</v>
      </c>
      <c r="CU3904">
        <v>0</v>
      </c>
      <c r="CV3904">
        <v>2</v>
      </c>
      <c r="CW3904">
        <v>0</v>
      </c>
      <c r="CX3904">
        <v>5</v>
      </c>
      <c r="CY3904">
        <v>7</v>
      </c>
      <c r="CZ3904" t="s">
        <v>131</v>
      </c>
      <c r="DA3904">
        <v>300</v>
      </c>
      <c r="DB3904">
        <v>0</v>
      </c>
      <c r="DC3904" t="s">
        <v>176</v>
      </c>
      <c r="DD3904" t="s">
        <v>177</v>
      </c>
      <c r="DG3904">
        <v>5450310</v>
      </c>
      <c r="DI3904">
        <v>1</v>
      </c>
      <c r="DJ3904">
        <v>0</v>
      </c>
      <c r="DK3904">
        <v>1</v>
      </c>
      <c r="DL3904">
        <v>0</v>
      </c>
      <c r="DM3904">
        <v>0</v>
      </c>
      <c r="DN3904">
        <v>1</v>
      </c>
      <c r="DO3904">
        <v>0</v>
      </c>
      <c r="DP3904">
        <v>0</v>
      </c>
      <c r="DQ3904">
        <v>0</v>
      </c>
      <c r="DR3904">
        <v>0</v>
      </c>
      <c r="DS3904">
        <v>0</v>
      </c>
    </row>
    <row r="3905" spans="1:123" x14ac:dyDescent="0.3">
      <c r="A3905" t="str">
        <f>"10/04/2022 19:36:02.157"</f>
        <v>10/04/2022 19:36:02.157</v>
      </c>
      <c r="C3905" t="str">
        <f t="shared" si="1427"/>
        <v>FFDFD3C0</v>
      </c>
      <c r="D3905" t="s">
        <v>141</v>
      </c>
      <c r="E3905">
        <v>3</v>
      </c>
      <c r="H3905">
        <v>3</v>
      </c>
      <c r="I3905" t="s">
        <v>146</v>
      </c>
      <c r="J3905" t="s">
        <v>138</v>
      </c>
      <c r="K3905">
        <v>0</v>
      </c>
      <c r="L3905">
        <v>3</v>
      </c>
      <c r="M3905">
        <v>0</v>
      </c>
      <c r="N3905">
        <v>2</v>
      </c>
      <c r="O3905">
        <v>0</v>
      </c>
      <c r="P3905">
        <v>1</v>
      </c>
      <c r="Q3905">
        <v>0</v>
      </c>
      <c r="S3905" t="str">
        <f t="shared" si="1434"/>
        <v>19:36:01.000</v>
      </c>
      <c r="T3905" t="str">
        <f t="shared" si="1434"/>
        <v>19:36:01.000</v>
      </c>
      <c r="U3905" t="str">
        <f t="shared" si="1413"/>
        <v>AC3944</v>
      </c>
      <c r="V3905">
        <v>0</v>
      </c>
      <c r="W3905">
        <v>0</v>
      </c>
      <c r="X3905">
        <v>2</v>
      </c>
      <c r="Y3905">
        <v>0</v>
      </c>
      <c r="AA3905">
        <v>1</v>
      </c>
      <c r="AB3905">
        <v>8</v>
      </c>
      <c r="AC3905">
        <v>3</v>
      </c>
      <c r="AD3905">
        <v>0</v>
      </c>
      <c r="AE3905">
        <v>9</v>
      </c>
      <c r="AF3905" t="s">
        <v>138</v>
      </c>
      <c r="AG3905">
        <v>0</v>
      </c>
      <c r="AH3905">
        <v>3</v>
      </c>
      <c r="AI3905">
        <v>1</v>
      </c>
      <c r="AJ3905">
        <v>0</v>
      </c>
      <c r="AK3905" t="s">
        <v>1260</v>
      </c>
      <c r="AL3905">
        <v>32.736682999999999</v>
      </c>
      <c r="AM3905" t="s">
        <v>1261</v>
      </c>
      <c r="AN3905">
        <v>-116.69343000000001</v>
      </c>
      <c r="AO3905">
        <v>25</v>
      </c>
      <c r="AP3905">
        <v>4800</v>
      </c>
      <c r="AQ3905" t="s">
        <v>129</v>
      </c>
      <c r="AR3905">
        <v>119</v>
      </c>
      <c r="AS3905">
        <v>-23</v>
      </c>
      <c r="AT3905">
        <v>704</v>
      </c>
      <c r="BB3905">
        <v>1200</v>
      </c>
      <c r="BC3905">
        <v>1</v>
      </c>
      <c r="BD3905" t="str">
        <f t="shared" si="1414"/>
        <v xml:space="preserve">N887QR  </v>
      </c>
      <c r="BE3905">
        <v>1</v>
      </c>
      <c r="BG3905">
        <v>0</v>
      </c>
      <c r="BH3905">
        <v>0</v>
      </c>
      <c r="BI3905">
        <v>0</v>
      </c>
      <c r="BJ3905">
        <v>4700</v>
      </c>
      <c r="BK3905">
        <v>-100</v>
      </c>
      <c r="BL3905" t="s">
        <v>163</v>
      </c>
      <c r="BM3905">
        <v>1</v>
      </c>
      <c r="BN3905">
        <v>1</v>
      </c>
      <c r="BO3905">
        <v>1</v>
      </c>
      <c r="BP3905">
        <v>0</v>
      </c>
      <c r="BS3905">
        <v>0</v>
      </c>
      <c r="BT3905">
        <v>0</v>
      </c>
      <c r="BU3905">
        <v>0</v>
      </c>
      <c r="CE3905" t="str">
        <f t="shared" si="1436"/>
        <v>19:36:01.848</v>
      </c>
      <c r="CF3905">
        <v>847745764</v>
      </c>
      <c r="CS3905">
        <v>0</v>
      </c>
      <c r="CT3905">
        <v>2</v>
      </c>
      <c r="CU3905">
        <v>0</v>
      </c>
      <c r="CV3905">
        <v>2</v>
      </c>
      <c r="CW3905">
        <v>0</v>
      </c>
      <c r="CX3905">
        <v>5</v>
      </c>
      <c r="CY3905">
        <v>7</v>
      </c>
      <c r="CZ3905" t="s">
        <v>131</v>
      </c>
      <c r="DA3905">
        <v>300</v>
      </c>
      <c r="DB3905">
        <v>0</v>
      </c>
      <c r="DC3905" t="s">
        <v>176</v>
      </c>
      <c r="DD3905" t="s">
        <v>177</v>
      </c>
      <c r="DG3905">
        <v>5450310</v>
      </c>
      <c r="DI3905">
        <v>1</v>
      </c>
      <c r="DJ3905">
        <v>0</v>
      </c>
      <c r="DK3905">
        <v>1</v>
      </c>
      <c r="DL3905">
        <v>0</v>
      </c>
      <c r="DM3905">
        <v>0</v>
      </c>
      <c r="DN3905">
        <v>1</v>
      </c>
      <c r="DO3905">
        <v>0</v>
      </c>
      <c r="DP3905">
        <v>0</v>
      </c>
      <c r="DQ3905">
        <v>0</v>
      </c>
      <c r="DR3905">
        <v>0</v>
      </c>
      <c r="DS3905">
        <v>0</v>
      </c>
    </row>
    <row r="3906" spans="1:123" x14ac:dyDescent="0.3">
      <c r="A3906" t="str">
        <f>"10/04/2022 19:36:02.157"</f>
        <v>10/04/2022 19:36:02.157</v>
      </c>
      <c r="C3906" t="str">
        <f t="shared" si="1427"/>
        <v>FFDFD3C0</v>
      </c>
      <c r="D3906" t="s">
        <v>123</v>
      </c>
      <c r="E3906">
        <v>7</v>
      </c>
      <c r="F3906">
        <v>2007</v>
      </c>
      <c r="G3906" t="s">
        <v>124</v>
      </c>
      <c r="J3906" t="s">
        <v>125</v>
      </c>
      <c r="K3906">
        <v>0</v>
      </c>
      <c r="L3906">
        <v>3</v>
      </c>
      <c r="M3906">
        <v>0</v>
      </c>
      <c r="N3906">
        <v>2</v>
      </c>
      <c r="O3906">
        <v>0</v>
      </c>
      <c r="P3906">
        <v>1</v>
      </c>
      <c r="Q3906">
        <v>0</v>
      </c>
      <c r="S3906" t="str">
        <f t="shared" si="1434"/>
        <v>19:36:01.000</v>
      </c>
      <c r="T3906" t="str">
        <f t="shared" si="1434"/>
        <v>19:36:01.000</v>
      </c>
      <c r="U3906" t="str">
        <f t="shared" ref="U3906:U3969" si="1437">"AC3944"</f>
        <v>AC3944</v>
      </c>
      <c r="V3906">
        <v>0</v>
      </c>
      <c r="W3906">
        <v>0</v>
      </c>
      <c r="X3906">
        <v>2</v>
      </c>
      <c r="Y3906">
        <v>0</v>
      </c>
      <c r="AA3906">
        <v>1</v>
      </c>
      <c r="AB3906">
        <v>8</v>
      </c>
      <c r="AC3906">
        <v>3</v>
      </c>
      <c r="AD3906">
        <v>0</v>
      </c>
      <c r="AE3906">
        <v>9</v>
      </c>
      <c r="AF3906" t="s">
        <v>138</v>
      </c>
      <c r="AG3906">
        <v>0</v>
      </c>
      <c r="AH3906">
        <v>3</v>
      </c>
      <c r="AI3906">
        <v>1</v>
      </c>
      <c r="AJ3906">
        <v>0</v>
      </c>
      <c r="AK3906" t="s">
        <v>1260</v>
      </c>
      <c r="AL3906">
        <v>32.736682999999999</v>
      </c>
      <c r="AM3906" t="s">
        <v>1261</v>
      </c>
      <c r="AN3906">
        <v>-116.69343000000001</v>
      </c>
      <c r="AO3906">
        <v>25</v>
      </c>
      <c r="AP3906">
        <v>4800</v>
      </c>
      <c r="AQ3906" t="s">
        <v>129</v>
      </c>
      <c r="AR3906">
        <v>119</v>
      </c>
      <c r="AS3906">
        <v>-23</v>
      </c>
      <c r="AT3906">
        <v>704</v>
      </c>
      <c r="BB3906">
        <v>1200</v>
      </c>
      <c r="BC3906">
        <v>1</v>
      </c>
      <c r="BD3906" t="str">
        <f t="shared" ref="BD3906:BD3969" si="1438">"N887QR  "</f>
        <v xml:space="preserve">N887QR  </v>
      </c>
      <c r="BE3906">
        <v>1</v>
      </c>
      <c r="BG3906">
        <v>0</v>
      </c>
      <c r="BH3906">
        <v>0</v>
      </c>
      <c r="BI3906">
        <v>0</v>
      </c>
      <c r="BJ3906">
        <v>4700</v>
      </c>
      <c r="BK3906">
        <v>-100</v>
      </c>
      <c r="BL3906" t="s">
        <v>163</v>
      </c>
      <c r="BM3906">
        <v>1</v>
      </c>
      <c r="BN3906">
        <v>1</v>
      </c>
      <c r="BO3906">
        <v>1</v>
      </c>
      <c r="BP3906">
        <v>0</v>
      </c>
      <c r="BS3906">
        <v>0</v>
      </c>
      <c r="BT3906">
        <v>0</v>
      </c>
      <c r="BU3906">
        <v>0</v>
      </c>
      <c r="CE3906" t="str">
        <f t="shared" si="1436"/>
        <v>19:36:01.848</v>
      </c>
      <c r="CF3906">
        <v>847745764</v>
      </c>
      <c r="CS3906">
        <v>0</v>
      </c>
      <c r="CT3906">
        <v>2</v>
      </c>
      <c r="CU3906">
        <v>0</v>
      </c>
      <c r="CV3906">
        <v>2</v>
      </c>
      <c r="CW3906">
        <v>0</v>
      </c>
      <c r="CX3906">
        <v>5</v>
      </c>
      <c r="CY3906">
        <v>7</v>
      </c>
      <c r="CZ3906" t="s">
        <v>131</v>
      </c>
      <c r="DA3906">
        <v>300</v>
      </c>
      <c r="DB3906">
        <v>0</v>
      </c>
      <c r="DC3906" t="s">
        <v>176</v>
      </c>
      <c r="DD3906" t="s">
        <v>177</v>
      </c>
      <c r="DG3906">
        <v>5450310</v>
      </c>
      <c r="DI3906">
        <v>1</v>
      </c>
      <c r="DJ3906">
        <v>0</v>
      </c>
      <c r="DK3906">
        <v>1</v>
      </c>
      <c r="DL3906">
        <v>0</v>
      </c>
      <c r="DM3906">
        <v>0</v>
      </c>
      <c r="DN3906">
        <v>1</v>
      </c>
      <c r="DO3906">
        <v>0</v>
      </c>
      <c r="DP3906">
        <v>0</v>
      </c>
      <c r="DQ3906">
        <v>0</v>
      </c>
      <c r="DR3906">
        <v>0</v>
      </c>
      <c r="DS3906">
        <v>0</v>
      </c>
    </row>
    <row r="3907" spans="1:123" x14ac:dyDescent="0.3">
      <c r="A3907" t="str">
        <f>"10/04/2022 19:36:02.157"</f>
        <v>10/04/2022 19:36:02.157</v>
      </c>
      <c r="C3907" t="str">
        <f t="shared" si="1427"/>
        <v>FFDFD3C0</v>
      </c>
      <c r="D3907" t="s">
        <v>136</v>
      </c>
      <c r="E3907">
        <v>8</v>
      </c>
      <c r="H3907">
        <v>225</v>
      </c>
      <c r="I3907" t="s">
        <v>137</v>
      </c>
      <c r="J3907" t="s">
        <v>138</v>
      </c>
      <c r="K3907">
        <v>0</v>
      </c>
      <c r="L3907">
        <v>3</v>
      </c>
      <c r="M3907">
        <v>0</v>
      </c>
      <c r="N3907">
        <v>2</v>
      </c>
      <c r="O3907">
        <v>0</v>
      </c>
      <c r="P3907">
        <v>1</v>
      </c>
      <c r="Q3907">
        <v>0</v>
      </c>
      <c r="S3907" t="str">
        <f t="shared" si="1434"/>
        <v>19:36:01.000</v>
      </c>
      <c r="T3907" t="str">
        <f t="shared" si="1434"/>
        <v>19:36:01.000</v>
      </c>
      <c r="U3907" t="str">
        <f t="shared" si="1437"/>
        <v>AC3944</v>
      </c>
      <c r="V3907">
        <v>0</v>
      </c>
      <c r="W3907">
        <v>0</v>
      </c>
      <c r="X3907">
        <v>2</v>
      </c>
      <c r="Y3907">
        <v>0</v>
      </c>
      <c r="AA3907">
        <v>1</v>
      </c>
      <c r="AB3907">
        <v>8</v>
      </c>
      <c r="AC3907">
        <v>3</v>
      </c>
      <c r="AD3907">
        <v>0</v>
      </c>
      <c r="AE3907">
        <v>9</v>
      </c>
      <c r="AF3907" t="s">
        <v>138</v>
      </c>
      <c r="AG3907">
        <v>0</v>
      </c>
      <c r="AH3907">
        <v>3</v>
      </c>
      <c r="AI3907">
        <v>1</v>
      </c>
      <c r="AJ3907">
        <v>0</v>
      </c>
      <c r="AK3907" t="s">
        <v>1260</v>
      </c>
      <c r="AL3907">
        <v>32.736682999999999</v>
      </c>
      <c r="AM3907" t="s">
        <v>1261</v>
      </c>
      <c r="AN3907">
        <v>-116.69343000000001</v>
      </c>
      <c r="AO3907">
        <v>25</v>
      </c>
      <c r="AP3907">
        <v>4800</v>
      </c>
      <c r="AQ3907" t="s">
        <v>129</v>
      </c>
      <c r="AR3907">
        <v>119</v>
      </c>
      <c r="AS3907">
        <v>-23</v>
      </c>
      <c r="AT3907">
        <v>704</v>
      </c>
      <c r="BB3907">
        <v>1200</v>
      </c>
      <c r="BC3907">
        <v>1</v>
      </c>
      <c r="BD3907" t="str">
        <f t="shared" si="1438"/>
        <v xml:space="preserve">N887QR  </v>
      </c>
      <c r="BE3907">
        <v>1</v>
      </c>
      <c r="BG3907">
        <v>0</v>
      </c>
      <c r="BH3907">
        <v>0</v>
      </c>
      <c r="BI3907">
        <v>0</v>
      </c>
      <c r="BJ3907">
        <v>4700</v>
      </c>
      <c r="BK3907">
        <v>-100</v>
      </c>
      <c r="BL3907" t="s">
        <v>163</v>
      </c>
      <c r="BM3907">
        <v>1</v>
      </c>
      <c r="BN3907">
        <v>1</v>
      </c>
      <c r="BO3907">
        <v>1</v>
      </c>
      <c r="BP3907">
        <v>0</v>
      </c>
      <c r="BS3907">
        <v>0</v>
      </c>
      <c r="BT3907">
        <v>0</v>
      </c>
      <c r="BU3907">
        <v>0</v>
      </c>
      <c r="CE3907" t="str">
        <f t="shared" si="1436"/>
        <v>19:36:01.848</v>
      </c>
      <c r="CF3907">
        <v>847745764</v>
      </c>
      <c r="CS3907">
        <v>0</v>
      </c>
      <c r="CT3907">
        <v>2</v>
      </c>
      <c r="CU3907">
        <v>0</v>
      </c>
      <c r="CV3907">
        <v>2</v>
      </c>
      <c r="CW3907">
        <v>0</v>
      </c>
      <c r="CX3907">
        <v>5</v>
      </c>
      <c r="CY3907">
        <v>7</v>
      </c>
      <c r="CZ3907" t="s">
        <v>131</v>
      </c>
      <c r="DA3907">
        <v>300</v>
      </c>
      <c r="DB3907">
        <v>0</v>
      </c>
      <c r="DC3907" t="s">
        <v>176</v>
      </c>
      <c r="DD3907" t="s">
        <v>177</v>
      </c>
      <c r="DG3907">
        <v>5450310</v>
      </c>
      <c r="DI3907">
        <v>1</v>
      </c>
      <c r="DJ3907">
        <v>0</v>
      </c>
      <c r="DK3907">
        <v>1</v>
      </c>
      <c r="DL3907">
        <v>0</v>
      </c>
      <c r="DM3907">
        <v>0</v>
      </c>
      <c r="DN3907">
        <v>1</v>
      </c>
      <c r="DO3907">
        <v>0</v>
      </c>
      <c r="DP3907">
        <v>0</v>
      </c>
      <c r="DQ3907">
        <v>0</v>
      </c>
      <c r="DR3907">
        <v>0</v>
      </c>
      <c r="DS3907">
        <v>0</v>
      </c>
    </row>
    <row r="3908" spans="1:123" x14ac:dyDescent="0.3">
      <c r="A3908" t="str">
        <f>"10/04/2022 19:36:02.157"</f>
        <v>10/04/2022 19:36:02.157</v>
      </c>
      <c r="C3908" t="str">
        <f t="shared" si="1427"/>
        <v>FFDFD3C0</v>
      </c>
      <c r="D3908" t="s">
        <v>134</v>
      </c>
      <c r="E3908">
        <v>15</v>
      </c>
      <c r="J3908" t="s">
        <v>135</v>
      </c>
      <c r="K3908">
        <v>0</v>
      </c>
      <c r="L3908">
        <v>3</v>
      </c>
      <c r="M3908">
        <v>0</v>
      </c>
      <c r="N3908">
        <v>2</v>
      </c>
      <c r="O3908">
        <v>0</v>
      </c>
      <c r="P3908">
        <v>1</v>
      </c>
      <c r="Q3908">
        <v>0</v>
      </c>
      <c r="S3908" t="str">
        <f t="shared" si="1434"/>
        <v>19:36:01.000</v>
      </c>
      <c r="T3908" t="str">
        <f t="shared" si="1434"/>
        <v>19:36:01.000</v>
      </c>
      <c r="U3908" t="str">
        <f t="shared" si="1437"/>
        <v>AC3944</v>
      </c>
      <c r="V3908">
        <v>0</v>
      </c>
      <c r="W3908">
        <v>0</v>
      </c>
      <c r="X3908">
        <v>2</v>
      </c>
      <c r="Y3908">
        <v>0</v>
      </c>
      <c r="AA3908">
        <v>1</v>
      </c>
      <c r="AB3908">
        <v>8</v>
      </c>
      <c r="AC3908">
        <v>3</v>
      </c>
      <c r="AD3908">
        <v>0</v>
      </c>
      <c r="AE3908">
        <v>9</v>
      </c>
      <c r="AF3908" t="s">
        <v>138</v>
      </c>
      <c r="AG3908">
        <v>0</v>
      </c>
      <c r="AH3908">
        <v>3</v>
      </c>
      <c r="AI3908">
        <v>1</v>
      </c>
      <c r="AJ3908">
        <v>0</v>
      </c>
      <c r="AK3908" t="s">
        <v>1260</v>
      </c>
      <c r="AL3908">
        <v>32.736682999999999</v>
      </c>
      <c r="AM3908" t="s">
        <v>1261</v>
      </c>
      <c r="AN3908">
        <v>-116.69343000000001</v>
      </c>
      <c r="AO3908">
        <v>25</v>
      </c>
      <c r="AP3908">
        <v>4800</v>
      </c>
      <c r="AQ3908" t="s">
        <v>129</v>
      </c>
      <c r="AR3908">
        <v>119</v>
      </c>
      <c r="AS3908">
        <v>-23</v>
      </c>
      <c r="AT3908">
        <v>704</v>
      </c>
      <c r="BB3908">
        <v>1200</v>
      </c>
      <c r="BC3908">
        <v>1</v>
      </c>
      <c r="BD3908" t="str">
        <f t="shared" si="1438"/>
        <v xml:space="preserve">N887QR  </v>
      </c>
      <c r="BE3908">
        <v>1</v>
      </c>
      <c r="BG3908">
        <v>0</v>
      </c>
      <c r="BH3908">
        <v>0</v>
      </c>
      <c r="BI3908">
        <v>0</v>
      </c>
      <c r="BJ3908">
        <v>4700</v>
      </c>
      <c r="BK3908">
        <v>-100</v>
      </c>
      <c r="BL3908" t="s">
        <v>163</v>
      </c>
      <c r="BM3908">
        <v>1</v>
      </c>
      <c r="BN3908">
        <v>1</v>
      </c>
      <c r="BO3908">
        <v>1</v>
      </c>
      <c r="BP3908">
        <v>0</v>
      </c>
      <c r="BS3908">
        <v>0</v>
      </c>
      <c r="BT3908">
        <v>0</v>
      </c>
      <c r="BU3908">
        <v>0</v>
      </c>
      <c r="CE3908" t="str">
        <f t="shared" si="1436"/>
        <v>19:36:01.848</v>
      </c>
      <c r="CF3908">
        <v>847745764</v>
      </c>
      <c r="CS3908">
        <v>0</v>
      </c>
      <c r="CT3908">
        <v>2</v>
      </c>
      <c r="CU3908">
        <v>0</v>
      </c>
      <c r="CV3908">
        <v>2</v>
      </c>
      <c r="CW3908">
        <v>0</v>
      </c>
      <c r="CX3908">
        <v>5</v>
      </c>
      <c r="CY3908">
        <v>7</v>
      </c>
      <c r="CZ3908" t="s">
        <v>131</v>
      </c>
      <c r="DA3908">
        <v>300</v>
      </c>
      <c r="DB3908">
        <v>0</v>
      </c>
      <c r="DC3908" t="s">
        <v>176</v>
      </c>
      <c r="DD3908" t="s">
        <v>177</v>
      </c>
      <c r="DG3908">
        <v>5450310</v>
      </c>
      <c r="DI3908">
        <v>1</v>
      </c>
      <c r="DJ3908">
        <v>0</v>
      </c>
      <c r="DK3908">
        <v>1</v>
      </c>
      <c r="DL3908">
        <v>0</v>
      </c>
      <c r="DM3908">
        <v>0</v>
      </c>
      <c r="DN3908">
        <v>1</v>
      </c>
      <c r="DO3908">
        <v>0</v>
      </c>
      <c r="DP3908">
        <v>0</v>
      </c>
      <c r="DQ3908">
        <v>0</v>
      </c>
      <c r="DR3908">
        <v>0</v>
      </c>
      <c r="DS3908">
        <v>0</v>
      </c>
    </row>
    <row r="3909" spans="1:123" x14ac:dyDescent="0.3">
      <c r="A3909" t="str">
        <f>"10/04/2022 19:36:02.157"</f>
        <v>10/04/2022 19:36:02.157</v>
      </c>
      <c r="C3909" t="str">
        <f t="shared" si="1427"/>
        <v>FFDFD3C0</v>
      </c>
      <c r="D3909" t="s">
        <v>141</v>
      </c>
      <c r="E3909">
        <v>4</v>
      </c>
      <c r="H3909">
        <v>4</v>
      </c>
      <c r="I3909" t="s">
        <v>142</v>
      </c>
      <c r="J3909" t="s">
        <v>138</v>
      </c>
      <c r="K3909">
        <v>0</v>
      </c>
      <c r="L3909">
        <v>3</v>
      </c>
      <c r="M3909">
        <v>0</v>
      </c>
      <c r="N3909">
        <v>2</v>
      </c>
      <c r="O3909">
        <v>0</v>
      </c>
      <c r="P3909">
        <v>1</v>
      </c>
      <c r="Q3909">
        <v>0</v>
      </c>
      <c r="S3909" t="str">
        <f t="shared" si="1434"/>
        <v>19:36:01.000</v>
      </c>
      <c r="T3909" t="str">
        <f t="shared" si="1434"/>
        <v>19:36:01.000</v>
      </c>
      <c r="U3909" t="str">
        <f t="shared" si="1437"/>
        <v>AC3944</v>
      </c>
      <c r="V3909">
        <v>0</v>
      </c>
      <c r="W3909">
        <v>0</v>
      </c>
      <c r="X3909">
        <v>2</v>
      </c>
      <c r="Y3909">
        <v>0</v>
      </c>
      <c r="AA3909">
        <v>1</v>
      </c>
      <c r="AB3909">
        <v>8</v>
      </c>
      <c r="AC3909">
        <v>3</v>
      </c>
      <c r="AD3909">
        <v>0</v>
      </c>
      <c r="AE3909">
        <v>9</v>
      </c>
      <c r="AF3909" t="s">
        <v>138</v>
      </c>
      <c r="AG3909">
        <v>0</v>
      </c>
      <c r="AH3909">
        <v>3</v>
      </c>
      <c r="AI3909">
        <v>1</v>
      </c>
      <c r="AJ3909">
        <v>0</v>
      </c>
      <c r="AK3909" t="s">
        <v>1260</v>
      </c>
      <c r="AL3909">
        <v>32.736682999999999</v>
      </c>
      <c r="AM3909" t="s">
        <v>1261</v>
      </c>
      <c r="AN3909">
        <v>-116.69343000000001</v>
      </c>
      <c r="AO3909">
        <v>25</v>
      </c>
      <c r="AP3909">
        <v>4800</v>
      </c>
      <c r="AQ3909" t="s">
        <v>129</v>
      </c>
      <c r="AR3909">
        <v>119</v>
      </c>
      <c r="AS3909">
        <v>-23</v>
      </c>
      <c r="AT3909">
        <v>704</v>
      </c>
      <c r="BB3909">
        <v>1200</v>
      </c>
      <c r="BC3909">
        <v>1</v>
      </c>
      <c r="BD3909" t="str">
        <f t="shared" si="1438"/>
        <v xml:space="preserve">N887QR  </v>
      </c>
      <c r="BE3909">
        <v>1</v>
      </c>
      <c r="BG3909">
        <v>0</v>
      </c>
      <c r="BH3909">
        <v>0</v>
      </c>
      <c r="BI3909">
        <v>0</v>
      </c>
      <c r="BJ3909">
        <v>4700</v>
      </c>
      <c r="BK3909">
        <v>-100</v>
      </c>
      <c r="BL3909" t="s">
        <v>163</v>
      </c>
      <c r="BM3909">
        <v>1</v>
      </c>
      <c r="BN3909">
        <v>1</v>
      </c>
      <c r="BO3909">
        <v>1</v>
      </c>
      <c r="BP3909">
        <v>0</v>
      </c>
      <c r="BS3909">
        <v>0</v>
      </c>
      <c r="BT3909">
        <v>0</v>
      </c>
      <c r="BU3909">
        <v>0</v>
      </c>
      <c r="CE3909" t="str">
        <f t="shared" si="1436"/>
        <v>19:36:01.848</v>
      </c>
      <c r="CF3909">
        <v>847745764</v>
      </c>
      <c r="CS3909">
        <v>0</v>
      </c>
      <c r="CT3909">
        <v>2</v>
      </c>
      <c r="CU3909">
        <v>0</v>
      </c>
      <c r="CV3909">
        <v>2</v>
      </c>
      <c r="CW3909">
        <v>0</v>
      </c>
      <c r="CX3909">
        <v>5</v>
      </c>
      <c r="CY3909">
        <v>7</v>
      </c>
      <c r="CZ3909" t="s">
        <v>131</v>
      </c>
      <c r="DA3909">
        <v>300</v>
      </c>
      <c r="DB3909">
        <v>0</v>
      </c>
      <c r="DC3909" t="s">
        <v>176</v>
      </c>
      <c r="DD3909" t="s">
        <v>177</v>
      </c>
      <c r="DG3909">
        <v>5450310</v>
      </c>
      <c r="DI3909">
        <v>1</v>
      </c>
      <c r="DJ3909">
        <v>0</v>
      </c>
      <c r="DK3909">
        <v>1</v>
      </c>
      <c r="DL3909">
        <v>0</v>
      </c>
      <c r="DM3909">
        <v>0</v>
      </c>
      <c r="DN3909">
        <v>1</v>
      </c>
      <c r="DO3909">
        <v>0</v>
      </c>
      <c r="DP3909">
        <v>0</v>
      </c>
      <c r="DQ3909">
        <v>0</v>
      </c>
      <c r="DR3909">
        <v>0</v>
      </c>
      <c r="DS3909">
        <v>0</v>
      </c>
    </row>
    <row r="3910" spans="1:123" x14ac:dyDescent="0.3">
      <c r="A3910" t="str">
        <f>"10/04/2022 19:36:03.688"</f>
        <v>10/04/2022 19:36:03.688</v>
      </c>
      <c r="C3910" t="str">
        <f t="shared" si="1427"/>
        <v>FFDFD3C0</v>
      </c>
      <c r="D3910" t="s">
        <v>123</v>
      </c>
      <c r="E3910">
        <v>7</v>
      </c>
      <c r="F3910">
        <v>2007</v>
      </c>
      <c r="G3910" t="s">
        <v>124</v>
      </c>
      <c r="J3910" t="s">
        <v>125</v>
      </c>
      <c r="K3910">
        <v>0</v>
      </c>
      <c r="L3910">
        <v>3</v>
      </c>
      <c r="M3910">
        <v>0</v>
      </c>
      <c r="N3910">
        <v>2</v>
      </c>
      <c r="O3910">
        <v>0</v>
      </c>
      <c r="P3910">
        <v>1</v>
      </c>
      <c r="Q3910">
        <v>0</v>
      </c>
      <c r="S3910" t="str">
        <f t="shared" ref="S3910:T3916" si="1439">"19:36:03.000"</f>
        <v>19:36:03.000</v>
      </c>
      <c r="T3910" t="str">
        <f t="shared" si="1439"/>
        <v>19:36:03.000</v>
      </c>
      <c r="U3910" t="str">
        <f t="shared" si="1437"/>
        <v>AC3944</v>
      </c>
      <c r="V3910">
        <v>0</v>
      </c>
      <c r="W3910">
        <v>0</v>
      </c>
      <c r="X3910">
        <v>2</v>
      </c>
      <c r="Y3910">
        <v>0</v>
      </c>
      <c r="AA3910">
        <v>1</v>
      </c>
      <c r="AB3910">
        <v>8</v>
      </c>
      <c r="AC3910">
        <v>3</v>
      </c>
      <c r="AD3910">
        <v>0</v>
      </c>
      <c r="AE3910">
        <v>9</v>
      </c>
      <c r="AF3910" t="s">
        <v>138</v>
      </c>
      <c r="AG3910">
        <v>0</v>
      </c>
      <c r="AH3910">
        <v>3</v>
      </c>
      <c r="AI3910">
        <v>1</v>
      </c>
      <c r="AJ3910">
        <v>0</v>
      </c>
      <c r="AK3910" t="s">
        <v>1262</v>
      </c>
      <c r="AL3910">
        <v>32.736575999999999</v>
      </c>
      <c r="AM3910" t="s">
        <v>1263</v>
      </c>
      <c r="AN3910">
        <v>-116.692786</v>
      </c>
      <c r="AO3910">
        <v>25</v>
      </c>
      <c r="AP3910">
        <v>4800</v>
      </c>
      <c r="AQ3910" t="s">
        <v>129</v>
      </c>
      <c r="AR3910">
        <v>119</v>
      </c>
      <c r="AS3910">
        <v>-27</v>
      </c>
      <c r="AT3910">
        <v>576</v>
      </c>
      <c r="BB3910">
        <v>1200</v>
      </c>
      <c r="BC3910">
        <v>1</v>
      </c>
      <c r="BD3910" t="str">
        <f t="shared" si="1438"/>
        <v xml:space="preserve">N887QR  </v>
      </c>
      <c r="BE3910">
        <v>1</v>
      </c>
      <c r="BG3910">
        <v>0</v>
      </c>
      <c r="BH3910">
        <v>0</v>
      </c>
      <c r="BI3910">
        <v>0</v>
      </c>
      <c r="BJ3910">
        <v>4700</v>
      </c>
      <c r="BK3910">
        <v>-100</v>
      </c>
      <c r="BL3910" t="s">
        <v>163</v>
      </c>
      <c r="BM3910">
        <v>1</v>
      </c>
      <c r="BN3910">
        <v>1</v>
      </c>
      <c r="BO3910">
        <v>1</v>
      </c>
      <c r="BP3910">
        <v>0</v>
      </c>
      <c r="BS3910">
        <v>0</v>
      </c>
      <c r="BT3910">
        <v>0</v>
      </c>
      <c r="BU3910">
        <v>0</v>
      </c>
      <c r="CE3910" t="str">
        <f t="shared" ref="CE3910:CE3916" si="1440">"19:36:03.329"</f>
        <v>19:36:03.329</v>
      </c>
      <c r="CF3910">
        <v>328500736</v>
      </c>
      <c r="CS3910">
        <v>0</v>
      </c>
      <c r="CT3910">
        <v>2</v>
      </c>
      <c r="CU3910">
        <v>0</v>
      </c>
      <c r="CV3910">
        <v>2</v>
      </c>
      <c r="CW3910">
        <v>3</v>
      </c>
      <c r="CX3910">
        <v>5</v>
      </c>
      <c r="CY3910">
        <v>7</v>
      </c>
      <c r="CZ3910" t="s">
        <v>131</v>
      </c>
      <c r="DA3910">
        <v>300</v>
      </c>
      <c r="DB3910">
        <v>0</v>
      </c>
      <c r="DC3910" t="s">
        <v>176</v>
      </c>
      <c r="DD3910" t="s">
        <v>177</v>
      </c>
      <c r="DG3910">
        <v>5450553</v>
      </c>
      <c r="DI3910">
        <v>1</v>
      </c>
      <c r="DJ3910">
        <v>0</v>
      </c>
      <c r="DK3910">
        <v>0</v>
      </c>
      <c r="DL3910">
        <v>0</v>
      </c>
      <c r="DM3910">
        <v>0</v>
      </c>
      <c r="DN3910">
        <v>1</v>
      </c>
      <c r="DO3910">
        <v>0</v>
      </c>
      <c r="DP3910">
        <v>0</v>
      </c>
      <c r="DQ3910">
        <v>0</v>
      </c>
      <c r="DR3910">
        <v>0</v>
      </c>
      <c r="DS3910">
        <v>0</v>
      </c>
    </row>
    <row r="3911" spans="1:123" x14ac:dyDescent="0.3">
      <c r="A3911" t="str">
        <f>"10/04/2022 19:36:03.688"</f>
        <v>10/04/2022 19:36:03.688</v>
      </c>
      <c r="C3911" t="str">
        <f t="shared" si="1427"/>
        <v>FFDFD3C0</v>
      </c>
      <c r="D3911" t="s">
        <v>136</v>
      </c>
      <c r="E3911">
        <v>8</v>
      </c>
      <c r="H3911">
        <v>225</v>
      </c>
      <c r="I3911" t="s">
        <v>137</v>
      </c>
      <c r="J3911" t="s">
        <v>138</v>
      </c>
      <c r="K3911">
        <v>0</v>
      </c>
      <c r="L3911">
        <v>3</v>
      </c>
      <c r="M3911">
        <v>0</v>
      </c>
      <c r="N3911">
        <v>2</v>
      </c>
      <c r="O3911">
        <v>0</v>
      </c>
      <c r="P3911">
        <v>1</v>
      </c>
      <c r="Q3911">
        <v>0</v>
      </c>
      <c r="S3911" t="str">
        <f t="shared" si="1439"/>
        <v>19:36:03.000</v>
      </c>
      <c r="T3911" t="str">
        <f t="shared" si="1439"/>
        <v>19:36:03.000</v>
      </c>
      <c r="U3911" t="str">
        <f t="shared" si="1437"/>
        <v>AC3944</v>
      </c>
      <c r="V3911">
        <v>0</v>
      </c>
      <c r="W3911">
        <v>0</v>
      </c>
      <c r="X3911">
        <v>2</v>
      </c>
      <c r="Y3911">
        <v>0</v>
      </c>
      <c r="AA3911">
        <v>1</v>
      </c>
      <c r="AB3911">
        <v>8</v>
      </c>
      <c r="AC3911">
        <v>3</v>
      </c>
      <c r="AD3911">
        <v>0</v>
      </c>
      <c r="AE3911">
        <v>9</v>
      </c>
      <c r="AF3911" t="s">
        <v>138</v>
      </c>
      <c r="AG3911">
        <v>0</v>
      </c>
      <c r="AH3911">
        <v>3</v>
      </c>
      <c r="AI3911">
        <v>1</v>
      </c>
      <c r="AJ3911">
        <v>0</v>
      </c>
      <c r="AK3911" t="s">
        <v>1262</v>
      </c>
      <c r="AL3911">
        <v>32.736575999999999</v>
      </c>
      <c r="AM3911" t="s">
        <v>1263</v>
      </c>
      <c r="AN3911">
        <v>-116.692786</v>
      </c>
      <c r="AO3911">
        <v>25</v>
      </c>
      <c r="AP3911">
        <v>4800</v>
      </c>
      <c r="AQ3911" t="s">
        <v>129</v>
      </c>
      <c r="AR3911">
        <v>119</v>
      </c>
      <c r="AS3911">
        <v>-27</v>
      </c>
      <c r="AT3911">
        <v>576</v>
      </c>
      <c r="BB3911">
        <v>1200</v>
      </c>
      <c r="BC3911">
        <v>1</v>
      </c>
      <c r="BD3911" t="str">
        <f t="shared" si="1438"/>
        <v xml:space="preserve">N887QR  </v>
      </c>
      <c r="BE3911">
        <v>1</v>
      </c>
      <c r="BG3911">
        <v>0</v>
      </c>
      <c r="BH3911">
        <v>0</v>
      </c>
      <c r="BI3911">
        <v>0</v>
      </c>
      <c r="BJ3911">
        <v>4700</v>
      </c>
      <c r="BK3911">
        <v>-100</v>
      </c>
      <c r="BL3911" t="s">
        <v>163</v>
      </c>
      <c r="BM3911">
        <v>1</v>
      </c>
      <c r="BN3911">
        <v>1</v>
      </c>
      <c r="BO3911">
        <v>1</v>
      </c>
      <c r="BP3911">
        <v>0</v>
      </c>
      <c r="BS3911">
        <v>0</v>
      </c>
      <c r="BT3911">
        <v>0</v>
      </c>
      <c r="BU3911">
        <v>0</v>
      </c>
      <c r="CE3911" t="str">
        <f t="shared" si="1440"/>
        <v>19:36:03.329</v>
      </c>
      <c r="CF3911">
        <v>328500736</v>
      </c>
      <c r="CS3911">
        <v>0</v>
      </c>
      <c r="CT3911">
        <v>2</v>
      </c>
      <c r="CU3911">
        <v>0</v>
      </c>
      <c r="CV3911">
        <v>2</v>
      </c>
      <c r="CW3911">
        <v>3</v>
      </c>
      <c r="CX3911">
        <v>5</v>
      </c>
      <c r="CY3911">
        <v>7</v>
      </c>
      <c r="CZ3911" t="s">
        <v>131</v>
      </c>
      <c r="DA3911">
        <v>300</v>
      </c>
      <c r="DB3911">
        <v>0</v>
      </c>
      <c r="DC3911" t="s">
        <v>176</v>
      </c>
      <c r="DD3911" t="s">
        <v>177</v>
      </c>
      <c r="DG3911">
        <v>5450553</v>
      </c>
      <c r="DI3911">
        <v>1</v>
      </c>
      <c r="DJ3911">
        <v>0</v>
      </c>
      <c r="DK3911">
        <v>1</v>
      </c>
      <c r="DL3911">
        <v>0</v>
      </c>
      <c r="DM3911">
        <v>0</v>
      </c>
      <c r="DN3911">
        <v>1</v>
      </c>
      <c r="DO3911">
        <v>0</v>
      </c>
      <c r="DP3911">
        <v>0</v>
      </c>
      <c r="DQ3911">
        <v>0</v>
      </c>
      <c r="DR3911">
        <v>0</v>
      </c>
      <c r="DS3911">
        <v>0</v>
      </c>
    </row>
    <row r="3912" spans="1:123" x14ac:dyDescent="0.3">
      <c r="A3912" t="str">
        <f>"10/04/2022 19:36:03.688"</f>
        <v>10/04/2022 19:36:03.688</v>
      </c>
      <c r="C3912" t="str">
        <f t="shared" si="1427"/>
        <v>FFDFD3C0</v>
      </c>
      <c r="D3912" t="s">
        <v>141</v>
      </c>
      <c r="E3912">
        <v>4</v>
      </c>
      <c r="H3912">
        <v>4</v>
      </c>
      <c r="I3912" t="s">
        <v>142</v>
      </c>
      <c r="J3912" t="s">
        <v>138</v>
      </c>
      <c r="K3912">
        <v>0</v>
      </c>
      <c r="L3912">
        <v>3</v>
      </c>
      <c r="M3912">
        <v>0</v>
      </c>
      <c r="N3912">
        <v>2</v>
      </c>
      <c r="O3912">
        <v>0</v>
      </c>
      <c r="P3912">
        <v>1</v>
      </c>
      <c r="Q3912">
        <v>0</v>
      </c>
      <c r="S3912" t="str">
        <f t="shared" si="1439"/>
        <v>19:36:03.000</v>
      </c>
      <c r="T3912" t="str">
        <f t="shared" si="1439"/>
        <v>19:36:03.000</v>
      </c>
      <c r="U3912" t="str">
        <f t="shared" si="1437"/>
        <v>AC3944</v>
      </c>
      <c r="V3912">
        <v>0</v>
      </c>
      <c r="W3912">
        <v>0</v>
      </c>
      <c r="X3912">
        <v>2</v>
      </c>
      <c r="Y3912">
        <v>0</v>
      </c>
      <c r="AA3912">
        <v>1</v>
      </c>
      <c r="AB3912">
        <v>8</v>
      </c>
      <c r="AC3912">
        <v>3</v>
      </c>
      <c r="AD3912">
        <v>0</v>
      </c>
      <c r="AE3912">
        <v>9</v>
      </c>
      <c r="AF3912" t="s">
        <v>138</v>
      </c>
      <c r="AG3912">
        <v>0</v>
      </c>
      <c r="AH3912">
        <v>3</v>
      </c>
      <c r="AI3912">
        <v>1</v>
      </c>
      <c r="AJ3912">
        <v>0</v>
      </c>
      <c r="AK3912" t="s">
        <v>1262</v>
      </c>
      <c r="AL3912">
        <v>32.736575999999999</v>
      </c>
      <c r="AM3912" t="s">
        <v>1263</v>
      </c>
      <c r="AN3912">
        <v>-116.692786</v>
      </c>
      <c r="AO3912">
        <v>25</v>
      </c>
      <c r="AP3912">
        <v>4800</v>
      </c>
      <c r="AQ3912" t="s">
        <v>129</v>
      </c>
      <c r="AR3912">
        <v>119</v>
      </c>
      <c r="AS3912">
        <v>-27</v>
      </c>
      <c r="AT3912">
        <v>576</v>
      </c>
      <c r="BB3912">
        <v>1200</v>
      </c>
      <c r="BC3912">
        <v>1</v>
      </c>
      <c r="BD3912" t="str">
        <f t="shared" si="1438"/>
        <v xml:space="preserve">N887QR  </v>
      </c>
      <c r="BE3912">
        <v>1</v>
      </c>
      <c r="BG3912">
        <v>0</v>
      </c>
      <c r="BH3912">
        <v>0</v>
      </c>
      <c r="BI3912">
        <v>0</v>
      </c>
      <c r="BJ3912">
        <v>4700</v>
      </c>
      <c r="BK3912">
        <v>-100</v>
      </c>
      <c r="BL3912" t="s">
        <v>163</v>
      </c>
      <c r="BM3912">
        <v>1</v>
      </c>
      <c r="BN3912">
        <v>1</v>
      </c>
      <c r="BO3912">
        <v>1</v>
      </c>
      <c r="BP3912">
        <v>0</v>
      </c>
      <c r="BS3912">
        <v>0</v>
      </c>
      <c r="BT3912">
        <v>0</v>
      </c>
      <c r="BU3912">
        <v>0</v>
      </c>
      <c r="CE3912" t="str">
        <f t="shared" si="1440"/>
        <v>19:36:03.329</v>
      </c>
      <c r="CF3912">
        <v>328500736</v>
      </c>
      <c r="CS3912">
        <v>0</v>
      </c>
      <c r="CT3912">
        <v>2</v>
      </c>
      <c r="CU3912">
        <v>0</v>
      </c>
      <c r="CV3912">
        <v>2</v>
      </c>
      <c r="CW3912">
        <v>3</v>
      </c>
      <c r="CX3912">
        <v>5</v>
      </c>
      <c r="CY3912">
        <v>7</v>
      </c>
      <c r="CZ3912" t="s">
        <v>131</v>
      </c>
      <c r="DA3912">
        <v>300</v>
      </c>
      <c r="DB3912">
        <v>0</v>
      </c>
      <c r="DC3912" t="s">
        <v>176</v>
      </c>
      <c r="DD3912" t="s">
        <v>177</v>
      </c>
      <c r="DG3912">
        <v>5450553</v>
      </c>
      <c r="DI3912">
        <v>1</v>
      </c>
      <c r="DJ3912">
        <v>0</v>
      </c>
      <c r="DK3912">
        <v>1</v>
      </c>
      <c r="DL3912">
        <v>0</v>
      </c>
      <c r="DM3912">
        <v>0</v>
      </c>
      <c r="DN3912">
        <v>1</v>
      </c>
      <c r="DO3912">
        <v>0</v>
      </c>
      <c r="DP3912">
        <v>0</v>
      </c>
      <c r="DQ3912">
        <v>0</v>
      </c>
      <c r="DR3912">
        <v>0</v>
      </c>
      <c r="DS3912">
        <v>0</v>
      </c>
    </row>
    <row r="3913" spans="1:123" x14ac:dyDescent="0.3">
      <c r="A3913" t="str">
        <f>"10/04/2022 19:36:03.688"</f>
        <v>10/04/2022 19:36:03.688</v>
      </c>
      <c r="C3913" t="str">
        <f t="shared" si="1427"/>
        <v>FFDFD3C0</v>
      </c>
      <c r="D3913" t="s">
        <v>134</v>
      </c>
      <c r="E3913">
        <v>15</v>
      </c>
      <c r="J3913" t="s">
        <v>135</v>
      </c>
      <c r="K3913">
        <v>0</v>
      </c>
      <c r="L3913">
        <v>3</v>
      </c>
      <c r="M3913">
        <v>0</v>
      </c>
      <c r="N3913">
        <v>2</v>
      </c>
      <c r="O3913">
        <v>0</v>
      </c>
      <c r="P3913">
        <v>1</v>
      </c>
      <c r="Q3913">
        <v>0</v>
      </c>
      <c r="S3913" t="str">
        <f t="shared" si="1439"/>
        <v>19:36:03.000</v>
      </c>
      <c r="T3913" t="str">
        <f t="shared" si="1439"/>
        <v>19:36:03.000</v>
      </c>
      <c r="U3913" t="str">
        <f t="shared" si="1437"/>
        <v>AC3944</v>
      </c>
      <c r="V3913">
        <v>0</v>
      </c>
      <c r="W3913">
        <v>0</v>
      </c>
      <c r="X3913">
        <v>2</v>
      </c>
      <c r="Y3913">
        <v>0</v>
      </c>
      <c r="AA3913">
        <v>1</v>
      </c>
      <c r="AB3913">
        <v>8</v>
      </c>
      <c r="AC3913">
        <v>3</v>
      </c>
      <c r="AD3913">
        <v>0</v>
      </c>
      <c r="AE3913">
        <v>9</v>
      </c>
      <c r="AF3913" t="s">
        <v>138</v>
      </c>
      <c r="AG3913">
        <v>0</v>
      </c>
      <c r="AH3913">
        <v>3</v>
      </c>
      <c r="AI3913">
        <v>1</v>
      </c>
      <c r="AJ3913">
        <v>0</v>
      </c>
      <c r="AK3913" t="s">
        <v>1262</v>
      </c>
      <c r="AL3913">
        <v>32.736575999999999</v>
      </c>
      <c r="AM3913" t="s">
        <v>1263</v>
      </c>
      <c r="AN3913">
        <v>-116.692786</v>
      </c>
      <c r="AO3913">
        <v>25</v>
      </c>
      <c r="AP3913">
        <v>4800</v>
      </c>
      <c r="AQ3913" t="s">
        <v>129</v>
      </c>
      <c r="AR3913">
        <v>119</v>
      </c>
      <c r="AS3913">
        <v>-27</v>
      </c>
      <c r="AT3913">
        <v>576</v>
      </c>
      <c r="BB3913">
        <v>1200</v>
      </c>
      <c r="BC3913">
        <v>1</v>
      </c>
      <c r="BD3913" t="str">
        <f t="shared" si="1438"/>
        <v xml:space="preserve">N887QR  </v>
      </c>
      <c r="BE3913">
        <v>1</v>
      </c>
      <c r="BG3913">
        <v>0</v>
      </c>
      <c r="BH3913">
        <v>0</v>
      </c>
      <c r="BI3913">
        <v>0</v>
      </c>
      <c r="BJ3913">
        <v>4700</v>
      </c>
      <c r="BK3913">
        <v>-100</v>
      </c>
      <c r="BL3913" t="s">
        <v>163</v>
      </c>
      <c r="BM3913">
        <v>1</v>
      </c>
      <c r="BN3913">
        <v>1</v>
      </c>
      <c r="BO3913">
        <v>1</v>
      </c>
      <c r="BP3913">
        <v>0</v>
      </c>
      <c r="BS3913">
        <v>0</v>
      </c>
      <c r="BT3913">
        <v>0</v>
      </c>
      <c r="BU3913">
        <v>0</v>
      </c>
      <c r="CE3913" t="str">
        <f t="shared" si="1440"/>
        <v>19:36:03.329</v>
      </c>
      <c r="CF3913">
        <v>328500736</v>
      </c>
      <c r="CS3913">
        <v>0</v>
      </c>
      <c r="CT3913">
        <v>2</v>
      </c>
      <c r="CU3913">
        <v>0</v>
      </c>
      <c r="CV3913">
        <v>2</v>
      </c>
      <c r="CW3913">
        <v>3</v>
      </c>
      <c r="CX3913">
        <v>5</v>
      </c>
      <c r="CY3913">
        <v>7</v>
      </c>
      <c r="CZ3913" t="s">
        <v>131</v>
      </c>
      <c r="DA3913">
        <v>300</v>
      </c>
      <c r="DB3913">
        <v>0</v>
      </c>
      <c r="DC3913" t="s">
        <v>176</v>
      </c>
      <c r="DD3913" t="s">
        <v>177</v>
      </c>
      <c r="DG3913">
        <v>5450553</v>
      </c>
      <c r="DI3913">
        <v>1</v>
      </c>
      <c r="DJ3913">
        <v>0</v>
      </c>
      <c r="DK3913">
        <v>1</v>
      </c>
      <c r="DL3913">
        <v>0</v>
      </c>
      <c r="DM3913">
        <v>0</v>
      </c>
      <c r="DN3913">
        <v>1</v>
      </c>
      <c r="DO3913">
        <v>0</v>
      </c>
      <c r="DP3913">
        <v>0</v>
      </c>
      <c r="DQ3913">
        <v>0</v>
      </c>
      <c r="DR3913">
        <v>0</v>
      </c>
      <c r="DS3913">
        <v>0</v>
      </c>
    </row>
    <row r="3914" spans="1:123" x14ac:dyDescent="0.3">
      <c r="A3914" t="str">
        <f>"10/04/2022 19:36:03.720"</f>
        <v>10/04/2022 19:36:03.720</v>
      </c>
      <c r="C3914" t="str">
        <f t="shared" si="1427"/>
        <v>FFDFD3C0</v>
      </c>
      <c r="D3914" t="s">
        <v>143</v>
      </c>
      <c r="E3914">
        <v>20</v>
      </c>
      <c r="F3914">
        <v>1020</v>
      </c>
      <c r="G3914" t="s">
        <v>144</v>
      </c>
      <c r="J3914" t="s">
        <v>145</v>
      </c>
      <c r="K3914">
        <v>0</v>
      </c>
      <c r="L3914">
        <v>3</v>
      </c>
      <c r="M3914">
        <v>0</v>
      </c>
      <c r="N3914">
        <v>2</v>
      </c>
      <c r="O3914">
        <v>0</v>
      </c>
      <c r="P3914">
        <v>1</v>
      </c>
      <c r="Q3914">
        <v>0</v>
      </c>
      <c r="S3914" t="str">
        <f t="shared" si="1439"/>
        <v>19:36:03.000</v>
      </c>
      <c r="T3914" t="str">
        <f t="shared" si="1439"/>
        <v>19:36:03.000</v>
      </c>
      <c r="U3914" t="str">
        <f t="shared" si="1437"/>
        <v>AC3944</v>
      </c>
      <c r="V3914">
        <v>0</v>
      </c>
      <c r="W3914">
        <v>0</v>
      </c>
      <c r="X3914">
        <v>2</v>
      </c>
      <c r="Y3914">
        <v>0</v>
      </c>
      <c r="AA3914">
        <v>1</v>
      </c>
      <c r="AB3914">
        <v>8</v>
      </c>
      <c r="AC3914">
        <v>3</v>
      </c>
      <c r="AD3914">
        <v>0</v>
      </c>
      <c r="AE3914">
        <v>9</v>
      </c>
      <c r="AF3914" t="s">
        <v>138</v>
      </c>
      <c r="AG3914">
        <v>0</v>
      </c>
      <c r="AH3914">
        <v>3</v>
      </c>
      <c r="AI3914">
        <v>1</v>
      </c>
      <c r="AJ3914">
        <v>0</v>
      </c>
      <c r="AK3914" t="s">
        <v>1262</v>
      </c>
      <c r="AL3914">
        <v>32.736575999999999</v>
      </c>
      <c r="AM3914" t="s">
        <v>1263</v>
      </c>
      <c r="AN3914">
        <v>-116.692786</v>
      </c>
      <c r="AO3914">
        <v>25</v>
      </c>
      <c r="AP3914">
        <v>4800</v>
      </c>
      <c r="AQ3914" t="s">
        <v>129</v>
      </c>
      <c r="AR3914">
        <v>119</v>
      </c>
      <c r="AS3914">
        <v>-27</v>
      </c>
      <c r="AT3914">
        <v>576</v>
      </c>
      <c r="BB3914">
        <v>1200</v>
      </c>
      <c r="BC3914">
        <v>1</v>
      </c>
      <c r="BD3914" t="str">
        <f t="shared" si="1438"/>
        <v xml:space="preserve">N887QR  </v>
      </c>
      <c r="BE3914">
        <v>1</v>
      </c>
      <c r="BG3914">
        <v>0</v>
      </c>
      <c r="BH3914">
        <v>0</v>
      </c>
      <c r="BI3914">
        <v>0</v>
      </c>
      <c r="BJ3914">
        <v>4700</v>
      </c>
      <c r="BK3914">
        <v>-100</v>
      </c>
      <c r="BL3914" t="s">
        <v>163</v>
      </c>
      <c r="BM3914">
        <v>1</v>
      </c>
      <c r="BN3914">
        <v>1</v>
      </c>
      <c r="BO3914">
        <v>1</v>
      </c>
      <c r="BP3914">
        <v>0</v>
      </c>
      <c r="BS3914">
        <v>0</v>
      </c>
      <c r="BT3914">
        <v>0</v>
      </c>
      <c r="BU3914">
        <v>0</v>
      </c>
      <c r="CE3914" t="str">
        <f t="shared" si="1440"/>
        <v>19:36:03.329</v>
      </c>
      <c r="CF3914">
        <v>328500736</v>
      </c>
      <c r="CS3914">
        <v>0</v>
      </c>
      <c r="CT3914">
        <v>2</v>
      </c>
      <c r="CU3914">
        <v>0</v>
      </c>
      <c r="CV3914">
        <v>2</v>
      </c>
      <c r="CW3914">
        <v>3</v>
      </c>
      <c r="CX3914">
        <v>5</v>
      </c>
      <c r="CY3914">
        <v>7</v>
      </c>
      <c r="CZ3914" t="s">
        <v>131</v>
      </c>
      <c r="DA3914">
        <v>300</v>
      </c>
      <c r="DB3914">
        <v>0</v>
      </c>
      <c r="DC3914" t="s">
        <v>176</v>
      </c>
      <c r="DD3914" t="s">
        <v>177</v>
      </c>
      <c r="DG3914">
        <v>5450553</v>
      </c>
      <c r="DI3914">
        <v>1</v>
      </c>
      <c r="DJ3914">
        <v>0</v>
      </c>
      <c r="DK3914">
        <v>1</v>
      </c>
      <c r="DL3914">
        <v>0</v>
      </c>
      <c r="DM3914">
        <v>0</v>
      </c>
      <c r="DN3914">
        <v>1</v>
      </c>
      <c r="DO3914">
        <v>0</v>
      </c>
      <c r="DP3914">
        <v>0</v>
      </c>
      <c r="DQ3914">
        <v>0</v>
      </c>
      <c r="DR3914">
        <v>0</v>
      </c>
      <c r="DS3914">
        <v>0</v>
      </c>
    </row>
    <row r="3915" spans="1:123" x14ac:dyDescent="0.3">
      <c r="A3915" t="str">
        <f>"10/04/2022 19:36:03.720"</f>
        <v>10/04/2022 19:36:03.720</v>
      </c>
      <c r="C3915" t="str">
        <f t="shared" si="1427"/>
        <v>FFDFD3C0</v>
      </c>
      <c r="D3915" t="s">
        <v>141</v>
      </c>
      <c r="E3915">
        <v>3</v>
      </c>
      <c r="H3915">
        <v>3</v>
      </c>
      <c r="I3915" t="s">
        <v>146</v>
      </c>
      <c r="J3915" t="s">
        <v>138</v>
      </c>
      <c r="K3915">
        <v>0</v>
      </c>
      <c r="L3915">
        <v>3</v>
      </c>
      <c r="M3915">
        <v>0</v>
      </c>
      <c r="N3915">
        <v>2</v>
      </c>
      <c r="O3915">
        <v>0</v>
      </c>
      <c r="P3915">
        <v>1</v>
      </c>
      <c r="Q3915">
        <v>0</v>
      </c>
      <c r="S3915" t="str">
        <f t="shared" si="1439"/>
        <v>19:36:03.000</v>
      </c>
      <c r="T3915" t="str">
        <f t="shared" si="1439"/>
        <v>19:36:03.000</v>
      </c>
      <c r="U3915" t="str">
        <f t="shared" si="1437"/>
        <v>AC3944</v>
      </c>
      <c r="V3915">
        <v>0</v>
      </c>
      <c r="W3915">
        <v>0</v>
      </c>
      <c r="X3915">
        <v>2</v>
      </c>
      <c r="Y3915">
        <v>0</v>
      </c>
      <c r="AA3915">
        <v>1</v>
      </c>
      <c r="AB3915">
        <v>8</v>
      </c>
      <c r="AC3915">
        <v>3</v>
      </c>
      <c r="AD3915">
        <v>0</v>
      </c>
      <c r="AE3915">
        <v>9</v>
      </c>
      <c r="AF3915" t="s">
        <v>138</v>
      </c>
      <c r="AG3915">
        <v>0</v>
      </c>
      <c r="AH3915">
        <v>3</v>
      </c>
      <c r="AI3915">
        <v>1</v>
      </c>
      <c r="AJ3915">
        <v>0</v>
      </c>
      <c r="AK3915" t="s">
        <v>1262</v>
      </c>
      <c r="AL3915">
        <v>32.736575999999999</v>
      </c>
      <c r="AM3915" t="s">
        <v>1263</v>
      </c>
      <c r="AN3915">
        <v>-116.692786</v>
      </c>
      <c r="AO3915">
        <v>25</v>
      </c>
      <c r="AP3915">
        <v>4800</v>
      </c>
      <c r="AQ3915" t="s">
        <v>129</v>
      </c>
      <c r="AR3915">
        <v>119</v>
      </c>
      <c r="AS3915">
        <v>-27</v>
      </c>
      <c r="AT3915">
        <v>576</v>
      </c>
      <c r="BB3915">
        <v>1200</v>
      </c>
      <c r="BC3915">
        <v>1</v>
      </c>
      <c r="BD3915" t="str">
        <f t="shared" si="1438"/>
        <v xml:space="preserve">N887QR  </v>
      </c>
      <c r="BE3915">
        <v>1</v>
      </c>
      <c r="BG3915">
        <v>0</v>
      </c>
      <c r="BH3915">
        <v>0</v>
      </c>
      <c r="BI3915">
        <v>0</v>
      </c>
      <c r="BJ3915">
        <v>4700</v>
      </c>
      <c r="BK3915">
        <v>-100</v>
      </c>
      <c r="BL3915" t="s">
        <v>163</v>
      </c>
      <c r="BM3915">
        <v>1</v>
      </c>
      <c r="BN3915">
        <v>1</v>
      </c>
      <c r="BO3915">
        <v>1</v>
      </c>
      <c r="BP3915">
        <v>0</v>
      </c>
      <c r="BS3915">
        <v>0</v>
      </c>
      <c r="BT3915">
        <v>0</v>
      </c>
      <c r="BU3915">
        <v>0</v>
      </c>
      <c r="CE3915" t="str">
        <f t="shared" si="1440"/>
        <v>19:36:03.329</v>
      </c>
      <c r="CF3915">
        <v>328500736</v>
      </c>
      <c r="CS3915">
        <v>0</v>
      </c>
      <c r="CT3915">
        <v>2</v>
      </c>
      <c r="CU3915">
        <v>0</v>
      </c>
      <c r="CV3915">
        <v>2</v>
      </c>
      <c r="CW3915">
        <v>3</v>
      </c>
      <c r="CX3915">
        <v>5</v>
      </c>
      <c r="CY3915">
        <v>7</v>
      </c>
      <c r="CZ3915" t="s">
        <v>131</v>
      </c>
      <c r="DA3915">
        <v>300</v>
      </c>
      <c r="DB3915">
        <v>0</v>
      </c>
      <c r="DC3915" t="s">
        <v>176</v>
      </c>
      <c r="DD3915" t="s">
        <v>177</v>
      </c>
      <c r="DG3915">
        <v>5450553</v>
      </c>
      <c r="DI3915">
        <v>1</v>
      </c>
      <c r="DJ3915">
        <v>0</v>
      </c>
      <c r="DK3915">
        <v>1</v>
      </c>
      <c r="DL3915">
        <v>0</v>
      </c>
      <c r="DM3915">
        <v>0</v>
      </c>
      <c r="DN3915">
        <v>1</v>
      </c>
      <c r="DO3915">
        <v>0</v>
      </c>
      <c r="DP3915">
        <v>0</v>
      </c>
      <c r="DQ3915">
        <v>0</v>
      </c>
      <c r="DR3915">
        <v>0</v>
      </c>
      <c r="DS3915">
        <v>0</v>
      </c>
    </row>
    <row r="3916" spans="1:123" x14ac:dyDescent="0.3">
      <c r="A3916" t="str">
        <f>"10/04/2022 19:36:03.720"</f>
        <v>10/04/2022 19:36:03.720</v>
      </c>
      <c r="C3916" t="str">
        <f t="shared" si="1427"/>
        <v>FFDFD3C0</v>
      </c>
      <c r="D3916" t="s">
        <v>147</v>
      </c>
      <c r="E3916">
        <v>3</v>
      </c>
      <c r="H3916">
        <v>166</v>
      </c>
      <c r="I3916" t="s">
        <v>144</v>
      </c>
      <c r="J3916" t="s">
        <v>148</v>
      </c>
      <c r="K3916">
        <v>0</v>
      </c>
      <c r="L3916">
        <v>3</v>
      </c>
      <c r="M3916">
        <v>0</v>
      </c>
      <c r="N3916">
        <v>2</v>
      </c>
      <c r="O3916">
        <v>0</v>
      </c>
      <c r="P3916">
        <v>1</v>
      </c>
      <c r="Q3916">
        <v>0</v>
      </c>
      <c r="S3916" t="str">
        <f t="shared" si="1439"/>
        <v>19:36:03.000</v>
      </c>
      <c r="T3916" t="str">
        <f t="shared" si="1439"/>
        <v>19:36:03.000</v>
      </c>
      <c r="U3916" t="str">
        <f t="shared" si="1437"/>
        <v>AC3944</v>
      </c>
      <c r="V3916">
        <v>0</v>
      </c>
      <c r="W3916">
        <v>0</v>
      </c>
      <c r="X3916">
        <v>2</v>
      </c>
      <c r="Y3916">
        <v>0</v>
      </c>
      <c r="AA3916">
        <v>1</v>
      </c>
      <c r="AB3916">
        <v>8</v>
      </c>
      <c r="AC3916">
        <v>3</v>
      </c>
      <c r="AD3916">
        <v>0</v>
      </c>
      <c r="AE3916">
        <v>9</v>
      </c>
      <c r="AF3916" t="s">
        <v>138</v>
      </c>
      <c r="AG3916">
        <v>0</v>
      </c>
      <c r="AH3916">
        <v>3</v>
      </c>
      <c r="AI3916">
        <v>1</v>
      </c>
      <c r="AJ3916">
        <v>0</v>
      </c>
      <c r="AK3916" t="s">
        <v>1262</v>
      </c>
      <c r="AL3916">
        <v>32.736575999999999</v>
      </c>
      <c r="AM3916" t="s">
        <v>1263</v>
      </c>
      <c r="AN3916">
        <v>-116.692786</v>
      </c>
      <c r="AO3916">
        <v>25</v>
      </c>
      <c r="AP3916">
        <v>4800</v>
      </c>
      <c r="AQ3916" t="s">
        <v>129</v>
      </c>
      <c r="AR3916">
        <v>119</v>
      </c>
      <c r="AS3916">
        <v>-27</v>
      </c>
      <c r="AT3916">
        <v>576</v>
      </c>
      <c r="BB3916">
        <v>1200</v>
      </c>
      <c r="BC3916">
        <v>1</v>
      </c>
      <c r="BD3916" t="str">
        <f t="shared" si="1438"/>
        <v xml:space="preserve">N887QR  </v>
      </c>
      <c r="BE3916">
        <v>1</v>
      </c>
      <c r="BG3916">
        <v>0</v>
      </c>
      <c r="BH3916">
        <v>0</v>
      </c>
      <c r="BI3916">
        <v>0</v>
      </c>
      <c r="BJ3916">
        <v>4700</v>
      </c>
      <c r="BK3916">
        <v>-100</v>
      </c>
      <c r="BL3916" t="s">
        <v>163</v>
      </c>
      <c r="BM3916">
        <v>1</v>
      </c>
      <c r="BN3916">
        <v>1</v>
      </c>
      <c r="BO3916">
        <v>1</v>
      </c>
      <c r="BP3916">
        <v>0</v>
      </c>
      <c r="BS3916">
        <v>0</v>
      </c>
      <c r="BT3916">
        <v>0</v>
      </c>
      <c r="BU3916">
        <v>0</v>
      </c>
      <c r="CE3916" t="str">
        <f t="shared" si="1440"/>
        <v>19:36:03.329</v>
      </c>
      <c r="CF3916">
        <v>328500736</v>
      </c>
      <c r="CS3916">
        <v>0</v>
      </c>
      <c r="CT3916">
        <v>2</v>
      </c>
      <c r="CU3916">
        <v>0</v>
      </c>
      <c r="CV3916">
        <v>2</v>
      </c>
      <c r="CW3916">
        <v>3</v>
      </c>
      <c r="CX3916">
        <v>5</v>
      </c>
      <c r="CY3916">
        <v>7</v>
      </c>
      <c r="CZ3916" t="s">
        <v>131</v>
      </c>
      <c r="DA3916">
        <v>300</v>
      </c>
      <c r="DB3916">
        <v>0</v>
      </c>
      <c r="DC3916" t="s">
        <v>176</v>
      </c>
      <c r="DD3916" t="s">
        <v>177</v>
      </c>
      <c r="DG3916">
        <v>5450553</v>
      </c>
      <c r="DI3916">
        <v>1</v>
      </c>
      <c r="DJ3916">
        <v>0</v>
      </c>
      <c r="DK3916">
        <v>1</v>
      </c>
      <c r="DL3916">
        <v>0</v>
      </c>
      <c r="DM3916">
        <v>0</v>
      </c>
      <c r="DN3916">
        <v>1</v>
      </c>
      <c r="DO3916">
        <v>0</v>
      </c>
      <c r="DP3916">
        <v>0</v>
      </c>
      <c r="DQ3916">
        <v>0</v>
      </c>
      <c r="DR3916">
        <v>0</v>
      </c>
      <c r="DS3916">
        <v>0</v>
      </c>
    </row>
    <row r="3917" spans="1:123" x14ac:dyDescent="0.3">
      <c r="A3917" t="str">
        <f>"10/04/2022 19:36:04.642"</f>
        <v>10/04/2022 19:36:04.642</v>
      </c>
      <c r="C3917" t="str">
        <f t="shared" si="1427"/>
        <v>FFDFD3C0</v>
      </c>
      <c r="D3917" t="s">
        <v>136</v>
      </c>
      <c r="E3917">
        <v>8</v>
      </c>
      <c r="H3917">
        <v>225</v>
      </c>
      <c r="I3917" t="s">
        <v>137</v>
      </c>
      <c r="J3917" t="s">
        <v>138</v>
      </c>
      <c r="K3917">
        <v>0</v>
      </c>
      <c r="L3917">
        <v>3</v>
      </c>
      <c r="M3917">
        <v>0</v>
      </c>
      <c r="N3917">
        <v>2</v>
      </c>
      <c r="O3917">
        <v>0</v>
      </c>
      <c r="P3917">
        <v>1</v>
      </c>
      <c r="Q3917">
        <v>0</v>
      </c>
      <c r="S3917" t="str">
        <f t="shared" ref="S3917:T3930" si="1441">"19:36:04.000"</f>
        <v>19:36:04.000</v>
      </c>
      <c r="T3917" t="str">
        <f t="shared" si="1441"/>
        <v>19:36:04.000</v>
      </c>
      <c r="U3917" t="str">
        <f t="shared" si="1437"/>
        <v>AC3944</v>
      </c>
      <c r="V3917">
        <v>0</v>
      </c>
      <c r="W3917">
        <v>0</v>
      </c>
      <c r="X3917">
        <v>2</v>
      </c>
      <c r="Y3917">
        <v>0</v>
      </c>
      <c r="AA3917">
        <v>1</v>
      </c>
      <c r="AB3917">
        <v>8</v>
      </c>
      <c r="AC3917">
        <v>3</v>
      </c>
      <c r="AD3917">
        <v>0</v>
      </c>
      <c r="AE3917">
        <v>9</v>
      </c>
      <c r="AF3917" t="s">
        <v>138</v>
      </c>
      <c r="AG3917">
        <v>0</v>
      </c>
      <c r="AH3917">
        <v>3</v>
      </c>
      <c r="AI3917">
        <v>1</v>
      </c>
      <c r="AJ3917">
        <v>0</v>
      </c>
      <c r="AK3917" t="s">
        <v>1191</v>
      </c>
      <c r="AL3917">
        <v>32.736446999999998</v>
      </c>
      <c r="AM3917" t="s">
        <v>1264</v>
      </c>
      <c r="AN3917">
        <v>-116.692142</v>
      </c>
      <c r="AO3917">
        <v>25</v>
      </c>
      <c r="AP3917">
        <v>4900</v>
      </c>
      <c r="AQ3917" t="s">
        <v>129</v>
      </c>
      <c r="AR3917">
        <v>118</v>
      </c>
      <c r="AS3917">
        <v>-30</v>
      </c>
      <c r="AT3917">
        <v>448</v>
      </c>
      <c r="BB3917">
        <v>1200</v>
      </c>
      <c r="BC3917">
        <v>1</v>
      </c>
      <c r="BD3917" t="str">
        <f t="shared" si="1438"/>
        <v xml:space="preserve">N887QR  </v>
      </c>
      <c r="BE3917">
        <v>1</v>
      </c>
      <c r="BG3917">
        <v>0</v>
      </c>
      <c r="BH3917">
        <v>0</v>
      </c>
      <c r="BI3917">
        <v>0</v>
      </c>
      <c r="BJ3917">
        <v>4700</v>
      </c>
      <c r="BK3917">
        <v>-200</v>
      </c>
      <c r="BL3917" t="s">
        <v>163</v>
      </c>
      <c r="BM3917">
        <v>1</v>
      </c>
      <c r="BN3917">
        <v>1</v>
      </c>
      <c r="BO3917">
        <v>1</v>
      </c>
      <c r="BP3917">
        <v>0</v>
      </c>
      <c r="BS3917">
        <v>0</v>
      </c>
      <c r="BT3917">
        <v>0</v>
      </c>
      <c r="BU3917">
        <v>0</v>
      </c>
      <c r="CE3917" t="str">
        <f t="shared" ref="CE3917:CE3923" si="1442">"19:36:04.439"</f>
        <v>19:36:04.439</v>
      </c>
      <c r="CF3917">
        <v>438504484</v>
      </c>
      <c r="CS3917">
        <v>0</v>
      </c>
      <c r="CT3917">
        <v>2</v>
      </c>
      <c r="CU3917">
        <v>0</v>
      </c>
      <c r="CV3917">
        <v>2</v>
      </c>
      <c r="CW3917">
        <v>0</v>
      </c>
      <c r="CX3917">
        <v>5</v>
      </c>
      <c r="CY3917">
        <v>7</v>
      </c>
      <c r="CZ3917" t="s">
        <v>131</v>
      </c>
      <c r="DA3917">
        <v>300</v>
      </c>
      <c r="DB3917">
        <v>0</v>
      </c>
      <c r="DC3917" t="s">
        <v>176</v>
      </c>
      <c r="DD3917" t="s">
        <v>177</v>
      </c>
      <c r="DG3917">
        <v>5450757</v>
      </c>
      <c r="DI3917">
        <v>1</v>
      </c>
      <c r="DJ3917">
        <v>0</v>
      </c>
      <c r="DK3917">
        <v>0</v>
      </c>
      <c r="DL3917">
        <v>0</v>
      </c>
      <c r="DM3917">
        <v>0</v>
      </c>
      <c r="DN3917">
        <v>1</v>
      </c>
      <c r="DO3917">
        <v>0</v>
      </c>
      <c r="DP3917">
        <v>0</v>
      </c>
      <c r="DQ3917">
        <v>0</v>
      </c>
      <c r="DR3917">
        <v>0</v>
      </c>
      <c r="DS3917">
        <v>0</v>
      </c>
    </row>
    <row r="3918" spans="1:123" x14ac:dyDescent="0.3">
      <c r="A3918" t="str">
        <f>"10/04/2022 19:36:04.642"</f>
        <v>10/04/2022 19:36:04.642</v>
      </c>
      <c r="C3918" t="str">
        <f t="shared" si="1427"/>
        <v>FFDFD3C0</v>
      </c>
      <c r="D3918" t="s">
        <v>141</v>
      </c>
      <c r="E3918">
        <v>4</v>
      </c>
      <c r="H3918">
        <v>4</v>
      </c>
      <c r="I3918" t="s">
        <v>142</v>
      </c>
      <c r="J3918" t="s">
        <v>138</v>
      </c>
      <c r="K3918">
        <v>0</v>
      </c>
      <c r="L3918">
        <v>3</v>
      </c>
      <c r="M3918">
        <v>0</v>
      </c>
      <c r="N3918">
        <v>2</v>
      </c>
      <c r="O3918">
        <v>0</v>
      </c>
      <c r="P3918">
        <v>1</v>
      </c>
      <c r="Q3918">
        <v>0</v>
      </c>
      <c r="S3918" t="str">
        <f t="shared" si="1441"/>
        <v>19:36:04.000</v>
      </c>
      <c r="T3918" t="str">
        <f t="shared" si="1441"/>
        <v>19:36:04.000</v>
      </c>
      <c r="U3918" t="str">
        <f t="shared" si="1437"/>
        <v>AC3944</v>
      </c>
      <c r="V3918">
        <v>0</v>
      </c>
      <c r="W3918">
        <v>0</v>
      </c>
      <c r="X3918">
        <v>2</v>
      </c>
      <c r="Y3918">
        <v>0</v>
      </c>
      <c r="AA3918">
        <v>1</v>
      </c>
      <c r="AB3918">
        <v>8</v>
      </c>
      <c r="AC3918">
        <v>3</v>
      </c>
      <c r="AD3918">
        <v>0</v>
      </c>
      <c r="AE3918">
        <v>9</v>
      </c>
      <c r="AF3918" t="s">
        <v>138</v>
      </c>
      <c r="AG3918">
        <v>0</v>
      </c>
      <c r="AH3918">
        <v>3</v>
      </c>
      <c r="AI3918">
        <v>1</v>
      </c>
      <c r="AJ3918">
        <v>0</v>
      </c>
      <c r="AK3918" t="s">
        <v>1191</v>
      </c>
      <c r="AL3918">
        <v>32.736446999999998</v>
      </c>
      <c r="AM3918" t="s">
        <v>1264</v>
      </c>
      <c r="AN3918">
        <v>-116.692142</v>
      </c>
      <c r="AO3918">
        <v>25</v>
      </c>
      <c r="AP3918">
        <v>4900</v>
      </c>
      <c r="AQ3918" t="s">
        <v>129</v>
      </c>
      <c r="AR3918">
        <v>118</v>
      </c>
      <c r="AS3918">
        <v>-30</v>
      </c>
      <c r="AT3918">
        <v>448</v>
      </c>
      <c r="BB3918">
        <v>1200</v>
      </c>
      <c r="BC3918">
        <v>1</v>
      </c>
      <c r="BD3918" t="str">
        <f t="shared" si="1438"/>
        <v xml:space="preserve">N887QR  </v>
      </c>
      <c r="BE3918">
        <v>1</v>
      </c>
      <c r="BG3918">
        <v>0</v>
      </c>
      <c r="BH3918">
        <v>0</v>
      </c>
      <c r="BI3918">
        <v>0</v>
      </c>
      <c r="BJ3918">
        <v>4700</v>
      </c>
      <c r="BK3918">
        <v>-200</v>
      </c>
      <c r="BL3918" t="s">
        <v>163</v>
      </c>
      <c r="BM3918">
        <v>1</v>
      </c>
      <c r="BN3918">
        <v>1</v>
      </c>
      <c r="BO3918">
        <v>1</v>
      </c>
      <c r="BP3918">
        <v>0</v>
      </c>
      <c r="BS3918">
        <v>0</v>
      </c>
      <c r="BT3918">
        <v>0</v>
      </c>
      <c r="BU3918">
        <v>0</v>
      </c>
      <c r="CE3918" t="str">
        <f t="shared" si="1442"/>
        <v>19:36:04.439</v>
      </c>
      <c r="CF3918">
        <v>438504484</v>
      </c>
      <c r="CS3918">
        <v>0</v>
      </c>
      <c r="CT3918">
        <v>2</v>
      </c>
      <c r="CU3918">
        <v>0</v>
      </c>
      <c r="CV3918">
        <v>2</v>
      </c>
      <c r="CW3918">
        <v>0</v>
      </c>
      <c r="CX3918">
        <v>5</v>
      </c>
      <c r="CY3918">
        <v>7</v>
      </c>
      <c r="CZ3918" t="s">
        <v>131</v>
      </c>
      <c r="DA3918">
        <v>300</v>
      </c>
      <c r="DB3918">
        <v>0</v>
      </c>
      <c r="DC3918" t="s">
        <v>176</v>
      </c>
      <c r="DD3918" t="s">
        <v>177</v>
      </c>
      <c r="DG3918">
        <v>5450757</v>
      </c>
      <c r="DI3918">
        <v>1</v>
      </c>
      <c r="DJ3918">
        <v>0</v>
      </c>
      <c r="DK3918">
        <v>1</v>
      </c>
      <c r="DL3918">
        <v>0</v>
      </c>
      <c r="DM3918">
        <v>0</v>
      </c>
      <c r="DN3918">
        <v>1</v>
      </c>
      <c r="DO3918">
        <v>0</v>
      </c>
      <c r="DP3918">
        <v>0</v>
      </c>
      <c r="DQ3918">
        <v>0</v>
      </c>
      <c r="DR3918">
        <v>0</v>
      </c>
      <c r="DS3918">
        <v>0</v>
      </c>
    </row>
    <row r="3919" spans="1:123" x14ac:dyDescent="0.3">
      <c r="A3919" t="str">
        <f>"10/04/2022 19:36:04.642"</f>
        <v>10/04/2022 19:36:04.642</v>
      </c>
      <c r="C3919" t="str">
        <f t="shared" si="1427"/>
        <v>FFDFD3C0</v>
      </c>
      <c r="D3919" t="s">
        <v>134</v>
      </c>
      <c r="E3919">
        <v>15</v>
      </c>
      <c r="J3919" t="s">
        <v>135</v>
      </c>
      <c r="K3919">
        <v>0</v>
      </c>
      <c r="L3919">
        <v>3</v>
      </c>
      <c r="M3919">
        <v>0</v>
      </c>
      <c r="N3919">
        <v>2</v>
      </c>
      <c r="O3919">
        <v>0</v>
      </c>
      <c r="P3919">
        <v>1</v>
      </c>
      <c r="Q3919">
        <v>0</v>
      </c>
      <c r="S3919" t="str">
        <f t="shared" si="1441"/>
        <v>19:36:04.000</v>
      </c>
      <c r="T3919" t="str">
        <f t="shared" si="1441"/>
        <v>19:36:04.000</v>
      </c>
      <c r="U3919" t="str">
        <f t="shared" si="1437"/>
        <v>AC3944</v>
      </c>
      <c r="V3919">
        <v>0</v>
      </c>
      <c r="W3919">
        <v>0</v>
      </c>
      <c r="X3919">
        <v>2</v>
      </c>
      <c r="Y3919">
        <v>0</v>
      </c>
      <c r="AA3919">
        <v>1</v>
      </c>
      <c r="AB3919">
        <v>8</v>
      </c>
      <c r="AC3919">
        <v>3</v>
      </c>
      <c r="AD3919">
        <v>0</v>
      </c>
      <c r="AE3919">
        <v>9</v>
      </c>
      <c r="AF3919" t="s">
        <v>138</v>
      </c>
      <c r="AG3919">
        <v>0</v>
      </c>
      <c r="AH3919">
        <v>3</v>
      </c>
      <c r="AI3919">
        <v>1</v>
      </c>
      <c r="AJ3919">
        <v>0</v>
      </c>
      <c r="AK3919" t="s">
        <v>1191</v>
      </c>
      <c r="AL3919">
        <v>32.736446999999998</v>
      </c>
      <c r="AM3919" t="s">
        <v>1264</v>
      </c>
      <c r="AN3919">
        <v>-116.692142</v>
      </c>
      <c r="AO3919">
        <v>25</v>
      </c>
      <c r="AP3919">
        <v>4900</v>
      </c>
      <c r="AQ3919" t="s">
        <v>129</v>
      </c>
      <c r="AR3919">
        <v>118</v>
      </c>
      <c r="AS3919">
        <v>-30</v>
      </c>
      <c r="AT3919">
        <v>448</v>
      </c>
      <c r="BB3919">
        <v>1200</v>
      </c>
      <c r="BC3919">
        <v>1</v>
      </c>
      <c r="BD3919" t="str">
        <f t="shared" si="1438"/>
        <v xml:space="preserve">N887QR  </v>
      </c>
      <c r="BE3919">
        <v>1</v>
      </c>
      <c r="BG3919">
        <v>0</v>
      </c>
      <c r="BH3919">
        <v>0</v>
      </c>
      <c r="BI3919">
        <v>0</v>
      </c>
      <c r="BJ3919">
        <v>4700</v>
      </c>
      <c r="BK3919">
        <v>-200</v>
      </c>
      <c r="BL3919" t="s">
        <v>163</v>
      </c>
      <c r="BM3919">
        <v>1</v>
      </c>
      <c r="BN3919">
        <v>1</v>
      </c>
      <c r="BO3919">
        <v>1</v>
      </c>
      <c r="BP3919">
        <v>0</v>
      </c>
      <c r="BS3919">
        <v>0</v>
      </c>
      <c r="BT3919">
        <v>0</v>
      </c>
      <c r="BU3919">
        <v>0</v>
      </c>
      <c r="CE3919" t="str">
        <f t="shared" si="1442"/>
        <v>19:36:04.439</v>
      </c>
      <c r="CF3919">
        <v>438504484</v>
      </c>
      <c r="CS3919">
        <v>0</v>
      </c>
      <c r="CT3919">
        <v>2</v>
      </c>
      <c r="CU3919">
        <v>0</v>
      </c>
      <c r="CV3919">
        <v>2</v>
      </c>
      <c r="CW3919">
        <v>0</v>
      </c>
      <c r="CX3919">
        <v>5</v>
      </c>
      <c r="CY3919">
        <v>7</v>
      </c>
      <c r="CZ3919" t="s">
        <v>131</v>
      </c>
      <c r="DA3919">
        <v>300</v>
      </c>
      <c r="DB3919">
        <v>0</v>
      </c>
      <c r="DC3919" t="s">
        <v>176</v>
      </c>
      <c r="DD3919" t="s">
        <v>177</v>
      </c>
      <c r="DG3919">
        <v>5450757</v>
      </c>
      <c r="DI3919">
        <v>1</v>
      </c>
      <c r="DJ3919">
        <v>0</v>
      </c>
      <c r="DK3919">
        <v>0</v>
      </c>
      <c r="DL3919">
        <v>0</v>
      </c>
      <c r="DM3919">
        <v>0</v>
      </c>
      <c r="DN3919">
        <v>1</v>
      </c>
      <c r="DO3919">
        <v>0</v>
      </c>
      <c r="DP3919">
        <v>0</v>
      </c>
      <c r="DQ3919">
        <v>0</v>
      </c>
      <c r="DR3919">
        <v>0</v>
      </c>
      <c r="DS3919">
        <v>0</v>
      </c>
    </row>
    <row r="3920" spans="1:123" x14ac:dyDescent="0.3">
      <c r="A3920" t="str">
        <f>"10/04/2022 19:36:04.736"</f>
        <v>10/04/2022 19:36:04.736</v>
      </c>
      <c r="C3920" t="str">
        <f t="shared" si="1427"/>
        <v>FFDFD3C0</v>
      </c>
      <c r="D3920" t="s">
        <v>143</v>
      </c>
      <c r="E3920">
        <v>20</v>
      </c>
      <c r="F3920">
        <v>1020</v>
      </c>
      <c r="G3920" t="s">
        <v>144</v>
      </c>
      <c r="J3920" t="s">
        <v>145</v>
      </c>
      <c r="K3920">
        <v>0</v>
      </c>
      <c r="L3920">
        <v>3</v>
      </c>
      <c r="M3920">
        <v>0</v>
      </c>
      <c r="N3920">
        <v>2</v>
      </c>
      <c r="O3920">
        <v>0</v>
      </c>
      <c r="P3920">
        <v>1</v>
      </c>
      <c r="Q3920">
        <v>0</v>
      </c>
      <c r="S3920" t="str">
        <f t="shared" si="1441"/>
        <v>19:36:04.000</v>
      </c>
      <c r="T3920" t="str">
        <f t="shared" si="1441"/>
        <v>19:36:04.000</v>
      </c>
      <c r="U3920" t="str">
        <f t="shared" si="1437"/>
        <v>AC3944</v>
      </c>
      <c r="V3920">
        <v>0</v>
      </c>
      <c r="W3920">
        <v>0</v>
      </c>
      <c r="X3920">
        <v>2</v>
      </c>
      <c r="Y3920">
        <v>0</v>
      </c>
      <c r="AA3920">
        <v>1</v>
      </c>
      <c r="AB3920">
        <v>8</v>
      </c>
      <c r="AC3920">
        <v>3</v>
      </c>
      <c r="AD3920">
        <v>0</v>
      </c>
      <c r="AE3920">
        <v>9</v>
      </c>
      <c r="AF3920" t="s">
        <v>138</v>
      </c>
      <c r="AG3920">
        <v>0</v>
      </c>
      <c r="AH3920">
        <v>3</v>
      </c>
      <c r="AI3920">
        <v>1</v>
      </c>
      <c r="AJ3920">
        <v>0</v>
      </c>
      <c r="AK3920" t="s">
        <v>1191</v>
      </c>
      <c r="AL3920">
        <v>32.736446999999998</v>
      </c>
      <c r="AM3920" t="s">
        <v>1264</v>
      </c>
      <c r="AN3920">
        <v>-116.692142</v>
      </c>
      <c r="AO3920">
        <v>25</v>
      </c>
      <c r="AP3920">
        <v>4900</v>
      </c>
      <c r="AQ3920" t="s">
        <v>129</v>
      </c>
      <c r="AR3920">
        <v>118</v>
      </c>
      <c r="AS3920">
        <v>-30</v>
      </c>
      <c r="AT3920">
        <v>448</v>
      </c>
      <c r="BB3920">
        <v>1200</v>
      </c>
      <c r="BC3920">
        <v>1</v>
      </c>
      <c r="BD3920" t="str">
        <f t="shared" si="1438"/>
        <v xml:space="preserve">N887QR  </v>
      </c>
      <c r="BE3920">
        <v>1</v>
      </c>
      <c r="BG3920">
        <v>0</v>
      </c>
      <c r="BH3920">
        <v>0</v>
      </c>
      <c r="BI3920">
        <v>0</v>
      </c>
      <c r="BJ3920">
        <v>4700</v>
      </c>
      <c r="BK3920">
        <v>-200</v>
      </c>
      <c r="BL3920" t="s">
        <v>163</v>
      </c>
      <c r="BM3920">
        <v>1</v>
      </c>
      <c r="BN3920">
        <v>1</v>
      </c>
      <c r="BO3920">
        <v>1</v>
      </c>
      <c r="BP3920">
        <v>0</v>
      </c>
      <c r="BS3920">
        <v>0</v>
      </c>
      <c r="BT3920">
        <v>0</v>
      </c>
      <c r="BU3920">
        <v>0</v>
      </c>
      <c r="CE3920" t="str">
        <f t="shared" si="1442"/>
        <v>19:36:04.439</v>
      </c>
      <c r="CF3920">
        <v>438504484</v>
      </c>
      <c r="CS3920">
        <v>0</v>
      </c>
      <c r="CT3920">
        <v>2</v>
      </c>
      <c r="CU3920">
        <v>0</v>
      </c>
      <c r="CV3920">
        <v>2</v>
      </c>
      <c r="CW3920">
        <v>0</v>
      </c>
      <c r="CX3920">
        <v>5</v>
      </c>
      <c r="CY3920">
        <v>7</v>
      </c>
      <c r="CZ3920" t="s">
        <v>131</v>
      </c>
      <c r="DA3920">
        <v>300</v>
      </c>
      <c r="DB3920">
        <v>0</v>
      </c>
      <c r="DC3920" t="s">
        <v>176</v>
      </c>
      <c r="DD3920" t="s">
        <v>177</v>
      </c>
      <c r="DG3920">
        <v>5450757</v>
      </c>
      <c r="DI3920">
        <v>1</v>
      </c>
      <c r="DJ3920">
        <v>0</v>
      </c>
      <c r="DK3920">
        <v>1</v>
      </c>
      <c r="DL3920">
        <v>0</v>
      </c>
      <c r="DM3920">
        <v>0</v>
      </c>
      <c r="DN3920">
        <v>1</v>
      </c>
      <c r="DO3920">
        <v>0</v>
      </c>
      <c r="DP3920">
        <v>0</v>
      </c>
      <c r="DQ3920">
        <v>0</v>
      </c>
      <c r="DR3920">
        <v>0</v>
      </c>
      <c r="DS3920">
        <v>0</v>
      </c>
    </row>
    <row r="3921" spans="1:123" x14ac:dyDescent="0.3">
      <c r="A3921" t="str">
        <f>"10/04/2022 19:36:04.798"</f>
        <v>10/04/2022 19:36:04.798</v>
      </c>
      <c r="C3921" t="str">
        <f t="shared" si="1427"/>
        <v>FFDFD3C0</v>
      </c>
      <c r="D3921" t="s">
        <v>147</v>
      </c>
      <c r="E3921">
        <v>3</v>
      </c>
      <c r="H3921">
        <v>166</v>
      </c>
      <c r="I3921" t="s">
        <v>144</v>
      </c>
      <c r="J3921" t="s">
        <v>148</v>
      </c>
      <c r="K3921">
        <v>0</v>
      </c>
      <c r="L3921">
        <v>3</v>
      </c>
      <c r="M3921">
        <v>0</v>
      </c>
      <c r="N3921">
        <v>2</v>
      </c>
      <c r="O3921">
        <v>0</v>
      </c>
      <c r="P3921">
        <v>1</v>
      </c>
      <c r="Q3921">
        <v>0</v>
      </c>
      <c r="S3921" t="str">
        <f t="shared" si="1441"/>
        <v>19:36:04.000</v>
      </c>
      <c r="T3921" t="str">
        <f t="shared" si="1441"/>
        <v>19:36:04.000</v>
      </c>
      <c r="U3921" t="str">
        <f t="shared" si="1437"/>
        <v>AC3944</v>
      </c>
      <c r="V3921">
        <v>0</v>
      </c>
      <c r="W3921">
        <v>0</v>
      </c>
      <c r="X3921">
        <v>2</v>
      </c>
      <c r="Y3921">
        <v>0</v>
      </c>
      <c r="AA3921">
        <v>1</v>
      </c>
      <c r="AB3921">
        <v>8</v>
      </c>
      <c r="AC3921">
        <v>3</v>
      </c>
      <c r="AD3921">
        <v>0</v>
      </c>
      <c r="AE3921">
        <v>9</v>
      </c>
      <c r="AF3921" t="s">
        <v>138</v>
      </c>
      <c r="AG3921">
        <v>0</v>
      </c>
      <c r="AH3921">
        <v>3</v>
      </c>
      <c r="AI3921">
        <v>1</v>
      </c>
      <c r="AJ3921">
        <v>0</v>
      </c>
      <c r="AK3921" t="s">
        <v>1191</v>
      </c>
      <c r="AL3921">
        <v>32.736446999999998</v>
      </c>
      <c r="AM3921" t="s">
        <v>1264</v>
      </c>
      <c r="AN3921">
        <v>-116.692142</v>
      </c>
      <c r="AO3921">
        <v>25</v>
      </c>
      <c r="AP3921">
        <v>4900</v>
      </c>
      <c r="AQ3921" t="s">
        <v>129</v>
      </c>
      <c r="AR3921">
        <v>118</v>
      </c>
      <c r="AS3921">
        <v>-30</v>
      </c>
      <c r="AT3921">
        <v>448</v>
      </c>
      <c r="BB3921">
        <v>1200</v>
      </c>
      <c r="BC3921">
        <v>1</v>
      </c>
      <c r="BD3921" t="str">
        <f t="shared" si="1438"/>
        <v xml:space="preserve">N887QR  </v>
      </c>
      <c r="BE3921">
        <v>1</v>
      </c>
      <c r="BG3921">
        <v>0</v>
      </c>
      <c r="BH3921">
        <v>0</v>
      </c>
      <c r="BI3921">
        <v>0</v>
      </c>
      <c r="BJ3921">
        <v>4700</v>
      </c>
      <c r="BK3921">
        <v>-200</v>
      </c>
      <c r="BL3921" t="s">
        <v>163</v>
      </c>
      <c r="BM3921">
        <v>1</v>
      </c>
      <c r="BN3921">
        <v>1</v>
      </c>
      <c r="BO3921">
        <v>1</v>
      </c>
      <c r="BP3921">
        <v>0</v>
      </c>
      <c r="BS3921">
        <v>0</v>
      </c>
      <c r="BT3921">
        <v>0</v>
      </c>
      <c r="BU3921">
        <v>0</v>
      </c>
      <c r="CE3921" t="str">
        <f t="shared" si="1442"/>
        <v>19:36:04.439</v>
      </c>
      <c r="CF3921">
        <v>438504484</v>
      </c>
      <c r="CS3921">
        <v>0</v>
      </c>
      <c r="CT3921">
        <v>2</v>
      </c>
      <c r="CU3921">
        <v>0</v>
      </c>
      <c r="CV3921">
        <v>2</v>
      </c>
      <c r="CW3921">
        <v>0</v>
      </c>
      <c r="CX3921">
        <v>5</v>
      </c>
      <c r="CY3921">
        <v>7</v>
      </c>
      <c r="CZ3921" t="s">
        <v>131</v>
      </c>
      <c r="DA3921">
        <v>300</v>
      </c>
      <c r="DB3921">
        <v>0</v>
      </c>
      <c r="DC3921" t="s">
        <v>176</v>
      </c>
      <c r="DD3921" t="s">
        <v>177</v>
      </c>
      <c r="DG3921">
        <v>5450757</v>
      </c>
      <c r="DI3921">
        <v>1</v>
      </c>
      <c r="DJ3921">
        <v>0</v>
      </c>
      <c r="DK3921">
        <v>1</v>
      </c>
      <c r="DL3921">
        <v>0</v>
      </c>
      <c r="DM3921">
        <v>0</v>
      </c>
      <c r="DN3921">
        <v>1</v>
      </c>
      <c r="DO3921">
        <v>0</v>
      </c>
      <c r="DP3921">
        <v>0</v>
      </c>
      <c r="DQ3921">
        <v>0</v>
      </c>
      <c r="DR3921">
        <v>0</v>
      </c>
      <c r="DS3921">
        <v>0</v>
      </c>
    </row>
    <row r="3922" spans="1:123" x14ac:dyDescent="0.3">
      <c r="A3922" t="str">
        <f>"10/04/2022 19:36:04.798"</f>
        <v>10/04/2022 19:36:04.798</v>
      </c>
      <c r="C3922" t="str">
        <f t="shared" si="1427"/>
        <v>FFDFD3C0</v>
      </c>
      <c r="D3922" t="s">
        <v>141</v>
      </c>
      <c r="E3922">
        <v>3</v>
      </c>
      <c r="H3922">
        <v>3</v>
      </c>
      <c r="I3922" t="s">
        <v>146</v>
      </c>
      <c r="J3922" t="s">
        <v>138</v>
      </c>
      <c r="K3922">
        <v>0</v>
      </c>
      <c r="L3922">
        <v>3</v>
      </c>
      <c r="M3922">
        <v>0</v>
      </c>
      <c r="N3922">
        <v>2</v>
      </c>
      <c r="O3922">
        <v>0</v>
      </c>
      <c r="P3922">
        <v>1</v>
      </c>
      <c r="Q3922">
        <v>0</v>
      </c>
      <c r="S3922" t="str">
        <f t="shared" si="1441"/>
        <v>19:36:04.000</v>
      </c>
      <c r="T3922" t="str">
        <f t="shared" si="1441"/>
        <v>19:36:04.000</v>
      </c>
      <c r="U3922" t="str">
        <f t="shared" si="1437"/>
        <v>AC3944</v>
      </c>
      <c r="V3922">
        <v>0</v>
      </c>
      <c r="W3922">
        <v>0</v>
      </c>
      <c r="X3922">
        <v>2</v>
      </c>
      <c r="Y3922">
        <v>0</v>
      </c>
      <c r="AA3922">
        <v>1</v>
      </c>
      <c r="AB3922">
        <v>8</v>
      </c>
      <c r="AC3922">
        <v>3</v>
      </c>
      <c r="AD3922">
        <v>0</v>
      </c>
      <c r="AE3922">
        <v>9</v>
      </c>
      <c r="AF3922" t="s">
        <v>138</v>
      </c>
      <c r="AG3922">
        <v>0</v>
      </c>
      <c r="AH3922">
        <v>3</v>
      </c>
      <c r="AI3922">
        <v>1</v>
      </c>
      <c r="AJ3922">
        <v>0</v>
      </c>
      <c r="AK3922" t="s">
        <v>1191</v>
      </c>
      <c r="AL3922">
        <v>32.736446999999998</v>
      </c>
      <c r="AM3922" t="s">
        <v>1264</v>
      </c>
      <c r="AN3922">
        <v>-116.692142</v>
      </c>
      <c r="AO3922">
        <v>25</v>
      </c>
      <c r="AP3922">
        <v>4900</v>
      </c>
      <c r="AQ3922" t="s">
        <v>129</v>
      </c>
      <c r="AR3922">
        <v>118</v>
      </c>
      <c r="AS3922">
        <v>-30</v>
      </c>
      <c r="AT3922">
        <v>448</v>
      </c>
      <c r="BB3922">
        <v>1200</v>
      </c>
      <c r="BC3922">
        <v>1</v>
      </c>
      <c r="BD3922" t="str">
        <f t="shared" si="1438"/>
        <v xml:space="preserve">N887QR  </v>
      </c>
      <c r="BE3922">
        <v>1</v>
      </c>
      <c r="BG3922">
        <v>0</v>
      </c>
      <c r="BH3922">
        <v>0</v>
      </c>
      <c r="BI3922">
        <v>0</v>
      </c>
      <c r="BJ3922">
        <v>4700</v>
      </c>
      <c r="BK3922">
        <v>-200</v>
      </c>
      <c r="BL3922" t="s">
        <v>163</v>
      </c>
      <c r="BM3922">
        <v>1</v>
      </c>
      <c r="BN3922">
        <v>1</v>
      </c>
      <c r="BO3922">
        <v>1</v>
      </c>
      <c r="BP3922">
        <v>0</v>
      </c>
      <c r="BS3922">
        <v>0</v>
      </c>
      <c r="BT3922">
        <v>0</v>
      </c>
      <c r="BU3922">
        <v>0</v>
      </c>
      <c r="CE3922" t="str">
        <f t="shared" si="1442"/>
        <v>19:36:04.439</v>
      </c>
      <c r="CF3922">
        <v>438504484</v>
      </c>
      <c r="CS3922">
        <v>0</v>
      </c>
      <c r="CT3922">
        <v>2</v>
      </c>
      <c r="CU3922">
        <v>0</v>
      </c>
      <c r="CV3922">
        <v>2</v>
      </c>
      <c r="CW3922">
        <v>0</v>
      </c>
      <c r="CX3922">
        <v>5</v>
      </c>
      <c r="CY3922">
        <v>7</v>
      </c>
      <c r="CZ3922" t="s">
        <v>131</v>
      </c>
      <c r="DA3922">
        <v>300</v>
      </c>
      <c r="DB3922">
        <v>0</v>
      </c>
      <c r="DC3922" t="s">
        <v>176</v>
      </c>
      <c r="DD3922" t="s">
        <v>177</v>
      </c>
      <c r="DG3922">
        <v>5450757</v>
      </c>
      <c r="DI3922">
        <v>1</v>
      </c>
      <c r="DJ3922">
        <v>0</v>
      </c>
      <c r="DK3922">
        <v>1</v>
      </c>
      <c r="DL3922">
        <v>0</v>
      </c>
      <c r="DM3922">
        <v>0</v>
      </c>
      <c r="DN3922">
        <v>1</v>
      </c>
      <c r="DO3922">
        <v>0</v>
      </c>
      <c r="DP3922">
        <v>0</v>
      </c>
      <c r="DQ3922">
        <v>0</v>
      </c>
      <c r="DR3922">
        <v>0</v>
      </c>
      <c r="DS3922">
        <v>0</v>
      </c>
    </row>
    <row r="3923" spans="1:123" x14ac:dyDescent="0.3">
      <c r="A3923" t="str">
        <f>"10/04/2022 19:36:04.798"</f>
        <v>10/04/2022 19:36:04.798</v>
      </c>
      <c r="C3923" t="str">
        <f t="shared" si="1427"/>
        <v>FFDFD3C0</v>
      </c>
      <c r="D3923" t="s">
        <v>123</v>
      </c>
      <c r="E3923">
        <v>7</v>
      </c>
      <c r="F3923">
        <v>2007</v>
      </c>
      <c r="G3923" t="s">
        <v>124</v>
      </c>
      <c r="J3923" t="s">
        <v>125</v>
      </c>
      <c r="K3923">
        <v>0</v>
      </c>
      <c r="L3923">
        <v>3</v>
      </c>
      <c r="M3923">
        <v>0</v>
      </c>
      <c r="N3923">
        <v>2</v>
      </c>
      <c r="O3923">
        <v>0</v>
      </c>
      <c r="P3923">
        <v>1</v>
      </c>
      <c r="Q3923">
        <v>0</v>
      </c>
      <c r="S3923" t="str">
        <f t="shared" si="1441"/>
        <v>19:36:04.000</v>
      </c>
      <c r="T3923" t="str">
        <f t="shared" si="1441"/>
        <v>19:36:04.000</v>
      </c>
      <c r="U3923" t="str">
        <f t="shared" si="1437"/>
        <v>AC3944</v>
      </c>
      <c r="V3923">
        <v>0</v>
      </c>
      <c r="W3923">
        <v>0</v>
      </c>
      <c r="X3923">
        <v>2</v>
      </c>
      <c r="Y3923">
        <v>0</v>
      </c>
      <c r="AA3923">
        <v>1</v>
      </c>
      <c r="AB3923">
        <v>8</v>
      </c>
      <c r="AC3923">
        <v>3</v>
      </c>
      <c r="AD3923">
        <v>0</v>
      </c>
      <c r="AE3923">
        <v>9</v>
      </c>
      <c r="AF3923" t="s">
        <v>138</v>
      </c>
      <c r="AG3923">
        <v>0</v>
      </c>
      <c r="AH3923">
        <v>3</v>
      </c>
      <c r="AI3923">
        <v>1</v>
      </c>
      <c r="AJ3923">
        <v>0</v>
      </c>
      <c r="AK3923" t="s">
        <v>1191</v>
      </c>
      <c r="AL3923">
        <v>32.736446999999998</v>
      </c>
      <c r="AM3923" t="s">
        <v>1264</v>
      </c>
      <c r="AN3923">
        <v>-116.692142</v>
      </c>
      <c r="AO3923">
        <v>25</v>
      </c>
      <c r="AP3923">
        <v>4900</v>
      </c>
      <c r="AQ3923" t="s">
        <v>129</v>
      </c>
      <c r="AR3923">
        <v>118</v>
      </c>
      <c r="AS3923">
        <v>-30</v>
      </c>
      <c r="AT3923">
        <v>448</v>
      </c>
      <c r="BB3923">
        <v>1200</v>
      </c>
      <c r="BC3923">
        <v>1</v>
      </c>
      <c r="BD3923" t="str">
        <f t="shared" si="1438"/>
        <v xml:space="preserve">N887QR  </v>
      </c>
      <c r="BE3923">
        <v>1</v>
      </c>
      <c r="BG3923">
        <v>0</v>
      </c>
      <c r="BH3923">
        <v>0</v>
      </c>
      <c r="BI3923">
        <v>0</v>
      </c>
      <c r="BJ3923">
        <v>4700</v>
      </c>
      <c r="BK3923">
        <v>-200</v>
      </c>
      <c r="BL3923" t="s">
        <v>163</v>
      </c>
      <c r="BM3923">
        <v>1</v>
      </c>
      <c r="BN3923">
        <v>1</v>
      </c>
      <c r="BO3923">
        <v>1</v>
      </c>
      <c r="BP3923">
        <v>0</v>
      </c>
      <c r="BS3923">
        <v>0</v>
      </c>
      <c r="BT3923">
        <v>0</v>
      </c>
      <c r="BU3923">
        <v>0</v>
      </c>
      <c r="CE3923" t="str">
        <f t="shared" si="1442"/>
        <v>19:36:04.439</v>
      </c>
      <c r="CF3923">
        <v>438504484</v>
      </c>
      <c r="CS3923">
        <v>0</v>
      </c>
      <c r="CT3923">
        <v>2</v>
      </c>
      <c r="CU3923">
        <v>0</v>
      </c>
      <c r="CV3923">
        <v>2</v>
      </c>
      <c r="CW3923">
        <v>0</v>
      </c>
      <c r="CX3923">
        <v>5</v>
      </c>
      <c r="CY3923">
        <v>7</v>
      </c>
      <c r="CZ3923" t="s">
        <v>131</v>
      </c>
      <c r="DA3923">
        <v>300</v>
      </c>
      <c r="DB3923">
        <v>0</v>
      </c>
      <c r="DC3923" t="s">
        <v>176</v>
      </c>
      <c r="DD3923" t="s">
        <v>177</v>
      </c>
      <c r="DG3923">
        <v>5450757</v>
      </c>
      <c r="DI3923">
        <v>1</v>
      </c>
      <c r="DJ3923">
        <v>0</v>
      </c>
      <c r="DK3923">
        <v>1</v>
      </c>
      <c r="DL3923">
        <v>0</v>
      </c>
      <c r="DM3923">
        <v>0</v>
      </c>
      <c r="DN3923">
        <v>1</v>
      </c>
      <c r="DO3923">
        <v>0</v>
      </c>
      <c r="DP3923">
        <v>0</v>
      </c>
      <c r="DQ3923">
        <v>0</v>
      </c>
      <c r="DR3923">
        <v>0</v>
      </c>
      <c r="DS3923">
        <v>0</v>
      </c>
    </row>
    <row r="3924" spans="1:123" x14ac:dyDescent="0.3">
      <c r="A3924" t="str">
        <f t="shared" ref="A3924:A3929" si="1443">"10/04/2022 19:36:05.111"</f>
        <v>10/04/2022 19:36:05.111</v>
      </c>
      <c r="C3924" t="str">
        <f t="shared" si="1427"/>
        <v>FFDFD3C0</v>
      </c>
      <c r="D3924" t="s">
        <v>143</v>
      </c>
      <c r="E3924">
        <v>20</v>
      </c>
      <c r="F3924">
        <v>1020</v>
      </c>
      <c r="G3924" t="s">
        <v>144</v>
      </c>
      <c r="J3924" t="s">
        <v>145</v>
      </c>
      <c r="K3924">
        <v>0</v>
      </c>
      <c r="L3924">
        <v>3</v>
      </c>
      <c r="M3924">
        <v>0</v>
      </c>
      <c r="N3924">
        <v>2</v>
      </c>
      <c r="O3924">
        <v>0</v>
      </c>
      <c r="P3924">
        <v>1</v>
      </c>
      <c r="Q3924">
        <v>0</v>
      </c>
      <c r="S3924" t="str">
        <f t="shared" si="1441"/>
        <v>19:36:04.000</v>
      </c>
      <c r="T3924" t="str">
        <f t="shared" si="1441"/>
        <v>19:36:04.000</v>
      </c>
      <c r="U3924" t="str">
        <f t="shared" si="1437"/>
        <v>AC3944</v>
      </c>
      <c r="V3924">
        <v>0</v>
      </c>
      <c r="W3924">
        <v>0</v>
      </c>
      <c r="X3924">
        <v>2</v>
      </c>
      <c r="Y3924">
        <v>0</v>
      </c>
      <c r="AA3924">
        <v>1</v>
      </c>
      <c r="AB3924">
        <v>8</v>
      </c>
      <c r="AC3924">
        <v>3</v>
      </c>
      <c r="AD3924">
        <v>0</v>
      </c>
      <c r="AE3924">
        <v>9</v>
      </c>
      <c r="AF3924" t="s">
        <v>138</v>
      </c>
      <c r="AG3924">
        <v>0</v>
      </c>
      <c r="AH3924">
        <v>3</v>
      </c>
      <c r="AI3924">
        <v>1</v>
      </c>
      <c r="AJ3924">
        <v>0</v>
      </c>
      <c r="AK3924" t="s">
        <v>1265</v>
      </c>
      <c r="AL3924">
        <v>32.736339999999998</v>
      </c>
      <c r="AM3924" t="s">
        <v>1266</v>
      </c>
      <c r="AN3924">
        <v>-116.691585</v>
      </c>
      <c r="AO3924">
        <v>25</v>
      </c>
      <c r="AP3924">
        <v>4900</v>
      </c>
      <c r="AQ3924" t="s">
        <v>129</v>
      </c>
      <c r="AR3924">
        <v>118</v>
      </c>
      <c r="AS3924">
        <v>-32</v>
      </c>
      <c r="AT3924">
        <v>448</v>
      </c>
      <c r="BB3924">
        <v>1200</v>
      </c>
      <c r="BC3924">
        <v>1</v>
      </c>
      <c r="BD3924" t="str">
        <f t="shared" si="1438"/>
        <v xml:space="preserve">N887QR  </v>
      </c>
      <c r="BE3924">
        <v>1</v>
      </c>
      <c r="BG3924">
        <v>0</v>
      </c>
      <c r="BH3924">
        <v>0</v>
      </c>
      <c r="BI3924">
        <v>0</v>
      </c>
      <c r="BJ3924">
        <v>4725</v>
      </c>
      <c r="BK3924">
        <v>-175</v>
      </c>
      <c r="BL3924" t="s">
        <v>163</v>
      </c>
      <c r="BM3924">
        <v>1</v>
      </c>
      <c r="BN3924">
        <v>1</v>
      </c>
      <c r="BO3924">
        <v>1</v>
      </c>
      <c r="BP3924">
        <v>0</v>
      </c>
      <c r="BS3924">
        <v>0</v>
      </c>
      <c r="BT3924">
        <v>0</v>
      </c>
      <c r="BU3924">
        <v>0</v>
      </c>
      <c r="CE3924" t="str">
        <f t="shared" ref="CE3924:CE3930" si="1444">"19:36:04.917"</f>
        <v>19:36:04.917</v>
      </c>
      <c r="CF3924">
        <v>916506102</v>
      </c>
      <c r="CS3924">
        <v>0</v>
      </c>
      <c r="CT3924">
        <v>2</v>
      </c>
      <c r="CU3924">
        <v>0</v>
      </c>
      <c r="CV3924">
        <v>2</v>
      </c>
      <c r="CW3924">
        <v>0</v>
      </c>
      <c r="CX3924">
        <v>5</v>
      </c>
      <c r="CY3924">
        <v>7</v>
      </c>
      <c r="CZ3924" t="s">
        <v>131</v>
      </c>
      <c r="DA3924">
        <v>300</v>
      </c>
      <c r="DB3924">
        <v>0</v>
      </c>
      <c r="DC3924" t="s">
        <v>176</v>
      </c>
      <c r="DD3924" t="s">
        <v>177</v>
      </c>
      <c r="DG3924">
        <v>5450838</v>
      </c>
      <c r="DI3924">
        <v>1</v>
      </c>
      <c r="DJ3924">
        <v>0</v>
      </c>
      <c r="DK3924">
        <v>0</v>
      </c>
      <c r="DL3924">
        <v>0</v>
      </c>
      <c r="DM3924">
        <v>0</v>
      </c>
      <c r="DN3924">
        <v>1</v>
      </c>
      <c r="DO3924">
        <v>0</v>
      </c>
      <c r="DP3924">
        <v>0</v>
      </c>
      <c r="DQ3924">
        <v>0</v>
      </c>
      <c r="DR3924">
        <v>0</v>
      </c>
      <c r="DS3924">
        <v>0</v>
      </c>
    </row>
    <row r="3925" spans="1:123" x14ac:dyDescent="0.3">
      <c r="A3925" t="str">
        <f t="shared" si="1443"/>
        <v>10/04/2022 19:36:05.111</v>
      </c>
      <c r="C3925" t="str">
        <f t="shared" si="1427"/>
        <v>FFDFD3C0</v>
      </c>
      <c r="D3925" t="s">
        <v>147</v>
      </c>
      <c r="E3925">
        <v>3</v>
      </c>
      <c r="H3925">
        <v>166</v>
      </c>
      <c r="I3925" t="s">
        <v>144</v>
      </c>
      <c r="J3925" t="s">
        <v>148</v>
      </c>
      <c r="K3925">
        <v>0</v>
      </c>
      <c r="L3925">
        <v>3</v>
      </c>
      <c r="M3925">
        <v>0</v>
      </c>
      <c r="N3925">
        <v>2</v>
      </c>
      <c r="O3925">
        <v>0</v>
      </c>
      <c r="P3925">
        <v>1</v>
      </c>
      <c r="Q3925">
        <v>0</v>
      </c>
      <c r="S3925" t="str">
        <f t="shared" si="1441"/>
        <v>19:36:04.000</v>
      </c>
      <c r="T3925" t="str">
        <f t="shared" si="1441"/>
        <v>19:36:04.000</v>
      </c>
      <c r="U3925" t="str">
        <f t="shared" si="1437"/>
        <v>AC3944</v>
      </c>
      <c r="V3925">
        <v>0</v>
      </c>
      <c r="W3925">
        <v>0</v>
      </c>
      <c r="X3925">
        <v>2</v>
      </c>
      <c r="Y3925">
        <v>0</v>
      </c>
      <c r="AA3925">
        <v>1</v>
      </c>
      <c r="AB3925">
        <v>8</v>
      </c>
      <c r="AC3925">
        <v>3</v>
      </c>
      <c r="AD3925">
        <v>0</v>
      </c>
      <c r="AE3925">
        <v>9</v>
      </c>
      <c r="AF3925" t="s">
        <v>138</v>
      </c>
      <c r="AG3925">
        <v>0</v>
      </c>
      <c r="AH3925">
        <v>3</v>
      </c>
      <c r="AI3925">
        <v>1</v>
      </c>
      <c r="AJ3925">
        <v>0</v>
      </c>
      <c r="AK3925" t="s">
        <v>1265</v>
      </c>
      <c r="AL3925">
        <v>32.736339999999998</v>
      </c>
      <c r="AM3925" t="s">
        <v>1266</v>
      </c>
      <c r="AN3925">
        <v>-116.691585</v>
      </c>
      <c r="AO3925">
        <v>25</v>
      </c>
      <c r="AP3925">
        <v>4900</v>
      </c>
      <c r="AQ3925" t="s">
        <v>129</v>
      </c>
      <c r="AR3925">
        <v>118</v>
      </c>
      <c r="AS3925">
        <v>-32</v>
      </c>
      <c r="AT3925">
        <v>448</v>
      </c>
      <c r="BB3925">
        <v>1200</v>
      </c>
      <c r="BC3925">
        <v>1</v>
      </c>
      <c r="BD3925" t="str">
        <f t="shared" si="1438"/>
        <v xml:space="preserve">N887QR  </v>
      </c>
      <c r="BE3925">
        <v>1</v>
      </c>
      <c r="BG3925">
        <v>0</v>
      </c>
      <c r="BH3925">
        <v>0</v>
      </c>
      <c r="BI3925">
        <v>0</v>
      </c>
      <c r="BJ3925">
        <v>4725</v>
      </c>
      <c r="BK3925">
        <v>-175</v>
      </c>
      <c r="BL3925" t="s">
        <v>163</v>
      </c>
      <c r="BM3925">
        <v>1</v>
      </c>
      <c r="BN3925">
        <v>1</v>
      </c>
      <c r="BO3925">
        <v>1</v>
      </c>
      <c r="BP3925">
        <v>0</v>
      </c>
      <c r="BS3925">
        <v>0</v>
      </c>
      <c r="BT3925">
        <v>0</v>
      </c>
      <c r="BU3925">
        <v>0</v>
      </c>
      <c r="CE3925" t="str">
        <f t="shared" si="1444"/>
        <v>19:36:04.917</v>
      </c>
      <c r="CF3925">
        <v>916506102</v>
      </c>
      <c r="CS3925">
        <v>0</v>
      </c>
      <c r="CT3925">
        <v>2</v>
      </c>
      <c r="CU3925">
        <v>0</v>
      </c>
      <c r="CV3925">
        <v>2</v>
      </c>
      <c r="CW3925">
        <v>0</v>
      </c>
      <c r="CX3925">
        <v>5</v>
      </c>
      <c r="CY3925">
        <v>7</v>
      </c>
      <c r="CZ3925" t="s">
        <v>131</v>
      </c>
      <c r="DA3925">
        <v>300</v>
      </c>
      <c r="DB3925">
        <v>0</v>
      </c>
      <c r="DC3925" t="s">
        <v>176</v>
      </c>
      <c r="DD3925" t="s">
        <v>177</v>
      </c>
      <c r="DG3925">
        <v>5450838</v>
      </c>
      <c r="DI3925">
        <v>1</v>
      </c>
      <c r="DJ3925">
        <v>0</v>
      </c>
      <c r="DK3925">
        <v>1</v>
      </c>
      <c r="DL3925">
        <v>0</v>
      </c>
      <c r="DM3925">
        <v>0</v>
      </c>
      <c r="DN3925">
        <v>1</v>
      </c>
      <c r="DO3925">
        <v>0</v>
      </c>
      <c r="DP3925">
        <v>0</v>
      </c>
      <c r="DQ3925">
        <v>0</v>
      </c>
      <c r="DR3925">
        <v>0</v>
      </c>
      <c r="DS3925">
        <v>0</v>
      </c>
    </row>
    <row r="3926" spans="1:123" x14ac:dyDescent="0.3">
      <c r="A3926" t="str">
        <f t="shared" si="1443"/>
        <v>10/04/2022 19:36:05.111</v>
      </c>
      <c r="C3926" t="str">
        <f t="shared" si="1427"/>
        <v>FFDFD3C0</v>
      </c>
      <c r="D3926" t="s">
        <v>141</v>
      </c>
      <c r="E3926">
        <v>3</v>
      </c>
      <c r="H3926">
        <v>3</v>
      </c>
      <c r="I3926" t="s">
        <v>146</v>
      </c>
      <c r="J3926" t="s">
        <v>138</v>
      </c>
      <c r="K3926">
        <v>0</v>
      </c>
      <c r="L3926">
        <v>3</v>
      </c>
      <c r="M3926">
        <v>0</v>
      </c>
      <c r="N3926">
        <v>2</v>
      </c>
      <c r="O3926">
        <v>0</v>
      </c>
      <c r="P3926">
        <v>1</v>
      </c>
      <c r="Q3926">
        <v>0</v>
      </c>
      <c r="S3926" t="str">
        <f t="shared" si="1441"/>
        <v>19:36:04.000</v>
      </c>
      <c r="T3926" t="str">
        <f t="shared" si="1441"/>
        <v>19:36:04.000</v>
      </c>
      <c r="U3926" t="str">
        <f t="shared" si="1437"/>
        <v>AC3944</v>
      </c>
      <c r="V3926">
        <v>0</v>
      </c>
      <c r="W3926">
        <v>0</v>
      </c>
      <c r="X3926">
        <v>2</v>
      </c>
      <c r="Y3926">
        <v>0</v>
      </c>
      <c r="AA3926">
        <v>1</v>
      </c>
      <c r="AB3926">
        <v>8</v>
      </c>
      <c r="AC3926">
        <v>3</v>
      </c>
      <c r="AD3926">
        <v>0</v>
      </c>
      <c r="AE3926">
        <v>9</v>
      </c>
      <c r="AF3926" t="s">
        <v>138</v>
      </c>
      <c r="AG3926">
        <v>0</v>
      </c>
      <c r="AH3926">
        <v>3</v>
      </c>
      <c r="AI3926">
        <v>1</v>
      </c>
      <c r="AJ3926">
        <v>0</v>
      </c>
      <c r="AK3926" t="s">
        <v>1265</v>
      </c>
      <c r="AL3926">
        <v>32.736339999999998</v>
      </c>
      <c r="AM3926" t="s">
        <v>1266</v>
      </c>
      <c r="AN3926">
        <v>-116.691585</v>
      </c>
      <c r="AO3926">
        <v>25</v>
      </c>
      <c r="AP3926">
        <v>4900</v>
      </c>
      <c r="AQ3926" t="s">
        <v>129</v>
      </c>
      <c r="AR3926">
        <v>118</v>
      </c>
      <c r="AS3926">
        <v>-32</v>
      </c>
      <c r="AT3926">
        <v>448</v>
      </c>
      <c r="BB3926">
        <v>1200</v>
      </c>
      <c r="BC3926">
        <v>1</v>
      </c>
      <c r="BD3926" t="str">
        <f t="shared" si="1438"/>
        <v xml:space="preserve">N887QR  </v>
      </c>
      <c r="BE3926">
        <v>1</v>
      </c>
      <c r="BG3926">
        <v>0</v>
      </c>
      <c r="BH3926">
        <v>0</v>
      </c>
      <c r="BI3926">
        <v>0</v>
      </c>
      <c r="BJ3926">
        <v>4725</v>
      </c>
      <c r="BK3926">
        <v>-175</v>
      </c>
      <c r="BL3926" t="s">
        <v>163</v>
      </c>
      <c r="BM3926">
        <v>1</v>
      </c>
      <c r="BN3926">
        <v>1</v>
      </c>
      <c r="BO3926">
        <v>1</v>
      </c>
      <c r="BP3926">
        <v>0</v>
      </c>
      <c r="BS3926">
        <v>0</v>
      </c>
      <c r="BT3926">
        <v>0</v>
      </c>
      <c r="BU3926">
        <v>0</v>
      </c>
      <c r="CE3926" t="str">
        <f t="shared" si="1444"/>
        <v>19:36:04.917</v>
      </c>
      <c r="CF3926">
        <v>916506102</v>
      </c>
      <c r="CS3926">
        <v>0</v>
      </c>
      <c r="CT3926">
        <v>2</v>
      </c>
      <c r="CU3926">
        <v>0</v>
      </c>
      <c r="CV3926">
        <v>2</v>
      </c>
      <c r="CW3926">
        <v>0</v>
      </c>
      <c r="CX3926">
        <v>5</v>
      </c>
      <c r="CY3926">
        <v>7</v>
      </c>
      <c r="CZ3926" t="s">
        <v>131</v>
      </c>
      <c r="DA3926">
        <v>300</v>
      </c>
      <c r="DB3926">
        <v>0</v>
      </c>
      <c r="DC3926" t="s">
        <v>176</v>
      </c>
      <c r="DD3926" t="s">
        <v>177</v>
      </c>
      <c r="DG3926">
        <v>5450838</v>
      </c>
      <c r="DI3926">
        <v>1</v>
      </c>
      <c r="DJ3926">
        <v>0</v>
      </c>
      <c r="DK3926">
        <v>1</v>
      </c>
      <c r="DL3926">
        <v>0</v>
      </c>
      <c r="DM3926">
        <v>0</v>
      </c>
      <c r="DN3926">
        <v>1</v>
      </c>
      <c r="DO3926">
        <v>0</v>
      </c>
      <c r="DP3926">
        <v>0</v>
      </c>
      <c r="DQ3926">
        <v>0</v>
      </c>
      <c r="DR3926">
        <v>0</v>
      </c>
      <c r="DS3926">
        <v>0</v>
      </c>
    </row>
    <row r="3927" spans="1:123" x14ac:dyDescent="0.3">
      <c r="A3927" t="str">
        <f t="shared" si="1443"/>
        <v>10/04/2022 19:36:05.111</v>
      </c>
      <c r="C3927" t="str">
        <f t="shared" si="1427"/>
        <v>FFDFD3C0</v>
      </c>
      <c r="D3927" t="s">
        <v>123</v>
      </c>
      <c r="E3927">
        <v>7</v>
      </c>
      <c r="F3927">
        <v>2007</v>
      </c>
      <c r="G3927" t="s">
        <v>124</v>
      </c>
      <c r="J3927" t="s">
        <v>125</v>
      </c>
      <c r="K3927">
        <v>0</v>
      </c>
      <c r="L3927">
        <v>3</v>
      </c>
      <c r="M3927">
        <v>0</v>
      </c>
      <c r="N3927">
        <v>2</v>
      </c>
      <c r="O3927">
        <v>0</v>
      </c>
      <c r="P3927">
        <v>1</v>
      </c>
      <c r="Q3927">
        <v>0</v>
      </c>
      <c r="S3927" t="str">
        <f t="shared" si="1441"/>
        <v>19:36:04.000</v>
      </c>
      <c r="T3927" t="str">
        <f t="shared" si="1441"/>
        <v>19:36:04.000</v>
      </c>
      <c r="U3927" t="str">
        <f t="shared" si="1437"/>
        <v>AC3944</v>
      </c>
      <c r="V3927">
        <v>0</v>
      </c>
      <c r="W3927">
        <v>0</v>
      </c>
      <c r="X3927">
        <v>2</v>
      </c>
      <c r="Y3927">
        <v>0</v>
      </c>
      <c r="AA3927">
        <v>1</v>
      </c>
      <c r="AB3927">
        <v>8</v>
      </c>
      <c r="AC3927">
        <v>3</v>
      </c>
      <c r="AD3927">
        <v>0</v>
      </c>
      <c r="AE3927">
        <v>9</v>
      </c>
      <c r="AF3927" t="s">
        <v>138</v>
      </c>
      <c r="AG3927">
        <v>0</v>
      </c>
      <c r="AH3927">
        <v>3</v>
      </c>
      <c r="AI3927">
        <v>1</v>
      </c>
      <c r="AJ3927">
        <v>0</v>
      </c>
      <c r="AK3927" t="s">
        <v>1265</v>
      </c>
      <c r="AL3927">
        <v>32.736339999999998</v>
      </c>
      <c r="AM3927" t="s">
        <v>1266</v>
      </c>
      <c r="AN3927">
        <v>-116.691585</v>
      </c>
      <c r="AO3927">
        <v>25</v>
      </c>
      <c r="AP3927">
        <v>4900</v>
      </c>
      <c r="AQ3927" t="s">
        <v>129</v>
      </c>
      <c r="AR3927">
        <v>118</v>
      </c>
      <c r="AS3927">
        <v>-32</v>
      </c>
      <c r="AT3927">
        <v>448</v>
      </c>
      <c r="BB3927">
        <v>1200</v>
      </c>
      <c r="BC3927">
        <v>1</v>
      </c>
      <c r="BD3927" t="str">
        <f t="shared" si="1438"/>
        <v xml:space="preserve">N887QR  </v>
      </c>
      <c r="BE3927">
        <v>1</v>
      </c>
      <c r="BG3927">
        <v>0</v>
      </c>
      <c r="BH3927">
        <v>0</v>
      </c>
      <c r="BI3927">
        <v>0</v>
      </c>
      <c r="BJ3927">
        <v>4725</v>
      </c>
      <c r="BK3927">
        <v>-175</v>
      </c>
      <c r="BL3927" t="s">
        <v>163</v>
      </c>
      <c r="BM3927">
        <v>1</v>
      </c>
      <c r="BN3927">
        <v>1</v>
      </c>
      <c r="BO3927">
        <v>1</v>
      </c>
      <c r="BP3927">
        <v>0</v>
      </c>
      <c r="BS3927">
        <v>0</v>
      </c>
      <c r="BT3927">
        <v>0</v>
      </c>
      <c r="BU3927">
        <v>0</v>
      </c>
      <c r="CE3927" t="str">
        <f t="shared" si="1444"/>
        <v>19:36:04.917</v>
      </c>
      <c r="CF3927">
        <v>916506102</v>
      </c>
      <c r="CS3927">
        <v>0</v>
      </c>
      <c r="CT3927">
        <v>2</v>
      </c>
      <c r="CU3927">
        <v>0</v>
      </c>
      <c r="CV3927">
        <v>2</v>
      </c>
      <c r="CW3927">
        <v>0</v>
      </c>
      <c r="CX3927">
        <v>5</v>
      </c>
      <c r="CY3927">
        <v>7</v>
      </c>
      <c r="CZ3927" t="s">
        <v>131</v>
      </c>
      <c r="DA3927">
        <v>300</v>
      </c>
      <c r="DB3927">
        <v>0</v>
      </c>
      <c r="DC3927" t="s">
        <v>176</v>
      </c>
      <c r="DD3927" t="s">
        <v>177</v>
      </c>
      <c r="DG3927">
        <v>5450838</v>
      </c>
      <c r="DI3927">
        <v>1</v>
      </c>
      <c r="DJ3927">
        <v>0</v>
      </c>
      <c r="DK3927">
        <v>1</v>
      </c>
      <c r="DL3927">
        <v>0</v>
      </c>
      <c r="DM3927">
        <v>0</v>
      </c>
      <c r="DN3927">
        <v>1</v>
      </c>
      <c r="DO3927">
        <v>0</v>
      </c>
      <c r="DP3927">
        <v>0</v>
      </c>
      <c r="DQ3927">
        <v>0</v>
      </c>
      <c r="DR3927">
        <v>0</v>
      </c>
      <c r="DS3927">
        <v>0</v>
      </c>
    </row>
    <row r="3928" spans="1:123" x14ac:dyDescent="0.3">
      <c r="A3928" t="str">
        <f t="shared" si="1443"/>
        <v>10/04/2022 19:36:05.111</v>
      </c>
      <c r="C3928" t="str">
        <f t="shared" si="1427"/>
        <v>FFDFD3C0</v>
      </c>
      <c r="D3928" t="s">
        <v>136</v>
      </c>
      <c r="E3928">
        <v>8</v>
      </c>
      <c r="H3928">
        <v>225</v>
      </c>
      <c r="I3928" t="s">
        <v>137</v>
      </c>
      <c r="J3928" t="s">
        <v>138</v>
      </c>
      <c r="K3928">
        <v>0</v>
      </c>
      <c r="L3928">
        <v>3</v>
      </c>
      <c r="M3928">
        <v>0</v>
      </c>
      <c r="N3928">
        <v>2</v>
      </c>
      <c r="O3928">
        <v>0</v>
      </c>
      <c r="P3928">
        <v>1</v>
      </c>
      <c r="Q3928">
        <v>0</v>
      </c>
      <c r="S3928" t="str">
        <f t="shared" si="1441"/>
        <v>19:36:04.000</v>
      </c>
      <c r="T3928" t="str">
        <f t="shared" si="1441"/>
        <v>19:36:04.000</v>
      </c>
      <c r="U3928" t="str">
        <f t="shared" si="1437"/>
        <v>AC3944</v>
      </c>
      <c r="V3928">
        <v>0</v>
      </c>
      <c r="W3928">
        <v>0</v>
      </c>
      <c r="X3928">
        <v>2</v>
      </c>
      <c r="Y3928">
        <v>0</v>
      </c>
      <c r="AA3928">
        <v>1</v>
      </c>
      <c r="AB3928">
        <v>8</v>
      </c>
      <c r="AC3928">
        <v>3</v>
      </c>
      <c r="AD3928">
        <v>0</v>
      </c>
      <c r="AE3928">
        <v>9</v>
      </c>
      <c r="AF3928" t="s">
        <v>138</v>
      </c>
      <c r="AG3928">
        <v>0</v>
      </c>
      <c r="AH3928">
        <v>3</v>
      </c>
      <c r="AI3928">
        <v>1</v>
      </c>
      <c r="AJ3928">
        <v>0</v>
      </c>
      <c r="AK3928" t="s">
        <v>1265</v>
      </c>
      <c r="AL3928">
        <v>32.736339999999998</v>
      </c>
      <c r="AM3928" t="s">
        <v>1266</v>
      </c>
      <c r="AN3928">
        <v>-116.691585</v>
      </c>
      <c r="AO3928">
        <v>25</v>
      </c>
      <c r="AP3928">
        <v>4900</v>
      </c>
      <c r="AQ3928" t="s">
        <v>129</v>
      </c>
      <c r="AR3928">
        <v>118</v>
      </c>
      <c r="AS3928">
        <v>-32</v>
      </c>
      <c r="AT3928">
        <v>448</v>
      </c>
      <c r="BB3928">
        <v>1200</v>
      </c>
      <c r="BC3928">
        <v>1</v>
      </c>
      <c r="BD3928" t="str">
        <f t="shared" si="1438"/>
        <v xml:space="preserve">N887QR  </v>
      </c>
      <c r="BE3928">
        <v>1</v>
      </c>
      <c r="BG3928">
        <v>0</v>
      </c>
      <c r="BH3928">
        <v>0</v>
      </c>
      <c r="BI3928">
        <v>0</v>
      </c>
      <c r="BJ3928">
        <v>4725</v>
      </c>
      <c r="BK3928">
        <v>-175</v>
      </c>
      <c r="BL3928" t="s">
        <v>163</v>
      </c>
      <c r="BM3928">
        <v>1</v>
      </c>
      <c r="BN3928">
        <v>1</v>
      </c>
      <c r="BO3928">
        <v>1</v>
      </c>
      <c r="BP3928">
        <v>0</v>
      </c>
      <c r="BS3928">
        <v>0</v>
      </c>
      <c r="BT3928">
        <v>0</v>
      </c>
      <c r="BU3928">
        <v>0</v>
      </c>
      <c r="CE3928" t="str">
        <f t="shared" si="1444"/>
        <v>19:36:04.917</v>
      </c>
      <c r="CF3928">
        <v>916506102</v>
      </c>
      <c r="CS3928">
        <v>0</v>
      </c>
      <c r="CT3928">
        <v>2</v>
      </c>
      <c r="CU3928">
        <v>0</v>
      </c>
      <c r="CV3928">
        <v>2</v>
      </c>
      <c r="CW3928">
        <v>0</v>
      </c>
      <c r="CX3928">
        <v>5</v>
      </c>
      <c r="CY3928">
        <v>7</v>
      </c>
      <c r="CZ3928" t="s">
        <v>131</v>
      </c>
      <c r="DA3928">
        <v>300</v>
      </c>
      <c r="DB3928">
        <v>0</v>
      </c>
      <c r="DC3928" t="s">
        <v>176</v>
      </c>
      <c r="DD3928" t="s">
        <v>177</v>
      </c>
      <c r="DG3928">
        <v>5450838</v>
      </c>
      <c r="DI3928">
        <v>1</v>
      </c>
      <c r="DJ3928">
        <v>0</v>
      </c>
      <c r="DK3928">
        <v>1</v>
      </c>
      <c r="DL3928">
        <v>0</v>
      </c>
      <c r="DM3928">
        <v>0</v>
      </c>
      <c r="DN3928">
        <v>1</v>
      </c>
      <c r="DO3928">
        <v>0</v>
      </c>
      <c r="DP3928">
        <v>0</v>
      </c>
      <c r="DQ3928">
        <v>0</v>
      </c>
      <c r="DR3928">
        <v>0</v>
      </c>
      <c r="DS3928">
        <v>0</v>
      </c>
    </row>
    <row r="3929" spans="1:123" x14ac:dyDescent="0.3">
      <c r="A3929" t="str">
        <f t="shared" si="1443"/>
        <v>10/04/2022 19:36:05.111</v>
      </c>
      <c r="C3929" t="str">
        <f t="shared" si="1427"/>
        <v>FFDFD3C0</v>
      </c>
      <c r="D3929" t="s">
        <v>141</v>
      </c>
      <c r="E3929">
        <v>4</v>
      </c>
      <c r="H3929">
        <v>4</v>
      </c>
      <c r="I3929" t="s">
        <v>142</v>
      </c>
      <c r="J3929" t="s">
        <v>138</v>
      </c>
      <c r="K3929">
        <v>0</v>
      </c>
      <c r="L3929">
        <v>3</v>
      </c>
      <c r="M3929">
        <v>0</v>
      </c>
      <c r="N3929">
        <v>2</v>
      </c>
      <c r="O3929">
        <v>0</v>
      </c>
      <c r="P3929">
        <v>1</v>
      </c>
      <c r="Q3929">
        <v>0</v>
      </c>
      <c r="S3929" t="str">
        <f t="shared" si="1441"/>
        <v>19:36:04.000</v>
      </c>
      <c r="T3929" t="str">
        <f t="shared" si="1441"/>
        <v>19:36:04.000</v>
      </c>
      <c r="U3929" t="str">
        <f t="shared" si="1437"/>
        <v>AC3944</v>
      </c>
      <c r="V3929">
        <v>0</v>
      </c>
      <c r="W3929">
        <v>0</v>
      </c>
      <c r="X3929">
        <v>2</v>
      </c>
      <c r="Y3929">
        <v>0</v>
      </c>
      <c r="AA3929">
        <v>1</v>
      </c>
      <c r="AB3929">
        <v>8</v>
      </c>
      <c r="AC3929">
        <v>3</v>
      </c>
      <c r="AD3929">
        <v>0</v>
      </c>
      <c r="AE3929">
        <v>9</v>
      </c>
      <c r="AF3929" t="s">
        <v>138</v>
      </c>
      <c r="AG3929">
        <v>0</v>
      </c>
      <c r="AH3929">
        <v>3</v>
      </c>
      <c r="AI3929">
        <v>1</v>
      </c>
      <c r="AJ3929">
        <v>0</v>
      </c>
      <c r="AK3929" t="s">
        <v>1265</v>
      </c>
      <c r="AL3929">
        <v>32.736339999999998</v>
      </c>
      <c r="AM3929" t="s">
        <v>1266</v>
      </c>
      <c r="AN3929">
        <v>-116.691585</v>
      </c>
      <c r="AO3929">
        <v>25</v>
      </c>
      <c r="AP3929">
        <v>4900</v>
      </c>
      <c r="AQ3929" t="s">
        <v>129</v>
      </c>
      <c r="AR3929">
        <v>118</v>
      </c>
      <c r="AS3929">
        <v>-32</v>
      </c>
      <c r="AT3929">
        <v>448</v>
      </c>
      <c r="BB3929">
        <v>1200</v>
      </c>
      <c r="BC3929">
        <v>1</v>
      </c>
      <c r="BD3929" t="str">
        <f t="shared" si="1438"/>
        <v xml:space="preserve">N887QR  </v>
      </c>
      <c r="BE3929">
        <v>1</v>
      </c>
      <c r="BG3929">
        <v>0</v>
      </c>
      <c r="BH3929">
        <v>0</v>
      </c>
      <c r="BI3929">
        <v>0</v>
      </c>
      <c r="BJ3929">
        <v>4725</v>
      </c>
      <c r="BK3929">
        <v>-175</v>
      </c>
      <c r="BL3929" t="s">
        <v>163</v>
      </c>
      <c r="BM3929">
        <v>1</v>
      </c>
      <c r="BN3929">
        <v>1</v>
      </c>
      <c r="BO3929">
        <v>1</v>
      </c>
      <c r="BP3929">
        <v>0</v>
      </c>
      <c r="BS3929">
        <v>0</v>
      </c>
      <c r="BT3929">
        <v>0</v>
      </c>
      <c r="BU3929">
        <v>0</v>
      </c>
      <c r="CE3929" t="str">
        <f t="shared" si="1444"/>
        <v>19:36:04.917</v>
      </c>
      <c r="CF3929">
        <v>916506102</v>
      </c>
      <c r="CS3929">
        <v>0</v>
      </c>
      <c r="CT3929">
        <v>2</v>
      </c>
      <c r="CU3929">
        <v>0</v>
      </c>
      <c r="CV3929">
        <v>2</v>
      </c>
      <c r="CW3929">
        <v>0</v>
      </c>
      <c r="CX3929">
        <v>5</v>
      </c>
      <c r="CY3929">
        <v>7</v>
      </c>
      <c r="CZ3929" t="s">
        <v>131</v>
      </c>
      <c r="DA3929">
        <v>300</v>
      </c>
      <c r="DB3929">
        <v>0</v>
      </c>
      <c r="DC3929" t="s">
        <v>176</v>
      </c>
      <c r="DD3929" t="s">
        <v>177</v>
      </c>
      <c r="DG3929">
        <v>5450838</v>
      </c>
      <c r="DI3929">
        <v>1</v>
      </c>
      <c r="DJ3929">
        <v>0</v>
      </c>
      <c r="DK3929">
        <v>1</v>
      </c>
      <c r="DL3929">
        <v>0</v>
      </c>
      <c r="DM3929">
        <v>0</v>
      </c>
      <c r="DN3929">
        <v>1</v>
      </c>
      <c r="DO3929">
        <v>0</v>
      </c>
      <c r="DP3929">
        <v>0</v>
      </c>
      <c r="DQ3929">
        <v>0</v>
      </c>
      <c r="DR3929">
        <v>0</v>
      </c>
      <c r="DS3929">
        <v>0</v>
      </c>
    </row>
    <row r="3930" spans="1:123" x14ac:dyDescent="0.3">
      <c r="A3930" t="str">
        <f>"10/04/2022 19:36:05.173"</f>
        <v>10/04/2022 19:36:05.173</v>
      </c>
      <c r="C3930" t="str">
        <f t="shared" si="1427"/>
        <v>FFDFD3C0</v>
      </c>
      <c r="D3930" t="s">
        <v>134</v>
      </c>
      <c r="E3930">
        <v>15</v>
      </c>
      <c r="J3930" t="s">
        <v>135</v>
      </c>
      <c r="K3930">
        <v>0</v>
      </c>
      <c r="L3930">
        <v>3</v>
      </c>
      <c r="M3930">
        <v>0</v>
      </c>
      <c r="N3930">
        <v>2</v>
      </c>
      <c r="O3930">
        <v>0</v>
      </c>
      <c r="P3930">
        <v>1</v>
      </c>
      <c r="Q3930">
        <v>0</v>
      </c>
      <c r="S3930" t="str">
        <f t="shared" si="1441"/>
        <v>19:36:04.000</v>
      </c>
      <c r="T3930" t="str">
        <f t="shared" si="1441"/>
        <v>19:36:04.000</v>
      </c>
      <c r="U3930" t="str">
        <f t="shared" si="1437"/>
        <v>AC3944</v>
      </c>
      <c r="V3930">
        <v>0</v>
      </c>
      <c r="W3930">
        <v>0</v>
      </c>
      <c r="X3930">
        <v>2</v>
      </c>
      <c r="Y3930">
        <v>0</v>
      </c>
      <c r="AA3930">
        <v>1</v>
      </c>
      <c r="AB3930">
        <v>8</v>
      </c>
      <c r="AC3930">
        <v>3</v>
      </c>
      <c r="AD3930">
        <v>0</v>
      </c>
      <c r="AE3930">
        <v>9</v>
      </c>
      <c r="AF3930" t="s">
        <v>138</v>
      </c>
      <c r="AG3930">
        <v>0</v>
      </c>
      <c r="AH3930">
        <v>3</v>
      </c>
      <c r="AI3930">
        <v>1</v>
      </c>
      <c r="AJ3930">
        <v>0</v>
      </c>
      <c r="AK3930" t="s">
        <v>1265</v>
      </c>
      <c r="AL3930">
        <v>32.736339999999998</v>
      </c>
      <c r="AM3930" t="s">
        <v>1266</v>
      </c>
      <c r="AN3930">
        <v>-116.691585</v>
      </c>
      <c r="AO3930">
        <v>25</v>
      </c>
      <c r="AP3930">
        <v>4900</v>
      </c>
      <c r="AQ3930" t="s">
        <v>129</v>
      </c>
      <c r="AR3930">
        <v>118</v>
      </c>
      <c r="AS3930">
        <v>-32</v>
      </c>
      <c r="AT3930">
        <v>448</v>
      </c>
      <c r="BB3930">
        <v>1200</v>
      </c>
      <c r="BC3930">
        <v>1</v>
      </c>
      <c r="BD3930" t="str">
        <f t="shared" si="1438"/>
        <v xml:space="preserve">N887QR  </v>
      </c>
      <c r="BE3930">
        <v>1</v>
      </c>
      <c r="BG3930">
        <v>0</v>
      </c>
      <c r="BH3930">
        <v>0</v>
      </c>
      <c r="BI3930">
        <v>0</v>
      </c>
      <c r="BJ3930">
        <v>4725</v>
      </c>
      <c r="BK3930">
        <v>-175</v>
      </c>
      <c r="BL3930" t="s">
        <v>163</v>
      </c>
      <c r="BM3930">
        <v>1</v>
      </c>
      <c r="BN3930">
        <v>1</v>
      </c>
      <c r="BO3930">
        <v>1</v>
      </c>
      <c r="BP3930">
        <v>0</v>
      </c>
      <c r="BS3930">
        <v>0</v>
      </c>
      <c r="BT3930">
        <v>0</v>
      </c>
      <c r="BU3930">
        <v>0</v>
      </c>
      <c r="CE3930" t="str">
        <f t="shared" si="1444"/>
        <v>19:36:04.917</v>
      </c>
      <c r="CF3930">
        <v>916506102</v>
      </c>
      <c r="CS3930">
        <v>0</v>
      </c>
      <c r="CT3930">
        <v>2</v>
      </c>
      <c r="CU3930">
        <v>0</v>
      </c>
      <c r="CV3930">
        <v>2</v>
      </c>
      <c r="CW3930">
        <v>0</v>
      </c>
      <c r="CX3930">
        <v>5</v>
      </c>
      <c r="CY3930">
        <v>7</v>
      </c>
      <c r="CZ3930" t="s">
        <v>131</v>
      </c>
      <c r="DA3930">
        <v>300</v>
      </c>
      <c r="DB3930">
        <v>0</v>
      </c>
      <c r="DC3930" t="s">
        <v>176</v>
      </c>
      <c r="DD3930" t="s">
        <v>177</v>
      </c>
      <c r="DG3930">
        <v>5450838</v>
      </c>
      <c r="DI3930">
        <v>1</v>
      </c>
      <c r="DJ3930">
        <v>0</v>
      </c>
      <c r="DK3930">
        <v>0</v>
      </c>
      <c r="DL3930">
        <v>0</v>
      </c>
      <c r="DM3930">
        <v>0</v>
      </c>
      <c r="DN3930">
        <v>1</v>
      </c>
      <c r="DO3930">
        <v>0</v>
      </c>
      <c r="DP3930">
        <v>0</v>
      </c>
      <c r="DQ3930">
        <v>0</v>
      </c>
      <c r="DR3930">
        <v>0</v>
      </c>
      <c r="DS3930">
        <v>0</v>
      </c>
    </row>
    <row r="3931" spans="1:123" x14ac:dyDescent="0.3">
      <c r="A3931" t="str">
        <f t="shared" ref="A3931:A3937" si="1445">"10/04/2022 19:36:06.433"</f>
        <v>10/04/2022 19:36:06.433</v>
      </c>
      <c r="C3931" t="str">
        <f t="shared" si="1427"/>
        <v>FFDFD3C0</v>
      </c>
      <c r="D3931" t="s">
        <v>141</v>
      </c>
      <c r="E3931">
        <v>4</v>
      </c>
      <c r="H3931">
        <v>4</v>
      </c>
      <c r="I3931" t="s">
        <v>142</v>
      </c>
      <c r="J3931" t="s">
        <v>138</v>
      </c>
      <c r="K3931">
        <v>0</v>
      </c>
      <c r="L3931">
        <v>3</v>
      </c>
      <c r="M3931">
        <v>0</v>
      </c>
      <c r="N3931">
        <v>2</v>
      </c>
      <c r="O3931">
        <v>0</v>
      </c>
      <c r="P3931">
        <v>1</v>
      </c>
      <c r="Q3931">
        <v>0</v>
      </c>
      <c r="S3931" t="str">
        <f t="shared" ref="S3931:T3937" si="1446">"19:36:06.000"</f>
        <v>19:36:06.000</v>
      </c>
      <c r="T3931" t="str">
        <f t="shared" si="1446"/>
        <v>19:36:06.000</v>
      </c>
      <c r="U3931" t="str">
        <f t="shared" si="1437"/>
        <v>AC3944</v>
      </c>
      <c r="V3931">
        <v>0</v>
      </c>
      <c r="W3931">
        <v>0</v>
      </c>
      <c r="X3931">
        <v>2</v>
      </c>
      <c r="Y3931">
        <v>0</v>
      </c>
      <c r="AA3931">
        <v>1</v>
      </c>
      <c r="AB3931">
        <v>8</v>
      </c>
      <c r="AC3931">
        <v>3</v>
      </c>
      <c r="AD3931">
        <v>0</v>
      </c>
      <c r="AE3931">
        <v>9</v>
      </c>
      <c r="AF3931" t="s">
        <v>138</v>
      </c>
      <c r="AG3931">
        <v>0</v>
      </c>
      <c r="AH3931">
        <v>3</v>
      </c>
      <c r="AI3931">
        <v>1</v>
      </c>
      <c r="AJ3931">
        <v>0</v>
      </c>
      <c r="AK3931" t="s">
        <v>1267</v>
      </c>
      <c r="AL3931">
        <v>32.736189000000003</v>
      </c>
      <c r="AM3931" t="s">
        <v>1268</v>
      </c>
      <c r="AN3931">
        <v>-116.690962</v>
      </c>
      <c r="AO3931">
        <v>25</v>
      </c>
      <c r="AP3931">
        <v>4900</v>
      </c>
      <c r="AQ3931" t="s">
        <v>129</v>
      </c>
      <c r="AR3931">
        <v>116</v>
      </c>
      <c r="AS3931">
        <v>-36</v>
      </c>
      <c r="AT3931">
        <v>448</v>
      </c>
      <c r="BB3931">
        <v>1200</v>
      </c>
      <c r="BC3931">
        <v>1</v>
      </c>
      <c r="BD3931" t="str">
        <f t="shared" si="1438"/>
        <v xml:space="preserve">N887QR  </v>
      </c>
      <c r="BE3931">
        <v>1</v>
      </c>
      <c r="BG3931">
        <v>0</v>
      </c>
      <c r="BH3931">
        <v>0</v>
      </c>
      <c r="BI3931">
        <v>0</v>
      </c>
      <c r="BJ3931">
        <v>4725</v>
      </c>
      <c r="BK3931">
        <v>-175</v>
      </c>
      <c r="BL3931" t="s">
        <v>163</v>
      </c>
      <c r="BM3931">
        <v>1</v>
      </c>
      <c r="BN3931">
        <v>1</v>
      </c>
      <c r="BO3931">
        <v>1</v>
      </c>
      <c r="BP3931">
        <v>0</v>
      </c>
      <c r="BS3931">
        <v>0</v>
      </c>
      <c r="BT3931">
        <v>0</v>
      </c>
      <c r="BU3931">
        <v>0</v>
      </c>
      <c r="CE3931" t="str">
        <f t="shared" ref="CE3931:CE3937" si="1447">"19:36:06.040"</f>
        <v>19:36:06.040</v>
      </c>
      <c r="CF3931">
        <v>40259931</v>
      </c>
      <c r="CS3931">
        <v>0</v>
      </c>
      <c r="CT3931">
        <v>2</v>
      </c>
      <c r="CU3931">
        <v>0</v>
      </c>
      <c r="CV3931">
        <v>2</v>
      </c>
      <c r="CW3931">
        <v>0</v>
      </c>
      <c r="CX3931">
        <v>5</v>
      </c>
      <c r="CY3931">
        <v>7</v>
      </c>
      <c r="CZ3931" t="s">
        <v>131</v>
      </c>
      <c r="DA3931">
        <v>300</v>
      </c>
      <c r="DB3931">
        <v>0</v>
      </c>
      <c r="DC3931" t="s">
        <v>176</v>
      </c>
      <c r="DD3931" t="s">
        <v>177</v>
      </c>
      <c r="DG3931">
        <v>5451011</v>
      </c>
      <c r="DI3931">
        <v>1</v>
      </c>
      <c r="DJ3931">
        <v>0</v>
      </c>
      <c r="DK3931">
        <v>0</v>
      </c>
      <c r="DL3931">
        <v>0</v>
      </c>
      <c r="DM3931">
        <v>0</v>
      </c>
      <c r="DN3931">
        <v>1</v>
      </c>
      <c r="DO3931">
        <v>0</v>
      </c>
      <c r="DP3931">
        <v>0</v>
      </c>
      <c r="DQ3931">
        <v>0</v>
      </c>
      <c r="DR3931">
        <v>0</v>
      </c>
      <c r="DS3931">
        <v>0</v>
      </c>
    </row>
    <row r="3932" spans="1:123" x14ac:dyDescent="0.3">
      <c r="A3932" t="str">
        <f t="shared" si="1445"/>
        <v>10/04/2022 19:36:06.433</v>
      </c>
      <c r="C3932" t="str">
        <f t="shared" si="1427"/>
        <v>FFDFD3C0</v>
      </c>
      <c r="D3932" t="s">
        <v>136</v>
      </c>
      <c r="E3932">
        <v>8</v>
      </c>
      <c r="H3932">
        <v>225</v>
      </c>
      <c r="I3932" t="s">
        <v>137</v>
      </c>
      <c r="J3932" t="s">
        <v>138</v>
      </c>
      <c r="K3932">
        <v>0</v>
      </c>
      <c r="L3932">
        <v>3</v>
      </c>
      <c r="M3932">
        <v>0</v>
      </c>
      <c r="N3932">
        <v>2</v>
      </c>
      <c r="O3932">
        <v>0</v>
      </c>
      <c r="P3932">
        <v>1</v>
      </c>
      <c r="Q3932">
        <v>0</v>
      </c>
      <c r="S3932" t="str">
        <f t="shared" si="1446"/>
        <v>19:36:06.000</v>
      </c>
      <c r="T3932" t="str">
        <f t="shared" si="1446"/>
        <v>19:36:06.000</v>
      </c>
      <c r="U3932" t="str">
        <f t="shared" si="1437"/>
        <v>AC3944</v>
      </c>
      <c r="V3932">
        <v>0</v>
      </c>
      <c r="W3932">
        <v>0</v>
      </c>
      <c r="X3932">
        <v>2</v>
      </c>
      <c r="Y3932">
        <v>0</v>
      </c>
      <c r="AA3932">
        <v>1</v>
      </c>
      <c r="AB3932">
        <v>8</v>
      </c>
      <c r="AC3932">
        <v>3</v>
      </c>
      <c r="AD3932">
        <v>0</v>
      </c>
      <c r="AE3932">
        <v>9</v>
      </c>
      <c r="AF3932" t="s">
        <v>138</v>
      </c>
      <c r="AG3932">
        <v>0</v>
      </c>
      <c r="AH3932">
        <v>3</v>
      </c>
      <c r="AI3932">
        <v>1</v>
      </c>
      <c r="AJ3932">
        <v>0</v>
      </c>
      <c r="AK3932" t="s">
        <v>1267</v>
      </c>
      <c r="AL3932">
        <v>32.736189000000003</v>
      </c>
      <c r="AM3932" t="s">
        <v>1268</v>
      </c>
      <c r="AN3932">
        <v>-116.690962</v>
      </c>
      <c r="AO3932">
        <v>25</v>
      </c>
      <c r="AP3932">
        <v>4900</v>
      </c>
      <c r="AQ3932" t="s">
        <v>129</v>
      </c>
      <c r="AR3932">
        <v>116</v>
      </c>
      <c r="AS3932">
        <v>-36</v>
      </c>
      <c r="AT3932">
        <v>448</v>
      </c>
      <c r="BB3932">
        <v>1200</v>
      </c>
      <c r="BC3932">
        <v>1</v>
      </c>
      <c r="BD3932" t="str">
        <f t="shared" si="1438"/>
        <v xml:space="preserve">N887QR  </v>
      </c>
      <c r="BE3932">
        <v>1</v>
      </c>
      <c r="BG3932">
        <v>0</v>
      </c>
      <c r="BH3932">
        <v>0</v>
      </c>
      <c r="BI3932">
        <v>0</v>
      </c>
      <c r="BJ3932">
        <v>4725</v>
      </c>
      <c r="BK3932">
        <v>-175</v>
      </c>
      <c r="BL3932" t="s">
        <v>163</v>
      </c>
      <c r="BM3932">
        <v>1</v>
      </c>
      <c r="BN3932">
        <v>1</v>
      </c>
      <c r="BO3932">
        <v>1</v>
      </c>
      <c r="BP3932">
        <v>0</v>
      </c>
      <c r="BS3932">
        <v>0</v>
      </c>
      <c r="BT3932">
        <v>0</v>
      </c>
      <c r="BU3932">
        <v>0</v>
      </c>
      <c r="CE3932" t="str">
        <f t="shared" si="1447"/>
        <v>19:36:06.040</v>
      </c>
      <c r="CF3932">
        <v>40259931</v>
      </c>
      <c r="CS3932">
        <v>0</v>
      </c>
      <c r="CT3932">
        <v>2</v>
      </c>
      <c r="CU3932">
        <v>0</v>
      </c>
      <c r="CV3932">
        <v>2</v>
      </c>
      <c r="CW3932">
        <v>0</v>
      </c>
      <c r="CX3932">
        <v>5</v>
      </c>
      <c r="CY3932">
        <v>7</v>
      </c>
      <c r="CZ3932" t="s">
        <v>131</v>
      </c>
      <c r="DA3932">
        <v>300</v>
      </c>
      <c r="DB3932">
        <v>0</v>
      </c>
      <c r="DC3932" t="s">
        <v>176</v>
      </c>
      <c r="DD3932" t="s">
        <v>177</v>
      </c>
      <c r="DG3932">
        <v>5451011</v>
      </c>
      <c r="DI3932">
        <v>1</v>
      </c>
      <c r="DJ3932">
        <v>0</v>
      </c>
      <c r="DK3932">
        <v>1</v>
      </c>
      <c r="DL3932">
        <v>0</v>
      </c>
      <c r="DM3932">
        <v>0</v>
      </c>
      <c r="DN3932">
        <v>1</v>
      </c>
      <c r="DO3932">
        <v>0</v>
      </c>
      <c r="DP3932">
        <v>0</v>
      </c>
      <c r="DQ3932">
        <v>0</v>
      </c>
      <c r="DR3932">
        <v>0</v>
      </c>
      <c r="DS3932">
        <v>0</v>
      </c>
    </row>
    <row r="3933" spans="1:123" x14ac:dyDescent="0.3">
      <c r="A3933" t="str">
        <f t="shared" si="1445"/>
        <v>10/04/2022 19:36:06.433</v>
      </c>
      <c r="C3933" t="str">
        <f t="shared" si="1427"/>
        <v>FFDFD3C0</v>
      </c>
      <c r="D3933" t="s">
        <v>134</v>
      </c>
      <c r="E3933">
        <v>15</v>
      </c>
      <c r="J3933" t="s">
        <v>135</v>
      </c>
      <c r="K3933">
        <v>0</v>
      </c>
      <c r="L3933">
        <v>3</v>
      </c>
      <c r="M3933">
        <v>0</v>
      </c>
      <c r="N3933">
        <v>2</v>
      </c>
      <c r="O3933">
        <v>0</v>
      </c>
      <c r="P3933">
        <v>1</v>
      </c>
      <c r="Q3933">
        <v>0</v>
      </c>
      <c r="S3933" t="str">
        <f t="shared" si="1446"/>
        <v>19:36:06.000</v>
      </c>
      <c r="T3933" t="str">
        <f t="shared" si="1446"/>
        <v>19:36:06.000</v>
      </c>
      <c r="U3933" t="str">
        <f t="shared" si="1437"/>
        <v>AC3944</v>
      </c>
      <c r="V3933">
        <v>0</v>
      </c>
      <c r="W3933">
        <v>0</v>
      </c>
      <c r="X3933">
        <v>2</v>
      </c>
      <c r="Y3933">
        <v>0</v>
      </c>
      <c r="AA3933">
        <v>1</v>
      </c>
      <c r="AB3933">
        <v>8</v>
      </c>
      <c r="AC3933">
        <v>3</v>
      </c>
      <c r="AD3933">
        <v>0</v>
      </c>
      <c r="AE3933">
        <v>9</v>
      </c>
      <c r="AF3933" t="s">
        <v>138</v>
      </c>
      <c r="AG3933">
        <v>0</v>
      </c>
      <c r="AH3933">
        <v>3</v>
      </c>
      <c r="AI3933">
        <v>1</v>
      </c>
      <c r="AJ3933">
        <v>0</v>
      </c>
      <c r="AK3933" t="s">
        <v>1267</v>
      </c>
      <c r="AL3933">
        <v>32.736189000000003</v>
      </c>
      <c r="AM3933" t="s">
        <v>1268</v>
      </c>
      <c r="AN3933">
        <v>-116.690962</v>
      </c>
      <c r="AO3933">
        <v>25</v>
      </c>
      <c r="AP3933">
        <v>4900</v>
      </c>
      <c r="AQ3933" t="s">
        <v>129</v>
      </c>
      <c r="AR3933">
        <v>116</v>
      </c>
      <c r="AS3933">
        <v>-36</v>
      </c>
      <c r="AT3933">
        <v>448</v>
      </c>
      <c r="BB3933">
        <v>1200</v>
      </c>
      <c r="BC3933">
        <v>1</v>
      </c>
      <c r="BD3933" t="str">
        <f t="shared" si="1438"/>
        <v xml:space="preserve">N887QR  </v>
      </c>
      <c r="BE3933">
        <v>1</v>
      </c>
      <c r="BG3933">
        <v>0</v>
      </c>
      <c r="BH3933">
        <v>0</v>
      </c>
      <c r="BI3933">
        <v>0</v>
      </c>
      <c r="BJ3933">
        <v>4725</v>
      </c>
      <c r="BK3933">
        <v>-175</v>
      </c>
      <c r="BL3933" t="s">
        <v>163</v>
      </c>
      <c r="BM3933">
        <v>1</v>
      </c>
      <c r="BN3933">
        <v>1</v>
      </c>
      <c r="BO3933">
        <v>1</v>
      </c>
      <c r="BP3933">
        <v>0</v>
      </c>
      <c r="BS3933">
        <v>0</v>
      </c>
      <c r="BT3933">
        <v>0</v>
      </c>
      <c r="BU3933">
        <v>0</v>
      </c>
      <c r="CE3933" t="str">
        <f t="shared" si="1447"/>
        <v>19:36:06.040</v>
      </c>
      <c r="CF3933">
        <v>40259931</v>
      </c>
      <c r="CS3933">
        <v>0</v>
      </c>
      <c r="CT3933">
        <v>2</v>
      </c>
      <c r="CU3933">
        <v>0</v>
      </c>
      <c r="CV3933">
        <v>2</v>
      </c>
      <c r="CW3933">
        <v>0</v>
      </c>
      <c r="CX3933">
        <v>5</v>
      </c>
      <c r="CY3933">
        <v>7</v>
      </c>
      <c r="CZ3933" t="s">
        <v>131</v>
      </c>
      <c r="DA3933">
        <v>300</v>
      </c>
      <c r="DB3933">
        <v>0</v>
      </c>
      <c r="DC3933" t="s">
        <v>176</v>
      </c>
      <c r="DD3933" t="s">
        <v>177</v>
      </c>
      <c r="DG3933">
        <v>5451011</v>
      </c>
      <c r="DI3933">
        <v>1</v>
      </c>
      <c r="DJ3933">
        <v>0</v>
      </c>
      <c r="DK3933">
        <v>1</v>
      </c>
      <c r="DL3933">
        <v>0</v>
      </c>
      <c r="DM3933">
        <v>0</v>
      </c>
      <c r="DN3933">
        <v>1</v>
      </c>
      <c r="DO3933">
        <v>0</v>
      </c>
      <c r="DP3933">
        <v>0</v>
      </c>
      <c r="DQ3933">
        <v>0</v>
      </c>
      <c r="DR3933">
        <v>0</v>
      </c>
      <c r="DS3933">
        <v>0</v>
      </c>
    </row>
    <row r="3934" spans="1:123" x14ac:dyDescent="0.3">
      <c r="A3934" t="str">
        <f t="shared" si="1445"/>
        <v>10/04/2022 19:36:06.433</v>
      </c>
      <c r="C3934" t="str">
        <f t="shared" si="1427"/>
        <v>FFDFD3C0</v>
      </c>
      <c r="D3934" t="s">
        <v>143</v>
      </c>
      <c r="E3934">
        <v>20</v>
      </c>
      <c r="F3934">
        <v>1020</v>
      </c>
      <c r="G3934" t="s">
        <v>144</v>
      </c>
      <c r="J3934" t="s">
        <v>145</v>
      </c>
      <c r="K3934">
        <v>0</v>
      </c>
      <c r="L3934">
        <v>3</v>
      </c>
      <c r="M3934">
        <v>0</v>
      </c>
      <c r="N3934">
        <v>2</v>
      </c>
      <c r="O3934">
        <v>0</v>
      </c>
      <c r="P3934">
        <v>1</v>
      </c>
      <c r="Q3934">
        <v>0</v>
      </c>
      <c r="S3934" t="str">
        <f t="shared" si="1446"/>
        <v>19:36:06.000</v>
      </c>
      <c r="T3934" t="str">
        <f t="shared" si="1446"/>
        <v>19:36:06.000</v>
      </c>
      <c r="U3934" t="str">
        <f t="shared" si="1437"/>
        <v>AC3944</v>
      </c>
      <c r="V3934">
        <v>0</v>
      </c>
      <c r="W3934">
        <v>0</v>
      </c>
      <c r="X3934">
        <v>2</v>
      </c>
      <c r="Y3934">
        <v>0</v>
      </c>
      <c r="AA3934">
        <v>1</v>
      </c>
      <c r="AB3934">
        <v>8</v>
      </c>
      <c r="AC3934">
        <v>3</v>
      </c>
      <c r="AD3934">
        <v>0</v>
      </c>
      <c r="AE3934">
        <v>9</v>
      </c>
      <c r="AF3934" t="s">
        <v>138</v>
      </c>
      <c r="AG3934">
        <v>0</v>
      </c>
      <c r="AH3934">
        <v>3</v>
      </c>
      <c r="AI3934">
        <v>1</v>
      </c>
      <c r="AJ3934">
        <v>0</v>
      </c>
      <c r="AK3934" t="s">
        <v>1267</v>
      </c>
      <c r="AL3934">
        <v>32.736189000000003</v>
      </c>
      <c r="AM3934" t="s">
        <v>1268</v>
      </c>
      <c r="AN3934">
        <v>-116.690962</v>
      </c>
      <c r="AO3934">
        <v>25</v>
      </c>
      <c r="AP3934">
        <v>4900</v>
      </c>
      <c r="AQ3934" t="s">
        <v>129</v>
      </c>
      <c r="AR3934">
        <v>116</v>
      </c>
      <c r="AS3934">
        <v>-36</v>
      </c>
      <c r="AT3934">
        <v>448</v>
      </c>
      <c r="BB3934">
        <v>1200</v>
      </c>
      <c r="BC3934">
        <v>1</v>
      </c>
      <c r="BD3934" t="str">
        <f t="shared" si="1438"/>
        <v xml:space="preserve">N887QR  </v>
      </c>
      <c r="BE3934">
        <v>1</v>
      </c>
      <c r="BG3934">
        <v>0</v>
      </c>
      <c r="BH3934">
        <v>0</v>
      </c>
      <c r="BI3934">
        <v>0</v>
      </c>
      <c r="BJ3934">
        <v>4725</v>
      </c>
      <c r="BK3934">
        <v>-175</v>
      </c>
      <c r="BL3934" t="s">
        <v>163</v>
      </c>
      <c r="BM3934">
        <v>1</v>
      </c>
      <c r="BN3934">
        <v>1</v>
      </c>
      <c r="BO3934">
        <v>1</v>
      </c>
      <c r="BP3934">
        <v>0</v>
      </c>
      <c r="BS3934">
        <v>0</v>
      </c>
      <c r="BT3934">
        <v>0</v>
      </c>
      <c r="BU3934">
        <v>0</v>
      </c>
      <c r="CE3934" t="str">
        <f t="shared" si="1447"/>
        <v>19:36:06.040</v>
      </c>
      <c r="CF3934">
        <v>40259931</v>
      </c>
      <c r="CS3934">
        <v>0</v>
      </c>
      <c r="CT3934">
        <v>2</v>
      </c>
      <c r="CU3934">
        <v>0</v>
      </c>
      <c r="CV3934">
        <v>2</v>
      </c>
      <c r="CW3934">
        <v>0</v>
      </c>
      <c r="CX3934">
        <v>5</v>
      </c>
      <c r="CY3934">
        <v>7</v>
      </c>
      <c r="CZ3934" t="s">
        <v>131</v>
      </c>
      <c r="DA3934">
        <v>300</v>
      </c>
      <c r="DB3934">
        <v>0</v>
      </c>
      <c r="DC3934" t="s">
        <v>176</v>
      </c>
      <c r="DD3934" t="s">
        <v>177</v>
      </c>
      <c r="DG3934">
        <v>5451011</v>
      </c>
      <c r="DI3934">
        <v>1</v>
      </c>
      <c r="DJ3934">
        <v>0</v>
      </c>
      <c r="DK3934">
        <v>1</v>
      </c>
      <c r="DL3934">
        <v>0</v>
      </c>
      <c r="DM3934">
        <v>0</v>
      </c>
      <c r="DN3934">
        <v>1</v>
      </c>
      <c r="DO3934">
        <v>0</v>
      </c>
      <c r="DP3934">
        <v>0</v>
      </c>
      <c r="DQ3934">
        <v>0</v>
      </c>
      <c r="DR3934">
        <v>0</v>
      </c>
      <c r="DS3934">
        <v>0</v>
      </c>
    </row>
    <row r="3935" spans="1:123" x14ac:dyDescent="0.3">
      <c r="A3935" t="str">
        <f t="shared" si="1445"/>
        <v>10/04/2022 19:36:06.433</v>
      </c>
      <c r="C3935" t="str">
        <f t="shared" si="1427"/>
        <v>FFDFD3C0</v>
      </c>
      <c r="D3935" t="s">
        <v>147</v>
      </c>
      <c r="E3935">
        <v>3</v>
      </c>
      <c r="H3935">
        <v>166</v>
      </c>
      <c r="I3935" t="s">
        <v>144</v>
      </c>
      <c r="J3935" t="s">
        <v>148</v>
      </c>
      <c r="K3935">
        <v>0</v>
      </c>
      <c r="L3935">
        <v>3</v>
      </c>
      <c r="M3935">
        <v>0</v>
      </c>
      <c r="N3935">
        <v>2</v>
      </c>
      <c r="O3935">
        <v>0</v>
      </c>
      <c r="P3935">
        <v>1</v>
      </c>
      <c r="Q3935">
        <v>0</v>
      </c>
      <c r="S3935" t="str">
        <f t="shared" si="1446"/>
        <v>19:36:06.000</v>
      </c>
      <c r="T3935" t="str">
        <f t="shared" si="1446"/>
        <v>19:36:06.000</v>
      </c>
      <c r="U3935" t="str">
        <f t="shared" si="1437"/>
        <v>AC3944</v>
      </c>
      <c r="V3935">
        <v>0</v>
      </c>
      <c r="W3935">
        <v>0</v>
      </c>
      <c r="X3935">
        <v>2</v>
      </c>
      <c r="Y3935">
        <v>0</v>
      </c>
      <c r="AA3935">
        <v>1</v>
      </c>
      <c r="AB3935">
        <v>8</v>
      </c>
      <c r="AC3935">
        <v>3</v>
      </c>
      <c r="AD3935">
        <v>0</v>
      </c>
      <c r="AE3935">
        <v>9</v>
      </c>
      <c r="AF3935" t="s">
        <v>138</v>
      </c>
      <c r="AG3935">
        <v>0</v>
      </c>
      <c r="AH3935">
        <v>3</v>
      </c>
      <c r="AI3935">
        <v>1</v>
      </c>
      <c r="AJ3935">
        <v>0</v>
      </c>
      <c r="AK3935" t="s">
        <v>1267</v>
      </c>
      <c r="AL3935">
        <v>32.736189000000003</v>
      </c>
      <c r="AM3935" t="s">
        <v>1268</v>
      </c>
      <c r="AN3935">
        <v>-116.690962</v>
      </c>
      <c r="AO3935">
        <v>25</v>
      </c>
      <c r="AP3935">
        <v>4900</v>
      </c>
      <c r="AQ3935" t="s">
        <v>129</v>
      </c>
      <c r="AR3935">
        <v>116</v>
      </c>
      <c r="AS3935">
        <v>-36</v>
      </c>
      <c r="AT3935">
        <v>448</v>
      </c>
      <c r="BB3935">
        <v>1200</v>
      </c>
      <c r="BC3935">
        <v>1</v>
      </c>
      <c r="BD3935" t="str">
        <f t="shared" si="1438"/>
        <v xml:space="preserve">N887QR  </v>
      </c>
      <c r="BE3935">
        <v>1</v>
      </c>
      <c r="BG3935">
        <v>0</v>
      </c>
      <c r="BH3935">
        <v>0</v>
      </c>
      <c r="BI3935">
        <v>0</v>
      </c>
      <c r="BJ3935">
        <v>4725</v>
      </c>
      <c r="BK3935">
        <v>-175</v>
      </c>
      <c r="BL3935" t="s">
        <v>163</v>
      </c>
      <c r="BM3935">
        <v>1</v>
      </c>
      <c r="BN3935">
        <v>1</v>
      </c>
      <c r="BO3935">
        <v>1</v>
      </c>
      <c r="BP3935">
        <v>0</v>
      </c>
      <c r="BS3935">
        <v>0</v>
      </c>
      <c r="BT3935">
        <v>0</v>
      </c>
      <c r="BU3935">
        <v>0</v>
      </c>
      <c r="CE3935" t="str">
        <f t="shared" si="1447"/>
        <v>19:36:06.040</v>
      </c>
      <c r="CF3935">
        <v>40259931</v>
      </c>
      <c r="CS3935">
        <v>0</v>
      </c>
      <c r="CT3935">
        <v>2</v>
      </c>
      <c r="CU3935">
        <v>0</v>
      </c>
      <c r="CV3935">
        <v>2</v>
      </c>
      <c r="CW3935">
        <v>0</v>
      </c>
      <c r="CX3935">
        <v>5</v>
      </c>
      <c r="CY3935">
        <v>7</v>
      </c>
      <c r="CZ3935" t="s">
        <v>131</v>
      </c>
      <c r="DA3935">
        <v>300</v>
      </c>
      <c r="DB3935">
        <v>0</v>
      </c>
      <c r="DC3935" t="s">
        <v>176</v>
      </c>
      <c r="DD3935" t="s">
        <v>177</v>
      </c>
      <c r="DG3935">
        <v>5451011</v>
      </c>
      <c r="DI3935">
        <v>1</v>
      </c>
      <c r="DJ3935">
        <v>0</v>
      </c>
      <c r="DK3935">
        <v>1</v>
      </c>
      <c r="DL3935">
        <v>0</v>
      </c>
      <c r="DM3935">
        <v>0</v>
      </c>
      <c r="DN3935">
        <v>1</v>
      </c>
      <c r="DO3935">
        <v>0</v>
      </c>
      <c r="DP3935">
        <v>0</v>
      </c>
      <c r="DQ3935">
        <v>0</v>
      </c>
      <c r="DR3935">
        <v>0</v>
      </c>
      <c r="DS3935">
        <v>0</v>
      </c>
    </row>
    <row r="3936" spans="1:123" x14ac:dyDescent="0.3">
      <c r="A3936" t="str">
        <f t="shared" si="1445"/>
        <v>10/04/2022 19:36:06.433</v>
      </c>
      <c r="C3936" t="str">
        <f t="shared" si="1427"/>
        <v>FFDFD3C0</v>
      </c>
      <c r="D3936" t="s">
        <v>123</v>
      </c>
      <c r="E3936">
        <v>7</v>
      </c>
      <c r="F3936">
        <v>2007</v>
      </c>
      <c r="G3936" t="s">
        <v>124</v>
      </c>
      <c r="J3936" t="s">
        <v>125</v>
      </c>
      <c r="K3936">
        <v>0</v>
      </c>
      <c r="L3936">
        <v>3</v>
      </c>
      <c r="M3936">
        <v>0</v>
      </c>
      <c r="N3936">
        <v>2</v>
      </c>
      <c r="O3936">
        <v>0</v>
      </c>
      <c r="P3936">
        <v>1</v>
      </c>
      <c r="Q3936">
        <v>0</v>
      </c>
      <c r="S3936" t="str">
        <f t="shared" si="1446"/>
        <v>19:36:06.000</v>
      </c>
      <c r="T3936" t="str">
        <f t="shared" si="1446"/>
        <v>19:36:06.000</v>
      </c>
      <c r="U3936" t="str">
        <f t="shared" si="1437"/>
        <v>AC3944</v>
      </c>
      <c r="V3936">
        <v>0</v>
      </c>
      <c r="W3936">
        <v>0</v>
      </c>
      <c r="X3936">
        <v>2</v>
      </c>
      <c r="Y3936">
        <v>0</v>
      </c>
      <c r="AA3936">
        <v>1</v>
      </c>
      <c r="AB3936">
        <v>8</v>
      </c>
      <c r="AC3936">
        <v>3</v>
      </c>
      <c r="AD3936">
        <v>0</v>
      </c>
      <c r="AE3936">
        <v>9</v>
      </c>
      <c r="AF3936" t="s">
        <v>138</v>
      </c>
      <c r="AG3936">
        <v>0</v>
      </c>
      <c r="AH3936">
        <v>3</v>
      </c>
      <c r="AI3936">
        <v>1</v>
      </c>
      <c r="AJ3936">
        <v>0</v>
      </c>
      <c r="AK3936" t="s">
        <v>1267</v>
      </c>
      <c r="AL3936">
        <v>32.736189000000003</v>
      </c>
      <c r="AM3936" t="s">
        <v>1268</v>
      </c>
      <c r="AN3936">
        <v>-116.690962</v>
      </c>
      <c r="AO3936">
        <v>25</v>
      </c>
      <c r="AP3936">
        <v>4900</v>
      </c>
      <c r="AQ3936" t="s">
        <v>129</v>
      </c>
      <c r="AR3936">
        <v>116</v>
      </c>
      <c r="AS3936">
        <v>-36</v>
      </c>
      <c r="AT3936">
        <v>448</v>
      </c>
      <c r="BB3936">
        <v>1200</v>
      </c>
      <c r="BC3936">
        <v>1</v>
      </c>
      <c r="BD3936" t="str">
        <f t="shared" si="1438"/>
        <v xml:space="preserve">N887QR  </v>
      </c>
      <c r="BE3936">
        <v>1</v>
      </c>
      <c r="BG3936">
        <v>0</v>
      </c>
      <c r="BH3936">
        <v>0</v>
      </c>
      <c r="BI3936">
        <v>0</v>
      </c>
      <c r="BJ3936">
        <v>4725</v>
      </c>
      <c r="BK3936">
        <v>-175</v>
      </c>
      <c r="BL3936" t="s">
        <v>163</v>
      </c>
      <c r="BM3936">
        <v>1</v>
      </c>
      <c r="BN3936">
        <v>1</v>
      </c>
      <c r="BO3936">
        <v>1</v>
      </c>
      <c r="BP3936">
        <v>0</v>
      </c>
      <c r="BS3936">
        <v>0</v>
      </c>
      <c r="BT3936">
        <v>0</v>
      </c>
      <c r="BU3936">
        <v>0</v>
      </c>
      <c r="CE3936" t="str">
        <f t="shared" si="1447"/>
        <v>19:36:06.040</v>
      </c>
      <c r="CF3936">
        <v>40259931</v>
      </c>
      <c r="CS3936">
        <v>0</v>
      </c>
      <c r="CT3936">
        <v>2</v>
      </c>
      <c r="CU3936">
        <v>0</v>
      </c>
      <c r="CV3936">
        <v>2</v>
      </c>
      <c r="CW3936">
        <v>0</v>
      </c>
      <c r="CX3936">
        <v>5</v>
      </c>
      <c r="CY3936">
        <v>7</v>
      </c>
      <c r="CZ3936" t="s">
        <v>131</v>
      </c>
      <c r="DA3936">
        <v>300</v>
      </c>
      <c r="DB3936">
        <v>0</v>
      </c>
      <c r="DC3936" t="s">
        <v>176</v>
      </c>
      <c r="DD3936" t="s">
        <v>177</v>
      </c>
      <c r="DG3936">
        <v>5451011</v>
      </c>
      <c r="DI3936">
        <v>1</v>
      </c>
      <c r="DJ3936">
        <v>0</v>
      </c>
      <c r="DK3936">
        <v>1</v>
      </c>
      <c r="DL3936">
        <v>0</v>
      </c>
      <c r="DM3936">
        <v>0</v>
      </c>
      <c r="DN3936">
        <v>1</v>
      </c>
      <c r="DO3936">
        <v>0</v>
      </c>
      <c r="DP3936">
        <v>0</v>
      </c>
      <c r="DQ3936">
        <v>0</v>
      </c>
      <c r="DR3936">
        <v>0</v>
      </c>
      <c r="DS3936">
        <v>0</v>
      </c>
    </row>
    <row r="3937" spans="1:123" x14ac:dyDescent="0.3">
      <c r="A3937" t="str">
        <f t="shared" si="1445"/>
        <v>10/04/2022 19:36:06.433</v>
      </c>
      <c r="C3937" t="str">
        <f t="shared" si="1427"/>
        <v>FFDFD3C0</v>
      </c>
      <c r="D3937" t="s">
        <v>141</v>
      </c>
      <c r="E3937">
        <v>3</v>
      </c>
      <c r="H3937">
        <v>3</v>
      </c>
      <c r="I3937" t="s">
        <v>146</v>
      </c>
      <c r="J3937" t="s">
        <v>138</v>
      </c>
      <c r="K3937">
        <v>0</v>
      </c>
      <c r="L3937">
        <v>3</v>
      </c>
      <c r="M3937">
        <v>0</v>
      </c>
      <c r="N3937">
        <v>2</v>
      </c>
      <c r="O3937">
        <v>0</v>
      </c>
      <c r="P3937">
        <v>1</v>
      </c>
      <c r="Q3937">
        <v>0</v>
      </c>
      <c r="S3937" t="str">
        <f t="shared" si="1446"/>
        <v>19:36:06.000</v>
      </c>
      <c r="T3937" t="str">
        <f t="shared" si="1446"/>
        <v>19:36:06.000</v>
      </c>
      <c r="U3937" t="str">
        <f t="shared" si="1437"/>
        <v>AC3944</v>
      </c>
      <c r="V3937">
        <v>0</v>
      </c>
      <c r="W3937">
        <v>0</v>
      </c>
      <c r="X3937">
        <v>2</v>
      </c>
      <c r="Y3937">
        <v>0</v>
      </c>
      <c r="AA3937">
        <v>1</v>
      </c>
      <c r="AB3937">
        <v>8</v>
      </c>
      <c r="AC3937">
        <v>3</v>
      </c>
      <c r="AD3937">
        <v>0</v>
      </c>
      <c r="AE3937">
        <v>9</v>
      </c>
      <c r="AF3937" t="s">
        <v>138</v>
      </c>
      <c r="AG3937">
        <v>0</v>
      </c>
      <c r="AH3937">
        <v>3</v>
      </c>
      <c r="AI3937">
        <v>1</v>
      </c>
      <c r="AJ3937">
        <v>0</v>
      </c>
      <c r="AK3937" t="s">
        <v>1267</v>
      </c>
      <c r="AL3937">
        <v>32.736189000000003</v>
      </c>
      <c r="AM3937" t="s">
        <v>1268</v>
      </c>
      <c r="AN3937">
        <v>-116.690962</v>
      </c>
      <c r="AO3937">
        <v>25</v>
      </c>
      <c r="AP3937">
        <v>4900</v>
      </c>
      <c r="AQ3937" t="s">
        <v>129</v>
      </c>
      <c r="AR3937">
        <v>116</v>
      </c>
      <c r="AS3937">
        <v>-36</v>
      </c>
      <c r="AT3937">
        <v>448</v>
      </c>
      <c r="BB3937">
        <v>1200</v>
      </c>
      <c r="BC3937">
        <v>1</v>
      </c>
      <c r="BD3937" t="str">
        <f t="shared" si="1438"/>
        <v xml:space="preserve">N887QR  </v>
      </c>
      <c r="BE3937">
        <v>1</v>
      </c>
      <c r="BG3937">
        <v>0</v>
      </c>
      <c r="BH3937">
        <v>0</v>
      </c>
      <c r="BI3937">
        <v>0</v>
      </c>
      <c r="BJ3937">
        <v>4725</v>
      </c>
      <c r="BK3937">
        <v>-175</v>
      </c>
      <c r="BL3937" t="s">
        <v>163</v>
      </c>
      <c r="BM3937">
        <v>1</v>
      </c>
      <c r="BN3937">
        <v>1</v>
      </c>
      <c r="BO3937">
        <v>1</v>
      </c>
      <c r="BP3937">
        <v>0</v>
      </c>
      <c r="BS3937">
        <v>0</v>
      </c>
      <c r="BT3937">
        <v>0</v>
      </c>
      <c r="BU3937">
        <v>0</v>
      </c>
      <c r="CE3937" t="str">
        <f t="shared" si="1447"/>
        <v>19:36:06.040</v>
      </c>
      <c r="CF3937">
        <v>40259931</v>
      </c>
      <c r="CS3937">
        <v>0</v>
      </c>
      <c r="CT3937">
        <v>2</v>
      </c>
      <c r="CU3937">
        <v>0</v>
      </c>
      <c r="CV3937">
        <v>2</v>
      </c>
      <c r="CW3937">
        <v>0</v>
      </c>
      <c r="CX3937">
        <v>5</v>
      </c>
      <c r="CY3937">
        <v>7</v>
      </c>
      <c r="CZ3937" t="s">
        <v>131</v>
      </c>
      <c r="DA3937">
        <v>300</v>
      </c>
      <c r="DB3937">
        <v>0</v>
      </c>
      <c r="DC3937" t="s">
        <v>176</v>
      </c>
      <c r="DD3937" t="s">
        <v>177</v>
      </c>
      <c r="DG3937">
        <v>5451011</v>
      </c>
      <c r="DI3937">
        <v>1</v>
      </c>
      <c r="DJ3937">
        <v>0</v>
      </c>
      <c r="DK3937">
        <v>1</v>
      </c>
      <c r="DL3937">
        <v>0</v>
      </c>
      <c r="DM3937">
        <v>0</v>
      </c>
      <c r="DN3937">
        <v>1</v>
      </c>
      <c r="DO3937">
        <v>0</v>
      </c>
      <c r="DP3937">
        <v>0</v>
      </c>
      <c r="DQ3937">
        <v>0</v>
      </c>
      <c r="DR3937">
        <v>0</v>
      </c>
      <c r="DS3937">
        <v>0</v>
      </c>
    </row>
    <row r="3938" spans="1:123" x14ac:dyDescent="0.3">
      <c r="A3938" t="str">
        <f>"10/04/2022 19:36:07.542"</f>
        <v>10/04/2022 19:36:07.542</v>
      </c>
      <c r="C3938" t="str">
        <f t="shared" si="1427"/>
        <v>FFDFD3C0</v>
      </c>
      <c r="D3938" t="s">
        <v>123</v>
      </c>
      <c r="E3938">
        <v>7</v>
      </c>
      <c r="F3938">
        <v>2007</v>
      </c>
      <c r="G3938" t="s">
        <v>124</v>
      </c>
      <c r="J3938" t="s">
        <v>125</v>
      </c>
      <c r="K3938">
        <v>0</v>
      </c>
      <c r="L3938">
        <v>3</v>
      </c>
      <c r="M3938">
        <v>0</v>
      </c>
      <c r="N3938">
        <v>2</v>
      </c>
      <c r="O3938">
        <v>0</v>
      </c>
      <c r="P3938">
        <v>1</v>
      </c>
      <c r="Q3938">
        <v>0</v>
      </c>
      <c r="S3938" t="str">
        <f>"19:36:07.000"</f>
        <v>19:36:07.000</v>
      </c>
      <c r="T3938" t="str">
        <f>"19:36:07.000"</f>
        <v>19:36:07.000</v>
      </c>
      <c r="U3938" t="str">
        <f t="shared" si="1437"/>
        <v>AC3944</v>
      </c>
      <c r="V3938">
        <v>0</v>
      </c>
      <c r="W3938">
        <v>0</v>
      </c>
      <c r="X3938">
        <v>2</v>
      </c>
      <c r="Y3938">
        <v>0</v>
      </c>
      <c r="AA3938">
        <v>1</v>
      </c>
      <c r="AB3938">
        <v>8</v>
      </c>
      <c r="AC3938">
        <v>3</v>
      </c>
      <c r="AD3938">
        <v>0</v>
      </c>
      <c r="AE3938">
        <v>9</v>
      </c>
      <c r="AF3938" t="s">
        <v>138</v>
      </c>
      <c r="AG3938">
        <v>0</v>
      </c>
      <c r="AH3938">
        <v>3</v>
      </c>
      <c r="AI3938">
        <v>1</v>
      </c>
      <c r="AJ3938">
        <v>0</v>
      </c>
      <c r="AK3938" t="s">
        <v>1269</v>
      </c>
      <c r="AL3938">
        <v>32.736018000000001</v>
      </c>
      <c r="AM3938" t="s">
        <v>1270</v>
      </c>
      <c r="AN3938">
        <v>-116.690319</v>
      </c>
      <c r="AO3938">
        <v>25</v>
      </c>
      <c r="AP3938">
        <v>4900</v>
      </c>
      <c r="AQ3938" t="s">
        <v>129</v>
      </c>
      <c r="AR3938">
        <v>114</v>
      </c>
      <c r="AS3938">
        <v>-41</v>
      </c>
      <c r="AT3938">
        <v>384</v>
      </c>
      <c r="BB3938">
        <v>1200</v>
      </c>
      <c r="BC3938">
        <v>1</v>
      </c>
      <c r="BD3938" t="str">
        <f t="shared" si="1438"/>
        <v xml:space="preserve">N887QR  </v>
      </c>
      <c r="BE3938">
        <v>1</v>
      </c>
      <c r="BG3938">
        <v>0</v>
      </c>
      <c r="BH3938">
        <v>0</v>
      </c>
      <c r="BI3938">
        <v>0</v>
      </c>
      <c r="BJ3938">
        <v>4725</v>
      </c>
      <c r="BK3938">
        <v>-175</v>
      </c>
      <c r="BL3938" t="s">
        <v>163</v>
      </c>
      <c r="BM3938">
        <v>1</v>
      </c>
      <c r="BN3938">
        <v>1</v>
      </c>
      <c r="BO3938">
        <v>1</v>
      </c>
      <c r="BP3938">
        <v>0</v>
      </c>
      <c r="BS3938">
        <v>0</v>
      </c>
      <c r="BT3938">
        <v>0</v>
      </c>
      <c r="BU3938">
        <v>0</v>
      </c>
      <c r="CE3938" t="str">
        <f>"19:36:07.115"</f>
        <v>19:36:07.115</v>
      </c>
      <c r="CF3938">
        <v>115076863</v>
      </c>
      <c r="CS3938">
        <v>0</v>
      </c>
      <c r="CT3938">
        <v>2</v>
      </c>
      <c r="CU3938">
        <v>0</v>
      </c>
      <c r="CV3938">
        <v>2</v>
      </c>
      <c r="CW3938">
        <v>0</v>
      </c>
      <c r="CX3938">
        <v>0</v>
      </c>
      <c r="CY3938">
        <v>7</v>
      </c>
      <c r="CZ3938" t="s">
        <v>131</v>
      </c>
      <c r="DA3938">
        <v>298</v>
      </c>
      <c r="DB3938">
        <v>0</v>
      </c>
      <c r="DC3938" t="s">
        <v>1271</v>
      </c>
      <c r="DD3938" t="s">
        <v>1272</v>
      </c>
      <c r="DG3938">
        <v>8858471</v>
      </c>
      <c r="DI3938">
        <v>1</v>
      </c>
      <c r="DJ3938">
        <v>0</v>
      </c>
      <c r="DK3938">
        <v>0</v>
      </c>
      <c r="DL3938">
        <v>0</v>
      </c>
      <c r="DM3938">
        <v>0</v>
      </c>
      <c r="DN3938">
        <v>1</v>
      </c>
      <c r="DO3938">
        <v>0</v>
      </c>
      <c r="DP3938">
        <v>0</v>
      </c>
      <c r="DQ3938">
        <v>0</v>
      </c>
      <c r="DR3938">
        <v>0</v>
      </c>
      <c r="DS3938">
        <v>0</v>
      </c>
    </row>
    <row r="3939" spans="1:123" x14ac:dyDescent="0.3">
      <c r="A3939" t="str">
        <f>"10/04/2022 19:36:07.573"</f>
        <v>10/04/2022 19:36:07.573</v>
      </c>
      <c r="C3939" t="str">
        <f t="shared" si="1427"/>
        <v>FFDFD3C0</v>
      </c>
      <c r="D3939" t="s">
        <v>136</v>
      </c>
      <c r="E3939">
        <v>8</v>
      </c>
      <c r="H3939">
        <v>225</v>
      </c>
      <c r="I3939" t="s">
        <v>137</v>
      </c>
      <c r="J3939" t="s">
        <v>138</v>
      </c>
      <c r="K3939">
        <v>0</v>
      </c>
      <c r="L3939">
        <v>3</v>
      </c>
      <c r="M3939">
        <v>0</v>
      </c>
      <c r="N3939">
        <v>2</v>
      </c>
      <c r="O3939">
        <v>0</v>
      </c>
      <c r="P3939">
        <v>1</v>
      </c>
      <c r="Q3939">
        <v>0</v>
      </c>
      <c r="S3939" t="str">
        <f>"19:36:07.000"</f>
        <v>19:36:07.000</v>
      </c>
      <c r="T3939" t="str">
        <f>"19:36:07.000"</f>
        <v>19:36:07.000</v>
      </c>
      <c r="U3939" t="str">
        <f t="shared" si="1437"/>
        <v>AC3944</v>
      </c>
      <c r="V3939">
        <v>0</v>
      </c>
      <c r="W3939">
        <v>0</v>
      </c>
      <c r="X3939">
        <v>2</v>
      </c>
      <c r="Y3939">
        <v>0</v>
      </c>
      <c r="AA3939">
        <v>1</v>
      </c>
      <c r="AB3939">
        <v>8</v>
      </c>
      <c r="AC3939">
        <v>3</v>
      </c>
      <c r="AD3939">
        <v>0</v>
      </c>
      <c r="AE3939">
        <v>9</v>
      </c>
      <c r="AF3939" t="s">
        <v>138</v>
      </c>
      <c r="AG3939">
        <v>0</v>
      </c>
      <c r="AH3939">
        <v>3</v>
      </c>
      <c r="AI3939">
        <v>1</v>
      </c>
      <c r="AJ3939">
        <v>0</v>
      </c>
      <c r="AK3939" t="s">
        <v>1269</v>
      </c>
      <c r="AL3939">
        <v>32.736018000000001</v>
      </c>
      <c r="AM3939" t="s">
        <v>1270</v>
      </c>
      <c r="AN3939">
        <v>-116.690319</v>
      </c>
      <c r="AO3939">
        <v>25</v>
      </c>
      <c r="AP3939">
        <v>4900</v>
      </c>
      <c r="AQ3939" t="s">
        <v>129</v>
      </c>
      <c r="AR3939">
        <v>114</v>
      </c>
      <c r="AS3939">
        <v>-41</v>
      </c>
      <c r="AT3939">
        <v>384</v>
      </c>
      <c r="BB3939">
        <v>1200</v>
      </c>
      <c r="BC3939">
        <v>1</v>
      </c>
      <c r="BD3939" t="str">
        <f t="shared" si="1438"/>
        <v xml:space="preserve">N887QR  </v>
      </c>
      <c r="BE3939">
        <v>1</v>
      </c>
      <c r="BG3939">
        <v>0</v>
      </c>
      <c r="BH3939">
        <v>0</v>
      </c>
      <c r="BI3939">
        <v>0</v>
      </c>
      <c r="BJ3939">
        <v>4725</v>
      </c>
      <c r="BK3939">
        <v>-175</v>
      </c>
      <c r="BL3939" t="s">
        <v>163</v>
      </c>
      <c r="BM3939">
        <v>1</v>
      </c>
      <c r="BN3939">
        <v>1</v>
      </c>
      <c r="BO3939">
        <v>1</v>
      </c>
      <c r="BP3939">
        <v>0</v>
      </c>
      <c r="BS3939">
        <v>0</v>
      </c>
      <c r="BT3939">
        <v>0</v>
      </c>
      <c r="BU3939">
        <v>0</v>
      </c>
      <c r="CE3939" t="str">
        <f>"19:36:07.115"</f>
        <v>19:36:07.115</v>
      </c>
      <c r="CF3939">
        <v>115076863</v>
      </c>
      <c r="CS3939">
        <v>0</v>
      </c>
      <c r="CT3939">
        <v>2</v>
      </c>
      <c r="CU3939">
        <v>0</v>
      </c>
      <c r="CV3939">
        <v>2</v>
      </c>
      <c r="CW3939">
        <v>0</v>
      </c>
      <c r="CX3939">
        <v>0</v>
      </c>
      <c r="CY3939">
        <v>7</v>
      </c>
      <c r="CZ3939" t="s">
        <v>131</v>
      </c>
      <c r="DA3939">
        <v>298</v>
      </c>
      <c r="DB3939">
        <v>0</v>
      </c>
      <c r="DC3939" t="s">
        <v>1271</v>
      </c>
      <c r="DD3939" t="s">
        <v>1272</v>
      </c>
      <c r="DG3939">
        <v>8858471</v>
      </c>
      <c r="DI3939">
        <v>1</v>
      </c>
      <c r="DJ3939">
        <v>0</v>
      </c>
      <c r="DK3939">
        <v>1</v>
      </c>
      <c r="DL3939">
        <v>0</v>
      </c>
      <c r="DM3939">
        <v>0</v>
      </c>
      <c r="DN3939">
        <v>1</v>
      </c>
      <c r="DO3939">
        <v>0</v>
      </c>
      <c r="DP3939">
        <v>0</v>
      </c>
      <c r="DQ3939">
        <v>0</v>
      </c>
      <c r="DR3939">
        <v>0</v>
      </c>
      <c r="DS3939">
        <v>0</v>
      </c>
    </row>
    <row r="3940" spans="1:123" x14ac:dyDescent="0.3">
      <c r="A3940" t="str">
        <f t="shared" ref="A3940:A3946" si="1448">"10/04/2022 19:36:08.684"</f>
        <v>10/04/2022 19:36:08.684</v>
      </c>
      <c r="C3940" t="str">
        <f t="shared" si="1427"/>
        <v>FFDFD3C0</v>
      </c>
      <c r="D3940" t="s">
        <v>143</v>
      </c>
      <c r="E3940">
        <v>20</v>
      </c>
      <c r="F3940">
        <v>1020</v>
      </c>
      <c r="G3940" t="s">
        <v>144</v>
      </c>
      <c r="J3940" t="s">
        <v>145</v>
      </c>
      <c r="K3940">
        <v>0</v>
      </c>
      <c r="L3940">
        <v>3</v>
      </c>
      <c r="M3940">
        <v>0</v>
      </c>
      <c r="N3940">
        <v>2</v>
      </c>
      <c r="O3940">
        <v>0</v>
      </c>
      <c r="P3940">
        <v>1</v>
      </c>
      <c r="Q3940">
        <v>0</v>
      </c>
      <c r="S3940" t="str">
        <f t="shared" ref="S3940:T3953" si="1449">"19:36:08.000"</f>
        <v>19:36:08.000</v>
      </c>
      <c r="T3940" t="str">
        <f t="shared" si="1449"/>
        <v>19:36:08.000</v>
      </c>
      <c r="U3940" t="str">
        <f t="shared" si="1437"/>
        <v>AC3944</v>
      </c>
      <c r="V3940">
        <v>0</v>
      </c>
      <c r="W3940">
        <v>0</v>
      </c>
      <c r="X3940">
        <v>2</v>
      </c>
      <c r="Y3940">
        <v>0</v>
      </c>
      <c r="AA3940">
        <v>1</v>
      </c>
      <c r="AB3940">
        <v>8</v>
      </c>
      <c r="AC3940">
        <v>3</v>
      </c>
      <c r="AD3940">
        <v>0</v>
      </c>
      <c r="AE3940">
        <v>9</v>
      </c>
      <c r="AF3940" t="s">
        <v>138</v>
      </c>
      <c r="AG3940">
        <v>0</v>
      </c>
      <c r="AH3940">
        <v>3</v>
      </c>
      <c r="AI3940">
        <v>1</v>
      </c>
      <c r="AJ3940">
        <v>0</v>
      </c>
      <c r="AK3940" t="s">
        <v>1273</v>
      </c>
      <c r="AL3940">
        <v>32.735802999999997</v>
      </c>
      <c r="AM3940" t="s">
        <v>1274</v>
      </c>
      <c r="AN3940">
        <v>-116.68954600000001</v>
      </c>
      <c r="AO3940">
        <v>25</v>
      </c>
      <c r="AP3940">
        <v>4900</v>
      </c>
      <c r="AQ3940" t="s">
        <v>129</v>
      </c>
      <c r="AR3940">
        <v>112</v>
      </c>
      <c r="AS3940">
        <v>-44</v>
      </c>
      <c r="AT3940">
        <v>448</v>
      </c>
      <c r="BB3940">
        <v>1200</v>
      </c>
      <c r="BC3940">
        <v>1</v>
      </c>
      <c r="BD3940" t="str">
        <f t="shared" si="1438"/>
        <v xml:space="preserve">N887QR  </v>
      </c>
      <c r="BE3940">
        <v>1</v>
      </c>
      <c r="BG3940">
        <v>0</v>
      </c>
      <c r="BH3940">
        <v>0</v>
      </c>
      <c r="BI3940">
        <v>0</v>
      </c>
      <c r="BJ3940">
        <v>4750</v>
      </c>
      <c r="BK3940">
        <v>-150</v>
      </c>
      <c r="BL3940" t="s">
        <v>163</v>
      </c>
      <c r="BM3940">
        <v>1</v>
      </c>
      <c r="BN3940">
        <v>1</v>
      </c>
      <c r="BO3940">
        <v>1</v>
      </c>
      <c r="BP3940">
        <v>0</v>
      </c>
      <c r="BS3940">
        <v>0</v>
      </c>
      <c r="BT3940">
        <v>0</v>
      </c>
      <c r="BU3940">
        <v>0</v>
      </c>
      <c r="CE3940" t="str">
        <f t="shared" ref="CE3940:CE3946" si="1450">"19:36:08.255"</f>
        <v>19:36:08.255</v>
      </c>
      <c r="CF3940">
        <v>254767394</v>
      </c>
      <c r="CS3940">
        <v>0</v>
      </c>
      <c r="CT3940">
        <v>2</v>
      </c>
      <c r="CU3940">
        <v>0</v>
      </c>
      <c r="CV3940">
        <v>2</v>
      </c>
      <c r="CW3940">
        <v>0</v>
      </c>
      <c r="CX3940">
        <v>5</v>
      </c>
      <c r="CY3940">
        <v>7</v>
      </c>
      <c r="CZ3940" t="s">
        <v>131</v>
      </c>
      <c r="DA3940">
        <v>300</v>
      </c>
      <c r="DB3940">
        <v>0</v>
      </c>
      <c r="DC3940" t="s">
        <v>176</v>
      </c>
      <c r="DD3940" t="s">
        <v>177</v>
      </c>
      <c r="DG3940">
        <v>5451368</v>
      </c>
      <c r="DI3940">
        <v>1</v>
      </c>
      <c r="DJ3940">
        <v>0</v>
      </c>
      <c r="DK3940">
        <v>0</v>
      </c>
      <c r="DL3940">
        <v>0</v>
      </c>
      <c r="DM3940">
        <v>0</v>
      </c>
      <c r="DN3940">
        <v>1</v>
      </c>
      <c r="DO3940">
        <v>0</v>
      </c>
      <c r="DP3940">
        <v>0</v>
      </c>
      <c r="DQ3940">
        <v>0</v>
      </c>
      <c r="DR3940">
        <v>0</v>
      </c>
      <c r="DS3940">
        <v>0</v>
      </c>
    </row>
    <row r="3941" spans="1:123" x14ac:dyDescent="0.3">
      <c r="A3941" t="str">
        <f t="shared" si="1448"/>
        <v>10/04/2022 19:36:08.684</v>
      </c>
      <c r="C3941" t="str">
        <f t="shared" si="1427"/>
        <v>FFDFD3C0</v>
      </c>
      <c r="D3941" t="s">
        <v>134</v>
      </c>
      <c r="E3941">
        <v>15</v>
      </c>
      <c r="J3941" t="s">
        <v>135</v>
      </c>
      <c r="K3941">
        <v>0</v>
      </c>
      <c r="L3941">
        <v>3</v>
      </c>
      <c r="M3941">
        <v>0</v>
      </c>
      <c r="N3941">
        <v>2</v>
      </c>
      <c r="O3941">
        <v>0</v>
      </c>
      <c r="P3941">
        <v>1</v>
      </c>
      <c r="Q3941">
        <v>0</v>
      </c>
      <c r="S3941" t="str">
        <f t="shared" si="1449"/>
        <v>19:36:08.000</v>
      </c>
      <c r="T3941" t="str">
        <f t="shared" si="1449"/>
        <v>19:36:08.000</v>
      </c>
      <c r="U3941" t="str">
        <f t="shared" si="1437"/>
        <v>AC3944</v>
      </c>
      <c r="V3941">
        <v>0</v>
      </c>
      <c r="W3941">
        <v>0</v>
      </c>
      <c r="X3941">
        <v>2</v>
      </c>
      <c r="Y3941">
        <v>0</v>
      </c>
      <c r="AA3941">
        <v>1</v>
      </c>
      <c r="AB3941">
        <v>8</v>
      </c>
      <c r="AC3941">
        <v>3</v>
      </c>
      <c r="AD3941">
        <v>0</v>
      </c>
      <c r="AE3941">
        <v>9</v>
      </c>
      <c r="AF3941" t="s">
        <v>138</v>
      </c>
      <c r="AG3941">
        <v>0</v>
      </c>
      <c r="AH3941">
        <v>3</v>
      </c>
      <c r="AI3941">
        <v>1</v>
      </c>
      <c r="AJ3941">
        <v>0</v>
      </c>
      <c r="AK3941" t="s">
        <v>1273</v>
      </c>
      <c r="AL3941">
        <v>32.735802999999997</v>
      </c>
      <c r="AM3941" t="s">
        <v>1274</v>
      </c>
      <c r="AN3941">
        <v>-116.68954600000001</v>
      </c>
      <c r="AO3941">
        <v>25</v>
      </c>
      <c r="AP3941">
        <v>4900</v>
      </c>
      <c r="AQ3941" t="s">
        <v>129</v>
      </c>
      <c r="AR3941">
        <v>112</v>
      </c>
      <c r="AS3941">
        <v>-44</v>
      </c>
      <c r="AT3941">
        <v>448</v>
      </c>
      <c r="BB3941">
        <v>1200</v>
      </c>
      <c r="BC3941">
        <v>1</v>
      </c>
      <c r="BD3941" t="str">
        <f t="shared" si="1438"/>
        <v xml:space="preserve">N887QR  </v>
      </c>
      <c r="BE3941">
        <v>1</v>
      </c>
      <c r="BG3941">
        <v>0</v>
      </c>
      <c r="BH3941">
        <v>0</v>
      </c>
      <c r="BI3941">
        <v>0</v>
      </c>
      <c r="BJ3941">
        <v>4750</v>
      </c>
      <c r="BK3941">
        <v>-150</v>
      </c>
      <c r="BL3941" t="s">
        <v>163</v>
      </c>
      <c r="BM3941">
        <v>1</v>
      </c>
      <c r="BN3941">
        <v>1</v>
      </c>
      <c r="BO3941">
        <v>1</v>
      </c>
      <c r="BP3941">
        <v>0</v>
      </c>
      <c r="BS3941">
        <v>0</v>
      </c>
      <c r="BT3941">
        <v>0</v>
      </c>
      <c r="BU3941">
        <v>0</v>
      </c>
      <c r="CE3941" t="str">
        <f t="shared" si="1450"/>
        <v>19:36:08.255</v>
      </c>
      <c r="CF3941">
        <v>254767394</v>
      </c>
      <c r="CS3941">
        <v>0</v>
      </c>
      <c r="CT3941">
        <v>2</v>
      </c>
      <c r="CU3941">
        <v>0</v>
      </c>
      <c r="CV3941">
        <v>2</v>
      </c>
      <c r="CW3941">
        <v>0</v>
      </c>
      <c r="CX3941">
        <v>5</v>
      </c>
      <c r="CY3941">
        <v>7</v>
      </c>
      <c r="CZ3941" t="s">
        <v>131</v>
      </c>
      <c r="DA3941">
        <v>300</v>
      </c>
      <c r="DB3941">
        <v>0</v>
      </c>
      <c r="DC3941" t="s">
        <v>176</v>
      </c>
      <c r="DD3941" t="s">
        <v>177</v>
      </c>
      <c r="DG3941">
        <v>5451368</v>
      </c>
      <c r="DI3941">
        <v>1</v>
      </c>
      <c r="DJ3941">
        <v>0</v>
      </c>
      <c r="DK3941">
        <v>1</v>
      </c>
      <c r="DL3941">
        <v>0</v>
      </c>
      <c r="DM3941">
        <v>0</v>
      </c>
      <c r="DN3941">
        <v>1</v>
      </c>
      <c r="DO3941">
        <v>0</v>
      </c>
      <c r="DP3941">
        <v>0</v>
      </c>
      <c r="DQ3941">
        <v>0</v>
      </c>
      <c r="DR3941">
        <v>0</v>
      </c>
      <c r="DS3941">
        <v>0</v>
      </c>
    </row>
    <row r="3942" spans="1:123" x14ac:dyDescent="0.3">
      <c r="A3942" t="str">
        <f t="shared" si="1448"/>
        <v>10/04/2022 19:36:08.684</v>
      </c>
      <c r="C3942" t="str">
        <f t="shared" si="1427"/>
        <v>FFDFD3C0</v>
      </c>
      <c r="D3942" t="s">
        <v>123</v>
      </c>
      <c r="E3942">
        <v>7</v>
      </c>
      <c r="F3942">
        <v>2007</v>
      </c>
      <c r="G3942" t="s">
        <v>124</v>
      </c>
      <c r="J3942" t="s">
        <v>125</v>
      </c>
      <c r="K3942">
        <v>0</v>
      </c>
      <c r="L3942">
        <v>3</v>
      </c>
      <c r="M3942">
        <v>0</v>
      </c>
      <c r="N3942">
        <v>2</v>
      </c>
      <c r="O3942">
        <v>0</v>
      </c>
      <c r="P3942">
        <v>1</v>
      </c>
      <c r="Q3942">
        <v>0</v>
      </c>
      <c r="S3942" t="str">
        <f t="shared" si="1449"/>
        <v>19:36:08.000</v>
      </c>
      <c r="T3942" t="str">
        <f t="shared" si="1449"/>
        <v>19:36:08.000</v>
      </c>
      <c r="U3942" t="str">
        <f t="shared" si="1437"/>
        <v>AC3944</v>
      </c>
      <c r="V3942">
        <v>0</v>
      </c>
      <c r="W3942">
        <v>0</v>
      </c>
      <c r="X3942">
        <v>2</v>
      </c>
      <c r="Y3942">
        <v>0</v>
      </c>
      <c r="AA3942">
        <v>1</v>
      </c>
      <c r="AB3942">
        <v>8</v>
      </c>
      <c r="AC3942">
        <v>3</v>
      </c>
      <c r="AD3942">
        <v>0</v>
      </c>
      <c r="AE3942">
        <v>9</v>
      </c>
      <c r="AF3942" t="s">
        <v>138</v>
      </c>
      <c r="AG3942">
        <v>0</v>
      </c>
      <c r="AH3942">
        <v>3</v>
      </c>
      <c r="AI3942">
        <v>1</v>
      </c>
      <c r="AJ3942">
        <v>0</v>
      </c>
      <c r="AK3942" t="s">
        <v>1273</v>
      </c>
      <c r="AL3942">
        <v>32.735802999999997</v>
      </c>
      <c r="AM3942" t="s">
        <v>1274</v>
      </c>
      <c r="AN3942">
        <v>-116.68954600000001</v>
      </c>
      <c r="AO3942">
        <v>25</v>
      </c>
      <c r="AP3942">
        <v>4900</v>
      </c>
      <c r="AQ3942" t="s">
        <v>129</v>
      </c>
      <c r="AR3942">
        <v>112</v>
      </c>
      <c r="AS3942">
        <v>-44</v>
      </c>
      <c r="AT3942">
        <v>448</v>
      </c>
      <c r="BB3942">
        <v>1200</v>
      </c>
      <c r="BC3942">
        <v>1</v>
      </c>
      <c r="BD3942" t="str">
        <f t="shared" si="1438"/>
        <v xml:space="preserve">N887QR  </v>
      </c>
      <c r="BE3942">
        <v>1</v>
      </c>
      <c r="BG3942">
        <v>0</v>
      </c>
      <c r="BH3942">
        <v>0</v>
      </c>
      <c r="BI3942">
        <v>0</v>
      </c>
      <c r="BJ3942">
        <v>4750</v>
      </c>
      <c r="BK3942">
        <v>-150</v>
      </c>
      <c r="BL3942" t="s">
        <v>163</v>
      </c>
      <c r="BM3942">
        <v>1</v>
      </c>
      <c r="BN3942">
        <v>1</v>
      </c>
      <c r="BO3942">
        <v>1</v>
      </c>
      <c r="BP3942">
        <v>0</v>
      </c>
      <c r="BS3942">
        <v>0</v>
      </c>
      <c r="BT3942">
        <v>0</v>
      </c>
      <c r="BU3942">
        <v>0</v>
      </c>
      <c r="CE3942" t="str">
        <f t="shared" si="1450"/>
        <v>19:36:08.255</v>
      </c>
      <c r="CF3942">
        <v>254767394</v>
      </c>
      <c r="CS3942">
        <v>0</v>
      </c>
      <c r="CT3942">
        <v>2</v>
      </c>
      <c r="CU3942">
        <v>0</v>
      </c>
      <c r="CV3942">
        <v>2</v>
      </c>
      <c r="CW3942">
        <v>0</v>
      </c>
      <c r="CX3942">
        <v>5</v>
      </c>
      <c r="CY3942">
        <v>7</v>
      </c>
      <c r="CZ3942" t="s">
        <v>131</v>
      </c>
      <c r="DA3942">
        <v>300</v>
      </c>
      <c r="DB3942">
        <v>0</v>
      </c>
      <c r="DC3942" t="s">
        <v>176</v>
      </c>
      <c r="DD3942" t="s">
        <v>177</v>
      </c>
      <c r="DG3942">
        <v>5451368</v>
      </c>
      <c r="DI3942">
        <v>1</v>
      </c>
      <c r="DJ3942">
        <v>0</v>
      </c>
      <c r="DK3942">
        <v>1</v>
      </c>
      <c r="DL3942">
        <v>0</v>
      </c>
      <c r="DM3942">
        <v>0</v>
      </c>
      <c r="DN3942">
        <v>1</v>
      </c>
      <c r="DO3942">
        <v>0</v>
      </c>
      <c r="DP3942">
        <v>0</v>
      </c>
      <c r="DQ3942">
        <v>0</v>
      </c>
      <c r="DR3942">
        <v>0</v>
      </c>
      <c r="DS3942">
        <v>0</v>
      </c>
    </row>
    <row r="3943" spans="1:123" x14ac:dyDescent="0.3">
      <c r="A3943" t="str">
        <f t="shared" si="1448"/>
        <v>10/04/2022 19:36:08.684</v>
      </c>
      <c r="C3943" t="str">
        <f t="shared" si="1427"/>
        <v>FFDFD3C0</v>
      </c>
      <c r="D3943" t="s">
        <v>147</v>
      </c>
      <c r="E3943">
        <v>3</v>
      </c>
      <c r="H3943">
        <v>166</v>
      </c>
      <c r="I3943" t="s">
        <v>144</v>
      </c>
      <c r="J3943" t="s">
        <v>148</v>
      </c>
      <c r="K3943">
        <v>0</v>
      </c>
      <c r="L3943">
        <v>3</v>
      </c>
      <c r="M3943">
        <v>0</v>
      </c>
      <c r="N3943">
        <v>2</v>
      </c>
      <c r="O3943">
        <v>0</v>
      </c>
      <c r="P3943">
        <v>1</v>
      </c>
      <c r="Q3943">
        <v>0</v>
      </c>
      <c r="S3943" t="str">
        <f t="shared" si="1449"/>
        <v>19:36:08.000</v>
      </c>
      <c r="T3943" t="str">
        <f t="shared" si="1449"/>
        <v>19:36:08.000</v>
      </c>
      <c r="U3943" t="str">
        <f t="shared" si="1437"/>
        <v>AC3944</v>
      </c>
      <c r="V3943">
        <v>0</v>
      </c>
      <c r="W3943">
        <v>0</v>
      </c>
      <c r="X3943">
        <v>2</v>
      </c>
      <c r="Y3943">
        <v>0</v>
      </c>
      <c r="AA3943">
        <v>1</v>
      </c>
      <c r="AB3943">
        <v>8</v>
      </c>
      <c r="AC3943">
        <v>3</v>
      </c>
      <c r="AD3943">
        <v>0</v>
      </c>
      <c r="AE3943">
        <v>9</v>
      </c>
      <c r="AF3943" t="s">
        <v>138</v>
      </c>
      <c r="AG3943">
        <v>0</v>
      </c>
      <c r="AH3943">
        <v>3</v>
      </c>
      <c r="AI3943">
        <v>1</v>
      </c>
      <c r="AJ3943">
        <v>0</v>
      </c>
      <c r="AK3943" t="s">
        <v>1273</v>
      </c>
      <c r="AL3943">
        <v>32.735802999999997</v>
      </c>
      <c r="AM3943" t="s">
        <v>1274</v>
      </c>
      <c r="AN3943">
        <v>-116.68954600000001</v>
      </c>
      <c r="AO3943">
        <v>25</v>
      </c>
      <c r="AP3943">
        <v>4900</v>
      </c>
      <c r="AQ3943" t="s">
        <v>129</v>
      </c>
      <c r="AR3943">
        <v>112</v>
      </c>
      <c r="AS3943">
        <v>-44</v>
      </c>
      <c r="AT3943">
        <v>448</v>
      </c>
      <c r="BB3943">
        <v>1200</v>
      </c>
      <c r="BC3943">
        <v>1</v>
      </c>
      <c r="BD3943" t="str">
        <f t="shared" si="1438"/>
        <v xml:space="preserve">N887QR  </v>
      </c>
      <c r="BE3943">
        <v>1</v>
      </c>
      <c r="BG3943">
        <v>0</v>
      </c>
      <c r="BH3943">
        <v>0</v>
      </c>
      <c r="BI3943">
        <v>0</v>
      </c>
      <c r="BJ3943">
        <v>4750</v>
      </c>
      <c r="BK3943">
        <v>-150</v>
      </c>
      <c r="BL3943" t="s">
        <v>163</v>
      </c>
      <c r="BM3943">
        <v>1</v>
      </c>
      <c r="BN3943">
        <v>1</v>
      </c>
      <c r="BO3943">
        <v>1</v>
      </c>
      <c r="BP3943">
        <v>0</v>
      </c>
      <c r="BS3943">
        <v>0</v>
      </c>
      <c r="BT3943">
        <v>0</v>
      </c>
      <c r="BU3943">
        <v>0</v>
      </c>
      <c r="CE3943" t="str">
        <f t="shared" si="1450"/>
        <v>19:36:08.255</v>
      </c>
      <c r="CF3943">
        <v>254767394</v>
      </c>
      <c r="CS3943">
        <v>0</v>
      </c>
      <c r="CT3943">
        <v>2</v>
      </c>
      <c r="CU3943">
        <v>0</v>
      </c>
      <c r="CV3943">
        <v>2</v>
      </c>
      <c r="CW3943">
        <v>0</v>
      </c>
      <c r="CX3943">
        <v>5</v>
      </c>
      <c r="CY3943">
        <v>7</v>
      </c>
      <c r="CZ3943" t="s">
        <v>131</v>
      </c>
      <c r="DA3943">
        <v>300</v>
      </c>
      <c r="DB3943">
        <v>0</v>
      </c>
      <c r="DC3943" t="s">
        <v>176</v>
      </c>
      <c r="DD3943" t="s">
        <v>177</v>
      </c>
      <c r="DG3943">
        <v>5451368</v>
      </c>
      <c r="DI3943">
        <v>1</v>
      </c>
      <c r="DJ3943">
        <v>0</v>
      </c>
      <c r="DK3943">
        <v>1</v>
      </c>
      <c r="DL3943">
        <v>0</v>
      </c>
      <c r="DM3943">
        <v>0</v>
      </c>
      <c r="DN3943">
        <v>1</v>
      </c>
      <c r="DO3943">
        <v>0</v>
      </c>
      <c r="DP3943">
        <v>0</v>
      </c>
      <c r="DQ3943">
        <v>0</v>
      </c>
      <c r="DR3943">
        <v>0</v>
      </c>
      <c r="DS3943">
        <v>0</v>
      </c>
    </row>
    <row r="3944" spans="1:123" x14ac:dyDescent="0.3">
      <c r="A3944" t="str">
        <f t="shared" si="1448"/>
        <v>10/04/2022 19:36:08.684</v>
      </c>
      <c r="C3944" t="str">
        <f t="shared" si="1427"/>
        <v>FFDFD3C0</v>
      </c>
      <c r="D3944" t="s">
        <v>141</v>
      </c>
      <c r="E3944">
        <v>3</v>
      </c>
      <c r="H3944">
        <v>3</v>
      </c>
      <c r="I3944" t="s">
        <v>146</v>
      </c>
      <c r="J3944" t="s">
        <v>138</v>
      </c>
      <c r="K3944">
        <v>0</v>
      </c>
      <c r="L3944">
        <v>3</v>
      </c>
      <c r="M3944">
        <v>0</v>
      </c>
      <c r="N3944">
        <v>2</v>
      </c>
      <c r="O3944">
        <v>0</v>
      </c>
      <c r="P3944">
        <v>1</v>
      </c>
      <c r="Q3944">
        <v>0</v>
      </c>
      <c r="S3944" t="str">
        <f t="shared" si="1449"/>
        <v>19:36:08.000</v>
      </c>
      <c r="T3944" t="str">
        <f t="shared" si="1449"/>
        <v>19:36:08.000</v>
      </c>
      <c r="U3944" t="str">
        <f t="shared" si="1437"/>
        <v>AC3944</v>
      </c>
      <c r="V3944">
        <v>0</v>
      </c>
      <c r="W3944">
        <v>0</v>
      </c>
      <c r="X3944">
        <v>2</v>
      </c>
      <c r="Y3944">
        <v>0</v>
      </c>
      <c r="AA3944">
        <v>1</v>
      </c>
      <c r="AB3944">
        <v>8</v>
      </c>
      <c r="AC3944">
        <v>3</v>
      </c>
      <c r="AD3944">
        <v>0</v>
      </c>
      <c r="AE3944">
        <v>9</v>
      </c>
      <c r="AF3944" t="s">
        <v>138</v>
      </c>
      <c r="AG3944">
        <v>0</v>
      </c>
      <c r="AH3944">
        <v>3</v>
      </c>
      <c r="AI3944">
        <v>1</v>
      </c>
      <c r="AJ3944">
        <v>0</v>
      </c>
      <c r="AK3944" t="s">
        <v>1273</v>
      </c>
      <c r="AL3944">
        <v>32.735802999999997</v>
      </c>
      <c r="AM3944" t="s">
        <v>1274</v>
      </c>
      <c r="AN3944">
        <v>-116.68954600000001</v>
      </c>
      <c r="AO3944">
        <v>25</v>
      </c>
      <c r="AP3944">
        <v>4900</v>
      </c>
      <c r="AQ3944" t="s">
        <v>129</v>
      </c>
      <c r="AR3944">
        <v>112</v>
      </c>
      <c r="AS3944">
        <v>-44</v>
      </c>
      <c r="AT3944">
        <v>448</v>
      </c>
      <c r="BB3944">
        <v>1200</v>
      </c>
      <c r="BC3944">
        <v>1</v>
      </c>
      <c r="BD3944" t="str">
        <f t="shared" si="1438"/>
        <v xml:space="preserve">N887QR  </v>
      </c>
      <c r="BE3944">
        <v>1</v>
      </c>
      <c r="BG3944">
        <v>0</v>
      </c>
      <c r="BH3944">
        <v>0</v>
      </c>
      <c r="BI3944">
        <v>0</v>
      </c>
      <c r="BJ3944">
        <v>4750</v>
      </c>
      <c r="BK3944">
        <v>-150</v>
      </c>
      <c r="BL3944" t="s">
        <v>163</v>
      </c>
      <c r="BM3944">
        <v>1</v>
      </c>
      <c r="BN3944">
        <v>1</v>
      </c>
      <c r="BO3944">
        <v>1</v>
      </c>
      <c r="BP3944">
        <v>0</v>
      </c>
      <c r="BS3944">
        <v>0</v>
      </c>
      <c r="BT3944">
        <v>0</v>
      </c>
      <c r="BU3944">
        <v>0</v>
      </c>
      <c r="CE3944" t="str">
        <f t="shared" si="1450"/>
        <v>19:36:08.255</v>
      </c>
      <c r="CF3944">
        <v>254767394</v>
      </c>
      <c r="CS3944">
        <v>0</v>
      </c>
      <c r="CT3944">
        <v>2</v>
      </c>
      <c r="CU3944">
        <v>0</v>
      </c>
      <c r="CV3944">
        <v>2</v>
      </c>
      <c r="CW3944">
        <v>0</v>
      </c>
      <c r="CX3944">
        <v>5</v>
      </c>
      <c r="CY3944">
        <v>7</v>
      </c>
      <c r="CZ3944" t="s">
        <v>131</v>
      </c>
      <c r="DA3944">
        <v>300</v>
      </c>
      <c r="DB3944">
        <v>0</v>
      </c>
      <c r="DC3944" t="s">
        <v>176</v>
      </c>
      <c r="DD3944" t="s">
        <v>177</v>
      </c>
      <c r="DG3944">
        <v>5451368</v>
      </c>
      <c r="DI3944">
        <v>1</v>
      </c>
      <c r="DJ3944">
        <v>0</v>
      </c>
      <c r="DK3944">
        <v>1</v>
      </c>
      <c r="DL3944">
        <v>0</v>
      </c>
      <c r="DM3944">
        <v>0</v>
      </c>
      <c r="DN3944">
        <v>1</v>
      </c>
      <c r="DO3944">
        <v>0</v>
      </c>
      <c r="DP3944">
        <v>0</v>
      </c>
      <c r="DQ3944">
        <v>0</v>
      </c>
      <c r="DR3944">
        <v>0</v>
      </c>
      <c r="DS3944">
        <v>0</v>
      </c>
    </row>
    <row r="3945" spans="1:123" x14ac:dyDescent="0.3">
      <c r="A3945" t="str">
        <f t="shared" si="1448"/>
        <v>10/04/2022 19:36:08.684</v>
      </c>
      <c r="C3945" t="str">
        <f t="shared" si="1427"/>
        <v>FFDFD3C0</v>
      </c>
      <c r="D3945" t="s">
        <v>141</v>
      </c>
      <c r="E3945">
        <v>4</v>
      </c>
      <c r="H3945">
        <v>4</v>
      </c>
      <c r="I3945" t="s">
        <v>142</v>
      </c>
      <c r="J3945" t="s">
        <v>138</v>
      </c>
      <c r="K3945">
        <v>0</v>
      </c>
      <c r="L3945">
        <v>3</v>
      </c>
      <c r="M3945">
        <v>0</v>
      </c>
      <c r="N3945">
        <v>2</v>
      </c>
      <c r="O3945">
        <v>0</v>
      </c>
      <c r="P3945">
        <v>1</v>
      </c>
      <c r="Q3945">
        <v>0</v>
      </c>
      <c r="S3945" t="str">
        <f t="shared" si="1449"/>
        <v>19:36:08.000</v>
      </c>
      <c r="T3945" t="str">
        <f t="shared" si="1449"/>
        <v>19:36:08.000</v>
      </c>
      <c r="U3945" t="str">
        <f t="shared" si="1437"/>
        <v>AC3944</v>
      </c>
      <c r="V3945">
        <v>0</v>
      </c>
      <c r="W3945">
        <v>0</v>
      </c>
      <c r="X3945">
        <v>2</v>
      </c>
      <c r="Y3945">
        <v>0</v>
      </c>
      <c r="AA3945">
        <v>1</v>
      </c>
      <c r="AB3945">
        <v>8</v>
      </c>
      <c r="AC3945">
        <v>3</v>
      </c>
      <c r="AD3945">
        <v>0</v>
      </c>
      <c r="AE3945">
        <v>9</v>
      </c>
      <c r="AF3945" t="s">
        <v>138</v>
      </c>
      <c r="AG3945">
        <v>0</v>
      </c>
      <c r="AH3945">
        <v>3</v>
      </c>
      <c r="AI3945">
        <v>1</v>
      </c>
      <c r="AJ3945">
        <v>0</v>
      </c>
      <c r="AK3945" t="s">
        <v>1273</v>
      </c>
      <c r="AL3945">
        <v>32.735802999999997</v>
      </c>
      <c r="AM3945" t="s">
        <v>1274</v>
      </c>
      <c r="AN3945">
        <v>-116.68954600000001</v>
      </c>
      <c r="AO3945">
        <v>25</v>
      </c>
      <c r="AP3945">
        <v>4900</v>
      </c>
      <c r="AQ3945" t="s">
        <v>129</v>
      </c>
      <c r="AR3945">
        <v>112</v>
      </c>
      <c r="AS3945">
        <v>-44</v>
      </c>
      <c r="AT3945">
        <v>448</v>
      </c>
      <c r="BB3945">
        <v>1200</v>
      </c>
      <c r="BC3945">
        <v>1</v>
      </c>
      <c r="BD3945" t="str">
        <f t="shared" si="1438"/>
        <v xml:space="preserve">N887QR  </v>
      </c>
      <c r="BE3945">
        <v>1</v>
      </c>
      <c r="BG3945">
        <v>0</v>
      </c>
      <c r="BH3945">
        <v>0</v>
      </c>
      <c r="BI3945">
        <v>0</v>
      </c>
      <c r="BJ3945">
        <v>4750</v>
      </c>
      <c r="BK3945">
        <v>-150</v>
      </c>
      <c r="BL3945" t="s">
        <v>163</v>
      </c>
      <c r="BM3945">
        <v>1</v>
      </c>
      <c r="BN3945">
        <v>1</v>
      </c>
      <c r="BO3945">
        <v>1</v>
      </c>
      <c r="BP3945">
        <v>0</v>
      </c>
      <c r="BS3945">
        <v>0</v>
      </c>
      <c r="BT3945">
        <v>0</v>
      </c>
      <c r="BU3945">
        <v>0</v>
      </c>
      <c r="CE3945" t="str">
        <f t="shared" si="1450"/>
        <v>19:36:08.255</v>
      </c>
      <c r="CF3945">
        <v>254767394</v>
      </c>
      <c r="CS3945">
        <v>0</v>
      </c>
      <c r="CT3945">
        <v>2</v>
      </c>
      <c r="CU3945">
        <v>0</v>
      </c>
      <c r="CV3945">
        <v>2</v>
      </c>
      <c r="CW3945">
        <v>0</v>
      </c>
      <c r="CX3945">
        <v>5</v>
      </c>
      <c r="CY3945">
        <v>7</v>
      </c>
      <c r="CZ3945" t="s">
        <v>131</v>
      </c>
      <c r="DA3945">
        <v>300</v>
      </c>
      <c r="DB3945">
        <v>0</v>
      </c>
      <c r="DC3945" t="s">
        <v>176</v>
      </c>
      <c r="DD3945" t="s">
        <v>177</v>
      </c>
      <c r="DG3945">
        <v>5451368</v>
      </c>
      <c r="DI3945">
        <v>1</v>
      </c>
      <c r="DJ3945">
        <v>0</v>
      </c>
      <c r="DK3945">
        <v>1</v>
      </c>
      <c r="DL3945">
        <v>0</v>
      </c>
      <c r="DM3945">
        <v>0</v>
      </c>
      <c r="DN3945">
        <v>1</v>
      </c>
      <c r="DO3945">
        <v>0</v>
      </c>
      <c r="DP3945">
        <v>0</v>
      </c>
      <c r="DQ3945">
        <v>0</v>
      </c>
      <c r="DR3945">
        <v>0</v>
      </c>
      <c r="DS3945">
        <v>0</v>
      </c>
    </row>
    <row r="3946" spans="1:123" x14ac:dyDescent="0.3">
      <c r="A3946" t="str">
        <f t="shared" si="1448"/>
        <v>10/04/2022 19:36:08.684</v>
      </c>
      <c r="C3946" t="str">
        <f t="shared" si="1427"/>
        <v>FFDFD3C0</v>
      </c>
      <c r="D3946" t="s">
        <v>136</v>
      </c>
      <c r="E3946">
        <v>8</v>
      </c>
      <c r="H3946">
        <v>225</v>
      </c>
      <c r="I3946" t="s">
        <v>137</v>
      </c>
      <c r="J3946" t="s">
        <v>138</v>
      </c>
      <c r="K3946">
        <v>0</v>
      </c>
      <c r="L3946">
        <v>3</v>
      </c>
      <c r="M3946">
        <v>0</v>
      </c>
      <c r="N3946">
        <v>2</v>
      </c>
      <c r="O3946">
        <v>0</v>
      </c>
      <c r="P3946">
        <v>1</v>
      </c>
      <c r="Q3946">
        <v>0</v>
      </c>
      <c r="S3946" t="str">
        <f t="shared" si="1449"/>
        <v>19:36:08.000</v>
      </c>
      <c r="T3946" t="str">
        <f t="shared" si="1449"/>
        <v>19:36:08.000</v>
      </c>
      <c r="U3946" t="str">
        <f t="shared" si="1437"/>
        <v>AC3944</v>
      </c>
      <c r="V3946">
        <v>0</v>
      </c>
      <c r="W3946">
        <v>0</v>
      </c>
      <c r="X3946">
        <v>2</v>
      </c>
      <c r="Y3946">
        <v>0</v>
      </c>
      <c r="AA3946">
        <v>1</v>
      </c>
      <c r="AB3946">
        <v>8</v>
      </c>
      <c r="AC3946">
        <v>3</v>
      </c>
      <c r="AD3946">
        <v>0</v>
      </c>
      <c r="AE3946">
        <v>9</v>
      </c>
      <c r="AF3946" t="s">
        <v>138</v>
      </c>
      <c r="AG3946">
        <v>0</v>
      </c>
      <c r="AH3946">
        <v>3</v>
      </c>
      <c r="AI3946">
        <v>1</v>
      </c>
      <c r="AJ3946">
        <v>0</v>
      </c>
      <c r="AK3946" t="s">
        <v>1273</v>
      </c>
      <c r="AL3946">
        <v>32.735802999999997</v>
      </c>
      <c r="AM3946" t="s">
        <v>1274</v>
      </c>
      <c r="AN3946">
        <v>-116.68954600000001</v>
      </c>
      <c r="AO3946">
        <v>25</v>
      </c>
      <c r="AP3946">
        <v>4900</v>
      </c>
      <c r="AQ3946" t="s">
        <v>129</v>
      </c>
      <c r="AR3946">
        <v>112</v>
      </c>
      <c r="AS3946">
        <v>-44</v>
      </c>
      <c r="AT3946">
        <v>448</v>
      </c>
      <c r="BB3946">
        <v>1200</v>
      </c>
      <c r="BC3946">
        <v>1</v>
      </c>
      <c r="BD3946" t="str">
        <f t="shared" si="1438"/>
        <v xml:space="preserve">N887QR  </v>
      </c>
      <c r="BE3946">
        <v>1</v>
      </c>
      <c r="BG3946">
        <v>0</v>
      </c>
      <c r="BH3946">
        <v>0</v>
      </c>
      <c r="BI3946">
        <v>0</v>
      </c>
      <c r="BJ3946">
        <v>4750</v>
      </c>
      <c r="BK3946">
        <v>-150</v>
      </c>
      <c r="BL3946" t="s">
        <v>163</v>
      </c>
      <c r="BM3946">
        <v>1</v>
      </c>
      <c r="BN3946">
        <v>1</v>
      </c>
      <c r="BO3946">
        <v>1</v>
      </c>
      <c r="BP3946">
        <v>0</v>
      </c>
      <c r="BS3946">
        <v>0</v>
      </c>
      <c r="BT3946">
        <v>0</v>
      </c>
      <c r="BU3946">
        <v>0</v>
      </c>
      <c r="CE3946" t="str">
        <f t="shared" si="1450"/>
        <v>19:36:08.255</v>
      </c>
      <c r="CF3946">
        <v>254767394</v>
      </c>
      <c r="CS3946">
        <v>0</v>
      </c>
      <c r="CT3946">
        <v>2</v>
      </c>
      <c r="CU3946">
        <v>0</v>
      </c>
      <c r="CV3946">
        <v>2</v>
      </c>
      <c r="CW3946">
        <v>0</v>
      </c>
      <c r="CX3946">
        <v>5</v>
      </c>
      <c r="CY3946">
        <v>7</v>
      </c>
      <c r="CZ3946" t="s">
        <v>131</v>
      </c>
      <c r="DA3946">
        <v>300</v>
      </c>
      <c r="DB3946">
        <v>0</v>
      </c>
      <c r="DC3946" t="s">
        <v>176</v>
      </c>
      <c r="DD3946" t="s">
        <v>177</v>
      </c>
      <c r="DG3946">
        <v>5451368</v>
      </c>
      <c r="DI3946">
        <v>1</v>
      </c>
      <c r="DJ3946">
        <v>0</v>
      </c>
      <c r="DK3946">
        <v>1</v>
      </c>
      <c r="DL3946">
        <v>0</v>
      </c>
      <c r="DM3946">
        <v>0</v>
      </c>
      <c r="DN3946">
        <v>1</v>
      </c>
      <c r="DO3946">
        <v>0</v>
      </c>
      <c r="DP3946">
        <v>0</v>
      </c>
      <c r="DQ3946">
        <v>0</v>
      </c>
      <c r="DR3946">
        <v>0</v>
      </c>
      <c r="DS3946">
        <v>0</v>
      </c>
    </row>
    <row r="3947" spans="1:123" x14ac:dyDescent="0.3">
      <c r="A3947" t="str">
        <f t="shared" ref="A3947:A3953" si="1451">"10/04/2022 19:36:09.231"</f>
        <v>10/04/2022 19:36:09.231</v>
      </c>
      <c r="C3947" t="str">
        <f t="shared" ref="C3947:C4010" si="1452">"FFDFD3C0"</f>
        <v>FFDFD3C0</v>
      </c>
      <c r="D3947" t="s">
        <v>141</v>
      </c>
      <c r="E3947">
        <v>4</v>
      </c>
      <c r="H3947">
        <v>4</v>
      </c>
      <c r="I3947" t="s">
        <v>142</v>
      </c>
      <c r="J3947" t="s">
        <v>138</v>
      </c>
      <c r="K3947">
        <v>0</v>
      </c>
      <c r="L3947">
        <v>3</v>
      </c>
      <c r="M3947">
        <v>0</v>
      </c>
      <c r="N3947">
        <v>2</v>
      </c>
      <c r="O3947">
        <v>0</v>
      </c>
      <c r="P3947">
        <v>1</v>
      </c>
      <c r="Q3947">
        <v>0</v>
      </c>
      <c r="S3947" t="str">
        <f t="shared" si="1449"/>
        <v>19:36:08.000</v>
      </c>
      <c r="T3947" t="str">
        <f t="shared" si="1449"/>
        <v>19:36:08.000</v>
      </c>
      <c r="U3947" t="str">
        <f t="shared" si="1437"/>
        <v>AC3944</v>
      </c>
      <c r="V3947">
        <v>0</v>
      </c>
      <c r="W3947">
        <v>0</v>
      </c>
      <c r="X3947">
        <v>2</v>
      </c>
      <c r="Y3947">
        <v>0</v>
      </c>
      <c r="AA3947">
        <v>1</v>
      </c>
      <c r="AB3947">
        <v>8</v>
      </c>
      <c r="AC3947">
        <v>3</v>
      </c>
      <c r="AD3947">
        <v>0</v>
      </c>
      <c r="AE3947">
        <v>9</v>
      </c>
      <c r="AF3947" t="s">
        <v>138</v>
      </c>
      <c r="AG3947">
        <v>0</v>
      </c>
      <c r="AH3947">
        <v>3</v>
      </c>
      <c r="AI3947">
        <v>1</v>
      </c>
      <c r="AJ3947">
        <v>0</v>
      </c>
      <c r="AK3947" t="s">
        <v>1275</v>
      </c>
      <c r="AL3947">
        <v>32.735588999999997</v>
      </c>
      <c r="AM3947" t="s">
        <v>1276</v>
      </c>
      <c r="AN3947">
        <v>-116.688924</v>
      </c>
      <c r="AO3947">
        <v>25</v>
      </c>
      <c r="AP3947">
        <v>4900</v>
      </c>
      <c r="AQ3947" t="s">
        <v>129</v>
      </c>
      <c r="AR3947">
        <v>110</v>
      </c>
      <c r="AS3947">
        <v>-47</v>
      </c>
      <c r="AT3947">
        <v>448</v>
      </c>
      <c r="BB3947">
        <v>1200</v>
      </c>
      <c r="BC3947">
        <v>1</v>
      </c>
      <c r="BD3947" t="str">
        <f t="shared" si="1438"/>
        <v xml:space="preserve">N887QR  </v>
      </c>
      <c r="BE3947">
        <v>1</v>
      </c>
      <c r="BG3947">
        <v>0</v>
      </c>
      <c r="BH3947">
        <v>0</v>
      </c>
      <c r="BI3947">
        <v>0</v>
      </c>
      <c r="BJ3947">
        <v>4750</v>
      </c>
      <c r="BK3947">
        <v>-150</v>
      </c>
      <c r="BL3947" t="s">
        <v>163</v>
      </c>
      <c r="BM3947">
        <v>1</v>
      </c>
      <c r="BN3947">
        <v>1</v>
      </c>
      <c r="BO3947">
        <v>1</v>
      </c>
      <c r="BP3947">
        <v>0</v>
      </c>
      <c r="BS3947">
        <v>0</v>
      </c>
      <c r="BT3947">
        <v>0</v>
      </c>
      <c r="BU3947">
        <v>0</v>
      </c>
      <c r="CE3947" t="str">
        <f t="shared" ref="CE3947:CE3953" si="1453">"19:36:08.924"</f>
        <v>19:36:08.924</v>
      </c>
      <c r="CF3947">
        <v>924019643</v>
      </c>
      <c r="CS3947">
        <v>0</v>
      </c>
      <c r="CT3947">
        <v>2</v>
      </c>
      <c r="CU3947">
        <v>0</v>
      </c>
      <c r="CV3947">
        <v>2</v>
      </c>
      <c r="CW3947">
        <v>0</v>
      </c>
      <c r="CX3947">
        <v>5</v>
      </c>
      <c r="CY3947">
        <v>7</v>
      </c>
      <c r="CZ3947" t="s">
        <v>131</v>
      </c>
      <c r="DA3947">
        <v>300</v>
      </c>
      <c r="DB3947">
        <v>0</v>
      </c>
      <c r="DC3947" t="s">
        <v>176</v>
      </c>
      <c r="DD3947" t="s">
        <v>177</v>
      </c>
      <c r="DG3947">
        <v>5451467</v>
      </c>
      <c r="DI3947">
        <v>1</v>
      </c>
      <c r="DJ3947">
        <v>0</v>
      </c>
      <c r="DK3947">
        <v>0</v>
      </c>
      <c r="DL3947">
        <v>0</v>
      </c>
      <c r="DM3947">
        <v>0</v>
      </c>
      <c r="DN3947">
        <v>1</v>
      </c>
      <c r="DO3947">
        <v>0</v>
      </c>
      <c r="DP3947">
        <v>0</v>
      </c>
      <c r="DQ3947">
        <v>0</v>
      </c>
      <c r="DR3947">
        <v>0</v>
      </c>
      <c r="DS3947">
        <v>0</v>
      </c>
    </row>
    <row r="3948" spans="1:123" x14ac:dyDescent="0.3">
      <c r="A3948" t="str">
        <f t="shared" si="1451"/>
        <v>10/04/2022 19:36:09.231</v>
      </c>
      <c r="C3948" t="str">
        <f t="shared" si="1452"/>
        <v>FFDFD3C0</v>
      </c>
      <c r="D3948" t="s">
        <v>136</v>
      </c>
      <c r="E3948">
        <v>8</v>
      </c>
      <c r="H3948">
        <v>225</v>
      </c>
      <c r="I3948" t="s">
        <v>137</v>
      </c>
      <c r="J3948" t="s">
        <v>138</v>
      </c>
      <c r="K3948">
        <v>0</v>
      </c>
      <c r="L3948">
        <v>3</v>
      </c>
      <c r="M3948">
        <v>0</v>
      </c>
      <c r="N3948">
        <v>2</v>
      </c>
      <c r="O3948">
        <v>0</v>
      </c>
      <c r="P3948">
        <v>1</v>
      </c>
      <c r="Q3948">
        <v>0</v>
      </c>
      <c r="S3948" t="str">
        <f t="shared" si="1449"/>
        <v>19:36:08.000</v>
      </c>
      <c r="T3948" t="str">
        <f t="shared" si="1449"/>
        <v>19:36:08.000</v>
      </c>
      <c r="U3948" t="str">
        <f t="shared" si="1437"/>
        <v>AC3944</v>
      </c>
      <c r="V3948">
        <v>0</v>
      </c>
      <c r="W3948">
        <v>0</v>
      </c>
      <c r="X3948">
        <v>2</v>
      </c>
      <c r="Y3948">
        <v>0</v>
      </c>
      <c r="AA3948">
        <v>1</v>
      </c>
      <c r="AB3948">
        <v>8</v>
      </c>
      <c r="AC3948">
        <v>3</v>
      </c>
      <c r="AD3948">
        <v>0</v>
      </c>
      <c r="AE3948">
        <v>9</v>
      </c>
      <c r="AF3948" t="s">
        <v>138</v>
      </c>
      <c r="AG3948">
        <v>0</v>
      </c>
      <c r="AH3948">
        <v>3</v>
      </c>
      <c r="AI3948">
        <v>1</v>
      </c>
      <c r="AJ3948">
        <v>0</v>
      </c>
      <c r="AK3948" t="s">
        <v>1275</v>
      </c>
      <c r="AL3948">
        <v>32.735588999999997</v>
      </c>
      <c r="AM3948" t="s">
        <v>1276</v>
      </c>
      <c r="AN3948">
        <v>-116.688924</v>
      </c>
      <c r="AO3948">
        <v>25</v>
      </c>
      <c r="AP3948">
        <v>4900</v>
      </c>
      <c r="AQ3948" t="s">
        <v>129</v>
      </c>
      <c r="AR3948">
        <v>110</v>
      </c>
      <c r="AS3948">
        <v>-47</v>
      </c>
      <c r="AT3948">
        <v>448</v>
      </c>
      <c r="BB3948">
        <v>1200</v>
      </c>
      <c r="BC3948">
        <v>1</v>
      </c>
      <c r="BD3948" t="str">
        <f t="shared" si="1438"/>
        <v xml:space="preserve">N887QR  </v>
      </c>
      <c r="BE3948">
        <v>1</v>
      </c>
      <c r="BG3948">
        <v>0</v>
      </c>
      <c r="BH3948">
        <v>0</v>
      </c>
      <c r="BI3948">
        <v>0</v>
      </c>
      <c r="BJ3948">
        <v>4750</v>
      </c>
      <c r="BK3948">
        <v>-150</v>
      </c>
      <c r="BL3948" t="s">
        <v>163</v>
      </c>
      <c r="BM3948">
        <v>1</v>
      </c>
      <c r="BN3948">
        <v>1</v>
      </c>
      <c r="BO3948">
        <v>1</v>
      </c>
      <c r="BP3948">
        <v>0</v>
      </c>
      <c r="BS3948">
        <v>0</v>
      </c>
      <c r="BT3948">
        <v>0</v>
      </c>
      <c r="BU3948">
        <v>0</v>
      </c>
      <c r="CE3948" t="str">
        <f t="shared" si="1453"/>
        <v>19:36:08.924</v>
      </c>
      <c r="CF3948">
        <v>924019643</v>
      </c>
      <c r="CS3948">
        <v>0</v>
      </c>
      <c r="CT3948">
        <v>2</v>
      </c>
      <c r="CU3948">
        <v>0</v>
      </c>
      <c r="CV3948">
        <v>2</v>
      </c>
      <c r="CW3948">
        <v>0</v>
      </c>
      <c r="CX3948">
        <v>5</v>
      </c>
      <c r="CY3948">
        <v>7</v>
      </c>
      <c r="CZ3948" t="s">
        <v>131</v>
      </c>
      <c r="DA3948">
        <v>300</v>
      </c>
      <c r="DB3948">
        <v>0</v>
      </c>
      <c r="DC3948" t="s">
        <v>176</v>
      </c>
      <c r="DD3948" t="s">
        <v>177</v>
      </c>
      <c r="DG3948">
        <v>5451467</v>
      </c>
      <c r="DI3948">
        <v>1</v>
      </c>
      <c r="DJ3948">
        <v>0</v>
      </c>
      <c r="DK3948">
        <v>1</v>
      </c>
      <c r="DL3948">
        <v>0</v>
      </c>
      <c r="DM3948">
        <v>0</v>
      </c>
      <c r="DN3948">
        <v>1</v>
      </c>
      <c r="DO3948">
        <v>0</v>
      </c>
      <c r="DP3948">
        <v>0</v>
      </c>
      <c r="DQ3948">
        <v>0</v>
      </c>
      <c r="DR3948">
        <v>0</v>
      </c>
      <c r="DS3948">
        <v>0</v>
      </c>
    </row>
    <row r="3949" spans="1:123" x14ac:dyDescent="0.3">
      <c r="A3949" t="str">
        <f t="shared" si="1451"/>
        <v>10/04/2022 19:36:09.231</v>
      </c>
      <c r="C3949" t="str">
        <f t="shared" si="1452"/>
        <v>FFDFD3C0</v>
      </c>
      <c r="D3949" t="s">
        <v>143</v>
      </c>
      <c r="E3949">
        <v>20</v>
      </c>
      <c r="F3949">
        <v>1020</v>
      </c>
      <c r="G3949" t="s">
        <v>144</v>
      </c>
      <c r="J3949" t="s">
        <v>145</v>
      </c>
      <c r="K3949">
        <v>0</v>
      </c>
      <c r="L3949">
        <v>3</v>
      </c>
      <c r="M3949">
        <v>0</v>
      </c>
      <c r="N3949">
        <v>2</v>
      </c>
      <c r="O3949">
        <v>0</v>
      </c>
      <c r="P3949">
        <v>1</v>
      </c>
      <c r="Q3949">
        <v>0</v>
      </c>
      <c r="S3949" t="str">
        <f t="shared" si="1449"/>
        <v>19:36:08.000</v>
      </c>
      <c r="T3949" t="str">
        <f t="shared" si="1449"/>
        <v>19:36:08.000</v>
      </c>
      <c r="U3949" t="str">
        <f t="shared" si="1437"/>
        <v>AC3944</v>
      </c>
      <c r="V3949">
        <v>0</v>
      </c>
      <c r="W3949">
        <v>0</v>
      </c>
      <c r="X3949">
        <v>2</v>
      </c>
      <c r="Y3949">
        <v>0</v>
      </c>
      <c r="AA3949">
        <v>1</v>
      </c>
      <c r="AB3949">
        <v>8</v>
      </c>
      <c r="AC3949">
        <v>3</v>
      </c>
      <c r="AD3949">
        <v>0</v>
      </c>
      <c r="AE3949">
        <v>9</v>
      </c>
      <c r="AF3949" t="s">
        <v>138</v>
      </c>
      <c r="AG3949">
        <v>0</v>
      </c>
      <c r="AH3949">
        <v>3</v>
      </c>
      <c r="AI3949">
        <v>1</v>
      </c>
      <c r="AJ3949">
        <v>0</v>
      </c>
      <c r="AK3949" t="s">
        <v>1275</v>
      </c>
      <c r="AL3949">
        <v>32.735588999999997</v>
      </c>
      <c r="AM3949" t="s">
        <v>1276</v>
      </c>
      <c r="AN3949">
        <v>-116.688924</v>
      </c>
      <c r="AO3949">
        <v>25</v>
      </c>
      <c r="AP3949">
        <v>4900</v>
      </c>
      <c r="AQ3949" t="s">
        <v>129</v>
      </c>
      <c r="AR3949">
        <v>110</v>
      </c>
      <c r="AS3949">
        <v>-47</v>
      </c>
      <c r="AT3949">
        <v>448</v>
      </c>
      <c r="BB3949">
        <v>1200</v>
      </c>
      <c r="BC3949">
        <v>1</v>
      </c>
      <c r="BD3949" t="str">
        <f t="shared" si="1438"/>
        <v xml:space="preserve">N887QR  </v>
      </c>
      <c r="BE3949">
        <v>1</v>
      </c>
      <c r="BG3949">
        <v>0</v>
      </c>
      <c r="BH3949">
        <v>0</v>
      </c>
      <c r="BI3949">
        <v>0</v>
      </c>
      <c r="BJ3949">
        <v>4750</v>
      </c>
      <c r="BK3949">
        <v>-150</v>
      </c>
      <c r="BL3949" t="s">
        <v>163</v>
      </c>
      <c r="BM3949">
        <v>1</v>
      </c>
      <c r="BN3949">
        <v>1</v>
      </c>
      <c r="BO3949">
        <v>1</v>
      </c>
      <c r="BP3949">
        <v>0</v>
      </c>
      <c r="BS3949">
        <v>0</v>
      </c>
      <c r="BT3949">
        <v>0</v>
      </c>
      <c r="BU3949">
        <v>0</v>
      </c>
      <c r="CE3949" t="str">
        <f t="shared" si="1453"/>
        <v>19:36:08.924</v>
      </c>
      <c r="CF3949">
        <v>924019643</v>
      </c>
      <c r="CS3949">
        <v>0</v>
      </c>
      <c r="CT3949">
        <v>2</v>
      </c>
      <c r="CU3949">
        <v>0</v>
      </c>
      <c r="CV3949">
        <v>2</v>
      </c>
      <c r="CW3949">
        <v>0</v>
      </c>
      <c r="CX3949">
        <v>5</v>
      </c>
      <c r="CY3949">
        <v>7</v>
      </c>
      <c r="CZ3949" t="s">
        <v>131</v>
      </c>
      <c r="DA3949">
        <v>300</v>
      </c>
      <c r="DB3949">
        <v>0</v>
      </c>
      <c r="DC3949" t="s">
        <v>176</v>
      </c>
      <c r="DD3949" t="s">
        <v>177</v>
      </c>
      <c r="DG3949">
        <v>5451467</v>
      </c>
      <c r="DI3949">
        <v>1</v>
      </c>
      <c r="DJ3949">
        <v>0</v>
      </c>
      <c r="DK3949">
        <v>1</v>
      </c>
      <c r="DL3949">
        <v>0</v>
      </c>
      <c r="DM3949">
        <v>0</v>
      </c>
      <c r="DN3949">
        <v>1</v>
      </c>
      <c r="DO3949">
        <v>0</v>
      </c>
      <c r="DP3949">
        <v>0</v>
      </c>
      <c r="DQ3949">
        <v>0</v>
      </c>
      <c r="DR3949">
        <v>0</v>
      </c>
      <c r="DS3949">
        <v>0</v>
      </c>
    </row>
    <row r="3950" spans="1:123" x14ac:dyDescent="0.3">
      <c r="A3950" t="str">
        <f t="shared" si="1451"/>
        <v>10/04/2022 19:36:09.231</v>
      </c>
      <c r="C3950" t="str">
        <f t="shared" si="1452"/>
        <v>FFDFD3C0</v>
      </c>
      <c r="D3950" t="s">
        <v>123</v>
      </c>
      <c r="E3950">
        <v>7</v>
      </c>
      <c r="F3950">
        <v>2007</v>
      </c>
      <c r="G3950" t="s">
        <v>124</v>
      </c>
      <c r="J3950" t="s">
        <v>125</v>
      </c>
      <c r="K3950">
        <v>0</v>
      </c>
      <c r="L3950">
        <v>3</v>
      </c>
      <c r="M3950">
        <v>0</v>
      </c>
      <c r="N3950">
        <v>2</v>
      </c>
      <c r="O3950">
        <v>0</v>
      </c>
      <c r="P3950">
        <v>1</v>
      </c>
      <c r="Q3950">
        <v>0</v>
      </c>
      <c r="S3950" t="str">
        <f t="shared" si="1449"/>
        <v>19:36:08.000</v>
      </c>
      <c r="T3950" t="str">
        <f t="shared" si="1449"/>
        <v>19:36:08.000</v>
      </c>
      <c r="U3950" t="str">
        <f t="shared" si="1437"/>
        <v>AC3944</v>
      </c>
      <c r="V3950">
        <v>0</v>
      </c>
      <c r="W3950">
        <v>0</v>
      </c>
      <c r="X3950">
        <v>2</v>
      </c>
      <c r="Y3950">
        <v>0</v>
      </c>
      <c r="AA3950">
        <v>1</v>
      </c>
      <c r="AB3950">
        <v>8</v>
      </c>
      <c r="AC3950">
        <v>3</v>
      </c>
      <c r="AD3950">
        <v>0</v>
      </c>
      <c r="AE3950">
        <v>9</v>
      </c>
      <c r="AF3950" t="s">
        <v>138</v>
      </c>
      <c r="AG3950">
        <v>0</v>
      </c>
      <c r="AH3950">
        <v>3</v>
      </c>
      <c r="AI3950">
        <v>1</v>
      </c>
      <c r="AJ3950">
        <v>0</v>
      </c>
      <c r="AK3950" t="s">
        <v>1275</v>
      </c>
      <c r="AL3950">
        <v>32.735588999999997</v>
      </c>
      <c r="AM3950" t="s">
        <v>1276</v>
      </c>
      <c r="AN3950">
        <v>-116.688924</v>
      </c>
      <c r="AO3950">
        <v>25</v>
      </c>
      <c r="AP3950">
        <v>4900</v>
      </c>
      <c r="AQ3950" t="s">
        <v>129</v>
      </c>
      <c r="AR3950">
        <v>110</v>
      </c>
      <c r="AS3950">
        <v>-47</v>
      </c>
      <c r="AT3950">
        <v>448</v>
      </c>
      <c r="BB3950">
        <v>1200</v>
      </c>
      <c r="BC3950">
        <v>1</v>
      </c>
      <c r="BD3950" t="str">
        <f t="shared" si="1438"/>
        <v xml:space="preserve">N887QR  </v>
      </c>
      <c r="BE3950">
        <v>1</v>
      </c>
      <c r="BG3950">
        <v>0</v>
      </c>
      <c r="BH3950">
        <v>0</v>
      </c>
      <c r="BI3950">
        <v>0</v>
      </c>
      <c r="BJ3950">
        <v>4750</v>
      </c>
      <c r="BK3950">
        <v>-150</v>
      </c>
      <c r="BL3950" t="s">
        <v>163</v>
      </c>
      <c r="BM3950">
        <v>1</v>
      </c>
      <c r="BN3950">
        <v>1</v>
      </c>
      <c r="BO3950">
        <v>1</v>
      </c>
      <c r="BP3950">
        <v>0</v>
      </c>
      <c r="BS3950">
        <v>0</v>
      </c>
      <c r="BT3950">
        <v>0</v>
      </c>
      <c r="BU3950">
        <v>0</v>
      </c>
      <c r="CE3950" t="str">
        <f t="shared" si="1453"/>
        <v>19:36:08.924</v>
      </c>
      <c r="CF3950">
        <v>924019643</v>
      </c>
      <c r="CS3950">
        <v>0</v>
      </c>
      <c r="CT3950">
        <v>2</v>
      </c>
      <c r="CU3950">
        <v>0</v>
      </c>
      <c r="CV3950">
        <v>2</v>
      </c>
      <c r="CW3950">
        <v>0</v>
      </c>
      <c r="CX3950">
        <v>5</v>
      </c>
      <c r="CY3950">
        <v>7</v>
      </c>
      <c r="CZ3950" t="s">
        <v>131</v>
      </c>
      <c r="DA3950">
        <v>300</v>
      </c>
      <c r="DB3950">
        <v>0</v>
      </c>
      <c r="DC3950" t="s">
        <v>176</v>
      </c>
      <c r="DD3950" t="s">
        <v>177</v>
      </c>
      <c r="DG3950">
        <v>5451467</v>
      </c>
      <c r="DI3950">
        <v>1</v>
      </c>
      <c r="DJ3950">
        <v>0</v>
      </c>
      <c r="DK3950">
        <v>1</v>
      </c>
      <c r="DL3950">
        <v>0</v>
      </c>
      <c r="DM3950">
        <v>0</v>
      </c>
      <c r="DN3950">
        <v>1</v>
      </c>
      <c r="DO3950">
        <v>0</v>
      </c>
      <c r="DP3950">
        <v>0</v>
      </c>
      <c r="DQ3950">
        <v>0</v>
      </c>
      <c r="DR3950">
        <v>0</v>
      </c>
      <c r="DS3950">
        <v>0</v>
      </c>
    </row>
    <row r="3951" spans="1:123" x14ac:dyDescent="0.3">
      <c r="A3951" t="str">
        <f t="shared" si="1451"/>
        <v>10/04/2022 19:36:09.231</v>
      </c>
      <c r="C3951" t="str">
        <f t="shared" si="1452"/>
        <v>FFDFD3C0</v>
      </c>
      <c r="D3951" t="s">
        <v>147</v>
      </c>
      <c r="E3951">
        <v>3</v>
      </c>
      <c r="H3951">
        <v>166</v>
      </c>
      <c r="I3951" t="s">
        <v>144</v>
      </c>
      <c r="J3951" t="s">
        <v>148</v>
      </c>
      <c r="K3951">
        <v>0</v>
      </c>
      <c r="L3951">
        <v>3</v>
      </c>
      <c r="M3951">
        <v>0</v>
      </c>
      <c r="N3951">
        <v>2</v>
      </c>
      <c r="O3951">
        <v>0</v>
      </c>
      <c r="P3951">
        <v>1</v>
      </c>
      <c r="Q3951">
        <v>0</v>
      </c>
      <c r="S3951" t="str">
        <f t="shared" si="1449"/>
        <v>19:36:08.000</v>
      </c>
      <c r="T3951" t="str">
        <f t="shared" si="1449"/>
        <v>19:36:08.000</v>
      </c>
      <c r="U3951" t="str">
        <f t="shared" si="1437"/>
        <v>AC3944</v>
      </c>
      <c r="V3951">
        <v>0</v>
      </c>
      <c r="W3951">
        <v>0</v>
      </c>
      <c r="X3951">
        <v>2</v>
      </c>
      <c r="Y3951">
        <v>0</v>
      </c>
      <c r="AA3951">
        <v>1</v>
      </c>
      <c r="AB3951">
        <v>8</v>
      </c>
      <c r="AC3951">
        <v>3</v>
      </c>
      <c r="AD3951">
        <v>0</v>
      </c>
      <c r="AE3951">
        <v>9</v>
      </c>
      <c r="AF3951" t="s">
        <v>138</v>
      </c>
      <c r="AG3951">
        <v>0</v>
      </c>
      <c r="AH3951">
        <v>3</v>
      </c>
      <c r="AI3951">
        <v>1</v>
      </c>
      <c r="AJ3951">
        <v>0</v>
      </c>
      <c r="AK3951" t="s">
        <v>1275</v>
      </c>
      <c r="AL3951">
        <v>32.735588999999997</v>
      </c>
      <c r="AM3951" t="s">
        <v>1276</v>
      </c>
      <c r="AN3951">
        <v>-116.688924</v>
      </c>
      <c r="AO3951">
        <v>25</v>
      </c>
      <c r="AP3951">
        <v>4900</v>
      </c>
      <c r="AQ3951" t="s">
        <v>129</v>
      </c>
      <c r="AR3951">
        <v>110</v>
      </c>
      <c r="AS3951">
        <v>-47</v>
      </c>
      <c r="AT3951">
        <v>448</v>
      </c>
      <c r="BB3951">
        <v>1200</v>
      </c>
      <c r="BC3951">
        <v>1</v>
      </c>
      <c r="BD3951" t="str">
        <f t="shared" si="1438"/>
        <v xml:space="preserve">N887QR  </v>
      </c>
      <c r="BE3951">
        <v>1</v>
      </c>
      <c r="BG3951">
        <v>0</v>
      </c>
      <c r="BH3951">
        <v>0</v>
      </c>
      <c r="BI3951">
        <v>0</v>
      </c>
      <c r="BJ3951">
        <v>4750</v>
      </c>
      <c r="BK3951">
        <v>-150</v>
      </c>
      <c r="BL3951" t="s">
        <v>163</v>
      </c>
      <c r="BM3951">
        <v>1</v>
      </c>
      <c r="BN3951">
        <v>1</v>
      </c>
      <c r="BO3951">
        <v>1</v>
      </c>
      <c r="BP3951">
        <v>0</v>
      </c>
      <c r="BS3951">
        <v>0</v>
      </c>
      <c r="BT3951">
        <v>0</v>
      </c>
      <c r="BU3951">
        <v>0</v>
      </c>
      <c r="CE3951" t="str">
        <f t="shared" si="1453"/>
        <v>19:36:08.924</v>
      </c>
      <c r="CF3951">
        <v>924019643</v>
      </c>
      <c r="CS3951">
        <v>0</v>
      </c>
      <c r="CT3951">
        <v>2</v>
      </c>
      <c r="CU3951">
        <v>0</v>
      </c>
      <c r="CV3951">
        <v>2</v>
      </c>
      <c r="CW3951">
        <v>0</v>
      </c>
      <c r="CX3951">
        <v>5</v>
      </c>
      <c r="CY3951">
        <v>7</v>
      </c>
      <c r="CZ3951" t="s">
        <v>131</v>
      </c>
      <c r="DA3951">
        <v>300</v>
      </c>
      <c r="DB3951">
        <v>0</v>
      </c>
      <c r="DC3951" t="s">
        <v>176</v>
      </c>
      <c r="DD3951" t="s">
        <v>177</v>
      </c>
      <c r="DG3951">
        <v>5451467</v>
      </c>
      <c r="DI3951">
        <v>1</v>
      </c>
      <c r="DJ3951">
        <v>0</v>
      </c>
      <c r="DK3951">
        <v>1</v>
      </c>
      <c r="DL3951">
        <v>0</v>
      </c>
      <c r="DM3951">
        <v>0</v>
      </c>
      <c r="DN3951">
        <v>1</v>
      </c>
      <c r="DO3951">
        <v>0</v>
      </c>
      <c r="DP3951">
        <v>0</v>
      </c>
      <c r="DQ3951">
        <v>0</v>
      </c>
      <c r="DR3951">
        <v>0</v>
      </c>
      <c r="DS3951">
        <v>0</v>
      </c>
    </row>
    <row r="3952" spans="1:123" x14ac:dyDescent="0.3">
      <c r="A3952" t="str">
        <f t="shared" si="1451"/>
        <v>10/04/2022 19:36:09.231</v>
      </c>
      <c r="C3952" t="str">
        <f t="shared" si="1452"/>
        <v>FFDFD3C0</v>
      </c>
      <c r="D3952" t="s">
        <v>141</v>
      </c>
      <c r="E3952">
        <v>3</v>
      </c>
      <c r="H3952">
        <v>3</v>
      </c>
      <c r="I3952" t="s">
        <v>146</v>
      </c>
      <c r="J3952" t="s">
        <v>138</v>
      </c>
      <c r="K3952">
        <v>0</v>
      </c>
      <c r="L3952">
        <v>3</v>
      </c>
      <c r="M3952">
        <v>0</v>
      </c>
      <c r="N3952">
        <v>2</v>
      </c>
      <c r="O3952">
        <v>0</v>
      </c>
      <c r="P3952">
        <v>1</v>
      </c>
      <c r="Q3952">
        <v>0</v>
      </c>
      <c r="S3952" t="str">
        <f t="shared" si="1449"/>
        <v>19:36:08.000</v>
      </c>
      <c r="T3952" t="str">
        <f t="shared" si="1449"/>
        <v>19:36:08.000</v>
      </c>
      <c r="U3952" t="str">
        <f t="shared" si="1437"/>
        <v>AC3944</v>
      </c>
      <c r="V3952">
        <v>0</v>
      </c>
      <c r="W3952">
        <v>0</v>
      </c>
      <c r="X3952">
        <v>2</v>
      </c>
      <c r="Y3952">
        <v>0</v>
      </c>
      <c r="AA3952">
        <v>1</v>
      </c>
      <c r="AB3952">
        <v>8</v>
      </c>
      <c r="AC3952">
        <v>3</v>
      </c>
      <c r="AD3952">
        <v>0</v>
      </c>
      <c r="AE3952">
        <v>9</v>
      </c>
      <c r="AF3952" t="s">
        <v>138</v>
      </c>
      <c r="AG3952">
        <v>0</v>
      </c>
      <c r="AH3952">
        <v>3</v>
      </c>
      <c r="AI3952">
        <v>1</v>
      </c>
      <c r="AJ3952">
        <v>0</v>
      </c>
      <c r="AK3952" t="s">
        <v>1275</v>
      </c>
      <c r="AL3952">
        <v>32.735588999999997</v>
      </c>
      <c r="AM3952" t="s">
        <v>1276</v>
      </c>
      <c r="AN3952">
        <v>-116.688924</v>
      </c>
      <c r="AO3952">
        <v>25</v>
      </c>
      <c r="AP3952">
        <v>4900</v>
      </c>
      <c r="AQ3952" t="s">
        <v>129</v>
      </c>
      <c r="AR3952">
        <v>110</v>
      </c>
      <c r="AS3952">
        <v>-47</v>
      </c>
      <c r="AT3952">
        <v>448</v>
      </c>
      <c r="BB3952">
        <v>1200</v>
      </c>
      <c r="BC3952">
        <v>1</v>
      </c>
      <c r="BD3952" t="str">
        <f t="shared" si="1438"/>
        <v xml:space="preserve">N887QR  </v>
      </c>
      <c r="BE3952">
        <v>1</v>
      </c>
      <c r="BG3952">
        <v>0</v>
      </c>
      <c r="BH3952">
        <v>0</v>
      </c>
      <c r="BI3952">
        <v>0</v>
      </c>
      <c r="BJ3952">
        <v>4750</v>
      </c>
      <c r="BK3952">
        <v>-150</v>
      </c>
      <c r="BL3952" t="s">
        <v>163</v>
      </c>
      <c r="BM3952">
        <v>1</v>
      </c>
      <c r="BN3952">
        <v>1</v>
      </c>
      <c r="BO3952">
        <v>1</v>
      </c>
      <c r="BP3952">
        <v>0</v>
      </c>
      <c r="BS3952">
        <v>0</v>
      </c>
      <c r="BT3952">
        <v>0</v>
      </c>
      <c r="BU3952">
        <v>0</v>
      </c>
      <c r="CE3952" t="str">
        <f t="shared" si="1453"/>
        <v>19:36:08.924</v>
      </c>
      <c r="CF3952">
        <v>924019643</v>
      </c>
      <c r="CS3952">
        <v>0</v>
      </c>
      <c r="CT3952">
        <v>2</v>
      </c>
      <c r="CU3952">
        <v>0</v>
      </c>
      <c r="CV3952">
        <v>2</v>
      </c>
      <c r="CW3952">
        <v>0</v>
      </c>
      <c r="CX3952">
        <v>5</v>
      </c>
      <c r="CY3952">
        <v>7</v>
      </c>
      <c r="CZ3952" t="s">
        <v>131</v>
      </c>
      <c r="DA3952">
        <v>300</v>
      </c>
      <c r="DB3952">
        <v>0</v>
      </c>
      <c r="DC3952" t="s">
        <v>176</v>
      </c>
      <c r="DD3952" t="s">
        <v>177</v>
      </c>
      <c r="DG3952">
        <v>5451467</v>
      </c>
      <c r="DI3952">
        <v>1</v>
      </c>
      <c r="DJ3952">
        <v>0</v>
      </c>
      <c r="DK3952">
        <v>1</v>
      </c>
      <c r="DL3952">
        <v>0</v>
      </c>
      <c r="DM3952">
        <v>0</v>
      </c>
      <c r="DN3952">
        <v>1</v>
      </c>
      <c r="DO3952">
        <v>0</v>
      </c>
      <c r="DP3952">
        <v>0</v>
      </c>
      <c r="DQ3952">
        <v>0</v>
      </c>
      <c r="DR3952">
        <v>0</v>
      </c>
      <c r="DS3952">
        <v>0</v>
      </c>
    </row>
    <row r="3953" spans="1:123" x14ac:dyDescent="0.3">
      <c r="A3953" t="str">
        <f t="shared" si="1451"/>
        <v>10/04/2022 19:36:09.231</v>
      </c>
      <c r="C3953" t="str">
        <f t="shared" si="1452"/>
        <v>FFDFD3C0</v>
      </c>
      <c r="D3953" t="s">
        <v>134</v>
      </c>
      <c r="E3953">
        <v>15</v>
      </c>
      <c r="J3953" t="s">
        <v>135</v>
      </c>
      <c r="K3953">
        <v>0</v>
      </c>
      <c r="L3953">
        <v>3</v>
      </c>
      <c r="M3953">
        <v>0</v>
      </c>
      <c r="N3953">
        <v>2</v>
      </c>
      <c r="O3953">
        <v>0</v>
      </c>
      <c r="P3953">
        <v>1</v>
      </c>
      <c r="Q3953">
        <v>0</v>
      </c>
      <c r="S3953" t="str">
        <f t="shared" si="1449"/>
        <v>19:36:08.000</v>
      </c>
      <c r="T3953" t="str">
        <f t="shared" si="1449"/>
        <v>19:36:08.000</v>
      </c>
      <c r="U3953" t="str">
        <f t="shared" si="1437"/>
        <v>AC3944</v>
      </c>
      <c r="V3953">
        <v>0</v>
      </c>
      <c r="W3953">
        <v>0</v>
      </c>
      <c r="X3953">
        <v>2</v>
      </c>
      <c r="Y3953">
        <v>0</v>
      </c>
      <c r="AA3953">
        <v>1</v>
      </c>
      <c r="AB3953">
        <v>8</v>
      </c>
      <c r="AC3953">
        <v>3</v>
      </c>
      <c r="AD3953">
        <v>0</v>
      </c>
      <c r="AE3953">
        <v>9</v>
      </c>
      <c r="AF3953" t="s">
        <v>138</v>
      </c>
      <c r="AG3953">
        <v>0</v>
      </c>
      <c r="AH3953">
        <v>3</v>
      </c>
      <c r="AI3953">
        <v>1</v>
      </c>
      <c r="AJ3953">
        <v>0</v>
      </c>
      <c r="AK3953" t="s">
        <v>1275</v>
      </c>
      <c r="AL3953">
        <v>32.735588999999997</v>
      </c>
      <c r="AM3953" t="s">
        <v>1276</v>
      </c>
      <c r="AN3953">
        <v>-116.688924</v>
      </c>
      <c r="AO3953">
        <v>25</v>
      </c>
      <c r="AP3953">
        <v>4900</v>
      </c>
      <c r="AQ3953" t="s">
        <v>129</v>
      </c>
      <c r="AR3953">
        <v>110</v>
      </c>
      <c r="AS3953">
        <v>-47</v>
      </c>
      <c r="AT3953">
        <v>448</v>
      </c>
      <c r="BB3953">
        <v>1200</v>
      </c>
      <c r="BC3953">
        <v>1</v>
      </c>
      <c r="BD3953" t="str">
        <f t="shared" si="1438"/>
        <v xml:space="preserve">N887QR  </v>
      </c>
      <c r="BE3953">
        <v>1</v>
      </c>
      <c r="BG3953">
        <v>0</v>
      </c>
      <c r="BH3953">
        <v>0</v>
      </c>
      <c r="BI3953">
        <v>0</v>
      </c>
      <c r="BJ3953">
        <v>4750</v>
      </c>
      <c r="BK3953">
        <v>-150</v>
      </c>
      <c r="BL3953" t="s">
        <v>163</v>
      </c>
      <c r="BM3953">
        <v>1</v>
      </c>
      <c r="BN3953">
        <v>1</v>
      </c>
      <c r="BO3953">
        <v>1</v>
      </c>
      <c r="BP3953">
        <v>0</v>
      </c>
      <c r="BS3953">
        <v>0</v>
      </c>
      <c r="BT3953">
        <v>0</v>
      </c>
      <c r="BU3953">
        <v>0</v>
      </c>
      <c r="CE3953" t="str">
        <f t="shared" si="1453"/>
        <v>19:36:08.924</v>
      </c>
      <c r="CF3953">
        <v>924019643</v>
      </c>
      <c r="CS3953">
        <v>0</v>
      </c>
      <c r="CT3953">
        <v>2</v>
      </c>
      <c r="CU3953">
        <v>0</v>
      </c>
      <c r="CV3953">
        <v>2</v>
      </c>
      <c r="CW3953">
        <v>0</v>
      </c>
      <c r="CX3953">
        <v>5</v>
      </c>
      <c r="CY3953">
        <v>7</v>
      </c>
      <c r="CZ3953" t="s">
        <v>131</v>
      </c>
      <c r="DA3953">
        <v>300</v>
      </c>
      <c r="DB3953">
        <v>0</v>
      </c>
      <c r="DC3953" t="s">
        <v>176</v>
      </c>
      <c r="DD3953" t="s">
        <v>177</v>
      </c>
      <c r="DG3953">
        <v>5451467</v>
      </c>
      <c r="DI3953">
        <v>1</v>
      </c>
      <c r="DJ3953">
        <v>0</v>
      </c>
      <c r="DK3953">
        <v>1</v>
      </c>
      <c r="DL3953">
        <v>0</v>
      </c>
      <c r="DM3953">
        <v>0</v>
      </c>
      <c r="DN3953">
        <v>1</v>
      </c>
      <c r="DO3953">
        <v>0</v>
      </c>
      <c r="DP3953">
        <v>0</v>
      </c>
      <c r="DQ3953">
        <v>0</v>
      </c>
      <c r="DR3953">
        <v>0</v>
      </c>
      <c r="DS3953">
        <v>0</v>
      </c>
    </row>
    <row r="3954" spans="1:123" x14ac:dyDescent="0.3">
      <c r="A3954" t="str">
        <f t="shared" ref="A3954:A3960" si="1454">"10/04/2022 19:36:10.888"</f>
        <v>10/04/2022 19:36:10.888</v>
      </c>
      <c r="C3954" t="str">
        <f t="shared" si="1452"/>
        <v>FFDFD3C0</v>
      </c>
      <c r="D3954" t="s">
        <v>143</v>
      </c>
      <c r="E3954">
        <v>20</v>
      </c>
      <c r="F3954">
        <v>1020</v>
      </c>
      <c r="G3954" t="s">
        <v>144</v>
      </c>
      <c r="J3954" t="s">
        <v>145</v>
      </c>
      <c r="K3954">
        <v>0</v>
      </c>
      <c r="L3954">
        <v>3</v>
      </c>
      <c r="M3954">
        <v>0</v>
      </c>
      <c r="N3954">
        <v>2</v>
      </c>
      <c r="O3954">
        <v>0</v>
      </c>
      <c r="P3954">
        <v>1</v>
      </c>
      <c r="Q3954">
        <v>0</v>
      </c>
      <c r="S3954" t="str">
        <f t="shared" ref="S3954:T3967" si="1455">"19:36:10.000"</f>
        <v>19:36:10.000</v>
      </c>
      <c r="T3954" t="str">
        <f t="shared" si="1455"/>
        <v>19:36:10.000</v>
      </c>
      <c r="U3954" t="str">
        <f t="shared" si="1437"/>
        <v>AC3944</v>
      </c>
      <c r="V3954">
        <v>0</v>
      </c>
      <c r="W3954">
        <v>0</v>
      </c>
      <c r="X3954">
        <v>2</v>
      </c>
      <c r="Y3954">
        <v>0</v>
      </c>
      <c r="AA3954">
        <v>1</v>
      </c>
      <c r="AB3954">
        <v>8</v>
      </c>
      <c r="AC3954">
        <v>3</v>
      </c>
      <c r="AD3954">
        <v>0</v>
      </c>
      <c r="AE3954">
        <v>9</v>
      </c>
      <c r="AF3954" t="s">
        <v>138</v>
      </c>
      <c r="AG3954">
        <v>0</v>
      </c>
      <c r="AH3954">
        <v>3</v>
      </c>
      <c r="AI3954">
        <v>1</v>
      </c>
      <c r="AJ3954">
        <v>0</v>
      </c>
      <c r="AK3954" t="s">
        <v>1277</v>
      </c>
      <c r="AL3954">
        <v>32.735374</v>
      </c>
      <c r="AM3954" t="s">
        <v>1278</v>
      </c>
      <c r="AN3954">
        <v>-116.688323</v>
      </c>
      <c r="AO3954">
        <v>25</v>
      </c>
      <c r="AP3954">
        <v>4900</v>
      </c>
      <c r="AQ3954" t="s">
        <v>129</v>
      </c>
      <c r="AR3954">
        <v>107</v>
      </c>
      <c r="AS3954">
        <v>-52</v>
      </c>
      <c r="AT3954">
        <v>576</v>
      </c>
      <c r="BB3954">
        <v>1200</v>
      </c>
      <c r="BC3954">
        <v>1</v>
      </c>
      <c r="BD3954" t="str">
        <f t="shared" si="1438"/>
        <v xml:space="preserve">N887QR  </v>
      </c>
      <c r="BE3954">
        <v>1</v>
      </c>
      <c r="BG3954">
        <v>0</v>
      </c>
      <c r="BH3954">
        <v>0</v>
      </c>
      <c r="BI3954">
        <v>0</v>
      </c>
      <c r="BJ3954">
        <v>4775</v>
      </c>
      <c r="BK3954">
        <v>-125</v>
      </c>
      <c r="BL3954" t="s">
        <v>163</v>
      </c>
      <c r="BM3954">
        <v>1</v>
      </c>
      <c r="BN3954">
        <v>1</v>
      </c>
      <c r="BO3954">
        <v>1</v>
      </c>
      <c r="BP3954">
        <v>0</v>
      </c>
      <c r="BS3954">
        <v>0</v>
      </c>
      <c r="BT3954">
        <v>0</v>
      </c>
      <c r="BU3954">
        <v>0</v>
      </c>
      <c r="CE3954" t="str">
        <f t="shared" ref="CE3954:CE3960" si="1456">"19:36:10.479"</f>
        <v>19:36:10.479</v>
      </c>
      <c r="CF3954">
        <v>478524970</v>
      </c>
      <c r="CS3954">
        <v>0</v>
      </c>
      <c r="CT3954">
        <v>2</v>
      </c>
      <c r="CU3954">
        <v>0</v>
      </c>
      <c r="CV3954">
        <v>2</v>
      </c>
      <c r="CW3954">
        <v>0</v>
      </c>
      <c r="CX3954">
        <v>5</v>
      </c>
      <c r="CY3954">
        <v>7</v>
      </c>
      <c r="CZ3954" t="s">
        <v>131</v>
      </c>
      <c r="DA3954">
        <v>300</v>
      </c>
      <c r="DB3954">
        <v>0</v>
      </c>
      <c r="DC3954" t="s">
        <v>176</v>
      </c>
      <c r="DD3954" t="s">
        <v>177</v>
      </c>
      <c r="DG3954">
        <v>5451701</v>
      </c>
      <c r="DI3954">
        <v>1</v>
      </c>
      <c r="DJ3954">
        <v>0</v>
      </c>
      <c r="DK3954">
        <v>0</v>
      </c>
      <c r="DL3954">
        <v>0</v>
      </c>
      <c r="DM3954">
        <v>0</v>
      </c>
      <c r="DN3954">
        <v>1</v>
      </c>
      <c r="DO3954">
        <v>0</v>
      </c>
      <c r="DP3954">
        <v>0</v>
      </c>
      <c r="DQ3954">
        <v>0</v>
      </c>
      <c r="DR3954">
        <v>0</v>
      </c>
      <c r="DS3954">
        <v>0</v>
      </c>
    </row>
    <row r="3955" spans="1:123" x14ac:dyDescent="0.3">
      <c r="A3955" t="str">
        <f t="shared" si="1454"/>
        <v>10/04/2022 19:36:10.888</v>
      </c>
      <c r="C3955" t="str">
        <f t="shared" si="1452"/>
        <v>FFDFD3C0</v>
      </c>
      <c r="D3955" t="s">
        <v>147</v>
      </c>
      <c r="E3955">
        <v>3</v>
      </c>
      <c r="H3955">
        <v>166</v>
      </c>
      <c r="I3955" t="s">
        <v>144</v>
      </c>
      <c r="J3955" t="s">
        <v>148</v>
      </c>
      <c r="K3955">
        <v>0</v>
      </c>
      <c r="L3955">
        <v>3</v>
      </c>
      <c r="M3955">
        <v>0</v>
      </c>
      <c r="N3955">
        <v>2</v>
      </c>
      <c r="O3955">
        <v>0</v>
      </c>
      <c r="P3955">
        <v>1</v>
      </c>
      <c r="Q3955">
        <v>0</v>
      </c>
      <c r="S3955" t="str">
        <f t="shared" si="1455"/>
        <v>19:36:10.000</v>
      </c>
      <c r="T3955" t="str">
        <f t="shared" si="1455"/>
        <v>19:36:10.000</v>
      </c>
      <c r="U3955" t="str">
        <f t="shared" si="1437"/>
        <v>AC3944</v>
      </c>
      <c r="V3955">
        <v>0</v>
      </c>
      <c r="W3955">
        <v>0</v>
      </c>
      <c r="X3955">
        <v>2</v>
      </c>
      <c r="Y3955">
        <v>0</v>
      </c>
      <c r="AA3955">
        <v>1</v>
      </c>
      <c r="AB3955">
        <v>8</v>
      </c>
      <c r="AC3955">
        <v>3</v>
      </c>
      <c r="AD3955">
        <v>0</v>
      </c>
      <c r="AE3955">
        <v>9</v>
      </c>
      <c r="AF3955" t="s">
        <v>138</v>
      </c>
      <c r="AG3955">
        <v>0</v>
      </c>
      <c r="AH3955">
        <v>3</v>
      </c>
      <c r="AI3955">
        <v>1</v>
      </c>
      <c r="AJ3955">
        <v>0</v>
      </c>
      <c r="AK3955" t="s">
        <v>1277</v>
      </c>
      <c r="AL3955">
        <v>32.735374</v>
      </c>
      <c r="AM3955" t="s">
        <v>1278</v>
      </c>
      <c r="AN3955">
        <v>-116.688323</v>
      </c>
      <c r="AO3955">
        <v>25</v>
      </c>
      <c r="AP3955">
        <v>4900</v>
      </c>
      <c r="AQ3955" t="s">
        <v>129</v>
      </c>
      <c r="AR3955">
        <v>107</v>
      </c>
      <c r="AS3955">
        <v>-52</v>
      </c>
      <c r="AT3955">
        <v>576</v>
      </c>
      <c r="BB3955">
        <v>1200</v>
      </c>
      <c r="BC3955">
        <v>1</v>
      </c>
      <c r="BD3955" t="str">
        <f t="shared" si="1438"/>
        <v xml:space="preserve">N887QR  </v>
      </c>
      <c r="BE3955">
        <v>1</v>
      </c>
      <c r="BG3955">
        <v>0</v>
      </c>
      <c r="BH3955">
        <v>0</v>
      </c>
      <c r="BI3955">
        <v>0</v>
      </c>
      <c r="BJ3955">
        <v>4775</v>
      </c>
      <c r="BK3955">
        <v>-125</v>
      </c>
      <c r="BL3955" t="s">
        <v>163</v>
      </c>
      <c r="BM3955">
        <v>1</v>
      </c>
      <c r="BN3955">
        <v>1</v>
      </c>
      <c r="BO3955">
        <v>1</v>
      </c>
      <c r="BP3955">
        <v>0</v>
      </c>
      <c r="BS3955">
        <v>0</v>
      </c>
      <c r="BT3955">
        <v>0</v>
      </c>
      <c r="BU3955">
        <v>0</v>
      </c>
      <c r="CE3955" t="str">
        <f t="shared" si="1456"/>
        <v>19:36:10.479</v>
      </c>
      <c r="CF3955">
        <v>478524970</v>
      </c>
      <c r="CS3955">
        <v>0</v>
      </c>
      <c r="CT3955">
        <v>2</v>
      </c>
      <c r="CU3955">
        <v>0</v>
      </c>
      <c r="CV3955">
        <v>2</v>
      </c>
      <c r="CW3955">
        <v>0</v>
      </c>
      <c r="CX3955">
        <v>5</v>
      </c>
      <c r="CY3955">
        <v>7</v>
      </c>
      <c r="CZ3955" t="s">
        <v>131</v>
      </c>
      <c r="DA3955">
        <v>300</v>
      </c>
      <c r="DB3955">
        <v>0</v>
      </c>
      <c r="DC3955" t="s">
        <v>176</v>
      </c>
      <c r="DD3955" t="s">
        <v>177</v>
      </c>
      <c r="DG3955">
        <v>5451701</v>
      </c>
      <c r="DI3955">
        <v>1</v>
      </c>
      <c r="DJ3955">
        <v>0</v>
      </c>
      <c r="DK3955">
        <v>1</v>
      </c>
      <c r="DL3955">
        <v>0</v>
      </c>
      <c r="DM3955">
        <v>0</v>
      </c>
      <c r="DN3955">
        <v>1</v>
      </c>
      <c r="DO3955">
        <v>0</v>
      </c>
      <c r="DP3955">
        <v>0</v>
      </c>
      <c r="DQ3955">
        <v>0</v>
      </c>
      <c r="DR3955">
        <v>0</v>
      </c>
      <c r="DS3955">
        <v>0</v>
      </c>
    </row>
    <row r="3956" spans="1:123" x14ac:dyDescent="0.3">
      <c r="A3956" t="str">
        <f t="shared" si="1454"/>
        <v>10/04/2022 19:36:10.888</v>
      </c>
      <c r="C3956" t="str">
        <f t="shared" si="1452"/>
        <v>FFDFD3C0</v>
      </c>
      <c r="D3956" t="s">
        <v>123</v>
      </c>
      <c r="E3956">
        <v>7</v>
      </c>
      <c r="F3956">
        <v>2007</v>
      </c>
      <c r="G3956" t="s">
        <v>124</v>
      </c>
      <c r="J3956" t="s">
        <v>125</v>
      </c>
      <c r="K3956">
        <v>0</v>
      </c>
      <c r="L3956">
        <v>3</v>
      </c>
      <c r="M3956">
        <v>0</v>
      </c>
      <c r="N3956">
        <v>2</v>
      </c>
      <c r="O3956">
        <v>0</v>
      </c>
      <c r="P3956">
        <v>1</v>
      </c>
      <c r="Q3956">
        <v>0</v>
      </c>
      <c r="S3956" t="str">
        <f t="shared" si="1455"/>
        <v>19:36:10.000</v>
      </c>
      <c r="T3956" t="str">
        <f t="shared" si="1455"/>
        <v>19:36:10.000</v>
      </c>
      <c r="U3956" t="str">
        <f t="shared" si="1437"/>
        <v>AC3944</v>
      </c>
      <c r="V3956">
        <v>0</v>
      </c>
      <c r="W3956">
        <v>0</v>
      </c>
      <c r="X3956">
        <v>2</v>
      </c>
      <c r="Y3956">
        <v>0</v>
      </c>
      <c r="AA3956">
        <v>1</v>
      </c>
      <c r="AB3956">
        <v>8</v>
      </c>
      <c r="AC3956">
        <v>3</v>
      </c>
      <c r="AD3956">
        <v>0</v>
      </c>
      <c r="AE3956">
        <v>9</v>
      </c>
      <c r="AF3956" t="s">
        <v>138</v>
      </c>
      <c r="AG3956">
        <v>0</v>
      </c>
      <c r="AH3956">
        <v>3</v>
      </c>
      <c r="AI3956">
        <v>1</v>
      </c>
      <c r="AJ3956">
        <v>0</v>
      </c>
      <c r="AK3956" t="s">
        <v>1277</v>
      </c>
      <c r="AL3956">
        <v>32.735374</v>
      </c>
      <c r="AM3956" t="s">
        <v>1278</v>
      </c>
      <c r="AN3956">
        <v>-116.688323</v>
      </c>
      <c r="AO3956">
        <v>25</v>
      </c>
      <c r="AP3956">
        <v>4900</v>
      </c>
      <c r="AQ3956" t="s">
        <v>129</v>
      </c>
      <c r="AR3956">
        <v>107</v>
      </c>
      <c r="AS3956">
        <v>-52</v>
      </c>
      <c r="AT3956">
        <v>576</v>
      </c>
      <c r="BB3956">
        <v>1200</v>
      </c>
      <c r="BC3956">
        <v>1</v>
      </c>
      <c r="BD3956" t="str">
        <f t="shared" si="1438"/>
        <v xml:space="preserve">N887QR  </v>
      </c>
      <c r="BE3956">
        <v>1</v>
      </c>
      <c r="BG3956">
        <v>0</v>
      </c>
      <c r="BH3956">
        <v>0</v>
      </c>
      <c r="BI3956">
        <v>0</v>
      </c>
      <c r="BJ3956">
        <v>4775</v>
      </c>
      <c r="BK3956">
        <v>-125</v>
      </c>
      <c r="BL3956" t="s">
        <v>163</v>
      </c>
      <c r="BM3956">
        <v>1</v>
      </c>
      <c r="BN3956">
        <v>1</v>
      </c>
      <c r="BO3956">
        <v>1</v>
      </c>
      <c r="BP3956">
        <v>0</v>
      </c>
      <c r="BS3956">
        <v>0</v>
      </c>
      <c r="BT3956">
        <v>0</v>
      </c>
      <c r="BU3956">
        <v>0</v>
      </c>
      <c r="CE3956" t="str">
        <f t="shared" si="1456"/>
        <v>19:36:10.479</v>
      </c>
      <c r="CF3956">
        <v>478524970</v>
      </c>
      <c r="CS3956">
        <v>0</v>
      </c>
      <c r="CT3956">
        <v>2</v>
      </c>
      <c r="CU3956">
        <v>0</v>
      </c>
      <c r="CV3956">
        <v>2</v>
      </c>
      <c r="CW3956">
        <v>0</v>
      </c>
      <c r="CX3956">
        <v>5</v>
      </c>
      <c r="CY3956">
        <v>7</v>
      </c>
      <c r="CZ3956" t="s">
        <v>131</v>
      </c>
      <c r="DA3956">
        <v>300</v>
      </c>
      <c r="DB3956">
        <v>0</v>
      </c>
      <c r="DC3956" t="s">
        <v>176</v>
      </c>
      <c r="DD3956" t="s">
        <v>177</v>
      </c>
      <c r="DG3956">
        <v>5451701</v>
      </c>
      <c r="DI3956">
        <v>1</v>
      </c>
      <c r="DJ3956">
        <v>0</v>
      </c>
      <c r="DK3956">
        <v>1</v>
      </c>
      <c r="DL3956">
        <v>0</v>
      </c>
      <c r="DM3956">
        <v>0</v>
      </c>
      <c r="DN3956">
        <v>1</v>
      </c>
      <c r="DO3956">
        <v>0</v>
      </c>
      <c r="DP3956">
        <v>0</v>
      </c>
      <c r="DQ3956">
        <v>0</v>
      </c>
      <c r="DR3956">
        <v>0</v>
      </c>
      <c r="DS3956">
        <v>0</v>
      </c>
    </row>
    <row r="3957" spans="1:123" x14ac:dyDescent="0.3">
      <c r="A3957" t="str">
        <f t="shared" si="1454"/>
        <v>10/04/2022 19:36:10.888</v>
      </c>
      <c r="C3957" t="str">
        <f t="shared" si="1452"/>
        <v>FFDFD3C0</v>
      </c>
      <c r="D3957" t="s">
        <v>134</v>
      </c>
      <c r="E3957">
        <v>15</v>
      </c>
      <c r="J3957" t="s">
        <v>135</v>
      </c>
      <c r="K3957">
        <v>0</v>
      </c>
      <c r="L3957">
        <v>3</v>
      </c>
      <c r="M3957">
        <v>0</v>
      </c>
      <c r="N3957">
        <v>2</v>
      </c>
      <c r="O3957">
        <v>0</v>
      </c>
      <c r="P3957">
        <v>1</v>
      </c>
      <c r="Q3957">
        <v>0</v>
      </c>
      <c r="S3957" t="str">
        <f t="shared" si="1455"/>
        <v>19:36:10.000</v>
      </c>
      <c r="T3957" t="str">
        <f t="shared" si="1455"/>
        <v>19:36:10.000</v>
      </c>
      <c r="U3957" t="str">
        <f t="shared" si="1437"/>
        <v>AC3944</v>
      </c>
      <c r="V3957">
        <v>0</v>
      </c>
      <c r="W3957">
        <v>0</v>
      </c>
      <c r="X3957">
        <v>2</v>
      </c>
      <c r="Y3957">
        <v>0</v>
      </c>
      <c r="AA3957">
        <v>1</v>
      </c>
      <c r="AB3957">
        <v>8</v>
      </c>
      <c r="AC3957">
        <v>3</v>
      </c>
      <c r="AD3957">
        <v>0</v>
      </c>
      <c r="AE3957">
        <v>9</v>
      </c>
      <c r="AF3957" t="s">
        <v>138</v>
      </c>
      <c r="AG3957">
        <v>0</v>
      </c>
      <c r="AH3957">
        <v>3</v>
      </c>
      <c r="AI3957">
        <v>1</v>
      </c>
      <c r="AJ3957">
        <v>0</v>
      </c>
      <c r="AK3957" t="s">
        <v>1277</v>
      </c>
      <c r="AL3957">
        <v>32.735374</v>
      </c>
      <c r="AM3957" t="s">
        <v>1278</v>
      </c>
      <c r="AN3957">
        <v>-116.688323</v>
      </c>
      <c r="AO3957">
        <v>25</v>
      </c>
      <c r="AP3957">
        <v>4900</v>
      </c>
      <c r="AQ3957" t="s">
        <v>129</v>
      </c>
      <c r="AR3957">
        <v>107</v>
      </c>
      <c r="AS3957">
        <v>-52</v>
      </c>
      <c r="AT3957">
        <v>576</v>
      </c>
      <c r="BB3957">
        <v>1200</v>
      </c>
      <c r="BC3957">
        <v>1</v>
      </c>
      <c r="BD3957" t="str">
        <f t="shared" si="1438"/>
        <v xml:space="preserve">N887QR  </v>
      </c>
      <c r="BE3957">
        <v>1</v>
      </c>
      <c r="BG3957">
        <v>0</v>
      </c>
      <c r="BH3957">
        <v>0</v>
      </c>
      <c r="BI3957">
        <v>0</v>
      </c>
      <c r="BJ3957">
        <v>4775</v>
      </c>
      <c r="BK3957">
        <v>-125</v>
      </c>
      <c r="BL3957" t="s">
        <v>163</v>
      </c>
      <c r="BM3957">
        <v>1</v>
      </c>
      <c r="BN3957">
        <v>1</v>
      </c>
      <c r="BO3957">
        <v>1</v>
      </c>
      <c r="BP3957">
        <v>0</v>
      </c>
      <c r="BS3957">
        <v>0</v>
      </c>
      <c r="BT3957">
        <v>0</v>
      </c>
      <c r="BU3957">
        <v>0</v>
      </c>
      <c r="CE3957" t="str">
        <f t="shared" si="1456"/>
        <v>19:36:10.479</v>
      </c>
      <c r="CF3957">
        <v>478524970</v>
      </c>
      <c r="CS3957">
        <v>0</v>
      </c>
      <c r="CT3957">
        <v>2</v>
      </c>
      <c r="CU3957">
        <v>0</v>
      </c>
      <c r="CV3957">
        <v>2</v>
      </c>
      <c r="CW3957">
        <v>0</v>
      </c>
      <c r="CX3957">
        <v>5</v>
      </c>
      <c r="CY3957">
        <v>7</v>
      </c>
      <c r="CZ3957" t="s">
        <v>131</v>
      </c>
      <c r="DA3957">
        <v>300</v>
      </c>
      <c r="DB3957">
        <v>0</v>
      </c>
      <c r="DC3957" t="s">
        <v>176</v>
      </c>
      <c r="DD3957" t="s">
        <v>177</v>
      </c>
      <c r="DG3957">
        <v>5451701</v>
      </c>
      <c r="DI3957">
        <v>1</v>
      </c>
      <c r="DJ3957">
        <v>0</v>
      </c>
      <c r="DK3957">
        <v>1</v>
      </c>
      <c r="DL3957">
        <v>0</v>
      </c>
      <c r="DM3957">
        <v>0</v>
      </c>
      <c r="DN3957">
        <v>1</v>
      </c>
      <c r="DO3957">
        <v>0</v>
      </c>
      <c r="DP3957">
        <v>0</v>
      </c>
      <c r="DQ3957">
        <v>0</v>
      </c>
      <c r="DR3957">
        <v>0</v>
      </c>
      <c r="DS3957">
        <v>0</v>
      </c>
    </row>
    <row r="3958" spans="1:123" x14ac:dyDescent="0.3">
      <c r="A3958" t="str">
        <f t="shared" si="1454"/>
        <v>10/04/2022 19:36:10.888</v>
      </c>
      <c r="C3958" t="str">
        <f t="shared" si="1452"/>
        <v>FFDFD3C0</v>
      </c>
      <c r="D3958" t="s">
        <v>141</v>
      </c>
      <c r="E3958">
        <v>3</v>
      </c>
      <c r="H3958">
        <v>3</v>
      </c>
      <c r="I3958" t="s">
        <v>146</v>
      </c>
      <c r="J3958" t="s">
        <v>138</v>
      </c>
      <c r="K3958">
        <v>0</v>
      </c>
      <c r="L3958">
        <v>3</v>
      </c>
      <c r="M3958">
        <v>0</v>
      </c>
      <c r="N3958">
        <v>2</v>
      </c>
      <c r="O3958">
        <v>0</v>
      </c>
      <c r="P3958">
        <v>1</v>
      </c>
      <c r="Q3958">
        <v>0</v>
      </c>
      <c r="S3958" t="str">
        <f t="shared" si="1455"/>
        <v>19:36:10.000</v>
      </c>
      <c r="T3958" t="str">
        <f t="shared" si="1455"/>
        <v>19:36:10.000</v>
      </c>
      <c r="U3958" t="str">
        <f t="shared" si="1437"/>
        <v>AC3944</v>
      </c>
      <c r="V3958">
        <v>0</v>
      </c>
      <c r="W3958">
        <v>0</v>
      </c>
      <c r="X3958">
        <v>2</v>
      </c>
      <c r="Y3958">
        <v>0</v>
      </c>
      <c r="AA3958">
        <v>1</v>
      </c>
      <c r="AB3958">
        <v>8</v>
      </c>
      <c r="AC3958">
        <v>3</v>
      </c>
      <c r="AD3958">
        <v>0</v>
      </c>
      <c r="AE3958">
        <v>9</v>
      </c>
      <c r="AF3958" t="s">
        <v>138</v>
      </c>
      <c r="AG3958">
        <v>0</v>
      </c>
      <c r="AH3958">
        <v>3</v>
      </c>
      <c r="AI3958">
        <v>1</v>
      </c>
      <c r="AJ3958">
        <v>0</v>
      </c>
      <c r="AK3958" t="s">
        <v>1277</v>
      </c>
      <c r="AL3958">
        <v>32.735374</v>
      </c>
      <c r="AM3958" t="s">
        <v>1278</v>
      </c>
      <c r="AN3958">
        <v>-116.688323</v>
      </c>
      <c r="AO3958">
        <v>25</v>
      </c>
      <c r="AP3958">
        <v>4900</v>
      </c>
      <c r="AQ3958" t="s">
        <v>129</v>
      </c>
      <c r="AR3958">
        <v>107</v>
      </c>
      <c r="AS3958">
        <v>-52</v>
      </c>
      <c r="AT3958">
        <v>576</v>
      </c>
      <c r="BB3958">
        <v>1200</v>
      </c>
      <c r="BC3958">
        <v>1</v>
      </c>
      <c r="BD3958" t="str">
        <f t="shared" si="1438"/>
        <v xml:space="preserve">N887QR  </v>
      </c>
      <c r="BE3958">
        <v>1</v>
      </c>
      <c r="BG3958">
        <v>0</v>
      </c>
      <c r="BH3958">
        <v>0</v>
      </c>
      <c r="BI3958">
        <v>0</v>
      </c>
      <c r="BJ3958">
        <v>4775</v>
      </c>
      <c r="BK3958">
        <v>-125</v>
      </c>
      <c r="BL3958" t="s">
        <v>163</v>
      </c>
      <c r="BM3958">
        <v>1</v>
      </c>
      <c r="BN3958">
        <v>1</v>
      </c>
      <c r="BO3958">
        <v>1</v>
      </c>
      <c r="BP3958">
        <v>0</v>
      </c>
      <c r="BS3958">
        <v>0</v>
      </c>
      <c r="BT3958">
        <v>0</v>
      </c>
      <c r="BU3958">
        <v>0</v>
      </c>
      <c r="CE3958" t="str">
        <f t="shared" si="1456"/>
        <v>19:36:10.479</v>
      </c>
      <c r="CF3958">
        <v>478524970</v>
      </c>
      <c r="CS3958">
        <v>0</v>
      </c>
      <c r="CT3958">
        <v>2</v>
      </c>
      <c r="CU3958">
        <v>0</v>
      </c>
      <c r="CV3958">
        <v>2</v>
      </c>
      <c r="CW3958">
        <v>0</v>
      </c>
      <c r="CX3958">
        <v>5</v>
      </c>
      <c r="CY3958">
        <v>7</v>
      </c>
      <c r="CZ3958" t="s">
        <v>131</v>
      </c>
      <c r="DA3958">
        <v>300</v>
      </c>
      <c r="DB3958">
        <v>0</v>
      </c>
      <c r="DC3958" t="s">
        <v>176</v>
      </c>
      <c r="DD3958" t="s">
        <v>177</v>
      </c>
      <c r="DG3958">
        <v>5451701</v>
      </c>
      <c r="DI3958">
        <v>1</v>
      </c>
      <c r="DJ3958">
        <v>0</v>
      </c>
      <c r="DK3958">
        <v>1</v>
      </c>
      <c r="DL3958">
        <v>0</v>
      </c>
      <c r="DM3958">
        <v>0</v>
      </c>
      <c r="DN3958">
        <v>1</v>
      </c>
      <c r="DO3958">
        <v>0</v>
      </c>
      <c r="DP3958">
        <v>0</v>
      </c>
      <c r="DQ3958">
        <v>0</v>
      </c>
      <c r="DR3958">
        <v>0</v>
      </c>
      <c r="DS3958">
        <v>0</v>
      </c>
    </row>
    <row r="3959" spans="1:123" x14ac:dyDescent="0.3">
      <c r="A3959" t="str">
        <f t="shared" si="1454"/>
        <v>10/04/2022 19:36:10.888</v>
      </c>
      <c r="C3959" t="str">
        <f t="shared" si="1452"/>
        <v>FFDFD3C0</v>
      </c>
      <c r="D3959" t="s">
        <v>141</v>
      </c>
      <c r="E3959">
        <v>4</v>
      </c>
      <c r="H3959">
        <v>4</v>
      </c>
      <c r="I3959" t="s">
        <v>142</v>
      </c>
      <c r="J3959" t="s">
        <v>138</v>
      </c>
      <c r="K3959">
        <v>0</v>
      </c>
      <c r="L3959">
        <v>3</v>
      </c>
      <c r="M3959">
        <v>0</v>
      </c>
      <c r="N3959">
        <v>2</v>
      </c>
      <c r="O3959">
        <v>0</v>
      </c>
      <c r="P3959">
        <v>1</v>
      </c>
      <c r="Q3959">
        <v>0</v>
      </c>
      <c r="S3959" t="str">
        <f t="shared" si="1455"/>
        <v>19:36:10.000</v>
      </c>
      <c r="T3959" t="str">
        <f t="shared" si="1455"/>
        <v>19:36:10.000</v>
      </c>
      <c r="U3959" t="str">
        <f t="shared" si="1437"/>
        <v>AC3944</v>
      </c>
      <c r="V3959">
        <v>0</v>
      </c>
      <c r="W3959">
        <v>0</v>
      </c>
      <c r="X3959">
        <v>2</v>
      </c>
      <c r="Y3959">
        <v>0</v>
      </c>
      <c r="AA3959">
        <v>1</v>
      </c>
      <c r="AB3959">
        <v>8</v>
      </c>
      <c r="AC3959">
        <v>3</v>
      </c>
      <c r="AD3959">
        <v>0</v>
      </c>
      <c r="AE3959">
        <v>9</v>
      </c>
      <c r="AF3959" t="s">
        <v>138</v>
      </c>
      <c r="AG3959">
        <v>0</v>
      </c>
      <c r="AH3959">
        <v>3</v>
      </c>
      <c r="AI3959">
        <v>1</v>
      </c>
      <c r="AJ3959">
        <v>0</v>
      </c>
      <c r="AK3959" t="s">
        <v>1277</v>
      </c>
      <c r="AL3959">
        <v>32.735374</v>
      </c>
      <c r="AM3959" t="s">
        <v>1278</v>
      </c>
      <c r="AN3959">
        <v>-116.688323</v>
      </c>
      <c r="AO3959">
        <v>25</v>
      </c>
      <c r="AP3959">
        <v>4900</v>
      </c>
      <c r="AQ3959" t="s">
        <v>129</v>
      </c>
      <c r="AR3959">
        <v>107</v>
      </c>
      <c r="AS3959">
        <v>-52</v>
      </c>
      <c r="AT3959">
        <v>576</v>
      </c>
      <c r="BB3959">
        <v>1200</v>
      </c>
      <c r="BC3959">
        <v>1</v>
      </c>
      <c r="BD3959" t="str">
        <f t="shared" si="1438"/>
        <v xml:space="preserve">N887QR  </v>
      </c>
      <c r="BE3959">
        <v>1</v>
      </c>
      <c r="BG3959">
        <v>0</v>
      </c>
      <c r="BH3959">
        <v>0</v>
      </c>
      <c r="BI3959">
        <v>0</v>
      </c>
      <c r="BJ3959">
        <v>4775</v>
      </c>
      <c r="BK3959">
        <v>-125</v>
      </c>
      <c r="BL3959" t="s">
        <v>163</v>
      </c>
      <c r="BM3959">
        <v>1</v>
      </c>
      <c r="BN3959">
        <v>1</v>
      </c>
      <c r="BO3959">
        <v>1</v>
      </c>
      <c r="BP3959">
        <v>0</v>
      </c>
      <c r="BS3959">
        <v>0</v>
      </c>
      <c r="BT3959">
        <v>0</v>
      </c>
      <c r="BU3959">
        <v>0</v>
      </c>
      <c r="CE3959" t="str">
        <f t="shared" si="1456"/>
        <v>19:36:10.479</v>
      </c>
      <c r="CF3959">
        <v>478524970</v>
      </c>
      <c r="CS3959">
        <v>0</v>
      </c>
      <c r="CT3959">
        <v>2</v>
      </c>
      <c r="CU3959">
        <v>0</v>
      </c>
      <c r="CV3959">
        <v>2</v>
      </c>
      <c r="CW3959">
        <v>0</v>
      </c>
      <c r="CX3959">
        <v>5</v>
      </c>
      <c r="CY3959">
        <v>7</v>
      </c>
      <c r="CZ3959" t="s">
        <v>131</v>
      </c>
      <c r="DA3959">
        <v>300</v>
      </c>
      <c r="DB3959">
        <v>0</v>
      </c>
      <c r="DC3959" t="s">
        <v>176</v>
      </c>
      <c r="DD3959" t="s">
        <v>177</v>
      </c>
      <c r="DG3959">
        <v>5451701</v>
      </c>
      <c r="DI3959">
        <v>1</v>
      </c>
      <c r="DJ3959">
        <v>0</v>
      </c>
      <c r="DK3959">
        <v>1</v>
      </c>
      <c r="DL3959">
        <v>0</v>
      </c>
      <c r="DM3959">
        <v>0</v>
      </c>
      <c r="DN3959">
        <v>1</v>
      </c>
      <c r="DO3959">
        <v>0</v>
      </c>
      <c r="DP3959">
        <v>0</v>
      </c>
      <c r="DQ3959">
        <v>0</v>
      </c>
      <c r="DR3959">
        <v>0</v>
      </c>
      <c r="DS3959">
        <v>0</v>
      </c>
    </row>
    <row r="3960" spans="1:123" x14ac:dyDescent="0.3">
      <c r="A3960" t="str">
        <f t="shared" si="1454"/>
        <v>10/04/2022 19:36:10.888</v>
      </c>
      <c r="C3960" t="str">
        <f t="shared" si="1452"/>
        <v>FFDFD3C0</v>
      </c>
      <c r="D3960" t="s">
        <v>136</v>
      </c>
      <c r="E3960">
        <v>8</v>
      </c>
      <c r="H3960">
        <v>225</v>
      </c>
      <c r="I3960" t="s">
        <v>137</v>
      </c>
      <c r="J3960" t="s">
        <v>138</v>
      </c>
      <c r="K3960">
        <v>0</v>
      </c>
      <c r="L3960">
        <v>3</v>
      </c>
      <c r="M3960">
        <v>0</v>
      </c>
      <c r="N3960">
        <v>2</v>
      </c>
      <c r="O3960">
        <v>0</v>
      </c>
      <c r="P3960">
        <v>1</v>
      </c>
      <c r="Q3960">
        <v>0</v>
      </c>
      <c r="S3960" t="str">
        <f t="shared" si="1455"/>
        <v>19:36:10.000</v>
      </c>
      <c r="T3960" t="str">
        <f t="shared" si="1455"/>
        <v>19:36:10.000</v>
      </c>
      <c r="U3960" t="str">
        <f t="shared" si="1437"/>
        <v>AC3944</v>
      </c>
      <c r="V3960">
        <v>0</v>
      </c>
      <c r="W3960">
        <v>0</v>
      </c>
      <c r="X3960">
        <v>2</v>
      </c>
      <c r="Y3960">
        <v>0</v>
      </c>
      <c r="AA3960">
        <v>1</v>
      </c>
      <c r="AB3960">
        <v>8</v>
      </c>
      <c r="AC3960">
        <v>3</v>
      </c>
      <c r="AD3960">
        <v>0</v>
      </c>
      <c r="AE3960">
        <v>9</v>
      </c>
      <c r="AF3960" t="s">
        <v>138</v>
      </c>
      <c r="AG3960">
        <v>0</v>
      </c>
      <c r="AH3960">
        <v>3</v>
      </c>
      <c r="AI3960">
        <v>1</v>
      </c>
      <c r="AJ3960">
        <v>0</v>
      </c>
      <c r="AK3960" t="s">
        <v>1277</v>
      </c>
      <c r="AL3960">
        <v>32.735374</v>
      </c>
      <c r="AM3960" t="s">
        <v>1278</v>
      </c>
      <c r="AN3960">
        <v>-116.688323</v>
      </c>
      <c r="AO3960">
        <v>25</v>
      </c>
      <c r="AP3960">
        <v>4900</v>
      </c>
      <c r="AQ3960" t="s">
        <v>129</v>
      </c>
      <c r="AR3960">
        <v>107</v>
      </c>
      <c r="AS3960">
        <v>-52</v>
      </c>
      <c r="AT3960">
        <v>576</v>
      </c>
      <c r="BB3960">
        <v>1200</v>
      </c>
      <c r="BC3960">
        <v>1</v>
      </c>
      <c r="BD3960" t="str">
        <f t="shared" si="1438"/>
        <v xml:space="preserve">N887QR  </v>
      </c>
      <c r="BE3960">
        <v>1</v>
      </c>
      <c r="BG3960">
        <v>0</v>
      </c>
      <c r="BH3960">
        <v>0</v>
      </c>
      <c r="BI3960">
        <v>0</v>
      </c>
      <c r="BJ3960">
        <v>4775</v>
      </c>
      <c r="BK3960">
        <v>-125</v>
      </c>
      <c r="BL3960" t="s">
        <v>163</v>
      </c>
      <c r="BM3960">
        <v>1</v>
      </c>
      <c r="BN3960">
        <v>1</v>
      </c>
      <c r="BO3960">
        <v>1</v>
      </c>
      <c r="BP3960">
        <v>0</v>
      </c>
      <c r="BS3960">
        <v>0</v>
      </c>
      <c r="BT3960">
        <v>0</v>
      </c>
      <c r="BU3960">
        <v>0</v>
      </c>
      <c r="CE3960" t="str">
        <f t="shared" si="1456"/>
        <v>19:36:10.479</v>
      </c>
      <c r="CF3960">
        <v>478524970</v>
      </c>
      <c r="CS3960">
        <v>0</v>
      </c>
      <c r="CT3960">
        <v>2</v>
      </c>
      <c r="CU3960">
        <v>0</v>
      </c>
      <c r="CV3960">
        <v>2</v>
      </c>
      <c r="CW3960">
        <v>0</v>
      </c>
      <c r="CX3960">
        <v>5</v>
      </c>
      <c r="CY3960">
        <v>7</v>
      </c>
      <c r="CZ3960" t="s">
        <v>131</v>
      </c>
      <c r="DA3960">
        <v>300</v>
      </c>
      <c r="DB3960">
        <v>0</v>
      </c>
      <c r="DC3960" t="s">
        <v>176</v>
      </c>
      <c r="DD3960" t="s">
        <v>177</v>
      </c>
      <c r="DG3960">
        <v>5451701</v>
      </c>
      <c r="DI3960">
        <v>1</v>
      </c>
      <c r="DJ3960">
        <v>0</v>
      </c>
      <c r="DK3960">
        <v>1</v>
      </c>
      <c r="DL3960">
        <v>0</v>
      </c>
      <c r="DM3960">
        <v>0</v>
      </c>
      <c r="DN3960">
        <v>1</v>
      </c>
      <c r="DO3960">
        <v>0</v>
      </c>
      <c r="DP3960">
        <v>0</v>
      </c>
      <c r="DQ3960">
        <v>0</v>
      </c>
      <c r="DR3960">
        <v>0</v>
      </c>
      <c r="DS3960">
        <v>0</v>
      </c>
    </row>
    <row r="3961" spans="1:123" x14ac:dyDescent="0.3">
      <c r="A3961" t="str">
        <f>"10/04/2022 19:36:11.261"</f>
        <v>10/04/2022 19:36:11.261</v>
      </c>
      <c r="C3961" t="str">
        <f t="shared" si="1452"/>
        <v>FFDFD3C0</v>
      </c>
      <c r="D3961" t="s">
        <v>136</v>
      </c>
      <c r="E3961">
        <v>8</v>
      </c>
      <c r="H3961">
        <v>225</v>
      </c>
      <c r="I3961" t="s">
        <v>137</v>
      </c>
      <c r="J3961" t="s">
        <v>138</v>
      </c>
      <c r="K3961">
        <v>0</v>
      </c>
      <c r="L3961">
        <v>3</v>
      </c>
      <c r="M3961">
        <v>0</v>
      </c>
      <c r="N3961">
        <v>2</v>
      </c>
      <c r="O3961">
        <v>0</v>
      </c>
      <c r="P3961">
        <v>1</v>
      </c>
      <c r="Q3961">
        <v>0</v>
      </c>
      <c r="S3961" t="str">
        <f t="shared" si="1455"/>
        <v>19:36:10.000</v>
      </c>
      <c r="T3961" t="str">
        <f t="shared" si="1455"/>
        <v>19:36:10.000</v>
      </c>
      <c r="U3961" t="str">
        <f t="shared" si="1437"/>
        <v>AC3944</v>
      </c>
      <c r="V3961">
        <v>0</v>
      </c>
      <c r="W3961">
        <v>0</v>
      </c>
      <c r="X3961">
        <v>2</v>
      </c>
      <c r="Y3961">
        <v>0</v>
      </c>
      <c r="AA3961">
        <v>1</v>
      </c>
      <c r="AB3961">
        <v>8</v>
      </c>
      <c r="AC3961">
        <v>3</v>
      </c>
      <c r="AD3961">
        <v>0</v>
      </c>
      <c r="AE3961">
        <v>9</v>
      </c>
      <c r="AF3961" t="s">
        <v>138</v>
      </c>
      <c r="AG3961">
        <v>0</v>
      </c>
      <c r="AH3961">
        <v>3</v>
      </c>
      <c r="AI3961">
        <v>1</v>
      </c>
      <c r="AJ3961">
        <v>0</v>
      </c>
      <c r="AK3961" t="s">
        <v>1279</v>
      </c>
      <c r="AL3961">
        <v>32.735137999999999</v>
      </c>
      <c r="AM3961" t="s">
        <v>1280</v>
      </c>
      <c r="AN3961">
        <v>-116.68772199999999</v>
      </c>
      <c r="AO3961">
        <v>25</v>
      </c>
      <c r="AP3961">
        <v>4900</v>
      </c>
      <c r="AQ3961" t="s">
        <v>129</v>
      </c>
      <c r="AR3961">
        <v>106</v>
      </c>
      <c r="AS3961">
        <v>-54</v>
      </c>
      <c r="AT3961">
        <v>576</v>
      </c>
      <c r="BB3961">
        <v>1200</v>
      </c>
      <c r="BC3961">
        <v>1</v>
      </c>
      <c r="BD3961" t="str">
        <f t="shared" si="1438"/>
        <v xml:space="preserve">N887QR  </v>
      </c>
      <c r="BE3961">
        <v>1</v>
      </c>
      <c r="BG3961">
        <v>0</v>
      </c>
      <c r="BH3961">
        <v>0</v>
      </c>
      <c r="BI3961">
        <v>0</v>
      </c>
      <c r="BJ3961">
        <v>4775</v>
      </c>
      <c r="BK3961">
        <v>-125</v>
      </c>
      <c r="BL3961" t="s">
        <v>163</v>
      </c>
      <c r="BM3961">
        <v>1</v>
      </c>
      <c r="BN3961">
        <v>1</v>
      </c>
      <c r="BO3961">
        <v>1</v>
      </c>
      <c r="BP3961">
        <v>0</v>
      </c>
      <c r="BS3961">
        <v>0</v>
      </c>
      <c r="BT3961">
        <v>0</v>
      </c>
      <c r="BU3961">
        <v>0</v>
      </c>
      <c r="CE3961" t="str">
        <f t="shared" ref="CE3961:CE3967" si="1457">"19:36:10.943"</f>
        <v>19:36:10.943</v>
      </c>
      <c r="CF3961">
        <v>942526467</v>
      </c>
      <c r="CS3961">
        <v>0</v>
      </c>
      <c r="CT3961">
        <v>2</v>
      </c>
      <c r="CU3961">
        <v>0</v>
      </c>
      <c r="CV3961">
        <v>2</v>
      </c>
      <c r="CW3961">
        <v>0</v>
      </c>
      <c r="CX3961">
        <v>4</v>
      </c>
      <c r="CY3961">
        <v>7</v>
      </c>
      <c r="CZ3961" t="s">
        <v>131</v>
      </c>
      <c r="DA3961">
        <v>300</v>
      </c>
      <c r="DB3961">
        <v>0</v>
      </c>
      <c r="DC3961" t="s">
        <v>176</v>
      </c>
      <c r="DD3961" t="s">
        <v>177</v>
      </c>
      <c r="DG3961">
        <v>5451765</v>
      </c>
      <c r="DI3961">
        <v>1</v>
      </c>
      <c r="DJ3961">
        <v>0</v>
      </c>
      <c r="DK3961">
        <v>0</v>
      </c>
      <c r="DL3961">
        <v>0</v>
      </c>
      <c r="DM3961">
        <v>0</v>
      </c>
      <c r="DN3961">
        <v>1</v>
      </c>
      <c r="DO3961">
        <v>0</v>
      </c>
      <c r="DP3961">
        <v>0</v>
      </c>
      <c r="DQ3961">
        <v>0</v>
      </c>
      <c r="DR3961">
        <v>0</v>
      </c>
      <c r="DS3961">
        <v>0</v>
      </c>
    </row>
    <row r="3962" spans="1:123" x14ac:dyDescent="0.3">
      <c r="A3962" t="str">
        <f>"10/04/2022 19:36:11.261"</f>
        <v>10/04/2022 19:36:11.261</v>
      </c>
      <c r="C3962" t="str">
        <f t="shared" si="1452"/>
        <v>FFDFD3C0</v>
      </c>
      <c r="D3962" t="s">
        <v>143</v>
      </c>
      <c r="E3962">
        <v>20</v>
      </c>
      <c r="F3962">
        <v>1020</v>
      </c>
      <c r="G3962" t="s">
        <v>144</v>
      </c>
      <c r="J3962" t="s">
        <v>145</v>
      </c>
      <c r="K3962">
        <v>0</v>
      </c>
      <c r="L3962">
        <v>3</v>
      </c>
      <c r="M3962">
        <v>0</v>
      </c>
      <c r="N3962">
        <v>2</v>
      </c>
      <c r="O3962">
        <v>0</v>
      </c>
      <c r="P3962">
        <v>1</v>
      </c>
      <c r="Q3962">
        <v>0</v>
      </c>
      <c r="S3962" t="str">
        <f t="shared" si="1455"/>
        <v>19:36:10.000</v>
      </c>
      <c r="T3962" t="str">
        <f t="shared" si="1455"/>
        <v>19:36:10.000</v>
      </c>
      <c r="U3962" t="str">
        <f t="shared" si="1437"/>
        <v>AC3944</v>
      </c>
      <c r="V3962">
        <v>0</v>
      </c>
      <c r="W3962">
        <v>0</v>
      </c>
      <c r="X3962">
        <v>2</v>
      </c>
      <c r="Y3962">
        <v>0</v>
      </c>
      <c r="AA3962">
        <v>1</v>
      </c>
      <c r="AB3962">
        <v>8</v>
      </c>
      <c r="AC3962">
        <v>3</v>
      </c>
      <c r="AD3962">
        <v>0</v>
      </c>
      <c r="AE3962">
        <v>9</v>
      </c>
      <c r="AF3962" t="s">
        <v>138</v>
      </c>
      <c r="AG3962">
        <v>0</v>
      </c>
      <c r="AH3962">
        <v>3</v>
      </c>
      <c r="AI3962">
        <v>1</v>
      </c>
      <c r="AJ3962">
        <v>0</v>
      </c>
      <c r="AK3962" t="s">
        <v>1279</v>
      </c>
      <c r="AL3962">
        <v>32.735137999999999</v>
      </c>
      <c r="AM3962" t="s">
        <v>1280</v>
      </c>
      <c r="AN3962">
        <v>-116.68772199999999</v>
      </c>
      <c r="AO3962">
        <v>25</v>
      </c>
      <c r="AP3962">
        <v>4900</v>
      </c>
      <c r="AQ3962" t="s">
        <v>129</v>
      </c>
      <c r="AR3962">
        <v>106</v>
      </c>
      <c r="AS3962">
        <v>-54</v>
      </c>
      <c r="AT3962">
        <v>576</v>
      </c>
      <c r="BB3962">
        <v>1200</v>
      </c>
      <c r="BC3962">
        <v>1</v>
      </c>
      <c r="BD3962" t="str">
        <f t="shared" si="1438"/>
        <v xml:space="preserve">N887QR  </v>
      </c>
      <c r="BE3962">
        <v>1</v>
      </c>
      <c r="BG3962">
        <v>0</v>
      </c>
      <c r="BH3962">
        <v>0</v>
      </c>
      <c r="BI3962">
        <v>0</v>
      </c>
      <c r="BJ3962">
        <v>4775</v>
      </c>
      <c r="BK3962">
        <v>-125</v>
      </c>
      <c r="BL3962" t="s">
        <v>163</v>
      </c>
      <c r="BM3962">
        <v>1</v>
      </c>
      <c r="BN3962">
        <v>1</v>
      </c>
      <c r="BO3962">
        <v>1</v>
      </c>
      <c r="BP3962">
        <v>0</v>
      </c>
      <c r="BS3962">
        <v>0</v>
      </c>
      <c r="BT3962">
        <v>0</v>
      </c>
      <c r="BU3962">
        <v>0</v>
      </c>
      <c r="CE3962" t="str">
        <f t="shared" si="1457"/>
        <v>19:36:10.943</v>
      </c>
      <c r="CF3962">
        <v>942526467</v>
      </c>
      <c r="CS3962">
        <v>0</v>
      </c>
      <c r="CT3962">
        <v>2</v>
      </c>
      <c r="CU3962">
        <v>0</v>
      </c>
      <c r="CV3962">
        <v>2</v>
      </c>
      <c r="CW3962">
        <v>0</v>
      </c>
      <c r="CX3962">
        <v>4</v>
      </c>
      <c r="CY3962">
        <v>7</v>
      </c>
      <c r="CZ3962" t="s">
        <v>131</v>
      </c>
      <c r="DA3962">
        <v>300</v>
      </c>
      <c r="DB3962">
        <v>0</v>
      </c>
      <c r="DC3962" t="s">
        <v>176</v>
      </c>
      <c r="DD3962" t="s">
        <v>177</v>
      </c>
      <c r="DG3962">
        <v>5451765</v>
      </c>
      <c r="DI3962">
        <v>1</v>
      </c>
      <c r="DJ3962">
        <v>0</v>
      </c>
      <c r="DK3962">
        <v>1</v>
      </c>
      <c r="DL3962">
        <v>0</v>
      </c>
      <c r="DM3962">
        <v>0</v>
      </c>
      <c r="DN3962">
        <v>1</v>
      </c>
      <c r="DO3962">
        <v>0</v>
      </c>
      <c r="DP3962">
        <v>0</v>
      </c>
      <c r="DQ3962">
        <v>0</v>
      </c>
      <c r="DR3962">
        <v>0</v>
      </c>
      <c r="DS3962">
        <v>0</v>
      </c>
    </row>
    <row r="3963" spans="1:123" x14ac:dyDescent="0.3">
      <c r="A3963" t="str">
        <f>"10/04/2022 19:36:11.262"</f>
        <v>10/04/2022 19:36:11.262</v>
      </c>
      <c r="C3963" t="str">
        <f t="shared" si="1452"/>
        <v>FFDFD3C0</v>
      </c>
      <c r="D3963" t="s">
        <v>147</v>
      </c>
      <c r="E3963">
        <v>3</v>
      </c>
      <c r="H3963">
        <v>166</v>
      </c>
      <c r="I3963" t="s">
        <v>144</v>
      </c>
      <c r="J3963" t="s">
        <v>148</v>
      </c>
      <c r="K3963">
        <v>0</v>
      </c>
      <c r="L3963">
        <v>3</v>
      </c>
      <c r="M3963">
        <v>0</v>
      </c>
      <c r="N3963">
        <v>2</v>
      </c>
      <c r="O3963">
        <v>0</v>
      </c>
      <c r="P3963">
        <v>1</v>
      </c>
      <c r="Q3963">
        <v>0</v>
      </c>
      <c r="S3963" t="str">
        <f t="shared" si="1455"/>
        <v>19:36:10.000</v>
      </c>
      <c r="T3963" t="str">
        <f t="shared" si="1455"/>
        <v>19:36:10.000</v>
      </c>
      <c r="U3963" t="str">
        <f t="shared" si="1437"/>
        <v>AC3944</v>
      </c>
      <c r="V3963">
        <v>0</v>
      </c>
      <c r="W3963">
        <v>0</v>
      </c>
      <c r="X3963">
        <v>2</v>
      </c>
      <c r="Y3963">
        <v>0</v>
      </c>
      <c r="AA3963">
        <v>1</v>
      </c>
      <c r="AB3963">
        <v>8</v>
      </c>
      <c r="AC3963">
        <v>3</v>
      </c>
      <c r="AD3963">
        <v>0</v>
      </c>
      <c r="AE3963">
        <v>9</v>
      </c>
      <c r="AF3963" t="s">
        <v>138</v>
      </c>
      <c r="AG3963">
        <v>0</v>
      </c>
      <c r="AH3963">
        <v>3</v>
      </c>
      <c r="AI3963">
        <v>1</v>
      </c>
      <c r="AJ3963">
        <v>0</v>
      </c>
      <c r="AK3963" t="s">
        <v>1279</v>
      </c>
      <c r="AL3963">
        <v>32.735137999999999</v>
      </c>
      <c r="AM3963" t="s">
        <v>1280</v>
      </c>
      <c r="AN3963">
        <v>-116.68772199999999</v>
      </c>
      <c r="AO3963">
        <v>25</v>
      </c>
      <c r="AP3963">
        <v>4900</v>
      </c>
      <c r="AQ3963" t="s">
        <v>129</v>
      </c>
      <c r="AR3963">
        <v>106</v>
      </c>
      <c r="AS3963">
        <v>-54</v>
      </c>
      <c r="AT3963">
        <v>576</v>
      </c>
      <c r="BB3963">
        <v>1200</v>
      </c>
      <c r="BC3963">
        <v>1</v>
      </c>
      <c r="BD3963" t="str">
        <f t="shared" si="1438"/>
        <v xml:space="preserve">N887QR  </v>
      </c>
      <c r="BE3963">
        <v>1</v>
      </c>
      <c r="BG3963">
        <v>0</v>
      </c>
      <c r="BH3963">
        <v>0</v>
      </c>
      <c r="BI3963">
        <v>0</v>
      </c>
      <c r="BJ3963">
        <v>4775</v>
      </c>
      <c r="BK3963">
        <v>-125</v>
      </c>
      <c r="BL3963" t="s">
        <v>163</v>
      </c>
      <c r="BM3963">
        <v>1</v>
      </c>
      <c r="BN3963">
        <v>1</v>
      </c>
      <c r="BO3963">
        <v>1</v>
      </c>
      <c r="BP3963">
        <v>0</v>
      </c>
      <c r="BS3963">
        <v>0</v>
      </c>
      <c r="BT3963">
        <v>0</v>
      </c>
      <c r="BU3963">
        <v>0</v>
      </c>
      <c r="CE3963" t="str">
        <f t="shared" si="1457"/>
        <v>19:36:10.943</v>
      </c>
      <c r="CF3963">
        <v>942526467</v>
      </c>
      <c r="CS3963">
        <v>0</v>
      </c>
      <c r="CT3963">
        <v>2</v>
      </c>
      <c r="CU3963">
        <v>0</v>
      </c>
      <c r="CV3963">
        <v>2</v>
      </c>
      <c r="CW3963">
        <v>0</v>
      </c>
      <c r="CX3963">
        <v>4</v>
      </c>
      <c r="CY3963">
        <v>7</v>
      </c>
      <c r="CZ3963" t="s">
        <v>131</v>
      </c>
      <c r="DA3963">
        <v>300</v>
      </c>
      <c r="DB3963">
        <v>0</v>
      </c>
      <c r="DC3963" t="s">
        <v>176</v>
      </c>
      <c r="DD3963" t="s">
        <v>177</v>
      </c>
      <c r="DG3963">
        <v>5451765</v>
      </c>
      <c r="DI3963">
        <v>1</v>
      </c>
      <c r="DJ3963">
        <v>0</v>
      </c>
      <c r="DK3963">
        <v>1</v>
      </c>
      <c r="DL3963">
        <v>0</v>
      </c>
      <c r="DM3963">
        <v>0</v>
      </c>
      <c r="DN3963">
        <v>1</v>
      </c>
      <c r="DO3963">
        <v>0</v>
      </c>
      <c r="DP3963">
        <v>0</v>
      </c>
      <c r="DQ3963">
        <v>0</v>
      </c>
      <c r="DR3963">
        <v>0</v>
      </c>
      <c r="DS3963">
        <v>0</v>
      </c>
    </row>
    <row r="3964" spans="1:123" x14ac:dyDescent="0.3">
      <c r="A3964" t="str">
        <f>"10/04/2022 19:36:11.262"</f>
        <v>10/04/2022 19:36:11.262</v>
      </c>
      <c r="C3964" t="str">
        <f t="shared" si="1452"/>
        <v>FFDFD3C0</v>
      </c>
      <c r="D3964" t="s">
        <v>123</v>
      </c>
      <c r="E3964">
        <v>7</v>
      </c>
      <c r="F3964">
        <v>2007</v>
      </c>
      <c r="G3964" t="s">
        <v>124</v>
      </c>
      <c r="J3964" t="s">
        <v>125</v>
      </c>
      <c r="K3964">
        <v>0</v>
      </c>
      <c r="L3964">
        <v>3</v>
      </c>
      <c r="M3964">
        <v>0</v>
      </c>
      <c r="N3964">
        <v>2</v>
      </c>
      <c r="O3964">
        <v>0</v>
      </c>
      <c r="P3964">
        <v>1</v>
      </c>
      <c r="Q3964">
        <v>0</v>
      </c>
      <c r="S3964" t="str">
        <f t="shared" si="1455"/>
        <v>19:36:10.000</v>
      </c>
      <c r="T3964" t="str">
        <f t="shared" si="1455"/>
        <v>19:36:10.000</v>
      </c>
      <c r="U3964" t="str">
        <f t="shared" si="1437"/>
        <v>AC3944</v>
      </c>
      <c r="V3964">
        <v>0</v>
      </c>
      <c r="W3964">
        <v>0</v>
      </c>
      <c r="X3964">
        <v>2</v>
      </c>
      <c r="Y3964">
        <v>0</v>
      </c>
      <c r="AA3964">
        <v>1</v>
      </c>
      <c r="AB3964">
        <v>8</v>
      </c>
      <c r="AC3964">
        <v>3</v>
      </c>
      <c r="AD3964">
        <v>0</v>
      </c>
      <c r="AE3964">
        <v>9</v>
      </c>
      <c r="AF3964" t="s">
        <v>138</v>
      </c>
      <c r="AG3964">
        <v>0</v>
      </c>
      <c r="AH3964">
        <v>3</v>
      </c>
      <c r="AI3964">
        <v>1</v>
      </c>
      <c r="AJ3964">
        <v>0</v>
      </c>
      <c r="AK3964" t="s">
        <v>1279</v>
      </c>
      <c r="AL3964">
        <v>32.735137999999999</v>
      </c>
      <c r="AM3964" t="s">
        <v>1280</v>
      </c>
      <c r="AN3964">
        <v>-116.68772199999999</v>
      </c>
      <c r="AO3964">
        <v>25</v>
      </c>
      <c r="AP3964">
        <v>4900</v>
      </c>
      <c r="AQ3964" t="s">
        <v>129</v>
      </c>
      <c r="AR3964">
        <v>106</v>
      </c>
      <c r="AS3964">
        <v>-54</v>
      </c>
      <c r="AT3964">
        <v>576</v>
      </c>
      <c r="BB3964">
        <v>1200</v>
      </c>
      <c r="BC3964">
        <v>1</v>
      </c>
      <c r="BD3964" t="str">
        <f t="shared" si="1438"/>
        <v xml:space="preserve">N887QR  </v>
      </c>
      <c r="BE3964">
        <v>1</v>
      </c>
      <c r="BG3964">
        <v>0</v>
      </c>
      <c r="BH3964">
        <v>0</v>
      </c>
      <c r="BI3964">
        <v>0</v>
      </c>
      <c r="BJ3964">
        <v>4775</v>
      </c>
      <c r="BK3964">
        <v>-125</v>
      </c>
      <c r="BL3964" t="s">
        <v>163</v>
      </c>
      <c r="BM3964">
        <v>1</v>
      </c>
      <c r="BN3964">
        <v>1</v>
      </c>
      <c r="BO3964">
        <v>1</v>
      </c>
      <c r="BP3964">
        <v>0</v>
      </c>
      <c r="BS3964">
        <v>0</v>
      </c>
      <c r="BT3964">
        <v>0</v>
      </c>
      <c r="BU3964">
        <v>0</v>
      </c>
      <c r="CE3964" t="str">
        <f t="shared" si="1457"/>
        <v>19:36:10.943</v>
      </c>
      <c r="CF3964">
        <v>942526467</v>
      </c>
      <c r="CS3964">
        <v>0</v>
      </c>
      <c r="CT3964">
        <v>2</v>
      </c>
      <c r="CU3964">
        <v>0</v>
      </c>
      <c r="CV3964">
        <v>2</v>
      </c>
      <c r="CW3964">
        <v>0</v>
      </c>
      <c r="CX3964">
        <v>4</v>
      </c>
      <c r="CY3964">
        <v>7</v>
      </c>
      <c r="CZ3964" t="s">
        <v>131</v>
      </c>
      <c r="DA3964">
        <v>300</v>
      </c>
      <c r="DB3964">
        <v>0</v>
      </c>
      <c r="DC3964" t="s">
        <v>176</v>
      </c>
      <c r="DD3964" t="s">
        <v>177</v>
      </c>
      <c r="DG3964">
        <v>5451765</v>
      </c>
      <c r="DI3964">
        <v>1</v>
      </c>
      <c r="DJ3964">
        <v>0</v>
      </c>
      <c r="DK3964">
        <v>1</v>
      </c>
      <c r="DL3964">
        <v>0</v>
      </c>
      <c r="DM3964">
        <v>0</v>
      </c>
      <c r="DN3964">
        <v>1</v>
      </c>
      <c r="DO3964">
        <v>0</v>
      </c>
      <c r="DP3964">
        <v>0</v>
      </c>
      <c r="DQ3964">
        <v>0</v>
      </c>
      <c r="DR3964">
        <v>0</v>
      </c>
      <c r="DS3964">
        <v>0</v>
      </c>
    </row>
    <row r="3965" spans="1:123" x14ac:dyDescent="0.3">
      <c r="A3965" t="str">
        <f>"10/04/2022 19:36:11.262"</f>
        <v>10/04/2022 19:36:11.262</v>
      </c>
      <c r="C3965" t="str">
        <f t="shared" si="1452"/>
        <v>FFDFD3C0</v>
      </c>
      <c r="D3965" t="s">
        <v>134</v>
      </c>
      <c r="E3965">
        <v>15</v>
      </c>
      <c r="J3965" t="s">
        <v>135</v>
      </c>
      <c r="K3965">
        <v>0</v>
      </c>
      <c r="L3965">
        <v>3</v>
      </c>
      <c r="M3965">
        <v>0</v>
      </c>
      <c r="N3965">
        <v>2</v>
      </c>
      <c r="O3965">
        <v>0</v>
      </c>
      <c r="P3965">
        <v>1</v>
      </c>
      <c r="Q3965">
        <v>0</v>
      </c>
      <c r="S3965" t="str">
        <f t="shared" si="1455"/>
        <v>19:36:10.000</v>
      </c>
      <c r="T3965" t="str">
        <f t="shared" si="1455"/>
        <v>19:36:10.000</v>
      </c>
      <c r="U3965" t="str">
        <f t="shared" si="1437"/>
        <v>AC3944</v>
      </c>
      <c r="V3965">
        <v>0</v>
      </c>
      <c r="W3965">
        <v>0</v>
      </c>
      <c r="X3965">
        <v>2</v>
      </c>
      <c r="Y3965">
        <v>0</v>
      </c>
      <c r="AA3965">
        <v>1</v>
      </c>
      <c r="AB3965">
        <v>8</v>
      </c>
      <c r="AC3965">
        <v>3</v>
      </c>
      <c r="AD3965">
        <v>0</v>
      </c>
      <c r="AE3965">
        <v>9</v>
      </c>
      <c r="AF3965" t="s">
        <v>138</v>
      </c>
      <c r="AG3965">
        <v>0</v>
      </c>
      <c r="AH3965">
        <v>3</v>
      </c>
      <c r="AI3965">
        <v>1</v>
      </c>
      <c r="AJ3965">
        <v>0</v>
      </c>
      <c r="AK3965" t="s">
        <v>1279</v>
      </c>
      <c r="AL3965">
        <v>32.735137999999999</v>
      </c>
      <c r="AM3965" t="s">
        <v>1280</v>
      </c>
      <c r="AN3965">
        <v>-116.68772199999999</v>
      </c>
      <c r="AO3965">
        <v>25</v>
      </c>
      <c r="AP3965">
        <v>4900</v>
      </c>
      <c r="AQ3965" t="s">
        <v>129</v>
      </c>
      <c r="AR3965">
        <v>106</v>
      </c>
      <c r="AS3965">
        <v>-54</v>
      </c>
      <c r="AT3965">
        <v>576</v>
      </c>
      <c r="BB3965">
        <v>1200</v>
      </c>
      <c r="BC3965">
        <v>1</v>
      </c>
      <c r="BD3965" t="str">
        <f t="shared" si="1438"/>
        <v xml:space="preserve">N887QR  </v>
      </c>
      <c r="BE3965">
        <v>1</v>
      </c>
      <c r="BG3965">
        <v>0</v>
      </c>
      <c r="BH3965">
        <v>0</v>
      </c>
      <c r="BI3965">
        <v>0</v>
      </c>
      <c r="BJ3965">
        <v>4775</v>
      </c>
      <c r="BK3965">
        <v>-125</v>
      </c>
      <c r="BL3965" t="s">
        <v>163</v>
      </c>
      <c r="BM3965">
        <v>1</v>
      </c>
      <c r="BN3965">
        <v>1</v>
      </c>
      <c r="BO3965">
        <v>1</v>
      </c>
      <c r="BP3965">
        <v>0</v>
      </c>
      <c r="BS3965">
        <v>0</v>
      </c>
      <c r="BT3965">
        <v>0</v>
      </c>
      <c r="BU3965">
        <v>0</v>
      </c>
      <c r="CE3965" t="str">
        <f t="shared" si="1457"/>
        <v>19:36:10.943</v>
      </c>
      <c r="CF3965">
        <v>942526467</v>
      </c>
      <c r="CS3965">
        <v>0</v>
      </c>
      <c r="CT3965">
        <v>2</v>
      </c>
      <c r="CU3965">
        <v>0</v>
      </c>
      <c r="CV3965">
        <v>2</v>
      </c>
      <c r="CW3965">
        <v>0</v>
      </c>
      <c r="CX3965">
        <v>4</v>
      </c>
      <c r="CY3965">
        <v>7</v>
      </c>
      <c r="CZ3965" t="s">
        <v>131</v>
      </c>
      <c r="DA3965">
        <v>300</v>
      </c>
      <c r="DB3965">
        <v>0</v>
      </c>
      <c r="DC3965" t="s">
        <v>176</v>
      </c>
      <c r="DD3965" t="s">
        <v>177</v>
      </c>
      <c r="DG3965">
        <v>5451765</v>
      </c>
      <c r="DI3965">
        <v>1</v>
      </c>
      <c r="DJ3965">
        <v>0</v>
      </c>
      <c r="DK3965">
        <v>1</v>
      </c>
      <c r="DL3965">
        <v>0</v>
      </c>
      <c r="DM3965">
        <v>0</v>
      </c>
      <c r="DN3965">
        <v>1</v>
      </c>
      <c r="DO3965">
        <v>0</v>
      </c>
      <c r="DP3965">
        <v>0</v>
      </c>
      <c r="DQ3965">
        <v>0</v>
      </c>
      <c r="DR3965">
        <v>0</v>
      </c>
      <c r="DS3965">
        <v>0</v>
      </c>
    </row>
    <row r="3966" spans="1:123" x14ac:dyDescent="0.3">
      <c r="A3966" t="str">
        <f>"10/04/2022 19:36:11.262"</f>
        <v>10/04/2022 19:36:11.262</v>
      </c>
      <c r="C3966" t="str">
        <f t="shared" si="1452"/>
        <v>FFDFD3C0</v>
      </c>
      <c r="D3966" t="s">
        <v>141</v>
      </c>
      <c r="E3966">
        <v>4</v>
      </c>
      <c r="H3966">
        <v>4</v>
      </c>
      <c r="I3966" t="s">
        <v>142</v>
      </c>
      <c r="J3966" t="s">
        <v>138</v>
      </c>
      <c r="K3966">
        <v>0</v>
      </c>
      <c r="L3966">
        <v>3</v>
      </c>
      <c r="M3966">
        <v>0</v>
      </c>
      <c r="N3966">
        <v>2</v>
      </c>
      <c r="O3966">
        <v>0</v>
      </c>
      <c r="P3966">
        <v>1</v>
      </c>
      <c r="Q3966">
        <v>0</v>
      </c>
      <c r="S3966" t="str">
        <f t="shared" si="1455"/>
        <v>19:36:10.000</v>
      </c>
      <c r="T3966" t="str">
        <f t="shared" si="1455"/>
        <v>19:36:10.000</v>
      </c>
      <c r="U3966" t="str">
        <f t="shared" si="1437"/>
        <v>AC3944</v>
      </c>
      <c r="V3966">
        <v>0</v>
      </c>
      <c r="W3966">
        <v>0</v>
      </c>
      <c r="X3966">
        <v>2</v>
      </c>
      <c r="Y3966">
        <v>0</v>
      </c>
      <c r="AA3966">
        <v>1</v>
      </c>
      <c r="AB3966">
        <v>8</v>
      </c>
      <c r="AC3966">
        <v>3</v>
      </c>
      <c r="AD3966">
        <v>0</v>
      </c>
      <c r="AE3966">
        <v>9</v>
      </c>
      <c r="AF3966" t="s">
        <v>138</v>
      </c>
      <c r="AG3966">
        <v>0</v>
      </c>
      <c r="AH3966">
        <v>3</v>
      </c>
      <c r="AI3966">
        <v>1</v>
      </c>
      <c r="AJ3966">
        <v>0</v>
      </c>
      <c r="AK3966" t="s">
        <v>1279</v>
      </c>
      <c r="AL3966">
        <v>32.735137999999999</v>
      </c>
      <c r="AM3966" t="s">
        <v>1280</v>
      </c>
      <c r="AN3966">
        <v>-116.68772199999999</v>
      </c>
      <c r="AO3966">
        <v>25</v>
      </c>
      <c r="AP3966">
        <v>4900</v>
      </c>
      <c r="AQ3966" t="s">
        <v>129</v>
      </c>
      <c r="AR3966">
        <v>106</v>
      </c>
      <c r="AS3966">
        <v>-54</v>
      </c>
      <c r="AT3966">
        <v>576</v>
      </c>
      <c r="BB3966">
        <v>1200</v>
      </c>
      <c r="BC3966">
        <v>1</v>
      </c>
      <c r="BD3966" t="str">
        <f t="shared" si="1438"/>
        <v xml:space="preserve">N887QR  </v>
      </c>
      <c r="BE3966">
        <v>1</v>
      </c>
      <c r="BG3966">
        <v>0</v>
      </c>
      <c r="BH3966">
        <v>0</v>
      </c>
      <c r="BI3966">
        <v>0</v>
      </c>
      <c r="BJ3966">
        <v>4775</v>
      </c>
      <c r="BK3966">
        <v>-125</v>
      </c>
      <c r="BL3966" t="s">
        <v>163</v>
      </c>
      <c r="BM3966">
        <v>1</v>
      </c>
      <c r="BN3966">
        <v>1</v>
      </c>
      <c r="BO3966">
        <v>1</v>
      </c>
      <c r="BP3966">
        <v>0</v>
      </c>
      <c r="BS3966">
        <v>0</v>
      </c>
      <c r="BT3966">
        <v>0</v>
      </c>
      <c r="BU3966">
        <v>0</v>
      </c>
      <c r="CE3966" t="str">
        <f t="shared" si="1457"/>
        <v>19:36:10.943</v>
      </c>
      <c r="CF3966">
        <v>942526467</v>
      </c>
      <c r="CS3966">
        <v>0</v>
      </c>
      <c r="CT3966">
        <v>2</v>
      </c>
      <c r="CU3966">
        <v>0</v>
      </c>
      <c r="CV3966">
        <v>2</v>
      </c>
      <c r="CW3966">
        <v>0</v>
      </c>
      <c r="CX3966">
        <v>4</v>
      </c>
      <c r="CY3966">
        <v>7</v>
      </c>
      <c r="CZ3966" t="s">
        <v>131</v>
      </c>
      <c r="DA3966">
        <v>300</v>
      </c>
      <c r="DB3966">
        <v>0</v>
      </c>
      <c r="DC3966" t="s">
        <v>176</v>
      </c>
      <c r="DD3966" t="s">
        <v>177</v>
      </c>
      <c r="DG3966">
        <v>5451765</v>
      </c>
      <c r="DI3966">
        <v>1</v>
      </c>
      <c r="DJ3966">
        <v>0</v>
      </c>
      <c r="DK3966">
        <v>1</v>
      </c>
      <c r="DL3966">
        <v>0</v>
      </c>
      <c r="DM3966">
        <v>0</v>
      </c>
      <c r="DN3966">
        <v>1</v>
      </c>
      <c r="DO3966">
        <v>0</v>
      </c>
      <c r="DP3966">
        <v>0</v>
      </c>
      <c r="DQ3966">
        <v>0</v>
      </c>
      <c r="DR3966">
        <v>0</v>
      </c>
      <c r="DS3966">
        <v>0</v>
      </c>
    </row>
    <row r="3967" spans="1:123" x14ac:dyDescent="0.3">
      <c r="A3967" t="str">
        <f>"10/04/2022 19:36:11.262"</f>
        <v>10/04/2022 19:36:11.262</v>
      </c>
      <c r="C3967" t="str">
        <f t="shared" si="1452"/>
        <v>FFDFD3C0</v>
      </c>
      <c r="D3967" t="s">
        <v>141</v>
      </c>
      <c r="E3967">
        <v>3</v>
      </c>
      <c r="H3967">
        <v>3</v>
      </c>
      <c r="I3967" t="s">
        <v>146</v>
      </c>
      <c r="J3967" t="s">
        <v>138</v>
      </c>
      <c r="K3967">
        <v>0</v>
      </c>
      <c r="L3967">
        <v>3</v>
      </c>
      <c r="M3967">
        <v>0</v>
      </c>
      <c r="N3967">
        <v>2</v>
      </c>
      <c r="O3967">
        <v>0</v>
      </c>
      <c r="P3967">
        <v>1</v>
      </c>
      <c r="Q3967">
        <v>0</v>
      </c>
      <c r="S3967" t="str">
        <f t="shared" si="1455"/>
        <v>19:36:10.000</v>
      </c>
      <c r="T3967" t="str">
        <f t="shared" si="1455"/>
        <v>19:36:10.000</v>
      </c>
      <c r="U3967" t="str">
        <f t="shared" si="1437"/>
        <v>AC3944</v>
      </c>
      <c r="V3967">
        <v>0</v>
      </c>
      <c r="W3967">
        <v>0</v>
      </c>
      <c r="X3967">
        <v>2</v>
      </c>
      <c r="Y3967">
        <v>0</v>
      </c>
      <c r="AA3967">
        <v>1</v>
      </c>
      <c r="AB3967">
        <v>8</v>
      </c>
      <c r="AC3967">
        <v>3</v>
      </c>
      <c r="AD3967">
        <v>0</v>
      </c>
      <c r="AE3967">
        <v>9</v>
      </c>
      <c r="AF3967" t="s">
        <v>138</v>
      </c>
      <c r="AG3967">
        <v>0</v>
      </c>
      <c r="AH3967">
        <v>3</v>
      </c>
      <c r="AI3967">
        <v>1</v>
      </c>
      <c r="AJ3967">
        <v>0</v>
      </c>
      <c r="AK3967" t="s">
        <v>1279</v>
      </c>
      <c r="AL3967">
        <v>32.735137999999999</v>
      </c>
      <c r="AM3967" t="s">
        <v>1280</v>
      </c>
      <c r="AN3967">
        <v>-116.68772199999999</v>
      </c>
      <c r="AO3967">
        <v>25</v>
      </c>
      <c r="AP3967">
        <v>4900</v>
      </c>
      <c r="AQ3967" t="s">
        <v>129</v>
      </c>
      <c r="AR3967">
        <v>106</v>
      </c>
      <c r="AS3967">
        <v>-54</v>
      </c>
      <c r="AT3967">
        <v>576</v>
      </c>
      <c r="BB3967">
        <v>1200</v>
      </c>
      <c r="BC3967">
        <v>1</v>
      </c>
      <c r="BD3967" t="str">
        <f t="shared" si="1438"/>
        <v xml:space="preserve">N887QR  </v>
      </c>
      <c r="BE3967">
        <v>1</v>
      </c>
      <c r="BG3967">
        <v>0</v>
      </c>
      <c r="BH3967">
        <v>0</v>
      </c>
      <c r="BI3967">
        <v>0</v>
      </c>
      <c r="BJ3967">
        <v>4775</v>
      </c>
      <c r="BK3967">
        <v>-125</v>
      </c>
      <c r="BL3967" t="s">
        <v>163</v>
      </c>
      <c r="BM3967">
        <v>1</v>
      </c>
      <c r="BN3967">
        <v>1</v>
      </c>
      <c r="BO3967">
        <v>1</v>
      </c>
      <c r="BP3967">
        <v>0</v>
      </c>
      <c r="BS3967">
        <v>0</v>
      </c>
      <c r="BT3967">
        <v>0</v>
      </c>
      <c r="BU3967">
        <v>0</v>
      </c>
      <c r="CE3967" t="str">
        <f t="shared" si="1457"/>
        <v>19:36:10.943</v>
      </c>
      <c r="CF3967">
        <v>942526467</v>
      </c>
      <c r="CS3967">
        <v>0</v>
      </c>
      <c r="CT3967">
        <v>2</v>
      </c>
      <c r="CU3967">
        <v>0</v>
      </c>
      <c r="CV3967">
        <v>2</v>
      </c>
      <c r="CW3967">
        <v>0</v>
      </c>
      <c r="CX3967">
        <v>4</v>
      </c>
      <c r="CY3967">
        <v>7</v>
      </c>
      <c r="CZ3967" t="s">
        <v>131</v>
      </c>
      <c r="DA3967">
        <v>300</v>
      </c>
      <c r="DB3967">
        <v>0</v>
      </c>
      <c r="DC3967" t="s">
        <v>176</v>
      </c>
      <c r="DD3967" t="s">
        <v>177</v>
      </c>
      <c r="DG3967">
        <v>5451765</v>
      </c>
      <c r="DI3967">
        <v>1</v>
      </c>
      <c r="DJ3967">
        <v>0</v>
      </c>
      <c r="DK3967">
        <v>1</v>
      </c>
      <c r="DL3967">
        <v>0</v>
      </c>
      <c r="DM3967">
        <v>0</v>
      </c>
      <c r="DN3967">
        <v>1</v>
      </c>
      <c r="DO3967">
        <v>0</v>
      </c>
      <c r="DP3967">
        <v>0</v>
      </c>
      <c r="DQ3967">
        <v>0</v>
      </c>
      <c r="DR3967">
        <v>0</v>
      </c>
      <c r="DS3967">
        <v>0</v>
      </c>
    </row>
    <row r="3968" spans="1:123" x14ac:dyDescent="0.3">
      <c r="A3968" t="str">
        <f t="shared" ref="A3968:A3974" si="1458">"10/04/2022 19:36:12.324"</f>
        <v>10/04/2022 19:36:12.324</v>
      </c>
      <c r="C3968" t="str">
        <f t="shared" si="1452"/>
        <v>FFDFD3C0</v>
      </c>
      <c r="D3968" t="s">
        <v>123</v>
      </c>
      <c r="E3968">
        <v>7</v>
      </c>
      <c r="F3968">
        <v>2007</v>
      </c>
      <c r="G3968" t="s">
        <v>124</v>
      </c>
      <c r="J3968" t="s">
        <v>125</v>
      </c>
      <c r="K3968">
        <v>0</v>
      </c>
      <c r="L3968">
        <v>3</v>
      </c>
      <c r="M3968">
        <v>0</v>
      </c>
      <c r="N3968">
        <v>2</v>
      </c>
      <c r="O3968">
        <v>0</v>
      </c>
      <c r="P3968">
        <v>1</v>
      </c>
      <c r="Q3968">
        <v>0</v>
      </c>
      <c r="S3968" t="str">
        <f t="shared" ref="S3968:T3981" si="1459">"19:36:12.000"</f>
        <v>19:36:12.000</v>
      </c>
      <c r="T3968" t="str">
        <f t="shared" si="1459"/>
        <v>19:36:12.000</v>
      </c>
      <c r="U3968" t="str">
        <f t="shared" si="1437"/>
        <v>AC3944</v>
      </c>
      <c r="V3968">
        <v>0</v>
      </c>
      <c r="W3968">
        <v>0</v>
      </c>
      <c r="X3968">
        <v>2</v>
      </c>
      <c r="Y3968">
        <v>0</v>
      </c>
      <c r="AA3968">
        <v>1</v>
      </c>
      <c r="AB3968">
        <v>8</v>
      </c>
      <c r="AC3968">
        <v>3</v>
      </c>
      <c r="AD3968">
        <v>0</v>
      </c>
      <c r="AE3968">
        <v>9</v>
      </c>
      <c r="AF3968" t="s">
        <v>138</v>
      </c>
      <c r="AG3968">
        <v>0</v>
      </c>
      <c r="AH3968">
        <v>3</v>
      </c>
      <c r="AI3968">
        <v>1</v>
      </c>
      <c r="AJ3968">
        <v>0</v>
      </c>
      <c r="AK3968" t="s">
        <v>1165</v>
      </c>
      <c r="AL3968">
        <v>32.734879999999997</v>
      </c>
      <c r="AM3968" t="s">
        <v>1281</v>
      </c>
      <c r="AN3968">
        <v>-116.68714300000001</v>
      </c>
      <c r="AO3968">
        <v>25</v>
      </c>
      <c r="AP3968">
        <v>4900</v>
      </c>
      <c r="AQ3968" t="s">
        <v>129</v>
      </c>
      <c r="AR3968">
        <v>104</v>
      </c>
      <c r="AS3968">
        <v>-57</v>
      </c>
      <c r="AT3968">
        <v>576</v>
      </c>
      <c r="BB3968">
        <v>1200</v>
      </c>
      <c r="BC3968">
        <v>1</v>
      </c>
      <c r="BD3968" t="str">
        <f t="shared" si="1438"/>
        <v xml:space="preserve">N887QR  </v>
      </c>
      <c r="BE3968">
        <v>1</v>
      </c>
      <c r="BG3968">
        <v>0</v>
      </c>
      <c r="BH3968">
        <v>0</v>
      </c>
      <c r="BI3968">
        <v>0</v>
      </c>
      <c r="BJ3968">
        <v>4775</v>
      </c>
      <c r="BK3968">
        <v>-125</v>
      </c>
      <c r="BL3968" t="s">
        <v>163</v>
      </c>
      <c r="BM3968">
        <v>1</v>
      </c>
      <c r="BN3968">
        <v>1</v>
      </c>
      <c r="BO3968">
        <v>1</v>
      </c>
      <c r="BP3968">
        <v>0</v>
      </c>
      <c r="BS3968">
        <v>0</v>
      </c>
      <c r="BT3968">
        <v>0</v>
      </c>
      <c r="BU3968">
        <v>0</v>
      </c>
      <c r="CE3968" t="str">
        <f t="shared" ref="CE3968:CE3974" si="1460">"19:36:12.111"</f>
        <v>19:36:12.111</v>
      </c>
      <c r="CF3968">
        <v>110780496</v>
      </c>
      <c r="CS3968">
        <v>0</v>
      </c>
      <c r="CT3968">
        <v>2</v>
      </c>
      <c r="CU3968">
        <v>0</v>
      </c>
      <c r="CV3968">
        <v>2</v>
      </c>
      <c r="CW3968">
        <v>0</v>
      </c>
      <c r="CX3968">
        <v>5</v>
      </c>
      <c r="CY3968">
        <v>7</v>
      </c>
      <c r="CZ3968" t="s">
        <v>131</v>
      </c>
      <c r="DA3968">
        <v>300</v>
      </c>
      <c r="DB3968">
        <v>0</v>
      </c>
      <c r="DC3968" t="s">
        <v>176</v>
      </c>
      <c r="DD3968" t="s">
        <v>177</v>
      </c>
      <c r="DG3968">
        <v>5451944</v>
      </c>
      <c r="DI3968">
        <v>1</v>
      </c>
      <c r="DJ3968">
        <v>0</v>
      </c>
      <c r="DK3968">
        <v>0</v>
      </c>
      <c r="DL3968">
        <v>0</v>
      </c>
      <c r="DM3968">
        <v>0</v>
      </c>
      <c r="DN3968">
        <v>1</v>
      </c>
      <c r="DO3968">
        <v>0</v>
      </c>
      <c r="DP3968">
        <v>0</v>
      </c>
      <c r="DQ3968">
        <v>0</v>
      </c>
      <c r="DR3968">
        <v>0</v>
      </c>
      <c r="DS3968">
        <v>0</v>
      </c>
    </row>
    <row r="3969" spans="1:123" x14ac:dyDescent="0.3">
      <c r="A3969" t="str">
        <f t="shared" si="1458"/>
        <v>10/04/2022 19:36:12.324</v>
      </c>
      <c r="C3969" t="str">
        <f t="shared" si="1452"/>
        <v>FFDFD3C0</v>
      </c>
      <c r="D3969" t="s">
        <v>147</v>
      </c>
      <c r="E3969">
        <v>3</v>
      </c>
      <c r="H3969">
        <v>166</v>
      </c>
      <c r="I3969" t="s">
        <v>144</v>
      </c>
      <c r="J3969" t="s">
        <v>148</v>
      </c>
      <c r="K3969">
        <v>0</v>
      </c>
      <c r="L3969">
        <v>3</v>
      </c>
      <c r="M3969">
        <v>0</v>
      </c>
      <c r="N3969">
        <v>2</v>
      </c>
      <c r="O3969">
        <v>0</v>
      </c>
      <c r="P3969">
        <v>1</v>
      </c>
      <c r="Q3969">
        <v>0</v>
      </c>
      <c r="S3969" t="str">
        <f t="shared" si="1459"/>
        <v>19:36:12.000</v>
      </c>
      <c r="T3969" t="str">
        <f t="shared" si="1459"/>
        <v>19:36:12.000</v>
      </c>
      <c r="U3969" t="str">
        <f t="shared" si="1437"/>
        <v>AC3944</v>
      </c>
      <c r="V3969">
        <v>0</v>
      </c>
      <c r="W3969">
        <v>0</v>
      </c>
      <c r="X3969">
        <v>2</v>
      </c>
      <c r="Y3969">
        <v>0</v>
      </c>
      <c r="AA3969">
        <v>1</v>
      </c>
      <c r="AB3969">
        <v>8</v>
      </c>
      <c r="AC3969">
        <v>3</v>
      </c>
      <c r="AD3969">
        <v>0</v>
      </c>
      <c r="AE3969">
        <v>9</v>
      </c>
      <c r="AF3969" t="s">
        <v>138</v>
      </c>
      <c r="AG3969">
        <v>0</v>
      </c>
      <c r="AH3969">
        <v>3</v>
      </c>
      <c r="AI3969">
        <v>1</v>
      </c>
      <c r="AJ3969">
        <v>0</v>
      </c>
      <c r="AK3969" t="s">
        <v>1165</v>
      </c>
      <c r="AL3969">
        <v>32.734879999999997</v>
      </c>
      <c r="AM3969" t="s">
        <v>1281</v>
      </c>
      <c r="AN3969">
        <v>-116.68714300000001</v>
      </c>
      <c r="AO3969">
        <v>25</v>
      </c>
      <c r="AP3969">
        <v>4900</v>
      </c>
      <c r="AQ3969" t="s">
        <v>129</v>
      </c>
      <c r="AR3969">
        <v>104</v>
      </c>
      <c r="AS3969">
        <v>-57</v>
      </c>
      <c r="AT3969">
        <v>576</v>
      </c>
      <c r="BB3969">
        <v>1200</v>
      </c>
      <c r="BC3969">
        <v>1</v>
      </c>
      <c r="BD3969" t="str">
        <f t="shared" si="1438"/>
        <v xml:space="preserve">N887QR  </v>
      </c>
      <c r="BE3969">
        <v>1</v>
      </c>
      <c r="BG3969">
        <v>0</v>
      </c>
      <c r="BH3969">
        <v>0</v>
      </c>
      <c r="BI3969">
        <v>0</v>
      </c>
      <c r="BJ3969">
        <v>4775</v>
      </c>
      <c r="BK3969">
        <v>-125</v>
      </c>
      <c r="BL3969" t="s">
        <v>163</v>
      </c>
      <c r="BM3969">
        <v>1</v>
      </c>
      <c r="BN3969">
        <v>1</v>
      </c>
      <c r="BO3969">
        <v>1</v>
      </c>
      <c r="BP3969">
        <v>0</v>
      </c>
      <c r="BS3969">
        <v>0</v>
      </c>
      <c r="BT3969">
        <v>0</v>
      </c>
      <c r="BU3969">
        <v>0</v>
      </c>
      <c r="CE3969" t="str">
        <f t="shared" si="1460"/>
        <v>19:36:12.111</v>
      </c>
      <c r="CF3969">
        <v>110780496</v>
      </c>
      <c r="CS3969">
        <v>0</v>
      </c>
      <c r="CT3969">
        <v>2</v>
      </c>
      <c r="CU3969">
        <v>0</v>
      </c>
      <c r="CV3969">
        <v>2</v>
      </c>
      <c r="CW3969">
        <v>0</v>
      </c>
      <c r="CX3969">
        <v>5</v>
      </c>
      <c r="CY3969">
        <v>7</v>
      </c>
      <c r="CZ3969" t="s">
        <v>131</v>
      </c>
      <c r="DA3969">
        <v>300</v>
      </c>
      <c r="DB3969">
        <v>0</v>
      </c>
      <c r="DC3969" t="s">
        <v>176</v>
      </c>
      <c r="DD3969" t="s">
        <v>177</v>
      </c>
      <c r="DG3969">
        <v>5451944</v>
      </c>
      <c r="DI3969">
        <v>1</v>
      </c>
      <c r="DJ3969">
        <v>0</v>
      </c>
      <c r="DK3969">
        <v>1</v>
      </c>
      <c r="DL3969">
        <v>0</v>
      </c>
      <c r="DM3969">
        <v>0</v>
      </c>
      <c r="DN3969">
        <v>1</v>
      </c>
      <c r="DO3969">
        <v>0</v>
      </c>
      <c r="DP3969">
        <v>0</v>
      </c>
      <c r="DQ3969">
        <v>0</v>
      </c>
      <c r="DR3969">
        <v>0</v>
      </c>
      <c r="DS3969">
        <v>0</v>
      </c>
    </row>
    <row r="3970" spans="1:123" x14ac:dyDescent="0.3">
      <c r="A3970" t="str">
        <f t="shared" si="1458"/>
        <v>10/04/2022 19:36:12.324</v>
      </c>
      <c r="C3970" t="str">
        <f t="shared" si="1452"/>
        <v>FFDFD3C0</v>
      </c>
      <c r="D3970" t="s">
        <v>141</v>
      </c>
      <c r="E3970">
        <v>4</v>
      </c>
      <c r="H3970">
        <v>4</v>
      </c>
      <c r="I3970" t="s">
        <v>142</v>
      </c>
      <c r="J3970" t="s">
        <v>138</v>
      </c>
      <c r="K3970">
        <v>0</v>
      </c>
      <c r="L3970">
        <v>3</v>
      </c>
      <c r="M3970">
        <v>0</v>
      </c>
      <c r="N3970">
        <v>2</v>
      </c>
      <c r="O3970">
        <v>0</v>
      </c>
      <c r="P3970">
        <v>1</v>
      </c>
      <c r="Q3970">
        <v>0</v>
      </c>
      <c r="S3970" t="str">
        <f t="shared" si="1459"/>
        <v>19:36:12.000</v>
      </c>
      <c r="T3970" t="str">
        <f t="shared" si="1459"/>
        <v>19:36:12.000</v>
      </c>
      <c r="U3970" t="str">
        <f t="shared" ref="U3970:U4033" si="1461">"AC3944"</f>
        <v>AC3944</v>
      </c>
      <c r="V3970">
        <v>0</v>
      </c>
      <c r="W3970">
        <v>0</v>
      </c>
      <c r="X3970">
        <v>2</v>
      </c>
      <c r="Y3970">
        <v>0</v>
      </c>
      <c r="AA3970">
        <v>1</v>
      </c>
      <c r="AB3970">
        <v>8</v>
      </c>
      <c r="AC3970">
        <v>3</v>
      </c>
      <c r="AD3970">
        <v>0</v>
      </c>
      <c r="AE3970">
        <v>9</v>
      </c>
      <c r="AF3970" t="s">
        <v>138</v>
      </c>
      <c r="AG3970">
        <v>0</v>
      </c>
      <c r="AH3970">
        <v>3</v>
      </c>
      <c r="AI3970">
        <v>1</v>
      </c>
      <c r="AJ3970">
        <v>0</v>
      </c>
      <c r="AK3970" t="s">
        <v>1165</v>
      </c>
      <c r="AL3970">
        <v>32.734879999999997</v>
      </c>
      <c r="AM3970" t="s">
        <v>1281</v>
      </c>
      <c r="AN3970">
        <v>-116.68714300000001</v>
      </c>
      <c r="AO3970">
        <v>25</v>
      </c>
      <c r="AP3970">
        <v>4900</v>
      </c>
      <c r="AQ3970" t="s">
        <v>129</v>
      </c>
      <c r="AR3970">
        <v>104</v>
      </c>
      <c r="AS3970">
        <v>-57</v>
      </c>
      <c r="AT3970">
        <v>576</v>
      </c>
      <c r="BB3970">
        <v>1200</v>
      </c>
      <c r="BC3970">
        <v>1</v>
      </c>
      <c r="BD3970" t="str">
        <f t="shared" ref="BD3970:BD4033" si="1462">"N887QR  "</f>
        <v xml:space="preserve">N887QR  </v>
      </c>
      <c r="BE3970">
        <v>1</v>
      </c>
      <c r="BG3970">
        <v>0</v>
      </c>
      <c r="BH3970">
        <v>0</v>
      </c>
      <c r="BI3970">
        <v>0</v>
      </c>
      <c r="BJ3970">
        <v>4775</v>
      </c>
      <c r="BK3970">
        <v>-125</v>
      </c>
      <c r="BL3970" t="s">
        <v>163</v>
      </c>
      <c r="BM3970">
        <v>1</v>
      </c>
      <c r="BN3970">
        <v>1</v>
      </c>
      <c r="BO3970">
        <v>1</v>
      </c>
      <c r="BP3970">
        <v>0</v>
      </c>
      <c r="BS3970">
        <v>0</v>
      </c>
      <c r="BT3970">
        <v>0</v>
      </c>
      <c r="BU3970">
        <v>0</v>
      </c>
      <c r="CE3970" t="str">
        <f t="shared" si="1460"/>
        <v>19:36:12.111</v>
      </c>
      <c r="CF3970">
        <v>110780496</v>
      </c>
      <c r="CS3970">
        <v>0</v>
      </c>
      <c r="CT3970">
        <v>2</v>
      </c>
      <c r="CU3970">
        <v>0</v>
      </c>
      <c r="CV3970">
        <v>2</v>
      </c>
      <c r="CW3970">
        <v>0</v>
      </c>
      <c r="CX3970">
        <v>5</v>
      </c>
      <c r="CY3970">
        <v>7</v>
      </c>
      <c r="CZ3970" t="s">
        <v>131</v>
      </c>
      <c r="DA3970">
        <v>300</v>
      </c>
      <c r="DB3970">
        <v>0</v>
      </c>
      <c r="DC3970" t="s">
        <v>176</v>
      </c>
      <c r="DD3970" t="s">
        <v>177</v>
      </c>
      <c r="DG3970">
        <v>5451944</v>
      </c>
      <c r="DI3970">
        <v>1</v>
      </c>
      <c r="DJ3970">
        <v>0</v>
      </c>
      <c r="DK3970">
        <v>1</v>
      </c>
      <c r="DL3970">
        <v>0</v>
      </c>
      <c r="DM3970">
        <v>0</v>
      </c>
      <c r="DN3970">
        <v>1</v>
      </c>
      <c r="DO3970">
        <v>0</v>
      </c>
      <c r="DP3970">
        <v>0</v>
      </c>
      <c r="DQ3970">
        <v>0</v>
      </c>
      <c r="DR3970">
        <v>0</v>
      </c>
      <c r="DS3970">
        <v>0</v>
      </c>
    </row>
    <row r="3971" spans="1:123" x14ac:dyDescent="0.3">
      <c r="A3971" t="str">
        <f t="shared" si="1458"/>
        <v>10/04/2022 19:36:12.324</v>
      </c>
      <c r="C3971" t="str">
        <f t="shared" si="1452"/>
        <v>FFDFD3C0</v>
      </c>
      <c r="D3971" t="s">
        <v>141</v>
      </c>
      <c r="E3971">
        <v>3</v>
      </c>
      <c r="H3971">
        <v>3</v>
      </c>
      <c r="I3971" t="s">
        <v>146</v>
      </c>
      <c r="J3971" t="s">
        <v>138</v>
      </c>
      <c r="K3971">
        <v>0</v>
      </c>
      <c r="L3971">
        <v>3</v>
      </c>
      <c r="M3971">
        <v>0</v>
      </c>
      <c r="N3971">
        <v>2</v>
      </c>
      <c r="O3971">
        <v>0</v>
      </c>
      <c r="P3971">
        <v>1</v>
      </c>
      <c r="Q3971">
        <v>0</v>
      </c>
      <c r="S3971" t="str">
        <f t="shared" si="1459"/>
        <v>19:36:12.000</v>
      </c>
      <c r="T3971" t="str">
        <f t="shared" si="1459"/>
        <v>19:36:12.000</v>
      </c>
      <c r="U3971" t="str">
        <f t="shared" si="1461"/>
        <v>AC3944</v>
      </c>
      <c r="V3971">
        <v>0</v>
      </c>
      <c r="W3971">
        <v>0</v>
      </c>
      <c r="X3971">
        <v>2</v>
      </c>
      <c r="Y3971">
        <v>0</v>
      </c>
      <c r="AA3971">
        <v>1</v>
      </c>
      <c r="AB3971">
        <v>8</v>
      </c>
      <c r="AC3971">
        <v>3</v>
      </c>
      <c r="AD3971">
        <v>0</v>
      </c>
      <c r="AE3971">
        <v>9</v>
      </c>
      <c r="AF3971" t="s">
        <v>138</v>
      </c>
      <c r="AG3971">
        <v>0</v>
      </c>
      <c r="AH3971">
        <v>3</v>
      </c>
      <c r="AI3971">
        <v>1</v>
      </c>
      <c r="AJ3971">
        <v>0</v>
      </c>
      <c r="AK3971" t="s">
        <v>1165</v>
      </c>
      <c r="AL3971">
        <v>32.734879999999997</v>
      </c>
      <c r="AM3971" t="s">
        <v>1281</v>
      </c>
      <c r="AN3971">
        <v>-116.68714300000001</v>
      </c>
      <c r="AO3971">
        <v>25</v>
      </c>
      <c r="AP3971">
        <v>4900</v>
      </c>
      <c r="AQ3971" t="s">
        <v>129</v>
      </c>
      <c r="AR3971">
        <v>104</v>
      </c>
      <c r="AS3971">
        <v>-57</v>
      </c>
      <c r="AT3971">
        <v>576</v>
      </c>
      <c r="BB3971">
        <v>1200</v>
      </c>
      <c r="BC3971">
        <v>1</v>
      </c>
      <c r="BD3971" t="str">
        <f t="shared" si="1462"/>
        <v xml:space="preserve">N887QR  </v>
      </c>
      <c r="BE3971">
        <v>1</v>
      </c>
      <c r="BG3971">
        <v>0</v>
      </c>
      <c r="BH3971">
        <v>0</v>
      </c>
      <c r="BI3971">
        <v>0</v>
      </c>
      <c r="BJ3971">
        <v>4775</v>
      </c>
      <c r="BK3971">
        <v>-125</v>
      </c>
      <c r="BL3971" t="s">
        <v>163</v>
      </c>
      <c r="BM3971">
        <v>1</v>
      </c>
      <c r="BN3971">
        <v>1</v>
      </c>
      <c r="BO3971">
        <v>1</v>
      </c>
      <c r="BP3971">
        <v>0</v>
      </c>
      <c r="BS3971">
        <v>0</v>
      </c>
      <c r="BT3971">
        <v>0</v>
      </c>
      <c r="BU3971">
        <v>0</v>
      </c>
      <c r="CE3971" t="str">
        <f t="shared" si="1460"/>
        <v>19:36:12.111</v>
      </c>
      <c r="CF3971">
        <v>110780496</v>
      </c>
      <c r="CS3971">
        <v>0</v>
      </c>
      <c r="CT3971">
        <v>2</v>
      </c>
      <c r="CU3971">
        <v>0</v>
      </c>
      <c r="CV3971">
        <v>2</v>
      </c>
      <c r="CW3971">
        <v>0</v>
      </c>
      <c r="CX3971">
        <v>5</v>
      </c>
      <c r="CY3971">
        <v>7</v>
      </c>
      <c r="CZ3971" t="s">
        <v>131</v>
      </c>
      <c r="DA3971">
        <v>300</v>
      </c>
      <c r="DB3971">
        <v>0</v>
      </c>
      <c r="DC3971" t="s">
        <v>176</v>
      </c>
      <c r="DD3971" t="s">
        <v>177</v>
      </c>
      <c r="DG3971">
        <v>5451944</v>
      </c>
      <c r="DI3971">
        <v>1</v>
      </c>
      <c r="DJ3971">
        <v>0</v>
      </c>
      <c r="DK3971">
        <v>1</v>
      </c>
      <c r="DL3971">
        <v>0</v>
      </c>
      <c r="DM3971">
        <v>0</v>
      </c>
      <c r="DN3971">
        <v>1</v>
      </c>
      <c r="DO3971">
        <v>0</v>
      </c>
      <c r="DP3971">
        <v>0</v>
      </c>
      <c r="DQ3971">
        <v>0</v>
      </c>
      <c r="DR3971">
        <v>0</v>
      </c>
      <c r="DS3971">
        <v>0</v>
      </c>
    </row>
    <row r="3972" spans="1:123" x14ac:dyDescent="0.3">
      <c r="A3972" t="str">
        <f t="shared" si="1458"/>
        <v>10/04/2022 19:36:12.324</v>
      </c>
      <c r="C3972" t="str">
        <f t="shared" si="1452"/>
        <v>FFDFD3C0</v>
      </c>
      <c r="D3972" t="s">
        <v>134</v>
      </c>
      <c r="E3972">
        <v>15</v>
      </c>
      <c r="J3972" t="s">
        <v>135</v>
      </c>
      <c r="K3972">
        <v>0</v>
      </c>
      <c r="L3972">
        <v>3</v>
      </c>
      <c r="M3972">
        <v>0</v>
      </c>
      <c r="N3972">
        <v>2</v>
      </c>
      <c r="O3972">
        <v>0</v>
      </c>
      <c r="P3972">
        <v>1</v>
      </c>
      <c r="Q3972">
        <v>0</v>
      </c>
      <c r="S3972" t="str">
        <f t="shared" si="1459"/>
        <v>19:36:12.000</v>
      </c>
      <c r="T3972" t="str">
        <f t="shared" si="1459"/>
        <v>19:36:12.000</v>
      </c>
      <c r="U3972" t="str">
        <f t="shared" si="1461"/>
        <v>AC3944</v>
      </c>
      <c r="V3972">
        <v>0</v>
      </c>
      <c r="W3972">
        <v>0</v>
      </c>
      <c r="X3972">
        <v>2</v>
      </c>
      <c r="Y3972">
        <v>0</v>
      </c>
      <c r="AA3972">
        <v>1</v>
      </c>
      <c r="AB3972">
        <v>8</v>
      </c>
      <c r="AC3972">
        <v>3</v>
      </c>
      <c r="AD3972">
        <v>0</v>
      </c>
      <c r="AE3972">
        <v>9</v>
      </c>
      <c r="AF3972" t="s">
        <v>138</v>
      </c>
      <c r="AG3972">
        <v>0</v>
      </c>
      <c r="AH3972">
        <v>3</v>
      </c>
      <c r="AI3972">
        <v>1</v>
      </c>
      <c r="AJ3972">
        <v>0</v>
      </c>
      <c r="AK3972" t="s">
        <v>1165</v>
      </c>
      <c r="AL3972">
        <v>32.734879999999997</v>
      </c>
      <c r="AM3972" t="s">
        <v>1281</v>
      </c>
      <c r="AN3972">
        <v>-116.68714300000001</v>
      </c>
      <c r="AO3972">
        <v>25</v>
      </c>
      <c r="AP3972">
        <v>4900</v>
      </c>
      <c r="AQ3972" t="s">
        <v>129</v>
      </c>
      <c r="AR3972">
        <v>104</v>
      </c>
      <c r="AS3972">
        <v>-57</v>
      </c>
      <c r="AT3972">
        <v>576</v>
      </c>
      <c r="BB3972">
        <v>1200</v>
      </c>
      <c r="BC3972">
        <v>1</v>
      </c>
      <c r="BD3972" t="str">
        <f t="shared" si="1462"/>
        <v xml:space="preserve">N887QR  </v>
      </c>
      <c r="BE3972">
        <v>1</v>
      </c>
      <c r="BG3972">
        <v>0</v>
      </c>
      <c r="BH3972">
        <v>0</v>
      </c>
      <c r="BI3972">
        <v>0</v>
      </c>
      <c r="BJ3972">
        <v>4775</v>
      </c>
      <c r="BK3972">
        <v>-125</v>
      </c>
      <c r="BL3972" t="s">
        <v>163</v>
      </c>
      <c r="BM3972">
        <v>1</v>
      </c>
      <c r="BN3972">
        <v>1</v>
      </c>
      <c r="BO3972">
        <v>1</v>
      </c>
      <c r="BP3972">
        <v>0</v>
      </c>
      <c r="BS3972">
        <v>0</v>
      </c>
      <c r="BT3972">
        <v>0</v>
      </c>
      <c r="BU3972">
        <v>0</v>
      </c>
      <c r="CE3972" t="str">
        <f t="shared" si="1460"/>
        <v>19:36:12.111</v>
      </c>
      <c r="CF3972">
        <v>110780496</v>
      </c>
      <c r="CS3972">
        <v>0</v>
      </c>
      <c r="CT3972">
        <v>2</v>
      </c>
      <c r="CU3972">
        <v>0</v>
      </c>
      <c r="CV3972">
        <v>2</v>
      </c>
      <c r="CW3972">
        <v>0</v>
      </c>
      <c r="CX3972">
        <v>5</v>
      </c>
      <c r="CY3972">
        <v>7</v>
      </c>
      <c r="CZ3972" t="s">
        <v>131</v>
      </c>
      <c r="DA3972">
        <v>300</v>
      </c>
      <c r="DB3972">
        <v>0</v>
      </c>
      <c r="DC3972" t="s">
        <v>176</v>
      </c>
      <c r="DD3972" t="s">
        <v>177</v>
      </c>
      <c r="DG3972">
        <v>5451944</v>
      </c>
      <c r="DI3972">
        <v>1</v>
      </c>
      <c r="DJ3972">
        <v>0</v>
      </c>
      <c r="DK3972">
        <v>1</v>
      </c>
      <c r="DL3972">
        <v>0</v>
      </c>
      <c r="DM3972">
        <v>0</v>
      </c>
      <c r="DN3972">
        <v>1</v>
      </c>
      <c r="DO3972">
        <v>0</v>
      </c>
      <c r="DP3972">
        <v>0</v>
      </c>
      <c r="DQ3972">
        <v>0</v>
      </c>
      <c r="DR3972">
        <v>0</v>
      </c>
      <c r="DS3972">
        <v>0</v>
      </c>
    </row>
    <row r="3973" spans="1:123" x14ac:dyDescent="0.3">
      <c r="A3973" t="str">
        <f t="shared" si="1458"/>
        <v>10/04/2022 19:36:12.324</v>
      </c>
      <c r="C3973" t="str">
        <f t="shared" si="1452"/>
        <v>FFDFD3C0</v>
      </c>
      <c r="D3973" t="s">
        <v>136</v>
      </c>
      <c r="E3973">
        <v>8</v>
      </c>
      <c r="H3973">
        <v>225</v>
      </c>
      <c r="I3973" t="s">
        <v>137</v>
      </c>
      <c r="J3973" t="s">
        <v>138</v>
      </c>
      <c r="K3973">
        <v>0</v>
      </c>
      <c r="L3973">
        <v>3</v>
      </c>
      <c r="M3973">
        <v>0</v>
      </c>
      <c r="N3973">
        <v>2</v>
      </c>
      <c r="O3973">
        <v>0</v>
      </c>
      <c r="P3973">
        <v>1</v>
      </c>
      <c r="Q3973">
        <v>0</v>
      </c>
      <c r="S3973" t="str">
        <f t="shared" si="1459"/>
        <v>19:36:12.000</v>
      </c>
      <c r="T3973" t="str">
        <f t="shared" si="1459"/>
        <v>19:36:12.000</v>
      </c>
      <c r="U3973" t="str">
        <f t="shared" si="1461"/>
        <v>AC3944</v>
      </c>
      <c r="V3973">
        <v>0</v>
      </c>
      <c r="W3973">
        <v>0</v>
      </c>
      <c r="X3973">
        <v>2</v>
      </c>
      <c r="Y3973">
        <v>0</v>
      </c>
      <c r="AA3973">
        <v>1</v>
      </c>
      <c r="AB3973">
        <v>8</v>
      </c>
      <c r="AC3973">
        <v>3</v>
      </c>
      <c r="AD3973">
        <v>0</v>
      </c>
      <c r="AE3973">
        <v>9</v>
      </c>
      <c r="AF3973" t="s">
        <v>138</v>
      </c>
      <c r="AG3973">
        <v>0</v>
      </c>
      <c r="AH3973">
        <v>3</v>
      </c>
      <c r="AI3973">
        <v>1</v>
      </c>
      <c r="AJ3973">
        <v>0</v>
      </c>
      <c r="AK3973" t="s">
        <v>1165</v>
      </c>
      <c r="AL3973">
        <v>32.734879999999997</v>
      </c>
      <c r="AM3973" t="s">
        <v>1281</v>
      </c>
      <c r="AN3973">
        <v>-116.68714300000001</v>
      </c>
      <c r="AO3973">
        <v>25</v>
      </c>
      <c r="AP3973">
        <v>4900</v>
      </c>
      <c r="AQ3973" t="s">
        <v>129</v>
      </c>
      <c r="AR3973">
        <v>104</v>
      </c>
      <c r="AS3973">
        <v>-57</v>
      </c>
      <c r="AT3973">
        <v>576</v>
      </c>
      <c r="BB3973">
        <v>1200</v>
      </c>
      <c r="BC3973">
        <v>1</v>
      </c>
      <c r="BD3973" t="str">
        <f t="shared" si="1462"/>
        <v xml:space="preserve">N887QR  </v>
      </c>
      <c r="BE3973">
        <v>1</v>
      </c>
      <c r="BG3973">
        <v>0</v>
      </c>
      <c r="BH3973">
        <v>0</v>
      </c>
      <c r="BI3973">
        <v>0</v>
      </c>
      <c r="BJ3973">
        <v>4775</v>
      </c>
      <c r="BK3973">
        <v>-125</v>
      </c>
      <c r="BL3973" t="s">
        <v>163</v>
      </c>
      <c r="BM3973">
        <v>1</v>
      </c>
      <c r="BN3973">
        <v>1</v>
      </c>
      <c r="BO3973">
        <v>1</v>
      </c>
      <c r="BP3973">
        <v>0</v>
      </c>
      <c r="BS3973">
        <v>0</v>
      </c>
      <c r="BT3973">
        <v>0</v>
      </c>
      <c r="BU3973">
        <v>0</v>
      </c>
      <c r="CE3973" t="str">
        <f t="shared" si="1460"/>
        <v>19:36:12.111</v>
      </c>
      <c r="CF3973">
        <v>110780496</v>
      </c>
      <c r="CS3973">
        <v>0</v>
      </c>
      <c r="CT3973">
        <v>2</v>
      </c>
      <c r="CU3973">
        <v>0</v>
      </c>
      <c r="CV3973">
        <v>2</v>
      </c>
      <c r="CW3973">
        <v>0</v>
      </c>
      <c r="CX3973">
        <v>5</v>
      </c>
      <c r="CY3973">
        <v>7</v>
      </c>
      <c r="CZ3973" t="s">
        <v>131</v>
      </c>
      <c r="DA3973">
        <v>300</v>
      </c>
      <c r="DB3973">
        <v>0</v>
      </c>
      <c r="DC3973" t="s">
        <v>176</v>
      </c>
      <c r="DD3973" t="s">
        <v>177</v>
      </c>
      <c r="DG3973">
        <v>5451944</v>
      </c>
      <c r="DI3973">
        <v>1</v>
      </c>
      <c r="DJ3973">
        <v>0</v>
      </c>
      <c r="DK3973">
        <v>1</v>
      </c>
      <c r="DL3973">
        <v>0</v>
      </c>
      <c r="DM3973">
        <v>0</v>
      </c>
      <c r="DN3973">
        <v>1</v>
      </c>
      <c r="DO3973">
        <v>0</v>
      </c>
      <c r="DP3973">
        <v>0</v>
      </c>
      <c r="DQ3973">
        <v>0</v>
      </c>
      <c r="DR3973">
        <v>0</v>
      </c>
      <c r="DS3973">
        <v>0</v>
      </c>
    </row>
    <row r="3974" spans="1:123" x14ac:dyDescent="0.3">
      <c r="A3974" t="str">
        <f t="shared" si="1458"/>
        <v>10/04/2022 19:36:12.324</v>
      </c>
      <c r="C3974" t="str">
        <f t="shared" si="1452"/>
        <v>FFDFD3C0</v>
      </c>
      <c r="D3974" t="s">
        <v>143</v>
      </c>
      <c r="E3974">
        <v>20</v>
      </c>
      <c r="F3974">
        <v>1020</v>
      </c>
      <c r="G3974" t="s">
        <v>144</v>
      </c>
      <c r="J3974" t="s">
        <v>145</v>
      </c>
      <c r="K3974">
        <v>0</v>
      </c>
      <c r="L3974">
        <v>3</v>
      </c>
      <c r="M3974">
        <v>0</v>
      </c>
      <c r="N3974">
        <v>2</v>
      </c>
      <c r="O3974">
        <v>0</v>
      </c>
      <c r="P3974">
        <v>1</v>
      </c>
      <c r="Q3974">
        <v>0</v>
      </c>
      <c r="S3974" t="str">
        <f t="shared" si="1459"/>
        <v>19:36:12.000</v>
      </c>
      <c r="T3974" t="str">
        <f t="shared" si="1459"/>
        <v>19:36:12.000</v>
      </c>
      <c r="U3974" t="str">
        <f t="shared" si="1461"/>
        <v>AC3944</v>
      </c>
      <c r="V3974">
        <v>0</v>
      </c>
      <c r="W3974">
        <v>0</v>
      </c>
      <c r="X3974">
        <v>2</v>
      </c>
      <c r="Y3974">
        <v>0</v>
      </c>
      <c r="AA3974">
        <v>1</v>
      </c>
      <c r="AB3974">
        <v>8</v>
      </c>
      <c r="AC3974">
        <v>3</v>
      </c>
      <c r="AD3974">
        <v>0</v>
      </c>
      <c r="AE3974">
        <v>9</v>
      </c>
      <c r="AF3974" t="s">
        <v>138</v>
      </c>
      <c r="AG3974">
        <v>0</v>
      </c>
      <c r="AH3974">
        <v>3</v>
      </c>
      <c r="AI3974">
        <v>1</v>
      </c>
      <c r="AJ3974">
        <v>0</v>
      </c>
      <c r="AK3974" t="s">
        <v>1165</v>
      </c>
      <c r="AL3974">
        <v>32.734879999999997</v>
      </c>
      <c r="AM3974" t="s">
        <v>1281</v>
      </c>
      <c r="AN3974">
        <v>-116.68714300000001</v>
      </c>
      <c r="AO3974">
        <v>25</v>
      </c>
      <c r="AP3974">
        <v>4900</v>
      </c>
      <c r="AQ3974" t="s">
        <v>129</v>
      </c>
      <c r="AR3974">
        <v>104</v>
      </c>
      <c r="AS3974">
        <v>-57</v>
      </c>
      <c r="AT3974">
        <v>576</v>
      </c>
      <c r="BB3974">
        <v>1200</v>
      </c>
      <c r="BC3974">
        <v>1</v>
      </c>
      <c r="BD3974" t="str">
        <f t="shared" si="1462"/>
        <v xml:space="preserve">N887QR  </v>
      </c>
      <c r="BE3974">
        <v>1</v>
      </c>
      <c r="BG3974">
        <v>0</v>
      </c>
      <c r="BH3974">
        <v>0</v>
      </c>
      <c r="BI3974">
        <v>0</v>
      </c>
      <c r="BJ3974">
        <v>4775</v>
      </c>
      <c r="BK3974">
        <v>-125</v>
      </c>
      <c r="BL3974" t="s">
        <v>163</v>
      </c>
      <c r="BM3974">
        <v>1</v>
      </c>
      <c r="BN3974">
        <v>1</v>
      </c>
      <c r="BO3974">
        <v>1</v>
      </c>
      <c r="BP3974">
        <v>0</v>
      </c>
      <c r="BS3974">
        <v>0</v>
      </c>
      <c r="BT3974">
        <v>0</v>
      </c>
      <c r="BU3974">
        <v>0</v>
      </c>
      <c r="CE3974" t="str">
        <f t="shared" si="1460"/>
        <v>19:36:12.111</v>
      </c>
      <c r="CF3974">
        <v>110780496</v>
      </c>
      <c r="CS3974">
        <v>0</v>
      </c>
      <c r="CT3974">
        <v>2</v>
      </c>
      <c r="CU3974">
        <v>0</v>
      </c>
      <c r="CV3974">
        <v>2</v>
      </c>
      <c r="CW3974">
        <v>0</v>
      </c>
      <c r="CX3974">
        <v>5</v>
      </c>
      <c r="CY3974">
        <v>7</v>
      </c>
      <c r="CZ3974" t="s">
        <v>131</v>
      </c>
      <c r="DA3974">
        <v>300</v>
      </c>
      <c r="DB3974">
        <v>0</v>
      </c>
      <c r="DC3974" t="s">
        <v>176</v>
      </c>
      <c r="DD3974" t="s">
        <v>177</v>
      </c>
      <c r="DG3974">
        <v>5451944</v>
      </c>
      <c r="DI3974">
        <v>1</v>
      </c>
      <c r="DJ3974">
        <v>0</v>
      </c>
      <c r="DK3974">
        <v>1</v>
      </c>
      <c r="DL3974">
        <v>0</v>
      </c>
      <c r="DM3974">
        <v>0</v>
      </c>
      <c r="DN3974">
        <v>1</v>
      </c>
      <c r="DO3974">
        <v>0</v>
      </c>
      <c r="DP3974">
        <v>0</v>
      </c>
      <c r="DQ3974">
        <v>0</v>
      </c>
      <c r="DR3974">
        <v>0</v>
      </c>
      <c r="DS3974">
        <v>0</v>
      </c>
    </row>
    <row r="3975" spans="1:123" x14ac:dyDescent="0.3">
      <c r="A3975" t="str">
        <f t="shared" ref="A3975:A3981" si="1463">"10/04/2022 19:36:13.058"</f>
        <v>10/04/2022 19:36:13.058</v>
      </c>
      <c r="C3975" t="str">
        <f t="shared" si="1452"/>
        <v>FFDFD3C0</v>
      </c>
      <c r="D3975" t="s">
        <v>136</v>
      </c>
      <c r="E3975">
        <v>8</v>
      </c>
      <c r="H3975">
        <v>225</v>
      </c>
      <c r="I3975" t="s">
        <v>137</v>
      </c>
      <c r="J3975" t="s">
        <v>138</v>
      </c>
      <c r="K3975">
        <v>0</v>
      </c>
      <c r="L3975">
        <v>3</v>
      </c>
      <c r="M3975">
        <v>0</v>
      </c>
      <c r="N3975">
        <v>2</v>
      </c>
      <c r="O3975">
        <v>0</v>
      </c>
      <c r="P3975">
        <v>1</v>
      </c>
      <c r="Q3975">
        <v>0</v>
      </c>
      <c r="S3975" t="str">
        <f t="shared" si="1459"/>
        <v>19:36:12.000</v>
      </c>
      <c r="T3975" t="str">
        <f t="shared" si="1459"/>
        <v>19:36:12.000</v>
      </c>
      <c r="U3975" t="str">
        <f t="shared" si="1461"/>
        <v>AC3944</v>
      </c>
      <c r="V3975">
        <v>0</v>
      </c>
      <c r="W3975">
        <v>0</v>
      </c>
      <c r="X3975">
        <v>2</v>
      </c>
      <c r="Y3975">
        <v>0</v>
      </c>
      <c r="AA3975">
        <v>1</v>
      </c>
      <c r="AB3975">
        <v>8</v>
      </c>
      <c r="AC3975">
        <v>3</v>
      </c>
      <c r="AD3975">
        <v>0</v>
      </c>
      <c r="AE3975">
        <v>9</v>
      </c>
      <c r="AF3975" t="s">
        <v>138</v>
      </c>
      <c r="AG3975">
        <v>0</v>
      </c>
      <c r="AH3975">
        <v>3</v>
      </c>
      <c r="AI3975">
        <v>1</v>
      </c>
      <c r="AJ3975">
        <v>0</v>
      </c>
      <c r="AK3975" t="s">
        <v>1282</v>
      </c>
      <c r="AL3975">
        <v>32.734665999999997</v>
      </c>
      <c r="AM3975" t="s">
        <v>1283</v>
      </c>
      <c r="AN3975">
        <v>-116.68671399999999</v>
      </c>
      <c r="AO3975">
        <v>25</v>
      </c>
      <c r="AP3975">
        <v>4900</v>
      </c>
      <c r="AQ3975" t="s">
        <v>129</v>
      </c>
      <c r="AR3975">
        <v>103</v>
      </c>
      <c r="AS3975">
        <v>-59</v>
      </c>
      <c r="AT3975">
        <v>704</v>
      </c>
      <c r="BB3975">
        <v>1200</v>
      </c>
      <c r="BC3975">
        <v>1</v>
      </c>
      <c r="BD3975" t="str">
        <f t="shared" si="1462"/>
        <v xml:space="preserve">N887QR  </v>
      </c>
      <c r="BE3975">
        <v>1</v>
      </c>
      <c r="BG3975">
        <v>0</v>
      </c>
      <c r="BH3975">
        <v>0</v>
      </c>
      <c r="BI3975">
        <v>0</v>
      </c>
      <c r="BJ3975">
        <v>4800</v>
      </c>
      <c r="BK3975">
        <v>-100</v>
      </c>
      <c r="BL3975" t="s">
        <v>163</v>
      </c>
      <c r="BM3975">
        <v>1</v>
      </c>
      <c r="BN3975">
        <v>1</v>
      </c>
      <c r="BO3975">
        <v>1</v>
      </c>
      <c r="BP3975">
        <v>0</v>
      </c>
      <c r="BS3975">
        <v>0</v>
      </c>
      <c r="BT3975">
        <v>0</v>
      </c>
      <c r="BU3975">
        <v>0</v>
      </c>
      <c r="CE3975" t="str">
        <f t="shared" ref="CE3975:CE3981" si="1464">"19:36:12.769"</f>
        <v>19:36:12.769</v>
      </c>
      <c r="CF3975">
        <v>769219528</v>
      </c>
      <c r="CS3975">
        <v>0</v>
      </c>
      <c r="CT3975">
        <v>2</v>
      </c>
      <c r="CU3975">
        <v>0</v>
      </c>
      <c r="CV3975">
        <v>2</v>
      </c>
      <c r="CW3975">
        <v>0</v>
      </c>
      <c r="CX3975">
        <v>5</v>
      </c>
      <c r="CY3975">
        <v>7</v>
      </c>
      <c r="CZ3975" t="s">
        <v>131</v>
      </c>
      <c r="DA3975">
        <v>286</v>
      </c>
      <c r="DB3975">
        <v>0</v>
      </c>
      <c r="DC3975" t="s">
        <v>132</v>
      </c>
      <c r="DD3975" t="s">
        <v>133</v>
      </c>
      <c r="DG3975">
        <v>897159</v>
      </c>
      <c r="DI3975">
        <v>1</v>
      </c>
      <c r="DJ3975">
        <v>0</v>
      </c>
      <c r="DK3975">
        <v>0</v>
      </c>
      <c r="DL3975">
        <v>0</v>
      </c>
      <c r="DM3975">
        <v>0</v>
      </c>
      <c r="DN3975">
        <v>1</v>
      </c>
      <c r="DO3975">
        <v>0</v>
      </c>
      <c r="DP3975">
        <v>0</v>
      </c>
      <c r="DQ3975">
        <v>0</v>
      </c>
      <c r="DR3975">
        <v>0</v>
      </c>
      <c r="DS3975">
        <v>0</v>
      </c>
    </row>
    <row r="3976" spans="1:123" x14ac:dyDescent="0.3">
      <c r="A3976" t="str">
        <f t="shared" si="1463"/>
        <v>10/04/2022 19:36:13.058</v>
      </c>
      <c r="C3976" t="str">
        <f t="shared" si="1452"/>
        <v>FFDFD3C0</v>
      </c>
      <c r="D3976" t="s">
        <v>143</v>
      </c>
      <c r="E3976">
        <v>20</v>
      </c>
      <c r="F3976">
        <v>1020</v>
      </c>
      <c r="G3976" t="s">
        <v>144</v>
      </c>
      <c r="J3976" t="s">
        <v>145</v>
      </c>
      <c r="K3976">
        <v>0</v>
      </c>
      <c r="L3976">
        <v>3</v>
      </c>
      <c r="M3976">
        <v>0</v>
      </c>
      <c r="N3976">
        <v>2</v>
      </c>
      <c r="O3976">
        <v>0</v>
      </c>
      <c r="P3976">
        <v>1</v>
      </c>
      <c r="Q3976">
        <v>0</v>
      </c>
      <c r="S3976" t="str">
        <f t="shared" si="1459"/>
        <v>19:36:12.000</v>
      </c>
      <c r="T3976" t="str">
        <f t="shared" si="1459"/>
        <v>19:36:12.000</v>
      </c>
      <c r="U3976" t="str">
        <f t="shared" si="1461"/>
        <v>AC3944</v>
      </c>
      <c r="V3976">
        <v>0</v>
      </c>
      <c r="W3976">
        <v>0</v>
      </c>
      <c r="X3976">
        <v>2</v>
      </c>
      <c r="Y3976">
        <v>0</v>
      </c>
      <c r="AA3976">
        <v>1</v>
      </c>
      <c r="AB3976">
        <v>8</v>
      </c>
      <c r="AC3976">
        <v>3</v>
      </c>
      <c r="AD3976">
        <v>0</v>
      </c>
      <c r="AE3976">
        <v>9</v>
      </c>
      <c r="AF3976" t="s">
        <v>138</v>
      </c>
      <c r="AG3976">
        <v>0</v>
      </c>
      <c r="AH3976">
        <v>3</v>
      </c>
      <c r="AI3976">
        <v>1</v>
      </c>
      <c r="AJ3976">
        <v>0</v>
      </c>
      <c r="AK3976" t="s">
        <v>1282</v>
      </c>
      <c r="AL3976">
        <v>32.734665999999997</v>
      </c>
      <c r="AM3976" t="s">
        <v>1283</v>
      </c>
      <c r="AN3976">
        <v>-116.68671399999999</v>
      </c>
      <c r="AO3976">
        <v>25</v>
      </c>
      <c r="AP3976">
        <v>4900</v>
      </c>
      <c r="AQ3976" t="s">
        <v>129</v>
      </c>
      <c r="AR3976">
        <v>103</v>
      </c>
      <c r="AS3976">
        <v>-59</v>
      </c>
      <c r="AT3976">
        <v>704</v>
      </c>
      <c r="BB3976">
        <v>1200</v>
      </c>
      <c r="BC3976">
        <v>1</v>
      </c>
      <c r="BD3976" t="str">
        <f t="shared" si="1462"/>
        <v xml:space="preserve">N887QR  </v>
      </c>
      <c r="BE3976">
        <v>1</v>
      </c>
      <c r="BG3976">
        <v>0</v>
      </c>
      <c r="BH3976">
        <v>0</v>
      </c>
      <c r="BI3976">
        <v>0</v>
      </c>
      <c r="BJ3976">
        <v>4800</v>
      </c>
      <c r="BK3976">
        <v>-100</v>
      </c>
      <c r="BL3976" t="s">
        <v>163</v>
      </c>
      <c r="BM3976">
        <v>1</v>
      </c>
      <c r="BN3976">
        <v>1</v>
      </c>
      <c r="BO3976">
        <v>1</v>
      </c>
      <c r="BP3976">
        <v>0</v>
      </c>
      <c r="BS3976">
        <v>0</v>
      </c>
      <c r="BT3976">
        <v>0</v>
      </c>
      <c r="BU3976">
        <v>0</v>
      </c>
      <c r="CE3976" t="str">
        <f t="shared" si="1464"/>
        <v>19:36:12.769</v>
      </c>
      <c r="CF3976">
        <v>769219528</v>
      </c>
      <c r="CS3976">
        <v>0</v>
      </c>
      <c r="CT3976">
        <v>2</v>
      </c>
      <c r="CU3976">
        <v>0</v>
      </c>
      <c r="CV3976">
        <v>2</v>
      </c>
      <c r="CW3976">
        <v>0</v>
      </c>
      <c r="CX3976">
        <v>5</v>
      </c>
      <c r="CY3976">
        <v>7</v>
      </c>
      <c r="CZ3976" t="s">
        <v>131</v>
      </c>
      <c r="DA3976">
        <v>286</v>
      </c>
      <c r="DB3976">
        <v>0</v>
      </c>
      <c r="DC3976" t="s">
        <v>132</v>
      </c>
      <c r="DD3976" t="s">
        <v>133</v>
      </c>
      <c r="DG3976">
        <v>897159</v>
      </c>
      <c r="DI3976">
        <v>1</v>
      </c>
      <c r="DJ3976">
        <v>0</v>
      </c>
      <c r="DK3976">
        <v>1</v>
      </c>
      <c r="DL3976">
        <v>0</v>
      </c>
      <c r="DM3976">
        <v>0</v>
      </c>
      <c r="DN3976">
        <v>1</v>
      </c>
      <c r="DO3976">
        <v>0</v>
      </c>
      <c r="DP3976">
        <v>0</v>
      </c>
      <c r="DQ3976">
        <v>0</v>
      </c>
      <c r="DR3976">
        <v>0</v>
      </c>
      <c r="DS3976">
        <v>0</v>
      </c>
    </row>
    <row r="3977" spans="1:123" x14ac:dyDescent="0.3">
      <c r="A3977" t="str">
        <f t="shared" si="1463"/>
        <v>10/04/2022 19:36:13.058</v>
      </c>
      <c r="C3977" t="str">
        <f t="shared" si="1452"/>
        <v>FFDFD3C0</v>
      </c>
      <c r="D3977" t="s">
        <v>123</v>
      </c>
      <c r="E3977">
        <v>7</v>
      </c>
      <c r="F3977">
        <v>2007</v>
      </c>
      <c r="G3977" t="s">
        <v>124</v>
      </c>
      <c r="J3977" t="s">
        <v>125</v>
      </c>
      <c r="K3977">
        <v>0</v>
      </c>
      <c r="L3977">
        <v>3</v>
      </c>
      <c r="M3977">
        <v>0</v>
      </c>
      <c r="N3977">
        <v>2</v>
      </c>
      <c r="O3977">
        <v>0</v>
      </c>
      <c r="P3977">
        <v>1</v>
      </c>
      <c r="Q3977">
        <v>0</v>
      </c>
      <c r="S3977" t="str">
        <f t="shared" si="1459"/>
        <v>19:36:12.000</v>
      </c>
      <c r="T3977" t="str">
        <f t="shared" si="1459"/>
        <v>19:36:12.000</v>
      </c>
      <c r="U3977" t="str">
        <f t="shared" si="1461"/>
        <v>AC3944</v>
      </c>
      <c r="V3977">
        <v>0</v>
      </c>
      <c r="W3977">
        <v>0</v>
      </c>
      <c r="X3977">
        <v>2</v>
      </c>
      <c r="Y3977">
        <v>0</v>
      </c>
      <c r="AA3977">
        <v>1</v>
      </c>
      <c r="AB3977">
        <v>8</v>
      </c>
      <c r="AC3977">
        <v>3</v>
      </c>
      <c r="AD3977">
        <v>0</v>
      </c>
      <c r="AE3977">
        <v>9</v>
      </c>
      <c r="AF3977" t="s">
        <v>138</v>
      </c>
      <c r="AG3977">
        <v>0</v>
      </c>
      <c r="AH3977">
        <v>3</v>
      </c>
      <c r="AI3977">
        <v>1</v>
      </c>
      <c r="AJ3977">
        <v>0</v>
      </c>
      <c r="AK3977" t="s">
        <v>1282</v>
      </c>
      <c r="AL3977">
        <v>32.734665999999997</v>
      </c>
      <c r="AM3977" t="s">
        <v>1283</v>
      </c>
      <c r="AN3977">
        <v>-116.68671399999999</v>
      </c>
      <c r="AO3977">
        <v>25</v>
      </c>
      <c r="AP3977">
        <v>4900</v>
      </c>
      <c r="AQ3977" t="s">
        <v>129</v>
      </c>
      <c r="AR3977">
        <v>103</v>
      </c>
      <c r="AS3977">
        <v>-59</v>
      </c>
      <c r="AT3977">
        <v>704</v>
      </c>
      <c r="BB3977">
        <v>1200</v>
      </c>
      <c r="BC3977">
        <v>1</v>
      </c>
      <c r="BD3977" t="str">
        <f t="shared" si="1462"/>
        <v xml:space="preserve">N887QR  </v>
      </c>
      <c r="BE3977">
        <v>1</v>
      </c>
      <c r="BG3977">
        <v>0</v>
      </c>
      <c r="BH3977">
        <v>0</v>
      </c>
      <c r="BI3977">
        <v>0</v>
      </c>
      <c r="BJ3977">
        <v>4800</v>
      </c>
      <c r="BK3977">
        <v>-100</v>
      </c>
      <c r="BL3977" t="s">
        <v>163</v>
      </c>
      <c r="BM3977">
        <v>1</v>
      </c>
      <c r="BN3977">
        <v>1</v>
      </c>
      <c r="BO3977">
        <v>1</v>
      </c>
      <c r="BP3977">
        <v>0</v>
      </c>
      <c r="BS3977">
        <v>0</v>
      </c>
      <c r="BT3977">
        <v>0</v>
      </c>
      <c r="BU3977">
        <v>0</v>
      </c>
      <c r="CE3977" t="str">
        <f t="shared" si="1464"/>
        <v>19:36:12.769</v>
      </c>
      <c r="CF3977">
        <v>769219528</v>
      </c>
      <c r="CS3977">
        <v>0</v>
      </c>
      <c r="CT3977">
        <v>2</v>
      </c>
      <c r="CU3977">
        <v>0</v>
      </c>
      <c r="CV3977">
        <v>2</v>
      </c>
      <c r="CW3977">
        <v>0</v>
      </c>
      <c r="CX3977">
        <v>5</v>
      </c>
      <c r="CY3977">
        <v>7</v>
      </c>
      <c r="CZ3977" t="s">
        <v>131</v>
      </c>
      <c r="DA3977">
        <v>286</v>
      </c>
      <c r="DB3977">
        <v>0</v>
      </c>
      <c r="DC3977" t="s">
        <v>132</v>
      </c>
      <c r="DD3977" t="s">
        <v>133</v>
      </c>
      <c r="DG3977">
        <v>897159</v>
      </c>
      <c r="DI3977">
        <v>1</v>
      </c>
      <c r="DJ3977">
        <v>0</v>
      </c>
      <c r="DK3977">
        <v>1</v>
      </c>
      <c r="DL3977">
        <v>0</v>
      </c>
      <c r="DM3977">
        <v>0</v>
      </c>
      <c r="DN3977">
        <v>1</v>
      </c>
      <c r="DO3977">
        <v>0</v>
      </c>
      <c r="DP3977">
        <v>0</v>
      </c>
      <c r="DQ3977">
        <v>0</v>
      </c>
      <c r="DR3977">
        <v>0</v>
      </c>
      <c r="DS3977">
        <v>0</v>
      </c>
    </row>
    <row r="3978" spans="1:123" x14ac:dyDescent="0.3">
      <c r="A3978" t="str">
        <f t="shared" si="1463"/>
        <v>10/04/2022 19:36:13.058</v>
      </c>
      <c r="C3978" t="str">
        <f t="shared" si="1452"/>
        <v>FFDFD3C0</v>
      </c>
      <c r="D3978" t="s">
        <v>147</v>
      </c>
      <c r="E3978">
        <v>3</v>
      </c>
      <c r="H3978">
        <v>166</v>
      </c>
      <c r="I3978" t="s">
        <v>144</v>
      </c>
      <c r="J3978" t="s">
        <v>148</v>
      </c>
      <c r="K3978">
        <v>0</v>
      </c>
      <c r="L3978">
        <v>3</v>
      </c>
      <c r="M3978">
        <v>0</v>
      </c>
      <c r="N3978">
        <v>2</v>
      </c>
      <c r="O3978">
        <v>0</v>
      </c>
      <c r="P3978">
        <v>1</v>
      </c>
      <c r="Q3978">
        <v>0</v>
      </c>
      <c r="S3978" t="str">
        <f t="shared" si="1459"/>
        <v>19:36:12.000</v>
      </c>
      <c r="T3978" t="str">
        <f t="shared" si="1459"/>
        <v>19:36:12.000</v>
      </c>
      <c r="U3978" t="str">
        <f t="shared" si="1461"/>
        <v>AC3944</v>
      </c>
      <c r="V3978">
        <v>0</v>
      </c>
      <c r="W3978">
        <v>0</v>
      </c>
      <c r="X3978">
        <v>2</v>
      </c>
      <c r="Y3978">
        <v>0</v>
      </c>
      <c r="AA3978">
        <v>1</v>
      </c>
      <c r="AB3978">
        <v>8</v>
      </c>
      <c r="AC3978">
        <v>3</v>
      </c>
      <c r="AD3978">
        <v>0</v>
      </c>
      <c r="AE3978">
        <v>9</v>
      </c>
      <c r="AF3978" t="s">
        <v>138</v>
      </c>
      <c r="AG3978">
        <v>0</v>
      </c>
      <c r="AH3978">
        <v>3</v>
      </c>
      <c r="AI3978">
        <v>1</v>
      </c>
      <c r="AJ3978">
        <v>0</v>
      </c>
      <c r="AK3978" t="s">
        <v>1282</v>
      </c>
      <c r="AL3978">
        <v>32.734665999999997</v>
      </c>
      <c r="AM3978" t="s">
        <v>1283</v>
      </c>
      <c r="AN3978">
        <v>-116.68671399999999</v>
      </c>
      <c r="AO3978">
        <v>25</v>
      </c>
      <c r="AP3978">
        <v>4900</v>
      </c>
      <c r="AQ3978" t="s">
        <v>129</v>
      </c>
      <c r="AR3978">
        <v>103</v>
      </c>
      <c r="AS3978">
        <v>-59</v>
      </c>
      <c r="AT3978">
        <v>704</v>
      </c>
      <c r="BB3978">
        <v>1200</v>
      </c>
      <c r="BC3978">
        <v>1</v>
      </c>
      <c r="BD3978" t="str">
        <f t="shared" si="1462"/>
        <v xml:space="preserve">N887QR  </v>
      </c>
      <c r="BE3978">
        <v>1</v>
      </c>
      <c r="BG3978">
        <v>0</v>
      </c>
      <c r="BH3978">
        <v>0</v>
      </c>
      <c r="BI3978">
        <v>0</v>
      </c>
      <c r="BJ3978">
        <v>4800</v>
      </c>
      <c r="BK3978">
        <v>-100</v>
      </c>
      <c r="BL3978" t="s">
        <v>163</v>
      </c>
      <c r="BM3978">
        <v>1</v>
      </c>
      <c r="BN3978">
        <v>1</v>
      </c>
      <c r="BO3978">
        <v>1</v>
      </c>
      <c r="BP3978">
        <v>0</v>
      </c>
      <c r="BS3978">
        <v>0</v>
      </c>
      <c r="BT3978">
        <v>0</v>
      </c>
      <c r="BU3978">
        <v>0</v>
      </c>
      <c r="CE3978" t="str">
        <f t="shared" si="1464"/>
        <v>19:36:12.769</v>
      </c>
      <c r="CF3978">
        <v>769219528</v>
      </c>
      <c r="CS3978">
        <v>0</v>
      </c>
      <c r="CT3978">
        <v>2</v>
      </c>
      <c r="CU3978">
        <v>0</v>
      </c>
      <c r="CV3978">
        <v>2</v>
      </c>
      <c r="CW3978">
        <v>0</v>
      </c>
      <c r="CX3978">
        <v>5</v>
      </c>
      <c r="CY3978">
        <v>7</v>
      </c>
      <c r="CZ3978" t="s">
        <v>131</v>
      </c>
      <c r="DA3978">
        <v>286</v>
      </c>
      <c r="DB3978">
        <v>0</v>
      </c>
      <c r="DC3978" t="s">
        <v>132</v>
      </c>
      <c r="DD3978" t="s">
        <v>133</v>
      </c>
      <c r="DG3978">
        <v>897159</v>
      </c>
      <c r="DI3978">
        <v>1</v>
      </c>
      <c r="DJ3978">
        <v>0</v>
      </c>
      <c r="DK3978">
        <v>1</v>
      </c>
      <c r="DL3978">
        <v>0</v>
      </c>
      <c r="DM3978">
        <v>0</v>
      </c>
      <c r="DN3978">
        <v>1</v>
      </c>
      <c r="DO3978">
        <v>0</v>
      </c>
      <c r="DP3978">
        <v>0</v>
      </c>
      <c r="DQ3978">
        <v>0</v>
      </c>
      <c r="DR3978">
        <v>0</v>
      </c>
      <c r="DS3978">
        <v>0</v>
      </c>
    </row>
    <row r="3979" spans="1:123" x14ac:dyDescent="0.3">
      <c r="A3979" t="str">
        <f t="shared" si="1463"/>
        <v>10/04/2022 19:36:13.058</v>
      </c>
      <c r="C3979" t="str">
        <f t="shared" si="1452"/>
        <v>FFDFD3C0</v>
      </c>
      <c r="D3979" t="s">
        <v>141</v>
      </c>
      <c r="E3979">
        <v>4</v>
      </c>
      <c r="H3979">
        <v>4</v>
      </c>
      <c r="I3979" t="s">
        <v>142</v>
      </c>
      <c r="J3979" t="s">
        <v>138</v>
      </c>
      <c r="K3979">
        <v>0</v>
      </c>
      <c r="L3979">
        <v>3</v>
      </c>
      <c r="M3979">
        <v>0</v>
      </c>
      <c r="N3979">
        <v>2</v>
      </c>
      <c r="O3979">
        <v>0</v>
      </c>
      <c r="P3979">
        <v>1</v>
      </c>
      <c r="Q3979">
        <v>0</v>
      </c>
      <c r="S3979" t="str">
        <f t="shared" si="1459"/>
        <v>19:36:12.000</v>
      </c>
      <c r="T3979" t="str">
        <f t="shared" si="1459"/>
        <v>19:36:12.000</v>
      </c>
      <c r="U3979" t="str">
        <f t="shared" si="1461"/>
        <v>AC3944</v>
      </c>
      <c r="V3979">
        <v>0</v>
      </c>
      <c r="W3979">
        <v>0</v>
      </c>
      <c r="X3979">
        <v>2</v>
      </c>
      <c r="Y3979">
        <v>0</v>
      </c>
      <c r="AA3979">
        <v>1</v>
      </c>
      <c r="AB3979">
        <v>8</v>
      </c>
      <c r="AC3979">
        <v>3</v>
      </c>
      <c r="AD3979">
        <v>0</v>
      </c>
      <c r="AE3979">
        <v>9</v>
      </c>
      <c r="AF3979" t="s">
        <v>138</v>
      </c>
      <c r="AG3979">
        <v>0</v>
      </c>
      <c r="AH3979">
        <v>3</v>
      </c>
      <c r="AI3979">
        <v>1</v>
      </c>
      <c r="AJ3979">
        <v>0</v>
      </c>
      <c r="AK3979" t="s">
        <v>1282</v>
      </c>
      <c r="AL3979">
        <v>32.734665999999997</v>
      </c>
      <c r="AM3979" t="s">
        <v>1283</v>
      </c>
      <c r="AN3979">
        <v>-116.68671399999999</v>
      </c>
      <c r="AO3979">
        <v>25</v>
      </c>
      <c r="AP3979">
        <v>4900</v>
      </c>
      <c r="AQ3979" t="s">
        <v>129</v>
      </c>
      <c r="AR3979">
        <v>103</v>
      </c>
      <c r="AS3979">
        <v>-59</v>
      </c>
      <c r="AT3979">
        <v>704</v>
      </c>
      <c r="BB3979">
        <v>1200</v>
      </c>
      <c r="BC3979">
        <v>1</v>
      </c>
      <c r="BD3979" t="str">
        <f t="shared" si="1462"/>
        <v xml:space="preserve">N887QR  </v>
      </c>
      <c r="BE3979">
        <v>1</v>
      </c>
      <c r="BG3979">
        <v>0</v>
      </c>
      <c r="BH3979">
        <v>0</v>
      </c>
      <c r="BI3979">
        <v>0</v>
      </c>
      <c r="BJ3979">
        <v>4800</v>
      </c>
      <c r="BK3979">
        <v>-100</v>
      </c>
      <c r="BL3979" t="s">
        <v>163</v>
      </c>
      <c r="BM3979">
        <v>1</v>
      </c>
      <c r="BN3979">
        <v>1</v>
      </c>
      <c r="BO3979">
        <v>1</v>
      </c>
      <c r="BP3979">
        <v>0</v>
      </c>
      <c r="BS3979">
        <v>0</v>
      </c>
      <c r="BT3979">
        <v>0</v>
      </c>
      <c r="BU3979">
        <v>0</v>
      </c>
      <c r="CE3979" t="str">
        <f t="shared" si="1464"/>
        <v>19:36:12.769</v>
      </c>
      <c r="CF3979">
        <v>769219528</v>
      </c>
      <c r="CS3979">
        <v>0</v>
      </c>
      <c r="CT3979">
        <v>2</v>
      </c>
      <c r="CU3979">
        <v>0</v>
      </c>
      <c r="CV3979">
        <v>2</v>
      </c>
      <c r="CW3979">
        <v>0</v>
      </c>
      <c r="CX3979">
        <v>5</v>
      </c>
      <c r="CY3979">
        <v>7</v>
      </c>
      <c r="CZ3979" t="s">
        <v>131</v>
      </c>
      <c r="DA3979">
        <v>286</v>
      </c>
      <c r="DB3979">
        <v>0</v>
      </c>
      <c r="DC3979" t="s">
        <v>132</v>
      </c>
      <c r="DD3979" t="s">
        <v>133</v>
      </c>
      <c r="DG3979">
        <v>897159</v>
      </c>
      <c r="DI3979">
        <v>1</v>
      </c>
      <c r="DJ3979">
        <v>0</v>
      </c>
      <c r="DK3979">
        <v>1</v>
      </c>
      <c r="DL3979">
        <v>0</v>
      </c>
      <c r="DM3979">
        <v>0</v>
      </c>
      <c r="DN3979">
        <v>1</v>
      </c>
      <c r="DO3979">
        <v>0</v>
      </c>
      <c r="DP3979">
        <v>0</v>
      </c>
      <c r="DQ3979">
        <v>0</v>
      </c>
      <c r="DR3979">
        <v>0</v>
      </c>
      <c r="DS3979">
        <v>0</v>
      </c>
    </row>
    <row r="3980" spans="1:123" x14ac:dyDescent="0.3">
      <c r="A3980" t="str">
        <f t="shared" si="1463"/>
        <v>10/04/2022 19:36:13.058</v>
      </c>
      <c r="C3980" t="str">
        <f t="shared" si="1452"/>
        <v>FFDFD3C0</v>
      </c>
      <c r="D3980" t="s">
        <v>141</v>
      </c>
      <c r="E3980">
        <v>3</v>
      </c>
      <c r="H3980">
        <v>3</v>
      </c>
      <c r="I3980" t="s">
        <v>146</v>
      </c>
      <c r="J3980" t="s">
        <v>138</v>
      </c>
      <c r="K3980">
        <v>0</v>
      </c>
      <c r="L3980">
        <v>3</v>
      </c>
      <c r="M3980">
        <v>0</v>
      </c>
      <c r="N3980">
        <v>2</v>
      </c>
      <c r="O3980">
        <v>0</v>
      </c>
      <c r="P3980">
        <v>1</v>
      </c>
      <c r="Q3980">
        <v>0</v>
      </c>
      <c r="S3980" t="str">
        <f t="shared" si="1459"/>
        <v>19:36:12.000</v>
      </c>
      <c r="T3980" t="str">
        <f t="shared" si="1459"/>
        <v>19:36:12.000</v>
      </c>
      <c r="U3980" t="str">
        <f t="shared" si="1461"/>
        <v>AC3944</v>
      </c>
      <c r="V3980">
        <v>0</v>
      </c>
      <c r="W3980">
        <v>0</v>
      </c>
      <c r="X3980">
        <v>2</v>
      </c>
      <c r="Y3980">
        <v>0</v>
      </c>
      <c r="AA3980">
        <v>1</v>
      </c>
      <c r="AB3980">
        <v>8</v>
      </c>
      <c r="AC3980">
        <v>3</v>
      </c>
      <c r="AD3980">
        <v>0</v>
      </c>
      <c r="AE3980">
        <v>9</v>
      </c>
      <c r="AF3980" t="s">
        <v>138</v>
      </c>
      <c r="AG3980">
        <v>0</v>
      </c>
      <c r="AH3980">
        <v>3</v>
      </c>
      <c r="AI3980">
        <v>1</v>
      </c>
      <c r="AJ3980">
        <v>0</v>
      </c>
      <c r="AK3980" t="s">
        <v>1282</v>
      </c>
      <c r="AL3980">
        <v>32.734665999999997</v>
      </c>
      <c r="AM3980" t="s">
        <v>1283</v>
      </c>
      <c r="AN3980">
        <v>-116.68671399999999</v>
      </c>
      <c r="AO3980">
        <v>25</v>
      </c>
      <c r="AP3980">
        <v>4900</v>
      </c>
      <c r="AQ3980" t="s">
        <v>129</v>
      </c>
      <c r="AR3980">
        <v>103</v>
      </c>
      <c r="AS3980">
        <v>-59</v>
      </c>
      <c r="AT3980">
        <v>704</v>
      </c>
      <c r="BB3980">
        <v>1200</v>
      </c>
      <c r="BC3980">
        <v>1</v>
      </c>
      <c r="BD3980" t="str">
        <f t="shared" si="1462"/>
        <v xml:space="preserve">N887QR  </v>
      </c>
      <c r="BE3980">
        <v>1</v>
      </c>
      <c r="BG3980">
        <v>0</v>
      </c>
      <c r="BH3980">
        <v>0</v>
      </c>
      <c r="BI3980">
        <v>0</v>
      </c>
      <c r="BJ3980">
        <v>4800</v>
      </c>
      <c r="BK3980">
        <v>-100</v>
      </c>
      <c r="BL3980" t="s">
        <v>163</v>
      </c>
      <c r="BM3980">
        <v>1</v>
      </c>
      <c r="BN3980">
        <v>1</v>
      </c>
      <c r="BO3980">
        <v>1</v>
      </c>
      <c r="BP3980">
        <v>0</v>
      </c>
      <c r="BS3980">
        <v>0</v>
      </c>
      <c r="BT3980">
        <v>0</v>
      </c>
      <c r="BU3980">
        <v>0</v>
      </c>
      <c r="CE3980" t="str">
        <f t="shared" si="1464"/>
        <v>19:36:12.769</v>
      </c>
      <c r="CF3980">
        <v>769219528</v>
      </c>
      <c r="CS3980">
        <v>0</v>
      </c>
      <c r="CT3980">
        <v>2</v>
      </c>
      <c r="CU3980">
        <v>0</v>
      </c>
      <c r="CV3980">
        <v>2</v>
      </c>
      <c r="CW3980">
        <v>0</v>
      </c>
      <c r="CX3980">
        <v>5</v>
      </c>
      <c r="CY3980">
        <v>7</v>
      </c>
      <c r="CZ3980" t="s">
        <v>131</v>
      </c>
      <c r="DA3980">
        <v>286</v>
      </c>
      <c r="DB3980">
        <v>0</v>
      </c>
      <c r="DC3980" t="s">
        <v>132</v>
      </c>
      <c r="DD3980" t="s">
        <v>133</v>
      </c>
      <c r="DG3980">
        <v>897159</v>
      </c>
      <c r="DI3980">
        <v>1</v>
      </c>
      <c r="DJ3980">
        <v>0</v>
      </c>
      <c r="DK3980">
        <v>1</v>
      </c>
      <c r="DL3980">
        <v>0</v>
      </c>
      <c r="DM3980">
        <v>0</v>
      </c>
      <c r="DN3980">
        <v>1</v>
      </c>
      <c r="DO3980">
        <v>0</v>
      </c>
      <c r="DP3980">
        <v>0</v>
      </c>
      <c r="DQ3980">
        <v>0</v>
      </c>
      <c r="DR3980">
        <v>0</v>
      </c>
      <c r="DS3980">
        <v>0</v>
      </c>
    </row>
    <row r="3981" spans="1:123" x14ac:dyDescent="0.3">
      <c r="A3981" t="str">
        <f t="shared" si="1463"/>
        <v>10/04/2022 19:36:13.058</v>
      </c>
      <c r="C3981" t="str">
        <f t="shared" si="1452"/>
        <v>FFDFD3C0</v>
      </c>
      <c r="D3981" t="s">
        <v>134</v>
      </c>
      <c r="E3981">
        <v>15</v>
      </c>
      <c r="J3981" t="s">
        <v>135</v>
      </c>
      <c r="K3981">
        <v>0</v>
      </c>
      <c r="L3981">
        <v>3</v>
      </c>
      <c r="M3981">
        <v>0</v>
      </c>
      <c r="N3981">
        <v>2</v>
      </c>
      <c r="O3981">
        <v>0</v>
      </c>
      <c r="P3981">
        <v>1</v>
      </c>
      <c r="Q3981">
        <v>0</v>
      </c>
      <c r="S3981" t="str">
        <f t="shared" si="1459"/>
        <v>19:36:12.000</v>
      </c>
      <c r="T3981" t="str">
        <f t="shared" si="1459"/>
        <v>19:36:12.000</v>
      </c>
      <c r="U3981" t="str">
        <f t="shared" si="1461"/>
        <v>AC3944</v>
      </c>
      <c r="V3981">
        <v>0</v>
      </c>
      <c r="W3981">
        <v>0</v>
      </c>
      <c r="X3981">
        <v>2</v>
      </c>
      <c r="Y3981">
        <v>0</v>
      </c>
      <c r="AA3981">
        <v>1</v>
      </c>
      <c r="AB3981">
        <v>8</v>
      </c>
      <c r="AC3981">
        <v>3</v>
      </c>
      <c r="AD3981">
        <v>0</v>
      </c>
      <c r="AE3981">
        <v>9</v>
      </c>
      <c r="AF3981" t="s">
        <v>138</v>
      </c>
      <c r="AG3981">
        <v>0</v>
      </c>
      <c r="AH3981">
        <v>3</v>
      </c>
      <c r="AI3981">
        <v>1</v>
      </c>
      <c r="AJ3981">
        <v>0</v>
      </c>
      <c r="AK3981" t="s">
        <v>1282</v>
      </c>
      <c r="AL3981">
        <v>32.734665999999997</v>
      </c>
      <c r="AM3981" t="s">
        <v>1283</v>
      </c>
      <c r="AN3981">
        <v>-116.68671399999999</v>
      </c>
      <c r="AO3981">
        <v>25</v>
      </c>
      <c r="AP3981">
        <v>4900</v>
      </c>
      <c r="AQ3981" t="s">
        <v>129</v>
      </c>
      <c r="AR3981">
        <v>103</v>
      </c>
      <c r="AS3981">
        <v>-59</v>
      </c>
      <c r="AT3981">
        <v>704</v>
      </c>
      <c r="BB3981">
        <v>1200</v>
      </c>
      <c r="BC3981">
        <v>1</v>
      </c>
      <c r="BD3981" t="str">
        <f t="shared" si="1462"/>
        <v xml:space="preserve">N887QR  </v>
      </c>
      <c r="BE3981">
        <v>1</v>
      </c>
      <c r="BG3981">
        <v>0</v>
      </c>
      <c r="BH3981">
        <v>0</v>
      </c>
      <c r="BI3981">
        <v>0</v>
      </c>
      <c r="BJ3981">
        <v>4800</v>
      </c>
      <c r="BK3981">
        <v>-100</v>
      </c>
      <c r="BL3981" t="s">
        <v>163</v>
      </c>
      <c r="BM3981">
        <v>1</v>
      </c>
      <c r="BN3981">
        <v>1</v>
      </c>
      <c r="BO3981">
        <v>1</v>
      </c>
      <c r="BP3981">
        <v>0</v>
      </c>
      <c r="BS3981">
        <v>0</v>
      </c>
      <c r="BT3981">
        <v>0</v>
      </c>
      <c r="BU3981">
        <v>0</v>
      </c>
      <c r="CE3981" t="str">
        <f t="shared" si="1464"/>
        <v>19:36:12.769</v>
      </c>
      <c r="CF3981">
        <v>769219528</v>
      </c>
      <c r="CS3981">
        <v>0</v>
      </c>
      <c r="CT3981">
        <v>2</v>
      </c>
      <c r="CU3981">
        <v>0</v>
      </c>
      <c r="CV3981">
        <v>2</v>
      </c>
      <c r="CW3981">
        <v>0</v>
      </c>
      <c r="CX3981">
        <v>5</v>
      </c>
      <c r="CY3981">
        <v>7</v>
      </c>
      <c r="CZ3981" t="s">
        <v>131</v>
      </c>
      <c r="DA3981">
        <v>286</v>
      </c>
      <c r="DB3981">
        <v>0</v>
      </c>
      <c r="DC3981" t="s">
        <v>132</v>
      </c>
      <c r="DD3981" t="s">
        <v>133</v>
      </c>
      <c r="DG3981">
        <v>897159</v>
      </c>
      <c r="DI3981">
        <v>1</v>
      </c>
      <c r="DJ3981">
        <v>0</v>
      </c>
      <c r="DK3981">
        <v>1</v>
      </c>
      <c r="DL3981">
        <v>0</v>
      </c>
      <c r="DM3981">
        <v>0</v>
      </c>
      <c r="DN3981">
        <v>1</v>
      </c>
      <c r="DO3981">
        <v>0</v>
      </c>
      <c r="DP3981">
        <v>0</v>
      </c>
      <c r="DQ3981">
        <v>0</v>
      </c>
      <c r="DR3981">
        <v>0</v>
      </c>
      <c r="DS3981">
        <v>0</v>
      </c>
    </row>
    <row r="3982" spans="1:123" x14ac:dyDescent="0.3">
      <c r="A3982" t="str">
        <f>"10/04/2022 19:36:14.121"</f>
        <v>10/04/2022 19:36:14.121</v>
      </c>
      <c r="C3982" t="str">
        <f t="shared" si="1452"/>
        <v>FFDFD3C0</v>
      </c>
      <c r="D3982" t="s">
        <v>134</v>
      </c>
      <c r="E3982">
        <v>15</v>
      </c>
      <c r="J3982" t="s">
        <v>135</v>
      </c>
      <c r="K3982">
        <v>0</v>
      </c>
      <c r="L3982">
        <v>3</v>
      </c>
      <c r="M3982">
        <v>0</v>
      </c>
      <c r="N3982">
        <v>2</v>
      </c>
      <c r="O3982">
        <v>0</v>
      </c>
      <c r="P3982">
        <v>1</v>
      </c>
      <c r="Q3982">
        <v>0</v>
      </c>
      <c r="S3982" t="str">
        <f t="shared" ref="S3982:T3988" si="1465">"19:36:13.000"</f>
        <v>19:36:13.000</v>
      </c>
      <c r="T3982" t="str">
        <f t="shared" si="1465"/>
        <v>19:36:13.000</v>
      </c>
      <c r="U3982" t="str">
        <f t="shared" si="1461"/>
        <v>AC3944</v>
      </c>
      <c r="V3982">
        <v>0</v>
      </c>
      <c r="W3982">
        <v>0</v>
      </c>
      <c r="X3982">
        <v>2</v>
      </c>
      <c r="Y3982">
        <v>0</v>
      </c>
      <c r="AA3982">
        <v>1</v>
      </c>
      <c r="AB3982">
        <v>8</v>
      </c>
      <c r="AC3982">
        <v>3</v>
      </c>
      <c r="AD3982">
        <v>0</v>
      </c>
      <c r="AE3982">
        <v>9</v>
      </c>
      <c r="AF3982" t="s">
        <v>138</v>
      </c>
      <c r="AG3982">
        <v>0</v>
      </c>
      <c r="AH3982">
        <v>3</v>
      </c>
      <c r="AI3982">
        <v>1</v>
      </c>
      <c r="AJ3982">
        <v>0</v>
      </c>
      <c r="AK3982" t="s">
        <v>1284</v>
      </c>
      <c r="AL3982">
        <v>32.734386999999998</v>
      </c>
      <c r="AM3982" t="s">
        <v>1285</v>
      </c>
      <c r="AN3982">
        <v>-116.686134</v>
      </c>
      <c r="AO3982">
        <v>25</v>
      </c>
      <c r="AP3982">
        <v>4900</v>
      </c>
      <c r="AQ3982" t="s">
        <v>129</v>
      </c>
      <c r="AR3982">
        <v>102</v>
      </c>
      <c r="AS3982">
        <v>-59</v>
      </c>
      <c r="AT3982">
        <v>704</v>
      </c>
      <c r="BB3982">
        <v>1200</v>
      </c>
      <c r="BC3982">
        <v>1</v>
      </c>
      <c r="BD3982" t="str">
        <f t="shared" si="1462"/>
        <v xml:space="preserve">N887QR  </v>
      </c>
      <c r="BE3982">
        <v>1</v>
      </c>
      <c r="BG3982">
        <v>0</v>
      </c>
      <c r="BH3982">
        <v>0</v>
      </c>
      <c r="BI3982">
        <v>0</v>
      </c>
      <c r="BJ3982">
        <v>4800</v>
      </c>
      <c r="BK3982">
        <v>-100</v>
      </c>
      <c r="BL3982" t="s">
        <v>163</v>
      </c>
      <c r="BM3982">
        <v>1</v>
      </c>
      <c r="BN3982">
        <v>1</v>
      </c>
      <c r="BO3982">
        <v>1</v>
      </c>
      <c r="BP3982">
        <v>0</v>
      </c>
      <c r="BS3982">
        <v>0</v>
      </c>
      <c r="BT3982">
        <v>0</v>
      </c>
      <c r="BU3982">
        <v>0</v>
      </c>
      <c r="CE3982" t="str">
        <f t="shared" ref="CE3982:CE3988" si="1466">"19:36:13.749"</f>
        <v>19:36:13.749</v>
      </c>
      <c r="CF3982">
        <v>749222734</v>
      </c>
      <c r="CS3982">
        <v>0</v>
      </c>
      <c r="CT3982">
        <v>2</v>
      </c>
      <c r="CU3982">
        <v>0</v>
      </c>
      <c r="CV3982">
        <v>2</v>
      </c>
      <c r="CW3982">
        <v>0</v>
      </c>
      <c r="CX3982">
        <v>5</v>
      </c>
      <c r="CY3982">
        <v>7</v>
      </c>
      <c r="CZ3982" t="s">
        <v>131</v>
      </c>
      <c r="DA3982">
        <v>286</v>
      </c>
      <c r="DB3982">
        <v>0</v>
      </c>
      <c r="DC3982" t="s">
        <v>132</v>
      </c>
      <c r="DD3982" t="s">
        <v>133</v>
      </c>
      <c r="DG3982">
        <v>897367</v>
      </c>
      <c r="DI3982">
        <v>1</v>
      </c>
      <c r="DJ3982">
        <v>0</v>
      </c>
      <c r="DK3982">
        <v>0</v>
      </c>
      <c r="DL3982">
        <v>0</v>
      </c>
      <c r="DM3982">
        <v>0</v>
      </c>
      <c r="DN3982">
        <v>1</v>
      </c>
      <c r="DO3982">
        <v>0</v>
      </c>
      <c r="DP3982">
        <v>0</v>
      </c>
      <c r="DQ3982">
        <v>0</v>
      </c>
      <c r="DR3982">
        <v>0</v>
      </c>
      <c r="DS3982">
        <v>0</v>
      </c>
    </row>
    <row r="3983" spans="1:123" x14ac:dyDescent="0.3">
      <c r="A3983" t="str">
        <f>"10/04/2022 19:36:14.121"</f>
        <v>10/04/2022 19:36:14.121</v>
      </c>
      <c r="C3983" t="str">
        <f t="shared" si="1452"/>
        <v>FFDFD3C0</v>
      </c>
      <c r="D3983" t="s">
        <v>136</v>
      </c>
      <c r="E3983">
        <v>8</v>
      </c>
      <c r="H3983">
        <v>225</v>
      </c>
      <c r="I3983" t="s">
        <v>137</v>
      </c>
      <c r="J3983" t="s">
        <v>138</v>
      </c>
      <c r="K3983">
        <v>0</v>
      </c>
      <c r="L3983">
        <v>3</v>
      </c>
      <c r="M3983">
        <v>0</v>
      </c>
      <c r="N3983">
        <v>2</v>
      </c>
      <c r="O3983">
        <v>0</v>
      </c>
      <c r="P3983">
        <v>1</v>
      </c>
      <c r="Q3983">
        <v>0</v>
      </c>
      <c r="S3983" t="str">
        <f t="shared" si="1465"/>
        <v>19:36:13.000</v>
      </c>
      <c r="T3983" t="str">
        <f t="shared" si="1465"/>
        <v>19:36:13.000</v>
      </c>
      <c r="U3983" t="str">
        <f t="shared" si="1461"/>
        <v>AC3944</v>
      </c>
      <c r="V3983">
        <v>0</v>
      </c>
      <c r="W3983">
        <v>0</v>
      </c>
      <c r="X3983">
        <v>2</v>
      </c>
      <c r="Y3983">
        <v>0</v>
      </c>
      <c r="AA3983">
        <v>1</v>
      </c>
      <c r="AB3983">
        <v>8</v>
      </c>
      <c r="AC3983">
        <v>3</v>
      </c>
      <c r="AD3983">
        <v>0</v>
      </c>
      <c r="AE3983">
        <v>9</v>
      </c>
      <c r="AF3983" t="s">
        <v>138</v>
      </c>
      <c r="AG3983">
        <v>0</v>
      </c>
      <c r="AH3983">
        <v>3</v>
      </c>
      <c r="AI3983">
        <v>1</v>
      </c>
      <c r="AJ3983">
        <v>0</v>
      </c>
      <c r="AK3983" t="s">
        <v>1284</v>
      </c>
      <c r="AL3983">
        <v>32.734386999999998</v>
      </c>
      <c r="AM3983" t="s">
        <v>1285</v>
      </c>
      <c r="AN3983">
        <v>-116.686134</v>
      </c>
      <c r="AO3983">
        <v>25</v>
      </c>
      <c r="AP3983">
        <v>4900</v>
      </c>
      <c r="AQ3983" t="s">
        <v>129</v>
      </c>
      <c r="AR3983">
        <v>102</v>
      </c>
      <c r="AS3983">
        <v>-59</v>
      </c>
      <c r="AT3983">
        <v>704</v>
      </c>
      <c r="BB3983">
        <v>1200</v>
      </c>
      <c r="BC3983">
        <v>1</v>
      </c>
      <c r="BD3983" t="str">
        <f t="shared" si="1462"/>
        <v xml:space="preserve">N887QR  </v>
      </c>
      <c r="BE3983">
        <v>1</v>
      </c>
      <c r="BG3983">
        <v>0</v>
      </c>
      <c r="BH3983">
        <v>0</v>
      </c>
      <c r="BI3983">
        <v>0</v>
      </c>
      <c r="BJ3983">
        <v>4800</v>
      </c>
      <c r="BK3983">
        <v>-100</v>
      </c>
      <c r="BL3983" t="s">
        <v>163</v>
      </c>
      <c r="BM3983">
        <v>1</v>
      </c>
      <c r="BN3983">
        <v>1</v>
      </c>
      <c r="BO3983">
        <v>1</v>
      </c>
      <c r="BP3983">
        <v>0</v>
      </c>
      <c r="BS3983">
        <v>0</v>
      </c>
      <c r="BT3983">
        <v>0</v>
      </c>
      <c r="BU3983">
        <v>0</v>
      </c>
      <c r="CE3983" t="str">
        <f t="shared" si="1466"/>
        <v>19:36:13.749</v>
      </c>
      <c r="CF3983">
        <v>749222734</v>
      </c>
      <c r="CS3983">
        <v>0</v>
      </c>
      <c r="CT3983">
        <v>2</v>
      </c>
      <c r="CU3983">
        <v>0</v>
      </c>
      <c r="CV3983">
        <v>2</v>
      </c>
      <c r="CW3983">
        <v>0</v>
      </c>
      <c r="CX3983">
        <v>5</v>
      </c>
      <c r="CY3983">
        <v>7</v>
      </c>
      <c r="CZ3983" t="s">
        <v>131</v>
      </c>
      <c r="DA3983">
        <v>286</v>
      </c>
      <c r="DB3983">
        <v>0</v>
      </c>
      <c r="DC3983" t="s">
        <v>132</v>
      </c>
      <c r="DD3983" t="s">
        <v>133</v>
      </c>
      <c r="DG3983">
        <v>897367</v>
      </c>
      <c r="DI3983">
        <v>1</v>
      </c>
      <c r="DJ3983">
        <v>0</v>
      </c>
      <c r="DK3983">
        <v>1</v>
      </c>
      <c r="DL3983">
        <v>0</v>
      </c>
      <c r="DM3983">
        <v>0</v>
      </c>
      <c r="DN3983">
        <v>1</v>
      </c>
      <c r="DO3983">
        <v>0</v>
      </c>
      <c r="DP3983">
        <v>0</v>
      </c>
      <c r="DQ3983">
        <v>0</v>
      </c>
      <c r="DR3983">
        <v>0</v>
      </c>
      <c r="DS3983">
        <v>0</v>
      </c>
    </row>
    <row r="3984" spans="1:123" x14ac:dyDescent="0.3">
      <c r="A3984" t="str">
        <f>"10/04/2022 19:36:14.183"</f>
        <v>10/04/2022 19:36:14.183</v>
      </c>
      <c r="C3984" t="str">
        <f t="shared" si="1452"/>
        <v>FFDFD3C0</v>
      </c>
      <c r="D3984" t="s">
        <v>143</v>
      </c>
      <c r="E3984">
        <v>20</v>
      </c>
      <c r="F3984">
        <v>1020</v>
      </c>
      <c r="G3984" t="s">
        <v>144</v>
      </c>
      <c r="J3984" t="s">
        <v>145</v>
      </c>
      <c r="K3984">
        <v>0</v>
      </c>
      <c r="L3984">
        <v>3</v>
      </c>
      <c r="M3984">
        <v>0</v>
      </c>
      <c r="N3984">
        <v>2</v>
      </c>
      <c r="O3984">
        <v>0</v>
      </c>
      <c r="P3984">
        <v>1</v>
      </c>
      <c r="Q3984">
        <v>0</v>
      </c>
      <c r="S3984" t="str">
        <f t="shared" si="1465"/>
        <v>19:36:13.000</v>
      </c>
      <c r="T3984" t="str">
        <f t="shared" si="1465"/>
        <v>19:36:13.000</v>
      </c>
      <c r="U3984" t="str">
        <f t="shared" si="1461"/>
        <v>AC3944</v>
      </c>
      <c r="V3984">
        <v>0</v>
      </c>
      <c r="W3984">
        <v>0</v>
      </c>
      <c r="X3984">
        <v>2</v>
      </c>
      <c r="Y3984">
        <v>0</v>
      </c>
      <c r="AA3984">
        <v>1</v>
      </c>
      <c r="AB3984">
        <v>8</v>
      </c>
      <c r="AC3984">
        <v>3</v>
      </c>
      <c r="AD3984">
        <v>0</v>
      </c>
      <c r="AE3984">
        <v>9</v>
      </c>
      <c r="AF3984" t="s">
        <v>138</v>
      </c>
      <c r="AG3984">
        <v>0</v>
      </c>
      <c r="AH3984">
        <v>3</v>
      </c>
      <c r="AI3984">
        <v>1</v>
      </c>
      <c r="AJ3984">
        <v>0</v>
      </c>
      <c r="AK3984" t="s">
        <v>1284</v>
      </c>
      <c r="AL3984">
        <v>32.734386999999998</v>
      </c>
      <c r="AM3984" t="s">
        <v>1285</v>
      </c>
      <c r="AN3984">
        <v>-116.686134</v>
      </c>
      <c r="AO3984">
        <v>25</v>
      </c>
      <c r="AP3984">
        <v>4900</v>
      </c>
      <c r="AQ3984" t="s">
        <v>129</v>
      </c>
      <c r="AR3984">
        <v>102</v>
      </c>
      <c r="AS3984">
        <v>-59</v>
      </c>
      <c r="AT3984">
        <v>704</v>
      </c>
      <c r="BB3984">
        <v>1200</v>
      </c>
      <c r="BC3984">
        <v>1</v>
      </c>
      <c r="BD3984" t="str">
        <f t="shared" si="1462"/>
        <v xml:space="preserve">N887QR  </v>
      </c>
      <c r="BE3984">
        <v>1</v>
      </c>
      <c r="BG3984">
        <v>0</v>
      </c>
      <c r="BH3984">
        <v>0</v>
      </c>
      <c r="BI3984">
        <v>0</v>
      </c>
      <c r="BJ3984">
        <v>4800</v>
      </c>
      <c r="BK3984">
        <v>-100</v>
      </c>
      <c r="BL3984" t="s">
        <v>163</v>
      </c>
      <c r="BM3984">
        <v>1</v>
      </c>
      <c r="BN3984">
        <v>1</v>
      </c>
      <c r="BO3984">
        <v>1</v>
      </c>
      <c r="BP3984">
        <v>0</v>
      </c>
      <c r="BS3984">
        <v>0</v>
      </c>
      <c r="BT3984">
        <v>0</v>
      </c>
      <c r="BU3984">
        <v>0</v>
      </c>
      <c r="CE3984" t="str">
        <f t="shared" si="1466"/>
        <v>19:36:13.749</v>
      </c>
      <c r="CF3984">
        <v>749222734</v>
      </c>
      <c r="CS3984">
        <v>0</v>
      </c>
      <c r="CT3984">
        <v>2</v>
      </c>
      <c r="CU3984">
        <v>0</v>
      </c>
      <c r="CV3984">
        <v>2</v>
      </c>
      <c r="CW3984">
        <v>0</v>
      </c>
      <c r="CX3984">
        <v>5</v>
      </c>
      <c r="CY3984">
        <v>7</v>
      </c>
      <c r="CZ3984" t="s">
        <v>131</v>
      </c>
      <c r="DA3984">
        <v>286</v>
      </c>
      <c r="DB3984">
        <v>0</v>
      </c>
      <c r="DC3984" t="s">
        <v>132</v>
      </c>
      <c r="DD3984" t="s">
        <v>133</v>
      </c>
      <c r="DG3984">
        <v>897367</v>
      </c>
      <c r="DI3984">
        <v>1</v>
      </c>
      <c r="DJ3984">
        <v>0</v>
      </c>
      <c r="DK3984">
        <v>0</v>
      </c>
      <c r="DL3984">
        <v>0</v>
      </c>
      <c r="DM3984">
        <v>0</v>
      </c>
      <c r="DN3984">
        <v>1</v>
      </c>
      <c r="DO3984">
        <v>0</v>
      </c>
      <c r="DP3984">
        <v>0</v>
      </c>
      <c r="DQ3984">
        <v>0</v>
      </c>
      <c r="DR3984">
        <v>0</v>
      </c>
      <c r="DS3984">
        <v>0</v>
      </c>
    </row>
    <row r="3985" spans="1:123" x14ac:dyDescent="0.3">
      <c r="A3985" t="str">
        <f>"10/04/2022 19:36:14.183"</f>
        <v>10/04/2022 19:36:14.183</v>
      </c>
      <c r="C3985" t="str">
        <f t="shared" si="1452"/>
        <v>FFDFD3C0</v>
      </c>
      <c r="D3985" t="s">
        <v>123</v>
      </c>
      <c r="E3985">
        <v>7</v>
      </c>
      <c r="F3985">
        <v>2007</v>
      </c>
      <c r="G3985" t="s">
        <v>124</v>
      </c>
      <c r="J3985" t="s">
        <v>125</v>
      </c>
      <c r="K3985">
        <v>0</v>
      </c>
      <c r="L3985">
        <v>3</v>
      </c>
      <c r="M3985">
        <v>0</v>
      </c>
      <c r="N3985">
        <v>2</v>
      </c>
      <c r="O3985">
        <v>0</v>
      </c>
      <c r="P3985">
        <v>1</v>
      </c>
      <c r="Q3985">
        <v>0</v>
      </c>
      <c r="S3985" t="str">
        <f t="shared" si="1465"/>
        <v>19:36:13.000</v>
      </c>
      <c r="T3985" t="str">
        <f t="shared" si="1465"/>
        <v>19:36:13.000</v>
      </c>
      <c r="U3985" t="str">
        <f t="shared" si="1461"/>
        <v>AC3944</v>
      </c>
      <c r="V3985">
        <v>0</v>
      </c>
      <c r="W3985">
        <v>0</v>
      </c>
      <c r="X3985">
        <v>2</v>
      </c>
      <c r="Y3985">
        <v>0</v>
      </c>
      <c r="AA3985">
        <v>1</v>
      </c>
      <c r="AB3985">
        <v>8</v>
      </c>
      <c r="AC3985">
        <v>3</v>
      </c>
      <c r="AD3985">
        <v>0</v>
      </c>
      <c r="AE3985">
        <v>9</v>
      </c>
      <c r="AF3985" t="s">
        <v>138</v>
      </c>
      <c r="AG3985">
        <v>0</v>
      </c>
      <c r="AH3985">
        <v>3</v>
      </c>
      <c r="AI3985">
        <v>1</v>
      </c>
      <c r="AJ3985">
        <v>0</v>
      </c>
      <c r="AK3985" t="s">
        <v>1284</v>
      </c>
      <c r="AL3985">
        <v>32.734386999999998</v>
      </c>
      <c r="AM3985" t="s">
        <v>1285</v>
      </c>
      <c r="AN3985">
        <v>-116.686134</v>
      </c>
      <c r="AO3985">
        <v>25</v>
      </c>
      <c r="AP3985">
        <v>4900</v>
      </c>
      <c r="AQ3985" t="s">
        <v>129</v>
      </c>
      <c r="AR3985">
        <v>102</v>
      </c>
      <c r="AS3985">
        <v>-59</v>
      </c>
      <c r="AT3985">
        <v>704</v>
      </c>
      <c r="BB3985">
        <v>1200</v>
      </c>
      <c r="BC3985">
        <v>1</v>
      </c>
      <c r="BD3985" t="str">
        <f t="shared" si="1462"/>
        <v xml:space="preserve">N887QR  </v>
      </c>
      <c r="BE3985">
        <v>1</v>
      </c>
      <c r="BG3985">
        <v>0</v>
      </c>
      <c r="BH3985">
        <v>0</v>
      </c>
      <c r="BI3985">
        <v>0</v>
      </c>
      <c r="BJ3985">
        <v>4800</v>
      </c>
      <c r="BK3985">
        <v>-100</v>
      </c>
      <c r="BL3985" t="s">
        <v>163</v>
      </c>
      <c r="BM3985">
        <v>1</v>
      </c>
      <c r="BN3985">
        <v>1</v>
      </c>
      <c r="BO3985">
        <v>1</v>
      </c>
      <c r="BP3985">
        <v>0</v>
      </c>
      <c r="BS3985">
        <v>0</v>
      </c>
      <c r="BT3985">
        <v>0</v>
      </c>
      <c r="BU3985">
        <v>0</v>
      </c>
      <c r="CE3985" t="str">
        <f t="shared" si="1466"/>
        <v>19:36:13.749</v>
      </c>
      <c r="CF3985">
        <v>749222734</v>
      </c>
      <c r="CS3985">
        <v>0</v>
      </c>
      <c r="CT3985">
        <v>2</v>
      </c>
      <c r="CU3985">
        <v>0</v>
      </c>
      <c r="CV3985">
        <v>2</v>
      </c>
      <c r="CW3985">
        <v>0</v>
      </c>
      <c r="CX3985">
        <v>5</v>
      </c>
      <c r="CY3985">
        <v>7</v>
      </c>
      <c r="CZ3985" t="s">
        <v>131</v>
      </c>
      <c r="DA3985">
        <v>286</v>
      </c>
      <c r="DB3985">
        <v>0</v>
      </c>
      <c r="DC3985" t="s">
        <v>132</v>
      </c>
      <c r="DD3985" t="s">
        <v>133</v>
      </c>
      <c r="DG3985">
        <v>897367</v>
      </c>
      <c r="DI3985">
        <v>1</v>
      </c>
      <c r="DJ3985">
        <v>0</v>
      </c>
      <c r="DK3985">
        <v>1</v>
      </c>
      <c r="DL3985">
        <v>0</v>
      </c>
      <c r="DM3985">
        <v>0</v>
      </c>
      <c r="DN3985">
        <v>1</v>
      </c>
      <c r="DO3985">
        <v>0</v>
      </c>
      <c r="DP3985">
        <v>0</v>
      </c>
      <c r="DQ3985">
        <v>0</v>
      </c>
      <c r="DR3985">
        <v>0</v>
      </c>
      <c r="DS3985">
        <v>0</v>
      </c>
    </row>
    <row r="3986" spans="1:123" x14ac:dyDescent="0.3">
      <c r="A3986" t="str">
        <f>"10/04/2022 19:36:14.183"</f>
        <v>10/04/2022 19:36:14.183</v>
      </c>
      <c r="C3986" t="str">
        <f t="shared" si="1452"/>
        <v>FFDFD3C0</v>
      </c>
      <c r="D3986" t="s">
        <v>141</v>
      </c>
      <c r="E3986">
        <v>4</v>
      </c>
      <c r="H3986">
        <v>4</v>
      </c>
      <c r="I3986" t="s">
        <v>142</v>
      </c>
      <c r="J3986" t="s">
        <v>138</v>
      </c>
      <c r="K3986">
        <v>0</v>
      </c>
      <c r="L3986">
        <v>3</v>
      </c>
      <c r="M3986">
        <v>0</v>
      </c>
      <c r="N3986">
        <v>2</v>
      </c>
      <c r="O3986">
        <v>0</v>
      </c>
      <c r="P3986">
        <v>1</v>
      </c>
      <c r="Q3986">
        <v>0</v>
      </c>
      <c r="S3986" t="str">
        <f t="shared" si="1465"/>
        <v>19:36:13.000</v>
      </c>
      <c r="T3986" t="str">
        <f t="shared" si="1465"/>
        <v>19:36:13.000</v>
      </c>
      <c r="U3986" t="str">
        <f t="shared" si="1461"/>
        <v>AC3944</v>
      </c>
      <c r="V3986">
        <v>0</v>
      </c>
      <c r="W3986">
        <v>0</v>
      </c>
      <c r="X3986">
        <v>2</v>
      </c>
      <c r="Y3986">
        <v>0</v>
      </c>
      <c r="AA3986">
        <v>1</v>
      </c>
      <c r="AB3986">
        <v>8</v>
      </c>
      <c r="AC3986">
        <v>3</v>
      </c>
      <c r="AD3986">
        <v>0</v>
      </c>
      <c r="AE3986">
        <v>9</v>
      </c>
      <c r="AF3986" t="s">
        <v>138</v>
      </c>
      <c r="AG3986">
        <v>0</v>
      </c>
      <c r="AH3986">
        <v>3</v>
      </c>
      <c r="AI3986">
        <v>1</v>
      </c>
      <c r="AJ3986">
        <v>0</v>
      </c>
      <c r="AK3986" t="s">
        <v>1284</v>
      </c>
      <c r="AL3986">
        <v>32.734386999999998</v>
      </c>
      <c r="AM3986" t="s">
        <v>1285</v>
      </c>
      <c r="AN3986">
        <v>-116.686134</v>
      </c>
      <c r="AO3986">
        <v>25</v>
      </c>
      <c r="AP3986">
        <v>4900</v>
      </c>
      <c r="AQ3986" t="s">
        <v>129</v>
      </c>
      <c r="AR3986">
        <v>102</v>
      </c>
      <c r="AS3986">
        <v>-59</v>
      </c>
      <c r="AT3986">
        <v>704</v>
      </c>
      <c r="BB3986">
        <v>1200</v>
      </c>
      <c r="BC3986">
        <v>1</v>
      </c>
      <c r="BD3986" t="str">
        <f t="shared" si="1462"/>
        <v xml:space="preserve">N887QR  </v>
      </c>
      <c r="BE3986">
        <v>1</v>
      </c>
      <c r="BG3986">
        <v>0</v>
      </c>
      <c r="BH3986">
        <v>0</v>
      </c>
      <c r="BI3986">
        <v>0</v>
      </c>
      <c r="BJ3986">
        <v>4800</v>
      </c>
      <c r="BK3986">
        <v>-100</v>
      </c>
      <c r="BL3986" t="s">
        <v>163</v>
      </c>
      <c r="BM3986">
        <v>1</v>
      </c>
      <c r="BN3986">
        <v>1</v>
      </c>
      <c r="BO3986">
        <v>1</v>
      </c>
      <c r="BP3986">
        <v>0</v>
      </c>
      <c r="BS3986">
        <v>0</v>
      </c>
      <c r="BT3986">
        <v>0</v>
      </c>
      <c r="BU3986">
        <v>0</v>
      </c>
      <c r="CE3986" t="str">
        <f t="shared" si="1466"/>
        <v>19:36:13.749</v>
      </c>
      <c r="CF3986">
        <v>749222734</v>
      </c>
      <c r="CS3986">
        <v>0</v>
      </c>
      <c r="CT3986">
        <v>2</v>
      </c>
      <c r="CU3986">
        <v>0</v>
      </c>
      <c r="CV3986">
        <v>2</v>
      </c>
      <c r="CW3986">
        <v>0</v>
      </c>
      <c r="CX3986">
        <v>5</v>
      </c>
      <c r="CY3986">
        <v>7</v>
      </c>
      <c r="CZ3986" t="s">
        <v>131</v>
      </c>
      <c r="DA3986">
        <v>286</v>
      </c>
      <c r="DB3986">
        <v>0</v>
      </c>
      <c r="DC3986" t="s">
        <v>132</v>
      </c>
      <c r="DD3986" t="s">
        <v>133</v>
      </c>
      <c r="DG3986">
        <v>897367</v>
      </c>
      <c r="DI3986">
        <v>1</v>
      </c>
      <c r="DJ3986">
        <v>0</v>
      </c>
      <c r="DK3986">
        <v>1</v>
      </c>
      <c r="DL3986">
        <v>0</v>
      </c>
      <c r="DM3986">
        <v>0</v>
      </c>
      <c r="DN3986">
        <v>1</v>
      </c>
      <c r="DO3986">
        <v>0</v>
      </c>
      <c r="DP3986">
        <v>0</v>
      </c>
      <c r="DQ3986">
        <v>0</v>
      </c>
      <c r="DR3986">
        <v>0</v>
      </c>
      <c r="DS3986">
        <v>0</v>
      </c>
    </row>
    <row r="3987" spans="1:123" x14ac:dyDescent="0.3">
      <c r="A3987" t="str">
        <f>"10/04/2022 19:36:14.183"</f>
        <v>10/04/2022 19:36:14.183</v>
      </c>
      <c r="C3987" t="str">
        <f t="shared" si="1452"/>
        <v>FFDFD3C0</v>
      </c>
      <c r="D3987" t="s">
        <v>147</v>
      </c>
      <c r="E3987">
        <v>3</v>
      </c>
      <c r="H3987">
        <v>166</v>
      </c>
      <c r="I3987" t="s">
        <v>144</v>
      </c>
      <c r="J3987" t="s">
        <v>148</v>
      </c>
      <c r="K3987">
        <v>0</v>
      </c>
      <c r="L3987">
        <v>3</v>
      </c>
      <c r="M3987">
        <v>0</v>
      </c>
      <c r="N3987">
        <v>2</v>
      </c>
      <c r="O3987">
        <v>0</v>
      </c>
      <c r="P3987">
        <v>1</v>
      </c>
      <c r="Q3987">
        <v>0</v>
      </c>
      <c r="S3987" t="str">
        <f t="shared" si="1465"/>
        <v>19:36:13.000</v>
      </c>
      <c r="T3987" t="str">
        <f t="shared" si="1465"/>
        <v>19:36:13.000</v>
      </c>
      <c r="U3987" t="str">
        <f t="shared" si="1461"/>
        <v>AC3944</v>
      </c>
      <c r="V3987">
        <v>0</v>
      </c>
      <c r="W3987">
        <v>0</v>
      </c>
      <c r="X3987">
        <v>2</v>
      </c>
      <c r="Y3987">
        <v>0</v>
      </c>
      <c r="AA3987">
        <v>1</v>
      </c>
      <c r="AB3987">
        <v>8</v>
      </c>
      <c r="AC3987">
        <v>3</v>
      </c>
      <c r="AD3987">
        <v>0</v>
      </c>
      <c r="AE3987">
        <v>9</v>
      </c>
      <c r="AF3987" t="s">
        <v>138</v>
      </c>
      <c r="AG3987">
        <v>0</v>
      </c>
      <c r="AH3987">
        <v>3</v>
      </c>
      <c r="AI3987">
        <v>1</v>
      </c>
      <c r="AJ3987">
        <v>0</v>
      </c>
      <c r="AK3987" t="s">
        <v>1284</v>
      </c>
      <c r="AL3987">
        <v>32.734386999999998</v>
      </c>
      <c r="AM3987" t="s">
        <v>1285</v>
      </c>
      <c r="AN3987">
        <v>-116.686134</v>
      </c>
      <c r="AO3987">
        <v>25</v>
      </c>
      <c r="AP3987">
        <v>4900</v>
      </c>
      <c r="AQ3987" t="s">
        <v>129</v>
      </c>
      <c r="AR3987">
        <v>102</v>
      </c>
      <c r="AS3987">
        <v>-59</v>
      </c>
      <c r="AT3987">
        <v>704</v>
      </c>
      <c r="BB3987">
        <v>1200</v>
      </c>
      <c r="BC3987">
        <v>1</v>
      </c>
      <c r="BD3987" t="str">
        <f t="shared" si="1462"/>
        <v xml:space="preserve">N887QR  </v>
      </c>
      <c r="BE3987">
        <v>1</v>
      </c>
      <c r="BG3987">
        <v>0</v>
      </c>
      <c r="BH3987">
        <v>0</v>
      </c>
      <c r="BI3987">
        <v>0</v>
      </c>
      <c r="BJ3987">
        <v>4800</v>
      </c>
      <c r="BK3987">
        <v>-100</v>
      </c>
      <c r="BL3987" t="s">
        <v>163</v>
      </c>
      <c r="BM3987">
        <v>1</v>
      </c>
      <c r="BN3987">
        <v>1</v>
      </c>
      <c r="BO3987">
        <v>1</v>
      </c>
      <c r="BP3987">
        <v>0</v>
      </c>
      <c r="BS3987">
        <v>0</v>
      </c>
      <c r="BT3987">
        <v>0</v>
      </c>
      <c r="BU3987">
        <v>0</v>
      </c>
      <c r="CE3987" t="str">
        <f t="shared" si="1466"/>
        <v>19:36:13.749</v>
      </c>
      <c r="CF3987">
        <v>749222734</v>
      </c>
      <c r="CS3987">
        <v>0</v>
      </c>
      <c r="CT3987">
        <v>2</v>
      </c>
      <c r="CU3987">
        <v>0</v>
      </c>
      <c r="CV3987">
        <v>2</v>
      </c>
      <c r="CW3987">
        <v>0</v>
      </c>
      <c r="CX3987">
        <v>5</v>
      </c>
      <c r="CY3987">
        <v>7</v>
      </c>
      <c r="CZ3987" t="s">
        <v>131</v>
      </c>
      <c r="DA3987">
        <v>286</v>
      </c>
      <c r="DB3987">
        <v>0</v>
      </c>
      <c r="DC3987" t="s">
        <v>132</v>
      </c>
      <c r="DD3987" t="s">
        <v>133</v>
      </c>
      <c r="DG3987">
        <v>897367</v>
      </c>
      <c r="DI3987">
        <v>1</v>
      </c>
      <c r="DJ3987">
        <v>0</v>
      </c>
      <c r="DK3987">
        <v>1</v>
      </c>
      <c r="DL3987">
        <v>0</v>
      </c>
      <c r="DM3987">
        <v>0</v>
      </c>
      <c r="DN3987">
        <v>1</v>
      </c>
      <c r="DO3987">
        <v>0</v>
      </c>
      <c r="DP3987">
        <v>0</v>
      </c>
      <c r="DQ3987">
        <v>0</v>
      </c>
      <c r="DR3987">
        <v>0</v>
      </c>
      <c r="DS3987">
        <v>0</v>
      </c>
    </row>
    <row r="3988" spans="1:123" x14ac:dyDescent="0.3">
      <c r="A3988" t="str">
        <f>"10/04/2022 19:36:14.183"</f>
        <v>10/04/2022 19:36:14.183</v>
      </c>
      <c r="C3988" t="str">
        <f t="shared" si="1452"/>
        <v>FFDFD3C0</v>
      </c>
      <c r="D3988" t="s">
        <v>141</v>
      </c>
      <c r="E3988">
        <v>3</v>
      </c>
      <c r="H3988">
        <v>3</v>
      </c>
      <c r="I3988" t="s">
        <v>146</v>
      </c>
      <c r="J3988" t="s">
        <v>138</v>
      </c>
      <c r="K3988">
        <v>0</v>
      </c>
      <c r="L3988">
        <v>3</v>
      </c>
      <c r="M3988">
        <v>0</v>
      </c>
      <c r="N3988">
        <v>2</v>
      </c>
      <c r="O3988">
        <v>0</v>
      </c>
      <c r="P3988">
        <v>1</v>
      </c>
      <c r="Q3988">
        <v>0</v>
      </c>
      <c r="S3988" t="str">
        <f t="shared" si="1465"/>
        <v>19:36:13.000</v>
      </c>
      <c r="T3988" t="str">
        <f t="shared" si="1465"/>
        <v>19:36:13.000</v>
      </c>
      <c r="U3988" t="str">
        <f t="shared" si="1461"/>
        <v>AC3944</v>
      </c>
      <c r="V3988">
        <v>0</v>
      </c>
      <c r="W3988">
        <v>0</v>
      </c>
      <c r="X3988">
        <v>2</v>
      </c>
      <c r="Y3988">
        <v>0</v>
      </c>
      <c r="AA3988">
        <v>1</v>
      </c>
      <c r="AB3988">
        <v>8</v>
      </c>
      <c r="AC3988">
        <v>3</v>
      </c>
      <c r="AD3988">
        <v>0</v>
      </c>
      <c r="AE3988">
        <v>9</v>
      </c>
      <c r="AF3988" t="s">
        <v>138</v>
      </c>
      <c r="AG3988">
        <v>0</v>
      </c>
      <c r="AH3988">
        <v>3</v>
      </c>
      <c r="AI3988">
        <v>1</v>
      </c>
      <c r="AJ3988">
        <v>0</v>
      </c>
      <c r="AK3988" t="s">
        <v>1284</v>
      </c>
      <c r="AL3988">
        <v>32.734386999999998</v>
      </c>
      <c r="AM3988" t="s">
        <v>1285</v>
      </c>
      <c r="AN3988">
        <v>-116.686134</v>
      </c>
      <c r="AO3988">
        <v>25</v>
      </c>
      <c r="AP3988">
        <v>4900</v>
      </c>
      <c r="AQ3988" t="s">
        <v>129</v>
      </c>
      <c r="AR3988">
        <v>102</v>
      </c>
      <c r="AS3988">
        <v>-59</v>
      </c>
      <c r="AT3988">
        <v>704</v>
      </c>
      <c r="BB3988">
        <v>1200</v>
      </c>
      <c r="BC3988">
        <v>1</v>
      </c>
      <c r="BD3988" t="str">
        <f t="shared" si="1462"/>
        <v xml:space="preserve">N887QR  </v>
      </c>
      <c r="BE3988">
        <v>1</v>
      </c>
      <c r="BG3988">
        <v>0</v>
      </c>
      <c r="BH3988">
        <v>0</v>
      </c>
      <c r="BI3988">
        <v>0</v>
      </c>
      <c r="BJ3988">
        <v>4800</v>
      </c>
      <c r="BK3988">
        <v>-100</v>
      </c>
      <c r="BL3988" t="s">
        <v>163</v>
      </c>
      <c r="BM3988">
        <v>1</v>
      </c>
      <c r="BN3988">
        <v>1</v>
      </c>
      <c r="BO3988">
        <v>1</v>
      </c>
      <c r="BP3988">
        <v>0</v>
      </c>
      <c r="BS3988">
        <v>0</v>
      </c>
      <c r="BT3988">
        <v>0</v>
      </c>
      <c r="BU3988">
        <v>0</v>
      </c>
      <c r="CE3988" t="str">
        <f t="shared" si="1466"/>
        <v>19:36:13.749</v>
      </c>
      <c r="CF3988">
        <v>749222734</v>
      </c>
      <c r="CS3988">
        <v>0</v>
      </c>
      <c r="CT3988">
        <v>2</v>
      </c>
      <c r="CU3988">
        <v>0</v>
      </c>
      <c r="CV3988">
        <v>2</v>
      </c>
      <c r="CW3988">
        <v>0</v>
      </c>
      <c r="CX3988">
        <v>5</v>
      </c>
      <c r="CY3988">
        <v>7</v>
      </c>
      <c r="CZ3988" t="s">
        <v>131</v>
      </c>
      <c r="DA3988">
        <v>286</v>
      </c>
      <c r="DB3988">
        <v>0</v>
      </c>
      <c r="DC3988" t="s">
        <v>132</v>
      </c>
      <c r="DD3988" t="s">
        <v>133</v>
      </c>
      <c r="DG3988">
        <v>897367</v>
      </c>
      <c r="DI3988">
        <v>1</v>
      </c>
      <c r="DJ3988">
        <v>0</v>
      </c>
      <c r="DK3988">
        <v>1</v>
      </c>
      <c r="DL3988">
        <v>0</v>
      </c>
      <c r="DM3988">
        <v>0</v>
      </c>
      <c r="DN3988">
        <v>1</v>
      </c>
      <c r="DO3988">
        <v>0</v>
      </c>
      <c r="DP3988">
        <v>0</v>
      </c>
      <c r="DQ3988">
        <v>0</v>
      </c>
      <c r="DR3988">
        <v>0</v>
      </c>
      <c r="DS3988">
        <v>0</v>
      </c>
    </row>
    <row r="3989" spans="1:123" x14ac:dyDescent="0.3">
      <c r="A3989" t="str">
        <f>"10/04/2022 19:36:15.168"</f>
        <v>10/04/2022 19:36:15.168</v>
      </c>
      <c r="C3989" t="str">
        <f t="shared" si="1452"/>
        <v>FFDFD3C0</v>
      </c>
      <c r="D3989" t="s">
        <v>134</v>
      </c>
      <c r="E3989">
        <v>15</v>
      </c>
      <c r="J3989" t="s">
        <v>135</v>
      </c>
      <c r="K3989">
        <v>0</v>
      </c>
      <c r="L3989">
        <v>3</v>
      </c>
      <c r="M3989">
        <v>0</v>
      </c>
      <c r="N3989">
        <v>2</v>
      </c>
      <c r="O3989">
        <v>0</v>
      </c>
      <c r="P3989">
        <v>1</v>
      </c>
      <c r="Q3989">
        <v>0</v>
      </c>
      <c r="S3989" t="str">
        <f t="shared" ref="S3989:T3991" si="1467">"19:36:14.000"</f>
        <v>19:36:14.000</v>
      </c>
      <c r="T3989" t="str">
        <f t="shared" si="1467"/>
        <v>19:36:14.000</v>
      </c>
      <c r="U3989" t="str">
        <f t="shared" si="1461"/>
        <v>AC3944</v>
      </c>
      <c r="V3989">
        <v>0</v>
      </c>
      <c r="W3989">
        <v>0</v>
      </c>
      <c r="X3989">
        <v>2</v>
      </c>
      <c r="Y3989">
        <v>0</v>
      </c>
      <c r="AA3989">
        <v>1</v>
      </c>
      <c r="AB3989">
        <v>8</v>
      </c>
      <c r="AC3989">
        <v>3</v>
      </c>
      <c r="AD3989">
        <v>0</v>
      </c>
      <c r="AE3989">
        <v>9</v>
      </c>
      <c r="AF3989" t="s">
        <v>138</v>
      </c>
      <c r="AG3989">
        <v>0</v>
      </c>
      <c r="AH3989">
        <v>3</v>
      </c>
      <c r="AI3989">
        <v>1</v>
      </c>
      <c r="AJ3989">
        <v>0</v>
      </c>
      <c r="AK3989" t="s">
        <v>1286</v>
      </c>
      <c r="AL3989">
        <v>32.734065000000001</v>
      </c>
      <c r="AM3989" t="s">
        <v>1287</v>
      </c>
      <c r="AN3989">
        <v>-116.685469</v>
      </c>
      <c r="AO3989">
        <v>25</v>
      </c>
      <c r="AP3989">
        <v>5000</v>
      </c>
      <c r="AQ3989" t="s">
        <v>129</v>
      </c>
      <c r="AR3989">
        <v>103</v>
      </c>
      <c r="AS3989">
        <v>-60</v>
      </c>
      <c r="AT3989">
        <v>768</v>
      </c>
      <c r="BB3989">
        <v>1200</v>
      </c>
      <c r="BC3989">
        <v>1</v>
      </c>
      <c r="BD3989" t="str">
        <f t="shared" si="1462"/>
        <v xml:space="preserve">N887QR  </v>
      </c>
      <c r="BE3989">
        <v>1</v>
      </c>
      <c r="BG3989">
        <v>0</v>
      </c>
      <c r="BH3989">
        <v>0</v>
      </c>
      <c r="BI3989">
        <v>0</v>
      </c>
      <c r="BJ3989">
        <v>4825</v>
      </c>
      <c r="BK3989">
        <v>-175</v>
      </c>
      <c r="BL3989" t="s">
        <v>163</v>
      </c>
      <c r="BM3989">
        <v>1</v>
      </c>
      <c r="BN3989">
        <v>1</v>
      </c>
      <c r="BO3989">
        <v>1</v>
      </c>
      <c r="BP3989">
        <v>0</v>
      </c>
      <c r="BS3989">
        <v>0</v>
      </c>
      <c r="BT3989">
        <v>0</v>
      </c>
      <c r="BU3989">
        <v>0</v>
      </c>
      <c r="CE3989" t="str">
        <f>"19:36:14.801"</f>
        <v>19:36:14.801</v>
      </c>
      <c r="CF3989">
        <v>800789613</v>
      </c>
      <c r="CS3989">
        <v>0</v>
      </c>
      <c r="CT3989">
        <v>2</v>
      </c>
      <c r="CU3989">
        <v>0</v>
      </c>
      <c r="CV3989">
        <v>2</v>
      </c>
      <c r="CW3989">
        <v>0</v>
      </c>
      <c r="CX3989">
        <v>5</v>
      </c>
      <c r="CY3989">
        <v>7</v>
      </c>
      <c r="CZ3989" t="s">
        <v>131</v>
      </c>
      <c r="DA3989">
        <v>300</v>
      </c>
      <c r="DB3989">
        <v>0</v>
      </c>
      <c r="DC3989" t="s">
        <v>176</v>
      </c>
      <c r="DD3989" t="s">
        <v>177</v>
      </c>
      <c r="DG3989">
        <v>5452363</v>
      </c>
      <c r="DI3989">
        <v>1</v>
      </c>
      <c r="DJ3989">
        <v>0</v>
      </c>
      <c r="DK3989">
        <v>0</v>
      </c>
      <c r="DL3989">
        <v>0</v>
      </c>
      <c r="DM3989">
        <v>0</v>
      </c>
      <c r="DN3989">
        <v>1</v>
      </c>
      <c r="DO3989">
        <v>0</v>
      </c>
      <c r="DP3989">
        <v>0</v>
      </c>
      <c r="DQ3989">
        <v>0</v>
      </c>
      <c r="DR3989">
        <v>0</v>
      </c>
      <c r="DS3989">
        <v>0</v>
      </c>
    </row>
    <row r="3990" spans="1:123" x14ac:dyDescent="0.3">
      <c r="A3990" t="str">
        <f>"10/04/2022 19:36:15.168"</f>
        <v>10/04/2022 19:36:15.168</v>
      </c>
      <c r="C3990" t="str">
        <f t="shared" si="1452"/>
        <v>FFDFD3C0</v>
      </c>
      <c r="D3990" t="s">
        <v>136</v>
      </c>
      <c r="E3990">
        <v>8</v>
      </c>
      <c r="H3990">
        <v>225</v>
      </c>
      <c r="I3990" t="s">
        <v>137</v>
      </c>
      <c r="J3990" t="s">
        <v>138</v>
      </c>
      <c r="K3990">
        <v>0</v>
      </c>
      <c r="L3990">
        <v>3</v>
      </c>
      <c r="M3990">
        <v>0</v>
      </c>
      <c r="N3990">
        <v>2</v>
      </c>
      <c r="O3990">
        <v>0</v>
      </c>
      <c r="P3990">
        <v>1</v>
      </c>
      <c r="Q3990">
        <v>0</v>
      </c>
      <c r="S3990" t="str">
        <f t="shared" si="1467"/>
        <v>19:36:14.000</v>
      </c>
      <c r="T3990" t="str">
        <f t="shared" si="1467"/>
        <v>19:36:14.000</v>
      </c>
      <c r="U3990" t="str">
        <f t="shared" si="1461"/>
        <v>AC3944</v>
      </c>
      <c r="V3990">
        <v>0</v>
      </c>
      <c r="W3990">
        <v>0</v>
      </c>
      <c r="X3990">
        <v>2</v>
      </c>
      <c r="Y3990">
        <v>0</v>
      </c>
      <c r="AA3990">
        <v>1</v>
      </c>
      <c r="AB3990">
        <v>8</v>
      </c>
      <c r="AC3990">
        <v>3</v>
      </c>
      <c r="AD3990">
        <v>0</v>
      </c>
      <c r="AE3990">
        <v>9</v>
      </c>
      <c r="AF3990" t="s">
        <v>138</v>
      </c>
      <c r="AG3990">
        <v>0</v>
      </c>
      <c r="AH3990">
        <v>3</v>
      </c>
      <c r="AI3990">
        <v>1</v>
      </c>
      <c r="AJ3990">
        <v>0</v>
      </c>
      <c r="AK3990" t="s">
        <v>1286</v>
      </c>
      <c r="AL3990">
        <v>32.734065000000001</v>
      </c>
      <c r="AM3990" t="s">
        <v>1287</v>
      </c>
      <c r="AN3990">
        <v>-116.685469</v>
      </c>
      <c r="AO3990">
        <v>25</v>
      </c>
      <c r="AP3990">
        <v>5000</v>
      </c>
      <c r="AQ3990" t="s">
        <v>129</v>
      </c>
      <c r="AR3990">
        <v>103</v>
      </c>
      <c r="AS3990">
        <v>-60</v>
      </c>
      <c r="AT3990">
        <v>768</v>
      </c>
      <c r="BB3990">
        <v>1200</v>
      </c>
      <c r="BC3990">
        <v>1</v>
      </c>
      <c r="BD3990" t="str">
        <f t="shared" si="1462"/>
        <v xml:space="preserve">N887QR  </v>
      </c>
      <c r="BE3990">
        <v>1</v>
      </c>
      <c r="BG3990">
        <v>0</v>
      </c>
      <c r="BH3990">
        <v>0</v>
      </c>
      <c r="BI3990">
        <v>0</v>
      </c>
      <c r="BJ3990">
        <v>4825</v>
      </c>
      <c r="BK3990">
        <v>-175</v>
      </c>
      <c r="BL3990" t="s">
        <v>163</v>
      </c>
      <c r="BM3990">
        <v>1</v>
      </c>
      <c r="BN3990">
        <v>1</v>
      </c>
      <c r="BO3990">
        <v>1</v>
      </c>
      <c r="BP3990">
        <v>0</v>
      </c>
      <c r="BS3990">
        <v>0</v>
      </c>
      <c r="BT3990">
        <v>0</v>
      </c>
      <c r="BU3990">
        <v>0</v>
      </c>
      <c r="CE3990" t="str">
        <f>"19:36:14.801"</f>
        <v>19:36:14.801</v>
      </c>
      <c r="CF3990">
        <v>800789613</v>
      </c>
      <c r="CS3990">
        <v>0</v>
      </c>
      <c r="CT3990">
        <v>2</v>
      </c>
      <c r="CU3990">
        <v>0</v>
      </c>
      <c r="CV3990">
        <v>2</v>
      </c>
      <c r="CW3990">
        <v>0</v>
      </c>
      <c r="CX3990">
        <v>5</v>
      </c>
      <c r="CY3990">
        <v>7</v>
      </c>
      <c r="CZ3990" t="s">
        <v>131</v>
      </c>
      <c r="DA3990">
        <v>300</v>
      </c>
      <c r="DB3990">
        <v>0</v>
      </c>
      <c r="DC3990" t="s">
        <v>176</v>
      </c>
      <c r="DD3990" t="s">
        <v>177</v>
      </c>
      <c r="DG3990">
        <v>5452363</v>
      </c>
      <c r="DI3990">
        <v>1</v>
      </c>
      <c r="DJ3990">
        <v>0</v>
      </c>
      <c r="DK3990">
        <v>1</v>
      </c>
      <c r="DL3990">
        <v>0</v>
      </c>
      <c r="DM3990">
        <v>0</v>
      </c>
      <c r="DN3990">
        <v>1</v>
      </c>
      <c r="DO3990">
        <v>0</v>
      </c>
      <c r="DP3990">
        <v>0</v>
      </c>
      <c r="DQ3990">
        <v>0</v>
      </c>
      <c r="DR3990">
        <v>0</v>
      </c>
      <c r="DS3990">
        <v>0</v>
      </c>
    </row>
    <row r="3991" spans="1:123" x14ac:dyDescent="0.3">
      <c r="A3991" t="str">
        <f>"10/04/2022 19:36:15.168"</f>
        <v>10/04/2022 19:36:15.168</v>
      </c>
      <c r="C3991" t="str">
        <f t="shared" si="1452"/>
        <v>FFDFD3C0</v>
      </c>
      <c r="D3991" t="s">
        <v>143</v>
      </c>
      <c r="E3991">
        <v>20</v>
      </c>
      <c r="F3991">
        <v>1020</v>
      </c>
      <c r="G3991" t="s">
        <v>144</v>
      </c>
      <c r="J3991" t="s">
        <v>145</v>
      </c>
      <c r="K3991">
        <v>0</v>
      </c>
      <c r="L3991">
        <v>3</v>
      </c>
      <c r="M3991">
        <v>0</v>
      </c>
      <c r="N3991">
        <v>2</v>
      </c>
      <c r="O3991">
        <v>0</v>
      </c>
      <c r="P3991">
        <v>1</v>
      </c>
      <c r="Q3991">
        <v>0</v>
      </c>
      <c r="S3991" t="str">
        <f t="shared" si="1467"/>
        <v>19:36:14.000</v>
      </c>
      <c r="T3991" t="str">
        <f t="shared" si="1467"/>
        <v>19:36:14.000</v>
      </c>
      <c r="U3991" t="str">
        <f t="shared" si="1461"/>
        <v>AC3944</v>
      </c>
      <c r="V3991">
        <v>0</v>
      </c>
      <c r="W3991">
        <v>0</v>
      </c>
      <c r="X3991">
        <v>2</v>
      </c>
      <c r="Y3991">
        <v>0</v>
      </c>
      <c r="AA3991">
        <v>1</v>
      </c>
      <c r="AB3991">
        <v>8</v>
      </c>
      <c r="AC3991">
        <v>3</v>
      </c>
      <c r="AD3991">
        <v>0</v>
      </c>
      <c r="AE3991">
        <v>9</v>
      </c>
      <c r="AF3991" t="s">
        <v>138</v>
      </c>
      <c r="AG3991">
        <v>0</v>
      </c>
      <c r="AH3991">
        <v>3</v>
      </c>
      <c r="AI3991">
        <v>1</v>
      </c>
      <c r="AJ3991">
        <v>0</v>
      </c>
      <c r="AK3991" t="s">
        <v>1286</v>
      </c>
      <c r="AL3991">
        <v>32.734065000000001</v>
      </c>
      <c r="AM3991" t="s">
        <v>1287</v>
      </c>
      <c r="AN3991">
        <v>-116.685469</v>
      </c>
      <c r="AO3991">
        <v>25</v>
      </c>
      <c r="AP3991">
        <v>5000</v>
      </c>
      <c r="AQ3991" t="s">
        <v>129</v>
      </c>
      <c r="AR3991">
        <v>103</v>
      </c>
      <c r="AS3991">
        <v>-60</v>
      </c>
      <c r="AT3991">
        <v>768</v>
      </c>
      <c r="BB3991">
        <v>1200</v>
      </c>
      <c r="BC3991">
        <v>1</v>
      </c>
      <c r="BD3991" t="str">
        <f t="shared" si="1462"/>
        <v xml:space="preserve">N887QR  </v>
      </c>
      <c r="BE3991">
        <v>1</v>
      </c>
      <c r="BG3991">
        <v>0</v>
      </c>
      <c r="BH3991">
        <v>0</v>
      </c>
      <c r="BI3991">
        <v>0</v>
      </c>
      <c r="BJ3991">
        <v>4825</v>
      </c>
      <c r="BK3991">
        <v>-175</v>
      </c>
      <c r="BL3991" t="s">
        <v>163</v>
      </c>
      <c r="BM3991">
        <v>1</v>
      </c>
      <c r="BN3991">
        <v>1</v>
      </c>
      <c r="BO3991">
        <v>1</v>
      </c>
      <c r="BP3991">
        <v>0</v>
      </c>
      <c r="BS3991">
        <v>0</v>
      </c>
      <c r="BT3991">
        <v>0</v>
      </c>
      <c r="BU3991">
        <v>0</v>
      </c>
      <c r="CE3991" t="str">
        <f>"19:36:14.801"</f>
        <v>19:36:14.801</v>
      </c>
      <c r="CF3991">
        <v>800789613</v>
      </c>
      <c r="CS3991">
        <v>0</v>
      </c>
      <c r="CT3991">
        <v>2</v>
      </c>
      <c r="CU3991">
        <v>0</v>
      </c>
      <c r="CV3991">
        <v>2</v>
      </c>
      <c r="CW3991">
        <v>0</v>
      </c>
      <c r="CX3991">
        <v>5</v>
      </c>
      <c r="CY3991">
        <v>7</v>
      </c>
      <c r="CZ3991" t="s">
        <v>131</v>
      </c>
      <c r="DA3991">
        <v>300</v>
      </c>
      <c r="DB3991">
        <v>0</v>
      </c>
      <c r="DC3991" t="s">
        <v>176</v>
      </c>
      <c r="DD3991" t="s">
        <v>177</v>
      </c>
      <c r="DG3991">
        <v>5452363</v>
      </c>
      <c r="DI3991">
        <v>1</v>
      </c>
      <c r="DJ3991">
        <v>0</v>
      </c>
      <c r="DK3991">
        <v>1</v>
      </c>
      <c r="DL3991">
        <v>0</v>
      </c>
      <c r="DM3991">
        <v>0</v>
      </c>
      <c r="DN3991">
        <v>1</v>
      </c>
      <c r="DO3991">
        <v>0</v>
      </c>
      <c r="DP3991">
        <v>0</v>
      </c>
      <c r="DQ3991">
        <v>0</v>
      </c>
      <c r="DR3991">
        <v>0</v>
      </c>
      <c r="DS3991">
        <v>0</v>
      </c>
    </row>
    <row r="3992" spans="1:123" x14ac:dyDescent="0.3">
      <c r="A3992" t="str">
        <f>"10/04/2022 19:36:17.479"</f>
        <v>10/04/2022 19:36:17.479</v>
      </c>
      <c r="C3992" t="str">
        <f t="shared" si="1452"/>
        <v>FFDFD3C0</v>
      </c>
      <c r="D3992" t="s">
        <v>123</v>
      </c>
      <c r="E3992">
        <v>7</v>
      </c>
      <c r="F3992">
        <v>2007</v>
      </c>
      <c r="G3992" t="s">
        <v>124</v>
      </c>
      <c r="J3992" t="s">
        <v>125</v>
      </c>
      <c r="K3992">
        <v>0</v>
      </c>
      <c r="L3992">
        <v>3</v>
      </c>
      <c r="M3992">
        <v>0</v>
      </c>
      <c r="N3992">
        <v>2</v>
      </c>
      <c r="O3992">
        <v>0</v>
      </c>
      <c r="P3992">
        <v>1</v>
      </c>
      <c r="Q3992">
        <v>0</v>
      </c>
      <c r="S3992" t="str">
        <f t="shared" ref="S3992:T3998" si="1468">"19:36:17.000"</f>
        <v>19:36:17.000</v>
      </c>
      <c r="T3992" t="str">
        <f t="shared" si="1468"/>
        <v>19:36:17.000</v>
      </c>
      <c r="U3992" t="str">
        <f t="shared" si="1461"/>
        <v>AC3944</v>
      </c>
      <c r="V3992">
        <v>0</v>
      </c>
      <c r="W3992">
        <v>0</v>
      </c>
      <c r="X3992">
        <v>2</v>
      </c>
      <c r="Y3992">
        <v>0</v>
      </c>
      <c r="AA3992">
        <v>1</v>
      </c>
      <c r="AB3992">
        <v>8</v>
      </c>
      <c r="AC3992">
        <v>3</v>
      </c>
      <c r="AD3992">
        <v>0</v>
      </c>
      <c r="AE3992">
        <v>9</v>
      </c>
      <c r="AF3992" t="s">
        <v>138</v>
      </c>
      <c r="AG3992">
        <v>0</v>
      </c>
      <c r="AH3992">
        <v>3</v>
      </c>
      <c r="AI3992">
        <v>1</v>
      </c>
      <c r="AJ3992">
        <v>0</v>
      </c>
      <c r="AK3992" t="s">
        <v>1288</v>
      </c>
      <c r="AL3992">
        <v>32.733507000000003</v>
      </c>
      <c r="AM3992" t="s">
        <v>1289</v>
      </c>
      <c r="AN3992">
        <v>-116.684332</v>
      </c>
      <c r="AO3992">
        <v>25</v>
      </c>
      <c r="AP3992">
        <v>5000</v>
      </c>
      <c r="AQ3992" t="s">
        <v>129</v>
      </c>
      <c r="AR3992">
        <v>105</v>
      </c>
      <c r="AS3992">
        <v>-60</v>
      </c>
      <c r="AT3992">
        <v>768</v>
      </c>
      <c r="BB3992">
        <v>1200</v>
      </c>
      <c r="BC3992">
        <v>1</v>
      </c>
      <c r="BD3992" t="str">
        <f t="shared" si="1462"/>
        <v xml:space="preserve">N887QR  </v>
      </c>
      <c r="BE3992">
        <v>1</v>
      </c>
      <c r="BG3992">
        <v>0</v>
      </c>
      <c r="BH3992">
        <v>0</v>
      </c>
      <c r="BI3992">
        <v>0</v>
      </c>
      <c r="BJ3992">
        <v>4825</v>
      </c>
      <c r="BK3992">
        <v>-175</v>
      </c>
      <c r="BL3992" t="s">
        <v>163</v>
      </c>
      <c r="BM3992">
        <v>1</v>
      </c>
      <c r="BN3992">
        <v>1</v>
      </c>
      <c r="BO3992">
        <v>1</v>
      </c>
      <c r="BP3992">
        <v>0</v>
      </c>
      <c r="BS3992">
        <v>0</v>
      </c>
      <c r="BT3992">
        <v>0</v>
      </c>
      <c r="BU3992">
        <v>0</v>
      </c>
      <c r="CE3992" t="str">
        <f t="shared" ref="CE3992:CE3998" si="1469">"19:36:17.240"</f>
        <v>19:36:17.240</v>
      </c>
      <c r="CF3992">
        <v>240234070</v>
      </c>
      <c r="CS3992">
        <v>0</v>
      </c>
      <c r="CT3992">
        <v>2</v>
      </c>
      <c r="CU3992">
        <v>0</v>
      </c>
      <c r="CV3992">
        <v>2</v>
      </c>
      <c r="CW3992">
        <v>0</v>
      </c>
      <c r="CX3992">
        <v>6</v>
      </c>
      <c r="CY3992">
        <v>7</v>
      </c>
      <c r="CZ3992" t="s">
        <v>131</v>
      </c>
      <c r="DA3992">
        <v>286</v>
      </c>
      <c r="DB3992">
        <v>0</v>
      </c>
      <c r="DC3992" t="s">
        <v>132</v>
      </c>
      <c r="DD3992" t="s">
        <v>133</v>
      </c>
      <c r="DG3992">
        <v>898121</v>
      </c>
      <c r="DI3992">
        <v>1</v>
      </c>
      <c r="DJ3992">
        <v>0</v>
      </c>
      <c r="DK3992">
        <v>0</v>
      </c>
      <c r="DL3992">
        <v>0</v>
      </c>
      <c r="DM3992">
        <v>0</v>
      </c>
      <c r="DN3992">
        <v>1</v>
      </c>
      <c r="DO3992">
        <v>0</v>
      </c>
      <c r="DP3992">
        <v>0</v>
      </c>
      <c r="DQ3992">
        <v>0</v>
      </c>
      <c r="DR3992">
        <v>0</v>
      </c>
      <c r="DS3992">
        <v>0</v>
      </c>
    </row>
    <row r="3993" spans="1:123" x14ac:dyDescent="0.3">
      <c r="A3993" t="str">
        <f>"10/04/2022 19:36:17.479"</f>
        <v>10/04/2022 19:36:17.479</v>
      </c>
      <c r="C3993" t="str">
        <f t="shared" si="1452"/>
        <v>FFDFD3C0</v>
      </c>
      <c r="D3993" t="s">
        <v>141</v>
      </c>
      <c r="E3993">
        <v>4</v>
      </c>
      <c r="H3993">
        <v>4</v>
      </c>
      <c r="I3993" t="s">
        <v>142</v>
      </c>
      <c r="J3993" t="s">
        <v>138</v>
      </c>
      <c r="K3993">
        <v>0</v>
      </c>
      <c r="L3993">
        <v>3</v>
      </c>
      <c r="M3993">
        <v>0</v>
      </c>
      <c r="N3993">
        <v>2</v>
      </c>
      <c r="O3993">
        <v>0</v>
      </c>
      <c r="P3993">
        <v>1</v>
      </c>
      <c r="Q3993">
        <v>0</v>
      </c>
      <c r="S3993" t="str">
        <f t="shared" si="1468"/>
        <v>19:36:17.000</v>
      </c>
      <c r="T3993" t="str">
        <f t="shared" si="1468"/>
        <v>19:36:17.000</v>
      </c>
      <c r="U3993" t="str">
        <f t="shared" si="1461"/>
        <v>AC3944</v>
      </c>
      <c r="V3993">
        <v>0</v>
      </c>
      <c r="W3993">
        <v>0</v>
      </c>
      <c r="X3993">
        <v>2</v>
      </c>
      <c r="Y3993">
        <v>0</v>
      </c>
      <c r="AA3993">
        <v>1</v>
      </c>
      <c r="AB3993">
        <v>8</v>
      </c>
      <c r="AC3993">
        <v>3</v>
      </c>
      <c r="AD3993">
        <v>0</v>
      </c>
      <c r="AE3993">
        <v>9</v>
      </c>
      <c r="AF3993" t="s">
        <v>138</v>
      </c>
      <c r="AG3993">
        <v>0</v>
      </c>
      <c r="AH3993">
        <v>3</v>
      </c>
      <c r="AI3993">
        <v>1</v>
      </c>
      <c r="AJ3993">
        <v>0</v>
      </c>
      <c r="AK3993" t="s">
        <v>1288</v>
      </c>
      <c r="AL3993">
        <v>32.733507000000003</v>
      </c>
      <c r="AM3993" t="s">
        <v>1289</v>
      </c>
      <c r="AN3993">
        <v>-116.684332</v>
      </c>
      <c r="AO3993">
        <v>25</v>
      </c>
      <c r="AP3993">
        <v>5000</v>
      </c>
      <c r="AQ3993" t="s">
        <v>129</v>
      </c>
      <c r="AR3993">
        <v>105</v>
      </c>
      <c r="AS3993">
        <v>-60</v>
      </c>
      <c r="AT3993">
        <v>768</v>
      </c>
      <c r="BB3993">
        <v>1200</v>
      </c>
      <c r="BC3993">
        <v>1</v>
      </c>
      <c r="BD3993" t="str">
        <f t="shared" si="1462"/>
        <v xml:space="preserve">N887QR  </v>
      </c>
      <c r="BE3993">
        <v>1</v>
      </c>
      <c r="BG3993">
        <v>0</v>
      </c>
      <c r="BH3993">
        <v>0</v>
      </c>
      <c r="BI3993">
        <v>0</v>
      </c>
      <c r="BJ3993">
        <v>4825</v>
      </c>
      <c r="BK3993">
        <v>-175</v>
      </c>
      <c r="BL3993" t="s">
        <v>163</v>
      </c>
      <c r="BM3993">
        <v>1</v>
      </c>
      <c r="BN3993">
        <v>1</v>
      </c>
      <c r="BO3993">
        <v>1</v>
      </c>
      <c r="BP3993">
        <v>0</v>
      </c>
      <c r="BS3993">
        <v>0</v>
      </c>
      <c r="BT3993">
        <v>0</v>
      </c>
      <c r="BU3993">
        <v>0</v>
      </c>
      <c r="CE3993" t="str">
        <f t="shared" si="1469"/>
        <v>19:36:17.240</v>
      </c>
      <c r="CF3993">
        <v>240234070</v>
      </c>
      <c r="CS3993">
        <v>0</v>
      </c>
      <c r="CT3993">
        <v>2</v>
      </c>
      <c r="CU3993">
        <v>0</v>
      </c>
      <c r="CV3993">
        <v>2</v>
      </c>
      <c r="CW3993">
        <v>0</v>
      </c>
      <c r="CX3993">
        <v>6</v>
      </c>
      <c r="CY3993">
        <v>7</v>
      </c>
      <c r="CZ3993" t="s">
        <v>131</v>
      </c>
      <c r="DA3993">
        <v>286</v>
      </c>
      <c r="DB3993">
        <v>0</v>
      </c>
      <c r="DC3993" t="s">
        <v>132</v>
      </c>
      <c r="DD3993" t="s">
        <v>133</v>
      </c>
      <c r="DG3993">
        <v>898121</v>
      </c>
      <c r="DI3993">
        <v>1</v>
      </c>
      <c r="DJ3993">
        <v>0</v>
      </c>
      <c r="DK3993">
        <v>1</v>
      </c>
      <c r="DL3993">
        <v>0</v>
      </c>
      <c r="DM3993">
        <v>0</v>
      </c>
      <c r="DN3993">
        <v>1</v>
      </c>
      <c r="DO3993">
        <v>0</v>
      </c>
      <c r="DP3993">
        <v>0</v>
      </c>
      <c r="DQ3993">
        <v>0</v>
      </c>
      <c r="DR3993">
        <v>0</v>
      </c>
      <c r="DS3993">
        <v>0</v>
      </c>
    </row>
    <row r="3994" spans="1:123" x14ac:dyDescent="0.3">
      <c r="A3994" t="str">
        <f>"10/04/2022 19:36:17.511"</f>
        <v>10/04/2022 19:36:17.511</v>
      </c>
      <c r="C3994" t="str">
        <f t="shared" si="1452"/>
        <v>FFDFD3C0</v>
      </c>
      <c r="D3994" t="s">
        <v>147</v>
      </c>
      <c r="E3994">
        <v>3</v>
      </c>
      <c r="H3994">
        <v>166</v>
      </c>
      <c r="I3994" t="s">
        <v>144</v>
      </c>
      <c r="J3994" t="s">
        <v>148</v>
      </c>
      <c r="K3994">
        <v>0</v>
      </c>
      <c r="L3994">
        <v>3</v>
      </c>
      <c r="M3994">
        <v>0</v>
      </c>
      <c r="N3994">
        <v>2</v>
      </c>
      <c r="O3994">
        <v>0</v>
      </c>
      <c r="P3994">
        <v>1</v>
      </c>
      <c r="Q3994">
        <v>0</v>
      </c>
      <c r="S3994" t="str">
        <f t="shared" si="1468"/>
        <v>19:36:17.000</v>
      </c>
      <c r="T3994" t="str">
        <f t="shared" si="1468"/>
        <v>19:36:17.000</v>
      </c>
      <c r="U3994" t="str">
        <f t="shared" si="1461"/>
        <v>AC3944</v>
      </c>
      <c r="V3994">
        <v>0</v>
      </c>
      <c r="W3994">
        <v>0</v>
      </c>
      <c r="X3994">
        <v>2</v>
      </c>
      <c r="Y3994">
        <v>0</v>
      </c>
      <c r="AA3994">
        <v>1</v>
      </c>
      <c r="AB3994">
        <v>8</v>
      </c>
      <c r="AC3994">
        <v>3</v>
      </c>
      <c r="AD3994">
        <v>0</v>
      </c>
      <c r="AE3994">
        <v>9</v>
      </c>
      <c r="AF3994" t="s">
        <v>138</v>
      </c>
      <c r="AG3994">
        <v>0</v>
      </c>
      <c r="AH3994">
        <v>3</v>
      </c>
      <c r="AI3994">
        <v>1</v>
      </c>
      <c r="AJ3994">
        <v>0</v>
      </c>
      <c r="AK3994" t="s">
        <v>1288</v>
      </c>
      <c r="AL3994">
        <v>32.733507000000003</v>
      </c>
      <c r="AM3994" t="s">
        <v>1289</v>
      </c>
      <c r="AN3994">
        <v>-116.684332</v>
      </c>
      <c r="AO3994">
        <v>25</v>
      </c>
      <c r="AP3994">
        <v>5000</v>
      </c>
      <c r="AQ3994" t="s">
        <v>129</v>
      </c>
      <c r="AR3994">
        <v>105</v>
      </c>
      <c r="AS3994">
        <v>-60</v>
      </c>
      <c r="AT3994">
        <v>768</v>
      </c>
      <c r="BB3994">
        <v>1200</v>
      </c>
      <c r="BC3994">
        <v>1</v>
      </c>
      <c r="BD3994" t="str">
        <f t="shared" si="1462"/>
        <v xml:space="preserve">N887QR  </v>
      </c>
      <c r="BE3994">
        <v>1</v>
      </c>
      <c r="BG3994">
        <v>0</v>
      </c>
      <c r="BH3994">
        <v>0</v>
      </c>
      <c r="BI3994">
        <v>0</v>
      </c>
      <c r="BJ3994">
        <v>4825</v>
      </c>
      <c r="BK3994">
        <v>-175</v>
      </c>
      <c r="BL3994" t="s">
        <v>163</v>
      </c>
      <c r="BM3994">
        <v>1</v>
      </c>
      <c r="BN3994">
        <v>1</v>
      </c>
      <c r="BO3994">
        <v>1</v>
      </c>
      <c r="BP3994">
        <v>0</v>
      </c>
      <c r="BS3994">
        <v>0</v>
      </c>
      <c r="BT3994">
        <v>0</v>
      </c>
      <c r="BU3994">
        <v>0</v>
      </c>
      <c r="CE3994" t="str">
        <f t="shared" si="1469"/>
        <v>19:36:17.240</v>
      </c>
      <c r="CF3994">
        <v>240234070</v>
      </c>
      <c r="CS3994">
        <v>0</v>
      </c>
      <c r="CT3994">
        <v>2</v>
      </c>
      <c r="CU3994">
        <v>0</v>
      </c>
      <c r="CV3994">
        <v>2</v>
      </c>
      <c r="CW3994">
        <v>0</v>
      </c>
      <c r="CX3994">
        <v>6</v>
      </c>
      <c r="CY3994">
        <v>7</v>
      </c>
      <c r="CZ3994" t="s">
        <v>131</v>
      </c>
      <c r="DA3994">
        <v>286</v>
      </c>
      <c r="DB3994">
        <v>0</v>
      </c>
      <c r="DC3994" t="s">
        <v>132</v>
      </c>
      <c r="DD3994" t="s">
        <v>133</v>
      </c>
      <c r="DG3994">
        <v>898121</v>
      </c>
      <c r="DI3994">
        <v>1</v>
      </c>
      <c r="DJ3994">
        <v>0</v>
      </c>
      <c r="DK3994">
        <v>1</v>
      </c>
      <c r="DL3994">
        <v>0</v>
      </c>
      <c r="DM3994">
        <v>0</v>
      </c>
      <c r="DN3994">
        <v>1</v>
      </c>
      <c r="DO3994">
        <v>0</v>
      </c>
      <c r="DP3994">
        <v>0</v>
      </c>
      <c r="DQ3994">
        <v>0</v>
      </c>
      <c r="DR3994">
        <v>0</v>
      </c>
      <c r="DS3994">
        <v>0</v>
      </c>
    </row>
    <row r="3995" spans="1:123" x14ac:dyDescent="0.3">
      <c r="A3995" t="str">
        <f>"10/04/2022 19:36:17.511"</f>
        <v>10/04/2022 19:36:17.511</v>
      </c>
      <c r="C3995" t="str">
        <f t="shared" si="1452"/>
        <v>FFDFD3C0</v>
      </c>
      <c r="D3995" t="s">
        <v>141</v>
      </c>
      <c r="E3995">
        <v>3</v>
      </c>
      <c r="H3995">
        <v>3</v>
      </c>
      <c r="I3995" t="s">
        <v>146</v>
      </c>
      <c r="J3995" t="s">
        <v>138</v>
      </c>
      <c r="K3995">
        <v>0</v>
      </c>
      <c r="L3995">
        <v>3</v>
      </c>
      <c r="M3995">
        <v>0</v>
      </c>
      <c r="N3995">
        <v>2</v>
      </c>
      <c r="O3995">
        <v>0</v>
      </c>
      <c r="P3995">
        <v>1</v>
      </c>
      <c r="Q3995">
        <v>0</v>
      </c>
      <c r="S3995" t="str">
        <f t="shared" si="1468"/>
        <v>19:36:17.000</v>
      </c>
      <c r="T3995" t="str">
        <f t="shared" si="1468"/>
        <v>19:36:17.000</v>
      </c>
      <c r="U3995" t="str">
        <f t="shared" si="1461"/>
        <v>AC3944</v>
      </c>
      <c r="V3995">
        <v>0</v>
      </c>
      <c r="W3995">
        <v>0</v>
      </c>
      <c r="X3995">
        <v>2</v>
      </c>
      <c r="Y3995">
        <v>0</v>
      </c>
      <c r="AA3995">
        <v>1</v>
      </c>
      <c r="AB3995">
        <v>8</v>
      </c>
      <c r="AC3995">
        <v>3</v>
      </c>
      <c r="AD3995">
        <v>0</v>
      </c>
      <c r="AE3995">
        <v>9</v>
      </c>
      <c r="AF3995" t="s">
        <v>138</v>
      </c>
      <c r="AG3995">
        <v>0</v>
      </c>
      <c r="AH3995">
        <v>3</v>
      </c>
      <c r="AI3995">
        <v>1</v>
      </c>
      <c r="AJ3995">
        <v>0</v>
      </c>
      <c r="AK3995" t="s">
        <v>1288</v>
      </c>
      <c r="AL3995">
        <v>32.733507000000003</v>
      </c>
      <c r="AM3995" t="s">
        <v>1289</v>
      </c>
      <c r="AN3995">
        <v>-116.684332</v>
      </c>
      <c r="AO3995">
        <v>25</v>
      </c>
      <c r="AP3995">
        <v>5000</v>
      </c>
      <c r="AQ3995" t="s">
        <v>129</v>
      </c>
      <c r="AR3995">
        <v>105</v>
      </c>
      <c r="AS3995">
        <v>-60</v>
      </c>
      <c r="AT3995">
        <v>768</v>
      </c>
      <c r="BB3995">
        <v>1200</v>
      </c>
      <c r="BC3995">
        <v>1</v>
      </c>
      <c r="BD3995" t="str">
        <f t="shared" si="1462"/>
        <v xml:space="preserve">N887QR  </v>
      </c>
      <c r="BE3995">
        <v>1</v>
      </c>
      <c r="BG3995">
        <v>0</v>
      </c>
      <c r="BH3995">
        <v>0</v>
      </c>
      <c r="BI3995">
        <v>0</v>
      </c>
      <c r="BJ3995">
        <v>4825</v>
      </c>
      <c r="BK3995">
        <v>-175</v>
      </c>
      <c r="BL3995" t="s">
        <v>163</v>
      </c>
      <c r="BM3995">
        <v>1</v>
      </c>
      <c r="BN3995">
        <v>1</v>
      </c>
      <c r="BO3995">
        <v>1</v>
      </c>
      <c r="BP3995">
        <v>0</v>
      </c>
      <c r="BS3995">
        <v>0</v>
      </c>
      <c r="BT3995">
        <v>0</v>
      </c>
      <c r="BU3995">
        <v>0</v>
      </c>
      <c r="CE3995" t="str">
        <f t="shared" si="1469"/>
        <v>19:36:17.240</v>
      </c>
      <c r="CF3995">
        <v>240234070</v>
      </c>
      <c r="CS3995">
        <v>0</v>
      </c>
      <c r="CT3995">
        <v>2</v>
      </c>
      <c r="CU3995">
        <v>0</v>
      </c>
      <c r="CV3995">
        <v>2</v>
      </c>
      <c r="CW3995">
        <v>0</v>
      </c>
      <c r="CX3995">
        <v>6</v>
      </c>
      <c r="CY3995">
        <v>7</v>
      </c>
      <c r="CZ3995" t="s">
        <v>131</v>
      </c>
      <c r="DA3995">
        <v>286</v>
      </c>
      <c r="DB3995">
        <v>0</v>
      </c>
      <c r="DC3995" t="s">
        <v>132</v>
      </c>
      <c r="DD3995" t="s">
        <v>133</v>
      </c>
      <c r="DG3995">
        <v>898121</v>
      </c>
      <c r="DI3995">
        <v>1</v>
      </c>
      <c r="DJ3995">
        <v>0</v>
      </c>
      <c r="DK3995">
        <v>1</v>
      </c>
      <c r="DL3995">
        <v>0</v>
      </c>
      <c r="DM3995">
        <v>0</v>
      </c>
      <c r="DN3995">
        <v>1</v>
      </c>
      <c r="DO3995">
        <v>0</v>
      </c>
      <c r="DP3995">
        <v>0</v>
      </c>
      <c r="DQ3995">
        <v>0</v>
      </c>
      <c r="DR3995">
        <v>0</v>
      </c>
      <c r="DS3995">
        <v>0</v>
      </c>
    </row>
    <row r="3996" spans="1:123" x14ac:dyDescent="0.3">
      <c r="A3996" t="str">
        <f>"10/04/2022 19:36:17.511"</f>
        <v>10/04/2022 19:36:17.511</v>
      </c>
      <c r="C3996" t="str">
        <f t="shared" si="1452"/>
        <v>FFDFD3C0</v>
      </c>
      <c r="D3996" t="s">
        <v>136</v>
      </c>
      <c r="E3996">
        <v>8</v>
      </c>
      <c r="H3996">
        <v>225</v>
      </c>
      <c r="I3996" t="s">
        <v>137</v>
      </c>
      <c r="J3996" t="s">
        <v>138</v>
      </c>
      <c r="K3996">
        <v>0</v>
      </c>
      <c r="L3996">
        <v>3</v>
      </c>
      <c r="M3996">
        <v>0</v>
      </c>
      <c r="N3996">
        <v>2</v>
      </c>
      <c r="O3996">
        <v>0</v>
      </c>
      <c r="P3996">
        <v>1</v>
      </c>
      <c r="Q3996">
        <v>0</v>
      </c>
      <c r="S3996" t="str">
        <f t="shared" si="1468"/>
        <v>19:36:17.000</v>
      </c>
      <c r="T3996" t="str">
        <f t="shared" si="1468"/>
        <v>19:36:17.000</v>
      </c>
      <c r="U3996" t="str">
        <f t="shared" si="1461"/>
        <v>AC3944</v>
      </c>
      <c r="V3996">
        <v>0</v>
      </c>
      <c r="W3996">
        <v>0</v>
      </c>
      <c r="X3996">
        <v>2</v>
      </c>
      <c r="Y3996">
        <v>0</v>
      </c>
      <c r="AA3996">
        <v>1</v>
      </c>
      <c r="AB3996">
        <v>8</v>
      </c>
      <c r="AC3996">
        <v>3</v>
      </c>
      <c r="AD3996">
        <v>0</v>
      </c>
      <c r="AE3996">
        <v>9</v>
      </c>
      <c r="AF3996" t="s">
        <v>138</v>
      </c>
      <c r="AG3996">
        <v>0</v>
      </c>
      <c r="AH3996">
        <v>3</v>
      </c>
      <c r="AI3996">
        <v>1</v>
      </c>
      <c r="AJ3996">
        <v>0</v>
      </c>
      <c r="AK3996" t="s">
        <v>1288</v>
      </c>
      <c r="AL3996">
        <v>32.733507000000003</v>
      </c>
      <c r="AM3996" t="s">
        <v>1289</v>
      </c>
      <c r="AN3996">
        <v>-116.684332</v>
      </c>
      <c r="AO3996">
        <v>25</v>
      </c>
      <c r="AP3996">
        <v>5000</v>
      </c>
      <c r="AQ3996" t="s">
        <v>129</v>
      </c>
      <c r="AR3996">
        <v>105</v>
      </c>
      <c r="AS3996">
        <v>-60</v>
      </c>
      <c r="AT3996">
        <v>768</v>
      </c>
      <c r="BB3996">
        <v>1200</v>
      </c>
      <c r="BC3996">
        <v>1</v>
      </c>
      <c r="BD3996" t="str">
        <f t="shared" si="1462"/>
        <v xml:space="preserve">N887QR  </v>
      </c>
      <c r="BE3996">
        <v>1</v>
      </c>
      <c r="BG3996">
        <v>0</v>
      </c>
      <c r="BH3996">
        <v>0</v>
      </c>
      <c r="BI3996">
        <v>0</v>
      </c>
      <c r="BJ3996">
        <v>4825</v>
      </c>
      <c r="BK3996">
        <v>-175</v>
      </c>
      <c r="BL3996" t="s">
        <v>163</v>
      </c>
      <c r="BM3996">
        <v>1</v>
      </c>
      <c r="BN3996">
        <v>1</v>
      </c>
      <c r="BO3996">
        <v>1</v>
      </c>
      <c r="BP3996">
        <v>0</v>
      </c>
      <c r="BS3996">
        <v>0</v>
      </c>
      <c r="BT3996">
        <v>0</v>
      </c>
      <c r="BU3996">
        <v>0</v>
      </c>
      <c r="CE3996" t="str">
        <f t="shared" si="1469"/>
        <v>19:36:17.240</v>
      </c>
      <c r="CF3996">
        <v>240234070</v>
      </c>
      <c r="CS3996">
        <v>0</v>
      </c>
      <c r="CT3996">
        <v>2</v>
      </c>
      <c r="CU3996">
        <v>0</v>
      </c>
      <c r="CV3996">
        <v>2</v>
      </c>
      <c r="CW3996">
        <v>0</v>
      </c>
      <c r="CX3996">
        <v>6</v>
      </c>
      <c r="CY3996">
        <v>7</v>
      </c>
      <c r="CZ3996" t="s">
        <v>131</v>
      </c>
      <c r="DA3996">
        <v>286</v>
      </c>
      <c r="DB3996">
        <v>0</v>
      </c>
      <c r="DC3996" t="s">
        <v>132</v>
      </c>
      <c r="DD3996" t="s">
        <v>133</v>
      </c>
      <c r="DG3996">
        <v>898121</v>
      </c>
      <c r="DI3996">
        <v>1</v>
      </c>
      <c r="DJ3996">
        <v>0</v>
      </c>
      <c r="DK3996">
        <v>1</v>
      </c>
      <c r="DL3996">
        <v>0</v>
      </c>
      <c r="DM3996">
        <v>0</v>
      </c>
      <c r="DN3996">
        <v>1</v>
      </c>
      <c r="DO3996">
        <v>0</v>
      </c>
      <c r="DP3996">
        <v>0</v>
      </c>
      <c r="DQ3996">
        <v>0</v>
      </c>
      <c r="DR3996">
        <v>0</v>
      </c>
      <c r="DS3996">
        <v>0</v>
      </c>
    </row>
    <row r="3997" spans="1:123" x14ac:dyDescent="0.3">
      <c r="A3997" t="str">
        <f>"10/04/2022 19:36:17.511"</f>
        <v>10/04/2022 19:36:17.511</v>
      </c>
      <c r="C3997" t="str">
        <f t="shared" si="1452"/>
        <v>FFDFD3C0</v>
      </c>
      <c r="D3997" t="s">
        <v>134</v>
      </c>
      <c r="E3997">
        <v>15</v>
      </c>
      <c r="J3997" t="s">
        <v>135</v>
      </c>
      <c r="K3997">
        <v>0</v>
      </c>
      <c r="L3997">
        <v>3</v>
      </c>
      <c r="M3997">
        <v>0</v>
      </c>
      <c r="N3997">
        <v>2</v>
      </c>
      <c r="O3997">
        <v>0</v>
      </c>
      <c r="P3997">
        <v>1</v>
      </c>
      <c r="Q3997">
        <v>0</v>
      </c>
      <c r="S3997" t="str">
        <f t="shared" si="1468"/>
        <v>19:36:17.000</v>
      </c>
      <c r="T3997" t="str">
        <f t="shared" si="1468"/>
        <v>19:36:17.000</v>
      </c>
      <c r="U3997" t="str">
        <f t="shared" si="1461"/>
        <v>AC3944</v>
      </c>
      <c r="V3997">
        <v>0</v>
      </c>
      <c r="W3997">
        <v>0</v>
      </c>
      <c r="X3997">
        <v>2</v>
      </c>
      <c r="Y3997">
        <v>0</v>
      </c>
      <c r="AA3997">
        <v>1</v>
      </c>
      <c r="AB3997">
        <v>8</v>
      </c>
      <c r="AC3997">
        <v>3</v>
      </c>
      <c r="AD3997">
        <v>0</v>
      </c>
      <c r="AE3997">
        <v>9</v>
      </c>
      <c r="AF3997" t="s">
        <v>138</v>
      </c>
      <c r="AG3997">
        <v>0</v>
      </c>
      <c r="AH3997">
        <v>3</v>
      </c>
      <c r="AI3997">
        <v>1</v>
      </c>
      <c r="AJ3997">
        <v>0</v>
      </c>
      <c r="AK3997" t="s">
        <v>1288</v>
      </c>
      <c r="AL3997">
        <v>32.733507000000003</v>
      </c>
      <c r="AM3997" t="s">
        <v>1289</v>
      </c>
      <c r="AN3997">
        <v>-116.684332</v>
      </c>
      <c r="AO3997">
        <v>25</v>
      </c>
      <c r="AP3997">
        <v>5000</v>
      </c>
      <c r="AQ3997" t="s">
        <v>129</v>
      </c>
      <c r="AR3997">
        <v>105</v>
      </c>
      <c r="AS3997">
        <v>-60</v>
      </c>
      <c r="AT3997">
        <v>768</v>
      </c>
      <c r="BB3997">
        <v>1200</v>
      </c>
      <c r="BC3997">
        <v>1</v>
      </c>
      <c r="BD3997" t="str">
        <f t="shared" si="1462"/>
        <v xml:space="preserve">N887QR  </v>
      </c>
      <c r="BE3997">
        <v>1</v>
      </c>
      <c r="BG3997">
        <v>0</v>
      </c>
      <c r="BH3997">
        <v>0</v>
      </c>
      <c r="BI3997">
        <v>0</v>
      </c>
      <c r="BJ3997">
        <v>4825</v>
      </c>
      <c r="BK3997">
        <v>-175</v>
      </c>
      <c r="BL3997" t="s">
        <v>163</v>
      </c>
      <c r="BM3997">
        <v>1</v>
      </c>
      <c r="BN3997">
        <v>1</v>
      </c>
      <c r="BO3997">
        <v>1</v>
      </c>
      <c r="BP3997">
        <v>0</v>
      </c>
      <c r="BS3997">
        <v>0</v>
      </c>
      <c r="BT3997">
        <v>0</v>
      </c>
      <c r="BU3997">
        <v>0</v>
      </c>
      <c r="CE3997" t="str">
        <f t="shared" si="1469"/>
        <v>19:36:17.240</v>
      </c>
      <c r="CF3997">
        <v>240234070</v>
      </c>
      <c r="CS3997">
        <v>0</v>
      </c>
      <c r="CT3997">
        <v>2</v>
      </c>
      <c r="CU3997">
        <v>0</v>
      </c>
      <c r="CV3997">
        <v>2</v>
      </c>
      <c r="CW3997">
        <v>0</v>
      </c>
      <c r="CX3997">
        <v>6</v>
      </c>
      <c r="CY3997">
        <v>7</v>
      </c>
      <c r="CZ3997" t="s">
        <v>131</v>
      </c>
      <c r="DA3997">
        <v>286</v>
      </c>
      <c r="DB3997">
        <v>0</v>
      </c>
      <c r="DC3997" t="s">
        <v>132</v>
      </c>
      <c r="DD3997" t="s">
        <v>133</v>
      </c>
      <c r="DG3997">
        <v>898121</v>
      </c>
      <c r="DI3997">
        <v>1</v>
      </c>
      <c r="DJ3997">
        <v>0</v>
      </c>
      <c r="DK3997">
        <v>1</v>
      </c>
      <c r="DL3997">
        <v>0</v>
      </c>
      <c r="DM3997">
        <v>0</v>
      </c>
      <c r="DN3997">
        <v>1</v>
      </c>
      <c r="DO3997">
        <v>0</v>
      </c>
      <c r="DP3997">
        <v>0</v>
      </c>
      <c r="DQ3997">
        <v>0</v>
      </c>
      <c r="DR3997">
        <v>0</v>
      </c>
      <c r="DS3997">
        <v>0</v>
      </c>
    </row>
    <row r="3998" spans="1:123" x14ac:dyDescent="0.3">
      <c r="A3998" t="str">
        <f>"10/04/2022 19:36:17.511"</f>
        <v>10/04/2022 19:36:17.511</v>
      </c>
      <c r="C3998" t="str">
        <f t="shared" si="1452"/>
        <v>FFDFD3C0</v>
      </c>
      <c r="D3998" t="s">
        <v>143</v>
      </c>
      <c r="E3998">
        <v>20</v>
      </c>
      <c r="F3998">
        <v>1020</v>
      </c>
      <c r="G3998" t="s">
        <v>144</v>
      </c>
      <c r="J3998" t="s">
        <v>145</v>
      </c>
      <c r="K3998">
        <v>0</v>
      </c>
      <c r="L3998">
        <v>3</v>
      </c>
      <c r="M3998">
        <v>0</v>
      </c>
      <c r="N3998">
        <v>2</v>
      </c>
      <c r="O3998">
        <v>0</v>
      </c>
      <c r="P3998">
        <v>1</v>
      </c>
      <c r="Q3998">
        <v>0</v>
      </c>
      <c r="S3998" t="str">
        <f t="shared" si="1468"/>
        <v>19:36:17.000</v>
      </c>
      <c r="T3998" t="str">
        <f t="shared" si="1468"/>
        <v>19:36:17.000</v>
      </c>
      <c r="U3998" t="str">
        <f t="shared" si="1461"/>
        <v>AC3944</v>
      </c>
      <c r="V3998">
        <v>0</v>
      </c>
      <c r="W3998">
        <v>0</v>
      </c>
      <c r="X3998">
        <v>2</v>
      </c>
      <c r="Y3998">
        <v>0</v>
      </c>
      <c r="AA3998">
        <v>1</v>
      </c>
      <c r="AB3998">
        <v>8</v>
      </c>
      <c r="AC3998">
        <v>3</v>
      </c>
      <c r="AD3998">
        <v>0</v>
      </c>
      <c r="AE3998">
        <v>9</v>
      </c>
      <c r="AF3998" t="s">
        <v>138</v>
      </c>
      <c r="AG3998">
        <v>0</v>
      </c>
      <c r="AH3998">
        <v>3</v>
      </c>
      <c r="AI3998">
        <v>1</v>
      </c>
      <c r="AJ3998">
        <v>0</v>
      </c>
      <c r="AK3998" t="s">
        <v>1288</v>
      </c>
      <c r="AL3998">
        <v>32.733507000000003</v>
      </c>
      <c r="AM3998" t="s">
        <v>1289</v>
      </c>
      <c r="AN3998">
        <v>-116.684332</v>
      </c>
      <c r="AO3998">
        <v>25</v>
      </c>
      <c r="AP3998">
        <v>5000</v>
      </c>
      <c r="AQ3998" t="s">
        <v>129</v>
      </c>
      <c r="AR3998">
        <v>105</v>
      </c>
      <c r="AS3998">
        <v>-60</v>
      </c>
      <c r="AT3998">
        <v>768</v>
      </c>
      <c r="BB3998">
        <v>1200</v>
      </c>
      <c r="BC3998">
        <v>1</v>
      </c>
      <c r="BD3998" t="str">
        <f t="shared" si="1462"/>
        <v xml:space="preserve">N887QR  </v>
      </c>
      <c r="BE3998">
        <v>1</v>
      </c>
      <c r="BG3998">
        <v>0</v>
      </c>
      <c r="BH3998">
        <v>0</v>
      </c>
      <c r="BI3998">
        <v>0</v>
      </c>
      <c r="BJ3998">
        <v>4825</v>
      </c>
      <c r="BK3998">
        <v>-175</v>
      </c>
      <c r="BL3998" t="s">
        <v>163</v>
      </c>
      <c r="BM3998">
        <v>1</v>
      </c>
      <c r="BN3998">
        <v>1</v>
      </c>
      <c r="BO3998">
        <v>1</v>
      </c>
      <c r="BP3998">
        <v>0</v>
      </c>
      <c r="BS3998">
        <v>0</v>
      </c>
      <c r="BT3998">
        <v>0</v>
      </c>
      <c r="BU3998">
        <v>0</v>
      </c>
      <c r="CE3998" t="str">
        <f t="shared" si="1469"/>
        <v>19:36:17.240</v>
      </c>
      <c r="CF3998">
        <v>240234070</v>
      </c>
      <c r="CS3998">
        <v>0</v>
      </c>
      <c r="CT3998">
        <v>2</v>
      </c>
      <c r="CU3998">
        <v>0</v>
      </c>
      <c r="CV3998">
        <v>2</v>
      </c>
      <c r="CW3998">
        <v>0</v>
      </c>
      <c r="CX3998">
        <v>6</v>
      </c>
      <c r="CY3998">
        <v>7</v>
      </c>
      <c r="CZ3998" t="s">
        <v>131</v>
      </c>
      <c r="DA3998">
        <v>286</v>
      </c>
      <c r="DB3998">
        <v>0</v>
      </c>
      <c r="DC3998" t="s">
        <v>132</v>
      </c>
      <c r="DD3998" t="s">
        <v>133</v>
      </c>
      <c r="DG3998">
        <v>898121</v>
      </c>
      <c r="DI3998">
        <v>1</v>
      </c>
      <c r="DJ3998">
        <v>0</v>
      </c>
      <c r="DK3998">
        <v>1</v>
      </c>
      <c r="DL3998">
        <v>0</v>
      </c>
      <c r="DM3998">
        <v>0</v>
      </c>
      <c r="DN3998">
        <v>1</v>
      </c>
      <c r="DO3998">
        <v>0</v>
      </c>
      <c r="DP3998">
        <v>0</v>
      </c>
      <c r="DQ3998">
        <v>0</v>
      </c>
      <c r="DR3998">
        <v>0</v>
      </c>
      <c r="DS3998">
        <v>0</v>
      </c>
    </row>
    <row r="3999" spans="1:123" x14ac:dyDescent="0.3">
      <c r="A3999" t="str">
        <f>"10/04/2022 19:36:18.511"</f>
        <v>10/04/2022 19:36:18.511</v>
      </c>
      <c r="C3999" t="str">
        <f t="shared" si="1452"/>
        <v>FFDFD3C0</v>
      </c>
      <c r="D3999" t="s">
        <v>134</v>
      </c>
      <c r="E3999">
        <v>15</v>
      </c>
      <c r="J3999" t="s">
        <v>135</v>
      </c>
      <c r="K3999">
        <v>0</v>
      </c>
      <c r="L3999">
        <v>3</v>
      </c>
      <c r="M3999">
        <v>0</v>
      </c>
      <c r="N3999">
        <v>2</v>
      </c>
      <c r="O3999">
        <v>0</v>
      </c>
      <c r="P3999">
        <v>1</v>
      </c>
      <c r="Q3999">
        <v>0</v>
      </c>
      <c r="S3999" t="str">
        <f t="shared" ref="S3999:T4005" si="1470">"19:36:18.000"</f>
        <v>19:36:18.000</v>
      </c>
      <c r="T3999" t="str">
        <f t="shared" si="1470"/>
        <v>19:36:18.000</v>
      </c>
      <c r="U3999" t="str">
        <f t="shared" si="1461"/>
        <v>AC3944</v>
      </c>
      <c r="V3999">
        <v>0</v>
      </c>
      <c r="W3999">
        <v>0</v>
      </c>
      <c r="X3999">
        <v>2</v>
      </c>
      <c r="Y3999">
        <v>0</v>
      </c>
      <c r="AA3999">
        <v>1</v>
      </c>
      <c r="AB3999">
        <v>8</v>
      </c>
      <c r="AC3999">
        <v>3</v>
      </c>
      <c r="AD3999">
        <v>0</v>
      </c>
      <c r="AE3999">
        <v>9</v>
      </c>
      <c r="AF3999" t="s">
        <v>138</v>
      </c>
      <c r="AG3999">
        <v>0</v>
      </c>
      <c r="AH3999">
        <v>3</v>
      </c>
      <c r="AI3999">
        <v>1</v>
      </c>
      <c r="AJ3999">
        <v>0</v>
      </c>
      <c r="AK3999" t="s">
        <v>1290</v>
      </c>
      <c r="AL3999">
        <v>32.733207</v>
      </c>
      <c r="AM3999" t="s">
        <v>1291</v>
      </c>
      <c r="AN3999">
        <v>-116.68373099999999</v>
      </c>
      <c r="AO3999">
        <v>25</v>
      </c>
      <c r="AP3999">
        <v>5000</v>
      </c>
      <c r="AQ3999" t="s">
        <v>129</v>
      </c>
      <c r="AR3999">
        <v>108</v>
      </c>
      <c r="AS3999">
        <v>-55</v>
      </c>
      <c r="AT3999">
        <v>704</v>
      </c>
      <c r="BB3999">
        <v>1200</v>
      </c>
      <c r="BC3999">
        <v>1</v>
      </c>
      <c r="BD3999" t="str">
        <f t="shared" si="1462"/>
        <v xml:space="preserve">N887QR  </v>
      </c>
      <c r="BE3999">
        <v>1</v>
      </c>
      <c r="BG3999">
        <v>0</v>
      </c>
      <c r="BH3999">
        <v>0</v>
      </c>
      <c r="BI3999">
        <v>0</v>
      </c>
      <c r="BJ3999">
        <v>4875</v>
      </c>
      <c r="BK3999">
        <v>-125</v>
      </c>
      <c r="BL3999" t="s">
        <v>163</v>
      </c>
      <c r="BM3999">
        <v>1</v>
      </c>
      <c r="BN3999">
        <v>1</v>
      </c>
      <c r="BO3999">
        <v>1</v>
      </c>
      <c r="BP3999">
        <v>0</v>
      </c>
      <c r="BS3999">
        <v>0</v>
      </c>
      <c r="BT3999">
        <v>0</v>
      </c>
      <c r="BU3999">
        <v>0</v>
      </c>
      <c r="CE3999" t="str">
        <f t="shared" ref="CE3999:CE4005" si="1471">"19:36:18.248"</f>
        <v>19:36:18.248</v>
      </c>
      <c r="CF3999">
        <v>248237357</v>
      </c>
      <c r="CS3999">
        <v>0</v>
      </c>
      <c r="CT3999">
        <v>2</v>
      </c>
      <c r="CU3999">
        <v>0</v>
      </c>
      <c r="CV3999">
        <v>2</v>
      </c>
      <c r="CW3999">
        <v>0</v>
      </c>
      <c r="CX3999">
        <v>5</v>
      </c>
      <c r="CY3999">
        <v>7</v>
      </c>
      <c r="CZ3999" t="s">
        <v>131</v>
      </c>
      <c r="DA3999">
        <v>286</v>
      </c>
      <c r="DB3999">
        <v>0</v>
      </c>
      <c r="DC3999" t="s">
        <v>132</v>
      </c>
      <c r="DD3999" t="s">
        <v>133</v>
      </c>
      <c r="DG3999">
        <v>898334</v>
      </c>
      <c r="DI3999">
        <v>1</v>
      </c>
      <c r="DJ3999">
        <v>0</v>
      </c>
      <c r="DK3999">
        <v>0</v>
      </c>
      <c r="DL3999">
        <v>0</v>
      </c>
      <c r="DM3999">
        <v>0</v>
      </c>
      <c r="DN3999">
        <v>1</v>
      </c>
      <c r="DO3999">
        <v>0</v>
      </c>
      <c r="DP3999">
        <v>0</v>
      </c>
      <c r="DQ3999">
        <v>0</v>
      </c>
      <c r="DR3999">
        <v>0</v>
      </c>
      <c r="DS3999">
        <v>0</v>
      </c>
    </row>
    <row r="4000" spans="1:123" x14ac:dyDescent="0.3">
      <c r="A4000" t="str">
        <f t="shared" ref="A4000:A4005" si="1472">"10/04/2022 19:36:18.526"</f>
        <v>10/04/2022 19:36:18.526</v>
      </c>
      <c r="C4000" t="str">
        <f t="shared" si="1452"/>
        <v>FFDFD3C0</v>
      </c>
      <c r="D4000" t="s">
        <v>141</v>
      </c>
      <c r="E4000">
        <v>4</v>
      </c>
      <c r="H4000">
        <v>4</v>
      </c>
      <c r="I4000" t="s">
        <v>142</v>
      </c>
      <c r="J4000" t="s">
        <v>138</v>
      </c>
      <c r="K4000">
        <v>0</v>
      </c>
      <c r="L4000">
        <v>3</v>
      </c>
      <c r="M4000">
        <v>0</v>
      </c>
      <c r="N4000">
        <v>2</v>
      </c>
      <c r="O4000">
        <v>0</v>
      </c>
      <c r="P4000">
        <v>1</v>
      </c>
      <c r="Q4000">
        <v>0</v>
      </c>
      <c r="S4000" t="str">
        <f t="shared" si="1470"/>
        <v>19:36:18.000</v>
      </c>
      <c r="T4000" t="str">
        <f t="shared" si="1470"/>
        <v>19:36:18.000</v>
      </c>
      <c r="U4000" t="str">
        <f t="shared" si="1461"/>
        <v>AC3944</v>
      </c>
      <c r="V4000">
        <v>0</v>
      </c>
      <c r="W4000">
        <v>0</v>
      </c>
      <c r="X4000">
        <v>2</v>
      </c>
      <c r="Y4000">
        <v>0</v>
      </c>
      <c r="AA4000">
        <v>1</v>
      </c>
      <c r="AB4000">
        <v>8</v>
      </c>
      <c r="AC4000">
        <v>3</v>
      </c>
      <c r="AD4000">
        <v>0</v>
      </c>
      <c r="AE4000">
        <v>9</v>
      </c>
      <c r="AF4000" t="s">
        <v>138</v>
      </c>
      <c r="AG4000">
        <v>0</v>
      </c>
      <c r="AH4000">
        <v>3</v>
      </c>
      <c r="AI4000">
        <v>1</v>
      </c>
      <c r="AJ4000">
        <v>0</v>
      </c>
      <c r="AK4000" t="s">
        <v>1290</v>
      </c>
      <c r="AL4000">
        <v>32.733207</v>
      </c>
      <c r="AM4000" t="s">
        <v>1291</v>
      </c>
      <c r="AN4000">
        <v>-116.68373099999999</v>
      </c>
      <c r="AO4000">
        <v>25</v>
      </c>
      <c r="AP4000">
        <v>5000</v>
      </c>
      <c r="AQ4000" t="s">
        <v>129</v>
      </c>
      <c r="AR4000">
        <v>108</v>
      </c>
      <c r="AS4000">
        <v>-55</v>
      </c>
      <c r="AT4000">
        <v>704</v>
      </c>
      <c r="BB4000">
        <v>1200</v>
      </c>
      <c r="BC4000">
        <v>1</v>
      </c>
      <c r="BD4000" t="str">
        <f t="shared" si="1462"/>
        <v xml:space="preserve">N887QR  </v>
      </c>
      <c r="BE4000">
        <v>1</v>
      </c>
      <c r="BG4000">
        <v>0</v>
      </c>
      <c r="BH4000">
        <v>0</v>
      </c>
      <c r="BI4000">
        <v>0</v>
      </c>
      <c r="BJ4000">
        <v>4875</v>
      </c>
      <c r="BK4000">
        <v>-125</v>
      </c>
      <c r="BL4000" t="s">
        <v>163</v>
      </c>
      <c r="BM4000">
        <v>1</v>
      </c>
      <c r="BN4000">
        <v>1</v>
      </c>
      <c r="BO4000">
        <v>1</v>
      </c>
      <c r="BP4000">
        <v>0</v>
      </c>
      <c r="BS4000">
        <v>0</v>
      </c>
      <c r="BT4000">
        <v>0</v>
      </c>
      <c r="BU4000">
        <v>0</v>
      </c>
      <c r="CE4000" t="str">
        <f t="shared" si="1471"/>
        <v>19:36:18.248</v>
      </c>
      <c r="CF4000">
        <v>248237357</v>
      </c>
      <c r="CS4000">
        <v>0</v>
      </c>
      <c r="CT4000">
        <v>2</v>
      </c>
      <c r="CU4000">
        <v>0</v>
      </c>
      <c r="CV4000">
        <v>2</v>
      </c>
      <c r="CW4000">
        <v>0</v>
      </c>
      <c r="CX4000">
        <v>5</v>
      </c>
      <c r="CY4000">
        <v>7</v>
      </c>
      <c r="CZ4000" t="s">
        <v>131</v>
      </c>
      <c r="DA4000">
        <v>286</v>
      </c>
      <c r="DB4000">
        <v>0</v>
      </c>
      <c r="DC4000" t="s">
        <v>132</v>
      </c>
      <c r="DD4000" t="s">
        <v>133</v>
      </c>
      <c r="DG4000">
        <v>898334</v>
      </c>
      <c r="DI4000">
        <v>1</v>
      </c>
      <c r="DJ4000">
        <v>0</v>
      </c>
      <c r="DK4000">
        <v>1</v>
      </c>
      <c r="DL4000">
        <v>0</v>
      </c>
      <c r="DM4000">
        <v>0</v>
      </c>
      <c r="DN4000">
        <v>1</v>
      </c>
      <c r="DO4000">
        <v>0</v>
      </c>
      <c r="DP4000">
        <v>0</v>
      </c>
      <c r="DQ4000">
        <v>0</v>
      </c>
      <c r="DR4000">
        <v>0</v>
      </c>
      <c r="DS4000">
        <v>0</v>
      </c>
    </row>
    <row r="4001" spans="1:123" x14ac:dyDescent="0.3">
      <c r="A4001" t="str">
        <f t="shared" si="1472"/>
        <v>10/04/2022 19:36:18.526</v>
      </c>
      <c r="C4001" t="str">
        <f t="shared" si="1452"/>
        <v>FFDFD3C0</v>
      </c>
      <c r="D4001" t="s">
        <v>123</v>
      </c>
      <c r="E4001">
        <v>7</v>
      </c>
      <c r="F4001">
        <v>2007</v>
      </c>
      <c r="G4001" t="s">
        <v>124</v>
      </c>
      <c r="J4001" t="s">
        <v>125</v>
      </c>
      <c r="K4001">
        <v>0</v>
      </c>
      <c r="L4001">
        <v>3</v>
      </c>
      <c r="M4001">
        <v>0</v>
      </c>
      <c r="N4001">
        <v>2</v>
      </c>
      <c r="O4001">
        <v>0</v>
      </c>
      <c r="P4001">
        <v>1</v>
      </c>
      <c r="Q4001">
        <v>0</v>
      </c>
      <c r="S4001" t="str">
        <f t="shared" si="1470"/>
        <v>19:36:18.000</v>
      </c>
      <c r="T4001" t="str">
        <f t="shared" si="1470"/>
        <v>19:36:18.000</v>
      </c>
      <c r="U4001" t="str">
        <f t="shared" si="1461"/>
        <v>AC3944</v>
      </c>
      <c r="V4001">
        <v>0</v>
      </c>
      <c r="W4001">
        <v>0</v>
      </c>
      <c r="X4001">
        <v>2</v>
      </c>
      <c r="Y4001">
        <v>0</v>
      </c>
      <c r="AA4001">
        <v>1</v>
      </c>
      <c r="AB4001">
        <v>8</v>
      </c>
      <c r="AC4001">
        <v>3</v>
      </c>
      <c r="AD4001">
        <v>0</v>
      </c>
      <c r="AE4001">
        <v>9</v>
      </c>
      <c r="AF4001" t="s">
        <v>138</v>
      </c>
      <c r="AG4001">
        <v>0</v>
      </c>
      <c r="AH4001">
        <v>3</v>
      </c>
      <c r="AI4001">
        <v>1</v>
      </c>
      <c r="AJ4001">
        <v>0</v>
      </c>
      <c r="AK4001" t="s">
        <v>1290</v>
      </c>
      <c r="AL4001">
        <v>32.733207</v>
      </c>
      <c r="AM4001" t="s">
        <v>1291</v>
      </c>
      <c r="AN4001">
        <v>-116.68373099999999</v>
      </c>
      <c r="AO4001">
        <v>25</v>
      </c>
      <c r="AP4001">
        <v>5000</v>
      </c>
      <c r="AQ4001" t="s">
        <v>129</v>
      </c>
      <c r="AR4001">
        <v>108</v>
      </c>
      <c r="AS4001">
        <v>-55</v>
      </c>
      <c r="AT4001">
        <v>704</v>
      </c>
      <c r="BB4001">
        <v>1200</v>
      </c>
      <c r="BC4001">
        <v>1</v>
      </c>
      <c r="BD4001" t="str">
        <f t="shared" si="1462"/>
        <v xml:space="preserve">N887QR  </v>
      </c>
      <c r="BE4001">
        <v>1</v>
      </c>
      <c r="BG4001">
        <v>0</v>
      </c>
      <c r="BH4001">
        <v>0</v>
      </c>
      <c r="BI4001">
        <v>0</v>
      </c>
      <c r="BJ4001">
        <v>4875</v>
      </c>
      <c r="BK4001">
        <v>-125</v>
      </c>
      <c r="BL4001" t="s">
        <v>163</v>
      </c>
      <c r="BM4001">
        <v>1</v>
      </c>
      <c r="BN4001">
        <v>1</v>
      </c>
      <c r="BO4001">
        <v>1</v>
      </c>
      <c r="BP4001">
        <v>0</v>
      </c>
      <c r="BS4001">
        <v>0</v>
      </c>
      <c r="BT4001">
        <v>0</v>
      </c>
      <c r="BU4001">
        <v>0</v>
      </c>
      <c r="CE4001" t="str">
        <f t="shared" si="1471"/>
        <v>19:36:18.248</v>
      </c>
      <c r="CF4001">
        <v>248237357</v>
      </c>
      <c r="CS4001">
        <v>0</v>
      </c>
      <c r="CT4001">
        <v>2</v>
      </c>
      <c r="CU4001">
        <v>0</v>
      </c>
      <c r="CV4001">
        <v>2</v>
      </c>
      <c r="CW4001">
        <v>0</v>
      </c>
      <c r="CX4001">
        <v>5</v>
      </c>
      <c r="CY4001">
        <v>7</v>
      </c>
      <c r="CZ4001" t="s">
        <v>131</v>
      </c>
      <c r="DA4001">
        <v>286</v>
      </c>
      <c r="DB4001">
        <v>0</v>
      </c>
      <c r="DC4001" t="s">
        <v>132</v>
      </c>
      <c r="DD4001" t="s">
        <v>133</v>
      </c>
      <c r="DG4001">
        <v>898334</v>
      </c>
      <c r="DI4001">
        <v>1</v>
      </c>
      <c r="DJ4001">
        <v>0</v>
      </c>
      <c r="DK4001">
        <v>1</v>
      </c>
      <c r="DL4001">
        <v>0</v>
      </c>
      <c r="DM4001">
        <v>0</v>
      </c>
      <c r="DN4001">
        <v>1</v>
      </c>
      <c r="DO4001">
        <v>0</v>
      </c>
      <c r="DP4001">
        <v>0</v>
      </c>
      <c r="DQ4001">
        <v>0</v>
      </c>
      <c r="DR4001">
        <v>0</v>
      </c>
      <c r="DS4001">
        <v>0</v>
      </c>
    </row>
    <row r="4002" spans="1:123" x14ac:dyDescent="0.3">
      <c r="A4002" t="str">
        <f t="shared" si="1472"/>
        <v>10/04/2022 19:36:18.526</v>
      </c>
      <c r="C4002" t="str">
        <f t="shared" si="1452"/>
        <v>FFDFD3C0</v>
      </c>
      <c r="D4002" t="s">
        <v>147</v>
      </c>
      <c r="E4002">
        <v>3</v>
      </c>
      <c r="H4002">
        <v>166</v>
      </c>
      <c r="I4002" t="s">
        <v>144</v>
      </c>
      <c r="J4002" t="s">
        <v>148</v>
      </c>
      <c r="K4002">
        <v>0</v>
      </c>
      <c r="L4002">
        <v>3</v>
      </c>
      <c r="M4002">
        <v>0</v>
      </c>
      <c r="N4002">
        <v>2</v>
      </c>
      <c r="O4002">
        <v>0</v>
      </c>
      <c r="P4002">
        <v>1</v>
      </c>
      <c r="Q4002">
        <v>0</v>
      </c>
      <c r="S4002" t="str">
        <f t="shared" si="1470"/>
        <v>19:36:18.000</v>
      </c>
      <c r="T4002" t="str">
        <f t="shared" si="1470"/>
        <v>19:36:18.000</v>
      </c>
      <c r="U4002" t="str">
        <f t="shared" si="1461"/>
        <v>AC3944</v>
      </c>
      <c r="V4002">
        <v>0</v>
      </c>
      <c r="W4002">
        <v>0</v>
      </c>
      <c r="X4002">
        <v>2</v>
      </c>
      <c r="Y4002">
        <v>0</v>
      </c>
      <c r="AA4002">
        <v>1</v>
      </c>
      <c r="AB4002">
        <v>8</v>
      </c>
      <c r="AC4002">
        <v>3</v>
      </c>
      <c r="AD4002">
        <v>0</v>
      </c>
      <c r="AE4002">
        <v>9</v>
      </c>
      <c r="AF4002" t="s">
        <v>138</v>
      </c>
      <c r="AG4002">
        <v>0</v>
      </c>
      <c r="AH4002">
        <v>3</v>
      </c>
      <c r="AI4002">
        <v>1</v>
      </c>
      <c r="AJ4002">
        <v>0</v>
      </c>
      <c r="AK4002" t="s">
        <v>1290</v>
      </c>
      <c r="AL4002">
        <v>32.733207</v>
      </c>
      <c r="AM4002" t="s">
        <v>1291</v>
      </c>
      <c r="AN4002">
        <v>-116.68373099999999</v>
      </c>
      <c r="AO4002">
        <v>25</v>
      </c>
      <c r="AP4002">
        <v>5000</v>
      </c>
      <c r="AQ4002" t="s">
        <v>129</v>
      </c>
      <c r="AR4002">
        <v>108</v>
      </c>
      <c r="AS4002">
        <v>-55</v>
      </c>
      <c r="AT4002">
        <v>704</v>
      </c>
      <c r="BB4002">
        <v>1200</v>
      </c>
      <c r="BC4002">
        <v>1</v>
      </c>
      <c r="BD4002" t="str">
        <f t="shared" si="1462"/>
        <v xml:space="preserve">N887QR  </v>
      </c>
      <c r="BE4002">
        <v>1</v>
      </c>
      <c r="BG4002">
        <v>0</v>
      </c>
      <c r="BH4002">
        <v>0</v>
      </c>
      <c r="BI4002">
        <v>0</v>
      </c>
      <c r="BJ4002">
        <v>4875</v>
      </c>
      <c r="BK4002">
        <v>-125</v>
      </c>
      <c r="BL4002" t="s">
        <v>163</v>
      </c>
      <c r="BM4002">
        <v>1</v>
      </c>
      <c r="BN4002">
        <v>1</v>
      </c>
      <c r="BO4002">
        <v>1</v>
      </c>
      <c r="BP4002">
        <v>0</v>
      </c>
      <c r="BS4002">
        <v>0</v>
      </c>
      <c r="BT4002">
        <v>0</v>
      </c>
      <c r="BU4002">
        <v>0</v>
      </c>
      <c r="CE4002" t="str">
        <f t="shared" si="1471"/>
        <v>19:36:18.248</v>
      </c>
      <c r="CF4002">
        <v>248237357</v>
      </c>
      <c r="CS4002">
        <v>0</v>
      </c>
      <c r="CT4002">
        <v>2</v>
      </c>
      <c r="CU4002">
        <v>0</v>
      </c>
      <c r="CV4002">
        <v>2</v>
      </c>
      <c r="CW4002">
        <v>0</v>
      </c>
      <c r="CX4002">
        <v>5</v>
      </c>
      <c r="CY4002">
        <v>7</v>
      </c>
      <c r="CZ4002" t="s">
        <v>131</v>
      </c>
      <c r="DA4002">
        <v>286</v>
      </c>
      <c r="DB4002">
        <v>0</v>
      </c>
      <c r="DC4002" t="s">
        <v>132</v>
      </c>
      <c r="DD4002" t="s">
        <v>133</v>
      </c>
      <c r="DG4002">
        <v>898334</v>
      </c>
      <c r="DI4002">
        <v>1</v>
      </c>
      <c r="DJ4002">
        <v>0</v>
      </c>
      <c r="DK4002">
        <v>1</v>
      </c>
      <c r="DL4002">
        <v>0</v>
      </c>
      <c r="DM4002">
        <v>0</v>
      </c>
      <c r="DN4002">
        <v>1</v>
      </c>
      <c r="DO4002">
        <v>0</v>
      </c>
      <c r="DP4002">
        <v>0</v>
      </c>
      <c r="DQ4002">
        <v>0</v>
      </c>
      <c r="DR4002">
        <v>0</v>
      </c>
      <c r="DS4002">
        <v>0</v>
      </c>
    </row>
    <row r="4003" spans="1:123" x14ac:dyDescent="0.3">
      <c r="A4003" t="str">
        <f t="shared" si="1472"/>
        <v>10/04/2022 19:36:18.526</v>
      </c>
      <c r="C4003" t="str">
        <f t="shared" si="1452"/>
        <v>FFDFD3C0</v>
      </c>
      <c r="D4003" t="s">
        <v>141</v>
      </c>
      <c r="E4003">
        <v>3</v>
      </c>
      <c r="H4003">
        <v>3</v>
      </c>
      <c r="I4003" t="s">
        <v>146</v>
      </c>
      <c r="J4003" t="s">
        <v>138</v>
      </c>
      <c r="K4003">
        <v>0</v>
      </c>
      <c r="L4003">
        <v>3</v>
      </c>
      <c r="M4003">
        <v>0</v>
      </c>
      <c r="N4003">
        <v>2</v>
      </c>
      <c r="O4003">
        <v>0</v>
      </c>
      <c r="P4003">
        <v>1</v>
      </c>
      <c r="Q4003">
        <v>0</v>
      </c>
      <c r="S4003" t="str">
        <f t="shared" si="1470"/>
        <v>19:36:18.000</v>
      </c>
      <c r="T4003" t="str">
        <f t="shared" si="1470"/>
        <v>19:36:18.000</v>
      </c>
      <c r="U4003" t="str">
        <f t="shared" si="1461"/>
        <v>AC3944</v>
      </c>
      <c r="V4003">
        <v>0</v>
      </c>
      <c r="W4003">
        <v>0</v>
      </c>
      <c r="X4003">
        <v>2</v>
      </c>
      <c r="Y4003">
        <v>0</v>
      </c>
      <c r="AA4003">
        <v>1</v>
      </c>
      <c r="AB4003">
        <v>8</v>
      </c>
      <c r="AC4003">
        <v>3</v>
      </c>
      <c r="AD4003">
        <v>0</v>
      </c>
      <c r="AE4003">
        <v>9</v>
      </c>
      <c r="AF4003" t="s">
        <v>138</v>
      </c>
      <c r="AG4003">
        <v>0</v>
      </c>
      <c r="AH4003">
        <v>3</v>
      </c>
      <c r="AI4003">
        <v>1</v>
      </c>
      <c r="AJ4003">
        <v>0</v>
      </c>
      <c r="AK4003" t="s">
        <v>1290</v>
      </c>
      <c r="AL4003">
        <v>32.733207</v>
      </c>
      <c r="AM4003" t="s">
        <v>1291</v>
      </c>
      <c r="AN4003">
        <v>-116.68373099999999</v>
      </c>
      <c r="AO4003">
        <v>25</v>
      </c>
      <c r="AP4003">
        <v>5000</v>
      </c>
      <c r="AQ4003" t="s">
        <v>129</v>
      </c>
      <c r="AR4003">
        <v>108</v>
      </c>
      <c r="AS4003">
        <v>-55</v>
      </c>
      <c r="AT4003">
        <v>704</v>
      </c>
      <c r="BB4003">
        <v>1200</v>
      </c>
      <c r="BC4003">
        <v>1</v>
      </c>
      <c r="BD4003" t="str">
        <f t="shared" si="1462"/>
        <v xml:space="preserve">N887QR  </v>
      </c>
      <c r="BE4003">
        <v>1</v>
      </c>
      <c r="BG4003">
        <v>0</v>
      </c>
      <c r="BH4003">
        <v>0</v>
      </c>
      <c r="BI4003">
        <v>0</v>
      </c>
      <c r="BJ4003">
        <v>4875</v>
      </c>
      <c r="BK4003">
        <v>-125</v>
      </c>
      <c r="BL4003" t="s">
        <v>163</v>
      </c>
      <c r="BM4003">
        <v>1</v>
      </c>
      <c r="BN4003">
        <v>1</v>
      </c>
      <c r="BO4003">
        <v>1</v>
      </c>
      <c r="BP4003">
        <v>0</v>
      </c>
      <c r="BS4003">
        <v>0</v>
      </c>
      <c r="BT4003">
        <v>0</v>
      </c>
      <c r="BU4003">
        <v>0</v>
      </c>
      <c r="CE4003" t="str">
        <f t="shared" si="1471"/>
        <v>19:36:18.248</v>
      </c>
      <c r="CF4003">
        <v>248237357</v>
      </c>
      <c r="CS4003">
        <v>0</v>
      </c>
      <c r="CT4003">
        <v>2</v>
      </c>
      <c r="CU4003">
        <v>0</v>
      </c>
      <c r="CV4003">
        <v>2</v>
      </c>
      <c r="CW4003">
        <v>0</v>
      </c>
      <c r="CX4003">
        <v>5</v>
      </c>
      <c r="CY4003">
        <v>7</v>
      </c>
      <c r="CZ4003" t="s">
        <v>131</v>
      </c>
      <c r="DA4003">
        <v>286</v>
      </c>
      <c r="DB4003">
        <v>0</v>
      </c>
      <c r="DC4003" t="s">
        <v>132</v>
      </c>
      <c r="DD4003" t="s">
        <v>133</v>
      </c>
      <c r="DG4003">
        <v>898334</v>
      </c>
      <c r="DI4003">
        <v>1</v>
      </c>
      <c r="DJ4003">
        <v>0</v>
      </c>
      <c r="DK4003">
        <v>1</v>
      </c>
      <c r="DL4003">
        <v>0</v>
      </c>
      <c r="DM4003">
        <v>0</v>
      </c>
      <c r="DN4003">
        <v>1</v>
      </c>
      <c r="DO4003">
        <v>0</v>
      </c>
      <c r="DP4003">
        <v>0</v>
      </c>
      <c r="DQ4003">
        <v>0</v>
      </c>
      <c r="DR4003">
        <v>0</v>
      </c>
      <c r="DS4003">
        <v>0</v>
      </c>
    </row>
    <row r="4004" spans="1:123" x14ac:dyDescent="0.3">
      <c r="A4004" t="str">
        <f t="shared" si="1472"/>
        <v>10/04/2022 19:36:18.526</v>
      </c>
      <c r="C4004" t="str">
        <f t="shared" si="1452"/>
        <v>FFDFD3C0</v>
      </c>
      <c r="D4004" t="s">
        <v>136</v>
      </c>
      <c r="E4004">
        <v>8</v>
      </c>
      <c r="H4004">
        <v>225</v>
      </c>
      <c r="I4004" t="s">
        <v>137</v>
      </c>
      <c r="J4004" t="s">
        <v>138</v>
      </c>
      <c r="K4004">
        <v>0</v>
      </c>
      <c r="L4004">
        <v>3</v>
      </c>
      <c r="M4004">
        <v>0</v>
      </c>
      <c r="N4004">
        <v>2</v>
      </c>
      <c r="O4004">
        <v>0</v>
      </c>
      <c r="P4004">
        <v>1</v>
      </c>
      <c r="Q4004">
        <v>0</v>
      </c>
      <c r="S4004" t="str">
        <f t="shared" si="1470"/>
        <v>19:36:18.000</v>
      </c>
      <c r="T4004" t="str">
        <f t="shared" si="1470"/>
        <v>19:36:18.000</v>
      </c>
      <c r="U4004" t="str">
        <f t="shared" si="1461"/>
        <v>AC3944</v>
      </c>
      <c r="V4004">
        <v>0</v>
      </c>
      <c r="W4004">
        <v>0</v>
      </c>
      <c r="X4004">
        <v>2</v>
      </c>
      <c r="Y4004">
        <v>0</v>
      </c>
      <c r="AA4004">
        <v>1</v>
      </c>
      <c r="AB4004">
        <v>8</v>
      </c>
      <c r="AC4004">
        <v>3</v>
      </c>
      <c r="AD4004">
        <v>0</v>
      </c>
      <c r="AE4004">
        <v>9</v>
      </c>
      <c r="AF4004" t="s">
        <v>138</v>
      </c>
      <c r="AG4004">
        <v>0</v>
      </c>
      <c r="AH4004">
        <v>3</v>
      </c>
      <c r="AI4004">
        <v>1</v>
      </c>
      <c r="AJ4004">
        <v>0</v>
      </c>
      <c r="AK4004" t="s">
        <v>1290</v>
      </c>
      <c r="AL4004">
        <v>32.733207</v>
      </c>
      <c r="AM4004" t="s">
        <v>1291</v>
      </c>
      <c r="AN4004">
        <v>-116.68373099999999</v>
      </c>
      <c r="AO4004">
        <v>25</v>
      </c>
      <c r="AP4004">
        <v>5000</v>
      </c>
      <c r="AQ4004" t="s">
        <v>129</v>
      </c>
      <c r="AR4004">
        <v>108</v>
      </c>
      <c r="AS4004">
        <v>-55</v>
      </c>
      <c r="AT4004">
        <v>704</v>
      </c>
      <c r="BB4004">
        <v>1200</v>
      </c>
      <c r="BC4004">
        <v>1</v>
      </c>
      <c r="BD4004" t="str">
        <f t="shared" si="1462"/>
        <v xml:space="preserve">N887QR  </v>
      </c>
      <c r="BE4004">
        <v>1</v>
      </c>
      <c r="BG4004">
        <v>0</v>
      </c>
      <c r="BH4004">
        <v>0</v>
      </c>
      <c r="BI4004">
        <v>0</v>
      </c>
      <c r="BJ4004">
        <v>4875</v>
      </c>
      <c r="BK4004">
        <v>-125</v>
      </c>
      <c r="BL4004" t="s">
        <v>163</v>
      </c>
      <c r="BM4004">
        <v>1</v>
      </c>
      <c r="BN4004">
        <v>1</v>
      </c>
      <c r="BO4004">
        <v>1</v>
      </c>
      <c r="BP4004">
        <v>0</v>
      </c>
      <c r="BS4004">
        <v>0</v>
      </c>
      <c r="BT4004">
        <v>0</v>
      </c>
      <c r="BU4004">
        <v>0</v>
      </c>
      <c r="CE4004" t="str">
        <f t="shared" si="1471"/>
        <v>19:36:18.248</v>
      </c>
      <c r="CF4004">
        <v>248237357</v>
      </c>
      <c r="CS4004">
        <v>0</v>
      </c>
      <c r="CT4004">
        <v>2</v>
      </c>
      <c r="CU4004">
        <v>0</v>
      </c>
      <c r="CV4004">
        <v>2</v>
      </c>
      <c r="CW4004">
        <v>0</v>
      </c>
      <c r="CX4004">
        <v>5</v>
      </c>
      <c r="CY4004">
        <v>7</v>
      </c>
      <c r="CZ4004" t="s">
        <v>131</v>
      </c>
      <c r="DA4004">
        <v>286</v>
      </c>
      <c r="DB4004">
        <v>0</v>
      </c>
      <c r="DC4004" t="s">
        <v>132</v>
      </c>
      <c r="DD4004" t="s">
        <v>133</v>
      </c>
      <c r="DG4004">
        <v>898334</v>
      </c>
      <c r="DI4004">
        <v>1</v>
      </c>
      <c r="DJ4004">
        <v>0</v>
      </c>
      <c r="DK4004">
        <v>0</v>
      </c>
      <c r="DL4004">
        <v>0</v>
      </c>
      <c r="DM4004">
        <v>0</v>
      </c>
      <c r="DN4004">
        <v>1</v>
      </c>
      <c r="DO4004">
        <v>0</v>
      </c>
      <c r="DP4004">
        <v>0</v>
      </c>
      <c r="DQ4004">
        <v>0</v>
      </c>
      <c r="DR4004">
        <v>0</v>
      </c>
      <c r="DS4004">
        <v>0</v>
      </c>
    </row>
    <row r="4005" spans="1:123" x14ac:dyDescent="0.3">
      <c r="A4005" t="str">
        <f t="shared" si="1472"/>
        <v>10/04/2022 19:36:18.526</v>
      </c>
      <c r="C4005" t="str">
        <f t="shared" si="1452"/>
        <v>FFDFD3C0</v>
      </c>
      <c r="D4005" t="s">
        <v>143</v>
      </c>
      <c r="E4005">
        <v>20</v>
      </c>
      <c r="F4005">
        <v>1020</v>
      </c>
      <c r="G4005" t="s">
        <v>144</v>
      </c>
      <c r="J4005" t="s">
        <v>145</v>
      </c>
      <c r="K4005">
        <v>0</v>
      </c>
      <c r="L4005">
        <v>3</v>
      </c>
      <c r="M4005">
        <v>0</v>
      </c>
      <c r="N4005">
        <v>2</v>
      </c>
      <c r="O4005">
        <v>0</v>
      </c>
      <c r="P4005">
        <v>1</v>
      </c>
      <c r="Q4005">
        <v>0</v>
      </c>
      <c r="S4005" t="str">
        <f t="shared" si="1470"/>
        <v>19:36:18.000</v>
      </c>
      <c r="T4005" t="str">
        <f t="shared" si="1470"/>
        <v>19:36:18.000</v>
      </c>
      <c r="U4005" t="str">
        <f t="shared" si="1461"/>
        <v>AC3944</v>
      </c>
      <c r="V4005">
        <v>0</v>
      </c>
      <c r="W4005">
        <v>0</v>
      </c>
      <c r="X4005">
        <v>2</v>
      </c>
      <c r="Y4005">
        <v>0</v>
      </c>
      <c r="AA4005">
        <v>1</v>
      </c>
      <c r="AB4005">
        <v>8</v>
      </c>
      <c r="AC4005">
        <v>3</v>
      </c>
      <c r="AD4005">
        <v>0</v>
      </c>
      <c r="AE4005">
        <v>9</v>
      </c>
      <c r="AF4005" t="s">
        <v>138</v>
      </c>
      <c r="AG4005">
        <v>0</v>
      </c>
      <c r="AH4005">
        <v>3</v>
      </c>
      <c r="AI4005">
        <v>1</v>
      </c>
      <c r="AJ4005">
        <v>0</v>
      </c>
      <c r="AK4005" t="s">
        <v>1290</v>
      </c>
      <c r="AL4005">
        <v>32.733207</v>
      </c>
      <c r="AM4005" t="s">
        <v>1291</v>
      </c>
      <c r="AN4005">
        <v>-116.68373099999999</v>
      </c>
      <c r="AO4005">
        <v>25</v>
      </c>
      <c r="AP4005">
        <v>5000</v>
      </c>
      <c r="AQ4005" t="s">
        <v>129</v>
      </c>
      <c r="AR4005">
        <v>108</v>
      </c>
      <c r="AS4005">
        <v>-55</v>
      </c>
      <c r="AT4005">
        <v>704</v>
      </c>
      <c r="BB4005">
        <v>1200</v>
      </c>
      <c r="BC4005">
        <v>1</v>
      </c>
      <c r="BD4005" t="str">
        <f t="shared" si="1462"/>
        <v xml:space="preserve">N887QR  </v>
      </c>
      <c r="BE4005">
        <v>1</v>
      </c>
      <c r="BG4005">
        <v>0</v>
      </c>
      <c r="BH4005">
        <v>0</v>
      </c>
      <c r="BI4005">
        <v>0</v>
      </c>
      <c r="BJ4005">
        <v>4875</v>
      </c>
      <c r="BK4005">
        <v>-125</v>
      </c>
      <c r="BL4005" t="s">
        <v>163</v>
      </c>
      <c r="BM4005">
        <v>1</v>
      </c>
      <c r="BN4005">
        <v>1</v>
      </c>
      <c r="BO4005">
        <v>1</v>
      </c>
      <c r="BP4005">
        <v>0</v>
      </c>
      <c r="BS4005">
        <v>0</v>
      </c>
      <c r="BT4005">
        <v>0</v>
      </c>
      <c r="BU4005">
        <v>0</v>
      </c>
      <c r="CE4005" t="str">
        <f t="shared" si="1471"/>
        <v>19:36:18.248</v>
      </c>
      <c r="CF4005">
        <v>248237357</v>
      </c>
      <c r="CS4005">
        <v>0</v>
      </c>
      <c r="CT4005">
        <v>2</v>
      </c>
      <c r="CU4005">
        <v>0</v>
      </c>
      <c r="CV4005">
        <v>2</v>
      </c>
      <c r="CW4005">
        <v>0</v>
      </c>
      <c r="CX4005">
        <v>5</v>
      </c>
      <c r="CY4005">
        <v>7</v>
      </c>
      <c r="CZ4005" t="s">
        <v>131</v>
      </c>
      <c r="DA4005">
        <v>286</v>
      </c>
      <c r="DB4005">
        <v>0</v>
      </c>
      <c r="DC4005" t="s">
        <v>132</v>
      </c>
      <c r="DD4005" t="s">
        <v>133</v>
      </c>
      <c r="DG4005">
        <v>898334</v>
      </c>
      <c r="DI4005">
        <v>1</v>
      </c>
      <c r="DJ4005">
        <v>0</v>
      </c>
      <c r="DK4005">
        <v>1</v>
      </c>
      <c r="DL4005">
        <v>0</v>
      </c>
      <c r="DM4005">
        <v>0</v>
      </c>
      <c r="DN4005">
        <v>1</v>
      </c>
      <c r="DO4005">
        <v>0</v>
      </c>
      <c r="DP4005">
        <v>0</v>
      </c>
      <c r="DQ4005">
        <v>0</v>
      </c>
      <c r="DR4005">
        <v>0</v>
      </c>
      <c r="DS4005">
        <v>0</v>
      </c>
    </row>
    <row r="4006" spans="1:123" x14ac:dyDescent="0.3">
      <c r="A4006" t="str">
        <f>"10/04/2022 19:36:19.917"</f>
        <v>10/04/2022 19:36:19.917</v>
      </c>
      <c r="C4006" t="str">
        <f t="shared" si="1452"/>
        <v>FFDFD3C0</v>
      </c>
      <c r="D4006" t="s">
        <v>143</v>
      </c>
      <c r="E4006">
        <v>20</v>
      </c>
      <c r="F4006">
        <v>1020</v>
      </c>
      <c r="G4006" t="s">
        <v>144</v>
      </c>
      <c r="J4006" t="s">
        <v>145</v>
      </c>
      <c r="K4006">
        <v>0</v>
      </c>
      <c r="L4006">
        <v>3</v>
      </c>
      <c r="M4006">
        <v>0</v>
      </c>
      <c r="N4006">
        <v>2</v>
      </c>
      <c r="O4006">
        <v>0</v>
      </c>
      <c r="P4006">
        <v>1</v>
      </c>
      <c r="Q4006">
        <v>0</v>
      </c>
      <c r="S4006" t="str">
        <f t="shared" ref="S4006:T4019" si="1473">"19:36:19.000"</f>
        <v>19:36:19.000</v>
      </c>
      <c r="T4006" t="str">
        <f t="shared" si="1473"/>
        <v>19:36:19.000</v>
      </c>
      <c r="U4006" t="str">
        <f t="shared" si="1461"/>
        <v>AC3944</v>
      </c>
      <c r="V4006">
        <v>0</v>
      </c>
      <c r="W4006">
        <v>0</v>
      </c>
      <c r="X4006">
        <v>2</v>
      </c>
      <c r="Y4006">
        <v>0</v>
      </c>
      <c r="AA4006">
        <v>1</v>
      </c>
      <c r="AB4006">
        <v>8</v>
      </c>
      <c r="AC4006">
        <v>3</v>
      </c>
      <c r="AD4006">
        <v>0</v>
      </c>
      <c r="AE4006">
        <v>9</v>
      </c>
      <c r="AF4006" t="s">
        <v>138</v>
      </c>
      <c r="AG4006">
        <v>0</v>
      </c>
      <c r="AH4006">
        <v>3</v>
      </c>
      <c r="AI4006">
        <v>1</v>
      </c>
      <c r="AJ4006">
        <v>0</v>
      </c>
      <c r="AK4006" t="s">
        <v>1292</v>
      </c>
      <c r="AL4006">
        <v>32.732948999999998</v>
      </c>
      <c r="AM4006" t="s">
        <v>1293</v>
      </c>
      <c r="AN4006">
        <v>-116.68315200000001</v>
      </c>
      <c r="AO4006">
        <v>25</v>
      </c>
      <c r="AP4006">
        <v>5000</v>
      </c>
      <c r="AQ4006" t="s">
        <v>129</v>
      </c>
      <c r="AR4006">
        <v>112</v>
      </c>
      <c r="AS4006">
        <v>-48</v>
      </c>
      <c r="AT4006">
        <v>704</v>
      </c>
      <c r="BB4006">
        <v>1200</v>
      </c>
      <c r="BC4006">
        <v>1</v>
      </c>
      <c r="BD4006" t="str">
        <f t="shared" si="1462"/>
        <v xml:space="preserve">N887QR  </v>
      </c>
      <c r="BE4006">
        <v>1</v>
      </c>
      <c r="BG4006">
        <v>0</v>
      </c>
      <c r="BH4006">
        <v>0</v>
      </c>
      <c r="BI4006">
        <v>0</v>
      </c>
      <c r="BJ4006">
        <v>4875</v>
      </c>
      <c r="BK4006">
        <v>-125</v>
      </c>
      <c r="BL4006" t="s">
        <v>163</v>
      </c>
      <c r="BM4006">
        <v>1</v>
      </c>
      <c r="BN4006">
        <v>1</v>
      </c>
      <c r="BO4006">
        <v>1</v>
      </c>
      <c r="BP4006">
        <v>0</v>
      </c>
      <c r="BS4006">
        <v>0</v>
      </c>
      <c r="BT4006">
        <v>0</v>
      </c>
      <c r="BU4006">
        <v>0</v>
      </c>
      <c r="CE4006" t="str">
        <f t="shared" ref="CE4006:CE4012" si="1474">"19:36:19.287"</f>
        <v>19:36:19.287</v>
      </c>
      <c r="CF4006">
        <v>286740762</v>
      </c>
      <c r="CS4006">
        <v>0</v>
      </c>
      <c r="CT4006">
        <v>2</v>
      </c>
      <c r="CU4006">
        <v>0</v>
      </c>
      <c r="CV4006">
        <v>2</v>
      </c>
      <c r="CW4006">
        <v>3</v>
      </c>
      <c r="CX4006">
        <v>5</v>
      </c>
      <c r="CY4006">
        <v>7</v>
      </c>
      <c r="CZ4006" t="s">
        <v>131</v>
      </c>
      <c r="DA4006">
        <v>286</v>
      </c>
      <c r="DB4006">
        <v>0</v>
      </c>
      <c r="DC4006" t="s">
        <v>132</v>
      </c>
      <c r="DD4006" t="s">
        <v>133</v>
      </c>
      <c r="DG4006">
        <v>898536</v>
      </c>
      <c r="DI4006">
        <v>1</v>
      </c>
      <c r="DJ4006">
        <v>0</v>
      </c>
      <c r="DK4006">
        <v>0</v>
      </c>
      <c r="DL4006">
        <v>0</v>
      </c>
      <c r="DM4006">
        <v>0</v>
      </c>
      <c r="DN4006">
        <v>1</v>
      </c>
      <c r="DO4006">
        <v>0</v>
      </c>
      <c r="DP4006">
        <v>0</v>
      </c>
      <c r="DQ4006">
        <v>0</v>
      </c>
      <c r="DR4006">
        <v>0</v>
      </c>
      <c r="DS4006">
        <v>0</v>
      </c>
    </row>
    <row r="4007" spans="1:123" x14ac:dyDescent="0.3">
      <c r="A4007" t="str">
        <f>"10/04/2022 19:36:19.917"</f>
        <v>10/04/2022 19:36:19.917</v>
      </c>
      <c r="C4007" t="str">
        <f t="shared" si="1452"/>
        <v>FFDFD3C0</v>
      </c>
      <c r="D4007" t="s">
        <v>136</v>
      </c>
      <c r="E4007">
        <v>8</v>
      </c>
      <c r="H4007">
        <v>225</v>
      </c>
      <c r="I4007" t="s">
        <v>137</v>
      </c>
      <c r="J4007" t="s">
        <v>138</v>
      </c>
      <c r="K4007">
        <v>0</v>
      </c>
      <c r="L4007">
        <v>3</v>
      </c>
      <c r="M4007">
        <v>0</v>
      </c>
      <c r="N4007">
        <v>2</v>
      </c>
      <c r="O4007">
        <v>0</v>
      </c>
      <c r="P4007">
        <v>1</v>
      </c>
      <c r="Q4007">
        <v>0</v>
      </c>
      <c r="S4007" t="str">
        <f t="shared" si="1473"/>
        <v>19:36:19.000</v>
      </c>
      <c r="T4007" t="str">
        <f t="shared" si="1473"/>
        <v>19:36:19.000</v>
      </c>
      <c r="U4007" t="str">
        <f t="shared" si="1461"/>
        <v>AC3944</v>
      </c>
      <c r="V4007">
        <v>0</v>
      </c>
      <c r="W4007">
        <v>0</v>
      </c>
      <c r="X4007">
        <v>2</v>
      </c>
      <c r="Y4007">
        <v>0</v>
      </c>
      <c r="AA4007">
        <v>1</v>
      </c>
      <c r="AB4007">
        <v>8</v>
      </c>
      <c r="AC4007">
        <v>3</v>
      </c>
      <c r="AD4007">
        <v>0</v>
      </c>
      <c r="AE4007">
        <v>9</v>
      </c>
      <c r="AF4007" t="s">
        <v>138</v>
      </c>
      <c r="AG4007">
        <v>0</v>
      </c>
      <c r="AH4007">
        <v>3</v>
      </c>
      <c r="AI4007">
        <v>1</v>
      </c>
      <c r="AJ4007">
        <v>0</v>
      </c>
      <c r="AK4007" t="s">
        <v>1292</v>
      </c>
      <c r="AL4007">
        <v>32.732948999999998</v>
      </c>
      <c r="AM4007" t="s">
        <v>1293</v>
      </c>
      <c r="AN4007">
        <v>-116.68315200000001</v>
      </c>
      <c r="AO4007">
        <v>25</v>
      </c>
      <c r="AP4007">
        <v>5000</v>
      </c>
      <c r="AQ4007" t="s">
        <v>129</v>
      </c>
      <c r="AR4007">
        <v>112</v>
      </c>
      <c r="AS4007">
        <v>-48</v>
      </c>
      <c r="AT4007">
        <v>704</v>
      </c>
      <c r="BB4007">
        <v>1200</v>
      </c>
      <c r="BC4007">
        <v>1</v>
      </c>
      <c r="BD4007" t="str">
        <f t="shared" si="1462"/>
        <v xml:space="preserve">N887QR  </v>
      </c>
      <c r="BE4007">
        <v>1</v>
      </c>
      <c r="BG4007">
        <v>0</v>
      </c>
      <c r="BH4007">
        <v>0</v>
      </c>
      <c r="BI4007">
        <v>0</v>
      </c>
      <c r="BJ4007">
        <v>4875</v>
      </c>
      <c r="BK4007">
        <v>-125</v>
      </c>
      <c r="BL4007" t="s">
        <v>163</v>
      </c>
      <c r="BM4007">
        <v>1</v>
      </c>
      <c r="BN4007">
        <v>1</v>
      </c>
      <c r="BO4007">
        <v>1</v>
      </c>
      <c r="BP4007">
        <v>0</v>
      </c>
      <c r="BS4007">
        <v>0</v>
      </c>
      <c r="BT4007">
        <v>0</v>
      </c>
      <c r="BU4007">
        <v>0</v>
      </c>
      <c r="CE4007" t="str">
        <f t="shared" si="1474"/>
        <v>19:36:19.287</v>
      </c>
      <c r="CF4007">
        <v>286740762</v>
      </c>
      <c r="CS4007">
        <v>0</v>
      </c>
      <c r="CT4007">
        <v>2</v>
      </c>
      <c r="CU4007">
        <v>0</v>
      </c>
      <c r="CV4007">
        <v>2</v>
      </c>
      <c r="CW4007">
        <v>3</v>
      </c>
      <c r="CX4007">
        <v>5</v>
      </c>
      <c r="CY4007">
        <v>7</v>
      </c>
      <c r="CZ4007" t="s">
        <v>131</v>
      </c>
      <c r="DA4007">
        <v>286</v>
      </c>
      <c r="DB4007">
        <v>0</v>
      </c>
      <c r="DC4007" t="s">
        <v>132</v>
      </c>
      <c r="DD4007" t="s">
        <v>133</v>
      </c>
      <c r="DG4007">
        <v>898536</v>
      </c>
      <c r="DI4007">
        <v>1</v>
      </c>
      <c r="DJ4007">
        <v>0</v>
      </c>
      <c r="DK4007">
        <v>1</v>
      </c>
      <c r="DL4007">
        <v>0</v>
      </c>
      <c r="DM4007">
        <v>0</v>
      </c>
      <c r="DN4007">
        <v>1</v>
      </c>
      <c r="DO4007">
        <v>0</v>
      </c>
      <c r="DP4007">
        <v>0</v>
      </c>
      <c r="DQ4007">
        <v>0</v>
      </c>
      <c r="DR4007">
        <v>0</v>
      </c>
      <c r="DS4007">
        <v>0</v>
      </c>
    </row>
    <row r="4008" spans="1:123" x14ac:dyDescent="0.3">
      <c r="A4008" t="str">
        <f>"10/04/2022 19:36:19.964"</f>
        <v>10/04/2022 19:36:19.964</v>
      </c>
      <c r="C4008" t="str">
        <f t="shared" si="1452"/>
        <v>FFDFD3C0</v>
      </c>
      <c r="D4008" t="s">
        <v>123</v>
      </c>
      <c r="E4008">
        <v>7</v>
      </c>
      <c r="F4008">
        <v>2007</v>
      </c>
      <c r="G4008" t="s">
        <v>124</v>
      </c>
      <c r="J4008" t="s">
        <v>125</v>
      </c>
      <c r="K4008">
        <v>0</v>
      </c>
      <c r="L4008">
        <v>3</v>
      </c>
      <c r="M4008">
        <v>0</v>
      </c>
      <c r="N4008">
        <v>2</v>
      </c>
      <c r="O4008">
        <v>0</v>
      </c>
      <c r="P4008">
        <v>1</v>
      </c>
      <c r="Q4008">
        <v>0</v>
      </c>
      <c r="S4008" t="str">
        <f t="shared" si="1473"/>
        <v>19:36:19.000</v>
      </c>
      <c r="T4008" t="str">
        <f t="shared" si="1473"/>
        <v>19:36:19.000</v>
      </c>
      <c r="U4008" t="str">
        <f t="shared" si="1461"/>
        <v>AC3944</v>
      </c>
      <c r="V4008">
        <v>0</v>
      </c>
      <c r="W4008">
        <v>0</v>
      </c>
      <c r="X4008">
        <v>2</v>
      </c>
      <c r="Y4008">
        <v>0</v>
      </c>
      <c r="AA4008">
        <v>1</v>
      </c>
      <c r="AB4008">
        <v>8</v>
      </c>
      <c r="AC4008">
        <v>3</v>
      </c>
      <c r="AD4008">
        <v>0</v>
      </c>
      <c r="AE4008">
        <v>9</v>
      </c>
      <c r="AF4008" t="s">
        <v>138</v>
      </c>
      <c r="AG4008">
        <v>0</v>
      </c>
      <c r="AH4008">
        <v>3</v>
      </c>
      <c r="AI4008">
        <v>1</v>
      </c>
      <c r="AJ4008">
        <v>0</v>
      </c>
      <c r="AK4008" t="s">
        <v>1292</v>
      </c>
      <c r="AL4008">
        <v>32.732948999999998</v>
      </c>
      <c r="AM4008" t="s">
        <v>1293</v>
      </c>
      <c r="AN4008">
        <v>-116.68315200000001</v>
      </c>
      <c r="AO4008">
        <v>25</v>
      </c>
      <c r="AP4008">
        <v>5000</v>
      </c>
      <c r="AQ4008" t="s">
        <v>129</v>
      </c>
      <c r="AR4008">
        <v>112</v>
      </c>
      <c r="AS4008">
        <v>-48</v>
      </c>
      <c r="AT4008">
        <v>704</v>
      </c>
      <c r="BB4008">
        <v>1200</v>
      </c>
      <c r="BC4008">
        <v>1</v>
      </c>
      <c r="BD4008" t="str">
        <f t="shared" si="1462"/>
        <v xml:space="preserve">N887QR  </v>
      </c>
      <c r="BE4008">
        <v>1</v>
      </c>
      <c r="BG4008">
        <v>0</v>
      </c>
      <c r="BH4008">
        <v>0</v>
      </c>
      <c r="BI4008">
        <v>0</v>
      </c>
      <c r="BJ4008">
        <v>4875</v>
      </c>
      <c r="BK4008">
        <v>-125</v>
      </c>
      <c r="BL4008" t="s">
        <v>163</v>
      </c>
      <c r="BM4008">
        <v>1</v>
      </c>
      <c r="BN4008">
        <v>1</v>
      </c>
      <c r="BO4008">
        <v>1</v>
      </c>
      <c r="BP4008">
        <v>0</v>
      </c>
      <c r="BS4008">
        <v>0</v>
      </c>
      <c r="BT4008">
        <v>0</v>
      </c>
      <c r="BU4008">
        <v>0</v>
      </c>
      <c r="CE4008" t="str">
        <f t="shared" si="1474"/>
        <v>19:36:19.287</v>
      </c>
      <c r="CF4008">
        <v>286740762</v>
      </c>
      <c r="CS4008">
        <v>0</v>
      </c>
      <c r="CT4008">
        <v>2</v>
      </c>
      <c r="CU4008">
        <v>0</v>
      </c>
      <c r="CV4008">
        <v>2</v>
      </c>
      <c r="CW4008">
        <v>3</v>
      </c>
      <c r="CX4008">
        <v>5</v>
      </c>
      <c r="CY4008">
        <v>7</v>
      </c>
      <c r="CZ4008" t="s">
        <v>131</v>
      </c>
      <c r="DA4008">
        <v>286</v>
      </c>
      <c r="DB4008">
        <v>0</v>
      </c>
      <c r="DC4008" t="s">
        <v>132</v>
      </c>
      <c r="DD4008" t="s">
        <v>133</v>
      </c>
      <c r="DG4008">
        <v>898536</v>
      </c>
      <c r="DI4008">
        <v>1</v>
      </c>
      <c r="DJ4008">
        <v>0</v>
      </c>
      <c r="DK4008">
        <v>1</v>
      </c>
      <c r="DL4008">
        <v>0</v>
      </c>
      <c r="DM4008">
        <v>0</v>
      </c>
      <c r="DN4008">
        <v>1</v>
      </c>
      <c r="DO4008">
        <v>0</v>
      </c>
      <c r="DP4008">
        <v>0</v>
      </c>
      <c r="DQ4008">
        <v>0</v>
      </c>
      <c r="DR4008">
        <v>0</v>
      </c>
      <c r="DS4008">
        <v>0</v>
      </c>
    </row>
    <row r="4009" spans="1:123" x14ac:dyDescent="0.3">
      <c r="A4009" t="str">
        <f>"10/04/2022 19:36:19.964"</f>
        <v>10/04/2022 19:36:19.964</v>
      </c>
      <c r="C4009" t="str">
        <f t="shared" si="1452"/>
        <v>FFDFD3C0</v>
      </c>
      <c r="D4009" t="s">
        <v>134</v>
      </c>
      <c r="E4009">
        <v>15</v>
      </c>
      <c r="J4009" t="s">
        <v>135</v>
      </c>
      <c r="K4009">
        <v>0</v>
      </c>
      <c r="L4009">
        <v>3</v>
      </c>
      <c r="M4009">
        <v>0</v>
      </c>
      <c r="N4009">
        <v>2</v>
      </c>
      <c r="O4009">
        <v>0</v>
      </c>
      <c r="P4009">
        <v>1</v>
      </c>
      <c r="Q4009">
        <v>0</v>
      </c>
      <c r="S4009" t="str">
        <f t="shared" si="1473"/>
        <v>19:36:19.000</v>
      </c>
      <c r="T4009" t="str">
        <f t="shared" si="1473"/>
        <v>19:36:19.000</v>
      </c>
      <c r="U4009" t="str">
        <f t="shared" si="1461"/>
        <v>AC3944</v>
      </c>
      <c r="V4009">
        <v>0</v>
      </c>
      <c r="W4009">
        <v>0</v>
      </c>
      <c r="X4009">
        <v>2</v>
      </c>
      <c r="Y4009">
        <v>0</v>
      </c>
      <c r="AA4009">
        <v>1</v>
      </c>
      <c r="AB4009">
        <v>8</v>
      </c>
      <c r="AC4009">
        <v>3</v>
      </c>
      <c r="AD4009">
        <v>0</v>
      </c>
      <c r="AE4009">
        <v>9</v>
      </c>
      <c r="AF4009" t="s">
        <v>138</v>
      </c>
      <c r="AG4009">
        <v>0</v>
      </c>
      <c r="AH4009">
        <v>3</v>
      </c>
      <c r="AI4009">
        <v>1</v>
      </c>
      <c r="AJ4009">
        <v>0</v>
      </c>
      <c r="AK4009" t="s">
        <v>1292</v>
      </c>
      <c r="AL4009">
        <v>32.732948999999998</v>
      </c>
      <c r="AM4009" t="s">
        <v>1293</v>
      </c>
      <c r="AN4009">
        <v>-116.68315200000001</v>
      </c>
      <c r="AO4009">
        <v>25</v>
      </c>
      <c r="AP4009">
        <v>5000</v>
      </c>
      <c r="AQ4009" t="s">
        <v>129</v>
      </c>
      <c r="AR4009">
        <v>112</v>
      </c>
      <c r="AS4009">
        <v>-48</v>
      </c>
      <c r="AT4009">
        <v>704</v>
      </c>
      <c r="BB4009">
        <v>1200</v>
      </c>
      <c r="BC4009">
        <v>1</v>
      </c>
      <c r="BD4009" t="str">
        <f t="shared" si="1462"/>
        <v xml:space="preserve">N887QR  </v>
      </c>
      <c r="BE4009">
        <v>1</v>
      </c>
      <c r="BG4009">
        <v>0</v>
      </c>
      <c r="BH4009">
        <v>0</v>
      </c>
      <c r="BI4009">
        <v>0</v>
      </c>
      <c r="BJ4009">
        <v>4875</v>
      </c>
      <c r="BK4009">
        <v>-125</v>
      </c>
      <c r="BL4009" t="s">
        <v>163</v>
      </c>
      <c r="BM4009">
        <v>1</v>
      </c>
      <c r="BN4009">
        <v>1</v>
      </c>
      <c r="BO4009">
        <v>1</v>
      </c>
      <c r="BP4009">
        <v>0</v>
      </c>
      <c r="BS4009">
        <v>0</v>
      </c>
      <c r="BT4009">
        <v>0</v>
      </c>
      <c r="BU4009">
        <v>0</v>
      </c>
      <c r="CE4009" t="str">
        <f t="shared" si="1474"/>
        <v>19:36:19.287</v>
      </c>
      <c r="CF4009">
        <v>286740762</v>
      </c>
      <c r="CS4009">
        <v>0</v>
      </c>
      <c r="CT4009">
        <v>2</v>
      </c>
      <c r="CU4009">
        <v>0</v>
      </c>
      <c r="CV4009">
        <v>2</v>
      </c>
      <c r="CW4009">
        <v>3</v>
      </c>
      <c r="CX4009">
        <v>5</v>
      </c>
      <c r="CY4009">
        <v>7</v>
      </c>
      <c r="CZ4009" t="s">
        <v>131</v>
      </c>
      <c r="DA4009">
        <v>286</v>
      </c>
      <c r="DB4009">
        <v>0</v>
      </c>
      <c r="DC4009" t="s">
        <v>132</v>
      </c>
      <c r="DD4009" t="s">
        <v>133</v>
      </c>
      <c r="DG4009">
        <v>898536</v>
      </c>
      <c r="DI4009">
        <v>1</v>
      </c>
      <c r="DJ4009">
        <v>0</v>
      </c>
      <c r="DK4009">
        <v>0</v>
      </c>
      <c r="DL4009">
        <v>0</v>
      </c>
      <c r="DM4009">
        <v>0</v>
      </c>
      <c r="DN4009">
        <v>1</v>
      </c>
      <c r="DO4009">
        <v>0</v>
      </c>
      <c r="DP4009">
        <v>0</v>
      </c>
      <c r="DQ4009">
        <v>0</v>
      </c>
      <c r="DR4009">
        <v>0</v>
      </c>
      <c r="DS4009">
        <v>0</v>
      </c>
    </row>
    <row r="4010" spans="1:123" x14ac:dyDescent="0.3">
      <c r="A4010" t="str">
        <f>"10/04/2022 19:36:19.964"</f>
        <v>10/04/2022 19:36:19.964</v>
      </c>
      <c r="C4010" t="str">
        <f t="shared" si="1452"/>
        <v>FFDFD3C0</v>
      </c>
      <c r="D4010" t="s">
        <v>141</v>
      </c>
      <c r="E4010">
        <v>4</v>
      </c>
      <c r="H4010">
        <v>4</v>
      </c>
      <c r="I4010" t="s">
        <v>142</v>
      </c>
      <c r="J4010" t="s">
        <v>138</v>
      </c>
      <c r="K4010">
        <v>0</v>
      </c>
      <c r="L4010">
        <v>3</v>
      </c>
      <c r="M4010">
        <v>0</v>
      </c>
      <c r="N4010">
        <v>2</v>
      </c>
      <c r="O4010">
        <v>0</v>
      </c>
      <c r="P4010">
        <v>1</v>
      </c>
      <c r="Q4010">
        <v>0</v>
      </c>
      <c r="S4010" t="str">
        <f t="shared" si="1473"/>
        <v>19:36:19.000</v>
      </c>
      <c r="T4010" t="str">
        <f t="shared" si="1473"/>
        <v>19:36:19.000</v>
      </c>
      <c r="U4010" t="str">
        <f t="shared" si="1461"/>
        <v>AC3944</v>
      </c>
      <c r="V4010">
        <v>0</v>
      </c>
      <c r="W4010">
        <v>0</v>
      </c>
      <c r="X4010">
        <v>2</v>
      </c>
      <c r="Y4010">
        <v>0</v>
      </c>
      <c r="AA4010">
        <v>1</v>
      </c>
      <c r="AB4010">
        <v>8</v>
      </c>
      <c r="AC4010">
        <v>3</v>
      </c>
      <c r="AD4010">
        <v>0</v>
      </c>
      <c r="AE4010">
        <v>9</v>
      </c>
      <c r="AF4010" t="s">
        <v>138</v>
      </c>
      <c r="AG4010">
        <v>0</v>
      </c>
      <c r="AH4010">
        <v>3</v>
      </c>
      <c r="AI4010">
        <v>1</v>
      </c>
      <c r="AJ4010">
        <v>0</v>
      </c>
      <c r="AK4010" t="s">
        <v>1292</v>
      </c>
      <c r="AL4010">
        <v>32.732948999999998</v>
      </c>
      <c r="AM4010" t="s">
        <v>1293</v>
      </c>
      <c r="AN4010">
        <v>-116.68315200000001</v>
      </c>
      <c r="AO4010">
        <v>25</v>
      </c>
      <c r="AP4010">
        <v>5000</v>
      </c>
      <c r="AQ4010" t="s">
        <v>129</v>
      </c>
      <c r="AR4010">
        <v>112</v>
      </c>
      <c r="AS4010">
        <v>-48</v>
      </c>
      <c r="AT4010">
        <v>704</v>
      </c>
      <c r="BB4010">
        <v>1200</v>
      </c>
      <c r="BC4010">
        <v>1</v>
      </c>
      <c r="BD4010" t="str">
        <f t="shared" si="1462"/>
        <v xml:space="preserve">N887QR  </v>
      </c>
      <c r="BE4010">
        <v>1</v>
      </c>
      <c r="BG4010">
        <v>0</v>
      </c>
      <c r="BH4010">
        <v>0</v>
      </c>
      <c r="BI4010">
        <v>0</v>
      </c>
      <c r="BJ4010">
        <v>4875</v>
      </c>
      <c r="BK4010">
        <v>-125</v>
      </c>
      <c r="BL4010" t="s">
        <v>163</v>
      </c>
      <c r="BM4010">
        <v>1</v>
      </c>
      <c r="BN4010">
        <v>1</v>
      </c>
      <c r="BO4010">
        <v>1</v>
      </c>
      <c r="BP4010">
        <v>0</v>
      </c>
      <c r="BS4010">
        <v>0</v>
      </c>
      <c r="BT4010">
        <v>0</v>
      </c>
      <c r="BU4010">
        <v>0</v>
      </c>
      <c r="CE4010" t="str">
        <f t="shared" si="1474"/>
        <v>19:36:19.287</v>
      </c>
      <c r="CF4010">
        <v>286740762</v>
      </c>
      <c r="CS4010">
        <v>0</v>
      </c>
      <c r="CT4010">
        <v>2</v>
      </c>
      <c r="CU4010">
        <v>0</v>
      </c>
      <c r="CV4010">
        <v>2</v>
      </c>
      <c r="CW4010">
        <v>3</v>
      </c>
      <c r="CX4010">
        <v>5</v>
      </c>
      <c r="CY4010">
        <v>7</v>
      </c>
      <c r="CZ4010" t="s">
        <v>131</v>
      </c>
      <c r="DA4010">
        <v>286</v>
      </c>
      <c r="DB4010">
        <v>0</v>
      </c>
      <c r="DC4010" t="s">
        <v>132</v>
      </c>
      <c r="DD4010" t="s">
        <v>133</v>
      </c>
      <c r="DG4010">
        <v>898536</v>
      </c>
      <c r="DI4010">
        <v>1</v>
      </c>
      <c r="DJ4010">
        <v>0</v>
      </c>
      <c r="DK4010">
        <v>1</v>
      </c>
      <c r="DL4010">
        <v>0</v>
      </c>
      <c r="DM4010">
        <v>0</v>
      </c>
      <c r="DN4010">
        <v>1</v>
      </c>
      <c r="DO4010">
        <v>0</v>
      </c>
      <c r="DP4010">
        <v>0</v>
      </c>
      <c r="DQ4010">
        <v>0</v>
      </c>
      <c r="DR4010">
        <v>0</v>
      </c>
      <c r="DS4010">
        <v>0</v>
      </c>
    </row>
    <row r="4011" spans="1:123" x14ac:dyDescent="0.3">
      <c r="A4011" t="str">
        <f>"10/04/2022 19:36:19.964"</f>
        <v>10/04/2022 19:36:19.964</v>
      </c>
      <c r="C4011" t="str">
        <f t="shared" ref="C4011:C4074" si="1475">"FFDFD3C0"</f>
        <v>FFDFD3C0</v>
      </c>
      <c r="D4011" t="s">
        <v>147</v>
      </c>
      <c r="E4011">
        <v>3</v>
      </c>
      <c r="H4011">
        <v>166</v>
      </c>
      <c r="I4011" t="s">
        <v>144</v>
      </c>
      <c r="J4011" t="s">
        <v>148</v>
      </c>
      <c r="K4011">
        <v>0</v>
      </c>
      <c r="L4011">
        <v>3</v>
      </c>
      <c r="M4011">
        <v>0</v>
      </c>
      <c r="N4011">
        <v>2</v>
      </c>
      <c r="O4011">
        <v>0</v>
      </c>
      <c r="P4011">
        <v>1</v>
      </c>
      <c r="Q4011">
        <v>0</v>
      </c>
      <c r="S4011" t="str">
        <f t="shared" si="1473"/>
        <v>19:36:19.000</v>
      </c>
      <c r="T4011" t="str">
        <f t="shared" si="1473"/>
        <v>19:36:19.000</v>
      </c>
      <c r="U4011" t="str">
        <f t="shared" si="1461"/>
        <v>AC3944</v>
      </c>
      <c r="V4011">
        <v>0</v>
      </c>
      <c r="W4011">
        <v>0</v>
      </c>
      <c r="X4011">
        <v>2</v>
      </c>
      <c r="Y4011">
        <v>0</v>
      </c>
      <c r="AA4011">
        <v>1</v>
      </c>
      <c r="AB4011">
        <v>8</v>
      </c>
      <c r="AC4011">
        <v>3</v>
      </c>
      <c r="AD4011">
        <v>0</v>
      </c>
      <c r="AE4011">
        <v>9</v>
      </c>
      <c r="AF4011" t="s">
        <v>138</v>
      </c>
      <c r="AG4011">
        <v>0</v>
      </c>
      <c r="AH4011">
        <v>3</v>
      </c>
      <c r="AI4011">
        <v>1</v>
      </c>
      <c r="AJ4011">
        <v>0</v>
      </c>
      <c r="AK4011" t="s">
        <v>1292</v>
      </c>
      <c r="AL4011">
        <v>32.732948999999998</v>
      </c>
      <c r="AM4011" t="s">
        <v>1293</v>
      </c>
      <c r="AN4011">
        <v>-116.68315200000001</v>
      </c>
      <c r="AO4011">
        <v>25</v>
      </c>
      <c r="AP4011">
        <v>5000</v>
      </c>
      <c r="AQ4011" t="s">
        <v>129</v>
      </c>
      <c r="AR4011">
        <v>112</v>
      </c>
      <c r="AS4011">
        <v>-48</v>
      </c>
      <c r="AT4011">
        <v>704</v>
      </c>
      <c r="BB4011">
        <v>1200</v>
      </c>
      <c r="BC4011">
        <v>1</v>
      </c>
      <c r="BD4011" t="str">
        <f t="shared" si="1462"/>
        <v xml:space="preserve">N887QR  </v>
      </c>
      <c r="BE4011">
        <v>1</v>
      </c>
      <c r="BG4011">
        <v>0</v>
      </c>
      <c r="BH4011">
        <v>0</v>
      </c>
      <c r="BI4011">
        <v>0</v>
      </c>
      <c r="BJ4011">
        <v>4875</v>
      </c>
      <c r="BK4011">
        <v>-125</v>
      </c>
      <c r="BL4011" t="s">
        <v>163</v>
      </c>
      <c r="BM4011">
        <v>1</v>
      </c>
      <c r="BN4011">
        <v>1</v>
      </c>
      <c r="BO4011">
        <v>1</v>
      </c>
      <c r="BP4011">
        <v>0</v>
      </c>
      <c r="BS4011">
        <v>0</v>
      </c>
      <c r="BT4011">
        <v>0</v>
      </c>
      <c r="BU4011">
        <v>0</v>
      </c>
      <c r="CE4011" t="str">
        <f t="shared" si="1474"/>
        <v>19:36:19.287</v>
      </c>
      <c r="CF4011">
        <v>286740762</v>
      </c>
      <c r="CS4011">
        <v>0</v>
      </c>
      <c r="CT4011">
        <v>2</v>
      </c>
      <c r="CU4011">
        <v>0</v>
      </c>
      <c r="CV4011">
        <v>2</v>
      </c>
      <c r="CW4011">
        <v>3</v>
      </c>
      <c r="CX4011">
        <v>5</v>
      </c>
      <c r="CY4011">
        <v>7</v>
      </c>
      <c r="CZ4011" t="s">
        <v>131</v>
      </c>
      <c r="DA4011">
        <v>286</v>
      </c>
      <c r="DB4011">
        <v>0</v>
      </c>
      <c r="DC4011" t="s">
        <v>132</v>
      </c>
      <c r="DD4011" t="s">
        <v>133</v>
      </c>
      <c r="DG4011">
        <v>898536</v>
      </c>
      <c r="DI4011">
        <v>1</v>
      </c>
      <c r="DJ4011">
        <v>0</v>
      </c>
      <c r="DK4011">
        <v>0</v>
      </c>
      <c r="DL4011">
        <v>0</v>
      </c>
      <c r="DM4011">
        <v>0</v>
      </c>
      <c r="DN4011">
        <v>1</v>
      </c>
      <c r="DO4011">
        <v>0</v>
      </c>
      <c r="DP4011">
        <v>0</v>
      </c>
      <c r="DQ4011">
        <v>0</v>
      </c>
      <c r="DR4011">
        <v>0</v>
      </c>
      <c r="DS4011">
        <v>0</v>
      </c>
    </row>
    <row r="4012" spans="1:123" x14ac:dyDescent="0.3">
      <c r="A4012" t="str">
        <f>"10/04/2022 19:36:20.011"</f>
        <v>10/04/2022 19:36:20.011</v>
      </c>
      <c r="C4012" t="str">
        <f t="shared" si="1475"/>
        <v>FFDFD3C0</v>
      </c>
      <c r="D4012" t="s">
        <v>141</v>
      </c>
      <c r="E4012">
        <v>3</v>
      </c>
      <c r="H4012">
        <v>3</v>
      </c>
      <c r="I4012" t="s">
        <v>146</v>
      </c>
      <c r="J4012" t="s">
        <v>138</v>
      </c>
      <c r="K4012">
        <v>0</v>
      </c>
      <c r="L4012">
        <v>3</v>
      </c>
      <c r="M4012">
        <v>0</v>
      </c>
      <c r="N4012">
        <v>2</v>
      </c>
      <c r="O4012">
        <v>0</v>
      </c>
      <c r="P4012">
        <v>1</v>
      </c>
      <c r="Q4012">
        <v>0</v>
      </c>
      <c r="S4012" t="str">
        <f t="shared" si="1473"/>
        <v>19:36:19.000</v>
      </c>
      <c r="T4012" t="str">
        <f t="shared" si="1473"/>
        <v>19:36:19.000</v>
      </c>
      <c r="U4012" t="str">
        <f t="shared" si="1461"/>
        <v>AC3944</v>
      </c>
      <c r="V4012">
        <v>0</v>
      </c>
      <c r="W4012">
        <v>0</v>
      </c>
      <c r="X4012">
        <v>2</v>
      </c>
      <c r="Y4012">
        <v>0</v>
      </c>
      <c r="AA4012">
        <v>1</v>
      </c>
      <c r="AB4012">
        <v>8</v>
      </c>
      <c r="AC4012">
        <v>3</v>
      </c>
      <c r="AD4012">
        <v>0</v>
      </c>
      <c r="AE4012">
        <v>9</v>
      </c>
      <c r="AF4012" t="s">
        <v>138</v>
      </c>
      <c r="AG4012">
        <v>0</v>
      </c>
      <c r="AH4012">
        <v>3</v>
      </c>
      <c r="AI4012">
        <v>1</v>
      </c>
      <c r="AJ4012">
        <v>0</v>
      </c>
      <c r="AK4012" t="s">
        <v>1292</v>
      </c>
      <c r="AL4012">
        <v>32.732948999999998</v>
      </c>
      <c r="AM4012" t="s">
        <v>1293</v>
      </c>
      <c r="AN4012">
        <v>-116.68315200000001</v>
      </c>
      <c r="AO4012">
        <v>25</v>
      </c>
      <c r="AP4012">
        <v>5000</v>
      </c>
      <c r="AQ4012" t="s">
        <v>129</v>
      </c>
      <c r="AR4012">
        <v>112</v>
      </c>
      <c r="AS4012">
        <v>-48</v>
      </c>
      <c r="AT4012">
        <v>704</v>
      </c>
      <c r="BB4012">
        <v>1200</v>
      </c>
      <c r="BC4012">
        <v>1</v>
      </c>
      <c r="BD4012" t="str">
        <f t="shared" si="1462"/>
        <v xml:space="preserve">N887QR  </v>
      </c>
      <c r="BE4012">
        <v>1</v>
      </c>
      <c r="BG4012">
        <v>0</v>
      </c>
      <c r="BH4012">
        <v>0</v>
      </c>
      <c r="BI4012">
        <v>0</v>
      </c>
      <c r="BJ4012">
        <v>4875</v>
      </c>
      <c r="BK4012">
        <v>-125</v>
      </c>
      <c r="BL4012" t="s">
        <v>163</v>
      </c>
      <c r="BM4012">
        <v>1</v>
      </c>
      <c r="BN4012">
        <v>1</v>
      </c>
      <c r="BO4012">
        <v>1</v>
      </c>
      <c r="BP4012">
        <v>0</v>
      </c>
      <c r="BS4012">
        <v>0</v>
      </c>
      <c r="BT4012">
        <v>0</v>
      </c>
      <c r="BU4012">
        <v>0</v>
      </c>
      <c r="CE4012" t="str">
        <f t="shared" si="1474"/>
        <v>19:36:19.287</v>
      </c>
      <c r="CF4012">
        <v>286740762</v>
      </c>
      <c r="CS4012">
        <v>0</v>
      </c>
      <c r="CT4012">
        <v>2</v>
      </c>
      <c r="CU4012">
        <v>0</v>
      </c>
      <c r="CV4012">
        <v>2</v>
      </c>
      <c r="CW4012">
        <v>3</v>
      </c>
      <c r="CX4012">
        <v>5</v>
      </c>
      <c r="CY4012">
        <v>7</v>
      </c>
      <c r="CZ4012" t="s">
        <v>131</v>
      </c>
      <c r="DA4012">
        <v>286</v>
      </c>
      <c r="DB4012">
        <v>0</v>
      </c>
      <c r="DC4012" t="s">
        <v>132</v>
      </c>
      <c r="DD4012" t="s">
        <v>133</v>
      </c>
      <c r="DG4012">
        <v>898536</v>
      </c>
      <c r="DI4012">
        <v>1</v>
      </c>
      <c r="DJ4012">
        <v>0</v>
      </c>
      <c r="DK4012">
        <v>0</v>
      </c>
      <c r="DL4012">
        <v>0</v>
      </c>
      <c r="DM4012">
        <v>0</v>
      </c>
      <c r="DN4012">
        <v>1</v>
      </c>
      <c r="DO4012">
        <v>0</v>
      </c>
      <c r="DP4012">
        <v>0</v>
      </c>
      <c r="DQ4012">
        <v>0</v>
      </c>
      <c r="DR4012">
        <v>0</v>
      </c>
      <c r="DS4012">
        <v>0</v>
      </c>
    </row>
    <row r="4013" spans="1:123" x14ac:dyDescent="0.3">
      <c r="A4013" t="str">
        <f t="shared" ref="A4013:A4019" si="1476">"10/04/2022 19:36:20.371"</f>
        <v>10/04/2022 19:36:20.371</v>
      </c>
      <c r="C4013" t="str">
        <f t="shared" si="1475"/>
        <v>FFDFD3C0</v>
      </c>
      <c r="D4013" t="s">
        <v>136</v>
      </c>
      <c r="E4013">
        <v>8</v>
      </c>
      <c r="H4013">
        <v>225</v>
      </c>
      <c r="I4013" t="s">
        <v>137</v>
      </c>
      <c r="J4013" t="s">
        <v>138</v>
      </c>
      <c r="K4013">
        <v>0</v>
      </c>
      <c r="L4013">
        <v>3</v>
      </c>
      <c r="M4013">
        <v>0</v>
      </c>
      <c r="N4013">
        <v>2</v>
      </c>
      <c r="O4013">
        <v>0</v>
      </c>
      <c r="P4013">
        <v>1</v>
      </c>
      <c r="Q4013">
        <v>0</v>
      </c>
      <c r="S4013" t="str">
        <f t="shared" si="1473"/>
        <v>19:36:19.000</v>
      </c>
      <c r="T4013" t="str">
        <f t="shared" si="1473"/>
        <v>19:36:19.000</v>
      </c>
      <c r="U4013" t="str">
        <f t="shared" si="1461"/>
        <v>AC3944</v>
      </c>
      <c r="V4013">
        <v>0</v>
      </c>
      <c r="W4013">
        <v>0</v>
      </c>
      <c r="X4013">
        <v>2</v>
      </c>
      <c r="Y4013">
        <v>0</v>
      </c>
      <c r="AA4013">
        <v>1</v>
      </c>
      <c r="AB4013">
        <v>8</v>
      </c>
      <c r="AC4013">
        <v>3</v>
      </c>
      <c r="AD4013">
        <v>0</v>
      </c>
      <c r="AE4013">
        <v>9</v>
      </c>
      <c r="AF4013" t="s">
        <v>138</v>
      </c>
      <c r="AG4013">
        <v>0</v>
      </c>
      <c r="AH4013">
        <v>3</v>
      </c>
      <c r="AI4013">
        <v>1</v>
      </c>
      <c r="AJ4013">
        <v>0</v>
      </c>
      <c r="AK4013" t="s">
        <v>1294</v>
      </c>
      <c r="AL4013">
        <v>32.732734999999998</v>
      </c>
      <c r="AM4013" t="s">
        <v>1295</v>
      </c>
      <c r="AN4013">
        <v>-116.682529</v>
      </c>
      <c r="AO4013">
        <v>25</v>
      </c>
      <c r="AP4013">
        <v>5000</v>
      </c>
      <c r="AQ4013" t="s">
        <v>129</v>
      </c>
      <c r="AR4013">
        <v>115</v>
      </c>
      <c r="AS4013">
        <v>-41</v>
      </c>
      <c r="AT4013">
        <v>704</v>
      </c>
      <c r="BB4013">
        <v>1200</v>
      </c>
      <c r="BC4013">
        <v>1</v>
      </c>
      <c r="BD4013" t="str">
        <f t="shared" si="1462"/>
        <v xml:space="preserve">N887QR  </v>
      </c>
      <c r="BE4013">
        <v>1</v>
      </c>
      <c r="BG4013">
        <v>0</v>
      </c>
      <c r="BH4013">
        <v>0</v>
      </c>
      <c r="BI4013">
        <v>0</v>
      </c>
      <c r="BJ4013">
        <v>4875</v>
      </c>
      <c r="BK4013">
        <v>-125</v>
      </c>
      <c r="BL4013" t="s">
        <v>163</v>
      </c>
      <c r="BM4013">
        <v>1</v>
      </c>
      <c r="BN4013">
        <v>1</v>
      </c>
      <c r="BO4013">
        <v>1</v>
      </c>
      <c r="BP4013">
        <v>0</v>
      </c>
      <c r="BS4013">
        <v>0</v>
      </c>
      <c r="BT4013">
        <v>0</v>
      </c>
      <c r="BU4013">
        <v>0</v>
      </c>
      <c r="CE4013" t="str">
        <f t="shared" ref="CE4013:CE4019" si="1477">"19:36:19.909"</f>
        <v>19:36:19.909</v>
      </c>
      <c r="CF4013">
        <v>908742831</v>
      </c>
      <c r="CS4013">
        <v>0</v>
      </c>
      <c r="CT4013">
        <v>2</v>
      </c>
      <c r="CU4013">
        <v>0</v>
      </c>
      <c r="CV4013">
        <v>2</v>
      </c>
      <c r="CW4013">
        <v>2</v>
      </c>
      <c r="CX4013">
        <v>5</v>
      </c>
      <c r="CY4013">
        <v>7</v>
      </c>
      <c r="CZ4013" t="s">
        <v>131</v>
      </c>
      <c r="DA4013">
        <v>286</v>
      </c>
      <c r="DB4013">
        <v>0</v>
      </c>
      <c r="DC4013" t="s">
        <v>132</v>
      </c>
      <c r="DD4013" t="s">
        <v>133</v>
      </c>
      <c r="DG4013">
        <v>898675</v>
      </c>
      <c r="DI4013">
        <v>1</v>
      </c>
      <c r="DJ4013">
        <v>0</v>
      </c>
      <c r="DK4013">
        <v>0</v>
      </c>
      <c r="DL4013">
        <v>0</v>
      </c>
      <c r="DM4013">
        <v>0</v>
      </c>
      <c r="DN4013">
        <v>1</v>
      </c>
      <c r="DO4013">
        <v>0</v>
      </c>
      <c r="DP4013">
        <v>0</v>
      </c>
      <c r="DQ4013">
        <v>0</v>
      </c>
      <c r="DR4013">
        <v>0</v>
      </c>
      <c r="DS4013">
        <v>0</v>
      </c>
    </row>
    <row r="4014" spans="1:123" x14ac:dyDescent="0.3">
      <c r="A4014" t="str">
        <f t="shared" si="1476"/>
        <v>10/04/2022 19:36:20.371</v>
      </c>
      <c r="C4014" t="str">
        <f t="shared" si="1475"/>
        <v>FFDFD3C0</v>
      </c>
      <c r="D4014" t="s">
        <v>123</v>
      </c>
      <c r="E4014">
        <v>7</v>
      </c>
      <c r="F4014">
        <v>2007</v>
      </c>
      <c r="G4014" t="s">
        <v>124</v>
      </c>
      <c r="J4014" t="s">
        <v>125</v>
      </c>
      <c r="K4014">
        <v>0</v>
      </c>
      <c r="L4014">
        <v>3</v>
      </c>
      <c r="M4014">
        <v>0</v>
      </c>
      <c r="N4014">
        <v>2</v>
      </c>
      <c r="O4014">
        <v>0</v>
      </c>
      <c r="P4014">
        <v>1</v>
      </c>
      <c r="Q4014">
        <v>0</v>
      </c>
      <c r="S4014" t="str">
        <f t="shared" si="1473"/>
        <v>19:36:19.000</v>
      </c>
      <c r="T4014" t="str">
        <f t="shared" si="1473"/>
        <v>19:36:19.000</v>
      </c>
      <c r="U4014" t="str">
        <f t="shared" si="1461"/>
        <v>AC3944</v>
      </c>
      <c r="V4014">
        <v>0</v>
      </c>
      <c r="W4014">
        <v>0</v>
      </c>
      <c r="X4014">
        <v>2</v>
      </c>
      <c r="Y4014">
        <v>0</v>
      </c>
      <c r="AA4014">
        <v>1</v>
      </c>
      <c r="AB4014">
        <v>8</v>
      </c>
      <c r="AC4014">
        <v>3</v>
      </c>
      <c r="AD4014">
        <v>0</v>
      </c>
      <c r="AE4014">
        <v>9</v>
      </c>
      <c r="AF4014" t="s">
        <v>138</v>
      </c>
      <c r="AG4014">
        <v>0</v>
      </c>
      <c r="AH4014">
        <v>3</v>
      </c>
      <c r="AI4014">
        <v>1</v>
      </c>
      <c r="AJ4014">
        <v>0</v>
      </c>
      <c r="AK4014" t="s">
        <v>1294</v>
      </c>
      <c r="AL4014">
        <v>32.732734999999998</v>
      </c>
      <c r="AM4014" t="s">
        <v>1295</v>
      </c>
      <c r="AN4014">
        <v>-116.682529</v>
      </c>
      <c r="AO4014">
        <v>25</v>
      </c>
      <c r="AP4014">
        <v>5000</v>
      </c>
      <c r="AQ4014" t="s">
        <v>129</v>
      </c>
      <c r="AR4014">
        <v>115</v>
      </c>
      <c r="AS4014">
        <v>-41</v>
      </c>
      <c r="AT4014">
        <v>704</v>
      </c>
      <c r="BB4014">
        <v>1200</v>
      </c>
      <c r="BC4014">
        <v>1</v>
      </c>
      <c r="BD4014" t="str">
        <f t="shared" si="1462"/>
        <v xml:space="preserve">N887QR  </v>
      </c>
      <c r="BE4014">
        <v>1</v>
      </c>
      <c r="BG4014">
        <v>0</v>
      </c>
      <c r="BH4014">
        <v>0</v>
      </c>
      <c r="BI4014">
        <v>0</v>
      </c>
      <c r="BJ4014">
        <v>4875</v>
      </c>
      <c r="BK4014">
        <v>-125</v>
      </c>
      <c r="BL4014" t="s">
        <v>163</v>
      </c>
      <c r="BM4014">
        <v>1</v>
      </c>
      <c r="BN4014">
        <v>1</v>
      </c>
      <c r="BO4014">
        <v>1</v>
      </c>
      <c r="BP4014">
        <v>0</v>
      </c>
      <c r="BS4014">
        <v>0</v>
      </c>
      <c r="BT4014">
        <v>0</v>
      </c>
      <c r="BU4014">
        <v>0</v>
      </c>
      <c r="CE4014" t="str">
        <f t="shared" si="1477"/>
        <v>19:36:19.909</v>
      </c>
      <c r="CF4014">
        <v>908742831</v>
      </c>
      <c r="CS4014">
        <v>0</v>
      </c>
      <c r="CT4014">
        <v>2</v>
      </c>
      <c r="CU4014">
        <v>0</v>
      </c>
      <c r="CV4014">
        <v>2</v>
      </c>
      <c r="CW4014">
        <v>2</v>
      </c>
      <c r="CX4014">
        <v>5</v>
      </c>
      <c r="CY4014">
        <v>7</v>
      </c>
      <c r="CZ4014" t="s">
        <v>131</v>
      </c>
      <c r="DA4014">
        <v>286</v>
      </c>
      <c r="DB4014">
        <v>0</v>
      </c>
      <c r="DC4014" t="s">
        <v>132</v>
      </c>
      <c r="DD4014" t="s">
        <v>133</v>
      </c>
      <c r="DG4014">
        <v>898675</v>
      </c>
      <c r="DI4014">
        <v>1</v>
      </c>
      <c r="DJ4014">
        <v>0</v>
      </c>
      <c r="DK4014">
        <v>1</v>
      </c>
      <c r="DL4014">
        <v>0</v>
      </c>
      <c r="DM4014">
        <v>0</v>
      </c>
      <c r="DN4014">
        <v>1</v>
      </c>
      <c r="DO4014">
        <v>0</v>
      </c>
      <c r="DP4014">
        <v>0</v>
      </c>
      <c r="DQ4014">
        <v>0</v>
      </c>
      <c r="DR4014">
        <v>0</v>
      </c>
      <c r="DS4014">
        <v>0</v>
      </c>
    </row>
    <row r="4015" spans="1:123" x14ac:dyDescent="0.3">
      <c r="A4015" t="str">
        <f t="shared" si="1476"/>
        <v>10/04/2022 19:36:20.371</v>
      </c>
      <c r="C4015" t="str">
        <f t="shared" si="1475"/>
        <v>FFDFD3C0</v>
      </c>
      <c r="D4015" t="s">
        <v>134</v>
      </c>
      <c r="E4015">
        <v>15</v>
      </c>
      <c r="J4015" t="s">
        <v>135</v>
      </c>
      <c r="K4015">
        <v>0</v>
      </c>
      <c r="L4015">
        <v>3</v>
      </c>
      <c r="M4015">
        <v>0</v>
      </c>
      <c r="N4015">
        <v>2</v>
      </c>
      <c r="O4015">
        <v>0</v>
      </c>
      <c r="P4015">
        <v>1</v>
      </c>
      <c r="Q4015">
        <v>0</v>
      </c>
      <c r="S4015" t="str">
        <f t="shared" si="1473"/>
        <v>19:36:19.000</v>
      </c>
      <c r="T4015" t="str">
        <f t="shared" si="1473"/>
        <v>19:36:19.000</v>
      </c>
      <c r="U4015" t="str">
        <f t="shared" si="1461"/>
        <v>AC3944</v>
      </c>
      <c r="V4015">
        <v>0</v>
      </c>
      <c r="W4015">
        <v>0</v>
      </c>
      <c r="X4015">
        <v>2</v>
      </c>
      <c r="Y4015">
        <v>0</v>
      </c>
      <c r="AA4015">
        <v>1</v>
      </c>
      <c r="AB4015">
        <v>8</v>
      </c>
      <c r="AC4015">
        <v>3</v>
      </c>
      <c r="AD4015">
        <v>0</v>
      </c>
      <c r="AE4015">
        <v>9</v>
      </c>
      <c r="AF4015" t="s">
        <v>138</v>
      </c>
      <c r="AG4015">
        <v>0</v>
      </c>
      <c r="AH4015">
        <v>3</v>
      </c>
      <c r="AI4015">
        <v>1</v>
      </c>
      <c r="AJ4015">
        <v>0</v>
      </c>
      <c r="AK4015" t="s">
        <v>1294</v>
      </c>
      <c r="AL4015">
        <v>32.732734999999998</v>
      </c>
      <c r="AM4015" t="s">
        <v>1295</v>
      </c>
      <c r="AN4015">
        <v>-116.682529</v>
      </c>
      <c r="AO4015">
        <v>25</v>
      </c>
      <c r="AP4015">
        <v>5000</v>
      </c>
      <c r="AQ4015" t="s">
        <v>129</v>
      </c>
      <c r="AR4015">
        <v>115</v>
      </c>
      <c r="AS4015">
        <v>-41</v>
      </c>
      <c r="AT4015">
        <v>704</v>
      </c>
      <c r="BB4015">
        <v>1200</v>
      </c>
      <c r="BC4015">
        <v>1</v>
      </c>
      <c r="BD4015" t="str">
        <f t="shared" si="1462"/>
        <v xml:space="preserve">N887QR  </v>
      </c>
      <c r="BE4015">
        <v>1</v>
      </c>
      <c r="BG4015">
        <v>0</v>
      </c>
      <c r="BH4015">
        <v>0</v>
      </c>
      <c r="BI4015">
        <v>0</v>
      </c>
      <c r="BJ4015">
        <v>4875</v>
      </c>
      <c r="BK4015">
        <v>-125</v>
      </c>
      <c r="BL4015" t="s">
        <v>163</v>
      </c>
      <c r="BM4015">
        <v>1</v>
      </c>
      <c r="BN4015">
        <v>1</v>
      </c>
      <c r="BO4015">
        <v>1</v>
      </c>
      <c r="BP4015">
        <v>0</v>
      </c>
      <c r="BS4015">
        <v>0</v>
      </c>
      <c r="BT4015">
        <v>0</v>
      </c>
      <c r="BU4015">
        <v>0</v>
      </c>
      <c r="CE4015" t="str">
        <f t="shared" si="1477"/>
        <v>19:36:19.909</v>
      </c>
      <c r="CF4015">
        <v>908742831</v>
      </c>
      <c r="CS4015">
        <v>0</v>
      </c>
      <c r="CT4015">
        <v>2</v>
      </c>
      <c r="CU4015">
        <v>0</v>
      </c>
      <c r="CV4015">
        <v>2</v>
      </c>
      <c r="CW4015">
        <v>2</v>
      </c>
      <c r="CX4015">
        <v>5</v>
      </c>
      <c r="CY4015">
        <v>7</v>
      </c>
      <c r="CZ4015" t="s">
        <v>131</v>
      </c>
      <c r="DA4015">
        <v>286</v>
      </c>
      <c r="DB4015">
        <v>0</v>
      </c>
      <c r="DC4015" t="s">
        <v>132</v>
      </c>
      <c r="DD4015" t="s">
        <v>133</v>
      </c>
      <c r="DG4015">
        <v>898675</v>
      </c>
      <c r="DI4015">
        <v>1</v>
      </c>
      <c r="DJ4015">
        <v>0</v>
      </c>
      <c r="DK4015">
        <v>1</v>
      </c>
      <c r="DL4015">
        <v>0</v>
      </c>
      <c r="DM4015">
        <v>0</v>
      </c>
      <c r="DN4015">
        <v>1</v>
      </c>
      <c r="DO4015">
        <v>0</v>
      </c>
      <c r="DP4015">
        <v>0</v>
      </c>
      <c r="DQ4015">
        <v>0</v>
      </c>
      <c r="DR4015">
        <v>0</v>
      </c>
      <c r="DS4015">
        <v>0</v>
      </c>
    </row>
    <row r="4016" spans="1:123" x14ac:dyDescent="0.3">
      <c r="A4016" t="str">
        <f t="shared" si="1476"/>
        <v>10/04/2022 19:36:20.371</v>
      </c>
      <c r="C4016" t="str">
        <f t="shared" si="1475"/>
        <v>FFDFD3C0</v>
      </c>
      <c r="D4016" t="s">
        <v>147</v>
      </c>
      <c r="E4016">
        <v>3</v>
      </c>
      <c r="H4016">
        <v>166</v>
      </c>
      <c r="I4016" t="s">
        <v>144</v>
      </c>
      <c r="J4016" t="s">
        <v>148</v>
      </c>
      <c r="K4016">
        <v>0</v>
      </c>
      <c r="L4016">
        <v>3</v>
      </c>
      <c r="M4016">
        <v>0</v>
      </c>
      <c r="N4016">
        <v>2</v>
      </c>
      <c r="O4016">
        <v>0</v>
      </c>
      <c r="P4016">
        <v>1</v>
      </c>
      <c r="Q4016">
        <v>0</v>
      </c>
      <c r="S4016" t="str">
        <f t="shared" si="1473"/>
        <v>19:36:19.000</v>
      </c>
      <c r="T4016" t="str">
        <f t="shared" si="1473"/>
        <v>19:36:19.000</v>
      </c>
      <c r="U4016" t="str">
        <f t="shared" si="1461"/>
        <v>AC3944</v>
      </c>
      <c r="V4016">
        <v>0</v>
      </c>
      <c r="W4016">
        <v>0</v>
      </c>
      <c r="X4016">
        <v>2</v>
      </c>
      <c r="Y4016">
        <v>0</v>
      </c>
      <c r="AA4016">
        <v>1</v>
      </c>
      <c r="AB4016">
        <v>8</v>
      </c>
      <c r="AC4016">
        <v>3</v>
      </c>
      <c r="AD4016">
        <v>0</v>
      </c>
      <c r="AE4016">
        <v>9</v>
      </c>
      <c r="AF4016" t="s">
        <v>138</v>
      </c>
      <c r="AG4016">
        <v>0</v>
      </c>
      <c r="AH4016">
        <v>3</v>
      </c>
      <c r="AI4016">
        <v>1</v>
      </c>
      <c r="AJ4016">
        <v>0</v>
      </c>
      <c r="AK4016" t="s">
        <v>1294</v>
      </c>
      <c r="AL4016">
        <v>32.732734999999998</v>
      </c>
      <c r="AM4016" t="s">
        <v>1295</v>
      </c>
      <c r="AN4016">
        <v>-116.682529</v>
      </c>
      <c r="AO4016">
        <v>25</v>
      </c>
      <c r="AP4016">
        <v>5000</v>
      </c>
      <c r="AQ4016" t="s">
        <v>129</v>
      </c>
      <c r="AR4016">
        <v>115</v>
      </c>
      <c r="AS4016">
        <v>-41</v>
      </c>
      <c r="AT4016">
        <v>704</v>
      </c>
      <c r="BB4016">
        <v>1200</v>
      </c>
      <c r="BC4016">
        <v>1</v>
      </c>
      <c r="BD4016" t="str">
        <f t="shared" si="1462"/>
        <v xml:space="preserve">N887QR  </v>
      </c>
      <c r="BE4016">
        <v>1</v>
      </c>
      <c r="BG4016">
        <v>0</v>
      </c>
      <c r="BH4016">
        <v>0</v>
      </c>
      <c r="BI4016">
        <v>0</v>
      </c>
      <c r="BJ4016">
        <v>4875</v>
      </c>
      <c r="BK4016">
        <v>-125</v>
      </c>
      <c r="BL4016" t="s">
        <v>163</v>
      </c>
      <c r="BM4016">
        <v>1</v>
      </c>
      <c r="BN4016">
        <v>1</v>
      </c>
      <c r="BO4016">
        <v>1</v>
      </c>
      <c r="BP4016">
        <v>0</v>
      </c>
      <c r="BS4016">
        <v>0</v>
      </c>
      <c r="BT4016">
        <v>0</v>
      </c>
      <c r="BU4016">
        <v>0</v>
      </c>
      <c r="CE4016" t="str">
        <f t="shared" si="1477"/>
        <v>19:36:19.909</v>
      </c>
      <c r="CF4016">
        <v>908742831</v>
      </c>
      <c r="CS4016">
        <v>0</v>
      </c>
      <c r="CT4016">
        <v>2</v>
      </c>
      <c r="CU4016">
        <v>0</v>
      </c>
      <c r="CV4016">
        <v>2</v>
      </c>
      <c r="CW4016">
        <v>2</v>
      </c>
      <c r="CX4016">
        <v>5</v>
      </c>
      <c r="CY4016">
        <v>7</v>
      </c>
      <c r="CZ4016" t="s">
        <v>131</v>
      </c>
      <c r="DA4016">
        <v>286</v>
      </c>
      <c r="DB4016">
        <v>0</v>
      </c>
      <c r="DC4016" t="s">
        <v>132</v>
      </c>
      <c r="DD4016" t="s">
        <v>133</v>
      </c>
      <c r="DG4016">
        <v>898675</v>
      </c>
      <c r="DI4016">
        <v>1</v>
      </c>
      <c r="DJ4016">
        <v>0</v>
      </c>
      <c r="DK4016">
        <v>1</v>
      </c>
      <c r="DL4016">
        <v>0</v>
      </c>
      <c r="DM4016">
        <v>0</v>
      </c>
      <c r="DN4016">
        <v>1</v>
      </c>
      <c r="DO4016">
        <v>0</v>
      </c>
      <c r="DP4016">
        <v>0</v>
      </c>
      <c r="DQ4016">
        <v>0</v>
      </c>
      <c r="DR4016">
        <v>0</v>
      </c>
      <c r="DS4016">
        <v>0</v>
      </c>
    </row>
    <row r="4017" spans="1:123" x14ac:dyDescent="0.3">
      <c r="A4017" t="str">
        <f t="shared" si="1476"/>
        <v>10/04/2022 19:36:20.371</v>
      </c>
      <c r="C4017" t="str">
        <f t="shared" si="1475"/>
        <v>FFDFD3C0</v>
      </c>
      <c r="D4017" t="s">
        <v>141</v>
      </c>
      <c r="E4017">
        <v>4</v>
      </c>
      <c r="H4017">
        <v>4</v>
      </c>
      <c r="I4017" t="s">
        <v>142</v>
      </c>
      <c r="J4017" t="s">
        <v>138</v>
      </c>
      <c r="K4017">
        <v>0</v>
      </c>
      <c r="L4017">
        <v>3</v>
      </c>
      <c r="M4017">
        <v>0</v>
      </c>
      <c r="N4017">
        <v>2</v>
      </c>
      <c r="O4017">
        <v>0</v>
      </c>
      <c r="P4017">
        <v>1</v>
      </c>
      <c r="Q4017">
        <v>0</v>
      </c>
      <c r="S4017" t="str">
        <f t="shared" si="1473"/>
        <v>19:36:19.000</v>
      </c>
      <c r="T4017" t="str">
        <f t="shared" si="1473"/>
        <v>19:36:19.000</v>
      </c>
      <c r="U4017" t="str">
        <f t="shared" si="1461"/>
        <v>AC3944</v>
      </c>
      <c r="V4017">
        <v>0</v>
      </c>
      <c r="W4017">
        <v>0</v>
      </c>
      <c r="X4017">
        <v>2</v>
      </c>
      <c r="Y4017">
        <v>0</v>
      </c>
      <c r="AA4017">
        <v>1</v>
      </c>
      <c r="AB4017">
        <v>8</v>
      </c>
      <c r="AC4017">
        <v>3</v>
      </c>
      <c r="AD4017">
        <v>0</v>
      </c>
      <c r="AE4017">
        <v>9</v>
      </c>
      <c r="AF4017" t="s">
        <v>138</v>
      </c>
      <c r="AG4017">
        <v>0</v>
      </c>
      <c r="AH4017">
        <v>3</v>
      </c>
      <c r="AI4017">
        <v>1</v>
      </c>
      <c r="AJ4017">
        <v>0</v>
      </c>
      <c r="AK4017" t="s">
        <v>1294</v>
      </c>
      <c r="AL4017">
        <v>32.732734999999998</v>
      </c>
      <c r="AM4017" t="s">
        <v>1295</v>
      </c>
      <c r="AN4017">
        <v>-116.682529</v>
      </c>
      <c r="AO4017">
        <v>25</v>
      </c>
      <c r="AP4017">
        <v>5000</v>
      </c>
      <c r="AQ4017" t="s">
        <v>129</v>
      </c>
      <c r="AR4017">
        <v>115</v>
      </c>
      <c r="AS4017">
        <v>-41</v>
      </c>
      <c r="AT4017">
        <v>704</v>
      </c>
      <c r="BB4017">
        <v>1200</v>
      </c>
      <c r="BC4017">
        <v>1</v>
      </c>
      <c r="BD4017" t="str">
        <f t="shared" si="1462"/>
        <v xml:space="preserve">N887QR  </v>
      </c>
      <c r="BE4017">
        <v>1</v>
      </c>
      <c r="BG4017">
        <v>0</v>
      </c>
      <c r="BH4017">
        <v>0</v>
      </c>
      <c r="BI4017">
        <v>0</v>
      </c>
      <c r="BJ4017">
        <v>4875</v>
      </c>
      <c r="BK4017">
        <v>-125</v>
      </c>
      <c r="BL4017" t="s">
        <v>163</v>
      </c>
      <c r="BM4017">
        <v>1</v>
      </c>
      <c r="BN4017">
        <v>1</v>
      </c>
      <c r="BO4017">
        <v>1</v>
      </c>
      <c r="BP4017">
        <v>0</v>
      </c>
      <c r="BS4017">
        <v>0</v>
      </c>
      <c r="BT4017">
        <v>0</v>
      </c>
      <c r="BU4017">
        <v>0</v>
      </c>
      <c r="CE4017" t="str">
        <f t="shared" si="1477"/>
        <v>19:36:19.909</v>
      </c>
      <c r="CF4017">
        <v>908742831</v>
      </c>
      <c r="CS4017">
        <v>0</v>
      </c>
      <c r="CT4017">
        <v>2</v>
      </c>
      <c r="CU4017">
        <v>0</v>
      </c>
      <c r="CV4017">
        <v>2</v>
      </c>
      <c r="CW4017">
        <v>2</v>
      </c>
      <c r="CX4017">
        <v>5</v>
      </c>
      <c r="CY4017">
        <v>7</v>
      </c>
      <c r="CZ4017" t="s">
        <v>131</v>
      </c>
      <c r="DA4017">
        <v>286</v>
      </c>
      <c r="DB4017">
        <v>0</v>
      </c>
      <c r="DC4017" t="s">
        <v>132</v>
      </c>
      <c r="DD4017" t="s">
        <v>133</v>
      </c>
      <c r="DG4017">
        <v>898675</v>
      </c>
      <c r="DI4017">
        <v>1</v>
      </c>
      <c r="DJ4017">
        <v>0</v>
      </c>
      <c r="DK4017">
        <v>1</v>
      </c>
      <c r="DL4017">
        <v>0</v>
      </c>
      <c r="DM4017">
        <v>0</v>
      </c>
      <c r="DN4017">
        <v>1</v>
      </c>
      <c r="DO4017">
        <v>0</v>
      </c>
      <c r="DP4017">
        <v>0</v>
      </c>
      <c r="DQ4017">
        <v>0</v>
      </c>
      <c r="DR4017">
        <v>0</v>
      </c>
      <c r="DS4017">
        <v>0</v>
      </c>
    </row>
    <row r="4018" spans="1:123" x14ac:dyDescent="0.3">
      <c r="A4018" t="str">
        <f t="shared" si="1476"/>
        <v>10/04/2022 19:36:20.371</v>
      </c>
      <c r="C4018" t="str">
        <f t="shared" si="1475"/>
        <v>FFDFD3C0</v>
      </c>
      <c r="D4018" t="s">
        <v>141</v>
      </c>
      <c r="E4018">
        <v>3</v>
      </c>
      <c r="H4018">
        <v>3</v>
      </c>
      <c r="I4018" t="s">
        <v>146</v>
      </c>
      <c r="J4018" t="s">
        <v>138</v>
      </c>
      <c r="K4018">
        <v>0</v>
      </c>
      <c r="L4018">
        <v>3</v>
      </c>
      <c r="M4018">
        <v>0</v>
      </c>
      <c r="N4018">
        <v>2</v>
      </c>
      <c r="O4018">
        <v>0</v>
      </c>
      <c r="P4018">
        <v>1</v>
      </c>
      <c r="Q4018">
        <v>0</v>
      </c>
      <c r="S4018" t="str">
        <f t="shared" si="1473"/>
        <v>19:36:19.000</v>
      </c>
      <c r="T4018" t="str">
        <f t="shared" si="1473"/>
        <v>19:36:19.000</v>
      </c>
      <c r="U4018" t="str">
        <f t="shared" si="1461"/>
        <v>AC3944</v>
      </c>
      <c r="V4018">
        <v>0</v>
      </c>
      <c r="W4018">
        <v>0</v>
      </c>
      <c r="X4018">
        <v>2</v>
      </c>
      <c r="Y4018">
        <v>0</v>
      </c>
      <c r="AA4018">
        <v>1</v>
      </c>
      <c r="AB4018">
        <v>8</v>
      </c>
      <c r="AC4018">
        <v>3</v>
      </c>
      <c r="AD4018">
        <v>0</v>
      </c>
      <c r="AE4018">
        <v>9</v>
      </c>
      <c r="AF4018" t="s">
        <v>138</v>
      </c>
      <c r="AG4018">
        <v>0</v>
      </c>
      <c r="AH4018">
        <v>3</v>
      </c>
      <c r="AI4018">
        <v>1</v>
      </c>
      <c r="AJ4018">
        <v>0</v>
      </c>
      <c r="AK4018" t="s">
        <v>1294</v>
      </c>
      <c r="AL4018">
        <v>32.732734999999998</v>
      </c>
      <c r="AM4018" t="s">
        <v>1295</v>
      </c>
      <c r="AN4018">
        <v>-116.682529</v>
      </c>
      <c r="AO4018">
        <v>25</v>
      </c>
      <c r="AP4018">
        <v>5000</v>
      </c>
      <c r="AQ4018" t="s">
        <v>129</v>
      </c>
      <c r="AR4018">
        <v>115</v>
      </c>
      <c r="AS4018">
        <v>-41</v>
      </c>
      <c r="AT4018">
        <v>704</v>
      </c>
      <c r="BB4018">
        <v>1200</v>
      </c>
      <c r="BC4018">
        <v>1</v>
      </c>
      <c r="BD4018" t="str">
        <f t="shared" si="1462"/>
        <v xml:space="preserve">N887QR  </v>
      </c>
      <c r="BE4018">
        <v>1</v>
      </c>
      <c r="BG4018">
        <v>0</v>
      </c>
      <c r="BH4018">
        <v>0</v>
      </c>
      <c r="BI4018">
        <v>0</v>
      </c>
      <c r="BJ4018">
        <v>4875</v>
      </c>
      <c r="BK4018">
        <v>-125</v>
      </c>
      <c r="BL4018" t="s">
        <v>163</v>
      </c>
      <c r="BM4018">
        <v>1</v>
      </c>
      <c r="BN4018">
        <v>1</v>
      </c>
      <c r="BO4018">
        <v>1</v>
      </c>
      <c r="BP4018">
        <v>0</v>
      </c>
      <c r="BS4018">
        <v>0</v>
      </c>
      <c r="BT4018">
        <v>0</v>
      </c>
      <c r="BU4018">
        <v>0</v>
      </c>
      <c r="CE4018" t="str">
        <f t="shared" si="1477"/>
        <v>19:36:19.909</v>
      </c>
      <c r="CF4018">
        <v>908742831</v>
      </c>
      <c r="CS4018">
        <v>0</v>
      </c>
      <c r="CT4018">
        <v>2</v>
      </c>
      <c r="CU4018">
        <v>0</v>
      </c>
      <c r="CV4018">
        <v>2</v>
      </c>
      <c r="CW4018">
        <v>2</v>
      </c>
      <c r="CX4018">
        <v>5</v>
      </c>
      <c r="CY4018">
        <v>7</v>
      </c>
      <c r="CZ4018" t="s">
        <v>131</v>
      </c>
      <c r="DA4018">
        <v>286</v>
      </c>
      <c r="DB4018">
        <v>0</v>
      </c>
      <c r="DC4018" t="s">
        <v>132</v>
      </c>
      <c r="DD4018" t="s">
        <v>133</v>
      </c>
      <c r="DG4018">
        <v>898675</v>
      </c>
      <c r="DI4018">
        <v>1</v>
      </c>
      <c r="DJ4018">
        <v>0</v>
      </c>
      <c r="DK4018">
        <v>0</v>
      </c>
      <c r="DL4018">
        <v>0</v>
      </c>
      <c r="DM4018">
        <v>0</v>
      </c>
      <c r="DN4018">
        <v>1</v>
      </c>
      <c r="DO4018">
        <v>0</v>
      </c>
      <c r="DP4018">
        <v>0</v>
      </c>
      <c r="DQ4018">
        <v>0</v>
      </c>
      <c r="DR4018">
        <v>0</v>
      </c>
      <c r="DS4018">
        <v>0</v>
      </c>
    </row>
    <row r="4019" spans="1:123" x14ac:dyDescent="0.3">
      <c r="A4019" t="str">
        <f t="shared" si="1476"/>
        <v>10/04/2022 19:36:20.371</v>
      </c>
      <c r="C4019" t="str">
        <f t="shared" si="1475"/>
        <v>FFDFD3C0</v>
      </c>
      <c r="D4019" t="s">
        <v>143</v>
      </c>
      <c r="E4019">
        <v>20</v>
      </c>
      <c r="F4019">
        <v>1020</v>
      </c>
      <c r="G4019" t="s">
        <v>144</v>
      </c>
      <c r="J4019" t="s">
        <v>145</v>
      </c>
      <c r="K4019">
        <v>0</v>
      </c>
      <c r="L4019">
        <v>3</v>
      </c>
      <c r="M4019">
        <v>0</v>
      </c>
      <c r="N4019">
        <v>2</v>
      </c>
      <c r="O4019">
        <v>0</v>
      </c>
      <c r="P4019">
        <v>1</v>
      </c>
      <c r="Q4019">
        <v>0</v>
      </c>
      <c r="S4019" t="str">
        <f t="shared" si="1473"/>
        <v>19:36:19.000</v>
      </c>
      <c r="T4019" t="str">
        <f t="shared" si="1473"/>
        <v>19:36:19.000</v>
      </c>
      <c r="U4019" t="str">
        <f t="shared" si="1461"/>
        <v>AC3944</v>
      </c>
      <c r="V4019">
        <v>0</v>
      </c>
      <c r="W4019">
        <v>0</v>
      </c>
      <c r="X4019">
        <v>2</v>
      </c>
      <c r="Y4019">
        <v>0</v>
      </c>
      <c r="AA4019">
        <v>1</v>
      </c>
      <c r="AB4019">
        <v>8</v>
      </c>
      <c r="AC4019">
        <v>3</v>
      </c>
      <c r="AD4019">
        <v>0</v>
      </c>
      <c r="AE4019">
        <v>9</v>
      </c>
      <c r="AF4019" t="s">
        <v>138</v>
      </c>
      <c r="AG4019">
        <v>0</v>
      </c>
      <c r="AH4019">
        <v>3</v>
      </c>
      <c r="AI4019">
        <v>1</v>
      </c>
      <c r="AJ4019">
        <v>0</v>
      </c>
      <c r="AK4019" t="s">
        <v>1294</v>
      </c>
      <c r="AL4019">
        <v>32.732734999999998</v>
      </c>
      <c r="AM4019" t="s">
        <v>1295</v>
      </c>
      <c r="AN4019">
        <v>-116.682529</v>
      </c>
      <c r="AO4019">
        <v>25</v>
      </c>
      <c r="AP4019">
        <v>5000</v>
      </c>
      <c r="AQ4019" t="s">
        <v>129</v>
      </c>
      <c r="AR4019">
        <v>115</v>
      </c>
      <c r="AS4019">
        <v>-41</v>
      </c>
      <c r="AT4019">
        <v>704</v>
      </c>
      <c r="BB4019">
        <v>1200</v>
      </c>
      <c r="BC4019">
        <v>1</v>
      </c>
      <c r="BD4019" t="str">
        <f t="shared" si="1462"/>
        <v xml:space="preserve">N887QR  </v>
      </c>
      <c r="BE4019">
        <v>1</v>
      </c>
      <c r="BG4019">
        <v>0</v>
      </c>
      <c r="BH4019">
        <v>0</v>
      </c>
      <c r="BI4019">
        <v>0</v>
      </c>
      <c r="BJ4019">
        <v>4875</v>
      </c>
      <c r="BK4019">
        <v>-125</v>
      </c>
      <c r="BL4019" t="s">
        <v>163</v>
      </c>
      <c r="BM4019">
        <v>1</v>
      </c>
      <c r="BN4019">
        <v>1</v>
      </c>
      <c r="BO4019">
        <v>1</v>
      </c>
      <c r="BP4019">
        <v>0</v>
      </c>
      <c r="BS4019">
        <v>0</v>
      </c>
      <c r="BT4019">
        <v>0</v>
      </c>
      <c r="BU4019">
        <v>0</v>
      </c>
      <c r="CE4019" t="str">
        <f t="shared" si="1477"/>
        <v>19:36:19.909</v>
      </c>
      <c r="CF4019">
        <v>908742831</v>
      </c>
      <c r="CS4019">
        <v>0</v>
      </c>
      <c r="CT4019">
        <v>2</v>
      </c>
      <c r="CU4019">
        <v>0</v>
      </c>
      <c r="CV4019">
        <v>2</v>
      </c>
      <c r="CW4019">
        <v>2</v>
      </c>
      <c r="CX4019">
        <v>5</v>
      </c>
      <c r="CY4019">
        <v>7</v>
      </c>
      <c r="CZ4019" t="s">
        <v>131</v>
      </c>
      <c r="DA4019">
        <v>286</v>
      </c>
      <c r="DB4019">
        <v>0</v>
      </c>
      <c r="DC4019" t="s">
        <v>132</v>
      </c>
      <c r="DD4019" t="s">
        <v>133</v>
      </c>
      <c r="DG4019">
        <v>898675</v>
      </c>
      <c r="DI4019">
        <v>1</v>
      </c>
      <c r="DJ4019">
        <v>0</v>
      </c>
      <c r="DK4019">
        <v>1</v>
      </c>
      <c r="DL4019">
        <v>0</v>
      </c>
      <c r="DM4019">
        <v>0</v>
      </c>
      <c r="DN4019">
        <v>1</v>
      </c>
      <c r="DO4019">
        <v>0</v>
      </c>
      <c r="DP4019">
        <v>0</v>
      </c>
      <c r="DQ4019">
        <v>0</v>
      </c>
      <c r="DR4019">
        <v>0</v>
      </c>
      <c r="DS4019">
        <v>0</v>
      </c>
    </row>
    <row r="4020" spans="1:123" x14ac:dyDescent="0.3">
      <c r="A4020" t="str">
        <f>"10/04/2022 19:36:21.730"</f>
        <v>10/04/2022 19:36:21.730</v>
      </c>
      <c r="C4020" t="str">
        <f t="shared" si="1475"/>
        <v>FFDFD3C0</v>
      </c>
      <c r="D4020" t="s">
        <v>134</v>
      </c>
      <c r="E4020">
        <v>15</v>
      </c>
      <c r="J4020" t="s">
        <v>135</v>
      </c>
      <c r="K4020">
        <v>0</v>
      </c>
      <c r="L4020">
        <v>3</v>
      </c>
      <c r="M4020">
        <v>0</v>
      </c>
      <c r="N4020">
        <v>2</v>
      </c>
      <c r="O4020">
        <v>0</v>
      </c>
      <c r="P4020">
        <v>1</v>
      </c>
      <c r="Q4020">
        <v>0</v>
      </c>
      <c r="S4020" t="str">
        <f>"19:36:21.000"</f>
        <v>19:36:21.000</v>
      </c>
      <c r="T4020" t="str">
        <f>"19:36:21.000"</f>
        <v>19:36:21.000</v>
      </c>
      <c r="U4020" t="str">
        <f t="shared" si="1461"/>
        <v>AC3944</v>
      </c>
      <c r="V4020">
        <v>0</v>
      </c>
      <c r="W4020">
        <v>0</v>
      </c>
      <c r="X4020">
        <v>2</v>
      </c>
      <c r="Y4020">
        <v>0</v>
      </c>
      <c r="AA4020">
        <v>1</v>
      </c>
      <c r="AB4020">
        <v>8</v>
      </c>
      <c r="AC4020">
        <v>3</v>
      </c>
      <c r="AD4020">
        <v>0</v>
      </c>
      <c r="AE4020">
        <v>9</v>
      </c>
      <c r="AF4020" t="s">
        <v>138</v>
      </c>
      <c r="AG4020">
        <v>0</v>
      </c>
      <c r="AH4020">
        <v>3</v>
      </c>
      <c r="AI4020">
        <v>1</v>
      </c>
      <c r="AJ4020">
        <v>0</v>
      </c>
      <c r="AK4020" t="s">
        <v>1296</v>
      </c>
      <c r="AL4020">
        <v>32.732584000000003</v>
      </c>
      <c r="AM4020" t="s">
        <v>1297</v>
      </c>
      <c r="AN4020">
        <v>-116.682014</v>
      </c>
      <c r="AO4020">
        <v>25</v>
      </c>
      <c r="AP4020">
        <v>5000</v>
      </c>
      <c r="AQ4020" t="s">
        <v>129</v>
      </c>
      <c r="AR4020">
        <v>122</v>
      </c>
      <c r="AS4020">
        <v>-26</v>
      </c>
      <c r="AT4020">
        <v>576</v>
      </c>
      <c r="BB4020">
        <v>1200</v>
      </c>
      <c r="BC4020">
        <v>1</v>
      </c>
      <c r="BD4020" t="str">
        <f t="shared" si="1462"/>
        <v xml:space="preserve">N887QR  </v>
      </c>
      <c r="BE4020">
        <v>1</v>
      </c>
      <c r="BG4020">
        <v>0</v>
      </c>
      <c r="BH4020">
        <v>0</v>
      </c>
      <c r="BI4020">
        <v>0</v>
      </c>
      <c r="BJ4020">
        <v>4900</v>
      </c>
      <c r="BK4020">
        <v>-100</v>
      </c>
      <c r="BL4020" t="s">
        <v>163</v>
      </c>
      <c r="BM4020">
        <v>1</v>
      </c>
      <c r="BN4020">
        <v>1</v>
      </c>
      <c r="BO4020">
        <v>1</v>
      </c>
      <c r="BP4020">
        <v>0</v>
      </c>
      <c r="BS4020">
        <v>0</v>
      </c>
      <c r="BT4020">
        <v>0</v>
      </c>
      <c r="BU4020">
        <v>0</v>
      </c>
      <c r="CE4020" t="str">
        <f>"19:36:21.343"</f>
        <v>19:36:21.343</v>
      </c>
      <c r="CF4020">
        <v>342997564</v>
      </c>
      <c r="CS4020">
        <v>0</v>
      </c>
      <c r="CT4020">
        <v>2</v>
      </c>
      <c r="CU4020">
        <v>0</v>
      </c>
      <c r="CV4020">
        <v>2</v>
      </c>
      <c r="CW4020">
        <v>0</v>
      </c>
      <c r="CX4020">
        <v>5</v>
      </c>
      <c r="CY4020">
        <v>7</v>
      </c>
      <c r="CZ4020" t="s">
        <v>131</v>
      </c>
      <c r="DA4020">
        <v>286</v>
      </c>
      <c r="DB4020">
        <v>0</v>
      </c>
      <c r="DC4020" t="s">
        <v>132</v>
      </c>
      <c r="DD4020" t="s">
        <v>133</v>
      </c>
      <c r="DG4020">
        <v>898948</v>
      </c>
      <c r="DI4020">
        <v>1</v>
      </c>
      <c r="DJ4020">
        <v>0</v>
      </c>
      <c r="DK4020">
        <v>0</v>
      </c>
      <c r="DL4020">
        <v>0</v>
      </c>
      <c r="DM4020">
        <v>0</v>
      </c>
      <c r="DN4020">
        <v>1</v>
      </c>
      <c r="DO4020">
        <v>0</v>
      </c>
      <c r="DP4020">
        <v>0</v>
      </c>
      <c r="DQ4020">
        <v>0</v>
      </c>
      <c r="DR4020">
        <v>0</v>
      </c>
      <c r="DS4020">
        <v>0</v>
      </c>
    </row>
    <row r="4021" spans="1:123" x14ac:dyDescent="0.3">
      <c r="A4021" t="str">
        <f>"10/04/2022 19:36:21.730"</f>
        <v>10/04/2022 19:36:21.730</v>
      </c>
      <c r="C4021" t="str">
        <f t="shared" si="1475"/>
        <v>FFDFD3C0</v>
      </c>
      <c r="D4021" t="s">
        <v>147</v>
      </c>
      <c r="E4021">
        <v>3</v>
      </c>
      <c r="H4021">
        <v>166</v>
      </c>
      <c r="I4021" t="s">
        <v>144</v>
      </c>
      <c r="J4021" t="s">
        <v>148</v>
      </c>
      <c r="K4021">
        <v>0</v>
      </c>
      <c r="L4021">
        <v>3</v>
      </c>
      <c r="M4021">
        <v>0</v>
      </c>
      <c r="N4021">
        <v>2</v>
      </c>
      <c r="O4021">
        <v>0</v>
      </c>
      <c r="P4021">
        <v>1</v>
      </c>
      <c r="Q4021">
        <v>0</v>
      </c>
      <c r="S4021" t="str">
        <f>"19:36:21.000"</f>
        <v>19:36:21.000</v>
      </c>
      <c r="T4021" t="str">
        <f>"19:36:21.000"</f>
        <v>19:36:21.000</v>
      </c>
      <c r="U4021" t="str">
        <f t="shared" si="1461"/>
        <v>AC3944</v>
      </c>
      <c r="V4021">
        <v>0</v>
      </c>
      <c r="W4021">
        <v>0</v>
      </c>
      <c r="X4021">
        <v>2</v>
      </c>
      <c r="Y4021">
        <v>0</v>
      </c>
      <c r="AA4021">
        <v>1</v>
      </c>
      <c r="AB4021">
        <v>8</v>
      </c>
      <c r="AC4021">
        <v>3</v>
      </c>
      <c r="AD4021">
        <v>0</v>
      </c>
      <c r="AE4021">
        <v>9</v>
      </c>
      <c r="AF4021" t="s">
        <v>138</v>
      </c>
      <c r="AG4021">
        <v>0</v>
      </c>
      <c r="AH4021">
        <v>3</v>
      </c>
      <c r="AI4021">
        <v>1</v>
      </c>
      <c r="AJ4021">
        <v>0</v>
      </c>
      <c r="AK4021" t="s">
        <v>1296</v>
      </c>
      <c r="AL4021">
        <v>32.732584000000003</v>
      </c>
      <c r="AM4021" t="s">
        <v>1297</v>
      </c>
      <c r="AN4021">
        <v>-116.682014</v>
      </c>
      <c r="AO4021">
        <v>25</v>
      </c>
      <c r="AP4021">
        <v>5000</v>
      </c>
      <c r="AQ4021" t="s">
        <v>129</v>
      </c>
      <c r="AR4021">
        <v>122</v>
      </c>
      <c r="AS4021">
        <v>-26</v>
      </c>
      <c r="AT4021">
        <v>576</v>
      </c>
      <c r="BB4021">
        <v>1200</v>
      </c>
      <c r="BC4021">
        <v>1</v>
      </c>
      <c r="BD4021" t="str">
        <f t="shared" si="1462"/>
        <v xml:space="preserve">N887QR  </v>
      </c>
      <c r="BE4021">
        <v>1</v>
      </c>
      <c r="BG4021">
        <v>0</v>
      </c>
      <c r="BH4021">
        <v>0</v>
      </c>
      <c r="BI4021">
        <v>0</v>
      </c>
      <c r="BJ4021">
        <v>4900</v>
      </c>
      <c r="BK4021">
        <v>-100</v>
      </c>
      <c r="BL4021" t="s">
        <v>163</v>
      </c>
      <c r="BM4021">
        <v>1</v>
      </c>
      <c r="BN4021">
        <v>1</v>
      </c>
      <c r="BO4021">
        <v>1</v>
      </c>
      <c r="BP4021">
        <v>0</v>
      </c>
      <c r="BS4021">
        <v>0</v>
      </c>
      <c r="BT4021">
        <v>0</v>
      </c>
      <c r="BU4021">
        <v>0</v>
      </c>
      <c r="CE4021" t="str">
        <f>"19:36:21.343"</f>
        <v>19:36:21.343</v>
      </c>
      <c r="CF4021">
        <v>342997564</v>
      </c>
      <c r="CS4021">
        <v>0</v>
      </c>
      <c r="CT4021">
        <v>2</v>
      </c>
      <c r="CU4021">
        <v>0</v>
      </c>
      <c r="CV4021">
        <v>2</v>
      </c>
      <c r="CW4021">
        <v>0</v>
      </c>
      <c r="CX4021">
        <v>5</v>
      </c>
      <c r="CY4021">
        <v>7</v>
      </c>
      <c r="CZ4021" t="s">
        <v>131</v>
      </c>
      <c r="DA4021">
        <v>286</v>
      </c>
      <c r="DB4021">
        <v>0</v>
      </c>
      <c r="DC4021" t="s">
        <v>132</v>
      </c>
      <c r="DD4021" t="s">
        <v>133</v>
      </c>
      <c r="DG4021">
        <v>898948</v>
      </c>
      <c r="DI4021">
        <v>1</v>
      </c>
      <c r="DJ4021">
        <v>0</v>
      </c>
      <c r="DK4021">
        <v>1</v>
      </c>
      <c r="DL4021">
        <v>0</v>
      </c>
      <c r="DM4021">
        <v>0</v>
      </c>
      <c r="DN4021">
        <v>1</v>
      </c>
      <c r="DO4021">
        <v>0</v>
      </c>
      <c r="DP4021">
        <v>0</v>
      </c>
      <c r="DQ4021">
        <v>0</v>
      </c>
      <c r="DR4021">
        <v>0</v>
      </c>
      <c r="DS4021">
        <v>0</v>
      </c>
    </row>
    <row r="4022" spans="1:123" x14ac:dyDescent="0.3">
      <c r="A4022" t="str">
        <f>"10/04/2022 19:36:22.495"</f>
        <v>10/04/2022 19:36:22.495</v>
      </c>
      <c r="C4022" t="str">
        <f t="shared" si="1475"/>
        <v>FFDFD3C0</v>
      </c>
      <c r="D4022" t="s">
        <v>147</v>
      </c>
      <c r="E4022">
        <v>3</v>
      </c>
      <c r="H4022">
        <v>166</v>
      </c>
      <c r="I4022" t="s">
        <v>144</v>
      </c>
      <c r="J4022" t="s">
        <v>148</v>
      </c>
      <c r="K4022">
        <v>0</v>
      </c>
      <c r="L4022">
        <v>3</v>
      </c>
      <c r="M4022">
        <v>0</v>
      </c>
      <c r="N4022">
        <v>2</v>
      </c>
      <c r="O4022">
        <v>0</v>
      </c>
      <c r="P4022">
        <v>1</v>
      </c>
      <c r="Q4022">
        <v>0</v>
      </c>
      <c r="S4022" t="str">
        <f t="shared" ref="S4022:T4028" si="1478">"19:36:22.000"</f>
        <v>19:36:22.000</v>
      </c>
      <c r="T4022" t="str">
        <f t="shared" si="1478"/>
        <v>19:36:22.000</v>
      </c>
      <c r="U4022" t="str">
        <f t="shared" si="1461"/>
        <v>AC3944</v>
      </c>
      <c r="V4022">
        <v>0</v>
      </c>
      <c r="W4022">
        <v>0</v>
      </c>
      <c r="X4022">
        <v>2</v>
      </c>
      <c r="Y4022">
        <v>0</v>
      </c>
      <c r="AA4022">
        <v>1</v>
      </c>
      <c r="AB4022">
        <v>8</v>
      </c>
      <c r="AC4022">
        <v>3</v>
      </c>
      <c r="AD4022">
        <v>0</v>
      </c>
      <c r="AE4022">
        <v>9</v>
      </c>
      <c r="AF4022" t="s">
        <v>138</v>
      </c>
      <c r="AG4022">
        <v>0</v>
      </c>
      <c r="AH4022">
        <v>3</v>
      </c>
      <c r="AI4022">
        <v>1</v>
      </c>
      <c r="AJ4022">
        <v>0</v>
      </c>
      <c r="AK4022" t="s">
        <v>1298</v>
      </c>
      <c r="AL4022">
        <v>32.732433999999998</v>
      </c>
      <c r="AM4022" t="s">
        <v>1299</v>
      </c>
      <c r="AN4022">
        <v>-116.681371</v>
      </c>
      <c r="AO4022">
        <v>25</v>
      </c>
      <c r="AP4022">
        <v>5000</v>
      </c>
      <c r="AQ4022" t="s">
        <v>129</v>
      </c>
      <c r="AR4022">
        <v>124</v>
      </c>
      <c r="AS4022">
        <v>-11</v>
      </c>
      <c r="AT4022">
        <v>448</v>
      </c>
      <c r="BB4022">
        <v>1200</v>
      </c>
      <c r="BC4022">
        <v>1</v>
      </c>
      <c r="BD4022" t="str">
        <f t="shared" si="1462"/>
        <v xml:space="preserve">N887QR  </v>
      </c>
      <c r="BE4022">
        <v>1</v>
      </c>
      <c r="BG4022">
        <v>0</v>
      </c>
      <c r="BH4022">
        <v>0</v>
      </c>
      <c r="BI4022">
        <v>0</v>
      </c>
      <c r="BJ4022">
        <v>4900</v>
      </c>
      <c r="BK4022">
        <v>-100</v>
      </c>
      <c r="BL4022" t="s">
        <v>163</v>
      </c>
      <c r="BM4022">
        <v>1</v>
      </c>
      <c r="BN4022">
        <v>1</v>
      </c>
      <c r="BO4022">
        <v>1</v>
      </c>
      <c r="BP4022">
        <v>0</v>
      </c>
      <c r="BS4022">
        <v>0</v>
      </c>
      <c r="BT4022">
        <v>0</v>
      </c>
      <c r="BU4022">
        <v>0</v>
      </c>
      <c r="CE4022" t="str">
        <f t="shared" ref="CE4022:CE4028" si="1479">"19:36:22.179"</f>
        <v>19:36:22.179</v>
      </c>
      <c r="CF4022">
        <v>178500339</v>
      </c>
      <c r="CS4022">
        <v>0</v>
      </c>
      <c r="CT4022">
        <v>2</v>
      </c>
      <c r="CU4022">
        <v>0</v>
      </c>
      <c r="CV4022">
        <v>2</v>
      </c>
      <c r="CW4022">
        <v>0</v>
      </c>
      <c r="CX4022">
        <v>5</v>
      </c>
      <c r="CY4022">
        <v>7</v>
      </c>
      <c r="CZ4022" t="s">
        <v>131</v>
      </c>
      <c r="DA4022">
        <v>286</v>
      </c>
      <c r="DB4022">
        <v>0</v>
      </c>
      <c r="DC4022" t="s">
        <v>132</v>
      </c>
      <c r="DD4022" t="s">
        <v>133</v>
      </c>
      <c r="DG4022">
        <v>899081</v>
      </c>
      <c r="DI4022">
        <v>1</v>
      </c>
      <c r="DJ4022">
        <v>0</v>
      </c>
      <c r="DK4022">
        <v>0</v>
      </c>
      <c r="DL4022">
        <v>0</v>
      </c>
      <c r="DM4022">
        <v>0</v>
      </c>
      <c r="DN4022">
        <v>1</v>
      </c>
      <c r="DO4022">
        <v>0</v>
      </c>
      <c r="DP4022">
        <v>0</v>
      </c>
      <c r="DQ4022">
        <v>0</v>
      </c>
      <c r="DR4022">
        <v>0</v>
      </c>
      <c r="DS4022">
        <v>0</v>
      </c>
    </row>
    <row r="4023" spans="1:123" x14ac:dyDescent="0.3">
      <c r="A4023" t="str">
        <f>"10/04/2022 19:36:22.495"</f>
        <v>10/04/2022 19:36:22.495</v>
      </c>
      <c r="C4023" t="str">
        <f t="shared" si="1475"/>
        <v>FFDFD3C0</v>
      </c>
      <c r="D4023" t="s">
        <v>134</v>
      </c>
      <c r="E4023">
        <v>15</v>
      </c>
      <c r="J4023" t="s">
        <v>135</v>
      </c>
      <c r="K4023">
        <v>0</v>
      </c>
      <c r="L4023">
        <v>3</v>
      </c>
      <c r="M4023">
        <v>0</v>
      </c>
      <c r="N4023">
        <v>2</v>
      </c>
      <c r="O4023">
        <v>0</v>
      </c>
      <c r="P4023">
        <v>1</v>
      </c>
      <c r="Q4023">
        <v>0</v>
      </c>
      <c r="S4023" t="str">
        <f t="shared" si="1478"/>
        <v>19:36:22.000</v>
      </c>
      <c r="T4023" t="str">
        <f t="shared" si="1478"/>
        <v>19:36:22.000</v>
      </c>
      <c r="U4023" t="str">
        <f t="shared" si="1461"/>
        <v>AC3944</v>
      </c>
      <c r="V4023">
        <v>0</v>
      </c>
      <c r="W4023">
        <v>0</v>
      </c>
      <c r="X4023">
        <v>2</v>
      </c>
      <c r="Y4023">
        <v>0</v>
      </c>
      <c r="AA4023">
        <v>1</v>
      </c>
      <c r="AB4023">
        <v>8</v>
      </c>
      <c r="AC4023">
        <v>3</v>
      </c>
      <c r="AD4023">
        <v>0</v>
      </c>
      <c r="AE4023">
        <v>9</v>
      </c>
      <c r="AF4023" t="s">
        <v>138</v>
      </c>
      <c r="AG4023">
        <v>0</v>
      </c>
      <c r="AH4023">
        <v>3</v>
      </c>
      <c r="AI4023">
        <v>1</v>
      </c>
      <c r="AJ4023">
        <v>0</v>
      </c>
      <c r="AK4023" t="s">
        <v>1298</v>
      </c>
      <c r="AL4023">
        <v>32.732433999999998</v>
      </c>
      <c r="AM4023" t="s">
        <v>1299</v>
      </c>
      <c r="AN4023">
        <v>-116.681371</v>
      </c>
      <c r="AO4023">
        <v>25</v>
      </c>
      <c r="AP4023">
        <v>5000</v>
      </c>
      <c r="AQ4023" t="s">
        <v>129</v>
      </c>
      <c r="AR4023">
        <v>124</v>
      </c>
      <c r="AS4023">
        <v>-11</v>
      </c>
      <c r="AT4023">
        <v>448</v>
      </c>
      <c r="BB4023">
        <v>1200</v>
      </c>
      <c r="BC4023">
        <v>1</v>
      </c>
      <c r="BD4023" t="str">
        <f t="shared" si="1462"/>
        <v xml:space="preserve">N887QR  </v>
      </c>
      <c r="BE4023">
        <v>1</v>
      </c>
      <c r="BG4023">
        <v>0</v>
      </c>
      <c r="BH4023">
        <v>0</v>
      </c>
      <c r="BI4023">
        <v>0</v>
      </c>
      <c r="BJ4023">
        <v>4900</v>
      </c>
      <c r="BK4023">
        <v>-100</v>
      </c>
      <c r="BL4023" t="s">
        <v>163</v>
      </c>
      <c r="BM4023">
        <v>1</v>
      </c>
      <c r="BN4023">
        <v>1</v>
      </c>
      <c r="BO4023">
        <v>1</v>
      </c>
      <c r="BP4023">
        <v>0</v>
      </c>
      <c r="BS4023">
        <v>0</v>
      </c>
      <c r="BT4023">
        <v>0</v>
      </c>
      <c r="BU4023">
        <v>0</v>
      </c>
      <c r="CE4023" t="str">
        <f t="shared" si="1479"/>
        <v>19:36:22.179</v>
      </c>
      <c r="CF4023">
        <v>178500339</v>
      </c>
      <c r="CS4023">
        <v>0</v>
      </c>
      <c r="CT4023">
        <v>2</v>
      </c>
      <c r="CU4023">
        <v>0</v>
      </c>
      <c r="CV4023">
        <v>2</v>
      </c>
      <c r="CW4023">
        <v>0</v>
      </c>
      <c r="CX4023">
        <v>5</v>
      </c>
      <c r="CY4023">
        <v>7</v>
      </c>
      <c r="CZ4023" t="s">
        <v>131</v>
      </c>
      <c r="DA4023">
        <v>286</v>
      </c>
      <c r="DB4023">
        <v>0</v>
      </c>
      <c r="DC4023" t="s">
        <v>132</v>
      </c>
      <c r="DD4023" t="s">
        <v>133</v>
      </c>
      <c r="DG4023">
        <v>899081</v>
      </c>
      <c r="DI4023">
        <v>1</v>
      </c>
      <c r="DJ4023">
        <v>0</v>
      </c>
      <c r="DK4023">
        <v>1</v>
      </c>
      <c r="DL4023">
        <v>0</v>
      </c>
      <c r="DM4023">
        <v>0</v>
      </c>
      <c r="DN4023">
        <v>1</v>
      </c>
      <c r="DO4023">
        <v>0</v>
      </c>
      <c r="DP4023">
        <v>0</v>
      </c>
      <c r="DQ4023">
        <v>0</v>
      </c>
      <c r="DR4023">
        <v>0</v>
      </c>
      <c r="DS4023">
        <v>0</v>
      </c>
    </row>
    <row r="4024" spans="1:123" x14ac:dyDescent="0.3">
      <c r="A4024" t="str">
        <f>"10/04/2022 19:36:22.495"</f>
        <v>10/04/2022 19:36:22.495</v>
      </c>
      <c r="C4024" t="str">
        <f t="shared" si="1475"/>
        <v>FFDFD3C0</v>
      </c>
      <c r="D4024" t="s">
        <v>141</v>
      </c>
      <c r="E4024">
        <v>3</v>
      </c>
      <c r="H4024">
        <v>3</v>
      </c>
      <c r="I4024" t="s">
        <v>146</v>
      </c>
      <c r="J4024" t="s">
        <v>138</v>
      </c>
      <c r="K4024">
        <v>0</v>
      </c>
      <c r="L4024">
        <v>3</v>
      </c>
      <c r="M4024">
        <v>0</v>
      </c>
      <c r="N4024">
        <v>2</v>
      </c>
      <c r="O4024">
        <v>0</v>
      </c>
      <c r="P4024">
        <v>1</v>
      </c>
      <c r="Q4024">
        <v>0</v>
      </c>
      <c r="S4024" t="str">
        <f t="shared" si="1478"/>
        <v>19:36:22.000</v>
      </c>
      <c r="T4024" t="str">
        <f t="shared" si="1478"/>
        <v>19:36:22.000</v>
      </c>
      <c r="U4024" t="str">
        <f t="shared" si="1461"/>
        <v>AC3944</v>
      </c>
      <c r="V4024">
        <v>0</v>
      </c>
      <c r="W4024">
        <v>0</v>
      </c>
      <c r="X4024">
        <v>2</v>
      </c>
      <c r="Y4024">
        <v>0</v>
      </c>
      <c r="AA4024">
        <v>1</v>
      </c>
      <c r="AB4024">
        <v>8</v>
      </c>
      <c r="AC4024">
        <v>3</v>
      </c>
      <c r="AD4024">
        <v>0</v>
      </c>
      <c r="AE4024">
        <v>9</v>
      </c>
      <c r="AF4024" t="s">
        <v>138</v>
      </c>
      <c r="AG4024">
        <v>0</v>
      </c>
      <c r="AH4024">
        <v>3</v>
      </c>
      <c r="AI4024">
        <v>1</v>
      </c>
      <c r="AJ4024">
        <v>0</v>
      </c>
      <c r="AK4024" t="s">
        <v>1298</v>
      </c>
      <c r="AL4024">
        <v>32.732433999999998</v>
      </c>
      <c r="AM4024" t="s">
        <v>1299</v>
      </c>
      <c r="AN4024">
        <v>-116.681371</v>
      </c>
      <c r="AO4024">
        <v>25</v>
      </c>
      <c r="AP4024">
        <v>5000</v>
      </c>
      <c r="AQ4024" t="s">
        <v>129</v>
      </c>
      <c r="AR4024">
        <v>124</v>
      </c>
      <c r="AS4024">
        <v>-11</v>
      </c>
      <c r="AT4024">
        <v>448</v>
      </c>
      <c r="BB4024">
        <v>1200</v>
      </c>
      <c r="BC4024">
        <v>1</v>
      </c>
      <c r="BD4024" t="str">
        <f t="shared" si="1462"/>
        <v xml:space="preserve">N887QR  </v>
      </c>
      <c r="BE4024">
        <v>1</v>
      </c>
      <c r="BG4024">
        <v>0</v>
      </c>
      <c r="BH4024">
        <v>0</v>
      </c>
      <c r="BI4024">
        <v>0</v>
      </c>
      <c r="BJ4024">
        <v>4900</v>
      </c>
      <c r="BK4024">
        <v>-100</v>
      </c>
      <c r="BL4024" t="s">
        <v>163</v>
      </c>
      <c r="BM4024">
        <v>1</v>
      </c>
      <c r="BN4024">
        <v>1</v>
      </c>
      <c r="BO4024">
        <v>1</v>
      </c>
      <c r="BP4024">
        <v>0</v>
      </c>
      <c r="BS4024">
        <v>0</v>
      </c>
      <c r="BT4024">
        <v>0</v>
      </c>
      <c r="BU4024">
        <v>0</v>
      </c>
      <c r="CE4024" t="str">
        <f t="shared" si="1479"/>
        <v>19:36:22.179</v>
      </c>
      <c r="CF4024">
        <v>178500339</v>
      </c>
      <c r="CS4024">
        <v>0</v>
      </c>
      <c r="CT4024">
        <v>2</v>
      </c>
      <c r="CU4024">
        <v>0</v>
      </c>
      <c r="CV4024">
        <v>2</v>
      </c>
      <c r="CW4024">
        <v>0</v>
      </c>
      <c r="CX4024">
        <v>5</v>
      </c>
      <c r="CY4024">
        <v>7</v>
      </c>
      <c r="CZ4024" t="s">
        <v>131</v>
      </c>
      <c r="DA4024">
        <v>286</v>
      </c>
      <c r="DB4024">
        <v>0</v>
      </c>
      <c r="DC4024" t="s">
        <v>132</v>
      </c>
      <c r="DD4024" t="s">
        <v>133</v>
      </c>
      <c r="DG4024">
        <v>899081</v>
      </c>
      <c r="DI4024">
        <v>1</v>
      </c>
      <c r="DJ4024">
        <v>0</v>
      </c>
      <c r="DK4024">
        <v>1</v>
      </c>
      <c r="DL4024">
        <v>0</v>
      </c>
      <c r="DM4024">
        <v>0</v>
      </c>
      <c r="DN4024">
        <v>1</v>
      </c>
      <c r="DO4024">
        <v>0</v>
      </c>
      <c r="DP4024">
        <v>0</v>
      </c>
      <c r="DQ4024">
        <v>0</v>
      </c>
      <c r="DR4024">
        <v>0</v>
      </c>
      <c r="DS4024">
        <v>0</v>
      </c>
    </row>
    <row r="4025" spans="1:123" x14ac:dyDescent="0.3">
      <c r="A4025" t="str">
        <f>"10/04/2022 19:36:22.495"</f>
        <v>10/04/2022 19:36:22.495</v>
      </c>
      <c r="C4025" t="str">
        <f t="shared" si="1475"/>
        <v>FFDFD3C0</v>
      </c>
      <c r="D4025" t="s">
        <v>143</v>
      </c>
      <c r="E4025">
        <v>20</v>
      </c>
      <c r="F4025">
        <v>1020</v>
      </c>
      <c r="G4025" t="s">
        <v>144</v>
      </c>
      <c r="J4025" t="s">
        <v>145</v>
      </c>
      <c r="K4025">
        <v>0</v>
      </c>
      <c r="L4025">
        <v>3</v>
      </c>
      <c r="M4025">
        <v>0</v>
      </c>
      <c r="N4025">
        <v>2</v>
      </c>
      <c r="O4025">
        <v>0</v>
      </c>
      <c r="P4025">
        <v>1</v>
      </c>
      <c r="Q4025">
        <v>0</v>
      </c>
      <c r="S4025" t="str">
        <f t="shared" si="1478"/>
        <v>19:36:22.000</v>
      </c>
      <c r="T4025" t="str">
        <f t="shared" si="1478"/>
        <v>19:36:22.000</v>
      </c>
      <c r="U4025" t="str">
        <f t="shared" si="1461"/>
        <v>AC3944</v>
      </c>
      <c r="V4025">
        <v>0</v>
      </c>
      <c r="W4025">
        <v>0</v>
      </c>
      <c r="X4025">
        <v>2</v>
      </c>
      <c r="Y4025">
        <v>0</v>
      </c>
      <c r="AA4025">
        <v>1</v>
      </c>
      <c r="AB4025">
        <v>8</v>
      </c>
      <c r="AC4025">
        <v>3</v>
      </c>
      <c r="AD4025">
        <v>0</v>
      </c>
      <c r="AE4025">
        <v>9</v>
      </c>
      <c r="AF4025" t="s">
        <v>138</v>
      </c>
      <c r="AG4025">
        <v>0</v>
      </c>
      <c r="AH4025">
        <v>3</v>
      </c>
      <c r="AI4025">
        <v>1</v>
      </c>
      <c r="AJ4025">
        <v>0</v>
      </c>
      <c r="AK4025" t="s">
        <v>1298</v>
      </c>
      <c r="AL4025">
        <v>32.732433999999998</v>
      </c>
      <c r="AM4025" t="s">
        <v>1299</v>
      </c>
      <c r="AN4025">
        <v>-116.681371</v>
      </c>
      <c r="AO4025">
        <v>25</v>
      </c>
      <c r="AP4025">
        <v>5000</v>
      </c>
      <c r="AQ4025" t="s">
        <v>129</v>
      </c>
      <c r="AR4025">
        <v>124</v>
      </c>
      <c r="AS4025">
        <v>-11</v>
      </c>
      <c r="AT4025">
        <v>448</v>
      </c>
      <c r="BB4025">
        <v>1200</v>
      </c>
      <c r="BC4025">
        <v>1</v>
      </c>
      <c r="BD4025" t="str">
        <f t="shared" si="1462"/>
        <v xml:space="preserve">N887QR  </v>
      </c>
      <c r="BE4025">
        <v>1</v>
      </c>
      <c r="BG4025">
        <v>0</v>
      </c>
      <c r="BH4025">
        <v>0</v>
      </c>
      <c r="BI4025">
        <v>0</v>
      </c>
      <c r="BJ4025">
        <v>4900</v>
      </c>
      <c r="BK4025">
        <v>-100</v>
      </c>
      <c r="BL4025" t="s">
        <v>163</v>
      </c>
      <c r="BM4025">
        <v>1</v>
      </c>
      <c r="BN4025">
        <v>1</v>
      </c>
      <c r="BO4025">
        <v>1</v>
      </c>
      <c r="BP4025">
        <v>0</v>
      </c>
      <c r="BS4025">
        <v>0</v>
      </c>
      <c r="BT4025">
        <v>0</v>
      </c>
      <c r="BU4025">
        <v>0</v>
      </c>
      <c r="CE4025" t="str">
        <f t="shared" si="1479"/>
        <v>19:36:22.179</v>
      </c>
      <c r="CF4025">
        <v>178500339</v>
      </c>
      <c r="CS4025">
        <v>0</v>
      </c>
      <c r="CT4025">
        <v>2</v>
      </c>
      <c r="CU4025">
        <v>0</v>
      </c>
      <c r="CV4025">
        <v>2</v>
      </c>
      <c r="CW4025">
        <v>0</v>
      </c>
      <c r="CX4025">
        <v>5</v>
      </c>
      <c r="CY4025">
        <v>7</v>
      </c>
      <c r="CZ4025" t="s">
        <v>131</v>
      </c>
      <c r="DA4025">
        <v>286</v>
      </c>
      <c r="DB4025">
        <v>0</v>
      </c>
      <c r="DC4025" t="s">
        <v>132</v>
      </c>
      <c r="DD4025" t="s">
        <v>133</v>
      </c>
      <c r="DG4025">
        <v>899081</v>
      </c>
      <c r="DI4025">
        <v>1</v>
      </c>
      <c r="DJ4025">
        <v>0</v>
      </c>
      <c r="DK4025">
        <v>1</v>
      </c>
      <c r="DL4025">
        <v>0</v>
      </c>
      <c r="DM4025">
        <v>0</v>
      </c>
      <c r="DN4025">
        <v>1</v>
      </c>
      <c r="DO4025">
        <v>0</v>
      </c>
      <c r="DP4025">
        <v>0</v>
      </c>
      <c r="DQ4025">
        <v>0</v>
      </c>
      <c r="DR4025">
        <v>0</v>
      </c>
      <c r="DS4025">
        <v>0</v>
      </c>
    </row>
    <row r="4026" spans="1:123" x14ac:dyDescent="0.3">
      <c r="A4026" t="str">
        <f>"10/04/2022 19:36:22.511"</f>
        <v>10/04/2022 19:36:22.511</v>
      </c>
      <c r="C4026" t="str">
        <f t="shared" si="1475"/>
        <v>FFDFD3C0</v>
      </c>
      <c r="D4026" t="s">
        <v>123</v>
      </c>
      <c r="E4026">
        <v>7</v>
      </c>
      <c r="F4026">
        <v>2007</v>
      </c>
      <c r="G4026" t="s">
        <v>124</v>
      </c>
      <c r="J4026" t="s">
        <v>125</v>
      </c>
      <c r="K4026">
        <v>0</v>
      </c>
      <c r="L4026">
        <v>3</v>
      </c>
      <c r="M4026">
        <v>0</v>
      </c>
      <c r="N4026">
        <v>2</v>
      </c>
      <c r="O4026">
        <v>0</v>
      </c>
      <c r="P4026">
        <v>1</v>
      </c>
      <c r="Q4026">
        <v>0</v>
      </c>
      <c r="S4026" t="str">
        <f t="shared" si="1478"/>
        <v>19:36:22.000</v>
      </c>
      <c r="T4026" t="str">
        <f t="shared" si="1478"/>
        <v>19:36:22.000</v>
      </c>
      <c r="U4026" t="str">
        <f t="shared" si="1461"/>
        <v>AC3944</v>
      </c>
      <c r="V4026">
        <v>0</v>
      </c>
      <c r="W4026">
        <v>0</v>
      </c>
      <c r="X4026">
        <v>2</v>
      </c>
      <c r="Y4026">
        <v>0</v>
      </c>
      <c r="AA4026">
        <v>1</v>
      </c>
      <c r="AB4026">
        <v>8</v>
      </c>
      <c r="AC4026">
        <v>3</v>
      </c>
      <c r="AD4026">
        <v>0</v>
      </c>
      <c r="AE4026">
        <v>9</v>
      </c>
      <c r="AF4026" t="s">
        <v>138</v>
      </c>
      <c r="AG4026">
        <v>0</v>
      </c>
      <c r="AH4026">
        <v>3</v>
      </c>
      <c r="AI4026">
        <v>1</v>
      </c>
      <c r="AJ4026">
        <v>0</v>
      </c>
      <c r="AK4026" t="s">
        <v>1298</v>
      </c>
      <c r="AL4026">
        <v>32.732433999999998</v>
      </c>
      <c r="AM4026" t="s">
        <v>1299</v>
      </c>
      <c r="AN4026">
        <v>-116.681371</v>
      </c>
      <c r="AO4026">
        <v>25</v>
      </c>
      <c r="AP4026">
        <v>5000</v>
      </c>
      <c r="AQ4026" t="s">
        <v>129</v>
      </c>
      <c r="AR4026">
        <v>124</v>
      </c>
      <c r="AS4026">
        <v>-11</v>
      </c>
      <c r="AT4026">
        <v>448</v>
      </c>
      <c r="BB4026">
        <v>1200</v>
      </c>
      <c r="BC4026">
        <v>1</v>
      </c>
      <c r="BD4026" t="str">
        <f t="shared" si="1462"/>
        <v xml:space="preserve">N887QR  </v>
      </c>
      <c r="BE4026">
        <v>1</v>
      </c>
      <c r="BG4026">
        <v>0</v>
      </c>
      <c r="BH4026">
        <v>0</v>
      </c>
      <c r="BI4026">
        <v>0</v>
      </c>
      <c r="BJ4026">
        <v>4900</v>
      </c>
      <c r="BK4026">
        <v>-100</v>
      </c>
      <c r="BL4026" t="s">
        <v>163</v>
      </c>
      <c r="BM4026">
        <v>1</v>
      </c>
      <c r="BN4026">
        <v>1</v>
      </c>
      <c r="BO4026">
        <v>1</v>
      </c>
      <c r="BP4026">
        <v>0</v>
      </c>
      <c r="BS4026">
        <v>0</v>
      </c>
      <c r="BT4026">
        <v>0</v>
      </c>
      <c r="BU4026">
        <v>0</v>
      </c>
      <c r="CE4026" t="str">
        <f t="shared" si="1479"/>
        <v>19:36:22.179</v>
      </c>
      <c r="CF4026">
        <v>178500339</v>
      </c>
      <c r="CS4026">
        <v>0</v>
      </c>
      <c r="CT4026">
        <v>2</v>
      </c>
      <c r="CU4026">
        <v>0</v>
      </c>
      <c r="CV4026">
        <v>2</v>
      </c>
      <c r="CW4026">
        <v>0</v>
      </c>
      <c r="CX4026">
        <v>5</v>
      </c>
      <c r="CY4026">
        <v>7</v>
      </c>
      <c r="CZ4026" t="s">
        <v>131</v>
      </c>
      <c r="DA4026">
        <v>286</v>
      </c>
      <c r="DB4026">
        <v>0</v>
      </c>
      <c r="DC4026" t="s">
        <v>132</v>
      </c>
      <c r="DD4026" t="s">
        <v>133</v>
      </c>
      <c r="DG4026">
        <v>899081</v>
      </c>
      <c r="DI4026">
        <v>1</v>
      </c>
      <c r="DJ4026">
        <v>0</v>
      </c>
      <c r="DK4026">
        <v>1</v>
      </c>
      <c r="DL4026">
        <v>0</v>
      </c>
      <c r="DM4026">
        <v>0</v>
      </c>
      <c r="DN4026">
        <v>1</v>
      </c>
      <c r="DO4026">
        <v>0</v>
      </c>
      <c r="DP4026">
        <v>0</v>
      </c>
      <c r="DQ4026">
        <v>0</v>
      </c>
      <c r="DR4026">
        <v>0</v>
      </c>
      <c r="DS4026">
        <v>0</v>
      </c>
    </row>
    <row r="4027" spans="1:123" x14ac:dyDescent="0.3">
      <c r="A4027" t="str">
        <f>"10/04/2022 19:36:22.511"</f>
        <v>10/04/2022 19:36:22.511</v>
      </c>
      <c r="C4027" t="str">
        <f t="shared" si="1475"/>
        <v>FFDFD3C0</v>
      </c>
      <c r="D4027" t="s">
        <v>136</v>
      </c>
      <c r="E4027">
        <v>8</v>
      </c>
      <c r="H4027">
        <v>225</v>
      </c>
      <c r="I4027" t="s">
        <v>137</v>
      </c>
      <c r="J4027" t="s">
        <v>138</v>
      </c>
      <c r="K4027">
        <v>0</v>
      </c>
      <c r="L4027">
        <v>3</v>
      </c>
      <c r="M4027">
        <v>0</v>
      </c>
      <c r="N4027">
        <v>2</v>
      </c>
      <c r="O4027">
        <v>0</v>
      </c>
      <c r="P4027">
        <v>1</v>
      </c>
      <c r="Q4027">
        <v>0</v>
      </c>
      <c r="S4027" t="str">
        <f t="shared" si="1478"/>
        <v>19:36:22.000</v>
      </c>
      <c r="T4027" t="str">
        <f t="shared" si="1478"/>
        <v>19:36:22.000</v>
      </c>
      <c r="U4027" t="str">
        <f t="shared" si="1461"/>
        <v>AC3944</v>
      </c>
      <c r="V4027">
        <v>0</v>
      </c>
      <c r="W4027">
        <v>0</v>
      </c>
      <c r="X4027">
        <v>2</v>
      </c>
      <c r="Y4027">
        <v>0</v>
      </c>
      <c r="AA4027">
        <v>1</v>
      </c>
      <c r="AB4027">
        <v>8</v>
      </c>
      <c r="AC4027">
        <v>3</v>
      </c>
      <c r="AD4027">
        <v>0</v>
      </c>
      <c r="AE4027">
        <v>9</v>
      </c>
      <c r="AF4027" t="s">
        <v>138</v>
      </c>
      <c r="AG4027">
        <v>0</v>
      </c>
      <c r="AH4027">
        <v>3</v>
      </c>
      <c r="AI4027">
        <v>1</v>
      </c>
      <c r="AJ4027">
        <v>0</v>
      </c>
      <c r="AK4027" t="s">
        <v>1298</v>
      </c>
      <c r="AL4027">
        <v>32.732433999999998</v>
      </c>
      <c r="AM4027" t="s">
        <v>1299</v>
      </c>
      <c r="AN4027">
        <v>-116.681371</v>
      </c>
      <c r="AO4027">
        <v>25</v>
      </c>
      <c r="AP4027">
        <v>5000</v>
      </c>
      <c r="AQ4027" t="s">
        <v>129</v>
      </c>
      <c r="AR4027">
        <v>124</v>
      </c>
      <c r="AS4027">
        <v>-11</v>
      </c>
      <c r="AT4027">
        <v>448</v>
      </c>
      <c r="BB4027">
        <v>1200</v>
      </c>
      <c r="BC4027">
        <v>1</v>
      </c>
      <c r="BD4027" t="str">
        <f t="shared" si="1462"/>
        <v xml:space="preserve">N887QR  </v>
      </c>
      <c r="BE4027">
        <v>1</v>
      </c>
      <c r="BG4027">
        <v>0</v>
      </c>
      <c r="BH4027">
        <v>0</v>
      </c>
      <c r="BI4027">
        <v>0</v>
      </c>
      <c r="BJ4027">
        <v>4900</v>
      </c>
      <c r="BK4027">
        <v>-100</v>
      </c>
      <c r="BL4027" t="s">
        <v>163</v>
      </c>
      <c r="BM4027">
        <v>1</v>
      </c>
      <c r="BN4027">
        <v>1</v>
      </c>
      <c r="BO4027">
        <v>1</v>
      </c>
      <c r="BP4027">
        <v>0</v>
      </c>
      <c r="BS4027">
        <v>0</v>
      </c>
      <c r="BT4027">
        <v>0</v>
      </c>
      <c r="BU4027">
        <v>0</v>
      </c>
      <c r="CE4027" t="str">
        <f t="shared" si="1479"/>
        <v>19:36:22.179</v>
      </c>
      <c r="CF4027">
        <v>178500339</v>
      </c>
      <c r="CS4027">
        <v>0</v>
      </c>
      <c r="CT4027">
        <v>2</v>
      </c>
      <c r="CU4027">
        <v>0</v>
      </c>
      <c r="CV4027">
        <v>2</v>
      </c>
      <c r="CW4027">
        <v>0</v>
      </c>
      <c r="CX4027">
        <v>5</v>
      </c>
      <c r="CY4027">
        <v>7</v>
      </c>
      <c r="CZ4027" t="s">
        <v>131</v>
      </c>
      <c r="DA4027">
        <v>286</v>
      </c>
      <c r="DB4027">
        <v>0</v>
      </c>
      <c r="DC4027" t="s">
        <v>132</v>
      </c>
      <c r="DD4027" t="s">
        <v>133</v>
      </c>
      <c r="DG4027">
        <v>899081</v>
      </c>
      <c r="DI4027">
        <v>1</v>
      </c>
      <c r="DJ4027">
        <v>0</v>
      </c>
      <c r="DK4027">
        <v>1</v>
      </c>
      <c r="DL4027">
        <v>0</v>
      </c>
      <c r="DM4027">
        <v>0</v>
      </c>
      <c r="DN4027">
        <v>1</v>
      </c>
      <c r="DO4027">
        <v>0</v>
      </c>
      <c r="DP4027">
        <v>0</v>
      </c>
      <c r="DQ4027">
        <v>0</v>
      </c>
      <c r="DR4027">
        <v>0</v>
      </c>
      <c r="DS4027">
        <v>0</v>
      </c>
    </row>
    <row r="4028" spans="1:123" x14ac:dyDescent="0.3">
      <c r="A4028" t="str">
        <f>"10/04/2022 19:36:22.511"</f>
        <v>10/04/2022 19:36:22.511</v>
      </c>
      <c r="C4028" t="str">
        <f t="shared" si="1475"/>
        <v>FFDFD3C0</v>
      </c>
      <c r="D4028" t="s">
        <v>141</v>
      </c>
      <c r="E4028">
        <v>4</v>
      </c>
      <c r="H4028">
        <v>4</v>
      </c>
      <c r="I4028" t="s">
        <v>142</v>
      </c>
      <c r="J4028" t="s">
        <v>138</v>
      </c>
      <c r="K4028">
        <v>0</v>
      </c>
      <c r="L4028">
        <v>3</v>
      </c>
      <c r="M4028">
        <v>0</v>
      </c>
      <c r="N4028">
        <v>2</v>
      </c>
      <c r="O4028">
        <v>0</v>
      </c>
      <c r="P4028">
        <v>1</v>
      </c>
      <c r="Q4028">
        <v>0</v>
      </c>
      <c r="S4028" t="str">
        <f t="shared" si="1478"/>
        <v>19:36:22.000</v>
      </c>
      <c r="T4028" t="str">
        <f t="shared" si="1478"/>
        <v>19:36:22.000</v>
      </c>
      <c r="U4028" t="str">
        <f t="shared" si="1461"/>
        <v>AC3944</v>
      </c>
      <c r="V4028">
        <v>0</v>
      </c>
      <c r="W4028">
        <v>0</v>
      </c>
      <c r="X4028">
        <v>2</v>
      </c>
      <c r="Y4028">
        <v>0</v>
      </c>
      <c r="AA4028">
        <v>1</v>
      </c>
      <c r="AB4028">
        <v>8</v>
      </c>
      <c r="AC4028">
        <v>3</v>
      </c>
      <c r="AD4028">
        <v>0</v>
      </c>
      <c r="AE4028">
        <v>9</v>
      </c>
      <c r="AF4028" t="s">
        <v>138</v>
      </c>
      <c r="AG4028">
        <v>0</v>
      </c>
      <c r="AH4028">
        <v>3</v>
      </c>
      <c r="AI4028">
        <v>1</v>
      </c>
      <c r="AJ4028">
        <v>0</v>
      </c>
      <c r="AK4028" t="s">
        <v>1298</v>
      </c>
      <c r="AL4028">
        <v>32.732433999999998</v>
      </c>
      <c r="AM4028" t="s">
        <v>1299</v>
      </c>
      <c r="AN4028">
        <v>-116.681371</v>
      </c>
      <c r="AO4028">
        <v>25</v>
      </c>
      <c r="AP4028">
        <v>5000</v>
      </c>
      <c r="AQ4028" t="s">
        <v>129</v>
      </c>
      <c r="AR4028">
        <v>124</v>
      </c>
      <c r="AS4028">
        <v>-11</v>
      </c>
      <c r="AT4028">
        <v>448</v>
      </c>
      <c r="BB4028">
        <v>1200</v>
      </c>
      <c r="BC4028">
        <v>1</v>
      </c>
      <c r="BD4028" t="str">
        <f t="shared" si="1462"/>
        <v xml:space="preserve">N887QR  </v>
      </c>
      <c r="BE4028">
        <v>1</v>
      </c>
      <c r="BG4028">
        <v>0</v>
      </c>
      <c r="BH4028">
        <v>0</v>
      </c>
      <c r="BI4028">
        <v>0</v>
      </c>
      <c r="BJ4028">
        <v>4900</v>
      </c>
      <c r="BK4028">
        <v>-100</v>
      </c>
      <c r="BL4028" t="s">
        <v>163</v>
      </c>
      <c r="BM4028">
        <v>1</v>
      </c>
      <c r="BN4028">
        <v>1</v>
      </c>
      <c r="BO4028">
        <v>1</v>
      </c>
      <c r="BP4028">
        <v>0</v>
      </c>
      <c r="BS4028">
        <v>0</v>
      </c>
      <c r="BT4028">
        <v>0</v>
      </c>
      <c r="BU4028">
        <v>0</v>
      </c>
      <c r="CE4028" t="str">
        <f t="shared" si="1479"/>
        <v>19:36:22.179</v>
      </c>
      <c r="CF4028">
        <v>178500339</v>
      </c>
      <c r="CS4028">
        <v>0</v>
      </c>
      <c r="CT4028">
        <v>2</v>
      </c>
      <c r="CU4028">
        <v>0</v>
      </c>
      <c r="CV4028">
        <v>2</v>
      </c>
      <c r="CW4028">
        <v>0</v>
      </c>
      <c r="CX4028">
        <v>5</v>
      </c>
      <c r="CY4028">
        <v>7</v>
      </c>
      <c r="CZ4028" t="s">
        <v>131</v>
      </c>
      <c r="DA4028">
        <v>286</v>
      </c>
      <c r="DB4028">
        <v>0</v>
      </c>
      <c r="DC4028" t="s">
        <v>132</v>
      </c>
      <c r="DD4028" t="s">
        <v>133</v>
      </c>
      <c r="DG4028">
        <v>899081</v>
      </c>
      <c r="DI4028">
        <v>1</v>
      </c>
      <c r="DJ4028">
        <v>0</v>
      </c>
      <c r="DK4028">
        <v>1</v>
      </c>
      <c r="DL4028">
        <v>0</v>
      </c>
      <c r="DM4028">
        <v>0</v>
      </c>
      <c r="DN4028">
        <v>1</v>
      </c>
      <c r="DO4028">
        <v>0</v>
      </c>
      <c r="DP4028">
        <v>0</v>
      </c>
      <c r="DQ4028">
        <v>0</v>
      </c>
      <c r="DR4028">
        <v>0</v>
      </c>
      <c r="DS4028">
        <v>0</v>
      </c>
    </row>
    <row r="4029" spans="1:123" x14ac:dyDescent="0.3">
      <c r="A4029" t="str">
        <f t="shared" ref="A4029:A4035" si="1480">"10/04/2022 19:36:23.683"</f>
        <v>10/04/2022 19:36:23.683</v>
      </c>
      <c r="C4029" t="str">
        <f t="shared" si="1475"/>
        <v>FFDFD3C0</v>
      </c>
      <c r="D4029" t="s">
        <v>147</v>
      </c>
      <c r="E4029">
        <v>3</v>
      </c>
      <c r="H4029">
        <v>166</v>
      </c>
      <c r="I4029" t="s">
        <v>144</v>
      </c>
      <c r="J4029" t="s">
        <v>148</v>
      </c>
      <c r="K4029">
        <v>0</v>
      </c>
      <c r="L4029">
        <v>3</v>
      </c>
      <c r="M4029">
        <v>0</v>
      </c>
      <c r="N4029">
        <v>2</v>
      </c>
      <c r="O4029">
        <v>0</v>
      </c>
      <c r="P4029">
        <v>1</v>
      </c>
      <c r="Q4029">
        <v>0</v>
      </c>
      <c r="S4029" t="str">
        <f t="shared" ref="S4029:T4035" si="1481">"19:36:23.000"</f>
        <v>19:36:23.000</v>
      </c>
      <c r="T4029" t="str">
        <f t="shared" si="1481"/>
        <v>19:36:23.000</v>
      </c>
      <c r="U4029" t="str">
        <f t="shared" si="1461"/>
        <v>AC3944</v>
      </c>
      <c r="V4029">
        <v>0</v>
      </c>
      <c r="W4029">
        <v>0</v>
      </c>
      <c r="X4029">
        <v>2</v>
      </c>
      <c r="Y4029">
        <v>0</v>
      </c>
      <c r="AA4029">
        <v>1</v>
      </c>
      <c r="AB4029">
        <v>8</v>
      </c>
      <c r="AC4029">
        <v>3</v>
      </c>
      <c r="AD4029">
        <v>0</v>
      </c>
      <c r="AE4029">
        <v>9</v>
      </c>
      <c r="AF4029" t="s">
        <v>138</v>
      </c>
      <c r="AG4029">
        <v>0</v>
      </c>
      <c r="AH4029">
        <v>3</v>
      </c>
      <c r="AI4029">
        <v>1</v>
      </c>
      <c r="AJ4029">
        <v>0</v>
      </c>
      <c r="AK4029" t="s">
        <v>1300</v>
      </c>
      <c r="AL4029">
        <v>32.732370000000003</v>
      </c>
      <c r="AM4029" t="s">
        <v>1301</v>
      </c>
      <c r="AN4029">
        <v>-116.680684</v>
      </c>
      <c r="AO4029">
        <v>25</v>
      </c>
      <c r="AP4029">
        <v>5000</v>
      </c>
      <c r="AQ4029" t="s">
        <v>129</v>
      </c>
      <c r="AR4029">
        <v>126</v>
      </c>
      <c r="AS4029">
        <v>8</v>
      </c>
      <c r="AT4029">
        <v>448</v>
      </c>
      <c r="BB4029">
        <v>1200</v>
      </c>
      <c r="BC4029">
        <v>1</v>
      </c>
      <c r="BD4029" t="str">
        <f t="shared" si="1462"/>
        <v xml:space="preserve">N887QR  </v>
      </c>
      <c r="BE4029">
        <v>1</v>
      </c>
      <c r="BG4029">
        <v>0</v>
      </c>
      <c r="BH4029">
        <v>0</v>
      </c>
      <c r="BI4029">
        <v>0</v>
      </c>
      <c r="BJ4029">
        <v>4900</v>
      </c>
      <c r="BK4029">
        <v>-100</v>
      </c>
      <c r="BL4029" t="s">
        <v>163</v>
      </c>
      <c r="BM4029">
        <v>1</v>
      </c>
      <c r="BN4029">
        <v>1</v>
      </c>
      <c r="BO4029">
        <v>1</v>
      </c>
      <c r="BP4029">
        <v>0</v>
      </c>
      <c r="BS4029">
        <v>0</v>
      </c>
      <c r="BT4029">
        <v>0</v>
      </c>
      <c r="BU4029">
        <v>0</v>
      </c>
      <c r="CE4029" t="str">
        <f t="shared" ref="CE4029:CE4035" si="1482">"19:36:23.410"</f>
        <v>19:36:23.410</v>
      </c>
      <c r="CF4029">
        <v>410254491</v>
      </c>
      <c r="CS4029">
        <v>0</v>
      </c>
      <c r="CT4029">
        <v>2</v>
      </c>
      <c r="CU4029">
        <v>0</v>
      </c>
      <c r="CV4029">
        <v>2</v>
      </c>
      <c r="CW4029">
        <v>0</v>
      </c>
      <c r="CX4029">
        <v>5</v>
      </c>
      <c r="CY4029">
        <v>7</v>
      </c>
      <c r="CZ4029" t="s">
        <v>131</v>
      </c>
      <c r="DA4029">
        <v>286</v>
      </c>
      <c r="DB4029">
        <v>0</v>
      </c>
      <c r="DC4029" t="s">
        <v>132</v>
      </c>
      <c r="DD4029" t="s">
        <v>133</v>
      </c>
      <c r="DG4029">
        <v>899355</v>
      </c>
      <c r="DI4029">
        <v>1</v>
      </c>
      <c r="DJ4029">
        <v>0</v>
      </c>
      <c r="DK4029">
        <v>0</v>
      </c>
      <c r="DL4029">
        <v>0</v>
      </c>
      <c r="DM4029">
        <v>0</v>
      </c>
      <c r="DN4029">
        <v>1</v>
      </c>
      <c r="DO4029">
        <v>0</v>
      </c>
      <c r="DP4029">
        <v>0</v>
      </c>
      <c r="DQ4029">
        <v>0</v>
      </c>
      <c r="DR4029">
        <v>0</v>
      </c>
      <c r="DS4029">
        <v>0</v>
      </c>
    </row>
    <row r="4030" spans="1:123" x14ac:dyDescent="0.3">
      <c r="A4030" t="str">
        <f t="shared" si="1480"/>
        <v>10/04/2022 19:36:23.683</v>
      </c>
      <c r="C4030" t="str">
        <f t="shared" si="1475"/>
        <v>FFDFD3C0</v>
      </c>
      <c r="D4030" t="s">
        <v>134</v>
      </c>
      <c r="E4030">
        <v>15</v>
      </c>
      <c r="J4030" t="s">
        <v>135</v>
      </c>
      <c r="K4030">
        <v>0</v>
      </c>
      <c r="L4030">
        <v>3</v>
      </c>
      <c r="M4030">
        <v>0</v>
      </c>
      <c r="N4030">
        <v>2</v>
      </c>
      <c r="O4030">
        <v>0</v>
      </c>
      <c r="P4030">
        <v>1</v>
      </c>
      <c r="Q4030">
        <v>0</v>
      </c>
      <c r="S4030" t="str">
        <f t="shared" si="1481"/>
        <v>19:36:23.000</v>
      </c>
      <c r="T4030" t="str">
        <f t="shared" si="1481"/>
        <v>19:36:23.000</v>
      </c>
      <c r="U4030" t="str">
        <f t="shared" si="1461"/>
        <v>AC3944</v>
      </c>
      <c r="V4030">
        <v>0</v>
      </c>
      <c r="W4030">
        <v>0</v>
      </c>
      <c r="X4030">
        <v>2</v>
      </c>
      <c r="Y4030">
        <v>0</v>
      </c>
      <c r="AA4030">
        <v>1</v>
      </c>
      <c r="AB4030">
        <v>8</v>
      </c>
      <c r="AC4030">
        <v>3</v>
      </c>
      <c r="AD4030">
        <v>0</v>
      </c>
      <c r="AE4030">
        <v>9</v>
      </c>
      <c r="AF4030" t="s">
        <v>138</v>
      </c>
      <c r="AG4030">
        <v>0</v>
      </c>
      <c r="AH4030">
        <v>3</v>
      </c>
      <c r="AI4030">
        <v>1</v>
      </c>
      <c r="AJ4030">
        <v>0</v>
      </c>
      <c r="AK4030" t="s">
        <v>1300</v>
      </c>
      <c r="AL4030">
        <v>32.732370000000003</v>
      </c>
      <c r="AM4030" t="s">
        <v>1301</v>
      </c>
      <c r="AN4030">
        <v>-116.680684</v>
      </c>
      <c r="AO4030">
        <v>25</v>
      </c>
      <c r="AP4030">
        <v>5000</v>
      </c>
      <c r="AQ4030" t="s">
        <v>129</v>
      </c>
      <c r="AR4030">
        <v>126</v>
      </c>
      <c r="AS4030">
        <v>8</v>
      </c>
      <c r="AT4030">
        <v>448</v>
      </c>
      <c r="BB4030">
        <v>1200</v>
      </c>
      <c r="BC4030">
        <v>1</v>
      </c>
      <c r="BD4030" t="str">
        <f t="shared" si="1462"/>
        <v xml:space="preserve">N887QR  </v>
      </c>
      <c r="BE4030">
        <v>1</v>
      </c>
      <c r="BG4030">
        <v>0</v>
      </c>
      <c r="BH4030">
        <v>0</v>
      </c>
      <c r="BI4030">
        <v>0</v>
      </c>
      <c r="BJ4030">
        <v>4900</v>
      </c>
      <c r="BK4030">
        <v>-100</v>
      </c>
      <c r="BL4030" t="s">
        <v>163</v>
      </c>
      <c r="BM4030">
        <v>1</v>
      </c>
      <c r="BN4030">
        <v>1</v>
      </c>
      <c r="BO4030">
        <v>1</v>
      </c>
      <c r="BP4030">
        <v>0</v>
      </c>
      <c r="BS4030">
        <v>0</v>
      </c>
      <c r="BT4030">
        <v>0</v>
      </c>
      <c r="BU4030">
        <v>0</v>
      </c>
      <c r="CE4030" t="str">
        <f t="shared" si="1482"/>
        <v>19:36:23.410</v>
      </c>
      <c r="CF4030">
        <v>410254491</v>
      </c>
      <c r="CS4030">
        <v>0</v>
      </c>
      <c r="CT4030">
        <v>2</v>
      </c>
      <c r="CU4030">
        <v>0</v>
      </c>
      <c r="CV4030">
        <v>2</v>
      </c>
      <c r="CW4030">
        <v>0</v>
      </c>
      <c r="CX4030">
        <v>5</v>
      </c>
      <c r="CY4030">
        <v>7</v>
      </c>
      <c r="CZ4030" t="s">
        <v>131</v>
      </c>
      <c r="DA4030">
        <v>286</v>
      </c>
      <c r="DB4030">
        <v>0</v>
      </c>
      <c r="DC4030" t="s">
        <v>132</v>
      </c>
      <c r="DD4030" t="s">
        <v>133</v>
      </c>
      <c r="DG4030">
        <v>899355</v>
      </c>
      <c r="DI4030">
        <v>1</v>
      </c>
      <c r="DJ4030">
        <v>0</v>
      </c>
      <c r="DK4030">
        <v>1</v>
      </c>
      <c r="DL4030">
        <v>0</v>
      </c>
      <c r="DM4030">
        <v>0</v>
      </c>
      <c r="DN4030">
        <v>1</v>
      </c>
      <c r="DO4030">
        <v>0</v>
      </c>
      <c r="DP4030">
        <v>0</v>
      </c>
      <c r="DQ4030">
        <v>0</v>
      </c>
      <c r="DR4030">
        <v>0</v>
      </c>
      <c r="DS4030">
        <v>0</v>
      </c>
    </row>
    <row r="4031" spans="1:123" x14ac:dyDescent="0.3">
      <c r="A4031" t="str">
        <f t="shared" si="1480"/>
        <v>10/04/2022 19:36:23.683</v>
      </c>
      <c r="C4031" t="str">
        <f t="shared" si="1475"/>
        <v>FFDFD3C0</v>
      </c>
      <c r="D4031" t="s">
        <v>143</v>
      </c>
      <c r="E4031">
        <v>20</v>
      </c>
      <c r="F4031">
        <v>1020</v>
      </c>
      <c r="G4031" t="s">
        <v>144</v>
      </c>
      <c r="J4031" t="s">
        <v>145</v>
      </c>
      <c r="K4031">
        <v>0</v>
      </c>
      <c r="L4031">
        <v>3</v>
      </c>
      <c r="M4031">
        <v>0</v>
      </c>
      <c r="N4031">
        <v>2</v>
      </c>
      <c r="O4031">
        <v>0</v>
      </c>
      <c r="P4031">
        <v>1</v>
      </c>
      <c r="Q4031">
        <v>0</v>
      </c>
      <c r="S4031" t="str">
        <f t="shared" si="1481"/>
        <v>19:36:23.000</v>
      </c>
      <c r="T4031" t="str">
        <f t="shared" si="1481"/>
        <v>19:36:23.000</v>
      </c>
      <c r="U4031" t="str">
        <f t="shared" si="1461"/>
        <v>AC3944</v>
      </c>
      <c r="V4031">
        <v>0</v>
      </c>
      <c r="W4031">
        <v>0</v>
      </c>
      <c r="X4031">
        <v>2</v>
      </c>
      <c r="Y4031">
        <v>0</v>
      </c>
      <c r="AA4031">
        <v>1</v>
      </c>
      <c r="AB4031">
        <v>8</v>
      </c>
      <c r="AC4031">
        <v>3</v>
      </c>
      <c r="AD4031">
        <v>0</v>
      </c>
      <c r="AE4031">
        <v>9</v>
      </c>
      <c r="AF4031" t="s">
        <v>138</v>
      </c>
      <c r="AG4031">
        <v>0</v>
      </c>
      <c r="AH4031">
        <v>3</v>
      </c>
      <c r="AI4031">
        <v>1</v>
      </c>
      <c r="AJ4031">
        <v>0</v>
      </c>
      <c r="AK4031" t="s">
        <v>1300</v>
      </c>
      <c r="AL4031">
        <v>32.732370000000003</v>
      </c>
      <c r="AM4031" t="s">
        <v>1301</v>
      </c>
      <c r="AN4031">
        <v>-116.680684</v>
      </c>
      <c r="AO4031">
        <v>25</v>
      </c>
      <c r="AP4031">
        <v>5000</v>
      </c>
      <c r="AQ4031" t="s">
        <v>129</v>
      </c>
      <c r="AR4031">
        <v>126</v>
      </c>
      <c r="AS4031">
        <v>8</v>
      </c>
      <c r="AT4031">
        <v>448</v>
      </c>
      <c r="BB4031">
        <v>1200</v>
      </c>
      <c r="BC4031">
        <v>1</v>
      </c>
      <c r="BD4031" t="str">
        <f t="shared" si="1462"/>
        <v xml:space="preserve">N887QR  </v>
      </c>
      <c r="BE4031">
        <v>1</v>
      </c>
      <c r="BG4031">
        <v>0</v>
      </c>
      <c r="BH4031">
        <v>0</v>
      </c>
      <c r="BI4031">
        <v>0</v>
      </c>
      <c r="BJ4031">
        <v>4900</v>
      </c>
      <c r="BK4031">
        <v>-100</v>
      </c>
      <c r="BL4031" t="s">
        <v>163</v>
      </c>
      <c r="BM4031">
        <v>1</v>
      </c>
      <c r="BN4031">
        <v>1</v>
      </c>
      <c r="BO4031">
        <v>1</v>
      </c>
      <c r="BP4031">
        <v>0</v>
      </c>
      <c r="BS4031">
        <v>0</v>
      </c>
      <c r="BT4031">
        <v>0</v>
      </c>
      <c r="BU4031">
        <v>0</v>
      </c>
      <c r="CE4031" t="str">
        <f t="shared" si="1482"/>
        <v>19:36:23.410</v>
      </c>
      <c r="CF4031">
        <v>410254491</v>
      </c>
      <c r="CS4031">
        <v>0</v>
      </c>
      <c r="CT4031">
        <v>2</v>
      </c>
      <c r="CU4031">
        <v>0</v>
      </c>
      <c r="CV4031">
        <v>2</v>
      </c>
      <c r="CW4031">
        <v>0</v>
      </c>
      <c r="CX4031">
        <v>5</v>
      </c>
      <c r="CY4031">
        <v>7</v>
      </c>
      <c r="CZ4031" t="s">
        <v>131</v>
      </c>
      <c r="DA4031">
        <v>286</v>
      </c>
      <c r="DB4031">
        <v>0</v>
      </c>
      <c r="DC4031" t="s">
        <v>132</v>
      </c>
      <c r="DD4031" t="s">
        <v>133</v>
      </c>
      <c r="DG4031">
        <v>899355</v>
      </c>
      <c r="DI4031">
        <v>1</v>
      </c>
      <c r="DJ4031">
        <v>0</v>
      </c>
      <c r="DK4031">
        <v>0</v>
      </c>
      <c r="DL4031">
        <v>0</v>
      </c>
      <c r="DM4031">
        <v>0</v>
      </c>
      <c r="DN4031">
        <v>1</v>
      </c>
      <c r="DO4031">
        <v>0</v>
      </c>
      <c r="DP4031">
        <v>0</v>
      </c>
      <c r="DQ4031">
        <v>0</v>
      </c>
      <c r="DR4031">
        <v>0</v>
      </c>
      <c r="DS4031">
        <v>0</v>
      </c>
    </row>
    <row r="4032" spans="1:123" x14ac:dyDescent="0.3">
      <c r="A4032" t="str">
        <f t="shared" si="1480"/>
        <v>10/04/2022 19:36:23.683</v>
      </c>
      <c r="C4032" t="str">
        <f t="shared" si="1475"/>
        <v>FFDFD3C0</v>
      </c>
      <c r="D4032" t="s">
        <v>141</v>
      </c>
      <c r="E4032">
        <v>3</v>
      </c>
      <c r="H4032">
        <v>3</v>
      </c>
      <c r="I4032" t="s">
        <v>146</v>
      </c>
      <c r="J4032" t="s">
        <v>138</v>
      </c>
      <c r="K4032">
        <v>0</v>
      </c>
      <c r="L4032">
        <v>3</v>
      </c>
      <c r="M4032">
        <v>0</v>
      </c>
      <c r="N4032">
        <v>2</v>
      </c>
      <c r="O4032">
        <v>0</v>
      </c>
      <c r="P4032">
        <v>1</v>
      </c>
      <c r="Q4032">
        <v>0</v>
      </c>
      <c r="S4032" t="str">
        <f t="shared" si="1481"/>
        <v>19:36:23.000</v>
      </c>
      <c r="T4032" t="str">
        <f t="shared" si="1481"/>
        <v>19:36:23.000</v>
      </c>
      <c r="U4032" t="str">
        <f t="shared" si="1461"/>
        <v>AC3944</v>
      </c>
      <c r="V4032">
        <v>0</v>
      </c>
      <c r="W4032">
        <v>0</v>
      </c>
      <c r="X4032">
        <v>2</v>
      </c>
      <c r="Y4032">
        <v>0</v>
      </c>
      <c r="AA4032">
        <v>1</v>
      </c>
      <c r="AB4032">
        <v>8</v>
      </c>
      <c r="AC4032">
        <v>3</v>
      </c>
      <c r="AD4032">
        <v>0</v>
      </c>
      <c r="AE4032">
        <v>9</v>
      </c>
      <c r="AF4032" t="s">
        <v>138</v>
      </c>
      <c r="AG4032">
        <v>0</v>
      </c>
      <c r="AH4032">
        <v>3</v>
      </c>
      <c r="AI4032">
        <v>1</v>
      </c>
      <c r="AJ4032">
        <v>0</v>
      </c>
      <c r="AK4032" t="s">
        <v>1300</v>
      </c>
      <c r="AL4032">
        <v>32.732370000000003</v>
      </c>
      <c r="AM4032" t="s">
        <v>1301</v>
      </c>
      <c r="AN4032">
        <v>-116.680684</v>
      </c>
      <c r="AO4032">
        <v>25</v>
      </c>
      <c r="AP4032">
        <v>5000</v>
      </c>
      <c r="AQ4032" t="s">
        <v>129</v>
      </c>
      <c r="AR4032">
        <v>126</v>
      </c>
      <c r="AS4032">
        <v>8</v>
      </c>
      <c r="AT4032">
        <v>448</v>
      </c>
      <c r="BB4032">
        <v>1200</v>
      </c>
      <c r="BC4032">
        <v>1</v>
      </c>
      <c r="BD4032" t="str">
        <f t="shared" si="1462"/>
        <v xml:space="preserve">N887QR  </v>
      </c>
      <c r="BE4032">
        <v>1</v>
      </c>
      <c r="BG4032">
        <v>0</v>
      </c>
      <c r="BH4032">
        <v>0</v>
      </c>
      <c r="BI4032">
        <v>0</v>
      </c>
      <c r="BJ4032">
        <v>4900</v>
      </c>
      <c r="BK4032">
        <v>-100</v>
      </c>
      <c r="BL4032" t="s">
        <v>163</v>
      </c>
      <c r="BM4032">
        <v>1</v>
      </c>
      <c r="BN4032">
        <v>1</v>
      </c>
      <c r="BO4032">
        <v>1</v>
      </c>
      <c r="BP4032">
        <v>0</v>
      </c>
      <c r="BS4032">
        <v>0</v>
      </c>
      <c r="BT4032">
        <v>0</v>
      </c>
      <c r="BU4032">
        <v>0</v>
      </c>
      <c r="CE4032" t="str">
        <f t="shared" si="1482"/>
        <v>19:36:23.410</v>
      </c>
      <c r="CF4032">
        <v>410254491</v>
      </c>
      <c r="CS4032">
        <v>0</v>
      </c>
      <c r="CT4032">
        <v>2</v>
      </c>
      <c r="CU4032">
        <v>0</v>
      </c>
      <c r="CV4032">
        <v>2</v>
      </c>
      <c r="CW4032">
        <v>0</v>
      </c>
      <c r="CX4032">
        <v>5</v>
      </c>
      <c r="CY4032">
        <v>7</v>
      </c>
      <c r="CZ4032" t="s">
        <v>131</v>
      </c>
      <c r="DA4032">
        <v>286</v>
      </c>
      <c r="DB4032">
        <v>0</v>
      </c>
      <c r="DC4032" t="s">
        <v>132</v>
      </c>
      <c r="DD4032" t="s">
        <v>133</v>
      </c>
      <c r="DG4032">
        <v>899355</v>
      </c>
      <c r="DI4032">
        <v>1</v>
      </c>
      <c r="DJ4032">
        <v>0</v>
      </c>
      <c r="DK4032">
        <v>1</v>
      </c>
      <c r="DL4032">
        <v>0</v>
      </c>
      <c r="DM4032">
        <v>0</v>
      </c>
      <c r="DN4032">
        <v>1</v>
      </c>
      <c r="DO4032">
        <v>0</v>
      </c>
      <c r="DP4032">
        <v>0</v>
      </c>
      <c r="DQ4032">
        <v>0</v>
      </c>
      <c r="DR4032">
        <v>0</v>
      </c>
      <c r="DS4032">
        <v>0</v>
      </c>
    </row>
    <row r="4033" spans="1:123" x14ac:dyDescent="0.3">
      <c r="A4033" t="str">
        <f t="shared" si="1480"/>
        <v>10/04/2022 19:36:23.683</v>
      </c>
      <c r="C4033" t="str">
        <f t="shared" si="1475"/>
        <v>FFDFD3C0</v>
      </c>
      <c r="D4033" t="s">
        <v>123</v>
      </c>
      <c r="E4033">
        <v>7</v>
      </c>
      <c r="F4033">
        <v>2007</v>
      </c>
      <c r="G4033" t="s">
        <v>124</v>
      </c>
      <c r="J4033" t="s">
        <v>125</v>
      </c>
      <c r="K4033">
        <v>0</v>
      </c>
      <c r="L4033">
        <v>3</v>
      </c>
      <c r="M4033">
        <v>0</v>
      </c>
      <c r="N4033">
        <v>2</v>
      </c>
      <c r="O4033">
        <v>0</v>
      </c>
      <c r="P4033">
        <v>1</v>
      </c>
      <c r="Q4033">
        <v>0</v>
      </c>
      <c r="S4033" t="str">
        <f t="shared" si="1481"/>
        <v>19:36:23.000</v>
      </c>
      <c r="T4033" t="str">
        <f t="shared" si="1481"/>
        <v>19:36:23.000</v>
      </c>
      <c r="U4033" t="str">
        <f t="shared" si="1461"/>
        <v>AC3944</v>
      </c>
      <c r="V4033">
        <v>0</v>
      </c>
      <c r="W4033">
        <v>0</v>
      </c>
      <c r="X4033">
        <v>2</v>
      </c>
      <c r="Y4033">
        <v>0</v>
      </c>
      <c r="AA4033">
        <v>1</v>
      </c>
      <c r="AB4033">
        <v>8</v>
      </c>
      <c r="AC4033">
        <v>3</v>
      </c>
      <c r="AD4033">
        <v>0</v>
      </c>
      <c r="AE4033">
        <v>9</v>
      </c>
      <c r="AF4033" t="s">
        <v>138</v>
      </c>
      <c r="AG4033">
        <v>0</v>
      </c>
      <c r="AH4033">
        <v>3</v>
      </c>
      <c r="AI4033">
        <v>1</v>
      </c>
      <c r="AJ4033">
        <v>0</v>
      </c>
      <c r="AK4033" t="s">
        <v>1300</v>
      </c>
      <c r="AL4033">
        <v>32.732370000000003</v>
      </c>
      <c r="AM4033" t="s">
        <v>1301</v>
      </c>
      <c r="AN4033">
        <v>-116.680684</v>
      </c>
      <c r="AO4033">
        <v>25</v>
      </c>
      <c r="AP4033">
        <v>5000</v>
      </c>
      <c r="AQ4033" t="s">
        <v>129</v>
      </c>
      <c r="AR4033">
        <v>126</v>
      </c>
      <c r="AS4033">
        <v>8</v>
      </c>
      <c r="AT4033">
        <v>448</v>
      </c>
      <c r="BB4033">
        <v>1200</v>
      </c>
      <c r="BC4033">
        <v>1</v>
      </c>
      <c r="BD4033" t="str">
        <f t="shared" si="1462"/>
        <v xml:space="preserve">N887QR  </v>
      </c>
      <c r="BE4033">
        <v>1</v>
      </c>
      <c r="BG4033">
        <v>0</v>
      </c>
      <c r="BH4033">
        <v>0</v>
      </c>
      <c r="BI4033">
        <v>0</v>
      </c>
      <c r="BJ4033">
        <v>4900</v>
      </c>
      <c r="BK4033">
        <v>-100</v>
      </c>
      <c r="BL4033" t="s">
        <v>163</v>
      </c>
      <c r="BM4033">
        <v>1</v>
      </c>
      <c r="BN4033">
        <v>1</v>
      </c>
      <c r="BO4033">
        <v>1</v>
      </c>
      <c r="BP4033">
        <v>0</v>
      </c>
      <c r="BS4033">
        <v>0</v>
      </c>
      <c r="BT4033">
        <v>0</v>
      </c>
      <c r="BU4033">
        <v>0</v>
      </c>
      <c r="CE4033" t="str">
        <f t="shared" si="1482"/>
        <v>19:36:23.410</v>
      </c>
      <c r="CF4033">
        <v>410254491</v>
      </c>
      <c r="CS4033">
        <v>0</v>
      </c>
      <c r="CT4033">
        <v>2</v>
      </c>
      <c r="CU4033">
        <v>0</v>
      </c>
      <c r="CV4033">
        <v>2</v>
      </c>
      <c r="CW4033">
        <v>0</v>
      </c>
      <c r="CX4033">
        <v>5</v>
      </c>
      <c r="CY4033">
        <v>7</v>
      </c>
      <c r="CZ4033" t="s">
        <v>131</v>
      </c>
      <c r="DA4033">
        <v>286</v>
      </c>
      <c r="DB4033">
        <v>0</v>
      </c>
      <c r="DC4033" t="s">
        <v>132</v>
      </c>
      <c r="DD4033" t="s">
        <v>133</v>
      </c>
      <c r="DG4033">
        <v>899355</v>
      </c>
      <c r="DI4033">
        <v>1</v>
      </c>
      <c r="DJ4033">
        <v>0</v>
      </c>
      <c r="DK4033">
        <v>1</v>
      </c>
      <c r="DL4033">
        <v>0</v>
      </c>
      <c r="DM4033">
        <v>0</v>
      </c>
      <c r="DN4033">
        <v>1</v>
      </c>
      <c r="DO4033">
        <v>0</v>
      </c>
      <c r="DP4033">
        <v>0</v>
      </c>
      <c r="DQ4033">
        <v>0</v>
      </c>
      <c r="DR4033">
        <v>0</v>
      </c>
      <c r="DS4033">
        <v>0</v>
      </c>
    </row>
    <row r="4034" spans="1:123" x14ac:dyDescent="0.3">
      <c r="A4034" t="str">
        <f t="shared" si="1480"/>
        <v>10/04/2022 19:36:23.683</v>
      </c>
      <c r="C4034" t="str">
        <f t="shared" si="1475"/>
        <v>FFDFD3C0</v>
      </c>
      <c r="D4034" t="s">
        <v>136</v>
      </c>
      <c r="E4034">
        <v>8</v>
      </c>
      <c r="H4034">
        <v>225</v>
      </c>
      <c r="I4034" t="s">
        <v>137</v>
      </c>
      <c r="J4034" t="s">
        <v>138</v>
      </c>
      <c r="K4034">
        <v>0</v>
      </c>
      <c r="L4034">
        <v>3</v>
      </c>
      <c r="M4034">
        <v>0</v>
      </c>
      <c r="N4034">
        <v>2</v>
      </c>
      <c r="O4034">
        <v>0</v>
      </c>
      <c r="P4034">
        <v>1</v>
      </c>
      <c r="Q4034">
        <v>0</v>
      </c>
      <c r="S4034" t="str">
        <f t="shared" si="1481"/>
        <v>19:36:23.000</v>
      </c>
      <c r="T4034" t="str">
        <f t="shared" si="1481"/>
        <v>19:36:23.000</v>
      </c>
      <c r="U4034" t="str">
        <f t="shared" ref="U4034:U4097" si="1483">"AC3944"</f>
        <v>AC3944</v>
      </c>
      <c r="V4034">
        <v>0</v>
      </c>
      <c r="W4034">
        <v>0</v>
      </c>
      <c r="X4034">
        <v>2</v>
      </c>
      <c r="Y4034">
        <v>0</v>
      </c>
      <c r="AA4034">
        <v>1</v>
      </c>
      <c r="AB4034">
        <v>8</v>
      </c>
      <c r="AC4034">
        <v>3</v>
      </c>
      <c r="AD4034">
        <v>0</v>
      </c>
      <c r="AE4034">
        <v>9</v>
      </c>
      <c r="AF4034" t="s">
        <v>138</v>
      </c>
      <c r="AG4034">
        <v>0</v>
      </c>
      <c r="AH4034">
        <v>3</v>
      </c>
      <c r="AI4034">
        <v>1</v>
      </c>
      <c r="AJ4034">
        <v>0</v>
      </c>
      <c r="AK4034" t="s">
        <v>1300</v>
      </c>
      <c r="AL4034">
        <v>32.732370000000003</v>
      </c>
      <c r="AM4034" t="s">
        <v>1301</v>
      </c>
      <c r="AN4034">
        <v>-116.680684</v>
      </c>
      <c r="AO4034">
        <v>25</v>
      </c>
      <c r="AP4034">
        <v>5000</v>
      </c>
      <c r="AQ4034" t="s">
        <v>129</v>
      </c>
      <c r="AR4034">
        <v>126</v>
      </c>
      <c r="AS4034">
        <v>8</v>
      </c>
      <c r="AT4034">
        <v>448</v>
      </c>
      <c r="BB4034">
        <v>1200</v>
      </c>
      <c r="BC4034">
        <v>1</v>
      </c>
      <c r="BD4034" t="str">
        <f t="shared" ref="BD4034:BD4097" si="1484">"N887QR  "</f>
        <v xml:space="preserve">N887QR  </v>
      </c>
      <c r="BE4034">
        <v>1</v>
      </c>
      <c r="BG4034">
        <v>0</v>
      </c>
      <c r="BH4034">
        <v>0</v>
      </c>
      <c r="BI4034">
        <v>0</v>
      </c>
      <c r="BJ4034">
        <v>4900</v>
      </c>
      <c r="BK4034">
        <v>-100</v>
      </c>
      <c r="BL4034" t="s">
        <v>163</v>
      </c>
      <c r="BM4034">
        <v>1</v>
      </c>
      <c r="BN4034">
        <v>1</v>
      </c>
      <c r="BO4034">
        <v>1</v>
      </c>
      <c r="BP4034">
        <v>0</v>
      </c>
      <c r="BS4034">
        <v>0</v>
      </c>
      <c r="BT4034">
        <v>0</v>
      </c>
      <c r="BU4034">
        <v>0</v>
      </c>
      <c r="CE4034" t="str">
        <f t="shared" si="1482"/>
        <v>19:36:23.410</v>
      </c>
      <c r="CF4034">
        <v>410254491</v>
      </c>
      <c r="CS4034">
        <v>0</v>
      </c>
      <c r="CT4034">
        <v>2</v>
      </c>
      <c r="CU4034">
        <v>0</v>
      </c>
      <c r="CV4034">
        <v>2</v>
      </c>
      <c r="CW4034">
        <v>0</v>
      </c>
      <c r="CX4034">
        <v>5</v>
      </c>
      <c r="CY4034">
        <v>7</v>
      </c>
      <c r="CZ4034" t="s">
        <v>131</v>
      </c>
      <c r="DA4034">
        <v>286</v>
      </c>
      <c r="DB4034">
        <v>0</v>
      </c>
      <c r="DC4034" t="s">
        <v>132</v>
      </c>
      <c r="DD4034" t="s">
        <v>133</v>
      </c>
      <c r="DG4034">
        <v>899355</v>
      </c>
      <c r="DI4034">
        <v>1</v>
      </c>
      <c r="DJ4034">
        <v>0</v>
      </c>
      <c r="DK4034">
        <v>1</v>
      </c>
      <c r="DL4034">
        <v>0</v>
      </c>
      <c r="DM4034">
        <v>0</v>
      </c>
      <c r="DN4034">
        <v>1</v>
      </c>
      <c r="DO4034">
        <v>0</v>
      </c>
      <c r="DP4034">
        <v>0</v>
      </c>
      <c r="DQ4034">
        <v>0</v>
      </c>
      <c r="DR4034">
        <v>0</v>
      </c>
      <c r="DS4034">
        <v>0</v>
      </c>
    </row>
    <row r="4035" spans="1:123" x14ac:dyDescent="0.3">
      <c r="A4035" t="str">
        <f t="shared" si="1480"/>
        <v>10/04/2022 19:36:23.683</v>
      </c>
      <c r="C4035" t="str">
        <f t="shared" si="1475"/>
        <v>FFDFD3C0</v>
      </c>
      <c r="D4035" t="s">
        <v>141</v>
      </c>
      <c r="E4035">
        <v>4</v>
      </c>
      <c r="H4035">
        <v>4</v>
      </c>
      <c r="I4035" t="s">
        <v>142</v>
      </c>
      <c r="J4035" t="s">
        <v>138</v>
      </c>
      <c r="K4035">
        <v>0</v>
      </c>
      <c r="L4035">
        <v>3</v>
      </c>
      <c r="M4035">
        <v>0</v>
      </c>
      <c r="N4035">
        <v>2</v>
      </c>
      <c r="O4035">
        <v>0</v>
      </c>
      <c r="P4035">
        <v>1</v>
      </c>
      <c r="Q4035">
        <v>0</v>
      </c>
      <c r="S4035" t="str">
        <f t="shared" si="1481"/>
        <v>19:36:23.000</v>
      </c>
      <c r="T4035" t="str">
        <f t="shared" si="1481"/>
        <v>19:36:23.000</v>
      </c>
      <c r="U4035" t="str">
        <f t="shared" si="1483"/>
        <v>AC3944</v>
      </c>
      <c r="V4035">
        <v>0</v>
      </c>
      <c r="W4035">
        <v>0</v>
      </c>
      <c r="X4035">
        <v>2</v>
      </c>
      <c r="Y4035">
        <v>0</v>
      </c>
      <c r="AA4035">
        <v>1</v>
      </c>
      <c r="AB4035">
        <v>8</v>
      </c>
      <c r="AC4035">
        <v>3</v>
      </c>
      <c r="AD4035">
        <v>0</v>
      </c>
      <c r="AE4035">
        <v>9</v>
      </c>
      <c r="AF4035" t="s">
        <v>138</v>
      </c>
      <c r="AG4035">
        <v>0</v>
      </c>
      <c r="AH4035">
        <v>3</v>
      </c>
      <c r="AI4035">
        <v>1</v>
      </c>
      <c r="AJ4035">
        <v>0</v>
      </c>
      <c r="AK4035" t="s">
        <v>1300</v>
      </c>
      <c r="AL4035">
        <v>32.732370000000003</v>
      </c>
      <c r="AM4035" t="s">
        <v>1301</v>
      </c>
      <c r="AN4035">
        <v>-116.680684</v>
      </c>
      <c r="AO4035">
        <v>25</v>
      </c>
      <c r="AP4035">
        <v>5000</v>
      </c>
      <c r="AQ4035" t="s">
        <v>129</v>
      </c>
      <c r="AR4035">
        <v>126</v>
      </c>
      <c r="AS4035">
        <v>8</v>
      </c>
      <c r="AT4035">
        <v>448</v>
      </c>
      <c r="BB4035">
        <v>1200</v>
      </c>
      <c r="BC4035">
        <v>1</v>
      </c>
      <c r="BD4035" t="str">
        <f t="shared" si="1484"/>
        <v xml:space="preserve">N887QR  </v>
      </c>
      <c r="BE4035">
        <v>1</v>
      </c>
      <c r="BG4035">
        <v>0</v>
      </c>
      <c r="BH4035">
        <v>0</v>
      </c>
      <c r="BI4035">
        <v>0</v>
      </c>
      <c r="BJ4035">
        <v>4900</v>
      </c>
      <c r="BK4035">
        <v>-100</v>
      </c>
      <c r="BL4035" t="s">
        <v>163</v>
      </c>
      <c r="BM4035">
        <v>1</v>
      </c>
      <c r="BN4035">
        <v>1</v>
      </c>
      <c r="BO4035">
        <v>1</v>
      </c>
      <c r="BP4035">
        <v>0</v>
      </c>
      <c r="BS4035">
        <v>0</v>
      </c>
      <c r="BT4035">
        <v>0</v>
      </c>
      <c r="BU4035">
        <v>0</v>
      </c>
      <c r="CE4035" t="str">
        <f t="shared" si="1482"/>
        <v>19:36:23.410</v>
      </c>
      <c r="CF4035">
        <v>410254491</v>
      </c>
      <c r="CS4035">
        <v>0</v>
      </c>
      <c r="CT4035">
        <v>2</v>
      </c>
      <c r="CU4035">
        <v>0</v>
      </c>
      <c r="CV4035">
        <v>2</v>
      </c>
      <c r="CW4035">
        <v>0</v>
      </c>
      <c r="CX4035">
        <v>5</v>
      </c>
      <c r="CY4035">
        <v>7</v>
      </c>
      <c r="CZ4035" t="s">
        <v>131</v>
      </c>
      <c r="DA4035">
        <v>286</v>
      </c>
      <c r="DB4035">
        <v>0</v>
      </c>
      <c r="DC4035" t="s">
        <v>132</v>
      </c>
      <c r="DD4035" t="s">
        <v>133</v>
      </c>
      <c r="DG4035">
        <v>899355</v>
      </c>
      <c r="DI4035">
        <v>1</v>
      </c>
      <c r="DJ4035">
        <v>0</v>
      </c>
      <c r="DK4035">
        <v>1</v>
      </c>
      <c r="DL4035">
        <v>0</v>
      </c>
      <c r="DM4035">
        <v>0</v>
      </c>
      <c r="DN4035">
        <v>1</v>
      </c>
      <c r="DO4035">
        <v>0</v>
      </c>
      <c r="DP4035">
        <v>0</v>
      </c>
      <c r="DQ4035">
        <v>0</v>
      </c>
      <c r="DR4035">
        <v>0</v>
      </c>
      <c r="DS4035">
        <v>0</v>
      </c>
    </row>
    <row r="4036" spans="1:123" x14ac:dyDescent="0.3">
      <c r="A4036" t="str">
        <f>"10/04/2022 19:36:24.886"</f>
        <v>10/04/2022 19:36:24.886</v>
      </c>
      <c r="C4036" t="str">
        <f t="shared" si="1475"/>
        <v>FFDFD3C0</v>
      </c>
      <c r="D4036" t="s">
        <v>147</v>
      </c>
      <c r="E4036">
        <v>3</v>
      </c>
      <c r="H4036">
        <v>166</v>
      </c>
      <c r="I4036" t="s">
        <v>144</v>
      </c>
      <c r="J4036" t="s">
        <v>148</v>
      </c>
      <c r="K4036">
        <v>0</v>
      </c>
      <c r="L4036">
        <v>3</v>
      </c>
      <c r="M4036">
        <v>0</v>
      </c>
      <c r="N4036">
        <v>2</v>
      </c>
      <c r="O4036">
        <v>0</v>
      </c>
      <c r="P4036">
        <v>1</v>
      </c>
      <c r="Q4036">
        <v>0</v>
      </c>
      <c r="S4036" t="str">
        <f t="shared" ref="S4036:T4043" si="1485">"19:36:24.000"</f>
        <v>19:36:24.000</v>
      </c>
      <c r="T4036" t="str">
        <f t="shared" si="1485"/>
        <v>19:36:24.000</v>
      </c>
      <c r="U4036" t="str">
        <f t="shared" si="1483"/>
        <v>AC3944</v>
      </c>
      <c r="V4036">
        <v>0</v>
      </c>
      <c r="W4036">
        <v>0</v>
      </c>
      <c r="X4036">
        <v>2</v>
      </c>
      <c r="Y4036">
        <v>0</v>
      </c>
      <c r="AA4036">
        <v>1</v>
      </c>
      <c r="AB4036">
        <v>8</v>
      </c>
      <c r="AC4036">
        <v>3</v>
      </c>
      <c r="AD4036">
        <v>0</v>
      </c>
      <c r="AE4036">
        <v>9</v>
      </c>
      <c r="AF4036" t="s">
        <v>138</v>
      </c>
      <c r="AG4036">
        <v>0</v>
      </c>
      <c r="AH4036">
        <v>3</v>
      </c>
      <c r="AI4036">
        <v>1</v>
      </c>
      <c r="AJ4036">
        <v>0</v>
      </c>
      <c r="AK4036" t="s">
        <v>1300</v>
      </c>
      <c r="AL4036">
        <v>32.732370000000003</v>
      </c>
      <c r="AM4036" t="s">
        <v>1302</v>
      </c>
      <c r="AN4036">
        <v>-116.679847</v>
      </c>
      <c r="AO4036">
        <v>25</v>
      </c>
      <c r="AP4036">
        <v>5000</v>
      </c>
      <c r="AQ4036" t="s">
        <v>129</v>
      </c>
      <c r="AR4036">
        <v>125</v>
      </c>
      <c r="AS4036">
        <v>26</v>
      </c>
      <c r="AT4036">
        <v>128</v>
      </c>
      <c r="BB4036">
        <v>1200</v>
      </c>
      <c r="BC4036">
        <v>1</v>
      </c>
      <c r="BD4036" t="str">
        <f t="shared" si="1484"/>
        <v xml:space="preserve">N887QR  </v>
      </c>
      <c r="BE4036">
        <v>1</v>
      </c>
      <c r="BG4036">
        <v>0</v>
      </c>
      <c r="BH4036">
        <v>0</v>
      </c>
      <c r="BI4036">
        <v>0</v>
      </c>
      <c r="BJ4036">
        <v>4875</v>
      </c>
      <c r="BK4036">
        <v>-125</v>
      </c>
      <c r="BL4036" t="s">
        <v>163</v>
      </c>
      <c r="BM4036">
        <v>1</v>
      </c>
      <c r="BN4036">
        <v>1</v>
      </c>
      <c r="BO4036">
        <v>1</v>
      </c>
      <c r="BP4036">
        <v>0</v>
      </c>
      <c r="BS4036">
        <v>0</v>
      </c>
      <c r="BT4036">
        <v>0</v>
      </c>
      <c r="BU4036">
        <v>0</v>
      </c>
      <c r="CE4036" t="str">
        <f t="shared" ref="CE4036:CE4042" si="1486">"19:36:24.464"</f>
        <v>19:36:24.464</v>
      </c>
      <c r="CF4036">
        <v>463508039</v>
      </c>
      <c r="CS4036">
        <v>0</v>
      </c>
      <c r="CT4036">
        <v>2</v>
      </c>
      <c r="CU4036">
        <v>0</v>
      </c>
      <c r="CV4036">
        <v>2</v>
      </c>
      <c r="CW4036">
        <v>0</v>
      </c>
      <c r="CX4036">
        <v>5</v>
      </c>
      <c r="CY4036">
        <v>7</v>
      </c>
      <c r="CZ4036" t="s">
        <v>131</v>
      </c>
      <c r="DA4036">
        <v>286</v>
      </c>
      <c r="DB4036">
        <v>0</v>
      </c>
      <c r="DC4036" t="s">
        <v>132</v>
      </c>
      <c r="DD4036" t="s">
        <v>133</v>
      </c>
      <c r="DG4036">
        <v>899574</v>
      </c>
      <c r="DI4036">
        <v>1</v>
      </c>
      <c r="DJ4036">
        <v>0</v>
      </c>
      <c r="DK4036">
        <v>0</v>
      </c>
      <c r="DL4036">
        <v>0</v>
      </c>
      <c r="DM4036">
        <v>0</v>
      </c>
      <c r="DN4036">
        <v>1</v>
      </c>
      <c r="DO4036">
        <v>0</v>
      </c>
      <c r="DP4036">
        <v>0</v>
      </c>
      <c r="DQ4036">
        <v>0</v>
      </c>
      <c r="DR4036">
        <v>0</v>
      </c>
      <c r="DS4036">
        <v>0</v>
      </c>
    </row>
    <row r="4037" spans="1:123" x14ac:dyDescent="0.3">
      <c r="A4037" t="str">
        <f>"10/04/2022 19:36:24.917"</f>
        <v>10/04/2022 19:36:24.917</v>
      </c>
      <c r="C4037" t="str">
        <f t="shared" si="1475"/>
        <v>FFDFD3C0</v>
      </c>
      <c r="D4037" t="s">
        <v>143</v>
      </c>
      <c r="E4037">
        <v>20</v>
      </c>
      <c r="F4037">
        <v>1020</v>
      </c>
      <c r="G4037" t="s">
        <v>144</v>
      </c>
      <c r="J4037" t="s">
        <v>145</v>
      </c>
      <c r="K4037">
        <v>0</v>
      </c>
      <c r="L4037">
        <v>3</v>
      </c>
      <c r="M4037">
        <v>0</v>
      </c>
      <c r="N4037">
        <v>2</v>
      </c>
      <c r="O4037">
        <v>0</v>
      </c>
      <c r="P4037">
        <v>1</v>
      </c>
      <c r="Q4037">
        <v>0</v>
      </c>
      <c r="S4037" t="str">
        <f t="shared" si="1485"/>
        <v>19:36:24.000</v>
      </c>
      <c r="T4037" t="str">
        <f t="shared" si="1485"/>
        <v>19:36:24.000</v>
      </c>
      <c r="U4037" t="str">
        <f t="shared" si="1483"/>
        <v>AC3944</v>
      </c>
      <c r="V4037">
        <v>0</v>
      </c>
      <c r="W4037">
        <v>0</v>
      </c>
      <c r="X4037">
        <v>2</v>
      </c>
      <c r="Y4037">
        <v>0</v>
      </c>
      <c r="AA4037">
        <v>1</v>
      </c>
      <c r="AB4037">
        <v>8</v>
      </c>
      <c r="AC4037">
        <v>3</v>
      </c>
      <c r="AD4037">
        <v>0</v>
      </c>
      <c r="AE4037">
        <v>9</v>
      </c>
      <c r="AF4037" t="s">
        <v>138</v>
      </c>
      <c r="AG4037">
        <v>0</v>
      </c>
      <c r="AH4037">
        <v>3</v>
      </c>
      <c r="AI4037">
        <v>1</v>
      </c>
      <c r="AJ4037">
        <v>0</v>
      </c>
      <c r="AK4037" t="s">
        <v>1300</v>
      </c>
      <c r="AL4037">
        <v>32.732370000000003</v>
      </c>
      <c r="AM4037" t="s">
        <v>1302</v>
      </c>
      <c r="AN4037">
        <v>-116.679847</v>
      </c>
      <c r="AO4037">
        <v>25</v>
      </c>
      <c r="AP4037">
        <v>5000</v>
      </c>
      <c r="AQ4037" t="s">
        <v>129</v>
      </c>
      <c r="AR4037">
        <v>125</v>
      </c>
      <c r="AS4037">
        <v>26</v>
      </c>
      <c r="AT4037">
        <v>128</v>
      </c>
      <c r="BB4037">
        <v>1200</v>
      </c>
      <c r="BC4037">
        <v>1</v>
      </c>
      <c r="BD4037" t="str">
        <f t="shared" si="1484"/>
        <v xml:space="preserve">N887QR  </v>
      </c>
      <c r="BE4037">
        <v>1</v>
      </c>
      <c r="BG4037">
        <v>0</v>
      </c>
      <c r="BH4037">
        <v>0</v>
      </c>
      <c r="BI4037">
        <v>0</v>
      </c>
      <c r="BJ4037">
        <v>4875</v>
      </c>
      <c r="BK4037">
        <v>-125</v>
      </c>
      <c r="BL4037" t="s">
        <v>163</v>
      </c>
      <c r="BM4037">
        <v>1</v>
      </c>
      <c r="BN4037">
        <v>1</v>
      </c>
      <c r="BO4037">
        <v>1</v>
      </c>
      <c r="BP4037">
        <v>0</v>
      </c>
      <c r="BS4037">
        <v>0</v>
      </c>
      <c r="BT4037">
        <v>0</v>
      </c>
      <c r="BU4037">
        <v>0</v>
      </c>
      <c r="CE4037" t="str">
        <f t="shared" si="1486"/>
        <v>19:36:24.464</v>
      </c>
      <c r="CF4037">
        <v>463508039</v>
      </c>
      <c r="CS4037">
        <v>0</v>
      </c>
      <c r="CT4037">
        <v>2</v>
      </c>
      <c r="CU4037">
        <v>0</v>
      </c>
      <c r="CV4037">
        <v>2</v>
      </c>
      <c r="CW4037">
        <v>0</v>
      </c>
      <c r="CX4037">
        <v>5</v>
      </c>
      <c r="CY4037">
        <v>7</v>
      </c>
      <c r="CZ4037" t="s">
        <v>131</v>
      </c>
      <c r="DA4037">
        <v>286</v>
      </c>
      <c r="DB4037">
        <v>0</v>
      </c>
      <c r="DC4037" t="s">
        <v>132</v>
      </c>
      <c r="DD4037" t="s">
        <v>133</v>
      </c>
      <c r="DG4037">
        <v>899574</v>
      </c>
      <c r="DI4037">
        <v>1</v>
      </c>
      <c r="DJ4037">
        <v>0</v>
      </c>
      <c r="DK4037">
        <v>1</v>
      </c>
      <c r="DL4037">
        <v>0</v>
      </c>
      <c r="DM4037">
        <v>0</v>
      </c>
      <c r="DN4037">
        <v>1</v>
      </c>
      <c r="DO4037">
        <v>0</v>
      </c>
      <c r="DP4037">
        <v>0</v>
      </c>
      <c r="DQ4037">
        <v>0</v>
      </c>
      <c r="DR4037">
        <v>0</v>
      </c>
      <c r="DS4037">
        <v>0</v>
      </c>
    </row>
    <row r="4038" spans="1:123" x14ac:dyDescent="0.3">
      <c r="A4038" t="str">
        <f>"10/04/2022 19:36:24.917"</f>
        <v>10/04/2022 19:36:24.917</v>
      </c>
      <c r="C4038" t="str">
        <f t="shared" si="1475"/>
        <v>FFDFD3C0</v>
      </c>
      <c r="D4038" t="s">
        <v>134</v>
      </c>
      <c r="E4038">
        <v>15</v>
      </c>
      <c r="J4038" t="s">
        <v>135</v>
      </c>
      <c r="K4038">
        <v>0</v>
      </c>
      <c r="L4038">
        <v>3</v>
      </c>
      <c r="M4038">
        <v>0</v>
      </c>
      <c r="N4038">
        <v>2</v>
      </c>
      <c r="O4038">
        <v>0</v>
      </c>
      <c r="P4038">
        <v>1</v>
      </c>
      <c r="Q4038">
        <v>0</v>
      </c>
      <c r="S4038" t="str">
        <f t="shared" si="1485"/>
        <v>19:36:24.000</v>
      </c>
      <c r="T4038" t="str">
        <f t="shared" si="1485"/>
        <v>19:36:24.000</v>
      </c>
      <c r="U4038" t="str">
        <f t="shared" si="1483"/>
        <v>AC3944</v>
      </c>
      <c r="V4038">
        <v>0</v>
      </c>
      <c r="W4038">
        <v>0</v>
      </c>
      <c r="X4038">
        <v>2</v>
      </c>
      <c r="Y4038">
        <v>0</v>
      </c>
      <c r="AA4038">
        <v>1</v>
      </c>
      <c r="AB4038">
        <v>8</v>
      </c>
      <c r="AC4038">
        <v>3</v>
      </c>
      <c r="AD4038">
        <v>0</v>
      </c>
      <c r="AE4038">
        <v>9</v>
      </c>
      <c r="AF4038" t="s">
        <v>138</v>
      </c>
      <c r="AG4038">
        <v>0</v>
      </c>
      <c r="AH4038">
        <v>3</v>
      </c>
      <c r="AI4038">
        <v>1</v>
      </c>
      <c r="AJ4038">
        <v>0</v>
      </c>
      <c r="AK4038" t="s">
        <v>1300</v>
      </c>
      <c r="AL4038">
        <v>32.732370000000003</v>
      </c>
      <c r="AM4038" t="s">
        <v>1302</v>
      </c>
      <c r="AN4038">
        <v>-116.679847</v>
      </c>
      <c r="AO4038">
        <v>25</v>
      </c>
      <c r="AP4038">
        <v>5000</v>
      </c>
      <c r="AQ4038" t="s">
        <v>129</v>
      </c>
      <c r="AR4038">
        <v>125</v>
      </c>
      <c r="AS4038">
        <v>26</v>
      </c>
      <c r="AT4038">
        <v>128</v>
      </c>
      <c r="BB4038">
        <v>1200</v>
      </c>
      <c r="BC4038">
        <v>1</v>
      </c>
      <c r="BD4038" t="str">
        <f t="shared" si="1484"/>
        <v xml:space="preserve">N887QR  </v>
      </c>
      <c r="BE4038">
        <v>1</v>
      </c>
      <c r="BG4038">
        <v>0</v>
      </c>
      <c r="BH4038">
        <v>0</v>
      </c>
      <c r="BI4038">
        <v>0</v>
      </c>
      <c r="BJ4038">
        <v>4875</v>
      </c>
      <c r="BK4038">
        <v>-125</v>
      </c>
      <c r="BL4038" t="s">
        <v>163</v>
      </c>
      <c r="BM4038">
        <v>1</v>
      </c>
      <c r="BN4038">
        <v>1</v>
      </c>
      <c r="BO4038">
        <v>1</v>
      </c>
      <c r="BP4038">
        <v>0</v>
      </c>
      <c r="BS4038">
        <v>0</v>
      </c>
      <c r="BT4038">
        <v>0</v>
      </c>
      <c r="BU4038">
        <v>0</v>
      </c>
      <c r="CE4038" t="str">
        <f t="shared" si="1486"/>
        <v>19:36:24.464</v>
      </c>
      <c r="CF4038">
        <v>463508039</v>
      </c>
      <c r="CS4038">
        <v>0</v>
      </c>
      <c r="CT4038">
        <v>2</v>
      </c>
      <c r="CU4038">
        <v>0</v>
      </c>
      <c r="CV4038">
        <v>2</v>
      </c>
      <c r="CW4038">
        <v>0</v>
      </c>
      <c r="CX4038">
        <v>5</v>
      </c>
      <c r="CY4038">
        <v>7</v>
      </c>
      <c r="CZ4038" t="s">
        <v>131</v>
      </c>
      <c r="DA4038">
        <v>286</v>
      </c>
      <c r="DB4038">
        <v>0</v>
      </c>
      <c r="DC4038" t="s">
        <v>132</v>
      </c>
      <c r="DD4038" t="s">
        <v>133</v>
      </c>
      <c r="DG4038">
        <v>899574</v>
      </c>
      <c r="DI4038">
        <v>1</v>
      </c>
      <c r="DJ4038">
        <v>0</v>
      </c>
      <c r="DK4038">
        <v>1</v>
      </c>
      <c r="DL4038">
        <v>0</v>
      </c>
      <c r="DM4038">
        <v>0</v>
      </c>
      <c r="DN4038">
        <v>1</v>
      </c>
      <c r="DO4038">
        <v>0</v>
      </c>
      <c r="DP4038">
        <v>0</v>
      </c>
      <c r="DQ4038">
        <v>0</v>
      </c>
      <c r="DR4038">
        <v>0</v>
      </c>
      <c r="DS4038">
        <v>0</v>
      </c>
    </row>
    <row r="4039" spans="1:123" x14ac:dyDescent="0.3">
      <c r="A4039" t="str">
        <f>"10/04/2022 19:36:24.917"</f>
        <v>10/04/2022 19:36:24.917</v>
      </c>
      <c r="C4039" t="str">
        <f t="shared" si="1475"/>
        <v>FFDFD3C0</v>
      </c>
      <c r="D4039" t="s">
        <v>141</v>
      </c>
      <c r="E4039">
        <v>3</v>
      </c>
      <c r="H4039">
        <v>3</v>
      </c>
      <c r="I4039" t="s">
        <v>146</v>
      </c>
      <c r="J4039" t="s">
        <v>138</v>
      </c>
      <c r="K4039">
        <v>0</v>
      </c>
      <c r="L4039">
        <v>3</v>
      </c>
      <c r="M4039">
        <v>0</v>
      </c>
      <c r="N4039">
        <v>2</v>
      </c>
      <c r="O4039">
        <v>0</v>
      </c>
      <c r="P4039">
        <v>1</v>
      </c>
      <c r="Q4039">
        <v>0</v>
      </c>
      <c r="S4039" t="str">
        <f t="shared" si="1485"/>
        <v>19:36:24.000</v>
      </c>
      <c r="T4039" t="str">
        <f t="shared" si="1485"/>
        <v>19:36:24.000</v>
      </c>
      <c r="U4039" t="str">
        <f t="shared" si="1483"/>
        <v>AC3944</v>
      </c>
      <c r="V4039">
        <v>0</v>
      </c>
      <c r="W4039">
        <v>0</v>
      </c>
      <c r="X4039">
        <v>2</v>
      </c>
      <c r="Y4039">
        <v>0</v>
      </c>
      <c r="AA4039">
        <v>1</v>
      </c>
      <c r="AB4039">
        <v>8</v>
      </c>
      <c r="AC4039">
        <v>3</v>
      </c>
      <c r="AD4039">
        <v>0</v>
      </c>
      <c r="AE4039">
        <v>9</v>
      </c>
      <c r="AF4039" t="s">
        <v>138</v>
      </c>
      <c r="AG4039">
        <v>0</v>
      </c>
      <c r="AH4039">
        <v>3</v>
      </c>
      <c r="AI4039">
        <v>1</v>
      </c>
      <c r="AJ4039">
        <v>0</v>
      </c>
      <c r="AK4039" t="s">
        <v>1300</v>
      </c>
      <c r="AL4039">
        <v>32.732370000000003</v>
      </c>
      <c r="AM4039" t="s">
        <v>1302</v>
      </c>
      <c r="AN4039">
        <v>-116.679847</v>
      </c>
      <c r="AO4039">
        <v>25</v>
      </c>
      <c r="AP4039">
        <v>5000</v>
      </c>
      <c r="AQ4039" t="s">
        <v>129</v>
      </c>
      <c r="AR4039">
        <v>125</v>
      </c>
      <c r="AS4039">
        <v>26</v>
      </c>
      <c r="AT4039">
        <v>128</v>
      </c>
      <c r="BB4039">
        <v>1200</v>
      </c>
      <c r="BC4039">
        <v>1</v>
      </c>
      <c r="BD4039" t="str">
        <f t="shared" si="1484"/>
        <v xml:space="preserve">N887QR  </v>
      </c>
      <c r="BE4039">
        <v>1</v>
      </c>
      <c r="BG4039">
        <v>0</v>
      </c>
      <c r="BH4039">
        <v>0</v>
      </c>
      <c r="BI4039">
        <v>0</v>
      </c>
      <c r="BJ4039">
        <v>4875</v>
      </c>
      <c r="BK4039">
        <v>-125</v>
      </c>
      <c r="BL4039" t="s">
        <v>163</v>
      </c>
      <c r="BM4039">
        <v>1</v>
      </c>
      <c r="BN4039">
        <v>1</v>
      </c>
      <c r="BO4039">
        <v>1</v>
      </c>
      <c r="BP4039">
        <v>0</v>
      </c>
      <c r="BS4039">
        <v>0</v>
      </c>
      <c r="BT4039">
        <v>0</v>
      </c>
      <c r="BU4039">
        <v>0</v>
      </c>
      <c r="CE4039" t="str">
        <f t="shared" si="1486"/>
        <v>19:36:24.464</v>
      </c>
      <c r="CF4039">
        <v>463508039</v>
      </c>
      <c r="CS4039">
        <v>0</v>
      </c>
      <c r="CT4039">
        <v>2</v>
      </c>
      <c r="CU4039">
        <v>0</v>
      </c>
      <c r="CV4039">
        <v>2</v>
      </c>
      <c r="CW4039">
        <v>0</v>
      </c>
      <c r="CX4039">
        <v>5</v>
      </c>
      <c r="CY4039">
        <v>7</v>
      </c>
      <c r="CZ4039" t="s">
        <v>131</v>
      </c>
      <c r="DA4039">
        <v>286</v>
      </c>
      <c r="DB4039">
        <v>0</v>
      </c>
      <c r="DC4039" t="s">
        <v>132</v>
      </c>
      <c r="DD4039" t="s">
        <v>133</v>
      </c>
      <c r="DG4039">
        <v>899574</v>
      </c>
      <c r="DI4039">
        <v>1</v>
      </c>
      <c r="DJ4039">
        <v>0</v>
      </c>
      <c r="DK4039">
        <v>1</v>
      </c>
      <c r="DL4039">
        <v>0</v>
      </c>
      <c r="DM4039">
        <v>0</v>
      </c>
      <c r="DN4039">
        <v>1</v>
      </c>
      <c r="DO4039">
        <v>0</v>
      </c>
      <c r="DP4039">
        <v>0</v>
      </c>
      <c r="DQ4039">
        <v>0</v>
      </c>
      <c r="DR4039">
        <v>0</v>
      </c>
      <c r="DS4039">
        <v>0</v>
      </c>
    </row>
    <row r="4040" spans="1:123" x14ac:dyDescent="0.3">
      <c r="A4040" t="str">
        <f>"10/04/2022 19:36:24.980"</f>
        <v>10/04/2022 19:36:24.980</v>
      </c>
      <c r="C4040" t="str">
        <f t="shared" si="1475"/>
        <v>FFDFD3C0</v>
      </c>
      <c r="D4040" t="s">
        <v>123</v>
      </c>
      <c r="E4040">
        <v>7</v>
      </c>
      <c r="F4040">
        <v>2007</v>
      </c>
      <c r="G4040" t="s">
        <v>124</v>
      </c>
      <c r="J4040" t="s">
        <v>125</v>
      </c>
      <c r="K4040">
        <v>0</v>
      </c>
      <c r="L4040">
        <v>3</v>
      </c>
      <c r="M4040">
        <v>0</v>
      </c>
      <c r="N4040">
        <v>2</v>
      </c>
      <c r="O4040">
        <v>0</v>
      </c>
      <c r="P4040">
        <v>1</v>
      </c>
      <c r="Q4040">
        <v>0</v>
      </c>
      <c r="S4040" t="str">
        <f t="shared" si="1485"/>
        <v>19:36:24.000</v>
      </c>
      <c r="T4040" t="str">
        <f t="shared" si="1485"/>
        <v>19:36:24.000</v>
      </c>
      <c r="U4040" t="str">
        <f t="shared" si="1483"/>
        <v>AC3944</v>
      </c>
      <c r="V4040">
        <v>0</v>
      </c>
      <c r="W4040">
        <v>0</v>
      </c>
      <c r="X4040">
        <v>2</v>
      </c>
      <c r="Y4040">
        <v>0</v>
      </c>
      <c r="AA4040">
        <v>1</v>
      </c>
      <c r="AB4040">
        <v>8</v>
      </c>
      <c r="AC4040">
        <v>3</v>
      </c>
      <c r="AD4040">
        <v>0</v>
      </c>
      <c r="AE4040">
        <v>9</v>
      </c>
      <c r="AF4040" t="s">
        <v>138</v>
      </c>
      <c r="AG4040">
        <v>0</v>
      </c>
      <c r="AH4040">
        <v>3</v>
      </c>
      <c r="AI4040">
        <v>1</v>
      </c>
      <c r="AJ4040">
        <v>0</v>
      </c>
      <c r="AK4040" t="s">
        <v>1300</v>
      </c>
      <c r="AL4040">
        <v>32.732370000000003</v>
      </c>
      <c r="AM4040" t="s">
        <v>1302</v>
      </c>
      <c r="AN4040">
        <v>-116.679847</v>
      </c>
      <c r="AO4040">
        <v>25</v>
      </c>
      <c r="AP4040">
        <v>5000</v>
      </c>
      <c r="AQ4040" t="s">
        <v>129</v>
      </c>
      <c r="AR4040">
        <v>125</v>
      </c>
      <c r="AS4040">
        <v>26</v>
      </c>
      <c r="AT4040">
        <v>128</v>
      </c>
      <c r="BB4040">
        <v>1200</v>
      </c>
      <c r="BC4040">
        <v>1</v>
      </c>
      <c r="BD4040" t="str">
        <f t="shared" si="1484"/>
        <v xml:space="preserve">N887QR  </v>
      </c>
      <c r="BE4040">
        <v>1</v>
      </c>
      <c r="BG4040">
        <v>0</v>
      </c>
      <c r="BH4040">
        <v>0</v>
      </c>
      <c r="BI4040">
        <v>0</v>
      </c>
      <c r="BJ4040">
        <v>4875</v>
      </c>
      <c r="BK4040">
        <v>-125</v>
      </c>
      <c r="BL4040" t="s">
        <v>163</v>
      </c>
      <c r="BM4040">
        <v>1</v>
      </c>
      <c r="BN4040">
        <v>1</v>
      </c>
      <c r="BO4040">
        <v>1</v>
      </c>
      <c r="BP4040">
        <v>0</v>
      </c>
      <c r="BS4040">
        <v>0</v>
      </c>
      <c r="BT4040">
        <v>0</v>
      </c>
      <c r="BU4040">
        <v>0</v>
      </c>
      <c r="CE4040" t="str">
        <f t="shared" si="1486"/>
        <v>19:36:24.464</v>
      </c>
      <c r="CF4040">
        <v>463508039</v>
      </c>
      <c r="CS4040">
        <v>0</v>
      </c>
      <c r="CT4040">
        <v>2</v>
      </c>
      <c r="CU4040">
        <v>0</v>
      </c>
      <c r="CV4040">
        <v>2</v>
      </c>
      <c r="CW4040">
        <v>0</v>
      </c>
      <c r="CX4040">
        <v>5</v>
      </c>
      <c r="CY4040">
        <v>7</v>
      </c>
      <c r="CZ4040" t="s">
        <v>131</v>
      </c>
      <c r="DA4040">
        <v>286</v>
      </c>
      <c r="DB4040">
        <v>0</v>
      </c>
      <c r="DC4040" t="s">
        <v>132</v>
      </c>
      <c r="DD4040" t="s">
        <v>133</v>
      </c>
      <c r="DG4040">
        <v>899574</v>
      </c>
      <c r="DI4040">
        <v>1</v>
      </c>
      <c r="DJ4040">
        <v>0</v>
      </c>
      <c r="DK4040">
        <v>1</v>
      </c>
      <c r="DL4040">
        <v>0</v>
      </c>
      <c r="DM4040">
        <v>0</v>
      </c>
      <c r="DN4040">
        <v>1</v>
      </c>
      <c r="DO4040">
        <v>0</v>
      </c>
      <c r="DP4040">
        <v>0</v>
      </c>
      <c r="DQ4040">
        <v>0</v>
      </c>
      <c r="DR4040">
        <v>0</v>
      </c>
      <c r="DS4040">
        <v>0</v>
      </c>
    </row>
    <row r="4041" spans="1:123" x14ac:dyDescent="0.3">
      <c r="A4041" t="str">
        <f>"10/04/2022 19:36:24.980"</f>
        <v>10/04/2022 19:36:24.980</v>
      </c>
      <c r="C4041" t="str">
        <f t="shared" si="1475"/>
        <v>FFDFD3C0</v>
      </c>
      <c r="D4041" t="s">
        <v>136</v>
      </c>
      <c r="E4041">
        <v>8</v>
      </c>
      <c r="H4041">
        <v>225</v>
      </c>
      <c r="I4041" t="s">
        <v>137</v>
      </c>
      <c r="J4041" t="s">
        <v>138</v>
      </c>
      <c r="K4041">
        <v>0</v>
      </c>
      <c r="L4041">
        <v>3</v>
      </c>
      <c r="M4041">
        <v>0</v>
      </c>
      <c r="N4041">
        <v>2</v>
      </c>
      <c r="O4041">
        <v>0</v>
      </c>
      <c r="P4041">
        <v>1</v>
      </c>
      <c r="Q4041">
        <v>0</v>
      </c>
      <c r="S4041" t="str">
        <f t="shared" si="1485"/>
        <v>19:36:24.000</v>
      </c>
      <c r="T4041" t="str">
        <f t="shared" si="1485"/>
        <v>19:36:24.000</v>
      </c>
      <c r="U4041" t="str">
        <f t="shared" si="1483"/>
        <v>AC3944</v>
      </c>
      <c r="V4041">
        <v>0</v>
      </c>
      <c r="W4041">
        <v>0</v>
      </c>
      <c r="X4041">
        <v>2</v>
      </c>
      <c r="Y4041">
        <v>0</v>
      </c>
      <c r="AA4041">
        <v>1</v>
      </c>
      <c r="AB4041">
        <v>8</v>
      </c>
      <c r="AC4041">
        <v>3</v>
      </c>
      <c r="AD4041">
        <v>0</v>
      </c>
      <c r="AE4041">
        <v>9</v>
      </c>
      <c r="AF4041" t="s">
        <v>138</v>
      </c>
      <c r="AG4041">
        <v>0</v>
      </c>
      <c r="AH4041">
        <v>3</v>
      </c>
      <c r="AI4041">
        <v>1</v>
      </c>
      <c r="AJ4041">
        <v>0</v>
      </c>
      <c r="AK4041" t="s">
        <v>1300</v>
      </c>
      <c r="AL4041">
        <v>32.732370000000003</v>
      </c>
      <c r="AM4041" t="s">
        <v>1302</v>
      </c>
      <c r="AN4041">
        <v>-116.679847</v>
      </c>
      <c r="AO4041">
        <v>25</v>
      </c>
      <c r="AP4041">
        <v>5000</v>
      </c>
      <c r="AQ4041" t="s">
        <v>129</v>
      </c>
      <c r="AR4041">
        <v>125</v>
      </c>
      <c r="AS4041">
        <v>26</v>
      </c>
      <c r="AT4041">
        <v>128</v>
      </c>
      <c r="BB4041">
        <v>1200</v>
      </c>
      <c r="BC4041">
        <v>1</v>
      </c>
      <c r="BD4041" t="str">
        <f t="shared" si="1484"/>
        <v xml:space="preserve">N887QR  </v>
      </c>
      <c r="BE4041">
        <v>1</v>
      </c>
      <c r="BG4041">
        <v>0</v>
      </c>
      <c r="BH4041">
        <v>0</v>
      </c>
      <c r="BI4041">
        <v>0</v>
      </c>
      <c r="BJ4041">
        <v>4875</v>
      </c>
      <c r="BK4041">
        <v>-125</v>
      </c>
      <c r="BL4041" t="s">
        <v>163</v>
      </c>
      <c r="BM4041">
        <v>1</v>
      </c>
      <c r="BN4041">
        <v>1</v>
      </c>
      <c r="BO4041">
        <v>1</v>
      </c>
      <c r="BP4041">
        <v>0</v>
      </c>
      <c r="BS4041">
        <v>0</v>
      </c>
      <c r="BT4041">
        <v>0</v>
      </c>
      <c r="BU4041">
        <v>0</v>
      </c>
      <c r="CE4041" t="str">
        <f t="shared" si="1486"/>
        <v>19:36:24.464</v>
      </c>
      <c r="CF4041">
        <v>463508039</v>
      </c>
      <c r="CS4041">
        <v>0</v>
      </c>
      <c r="CT4041">
        <v>2</v>
      </c>
      <c r="CU4041">
        <v>0</v>
      </c>
      <c r="CV4041">
        <v>2</v>
      </c>
      <c r="CW4041">
        <v>0</v>
      </c>
      <c r="CX4041">
        <v>5</v>
      </c>
      <c r="CY4041">
        <v>7</v>
      </c>
      <c r="CZ4041" t="s">
        <v>131</v>
      </c>
      <c r="DA4041">
        <v>286</v>
      </c>
      <c r="DB4041">
        <v>0</v>
      </c>
      <c r="DC4041" t="s">
        <v>132</v>
      </c>
      <c r="DD4041" t="s">
        <v>133</v>
      </c>
      <c r="DG4041">
        <v>899574</v>
      </c>
      <c r="DI4041">
        <v>1</v>
      </c>
      <c r="DJ4041">
        <v>0</v>
      </c>
      <c r="DK4041">
        <v>1</v>
      </c>
      <c r="DL4041">
        <v>0</v>
      </c>
      <c r="DM4041">
        <v>0</v>
      </c>
      <c r="DN4041">
        <v>1</v>
      </c>
      <c r="DO4041">
        <v>0</v>
      </c>
      <c r="DP4041">
        <v>0</v>
      </c>
      <c r="DQ4041">
        <v>0</v>
      </c>
      <c r="DR4041">
        <v>0</v>
      </c>
      <c r="DS4041">
        <v>0</v>
      </c>
    </row>
    <row r="4042" spans="1:123" x14ac:dyDescent="0.3">
      <c r="A4042" t="str">
        <f>"10/04/2022 19:36:24.980"</f>
        <v>10/04/2022 19:36:24.980</v>
      </c>
      <c r="C4042" t="str">
        <f t="shared" si="1475"/>
        <v>FFDFD3C0</v>
      </c>
      <c r="D4042" t="s">
        <v>141</v>
      </c>
      <c r="E4042">
        <v>4</v>
      </c>
      <c r="H4042">
        <v>4</v>
      </c>
      <c r="I4042" t="s">
        <v>142</v>
      </c>
      <c r="J4042" t="s">
        <v>138</v>
      </c>
      <c r="K4042">
        <v>0</v>
      </c>
      <c r="L4042">
        <v>3</v>
      </c>
      <c r="M4042">
        <v>0</v>
      </c>
      <c r="N4042">
        <v>2</v>
      </c>
      <c r="O4042">
        <v>0</v>
      </c>
      <c r="P4042">
        <v>1</v>
      </c>
      <c r="Q4042">
        <v>0</v>
      </c>
      <c r="S4042" t="str">
        <f t="shared" si="1485"/>
        <v>19:36:24.000</v>
      </c>
      <c r="T4042" t="str">
        <f t="shared" si="1485"/>
        <v>19:36:24.000</v>
      </c>
      <c r="U4042" t="str">
        <f t="shared" si="1483"/>
        <v>AC3944</v>
      </c>
      <c r="V4042">
        <v>0</v>
      </c>
      <c r="W4042">
        <v>0</v>
      </c>
      <c r="X4042">
        <v>2</v>
      </c>
      <c r="Y4042">
        <v>0</v>
      </c>
      <c r="AA4042">
        <v>1</v>
      </c>
      <c r="AB4042">
        <v>8</v>
      </c>
      <c r="AC4042">
        <v>3</v>
      </c>
      <c r="AD4042">
        <v>0</v>
      </c>
      <c r="AE4042">
        <v>9</v>
      </c>
      <c r="AF4042" t="s">
        <v>138</v>
      </c>
      <c r="AG4042">
        <v>0</v>
      </c>
      <c r="AH4042">
        <v>3</v>
      </c>
      <c r="AI4042">
        <v>1</v>
      </c>
      <c r="AJ4042">
        <v>0</v>
      </c>
      <c r="AK4042" t="s">
        <v>1300</v>
      </c>
      <c r="AL4042">
        <v>32.732370000000003</v>
      </c>
      <c r="AM4042" t="s">
        <v>1302</v>
      </c>
      <c r="AN4042">
        <v>-116.679847</v>
      </c>
      <c r="AO4042">
        <v>25</v>
      </c>
      <c r="AP4042">
        <v>5000</v>
      </c>
      <c r="AQ4042" t="s">
        <v>129</v>
      </c>
      <c r="AR4042">
        <v>125</v>
      </c>
      <c r="AS4042">
        <v>26</v>
      </c>
      <c r="AT4042">
        <v>128</v>
      </c>
      <c r="BB4042">
        <v>1200</v>
      </c>
      <c r="BC4042">
        <v>1</v>
      </c>
      <c r="BD4042" t="str">
        <f t="shared" si="1484"/>
        <v xml:space="preserve">N887QR  </v>
      </c>
      <c r="BE4042">
        <v>1</v>
      </c>
      <c r="BG4042">
        <v>0</v>
      </c>
      <c r="BH4042">
        <v>0</v>
      </c>
      <c r="BI4042">
        <v>0</v>
      </c>
      <c r="BJ4042">
        <v>4875</v>
      </c>
      <c r="BK4042">
        <v>-125</v>
      </c>
      <c r="BL4042" t="s">
        <v>163</v>
      </c>
      <c r="BM4042">
        <v>1</v>
      </c>
      <c r="BN4042">
        <v>1</v>
      </c>
      <c r="BO4042">
        <v>1</v>
      </c>
      <c r="BP4042">
        <v>0</v>
      </c>
      <c r="BS4042">
        <v>0</v>
      </c>
      <c r="BT4042">
        <v>0</v>
      </c>
      <c r="BU4042">
        <v>0</v>
      </c>
      <c r="CE4042" t="str">
        <f t="shared" si="1486"/>
        <v>19:36:24.464</v>
      </c>
      <c r="CF4042">
        <v>463508039</v>
      </c>
      <c r="CS4042">
        <v>0</v>
      </c>
      <c r="CT4042">
        <v>2</v>
      </c>
      <c r="CU4042">
        <v>0</v>
      </c>
      <c r="CV4042">
        <v>2</v>
      </c>
      <c r="CW4042">
        <v>0</v>
      </c>
      <c r="CX4042">
        <v>5</v>
      </c>
      <c r="CY4042">
        <v>7</v>
      </c>
      <c r="CZ4042" t="s">
        <v>131</v>
      </c>
      <c r="DA4042">
        <v>286</v>
      </c>
      <c r="DB4042">
        <v>0</v>
      </c>
      <c r="DC4042" t="s">
        <v>132</v>
      </c>
      <c r="DD4042" t="s">
        <v>133</v>
      </c>
      <c r="DG4042">
        <v>899574</v>
      </c>
      <c r="DI4042">
        <v>1</v>
      </c>
      <c r="DJ4042">
        <v>0</v>
      </c>
      <c r="DK4042">
        <v>1</v>
      </c>
      <c r="DL4042">
        <v>0</v>
      </c>
      <c r="DM4042">
        <v>0</v>
      </c>
      <c r="DN4042">
        <v>1</v>
      </c>
      <c r="DO4042">
        <v>0</v>
      </c>
      <c r="DP4042">
        <v>0</v>
      </c>
      <c r="DQ4042">
        <v>0</v>
      </c>
      <c r="DR4042">
        <v>0</v>
      </c>
      <c r="DS4042">
        <v>0</v>
      </c>
    </row>
    <row r="4043" spans="1:123" x14ac:dyDescent="0.3">
      <c r="A4043" t="str">
        <f>"10/04/2022 19:36:25.418"</f>
        <v>10/04/2022 19:36:25.418</v>
      </c>
      <c r="C4043" t="str">
        <f t="shared" si="1475"/>
        <v>FFDFD3C0</v>
      </c>
      <c r="D4043" t="s">
        <v>143</v>
      </c>
      <c r="E4043">
        <v>20</v>
      </c>
      <c r="F4043">
        <v>1020</v>
      </c>
      <c r="G4043" t="s">
        <v>144</v>
      </c>
      <c r="J4043" t="s">
        <v>145</v>
      </c>
      <c r="K4043">
        <v>0</v>
      </c>
      <c r="L4043">
        <v>3</v>
      </c>
      <c r="M4043">
        <v>0</v>
      </c>
      <c r="N4043">
        <v>2</v>
      </c>
      <c r="O4043">
        <v>0</v>
      </c>
      <c r="P4043">
        <v>1</v>
      </c>
      <c r="Q4043">
        <v>0</v>
      </c>
      <c r="S4043" t="str">
        <f t="shared" si="1485"/>
        <v>19:36:24.000</v>
      </c>
      <c r="T4043" t="str">
        <f t="shared" si="1485"/>
        <v>19:36:24.000</v>
      </c>
      <c r="U4043" t="str">
        <f t="shared" si="1483"/>
        <v>AC3944</v>
      </c>
      <c r="V4043">
        <v>0</v>
      </c>
      <c r="W4043">
        <v>0</v>
      </c>
      <c r="X4043">
        <v>2</v>
      </c>
      <c r="Y4043">
        <v>0</v>
      </c>
      <c r="AA4043">
        <v>1</v>
      </c>
      <c r="AB4043">
        <v>8</v>
      </c>
      <c r="AC4043">
        <v>3</v>
      </c>
      <c r="AD4043">
        <v>0</v>
      </c>
      <c r="AE4043">
        <v>9</v>
      </c>
      <c r="AF4043" t="s">
        <v>138</v>
      </c>
      <c r="AG4043">
        <v>0</v>
      </c>
      <c r="AH4043">
        <v>3</v>
      </c>
      <c r="AI4043">
        <v>1</v>
      </c>
      <c r="AJ4043">
        <v>0</v>
      </c>
      <c r="AK4043" t="s">
        <v>1303</v>
      </c>
      <c r="AL4043">
        <v>32.732477000000003</v>
      </c>
      <c r="AM4043" t="s">
        <v>1304</v>
      </c>
      <c r="AN4043">
        <v>-116.67916099999999</v>
      </c>
      <c r="AO4043">
        <v>25</v>
      </c>
      <c r="AP4043">
        <v>5000</v>
      </c>
      <c r="AQ4043" t="s">
        <v>129</v>
      </c>
      <c r="AR4043">
        <v>124</v>
      </c>
      <c r="AS4043">
        <v>32</v>
      </c>
      <c r="AT4043">
        <v>128</v>
      </c>
      <c r="BB4043">
        <v>1200</v>
      </c>
      <c r="BC4043">
        <v>1</v>
      </c>
      <c r="BD4043" t="str">
        <f t="shared" si="1484"/>
        <v xml:space="preserve">N887QR  </v>
      </c>
      <c r="BE4043">
        <v>1</v>
      </c>
      <c r="BG4043">
        <v>0</v>
      </c>
      <c r="BH4043">
        <v>0</v>
      </c>
      <c r="BI4043">
        <v>0</v>
      </c>
      <c r="BJ4043">
        <v>4875</v>
      </c>
      <c r="BK4043">
        <v>-125</v>
      </c>
      <c r="BL4043" t="s">
        <v>163</v>
      </c>
      <c r="BM4043">
        <v>1</v>
      </c>
      <c r="BN4043">
        <v>1</v>
      </c>
      <c r="BO4043">
        <v>1</v>
      </c>
      <c r="BP4043">
        <v>0</v>
      </c>
      <c r="BS4043">
        <v>0</v>
      </c>
      <c r="BT4043">
        <v>0</v>
      </c>
      <c r="BU4043">
        <v>0</v>
      </c>
      <c r="CE4043" t="str">
        <f>"19:36:24.897"</f>
        <v>19:36:24.897</v>
      </c>
      <c r="CF4043">
        <v>896509509</v>
      </c>
      <c r="CS4043">
        <v>0</v>
      </c>
      <c r="CT4043">
        <v>2</v>
      </c>
      <c r="CU4043">
        <v>0</v>
      </c>
      <c r="CV4043">
        <v>2</v>
      </c>
      <c r="CW4043">
        <v>0</v>
      </c>
      <c r="CX4043">
        <v>6</v>
      </c>
      <c r="CY4043">
        <v>7</v>
      </c>
      <c r="CZ4043" t="s">
        <v>131</v>
      </c>
      <c r="DA4043">
        <v>286</v>
      </c>
      <c r="DB4043">
        <v>0</v>
      </c>
      <c r="DC4043" t="s">
        <v>132</v>
      </c>
      <c r="DD4043" t="s">
        <v>133</v>
      </c>
      <c r="DG4043">
        <v>899671</v>
      </c>
      <c r="DI4043">
        <v>1</v>
      </c>
      <c r="DJ4043">
        <v>0</v>
      </c>
      <c r="DK4043">
        <v>0</v>
      </c>
      <c r="DL4043">
        <v>0</v>
      </c>
      <c r="DM4043">
        <v>0</v>
      </c>
      <c r="DN4043">
        <v>1</v>
      </c>
      <c r="DO4043">
        <v>0</v>
      </c>
      <c r="DP4043">
        <v>0</v>
      </c>
      <c r="DQ4043">
        <v>0</v>
      </c>
      <c r="DR4043">
        <v>0</v>
      </c>
      <c r="DS4043">
        <v>0</v>
      </c>
    </row>
    <row r="4044" spans="1:123" x14ac:dyDescent="0.3">
      <c r="A4044" t="str">
        <f t="shared" ref="A4044:A4050" si="1487">"10/04/2022 19:36:26.527"</f>
        <v>10/04/2022 19:36:26.527</v>
      </c>
      <c r="C4044" t="str">
        <f t="shared" si="1475"/>
        <v>FFDFD3C0</v>
      </c>
      <c r="D4044" t="s">
        <v>134</v>
      </c>
      <c r="E4044">
        <v>15</v>
      </c>
      <c r="J4044" t="s">
        <v>135</v>
      </c>
      <c r="K4044">
        <v>0</v>
      </c>
      <c r="L4044">
        <v>3</v>
      </c>
      <c r="M4044">
        <v>0</v>
      </c>
      <c r="N4044">
        <v>2</v>
      </c>
      <c r="O4044">
        <v>0</v>
      </c>
      <c r="P4044">
        <v>1</v>
      </c>
      <c r="Q4044">
        <v>0</v>
      </c>
      <c r="S4044" t="str">
        <f t="shared" ref="S4044:T4050" si="1488">"19:36:26.000"</f>
        <v>19:36:26.000</v>
      </c>
      <c r="T4044" t="str">
        <f t="shared" si="1488"/>
        <v>19:36:26.000</v>
      </c>
      <c r="U4044" t="str">
        <f t="shared" si="1483"/>
        <v>AC3944</v>
      </c>
      <c r="V4044">
        <v>0</v>
      </c>
      <c r="W4044">
        <v>0</v>
      </c>
      <c r="X4044">
        <v>2</v>
      </c>
      <c r="Y4044">
        <v>0</v>
      </c>
      <c r="AA4044">
        <v>1</v>
      </c>
      <c r="AB4044">
        <v>8</v>
      </c>
      <c r="AC4044">
        <v>3</v>
      </c>
      <c r="AD4044">
        <v>0</v>
      </c>
      <c r="AE4044">
        <v>9</v>
      </c>
      <c r="AF4044" t="s">
        <v>138</v>
      </c>
      <c r="AG4044">
        <v>0</v>
      </c>
      <c r="AH4044">
        <v>3</v>
      </c>
      <c r="AI4044">
        <v>1</v>
      </c>
      <c r="AJ4044">
        <v>0</v>
      </c>
      <c r="AK4044" t="s">
        <v>1305</v>
      </c>
      <c r="AL4044">
        <v>32.732649000000002</v>
      </c>
      <c r="AM4044" t="s">
        <v>1306</v>
      </c>
      <c r="AN4044">
        <v>-116.678495</v>
      </c>
      <c r="AO4044">
        <v>25</v>
      </c>
      <c r="AP4044">
        <v>5000</v>
      </c>
      <c r="AQ4044" t="s">
        <v>129</v>
      </c>
      <c r="AR4044">
        <v>116</v>
      </c>
      <c r="AS4044">
        <v>56</v>
      </c>
      <c r="AT4044">
        <v>-128</v>
      </c>
      <c r="BB4044">
        <v>1200</v>
      </c>
      <c r="BC4044">
        <v>1</v>
      </c>
      <c r="BD4044" t="str">
        <f t="shared" si="1484"/>
        <v xml:space="preserve">N887QR  </v>
      </c>
      <c r="BE4044">
        <v>1</v>
      </c>
      <c r="BG4044">
        <v>0</v>
      </c>
      <c r="BH4044">
        <v>0</v>
      </c>
      <c r="BI4044">
        <v>0</v>
      </c>
      <c r="BJ4044">
        <v>4875</v>
      </c>
      <c r="BK4044">
        <v>-125</v>
      </c>
      <c r="BL4044" t="s">
        <v>163</v>
      </c>
      <c r="BM4044">
        <v>1</v>
      </c>
      <c r="BN4044">
        <v>1</v>
      </c>
      <c r="BO4044">
        <v>1</v>
      </c>
      <c r="BP4044">
        <v>0</v>
      </c>
      <c r="BS4044">
        <v>0</v>
      </c>
      <c r="BT4044">
        <v>0</v>
      </c>
      <c r="BU4044">
        <v>0</v>
      </c>
      <c r="CE4044" t="str">
        <f t="shared" ref="CE4044:CE4050" si="1489">"19:36:26.166"</f>
        <v>19:36:26.166</v>
      </c>
      <c r="CF4044">
        <v>165513836</v>
      </c>
      <c r="CS4044">
        <v>0</v>
      </c>
      <c r="CT4044">
        <v>2</v>
      </c>
      <c r="CU4044">
        <v>0</v>
      </c>
      <c r="CV4044">
        <v>2</v>
      </c>
      <c r="CW4044">
        <v>0</v>
      </c>
      <c r="CX4044">
        <v>6</v>
      </c>
      <c r="CY4044">
        <v>7</v>
      </c>
      <c r="CZ4044" t="s">
        <v>131</v>
      </c>
      <c r="DA4044">
        <v>286</v>
      </c>
      <c r="DB4044">
        <v>0</v>
      </c>
      <c r="DC4044" t="s">
        <v>132</v>
      </c>
      <c r="DD4044" t="s">
        <v>133</v>
      </c>
      <c r="DG4044">
        <v>899897</v>
      </c>
      <c r="DI4044">
        <v>1</v>
      </c>
      <c r="DJ4044">
        <v>0</v>
      </c>
      <c r="DK4044">
        <v>0</v>
      </c>
      <c r="DL4044">
        <v>0</v>
      </c>
      <c r="DM4044">
        <v>0</v>
      </c>
      <c r="DN4044">
        <v>1</v>
      </c>
      <c r="DO4044">
        <v>0</v>
      </c>
      <c r="DP4044">
        <v>0</v>
      </c>
      <c r="DQ4044">
        <v>0</v>
      </c>
      <c r="DR4044">
        <v>0</v>
      </c>
      <c r="DS4044">
        <v>0</v>
      </c>
    </row>
    <row r="4045" spans="1:123" x14ac:dyDescent="0.3">
      <c r="A4045" t="str">
        <f t="shared" si="1487"/>
        <v>10/04/2022 19:36:26.527</v>
      </c>
      <c r="C4045" t="str">
        <f t="shared" si="1475"/>
        <v>FFDFD3C0</v>
      </c>
      <c r="D4045" t="s">
        <v>123</v>
      </c>
      <c r="E4045">
        <v>7</v>
      </c>
      <c r="F4045">
        <v>2007</v>
      </c>
      <c r="G4045" t="s">
        <v>124</v>
      </c>
      <c r="J4045" t="s">
        <v>125</v>
      </c>
      <c r="K4045">
        <v>0</v>
      </c>
      <c r="L4045">
        <v>3</v>
      </c>
      <c r="M4045">
        <v>0</v>
      </c>
      <c r="N4045">
        <v>2</v>
      </c>
      <c r="O4045">
        <v>0</v>
      </c>
      <c r="P4045">
        <v>1</v>
      </c>
      <c r="Q4045">
        <v>0</v>
      </c>
      <c r="S4045" t="str">
        <f t="shared" si="1488"/>
        <v>19:36:26.000</v>
      </c>
      <c r="T4045" t="str">
        <f t="shared" si="1488"/>
        <v>19:36:26.000</v>
      </c>
      <c r="U4045" t="str">
        <f t="shared" si="1483"/>
        <v>AC3944</v>
      </c>
      <c r="V4045">
        <v>0</v>
      </c>
      <c r="W4045">
        <v>0</v>
      </c>
      <c r="X4045">
        <v>2</v>
      </c>
      <c r="Y4045">
        <v>0</v>
      </c>
      <c r="AA4045">
        <v>1</v>
      </c>
      <c r="AB4045">
        <v>8</v>
      </c>
      <c r="AC4045">
        <v>3</v>
      </c>
      <c r="AD4045">
        <v>0</v>
      </c>
      <c r="AE4045">
        <v>9</v>
      </c>
      <c r="AF4045" t="s">
        <v>138</v>
      </c>
      <c r="AG4045">
        <v>0</v>
      </c>
      <c r="AH4045">
        <v>3</v>
      </c>
      <c r="AI4045">
        <v>1</v>
      </c>
      <c r="AJ4045">
        <v>0</v>
      </c>
      <c r="AK4045" t="s">
        <v>1305</v>
      </c>
      <c r="AL4045">
        <v>32.732649000000002</v>
      </c>
      <c r="AM4045" t="s">
        <v>1306</v>
      </c>
      <c r="AN4045">
        <v>-116.678495</v>
      </c>
      <c r="AO4045">
        <v>25</v>
      </c>
      <c r="AP4045">
        <v>5000</v>
      </c>
      <c r="AQ4045" t="s">
        <v>129</v>
      </c>
      <c r="AR4045">
        <v>116</v>
      </c>
      <c r="AS4045">
        <v>56</v>
      </c>
      <c r="AT4045">
        <v>-128</v>
      </c>
      <c r="BB4045">
        <v>1200</v>
      </c>
      <c r="BC4045">
        <v>1</v>
      </c>
      <c r="BD4045" t="str">
        <f t="shared" si="1484"/>
        <v xml:space="preserve">N887QR  </v>
      </c>
      <c r="BE4045">
        <v>1</v>
      </c>
      <c r="BG4045">
        <v>0</v>
      </c>
      <c r="BH4045">
        <v>0</v>
      </c>
      <c r="BI4045">
        <v>0</v>
      </c>
      <c r="BJ4045">
        <v>4875</v>
      </c>
      <c r="BK4045">
        <v>-125</v>
      </c>
      <c r="BL4045" t="s">
        <v>163</v>
      </c>
      <c r="BM4045">
        <v>1</v>
      </c>
      <c r="BN4045">
        <v>1</v>
      </c>
      <c r="BO4045">
        <v>1</v>
      </c>
      <c r="BP4045">
        <v>0</v>
      </c>
      <c r="BS4045">
        <v>0</v>
      </c>
      <c r="BT4045">
        <v>0</v>
      </c>
      <c r="BU4045">
        <v>0</v>
      </c>
      <c r="CE4045" t="str">
        <f t="shared" si="1489"/>
        <v>19:36:26.166</v>
      </c>
      <c r="CF4045">
        <v>165513836</v>
      </c>
      <c r="CS4045">
        <v>0</v>
      </c>
      <c r="CT4045">
        <v>2</v>
      </c>
      <c r="CU4045">
        <v>0</v>
      </c>
      <c r="CV4045">
        <v>2</v>
      </c>
      <c r="CW4045">
        <v>0</v>
      </c>
      <c r="CX4045">
        <v>6</v>
      </c>
      <c r="CY4045">
        <v>7</v>
      </c>
      <c r="CZ4045" t="s">
        <v>131</v>
      </c>
      <c r="DA4045">
        <v>286</v>
      </c>
      <c r="DB4045">
        <v>0</v>
      </c>
      <c r="DC4045" t="s">
        <v>132</v>
      </c>
      <c r="DD4045" t="s">
        <v>133</v>
      </c>
      <c r="DG4045">
        <v>899897</v>
      </c>
      <c r="DI4045">
        <v>1</v>
      </c>
      <c r="DJ4045">
        <v>0</v>
      </c>
      <c r="DK4045">
        <v>1</v>
      </c>
      <c r="DL4045">
        <v>0</v>
      </c>
      <c r="DM4045">
        <v>0</v>
      </c>
      <c r="DN4045">
        <v>1</v>
      </c>
      <c r="DO4045">
        <v>0</v>
      </c>
      <c r="DP4045">
        <v>0</v>
      </c>
      <c r="DQ4045">
        <v>0</v>
      </c>
      <c r="DR4045">
        <v>0</v>
      </c>
      <c r="DS4045">
        <v>0</v>
      </c>
    </row>
    <row r="4046" spans="1:123" x14ac:dyDescent="0.3">
      <c r="A4046" t="str">
        <f t="shared" si="1487"/>
        <v>10/04/2022 19:36:26.527</v>
      </c>
      <c r="C4046" t="str">
        <f t="shared" si="1475"/>
        <v>FFDFD3C0</v>
      </c>
      <c r="D4046" t="s">
        <v>141</v>
      </c>
      <c r="E4046">
        <v>3</v>
      </c>
      <c r="H4046">
        <v>3</v>
      </c>
      <c r="I4046" t="s">
        <v>146</v>
      </c>
      <c r="J4046" t="s">
        <v>138</v>
      </c>
      <c r="K4046">
        <v>0</v>
      </c>
      <c r="L4046">
        <v>3</v>
      </c>
      <c r="M4046">
        <v>0</v>
      </c>
      <c r="N4046">
        <v>2</v>
      </c>
      <c r="O4046">
        <v>0</v>
      </c>
      <c r="P4046">
        <v>1</v>
      </c>
      <c r="Q4046">
        <v>0</v>
      </c>
      <c r="S4046" t="str">
        <f t="shared" si="1488"/>
        <v>19:36:26.000</v>
      </c>
      <c r="T4046" t="str">
        <f t="shared" si="1488"/>
        <v>19:36:26.000</v>
      </c>
      <c r="U4046" t="str">
        <f t="shared" si="1483"/>
        <v>AC3944</v>
      </c>
      <c r="V4046">
        <v>0</v>
      </c>
      <c r="W4046">
        <v>0</v>
      </c>
      <c r="X4046">
        <v>2</v>
      </c>
      <c r="Y4046">
        <v>0</v>
      </c>
      <c r="AA4046">
        <v>1</v>
      </c>
      <c r="AB4046">
        <v>8</v>
      </c>
      <c r="AC4046">
        <v>3</v>
      </c>
      <c r="AD4046">
        <v>0</v>
      </c>
      <c r="AE4046">
        <v>9</v>
      </c>
      <c r="AF4046" t="s">
        <v>138</v>
      </c>
      <c r="AG4046">
        <v>0</v>
      </c>
      <c r="AH4046">
        <v>3</v>
      </c>
      <c r="AI4046">
        <v>1</v>
      </c>
      <c r="AJ4046">
        <v>0</v>
      </c>
      <c r="AK4046" t="s">
        <v>1305</v>
      </c>
      <c r="AL4046">
        <v>32.732649000000002</v>
      </c>
      <c r="AM4046" t="s">
        <v>1306</v>
      </c>
      <c r="AN4046">
        <v>-116.678495</v>
      </c>
      <c r="AO4046">
        <v>25</v>
      </c>
      <c r="AP4046">
        <v>5000</v>
      </c>
      <c r="AQ4046" t="s">
        <v>129</v>
      </c>
      <c r="AR4046">
        <v>116</v>
      </c>
      <c r="AS4046">
        <v>56</v>
      </c>
      <c r="AT4046">
        <v>-128</v>
      </c>
      <c r="BB4046">
        <v>1200</v>
      </c>
      <c r="BC4046">
        <v>1</v>
      </c>
      <c r="BD4046" t="str">
        <f t="shared" si="1484"/>
        <v xml:space="preserve">N887QR  </v>
      </c>
      <c r="BE4046">
        <v>1</v>
      </c>
      <c r="BG4046">
        <v>0</v>
      </c>
      <c r="BH4046">
        <v>0</v>
      </c>
      <c r="BI4046">
        <v>0</v>
      </c>
      <c r="BJ4046">
        <v>4875</v>
      </c>
      <c r="BK4046">
        <v>-125</v>
      </c>
      <c r="BL4046" t="s">
        <v>163</v>
      </c>
      <c r="BM4046">
        <v>1</v>
      </c>
      <c r="BN4046">
        <v>1</v>
      </c>
      <c r="BO4046">
        <v>1</v>
      </c>
      <c r="BP4046">
        <v>0</v>
      </c>
      <c r="BS4046">
        <v>0</v>
      </c>
      <c r="BT4046">
        <v>0</v>
      </c>
      <c r="BU4046">
        <v>0</v>
      </c>
      <c r="CE4046" t="str">
        <f t="shared" si="1489"/>
        <v>19:36:26.166</v>
      </c>
      <c r="CF4046">
        <v>165513836</v>
      </c>
      <c r="CS4046">
        <v>0</v>
      </c>
      <c r="CT4046">
        <v>2</v>
      </c>
      <c r="CU4046">
        <v>0</v>
      </c>
      <c r="CV4046">
        <v>2</v>
      </c>
      <c r="CW4046">
        <v>0</v>
      </c>
      <c r="CX4046">
        <v>6</v>
      </c>
      <c r="CY4046">
        <v>7</v>
      </c>
      <c r="CZ4046" t="s">
        <v>131</v>
      </c>
      <c r="DA4046">
        <v>286</v>
      </c>
      <c r="DB4046">
        <v>0</v>
      </c>
      <c r="DC4046" t="s">
        <v>132</v>
      </c>
      <c r="DD4046" t="s">
        <v>133</v>
      </c>
      <c r="DG4046">
        <v>899897</v>
      </c>
      <c r="DI4046">
        <v>1</v>
      </c>
      <c r="DJ4046">
        <v>0</v>
      </c>
      <c r="DK4046">
        <v>1</v>
      </c>
      <c r="DL4046">
        <v>0</v>
      </c>
      <c r="DM4046">
        <v>0</v>
      </c>
      <c r="DN4046">
        <v>1</v>
      </c>
      <c r="DO4046">
        <v>0</v>
      </c>
      <c r="DP4046">
        <v>0</v>
      </c>
      <c r="DQ4046">
        <v>0</v>
      </c>
      <c r="DR4046">
        <v>0</v>
      </c>
      <c r="DS4046">
        <v>0</v>
      </c>
    </row>
    <row r="4047" spans="1:123" x14ac:dyDescent="0.3">
      <c r="A4047" t="str">
        <f t="shared" si="1487"/>
        <v>10/04/2022 19:36:26.527</v>
      </c>
      <c r="C4047" t="str">
        <f t="shared" si="1475"/>
        <v>FFDFD3C0</v>
      </c>
      <c r="D4047" t="s">
        <v>136</v>
      </c>
      <c r="E4047">
        <v>8</v>
      </c>
      <c r="H4047">
        <v>225</v>
      </c>
      <c r="I4047" t="s">
        <v>137</v>
      </c>
      <c r="J4047" t="s">
        <v>138</v>
      </c>
      <c r="K4047">
        <v>0</v>
      </c>
      <c r="L4047">
        <v>3</v>
      </c>
      <c r="M4047">
        <v>0</v>
      </c>
      <c r="N4047">
        <v>2</v>
      </c>
      <c r="O4047">
        <v>0</v>
      </c>
      <c r="P4047">
        <v>1</v>
      </c>
      <c r="Q4047">
        <v>0</v>
      </c>
      <c r="S4047" t="str">
        <f t="shared" si="1488"/>
        <v>19:36:26.000</v>
      </c>
      <c r="T4047" t="str">
        <f t="shared" si="1488"/>
        <v>19:36:26.000</v>
      </c>
      <c r="U4047" t="str">
        <f t="shared" si="1483"/>
        <v>AC3944</v>
      </c>
      <c r="V4047">
        <v>0</v>
      </c>
      <c r="W4047">
        <v>0</v>
      </c>
      <c r="X4047">
        <v>2</v>
      </c>
      <c r="Y4047">
        <v>0</v>
      </c>
      <c r="AA4047">
        <v>1</v>
      </c>
      <c r="AB4047">
        <v>8</v>
      </c>
      <c r="AC4047">
        <v>3</v>
      </c>
      <c r="AD4047">
        <v>0</v>
      </c>
      <c r="AE4047">
        <v>9</v>
      </c>
      <c r="AF4047" t="s">
        <v>138</v>
      </c>
      <c r="AG4047">
        <v>0</v>
      </c>
      <c r="AH4047">
        <v>3</v>
      </c>
      <c r="AI4047">
        <v>1</v>
      </c>
      <c r="AJ4047">
        <v>0</v>
      </c>
      <c r="AK4047" t="s">
        <v>1305</v>
      </c>
      <c r="AL4047">
        <v>32.732649000000002</v>
      </c>
      <c r="AM4047" t="s">
        <v>1306</v>
      </c>
      <c r="AN4047">
        <v>-116.678495</v>
      </c>
      <c r="AO4047">
        <v>25</v>
      </c>
      <c r="AP4047">
        <v>5000</v>
      </c>
      <c r="AQ4047" t="s">
        <v>129</v>
      </c>
      <c r="AR4047">
        <v>116</v>
      </c>
      <c r="AS4047">
        <v>56</v>
      </c>
      <c r="AT4047">
        <v>-128</v>
      </c>
      <c r="BB4047">
        <v>1200</v>
      </c>
      <c r="BC4047">
        <v>1</v>
      </c>
      <c r="BD4047" t="str">
        <f t="shared" si="1484"/>
        <v xml:space="preserve">N887QR  </v>
      </c>
      <c r="BE4047">
        <v>1</v>
      </c>
      <c r="BG4047">
        <v>0</v>
      </c>
      <c r="BH4047">
        <v>0</v>
      </c>
      <c r="BI4047">
        <v>0</v>
      </c>
      <c r="BJ4047">
        <v>4875</v>
      </c>
      <c r="BK4047">
        <v>-125</v>
      </c>
      <c r="BL4047" t="s">
        <v>163</v>
      </c>
      <c r="BM4047">
        <v>1</v>
      </c>
      <c r="BN4047">
        <v>1</v>
      </c>
      <c r="BO4047">
        <v>1</v>
      </c>
      <c r="BP4047">
        <v>0</v>
      </c>
      <c r="BS4047">
        <v>0</v>
      </c>
      <c r="BT4047">
        <v>0</v>
      </c>
      <c r="BU4047">
        <v>0</v>
      </c>
      <c r="CE4047" t="str">
        <f t="shared" si="1489"/>
        <v>19:36:26.166</v>
      </c>
      <c r="CF4047">
        <v>165513836</v>
      </c>
      <c r="CS4047">
        <v>0</v>
      </c>
      <c r="CT4047">
        <v>2</v>
      </c>
      <c r="CU4047">
        <v>0</v>
      </c>
      <c r="CV4047">
        <v>2</v>
      </c>
      <c r="CW4047">
        <v>0</v>
      </c>
      <c r="CX4047">
        <v>6</v>
      </c>
      <c r="CY4047">
        <v>7</v>
      </c>
      <c r="CZ4047" t="s">
        <v>131</v>
      </c>
      <c r="DA4047">
        <v>286</v>
      </c>
      <c r="DB4047">
        <v>0</v>
      </c>
      <c r="DC4047" t="s">
        <v>132</v>
      </c>
      <c r="DD4047" t="s">
        <v>133</v>
      </c>
      <c r="DG4047">
        <v>899897</v>
      </c>
      <c r="DI4047">
        <v>1</v>
      </c>
      <c r="DJ4047">
        <v>0</v>
      </c>
      <c r="DK4047">
        <v>1</v>
      </c>
      <c r="DL4047">
        <v>0</v>
      </c>
      <c r="DM4047">
        <v>0</v>
      </c>
      <c r="DN4047">
        <v>1</v>
      </c>
      <c r="DO4047">
        <v>0</v>
      </c>
      <c r="DP4047">
        <v>0</v>
      </c>
      <c r="DQ4047">
        <v>0</v>
      </c>
      <c r="DR4047">
        <v>0</v>
      </c>
      <c r="DS4047">
        <v>0</v>
      </c>
    </row>
    <row r="4048" spans="1:123" x14ac:dyDescent="0.3">
      <c r="A4048" t="str">
        <f t="shared" si="1487"/>
        <v>10/04/2022 19:36:26.527</v>
      </c>
      <c r="C4048" t="str">
        <f t="shared" si="1475"/>
        <v>FFDFD3C0</v>
      </c>
      <c r="D4048" t="s">
        <v>141</v>
      </c>
      <c r="E4048">
        <v>4</v>
      </c>
      <c r="H4048">
        <v>4</v>
      </c>
      <c r="I4048" t="s">
        <v>142</v>
      </c>
      <c r="J4048" t="s">
        <v>138</v>
      </c>
      <c r="K4048">
        <v>0</v>
      </c>
      <c r="L4048">
        <v>3</v>
      </c>
      <c r="M4048">
        <v>0</v>
      </c>
      <c r="N4048">
        <v>2</v>
      </c>
      <c r="O4048">
        <v>0</v>
      </c>
      <c r="P4048">
        <v>1</v>
      </c>
      <c r="Q4048">
        <v>0</v>
      </c>
      <c r="S4048" t="str">
        <f t="shared" si="1488"/>
        <v>19:36:26.000</v>
      </c>
      <c r="T4048" t="str">
        <f t="shared" si="1488"/>
        <v>19:36:26.000</v>
      </c>
      <c r="U4048" t="str">
        <f t="shared" si="1483"/>
        <v>AC3944</v>
      </c>
      <c r="V4048">
        <v>0</v>
      </c>
      <c r="W4048">
        <v>0</v>
      </c>
      <c r="X4048">
        <v>2</v>
      </c>
      <c r="Y4048">
        <v>0</v>
      </c>
      <c r="AA4048">
        <v>1</v>
      </c>
      <c r="AB4048">
        <v>8</v>
      </c>
      <c r="AC4048">
        <v>3</v>
      </c>
      <c r="AD4048">
        <v>0</v>
      </c>
      <c r="AE4048">
        <v>9</v>
      </c>
      <c r="AF4048" t="s">
        <v>138</v>
      </c>
      <c r="AG4048">
        <v>0</v>
      </c>
      <c r="AH4048">
        <v>3</v>
      </c>
      <c r="AI4048">
        <v>1</v>
      </c>
      <c r="AJ4048">
        <v>0</v>
      </c>
      <c r="AK4048" t="s">
        <v>1305</v>
      </c>
      <c r="AL4048">
        <v>32.732649000000002</v>
      </c>
      <c r="AM4048" t="s">
        <v>1306</v>
      </c>
      <c r="AN4048">
        <v>-116.678495</v>
      </c>
      <c r="AO4048">
        <v>25</v>
      </c>
      <c r="AP4048">
        <v>5000</v>
      </c>
      <c r="AQ4048" t="s">
        <v>129</v>
      </c>
      <c r="AR4048">
        <v>116</v>
      </c>
      <c r="AS4048">
        <v>56</v>
      </c>
      <c r="AT4048">
        <v>-128</v>
      </c>
      <c r="BB4048">
        <v>1200</v>
      </c>
      <c r="BC4048">
        <v>1</v>
      </c>
      <c r="BD4048" t="str">
        <f t="shared" si="1484"/>
        <v xml:space="preserve">N887QR  </v>
      </c>
      <c r="BE4048">
        <v>1</v>
      </c>
      <c r="BG4048">
        <v>0</v>
      </c>
      <c r="BH4048">
        <v>0</v>
      </c>
      <c r="BI4048">
        <v>0</v>
      </c>
      <c r="BJ4048">
        <v>4875</v>
      </c>
      <c r="BK4048">
        <v>-125</v>
      </c>
      <c r="BL4048" t="s">
        <v>163</v>
      </c>
      <c r="BM4048">
        <v>1</v>
      </c>
      <c r="BN4048">
        <v>1</v>
      </c>
      <c r="BO4048">
        <v>1</v>
      </c>
      <c r="BP4048">
        <v>0</v>
      </c>
      <c r="BS4048">
        <v>0</v>
      </c>
      <c r="BT4048">
        <v>0</v>
      </c>
      <c r="BU4048">
        <v>0</v>
      </c>
      <c r="CE4048" t="str">
        <f t="shared" si="1489"/>
        <v>19:36:26.166</v>
      </c>
      <c r="CF4048">
        <v>165513836</v>
      </c>
      <c r="CS4048">
        <v>0</v>
      </c>
      <c r="CT4048">
        <v>2</v>
      </c>
      <c r="CU4048">
        <v>0</v>
      </c>
      <c r="CV4048">
        <v>2</v>
      </c>
      <c r="CW4048">
        <v>0</v>
      </c>
      <c r="CX4048">
        <v>6</v>
      </c>
      <c r="CY4048">
        <v>7</v>
      </c>
      <c r="CZ4048" t="s">
        <v>131</v>
      </c>
      <c r="DA4048">
        <v>286</v>
      </c>
      <c r="DB4048">
        <v>0</v>
      </c>
      <c r="DC4048" t="s">
        <v>132</v>
      </c>
      <c r="DD4048" t="s">
        <v>133</v>
      </c>
      <c r="DG4048">
        <v>899897</v>
      </c>
      <c r="DI4048">
        <v>1</v>
      </c>
      <c r="DJ4048">
        <v>0</v>
      </c>
      <c r="DK4048">
        <v>1</v>
      </c>
      <c r="DL4048">
        <v>0</v>
      </c>
      <c r="DM4048">
        <v>0</v>
      </c>
      <c r="DN4048">
        <v>1</v>
      </c>
      <c r="DO4048">
        <v>0</v>
      </c>
      <c r="DP4048">
        <v>0</v>
      </c>
      <c r="DQ4048">
        <v>0</v>
      </c>
      <c r="DR4048">
        <v>0</v>
      </c>
      <c r="DS4048">
        <v>0</v>
      </c>
    </row>
    <row r="4049" spans="1:123" x14ac:dyDescent="0.3">
      <c r="A4049" t="str">
        <f t="shared" si="1487"/>
        <v>10/04/2022 19:36:26.527</v>
      </c>
      <c r="C4049" t="str">
        <f t="shared" si="1475"/>
        <v>FFDFD3C0</v>
      </c>
      <c r="D4049" t="s">
        <v>147</v>
      </c>
      <c r="E4049">
        <v>3</v>
      </c>
      <c r="H4049">
        <v>166</v>
      </c>
      <c r="I4049" t="s">
        <v>144</v>
      </c>
      <c r="J4049" t="s">
        <v>148</v>
      </c>
      <c r="K4049">
        <v>0</v>
      </c>
      <c r="L4049">
        <v>3</v>
      </c>
      <c r="M4049">
        <v>0</v>
      </c>
      <c r="N4049">
        <v>2</v>
      </c>
      <c r="O4049">
        <v>0</v>
      </c>
      <c r="P4049">
        <v>1</v>
      </c>
      <c r="Q4049">
        <v>0</v>
      </c>
      <c r="S4049" t="str">
        <f t="shared" si="1488"/>
        <v>19:36:26.000</v>
      </c>
      <c r="T4049" t="str">
        <f t="shared" si="1488"/>
        <v>19:36:26.000</v>
      </c>
      <c r="U4049" t="str">
        <f t="shared" si="1483"/>
        <v>AC3944</v>
      </c>
      <c r="V4049">
        <v>0</v>
      </c>
      <c r="W4049">
        <v>0</v>
      </c>
      <c r="X4049">
        <v>2</v>
      </c>
      <c r="Y4049">
        <v>0</v>
      </c>
      <c r="AA4049">
        <v>1</v>
      </c>
      <c r="AB4049">
        <v>8</v>
      </c>
      <c r="AC4049">
        <v>3</v>
      </c>
      <c r="AD4049">
        <v>0</v>
      </c>
      <c r="AE4049">
        <v>9</v>
      </c>
      <c r="AF4049" t="s">
        <v>138</v>
      </c>
      <c r="AG4049">
        <v>0</v>
      </c>
      <c r="AH4049">
        <v>3</v>
      </c>
      <c r="AI4049">
        <v>1</v>
      </c>
      <c r="AJ4049">
        <v>0</v>
      </c>
      <c r="AK4049" t="s">
        <v>1305</v>
      </c>
      <c r="AL4049">
        <v>32.732649000000002</v>
      </c>
      <c r="AM4049" t="s">
        <v>1306</v>
      </c>
      <c r="AN4049">
        <v>-116.678495</v>
      </c>
      <c r="AO4049">
        <v>25</v>
      </c>
      <c r="AP4049">
        <v>5000</v>
      </c>
      <c r="AQ4049" t="s">
        <v>129</v>
      </c>
      <c r="AR4049">
        <v>116</v>
      </c>
      <c r="AS4049">
        <v>56</v>
      </c>
      <c r="AT4049">
        <v>-128</v>
      </c>
      <c r="BB4049">
        <v>1200</v>
      </c>
      <c r="BC4049">
        <v>1</v>
      </c>
      <c r="BD4049" t="str">
        <f t="shared" si="1484"/>
        <v xml:space="preserve">N887QR  </v>
      </c>
      <c r="BE4049">
        <v>1</v>
      </c>
      <c r="BG4049">
        <v>0</v>
      </c>
      <c r="BH4049">
        <v>0</v>
      </c>
      <c r="BI4049">
        <v>0</v>
      </c>
      <c r="BJ4049">
        <v>4875</v>
      </c>
      <c r="BK4049">
        <v>-125</v>
      </c>
      <c r="BL4049" t="s">
        <v>163</v>
      </c>
      <c r="BM4049">
        <v>1</v>
      </c>
      <c r="BN4049">
        <v>1</v>
      </c>
      <c r="BO4049">
        <v>1</v>
      </c>
      <c r="BP4049">
        <v>0</v>
      </c>
      <c r="BS4049">
        <v>0</v>
      </c>
      <c r="BT4049">
        <v>0</v>
      </c>
      <c r="BU4049">
        <v>0</v>
      </c>
      <c r="CE4049" t="str">
        <f t="shared" si="1489"/>
        <v>19:36:26.166</v>
      </c>
      <c r="CF4049">
        <v>165513836</v>
      </c>
      <c r="CS4049">
        <v>0</v>
      </c>
      <c r="CT4049">
        <v>2</v>
      </c>
      <c r="CU4049">
        <v>0</v>
      </c>
      <c r="CV4049">
        <v>2</v>
      </c>
      <c r="CW4049">
        <v>0</v>
      </c>
      <c r="CX4049">
        <v>6</v>
      </c>
      <c r="CY4049">
        <v>7</v>
      </c>
      <c r="CZ4049" t="s">
        <v>131</v>
      </c>
      <c r="DA4049">
        <v>286</v>
      </c>
      <c r="DB4049">
        <v>0</v>
      </c>
      <c r="DC4049" t="s">
        <v>132</v>
      </c>
      <c r="DD4049" t="s">
        <v>133</v>
      </c>
      <c r="DG4049">
        <v>899897</v>
      </c>
      <c r="DI4049">
        <v>1</v>
      </c>
      <c r="DJ4049">
        <v>0</v>
      </c>
      <c r="DK4049">
        <v>0</v>
      </c>
      <c r="DL4049">
        <v>0</v>
      </c>
      <c r="DM4049">
        <v>0</v>
      </c>
      <c r="DN4049">
        <v>1</v>
      </c>
      <c r="DO4049">
        <v>0</v>
      </c>
      <c r="DP4049">
        <v>0</v>
      </c>
      <c r="DQ4049">
        <v>0</v>
      </c>
      <c r="DR4049">
        <v>0</v>
      </c>
      <c r="DS4049">
        <v>0</v>
      </c>
    </row>
    <row r="4050" spans="1:123" x14ac:dyDescent="0.3">
      <c r="A4050" t="str">
        <f t="shared" si="1487"/>
        <v>10/04/2022 19:36:26.527</v>
      </c>
      <c r="C4050" t="str">
        <f t="shared" si="1475"/>
        <v>FFDFD3C0</v>
      </c>
      <c r="D4050" t="s">
        <v>143</v>
      </c>
      <c r="E4050">
        <v>20</v>
      </c>
      <c r="F4050">
        <v>1020</v>
      </c>
      <c r="G4050" t="s">
        <v>144</v>
      </c>
      <c r="J4050" t="s">
        <v>145</v>
      </c>
      <c r="K4050">
        <v>0</v>
      </c>
      <c r="L4050">
        <v>3</v>
      </c>
      <c r="M4050">
        <v>0</v>
      </c>
      <c r="N4050">
        <v>2</v>
      </c>
      <c r="O4050">
        <v>0</v>
      </c>
      <c r="P4050">
        <v>1</v>
      </c>
      <c r="Q4050">
        <v>0</v>
      </c>
      <c r="S4050" t="str">
        <f t="shared" si="1488"/>
        <v>19:36:26.000</v>
      </c>
      <c r="T4050" t="str">
        <f t="shared" si="1488"/>
        <v>19:36:26.000</v>
      </c>
      <c r="U4050" t="str">
        <f t="shared" si="1483"/>
        <v>AC3944</v>
      </c>
      <c r="V4050">
        <v>0</v>
      </c>
      <c r="W4050">
        <v>0</v>
      </c>
      <c r="X4050">
        <v>2</v>
      </c>
      <c r="Y4050">
        <v>0</v>
      </c>
      <c r="AA4050">
        <v>1</v>
      </c>
      <c r="AB4050">
        <v>8</v>
      </c>
      <c r="AC4050">
        <v>3</v>
      </c>
      <c r="AD4050">
        <v>0</v>
      </c>
      <c r="AE4050">
        <v>9</v>
      </c>
      <c r="AF4050" t="s">
        <v>138</v>
      </c>
      <c r="AG4050">
        <v>0</v>
      </c>
      <c r="AH4050">
        <v>3</v>
      </c>
      <c r="AI4050">
        <v>1</v>
      </c>
      <c r="AJ4050">
        <v>0</v>
      </c>
      <c r="AK4050" t="s">
        <v>1305</v>
      </c>
      <c r="AL4050">
        <v>32.732649000000002</v>
      </c>
      <c r="AM4050" t="s">
        <v>1306</v>
      </c>
      <c r="AN4050">
        <v>-116.678495</v>
      </c>
      <c r="AO4050">
        <v>25</v>
      </c>
      <c r="AP4050">
        <v>5000</v>
      </c>
      <c r="AQ4050" t="s">
        <v>129</v>
      </c>
      <c r="AR4050">
        <v>116</v>
      </c>
      <c r="AS4050">
        <v>56</v>
      </c>
      <c r="AT4050">
        <v>-128</v>
      </c>
      <c r="BB4050">
        <v>1200</v>
      </c>
      <c r="BC4050">
        <v>1</v>
      </c>
      <c r="BD4050" t="str">
        <f t="shared" si="1484"/>
        <v xml:space="preserve">N887QR  </v>
      </c>
      <c r="BE4050">
        <v>1</v>
      </c>
      <c r="BG4050">
        <v>0</v>
      </c>
      <c r="BH4050">
        <v>0</v>
      </c>
      <c r="BI4050">
        <v>0</v>
      </c>
      <c r="BJ4050">
        <v>4875</v>
      </c>
      <c r="BK4050">
        <v>-125</v>
      </c>
      <c r="BL4050" t="s">
        <v>163</v>
      </c>
      <c r="BM4050">
        <v>1</v>
      </c>
      <c r="BN4050">
        <v>1</v>
      </c>
      <c r="BO4050">
        <v>1</v>
      </c>
      <c r="BP4050">
        <v>0</v>
      </c>
      <c r="BS4050">
        <v>0</v>
      </c>
      <c r="BT4050">
        <v>0</v>
      </c>
      <c r="BU4050">
        <v>0</v>
      </c>
      <c r="CE4050" t="str">
        <f t="shared" si="1489"/>
        <v>19:36:26.166</v>
      </c>
      <c r="CF4050">
        <v>165513836</v>
      </c>
      <c r="CS4050">
        <v>0</v>
      </c>
      <c r="CT4050">
        <v>2</v>
      </c>
      <c r="CU4050">
        <v>0</v>
      </c>
      <c r="CV4050">
        <v>2</v>
      </c>
      <c r="CW4050">
        <v>0</v>
      </c>
      <c r="CX4050">
        <v>6</v>
      </c>
      <c r="CY4050">
        <v>7</v>
      </c>
      <c r="CZ4050" t="s">
        <v>131</v>
      </c>
      <c r="DA4050">
        <v>286</v>
      </c>
      <c r="DB4050">
        <v>0</v>
      </c>
      <c r="DC4050" t="s">
        <v>132</v>
      </c>
      <c r="DD4050" t="s">
        <v>133</v>
      </c>
      <c r="DG4050">
        <v>899897</v>
      </c>
      <c r="DI4050">
        <v>1</v>
      </c>
      <c r="DJ4050">
        <v>0</v>
      </c>
      <c r="DK4050">
        <v>1</v>
      </c>
      <c r="DL4050">
        <v>0</v>
      </c>
      <c r="DM4050">
        <v>0</v>
      </c>
      <c r="DN4050">
        <v>1</v>
      </c>
      <c r="DO4050">
        <v>0</v>
      </c>
      <c r="DP4050">
        <v>0</v>
      </c>
      <c r="DQ4050">
        <v>0</v>
      </c>
      <c r="DR4050">
        <v>0</v>
      </c>
      <c r="DS4050">
        <v>0</v>
      </c>
    </row>
    <row r="4051" spans="1:123" x14ac:dyDescent="0.3">
      <c r="A4051" t="str">
        <f t="shared" ref="A4051:A4056" si="1490">"10/04/2022 19:36:27.620"</f>
        <v>10/04/2022 19:36:27.620</v>
      </c>
      <c r="C4051" t="str">
        <f t="shared" si="1475"/>
        <v>FFDFD3C0</v>
      </c>
      <c r="D4051" t="s">
        <v>143</v>
      </c>
      <c r="E4051">
        <v>20</v>
      </c>
      <c r="F4051">
        <v>1020</v>
      </c>
      <c r="G4051" t="s">
        <v>144</v>
      </c>
      <c r="J4051" t="s">
        <v>145</v>
      </c>
      <c r="K4051">
        <v>0</v>
      </c>
      <c r="L4051">
        <v>3</v>
      </c>
      <c r="M4051">
        <v>0</v>
      </c>
      <c r="N4051">
        <v>2</v>
      </c>
      <c r="O4051">
        <v>0</v>
      </c>
      <c r="P4051">
        <v>1</v>
      </c>
      <c r="Q4051">
        <v>0</v>
      </c>
      <c r="S4051" t="str">
        <f t="shared" ref="S4051:T4064" si="1491">"19:36:27.000"</f>
        <v>19:36:27.000</v>
      </c>
      <c r="T4051" t="str">
        <f t="shared" si="1491"/>
        <v>19:36:27.000</v>
      </c>
      <c r="U4051" t="str">
        <f t="shared" si="1483"/>
        <v>AC3944</v>
      </c>
      <c r="V4051">
        <v>0</v>
      </c>
      <c r="W4051">
        <v>0</v>
      </c>
      <c r="X4051">
        <v>2</v>
      </c>
      <c r="Y4051">
        <v>0</v>
      </c>
      <c r="AA4051">
        <v>1</v>
      </c>
      <c r="AB4051">
        <v>8</v>
      </c>
      <c r="AC4051">
        <v>3</v>
      </c>
      <c r="AD4051">
        <v>0</v>
      </c>
      <c r="AE4051">
        <v>9</v>
      </c>
      <c r="AF4051" t="s">
        <v>138</v>
      </c>
      <c r="AG4051">
        <v>0</v>
      </c>
      <c r="AH4051">
        <v>3</v>
      </c>
      <c r="AI4051">
        <v>1</v>
      </c>
      <c r="AJ4051">
        <v>0</v>
      </c>
      <c r="AK4051" t="s">
        <v>1307</v>
      </c>
      <c r="AL4051">
        <v>32.732906</v>
      </c>
      <c r="AM4051" t="s">
        <v>1308</v>
      </c>
      <c r="AN4051">
        <v>-116.677852</v>
      </c>
      <c r="AO4051">
        <v>25</v>
      </c>
      <c r="AP4051">
        <v>5000</v>
      </c>
      <c r="AQ4051" t="s">
        <v>129</v>
      </c>
      <c r="AR4051">
        <v>107</v>
      </c>
      <c r="AS4051">
        <v>75</v>
      </c>
      <c r="AT4051">
        <v>-128</v>
      </c>
      <c r="BB4051">
        <v>1200</v>
      </c>
      <c r="BC4051">
        <v>1</v>
      </c>
      <c r="BD4051" t="str">
        <f t="shared" si="1484"/>
        <v xml:space="preserve">N887QR  </v>
      </c>
      <c r="BE4051">
        <v>1</v>
      </c>
      <c r="BG4051">
        <v>0</v>
      </c>
      <c r="BH4051">
        <v>0</v>
      </c>
      <c r="BI4051">
        <v>0</v>
      </c>
      <c r="BJ4051">
        <v>4875</v>
      </c>
      <c r="BK4051">
        <v>-125</v>
      </c>
      <c r="BL4051" t="s">
        <v>163</v>
      </c>
      <c r="BM4051">
        <v>1</v>
      </c>
      <c r="BN4051">
        <v>1</v>
      </c>
      <c r="BO4051">
        <v>1</v>
      </c>
      <c r="BP4051">
        <v>0</v>
      </c>
      <c r="BS4051">
        <v>0</v>
      </c>
      <c r="BT4051">
        <v>0</v>
      </c>
      <c r="BU4051">
        <v>0</v>
      </c>
      <c r="CE4051" t="str">
        <f t="shared" ref="CE4051:CE4057" si="1492">"19:36:27.404"</f>
        <v>19:36:27.404</v>
      </c>
      <c r="CF4051">
        <v>403518083</v>
      </c>
      <c r="CS4051">
        <v>0</v>
      </c>
      <c r="CT4051">
        <v>2</v>
      </c>
      <c r="CU4051">
        <v>0</v>
      </c>
      <c r="CV4051">
        <v>2</v>
      </c>
      <c r="CW4051">
        <v>0</v>
      </c>
      <c r="CX4051">
        <v>5</v>
      </c>
      <c r="CY4051">
        <v>7</v>
      </c>
      <c r="CZ4051" t="s">
        <v>131</v>
      </c>
      <c r="DA4051">
        <v>286</v>
      </c>
      <c r="DB4051">
        <v>0</v>
      </c>
      <c r="DC4051" t="s">
        <v>132</v>
      </c>
      <c r="DD4051" t="s">
        <v>133</v>
      </c>
      <c r="DG4051">
        <v>900143</v>
      </c>
      <c r="DI4051">
        <v>1</v>
      </c>
      <c r="DJ4051">
        <v>0</v>
      </c>
      <c r="DK4051">
        <v>0</v>
      </c>
      <c r="DL4051">
        <v>0</v>
      </c>
      <c r="DM4051">
        <v>0</v>
      </c>
      <c r="DN4051">
        <v>1</v>
      </c>
      <c r="DO4051">
        <v>0</v>
      </c>
      <c r="DP4051">
        <v>0</v>
      </c>
      <c r="DQ4051">
        <v>0</v>
      </c>
      <c r="DR4051">
        <v>0</v>
      </c>
      <c r="DS4051">
        <v>0</v>
      </c>
    </row>
    <row r="4052" spans="1:123" x14ac:dyDescent="0.3">
      <c r="A4052" t="str">
        <f t="shared" si="1490"/>
        <v>10/04/2022 19:36:27.620</v>
      </c>
      <c r="C4052" t="str">
        <f t="shared" si="1475"/>
        <v>FFDFD3C0</v>
      </c>
      <c r="D4052" t="s">
        <v>123</v>
      </c>
      <c r="E4052">
        <v>7</v>
      </c>
      <c r="F4052">
        <v>2007</v>
      </c>
      <c r="G4052" t="s">
        <v>124</v>
      </c>
      <c r="J4052" t="s">
        <v>125</v>
      </c>
      <c r="K4052">
        <v>0</v>
      </c>
      <c r="L4052">
        <v>3</v>
      </c>
      <c r="M4052">
        <v>0</v>
      </c>
      <c r="N4052">
        <v>2</v>
      </c>
      <c r="O4052">
        <v>0</v>
      </c>
      <c r="P4052">
        <v>1</v>
      </c>
      <c r="Q4052">
        <v>0</v>
      </c>
      <c r="S4052" t="str">
        <f t="shared" si="1491"/>
        <v>19:36:27.000</v>
      </c>
      <c r="T4052" t="str">
        <f t="shared" si="1491"/>
        <v>19:36:27.000</v>
      </c>
      <c r="U4052" t="str">
        <f t="shared" si="1483"/>
        <v>AC3944</v>
      </c>
      <c r="V4052">
        <v>0</v>
      </c>
      <c r="W4052">
        <v>0</v>
      </c>
      <c r="X4052">
        <v>2</v>
      </c>
      <c r="Y4052">
        <v>0</v>
      </c>
      <c r="AA4052">
        <v>1</v>
      </c>
      <c r="AB4052">
        <v>8</v>
      </c>
      <c r="AC4052">
        <v>3</v>
      </c>
      <c r="AD4052">
        <v>0</v>
      </c>
      <c r="AE4052">
        <v>9</v>
      </c>
      <c r="AF4052" t="s">
        <v>138</v>
      </c>
      <c r="AG4052">
        <v>0</v>
      </c>
      <c r="AH4052">
        <v>3</v>
      </c>
      <c r="AI4052">
        <v>1</v>
      </c>
      <c r="AJ4052">
        <v>0</v>
      </c>
      <c r="AK4052" t="s">
        <v>1307</v>
      </c>
      <c r="AL4052">
        <v>32.732906</v>
      </c>
      <c r="AM4052" t="s">
        <v>1308</v>
      </c>
      <c r="AN4052">
        <v>-116.677852</v>
      </c>
      <c r="AO4052">
        <v>25</v>
      </c>
      <c r="AP4052">
        <v>5000</v>
      </c>
      <c r="AQ4052" t="s">
        <v>129</v>
      </c>
      <c r="AR4052">
        <v>107</v>
      </c>
      <c r="AS4052">
        <v>75</v>
      </c>
      <c r="AT4052">
        <v>-128</v>
      </c>
      <c r="BB4052">
        <v>1200</v>
      </c>
      <c r="BC4052">
        <v>1</v>
      </c>
      <c r="BD4052" t="str">
        <f t="shared" si="1484"/>
        <v xml:space="preserve">N887QR  </v>
      </c>
      <c r="BE4052">
        <v>1</v>
      </c>
      <c r="BG4052">
        <v>0</v>
      </c>
      <c r="BH4052">
        <v>0</v>
      </c>
      <c r="BI4052">
        <v>0</v>
      </c>
      <c r="BJ4052">
        <v>4875</v>
      </c>
      <c r="BK4052">
        <v>-125</v>
      </c>
      <c r="BL4052" t="s">
        <v>163</v>
      </c>
      <c r="BM4052">
        <v>1</v>
      </c>
      <c r="BN4052">
        <v>1</v>
      </c>
      <c r="BO4052">
        <v>1</v>
      </c>
      <c r="BP4052">
        <v>0</v>
      </c>
      <c r="BS4052">
        <v>0</v>
      </c>
      <c r="BT4052">
        <v>0</v>
      </c>
      <c r="BU4052">
        <v>0</v>
      </c>
      <c r="CE4052" t="str">
        <f t="shared" si="1492"/>
        <v>19:36:27.404</v>
      </c>
      <c r="CF4052">
        <v>403518083</v>
      </c>
      <c r="CS4052">
        <v>0</v>
      </c>
      <c r="CT4052">
        <v>2</v>
      </c>
      <c r="CU4052">
        <v>0</v>
      </c>
      <c r="CV4052">
        <v>2</v>
      </c>
      <c r="CW4052">
        <v>0</v>
      </c>
      <c r="CX4052">
        <v>5</v>
      </c>
      <c r="CY4052">
        <v>7</v>
      </c>
      <c r="CZ4052" t="s">
        <v>131</v>
      </c>
      <c r="DA4052">
        <v>286</v>
      </c>
      <c r="DB4052">
        <v>0</v>
      </c>
      <c r="DC4052" t="s">
        <v>132</v>
      </c>
      <c r="DD4052" t="s">
        <v>133</v>
      </c>
      <c r="DG4052">
        <v>900143</v>
      </c>
      <c r="DI4052">
        <v>1</v>
      </c>
      <c r="DJ4052">
        <v>0</v>
      </c>
      <c r="DK4052">
        <v>1</v>
      </c>
      <c r="DL4052">
        <v>0</v>
      </c>
      <c r="DM4052">
        <v>0</v>
      </c>
      <c r="DN4052">
        <v>1</v>
      </c>
      <c r="DO4052">
        <v>0</v>
      </c>
      <c r="DP4052">
        <v>0</v>
      </c>
      <c r="DQ4052">
        <v>0</v>
      </c>
      <c r="DR4052">
        <v>0</v>
      </c>
      <c r="DS4052">
        <v>0</v>
      </c>
    </row>
    <row r="4053" spans="1:123" x14ac:dyDescent="0.3">
      <c r="A4053" t="str">
        <f t="shared" si="1490"/>
        <v>10/04/2022 19:36:27.620</v>
      </c>
      <c r="C4053" t="str">
        <f t="shared" si="1475"/>
        <v>FFDFD3C0</v>
      </c>
      <c r="D4053" t="s">
        <v>141</v>
      </c>
      <c r="E4053">
        <v>3</v>
      </c>
      <c r="H4053">
        <v>3</v>
      </c>
      <c r="I4053" t="s">
        <v>146</v>
      </c>
      <c r="J4053" t="s">
        <v>138</v>
      </c>
      <c r="K4053">
        <v>0</v>
      </c>
      <c r="L4053">
        <v>3</v>
      </c>
      <c r="M4053">
        <v>0</v>
      </c>
      <c r="N4053">
        <v>2</v>
      </c>
      <c r="O4053">
        <v>0</v>
      </c>
      <c r="P4053">
        <v>1</v>
      </c>
      <c r="Q4053">
        <v>0</v>
      </c>
      <c r="S4053" t="str">
        <f t="shared" si="1491"/>
        <v>19:36:27.000</v>
      </c>
      <c r="T4053" t="str">
        <f t="shared" si="1491"/>
        <v>19:36:27.000</v>
      </c>
      <c r="U4053" t="str">
        <f t="shared" si="1483"/>
        <v>AC3944</v>
      </c>
      <c r="V4053">
        <v>0</v>
      </c>
      <c r="W4053">
        <v>0</v>
      </c>
      <c r="X4053">
        <v>2</v>
      </c>
      <c r="Y4053">
        <v>0</v>
      </c>
      <c r="AA4053">
        <v>1</v>
      </c>
      <c r="AB4053">
        <v>8</v>
      </c>
      <c r="AC4053">
        <v>3</v>
      </c>
      <c r="AD4053">
        <v>0</v>
      </c>
      <c r="AE4053">
        <v>9</v>
      </c>
      <c r="AF4053" t="s">
        <v>138</v>
      </c>
      <c r="AG4053">
        <v>0</v>
      </c>
      <c r="AH4053">
        <v>3</v>
      </c>
      <c r="AI4053">
        <v>1</v>
      </c>
      <c r="AJ4053">
        <v>0</v>
      </c>
      <c r="AK4053" t="s">
        <v>1307</v>
      </c>
      <c r="AL4053">
        <v>32.732906</v>
      </c>
      <c r="AM4053" t="s">
        <v>1308</v>
      </c>
      <c r="AN4053">
        <v>-116.677852</v>
      </c>
      <c r="AO4053">
        <v>25</v>
      </c>
      <c r="AP4053">
        <v>5000</v>
      </c>
      <c r="AQ4053" t="s">
        <v>129</v>
      </c>
      <c r="AR4053">
        <v>107</v>
      </c>
      <c r="AS4053">
        <v>75</v>
      </c>
      <c r="AT4053">
        <v>-128</v>
      </c>
      <c r="BB4053">
        <v>1200</v>
      </c>
      <c r="BC4053">
        <v>1</v>
      </c>
      <c r="BD4053" t="str">
        <f t="shared" si="1484"/>
        <v xml:space="preserve">N887QR  </v>
      </c>
      <c r="BE4053">
        <v>1</v>
      </c>
      <c r="BG4053">
        <v>0</v>
      </c>
      <c r="BH4053">
        <v>0</v>
      </c>
      <c r="BI4053">
        <v>0</v>
      </c>
      <c r="BJ4053">
        <v>4875</v>
      </c>
      <c r="BK4053">
        <v>-125</v>
      </c>
      <c r="BL4053" t="s">
        <v>163</v>
      </c>
      <c r="BM4053">
        <v>1</v>
      </c>
      <c r="BN4053">
        <v>1</v>
      </c>
      <c r="BO4053">
        <v>1</v>
      </c>
      <c r="BP4053">
        <v>0</v>
      </c>
      <c r="BS4053">
        <v>0</v>
      </c>
      <c r="BT4053">
        <v>0</v>
      </c>
      <c r="BU4053">
        <v>0</v>
      </c>
      <c r="CE4053" t="str">
        <f t="shared" si="1492"/>
        <v>19:36:27.404</v>
      </c>
      <c r="CF4053">
        <v>403518083</v>
      </c>
      <c r="CS4053">
        <v>0</v>
      </c>
      <c r="CT4053">
        <v>2</v>
      </c>
      <c r="CU4053">
        <v>0</v>
      </c>
      <c r="CV4053">
        <v>2</v>
      </c>
      <c r="CW4053">
        <v>0</v>
      </c>
      <c r="CX4053">
        <v>5</v>
      </c>
      <c r="CY4053">
        <v>7</v>
      </c>
      <c r="CZ4053" t="s">
        <v>131</v>
      </c>
      <c r="DA4053">
        <v>286</v>
      </c>
      <c r="DB4053">
        <v>0</v>
      </c>
      <c r="DC4053" t="s">
        <v>132</v>
      </c>
      <c r="DD4053" t="s">
        <v>133</v>
      </c>
      <c r="DG4053">
        <v>900143</v>
      </c>
      <c r="DI4053">
        <v>1</v>
      </c>
      <c r="DJ4053">
        <v>0</v>
      </c>
      <c r="DK4053">
        <v>1</v>
      </c>
      <c r="DL4053">
        <v>0</v>
      </c>
      <c r="DM4053">
        <v>0</v>
      </c>
      <c r="DN4053">
        <v>1</v>
      </c>
      <c r="DO4053">
        <v>0</v>
      </c>
      <c r="DP4053">
        <v>0</v>
      </c>
      <c r="DQ4053">
        <v>0</v>
      </c>
      <c r="DR4053">
        <v>0</v>
      </c>
      <c r="DS4053">
        <v>0</v>
      </c>
    </row>
    <row r="4054" spans="1:123" x14ac:dyDescent="0.3">
      <c r="A4054" t="str">
        <f t="shared" si="1490"/>
        <v>10/04/2022 19:36:27.620</v>
      </c>
      <c r="C4054" t="str">
        <f t="shared" si="1475"/>
        <v>FFDFD3C0</v>
      </c>
      <c r="D4054" t="s">
        <v>134</v>
      </c>
      <c r="E4054">
        <v>15</v>
      </c>
      <c r="J4054" t="s">
        <v>135</v>
      </c>
      <c r="K4054">
        <v>0</v>
      </c>
      <c r="L4054">
        <v>3</v>
      </c>
      <c r="M4054">
        <v>0</v>
      </c>
      <c r="N4054">
        <v>2</v>
      </c>
      <c r="O4054">
        <v>0</v>
      </c>
      <c r="P4054">
        <v>1</v>
      </c>
      <c r="Q4054">
        <v>0</v>
      </c>
      <c r="S4054" t="str">
        <f t="shared" si="1491"/>
        <v>19:36:27.000</v>
      </c>
      <c r="T4054" t="str">
        <f t="shared" si="1491"/>
        <v>19:36:27.000</v>
      </c>
      <c r="U4054" t="str">
        <f t="shared" si="1483"/>
        <v>AC3944</v>
      </c>
      <c r="V4054">
        <v>0</v>
      </c>
      <c r="W4054">
        <v>0</v>
      </c>
      <c r="X4054">
        <v>2</v>
      </c>
      <c r="Y4054">
        <v>0</v>
      </c>
      <c r="AA4054">
        <v>1</v>
      </c>
      <c r="AB4054">
        <v>8</v>
      </c>
      <c r="AC4054">
        <v>3</v>
      </c>
      <c r="AD4054">
        <v>0</v>
      </c>
      <c r="AE4054">
        <v>9</v>
      </c>
      <c r="AF4054" t="s">
        <v>138</v>
      </c>
      <c r="AG4054">
        <v>0</v>
      </c>
      <c r="AH4054">
        <v>3</v>
      </c>
      <c r="AI4054">
        <v>1</v>
      </c>
      <c r="AJ4054">
        <v>0</v>
      </c>
      <c r="AK4054" t="s">
        <v>1307</v>
      </c>
      <c r="AL4054">
        <v>32.732906</v>
      </c>
      <c r="AM4054" t="s">
        <v>1308</v>
      </c>
      <c r="AN4054">
        <v>-116.677852</v>
      </c>
      <c r="AO4054">
        <v>25</v>
      </c>
      <c r="AP4054">
        <v>5000</v>
      </c>
      <c r="AQ4054" t="s">
        <v>129</v>
      </c>
      <c r="AR4054">
        <v>107</v>
      </c>
      <c r="AS4054">
        <v>75</v>
      </c>
      <c r="AT4054">
        <v>-128</v>
      </c>
      <c r="BB4054">
        <v>1200</v>
      </c>
      <c r="BC4054">
        <v>1</v>
      </c>
      <c r="BD4054" t="str">
        <f t="shared" si="1484"/>
        <v xml:space="preserve">N887QR  </v>
      </c>
      <c r="BE4054">
        <v>1</v>
      </c>
      <c r="BG4054">
        <v>0</v>
      </c>
      <c r="BH4054">
        <v>0</v>
      </c>
      <c r="BI4054">
        <v>0</v>
      </c>
      <c r="BJ4054">
        <v>4875</v>
      </c>
      <c r="BK4054">
        <v>-125</v>
      </c>
      <c r="BL4054" t="s">
        <v>163</v>
      </c>
      <c r="BM4054">
        <v>1</v>
      </c>
      <c r="BN4054">
        <v>1</v>
      </c>
      <c r="BO4054">
        <v>1</v>
      </c>
      <c r="BP4054">
        <v>0</v>
      </c>
      <c r="BS4054">
        <v>0</v>
      </c>
      <c r="BT4054">
        <v>0</v>
      </c>
      <c r="BU4054">
        <v>0</v>
      </c>
      <c r="CE4054" t="str">
        <f t="shared" si="1492"/>
        <v>19:36:27.404</v>
      </c>
      <c r="CF4054">
        <v>403518083</v>
      </c>
      <c r="CS4054">
        <v>0</v>
      </c>
      <c r="CT4054">
        <v>2</v>
      </c>
      <c r="CU4054">
        <v>0</v>
      </c>
      <c r="CV4054">
        <v>2</v>
      </c>
      <c r="CW4054">
        <v>0</v>
      </c>
      <c r="CX4054">
        <v>5</v>
      </c>
      <c r="CY4054">
        <v>7</v>
      </c>
      <c r="CZ4054" t="s">
        <v>131</v>
      </c>
      <c r="DA4054">
        <v>286</v>
      </c>
      <c r="DB4054">
        <v>0</v>
      </c>
      <c r="DC4054" t="s">
        <v>132</v>
      </c>
      <c r="DD4054" t="s">
        <v>133</v>
      </c>
      <c r="DG4054">
        <v>900143</v>
      </c>
      <c r="DI4054">
        <v>1</v>
      </c>
      <c r="DJ4054">
        <v>0</v>
      </c>
      <c r="DK4054">
        <v>1</v>
      </c>
      <c r="DL4054">
        <v>0</v>
      </c>
      <c r="DM4054">
        <v>0</v>
      </c>
      <c r="DN4054">
        <v>1</v>
      </c>
      <c r="DO4054">
        <v>0</v>
      </c>
      <c r="DP4054">
        <v>0</v>
      </c>
      <c r="DQ4054">
        <v>0</v>
      </c>
      <c r="DR4054">
        <v>0</v>
      </c>
      <c r="DS4054">
        <v>0</v>
      </c>
    </row>
    <row r="4055" spans="1:123" x14ac:dyDescent="0.3">
      <c r="A4055" t="str">
        <f t="shared" si="1490"/>
        <v>10/04/2022 19:36:27.620</v>
      </c>
      <c r="C4055" t="str">
        <f t="shared" si="1475"/>
        <v>FFDFD3C0</v>
      </c>
      <c r="D4055" t="s">
        <v>141</v>
      </c>
      <c r="E4055">
        <v>4</v>
      </c>
      <c r="H4055">
        <v>4</v>
      </c>
      <c r="I4055" t="s">
        <v>142</v>
      </c>
      <c r="J4055" t="s">
        <v>138</v>
      </c>
      <c r="K4055">
        <v>0</v>
      </c>
      <c r="L4055">
        <v>3</v>
      </c>
      <c r="M4055">
        <v>0</v>
      </c>
      <c r="N4055">
        <v>2</v>
      </c>
      <c r="O4055">
        <v>0</v>
      </c>
      <c r="P4055">
        <v>1</v>
      </c>
      <c r="Q4055">
        <v>0</v>
      </c>
      <c r="S4055" t="str">
        <f t="shared" si="1491"/>
        <v>19:36:27.000</v>
      </c>
      <c r="T4055" t="str">
        <f t="shared" si="1491"/>
        <v>19:36:27.000</v>
      </c>
      <c r="U4055" t="str">
        <f t="shared" si="1483"/>
        <v>AC3944</v>
      </c>
      <c r="V4055">
        <v>0</v>
      </c>
      <c r="W4055">
        <v>0</v>
      </c>
      <c r="X4055">
        <v>2</v>
      </c>
      <c r="Y4055">
        <v>0</v>
      </c>
      <c r="AA4055">
        <v>1</v>
      </c>
      <c r="AB4055">
        <v>8</v>
      </c>
      <c r="AC4055">
        <v>3</v>
      </c>
      <c r="AD4055">
        <v>0</v>
      </c>
      <c r="AE4055">
        <v>9</v>
      </c>
      <c r="AF4055" t="s">
        <v>138</v>
      </c>
      <c r="AG4055">
        <v>0</v>
      </c>
      <c r="AH4055">
        <v>3</v>
      </c>
      <c r="AI4055">
        <v>1</v>
      </c>
      <c r="AJ4055">
        <v>0</v>
      </c>
      <c r="AK4055" t="s">
        <v>1307</v>
      </c>
      <c r="AL4055">
        <v>32.732906</v>
      </c>
      <c r="AM4055" t="s">
        <v>1308</v>
      </c>
      <c r="AN4055">
        <v>-116.677852</v>
      </c>
      <c r="AO4055">
        <v>25</v>
      </c>
      <c r="AP4055">
        <v>5000</v>
      </c>
      <c r="AQ4055" t="s">
        <v>129</v>
      </c>
      <c r="AR4055">
        <v>107</v>
      </c>
      <c r="AS4055">
        <v>75</v>
      </c>
      <c r="AT4055">
        <v>-128</v>
      </c>
      <c r="BB4055">
        <v>1200</v>
      </c>
      <c r="BC4055">
        <v>1</v>
      </c>
      <c r="BD4055" t="str">
        <f t="shared" si="1484"/>
        <v xml:space="preserve">N887QR  </v>
      </c>
      <c r="BE4055">
        <v>1</v>
      </c>
      <c r="BG4055">
        <v>0</v>
      </c>
      <c r="BH4055">
        <v>0</v>
      </c>
      <c r="BI4055">
        <v>0</v>
      </c>
      <c r="BJ4055">
        <v>4875</v>
      </c>
      <c r="BK4055">
        <v>-125</v>
      </c>
      <c r="BL4055" t="s">
        <v>163</v>
      </c>
      <c r="BM4055">
        <v>1</v>
      </c>
      <c r="BN4055">
        <v>1</v>
      </c>
      <c r="BO4055">
        <v>1</v>
      </c>
      <c r="BP4055">
        <v>0</v>
      </c>
      <c r="BS4055">
        <v>0</v>
      </c>
      <c r="BT4055">
        <v>0</v>
      </c>
      <c r="BU4055">
        <v>0</v>
      </c>
      <c r="CE4055" t="str">
        <f t="shared" si="1492"/>
        <v>19:36:27.404</v>
      </c>
      <c r="CF4055">
        <v>403518083</v>
      </c>
      <c r="CS4055">
        <v>0</v>
      </c>
      <c r="CT4055">
        <v>2</v>
      </c>
      <c r="CU4055">
        <v>0</v>
      </c>
      <c r="CV4055">
        <v>2</v>
      </c>
      <c r="CW4055">
        <v>0</v>
      </c>
      <c r="CX4055">
        <v>5</v>
      </c>
      <c r="CY4055">
        <v>7</v>
      </c>
      <c r="CZ4055" t="s">
        <v>131</v>
      </c>
      <c r="DA4055">
        <v>286</v>
      </c>
      <c r="DB4055">
        <v>0</v>
      </c>
      <c r="DC4055" t="s">
        <v>132</v>
      </c>
      <c r="DD4055" t="s">
        <v>133</v>
      </c>
      <c r="DG4055">
        <v>900143</v>
      </c>
      <c r="DI4055">
        <v>1</v>
      </c>
      <c r="DJ4055">
        <v>0</v>
      </c>
      <c r="DK4055">
        <v>1</v>
      </c>
      <c r="DL4055">
        <v>0</v>
      </c>
      <c r="DM4055">
        <v>0</v>
      </c>
      <c r="DN4055">
        <v>1</v>
      </c>
      <c r="DO4055">
        <v>0</v>
      </c>
      <c r="DP4055">
        <v>0</v>
      </c>
      <c r="DQ4055">
        <v>0</v>
      </c>
      <c r="DR4055">
        <v>0</v>
      </c>
      <c r="DS4055">
        <v>0</v>
      </c>
    </row>
    <row r="4056" spans="1:123" x14ac:dyDescent="0.3">
      <c r="A4056" t="str">
        <f t="shared" si="1490"/>
        <v>10/04/2022 19:36:27.620</v>
      </c>
      <c r="C4056" t="str">
        <f t="shared" si="1475"/>
        <v>FFDFD3C0</v>
      </c>
      <c r="D4056" t="s">
        <v>136</v>
      </c>
      <c r="E4056">
        <v>8</v>
      </c>
      <c r="H4056">
        <v>225</v>
      </c>
      <c r="I4056" t="s">
        <v>137</v>
      </c>
      <c r="J4056" t="s">
        <v>138</v>
      </c>
      <c r="K4056">
        <v>0</v>
      </c>
      <c r="L4056">
        <v>3</v>
      </c>
      <c r="M4056">
        <v>0</v>
      </c>
      <c r="N4056">
        <v>2</v>
      </c>
      <c r="O4056">
        <v>0</v>
      </c>
      <c r="P4056">
        <v>1</v>
      </c>
      <c r="Q4056">
        <v>0</v>
      </c>
      <c r="S4056" t="str">
        <f t="shared" si="1491"/>
        <v>19:36:27.000</v>
      </c>
      <c r="T4056" t="str">
        <f t="shared" si="1491"/>
        <v>19:36:27.000</v>
      </c>
      <c r="U4056" t="str">
        <f t="shared" si="1483"/>
        <v>AC3944</v>
      </c>
      <c r="V4056">
        <v>0</v>
      </c>
      <c r="W4056">
        <v>0</v>
      </c>
      <c r="X4056">
        <v>2</v>
      </c>
      <c r="Y4056">
        <v>0</v>
      </c>
      <c r="AA4056">
        <v>1</v>
      </c>
      <c r="AB4056">
        <v>8</v>
      </c>
      <c r="AC4056">
        <v>3</v>
      </c>
      <c r="AD4056">
        <v>0</v>
      </c>
      <c r="AE4056">
        <v>9</v>
      </c>
      <c r="AF4056" t="s">
        <v>138</v>
      </c>
      <c r="AG4056">
        <v>0</v>
      </c>
      <c r="AH4056">
        <v>3</v>
      </c>
      <c r="AI4056">
        <v>1</v>
      </c>
      <c r="AJ4056">
        <v>0</v>
      </c>
      <c r="AK4056" t="s">
        <v>1307</v>
      </c>
      <c r="AL4056">
        <v>32.732906</v>
      </c>
      <c r="AM4056" t="s">
        <v>1308</v>
      </c>
      <c r="AN4056">
        <v>-116.677852</v>
      </c>
      <c r="AO4056">
        <v>25</v>
      </c>
      <c r="AP4056">
        <v>5000</v>
      </c>
      <c r="AQ4056" t="s">
        <v>129</v>
      </c>
      <c r="AR4056">
        <v>107</v>
      </c>
      <c r="AS4056">
        <v>75</v>
      </c>
      <c r="AT4056">
        <v>-128</v>
      </c>
      <c r="BB4056">
        <v>1200</v>
      </c>
      <c r="BC4056">
        <v>1</v>
      </c>
      <c r="BD4056" t="str">
        <f t="shared" si="1484"/>
        <v xml:space="preserve">N887QR  </v>
      </c>
      <c r="BE4056">
        <v>1</v>
      </c>
      <c r="BG4056">
        <v>0</v>
      </c>
      <c r="BH4056">
        <v>0</v>
      </c>
      <c r="BI4056">
        <v>0</v>
      </c>
      <c r="BJ4056">
        <v>4875</v>
      </c>
      <c r="BK4056">
        <v>-125</v>
      </c>
      <c r="BL4056" t="s">
        <v>163</v>
      </c>
      <c r="BM4056">
        <v>1</v>
      </c>
      <c r="BN4056">
        <v>1</v>
      </c>
      <c r="BO4056">
        <v>1</v>
      </c>
      <c r="BP4056">
        <v>0</v>
      </c>
      <c r="BS4056">
        <v>0</v>
      </c>
      <c r="BT4056">
        <v>0</v>
      </c>
      <c r="BU4056">
        <v>0</v>
      </c>
      <c r="CE4056" t="str">
        <f t="shared" si="1492"/>
        <v>19:36:27.404</v>
      </c>
      <c r="CF4056">
        <v>403518083</v>
      </c>
      <c r="CS4056">
        <v>0</v>
      </c>
      <c r="CT4056">
        <v>2</v>
      </c>
      <c r="CU4056">
        <v>0</v>
      </c>
      <c r="CV4056">
        <v>2</v>
      </c>
      <c r="CW4056">
        <v>0</v>
      </c>
      <c r="CX4056">
        <v>5</v>
      </c>
      <c r="CY4056">
        <v>7</v>
      </c>
      <c r="CZ4056" t="s">
        <v>131</v>
      </c>
      <c r="DA4056">
        <v>286</v>
      </c>
      <c r="DB4056">
        <v>0</v>
      </c>
      <c r="DC4056" t="s">
        <v>132</v>
      </c>
      <c r="DD4056" t="s">
        <v>133</v>
      </c>
      <c r="DG4056">
        <v>900143</v>
      </c>
      <c r="DI4056">
        <v>1</v>
      </c>
      <c r="DJ4056">
        <v>0</v>
      </c>
      <c r="DK4056">
        <v>1</v>
      </c>
      <c r="DL4056">
        <v>0</v>
      </c>
      <c r="DM4056">
        <v>0</v>
      </c>
      <c r="DN4056">
        <v>1</v>
      </c>
      <c r="DO4056">
        <v>0</v>
      </c>
      <c r="DP4056">
        <v>0</v>
      </c>
      <c r="DQ4056">
        <v>0</v>
      </c>
      <c r="DR4056">
        <v>0</v>
      </c>
      <c r="DS4056">
        <v>0</v>
      </c>
    </row>
    <row r="4057" spans="1:123" x14ac:dyDescent="0.3">
      <c r="A4057" t="str">
        <f>"10/04/2022 19:36:27.682"</f>
        <v>10/04/2022 19:36:27.682</v>
      </c>
      <c r="C4057" t="str">
        <f t="shared" si="1475"/>
        <v>FFDFD3C0</v>
      </c>
      <c r="D4057" t="s">
        <v>147</v>
      </c>
      <c r="E4057">
        <v>3</v>
      </c>
      <c r="H4057">
        <v>166</v>
      </c>
      <c r="I4057" t="s">
        <v>144</v>
      </c>
      <c r="J4057" t="s">
        <v>148</v>
      </c>
      <c r="K4057">
        <v>0</v>
      </c>
      <c r="L4057">
        <v>3</v>
      </c>
      <c r="M4057">
        <v>0</v>
      </c>
      <c r="N4057">
        <v>2</v>
      </c>
      <c r="O4057">
        <v>0</v>
      </c>
      <c r="P4057">
        <v>1</v>
      </c>
      <c r="Q4057">
        <v>0</v>
      </c>
      <c r="S4057" t="str">
        <f t="shared" si="1491"/>
        <v>19:36:27.000</v>
      </c>
      <c r="T4057" t="str">
        <f t="shared" si="1491"/>
        <v>19:36:27.000</v>
      </c>
      <c r="U4057" t="str">
        <f t="shared" si="1483"/>
        <v>AC3944</v>
      </c>
      <c r="V4057">
        <v>0</v>
      </c>
      <c r="W4057">
        <v>0</v>
      </c>
      <c r="X4057">
        <v>2</v>
      </c>
      <c r="Y4057">
        <v>0</v>
      </c>
      <c r="AA4057">
        <v>1</v>
      </c>
      <c r="AB4057">
        <v>8</v>
      </c>
      <c r="AC4057">
        <v>3</v>
      </c>
      <c r="AD4057">
        <v>0</v>
      </c>
      <c r="AE4057">
        <v>9</v>
      </c>
      <c r="AF4057" t="s">
        <v>138</v>
      </c>
      <c r="AG4057">
        <v>0</v>
      </c>
      <c r="AH4057">
        <v>3</v>
      </c>
      <c r="AI4057">
        <v>1</v>
      </c>
      <c r="AJ4057">
        <v>0</v>
      </c>
      <c r="AK4057" t="s">
        <v>1307</v>
      </c>
      <c r="AL4057">
        <v>32.732906</v>
      </c>
      <c r="AM4057" t="s">
        <v>1308</v>
      </c>
      <c r="AN4057">
        <v>-116.677852</v>
      </c>
      <c r="AO4057">
        <v>25</v>
      </c>
      <c r="AP4057">
        <v>5000</v>
      </c>
      <c r="AQ4057" t="s">
        <v>129</v>
      </c>
      <c r="AR4057">
        <v>107</v>
      </c>
      <c r="AS4057">
        <v>75</v>
      </c>
      <c r="AT4057">
        <v>-128</v>
      </c>
      <c r="BB4057">
        <v>1200</v>
      </c>
      <c r="BC4057">
        <v>1</v>
      </c>
      <c r="BD4057" t="str">
        <f t="shared" si="1484"/>
        <v xml:space="preserve">N887QR  </v>
      </c>
      <c r="BE4057">
        <v>1</v>
      </c>
      <c r="BG4057">
        <v>0</v>
      </c>
      <c r="BH4057">
        <v>0</v>
      </c>
      <c r="BI4057">
        <v>0</v>
      </c>
      <c r="BJ4057">
        <v>4875</v>
      </c>
      <c r="BK4057">
        <v>-125</v>
      </c>
      <c r="BL4057" t="s">
        <v>163</v>
      </c>
      <c r="BM4057">
        <v>1</v>
      </c>
      <c r="BN4057">
        <v>1</v>
      </c>
      <c r="BO4057">
        <v>1</v>
      </c>
      <c r="BP4057">
        <v>0</v>
      </c>
      <c r="BS4057">
        <v>0</v>
      </c>
      <c r="BT4057">
        <v>0</v>
      </c>
      <c r="BU4057">
        <v>0</v>
      </c>
      <c r="CE4057" t="str">
        <f t="shared" si="1492"/>
        <v>19:36:27.404</v>
      </c>
      <c r="CF4057">
        <v>403518083</v>
      </c>
      <c r="CS4057">
        <v>0</v>
      </c>
      <c r="CT4057">
        <v>2</v>
      </c>
      <c r="CU4057">
        <v>0</v>
      </c>
      <c r="CV4057">
        <v>2</v>
      </c>
      <c r="CW4057">
        <v>0</v>
      </c>
      <c r="CX4057">
        <v>5</v>
      </c>
      <c r="CY4057">
        <v>7</v>
      </c>
      <c r="CZ4057" t="s">
        <v>131</v>
      </c>
      <c r="DA4057">
        <v>286</v>
      </c>
      <c r="DB4057">
        <v>0</v>
      </c>
      <c r="DC4057" t="s">
        <v>132</v>
      </c>
      <c r="DD4057" t="s">
        <v>133</v>
      </c>
      <c r="DG4057">
        <v>900143</v>
      </c>
      <c r="DI4057">
        <v>1</v>
      </c>
      <c r="DJ4057">
        <v>0</v>
      </c>
      <c r="DK4057">
        <v>1</v>
      </c>
      <c r="DL4057">
        <v>0</v>
      </c>
      <c r="DM4057">
        <v>0</v>
      </c>
      <c r="DN4057">
        <v>1</v>
      </c>
      <c r="DO4057">
        <v>0</v>
      </c>
      <c r="DP4057">
        <v>0</v>
      </c>
      <c r="DQ4057">
        <v>0</v>
      </c>
      <c r="DR4057">
        <v>0</v>
      </c>
      <c r="DS4057">
        <v>0</v>
      </c>
    </row>
    <row r="4058" spans="1:123" x14ac:dyDescent="0.3">
      <c r="A4058" t="str">
        <f>"10/04/2022 19:36:28.120"</f>
        <v>10/04/2022 19:36:28.120</v>
      </c>
      <c r="C4058" t="str">
        <f t="shared" si="1475"/>
        <v>FFDFD3C0</v>
      </c>
      <c r="D4058" t="s">
        <v>147</v>
      </c>
      <c r="E4058">
        <v>3</v>
      </c>
      <c r="H4058">
        <v>166</v>
      </c>
      <c r="I4058" t="s">
        <v>144</v>
      </c>
      <c r="J4058" t="s">
        <v>148</v>
      </c>
      <c r="K4058">
        <v>0</v>
      </c>
      <c r="L4058">
        <v>3</v>
      </c>
      <c r="M4058">
        <v>0</v>
      </c>
      <c r="N4058">
        <v>2</v>
      </c>
      <c r="O4058">
        <v>0</v>
      </c>
      <c r="P4058">
        <v>1</v>
      </c>
      <c r="Q4058">
        <v>0</v>
      </c>
      <c r="S4058" t="str">
        <f t="shared" si="1491"/>
        <v>19:36:27.000</v>
      </c>
      <c r="T4058" t="str">
        <f t="shared" si="1491"/>
        <v>19:36:27.000</v>
      </c>
      <c r="U4058" t="str">
        <f t="shared" si="1483"/>
        <v>AC3944</v>
      </c>
      <c r="V4058">
        <v>0</v>
      </c>
      <c r="W4058">
        <v>0</v>
      </c>
      <c r="X4058">
        <v>2</v>
      </c>
      <c r="Y4058">
        <v>0</v>
      </c>
      <c r="AA4058">
        <v>1</v>
      </c>
      <c r="AB4058">
        <v>8</v>
      </c>
      <c r="AC4058">
        <v>3</v>
      </c>
      <c r="AD4058">
        <v>0</v>
      </c>
      <c r="AE4058">
        <v>9</v>
      </c>
      <c r="AF4058" t="s">
        <v>138</v>
      </c>
      <c r="AG4058">
        <v>0</v>
      </c>
      <c r="AH4058">
        <v>3</v>
      </c>
      <c r="AI4058">
        <v>1</v>
      </c>
      <c r="AJ4058">
        <v>0</v>
      </c>
      <c r="AK4058" t="s">
        <v>1149</v>
      </c>
      <c r="AL4058">
        <v>32.733227999999997</v>
      </c>
      <c r="AM4058" t="s">
        <v>1309</v>
      </c>
      <c r="AN4058">
        <v>-116.677251</v>
      </c>
      <c r="AO4058">
        <v>25</v>
      </c>
      <c r="AP4058">
        <v>5000</v>
      </c>
      <c r="AQ4058" t="s">
        <v>129</v>
      </c>
      <c r="AR4058">
        <v>103</v>
      </c>
      <c r="AS4058">
        <v>81</v>
      </c>
      <c r="AT4058">
        <v>-128</v>
      </c>
      <c r="BB4058">
        <v>1200</v>
      </c>
      <c r="BC4058">
        <v>1</v>
      </c>
      <c r="BD4058" t="str">
        <f t="shared" si="1484"/>
        <v xml:space="preserve">N887QR  </v>
      </c>
      <c r="BE4058">
        <v>1</v>
      </c>
      <c r="BG4058">
        <v>0</v>
      </c>
      <c r="BH4058">
        <v>0</v>
      </c>
      <c r="BI4058">
        <v>0</v>
      </c>
      <c r="BJ4058">
        <v>4875</v>
      </c>
      <c r="BK4058">
        <v>-125</v>
      </c>
      <c r="BL4058" t="s">
        <v>163</v>
      </c>
      <c r="BM4058">
        <v>1</v>
      </c>
      <c r="BN4058">
        <v>1</v>
      </c>
      <c r="BO4058">
        <v>1</v>
      </c>
      <c r="BP4058">
        <v>0</v>
      </c>
      <c r="BS4058">
        <v>0</v>
      </c>
      <c r="BT4058">
        <v>0</v>
      </c>
      <c r="BU4058">
        <v>0</v>
      </c>
      <c r="CE4058" t="str">
        <f t="shared" ref="CE4058:CE4064" si="1493">"19:36:27.887"</f>
        <v>19:36:27.887</v>
      </c>
      <c r="CF4058">
        <v>887019717</v>
      </c>
      <c r="CS4058">
        <v>0</v>
      </c>
      <c r="CT4058">
        <v>2</v>
      </c>
      <c r="CU4058">
        <v>0</v>
      </c>
      <c r="CV4058">
        <v>2</v>
      </c>
      <c r="CW4058">
        <v>0</v>
      </c>
      <c r="CX4058">
        <v>5</v>
      </c>
      <c r="CY4058">
        <v>7</v>
      </c>
      <c r="CZ4058" t="s">
        <v>131</v>
      </c>
      <c r="DA4058">
        <v>286</v>
      </c>
      <c r="DB4058">
        <v>0</v>
      </c>
      <c r="DC4058" t="s">
        <v>132</v>
      </c>
      <c r="DD4058" t="s">
        <v>133</v>
      </c>
      <c r="DG4058">
        <v>900265</v>
      </c>
      <c r="DI4058">
        <v>1</v>
      </c>
      <c r="DJ4058">
        <v>0</v>
      </c>
      <c r="DK4058">
        <v>0</v>
      </c>
      <c r="DL4058">
        <v>0</v>
      </c>
      <c r="DM4058">
        <v>0</v>
      </c>
      <c r="DN4058">
        <v>1</v>
      </c>
      <c r="DO4058">
        <v>0</v>
      </c>
      <c r="DP4058">
        <v>0</v>
      </c>
      <c r="DQ4058">
        <v>0</v>
      </c>
      <c r="DR4058">
        <v>0</v>
      </c>
      <c r="DS4058">
        <v>0</v>
      </c>
    </row>
    <row r="4059" spans="1:123" x14ac:dyDescent="0.3">
      <c r="A4059" t="str">
        <f>"10/04/2022 19:36:28.120"</f>
        <v>10/04/2022 19:36:28.120</v>
      </c>
      <c r="C4059" t="str">
        <f t="shared" si="1475"/>
        <v>FFDFD3C0</v>
      </c>
      <c r="D4059" t="s">
        <v>143</v>
      </c>
      <c r="E4059">
        <v>20</v>
      </c>
      <c r="F4059">
        <v>1020</v>
      </c>
      <c r="G4059" t="s">
        <v>144</v>
      </c>
      <c r="J4059" t="s">
        <v>145</v>
      </c>
      <c r="K4059">
        <v>0</v>
      </c>
      <c r="L4059">
        <v>3</v>
      </c>
      <c r="M4059">
        <v>0</v>
      </c>
      <c r="N4059">
        <v>2</v>
      </c>
      <c r="O4059">
        <v>0</v>
      </c>
      <c r="P4059">
        <v>1</v>
      </c>
      <c r="Q4059">
        <v>0</v>
      </c>
      <c r="S4059" t="str">
        <f t="shared" si="1491"/>
        <v>19:36:27.000</v>
      </c>
      <c r="T4059" t="str">
        <f t="shared" si="1491"/>
        <v>19:36:27.000</v>
      </c>
      <c r="U4059" t="str">
        <f t="shared" si="1483"/>
        <v>AC3944</v>
      </c>
      <c r="V4059">
        <v>0</v>
      </c>
      <c r="W4059">
        <v>0</v>
      </c>
      <c r="X4059">
        <v>2</v>
      </c>
      <c r="Y4059">
        <v>0</v>
      </c>
      <c r="AA4059">
        <v>1</v>
      </c>
      <c r="AB4059">
        <v>8</v>
      </c>
      <c r="AC4059">
        <v>3</v>
      </c>
      <c r="AD4059">
        <v>0</v>
      </c>
      <c r="AE4059">
        <v>9</v>
      </c>
      <c r="AF4059" t="s">
        <v>138</v>
      </c>
      <c r="AG4059">
        <v>0</v>
      </c>
      <c r="AH4059">
        <v>3</v>
      </c>
      <c r="AI4059">
        <v>1</v>
      </c>
      <c r="AJ4059">
        <v>0</v>
      </c>
      <c r="AK4059" t="s">
        <v>1149</v>
      </c>
      <c r="AL4059">
        <v>32.733227999999997</v>
      </c>
      <c r="AM4059" t="s">
        <v>1309</v>
      </c>
      <c r="AN4059">
        <v>-116.677251</v>
      </c>
      <c r="AO4059">
        <v>25</v>
      </c>
      <c r="AP4059">
        <v>5000</v>
      </c>
      <c r="AQ4059" t="s">
        <v>129</v>
      </c>
      <c r="AR4059">
        <v>103</v>
      </c>
      <c r="AS4059">
        <v>81</v>
      </c>
      <c r="AT4059">
        <v>-128</v>
      </c>
      <c r="BB4059">
        <v>1200</v>
      </c>
      <c r="BC4059">
        <v>1</v>
      </c>
      <c r="BD4059" t="str">
        <f t="shared" si="1484"/>
        <v xml:space="preserve">N887QR  </v>
      </c>
      <c r="BE4059">
        <v>1</v>
      </c>
      <c r="BG4059">
        <v>0</v>
      </c>
      <c r="BH4059">
        <v>0</v>
      </c>
      <c r="BI4059">
        <v>0</v>
      </c>
      <c r="BJ4059">
        <v>4875</v>
      </c>
      <c r="BK4059">
        <v>-125</v>
      </c>
      <c r="BL4059" t="s">
        <v>163</v>
      </c>
      <c r="BM4059">
        <v>1</v>
      </c>
      <c r="BN4059">
        <v>1</v>
      </c>
      <c r="BO4059">
        <v>1</v>
      </c>
      <c r="BP4059">
        <v>0</v>
      </c>
      <c r="BS4059">
        <v>0</v>
      </c>
      <c r="BT4059">
        <v>0</v>
      </c>
      <c r="BU4059">
        <v>0</v>
      </c>
      <c r="CE4059" t="str">
        <f t="shared" si="1493"/>
        <v>19:36:27.887</v>
      </c>
      <c r="CF4059">
        <v>887019717</v>
      </c>
      <c r="CS4059">
        <v>0</v>
      </c>
      <c r="CT4059">
        <v>2</v>
      </c>
      <c r="CU4059">
        <v>0</v>
      </c>
      <c r="CV4059">
        <v>2</v>
      </c>
      <c r="CW4059">
        <v>0</v>
      </c>
      <c r="CX4059">
        <v>5</v>
      </c>
      <c r="CY4059">
        <v>7</v>
      </c>
      <c r="CZ4059" t="s">
        <v>131</v>
      </c>
      <c r="DA4059">
        <v>286</v>
      </c>
      <c r="DB4059">
        <v>0</v>
      </c>
      <c r="DC4059" t="s">
        <v>132</v>
      </c>
      <c r="DD4059" t="s">
        <v>133</v>
      </c>
      <c r="DG4059">
        <v>900265</v>
      </c>
      <c r="DI4059">
        <v>1</v>
      </c>
      <c r="DJ4059">
        <v>0</v>
      </c>
      <c r="DK4059">
        <v>1</v>
      </c>
      <c r="DL4059">
        <v>0</v>
      </c>
      <c r="DM4059">
        <v>0</v>
      </c>
      <c r="DN4059">
        <v>1</v>
      </c>
      <c r="DO4059">
        <v>0</v>
      </c>
      <c r="DP4059">
        <v>0</v>
      </c>
      <c r="DQ4059">
        <v>0</v>
      </c>
      <c r="DR4059">
        <v>0</v>
      </c>
      <c r="DS4059">
        <v>0</v>
      </c>
    </row>
    <row r="4060" spans="1:123" x14ac:dyDescent="0.3">
      <c r="A4060" t="str">
        <f>"10/04/2022 19:36:28.120"</f>
        <v>10/04/2022 19:36:28.120</v>
      </c>
      <c r="C4060" t="str">
        <f t="shared" si="1475"/>
        <v>FFDFD3C0</v>
      </c>
      <c r="D4060" t="s">
        <v>123</v>
      </c>
      <c r="E4060">
        <v>7</v>
      </c>
      <c r="F4060">
        <v>2007</v>
      </c>
      <c r="G4060" t="s">
        <v>124</v>
      </c>
      <c r="J4060" t="s">
        <v>125</v>
      </c>
      <c r="K4060">
        <v>0</v>
      </c>
      <c r="L4060">
        <v>3</v>
      </c>
      <c r="M4060">
        <v>0</v>
      </c>
      <c r="N4060">
        <v>2</v>
      </c>
      <c r="O4060">
        <v>0</v>
      </c>
      <c r="P4060">
        <v>1</v>
      </c>
      <c r="Q4060">
        <v>0</v>
      </c>
      <c r="S4060" t="str">
        <f t="shared" si="1491"/>
        <v>19:36:27.000</v>
      </c>
      <c r="T4060" t="str">
        <f t="shared" si="1491"/>
        <v>19:36:27.000</v>
      </c>
      <c r="U4060" t="str">
        <f t="shared" si="1483"/>
        <v>AC3944</v>
      </c>
      <c r="V4060">
        <v>0</v>
      </c>
      <c r="W4060">
        <v>0</v>
      </c>
      <c r="X4060">
        <v>2</v>
      </c>
      <c r="Y4060">
        <v>0</v>
      </c>
      <c r="AA4060">
        <v>1</v>
      </c>
      <c r="AB4060">
        <v>8</v>
      </c>
      <c r="AC4060">
        <v>3</v>
      </c>
      <c r="AD4060">
        <v>0</v>
      </c>
      <c r="AE4060">
        <v>9</v>
      </c>
      <c r="AF4060" t="s">
        <v>138</v>
      </c>
      <c r="AG4060">
        <v>0</v>
      </c>
      <c r="AH4060">
        <v>3</v>
      </c>
      <c r="AI4060">
        <v>1</v>
      </c>
      <c r="AJ4060">
        <v>0</v>
      </c>
      <c r="AK4060" t="s">
        <v>1149</v>
      </c>
      <c r="AL4060">
        <v>32.733227999999997</v>
      </c>
      <c r="AM4060" t="s">
        <v>1309</v>
      </c>
      <c r="AN4060">
        <v>-116.677251</v>
      </c>
      <c r="AO4060">
        <v>25</v>
      </c>
      <c r="AP4060">
        <v>5000</v>
      </c>
      <c r="AQ4060" t="s">
        <v>129</v>
      </c>
      <c r="AR4060">
        <v>103</v>
      </c>
      <c r="AS4060">
        <v>81</v>
      </c>
      <c r="AT4060">
        <v>-128</v>
      </c>
      <c r="BB4060">
        <v>1200</v>
      </c>
      <c r="BC4060">
        <v>1</v>
      </c>
      <c r="BD4060" t="str">
        <f t="shared" si="1484"/>
        <v xml:space="preserve">N887QR  </v>
      </c>
      <c r="BE4060">
        <v>1</v>
      </c>
      <c r="BG4060">
        <v>0</v>
      </c>
      <c r="BH4060">
        <v>0</v>
      </c>
      <c r="BI4060">
        <v>0</v>
      </c>
      <c r="BJ4060">
        <v>4875</v>
      </c>
      <c r="BK4060">
        <v>-125</v>
      </c>
      <c r="BL4060" t="s">
        <v>163</v>
      </c>
      <c r="BM4060">
        <v>1</v>
      </c>
      <c r="BN4060">
        <v>1</v>
      </c>
      <c r="BO4060">
        <v>1</v>
      </c>
      <c r="BP4060">
        <v>0</v>
      </c>
      <c r="BS4060">
        <v>0</v>
      </c>
      <c r="BT4060">
        <v>0</v>
      </c>
      <c r="BU4060">
        <v>0</v>
      </c>
      <c r="CE4060" t="str">
        <f t="shared" si="1493"/>
        <v>19:36:27.887</v>
      </c>
      <c r="CF4060">
        <v>887019717</v>
      </c>
      <c r="CS4060">
        <v>0</v>
      </c>
      <c r="CT4060">
        <v>2</v>
      </c>
      <c r="CU4060">
        <v>0</v>
      </c>
      <c r="CV4060">
        <v>2</v>
      </c>
      <c r="CW4060">
        <v>0</v>
      </c>
      <c r="CX4060">
        <v>5</v>
      </c>
      <c r="CY4060">
        <v>7</v>
      </c>
      <c r="CZ4060" t="s">
        <v>131</v>
      </c>
      <c r="DA4060">
        <v>286</v>
      </c>
      <c r="DB4060">
        <v>0</v>
      </c>
      <c r="DC4060" t="s">
        <v>132</v>
      </c>
      <c r="DD4060" t="s">
        <v>133</v>
      </c>
      <c r="DG4060">
        <v>900265</v>
      </c>
      <c r="DI4060">
        <v>1</v>
      </c>
      <c r="DJ4060">
        <v>0</v>
      </c>
      <c r="DK4060">
        <v>1</v>
      </c>
      <c r="DL4060">
        <v>0</v>
      </c>
      <c r="DM4060">
        <v>0</v>
      </c>
      <c r="DN4060">
        <v>1</v>
      </c>
      <c r="DO4060">
        <v>0</v>
      </c>
      <c r="DP4060">
        <v>0</v>
      </c>
      <c r="DQ4060">
        <v>0</v>
      </c>
      <c r="DR4060">
        <v>0</v>
      </c>
      <c r="DS4060">
        <v>0</v>
      </c>
    </row>
    <row r="4061" spans="1:123" x14ac:dyDescent="0.3">
      <c r="A4061" t="str">
        <f>"10/04/2022 19:36:28.120"</f>
        <v>10/04/2022 19:36:28.120</v>
      </c>
      <c r="C4061" t="str">
        <f t="shared" si="1475"/>
        <v>FFDFD3C0</v>
      </c>
      <c r="D4061" t="s">
        <v>141</v>
      </c>
      <c r="E4061">
        <v>3</v>
      </c>
      <c r="H4061">
        <v>3</v>
      </c>
      <c r="I4061" t="s">
        <v>146</v>
      </c>
      <c r="J4061" t="s">
        <v>138</v>
      </c>
      <c r="K4061">
        <v>0</v>
      </c>
      <c r="L4061">
        <v>3</v>
      </c>
      <c r="M4061">
        <v>0</v>
      </c>
      <c r="N4061">
        <v>2</v>
      </c>
      <c r="O4061">
        <v>0</v>
      </c>
      <c r="P4061">
        <v>1</v>
      </c>
      <c r="Q4061">
        <v>0</v>
      </c>
      <c r="S4061" t="str">
        <f t="shared" si="1491"/>
        <v>19:36:27.000</v>
      </c>
      <c r="T4061" t="str">
        <f t="shared" si="1491"/>
        <v>19:36:27.000</v>
      </c>
      <c r="U4061" t="str">
        <f t="shared" si="1483"/>
        <v>AC3944</v>
      </c>
      <c r="V4061">
        <v>0</v>
      </c>
      <c r="W4061">
        <v>0</v>
      </c>
      <c r="X4061">
        <v>2</v>
      </c>
      <c r="Y4061">
        <v>0</v>
      </c>
      <c r="AA4061">
        <v>1</v>
      </c>
      <c r="AB4061">
        <v>8</v>
      </c>
      <c r="AC4061">
        <v>3</v>
      </c>
      <c r="AD4061">
        <v>0</v>
      </c>
      <c r="AE4061">
        <v>9</v>
      </c>
      <c r="AF4061" t="s">
        <v>138</v>
      </c>
      <c r="AG4061">
        <v>0</v>
      </c>
      <c r="AH4061">
        <v>3</v>
      </c>
      <c r="AI4061">
        <v>1</v>
      </c>
      <c r="AJ4061">
        <v>0</v>
      </c>
      <c r="AK4061" t="s">
        <v>1149</v>
      </c>
      <c r="AL4061">
        <v>32.733227999999997</v>
      </c>
      <c r="AM4061" t="s">
        <v>1309</v>
      </c>
      <c r="AN4061">
        <v>-116.677251</v>
      </c>
      <c r="AO4061">
        <v>25</v>
      </c>
      <c r="AP4061">
        <v>5000</v>
      </c>
      <c r="AQ4061" t="s">
        <v>129</v>
      </c>
      <c r="AR4061">
        <v>103</v>
      </c>
      <c r="AS4061">
        <v>81</v>
      </c>
      <c r="AT4061">
        <v>-128</v>
      </c>
      <c r="BB4061">
        <v>1200</v>
      </c>
      <c r="BC4061">
        <v>1</v>
      </c>
      <c r="BD4061" t="str">
        <f t="shared" si="1484"/>
        <v xml:space="preserve">N887QR  </v>
      </c>
      <c r="BE4061">
        <v>1</v>
      </c>
      <c r="BG4061">
        <v>0</v>
      </c>
      <c r="BH4061">
        <v>0</v>
      </c>
      <c r="BI4061">
        <v>0</v>
      </c>
      <c r="BJ4061">
        <v>4875</v>
      </c>
      <c r="BK4061">
        <v>-125</v>
      </c>
      <c r="BL4061" t="s">
        <v>163</v>
      </c>
      <c r="BM4061">
        <v>1</v>
      </c>
      <c r="BN4061">
        <v>1</v>
      </c>
      <c r="BO4061">
        <v>1</v>
      </c>
      <c r="BP4061">
        <v>0</v>
      </c>
      <c r="BS4061">
        <v>0</v>
      </c>
      <c r="BT4061">
        <v>0</v>
      </c>
      <c r="BU4061">
        <v>0</v>
      </c>
      <c r="CE4061" t="str">
        <f t="shared" si="1493"/>
        <v>19:36:27.887</v>
      </c>
      <c r="CF4061">
        <v>887019717</v>
      </c>
      <c r="CS4061">
        <v>0</v>
      </c>
      <c r="CT4061">
        <v>2</v>
      </c>
      <c r="CU4061">
        <v>0</v>
      </c>
      <c r="CV4061">
        <v>2</v>
      </c>
      <c r="CW4061">
        <v>0</v>
      </c>
      <c r="CX4061">
        <v>5</v>
      </c>
      <c r="CY4061">
        <v>7</v>
      </c>
      <c r="CZ4061" t="s">
        <v>131</v>
      </c>
      <c r="DA4061">
        <v>286</v>
      </c>
      <c r="DB4061">
        <v>0</v>
      </c>
      <c r="DC4061" t="s">
        <v>132</v>
      </c>
      <c r="DD4061" t="s">
        <v>133</v>
      </c>
      <c r="DG4061">
        <v>900265</v>
      </c>
      <c r="DI4061">
        <v>1</v>
      </c>
      <c r="DJ4061">
        <v>0</v>
      </c>
      <c r="DK4061">
        <v>1</v>
      </c>
      <c r="DL4061">
        <v>0</v>
      </c>
      <c r="DM4061">
        <v>0</v>
      </c>
      <c r="DN4061">
        <v>1</v>
      </c>
      <c r="DO4061">
        <v>0</v>
      </c>
      <c r="DP4061">
        <v>0</v>
      </c>
      <c r="DQ4061">
        <v>0</v>
      </c>
      <c r="DR4061">
        <v>0</v>
      </c>
      <c r="DS4061">
        <v>0</v>
      </c>
    </row>
    <row r="4062" spans="1:123" x14ac:dyDescent="0.3">
      <c r="A4062" t="str">
        <f>"10/04/2022 19:36:28.120"</f>
        <v>10/04/2022 19:36:28.120</v>
      </c>
      <c r="C4062" t="str">
        <f t="shared" si="1475"/>
        <v>FFDFD3C0</v>
      </c>
      <c r="D4062" t="s">
        <v>141</v>
      </c>
      <c r="E4062">
        <v>4</v>
      </c>
      <c r="H4062">
        <v>4</v>
      </c>
      <c r="I4062" t="s">
        <v>142</v>
      </c>
      <c r="J4062" t="s">
        <v>138</v>
      </c>
      <c r="K4062">
        <v>0</v>
      </c>
      <c r="L4062">
        <v>3</v>
      </c>
      <c r="M4062">
        <v>0</v>
      </c>
      <c r="N4062">
        <v>2</v>
      </c>
      <c r="O4062">
        <v>0</v>
      </c>
      <c r="P4062">
        <v>1</v>
      </c>
      <c r="Q4062">
        <v>0</v>
      </c>
      <c r="S4062" t="str">
        <f t="shared" si="1491"/>
        <v>19:36:27.000</v>
      </c>
      <c r="T4062" t="str">
        <f t="shared" si="1491"/>
        <v>19:36:27.000</v>
      </c>
      <c r="U4062" t="str">
        <f t="shared" si="1483"/>
        <v>AC3944</v>
      </c>
      <c r="V4062">
        <v>0</v>
      </c>
      <c r="W4062">
        <v>0</v>
      </c>
      <c r="X4062">
        <v>2</v>
      </c>
      <c r="Y4062">
        <v>0</v>
      </c>
      <c r="AA4062">
        <v>1</v>
      </c>
      <c r="AB4062">
        <v>8</v>
      </c>
      <c r="AC4062">
        <v>3</v>
      </c>
      <c r="AD4062">
        <v>0</v>
      </c>
      <c r="AE4062">
        <v>9</v>
      </c>
      <c r="AF4062" t="s">
        <v>138</v>
      </c>
      <c r="AG4062">
        <v>0</v>
      </c>
      <c r="AH4062">
        <v>3</v>
      </c>
      <c r="AI4062">
        <v>1</v>
      </c>
      <c r="AJ4062">
        <v>0</v>
      </c>
      <c r="AK4062" t="s">
        <v>1149</v>
      </c>
      <c r="AL4062">
        <v>32.733227999999997</v>
      </c>
      <c r="AM4062" t="s">
        <v>1309</v>
      </c>
      <c r="AN4062">
        <v>-116.677251</v>
      </c>
      <c r="AO4062">
        <v>25</v>
      </c>
      <c r="AP4062">
        <v>5000</v>
      </c>
      <c r="AQ4062" t="s">
        <v>129</v>
      </c>
      <c r="AR4062">
        <v>103</v>
      </c>
      <c r="AS4062">
        <v>81</v>
      </c>
      <c r="AT4062">
        <v>-128</v>
      </c>
      <c r="BB4062">
        <v>1200</v>
      </c>
      <c r="BC4062">
        <v>1</v>
      </c>
      <c r="BD4062" t="str">
        <f t="shared" si="1484"/>
        <v xml:space="preserve">N887QR  </v>
      </c>
      <c r="BE4062">
        <v>1</v>
      </c>
      <c r="BG4062">
        <v>0</v>
      </c>
      <c r="BH4062">
        <v>0</v>
      </c>
      <c r="BI4062">
        <v>0</v>
      </c>
      <c r="BJ4062">
        <v>4875</v>
      </c>
      <c r="BK4062">
        <v>-125</v>
      </c>
      <c r="BL4062" t="s">
        <v>163</v>
      </c>
      <c r="BM4062">
        <v>1</v>
      </c>
      <c r="BN4062">
        <v>1</v>
      </c>
      <c r="BO4062">
        <v>1</v>
      </c>
      <c r="BP4062">
        <v>0</v>
      </c>
      <c r="BS4062">
        <v>0</v>
      </c>
      <c r="BT4062">
        <v>0</v>
      </c>
      <c r="BU4062">
        <v>0</v>
      </c>
      <c r="CE4062" t="str">
        <f t="shared" si="1493"/>
        <v>19:36:27.887</v>
      </c>
      <c r="CF4062">
        <v>887019717</v>
      </c>
      <c r="CS4062">
        <v>0</v>
      </c>
      <c r="CT4062">
        <v>2</v>
      </c>
      <c r="CU4062">
        <v>0</v>
      </c>
      <c r="CV4062">
        <v>2</v>
      </c>
      <c r="CW4062">
        <v>0</v>
      </c>
      <c r="CX4062">
        <v>5</v>
      </c>
      <c r="CY4062">
        <v>7</v>
      </c>
      <c r="CZ4062" t="s">
        <v>131</v>
      </c>
      <c r="DA4062">
        <v>286</v>
      </c>
      <c r="DB4062">
        <v>0</v>
      </c>
      <c r="DC4062" t="s">
        <v>132</v>
      </c>
      <c r="DD4062" t="s">
        <v>133</v>
      </c>
      <c r="DG4062">
        <v>900265</v>
      </c>
      <c r="DI4062">
        <v>1</v>
      </c>
      <c r="DJ4062">
        <v>0</v>
      </c>
      <c r="DK4062">
        <v>1</v>
      </c>
      <c r="DL4062">
        <v>0</v>
      </c>
      <c r="DM4062">
        <v>0</v>
      </c>
      <c r="DN4062">
        <v>1</v>
      </c>
      <c r="DO4062">
        <v>0</v>
      </c>
      <c r="DP4062">
        <v>0</v>
      </c>
      <c r="DQ4062">
        <v>0</v>
      </c>
      <c r="DR4062">
        <v>0</v>
      </c>
      <c r="DS4062">
        <v>0</v>
      </c>
    </row>
    <row r="4063" spans="1:123" x14ac:dyDescent="0.3">
      <c r="A4063" t="str">
        <f>"10/04/2022 19:36:28.167"</f>
        <v>10/04/2022 19:36:28.167</v>
      </c>
      <c r="C4063" t="str">
        <f t="shared" si="1475"/>
        <v>FFDFD3C0</v>
      </c>
      <c r="D4063" t="s">
        <v>134</v>
      </c>
      <c r="E4063">
        <v>15</v>
      </c>
      <c r="J4063" t="s">
        <v>135</v>
      </c>
      <c r="K4063">
        <v>0</v>
      </c>
      <c r="L4063">
        <v>3</v>
      </c>
      <c r="M4063">
        <v>0</v>
      </c>
      <c r="N4063">
        <v>2</v>
      </c>
      <c r="O4063">
        <v>0</v>
      </c>
      <c r="P4063">
        <v>1</v>
      </c>
      <c r="Q4063">
        <v>0</v>
      </c>
      <c r="S4063" t="str">
        <f t="shared" si="1491"/>
        <v>19:36:27.000</v>
      </c>
      <c r="T4063" t="str">
        <f t="shared" si="1491"/>
        <v>19:36:27.000</v>
      </c>
      <c r="U4063" t="str">
        <f t="shared" si="1483"/>
        <v>AC3944</v>
      </c>
      <c r="V4063">
        <v>0</v>
      </c>
      <c r="W4063">
        <v>0</v>
      </c>
      <c r="X4063">
        <v>2</v>
      </c>
      <c r="Y4063">
        <v>0</v>
      </c>
      <c r="AA4063">
        <v>1</v>
      </c>
      <c r="AB4063">
        <v>8</v>
      </c>
      <c r="AC4063">
        <v>3</v>
      </c>
      <c r="AD4063">
        <v>0</v>
      </c>
      <c r="AE4063">
        <v>9</v>
      </c>
      <c r="AF4063" t="s">
        <v>138</v>
      </c>
      <c r="AG4063">
        <v>0</v>
      </c>
      <c r="AH4063">
        <v>3</v>
      </c>
      <c r="AI4063">
        <v>1</v>
      </c>
      <c r="AJ4063">
        <v>0</v>
      </c>
      <c r="AK4063" t="s">
        <v>1149</v>
      </c>
      <c r="AL4063">
        <v>32.733227999999997</v>
      </c>
      <c r="AM4063" t="s">
        <v>1309</v>
      </c>
      <c r="AN4063">
        <v>-116.677251</v>
      </c>
      <c r="AO4063">
        <v>25</v>
      </c>
      <c r="AP4063">
        <v>5000</v>
      </c>
      <c r="AQ4063" t="s">
        <v>129</v>
      </c>
      <c r="AR4063">
        <v>103</v>
      </c>
      <c r="AS4063">
        <v>81</v>
      </c>
      <c r="AT4063">
        <v>-128</v>
      </c>
      <c r="BB4063">
        <v>1200</v>
      </c>
      <c r="BC4063">
        <v>1</v>
      </c>
      <c r="BD4063" t="str">
        <f t="shared" si="1484"/>
        <v xml:space="preserve">N887QR  </v>
      </c>
      <c r="BE4063">
        <v>1</v>
      </c>
      <c r="BG4063">
        <v>0</v>
      </c>
      <c r="BH4063">
        <v>0</v>
      </c>
      <c r="BI4063">
        <v>0</v>
      </c>
      <c r="BJ4063">
        <v>4875</v>
      </c>
      <c r="BK4063">
        <v>-125</v>
      </c>
      <c r="BL4063" t="s">
        <v>163</v>
      </c>
      <c r="BM4063">
        <v>1</v>
      </c>
      <c r="BN4063">
        <v>1</v>
      </c>
      <c r="BO4063">
        <v>1</v>
      </c>
      <c r="BP4063">
        <v>0</v>
      </c>
      <c r="BS4063">
        <v>0</v>
      </c>
      <c r="BT4063">
        <v>0</v>
      </c>
      <c r="BU4063">
        <v>0</v>
      </c>
      <c r="CE4063" t="str">
        <f t="shared" si="1493"/>
        <v>19:36:27.887</v>
      </c>
      <c r="CF4063">
        <v>887019717</v>
      </c>
      <c r="CS4063">
        <v>0</v>
      </c>
      <c r="CT4063">
        <v>2</v>
      </c>
      <c r="CU4063">
        <v>0</v>
      </c>
      <c r="CV4063">
        <v>2</v>
      </c>
      <c r="CW4063">
        <v>0</v>
      </c>
      <c r="CX4063">
        <v>5</v>
      </c>
      <c r="CY4063">
        <v>7</v>
      </c>
      <c r="CZ4063" t="s">
        <v>131</v>
      </c>
      <c r="DA4063">
        <v>286</v>
      </c>
      <c r="DB4063">
        <v>0</v>
      </c>
      <c r="DC4063" t="s">
        <v>132</v>
      </c>
      <c r="DD4063" t="s">
        <v>133</v>
      </c>
      <c r="DG4063">
        <v>900265</v>
      </c>
      <c r="DI4063">
        <v>1</v>
      </c>
      <c r="DJ4063">
        <v>0</v>
      </c>
      <c r="DK4063">
        <v>1</v>
      </c>
      <c r="DL4063">
        <v>0</v>
      </c>
      <c r="DM4063">
        <v>0</v>
      </c>
      <c r="DN4063">
        <v>1</v>
      </c>
      <c r="DO4063">
        <v>0</v>
      </c>
      <c r="DP4063">
        <v>0</v>
      </c>
      <c r="DQ4063">
        <v>0</v>
      </c>
      <c r="DR4063">
        <v>0</v>
      </c>
      <c r="DS4063">
        <v>0</v>
      </c>
    </row>
    <row r="4064" spans="1:123" x14ac:dyDescent="0.3">
      <c r="A4064" t="str">
        <f>"10/04/2022 19:36:28.229"</f>
        <v>10/04/2022 19:36:28.229</v>
      </c>
      <c r="C4064" t="str">
        <f t="shared" si="1475"/>
        <v>FFDFD3C0</v>
      </c>
      <c r="D4064" t="s">
        <v>136</v>
      </c>
      <c r="E4064">
        <v>8</v>
      </c>
      <c r="H4064">
        <v>225</v>
      </c>
      <c r="I4064" t="s">
        <v>137</v>
      </c>
      <c r="J4064" t="s">
        <v>138</v>
      </c>
      <c r="K4064">
        <v>0</v>
      </c>
      <c r="L4064">
        <v>3</v>
      </c>
      <c r="M4064">
        <v>0</v>
      </c>
      <c r="N4064">
        <v>2</v>
      </c>
      <c r="O4064">
        <v>0</v>
      </c>
      <c r="P4064">
        <v>1</v>
      </c>
      <c r="Q4064">
        <v>0</v>
      </c>
      <c r="S4064" t="str">
        <f t="shared" si="1491"/>
        <v>19:36:27.000</v>
      </c>
      <c r="T4064" t="str">
        <f t="shared" si="1491"/>
        <v>19:36:27.000</v>
      </c>
      <c r="U4064" t="str">
        <f t="shared" si="1483"/>
        <v>AC3944</v>
      </c>
      <c r="V4064">
        <v>0</v>
      </c>
      <c r="W4064">
        <v>0</v>
      </c>
      <c r="X4064">
        <v>2</v>
      </c>
      <c r="Y4064">
        <v>0</v>
      </c>
      <c r="AA4064">
        <v>1</v>
      </c>
      <c r="AB4064">
        <v>8</v>
      </c>
      <c r="AC4064">
        <v>3</v>
      </c>
      <c r="AD4064">
        <v>0</v>
      </c>
      <c r="AE4064">
        <v>9</v>
      </c>
      <c r="AF4064" t="s">
        <v>138</v>
      </c>
      <c r="AG4064">
        <v>0</v>
      </c>
      <c r="AH4064">
        <v>3</v>
      </c>
      <c r="AI4064">
        <v>1</v>
      </c>
      <c r="AJ4064">
        <v>0</v>
      </c>
      <c r="AK4064" t="s">
        <v>1149</v>
      </c>
      <c r="AL4064">
        <v>32.733227999999997</v>
      </c>
      <c r="AM4064" t="s">
        <v>1309</v>
      </c>
      <c r="AN4064">
        <v>-116.677251</v>
      </c>
      <c r="AO4064">
        <v>25</v>
      </c>
      <c r="AP4064">
        <v>5000</v>
      </c>
      <c r="AQ4064" t="s">
        <v>129</v>
      </c>
      <c r="AR4064">
        <v>103</v>
      </c>
      <c r="AS4064">
        <v>81</v>
      </c>
      <c r="AT4064">
        <v>-128</v>
      </c>
      <c r="BB4064">
        <v>1200</v>
      </c>
      <c r="BC4064">
        <v>1</v>
      </c>
      <c r="BD4064" t="str">
        <f t="shared" si="1484"/>
        <v xml:space="preserve">N887QR  </v>
      </c>
      <c r="BE4064">
        <v>1</v>
      </c>
      <c r="BG4064">
        <v>0</v>
      </c>
      <c r="BH4064">
        <v>0</v>
      </c>
      <c r="BI4064">
        <v>0</v>
      </c>
      <c r="BJ4064">
        <v>4875</v>
      </c>
      <c r="BK4064">
        <v>-125</v>
      </c>
      <c r="BL4064" t="s">
        <v>163</v>
      </c>
      <c r="BM4064">
        <v>1</v>
      </c>
      <c r="BN4064">
        <v>1</v>
      </c>
      <c r="BO4064">
        <v>1</v>
      </c>
      <c r="BP4064">
        <v>0</v>
      </c>
      <c r="BS4064">
        <v>0</v>
      </c>
      <c r="BT4064">
        <v>0</v>
      </c>
      <c r="BU4064">
        <v>0</v>
      </c>
      <c r="CE4064" t="str">
        <f t="shared" si="1493"/>
        <v>19:36:27.887</v>
      </c>
      <c r="CF4064">
        <v>887019717</v>
      </c>
      <c r="CS4064">
        <v>0</v>
      </c>
      <c r="CT4064">
        <v>2</v>
      </c>
      <c r="CU4064">
        <v>0</v>
      </c>
      <c r="CV4064">
        <v>2</v>
      </c>
      <c r="CW4064">
        <v>0</v>
      </c>
      <c r="CX4064">
        <v>5</v>
      </c>
      <c r="CY4064">
        <v>7</v>
      </c>
      <c r="CZ4064" t="s">
        <v>131</v>
      </c>
      <c r="DA4064">
        <v>286</v>
      </c>
      <c r="DB4064">
        <v>0</v>
      </c>
      <c r="DC4064" t="s">
        <v>132</v>
      </c>
      <c r="DD4064" t="s">
        <v>133</v>
      </c>
      <c r="DG4064">
        <v>900265</v>
      </c>
      <c r="DI4064">
        <v>1</v>
      </c>
      <c r="DJ4064">
        <v>0</v>
      </c>
      <c r="DK4064">
        <v>1</v>
      </c>
      <c r="DL4064">
        <v>0</v>
      </c>
      <c r="DM4064">
        <v>0</v>
      </c>
      <c r="DN4064">
        <v>1</v>
      </c>
      <c r="DO4064">
        <v>0</v>
      </c>
      <c r="DP4064">
        <v>0</v>
      </c>
      <c r="DQ4064">
        <v>0</v>
      </c>
      <c r="DR4064">
        <v>0</v>
      </c>
      <c r="DS4064">
        <v>0</v>
      </c>
    </row>
    <row r="4065" spans="1:123" x14ac:dyDescent="0.3">
      <c r="A4065" t="str">
        <f t="shared" ref="A4065:A4070" si="1494">"10/04/2022 19:36:30.357"</f>
        <v>10/04/2022 19:36:30.357</v>
      </c>
      <c r="C4065" t="str">
        <f t="shared" si="1475"/>
        <v>FFDFD3C0</v>
      </c>
      <c r="D4065" t="s">
        <v>143</v>
      </c>
      <c r="E4065">
        <v>20</v>
      </c>
      <c r="F4065">
        <v>1020</v>
      </c>
      <c r="G4065" t="s">
        <v>144</v>
      </c>
      <c r="J4065" t="s">
        <v>145</v>
      </c>
      <c r="K4065">
        <v>0</v>
      </c>
      <c r="L4065">
        <v>3</v>
      </c>
      <c r="M4065">
        <v>0</v>
      </c>
      <c r="N4065">
        <v>2</v>
      </c>
      <c r="O4065">
        <v>0</v>
      </c>
      <c r="P4065">
        <v>1</v>
      </c>
      <c r="Q4065">
        <v>0</v>
      </c>
      <c r="S4065" t="str">
        <f t="shared" ref="S4065:T4070" si="1495">"19:36:29.000"</f>
        <v>19:36:29.000</v>
      </c>
      <c r="T4065" t="str">
        <f t="shared" si="1495"/>
        <v>19:36:29.000</v>
      </c>
      <c r="U4065" t="str">
        <f t="shared" si="1483"/>
        <v>AC3944</v>
      </c>
      <c r="V4065">
        <v>0</v>
      </c>
      <c r="W4065">
        <v>0</v>
      </c>
      <c r="X4065">
        <v>2</v>
      </c>
      <c r="Y4065">
        <v>0</v>
      </c>
      <c r="AA4065">
        <v>1</v>
      </c>
      <c r="AB4065">
        <v>8</v>
      </c>
      <c r="AC4065">
        <v>3</v>
      </c>
      <c r="AD4065">
        <v>0</v>
      </c>
      <c r="AE4065">
        <v>9</v>
      </c>
      <c r="AF4065" t="s">
        <v>138</v>
      </c>
      <c r="AG4065">
        <v>0</v>
      </c>
      <c r="AH4065">
        <v>3</v>
      </c>
      <c r="AI4065">
        <v>1</v>
      </c>
      <c r="AJ4065">
        <v>0</v>
      </c>
      <c r="AK4065" t="s">
        <v>1153</v>
      </c>
      <c r="AL4065">
        <v>32.733635999999997</v>
      </c>
      <c r="AM4065" t="s">
        <v>1310</v>
      </c>
      <c r="AN4065">
        <v>-116.676693</v>
      </c>
      <c r="AO4065">
        <v>25</v>
      </c>
      <c r="AP4065">
        <v>5000</v>
      </c>
      <c r="AQ4065" t="s">
        <v>129</v>
      </c>
      <c r="AR4065">
        <v>87</v>
      </c>
      <c r="AS4065">
        <v>102</v>
      </c>
      <c r="AT4065">
        <v>-512</v>
      </c>
      <c r="BB4065">
        <v>1200</v>
      </c>
      <c r="BC4065">
        <v>1</v>
      </c>
      <c r="BD4065" t="str">
        <f t="shared" si="1484"/>
        <v xml:space="preserve">N887QR  </v>
      </c>
      <c r="BE4065">
        <v>1</v>
      </c>
      <c r="BG4065">
        <v>0</v>
      </c>
      <c r="BH4065">
        <v>0</v>
      </c>
      <c r="BI4065">
        <v>0</v>
      </c>
      <c r="BJ4065">
        <v>4800</v>
      </c>
      <c r="BK4065">
        <v>-200</v>
      </c>
      <c r="BL4065" t="s">
        <v>163</v>
      </c>
      <c r="BM4065">
        <v>1</v>
      </c>
      <c r="BN4065">
        <v>1</v>
      </c>
      <c r="BO4065">
        <v>1</v>
      </c>
      <c r="BP4065">
        <v>0</v>
      </c>
      <c r="BS4065">
        <v>0</v>
      </c>
      <c r="BT4065">
        <v>0</v>
      </c>
      <c r="BU4065">
        <v>0</v>
      </c>
      <c r="CE4065" t="str">
        <f t="shared" ref="CE4065:CE4070" si="1496">"19:36:29.534"</f>
        <v>19:36:29.534</v>
      </c>
      <c r="CF4065">
        <v>533525405</v>
      </c>
      <c r="CS4065">
        <v>0</v>
      </c>
      <c r="CT4065">
        <v>2</v>
      </c>
      <c r="CU4065">
        <v>0</v>
      </c>
      <c r="CV4065">
        <v>2</v>
      </c>
      <c r="CW4065">
        <v>0</v>
      </c>
      <c r="CX4065">
        <v>3</v>
      </c>
      <c r="CY4065">
        <v>7</v>
      </c>
      <c r="CZ4065" t="s">
        <v>131</v>
      </c>
      <c r="DA4065">
        <v>286</v>
      </c>
      <c r="DB4065">
        <v>0</v>
      </c>
      <c r="DC4065" t="s">
        <v>132</v>
      </c>
      <c r="DD4065" t="s">
        <v>133</v>
      </c>
      <c r="DG4065">
        <v>900558</v>
      </c>
      <c r="DI4065">
        <v>1</v>
      </c>
      <c r="DJ4065">
        <v>0</v>
      </c>
      <c r="DK4065">
        <v>0</v>
      </c>
      <c r="DL4065">
        <v>0</v>
      </c>
      <c r="DM4065">
        <v>0</v>
      </c>
      <c r="DN4065">
        <v>1</v>
      </c>
      <c r="DO4065">
        <v>0</v>
      </c>
      <c r="DP4065">
        <v>0</v>
      </c>
      <c r="DQ4065">
        <v>0</v>
      </c>
      <c r="DR4065">
        <v>0</v>
      </c>
      <c r="DS4065">
        <v>0</v>
      </c>
    </row>
    <row r="4066" spans="1:123" x14ac:dyDescent="0.3">
      <c r="A4066" t="str">
        <f t="shared" si="1494"/>
        <v>10/04/2022 19:36:30.357</v>
      </c>
      <c r="C4066" t="str">
        <f t="shared" si="1475"/>
        <v>FFDFD3C0</v>
      </c>
      <c r="D4066" t="s">
        <v>147</v>
      </c>
      <c r="E4066">
        <v>3</v>
      </c>
      <c r="H4066">
        <v>166</v>
      </c>
      <c r="I4066" t="s">
        <v>144</v>
      </c>
      <c r="J4066" t="s">
        <v>148</v>
      </c>
      <c r="K4066">
        <v>0</v>
      </c>
      <c r="L4066">
        <v>3</v>
      </c>
      <c r="M4066">
        <v>0</v>
      </c>
      <c r="N4066">
        <v>2</v>
      </c>
      <c r="O4066">
        <v>0</v>
      </c>
      <c r="P4066">
        <v>1</v>
      </c>
      <c r="Q4066">
        <v>0</v>
      </c>
      <c r="S4066" t="str">
        <f t="shared" si="1495"/>
        <v>19:36:29.000</v>
      </c>
      <c r="T4066" t="str">
        <f t="shared" si="1495"/>
        <v>19:36:29.000</v>
      </c>
      <c r="U4066" t="str">
        <f t="shared" si="1483"/>
        <v>AC3944</v>
      </c>
      <c r="V4066">
        <v>0</v>
      </c>
      <c r="W4066">
        <v>0</v>
      </c>
      <c r="X4066">
        <v>2</v>
      </c>
      <c r="Y4066">
        <v>0</v>
      </c>
      <c r="AA4066">
        <v>1</v>
      </c>
      <c r="AB4066">
        <v>8</v>
      </c>
      <c r="AC4066">
        <v>3</v>
      </c>
      <c r="AD4066">
        <v>0</v>
      </c>
      <c r="AE4066">
        <v>9</v>
      </c>
      <c r="AF4066" t="s">
        <v>138</v>
      </c>
      <c r="AG4066">
        <v>0</v>
      </c>
      <c r="AH4066">
        <v>3</v>
      </c>
      <c r="AI4066">
        <v>1</v>
      </c>
      <c r="AJ4066">
        <v>0</v>
      </c>
      <c r="AK4066" t="s">
        <v>1153</v>
      </c>
      <c r="AL4066">
        <v>32.733635999999997</v>
      </c>
      <c r="AM4066" t="s">
        <v>1310</v>
      </c>
      <c r="AN4066">
        <v>-116.676693</v>
      </c>
      <c r="AO4066">
        <v>25</v>
      </c>
      <c r="AP4066">
        <v>5000</v>
      </c>
      <c r="AQ4066" t="s">
        <v>129</v>
      </c>
      <c r="AR4066">
        <v>87</v>
      </c>
      <c r="AS4066">
        <v>102</v>
      </c>
      <c r="AT4066">
        <v>-512</v>
      </c>
      <c r="BB4066">
        <v>1200</v>
      </c>
      <c r="BC4066">
        <v>1</v>
      </c>
      <c r="BD4066" t="str">
        <f t="shared" si="1484"/>
        <v xml:space="preserve">N887QR  </v>
      </c>
      <c r="BE4066">
        <v>1</v>
      </c>
      <c r="BG4066">
        <v>0</v>
      </c>
      <c r="BH4066">
        <v>0</v>
      </c>
      <c r="BI4066">
        <v>0</v>
      </c>
      <c r="BJ4066">
        <v>4800</v>
      </c>
      <c r="BK4066">
        <v>-200</v>
      </c>
      <c r="BL4066" t="s">
        <v>163</v>
      </c>
      <c r="BM4066">
        <v>1</v>
      </c>
      <c r="BN4066">
        <v>1</v>
      </c>
      <c r="BO4066">
        <v>1</v>
      </c>
      <c r="BP4066">
        <v>0</v>
      </c>
      <c r="BS4066">
        <v>0</v>
      </c>
      <c r="BT4066">
        <v>0</v>
      </c>
      <c r="BU4066">
        <v>0</v>
      </c>
      <c r="CE4066" t="str">
        <f t="shared" si="1496"/>
        <v>19:36:29.534</v>
      </c>
      <c r="CF4066">
        <v>533525405</v>
      </c>
      <c r="CS4066">
        <v>0</v>
      </c>
      <c r="CT4066">
        <v>2</v>
      </c>
      <c r="CU4066">
        <v>0</v>
      </c>
      <c r="CV4066">
        <v>2</v>
      </c>
      <c r="CW4066">
        <v>0</v>
      </c>
      <c r="CX4066">
        <v>3</v>
      </c>
      <c r="CY4066">
        <v>7</v>
      </c>
      <c r="CZ4066" t="s">
        <v>131</v>
      </c>
      <c r="DA4066">
        <v>286</v>
      </c>
      <c r="DB4066">
        <v>0</v>
      </c>
      <c r="DC4066" t="s">
        <v>132</v>
      </c>
      <c r="DD4066" t="s">
        <v>133</v>
      </c>
      <c r="DG4066">
        <v>900558</v>
      </c>
      <c r="DI4066">
        <v>1</v>
      </c>
      <c r="DJ4066">
        <v>0</v>
      </c>
      <c r="DK4066">
        <v>1</v>
      </c>
      <c r="DL4066">
        <v>0</v>
      </c>
      <c r="DM4066">
        <v>0</v>
      </c>
      <c r="DN4066">
        <v>1</v>
      </c>
      <c r="DO4066">
        <v>0</v>
      </c>
      <c r="DP4066">
        <v>0</v>
      </c>
      <c r="DQ4066">
        <v>0</v>
      </c>
      <c r="DR4066">
        <v>0</v>
      </c>
      <c r="DS4066">
        <v>0</v>
      </c>
    </row>
    <row r="4067" spans="1:123" x14ac:dyDescent="0.3">
      <c r="A4067" t="str">
        <f t="shared" si="1494"/>
        <v>10/04/2022 19:36:30.357</v>
      </c>
      <c r="C4067" t="str">
        <f t="shared" si="1475"/>
        <v>FFDFD3C0</v>
      </c>
      <c r="D4067" t="s">
        <v>123</v>
      </c>
      <c r="E4067">
        <v>7</v>
      </c>
      <c r="F4067">
        <v>2007</v>
      </c>
      <c r="G4067" t="s">
        <v>124</v>
      </c>
      <c r="J4067" t="s">
        <v>125</v>
      </c>
      <c r="K4067">
        <v>0</v>
      </c>
      <c r="L4067">
        <v>3</v>
      </c>
      <c r="M4067">
        <v>0</v>
      </c>
      <c r="N4067">
        <v>2</v>
      </c>
      <c r="O4067">
        <v>0</v>
      </c>
      <c r="P4067">
        <v>1</v>
      </c>
      <c r="Q4067">
        <v>0</v>
      </c>
      <c r="S4067" t="str">
        <f t="shared" si="1495"/>
        <v>19:36:29.000</v>
      </c>
      <c r="T4067" t="str">
        <f t="shared" si="1495"/>
        <v>19:36:29.000</v>
      </c>
      <c r="U4067" t="str">
        <f t="shared" si="1483"/>
        <v>AC3944</v>
      </c>
      <c r="V4067">
        <v>0</v>
      </c>
      <c r="W4067">
        <v>0</v>
      </c>
      <c r="X4067">
        <v>2</v>
      </c>
      <c r="Y4067">
        <v>0</v>
      </c>
      <c r="AA4067">
        <v>1</v>
      </c>
      <c r="AB4067">
        <v>8</v>
      </c>
      <c r="AC4067">
        <v>3</v>
      </c>
      <c r="AD4067">
        <v>0</v>
      </c>
      <c r="AE4067">
        <v>9</v>
      </c>
      <c r="AF4067" t="s">
        <v>138</v>
      </c>
      <c r="AG4067">
        <v>0</v>
      </c>
      <c r="AH4067">
        <v>3</v>
      </c>
      <c r="AI4067">
        <v>1</v>
      </c>
      <c r="AJ4067">
        <v>0</v>
      </c>
      <c r="AK4067" t="s">
        <v>1153</v>
      </c>
      <c r="AL4067">
        <v>32.733635999999997</v>
      </c>
      <c r="AM4067" t="s">
        <v>1310</v>
      </c>
      <c r="AN4067">
        <v>-116.676693</v>
      </c>
      <c r="AO4067">
        <v>25</v>
      </c>
      <c r="AP4067">
        <v>5000</v>
      </c>
      <c r="AQ4067" t="s">
        <v>129</v>
      </c>
      <c r="AR4067">
        <v>87</v>
      </c>
      <c r="AS4067">
        <v>102</v>
      </c>
      <c r="AT4067">
        <v>-512</v>
      </c>
      <c r="BB4067">
        <v>1200</v>
      </c>
      <c r="BC4067">
        <v>1</v>
      </c>
      <c r="BD4067" t="str">
        <f t="shared" si="1484"/>
        <v xml:space="preserve">N887QR  </v>
      </c>
      <c r="BE4067">
        <v>1</v>
      </c>
      <c r="BG4067">
        <v>0</v>
      </c>
      <c r="BH4067">
        <v>0</v>
      </c>
      <c r="BI4067">
        <v>0</v>
      </c>
      <c r="BJ4067">
        <v>4800</v>
      </c>
      <c r="BK4067">
        <v>-200</v>
      </c>
      <c r="BL4067" t="s">
        <v>163</v>
      </c>
      <c r="BM4067">
        <v>1</v>
      </c>
      <c r="BN4067">
        <v>1</v>
      </c>
      <c r="BO4067">
        <v>1</v>
      </c>
      <c r="BP4067">
        <v>0</v>
      </c>
      <c r="BS4067">
        <v>0</v>
      </c>
      <c r="BT4067">
        <v>0</v>
      </c>
      <c r="BU4067">
        <v>0</v>
      </c>
      <c r="CE4067" t="str">
        <f t="shared" si="1496"/>
        <v>19:36:29.534</v>
      </c>
      <c r="CF4067">
        <v>533525405</v>
      </c>
      <c r="CS4067">
        <v>0</v>
      </c>
      <c r="CT4067">
        <v>2</v>
      </c>
      <c r="CU4067">
        <v>0</v>
      </c>
      <c r="CV4067">
        <v>2</v>
      </c>
      <c r="CW4067">
        <v>0</v>
      </c>
      <c r="CX4067">
        <v>3</v>
      </c>
      <c r="CY4067">
        <v>7</v>
      </c>
      <c r="CZ4067" t="s">
        <v>131</v>
      </c>
      <c r="DA4067">
        <v>286</v>
      </c>
      <c r="DB4067">
        <v>0</v>
      </c>
      <c r="DC4067" t="s">
        <v>132</v>
      </c>
      <c r="DD4067" t="s">
        <v>133</v>
      </c>
      <c r="DG4067">
        <v>900558</v>
      </c>
      <c r="DI4067">
        <v>1</v>
      </c>
      <c r="DJ4067">
        <v>0</v>
      </c>
      <c r="DK4067">
        <v>1</v>
      </c>
      <c r="DL4067">
        <v>0</v>
      </c>
      <c r="DM4067">
        <v>0</v>
      </c>
      <c r="DN4067">
        <v>1</v>
      </c>
      <c r="DO4067">
        <v>0</v>
      </c>
      <c r="DP4067">
        <v>0</v>
      </c>
      <c r="DQ4067">
        <v>0</v>
      </c>
      <c r="DR4067">
        <v>0</v>
      </c>
      <c r="DS4067">
        <v>0</v>
      </c>
    </row>
    <row r="4068" spans="1:123" x14ac:dyDescent="0.3">
      <c r="A4068" t="str">
        <f t="shared" si="1494"/>
        <v>10/04/2022 19:36:30.357</v>
      </c>
      <c r="C4068" t="str">
        <f t="shared" si="1475"/>
        <v>FFDFD3C0</v>
      </c>
      <c r="D4068" t="s">
        <v>141</v>
      </c>
      <c r="E4068">
        <v>4</v>
      </c>
      <c r="H4068">
        <v>4</v>
      </c>
      <c r="I4068" t="s">
        <v>142</v>
      </c>
      <c r="J4068" t="s">
        <v>138</v>
      </c>
      <c r="K4068">
        <v>0</v>
      </c>
      <c r="L4068">
        <v>3</v>
      </c>
      <c r="M4068">
        <v>0</v>
      </c>
      <c r="N4068">
        <v>2</v>
      </c>
      <c r="O4068">
        <v>0</v>
      </c>
      <c r="P4068">
        <v>1</v>
      </c>
      <c r="Q4068">
        <v>0</v>
      </c>
      <c r="S4068" t="str">
        <f t="shared" si="1495"/>
        <v>19:36:29.000</v>
      </c>
      <c r="T4068" t="str">
        <f t="shared" si="1495"/>
        <v>19:36:29.000</v>
      </c>
      <c r="U4068" t="str">
        <f t="shared" si="1483"/>
        <v>AC3944</v>
      </c>
      <c r="V4068">
        <v>0</v>
      </c>
      <c r="W4068">
        <v>0</v>
      </c>
      <c r="X4068">
        <v>2</v>
      </c>
      <c r="Y4068">
        <v>0</v>
      </c>
      <c r="AA4068">
        <v>1</v>
      </c>
      <c r="AB4068">
        <v>8</v>
      </c>
      <c r="AC4068">
        <v>3</v>
      </c>
      <c r="AD4068">
        <v>0</v>
      </c>
      <c r="AE4068">
        <v>9</v>
      </c>
      <c r="AF4068" t="s">
        <v>138</v>
      </c>
      <c r="AG4068">
        <v>0</v>
      </c>
      <c r="AH4068">
        <v>3</v>
      </c>
      <c r="AI4068">
        <v>1</v>
      </c>
      <c r="AJ4068">
        <v>0</v>
      </c>
      <c r="AK4068" t="s">
        <v>1153</v>
      </c>
      <c r="AL4068">
        <v>32.733635999999997</v>
      </c>
      <c r="AM4068" t="s">
        <v>1310</v>
      </c>
      <c r="AN4068">
        <v>-116.676693</v>
      </c>
      <c r="AO4068">
        <v>25</v>
      </c>
      <c r="AP4068">
        <v>5000</v>
      </c>
      <c r="AQ4068" t="s">
        <v>129</v>
      </c>
      <c r="AR4068">
        <v>87</v>
      </c>
      <c r="AS4068">
        <v>102</v>
      </c>
      <c r="AT4068">
        <v>-512</v>
      </c>
      <c r="BB4068">
        <v>1200</v>
      </c>
      <c r="BC4068">
        <v>1</v>
      </c>
      <c r="BD4068" t="str">
        <f t="shared" si="1484"/>
        <v xml:space="preserve">N887QR  </v>
      </c>
      <c r="BE4068">
        <v>1</v>
      </c>
      <c r="BG4068">
        <v>0</v>
      </c>
      <c r="BH4068">
        <v>0</v>
      </c>
      <c r="BI4068">
        <v>0</v>
      </c>
      <c r="BJ4068">
        <v>4800</v>
      </c>
      <c r="BK4068">
        <v>-200</v>
      </c>
      <c r="BL4068" t="s">
        <v>163</v>
      </c>
      <c r="BM4068">
        <v>1</v>
      </c>
      <c r="BN4068">
        <v>1</v>
      </c>
      <c r="BO4068">
        <v>1</v>
      </c>
      <c r="BP4068">
        <v>0</v>
      </c>
      <c r="BS4068">
        <v>0</v>
      </c>
      <c r="BT4068">
        <v>0</v>
      </c>
      <c r="BU4068">
        <v>0</v>
      </c>
      <c r="CE4068" t="str">
        <f t="shared" si="1496"/>
        <v>19:36:29.534</v>
      </c>
      <c r="CF4068">
        <v>533525405</v>
      </c>
      <c r="CS4068">
        <v>0</v>
      </c>
      <c r="CT4068">
        <v>2</v>
      </c>
      <c r="CU4068">
        <v>0</v>
      </c>
      <c r="CV4068">
        <v>2</v>
      </c>
      <c r="CW4068">
        <v>0</v>
      </c>
      <c r="CX4068">
        <v>3</v>
      </c>
      <c r="CY4068">
        <v>7</v>
      </c>
      <c r="CZ4068" t="s">
        <v>131</v>
      </c>
      <c r="DA4068">
        <v>286</v>
      </c>
      <c r="DB4068">
        <v>0</v>
      </c>
      <c r="DC4068" t="s">
        <v>132</v>
      </c>
      <c r="DD4068" t="s">
        <v>133</v>
      </c>
      <c r="DG4068">
        <v>900558</v>
      </c>
      <c r="DI4068">
        <v>1</v>
      </c>
      <c r="DJ4068">
        <v>0</v>
      </c>
      <c r="DK4068">
        <v>1</v>
      </c>
      <c r="DL4068">
        <v>0</v>
      </c>
      <c r="DM4068">
        <v>0</v>
      </c>
      <c r="DN4068">
        <v>1</v>
      </c>
      <c r="DO4068">
        <v>0</v>
      </c>
      <c r="DP4068">
        <v>0</v>
      </c>
      <c r="DQ4068">
        <v>0</v>
      </c>
      <c r="DR4068">
        <v>0</v>
      </c>
      <c r="DS4068">
        <v>0</v>
      </c>
    </row>
    <row r="4069" spans="1:123" x14ac:dyDescent="0.3">
      <c r="A4069" t="str">
        <f t="shared" si="1494"/>
        <v>10/04/2022 19:36:30.357</v>
      </c>
      <c r="C4069" t="str">
        <f t="shared" si="1475"/>
        <v>FFDFD3C0</v>
      </c>
      <c r="D4069" t="s">
        <v>141</v>
      </c>
      <c r="E4069">
        <v>3</v>
      </c>
      <c r="H4069">
        <v>3</v>
      </c>
      <c r="I4069" t="s">
        <v>146</v>
      </c>
      <c r="J4069" t="s">
        <v>138</v>
      </c>
      <c r="K4069">
        <v>0</v>
      </c>
      <c r="L4069">
        <v>3</v>
      </c>
      <c r="M4069">
        <v>0</v>
      </c>
      <c r="N4069">
        <v>2</v>
      </c>
      <c r="O4069">
        <v>0</v>
      </c>
      <c r="P4069">
        <v>1</v>
      </c>
      <c r="Q4069">
        <v>0</v>
      </c>
      <c r="S4069" t="str">
        <f t="shared" si="1495"/>
        <v>19:36:29.000</v>
      </c>
      <c r="T4069" t="str">
        <f t="shared" si="1495"/>
        <v>19:36:29.000</v>
      </c>
      <c r="U4069" t="str">
        <f t="shared" si="1483"/>
        <v>AC3944</v>
      </c>
      <c r="V4069">
        <v>0</v>
      </c>
      <c r="W4069">
        <v>0</v>
      </c>
      <c r="X4069">
        <v>2</v>
      </c>
      <c r="Y4069">
        <v>0</v>
      </c>
      <c r="AA4069">
        <v>1</v>
      </c>
      <c r="AB4069">
        <v>8</v>
      </c>
      <c r="AC4069">
        <v>3</v>
      </c>
      <c r="AD4069">
        <v>0</v>
      </c>
      <c r="AE4069">
        <v>9</v>
      </c>
      <c r="AF4069" t="s">
        <v>138</v>
      </c>
      <c r="AG4069">
        <v>0</v>
      </c>
      <c r="AH4069">
        <v>3</v>
      </c>
      <c r="AI4069">
        <v>1</v>
      </c>
      <c r="AJ4069">
        <v>0</v>
      </c>
      <c r="AK4069" t="s">
        <v>1153</v>
      </c>
      <c r="AL4069">
        <v>32.733635999999997</v>
      </c>
      <c r="AM4069" t="s">
        <v>1310</v>
      </c>
      <c r="AN4069">
        <v>-116.676693</v>
      </c>
      <c r="AO4069">
        <v>25</v>
      </c>
      <c r="AP4069">
        <v>5000</v>
      </c>
      <c r="AQ4069" t="s">
        <v>129</v>
      </c>
      <c r="AR4069">
        <v>87</v>
      </c>
      <c r="AS4069">
        <v>102</v>
      </c>
      <c r="AT4069">
        <v>-512</v>
      </c>
      <c r="BB4069">
        <v>1200</v>
      </c>
      <c r="BC4069">
        <v>1</v>
      </c>
      <c r="BD4069" t="str">
        <f t="shared" si="1484"/>
        <v xml:space="preserve">N887QR  </v>
      </c>
      <c r="BE4069">
        <v>1</v>
      </c>
      <c r="BG4069">
        <v>0</v>
      </c>
      <c r="BH4069">
        <v>0</v>
      </c>
      <c r="BI4069">
        <v>0</v>
      </c>
      <c r="BJ4069">
        <v>4800</v>
      </c>
      <c r="BK4069">
        <v>-200</v>
      </c>
      <c r="BL4069" t="s">
        <v>163</v>
      </c>
      <c r="BM4069">
        <v>1</v>
      </c>
      <c r="BN4069">
        <v>1</v>
      </c>
      <c r="BO4069">
        <v>1</v>
      </c>
      <c r="BP4069">
        <v>0</v>
      </c>
      <c r="BS4069">
        <v>0</v>
      </c>
      <c r="BT4069">
        <v>0</v>
      </c>
      <c r="BU4069">
        <v>0</v>
      </c>
      <c r="CE4069" t="str">
        <f t="shared" si="1496"/>
        <v>19:36:29.534</v>
      </c>
      <c r="CF4069">
        <v>533525405</v>
      </c>
      <c r="CS4069">
        <v>0</v>
      </c>
      <c r="CT4069">
        <v>2</v>
      </c>
      <c r="CU4069">
        <v>0</v>
      </c>
      <c r="CV4069">
        <v>2</v>
      </c>
      <c r="CW4069">
        <v>0</v>
      </c>
      <c r="CX4069">
        <v>3</v>
      </c>
      <c r="CY4069">
        <v>7</v>
      </c>
      <c r="CZ4069" t="s">
        <v>131</v>
      </c>
      <c r="DA4069">
        <v>286</v>
      </c>
      <c r="DB4069">
        <v>0</v>
      </c>
      <c r="DC4069" t="s">
        <v>132</v>
      </c>
      <c r="DD4069" t="s">
        <v>133</v>
      </c>
      <c r="DG4069">
        <v>900558</v>
      </c>
      <c r="DI4069">
        <v>1</v>
      </c>
      <c r="DJ4069">
        <v>0</v>
      </c>
      <c r="DK4069">
        <v>1</v>
      </c>
      <c r="DL4069">
        <v>0</v>
      </c>
      <c r="DM4069">
        <v>0</v>
      </c>
      <c r="DN4069">
        <v>1</v>
      </c>
      <c r="DO4069">
        <v>0</v>
      </c>
      <c r="DP4069">
        <v>0</v>
      </c>
      <c r="DQ4069">
        <v>0</v>
      </c>
      <c r="DR4069">
        <v>0</v>
      </c>
      <c r="DS4069">
        <v>0</v>
      </c>
    </row>
    <row r="4070" spans="1:123" x14ac:dyDescent="0.3">
      <c r="A4070" t="str">
        <f t="shared" si="1494"/>
        <v>10/04/2022 19:36:30.357</v>
      </c>
      <c r="C4070" t="str">
        <f t="shared" si="1475"/>
        <v>FFDFD3C0</v>
      </c>
      <c r="D4070" t="s">
        <v>136</v>
      </c>
      <c r="E4070">
        <v>8</v>
      </c>
      <c r="H4070">
        <v>225</v>
      </c>
      <c r="I4070" t="s">
        <v>137</v>
      </c>
      <c r="J4070" t="s">
        <v>138</v>
      </c>
      <c r="K4070">
        <v>0</v>
      </c>
      <c r="L4070">
        <v>3</v>
      </c>
      <c r="M4070">
        <v>0</v>
      </c>
      <c r="N4070">
        <v>2</v>
      </c>
      <c r="O4070">
        <v>0</v>
      </c>
      <c r="P4070">
        <v>1</v>
      </c>
      <c r="Q4070">
        <v>0</v>
      </c>
      <c r="S4070" t="str">
        <f t="shared" si="1495"/>
        <v>19:36:29.000</v>
      </c>
      <c r="T4070" t="str">
        <f t="shared" si="1495"/>
        <v>19:36:29.000</v>
      </c>
      <c r="U4070" t="str">
        <f t="shared" si="1483"/>
        <v>AC3944</v>
      </c>
      <c r="V4070">
        <v>0</v>
      </c>
      <c r="W4070">
        <v>0</v>
      </c>
      <c r="X4070">
        <v>2</v>
      </c>
      <c r="Y4070">
        <v>0</v>
      </c>
      <c r="AA4070">
        <v>1</v>
      </c>
      <c r="AB4070">
        <v>8</v>
      </c>
      <c r="AC4070">
        <v>3</v>
      </c>
      <c r="AD4070">
        <v>0</v>
      </c>
      <c r="AE4070">
        <v>9</v>
      </c>
      <c r="AF4070" t="s">
        <v>138</v>
      </c>
      <c r="AG4070">
        <v>0</v>
      </c>
      <c r="AH4070">
        <v>3</v>
      </c>
      <c r="AI4070">
        <v>1</v>
      </c>
      <c r="AJ4070">
        <v>0</v>
      </c>
      <c r="AK4070" t="s">
        <v>1153</v>
      </c>
      <c r="AL4070">
        <v>32.733635999999997</v>
      </c>
      <c r="AM4070" t="s">
        <v>1310</v>
      </c>
      <c r="AN4070">
        <v>-116.676693</v>
      </c>
      <c r="AO4070">
        <v>25</v>
      </c>
      <c r="AP4070">
        <v>5000</v>
      </c>
      <c r="AQ4070" t="s">
        <v>129</v>
      </c>
      <c r="AR4070">
        <v>87</v>
      </c>
      <c r="AS4070">
        <v>102</v>
      </c>
      <c r="AT4070">
        <v>-512</v>
      </c>
      <c r="BB4070">
        <v>1200</v>
      </c>
      <c r="BC4070">
        <v>1</v>
      </c>
      <c r="BD4070" t="str">
        <f t="shared" si="1484"/>
        <v xml:space="preserve">N887QR  </v>
      </c>
      <c r="BE4070">
        <v>1</v>
      </c>
      <c r="BG4070">
        <v>0</v>
      </c>
      <c r="BH4070">
        <v>0</v>
      </c>
      <c r="BI4070">
        <v>0</v>
      </c>
      <c r="BJ4070">
        <v>4800</v>
      </c>
      <c r="BK4070">
        <v>-200</v>
      </c>
      <c r="BL4070" t="s">
        <v>163</v>
      </c>
      <c r="BM4070">
        <v>1</v>
      </c>
      <c r="BN4070">
        <v>1</v>
      </c>
      <c r="BO4070">
        <v>1</v>
      </c>
      <c r="BP4070">
        <v>0</v>
      </c>
      <c r="BS4070">
        <v>0</v>
      </c>
      <c r="BT4070">
        <v>0</v>
      </c>
      <c r="BU4070">
        <v>0</v>
      </c>
      <c r="CE4070" t="str">
        <f t="shared" si="1496"/>
        <v>19:36:29.534</v>
      </c>
      <c r="CF4070">
        <v>533525405</v>
      </c>
      <c r="CS4070">
        <v>0</v>
      </c>
      <c r="CT4070">
        <v>2</v>
      </c>
      <c r="CU4070">
        <v>0</v>
      </c>
      <c r="CV4070">
        <v>2</v>
      </c>
      <c r="CW4070">
        <v>0</v>
      </c>
      <c r="CX4070">
        <v>3</v>
      </c>
      <c r="CY4070">
        <v>7</v>
      </c>
      <c r="CZ4070" t="s">
        <v>131</v>
      </c>
      <c r="DA4070">
        <v>286</v>
      </c>
      <c r="DB4070">
        <v>0</v>
      </c>
      <c r="DC4070" t="s">
        <v>132</v>
      </c>
      <c r="DD4070" t="s">
        <v>133</v>
      </c>
      <c r="DG4070">
        <v>900558</v>
      </c>
      <c r="DI4070">
        <v>1</v>
      </c>
      <c r="DJ4070">
        <v>0</v>
      </c>
      <c r="DK4070">
        <v>1</v>
      </c>
      <c r="DL4070">
        <v>0</v>
      </c>
      <c r="DM4070">
        <v>0</v>
      </c>
      <c r="DN4070">
        <v>1</v>
      </c>
      <c r="DO4070">
        <v>0</v>
      </c>
      <c r="DP4070">
        <v>0</v>
      </c>
      <c r="DQ4070">
        <v>0</v>
      </c>
      <c r="DR4070">
        <v>0</v>
      </c>
      <c r="DS4070">
        <v>0</v>
      </c>
    </row>
    <row r="4071" spans="1:123" x14ac:dyDescent="0.3">
      <c r="A4071" t="str">
        <f>"10/04/2022 19:36:31.433"</f>
        <v>10/04/2022 19:36:31.433</v>
      </c>
      <c r="C4071" t="str">
        <f t="shared" si="1475"/>
        <v>FFDFD3C0</v>
      </c>
      <c r="D4071" t="s">
        <v>136</v>
      </c>
      <c r="E4071">
        <v>8</v>
      </c>
      <c r="H4071">
        <v>225</v>
      </c>
      <c r="I4071" t="s">
        <v>137</v>
      </c>
      <c r="J4071" t="s">
        <v>138</v>
      </c>
      <c r="K4071">
        <v>0</v>
      </c>
      <c r="L4071">
        <v>3</v>
      </c>
      <c r="M4071">
        <v>0</v>
      </c>
      <c r="N4071">
        <v>2</v>
      </c>
      <c r="O4071">
        <v>0</v>
      </c>
      <c r="P4071">
        <v>1</v>
      </c>
      <c r="Q4071">
        <v>0</v>
      </c>
      <c r="S4071" t="str">
        <f t="shared" ref="S4071:T4080" si="1497">"19:36:31.000"</f>
        <v>19:36:31.000</v>
      </c>
      <c r="T4071" t="str">
        <f t="shared" si="1497"/>
        <v>19:36:31.000</v>
      </c>
      <c r="U4071" t="str">
        <f t="shared" si="1483"/>
        <v>AC3944</v>
      </c>
      <c r="V4071">
        <v>0</v>
      </c>
      <c r="W4071">
        <v>0</v>
      </c>
      <c r="X4071">
        <v>2</v>
      </c>
      <c r="Y4071">
        <v>0</v>
      </c>
      <c r="AA4071">
        <v>1</v>
      </c>
      <c r="AB4071">
        <v>8</v>
      </c>
      <c r="AC4071">
        <v>3</v>
      </c>
      <c r="AD4071">
        <v>0</v>
      </c>
      <c r="AE4071">
        <v>9</v>
      </c>
      <c r="AF4071" t="s">
        <v>138</v>
      </c>
      <c r="AG4071">
        <v>0</v>
      </c>
      <c r="AH4071">
        <v>3</v>
      </c>
      <c r="AI4071">
        <v>1</v>
      </c>
      <c r="AJ4071">
        <v>0</v>
      </c>
      <c r="AK4071" t="s">
        <v>1311</v>
      </c>
      <c r="AL4071">
        <v>32.734493999999998</v>
      </c>
      <c r="AM4071" t="s">
        <v>1312</v>
      </c>
      <c r="AN4071">
        <v>-116.67583500000001</v>
      </c>
      <c r="AO4071">
        <v>25</v>
      </c>
      <c r="AP4071">
        <v>5000</v>
      </c>
      <c r="AQ4071" t="s">
        <v>129</v>
      </c>
      <c r="AR4071">
        <v>67</v>
      </c>
      <c r="AS4071">
        <v>119</v>
      </c>
      <c r="AT4071">
        <v>-896</v>
      </c>
      <c r="BB4071">
        <v>1200</v>
      </c>
      <c r="BC4071">
        <v>1</v>
      </c>
      <c r="BD4071" t="str">
        <f t="shared" si="1484"/>
        <v xml:space="preserve">N887QR  </v>
      </c>
      <c r="BE4071">
        <v>1</v>
      </c>
      <c r="BG4071">
        <v>0</v>
      </c>
      <c r="BH4071">
        <v>0</v>
      </c>
      <c r="BI4071">
        <v>0</v>
      </c>
      <c r="BJ4071">
        <v>4775</v>
      </c>
      <c r="BK4071">
        <v>-225</v>
      </c>
      <c r="BL4071" t="s">
        <v>163</v>
      </c>
      <c r="BM4071">
        <v>1</v>
      </c>
      <c r="BN4071">
        <v>1</v>
      </c>
      <c r="BO4071">
        <v>1</v>
      </c>
      <c r="BP4071">
        <v>0</v>
      </c>
      <c r="BS4071">
        <v>0</v>
      </c>
      <c r="BT4071">
        <v>0</v>
      </c>
      <c r="BU4071">
        <v>0</v>
      </c>
      <c r="CE4071" t="str">
        <f>"19:36:31.085"</f>
        <v>19:36:31.085</v>
      </c>
      <c r="CF4071">
        <v>84780714</v>
      </c>
      <c r="CS4071">
        <v>0</v>
      </c>
      <c r="CT4071">
        <v>2</v>
      </c>
      <c r="CU4071">
        <v>0</v>
      </c>
      <c r="CV4071">
        <v>2</v>
      </c>
      <c r="CW4071">
        <v>1</v>
      </c>
      <c r="CX4071">
        <v>4</v>
      </c>
      <c r="CY4071">
        <v>7</v>
      </c>
      <c r="CZ4071" t="s">
        <v>131</v>
      </c>
      <c r="DA4071">
        <v>286</v>
      </c>
      <c r="DB4071">
        <v>0</v>
      </c>
      <c r="DC4071" t="s">
        <v>132</v>
      </c>
      <c r="DD4071" t="s">
        <v>133</v>
      </c>
      <c r="DG4071">
        <v>900874</v>
      </c>
      <c r="DI4071">
        <v>1</v>
      </c>
      <c r="DJ4071">
        <v>0</v>
      </c>
      <c r="DK4071">
        <v>0</v>
      </c>
      <c r="DL4071">
        <v>0</v>
      </c>
      <c r="DM4071">
        <v>0</v>
      </c>
      <c r="DN4071">
        <v>1</v>
      </c>
      <c r="DO4071">
        <v>0</v>
      </c>
      <c r="DP4071">
        <v>0</v>
      </c>
      <c r="DQ4071">
        <v>0</v>
      </c>
      <c r="DR4071">
        <v>0</v>
      </c>
      <c r="DS4071">
        <v>0</v>
      </c>
    </row>
    <row r="4072" spans="1:123" x14ac:dyDescent="0.3">
      <c r="A4072" t="str">
        <f>"10/04/2022 19:36:31.433"</f>
        <v>10/04/2022 19:36:31.433</v>
      </c>
      <c r="C4072" t="str">
        <f t="shared" si="1475"/>
        <v>FFDFD3C0</v>
      </c>
      <c r="D4072" t="s">
        <v>134</v>
      </c>
      <c r="E4072">
        <v>15</v>
      </c>
      <c r="J4072" t="s">
        <v>135</v>
      </c>
      <c r="K4072">
        <v>0</v>
      </c>
      <c r="L4072">
        <v>3</v>
      </c>
      <c r="M4072">
        <v>0</v>
      </c>
      <c r="N4072">
        <v>2</v>
      </c>
      <c r="O4072">
        <v>0</v>
      </c>
      <c r="P4072">
        <v>1</v>
      </c>
      <c r="Q4072">
        <v>0</v>
      </c>
      <c r="S4072" t="str">
        <f t="shared" si="1497"/>
        <v>19:36:31.000</v>
      </c>
      <c r="T4072" t="str">
        <f t="shared" si="1497"/>
        <v>19:36:31.000</v>
      </c>
      <c r="U4072" t="str">
        <f t="shared" si="1483"/>
        <v>AC3944</v>
      </c>
      <c r="V4072">
        <v>0</v>
      </c>
      <c r="W4072">
        <v>0</v>
      </c>
      <c r="X4072">
        <v>2</v>
      </c>
      <c r="Y4072">
        <v>0</v>
      </c>
      <c r="AA4072">
        <v>1</v>
      </c>
      <c r="AB4072">
        <v>8</v>
      </c>
      <c r="AC4072">
        <v>3</v>
      </c>
      <c r="AD4072">
        <v>0</v>
      </c>
      <c r="AE4072">
        <v>9</v>
      </c>
      <c r="AF4072" t="s">
        <v>138</v>
      </c>
      <c r="AG4072">
        <v>0</v>
      </c>
      <c r="AH4072">
        <v>3</v>
      </c>
      <c r="AI4072">
        <v>1</v>
      </c>
      <c r="AJ4072">
        <v>0</v>
      </c>
      <c r="AK4072" t="s">
        <v>1311</v>
      </c>
      <c r="AL4072">
        <v>32.734493999999998</v>
      </c>
      <c r="AM4072" t="s">
        <v>1312</v>
      </c>
      <c r="AN4072">
        <v>-116.67583500000001</v>
      </c>
      <c r="AO4072">
        <v>25</v>
      </c>
      <c r="AP4072">
        <v>5000</v>
      </c>
      <c r="AQ4072" t="s">
        <v>129</v>
      </c>
      <c r="AR4072">
        <v>67</v>
      </c>
      <c r="AS4072">
        <v>119</v>
      </c>
      <c r="AT4072">
        <v>-896</v>
      </c>
      <c r="BB4072">
        <v>1200</v>
      </c>
      <c r="BC4072">
        <v>1</v>
      </c>
      <c r="BD4072" t="str">
        <f t="shared" si="1484"/>
        <v xml:space="preserve">N887QR  </v>
      </c>
      <c r="BE4072">
        <v>1</v>
      </c>
      <c r="BG4072">
        <v>0</v>
      </c>
      <c r="BH4072">
        <v>0</v>
      </c>
      <c r="BI4072">
        <v>0</v>
      </c>
      <c r="BJ4072">
        <v>4775</v>
      </c>
      <c r="BK4072">
        <v>-225</v>
      </c>
      <c r="BL4072" t="s">
        <v>163</v>
      </c>
      <c r="BM4072">
        <v>1</v>
      </c>
      <c r="BN4072">
        <v>1</v>
      </c>
      <c r="BO4072">
        <v>1</v>
      </c>
      <c r="BP4072">
        <v>0</v>
      </c>
      <c r="BS4072">
        <v>0</v>
      </c>
      <c r="BT4072">
        <v>0</v>
      </c>
      <c r="BU4072">
        <v>0</v>
      </c>
      <c r="CE4072" t="str">
        <f>"19:36:31.085"</f>
        <v>19:36:31.085</v>
      </c>
      <c r="CF4072">
        <v>84780714</v>
      </c>
      <c r="CS4072">
        <v>0</v>
      </c>
      <c r="CT4072">
        <v>2</v>
      </c>
      <c r="CU4072">
        <v>0</v>
      </c>
      <c r="CV4072">
        <v>2</v>
      </c>
      <c r="CW4072">
        <v>1</v>
      </c>
      <c r="CX4072">
        <v>4</v>
      </c>
      <c r="CY4072">
        <v>7</v>
      </c>
      <c r="CZ4072" t="s">
        <v>131</v>
      </c>
      <c r="DA4072">
        <v>286</v>
      </c>
      <c r="DB4072">
        <v>0</v>
      </c>
      <c r="DC4072" t="s">
        <v>132</v>
      </c>
      <c r="DD4072" t="s">
        <v>133</v>
      </c>
      <c r="DG4072">
        <v>900874</v>
      </c>
      <c r="DI4072">
        <v>1</v>
      </c>
      <c r="DJ4072">
        <v>0</v>
      </c>
      <c r="DK4072">
        <v>1</v>
      </c>
      <c r="DL4072">
        <v>0</v>
      </c>
      <c r="DM4072">
        <v>0</v>
      </c>
      <c r="DN4072">
        <v>1</v>
      </c>
      <c r="DO4072">
        <v>0</v>
      </c>
      <c r="DP4072">
        <v>0</v>
      </c>
      <c r="DQ4072">
        <v>0</v>
      </c>
      <c r="DR4072">
        <v>0</v>
      </c>
      <c r="DS4072">
        <v>0</v>
      </c>
    </row>
    <row r="4073" spans="1:123" x14ac:dyDescent="0.3">
      <c r="A4073" t="str">
        <f>"10/04/2022 19:36:31.542"</f>
        <v>10/04/2022 19:36:31.542</v>
      </c>
      <c r="C4073" t="str">
        <f t="shared" si="1475"/>
        <v>FFDFD3C0</v>
      </c>
      <c r="D4073" t="s">
        <v>143</v>
      </c>
      <c r="E4073">
        <v>20</v>
      </c>
      <c r="F4073">
        <v>1020</v>
      </c>
      <c r="G4073" t="s">
        <v>144</v>
      </c>
      <c r="J4073" t="s">
        <v>145</v>
      </c>
      <c r="K4073">
        <v>0</v>
      </c>
      <c r="L4073">
        <v>3</v>
      </c>
      <c r="M4073">
        <v>0</v>
      </c>
      <c r="N4073">
        <v>2</v>
      </c>
      <c r="O4073">
        <v>0</v>
      </c>
      <c r="P4073">
        <v>1</v>
      </c>
      <c r="Q4073">
        <v>0</v>
      </c>
      <c r="S4073" t="str">
        <f t="shared" si="1497"/>
        <v>19:36:31.000</v>
      </c>
      <c r="T4073" t="str">
        <f t="shared" si="1497"/>
        <v>19:36:31.000</v>
      </c>
      <c r="U4073" t="str">
        <f t="shared" si="1483"/>
        <v>AC3944</v>
      </c>
      <c r="V4073">
        <v>0</v>
      </c>
      <c r="W4073">
        <v>0</v>
      </c>
      <c r="X4073">
        <v>2</v>
      </c>
      <c r="Y4073">
        <v>0</v>
      </c>
      <c r="AA4073">
        <v>1</v>
      </c>
      <c r="AB4073">
        <v>8</v>
      </c>
      <c r="AC4073">
        <v>3</v>
      </c>
      <c r="AD4073">
        <v>0</v>
      </c>
      <c r="AE4073">
        <v>9</v>
      </c>
      <c r="AF4073" t="s">
        <v>138</v>
      </c>
      <c r="AG4073">
        <v>0</v>
      </c>
      <c r="AH4073">
        <v>3</v>
      </c>
      <c r="AI4073">
        <v>1</v>
      </c>
      <c r="AJ4073">
        <v>0</v>
      </c>
      <c r="AK4073" t="s">
        <v>1311</v>
      </c>
      <c r="AL4073">
        <v>32.734493999999998</v>
      </c>
      <c r="AM4073" t="s">
        <v>1312</v>
      </c>
      <c r="AN4073">
        <v>-116.67583500000001</v>
      </c>
      <c r="AO4073">
        <v>25</v>
      </c>
      <c r="AP4073">
        <v>5000</v>
      </c>
      <c r="AQ4073" t="s">
        <v>129</v>
      </c>
      <c r="AR4073">
        <v>67</v>
      </c>
      <c r="AS4073">
        <v>119</v>
      </c>
      <c r="AT4073">
        <v>-896</v>
      </c>
      <c r="BB4073">
        <v>1200</v>
      </c>
      <c r="BC4073">
        <v>1</v>
      </c>
      <c r="BD4073" t="str">
        <f t="shared" si="1484"/>
        <v xml:space="preserve">N887QR  </v>
      </c>
      <c r="BE4073">
        <v>1</v>
      </c>
      <c r="BG4073">
        <v>0</v>
      </c>
      <c r="BH4073">
        <v>0</v>
      </c>
      <c r="BI4073">
        <v>0</v>
      </c>
      <c r="BJ4073">
        <v>4775</v>
      </c>
      <c r="BK4073">
        <v>-225</v>
      </c>
      <c r="BL4073" t="s">
        <v>163</v>
      </c>
      <c r="BM4073">
        <v>1</v>
      </c>
      <c r="BN4073">
        <v>1</v>
      </c>
      <c r="BO4073">
        <v>1</v>
      </c>
      <c r="BP4073">
        <v>0</v>
      </c>
      <c r="BS4073">
        <v>0</v>
      </c>
      <c r="BT4073">
        <v>0</v>
      </c>
      <c r="BU4073">
        <v>0</v>
      </c>
      <c r="CE4073" t="str">
        <f>"19:36:31.085"</f>
        <v>19:36:31.085</v>
      </c>
      <c r="CF4073">
        <v>84780714</v>
      </c>
      <c r="CS4073">
        <v>0</v>
      </c>
      <c r="CT4073">
        <v>2</v>
      </c>
      <c r="CU4073">
        <v>0</v>
      </c>
      <c r="CV4073">
        <v>2</v>
      </c>
      <c r="CW4073">
        <v>1</v>
      </c>
      <c r="CX4073">
        <v>4</v>
      </c>
      <c r="CY4073">
        <v>7</v>
      </c>
      <c r="CZ4073" t="s">
        <v>131</v>
      </c>
      <c r="DA4073">
        <v>286</v>
      </c>
      <c r="DB4073">
        <v>0</v>
      </c>
      <c r="DC4073" t="s">
        <v>132</v>
      </c>
      <c r="DD4073" t="s">
        <v>133</v>
      </c>
      <c r="DG4073">
        <v>900874</v>
      </c>
      <c r="DI4073">
        <v>1</v>
      </c>
      <c r="DJ4073">
        <v>0</v>
      </c>
      <c r="DK4073">
        <v>1</v>
      </c>
      <c r="DL4073">
        <v>0</v>
      </c>
      <c r="DM4073">
        <v>0</v>
      </c>
      <c r="DN4073">
        <v>1</v>
      </c>
      <c r="DO4073">
        <v>0</v>
      </c>
      <c r="DP4073">
        <v>0</v>
      </c>
      <c r="DQ4073">
        <v>0</v>
      </c>
      <c r="DR4073">
        <v>0</v>
      </c>
      <c r="DS4073">
        <v>0</v>
      </c>
    </row>
    <row r="4074" spans="1:123" x14ac:dyDescent="0.3">
      <c r="A4074" t="str">
        <f t="shared" ref="A4074:A4080" si="1498">"10/04/2022 19:36:32.058"</f>
        <v>10/04/2022 19:36:32.058</v>
      </c>
      <c r="C4074" t="str">
        <f t="shared" si="1475"/>
        <v>FFDFD3C0</v>
      </c>
      <c r="D4074" t="s">
        <v>141</v>
      </c>
      <c r="E4074">
        <v>4</v>
      </c>
      <c r="H4074">
        <v>4</v>
      </c>
      <c r="I4074" t="s">
        <v>142</v>
      </c>
      <c r="J4074" t="s">
        <v>138</v>
      </c>
      <c r="K4074">
        <v>0</v>
      </c>
      <c r="L4074">
        <v>3</v>
      </c>
      <c r="M4074">
        <v>0</v>
      </c>
      <c r="N4074">
        <v>2</v>
      </c>
      <c r="O4074">
        <v>0</v>
      </c>
      <c r="P4074">
        <v>1</v>
      </c>
      <c r="Q4074">
        <v>0</v>
      </c>
      <c r="S4074" t="str">
        <f t="shared" si="1497"/>
        <v>19:36:31.000</v>
      </c>
      <c r="T4074" t="str">
        <f t="shared" si="1497"/>
        <v>19:36:31.000</v>
      </c>
      <c r="U4074" t="str">
        <f t="shared" si="1483"/>
        <v>AC3944</v>
      </c>
      <c r="V4074">
        <v>0</v>
      </c>
      <c r="W4074">
        <v>0</v>
      </c>
      <c r="X4074">
        <v>2</v>
      </c>
      <c r="Y4074">
        <v>0</v>
      </c>
      <c r="AA4074">
        <v>1</v>
      </c>
      <c r="AB4074">
        <v>8</v>
      </c>
      <c r="AC4074">
        <v>3</v>
      </c>
      <c r="AD4074">
        <v>0</v>
      </c>
      <c r="AE4074">
        <v>9</v>
      </c>
      <c r="AF4074" t="s">
        <v>138</v>
      </c>
      <c r="AG4074">
        <v>0</v>
      </c>
      <c r="AH4074">
        <v>3</v>
      </c>
      <c r="AI4074">
        <v>1</v>
      </c>
      <c r="AJ4074">
        <v>0</v>
      </c>
      <c r="AK4074" t="s">
        <v>1169</v>
      </c>
      <c r="AL4074">
        <v>32.735159000000003</v>
      </c>
      <c r="AM4074" t="s">
        <v>1313</v>
      </c>
      <c r="AN4074">
        <v>-116.67538399999999</v>
      </c>
      <c r="AO4074">
        <v>25</v>
      </c>
      <c r="AP4074">
        <v>5000</v>
      </c>
      <c r="AQ4074" t="s">
        <v>129</v>
      </c>
      <c r="AR4074">
        <v>56</v>
      </c>
      <c r="AS4074">
        <v>126</v>
      </c>
      <c r="AT4074">
        <v>-896</v>
      </c>
      <c r="BB4074">
        <v>1200</v>
      </c>
      <c r="BC4074">
        <v>1</v>
      </c>
      <c r="BD4074" t="str">
        <f t="shared" si="1484"/>
        <v xml:space="preserve">N887QR  </v>
      </c>
      <c r="BE4074">
        <v>1</v>
      </c>
      <c r="BG4074">
        <v>0</v>
      </c>
      <c r="BH4074">
        <v>0</v>
      </c>
      <c r="BI4074">
        <v>0</v>
      </c>
      <c r="BJ4074">
        <v>4750</v>
      </c>
      <c r="BK4074">
        <v>-250</v>
      </c>
      <c r="BL4074" t="s">
        <v>163</v>
      </c>
      <c r="BM4074">
        <v>1</v>
      </c>
      <c r="BN4074">
        <v>1</v>
      </c>
      <c r="BO4074">
        <v>1</v>
      </c>
      <c r="BP4074">
        <v>0</v>
      </c>
      <c r="BS4074">
        <v>0</v>
      </c>
      <c r="BT4074">
        <v>0</v>
      </c>
      <c r="BU4074">
        <v>0</v>
      </c>
      <c r="CE4074" t="str">
        <f t="shared" ref="CE4074:CE4080" si="1499">"19:36:31.790"</f>
        <v>19:36:31.790</v>
      </c>
      <c r="CF4074">
        <v>790033122</v>
      </c>
      <c r="CS4074">
        <v>0</v>
      </c>
      <c r="CT4074">
        <v>2</v>
      </c>
      <c r="CU4074">
        <v>0</v>
      </c>
      <c r="CV4074">
        <v>2</v>
      </c>
      <c r="CW4074">
        <v>0</v>
      </c>
      <c r="CX4074">
        <v>4</v>
      </c>
      <c r="CY4074">
        <v>7</v>
      </c>
      <c r="CZ4074" t="s">
        <v>131</v>
      </c>
      <c r="DA4074">
        <v>286</v>
      </c>
      <c r="DB4074">
        <v>0</v>
      </c>
      <c r="DC4074" t="s">
        <v>132</v>
      </c>
      <c r="DD4074" t="s">
        <v>133</v>
      </c>
      <c r="DG4074">
        <v>901020</v>
      </c>
      <c r="DI4074">
        <v>1</v>
      </c>
      <c r="DJ4074">
        <v>0</v>
      </c>
      <c r="DK4074">
        <v>0</v>
      </c>
      <c r="DL4074">
        <v>0</v>
      </c>
      <c r="DM4074">
        <v>0</v>
      </c>
      <c r="DN4074">
        <v>1</v>
      </c>
      <c r="DO4074">
        <v>0</v>
      </c>
      <c r="DP4074">
        <v>0</v>
      </c>
      <c r="DQ4074">
        <v>0</v>
      </c>
      <c r="DR4074">
        <v>0</v>
      </c>
      <c r="DS4074">
        <v>0</v>
      </c>
    </row>
    <row r="4075" spans="1:123" x14ac:dyDescent="0.3">
      <c r="A4075" t="str">
        <f t="shared" si="1498"/>
        <v>10/04/2022 19:36:32.058</v>
      </c>
      <c r="C4075" t="str">
        <f t="shared" ref="C4075:C4138" si="1500">"FFDFD3C0"</f>
        <v>FFDFD3C0</v>
      </c>
      <c r="D4075" t="s">
        <v>141</v>
      </c>
      <c r="E4075">
        <v>3</v>
      </c>
      <c r="H4075">
        <v>3</v>
      </c>
      <c r="I4075" t="s">
        <v>146</v>
      </c>
      <c r="J4075" t="s">
        <v>138</v>
      </c>
      <c r="K4075">
        <v>0</v>
      </c>
      <c r="L4075">
        <v>3</v>
      </c>
      <c r="M4075">
        <v>0</v>
      </c>
      <c r="N4075">
        <v>2</v>
      </c>
      <c r="O4075">
        <v>0</v>
      </c>
      <c r="P4075">
        <v>1</v>
      </c>
      <c r="Q4075">
        <v>0</v>
      </c>
      <c r="S4075" t="str">
        <f t="shared" si="1497"/>
        <v>19:36:31.000</v>
      </c>
      <c r="T4075" t="str">
        <f t="shared" si="1497"/>
        <v>19:36:31.000</v>
      </c>
      <c r="U4075" t="str">
        <f t="shared" si="1483"/>
        <v>AC3944</v>
      </c>
      <c r="V4075">
        <v>0</v>
      </c>
      <c r="W4075">
        <v>0</v>
      </c>
      <c r="X4075">
        <v>2</v>
      </c>
      <c r="Y4075">
        <v>0</v>
      </c>
      <c r="AA4075">
        <v>1</v>
      </c>
      <c r="AB4075">
        <v>8</v>
      </c>
      <c r="AC4075">
        <v>3</v>
      </c>
      <c r="AD4075">
        <v>0</v>
      </c>
      <c r="AE4075">
        <v>9</v>
      </c>
      <c r="AF4075" t="s">
        <v>138</v>
      </c>
      <c r="AG4075">
        <v>0</v>
      </c>
      <c r="AH4075">
        <v>3</v>
      </c>
      <c r="AI4075">
        <v>1</v>
      </c>
      <c r="AJ4075">
        <v>0</v>
      </c>
      <c r="AK4075" t="s">
        <v>1169</v>
      </c>
      <c r="AL4075">
        <v>32.735159000000003</v>
      </c>
      <c r="AM4075" t="s">
        <v>1313</v>
      </c>
      <c r="AN4075">
        <v>-116.67538399999999</v>
      </c>
      <c r="AO4075">
        <v>25</v>
      </c>
      <c r="AP4075">
        <v>5000</v>
      </c>
      <c r="AQ4075" t="s">
        <v>129</v>
      </c>
      <c r="AR4075">
        <v>56</v>
      </c>
      <c r="AS4075">
        <v>126</v>
      </c>
      <c r="AT4075">
        <v>-896</v>
      </c>
      <c r="BB4075">
        <v>1200</v>
      </c>
      <c r="BC4075">
        <v>1</v>
      </c>
      <c r="BD4075" t="str">
        <f t="shared" si="1484"/>
        <v xml:space="preserve">N887QR  </v>
      </c>
      <c r="BE4075">
        <v>1</v>
      </c>
      <c r="BG4075">
        <v>0</v>
      </c>
      <c r="BH4075">
        <v>0</v>
      </c>
      <c r="BI4075">
        <v>0</v>
      </c>
      <c r="BJ4075">
        <v>4750</v>
      </c>
      <c r="BK4075">
        <v>-250</v>
      </c>
      <c r="BL4075" t="s">
        <v>163</v>
      </c>
      <c r="BM4075">
        <v>1</v>
      </c>
      <c r="BN4075">
        <v>1</v>
      </c>
      <c r="BO4075">
        <v>1</v>
      </c>
      <c r="BP4075">
        <v>0</v>
      </c>
      <c r="BS4075">
        <v>0</v>
      </c>
      <c r="BT4075">
        <v>0</v>
      </c>
      <c r="BU4075">
        <v>0</v>
      </c>
      <c r="CE4075" t="str">
        <f t="shared" si="1499"/>
        <v>19:36:31.790</v>
      </c>
      <c r="CF4075">
        <v>790033122</v>
      </c>
      <c r="CS4075">
        <v>0</v>
      </c>
      <c r="CT4075">
        <v>2</v>
      </c>
      <c r="CU4075">
        <v>0</v>
      </c>
      <c r="CV4075">
        <v>2</v>
      </c>
      <c r="CW4075">
        <v>0</v>
      </c>
      <c r="CX4075">
        <v>4</v>
      </c>
      <c r="CY4075">
        <v>7</v>
      </c>
      <c r="CZ4075" t="s">
        <v>131</v>
      </c>
      <c r="DA4075">
        <v>286</v>
      </c>
      <c r="DB4075">
        <v>0</v>
      </c>
      <c r="DC4075" t="s">
        <v>132</v>
      </c>
      <c r="DD4075" t="s">
        <v>133</v>
      </c>
      <c r="DG4075">
        <v>901020</v>
      </c>
      <c r="DI4075">
        <v>1</v>
      </c>
      <c r="DJ4075">
        <v>0</v>
      </c>
      <c r="DK4075">
        <v>1</v>
      </c>
      <c r="DL4075">
        <v>0</v>
      </c>
      <c r="DM4075">
        <v>0</v>
      </c>
      <c r="DN4075">
        <v>1</v>
      </c>
      <c r="DO4075">
        <v>0</v>
      </c>
      <c r="DP4075">
        <v>0</v>
      </c>
      <c r="DQ4075">
        <v>0</v>
      </c>
      <c r="DR4075">
        <v>0</v>
      </c>
      <c r="DS4075">
        <v>0</v>
      </c>
    </row>
    <row r="4076" spans="1:123" x14ac:dyDescent="0.3">
      <c r="A4076" t="str">
        <f t="shared" si="1498"/>
        <v>10/04/2022 19:36:32.058</v>
      </c>
      <c r="C4076" t="str">
        <f t="shared" si="1500"/>
        <v>FFDFD3C0</v>
      </c>
      <c r="D4076" t="s">
        <v>136</v>
      </c>
      <c r="E4076">
        <v>8</v>
      </c>
      <c r="H4076">
        <v>225</v>
      </c>
      <c r="I4076" t="s">
        <v>137</v>
      </c>
      <c r="J4076" t="s">
        <v>138</v>
      </c>
      <c r="K4076">
        <v>0</v>
      </c>
      <c r="L4076">
        <v>3</v>
      </c>
      <c r="M4076">
        <v>0</v>
      </c>
      <c r="N4076">
        <v>2</v>
      </c>
      <c r="O4076">
        <v>0</v>
      </c>
      <c r="P4076">
        <v>1</v>
      </c>
      <c r="Q4076">
        <v>0</v>
      </c>
      <c r="S4076" t="str">
        <f t="shared" si="1497"/>
        <v>19:36:31.000</v>
      </c>
      <c r="T4076" t="str">
        <f t="shared" si="1497"/>
        <v>19:36:31.000</v>
      </c>
      <c r="U4076" t="str">
        <f t="shared" si="1483"/>
        <v>AC3944</v>
      </c>
      <c r="V4076">
        <v>0</v>
      </c>
      <c r="W4076">
        <v>0</v>
      </c>
      <c r="X4076">
        <v>2</v>
      </c>
      <c r="Y4076">
        <v>0</v>
      </c>
      <c r="AA4076">
        <v>1</v>
      </c>
      <c r="AB4076">
        <v>8</v>
      </c>
      <c r="AC4076">
        <v>3</v>
      </c>
      <c r="AD4076">
        <v>0</v>
      </c>
      <c r="AE4076">
        <v>9</v>
      </c>
      <c r="AF4076" t="s">
        <v>138</v>
      </c>
      <c r="AG4076">
        <v>0</v>
      </c>
      <c r="AH4076">
        <v>3</v>
      </c>
      <c r="AI4076">
        <v>1</v>
      </c>
      <c r="AJ4076">
        <v>0</v>
      </c>
      <c r="AK4076" t="s">
        <v>1169</v>
      </c>
      <c r="AL4076">
        <v>32.735159000000003</v>
      </c>
      <c r="AM4076" t="s">
        <v>1313</v>
      </c>
      <c r="AN4076">
        <v>-116.67538399999999</v>
      </c>
      <c r="AO4076">
        <v>25</v>
      </c>
      <c r="AP4076">
        <v>5000</v>
      </c>
      <c r="AQ4076" t="s">
        <v>129</v>
      </c>
      <c r="AR4076">
        <v>56</v>
      </c>
      <c r="AS4076">
        <v>126</v>
      </c>
      <c r="AT4076">
        <v>-896</v>
      </c>
      <c r="BB4076">
        <v>1200</v>
      </c>
      <c r="BC4076">
        <v>1</v>
      </c>
      <c r="BD4076" t="str">
        <f t="shared" si="1484"/>
        <v xml:space="preserve">N887QR  </v>
      </c>
      <c r="BE4076">
        <v>1</v>
      </c>
      <c r="BG4076">
        <v>0</v>
      </c>
      <c r="BH4076">
        <v>0</v>
      </c>
      <c r="BI4076">
        <v>0</v>
      </c>
      <c r="BJ4076">
        <v>4750</v>
      </c>
      <c r="BK4076">
        <v>-250</v>
      </c>
      <c r="BL4076" t="s">
        <v>163</v>
      </c>
      <c r="BM4076">
        <v>1</v>
      </c>
      <c r="BN4076">
        <v>1</v>
      </c>
      <c r="BO4076">
        <v>1</v>
      </c>
      <c r="BP4076">
        <v>0</v>
      </c>
      <c r="BS4076">
        <v>0</v>
      </c>
      <c r="BT4076">
        <v>0</v>
      </c>
      <c r="BU4076">
        <v>0</v>
      </c>
      <c r="CE4076" t="str">
        <f t="shared" si="1499"/>
        <v>19:36:31.790</v>
      </c>
      <c r="CF4076">
        <v>790033122</v>
      </c>
      <c r="CS4076">
        <v>0</v>
      </c>
      <c r="CT4076">
        <v>2</v>
      </c>
      <c r="CU4076">
        <v>0</v>
      </c>
      <c r="CV4076">
        <v>2</v>
      </c>
      <c r="CW4076">
        <v>0</v>
      </c>
      <c r="CX4076">
        <v>4</v>
      </c>
      <c r="CY4076">
        <v>7</v>
      </c>
      <c r="CZ4076" t="s">
        <v>131</v>
      </c>
      <c r="DA4076">
        <v>286</v>
      </c>
      <c r="DB4076">
        <v>0</v>
      </c>
      <c r="DC4076" t="s">
        <v>132</v>
      </c>
      <c r="DD4076" t="s">
        <v>133</v>
      </c>
      <c r="DG4076">
        <v>901020</v>
      </c>
      <c r="DI4076">
        <v>1</v>
      </c>
      <c r="DJ4076">
        <v>0</v>
      </c>
      <c r="DK4076">
        <v>1</v>
      </c>
      <c r="DL4076">
        <v>0</v>
      </c>
      <c r="DM4076">
        <v>0</v>
      </c>
      <c r="DN4076">
        <v>1</v>
      </c>
      <c r="DO4076">
        <v>0</v>
      </c>
      <c r="DP4076">
        <v>0</v>
      </c>
      <c r="DQ4076">
        <v>0</v>
      </c>
      <c r="DR4076">
        <v>0</v>
      </c>
      <c r="DS4076">
        <v>0</v>
      </c>
    </row>
    <row r="4077" spans="1:123" x14ac:dyDescent="0.3">
      <c r="A4077" t="str">
        <f t="shared" si="1498"/>
        <v>10/04/2022 19:36:32.058</v>
      </c>
      <c r="C4077" t="str">
        <f t="shared" si="1500"/>
        <v>FFDFD3C0</v>
      </c>
      <c r="D4077" t="s">
        <v>134</v>
      </c>
      <c r="E4077">
        <v>15</v>
      </c>
      <c r="J4077" t="s">
        <v>135</v>
      </c>
      <c r="K4077">
        <v>0</v>
      </c>
      <c r="L4077">
        <v>3</v>
      </c>
      <c r="M4077">
        <v>0</v>
      </c>
      <c r="N4077">
        <v>2</v>
      </c>
      <c r="O4077">
        <v>0</v>
      </c>
      <c r="P4077">
        <v>1</v>
      </c>
      <c r="Q4077">
        <v>0</v>
      </c>
      <c r="S4077" t="str">
        <f t="shared" si="1497"/>
        <v>19:36:31.000</v>
      </c>
      <c r="T4077" t="str">
        <f t="shared" si="1497"/>
        <v>19:36:31.000</v>
      </c>
      <c r="U4077" t="str">
        <f t="shared" si="1483"/>
        <v>AC3944</v>
      </c>
      <c r="V4077">
        <v>0</v>
      </c>
      <c r="W4077">
        <v>0</v>
      </c>
      <c r="X4077">
        <v>2</v>
      </c>
      <c r="Y4077">
        <v>0</v>
      </c>
      <c r="AA4077">
        <v>1</v>
      </c>
      <c r="AB4077">
        <v>8</v>
      </c>
      <c r="AC4077">
        <v>3</v>
      </c>
      <c r="AD4077">
        <v>0</v>
      </c>
      <c r="AE4077">
        <v>9</v>
      </c>
      <c r="AF4077" t="s">
        <v>138</v>
      </c>
      <c r="AG4077">
        <v>0</v>
      </c>
      <c r="AH4077">
        <v>3</v>
      </c>
      <c r="AI4077">
        <v>1</v>
      </c>
      <c r="AJ4077">
        <v>0</v>
      </c>
      <c r="AK4077" t="s">
        <v>1169</v>
      </c>
      <c r="AL4077">
        <v>32.735159000000003</v>
      </c>
      <c r="AM4077" t="s">
        <v>1313</v>
      </c>
      <c r="AN4077">
        <v>-116.67538399999999</v>
      </c>
      <c r="AO4077">
        <v>25</v>
      </c>
      <c r="AP4077">
        <v>5000</v>
      </c>
      <c r="AQ4077" t="s">
        <v>129</v>
      </c>
      <c r="AR4077">
        <v>56</v>
      </c>
      <c r="AS4077">
        <v>126</v>
      </c>
      <c r="AT4077">
        <v>-896</v>
      </c>
      <c r="BB4077">
        <v>1200</v>
      </c>
      <c r="BC4077">
        <v>1</v>
      </c>
      <c r="BD4077" t="str">
        <f t="shared" si="1484"/>
        <v xml:space="preserve">N887QR  </v>
      </c>
      <c r="BE4077">
        <v>1</v>
      </c>
      <c r="BG4077">
        <v>0</v>
      </c>
      <c r="BH4077">
        <v>0</v>
      </c>
      <c r="BI4077">
        <v>0</v>
      </c>
      <c r="BJ4077">
        <v>4750</v>
      </c>
      <c r="BK4077">
        <v>-250</v>
      </c>
      <c r="BL4077" t="s">
        <v>163</v>
      </c>
      <c r="BM4077">
        <v>1</v>
      </c>
      <c r="BN4077">
        <v>1</v>
      </c>
      <c r="BO4077">
        <v>1</v>
      </c>
      <c r="BP4077">
        <v>0</v>
      </c>
      <c r="BS4077">
        <v>0</v>
      </c>
      <c r="BT4077">
        <v>0</v>
      </c>
      <c r="BU4077">
        <v>0</v>
      </c>
      <c r="CE4077" t="str">
        <f t="shared" si="1499"/>
        <v>19:36:31.790</v>
      </c>
      <c r="CF4077">
        <v>790033122</v>
      </c>
      <c r="CS4077">
        <v>0</v>
      </c>
      <c r="CT4077">
        <v>2</v>
      </c>
      <c r="CU4077">
        <v>0</v>
      </c>
      <c r="CV4077">
        <v>2</v>
      </c>
      <c r="CW4077">
        <v>0</v>
      </c>
      <c r="CX4077">
        <v>4</v>
      </c>
      <c r="CY4077">
        <v>7</v>
      </c>
      <c r="CZ4077" t="s">
        <v>131</v>
      </c>
      <c r="DA4077">
        <v>286</v>
      </c>
      <c r="DB4077">
        <v>0</v>
      </c>
      <c r="DC4077" t="s">
        <v>132</v>
      </c>
      <c r="DD4077" t="s">
        <v>133</v>
      </c>
      <c r="DG4077">
        <v>901020</v>
      </c>
      <c r="DI4077">
        <v>1</v>
      </c>
      <c r="DJ4077">
        <v>0</v>
      </c>
      <c r="DK4077">
        <v>1</v>
      </c>
      <c r="DL4077">
        <v>0</v>
      </c>
      <c r="DM4077">
        <v>0</v>
      </c>
      <c r="DN4077">
        <v>1</v>
      </c>
      <c r="DO4077">
        <v>0</v>
      </c>
      <c r="DP4077">
        <v>0</v>
      </c>
      <c r="DQ4077">
        <v>0</v>
      </c>
      <c r="DR4077">
        <v>0</v>
      </c>
      <c r="DS4077">
        <v>0</v>
      </c>
    </row>
    <row r="4078" spans="1:123" x14ac:dyDescent="0.3">
      <c r="A4078" t="str">
        <f t="shared" si="1498"/>
        <v>10/04/2022 19:36:32.058</v>
      </c>
      <c r="C4078" t="str">
        <f t="shared" si="1500"/>
        <v>FFDFD3C0</v>
      </c>
      <c r="D4078" t="s">
        <v>143</v>
      </c>
      <c r="E4078">
        <v>20</v>
      </c>
      <c r="F4078">
        <v>1020</v>
      </c>
      <c r="G4078" t="s">
        <v>144</v>
      </c>
      <c r="J4078" t="s">
        <v>145</v>
      </c>
      <c r="K4078">
        <v>0</v>
      </c>
      <c r="L4078">
        <v>3</v>
      </c>
      <c r="M4078">
        <v>0</v>
      </c>
      <c r="N4078">
        <v>2</v>
      </c>
      <c r="O4078">
        <v>0</v>
      </c>
      <c r="P4078">
        <v>1</v>
      </c>
      <c r="Q4078">
        <v>0</v>
      </c>
      <c r="S4078" t="str">
        <f t="shared" si="1497"/>
        <v>19:36:31.000</v>
      </c>
      <c r="T4078" t="str">
        <f t="shared" si="1497"/>
        <v>19:36:31.000</v>
      </c>
      <c r="U4078" t="str">
        <f t="shared" si="1483"/>
        <v>AC3944</v>
      </c>
      <c r="V4078">
        <v>0</v>
      </c>
      <c r="W4078">
        <v>0</v>
      </c>
      <c r="X4078">
        <v>2</v>
      </c>
      <c r="Y4078">
        <v>0</v>
      </c>
      <c r="AA4078">
        <v>1</v>
      </c>
      <c r="AB4078">
        <v>8</v>
      </c>
      <c r="AC4078">
        <v>3</v>
      </c>
      <c r="AD4078">
        <v>0</v>
      </c>
      <c r="AE4078">
        <v>9</v>
      </c>
      <c r="AF4078" t="s">
        <v>138</v>
      </c>
      <c r="AG4078">
        <v>0</v>
      </c>
      <c r="AH4078">
        <v>3</v>
      </c>
      <c r="AI4078">
        <v>1</v>
      </c>
      <c r="AJ4078">
        <v>0</v>
      </c>
      <c r="AK4078" t="s">
        <v>1169</v>
      </c>
      <c r="AL4078">
        <v>32.735159000000003</v>
      </c>
      <c r="AM4078" t="s">
        <v>1313</v>
      </c>
      <c r="AN4078">
        <v>-116.67538399999999</v>
      </c>
      <c r="AO4078">
        <v>25</v>
      </c>
      <c r="AP4078">
        <v>5000</v>
      </c>
      <c r="AQ4078" t="s">
        <v>129</v>
      </c>
      <c r="AR4078">
        <v>56</v>
      </c>
      <c r="AS4078">
        <v>126</v>
      </c>
      <c r="AT4078">
        <v>-896</v>
      </c>
      <c r="BB4078">
        <v>1200</v>
      </c>
      <c r="BC4078">
        <v>1</v>
      </c>
      <c r="BD4078" t="str">
        <f t="shared" si="1484"/>
        <v xml:space="preserve">N887QR  </v>
      </c>
      <c r="BE4078">
        <v>1</v>
      </c>
      <c r="BG4078">
        <v>0</v>
      </c>
      <c r="BH4078">
        <v>0</v>
      </c>
      <c r="BI4078">
        <v>0</v>
      </c>
      <c r="BJ4078">
        <v>4750</v>
      </c>
      <c r="BK4078">
        <v>-250</v>
      </c>
      <c r="BL4078" t="s">
        <v>163</v>
      </c>
      <c r="BM4078">
        <v>1</v>
      </c>
      <c r="BN4078">
        <v>1</v>
      </c>
      <c r="BO4078">
        <v>1</v>
      </c>
      <c r="BP4078">
        <v>0</v>
      </c>
      <c r="BS4078">
        <v>0</v>
      </c>
      <c r="BT4078">
        <v>0</v>
      </c>
      <c r="BU4078">
        <v>0</v>
      </c>
      <c r="CE4078" t="str">
        <f t="shared" si="1499"/>
        <v>19:36:31.790</v>
      </c>
      <c r="CF4078">
        <v>790033122</v>
      </c>
      <c r="CS4078">
        <v>0</v>
      </c>
      <c r="CT4078">
        <v>2</v>
      </c>
      <c r="CU4078">
        <v>0</v>
      </c>
      <c r="CV4078">
        <v>2</v>
      </c>
      <c r="CW4078">
        <v>0</v>
      </c>
      <c r="CX4078">
        <v>4</v>
      </c>
      <c r="CY4078">
        <v>7</v>
      </c>
      <c r="CZ4078" t="s">
        <v>131</v>
      </c>
      <c r="DA4078">
        <v>286</v>
      </c>
      <c r="DB4078">
        <v>0</v>
      </c>
      <c r="DC4078" t="s">
        <v>132</v>
      </c>
      <c r="DD4078" t="s">
        <v>133</v>
      </c>
      <c r="DG4078">
        <v>901020</v>
      </c>
      <c r="DI4078">
        <v>1</v>
      </c>
      <c r="DJ4078">
        <v>0</v>
      </c>
      <c r="DK4078">
        <v>1</v>
      </c>
      <c r="DL4078">
        <v>0</v>
      </c>
      <c r="DM4078">
        <v>0</v>
      </c>
      <c r="DN4078">
        <v>1</v>
      </c>
      <c r="DO4078">
        <v>0</v>
      </c>
      <c r="DP4078">
        <v>0</v>
      </c>
      <c r="DQ4078">
        <v>0</v>
      </c>
      <c r="DR4078">
        <v>0</v>
      </c>
      <c r="DS4078">
        <v>0</v>
      </c>
    </row>
    <row r="4079" spans="1:123" x14ac:dyDescent="0.3">
      <c r="A4079" t="str">
        <f t="shared" si="1498"/>
        <v>10/04/2022 19:36:32.058</v>
      </c>
      <c r="C4079" t="str">
        <f t="shared" si="1500"/>
        <v>FFDFD3C0</v>
      </c>
      <c r="D4079" t="s">
        <v>147</v>
      </c>
      <c r="E4079">
        <v>3</v>
      </c>
      <c r="H4079">
        <v>166</v>
      </c>
      <c r="I4079" t="s">
        <v>144</v>
      </c>
      <c r="J4079" t="s">
        <v>148</v>
      </c>
      <c r="K4079">
        <v>0</v>
      </c>
      <c r="L4079">
        <v>3</v>
      </c>
      <c r="M4079">
        <v>0</v>
      </c>
      <c r="N4079">
        <v>2</v>
      </c>
      <c r="O4079">
        <v>0</v>
      </c>
      <c r="P4079">
        <v>1</v>
      </c>
      <c r="Q4079">
        <v>0</v>
      </c>
      <c r="S4079" t="str">
        <f t="shared" si="1497"/>
        <v>19:36:31.000</v>
      </c>
      <c r="T4079" t="str">
        <f t="shared" si="1497"/>
        <v>19:36:31.000</v>
      </c>
      <c r="U4079" t="str">
        <f t="shared" si="1483"/>
        <v>AC3944</v>
      </c>
      <c r="V4079">
        <v>0</v>
      </c>
      <c r="W4079">
        <v>0</v>
      </c>
      <c r="X4079">
        <v>2</v>
      </c>
      <c r="Y4079">
        <v>0</v>
      </c>
      <c r="AA4079">
        <v>1</v>
      </c>
      <c r="AB4079">
        <v>8</v>
      </c>
      <c r="AC4079">
        <v>3</v>
      </c>
      <c r="AD4079">
        <v>0</v>
      </c>
      <c r="AE4079">
        <v>9</v>
      </c>
      <c r="AF4079" t="s">
        <v>138</v>
      </c>
      <c r="AG4079">
        <v>0</v>
      </c>
      <c r="AH4079">
        <v>3</v>
      </c>
      <c r="AI4079">
        <v>1</v>
      </c>
      <c r="AJ4079">
        <v>0</v>
      </c>
      <c r="AK4079" t="s">
        <v>1169</v>
      </c>
      <c r="AL4079">
        <v>32.735159000000003</v>
      </c>
      <c r="AM4079" t="s">
        <v>1313</v>
      </c>
      <c r="AN4079">
        <v>-116.67538399999999</v>
      </c>
      <c r="AO4079">
        <v>25</v>
      </c>
      <c r="AP4079">
        <v>5000</v>
      </c>
      <c r="AQ4079" t="s">
        <v>129</v>
      </c>
      <c r="AR4079">
        <v>56</v>
      </c>
      <c r="AS4079">
        <v>126</v>
      </c>
      <c r="AT4079">
        <v>-896</v>
      </c>
      <c r="BB4079">
        <v>1200</v>
      </c>
      <c r="BC4079">
        <v>1</v>
      </c>
      <c r="BD4079" t="str">
        <f t="shared" si="1484"/>
        <v xml:space="preserve">N887QR  </v>
      </c>
      <c r="BE4079">
        <v>1</v>
      </c>
      <c r="BG4079">
        <v>0</v>
      </c>
      <c r="BH4079">
        <v>0</v>
      </c>
      <c r="BI4079">
        <v>0</v>
      </c>
      <c r="BJ4079">
        <v>4750</v>
      </c>
      <c r="BK4079">
        <v>-250</v>
      </c>
      <c r="BL4079" t="s">
        <v>163</v>
      </c>
      <c r="BM4079">
        <v>1</v>
      </c>
      <c r="BN4079">
        <v>1</v>
      </c>
      <c r="BO4079">
        <v>1</v>
      </c>
      <c r="BP4079">
        <v>0</v>
      </c>
      <c r="BS4079">
        <v>0</v>
      </c>
      <c r="BT4079">
        <v>0</v>
      </c>
      <c r="BU4079">
        <v>0</v>
      </c>
      <c r="CE4079" t="str">
        <f t="shared" si="1499"/>
        <v>19:36:31.790</v>
      </c>
      <c r="CF4079">
        <v>790033122</v>
      </c>
      <c r="CS4079">
        <v>0</v>
      </c>
      <c r="CT4079">
        <v>2</v>
      </c>
      <c r="CU4079">
        <v>0</v>
      </c>
      <c r="CV4079">
        <v>2</v>
      </c>
      <c r="CW4079">
        <v>0</v>
      </c>
      <c r="CX4079">
        <v>4</v>
      </c>
      <c r="CY4079">
        <v>7</v>
      </c>
      <c r="CZ4079" t="s">
        <v>131</v>
      </c>
      <c r="DA4079">
        <v>286</v>
      </c>
      <c r="DB4079">
        <v>0</v>
      </c>
      <c r="DC4079" t="s">
        <v>132</v>
      </c>
      <c r="DD4079" t="s">
        <v>133</v>
      </c>
      <c r="DG4079">
        <v>901020</v>
      </c>
      <c r="DI4079">
        <v>1</v>
      </c>
      <c r="DJ4079">
        <v>0</v>
      </c>
      <c r="DK4079">
        <v>1</v>
      </c>
      <c r="DL4079">
        <v>0</v>
      </c>
      <c r="DM4079">
        <v>0</v>
      </c>
      <c r="DN4079">
        <v>1</v>
      </c>
      <c r="DO4079">
        <v>0</v>
      </c>
      <c r="DP4079">
        <v>0</v>
      </c>
      <c r="DQ4079">
        <v>0</v>
      </c>
      <c r="DR4079">
        <v>0</v>
      </c>
      <c r="DS4079">
        <v>0</v>
      </c>
    </row>
    <row r="4080" spans="1:123" x14ac:dyDescent="0.3">
      <c r="A4080" t="str">
        <f t="shared" si="1498"/>
        <v>10/04/2022 19:36:32.058</v>
      </c>
      <c r="C4080" t="str">
        <f t="shared" si="1500"/>
        <v>FFDFD3C0</v>
      </c>
      <c r="D4080" t="s">
        <v>123</v>
      </c>
      <c r="E4080">
        <v>7</v>
      </c>
      <c r="F4080">
        <v>2007</v>
      </c>
      <c r="G4080" t="s">
        <v>124</v>
      </c>
      <c r="J4080" t="s">
        <v>125</v>
      </c>
      <c r="K4080">
        <v>0</v>
      </c>
      <c r="L4080">
        <v>3</v>
      </c>
      <c r="M4080">
        <v>0</v>
      </c>
      <c r="N4080">
        <v>2</v>
      </c>
      <c r="O4080">
        <v>0</v>
      </c>
      <c r="P4080">
        <v>1</v>
      </c>
      <c r="Q4080">
        <v>0</v>
      </c>
      <c r="S4080" t="str">
        <f t="shared" si="1497"/>
        <v>19:36:31.000</v>
      </c>
      <c r="T4080" t="str">
        <f t="shared" si="1497"/>
        <v>19:36:31.000</v>
      </c>
      <c r="U4080" t="str">
        <f t="shared" si="1483"/>
        <v>AC3944</v>
      </c>
      <c r="V4080">
        <v>0</v>
      </c>
      <c r="W4080">
        <v>0</v>
      </c>
      <c r="X4080">
        <v>2</v>
      </c>
      <c r="Y4080">
        <v>0</v>
      </c>
      <c r="AA4080">
        <v>1</v>
      </c>
      <c r="AB4080">
        <v>8</v>
      </c>
      <c r="AC4080">
        <v>3</v>
      </c>
      <c r="AD4080">
        <v>0</v>
      </c>
      <c r="AE4080">
        <v>9</v>
      </c>
      <c r="AF4080" t="s">
        <v>138</v>
      </c>
      <c r="AG4080">
        <v>0</v>
      </c>
      <c r="AH4080">
        <v>3</v>
      </c>
      <c r="AI4080">
        <v>1</v>
      </c>
      <c r="AJ4080">
        <v>0</v>
      </c>
      <c r="AK4080" t="s">
        <v>1169</v>
      </c>
      <c r="AL4080">
        <v>32.735159000000003</v>
      </c>
      <c r="AM4080" t="s">
        <v>1313</v>
      </c>
      <c r="AN4080">
        <v>-116.67538399999999</v>
      </c>
      <c r="AO4080">
        <v>25</v>
      </c>
      <c r="AP4080">
        <v>5000</v>
      </c>
      <c r="AQ4080" t="s">
        <v>129</v>
      </c>
      <c r="AR4080">
        <v>56</v>
      </c>
      <c r="AS4080">
        <v>126</v>
      </c>
      <c r="AT4080">
        <v>-896</v>
      </c>
      <c r="BB4080">
        <v>1200</v>
      </c>
      <c r="BC4080">
        <v>1</v>
      </c>
      <c r="BD4080" t="str">
        <f t="shared" si="1484"/>
        <v xml:space="preserve">N887QR  </v>
      </c>
      <c r="BE4080">
        <v>1</v>
      </c>
      <c r="BG4080">
        <v>0</v>
      </c>
      <c r="BH4080">
        <v>0</v>
      </c>
      <c r="BI4080">
        <v>0</v>
      </c>
      <c r="BJ4080">
        <v>4750</v>
      </c>
      <c r="BK4080">
        <v>-250</v>
      </c>
      <c r="BL4080" t="s">
        <v>163</v>
      </c>
      <c r="BM4080">
        <v>1</v>
      </c>
      <c r="BN4080">
        <v>1</v>
      </c>
      <c r="BO4080">
        <v>1</v>
      </c>
      <c r="BP4080">
        <v>0</v>
      </c>
      <c r="BS4080">
        <v>0</v>
      </c>
      <c r="BT4080">
        <v>0</v>
      </c>
      <c r="BU4080">
        <v>0</v>
      </c>
      <c r="CE4080" t="str">
        <f t="shared" si="1499"/>
        <v>19:36:31.790</v>
      </c>
      <c r="CF4080">
        <v>790033122</v>
      </c>
      <c r="CS4080">
        <v>0</v>
      </c>
      <c r="CT4080">
        <v>2</v>
      </c>
      <c r="CU4080">
        <v>0</v>
      </c>
      <c r="CV4080">
        <v>2</v>
      </c>
      <c r="CW4080">
        <v>0</v>
      </c>
      <c r="CX4080">
        <v>4</v>
      </c>
      <c r="CY4080">
        <v>7</v>
      </c>
      <c r="CZ4080" t="s">
        <v>131</v>
      </c>
      <c r="DA4080">
        <v>286</v>
      </c>
      <c r="DB4080">
        <v>0</v>
      </c>
      <c r="DC4080" t="s">
        <v>132</v>
      </c>
      <c r="DD4080" t="s">
        <v>133</v>
      </c>
      <c r="DG4080">
        <v>901020</v>
      </c>
      <c r="DI4080">
        <v>1</v>
      </c>
      <c r="DJ4080">
        <v>0</v>
      </c>
      <c r="DK4080">
        <v>1</v>
      </c>
      <c r="DL4080">
        <v>0</v>
      </c>
      <c r="DM4080">
        <v>0</v>
      </c>
      <c r="DN4080">
        <v>1</v>
      </c>
      <c r="DO4080">
        <v>0</v>
      </c>
      <c r="DP4080">
        <v>0</v>
      </c>
      <c r="DQ4080">
        <v>0</v>
      </c>
      <c r="DR4080">
        <v>0</v>
      </c>
      <c r="DS4080">
        <v>0</v>
      </c>
    </row>
    <row r="4081" spans="1:123" x14ac:dyDescent="0.3">
      <c r="A4081" t="str">
        <f t="shared" ref="A4081:A4086" si="1501">"10/04/2022 19:36:33.667"</f>
        <v>10/04/2022 19:36:33.667</v>
      </c>
      <c r="C4081" t="str">
        <f t="shared" si="1500"/>
        <v>FFDFD3C0</v>
      </c>
      <c r="D4081" t="s">
        <v>141</v>
      </c>
      <c r="E4081">
        <v>3</v>
      </c>
      <c r="H4081">
        <v>3</v>
      </c>
      <c r="I4081" t="s">
        <v>146</v>
      </c>
      <c r="J4081" t="s">
        <v>138</v>
      </c>
      <c r="K4081">
        <v>0</v>
      </c>
      <c r="L4081">
        <v>3</v>
      </c>
      <c r="M4081">
        <v>0</v>
      </c>
      <c r="N4081">
        <v>2</v>
      </c>
      <c r="O4081">
        <v>0</v>
      </c>
      <c r="P4081">
        <v>1</v>
      </c>
      <c r="Q4081">
        <v>0</v>
      </c>
      <c r="S4081" t="str">
        <f t="shared" ref="S4081:T4094" si="1502">"19:36:33.000"</f>
        <v>19:36:33.000</v>
      </c>
      <c r="T4081" t="str">
        <f t="shared" si="1502"/>
        <v>19:36:33.000</v>
      </c>
      <c r="U4081" t="str">
        <f t="shared" si="1483"/>
        <v>AC3944</v>
      </c>
      <c r="V4081">
        <v>0</v>
      </c>
      <c r="W4081">
        <v>0</v>
      </c>
      <c r="X4081">
        <v>2</v>
      </c>
      <c r="Y4081">
        <v>0</v>
      </c>
      <c r="AA4081">
        <v>1</v>
      </c>
      <c r="AB4081">
        <v>8</v>
      </c>
      <c r="AC4081">
        <v>3</v>
      </c>
      <c r="AD4081">
        <v>0</v>
      </c>
      <c r="AE4081">
        <v>9</v>
      </c>
      <c r="AF4081" t="s">
        <v>138</v>
      </c>
      <c r="AG4081">
        <v>0</v>
      </c>
      <c r="AH4081">
        <v>3</v>
      </c>
      <c r="AI4081">
        <v>1</v>
      </c>
      <c r="AJ4081">
        <v>0</v>
      </c>
      <c r="AK4081" t="s">
        <v>1314</v>
      </c>
      <c r="AL4081">
        <v>32.735759999999999</v>
      </c>
      <c r="AM4081" t="s">
        <v>1315</v>
      </c>
      <c r="AN4081">
        <v>-116.675105</v>
      </c>
      <c r="AO4081">
        <v>25</v>
      </c>
      <c r="AP4081">
        <v>4900</v>
      </c>
      <c r="AQ4081" t="s">
        <v>129</v>
      </c>
      <c r="AR4081">
        <v>34</v>
      </c>
      <c r="AS4081">
        <v>136</v>
      </c>
      <c r="AT4081">
        <v>-1152</v>
      </c>
      <c r="BB4081">
        <v>1200</v>
      </c>
      <c r="BC4081">
        <v>1</v>
      </c>
      <c r="BD4081" t="str">
        <f t="shared" si="1484"/>
        <v xml:space="preserve">N887QR  </v>
      </c>
      <c r="BE4081">
        <v>1</v>
      </c>
      <c r="BG4081">
        <v>0</v>
      </c>
      <c r="BH4081">
        <v>0</v>
      </c>
      <c r="BI4081">
        <v>0</v>
      </c>
      <c r="BJ4081">
        <v>4750</v>
      </c>
      <c r="BK4081">
        <v>-150</v>
      </c>
      <c r="BL4081" t="s">
        <v>163</v>
      </c>
      <c r="BM4081">
        <v>1</v>
      </c>
      <c r="BN4081">
        <v>1</v>
      </c>
      <c r="BO4081">
        <v>1</v>
      </c>
      <c r="BP4081">
        <v>0</v>
      </c>
      <c r="BS4081">
        <v>0</v>
      </c>
      <c r="BT4081">
        <v>0</v>
      </c>
      <c r="BU4081">
        <v>0</v>
      </c>
      <c r="CE4081" t="str">
        <f t="shared" ref="CE4081:CE4087" si="1503">"19:36:33.461"</f>
        <v>19:36:33.461</v>
      </c>
      <c r="CF4081">
        <v>461350763</v>
      </c>
      <c r="CS4081">
        <v>0</v>
      </c>
      <c r="CT4081">
        <v>2</v>
      </c>
      <c r="CU4081">
        <v>0</v>
      </c>
      <c r="CV4081">
        <v>2</v>
      </c>
      <c r="CW4081">
        <v>0</v>
      </c>
      <c r="CX4081">
        <v>2</v>
      </c>
      <c r="CY4081">
        <v>7</v>
      </c>
      <c r="CZ4081" t="s">
        <v>131</v>
      </c>
      <c r="DA4081">
        <v>300</v>
      </c>
      <c r="DB4081">
        <v>0</v>
      </c>
      <c r="DC4081" t="s">
        <v>176</v>
      </c>
      <c r="DD4081" t="s">
        <v>177</v>
      </c>
      <c r="DG4081">
        <v>5455281</v>
      </c>
      <c r="DI4081">
        <v>1</v>
      </c>
      <c r="DJ4081">
        <v>0</v>
      </c>
      <c r="DK4081">
        <v>0</v>
      </c>
      <c r="DL4081">
        <v>0</v>
      </c>
      <c r="DM4081">
        <v>0</v>
      </c>
      <c r="DN4081">
        <v>1</v>
      </c>
      <c r="DO4081">
        <v>0</v>
      </c>
      <c r="DP4081">
        <v>0</v>
      </c>
      <c r="DQ4081">
        <v>0</v>
      </c>
      <c r="DR4081">
        <v>0</v>
      </c>
      <c r="DS4081">
        <v>0</v>
      </c>
    </row>
    <row r="4082" spans="1:123" x14ac:dyDescent="0.3">
      <c r="A4082" t="str">
        <f t="shared" si="1501"/>
        <v>10/04/2022 19:36:33.667</v>
      </c>
      <c r="C4082" t="str">
        <f t="shared" si="1500"/>
        <v>FFDFD3C0</v>
      </c>
      <c r="D4082" t="s">
        <v>136</v>
      </c>
      <c r="E4082">
        <v>8</v>
      </c>
      <c r="H4082">
        <v>225</v>
      </c>
      <c r="I4082" t="s">
        <v>137</v>
      </c>
      <c r="J4082" t="s">
        <v>138</v>
      </c>
      <c r="K4082">
        <v>0</v>
      </c>
      <c r="L4082">
        <v>3</v>
      </c>
      <c r="M4082">
        <v>0</v>
      </c>
      <c r="N4082">
        <v>2</v>
      </c>
      <c r="O4082">
        <v>0</v>
      </c>
      <c r="P4082">
        <v>1</v>
      </c>
      <c r="Q4082">
        <v>0</v>
      </c>
      <c r="S4082" t="str">
        <f t="shared" si="1502"/>
        <v>19:36:33.000</v>
      </c>
      <c r="T4082" t="str">
        <f t="shared" si="1502"/>
        <v>19:36:33.000</v>
      </c>
      <c r="U4082" t="str">
        <f t="shared" si="1483"/>
        <v>AC3944</v>
      </c>
      <c r="V4082">
        <v>0</v>
      </c>
      <c r="W4082">
        <v>0</v>
      </c>
      <c r="X4082">
        <v>2</v>
      </c>
      <c r="Y4082">
        <v>0</v>
      </c>
      <c r="AA4082">
        <v>1</v>
      </c>
      <c r="AB4082">
        <v>8</v>
      </c>
      <c r="AC4082">
        <v>3</v>
      </c>
      <c r="AD4082">
        <v>0</v>
      </c>
      <c r="AE4082">
        <v>9</v>
      </c>
      <c r="AF4082" t="s">
        <v>138</v>
      </c>
      <c r="AG4082">
        <v>0</v>
      </c>
      <c r="AH4082">
        <v>3</v>
      </c>
      <c r="AI4082">
        <v>1</v>
      </c>
      <c r="AJ4082">
        <v>0</v>
      </c>
      <c r="AK4082" t="s">
        <v>1314</v>
      </c>
      <c r="AL4082">
        <v>32.735759999999999</v>
      </c>
      <c r="AM4082" t="s">
        <v>1315</v>
      </c>
      <c r="AN4082">
        <v>-116.675105</v>
      </c>
      <c r="AO4082">
        <v>25</v>
      </c>
      <c r="AP4082">
        <v>4900</v>
      </c>
      <c r="AQ4082" t="s">
        <v>129</v>
      </c>
      <c r="AR4082">
        <v>34</v>
      </c>
      <c r="AS4082">
        <v>136</v>
      </c>
      <c r="AT4082">
        <v>-1152</v>
      </c>
      <c r="BB4082">
        <v>1200</v>
      </c>
      <c r="BC4082">
        <v>1</v>
      </c>
      <c r="BD4082" t="str">
        <f t="shared" si="1484"/>
        <v xml:space="preserve">N887QR  </v>
      </c>
      <c r="BE4082">
        <v>1</v>
      </c>
      <c r="BG4082">
        <v>0</v>
      </c>
      <c r="BH4082">
        <v>0</v>
      </c>
      <c r="BI4082">
        <v>0</v>
      </c>
      <c r="BJ4082">
        <v>4750</v>
      </c>
      <c r="BK4082">
        <v>-150</v>
      </c>
      <c r="BL4082" t="s">
        <v>163</v>
      </c>
      <c r="BM4082">
        <v>1</v>
      </c>
      <c r="BN4082">
        <v>1</v>
      </c>
      <c r="BO4082">
        <v>1</v>
      </c>
      <c r="BP4082">
        <v>0</v>
      </c>
      <c r="BS4082">
        <v>0</v>
      </c>
      <c r="BT4082">
        <v>0</v>
      </c>
      <c r="BU4082">
        <v>0</v>
      </c>
      <c r="CE4082" t="str">
        <f t="shared" si="1503"/>
        <v>19:36:33.461</v>
      </c>
      <c r="CF4082">
        <v>461350763</v>
      </c>
      <c r="CS4082">
        <v>0</v>
      </c>
      <c r="CT4082">
        <v>2</v>
      </c>
      <c r="CU4082">
        <v>0</v>
      </c>
      <c r="CV4082">
        <v>2</v>
      </c>
      <c r="CW4082">
        <v>0</v>
      </c>
      <c r="CX4082">
        <v>2</v>
      </c>
      <c r="CY4082">
        <v>7</v>
      </c>
      <c r="CZ4082" t="s">
        <v>131</v>
      </c>
      <c r="DA4082">
        <v>300</v>
      </c>
      <c r="DB4082">
        <v>0</v>
      </c>
      <c r="DC4082" t="s">
        <v>176</v>
      </c>
      <c r="DD4082" t="s">
        <v>177</v>
      </c>
      <c r="DG4082">
        <v>5455281</v>
      </c>
      <c r="DI4082">
        <v>1</v>
      </c>
      <c r="DJ4082">
        <v>0</v>
      </c>
      <c r="DK4082">
        <v>1</v>
      </c>
      <c r="DL4082">
        <v>0</v>
      </c>
      <c r="DM4082">
        <v>0</v>
      </c>
      <c r="DN4082">
        <v>1</v>
      </c>
      <c r="DO4082">
        <v>0</v>
      </c>
      <c r="DP4082">
        <v>0</v>
      </c>
      <c r="DQ4082">
        <v>0</v>
      </c>
      <c r="DR4082">
        <v>0</v>
      </c>
      <c r="DS4082">
        <v>0</v>
      </c>
    </row>
    <row r="4083" spans="1:123" x14ac:dyDescent="0.3">
      <c r="A4083" t="str">
        <f t="shared" si="1501"/>
        <v>10/04/2022 19:36:33.667</v>
      </c>
      <c r="C4083" t="str">
        <f t="shared" si="1500"/>
        <v>FFDFD3C0</v>
      </c>
      <c r="D4083" t="s">
        <v>134</v>
      </c>
      <c r="E4083">
        <v>15</v>
      </c>
      <c r="J4083" t="s">
        <v>135</v>
      </c>
      <c r="K4083">
        <v>0</v>
      </c>
      <c r="L4083">
        <v>3</v>
      </c>
      <c r="M4083">
        <v>0</v>
      </c>
      <c r="N4083">
        <v>2</v>
      </c>
      <c r="O4083">
        <v>0</v>
      </c>
      <c r="P4083">
        <v>1</v>
      </c>
      <c r="Q4083">
        <v>0</v>
      </c>
      <c r="S4083" t="str">
        <f t="shared" si="1502"/>
        <v>19:36:33.000</v>
      </c>
      <c r="T4083" t="str">
        <f t="shared" si="1502"/>
        <v>19:36:33.000</v>
      </c>
      <c r="U4083" t="str">
        <f t="shared" si="1483"/>
        <v>AC3944</v>
      </c>
      <c r="V4083">
        <v>0</v>
      </c>
      <c r="W4083">
        <v>0</v>
      </c>
      <c r="X4083">
        <v>2</v>
      </c>
      <c r="Y4083">
        <v>0</v>
      </c>
      <c r="AA4083">
        <v>1</v>
      </c>
      <c r="AB4083">
        <v>8</v>
      </c>
      <c r="AC4083">
        <v>3</v>
      </c>
      <c r="AD4083">
        <v>0</v>
      </c>
      <c r="AE4083">
        <v>9</v>
      </c>
      <c r="AF4083" t="s">
        <v>138</v>
      </c>
      <c r="AG4083">
        <v>0</v>
      </c>
      <c r="AH4083">
        <v>3</v>
      </c>
      <c r="AI4083">
        <v>1</v>
      </c>
      <c r="AJ4083">
        <v>0</v>
      </c>
      <c r="AK4083" t="s">
        <v>1314</v>
      </c>
      <c r="AL4083">
        <v>32.735759999999999</v>
      </c>
      <c r="AM4083" t="s">
        <v>1315</v>
      </c>
      <c r="AN4083">
        <v>-116.675105</v>
      </c>
      <c r="AO4083">
        <v>25</v>
      </c>
      <c r="AP4083">
        <v>4900</v>
      </c>
      <c r="AQ4083" t="s">
        <v>129</v>
      </c>
      <c r="AR4083">
        <v>34</v>
      </c>
      <c r="AS4083">
        <v>136</v>
      </c>
      <c r="AT4083">
        <v>-1152</v>
      </c>
      <c r="BB4083">
        <v>1200</v>
      </c>
      <c r="BC4083">
        <v>1</v>
      </c>
      <c r="BD4083" t="str">
        <f t="shared" si="1484"/>
        <v xml:space="preserve">N887QR  </v>
      </c>
      <c r="BE4083">
        <v>1</v>
      </c>
      <c r="BG4083">
        <v>0</v>
      </c>
      <c r="BH4083">
        <v>0</v>
      </c>
      <c r="BI4083">
        <v>0</v>
      </c>
      <c r="BJ4083">
        <v>4750</v>
      </c>
      <c r="BK4083">
        <v>-150</v>
      </c>
      <c r="BL4083" t="s">
        <v>163</v>
      </c>
      <c r="BM4083">
        <v>1</v>
      </c>
      <c r="BN4083">
        <v>1</v>
      </c>
      <c r="BO4083">
        <v>1</v>
      </c>
      <c r="BP4083">
        <v>0</v>
      </c>
      <c r="BS4083">
        <v>0</v>
      </c>
      <c r="BT4083">
        <v>0</v>
      </c>
      <c r="BU4083">
        <v>0</v>
      </c>
      <c r="CE4083" t="str">
        <f t="shared" si="1503"/>
        <v>19:36:33.461</v>
      </c>
      <c r="CF4083">
        <v>461350763</v>
      </c>
      <c r="CS4083">
        <v>0</v>
      </c>
      <c r="CT4083">
        <v>2</v>
      </c>
      <c r="CU4083">
        <v>0</v>
      </c>
      <c r="CV4083">
        <v>2</v>
      </c>
      <c r="CW4083">
        <v>0</v>
      </c>
      <c r="CX4083">
        <v>2</v>
      </c>
      <c r="CY4083">
        <v>7</v>
      </c>
      <c r="CZ4083" t="s">
        <v>131</v>
      </c>
      <c r="DA4083">
        <v>300</v>
      </c>
      <c r="DB4083">
        <v>0</v>
      </c>
      <c r="DC4083" t="s">
        <v>176</v>
      </c>
      <c r="DD4083" t="s">
        <v>177</v>
      </c>
      <c r="DG4083">
        <v>5455281</v>
      </c>
      <c r="DI4083">
        <v>1</v>
      </c>
      <c r="DJ4083">
        <v>0</v>
      </c>
      <c r="DK4083">
        <v>1</v>
      </c>
      <c r="DL4083">
        <v>0</v>
      </c>
      <c r="DM4083">
        <v>0</v>
      </c>
      <c r="DN4083">
        <v>1</v>
      </c>
      <c r="DO4083">
        <v>0</v>
      </c>
      <c r="DP4083">
        <v>0</v>
      </c>
      <c r="DQ4083">
        <v>0</v>
      </c>
      <c r="DR4083">
        <v>0</v>
      </c>
      <c r="DS4083">
        <v>0</v>
      </c>
    </row>
    <row r="4084" spans="1:123" x14ac:dyDescent="0.3">
      <c r="A4084" t="str">
        <f t="shared" si="1501"/>
        <v>10/04/2022 19:36:33.667</v>
      </c>
      <c r="C4084" t="str">
        <f t="shared" si="1500"/>
        <v>FFDFD3C0</v>
      </c>
      <c r="D4084" t="s">
        <v>143</v>
      </c>
      <c r="E4084">
        <v>20</v>
      </c>
      <c r="F4084">
        <v>1020</v>
      </c>
      <c r="G4084" t="s">
        <v>144</v>
      </c>
      <c r="J4084" t="s">
        <v>145</v>
      </c>
      <c r="K4084">
        <v>0</v>
      </c>
      <c r="L4084">
        <v>3</v>
      </c>
      <c r="M4084">
        <v>0</v>
      </c>
      <c r="N4084">
        <v>2</v>
      </c>
      <c r="O4084">
        <v>0</v>
      </c>
      <c r="P4084">
        <v>1</v>
      </c>
      <c r="Q4084">
        <v>0</v>
      </c>
      <c r="S4084" t="str">
        <f t="shared" si="1502"/>
        <v>19:36:33.000</v>
      </c>
      <c r="T4084" t="str">
        <f t="shared" si="1502"/>
        <v>19:36:33.000</v>
      </c>
      <c r="U4084" t="str">
        <f t="shared" si="1483"/>
        <v>AC3944</v>
      </c>
      <c r="V4084">
        <v>0</v>
      </c>
      <c r="W4084">
        <v>0</v>
      </c>
      <c r="X4084">
        <v>2</v>
      </c>
      <c r="Y4084">
        <v>0</v>
      </c>
      <c r="AA4084">
        <v>1</v>
      </c>
      <c r="AB4084">
        <v>8</v>
      </c>
      <c r="AC4084">
        <v>3</v>
      </c>
      <c r="AD4084">
        <v>0</v>
      </c>
      <c r="AE4084">
        <v>9</v>
      </c>
      <c r="AF4084" t="s">
        <v>138</v>
      </c>
      <c r="AG4084">
        <v>0</v>
      </c>
      <c r="AH4084">
        <v>3</v>
      </c>
      <c r="AI4084">
        <v>1</v>
      </c>
      <c r="AJ4084">
        <v>0</v>
      </c>
      <c r="AK4084" t="s">
        <v>1314</v>
      </c>
      <c r="AL4084">
        <v>32.735759999999999</v>
      </c>
      <c r="AM4084" t="s">
        <v>1315</v>
      </c>
      <c r="AN4084">
        <v>-116.675105</v>
      </c>
      <c r="AO4084">
        <v>25</v>
      </c>
      <c r="AP4084">
        <v>4900</v>
      </c>
      <c r="AQ4084" t="s">
        <v>129</v>
      </c>
      <c r="AR4084">
        <v>34</v>
      </c>
      <c r="AS4084">
        <v>136</v>
      </c>
      <c r="AT4084">
        <v>-1152</v>
      </c>
      <c r="BB4084">
        <v>1200</v>
      </c>
      <c r="BC4084">
        <v>1</v>
      </c>
      <c r="BD4084" t="str">
        <f t="shared" si="1484"/>
        <v xml:space="preserve">N887QR  </v>
      </c>
      <c r="BE4084">
        <v>1</v>
      </c>
      <c r="BG4084">
        <v>0</v>
      </c>
      <c r="BH4084">
        <v>0</v>
      </c>
      <c r="BI4084">
        <v>0</v>
      </c>
      <c r="BJ4084">
        <v>4750</v>
      </c>
      <c r="BK4084">
        <v>-150</v>
      </c>
      <c r="BL4084" t="s">
        <v>163</v>
      </c>
      <c r="BM4084">
        <v>1</v>
      </c>
      <c r="BN4084">
        <v>1</v>
      </c>
      <c r="BO4084">
        <v>1</v>
      </c>
      <c r="BP4084">
        <v>0</v>
      </c>
      <c r="BS4084">
        <v>0</v>
      </c>
      <c r="BT4084">
        <v>0</v>
      </c>
      <c r="BU4084">
        <v>0</v>
      </c>
      <c r="CE4084" t="str">
        <f t="shared" si="1503"/>
        <v>19:36:33.461</v>
      </c>
      <c r="CF4084">
        <v>461350763</v>
      </c>
      <c r="CS4084">
        <v>0</v>
      </c>
      <c r="CT4084">
        <v>2</v>
      </c>
      <c r="CU4084">
        <v>0</v>
      </c>
      <c r="CV4084">
        <v>2</v>
      </c>
      <c r="CW4084">
        <v>0</v>
      </c>
      <c r="CX4084">
        <v>2</v>
      </c>
      <c r="CY4084">
        <v>7</v>
      </c>
      <c r="CZ4084" t="s">
        <v>131</v>
      </c>
      <c r="DA4084">
        <v>300</v>
      </c>
      <c r="DB4084">
        <v>0</v>
      </c>
      <c r="DC4084" t="s">
        <v>176</v>
      </c>
      <c r="DD4084" t="s">
        <v>177</v>
      </c>
      <c r="DG4084">
        <v>5455281</v>
      </c>
      <c r="DI4084">
        <v>1</v>
      </c>
      <c r="DJ4084">
        <v>0</v>
      </c>
      <c r="DK4084">
        <v>1</v>
      </c>
      <c r="DL4084">
        <v>0</v>
      </c>
      <c r="DM4084">
        <v>0</v>
      </c>
      <c r="DN4084">
        <v>1</v>
      </c>
      <c r="DO4084">
        <v>0</v>
      </c>
      <c r="DP4084">
        <v>0</v>
      </c>
      <c r="DQ4084">
        <v>0</v>
      </c>
      <c r="DR4084">
        <v>0</v>
      </c>
      <c r="DS4084">
        <v>0</v>
      </c>
    </row>
    <row r="4085" spans="1:123" x14ac:dyDescent="0.3">
      <c r="A4085" t="str">
        <f t="shared" si="1501"/>
        <v>10/04/2022 19:36:33.667</v>
      </c>
      <c r="C4085" t="str">
        <f t="shared" si="1500"/>
        <v>FFDFD3C0</v>
      </c>
      <c r="D4085" t="s">
        <v>123</v>
      </c>
      <c r="E4085">
        <v>7</v>
      </c>
      <c r="F4085">
        <v>2007</v>
      </c>
      <c r="G4085" t="s">
        <v>124</v>
      </c>
      <c r="J4085" t="s">
        <v>125</v>
      </c>
      <c r="K4085">
        <v>0</v>
      </c>
      <c r="L4085">
        <v>3</v>
      </c>
      <c r="M4085">
        <v>0</v>
      </c>
      <c r="N4085">
        <v>2</v>
      </c>
      <c r="O4085">
        <v>0</v>
      </c>
      <c r="P4085">
        <v>1</v>
      </c>
      <c r="Q4085">
        <v>0</v>
      </c>
      <c r="S4085" t="str">
        <f t="shared" si="1502"/>
        <v>19:36:33.000</v>
      </c>
      <c r="T4085" t="str">
        <f t="shared" si="1502"/>
        <v>19:36:33.000</v>
      </c>
      <c r="U4085" t="str">
        <f t="shared" si="1483"/>
        <v>AC3944</v>
      </c>
      <c r="V4085">
        <v>0</v>
      </c>
      <c r="W4085">
        <v>0</v>
      </c>
      <c r="X4085">
        <v>2</v>
      </c>
      <c r="Y4085">
        <v>0</v>
      </c>
      <c r="AA4085">
        <v>1</v>
      </c>
      <c r="AB4085">
        <v>8</v>
      </c>
      <c r="AC4085">
        <v>3</v>
      </c>
      <c r="AD4085">
        <v>0</v>
      </c>
      <c r="AE4085">
        <v>9</v>
      </c>
      <c r="AF4085" t="s">
        <v>138</v>
      </c>
      <c r="AG4085">
        <v>0</v>
      </c>
      <c r="AH4085">
        <v>3</v>
      </c>
      <c r="AI4085">
        <v>1</v>
      </c>
      <c r="AJ4085">
        <v>0</v>
      </c>
      <c r="AK4085" t="s">
        <v>1314</v>
      </c>
      <c r="AL4085">
        <v>32.735759999999999</v>
      </c>
      <c r="AM4085" t="s">
        <v>1315</v>
      </c>
      <c r="AN4085">
        <v>-116.675105</v>
      </c>
      <c r="AO4085">
        <v>25</v>
      </c>
      <c r="AP4085">
        <v>4900</v>
      </c>
      <c r="AQ4085" t="s">
        <v>129</v>
      </c>
      <c r="AR4085">
        <v>34</v>
      </c>
      <c r="AS4085">
        <v>136</v>
      </c>
      <c r="AT4085">
        <v>-1152</v>
      </c>
      <c r="BB4085">
        <v>1200</v>
      </c>
      <c r="BC4085">
        <v>1</v>
      </c>
      <c r="BD4085" t="str">
        <f t="shared" si="1484"/>
        <v xml:space="preserve">N887QR  </v>
      </c>
      <c r="BE4085">
        <v>1</v>
      </c>
      <c r="BG4085">
        <v>0</v>
      </c>
      <c r="BH4085">
        <v>0</v>
      </c>
      <c r="BI4085">
        <v>0</v>
      </c>
      <c r="BJ4085">
        <v>4750</v>
      </c>
      <c r="BK4085">
        <v>-150</v>
      </c>
      <c r="BL4085" t="s">
        <v>163</v>
      </c>
      <c r="BM4085">
        <v>1</v>
      </c>
      <c r="BN4085">
        <v>1</v>
      </c>
      <c r="BO4085">
        <v>1</v>
      </c>
      <c r="BP4085">
        <v>0</v>
      </c>
      <c r="BS4085">
        <v>0</v>
      </c>
      <c r="BT4085">
        <v>0</v>
      </c>
      <c r="BU4085">
        <v>0</v>
      </c>
      <c r="CE4085" t="str">
        <f t="shared" si="1503"/>
        <v>19:36:33.461</v>
      </c>
      <c r="CF4085">
        <v>461350763</v>
      </c>
      <c r="CS4085">
        <v>0</v>
      </c>
      <c r="CT4085">
        <v>2</v>
      </c>
      <c r="CU4085">
        <v>0</v>
      </c>
      <c r="CV4085">
        <v>2</v>
      </c>
      <c r="CW4085">
        <v>0</v>
      </c>
      <c r="CX4085">
        <v>2</v>
      </c>
      <c r="CY4085">
        <v>7</v>
      </c>
      <c r="CZ4085" t="s">
        <v>131</v>
      </c>
      <c r="DA4085">
        <v>300</v>
      </c>
      <c r="DB4085">
        <v>0</v>
      </c>
      <c r="DC4085" t="s">
        <v>176</v>
      </c>
      <c r="DD4085" t="s">
        <v>177</v>
      </c>
      <c r="DG4085">
        <v>5455281</v>
      </c>
      <c r="DI4085">
        <v>1</v>
      </c>
      <c r="DJ4085">
        <v>0</v>
      </c>
      <c r="DK4085">
        <v>1</v>
      </c>
      <c r="DL4085">
        <v>0</v>
      </c>
      <c r="DM4085">
        <v>0</v>
      </c>
      <c r="DN4085">
        <v>1</v>
      </c>
      <c r="DO4085">
        <v>0</v>
      </c>
      <c r="DP4085">
        <v>0</v>
      </c>
      <c r="DQ4085">
        <v>0</v>
      </c>
      <c r="DR4085">
        <v>0</v>
      </c>
      <c r="DS4085">
        <v>0</v>
      </c>
    </row>
    <row r="4086" spans="1:123" x14ac:dyDescent="0.3">
      <c r="A4086" t="str">
        <f t="shared" si="1501"/>
        <v>10/04/2022 19:36:33.667</v>
      </c>
      <c r="C4086" t="str">
        <f t="shared" si="1500"/>
        <v>FFDFD3C0</v>
      </c>
      <c r="D4086" t="s">
        <v>147</v>
      </c>
      <c r="E4086">
        <v>3</v>
      </c>
      <c r="H4086">
        <v>166</v>
      </c>
      <c r="I4086" t="s">
        <v>144</v>
      </c>
      <c r="J4086" t="s">
        <v>148</v>
      </c>
      <c r="K4086">
        <v>0</v>
      </c>
      <c r="L4086">
        <v>3</v>
      </c>
      <c r="M4086">
        <v>0</v>
      </c>
      <c r="N4086">
        <v>2</v>
      </c>
      <c r="O4086">
        <v>0</v>
      </c>
      <c r="P4086">
        <v>1</v>
      </c>
      <c r="Q4086">
        <v>0</v>
      </c>
      <c r="S4086" t="str">
        <f t="shared" si="1502"/>
        <v>19:36:33.000</v>
      </c>
      <c r="T4086" t="str">
        <f t="shared" si="1502"/>
        <v>19:36:33.000</v>
      </c>
      <c r="U4086" t="str">
        <f t="shared" si="1483"/>
        <v>AC3944</v>
      </c>
      <c r="V4086">
        <v>0</v>
      </c>
      <c r="W4086">
        <v>0</v>
      </c>
      <c r="X4086">
        <v>2</v>
      </c>
      <c r="Y4086">
        <v>0</v>
      </c>
      <c r="AA4086">
        <v>1</v>
      </c>
      <c r="AB4086">
        <v>8</v>
      </c>
      <c r="AC4086">
        <v>3</v>
      </c>
      <c r="AD4086">
        <v>0</v>
      </c>
      <c r="AE4086">
        <v>9</v>
      </c>
      <c r="AF4086" t="s">
        <v>138</v>
      </c>
      <c r="AG4086">
        <v>0</v>
      </c>
      <c r="AH4086">
        <v>3</v>
      </c>
      <c r="AI4086">
        <v>1</v>
      </c>
      <c r="AJ4086">
        <v>0</v>
      </c>
      <c r="AK4086" t="s">
        <v>1314</v>
      </c>
      <c r="AL4086">
        <v>32.735759999999999</v>
      </c>
      <c r="AM4086" t="s">
        <v>1315</v>
      </c>
      <c r="AN4086">
        <v>-116.675105</v>
      </c>
      <c r="AO4086">
        <v>25</v>
      </c>
      <c r="AP4086">
        <v>4900</v>
      </c>
      <c r="AQ4086" t="s">
        <v>129</v>
      </c>
      <c r="AR4086">
        <v>34</v>
      </c>
      <c r="AS4086">
        <v>136</v>
      </c>
      <c r="AT4086">
        <v>-1152</v>
      </c>
      <c r="BB4086">
        <v>1200</v>
      </c>
      <c r="BC4086">
        <v>1</v>
      </c>
      <c r="BD4086" t="str">
        <f t="shared" si="1484"/>
        <v xml:space="preserve">N887QR  </v>
      </c>
      <c r="BE4086">
        <v>1</v>
      </c>
      <c r="BG4086">
        <v>0</v>
      </c>
      <c r="BH4086">
        <v>0</v>
      </c>
      <c r="BI4086">
        <v>0</v>
      </c>
      <c r="BJ4086">
        <v>4750</v>
      </c>
      <c r="BK4086">
        <v>-150</v>
      </c>
      <c r="BL4086" t="s">
        <v>163</v>
      </c>
      <c r="BM4086">
        <v>1</v>
      </c>
      <c r="BN4086">
        <v>1</v>
      </c>
      <c r="BO4086">
        <v>1</v>
      </c>
      <c r="BP4086">
        <v>0</v>
      </c>
      <c r="BS4086">
        <v>0</v>
      </c>
      <c r="BT4086">
        <v>0</v>
      </c>
      <c r="BU4086">
        <v>0</v>
      </c>
      <c r="CE4086" t="str">
        <f t="shared" si="1503"/>
        <v>19:36:33.461</v>
      </c>
      <c r="CF4086">
        <v>461350763</v>
      </c>
      <c r="CS4086">
        <v>0</v>
      </c>
      <c r="CT4086">
        <v>2</v>
      </c>
      <c r="CU4086">
        <v>0</v>
      </c>
      <c r="CV4086">
        <v>2</v>
      </c>
      <c r="CW4086">
        <v>0</v>
      </c>
      <c r="CX4086">
        <v>2</v>
      </c>
      <c r="CY4086">
        <v>7</v>
      </c>
      <c r="CZ4086" t="s">
        <v>131</v>
      </c>
      <c r="DA4086">
        <v>300</v>
      </c>
      <c r="DB4086">
        <v>0</v>
      </c>
      <c r="DC4086" t="s">
        <v>176</v>
      </c>
      <c r="DD4086" t="s">
        <v>177</v>
      </c>
      <c r="DG4086">
        <v>5455281</v>
      </c>
      <c r="DI4086">
        <v>1</v>
      </c>
      <c r="DJ4086">
        <v>0</v>
      </c>
      <c r="DK4086">
        <v>1</v>
      </c>
      <c r="DL4086">
        <v>0</v>
      </c>
      <c r="DM4086">
        <v>0</v>
      </c>
      <c r="DN4086">
        <v>1</v>
      </c>
      <c r="DO4086">
        <v>0</v>
      </c>
      <c r="DP4086">
        <v>0</v>
      </c>
      <c r="DQ4086">
        <v>0</v>
      </c>
      <c r="DR4086">
        <v>0</v>
      </c>
      <c r="DS4086">
        <v>0</v>
      </c>
    </row>
    <row r="4087" spans="1:123" x14ac:dyDescent="0.3">
      <c r="A4087" t="str">
        <f>"10/04/2022 19:36:33.824"</f>
        <v>10/04/2022 19:36:33.824</v>
      </c>
      <c r="C4087" t="str">
        <f t="shared" si="1500"/>
        <v>FFDFD3C0</v>
      </c>
      <c r="D4087" t="s">
        <v>141</v>
      </c>
      <c r="E4087">
        <v>4</v>
      </c>
      <c r="H4087">
        <v>4</v>
      </c>
      <c r="I4087" t="s">
        <v>142</v>
      </c>
      <c r="J4087" t="s">
        <v>138</v>
      </c>
      <c r="K4087">
        <v>0</v>
      </c>
      <c r="L4087">
        <v>3</v>
      </c>
      <c r="M4087">
        <v>0</v>
      </c>
      <c r="N4087">
        <v>2</v>
      </c>
      <c r="O4087">
        <v>0</v>
      </c>
      <c r="P4087">
        <v>1</v>
      </c>
      <c r="Q4087">
        <v>0</v>
      </c>
      <c r="S4087" t="str">
        <f t="shared" si="1502"/>
        <v>19:36:33.000</v>
      </c>
      <c r="T4087" t="str">
        <f t="shared" si="1502"/>
        <v>19:36:33.000</v>
      </c>
      <c r="U4087" t="str">
        <f t="shared" si="1483"/>
        <v>AC3944</v>
      </c>
      <c r="V4087">
        <v>0</v>
      </c>
      <c r="W4087">
        <v>0</v>
      </c>
      <c r="X4087">
        <v>2</v>
      </c>
      <c r="Y4087">
        <v>0</v>
      </c>
      <c r="AA4087">
        <v>1</v>
      </c>
      <c r="AB4087">
        <v>8</v>
      </c>
      <c r="AC4087">
        <v>3</v>
      </c>
      <c r="AD4087">
        <v>0</v>
      </c>
      <c r="AE4087">
        <v>9</v>
      </c>
      <c r="AF4087" t="s">
        <v>138</v>
      </c>
      <c r="AG4087">
        <v>0</v>
      </c>
      <c r="AH4087">
        <v>3</v>
      </c>
      <c r="AI4087">
        <v>1</v>
      </c>
      <c r="AJ4087">
        <v>0</v>
      </c>
      <c r="AK4087" t="s">
        <v>1314</v>
      </c>
      <c r="AL4087">
        <v>32.735759999999999</v>
      </c>
      <c r="AM4087" t="s">
        <v>1315</v>
      </c>
      <c r="AN4087">
        <v>-116.675105</v>
      </c>
      <c r="AO4087">
        <v>25</v>
      </c>
      <c r="AP4087">
        <v>4900</v>
      </c>
      <c r="AQ4087" t="s">
        <v>129</v>
      </c>
      <c r="AR4087">
        <v>34</v>
      </c>
      <c r="AS4087">
        <v>136</v>
      </c>
      <c r="AT4087">
        <v>-1152</v>
      </c>
      <c r="BB4087">
        <v>1200</v>
      </c>
      <c r="BC4087">
        <v>1</v>
      </c>
      <c r="BD4087" t="str">
        <f t="shared" si="1484"/>
        <v xml:space="preserve">N887QR  </v>
      </c>
      <c r="BE4087">
        <v>1</v>
      </c>
      <c r="BG4087">
        <v>0</v>
      </c>
      <c r="BH4087">
        <v>0</v>
      </c>
      <c r="BI4087">
        <v>0</v>
      </c>
      <c r="BJ4087">
        <v>4750</v>
      </c>
      <c r="BK4087">
        <v>-150</v>
      </c>
      <c r="BL4087" t="s">
        <v>163</v>
      </c>
      <c r="BM4087">
        <v>1</v>
      </c>
      <c r="BN4087">
        <v>1</v>
      </c>
      <c r="BO4087">
        <v>1</v>
      </c>
      <c r="BP4087">
        <v>0</v>
      </c>
      <c r="BS4087">
        <v>0</v>
      </c>
      <c r="BT4087">
        <v>0</v>
      </c>
      <c r="BU4087">
        <v>0</v>
      </c>
      <c r="CE4087" t="str">
        <f t="shared" si="1503"/>
        <v>19:36:33.461</v>
      </c>
      <c r="CF4087">
        <v>461350763</v>
      </c>
      <c r="CS4087">
        <v>0</v>
      </c>
      <c r="CT4087">
        <v>2</v>
      </c>
      <c r="CU4087">
        <v>0</v>
      </c>
      <c r="CV4087">
        <v>2</v>
      </c>
      <c r="CW4087">
        <v>0</v>
      </c>
      <c r="CX4087">
        <v>2</v>
      </c>
      <c r="CY4087">
        <v>7</v>
      </c>
      <c r="CZ4087" t="s">
        <v>131</v>
      </c>
      <c r="DA4087">
        <v>300</v>
      </c>
      <c r="DB4087">
        <v>0</v>
      </c>
      <c r="DC4087" t="s">
        <v>176</v>
      </c>
      <c r="DD4087" t="s">
        <v>177</v>
      </c>
      <c r="DG4087">
        <v>5455281</v>
      </c>
      <c r="DI4087">
        <v>1</v>
      </c>
      <c r="DJ4087">
        <v>0</v>
      </c>
      <c r="DK4087">
        <v>1</v>
      </c>
      <c r="DL4087">
        <v>0</v>
      </c>
      <c r="DM4087">
        <v>0</v>
      </c>
      <c r="DN4087">
        <v>1</v>
      </c>
      <c r="DO4087">
        <v>0</v>
      </c>
      <c r="DP4087">
        <v>0</v>
      </c>
      <c r="DQ4087">
        <v>0</v>
      </c>
      <c r="DR4087">
        <v>0</v>
      </c>
      <c r="DS4087">
        <v>0</v>
      </c>
    </row>
    <row r="4088" spans="1:123" x14ac:dyDescent="0.3">
      <c r="A4088" t="str">
        <f t="shared" ref="A4088:A4094" si="1504">"10/04/2022 19:36:34.042"</f>
        <v>10/04/2022 19:36:34.042</v>
      </c>
      <c r="C4088" t="str">
        <f t="shared" si="1500"/>
        <v>FFDFD3C0</v>
      </c>
      <c r="D4088" t="s">
        <v>143</v>
      </c>
      <c r="E4088">
        <v>20</v>
      </c>
      <c r="F4088">
        <v>1020</v>
      </c>
      <c r="G4088" t="s">
        <v>144</v>
      </c>
      <c r="J4088" t="s">
        <v>145</v>
      </c>
      <c r="K4088">
        <v>0</v>
      </c>
      <c r="L4088">
        <v>3</v>
      </c>
      <c r="M4088">
        <v>0</v>
      </c>
      <c r="N4088">
        <v>2</v>
      </c>
      <c r="O4088">
        <v>0</v>
      </c>
      <c r="P4088">
        <v>1</v>
      </c>
      <c r="Q4088">
        <v>0</v>
      </c>
      <c r="S4088" t="str">
        <f t="shared" si="1502"/>
        <v>19:36:33.000</v>
      </c>
      <c r="T4088" t="str">
        <f t="shared" si="1502"/>
        <v>19:36:33.000</v>
      </c>
      <c r="U4088" t="str">
        <f t="shared" si="1483"/>
        <v>AC3944</v>
      </c>
      <c r="V4088">
        <v>0</v>
      </c>
      <c r="W4088">
        <v>0</v>
      </c>
      <c r="X4088">
        <v>2</v>
      </c>
      <c r="Y4088">
        <v>0</v>
      </c>
      <c r="AA4088">
        <v>1</v>
      </c>
      <c r="AB4088">
        <v>8</v>
      </c>
      <c r="AC4088">
        <v>3</v>
      </c>
      <c r="AD4088">
        <v>0</v>
      </c>
      <c r="AE4088">
        <v>9</v>
      </c>
      <c r="AF4088" t="s">
        <v>138</v>
      </c>
      <c r="AG4088">
        <v>0</v>
      </c>
      <c r="AH4088">
        <v>3</v>
      </c>
      <c r="AI4088">
        <v>1</v>
      </c>
      <c r="AJ4088">
        <v>0</v>
      </c>
      <c r="AK4088" t="s">
        <v>942</v>
      </c>
      <c r="AL4088">
        <v>32.736381999999999</v>
      </c>
      <c r="AM4088" t="s">
        <v>1316</v>
      </c>
      <c r="AN4088">
        <v>-116.674891</v>
      </c>
      <c r="AO4088">
        <v>25</v>
      </c>
      <c r="AP4088">
        <v>4900</v>
      </c>
      <c r="AQ4088" t="s">
        <v>129</v>
      </c>
      <c r="AR4088">
        <v>29</v>
      </c>
      <c r="AS4088">
        <v>137</v>
      </c>
      <c r="AT4088">
        <v>-1152</v>
      </c>
      <c r="BB4088">
        <v>1200</v>
      </c>
      <c r="BC4088">
        <v>1</v>
      </c>
      <c r="BD4088" t="str">
        <f t="shared" si="1484"/>
        <v xml:space="preserve">N887QR  </v>
      </c>
      <c r="BE4088">
        <v>1</v>
      </c>
      <c r="BG4088">
        <v>0</v>
      </c>
      <c r="BH4088">
        <v>0</v>
      </c>
      <c r="BI4088">
        <v>0</v>
      </c>
      <c r="BJ4088">
        <v>4700</v>
      </c>
      <c r="BK4088">
        <v>-200</v>
      </c>
      <c r="BL4088" t="s">
        <v>163</v>
      </c>
      <c r="BM4088">
        <v>1</v>
      </c>
      <c r="BN4088">
        <v>1</v>
      </c>
      <c r="BO4088">
        <v>1</v>
      </c>
      <c r="BP4088">
        <v>0</v>
      </c>
      <c r="BS4088">
        <v>0.04</v>
      </c>
      <c r="BT4088">
        <v>0</v>
      </c>
      <c r="BU4088">
        <v>0</v>
      </c>
      <c r="CE4088" t="str">
        <f t="shared" ref="CE4088:CE4094" si="1505">"19:36:33.772"</f>
        <v>19:36:33.772</v>
      </c>
      <c r="CF4088">
        <v>772351790</v>
      </c>
      <c r="CS4088">
        <v>0</v>
      </c>
      <c r="CT4088">
        <v>2</v>
      </c>
      <c r="CU4088">
        <v>0</v>
      </c>
      <c r="CV4088">
        <v>2</v>
      </c>
      <c r="CW4088">
        <v>0</v>
      </c>
      <c r="CX4088">
        <v>3</v>
      </c>
      <c r="CY4088">
        <v>7</v>
      </c>
      <c r="CZ4088" t="s">
        <v>131</v>
      </c>
      <c r="DA4088">
        <v>300</v>
      </c>
      <c r="DB4088">
        <v>0</v>
      </c>
      <c r="DC4088" t="s">
        <v>176</v>
      </c>
      <c r="DD4088" t="s">
        <v>177</v>
      </c>
      <c r="DG4088">
        <v>5455338</v>
      </c>
      <c r="DI4088">
        <v>1</v>
      </c>
      <c r="DJ4088">
        <v>0</v>
      </c>
      <c r="DK4088">
        <v>0</v>
      </c>
      <c r="DL4088">
        <v>0</v>
      </c>
      <c r="DM4088">
        <v>0</v>
      </c>
      <c r="DN4088">
        <v>1</v>
      </c>
      <c r="DO4088">
        <v>0</v>
      </c>
      <c r="DP4088">
        <v>0</v>
      </c>
      <c r="DQ4088">
        <v>0</v>
      </c>
      <c r="DR4088">
        <v>0</v>
      </c>
      <c r="DS4088">
        <v>0</v>
      </c>
    </row>
    <row r="4089" spans="1:123" x14ac:dyDescent="0.3">
      <c r="A4089" t="str">
        <f t="shared" si="1504"/>
        <v>10/04/2022 19:36:34.042</v>
      </c>
      <c r="C4089" t="str">
        <f t="shared" si="1500"/>
        <v>FFDFD3C0</v>
      </c>
      <c r="D4089" t="s">
        <v>134</v>
      </c>
      <c r="E4089">
        <v>15</v>
      </c>
      <c r="J4089" t="s">
        <v>135</v>
      </c>
      <c r="K4089">
        <v>0</v>
      </c>
      <c r="L4089">
        <v>3</v>
      </c>
      <c r="M4089">
        <v>0</v>
      </c>
      <c r="N4089">
        <v>2</v>
      </c>
      <c r="O4089">
        <v>0</v>
      </c>
      <c r="P4089">
        <v>1</v>
      </c>
      <c r="Q4089">
        <v>0</v>
      </c>
      <c r="S4089" t="str">
        <f t="shared" si="1502"/>
        <v>19:36:33.000</v>
      </c>
      <c r="T4089" t="str">
        <f t="shared" si="1502"/>
        <v>19:36:33.000</v>
      </c>
      <c r="U4089" t="str">
        <f t="shared" si="1483"/>
        <v>AC3944</v>
      </c>
      <c r="V4089">
        <v>0</v>
      </c>
      <c r="W4089">
        <v>0</v>
      </c>
      <c r="X4089">
        <v>2</v>
      </c>
      <c r="Y4089">
        <v>0</v>
      </c>
      <c r="AA4089">
        <v>1</v>
      </c>
      <c r="AB4089">
        <v>8</v>
      </c>
      <c r="AC4089">
        <v>3</v>
      </c>
      <c r="AD4089">
        <v>0</v>
      </c>
      <c r="AE4089">
        <v>9</v>
      </c>
      <c r="AF4089" t="s">
        <v>138</v>
      </c>
      <c r="AG4089">
        <v>0</v>
      </c>
      <c r="AH4089">
        <v>3</v>
      </c>
      <c r="AI4089">
        <v>1</v>
      </c>
      <c r="AJ4089">
        <v>0</v>
      </c>
      <c r="AK4089" t="s">
        <v>942</v>
      </c>
      <c r="AL4089">
        <v>32.736381999999999</v>
      </c>
      <c r="AM4089" t="s">
        <v>1316</v>
      </c>
      <c r="AN4089">
        <v>-116.674891</v>
      </c>
      <c r="AO4089">
        <v>25</v>
      </c>
      <c r="AP4089">
        <v>4900</v>
      </c>
      <c r="AQ4089" t="s">
        <v>129</v>
      </c>
      <c r="AR4089">
        <v>29</v>
      </c>
      <c r="AS4089">
        <v>137</v>
      </c>
      <c r="AT4089">
        <v>-1152</v>
      </c>
      <c r="BB4089">
        <v>1200</v>
      </c>
      <c r="BC4089">
        <v>1</v>
      </c>
      <c r="BD4089" t="str">
        <f t="shared" si="1484"/>
        <v xml:space="preserve">N887QR  </v>
      </c>
      <c r="BE4089">
        <v>1</v>
      </c>
      <c r="BG4089">
        <v>0</v>
      </c>
      <c r="BH4089">
        <v>0</v>
      </c>
      <c r="BI4089">
        <v>0</v>
      </c>
      <c r="BJ4089">
        <v>4700</v>
      </c>
      <c r="BK4089">
        <v>-200</v>
      </c>
      <c r="BL4089" t="s">
        <v>163</v>
      </c>
      <c r="BM4089">
        <v>1</v>
      </c>
      <c r="BN4089">
        <v>1</v>
      </c>
      <c r="BO4089">
        <v>1</v>
      </c>
      <c r="BP4089">
        <v>0</v>
      </c>
      <c r="BS4089">
        <v>0.04</v>
      </c>
      <c r="BT4089">
        <v>0</v>
      </c>
      <c r="BU4089">
        <v>0</v>
      </c>
      <c r="CE4089" t="str">
        <f t="shared" si="1505"/>
        <v>19:36:33.772</v>
      </c>
      <c r="CF4089">
        <v>772351790</v>
      </c>
      <c r="CS4089">
        <v>0</v>
      </c>
      <c r="CT4089">
        <v>2</v>
      </c>
      <c r="CU4089">
        <v>0</v>
      </c>
      <c r="CV4089">
        <v>2</v>
      </c>
      <c r="CW4089">
        <v>0</v>
      </c>
      <c r="CX4089">
        <v>3</v>
      </c>
      <c r="CY4089">
        <v>7</v>
      </c>
      <c r="CZ4089" t="s">
        <v>131</v>
      </c>
      <c r="DA4089">
        <v>300</v>
      </c>
      <c r="DB4089">
        <v>0</v>
      </c>
      <c r="DC4089" t="s">
        <v>176</v>
      </c>
      <c r="DD4089" t="s">
        <v>177</v>
      </c>
      <c r="DG4089">
        <v>5455338</v>
      </c>
      <c r="DI4089">
        <v>1</v>
      </c>
      <c r="DJ4089">
        <v>0</v>
      </c>
      <c r="DK4089">
        <v>1</v>
      </c>
      <c r="DL4089">
        <v>0</v>
      </c>
      <c r="DM4089">
        <v>0</v>
      </c>
      <c r="DN4089">
        <v>1</v>
      </c>
      <c r="DO4089">
        <v>0</v>
      </c>
      <c r="DP4089">
        <v>0</v>
      </c>
      <c r="DQ4089">
        <v>0</v>
      </c>
      <c r="DR4089">
        <v>0</v>
      </c>
      <c r="DS4089">
        <v>0</v>
      </c>
    </row>
    <row r="4090" spans="1:123" x14ac:dyDescent="0.3">
      <c r="A4090" t="str">
        <f t="shared" si="1504"/>
        <v>10/04/2022 19:36:34.042</v>
      </c>
      <c r="C4090" t="str">
        <f t="shared" si="1500"/>
        <v>FFDFD3C0</v>
      </c>
      <c r="D4090" t="s">
        <v>123</v>
      </c>
      <c r="E4090">
        <v>7</v>
      </c>
      <c r="F4090">
        <v>2007</v>
      </c>
      <c r="G4090" t="s">
        <v>124</v>
      </c>
      <c r="J4090" t="s">
        <v>125</v>
      </c>
      <c r="K4090">
        <v>0</v>
      </c>
      <c r="L4090">
        <v>3</v>
      </c>
      <c r="M4090">
        <v>0</v>
      </c>
      <c r="N4090">
        <v>2</v>
      </c>
      <c r="O4090">
        <v>0</v>
      </c>
      <c r="P4090">
        <v>1</v>
      </c>
      <c r="Q4090">
        <v>0</v>
      </c>
      <c r="S4090" t="str">
        <f t="shared" si="1502"/>
        <v>19:36:33.000</v>
      </c>
      <c r="T4090" t="str">
        <f t="shared" si="1502"/>
        <v>19:36:33.000</v>
      </c>
      <c r="U4090" t="str">
        <f t="shared" si="1483"/>
        <v>AC3944</v>
      </c>
      <c r="V4090">
        <v>0</v>
      </c>
      <c r="W4090">
        <v>0</v>
      </c>
      <c r="X4090">
        <v>2</v>
      </c>
      <c r="Y4090">
        <v>0</v>
      </c>
      <c r="AA4090">
        <v>1</v>
      </c>
      <c r="AB4090">
        <v>8</v>
      </c>
      <c r="AC4090">
        <v>3</v>
      </c>
      <c r="AD4090">
        <v>0</v>
      </c>
      <c r="AE4090">
        <v>9</v>
      </c>
      <c r="AF4090" t="s">
        <v>138</v>
      </c>
      <c r="AG4090">
        <v>0</v>
      </c>
      <c r="AH4090">
        <v>3</v>
      </c>
      <c r="AI4090">
        <v>1</v>
      </c>
      <c r="AJ4090">
        <v>0</v>
      </c>
      <c r="AK4090" t="s">
        <v>942</v>
      </c>
      <c r="AL4090">
        <v>32.736381999999999</v>
      </c>
      <c r="AM4090" t="s">
        <v>1316</v>
      </c>
      <c r="AN4090">
        <v>-116.674891</v>
      </c>
      <c r="AO4090">
        <v>25</v>
      </c>
      <c r="AP4090">
        <v>4900</v>
      </c>
      <c r="AQ4090" t="s">
        <v>129</v>
      </c>
      <c r="AR4090">
        <v>29</v>
      </c>
      <c r="AS4090">
        <v>137</v>
      </c>
      <c r="AT4090">
        <v>-1152</v>
      </c>
      <c r="BB4090">
        <v>1200</v>
      </c>
      <c r="BC4090">
        <v>1</v>
      </c>
      <c r="BD4090" t="str">
        <f t="shared" si="1484"/>
        <v xml:space="preserve">N887QR  </v>
      </c>
      <c r="BE4090">
        <v>1</v>
      </c>
      <c r="BG4090">
        <v>0</v>
      </c>
      <c r="BH4090">
        <v>0</v>
      </c>
      <c r="BI4090">
        <v>0</v>
      </c>
      <c r="BJ4090">
        <v>4700</v>
      </c>
      <c r="BK4090">
        <v>-200</v>
      </c>
      <c r="BL4090" t="s">
        <v>163</v>
      </c>
      <c r="BM4090">
        <v>1</v>
      </c>
      <c r="BN4090">
        <v>1</v>
      </c>
      <c r="BO4090">
        <v>1</v>
      </c>
      <c r="BP4090">
        <v>0</v>
      </c>
      <c r="BS4090">
        <v>0.04</v>
      </c>
      <c r="BT4090">
        <v>0</v>
      </c>
      <c r="BU4090">
        <v>0</v>
      </c>
      <c r="CE4090" t="str">
        <f t="shared" si="1505"/>
        <v>19:36:33.772</v>
      </c>
      <c r="CF4090">
        <v>772351790</v>
      </c>
      <c r="CS4090">
        <v>0</v>
      </c>
      <c r="CT4090">
        <v>2</v>
      </c>
      <c r="CU4090">
        <v>0</v>
      </c>
      <c r="CV4090">
        <v>2</v>
      </c>
      <c r="CW4090">
        <v>0</v>
      </c>
      <c r="CX4090">
        <v>3</v>
      </c>
      <c r="CY4090">
        <v>7</v>
      </c>
      <c r="CZ4090" t="s">
        <v>131</v>
      </c>
      <c r="DA4090">
        <v>300</v>
      </c>
      <c r="DB4090">
        <v>0</v>
      </c>
      <c r="DC4090" t="s">
        <v>176</v>
      </c>
      <c r="DD4090" t="s">
        <v>177</v>
      </c>
      <c r="DG4090">
        <v>5455338</v>
      </c>
      <c r="DI4090">
        <v>1</v>
      </c>
      <c r="DJ4090">
        <v>0</v>
      </c>
      <c r="DK4090">
        <v>1</v>
      </c>
      <c r="DL4090">
        <v>0</v>
      </c>
      <c r="DM4090">
        <v>0</v>
      </c>
      <c r="DN4090">
        <v>1</v>
      </c>
      <c r="DO4090">
        <v>0</v>
      </c>
      <c r="DP4090">
        <v>0</v>
      </c>
      <c r="DQ4090">
        <v>0</v>
      </c>
      <c r="DR4090">
        <v>0</v>
      </c>
      <c r="DS4090">
        <v>0</v>
      </c>
    </row>
    <row r="4091" spans="1:123" x14ac:dyDescent="0.3">
      <c r="A4091" t="str">
        <f t="shared" si="1504"/>
        <v>10/04/2022 19:36:34.042</v>
      </c>
      <c r="C4091" t="str">
        <f t="shared" si="1500"/>
        <v>FFDFD3C0</v>
      </c>
      <c r="D4091" t="s">
        <v>147</v>
      </c>
      <c r="E4091">
        <v>3</v>
      </c>
      <c r="H4091">
        <v>166</v>
      </c>
      <c r="I4091" t="s">
        <v>144</v>
      </c>
      <c r="J4091" t="s">
        <v>148</v>
      </c>
      <c r="K4091">
        <v>0</v>
      </c>
      <c r="L4091">
        <v>3</v>
      </c>
      <c r="M4091">
        <v>0</v>
      </c>
      <c r="N4091">
        <v>2</v>
      </c>
      <c r="O4091">
        <v>0</v>
      </c>
      <c r="P4091">
        <v>1</v>
      </c>
      <c r="Q4091">
        <v>0</v>
      </c>
      <c r="S4091" t="str">
        <f t="shared" si="1502"/>
        <v>19:36:33.000</v>
      </c>
      <c r="T4091" t="str">
        <f t="shared" si="1502"/>
        <v>19:36:33.000</v>
      </c>
      <c r="U4091" t="str">
        <f t="shared" si="1483"/>
        <v>AC3944</v>
      </c>
      <c r="V4091">
        <v>0</v>
      </c>
      <c r="W4091">
        <v>0</v>
      </c>
      <c r="X4091">
        <v>2</v>
      </c>
      <c r="Y4091">
        <v>0</v>
      </c>
      <c r="AA4091">
        <v>1</v>
      </c>
      <c r="AB4091">
        <v>8</v>
      </c>
      <c r="AC4091">
        <v>3</v>
      </c>
      <c r="AD4091">
        <v>0</v>
      </c>
      <c r="AE4091">
        <v>9</v>
      </c>
      <c r="AF4091" t="s">
        <v>138</v>
      </c>
      <c r="AG4091">
        <v>0</v>
      </c>
      <c r="AH4091">
        <v>3</v>
      </c>
      <c r="AI4091">
        <v>1</v>
      </c>
      <c r="AJ4091">
        <v>0</v>
      </c>
      <c r="AK4091" t="s">
        <v>942</v>
      </c>
      <c r="AL4091">
        <v>32.736381999999999</v>
      </c>
      <c r="AM4091" t="s">
        <v>1316</v>
      </c>
      <c r="AN4091">
        <v>-116.674891</v>
      </c>
      <c r="AO4091">
        <v>25</v>
      </c>
      <c r="AP4091">
        <v>4900</v>
      </c>
      <c r="AQ4091" t="s">
        <v>129</v>
      </c>
      <c r="AR4091">
        <v>29</v>
      </c>
      <c r="AS4091">
        <v>137</v>
      </c>
      <c r="AT4091">
        <v>-1152</v>
      </c>
      <c r="BB4091">
        <v>1200</v>
      </c>
      <c r="BC4091">
        <v>1</v>
      </c>
      <c r="BD4091" t="str">
        <f t="shared" si="1484"/>
        <v xml:space="preserve">N887QR  </v>
      </c>
      <c r="BE4091">
        <v>1</v>
      </c>
      <c r="BG4091">
        <v>0</v>
      </c>
      <c r="BH4091">
        <v>0</v>
      </c>
      <c r="BI4091">
        <v>0</v>
      </c>
      <c r="BJ4091">
        <v>4700</v>
      </c>
      <c r="BK4091">
        <v>-200</v>
      </c>
      <c r="BL4091" t="s">
        <v>163</v>
      </c>
      <c r="BM4091">
        <v>1</v>
      </c>
      <c r="BN4091">
        <v>1</v>
      </c>
      <c r="BO4091">
        <v>1</v>
      </c>
      <c r="BP4091">
        <v>0</v>
      </c>
      <c r="BS4091">
        <v>0.04</v>
      </c>
      <c r="BT4091">
        <v>0</v>
      </c>
      <c r="BU4091">
        <v>0</v>
      </c>
      <c r="CE4091" t="str">
        <f t="shared" si="1505"/>
        <v>19:36:33.772</v>
      </c>
      <c r="CF4091">
        <v>772351790</v>
      </c>
      <c r="CS4091">
        <v>0</v>
      </c>
      <c r="CT4091">
        <v>2</v>
      </c>
      <c r="CU4091">
        <v>0</v>
      </c>
      <c r="CV4091">
        <v>2</v>
      </c>
      <c r="CW4091">
        <v>0</v>
      </c>
      <c r="CX4091">
        <v>3</v>
      </c>
      <c r="CY4091">
        <v>7</v>
      </c>
      <c r="CZ4091" t="s">
        <v>131</v>
      </c>
      <c r="DA4091">
        <v>300</v>
      </c>
      <c r="DB4091">
        <v>0</v>
      </c>
      <c r="DC4091" t="s">
        <v>176</v>
      </c>
      <c r="DD4091" t="s">
        <v>177</v>
      </c>
      <c r="DG4091">
        <v>5455338</v>
      </c>
      <c r="DI4091">
        <v>1</v>
      </c>
      <c r="DJ4091">
        <v>0</v>
      </c>
      <c r="DK4091">
        <v>1</v>
      </c>
      <c r="DL4091">
        <v>0</v>
      </c>
      <c r="DM4091">
        <v>0</v>
      </c>
      <c r="DN4091">
        <v>1</v>
      </c>
      <c r="DO4091">
        <v>0</v>
      </c>
      <c r="DP4091">
        <v>0</v>
      </c>
      <c r="DQ4091">
        <v>0</v>
      </c>
      <c r="DR4091">
        <v>0</v>
      </c>
      <c r="DS4091">
        <v>0</v>
      </c>
    </row>
    <row r="4092" spans="1:123" x14ac:dyDescent="0.3">
      <c r="A4092" t="str">
        <f t="shared" si="1504"/>
        <v>10/04/2022 19:36:34.042</v>
      </c>
      <c r="C4092" t="str">
        <f t="shared" si="1500"/>
        <v>FFDFD3C0</v>
      </c>
      <c r="D4092" t="s">
        <v>141</v>
      </c>
      <c r="E4092">
        <v>4</v>
      </c>
      <c r="H4092">
        <v>4</v>
      </c>
      <c r="I4092" t="s">
        <v>142</v>
      </c>
      <c r="J4092" t="s">
        <v>138</v>
      </c>
      <c r="K4092">
        <v>0</v>
      </c>
      <c r="L4092">
        <v>3</v>
      </c>
      <c r="M4092">
        <v>0</v>
      </c>
      <c r="N4092">
        <v>2</v>
      </c>
      <c r="O4092">
        <v>0</v>
      </c>
      <c r="P4092">
        <v>1</v>
      </c>
      <c r="Q4092">
        <v>0</v>
      </c>
      <c r="S4092" t="str">
        <f t="shared" si="1502"/>
        <v>19:36:33.000</v>
      </c>
      <c r="T4092" t="str">
        <f t="shared" si="1502"/>
        <v>19:36:33.000</v>
      </c>
      <c r="U4092" t="str">
        <f t="shared" si="1483"/>
        <v>AC3944</v>
      </c>
      <c r="V4092">
        <v>0</v>
      </c>
      <c r="W4092">
        <v>0</v>
      </c>
      <c r="X4092">
        <v>2</v>
      </c>
      <c r="Y4092">
        <v>0</v>
      </c>
      <c r="AA4092">
        <v>1</v>
      </c>
      <c r="AB4092">
        <v>8</v>
      </c>
      <c r="AC4092">
        <v>3</v>
      </c>
      <c r="AD4092">
        <v>0</v>
      </c>
      <c r="AE4092">
        <v>9</v>
      </c>
      <c r="AF4092" t="s">
        <v>138</v>
      </c>
      <c r="AG4092">
        <v>0</v>
      </c>
      <c r="AH4092">
        <v>3</v>
      </c>
      <c r="AI4092">
        <v>1</v>
      </c>
      <c r="AJ4092">
        <v>0</v>
      </c>
      <c r="AK4092" t="s">
        <v>942</v>
      </c>
      <c r="AL4092">
        <v>32.736381999999999</v>
      </c>
      <c r="AM4092" t="s">
        <v>1316</v>
      </c>
      <c r="AN4092">
        <v>-116.674891</v>
      </c>
      <c r="AO4092">
        <v>25</v>
      </c>
      <c r="AP4092">
        <v>4900</v>
      </c>
      <c r="AQ4092" t="s">
        <v>129</v>
      </c>
      <c r="AR4092">
        <v>29</v>
      </c>
      <c r="AS4092">
        <v>137</v>
      </c>
      <c r="AT4092">
        <v>-1152</v>
      </c>
      <c r="BB4092">
        <v>1200</v>
      </c>
      <c r="BC4092">
        <v>1</v>
      </c>
      <c r="BD4092" t="str">
        <f t="shared" si="1484"/>
        <v xml:space="preserve">N887QR  </v>
      </c>
      <c r="BE4092">
        <v>1</v>
      </c>
      <c r="BG4092">
        <v>0</v>
      </c>
      <c r="BH4092">
        <v>0</v>
      </c>
      <c r="BI4092">
        <v>0</v>
      </c>
      <c r="BJ4092">
        <v>4700</v>
      </c>
      <c r="BK4092">
        <v>-200</v>
      </c>
      <c r="BL4092" t="s">
        <v>163</v>
      </c>
      <c r="BM4092">
        <v>1</v>
      </c>
      <c r="BN4092">
        <v>1</v>
      </c>
      <c r="BO4092">
        <v>1</v>
      </c>
      <c r="BP4092">
        <v>0</v>
      </c>
      <c r="BS4092">
        <v>0.04</v>
      </c>
      <c r="BT4092">
        <v>0</v>
      </c>
      <c r="BU4092">
        <v>0</v>
      </c>
      <c r="CE4092" t="str">
        <f t="shared" si="1505"/>
        <v>19:36:33.772</v>
      </c>
      <c r="CF4092">
        <v>772351790</v>
      </c>
      <c r="CS4092">
        <v>0</v>
      </c>
      <c r="CT4092">
        <v>2</v>
      </c>
      <c r="CU4092">
        <v>0</v>
      </c>
      <c r="CV4092">
        <v>2</v>
      </c>
      <c r="CW4092">
        <v>0</v>
      </c>
      <c r="CX4092">
        <v>3</v>
      </c>
      <c r="CY4092">
        <v>7</v>
      </c>
      <c r="CZ4092" t="s">
        <v>131</v>
      </c>
      <c r="DA4092">
        <v>300</v>
      </c>
      <c r="DB4092">
        <v>0</v>
      </c>
      <c r="DC4092" t="s">
        <v>176</v>
      </c>
      <c r="DD4092" t="s">
        <v>177</v>
      </c>
      <c r="DG4092">
        <v>5455338</v>
      </c>
      <c r="DI4092">
        <v>1</v>
      </c>
      <c r="DJ4092">
        <v>0</v>
      </c>
      <c r="DK4092">
        <v>1</v>
      </c>
      <c r="DL4092">
        <v>0</v>
      </c>
      <c r="DM4092">
        <v>0</v>
      </c>
      <c r="DN4092">
        <v>1</v>
      </c>
      <c r="DO4092">
        <v>0</v>
      </c>
      <c r="DP4092">
        <v>0</v>
      </c>
      <c r="DQ4092">
        <v>0</v>
      </c>
      <c r="DR4092">
        <v>0</v>
      </c>
      <c r="DS4092">
        <v>0</v>
      </c>
    </row>
    <row r="4093" spans="1:123" x14ac:dyDescent="0.3">
      <c r="A4093" t="str">
        <f t="shared" si="1504"/>
        <v>10/04/2022 19:36:34.042</v>
      </c>
      <c r="C4093" t="str">
        <f t="shared" si="1500"/>
        <v>FFDFD3C0</v>
      </c>
      <c r="D4093" t="s">
        <v>136</v>
      </c>
      <c r="E4093">
        <v>8</v>
      </c>
      <c r="H4093">
        <v>225</v>
      </c>
      <c r="I4093" t="s">
        <v>137</v>
      </c>
      <c r="J4093" t="s">
        <v>138</v>
      </c>
      <c r="K4093">
        <v>0</v>
      </c>
      <c r="L4093">
        <v>3</v>
      </c>
      <c r="M4093">
        <v>0</v>
      </c>
      <c r="N4093">
        <v>2</v>
      </c>
      <c r="O4093">
        <v>0</v>
      </c>
      <c r="P4093">
        <v>1</v>
      </c>
      <c r="Q4093">
        <v>0</v>
      </c>
      <c r="S4093" t="str">
        <f t="shared" si="1502"/>
        <v>19:36:33.000</v>
      </c>
      <c r="T4093" t="str">
        <f t="shared" si="1502"/>
        <v>19:36:33.000</v>
      </c>
      <c r="U4093" t="str">
        <f t="shared" si="1483"/>
        <v>AC3944</v>
      </c>
      <c r="V4093">
        <v>0</v>
      </c>
      <c r="W4093">
        <v>0</v>
      </c>
      <c r="X4093">
        <v>2</v>
      </c>
      <c r="Y4093">
        <v>0</v>
      </c>
      <c r="AA4093">
        <v>1</v>
      </c>
      <c r="AB4093">
        <v>8</v>
      </c>
      <c r="AC4093">
        <v>3</v>
      </c>
      <c r="AD4093">
        <v>0</v>
      </c>
      <c r="AE4093">
        <v>9</v>
      </c>
      <c r="AF4093" t="s">
        <v>138</v>
      </c>
      <c r="AG4093">
        <v>0</v>
      </c>
      <c r="AH4093">
        <v>3</v>
      </c>
      <c r="AI4093">
        <v>1</v>
      </c>
      <c r="AJ4093">
        <v>0</v>
      </c>
      <c r="AK4093" t="s">
        <v>942</v>
      </c>
      <c r="AL4093">
        <v>32.736381999999999</v>
      </c>
      <c r="AM4093" t="s">
        <v>1316</v>
      </c>
      <c r="AN4093">
        <v>-116.674891</v>
      </c>
      <c r="AO4093">
        <v>25</v>
      </c>
      <c r="AP4093">
        <v>4900</v>
      </c>
      <c r="AQ4093" t="s">
        <v>129</v>
      </c>
      <c r="AR4093">
        <v>29</v>
      </c>
      <c r="AS4093">
        <v>137</v>
      </c>
      <c r="AT4093">
        <v>-1152</v>
      </c>
      <c r="BB4093">
        <v>1200</v>
      </c>
      <c r="BC4093">
        <v>1</v>
      </c>
      <c r="BD4093" t="str">
        <f t="shared" si="1484"/>
        <v xml:space="preserve">N887QR  </v>
      </c>
      <c r="BE4093">
        <v>1</v>
      </c>
      <c r="BG4093">
        <v>0</v>
      </c>
      <c r="BH4093">
        <v>0</v>
      </c>
      <c r="BI4093">
        <v>0</v>
      </c>
      <c r="BJ4093">
        <v>4700</v>
      </c>
      <c r="BK4093">
        <v>-200</v>
      </c>
      <c r="BL4093" t="s">
        <v>163</v>
      </c>
      <c r="BM4093">
        <v>1</v>
      </c>
      <c r="BN4093">
        <v>1</v>
      </c>
      <c r="BO4093">
        <v>1</v>
      </c>
      <c r="BP4093">
        <v>0</v>
      </c>
      <c r="BS4093">
        <v>0.04</v>
      </c>
      <c r="BT4093">
        <v>0</v>
      </c>
      <c r="BU4093">
        <v>0</v>
      </c>
      <c r="CE4093" t="str">
        <f t="shared" si="1505"/>
        <v>19:36:33.772</v>
      </c>
      <c r="CF4093">
        <v>772351790</v>
      </c>
      <c r="CS4093">
        <v>0</v>
      </c>
      <c r="CT4093">
        <v>2</v>
      </c>
      <c r="CU4093">
        <v>0</v>
      </c>
      <c r="CV4093">
        <v>2</v>
      </c>
      <c r="CW4093">
        <v>0</v>
      </c>
      <c r="CX4093">
        <v>3</v>
      </c>
      <c r="CY4093">
        <v>7</v>
      </c>
      <c r="CZ4093" t="s">
        <v>131</v>
      </c>
      <c r="DA4093">
        <v>300</v>
      </c>
      <c r="DB4093">
        <v>0</v>
      </c>
      <c r="DC4093" t="s">
        <v>176</v>
      </c>
      <c r="DD4093" t="s">
        <v>177</v>
      </c>
      <c r="DG4093">
        <v>5455338</v>
      </c>
      <c r="DI4093">
        <v>1</v>
      </c>
      <c r="DJ4093">
        <v>0</v>
      </c>
      <c r="DK4093">
        <v>1</v>
      </c>
      <c r="DL4093">
        <v>0</v>
      </c>
      <c r="DM4093">
        <v>0</v>
      </c>
      <c r="DN4093">
        <v>1</v>
      </c>
      <c r="DO4093">
        <v>0</v>
      </c>
      <c r="DP4093">
        <v>0</v>
      </c>
      <c r="DQ4093">
        <v>0</v>
      </c>
      <c r="DR4093">
        <v>0</v>
      </c>
      <c r="DS4093">
        <v>0</v>
      </c>
    </row>
    <row r="4094" spans="1:123" x14ac:dyDescent="0.3">
      <c r="A4094" t="str">
        <f t="shared" si="1504"/>
        <v>10/04/2022 19:36:34.042</v>
      </c>
      <c r="C4094" t="str">
        <f t="shared" si="1500"/>
        <v>FFDFD3C0</v>
      </c>
      <c r="D4094" t="s">
        <v>141</v>
      </c>
      <c r="E4094">
        <v>3</v>
      </c>
      <c r="H4094">
        <v>3</v>
      </c>
      <c r="I4094" t="s">
        <v>146</v>
      </c>
      <c r="J4094" t="s">
        <v>138</v>
      </c>
      <c r="K4094">
        <v>0</v>
      </c>
      <c r="L4094">
        <v>3</v>
      </c>
      <c r="M4094">
        <v>0</v>
      </c>
      <c r="N4094">
        <v>2</v>
      </c>
      <c r="O4094">
        <v>0</v>
      </c>
      <c r="P4094">
        <v>1</v>
      </c>
      <c r="Q4094">
        <v>0</v>
      </c>
      <c r="S4094" t="str">
        <f t="shared" si="1502"/>
        <v>19:36:33.000</v>
      </c>
      <c r="T4094" t="str">
        <f t="shared" si="1502"/>
        <v>19:36:33.000</v>
      </c>
      <c r="U4094" t="str">
        <f t="shared" si="1483"/>
        <v>AC3944</v>
      </c>
      <c r="V4094">
        <v>0</v>
      </c>
      <c r="W4094">
        <v>0</v>
      </c>
      <c r="X4094">
        <v>2</v>
      </c>
      <c r="Y4094">
        <v>0</v>
      </c>
      <c r="AA4094">
        <v>1</v>
      </c>
      <c r="AB4094">
        <v>8</v>
      </c>
      <c r="AC4094">
        <v>3</v>
      </c>
      <c r="AD4094">
        <v>0</v>
      </c>
      <c r="AE4094">
        <v>9</v>
      </c>
      <c r="AF4094" t="s">
        <v>138</v>
      </c>
      <c r="AG4094">
        <v>0</v>
      </c>
      <c r="AH4094">
        <v>3</v>
      </c>
      <c r="AI4094">
        <v>1</v>
      </c>
      <c r="AJ4094">
        <v>0</v>
      </c>
      <c r="AK4094" t="s">
        <v>942</v>
      </c>
      <c r="AL4094">
        <v>32.736381999999999</v>
      </c>
      <c r="AM4094" t="s">
        <v>1316</v>
      </c>
      <c r="AN4094">
        <v>-116.674891</v>
      </c>
      <c r="AO4094">
        <v>25</v>
      </c>
      <c r="AP4094">
        <v>4900</v>
      </c>
      <c r="AQ4094" t="s">
        <v>129</v>
      </c>
      <c r="AR4094">
        <v>29</v>
      </c>
      <c r="AS4094">
        <v>137</v>
      </c>
      <c r="AT4094">
        <v>-1152</v>
      </c>
      <c r="BB4094">
        <v>1200</v>
      </c>
      <c r="BC4094">
        <v>1</v>
      </c>
      <c r="BD4094" t="str">
        <f t="shared" si="1484"/>
        <v xml:space="preserve">N887QR  </v>
      </c>
      <c r="BE4094">
        <v>1</v>
      </c>
      <c r="BG4094">
        <v>0</v>
      </c>
      <c r="BH4094">
        <v>0</v>
      </c>
      <c r="BI4094">
        <v>0</v>
      </c>
      <c r="BJ4094">
        <v>4700</v>
      </c>
      <c r="BK4094">
        <v>-200</v>
      </c>
      <c r="BL4094" t="s">
        <v>163</v>
      </c>
      <c r="BM4094">
        <v>1</v>
      </c>
      <c r="BN4094">
        <v>1</v>
      </c>
      <c r="BO4094">
        <v>1</v>
      </c>
      <c r="BP4094">
        <v>0</v>
      </c>
      <c r="BS4094">
        <v>0.04</v>
      </c>
      <c r="BT4094">
        <v>0</v>
      </c>
      <c r="BU4094">
        <v>0</v>
      </c>
      <c r="CE4094" t="str">
        <f t="shared" si="1505"/>
        <v>19:36:33.772</v>
      </c>
      <c r="CF4094">
        <v>772351790</v>
      </c>
      <c r="CS4094">
        <v>0</v>
      </c>
      <c r="CT4094">
        <v>2</v>
      </c>
      <c r="CU4094">
        <v>0</v>
      </c>
      <c r="CV4094">
        <v>2</v>
      </c>
      <c r="CW4094">
        <v>0</v>
      </c>
      <c r="CX4094">
        <v>3</v>
      </c>
      <c r="CY4094">
        <v>7</v>
      </c>
      <c r="CZ4094" t="s">
        <v>131</v>
      </c>
      <c r="DA4094">
        <v>300</v>
      </c>
      <c r="DB4094">
        <v>0</v>
      </c>
      <c r="DC4094" t="s">
        <v>176</v>
      </c>
      <c r="DD4094" t="s">
        <v>177</v>
      </c>
      <c r="DG4094">
        <v>5455338</v>
      </c>
      <c r="DI4094">
        <v>1</v>
      </c>
      <c r="DJ4094">
        <v>0</v>
      </c>
      <c r="DK4094">
        <v>1</v>
      </c>
      <c r="DL4094">
        <v>0</v>
      </c>
      <c r="DM4094">
        <v>0</v>
      </c>
      <c r="DN4094">
        <v>1</v>
      </c>
      <c r="DO4094">
        <v>0</v>
      </c>
      <c r="DP4094">
        <v>0</v>
      </c>
      <c r="DQ4094">
        <v>0</v>
      </c>
      <c r="DR4094">
        <v>0</v>
      </c>
      <c r="DS4094">
        <v>0</v>
      </c>
    </row>
    <row r="4095" spans="1:123" x14ac:dyDescent="0.3">
      <c r="A4095" t="str">
        <f t="shared" ref="A4095:A4100" si="1506">"10/04/2022 19:36:35.074"</f>
        <v>10/04/2022 19:36:35.074</v>
      </c>
      <c r="C4095" t="str">
        <f t="shared" si="1500"/>
        <v>FFDFD3C0</v>
      </c>
      <c r="D4095" t="s">
        <v>123</v>
      </c>
      <c r="E4095">
        <v>7</v>
      </c>
      <c r="F4095">
        <v>2007</v>
      </c>
      <c r="G4095" t="s">
        <v>124</v>
      </c>
      <c r="J4095" t="s">
        <v>125</v>
      </c>
      <c r="K4095">
        <v>0</v>
      </c>
      <c r="L4095">
        <v>3</v>
      </c>
      <c r="M4095">
        <v>0</v>
      </c>
      <c r="N4095">
        <v>2</v>
      </c>
      <c r="O4095">
        <v>0</v>
      </c>
      <c r="P4095">
        <v>1</v>
      </c>
      <c r="Q4095">
        <v>0</v>
      </c>
      <c r="S4095" t="str">
        <f t="shared" ref="S4095:T4101" si="1507">"19:36:34.000"</f>
        <v>19:36:34.000</v>
      </c>
      <c r="T4095" t="str">
        <f t="shared" si="1507"/>
        <v>19:36:34.000</v>
      </c>
      <c r="U4095" t="str">
        <f t="shared" si="1483"/>
        <v>AC3944</v>
      </c>
      <c r="V4095">
        <v>0</v>
      </c>
      <c r="W4095">
        <v>0</v>
      </c>
      <c r="X4095">
        <v>2</v>
      </c>
      <c r="Y4095">
        <v>0</v>
      </c>
      <c r="AA4095">
        <v>1</v>
      </c>
      <c r="AB4095">
        <v>8</v>
      </c>
      <c r="AC4095">
        <v>3</v>
      </c>
      <c r="AD4095">
        <v>0</v>
      </c>
      <c r="AE4095">
        <v>9</v>
      </c>
      <c r="AF4095" t="s">
        <v>138</v>
      </c>
      <c r="AG4095">
        <v>0</v>
      </c>
      <c r="AH4095">
        <v>3</v>
      </c>
      <c r="AI4095">
        <v>1</v>
      </c>
      <c r="AJ4095">
        <v>0</v>
      </c>
      <c r="AK4095" t="s">
        <v>1317</v>
      </c>
      <c r="AL4095">
        <v>32.737026</v>
      </c>
      <c r="AM4095" t="s">
        <v>1318</v>
      </c>
      <c r="AN4095">
        <v>-116.674762</v>
      </c>
      <c r="AO4095">
        <v>25</v>
      </c>
      <c r="AP4095">
        <v>4900</v>
      </c>
      <c r="AQ4095" t="s">
        <v>129</v>
      </c>
      <c r="AR4095">
        <v>14</v>
      </c>
      <c r="AS4095">
        <v>140</v>
      </c>
      <c r="AT4095">
        <v>-1088</v>
      </c>
      <c r="BB4095">
        <v>1200</v>
      </c>
      <c r="BC4095">
        <v>1</v>
      </c>
      <c r="BD4095" t="str">
        <f t="shared" si="1484"/>
        <v xml:space="preserve">N887QR  </v>
      </c>
      <c r="BE4095">
        <v>1</v>
      </c>
      <c r="BG4095">
        <v>0</v>
      </c>
      <c r="BH4095">
        <v>0</v>
      </c>
      <c r="BI4095">
        <v>0</v>
      </c>
      <c r="BJ4095">
        <v>4700</v>
      </c>
      <c r="BK4095">
        <v>-200</v>
      </c>
      <c r="BL4095" t="s">
        <v>163</v>
      </c>
      <c r="BM4095">
        <v>1</v>
      </c>
      <c r="BN4095">
        <v>1</v>
      </c>
      <c r="BO4095">
        <v>1</v>
      </c>
      <c r="BP4095">
        <v>0</v>
      </c>
      <c r="BS4095">
        <v>0.04</v>
      </c>
      <c r="BT4095">
        <v>0</v>
      </c>
      <c r="BU4095">
        <v>0</v>
      </c>
      <c r="CE4095" t="str">
        <f t="shared" ref="CE4095:CE4101" si="1508">"19:36:34.858"</f>
        <v>19:36:34.858</v>
      </c>
      <c r="CF4095">
        <v>858355023</v>
      </c>
      <c r="CS4095">
        <v>0</v>
      </c>
      <c r="CT4095">
        <v>2</v>
      </c>
      <c r="CU4095">
        <v>0</v>
      </c>
      <c r="CV4095">
        <v>2</v>
      </c>
      <c r="CW4095">
        <v>0</v>
      </c>
      <c r="CX4095">
        <v>3</v>
      </c>
      <c r="CY4095">
        <v>7</v>
      </c>
      <c r="CZ4095" t="s">
        <v>131</v>
      </c>
      <c r="DA4095">
        <v>300</v>
      </c>
      <c r="DB4095">
        <v>0</v>
      </c>
      <c r="DC4095" t="s">
        <v>176</v>
      </c>
      <c r="DD4095" t="s">
        <v>177</v>
      </c>
      <c r="DG4095">
        <v>5455500</v>
      </c>
      <c r="DI4095">
        <v>1</v>
      </c>
      <c r="DJ4095">
        <v>0</v>
      </c>
      <c r="DK4095">
        <v>0</v>
      </c>
      <c r="DL4095">
        <v>0</v>
      </c>
      <c r="DM4095">
        <v>0</v>
      </c>
      <c r="DN4095">
        <v>1</v>
      </c>
      <c r="DO4095">
        <v>0</v>
      </c>
      <c r="DP4095">
        <v>0</v>
      </c>
      <c r="DQ4095">
        <v>0</v>
      </c>
      <c r="DR4095">
        <v>0</v>
      </c>
      <c r="DS4095">
        <v>0</v>
      </c>
    </row>
    <row r="4096" spans="1:123" x14ac:dyDescent="0.3">
      <c r="A4096" t="str">
        <f t="shared" si="1506"/>
        <v>10/04/2022 19:36:35.074</v>
      </c>
      <c r="C4096" t="str">
        <f t="shared" si="1500"/>
        <v>FFDFD3C0</v>
      </c>
      <c r="D4096" t="s">
        <v>147</v>
      </c>
      <c r="E4096">
        <v>3</v>
      </c>
      <c r="H4096">
        <v>166</v>
      </c>
      <c r="I4096" t="s">
        <v>144</v>
      </c>
      <c r="J4096" t="s">
        <v>148</v>
      </c>
      <c r="K4096">
        <v>0</v>
      </c>
      <c r="L4096">
        <v>3</v>
      </c>
      <c r="M4096">
        <v>0</v>
      </c>
      <c r="N4096">
        <v>2</v>
      </c>
      <c r="O4096">
        <v>0</v>
      </c>
      <c r="P4096">
        <v>1</v>
      </c>
      <c r="Q4096">
        <v>0</v>
      </c>
      <c r="S4096" t="str">
        <f t="shared" si="1507"/>
        <v>19:36:34.000</v>
      </c>
      <c r="T4096" t="str">
        <f t="shared" si="1507"/>
        <v>19:36:34.000</v>
      </c>
      <c r="U4096" t="str">
        <f t="shared" si="1483"/>
        <v>AC3944</v>
      </c>
      <c r="V4096">
        <v>0</v>
      </c>
      <c r="W4096">
        <v>0</v>
      </c>
      <c r="X4096">
        <v>2</v>
      </c>
      <c r="Y4096">
        <v>0</v>
      </c>
      <c r="AA4096">
        <v>1</v>
      </c>
      <c r="AB4096">
        <v>8</v>
      </c>
      <c r="AC4096">
        <v>3</v>
      </c>
      <c r="AD4096">
        <v>0</v>
      </c>
      <c r="AE4096">
        <v>9</v>
      </c>
      <c r="AF4096" t="s">
        <v>138</v>
      </c>
      <c r="AG4096">
        <v>0</v>
      </c>
      <c r="AH4096">
        <v>3</v>
      </c>
      <c r="AI4096">
        <v>1</v>
      </c>
      <c r="AJ4096">
        <v>0</v>
      </c>
      <c r="AK4096" t="s">
        <v>1317</v>
      </c>
      <c r="AL4096">
        <v>32.737026</v>
      </c>
      <c r="AM4096" t="s">
        <v>1318</v>
      </c>
      <c r="AN4096">
        <v>-116.674762</v>
      </c>
      <c r="AO4096">
        <v>25</v>
      </c>
      <c r="AP4096">
        <v>4900</v>
      </c>
      <c r="AQ4096" t="s">
        <v>129</v>
      </c>
      <c r="AR4096">
        <v>14</v>
      </c>
      <c r="AS4096">
        <v>140</v>
      </c>
      <c r="AT4096">
        <v>-1088</v>
      </c>
      <c r="BB4096">
        <v>1200</v>
      </c>
      <c r="BC4096">
        <v>1</v>
      </c>
      <c r="BD4096" t="str">
        <f t="shared" si="1484"/>
        <v xml:space="preserve">N887QR  </v>
      </c>
      <c r="BE4096">
        <v>1</v>
      </c>
      <c r="BG4096">
        <v>0</v>
      </c>
      <c r="BH4096">
        <v>0</v>
      </c>
      <c r="BI4096">
        <v>0</v>
      </c>
      <c r="BJ4096">
        <v>4700</v>
      </c>
      <c r="BK4096">
        <v>-200</v>
      </c>
      <c r="BL4096" t="s">
        <v>163</v>
      </c>
      <c r="BM4096">
        <v>1</v>
      </c>
      <c r="BN4096">
        <v>1</v>
      </c>
      <c r="BO4096">
        <v>1</v>
      </c>
      <c r="BP4096">
        <v>0</v>
      </c>
      <c r="BS4096">
        <v>0.04</v>
      </c>
      <c r="BT4096">
        <v>0</v>
      </c>
      <c r="BU4096">
        <v>0</v>
      </c>
      <c r="CE4096" t="str">
        <f t="shared" si="1508"/>
        <v>19:36:34.858</v>
      </c>
      <c r="CF4096">
        <v>858355023</v>
      </c>
      <c r="CS4096">
        <v>0</v>
      </c>
      <c r="CT4096">
        <v>2</v>
      </c>
      <c r="CU4096">
        <v>0</v>
      </c>
      <c r="CV4096">
        <v>2</v>
      </c>
      <c r="CW4096">
        <v>0</v>
      </c>
      <c r="CX4096">
        <v>3</v>
      </c>
      <c r="CY4096">
        <v>7</v>
      </c>
      <c r="CZ4096" t="s">
        <v>131</v>
      </c>
      <c r="DA4096">
        <v>300</v>
      </c>
      <c r="DB4096">
        <v>0</v>
      </c>
      <c r="DC4096" t="s">
        <v>176</v>
      </c>
      <c r="DD4096" t="s">
        <v>177</v>
      </c>
      <c r="DG4096">
        <v>5455500</v>
      </c>
      <c r="DI4096">
        <v>1</v>
      </c>
      <c r="DJ4096">
        <v>0</v>
      </c>
      <c r="DK4096">
        <v>1</v>
      </c>
      <c r="DL4096">
        <v>0</v>
      </c>
      <c r="DM4096">
        <v>0</v>
      </c>
      <c r="DN4096">
        <v>1</v>
      </c>
      <c r="DO4096">
        <v>0</v>
      </c>
      <c r="DP4096">
        <v>0</v>
      </c>
      <c r="DQ4096">
        <v>0</v>
      </c>
      <c r="DR4096">
        <v>0</v>
      </c>
      <c r="DS4096">
        <v>0</v>
      </c>
    </row>
    <row r="4097" spans="1:123" x14ac:dyDescent="0.3">
      <c r="A4097" t="str">
        <f t="shared" si="1506"/>
        <v>10/04/2022 19:36:35.074</v>
      </c>
      <c r="C4097" t="str">
        <f t="shared" si="1500"/>
        <v>FFDFD3C0</v>
      </c>
      <c r="D4097" t="s">
        <v>141</v>
      </c>
      <c r="E4097">
        <v>4</v>
      </c>
      <c r="H4097">
        <v>4</v>
      </c>
      <c r="I4097" t="s">
        <v>142</v>
      </c>
      <c r="J4097" t="s">
        <v>138</v>
      </c>
      <c r="K4097">
        <v>0</v>
      </c>
      <c r="L4097">
        <v>3</v>
      </c>
      <c r="M4097">
        <v>0</v>
      </c>
      <c r="N4097">
        <v>2</v>
      </c>
      <c r="O4097">
        <v>0</v>
      </c>
      <c r="P4097">
        <v>1</v>
      </c>
      <c r="Q4097">
        <v>0</v>
      </c>
      <c r="S4097" t="str">
        <f t="shared" si="1507"/>
        <v>19:36:34.000</v>
      </c>
      <c r="T4097" t="str">
        <f t="shared" si="1507"/>
        <v>19:36:34.000</v>
      </c>
      <c r="U4097" t="str">
        <f t="shared" si="1483"/>
        <v>AC3944</v>
      </c>
      <c r="V4097">
        <v>0</v>
      </c>
      <c r="W4097">
        <v>0</v>
      </c>
      <c r="X4097">
        <v>2</v>
      </c>
      <c r="Y4097">
        <v>0</v>
      </c>
      <c r="AA4097">
        <v>1</v>
      </c>
      <c r="AB4097">
        <v>8</v>
      </c>
      <c r="AC4097">
        <v>3</v>
      </c>
      <c r="AD4097">
        <v>0</v>
      </c>
      <c r="AE4097">
        <v>9</v>
      </c>
      <c r="AF4097" t="s">
        <v>138</v>
      </c>
      <c r="AG4097">
        <v>0</v>
      </c>
      <c r="AH4097">
        <v>3</v>
      </c>
      <c r="AI4097">
        <v>1</v>
      </c>
      <c r="AJ4097">
        <v>0</v>
      </c>
      <c r="AK4097" t="s">
        <v>1317</v>
      </c>
      <c r="AL4097">
        <v>32.737026</v>
      </c>
      <c r="AM4097" t="s">
        <v>1318</v>
      </c>
      <c r="AN4097">
        <v>-116.674762</v>
      </c>
      <c r="AO4097">
        <v>25</v>
      </c>
      <c r="AP4097">
        <v>4900</v>
      </c>
      <c r="AQ4097" t="s">
        <v>129</v>
      </c>
      <c r="AR4097">
        <v>14</v>
      </c>
      <c r="AS4097">
        <v>140</v>
      </c>
      <c r="AT4097">
        <v>-1088</v>
      </c>
      <c r="BB4097">
        <v>1200</v>
      </c>
      <c r="BC4097">
        <v>1</v>
      </c>
      <c r="BD4097" t="str">
        <f t="shared" si="1484"/>
        <v xml:space="preserve">N887QR  </v>
      </c>
      <c r="BE4097">
        <v>1</v>
      </c>
      <c r="BG4097">
        <v>0</v>
      </c>
      <c r="BH4097">
        <v>0</v>
      </c>
      <c r="BI4097">
        <v>0</v>
      </c>
      <c r="BJ4097">
        <v>4700</v>
      </c>
      <c r="BK4097">
        <v>-200</v>
      </c>
      <c r="BL4097" t="s">
        <v>163</v>
      </c>
      <c r="BM4097">
        <v>1</v>
      </c>
      <c r="BN4097">
        <v>1</v>
      </c>
      <c r="BO4097">
        <v>1</v>
      </c>
      <c r="BP4097">
        <v>0</v>
      </c>
      <c r="BS4097">
        <v>0.04</v>
      </c>
      <c r="BT4097">
        <v>0</v>
      </c>
      <c r="BU4097">
        <v>0</v>
      </c>
      <c r="CE4097" t="str">
        <f t="shared" si="1508"/>
        <v>19:36:34.858</v>
      </c>
      <c r="CF4097">
        <v>858355023</v>
      </c>
      <c r="CS4097">
        <v>0</v>
      </c>
      <c r="CT4097">
        <v>2</v>
      </c>
      <c r="CU4097">
        <v>0</v>
      </c>
      <c r="CV4097">
        <v>2</v>
      </c>
      <c r="CW4097">
        <v>0</v>
      </c>
      <c r="CX4097">
        <v>3</v>
      </c>
      <c r="CY4097">
        <v>7</v>
      </c>
      <c r="CZ4097" t="s">
        <v>131</v>
      </c>
      <c r="DA4097">
        <v>300</v>
      </c>
      <c r="DB4097">
        <v>0</v>
      </c>
      <c r="DC4097" t="s">
        <v>176</v>
      </c>
      <c r="DD4097" t="s">
        <v>177</v>
      </c>
      <c r="DG4097">
        <v>5455500</v>
      </c>
      <c r="DI4097">
        <v>1</v>
      </c>
      <c r="DJ4097">
        <v>0</v>
      </c>
      <c r="DK4097">
        <v>1</v>
      </c>
      <c r="DL4097">
        <v>0</v>
      </c>
      <c r="DM4097">
        <v>0</v>
      </c>
      <c r="DN4097">
        <v>1</v>
      </c>
      <c r="DO4097">
        <v>0</v>
      </c>
      <c r="DP4097">
        <v>0</v>
      </c>
      <c r="DQ4097">
        <v>0</v>
      </c>
      <c r="DR4097">
        <v>0</v>
      </c>
      <c r="DS4097">
        <v>0</v>
      </c>
    </row>
    <row r="4098" spans="1:123" x14ac:dyDescent="0.3">
      <c r="A4098" t="str">
        <f t="shared" si="1506"/>
        <v>10/04/2022 19:36:35.074</v>
      </c>
      <c r="C4098" t="str">
        <f t="shared" si="1500"/>
        <v>FFDFD3C0</v>
      </c>
      <c r="D4098" t="s">
        <v>136</v>
      </c>
      <c r="E4098">
        <v>8</v>
      </c>
      <c r="H4098">
        <v>225</v>
      </c>
      <c r="I4098" t="s">
        <v>137</v>
      </c>
      <c r="J4098" t="s">
        <v>138</v>
      </c>
      <c r="K4098">
        <v>0</v>
      </c>
      <c r="L4098">
        <v>3</v>
      </c>
      <c r="M4098">
        <v>0</v>
      </c>
      <c r="N4098">
        <v>2</v>
      </c>
      <c r="O4098">
        <v>0</v>
      </c>
      <c r="P4098">
        <v>1</v>
      </c>
      <c r="Q4098">
        <v>0</v>
      </c>
      <c r="S4098" t="str">
        <f t="shared" si="1507"/>
        <v>19:36:34.000</v>
      </c>
      <c r="T4098" t="str">
        <f t="shared" si="1507"/>
        <v>19:36:34.000</v>
      </c>
      <c r="U4098" t="str">
        <f t="shared" ref="U4098:U4161" si="1509">"AC3944"</f>
        <v>AC3944</v>
      </c>
      <c r="V4098">
        <v>0</v>
      </c>
      <c r="W4098">
        <v>0</v>
      </c>
      <c r="X4098">
        <v>2</v>
      </c>
      <c r="Y4098">
        <v>0</v>
      </c>
      <c r="AA4098">
        <v>1</v>
      </c>
      <c r="AB4098">
        <v>8</v>
      </c>
      <c r="AC4098">
        <v>3</v>
      </c>
      <c r="AD4098">
        <v>0</v>
      </c>
      <c r="AE4098">
        <v>9</v>
      </c>
      <c r="AF4098" t="s">
        <v>138</v>
      </c>
      <c r="AG4098">
        <v>0</v>
      </c>
      <c r="AH4098">
        <v>3</v>
      </c>
      <c r="AI4098">
        <v>1</v>
      </c>
      <c r="AJ4098">
        <v>0</v>
      </c>
      <c r="AK4098" t="s">
        <v>1317</v>
      </c>
      <c r="AL4098">
        <v>32.737026</v>
      </c>
      <c r="AM4098" t="s">
        <v>1318</v>
      </c>
      <c r="AN4098">
        <v>-116.674762</v>
      </c>
      <c r="AO4098">
        <v>25</v>
      </c>
      <c r="AP4098">
        <v>4900</v>
      </c>
      <c r="AQ4098" t="s">
        <v>129</v>
      </c>
      <c r="AR4098">
        <v>14</v>
      </c>
      <c r="AS4098">
        <v>140</v>
      </c>
      <c r="AT4098">
        <v>-1088</v>
      </c>
      <c r="BB4098">
        <v>1200</v>
      </c>
      <c r="BC4098">
        <v>1</v>
      </c>
      <c r="BD4098" t="str">
        <f t="shared" ref="BD4098:BD4161" si="1510">"N887QR  "</f>
        <v xml:space="preserve">N887QR  </v>
      </c>
      <c r="BE4098">
        <v>1</v>
      </c>
      <c r="BG4098">
        <v>0</v>
      </c>
      <c r="BH4098">
        <v>0</v>
      </c>
      <c r="BI4098">
        <v>0</v>
      </c>
      <c r="BJ4098">
        <v>4700</v>
      </c>
      <c r="BK4098">
        <v>-200</v>
      </c>
      <c r="BL4098" t="s">
        <v>163</v>
      </c>
      <c r="BM4098">
        <v>1</v>
      </c>
      <c r="BN4098">
        <v>1</v>
      </c>
      <c r="BO4098">
        <v>1</v>
      </c>
      <c r="BP4098">
        <v>0</v>
      </c>
      <c r="BS4098">
        <v>0.04</v>
      </c>
      <c r="BT4098">
        <v>0</v>
      </c>
      <c r="BU4098">
        <v>0</v>
      </c>
      <c r="CE4098" t="str">
        <f t="shared" si="1508"/>
        <v>19:36:34.858</v>
      </c>
      <c r="CF4098">
        <v>858355023</v>
      </c>
      <c r="CS4098">
        <v>0</v>
      </c>
      <c r="CT4098">
        <v>2</v>
      </c>
      <c r="CU4098">
        <v>0</v>
      </c>
      <c r="CV4098">
        <v>2</v>
      </c>
      <c r="CW4098">
        <v>0</v>
      </c>
      <c r="CX4098">
        <v>3</v>
      </c>
      <c r="CY4098">
        <v>7</v>
      </c>
      <c r="CZ4098" t="s">
        <v>131</v>
      </c>
      <c r="DA4098">
        <v>300</v>
      </c>
      <c r="DB4098">
        <v>0</v>
      </c>
      <c r="DC4098" t="s">
        <v>176</v>
      </c>
      <c r="DD4098" t="s">
        <v>177</v>
      </c>
      <c r="DG4098">
        <v>5455500</v>
      </c>
      <c r="DI4098">
        <v>1</v>
      </c>
      <c r="DJ4098">
        <v>0</v>
      </c>
      <c r="DK4098">
        <v>1</v>
      </c>
      <c r="DL4098">
        <v>0</v>
      </c>
      <c r="DM4098">
        <v>0</v>
      </c>
      <c r="DN4098">
        <v>1</v>
      </c>
      <c r="DO4098">
        <v>0</v>
      </c>
      <c r="DP4098">
        <v>0</v>
      </c>
      <c r="DQ4098">
        <v>0</v>
      </c>
      <c r="DR4098">
        <v>0</v>
      </c>
      <c r="DS4098">
        <v>0</v>
      </c>
    </row>
    <row r="4099" spans="1:123" x14ac:dyDescent="0.3">
      <c r="A4099" t="str">
        <f t="shared" si="1506"/>
        <v>10/04/2022 19:36:35.074</v>
      </c>
      <c r="C4099" t="str">
        <f t="shared" si="1500"/>
        <v>FFDFD3C0</v>
      </c>
      <c r="D4099" t="s">
        <v>141</v>
      </c>
      <c r="E4099">
        <v>3</v>
      </c>
      <c r="H4099">
        <v>3</v>
      </c>
      <c r="I4099" t="s">
        <v>146</v>
      </c>
      <c r="J4099" t="s">
        <v>138</v>
      </c>
      <c r="K4099">
        <v>0</v>
      </c>
      <c r="L4099">
        <v>3</v>
      </c>
      <c r="M4099">
        <v>0</v>
      </c>
      <c r="N4099">
        <v>2</v>
      </c>
      <c r="O4099">
        <v>0</v>
      </c>
      <c r="P4099">
        <v>1</v>
      </c>
      <c r="Q4099">
        <v>0</v>
      </c>
      <c r="S4099" t="str">
        <f t="shared" si="1507"/>
        <v>19:36:34.000</v>
      </c>
      <c r="T4099" t="str">
        <f t="shared" si="1507"/>
        <v>19:36:34.000</v>
      </c>
      <c r="U4099" t="str">
        <f t="shared" si="1509"/>
        <v>AC3944</v>
      </c>
      <c r="V4099">
        <v>0</v>
      </c>
      <c r="W4099">
        <v>0</v>
      </c>
      <c r="X4099">
        <v>2</v>
      </c>
      <c r="Y4099">
        <v>0</v>
      </c>
      <c r="AA4099">
        <v>1</v>
      </c>
      <c r="AB4099">
        <v>8</v>
      </c>
      <c r="AC4099">
        <v>3</v>
      </c>
      <c r="AD4099">
        <v>0</v>
      </c>
      <c r="AE4099">
        <v>9</v>
      </c>
      <c r="AF4099" t="s">
        <v>138</v>
      </c>
      <c r="AG4099">
        <v>0</v>
      </c>
      <c r="AH4099">
        <v>3</v>
      </c>
      <c r="AI4099">
        <v>1</v>
      </c>
      <c r="AJ4099">
        <v>0</v>
      </c>
      <c r="AK4099" t="s">
        <v>1317</v>
      </c>
      <c r="AL4099">
        <v>32.737026</v>
      </c>
      <c r="AM4099" t="s">
        <v>1318</v>
      </c>
      <c r="AN4099">
        <v>-116.674762</v>
      </c>
      <c r="AO4099">
        <v>25</v>
      </c>
      <c r="AP4099">
        <v>4900</v>
      </c>
      <c r="AQ4099" t="s">
        <v>129</v>
      </c>
      <c r="AR4099">
        <v>14</v>
      </c>
      <c r="AS4099">
        <v>140</v>
      </c>
      <c r="AT4099">
        <v>-1088</v>
      </c>
      <c r="BB4099">
        <v>1200</v>
      </c>
      <c r="BC4099">
        <v>1</v>
      </c>
      <c r="BD4099" t="str">
        <f t="shared" si="1510"/>
        <v xml:space="preserve">N887QR  </v>
      </c>
      <c r="BE4099">
        <v>1</v>
      </c>
      <c r="BG4099">
        <v>0</v>
      </c>
      <c r="BH4099">
        <v>0</v>
      </c>
      <c r="BI4099">
        <v>0</v>
      </c>
      <c r="BJ4099">
        <v>4700</v>
      </c>
      <c r="BK4099">
        <v>-200</v>
      </c>
      <c r="BL4099" t="s">
        <v>163</v>
      </c>
      <c r="BM4099">
        <v>1</v>
      </c>
      <c r="BN4099">
        <v>1</v>
      </c>
      <c r="BO4099">
        <v>1</v>
      </c>
      <c r="BP4099">
        <v>0</v>
      </c>
      <c r="BS4099">
        <v>0.04</v>
      </c>
      <c r="BT4099">
        <v>0</v>
      </c>
      <c r="BU4099">
        <v>0</v>
      </c>
      <c r="CE4099" t="str">
        <f t="shared" si="1508"/>
        <v>19:36:34.858</v>
      </c>
      <c r="CF4099">
        <v>858355023</v>
      </c>
      <c r="CS4099">
        <v>0</v>
      </c>
      <c r="CT4099">
        <v>2</v>
      </c>
      <c r="CU4099">
        <v>0</v>
      </c>
      <c r="CV4099">
        <v>2</v>
      </c>
      <c r="CW4099">
        <v>0</v>
      </c>
      <c r="CX4099">
        <v>3</v>
      </c>
      <c r="CY4099">
        <v>7</v>
      </c>
      <c r="CZ4099" t="s">
        <v>131</v>
      </c>
      <c r="DA4099">
        <v>300</v>
      </c>
      <c r="DB4099">
        <v>0</v>
      </c>
      <c r="DC4099" t="s">
        <v>176</v>
      </c>
      <c r="DD4099" t="s">
        <v>177</v>
      </c>
      <c r="DG4099">
        <v>5455500</v>
      </c>
      <c r="DI4099">
        <v>1</v>
      </c>
      <c r="DJ4099">
        <v>0</v>
      </c>
      <c r="DK4099">
        <v>1</v>
      </c>
      <c r="DL4099">
        <v>0</v>
      </c>
      <c r="DM4099">
        <v>0</v>
      </c>
      <c r="DN4099">
        <v>1</v>
      </c>
      <c r="DO4099">
        <v>0</v>
      </c>
      <c r="DP4099">
        <v>0</v>
      </c>
      <c r="DQ4099">
        <v>0</v>
      </c>
      <c r="DR4099">
        <v>0</v>
      </c>
      <c r="DS4099">
        <v>0</v>
      </c>
    </row>
    <row r="4100" spans="1:123" x14ac:dyDescent="0.3">
      <c r="A4100" t="str">
        <f t="shared" si="1506"/>
        <v>10/04/2022 19:36:35.074</v>
      </c>
      <c r="C4100" t="str">
        <f t="shared" si="1500"/>
        <v>FFDFD3C0</v>
      </c>
      <c r="D4100" t="s">
        <v>143</v>
      </c>
      <c r="E4100">
        <v>20</v>
      </c>
      <c r="F4100">
        <v>1020</v>
      </c>
      <c r="G4100" t="s">
        <v>144</v>
      </c>
      <c r="J4100" t="s">
        <v>145</v>
      </c>
      <c r="K4100">
        <v>0</v>
      </c>
      <c r="L4100">
        <v>3</v>
      </c>
      <c r="M4100">
        <v>0</v>
      </c>
      <c r="N4100">
        <v>2</v>
      </c>
      <c r="O4100">
        <v>0</v>
      </c>
      <c r="P4100">
        <v>1</v>
      </c>
      <c r="Q4100">
        <v>0</v>
      </c>
      <c r="S4100" t="str">
        <f t="shared" si="1507"/>
        <v>19:36:34.000</v>
      </c>
      <c r="T4100" t="str">
        <f t="shared" si="1507"/>
        <v>19:36:34.000</v>
      </c>
      <c r="U4100" t="str">
        <f t="shared" si="1509"/>
        <v>AC3944</v>
      </c>
      <c r="V4100">
        <v>0</v>
      </c>
      <c r="W4100">
        <v>0</v>
      </c>
      <c r="X4100">
        <v>2</v>
      </c>
      <c r="Y4100">
        <v>0</v>
      </c>
      <c r="AA4100">
        <v>1</v>
      </c>
      <c r="AB4100">
        <v>8</v>
      </c>
      <c r="AC4100">
        <v>3</v>
      </c>
      <c r="AD4100">
        <v>0</v>
      </c>
      <c r="AE4100">
        <v>9</v>
      </c>
      <c r="AF4100" t="s">
        <v>138</v>
      </c>
      <c r="AG4100">
        <v>0</v>
      </c>
      <c r="AH4100">
        <v>3</v>
      </c>
      <c r="AI4100">
        <v>1</v>
      </c>
      <c r="AJ4100">
        <v>0</v>
      </c>
      <c r="AK4100" t="s">
        <v>1317</v>
      </c>
      <c r="AL4100">
        <v>32.737026</v>
      </c>
      <c r="AM4100" t="s">
        <v>1318</v>
      </c>
      <c r="AN4100">
        <v>-116.674762</v>
      </c>
      <c r="AO4100">
        <v>25</v>
      </c>
      <c r="AP4100">
        <v>4900</v>
      </c>
      <c r="AQ4100" t="s">
        <v>129</v>
      </c>
      <c r="AR4100">
        <v>14</v>
      </c>
      <c r="AS4100">
        <v>140</v>
      </c>
      <c r="AT4100">
        <v>-1088</v>
      </c>
      <c r="BB4100">
        <v>1200</v>
      </c>
      <c r="BC4100">
        <v>1</v>
      </c>
      <c r="BD4100" t="str">
        <f t="shared" si="1510"/>
        <v xml:space="preserve">N887QR  </v>
      </c>
      <c r="BE4100">
        <v>1</v>
      </c>
      <c r="BG4100">
        <v>0</v>
      </c>
      <c r="BH4100">
        <v>0</v>
      </c>
      <c r="BI4100">
        <v>0</v>
      </c>
      <c r="BJ4100">
        <v>4700</v>
      </c>
      <c r="BK4100">
        <v>-200</v>
      </c>
      <c r="BL4100" t="s">
        <v>163</v>
      </c>
      <c r="BM4100">
        <v>1</v>
      </c>
      <c r="BN4100">
        <v>1</v>
      </c>
      <c r="BO4100">
        <v>1</v>
      </c>
      <c r="BP4100">
        <v>0</v>
      </c>
      <c r="BS4100">
        <v>0.04</v>
      </c>
      <c r="BT4100">
        <v>0</v>
      </c>
      <c r="BU4100">
        <v>0</v>
      </c>
      <c r="CE4100" t="str">
        <f t="shared" si="1508"/>
        <v>19:36:34.858</v>
      </c>
      <c r="CF4100">
        <v>858355023</v>
      </c>
      <c r="CS4100">
        <v>0</v>
      </c>
      <c r="CT4100">
        <v>2</v>
      </c>
      <c r="CU4100">
        <v>0</v>
      </c>
      <c r="CV4100">
        <v>2</v>
      </c>
      <c r="CW4100">
        <v>0</v>
      </c>
      <c r="CX4100">
        <v>3</v>
      </c>
      <c r="CY4100">
        <v>7</v>
      </c>
      <c r="CZ4100" t="s">
        <v>131</v>
      </c>
      <c r="DA4100">
        <v>300</v>
      </c>
      <c r="DB4100">
        <v>0</v>
      </c>
      <c r="DC4100" t="s">
        <v>176</v>
      </c>
      <c r="DD4100" t="s">
        <v>177</v>
      </c>
      <c r="DG4100">
        <v>5455500</v>
      </c>
      <c r="DI4100">
        <v>1</v>
      </c>
      <c r="DJ4100">
        <v>0</v>
      </c>
      <c r="DK4100">
        <v>1</v>
      </c>
      <c r="DL4100">
        <v>0</v>
      </c>
      <c r="DM4100">
        <v>0</v>
      </c>
      <c r="DN4100">
        <v>1</v>
      </c>
      <c r="DO4100">
        <v>0</v>
      </c>
      <c r="DP4100">
        <v>0</v>
      </c>
      <c r="DQ4100">
        <v>0</v>
      </c>
      <c r="DR4100">
        <v>0</v>
      </c>
      <c r="DS4100">
        <v>0</v>
      </c>
    </row>
    <row r="4101" spans="1:123" x14ac:dyDescent="0.3">
      <c r="A4101" t="str">
        <f>"10/04/2022 19:36:35.121"</f>
        <v>10/04/2022 19:36:35.121</v>
      </c>
      <c r="C4101" t="str">
        <f t="shared" si="1500"/>
        <v>FFDFD3C0</v>
      </c>
      <c r="D4101" t="s">
        <v>134</v>
      </c>
      <c r="E4101">
        <v>15</v>
      </c>
      <c r="J4101" t="s">
        <v>135</v>
      </c>
      <c r="K4101">
        <v>0</v>
      </c>
      <c r="L4101">
        <v>3</v>
      </c>
      <c r="M4101">
        <v>0</v>
      </c>
      <c r="N4101">
        <v>2</v>
      </c>
      <c r="O4101">
        <v>0</v>
      </c>
      <c r="P4101">
        <v>1</v>
      </c>
      <c r="Q4101">
        <v>0</v>
      </c>
      <c r="S4101" t="str">
        <f t="shared" si="1507"/>
        <v>19:36:34.000</v>
      </c>
      <c r="T4101" t="str">
        <f t="shared" si="1507"/>
        <v>19:36:34.000</v>
      </c>
      <c r="U4101" t="str">
        <f t="shared" si="1509"/>
        <v>AC3944</v>
      </c>
      <c r="V4101">
        <v>0</v>
      </c>
      <c r="W4101">
        <v>0</v>
      </c>
      <c r="X4101">
        <v>2</v>
      </c>
      <c r="Y4101">
        <v>0</v>
      </c>
      <c r="AA4101">
        <v>1</v>
      </c>
      <c r="AB4101">
        <v>8</v>
      </c>
      <c r="AC4101">
        <v>3</v>
      </c>
      <c r="AD4101">
        <v>0</v>
      </c>
      <c r="AE4101">
        <v>9</v>
      </c>
      <c r="AF4101" t="s">
        <v>138</v>
      </c>
      <c r="AG4101">
        <v>0</v>
      </c>
      <c r="AH4101">
        <v>3</v>
      </c>
      <c r="AI4101">
        <v>1</v>
      </c>
      <c r="AJ4101">
        <v>0</v>
      </c>
      <c r="AK4101" t="s">
        <v>1317</v>
      </c>
      <c r="AL4101">
        <v>32.737026</v>
      </c>
      <c r="AM4101" t="s">
        <v>1318</v>
      </c>
      <c r="AN4101">
        <v>-116.674762</v>
      </c>
      <c r="AO4101">
        <v>25</v>
      </c>
      <c r="AP4101">
        <v>4900</v>
      </c>
      <c r="AQ4101" t="s">
        <v>129</v>
      </c>
      <c r="AR4101">
        <v>14</v>
      </c>
      <c r="AS4101">
        <v>140</v>
      </c>
      <c r="AT4101">
        <v>-1088</v>
      </c>
      <c r="BB4101">
        <v>1200</v>
      </c>
      <c r="BC4101">
        <v>1</v>
      </c>
      <c r="BD4101" t="str">
        <f t="shared" si="1510"/>
        <v xml:space="preserve">N887QR  </v>
      </c>
      <c r="BE4101">
        <v>1</v>
      </c>
      <c r="BG4101">
        <v>0</v>
      </c>
      <c r="BH4101">
        <v>0</v>
      </c>
      <c r="BI4101">
        <v>0</v>
      </c>
      <c r="BJ4101">
        <v>4700</v>
      </c>
      <c r="BK4101">
        <v>-200</v>
      </c>
      <c r="BL4101" t="s">
        <v>163</v>
      </c>
      <c r="BM4101">
        <v>1</v>
      </c>
      <c r="BN4101">
        <v>1</v>
      </c>
      <c r="BO4101">
        <v>1</v>
      </c>
      <c r="BP4101">
        <v>0</v>
      </c>
      <c r="BS4101">
        <v>0.04</v>
      </c>
      <c r="BT4101">
        <v>0</v>
      </c>
      <c r="BU4101">
        <v>0</v>
      </c>
      <c r="CE4101" t="str">
        <f t="shared" si="1508"/>
        <v>19:36:34.858</v>
      </c>
      <c r="CF4101">
        <v>858355023</v>
      </c>
      <c r="CS4101">
        <v>0</v>
      </c>
      <c r="CT4101">
        <v>2</v>
      </c>
      <c r="CU4101">
        <v>0</v>
      </c>
      <c r="CV4101">
        <v>2</v>
      </c>
      <c r="CW4101">
        <v>0</v>
      </c>
      <c r="CX4101">
        <v>3</v>
      </c>
      <c r="CY4101">
        <v>7</v>
      </c>
      <c r="CZ4101" t="s">
        <v>131</v>
      </c>
      <c r="DA4101">
        <v>300</v>
      </c>
      <c r="DB4101">
        <v>0</v>
      </c>
      <c r="DC4101" t="s">
        <v>176</v>
      </c>
      <c r="DD4101" t="s">
        <v>177</v>
      </c>
      <c r="DG4101">
        <v>5455500</v>
      </c>
      <c r="DI4101">
        <v>1</v>
      </c>
      <c r="DJ4101">
        <v>0</v>
      </c>
      <c r="DK4101">
        <v>1</v>
      </c>
      <c r="DL4101">
        <v>0</v>
      </c>
      <c r="DM4101">
        <v>0</v>
      </c>
      <c r="DN4101">
        <v>1</v>
      </c>
      <c r="DO4101">
        <v>0</v>
      </c>
      <c r="DP4101">
        <v>0</v>
      </c>
      <c r="DQ4101">
        <v>0</v>
      </c>
      <c r="DR4101">
        <v>0</v>
      </c>
      <c r="DS4101">
        <v>0</v>
      </c>
    </row>
    <row r="4102" spans="1:123" x14ac:dyDescent="0.3">
      <c r="A4102" t="str">
        <f t="shared" ref="A4102:A4108" si="1511">"10/04/2022 19:36:36.292"</f>
        <v>10/04/2022 19:36:36.292</v>
      </c>
      <c r="C4102" t="str">
        <f t="shared" si="1500"/>
        <v>FFDFD3C0</v>
      </c>
      <c r="D4102" t="s">
        <v>136</v>
      </c>
      <c r="E4102">
        <v>8</v>
      </c>
      <c r="H4102">
        <v>225</v>
      </c>
      <c r="I4102" t="s">
        <v>137</v>
      </c>
      <c r="J4102" t="s">
        <v>138</v>
      </c>
      <c r="K4102">
        <v>0</v>
      </c>
      <c r="L4102">
        <v>3</v>
      </c>
      <c r="M4102">
        <v>0</v>
      </c>
      <c r="N4102">
        <v>2</v>
      </c>
      <c r="O4102">
        <v>0</v>
      </c>
      <c r="P4102">
        <v>1</v>
      </c>
      <c r="Q4102">
        <v>0</v>
      </c>
      <c r="S4102" t="str">
        <f t="shared" ref="S4102:T4108" si="1512">"19:36:35.000"</f>
        <v>19:36:35.000</v>
      </c>
      <c r="T4102" t="str">
        <f t="shared" si="1512"/>
        <v>19:36:35.000</v>
      </c>
      <c r="U4102" t="str">
        <f t="shared" si="1509"/>
        <v>AC3944</v>
      </c>
      <c r="V4102">
        <v>0</v>
      </c>
      <c r="W4102">
        <v>0</v>
      </c>
      <c r="X4102">
        <v>2</v>
      </c>
      <c r="Y4102">
        <v>0</v>
      </c>
      <c r="AA4102">
        <v>1</v>
      </c>
      <c r="AB4102">
        <v>8</v>
      </c>
      <c r="AC4102">
        <v>3</v>
      </c>
      <c r="AD4102">
        <v>0</v>
      </c>
      <c r="AE4102">
        <v>9</v>
      </c>
      <c r="AF4102" t="s">
        <v>138</v>
      </c>
      <c r="AG4102">
        <v>0</v>
      </c>
      <c r="AH4102">
        <v>3</v>
      </c>
      <c r="AI4102">
        <v>1</v>
      </c>
      <c r="AJ4102">
        <v>0</v>
      </c>
      <c r="AK4102" t="s">
        <v>1319</v>
      </c>
      <c r="AL4102">
        <v>32.737690999999998</v>
      </c>
      <c r="AM4102" t="s">
        <v>1320</v>
      </c>
      <c r="AN4102">
        <v>-116.674719</v>
      </c>
      <c r="AO4102">
        <v>25</v>
      </c>
      <c r="AP4102">
        <v>4900</v>
      </c>
      <c r="AQ4102" t="s">
        <v>129</v>
      </c>
      <c r="AR4102">
        <v>0</v>
      </c>
      <c r="AS4102">
        <v>141</v>
      </c>
      <c r="AT4102">
        <v>-1088</v>
      </c>
      <c r="BB4102">
        <v>1200</v>
      </c>
      <c r="BC4102">
        <v>1</v>
      </c>
      <c r="BD4102" t="str">
        <f t="shared" si="1510"/>
        <v xml:space="preserve">N887QR  </v>
      </c>
      <c r="BE4102">
        <v>1</v>
      </c>
      <c r="BG4102">
        <v>0</v>
      </c>
      <c r="BH4102">
        <v>0</v>
      </c>
      <c r="BI4102">
        <v>0</v>
      </c>
      <c r="BJ4102">
        <v>4700</v>
      </c>
      <c r="BK4102">
        <v>-200</v>
      </c>
      <c r="BL4102" t="s">
        <v>163</v>
      </c>
      <c r="BM4102">
        <v>1</v>
      </c>
      <c r="BN4102">
        <v>1</v>
      </c>
      <c r="BO4102">
        <v>1</v>
      </c>
      <c r="BP4102">
        <v>0</v>
      </c>
      <c r="BS4102">
        <v>0.04</v>
      </c>
      <c r="BT4102">
        <v>0</v>
      </c>
      <c r="BU4102">
        <v>0</v>
      </c>
      <c r="CE4102" t="str">
        <f t="shared" ref="CE4102:CE4108" si="1513">"19:36:35.971"</f>
        <v>19:36:35.971</v>
      </c>
      <c r="CF4102">
        <v>971358453</v>
      </c>
      <c r="CS4102">
        <v>0</v>
      </c>
      <c r="CT4102">
        <v>2</v>
      </c>
      <c r="CU4102">
        <v>0</v>
      </c>
      <c r="CV4102">
        <v>2</v>
      </c>
      <c r="CW4102">
        <v>2</v>
      </c>
      <c r="CX4102">
        <v>4</v>
      </c>
      <c r="CY4102">
        <v>7</v>
      </c>
      <c r="CZ4102" t="s">
        <v>131</v>
      </c>
      <c r="DA4102">
        <v>300</v>
      </c>
      <c r="DB4102">
        <v>0</v>
      </c>
      <c r="DC4102" t="s">
        <v>176</v>
      </c>
      <c r="DD4102" t="s">
        <v>177</v>
      </c>
      <c r="DG4102">
        <v>5455657</v>
      </c>
      <c r="DI4102">
        <v>1</v>
      </c>
      <c r="DJ4102">
        <v>0</v>
      </c>
      <c r="DK4102">
        <v>0</v>
      </c>
      <c r="DL4102">
        <v>0</v>
      </c>
      <c r="DM4102">
        <v>0</v>
      </c>
      <c r="DN4102">
        <v>1</v>
      </c>
      <c r="DO4102">
        <v>0</v>
      </c>
      <c r="DP4102">
        <v>0</v>
      </c>
      <c r="DQ4102">
        <v>0</v>
      </c>
      <c r="DR4102">
        <v>0</v>
      </c>
      <c r="DS4102">
        <v>0</v>
      </c>
    </row>
    <row r="4103" spans="1:123" x14ac:dyDescent="0.3">
      <c r="A4103" t="str">
        <f t="shared" si="1511"/>
        <v>10/04/2022 19:36:36.292</v>
      </c>
      <c r="C4103" t="str">
        <f t="shared" si="1500"/>
        <v>FFDFD3C0</v>
      </c>
      <c r="D4103" t="s">
        <v>141</v>
      </c>
      <c r="E4103">
        <v>3</v>
      </c>
      <c r="H4103">
        <v>3</v>
      </c>
      <c r="I4103" t="s">
        <v>146</v>
      </c>
      <c r="J4103" t="s">
        <v>138</v>
      </c>
      <c r="K4103">
        <v>0</v>
      </c>
      <c r="L4103">
        <v>3</v>
      </c>
      <c r="M4103">
        <v>0</v>
      </c>
      <c r="N4103">
        <v>2</v>
      </c>
      <c r="O4103">
        <v>0</v>
      </c>
      <c r="P4103">
        <v>1</v>
      </c>
      <c r="Q4103">
        <v>0</v>
      </c>
      <c r="S4103" t="str">
        <f t="shared" si="1512"/>
        <v>19:36:35.000</v>
      </c>
      <c r="T4103" t="str">
        <f t="shared" si="1512"/>
        <v>19:36:35.000</v>
      </c>
      <c r="U4103" t="str">
        <f t="shared" si="1509"/>
        <v>AC3944</v>
      </c>
      <c r="V4103">
        <v>0</v>
      </c>
      <c r="W4103">
        <v>0</v>
      </c>
      <c r="X4103">
        <v>2</v>
      </c>
      <c r="Y4103">
        <v>0</v>
      </c>
      <c r="AA4103">
        <v>1</v>
      </c>
      <c r="AB4103">
        <v>8</v>
      </c>
      <c r="AC4103">
        <v>3</v>
      </c>
      <c r="AD4103">
        <v>0</v>
      </c>
      <c r="AE4103">
        <v>9</v>
      </c>
      <c r="AF4103" t="s">
        <v>138</v>
      </c>
      <c r="AG4103">
        <v>0</v>
      </c>
      <c r="AH4103">
        <v>3</v>
      </c>
      <c r="AI4103">
        <v>1</v>
      </c>
      <c r="AJ4103">
        <v>0</v>
      </c>
      <c r="AK4103" t="s">
        <v>1319</v>
      </c>
      <c r="AL4103">
        <v>32.737690999999998</v>
      </c>
      <c r="AM4103" t="s">
        <v>1320</v>
      </c>
      <c r="AN4103">
        <v>-116.674719</v>
      </c>
      <c r="AO4103">
        <v>25</v>
      </c>
      <c r="AP4103">
        <v>4900</v>
      </c>
      <c r="AQ4103" t="s">
        <v>129</v>
      </c>
      <c r="AR4103">
        <v>0</v>
      </c>
      <c r="AS4103">
        <v>141</v>
      </c>
      <c r="AT4103">
        <v>-1088</v>
      </c>
      <c r="BB4103">
        <v>1200</v>
      </c>
      <c r="BC4103">
        <v>1</v>
      </c>
      <c r="BD4103" t="str">
        <f t="shared" si="1510"/>
        <v xml:space="preserve">N887QR  </v>
      </c>
      <c r="BE4103">
        <v>1</v>
      </c>
      <c r="BG4103">
        <v>0</v>
      </c>
      <c r="BH4103">
        <v>0</v>
      </c>
      <c r="BI4103">
        <v>0</v>
      </c>
      <c r="BJ4103">
        <v>4700</v>
      </c>
      <c r="BK4103">
        <v>-200</v>
      </c>
      <c r="BL4103" t="s">
        <v>163</v>
      </c>
      <c r="BM4103">
        <v>1</v>
      </c>
      <c r="BN4103">
        <v>1</v>
      </c>
      <c r="BO4103">
        <v>1</v>
      </c>
      <c r="BP4103">
        <v>0</v>
      </c>
      <c r="BS4103">
        <v>0.04</v>
      </c>
      <c r="BT4103">
        <v>0</v>
      </c>
      <c r="BU4103">
        <v>0</v>
      </c>
      <c r="CE4103" t="str">
        <f t="shared" si="1513"/>
        <v>19:36:35.971</v>
      </c>
      <c r="CF4103">
        <v>971358453</v>
      </c>
      <c r="CS4103">
        <v>0</v>
      </c>
      <c r="CT4103">
        <v>2</v>
      </c>
      <c r="CU4103">
        <v>0</v>
      </c>
      <c r="CV4103">
        <v>2</v>
      </c>
      <c r="CW4103">
        <v>2</v>
      </c>
      <c r="CX4103">
        <v>4</v>
      </c>
      <c r="CY4103">
        <v>7</v>
      </c>
      <c r="CZ4103" t="s">
        <v>131</v>
      </c>
      <c r="DA4103">
        <v>300</v>
      </c>
      <c r="DB4103">
        <v>0</v>
      </c>
      <c r="DC4103" t="s">
        <v>176</v>
      </c>
      <c r="DD4103" t="s">
        <v>177</v>
      </c>
      <c r="DG4103">
        <v>5455657</v>
      </c>
      <c r="DI4103">
        <v>1</v>
      </c>
      <c r="DJ4103">
        <v>0</v>
      </c>
      <c r="DK4103">
        <v>1</v>
      </c>
      <c r="DL4103">
        <v>0</v>
      </c>
      <c r="DM4103">
        <v>0</v>
      </c>
      <c r="DN4103">
        <v>1</v>
      </c>
      <c r="DO4103">
        <v>0</v>
      </c>
      <c r="DP4103">
        <v>0</v>
      </c>
      <c r="DQ4103">
        <v>0</v>
      </c>
      <c r="DR4103">
        <v>0</v>
      </c>
      <c r="DS4103">
        <v>0</v>
      </c>
    </row>
    <row r="4104" spans="1:123" x14ac:dyDescent="0.3">
      <c r="A4104" t="str">
        <f t="shared" si="1511"/>
        <v>10/04/2022 19:36:36.292</v>
      </c>
      <c r="C4104" t="str">
        <f t="shared" si="1500"/>
        <v>FFDFD3C0</v>
      </c>
      <c r="D4104" t="s">
        <v>143</v>
      </c>
      <c r="E4104">
        <v>20</v>
      </c>
      <c r="F4104">
        <v>1020</v>
      </c>
      <c r="G4104" t="s">
        <v>144</v>
      </c>
      <c r="J4104" t="s">
        <v>145</v>
      </c>
      <c r="K4104">
        <v>0</v>
      </c>
      <c r="L4104">
        <v>3</v>
      </c>
      <c r="M4104">
        <v>0</v>
      </c>
      <c r="N4104">
        <v>2</v>
      </c>
      <c r="O4104">
        <v>0</v>
      </c>
      <c r="P4104">
        <v>1</v>
      </c>
      <c r="Q4104">
        <v>0</v>
      </c>
      <c r="S4104" t="str">
        <f t="shared" si="1512"/>
        <v>19:36:35.000</v>
      </c>
      <c r="T4104" t="str">
        <f t="shared" si="1512"/>
        <v>19:36:35.000</v>
      </c>
      <c r="U4104" t="str">
        <f t="shared" si="1509"/>
        <v>AC3944</v>
      </c>
      <c r="V4104">
        <v>0</v>
      </c>
      <c r="W4104">
        <v>0</v>
      </c>
      <c r="X4104">
        <v>2</v>
      </c>
      <c r="Y4104">
        <v>0</v>
      </c>
      <c r="AA4104">
        <v>1</v>
      </c>
      <c r="AB4104">
        <v>8</v>
      </c>
      <c r="AC4104">
        <v>3</v>
      </c>
      <c r="AD4104">
        <v>0</v>
      </c>
      <c r="AE4104">
        <v>9</v>
      </c>
      <c r="AF4104" t="s">
        <v>138</v>
      </c>
      <c r="AG4104">
        <v>0</v>
      </c>
      <c r="AH4104">
        <v>3</v>
      </c>
      <c r="AI4104">
        <v>1</v>
      </c>
      <c r="AJ4104">
        <v>0</v>
      </c>
      <c r="AK4104" t="s">
        <v>1319</v>
      </c>
      <c r="AL4104">
        <v>32.737690999999998</v>
      </c>
      <c r="AM4104" t="s">
        <v>1320</v>
      </c>
      <c r="AN4104">
        <v>-116.674719</v>
      </c>
      <c r="AO4104">
        <v>25</v>
      </c>
      <c r="AP4104">
        <v>4900</v>
      </c>
      <c r="AQ4104" t="s">
        <v>129</v>
      </c>
      <c r="AR4104">
        <v>0</v>
      </c>
      <c r="AS4104">
        <v>141</v>
      </c>
      <c r="AT4104">
        <v>-1088</v>
      </c>
      <c r="BB4104">
        <v>1200</v>
      </c>
      <c r="BC4104">
        <v>1</v>
      </c>
      <c r="BD4104" t="str">
        <f t="shared" si="1510"/>
        <v xml:space="preserve">N887QR  </v>
      </c>
      <c r="BE4104">
        <v>1</v>
      </c>
      <c r="BG4104">
        <v>0</v>
      </c>
      <c r="BH4104">
        <v>0</v>
      </c>
      <c r="BI4104">
        <v>0</v>
      </c>
      <c r="BJ4104">
        <v>4700</v>
      </c>
      <c r="BK4104">
        <v>-200</v>
      </c>
      <c r="BL4104" t="s">
        <v>163</v>
      </c>
      <c r="BM4104">
        <v>1</v>
      </c>
      <c r="BN4104">
        <v>1</v>
      </c>
      <c r="BO4104">
        <v>1</v>
      </c>
      <c r="BP4104">
        <v>0</v>
      </c>
      <c r="BS4104">
        <v>0.04</v>
      </c>
      <c r="BT4104">
        <v>0</v>
      </c>
      <c r="BU4104">
        <v>0</v>
      </c>
      <c r="CE4104" t="str">
        <f t="shared" si="1513"/>
        <v>19:36:35.971</v>
      </c>
      <c r="CF4104">
        <v>971358453</v>
      </c>
      <c r="CS4104">
        <v>0</v>
      </c>
      <c r="CT4104">
        <v>2</v>
      </c>
      <c r="CU4104">
        <v>0</v>
      </c>
      <c r="CV4104">
        <v>2</v>
      </c>
      <c r="CW4104">
        <v>2</v>
      </c>
      <c r="CX4104">
        <v>4</v>
      </c>
      <c r="CY4104">
        <v>7</v>
      </c>
      <c r="CZ4104" t="s">
        <v>131</v>
      </c>
      <c r="DA4104">
        <v>300</v>
      </c>
      <c r="DB4104">
        <v>0</v>
      </c>
      <c r="DC4104" t="s">
        <v>176</v>
      </c>
      <c r="DD4104" t="s">
        <v>177</v>
      </c>
      <c r="DG4104">
        <v>5455657</v>
      </c>
      <c r="DI4104">
        <v>1</v>
      </c>
      <c r="DJ4104">
        <v>0</v>
      </c>
      <c r="DK4104">
        <v>1</v>
      </c>
      <c r="DL4104">
        <v>0</v>
      </c>
      <c r="DM4104">
        <v>0</v>
      </c>
      <c r="DN4104">
        <v>1</v>
      </c>
      <c r="DO4104">
        <v>0</v>
      </c>
      <c r="DP4104">
        <v>0</v>
      </c>
      <c r="DQ4104">
        <v>0</v>
      </c>
      <c r="DR4104">
        <v>0</v>
      </c>
      <c r="DS4104">
        <v>0</v>
      </c>
    </row>
    <row r="4105" spans="1:123" x14ac:dyDescent="0.3">
      <c r="A4105" t="str">
        <f t="shared" si="1511"/>
        <v>10/04/2022 19:36:36.292</v>
      </c>
      <c r="C4105" t="str">
        <f t="shared" si="1500"/>
        <v>FFDFD3C0</v>
      </c>
      <c r="D4105" t="s">
        <v>123</v>
      </c>
      <c r="E4105">
        <v>7</v>
      </c>
      <c r="F4105">
        <v>2007</v>
      </c>
      <c r="G4105" t="s">
        <v>124</v>
      </c>
      <c r="J4105" t="s">
        <v>125</v>
      </c>
      <c r="K4105">
        <v>0</v>
      </c>
      <c r="L4105">
        <v>3</v>
      </c>
      <c r="M4105">
        <v>0</v>
      </c>
      <c r="N4105">
        <v>2</v>
      </c>
      <c r="O4105">
        <v>0</v>
      </c>
      <c r="P4105">
        <v>1</v>
      </c>
      <c r="Q4105">
        <v>0</v>
      </c>
      <c r="S4105" t="str">
        <f t="shared" si="1512"/>
        <v>19:36:35.000</v>
      </c>
      <c r="T4105" t="str">
        <f t="shared" si="1512"/>
        <v>19:36:35.000</v>
      </c>
      <c r="U4105" t="str">
        <f t="shared" si="1509"/>
        <v>AC3944</v>
      </c>
      <c r="V4105">
        <v>0</v>
      </c>
      <c r="W4105">
        <v>0</v>
      </c>
      <c r="X4105">
        <v>2</v>
      </c>
      <c r="Y4105">
        <v>0</v>
      </c>
      <c r="AA4105">
        <v>1</v>
      </c>
      <c r="AB4105">
        <v>8</v>
      </c>
      <c r="AC4105">
        <v>3</v>
      </c>
      <c r="AD4105">
        <v>0</v>
      </c>
      <c r="AE4105">
        <v>9</v>
      </c>
      <c r="AF4105" t="s">
        <v>138</v>
      </c>
      <c r="AG4105">
        <v>0</v>
      </c>
      <c r="AH4105">
        <v>3</v>
      </c>
      <c r="AI4105">
        <v>1</v>
      </c>
      <c r="AJ4105">
        <v>0</v>
      </c>
      <c r="AK4105" t="s">
        <v>1319</v>
      </c>
      <c r="AL4105">
        <v>32.737690999999998</v>
      </c>
      <c r="AM4105" t="s">
        <v>1320</v>
      </c>
      <c r="AN4105">
        <v>-116.674719</v>
      </c>
      <c r="AO4105">
        <v>25</v>
      </c>
      <c r="AP4105">
        <v>4900</v>
      </c>
      <c r="AQ4105" t="s">
        <v>129</v>
      </c>
      <c r="AR4105">
        <v>0</v>
      </c>
      <c r="AS4105">
        <v>141</v>
      </c>
      <c r="AT4105">
        <v>-1088</v>
      </c>
      <c r="BB4105">
        <v>1200</v>
      </c>
      <c r="BC4105">
        <v>1</v>
      </c>
      <c r="BD4105" t="str">
        <f t="shared" si="1510"/>
        <v xml:space="preserve">N887QR  </v>
      </c>
      <c r="BE4105">
        <v>1</v>
      </c>
      <c r="BG4105">
        <v>0</v>
      </c>
      <c r="BH4105">
        <v>0</v>
      </c>
      <c r="BI4105">
        <v>0</v>
      </c>
      <c r="BJ4105">
        <v>4700</v>
      </c>
      <c r="BK4105">
        <v>-200</v>
      </c>
      <c r="BL4105" t="s">
        <v>163</v>
      </c>
      <c r="BM4105">
        <v>1</v>
      </c>
      <c r="BN4105">
        <v>1</v>
      </c>
      <c r="BO4105">
        <v>1</v>
      </c>
      <c r="BP4105">
        <v>0</v>
      </c>
      <c r="BS4105">
        <v>0.04</v>
      </c>
      <c r="BT4105">
        <v>0</v>
      </c>
      <c r="BU4105">
        <v>0</v>
      </c>
      <c r="CE4105" t="str">
        <f t="shared" si="1513"/>
        <v>19:36:35.971</v>
      </c>
      <c r="CF4105">
        <v>971358453</v>
      </c>
      <c r="CS4105">
        <v>0</v>
      </c>
      <c r="CT4105">
        <v>2</v>
      </c>
      <c r="CU4105">
        <v>0</v>
      </c>
      <c r="CV4105">
        <v>2</v>
      </c>
      <c r="CW4105">
        <v>2</v>
      </c>
      <c r="CX4105">
        <v>4</v>
      </c>
      <c r="CY4105">
        <v>7</v>
      </c>
      <c r="CZ4105" t="s">
        <v>131</v>
      </c>
      <c r="DA4105">
        <v>300</v>
      </c>
      <c r="DB4105">
        <v>0</v>
      </c>
      <c r="DC4105" t="s">
        <v>176</v>
      </c>
      <c r="DD4105" t="s">
        <v>177</v>
      </c>
      <c r="DG4105">
        <v>5455657</v>
      </c>
      <c r="DI4105">
        <v>1</v>
      </c>
      <c r="DJ4105">
        <v>0</v>
      </c>
      <c r="DK4105">
        <v>1</v>
      </c>
      <c r="DL4105">
        <v>0</v>
      </c>
      <c r="DM4105">
        <v>0</v>
      </c>
      <c r="DN4105">
        <v>1</v>
      </c>
      <c r="DO4105">
        <v>0</v>
      </c>
      <c r="DP4105">
        <v>0</v>
      </c>
      <c r="DQ4105">
        <v>0</v>
      </c>
      <c r="DR4105">
        <v>0</v>
      </c>
      <c r="DS4105">
        <v>0</v>
      </c>
    </row>
    <row r="4106" spans="1:123" x14ac:dyDescent="0.3">
      <c r="A4106" t="str">
        <f t="shared" si="1511"/>
        <v>10/04/2022 19:36:36.292</v>
      </c>
      <c r="C4106" t="str">
        <f t="shared" si="1500"/>
        <v>FFDFD3C0</v>
      </c>
      <c r="D4106" t="s">
        <v>134</v>
      </c>
      <c r="E4106">
        <v>15</v>
      </c>
      <c r="J4106" t="s">
        <v>135</v>
      </c>
      <c r="K4106">
        <v>0</v>
      </c>
      <c r="L4106">
        <v>3</v>
      </c>
      <c r="M4106">
        <v>0</v>
      </c>
      <c r="N4106">
        <v>2</v>
      </c>
      <c r="O4106">
        <v>0</v>
      </c>
      <c r="P4106">
        <v>1</v>
      </c>
      <c r="Q4106">
        <v>0</v>
      </c>
      <c r="S4106" t="str">
        <f t="shared" si="1512"/>
        <v>19:36:35.000</v>
      </c>
      <c r="T4106" t="str">
        <f t="shared" si="1512"/>
        <v>19:36:35.000</v>
      </c>
      <c r="U4106" t="str">
        <f t="shared" si="1509"/>
        <v>AC3944</v>
      </c>
      <c r="V4106">
        <v>0</v>
      </c>
      <c r="W4106">
        <v>0</v>
      </c>
      <c r="X4106">
        <v>2</v>
      </c>
      <c r="Y4106">
        <v>0</v>
      </c>
      <c r="AA4106">
        <v>1</v>
      </c>
      <c r="AB4106">
        <v>8</v>
      </c>
      <c r="AC4106">
        <v>3</v>
      </c>
      <c r="AD4106">
        <v>0</v>
      </c>
      <c r="AE4106">
        <v>9</v>
      </c>
      <c r="AF4106" t="s">
        <v>138</v>
      </c>
      <c r="AG4106">
        <v>0</v>
      </c>
      <c r="AH4106">
        <v>3</v>
      </c>
      <c r="AI4106">
        <v>1</v>
      </c>
      <c r="AJ4106">
        <v>0</v>
      </c>
      <c r="AK4106" t="s">
        <v>1319</v>
      </c>
      <c r="AL4106">
        <v>32.737690999999998</v>
      </c>
      <c r="AM4106" t="s">
        <v>1320</v>
      </c>
      <c r="AN4106">
        <v>-116.674719</v>
      </c>
      <c r="AO4106">
        <v>25</v>
      </c>
      <c r="AP4106">
        <v>4900</v>
      </c>
      <c r="AQ4106" t="s">
        <v>129</v>
      </c>
      <c r="AR4106">
        <v>0</v>
      </c>
      <c r="AS4106">
        <v>141</v>
      </c>
      <c r="AT4106">
        <v>-1088</v>
      </c>
      <c r="BB4106">
        <v>1200</v>
      </c>
      <c r="BC4106">
        <v>1</v>
      </c>
      <c r="BD4106" t="str">
        <f t="shared" si="1510"/>
        <v xml:space="preserve">N887QR  </v>
      </c>
      <c r="BE4106">
        <v>1</v>
      </c>
      <c r="BG4106">
        <v>0</v>
      </c>
      <c r="BH4106">
        <v>0</v>
      </c>
      <c r="BI4106">
        <v>0</v>
      </c>
      <c r="BJ4106">
        <v>4700</v>
      </c>
      <c r="BK4106">
        <v>-200</v>
      </c>
      <c r="BL4106" t="s">
        <v>163</v>
      </c>
      <c r="BM4106">
        <v>1</v>
      </c>
      <c r="BN4106">
        <v>1</v>
      </c>
      <c r="BO4106">
        <v>1</v>
      </c>
      <c r="BP4106">
        <v>0</v>
      </c>
      <c r="BS4106">
        <v>0.04</v>
      </c>
      <c r="BT4106">
        <v>0</v>
      </c>
      <c r="BU4106">
        <v>0</v>
      </c>
      <c r="CE4106" t="str">
        <f t="shared" si="1513"/>
        <v>19:36:35.971</v>
      </c>
      <c r="CF4106">
        <v>971358453</v>
      </c>
      <c r="CS4106">
        <v>0</v>
      </c>
      <c r="CT4106">
        <v>2</v>
      </c>
      <c r="CU4106">
        <v>0</v>
      </c>
      <c r="CV4106">
        <v>2</v>
      </c>
      <c r="CW4106">
        <v>2</v>
      </c>
      <c r="CX4106">
        <v>4</v>
      </c>
      <c r="CY4106">
        <v>7</v>
      </c>
      <c r="CZ4106" t="s">
        <v>131</v>
      </c>
      <c r="DA4106">
        <v>300</v>
      </c>
      <c r="DB4106">
        <v>0</v>
      </c>
      <c r="DC4106" t="s">
        <v>176</v>
      </c>
      <c r="DD4106" t="s">
        <v>177</v>
      </c>
      <c r="DG4106">
        <v>5455657</v>
      </c>
      <c r="DI4106">
        <v>1</v>
      </c>
      <c r="DJ4106">
        <v>0</v>
      </c>
      <c r="DK4106">
        <v>1</v>
      </c>
      <c r="DL4106">
        <v>0</v>
      </c>
      <c r="DM4106">
        <v>0</v>
      </c>
      <c r="DN4106">
        <v>1</v>
      </c>
      <c r="DO4106">
        <v>0</v>
      </c>
      <c r="DP4106">
        <v>0</v>
      </c>
      <c r="DQ4106">
        <v>0</v>
      </c>
      <c r="DR4106">
        <v>0</v>
      </c>
      <c r="DS4106">
        <v>0</v>
      </c>
    </row>
    <row r="4107" spans="1:123" x14ac:dyDescent="0.3">
      <c r="A4107" t="str">
        <f t="shared" si="1511"/>
        <v>10/04/2022 19:36:36.292</v>
      </c>
      <c r="C4107" t="str">
        <f t="shared" si="1500"/>
        <v>FFDFD3C0</v>
      </c>
      <c r="D4107" t="s">
        <v>147</v>
      </c>
      <c r="E4107">
        <v>3</v>
      </c>
      <c r="H4107">
        <v>166</v>
      </c>
      <c r="I4107" t="s">
        <v>144</v>
      </c>
      <c r="J4107" t="s">
        <v>148</v>
      </c>
      <c r="K4107">
        <v>0</v>
      </c>
      <c r="L4107">
        <v>3</v>
      </c>
      <c r="M4107">
        <v>0</v>
      </c>
      <c r="N4107">
        <v>2</v>
      </c>
      <c r="O4107">
        <v>0</v>
      </c>
      <c r="P4107">
        <v>1</v>
      </c>
      <c r="Q4107">
        <v>0</v>
      </c>
      <c r="S4107" t="str">
        <f t="shared" si="1512"/>
        <v>19:36:35.000</v>
      </c>
      <c r="T4107" t="str">
        <f t="shared" si="1512"/>
        <v>19:36:35.000</v>
      </c>
      <c r="U4107" t="str">
        <f t="shared" si="1509"/>
        <v>AC3944</v>
      </c>
      <c r="V4107">
        <v>0</v>
      </c>
      <c r="W4107">
        <v>0</v>
      </c>
      <c r="X4107">
        <v>2</v>
      </c>
      <c r="Y4107">
        <v>0</v>
      </c>
      <c r="AA4107">
        <v>1</v>
      </c>
      <c r="AB4107">
        <v>8</v>
      </c>
      <c r="AC4107">
        <v>3</v>
      </c>
      <c r="AD4107">
        <v>0</v>
      </c>
      <c r="AE4107">
        <v>9</v>
      </c>
      <c r="AF4107" t="s">
        <v>138</v>
      </c>
      <c r="AG4107">
        <v>0</v>
      </c>
      <c r="AH4107">
        <v>3</v>
      </c>
      <c r="AI4107">
        <v>1</v>
      </c>
      <c r="AJ4107">
        <v>0</v>
      </c>
      <c r="AK4107" t="s">
        <v>1319</v>
      </c>
      <c r="AL4107">
        <v>32.737690999999998</v>
      </c>
      <c r="AM4107" t="s">
        <v>1320</v>
      </c>
      <c r="AN4107">
        <v>-116.674719</v>
      </c>
      <c r="AO4107">
        <v>25</v>
      </c>
      <c r="AP4107">
        <v>4900</v>
      </c>
      <c r="AQ4107" t="s">
        <v>129</v>
      </c>
      <c r="AR4107">
        <v>0</v>
      </c>
      <c r="AS4107">
        <v>141</v>
      </c>
      <c r="AT4107">
        <v>-1088</v>
      </c>
      <c r="BB4107">
        <v>1200</v>
      </c>
      <c r="BC4107">
        <v>1</v>
      </c>
      <c r="BD4107" t="str">
        <f t="shared" si="1510"/>
        <v xml:space="preserve">N887QR  </v>
      </c>
      <c r="BE4107">
        <v>1</v>
      </c>
      <c r="BG4107">
        <v>0</v>
      </c>
      <c r="BH4107">
        <v>0</v>
      </c>
      <c r="BI4107">
        <v>0</v>
      </c>
      <c r="BJ4107">
        <v>4700</v>
      </c>
      <c r="BK4107">
        <v>-200</v>
      </c>
      <c r="BL4107" t="s">
        <v>163</v>
      </c>
      <c r="BM4107">
        <v>1</v>
      </c>
      <c r="BN4107">
        <v>1</v>
      </c>
      <c r="BO4107">
        <v>1</v>
      </c>
      <c r="BP4107">
        <v>0</v>
      </c>
      <c r="BS4107">
        <v>0.04</v>
      </c>
      <c r="BT4107">
        <v>0</v>
      </c>
      <c r="BU4107">
        <v>0</v>
      </c>
      <c r="CE4107" t="str">
        <f t="shared" si="1513"/>
        <v>19:36:35.971</v>
      </c>
      <c r="CF4107">
        <v>971358453</v>
      </c>
      <c r="CS4107">
        <v>0</v>
      </c>
      <c r="CT4107">
        <v>2</v>
      </c>
      <c r="CU4107">
        <v>0</v>
      </c>
      <c r="CV4107">
        <v>2</v>
      </c>
      <c r="CW4107">
        <v>2</v>
      </c>
      <c r="CX4107">
        <v>4</v>
      </c>
      <c r="CY4107">
        <v>7</v>
      </c>
      <c r="CZ4107" t="s">
        <v>131</v>
      </c>
      <c r="DA4107">
        <v>300</v>
      </c>
      <c r="DB4107">
        <v>0</v>
      </c>
      <c r="DC4107" t="s">
        <v>176</v>
      </c>
      <c r="DD4107" t="s">
        <v>177</v>
      </c>
      <c r="DG4107">
        <v>5455657</v>
      </c>
      <c r="DI4107">
        <v>1</v>
      </c>
      <c r="DJ4107">
        <v>0</v>
      </c>
      <c r="DK4107">
        <v>1</v>
      </c>
      <c r="DL4107">
        <v>0</v>
      </c>
      <c r="DM4107">
        <v>0</v>
      </c>
      <c r="DN4107">
        <v>1</v>
      </c>
      <c r="DO4107">
        <v>0</v>
      </c>
      <c r="DP4107">
        <v>0</v>
      </c>
      <c r="DQ4107">
        <v>0</v>
      </c>
      <c r="DR4107">
        <v>0</v>
      </c>
      <c r="DS4107">
        <v>0</v>
      </c>
    </row>
    <row r="4108" spans="1:123" x14ac:dyDescent="0.3">
      <c r="A4108" t="str">
        <f t="shared" si="1511"/>
        <v>10/04/2022 19:36:36.292</v>
      </c>
      <c r="C4108" t="str">
        <f t="shared" si="1500"/>
        <v>FFDFD3C0</v>
      </c>
      <c r="D4108" t="s">
        <v>141</v>
      </c>
      <c r="E4108">
        <v>4</v>
      </c>
      <c r="H4108">
        <v>4</v>
      </c>
      <c r="I4108" t="s">
        <v>142</v>
      </c>
      <c r="J4108" t="s">
        <v>138</v>
      </c>
      <c r="K4108">
        <v>0</v>
      </c>
      <c r="L4108">
        <v>3</v>
      </c>
      <c r="M4108">
        <v>0</v>
      </c>
      <c r="N4108">
        <v>2</v>
      </c>
      <c r="O4108">
        <v>0</v>
      </c>
      <c r="P4108">
        <v>1</v>
      </c>
      <c r="Q4108">
        <v>0</v>
      </c>
      <c r="S4108" t="str">
        <f t="shared" si="1512"/>
        <v>19:36:35.000</v>
      </c>
      <c r="T4108" t="str">
        <f t="shared" si="1512"/>
        <v>19:36:35.000</v>
      </c>
      <c r="U4108" t="str">
        <f t="shared" si="1509"/>
        <v>AC3944</v>
      </c>
      <c r="V4108">
        <v>0</v>
      </c>
      <c r="W4108">
        <v>0</v>
      </c>
      <c r="X4108">
        <v>2</v>
      </c>
      <c r="Y4108">
        <v>0</v>
      </c>
      <c r="AA4108">
        <v>1</v>
      </c>
      <c r="AB4108">
        <v>8</v>
      </c>
      <c r="AC4108">
        <v>3</v>
      </c>
      <c r="AD4108">
        <v>0</v>
      </c>
      <c r="AE4108">
        <v>9</v>
      </c>
      <c r="AF4108" t="s">
        <v>138</v>
      </c>
      <c r="AG4108">
        <v>0</v>
      </c>
      <c r="AH4108">
        <v>3</v>
      </c>
      <c r="AI4108">
        <v>1</v>
      </c>
      <c r="AJ4108">
        <v>0</v>
      </c>
      <c r="AK4108" t="s">
        <v>1319</v>
      </c>
      <c r="AL4108">
        <v>32.737690999999998</v>
      </c>
      <c r="AM4108" t="s">
        <v>1320</v>
      </c>
      <c r="AN4108">
        <v>-116.674719</v>
      </c>
      <c r="AO4108">
        <v>25</v>
      </c>
      <c r="AP4108">
        <v>4900</v>
      </c>
      <c r="AQ4108" t="s">
        <v>129</v>
      </c>
      <c r="AR4108">
        <v>0</v>
      </c>
      <c r="AS4108">
        <v>141</v>
      </c>
      <c r="AT4108">
        <v>-1088</v>
      </c>
      <c r="BB4108">
        <v>1200</v>
      </c>
      <c r="BC4108">
        <v>1</v>
      </c>
      <c r="BD4108" t="str">
        <f t="shared" si="1510"/>
        <v xml:space="preserve">N887QR  </v>
      </c>
      <c r="BE4108">
        <v>1</v>
      </c>
      <c r="BG4108">
        <v>0</v>
      </c>
      <c r="BH4108">
        <v>0</v>
      </c>
      <c r="BI4108">
        <v>0</v>
      </c>
      <c r="BJ4108">
        <v>4700</v>
      </c>
      <c r="BK4108">
        <v>-200</v>
      </c>
      <c r="BL4108" t="s">
        <v>163</v>
      </c>
      <c r="BM4108">
        <v>1</v>
      </c>
      <c r="BN4108">
        <v>1</v>
      </c>
      <c r="BO4108">
        <v>1</v>
      </c>
      <c r="BP4108">
        <v>0</v>
      </c>
      <c r="BS4108">
        <v>0.04</v>
      </c>
      <c r="BT4108">
        <v>0</v>
      </c>
      <c r="BU4108">
        <v>0</v>
      </c>
      <c r="CE4108" t="str">
        <f t="shared" si="1513"/>
        <v>19:36:35.971</v>
      </c>
      <c r="CF4108">
        <v>971358453</v>
      </c>
      <c r="CS4108">
        <v>0</v>
      </c>
      <c r="CT4108">
        <v>2</v>
      </c>
      <c r="CU4108">
        <v>0</v>
      </c>
      <c r="CV4108">
        <v>2</v>
      </c>
      <c r="CW4108">
        <v>2</v>
      </c>
      <c r="CX4108">
        <v>4</v>
      </c>
      <c r="CY4108">
        <v>7</v>
      </c>
      <c r="CZ4108" t="s">
        <v>131</v>
      </c>
      <c r="DA4108">
        <v>300</v>
      </c>
      <c r="DB4108">
        <v>0</v>
      </c>
      <c r="DC4108" t="s">
        <v>176</v>
      </c>
      <c r="DD4108" t="s">
        <v>177</v>
      </c>
      <c r="DG4108">
        <v>5455657</v>
      </c>
      <c r="DI4108">
        <v>1</v>
      </c>
      <c r="DJ4108">
        <v>0</v>
      </c>
      <c r="DK4108">
        <v>1</v>
      </c>
      <c r="DL4108">
        <v>0</v>
      </c>
      <c r="DM4108">
        <v>0</v>
      </c>
      <c r="DN4108">
        <v>1</v>
      </c>
      <c r="DO4108">
        <v>0</v>
      </c>
      <c r="DP4108">
        <v>0</v>
      </c>
      <c r="DQ4108">
        <v>0</v>
      </c>
      <c r="DR4108">
        <v>0</v>
      </c>
      <c r="DS4108">
        <v>0</v>
      </c>
    </row>
    <row r="4109" spans="1:123" x14ac:dyDescent="0.3">
      <c r="A4109" t="str">
        <f t="shared" ref="A4109:A4115" si="1514">"10/04/2022 19:36:37.449"</f>
        <v>10/04/2022 19:36:37.449</v>
      </c>
      <c r="C4109" t="str">
        <f t="shared" si="1500"/>
        <v>FFDFD3C0</v>
      </c>
      <c r="D4109" t="s">
        <v>136</v>
      </c>
      <c r="E4109">
        <v>8</v>
      </c>
      <c r="H4109">
        <v>225</v>
      </c>
      <c r="I4109" t="s">
        <v>137</v>
      </c>
      <c r="J4109" t="s">
        <v>138</v>
      </c>
      <c r="K4109">
        <v>0</v>
      </c>
      <c r="L4109">
        <v>3</v>
      </c>
      <c r="M4109">
        <v>0</v>
      </c>
      <c r="N4109">
        <v>2</v>
      </c>
      <c r="O4109">
        <v>0</v>
      </c>
      <c r="P4109">
        <v>1</v>
      </c>
      <c r="Q4109">
        <v>0</v>
      </c>
      <c r="S4109" t="str">
        <f t="shared" ref="S4109:T4122" si="1515">"19:36:37.000"</f>
        <v>19:36:37.000</v>
      </c>
      <c r="T4109" t="str">
        <f t="shared" si="1515"/>
        <v>19:36:37.000</v>
      </c>
      <c r="U4109" t="str">
        <f t="shared" si="1509"/>
        <v>AC3944</v>
      </c>
      <c r="V4109">
        <v>0</v>
      </c>
      <c r="W4109">
        <v>0</v>
      </c>
      <c r="X4109">
        <v>2</v>
      </c>
      <c r="Y4109">
        <v>0</v>
      </c>
      <c r="AA4109">
        <v>1</v>
      </c>
      <c r="AB4109">
        <v>8</v>
      </c>
      <c r="AC4109">
        <v>3</v>
      </c>
      <c r="AD4109">
        <v>0</v>
      </c>
      <c r="AE4109">
        <v>9</v>
      </c>
      <c r="AF4109" t="s">
        <v>126</v>
      </c>
      <c r="AG4109">
        <v>0</v>
      </c>
      <c r="AH4109">
        <v>1</v>
      </c>
      <c r="AI4109">
        <v>1</v>
      </c>
      <c r="AJ4109">
        <v>0</v>
      </c>
      <c r="AK4109" t="s">
        <v>1321</v>
      </c>
      <c r="AL4109">
        <v>32.738357000000001</v>
      </c>
      <c r="AM4109" t="s">
        <v>1320</v>
      </c>
      <c r="AN4109">
        <v>-116.674719</v>
      </c>
      <c r="AO4109">
        <v>25</v>
      </c>
      <c r="AP4109">
        <v>4900</v>
      </c>
      <c r="AQ4109" t="s">
        <v>129</v>
      </c>
      <c r="AR4109">
        <v>-12</v>
      </c>
      <c r="AS4109">
        <v>141</v>
      </c>
      <c r="AT4109">
        <v>-960</v>
      </c>
      <c r="BB4109">
        <v>1200</v>
      </c>
      <c r="BC4109">
        <v>1</v>
      </c>
      <c r="BD4109" t="str">
        <f t="shared" si="1510"/>
        <v xml:space="preserve">N887QR  </v>
      </c>
      <c r="BE4109">
        <v>1</v>
      </c>
      <c r="BG4109">
        <v>0</v>
      </c>
      <c r="BH4109">
        <v>0</v>
      </c>
      <c r="BI4109">
        <v>0</v>
      </c>
      <c r="BJ4109">
        <v>4675</v>
      </c>
      <c r="BK4109">
        <v>-225</v>
      </c>
      <c r="BL4109" t="s">
        <v>163</v>
      </c>
      <c r="BM4109">
        <v>1</v>
      </c>
      <c r="BN4109">
        <v>1</v>
      </c>
      <c r="BO4109">
        <v>1</v>
      </c>
      <c r="BP4109">
        <v>0</v>
      </c>
      <c r="BS4109">
        <v>0.04</v>
      </c>
      <c r="BT4109">
        <v>0</v>
      </c>
      <c r="BU4109">
        <v>0</v>
      </c>
      <c r="CE4109" t="str">
        <f t="shared" ref="CE4109:CE4115" si="1516">"19:36:37.073"</f>
        <v>19:36:37.073</v>
      </c>
      <c r="CF4109">
        <v>72861764</v>
      </c>
      <c r="CS4109">
        <v>0</v>
      </c>
      <c r="CT4109">
        <v>2</v>
      </c>
      <c r="CU4109">
        <v>0</v>
      </c>
      <c r="CV4109">
        <v>2</v>
      </c>
      <c r="CW4109">
        <v>0</v>
      </c>
      <c r="CX4109">
        <v>4</v>
      </c>
      <c r="CY4109">
        <v>7</v>
      </c>
      <c r="CZ4109" t="s">
        <v>131</v>
      </c>
      <c r="DA4109">
        <v>300</v>
      </c>
      <c r="DB4109">
        <v>0</v>
      </c>
      <c r="DC4109" t="s">
        <v>176</v>
      </c>
      <c r="DD4109" t="s">
        <v>177</v>
      </c>
      <c r="DG4109">
        <v>5455834</v>
      </c>
      <c r="DI4109">
        <v>1</v>
      </c>
      <c r="DJ4109">
        <v>0</v>
      </c>
      <c r="DK4109">
        <v>0</v>
      </c>
      <c r="DL4109">
        <v>0</v>
      </c>
      <c r="DM4109">
        <v>0</v>
      </c>
      <c r="DN4109">
        <v>1</v>
      </c>
      <c r="DO4109">
        <v>1</v>
      </c>
      <c r="DP4109">
        <v>0</v>
      </c>
      <c r="DQ4109">
        <v>1</v>
      </c>
      <c r="DR4109">
        <v>0</v>
      </c>
      <c r="DS4109">
        <v>0</v>
      </c>
    </row>
    <row r="4110" spans="1:123" x14ac:dyDescent="0.3">
      <c r="A4110" t="str">
        <f t="shared" si="1514"/>
        <v>10/04/2022 19:36:37.449</v>
      </c>
      <c r="C4110" t="str">
        <f t="shared" si="1500"/>
        <v>FFDFD3C0</v>
      </c>
      <c r="D4110" t="s">
        <v>143</v>
      </c>
      <c r="E4110">
        <v>20</v>
      </c>
      <c r="F4110">
        <v>1020</v>
      </c>
      <c r="G4110" t="s">
        <v>144</v>
      </c>
      <c r="J4110" t="s">
        <v>145</v>
      </c>
      <c r="K4110">
        <v>0</v>
      </c>
      <c r="L4110">
        <v>3</v>
      </c>
      <c r="M4110">
        <v>0</v>
      </c>
      <c r="N4110">
        <v>2</v>
      </c>
      <c r="O4110">
        <v>0</v>
      </c>
      <c r="P4110">
        <v>1</v>
      </c>
      <c r="Q4110">
        <v>0</v>
      </c>
      <c r="S4110" t="str">
        <f t="shared" si="1515"/>
        <v>19:36:37.000</v>
      </c>
      <c r="T4110" t="str">
        <f t="shared" si="1515"/>
        <v>19:36:37.000</v>
      </c>
      <c r="U4110" t="str">
        <f t="shared" si="1509"/>
        <v>AC3944</v>
      </c>
      <c r="V4110">
        <v>0</v>
      </c>
      <c r="W4110">
        <v>0</v>
      </c>
      <c r="X4110">
        <v>2</v>
      </c>
      <c r="Y4110">
        <v>0</v>
      </c>
      <c r="AA4110">
        <v>1</v>
      </c>
      <c r="AB4110">
        <v>8</v>
      </c>
      <c r="AC4110">
        <v>3</v>
      </c>
      <c r="AD4110">
        <v>0</v>
      </c>
      <c r="AE4110">
        <v>9</v>
      </c>
      <c r="AF4110" t="s">
        <v>126</v>
      </c>
      <c r="AG4110">
        <v>0</v>
      </c>
      <c r="AH4110">
        <v>1</v>
      </c>
      <c r="AI4110">
        <v>1</v>
      </c>
      <c r="AJ4110">
        <v>0</v>
      </c>
      <c r="AK4110" t="s">
        <v>1321</v>
      </c>
      <c r="AL4110">
        <v>32.738357000000001</v>
      </c>
      <c r="AM4110" t="s">
        <v>1320</v>
      </c>
      <c r="AN4110">
        <v>-116.674719</v>
      </c>
      <c r="AO4110">
        <v>25</v>
      </c>
      <c r="AP4110">
        <v>4900</v>
      </c>
      <c r="AQ4110" t="s">
        <v>129</v>
      </c>
      <c r="AR4110">
        <v>-12</v>
      </c>
      <c r="AS4110">
        <v>141</v>
      </c>
      <c r="AT4110">
        <v>-960</v>
      </c>
      <c r="BB4110">
        <v>1200</v>
      </c>
      <c r="BC4110">
        <v>1</v>
      </c>
      <c r="BD4110" t="str">
        <f t="shared" si="1510"/>
        <v xml:space="preserve">N887QR  </v>
      </c>
      <c r="BE4110">
        <v>1</v>
      </c>
      <c r="BG4110">
        <v>0</v>
      </c>
      <c r="BH4110">
        <v>0</v>
      </c>
      <c r="BI4110">
        <v>0</v>
      </c>
      <c r="BJ4110">
        <v>4675</v>
      </c>
      <c r="BK4110">
        <v>-225</v>
      </c>
      <c r="BL4110" t="s">
        <v>163</v>
      </c>
      <c r="BM4110">
        <v>1</v>
      </c>
      <c r="BN4110">
        <v>1</v>
      </c>
      <c r="BO4110">
        <v>1</v>
      </c>
      <c r="BP4110">
        <v>0</v>
      </c>
      <c r="BS4110">
        <v>0.04</v>
      </c>
      <c r="BT4110">
        <v>0</v>
      </c>
      <c r="BU4110">
        <v>0</v>
      </c>
      <c r="CE4110" t="str">
        <f t="shared" si="1516"/>
        <v>19:36:37.073</v>
      </c>
      <c r="CF4110">
        <v>72861764</v>
      </c>
      <c r="CS4110">
        <v>0</v>
      </c>
      <c r="CT4110">
        <v>2</v>
      </c>
      <c r="CU4110">
        <v>0</v>
      </c>
      <c r="CV4110">
        <v>2</v>
      </c>
      <c r="CW4110">
        <v>0</v>
      </c>
      <c r="CX4110">
        <v>4</v>
      </c>
      <c r="CY4110">
        <v>7</v>
      </c>
      <c r="CZ4110" t="s">
        <v>131</v>
      </c>
      <c r="DA4110">
        <v>300</v>
      </c>
      <c r="DB4110">
        <v>0</v>
      </c>
      <c r="DC4110" t="s">
        <v>176</v>
      </c>
      <c r="DD4110" t="s">
        <v>177</v>
      </c>
      <c r="DG4110">
        <v>5455834</v>
      </c>
      <c r="DI4110">
        <v>1</v>
      </c>
      <c r="DJ4110">
        <v>0</v>
      </c>
      <c r="DK4110">
        <v>1</v>
      </c>
      <c r="DL4110">
        <v>0</v>
      </c>
      <c r="DM4110">
        <v>0</v>
      </c>
      <c r="DN4110">
        <v>1</v>
      </c>
      <c r="DO4110">
        <v>1</v>
      </c>
      <c r="DP4110">
        <v>0</v>
      </c>
      <c r="DQ4110">
        <v>1</v>
      </c>
      <c r="DR4110">
        <v>0</v>
      </c>
      <c r="DS4110">
        <v>0</v>
      </c>
    </row>
    <row r="4111" spans="1:123" x14ac:dyDescent="0.3">
      <c r="A4111" t="str">
        <f t="shared" si="1514"/>
        <v>10/04/2022 19:36:37.449</v>
      </c>
      <c r="C4111" t="str">
        <f t="shared" si="1500"/>
        <v>FFDFD3C0</v>
      </c>
      <c r="D4111" t="s">
        <v>141</v>
      </c>
      <c r="E4111">
        <v>3</v>
      </c>
      <c r="H4111">
        <v>3</v>
      </c>
      <c r="I4111" t="s">
        <v>146</v>
      </c>
      <c r="J4111" t="s">
        <v>138</v>
      </c>
      <c r="K4111">
        <v>0</v>
      </c>
      <c r="L4111">
        <v>3</v>
      </c>
      <c r="M4111">
        <v>0</v>
      </c>
      <c r="N4111">
        <v>2</v>
      </c>
      <c r="O4111">
        <v>0</v>
      </c>
      <c r="P4111">
        <v>1</v>
      </c>
      <c r="Q4111">
        <v>0</v>
      </c>
      <c r="S4111" t="str">
        <f t="shared" si="1515"/>
        <v>19:36:37.000</v>
      </c>
      <c r="T4111" t="str">
        <f t="shared" si="1515"/>
        <v>19:36:37.000</v>
      </c>
      <c r="U4111" t="str">
        <f t="shared" si="1509"/>
        <v>AC3944</v>
      </c>
      <c r="V4111">
        <v>0</v>
      </c>
      <c r="W4111">
        <v>0</v>
      </c>
      <c r="X4111">
        <v>2</v>
      </c>
      <c r="Y4111">
        <v>0</v>
      </c>
      <c r="AA4111">
        <v>1</v>
      </c>
      <c r="AB4111">
        <v>8</v>
      </c>
      <c r="AC4111">
        <v>3</v>
      </c>
      <c r="AD4111">
        <v>0</v>
      </c>
      <c r="AE4111">
        <v>9</v>
      </c>
      <c r="AF4111" t="s">
        <v>126</v>
      </c>
      <c r="AG4111">
        <v>0</v>
      </c>
      <c r="AH4111">
        <v>1</v>
      </c>
      <c r="AI4111">
        <v>1</v>
      </c>
      <c r="AJ4111">
        <v>0</v>
      </c>
      <c r="AK4111" t="s">
        <v>1321</v>
      </c>
      <c r="AL4111">
        <v>32.738357000000001</v>
      </c>
      <c r="AM4111" t="s">
        <v>1320</v>
      </c>
      <c r="AN4111">
        <v>-116.674719</v>
      </c>
      <c r="AO4111">
        <v>25</v>
      </c>
      <c r="AP4111">
        <v>4900</v>
      </c>
      <c r="AQ4111" t="s">
        <v>129</v>
      </c>
      <c r="AR4111">
        <v>-12</v>
      </c>
      <c r="AS4111">
        <v>141</v>
      </c>
      <c r="AT4111">
        <v>-960</v>
      </c>
      <c r="BB4111">
        <v>1200</v>
      </c>
      <c r="BC4111">
        <v>1</v>
      </c>
      <c r="BD4111" t="str">
        <f t="shared" si="1510"/>
        <v xml:space="preserve">N887QR  </v>
      </c>
      <c r="BE4111">
        <v>1</v>
      </c>
      <c r="BG4111">
        <v>0</v>
      </c>
      <c r="BH4111">
        <v>0</v>
      </c>
      <c r="BI4111">
        <v>0</v>
      </c>
      <c r="BJ4111">
        <v>4675</v>
      </c>
      <c r="BK4111">
        <v>-225</v>
      </c>
      <c r="BL4111" t="s">
        <v>163</v>
      </c>
      <c r="BM4111">
        <v>1</v>
      </c>
      <c r="BN4111">
        <v>1</v>
      </c>
      <c r="BO4111">
        <v>1</v>
      </c>
      <c r="BP4111">
        <v>0</v>
      </c>
      <c r="BS4111">
        <v>0.04</v>
      </c>
      <c r="BT4111">
        <v>0</v>
      </c>
      <c r="BU4111">
        <v>0</v>
      </c>
      <c r="CE4111" t="str">
        <f t="shared" si="1516"/>
        <v>19:36:37.073</v>
      </c>
      <c r="CF4111">
        <v>72861764</v>
      </c>
      <c r="CS4111">
        <v>0</v>
      </c>
      <c r="CT4111">
        <v>2</v>
      </c>
      <c r="CU4111">
        <v>0</v>
      </c>
      <c r="CV4111">
        <v>2</v>
      </c>
      <c r="CW4111">
        <v>0</v>
      </c>
      <c r="CX4111">
        <v>4</v>
      </c>
      <c r="CY4111">
        <v>7</v>
      </c>
      <c r="CZ4111" t="s">
        <v>131</v>
      </c>
      <c r="DA4111">
        <v>300</v>
      </c>
      <c r="DB4111">
        <v>0</v>
      </c>
      <c r="DC4111" t="s">
        <v>176</v>
      </c>
      <c r="DD4111" t="s">
        <v>177</v>
      </c>
      <c r="DG4111">
        <v>5455834</v>
      </c>
      <c r="DI4111">
        <v>1</v>
      </c>
      <c r="DJ4111">
        <v>0</v>
      </c>
      <c r="DK4111">
        <v>1</v>
      </c>
      <c r="DL4111">
        <v>0</v>
      </c>
      <c r="DM4111">
        <v>0</v>
      </c>
      <c r="DN4111">
        <v>1</v>
      </c>
      <c r="DO4111">
        <v>1</v>
      </c>
      <c r="DP4111">
        <v>0</v>
      </c>
      <c r="DQ4111">
        <v>1</v>
      </c>
      <c r="DR4111">
        <v>0</v>
      </c>
      <c r="DS4111">
        <v>0</v>
      </c>
    </row>
    <row r="4112" spans="1:123" x14ac:dyDescent="0.3">
      <c r="A4112" t="str">
        <f t="shared" si="1514"/>
        <v>10/04/2022 19:36:37.449</v>
      </c>
      <c r="C4112" t="str">
        <f t="shared" si="1500"/>
        <v>FFDFD3C0</v>
      </c>
      <c r="D4112" t="s">
        <v>123</v>
      </c>
      <c r="E4112">
        <v>7</v>
      </c>
      <c r="F4112">
        <v>2007</v>
      </c>
      <c r="G4112" t="s">
        <v>124</v>
      </c>
      <c r="J4112" t="s">
        <v>125</v>
      </c>
      <c r="K4112">
        <v>0</v>
      </c>
      <c r="L4112">
        <v>3</v>
      </c>
      <c r="M4112">
        <v>0</v>
      </c>
      <c r="N4112">
        <v>2</v>
      </c>
      <c r="O4112">
        <v>0</v>
      </c>
      <c r="P4112">
        <v>1</v>
      </c>
      <c r="Q4112">
        <v>0</v>
      </c>
      <c r="S4112" t="str">
        <f t="shared" si="1515"/>
        <v>19:36:37.000</v>
      </c>
      <c r="T4112" t="str">
        <f t="shared" si="1515"/>
        <v>19:36:37.000</v>
      </c>
      <c r="U4112" t="str">
        <f t="shared" si="1509"/>
        <v>AC3944</v>
      </c>
      <c r="V4112">
        <v>0</v>
      </c>
      <c r="W4112">
        <v>0</v>
      </c>
      <c r="X4112">
        <v>2</v>
      </c>
      <c r="Y4112">
        <v>0</v>
      </c>
      <c r="AA4112">
        <v>1</v>
      </c>
      <c r="AB4112">
        <v>8</v>
      </c>
      <c r="AC4112">
        <v>3</v>
      </c>
      <c r="AD4112">
        <v>0</v>
      </c>
      <c r="AE4112">
        <v>9</v>
      </c>
      <c r="AF4112" t="s">
        <v>126</v>
      </c>
      <c r="AG4112">
        <v>0</v>
      </c>
      <c r="AH4112">
        <v>1</v>
      </c>
      <c r="AI4112">
        <v>1</v>
      </c>
      <c r="AJ4112">
        <v>0</v>
      </c>
      <c r="AK4112" t="s">
        <v>1321</v>
      </c>
      <c r="AL4112">
        <v>32.738357000000001</v>
      </c>
      <c r="AM4112" t="s">
        <v>1320</v>
      </c>
      <c r="AN4112">
        <v>-116.674719</v>
      </c>
      <c r="AO4112">
        <v>25</v>
      </c>
      <c r="AP4112">
        <v>4900</v>
      </c>
      <c r="AQ4112" t="s">
        <v>129</v>
      </c>
      <c r="AR4112">
        <v>-12</v>
      </c>
      <c r="AS4112">
        <v>141</v>
      </c>
      <c r="AT4112">
        <v>-960</v>
      </c>
      <c r="BB4112">
        <v>1200</v>
      </c>
      <c r="BC4112">
        <v>1</v>
      </c>
      <c r="BD4112" t="str">
        <f t="shared" si="1510"/>
        <v xml:space="preserve">N887QR  </v>
      </c>
      <c r="BE4112">
        <v>1</v>
      </c>
      <c r="BG4112">
        <v>0</v>
      </c>
      <c r="BH4112">
        <v>0</v>
      </c>
      <c r="BI4112">
        <v>0</v>
      </c>
      <c r="BJ4112">
        <v>4675</v>
      </c>
      <c r="BK4112">
        <v>-225</v>
      </c>
      <c r="BL4112" t="s">
        <v>163</v>
      </c>
      <c r="BM4112">
        <v>1</v>
      </c>
      <c r="BN4112">
        <v>1</v>
      </c>
      <c r="BO4112">
        <v>1</v>
      </c>
      <c r="BP4112">
        <v>0</v>
      </c>
      <c r="BS4112">
        <v>0.04</v>
      </c>
      <c r="BT4112">
        <v>0</v>
      </c>
      <c r="BU4112">
        <v>0</v>
      </c>
      <c r="CE4112" t="str">
        <f t="shared" si="1516"/>
        <v>19:36:37.073</v>
      </c>
      <c r="CF4112">
        <v>72861764</v>
      </c>
      <c r="CS4112">
        <v>0</v>
      </c>
      <c r="CT4112">
        <v>2</v>
      </c>
      <c r="CU4112">
        <v>0</v>
      </c>
      <c r="CV4112">
        <v>2</v>
      </c>
      <c r="CW4112">
        <v>0</v>
      </c>
      <c r="CX4112">
        <v>4</v>
      </c>
      <c r="CY4112">
        <v>7</v>
      </c>
      <c r="CZ4112" t="s">
        <v>131</v>
      </c>
      <c r="DA4112">
        <v>300</v>
      </c>
      <c r="DB4112">
        <v>0</v>
      </c>
      <c r="DC4112" t="s">
        <v>176</v>
      </c>
      <c r="DD4112" t="s">
        <v>177</v>
      </c>
      <c r="DG4112">
        <v>5455834</v>
      </c>
      <c r="DI4112">
        <v>1</v>
      </c>
      <c r="DJ4112">
        <v>0</v>
      </c>
      <c r="DK4112">
        <v>1</v>
      </c>
      <c r="DL4112">
        <v>0</v>
      </c>
      <c r="DM4112">
        <v>0</v>
      </c>
      <c r="DN4112">
        <v>1</v>
      </c>
      <c r="DO4112">
        <v>1</v>
      </c>
      <c r="DP4112">
        <v>0</v>
      </c>
      <c r="DQ4112">
        <v>1</v>
      </c>
      <c r="DR4112">
        <v>0</v>
      </c>
      <c r="DS4112">
        <v>0</v>
      </c>
    </row>
    <row r="4113" spans="1:123" x14ac:dyDescent="0.3">
      <c r="A4113" t="str">
        <f t="shared" si="1514"/>
        <v>10/04/2022 19:36:37.449</v>
      </c>
      <c r="C4113" t="str">
        <f t="shared" si="1500"/>
        <v>FFDFD3C0</v>
      </c>
      <c r="D4113" t="s">
        <v>147</v>
      </c>
      <c r="E4113">
        <v>3</v>
      </c>
      <c r="H4113">
        <v>166</v>
      </c>
      <c r="I4113" t="s">
        <v>144</v>
      </c>
      <c r="J4113" t="s">
        <v>148</v>
      </c>
      <c r="K4113">
        <v>0</v>
      </c>
      <c r="L4113">
        <v>3</v>
      </c>
      <c r="M4113">
        <v>0</v>
      </c>
      <c r="N4113">
        <v>2</v>
      </c>
      <c r="O4113">
        <v>0</v>
      </c>
      <c r="P4113">
        <v>1</v>
      </c>
      <c r="Q4113">
        <v>0</v>
      </c>
      <c r="S4113" t="str">
        <f t="shared" si="1515"/>
        <v>19:36:37.000</v>
      </c>
      <c r="T4113" t="str">
        <f t="shared" si="1515"/>
        <v>19:36:37.000</v>
      </c>
      <c r="U4113" t="str">
        <f t="shared" si="1509"/>
        <v>AC3944</v>
      </c>
      <c r="V4113">
        <v>0</v>
      </c>
      <c r="W4113">
        <v>0</v>
      </c>
      <c r="X4113">
        <v>2</v>
      </c>
      <c r="Y4113">
        <v>0</v>
      </c>
      <c r="AA4113">
        <v>1</v>
      </c>
      <c r="AB4113">
        <v>8</v>
      </c>
      <c r="AC4113">
        <v>3</v>
      </c>
      <c r="AD4113">
        <v>0</v>
      </c>
      <c r="AE4113">
        <v>9</v>
      </c>
      <c r="AF4113" t="s">
        <v>126</v>
      </c>
      <c r="AG4113">
        <v>0</v>
      </c>
      <c r="AH4113">
        <v>1</v>
      </c>
      <c r="AI4113">
        <v>1</v>
      </c>
      <c r="AJ4113">
        <v>0</v>
      </c>
      <c r="AK4113" t="s">
        <v>1321</v>
      </c>
      <c r="AL4113">
        <v>32.738357000000001</v>
      </c>
      <c r="AM4113" t="s">
        <v>1320</v>
      </c>
      <c r="AN4113">
        <v>-116.674719</v>
      </c>
      <c r="AO4113">
        <v>25</v>
      </c>
      <c r="AP4113">
        <v>4900</v>
      </c>
      <c r="AQ4113" t="s">
        <v>129</v>
      </c>
      <c r="AR4113">
        <v>-12</v>
      </c>
      <c r="AS4113">
        <v>141</v>
      </c>
      <c r="AT4113">
        <v>-960</v>
      </c>
      <c r="BB4113">
        <v>1200</v>
      </c>
      <c r="BC4113">
        <v>1</v>
      </c>
      <c r="BD4113" t="str">
        <f t="shared" si="1510"/>
        <v xml:space="preserve">N887QR  </v>
      </c>
      <c r="BE4113">
        <v>1</v>
      </c>
      <c r="BG4113">
        <v>0</v>
      </c>
      <c r="BH4113">
        <v>0</v>
      </c>
      <c r="BI4113">
        <v>0</v>
      </c>
      <c r="BJ4113">
        <v>4675</v>
      </c>
      <c r="BK4113">
        <v>-225</v>
      </c>
      <c r="BL4113" t="s">
        <v>163</v>
      </c>
      <c r="BM4113">
        <v>1</v>
      </c>
      <c r="BN4113">
        <v>1</v>
      </c>
      <c r="BO4113">
        <v>1</v>
      </c>
      <c r="BP4113">
        <v>0</v>
      </c>
      <c r="BS4113">
        <v>0.04</v>
      </c>
      <c r="BT4113">
        <v>0</v>
      </c>
      <c r="BU4113">
        <v>0</v>
      </c>
      <c r="CE4113" t="str">
        <f t="shared" si="1516"/>
        <v>19:36:37.073</v>
      </c>
      <c r="CF4113">
        <v>72861764</v>
      </c>
      <c r="CS4113">
        <v>0</v>
      </c>
      <c r="CT4113">
        <v>2</v>
      </c>
      <c r="CU4113">
        <v>0</v>
      </c>
      <c r="CV4113">
        <v>2</v>
      </c>
      <c r="CW4113">
        <v>0</v>
      </c>
      <c r="CX4113">
        <v>4</v>
      </c>
      <c r="CY4113">
        <v>7</v>
      </c>
      <c r="CZ4113" t="s">
        <v>131</v>
      </c>
      <c r="DA4113">
        <v>300</v>
      </c>
      <c r="DB4113">
        <v>0</v>
      </c>
      <c r="DC4113" t="s">
        <v>176</v>
      </c>
      <c r="DD4113" t="s">
        <v>177</v>
      </c>
      <c r="DG4113">
        <v>5455834</v>
      </c>
      <c r="DI4113">
        <v>1</v>
      </c>
      <c r="DJ4113">
        <v>0</v>
      </c>
      <c r="DK4113">
        <v>1</v>
      </c>
      <c r="DL4113">
        <v>0</v>
      </c>
      <c r="DM4113">
        <v>0</v>
      </c>
      <c r="DN4113">
        <v>1</v>
      </c>
      <c r="DO4113">
        <v>1</v>
      </c>
      <c r="DP4113">
        <v>0</v>
      </c>
      <c r="DQ4113">
        <v>1</v>
      </c>
      <c r="DR4113">
        <v>0</v>
      </c>
      <c r="DS4113">
        <v>0</v>
      </c>
    </row>
    <row r="4114" spans="1:123" x14ac:dyDescent="0.3">
      <c r="A4114" t="str">
        <f t="shared" si="1514"/>
        <v>10/04/2022 19:36:37.449</v>
      </c>
      <c r="C4114" t="str">
        <f t="shared" si="1500"/>
        <v>FFDFD3C0</v>
      </c>
      <c r="D4114" t="s">
        <v>141</v>
      </c>
      <c r="E4114">
        <v>4</v>
      </c>
      <c r="H4114">
        <v>4</v>
      </c>
      <c r="I4114" t="s">
        <v>142</v>
      </c>
      <c r="J4114" t="s">
        <v>138</v>
      </c>
      <c r="K4114">
        <v>0</v>
      </c>
      <c r="L4114">
        <v>3</v>
      </c>
      <c r="M4114">
        <v>0</v>
      </c>
      <c r="N4114">
        <v>2</v>
      </c>
      <c r="O4114">
        <v>0</v>
      </c>
      <c r="P4114">
        <v>1</v>
      </c>
      <c r="Q4114">
        <v>0</v>
      </c>
      <c r="S4114" t="str">
        <f t="shared" si="1515"/>
        <v>19:36:37.000</v>
      </c>
      <c r="T4114" t="str">
        <f t="shared" si="1515"/>
        <v>19:36:37.000</v>
      </c>
      <c r="U4114" t="str">
        <f t="shared" si="1509"/>
        <v>AC3944</v>
      </c>
      <c r="V4114">
        <v>0</v>
      </c>
      <c r="W4114">
        <v>0</v>
      </c>
      <c r="X4114">
        <v>2</v>
      </c>
      <c r="Y4114">
        <v>0</v>
      </c>
      <c r="AA4114">
        <v>1</v>
      </c>
      <c r="AB4114">
        <v>8</v>
      </c>
      <c r="AC4114">
        <v>3</v>
      </c>
      <c r="AD4114">
        <v>0</v>
      </c>
      <c r="AE4114">
        <v>9</v>
      </c>
      <c r="AF4114" t="s">
        <v>126</v>
      </c>
      <c r="AG4114">
        <v>0</v>
      </c>
      <c r="AH4114">
        <v>1</v>
      </c>
      <c r="AI4114">
        <v>1</v>
      </c>
      <c r="AJ4114">
        <v>0</v>
      </c>
      <c r="AK4114" t="s">
        <v>1321</v>
      </c>
      <c r="AL4114">
        <v>32.738357000000001</v>
      </c>
      <c r="AM4114" t="s">
        <v>1320</v>
      </c>
      <c r="AN4114">
        <v>-116.674719</v>
      </c>
      <c r="AO4114">
        <v>25</v>
      </c>
      <c r="AP4114">
        <v>4900</v>
      </c>
      <c r="AQ4114" t="s">
        <v>129</v>
      </c>
      <c r="AR4114">
        <v>-12</v>
      </c>
      <c r="AS4114">
        <v>141</v>
      </c>
      <c r="AT4114">
        <v>-960</v>
      </c>
      <c r="BB4114">
        <v>1200</v>
      </c>
      <c r="BC4114">
        <v>1</v>
      </c>
      <c r="BD4114" t="str">
        <f t="shared" si="1510"/>
        <v xml:space="preserve">N887QR  </v>
      </c>
      <c r="BE4114">
        <v>1</v>
      </c>
      <c r="BG4114">
        <v>0</v>
      </c>
      <c r="BH4114">
        <v>0</v>
      </c>
      <c r="BI4114">
        <v>0</v>
      </c>
      <c r="BJ4114">
        <v>4675</v>
      </c>
      <c r="BK4114">
        <v>-225</v>
      </c>
      <c r="BL4114" t="s">
        <v>163</v>
      </c>
      <c r="BM4114">
        <v>1</v>
      </c>
      <c r="BN4114">
        <v>1</v>
      </c>
      <c r="BO4114">
        <v>1</v>
      </c>
      <c r="BP4114">
        <v>0</v>
      </c>
      <c r="BS4114">
        <v>0.04</v>
      </c>
      <c r="BT4114">
        <v>0</v>
      </c>
      <c r="BU4114">
        <v>0</v>
      </c>
      <c r="CE4114" t="str">
        <f t="shared" si="1516"/>
        <v>19:36:37.073</v>
      </c>
      <c r="CF4114">
        <v>72861764</v>
      </c>
      <c r="CS4114">
        <v>0</v>
      </c>
      <c r="CT4114">
        <v>2</v>
      </c>
      <c r="CU4114">
        <v>0</v>
      </c>
      <c r="CV4114">
        <v>2</v>
      </c>
      <c r="CW4114">
        <v>0</v>
      </c>
      <c r="CX4114">
        <v>4</v>
      </c>
      <c r="CY4114">
        <v>7</v>
      </c>
      <c r="CZ4114" t="s">
        <v>131</v>
      </c>
      <c r="DA4114">
        <v>300</v>
      </c>
      <c r="DB4114">
        <v>0</v>
      </c>
      <c r="DC4114" t="s">
        <v>176</v>
      </c>
      <c r="DD4114" t="s">
        <v>177</v>
      </c>
      <c r="DG4114">
        <v>5455834</v>
      </c>
      <c r="DI4114">
        <v>1</v>
      </c>
      <c r="DJ4114">
        <v>0</v>
      </c>
      <c r="DK4114">
        <v>1</v>
      </c>
      <c r="DL4114">
        <v>0</v>
      </c>
      <c r="DM4114">
        <v>0</v>
      </c>
      <c r="DN4114">
        <v>1</v>
      </c>
      <c r="DO4114">
        <v>1</v>
      </c>
      <c r="DP4114">
        <v>0</v>
      </c>
      <c r="DQ4114">
        <v>1</v>
      </c>
      <c r="DR4114">
        <v>0</v>
      </c>
      <c r="DS4114">
        <v>0</v>
      </c>
    </row>
    <row r="4115" spans="1:123" x14ac:dyDescent="0.3">
      <c r="A4115" t="str">
        <f t="shared" si="1514"/>
        <v>10/04/2022 19:36:37.449</v>
      </c>
      <c r="C4115" t="str">
        <f t="shared" si="1500"/>
        <v>FFDFD3C0</v>
      </c>
      <c r="D4115" t="s">
        <v>134</v>
      </c>
      <c r="E4115">
        <v>15</v>
      </c>
      <c r="J4115" t="s">
        <v>135</v>
      </c>
      <c r="K4115">
        <v>0</v>
      </c>
      <c r="L4115">
        <v>3</v>
      </c>
      <c r="M4115">
        <v>0</v>
      </c>
      <c r="N4115">
        <v>2</v>
      </c>
      <c r="O4115">
        <v>0</v>
      </c>
      <c r="P4115">
        <v>1</v>
      </c>
      <c r="Q4115">
        <v>0</v>
      </c>
      <c r="S4115" t="str">
        <f t="shared" si="1515"/>
        <v>19:36:37.000</v>
      </c>
      <c r="T4115" t="str">
        <f t="shared" si="1515"/>
        <v>19:36:37.000</v>
      </c>
      <c r="U4115" t="str">
        <f t="shared" si="1509"/>
        <v>AC3944</v>
      </c>
      <c r="V4115">
        <v>0</v>
      </c>
      <c r="W4115">
        <v>0</v>
      </c>
      <c r="X4115">
        <v>2</v>
      </c>
      <c r="Y4115">
        <v>0</v>
      </c>
      <c r="AA4115">
        <v>1</v>
      </c>
      <c r="AB4115">
        <v>8</v>
      </c>
      <c r="AC4115">
        <v>3</v>
      </c>
      <c r="AD4115">
        <v>0</v>
      </c>
      <c r="AE4115">
        <v>9</v>
      </c>
      <c r="AF4115" t="s">
        <v>126</v>
      </c>
      <c r="AG4115">
        <v>0</v>
      </c>
      <c r="AH4115">
        <v>1</v>
      </c>
      <c r="AI4115">
        <v>1</v>
      </c>
      <c r="AJ4115">
        <v>0</v>
      </c>
      <c r="AK4115" t="s">
        <v>1321</v>
      </c>
      <c r="AL4115">
        <v>32.738357000000001</v>
      </c>
      <c r="AM4115" t="s">
        <v>1320</v>
      </c>
      <c r="AN4115">
        <v>-116.674719</v>
      </c>
      <c r="AO4115">
        <v>25</v>
      </c>
      <c r="AP4115">
        <v>4900</v>
      </c>
      <c r="AQ4115" t="s">
        <v>129</v>
      </c>
      <c r="AR4115">
        <v>-12</v>
      </c>
      <c r="AS4115">
        <v>141</v>
      </c>
      <c r="AT4115">
        <v>-960</v>
      </c>
      <c r="BB4115">
        <v>1200</v>
      </c>
      <c r="BC4115">
        <v>1</v>
      </c>
      <c r="BD4115" t="str">
        <f t="shared" si="1510"/>
        <v xml:space="preserve">N887QR  </v>
      </c>
      <c r="BE4115">
        <v>1</v>
      </c>
      <c r="BG4115">
        <v>0</v>
      </c>
      <c r="BH4115">
        <v>0</v>
      </c>
      <c r="BI4115">
        <v>0</v>
      </c>
      <c r="BJ4115">
        <v>4675</v>
      </c>
      <c r="BK4115">
        <v>-225</v>
      </c>
      <c r="BL4115" t="s">
        <v>163</v>
      </c>
      <c r="BM4115">
        <v>1</v>
      </c>
      <c r="BN4115">
        <v>1</v>
      </c>
      <c r="BO4115">
        <v>1</v>
      </c>
      <c r="BP4115">
        <v>0</v>
      </c>
      <c r="BS4115">
        <v>0.04</v>
      </c>
      <c r="BT4115">
        <v>0</v>
      </c>
      <c r="BU4115">
        <v>0</v>
      </c>
      <c r="CE4115" t="str">
        <f t="shared" si="1516"/>
        <v>19:36:37.073</v>
      </c>
      <c r="CF4115">
        <v>72861764</v>
      </c>
      <c r="CS4115">
        <v>0</v>
      </c>
      <c r="CT4115">
        <v>2</v>
      </c>
      <c r="CU4115">
        <v>0</v>
      </c>
      <c r="CV4115">
        <v>2</v>
      </c>
      <c r="CW4115">
        <v>0</v>
      </c>
      <c r="CX4115">
        <v>4</v>
      </c>
      <c r="CY4115">
        <v>7</v>
      </c>
      <c r="CZ4115" t="s">
        <v>131</v>
      </c>
      <c r="DA4115">
        <v>300</v>
      </c>
      <c r="DB4115">
        <v>0</v>
      </c>
      <c r="DC4115" t="s">
        <v>176</v>
      </c>
      <c r="DD4115" t="s">
        <v>177</v>
      </c>
      <c r="DG4115">
        <v>5455834</v>
      </c>
      <c r="DI4115">
        <v>1</v>
      </c>
      <c r="DJ4115">
        <v>0</v>
      </c>
      <c r="DK4115">
        <v>1</v>
      </c>
      <c r="DL4115">
        <v>0</v>
      </c>
      <c r="DM4115">
        <v>0</v>
      </c>
      <c r="DN4115">
        <v>1</v>
      </c>
      <c r="DO4115">
        <v>1</v>
      </c>
      <c r="DP4115">
        <v>0</v>
      </c>
      <c r="DQ4115">
        <v>1</v>
      </c>
      <c r="DR4115">
        <v>0</v>
      </c>
      <c r="DS4115">
        <v>0</v>
      </c>
    </row>
    <row r="4116" spans="1:123" x14ac:dyDescent="0.3">
      <c r="A4116" t="str">
        <f>"10/04/2022 19:36:38.058"</f>
        <v>10/04/2022 19:36:38.058</v>
      </c>
      <c r="C4116" t="str">
        <f t="shared" si="1500"/>
        <v>FFDFD3C0</v>
      </c>
      <c r="D4116" t="s">
        <v>141</v>
      </c>
      <c r="E4116">
        <v>3</v>
      </c>
      <c r="H4116">
        <v>3</v>
      </c>
      <c r="I4116" t="s">
        <v>146</v>
      </c>
      <c r="J4116" t="s">
        <v>138</v>
      </c>
      <c r="K4116">
        <v>0</v>
      </c>
      <c r="L4116">
        <v>3</v>
      </c>
      <c r="M4116">
        <v>0</v>
      </c>
      <c r="N4116">
        <v>2</v>
      </c>
      <c r="O4116">
        <v>0</v>
      </c>
      <c r="P4116">
        <v>1</v>
      </c>
      <c r="Q4116">
        <v>0</v>
      </c>
      <c r="S4116" t="str">
        <f t="shared" si="1515"/>
        <v>19:36:37.000</v>
      </c>
      <c r="T4116" t="str">
        <f t="shared" si="1515"/>
        <v>19:36:37.000</v>
      </c>
      <c r="U4116" t="str">
        <f t="shared" si="1509"/>
        <v>AC3944</v>
      </c>
      <c r="V4116">
        <v>0</v>
      </c>
      <c r="W4116">
        <v>0</v>
      </c>
      <c r="X4116">
        <v>2</v>
      </c>
      <c r="Y4116">
        <v>0</v>
      </c>
      <c r="AA4116">
        <v>1</v>
      </c>
      <c r="AB4116">
        <v>8</v>
      </c>
      <c r="AC4116">
        <v>3</v>
      </c>
      <c r="AD4116">
        <v>0</v>
      </c>
      <c r="AE4116">
        <v>9</v>
      </c>
      <c r="AF4116" t="s">
        <v>126</v>
      </c>
      <c r="AG4116">
        <v>0</v>
      </c>
      <c r="AH4116">
        <v>1</v>
      </c>
      <c r="AI4116">
        <v>1</v>
      </c>
      <c r="AJ4116">
        <v>0</v>
      </c>
      <c r="AK4116" t="s">
        <v>932</v>
      </c>
      <c r="AL4116">
        <v>32.738914000000001</v>
      </c>
      <c r="AM4116" t="s">
        <v>1322</v>
      </c>
      <c r="AN4116">
        <v>-116.67478300000001</v>
      </c>
      <c r="AO4116">
        <v>25</v>
      </c>
      <c r="AP4116">
        <v>4900</v>
      </c>
      <c r="AQ4116" t="s">
        <v>129</v>
      </c>
      <c r="AR4116">
        <v>-20</v>
      </c>
      <c r="AS4116">
        <v>140</v>
      </c>
      <c r="AT4116">
        <v>-960</v>
      </c>
      <c r="BB4116">
        <v>1200</v>
      </c>
      <c r="BC4116">
        <v>1</v>
      </c>
      <c r="BD4116" t="str">
        <f t="shared" si="1510"/>
        <v xml:space="preserve">N887QR  </v>
      </c>
      <c r="BE4116">
        <v>1</v>
      </c>
      <c r="BG4116">
        <v>0</v>
      </c>
      <c r="BH4116">
        <v>0</v>
      </c>
      <c r="BI4116">
        <v>0</v>
      </c>
      <c r="BJ4116">
        <v>4675</v>
      </c>
      <c r="BK4116">
        <v>-225</v>
      </c>
      <c r="BL4116" t="s">
        <v>163</v>
      </c>
      <c r="BM4116">
        <v>1</v>
      </c>
      <c r="BN4116">
        <v>1</v>
      </c>
      <c r="BO4116">
        <v>1</v>
      </c>
      <c r="BP4116">
        <v>0</v>
      </c>
      <c r="BS4116">
        <v>0.04</v>
      </c>
      <c r="BT4116">
        <v>0</v>
      </c>
      <c r="BU4116">
        <v>0</v>
      </c>
      <c r="CE4116" t="str">
        <f t="shared" ref="CE4116:CE4122" si="1517">"19:36:37.785"</f>
        <v>19:36:37.785</v>
      </c>
      <c r="CF4116">
        <v>785113853</v>
      </c>
      <c r="CS4116">
        <v>0</v>
      </c>
      <c r="CT4116">
        <v>2</v>
      </c>
      <c r="CU4116">
        <v>0</v>
      </c>
      <c r="CV4116">
        <v>2</v>
      </c>
      <c r="CW4116">
        <v>0</v>
      </c>
      <c r="CX4116">
        <v>5</v>
      </c>
      <c r="CY4116">
        <v>7</v>
      </c>
      <c r="CZ4116" t="s">
        <v>131</v>
      </c>
      <c r="DA4116">
        <v>300</v>
      </c>
      <c r="DB4116">
        <v>0</v>
      </c>
      <c r="DC4116" t="s">
        <v>176</v>
      </c>
      <c r="DD4116" t="s">
        <v>177</v>
      </c>
      <c r="DG4116">
        <v>5455944</v>
      </c>
      <c r="DI4116">
        <v>1</v>
      </c>
      <c r="DJ4116">
        <v>0</v>
      </c>
      <c r="DK4116">
        <v>0</v>
      </c>
      <c r="DL4116">
        <v>0</v>
      </c>
      <c r="DM4116">
        <v>0</v>
      </c>
      <c r="DN4116">
        <v>1</v>
      </c>
      <c r="DO4116">
        <v>1</v>
      </c>
      <c r="DP4116">
        <v>0</v>
      </c>
      <c r="DQ4116">
        <v>1</v>
      </c>
      <c r="DR4116">
        <v>0</v>
      </c>
      <c r="DS4116">
        <v>0</v>
      </c>
    </row>
    <row r="4117" spans="1:123" x14ac:dyDescent="0.3">
      <c r="A4117" t="str">
        <f>"10/04/2022 19:36:38.058"</f>
        <v>10/04/2022 19:36:38.058</v>
      </c>
      <c r="C4117" t="str">
        <f t="shared" si="1500"/>
        <v>FFDFD3C0</v>
      </c>
      <c r="D4117" t="s">
        <v>123</v>
      </c>
      <c r="E4117">
        <v>7</v>
      </c>
      <c r="F4117">
        <v>2007</v>
      </c>
      <c r="G4117" t="s">
        <v>124</v>
      </c>
      <c r="J4117" t="s">
        <v>125</v>
      </c>
      <c r="K4117">
        <v>0</v>
      </c>
      <c r="L4117">
        <v>3</v>
      </c>
      <c r="M4117">
        <v>0</v>
      </c>
      <c r="N4117">
        <v>2</v>
      </c>
      <c r="O4117">
        <v>0</v>
      </c>
      <c r="P4117">
        <v>1</v>
      </c>
      <c r="Q4117">
        <v>0</v>
      </c>
      <c r="S4117" t="str">
        <f t="shared" si="1515"/>
        <v>19:36:37.000</v>
      </c>
      <c r="T4117" t="str">
        <f t="shared" si="1515"/>
        <v>19:36:37.000</v>
      </c>
      <c r="U4117" t="str">
        <f t="shared" si="1509"/>
        <v>AC3944</v>
      </c>
      <c r="V4117">
        <v>0</v>
      </c>
      <c r="W4117">
        <v>0</v>
      </c>
      <c r="X4117">
        <v>2</v>
      </c>
      <c r="Y4117">
        <v>0</v>
      </c>
      <c r="AA4117">
        <v>1</v>
      </c>
      <c r="AB4117">
        <v>8</v>
      </c>
      <c r="AC4117">
        <v>3</v>
      </c>
      <c r="AD4117">
        <v>0</v>
      </c>
      <c r="AE4117">
        <v>9</v>
      </c>
      <c r="AF4117" t="s">
        <v>126</v>
      </c>
      <c r="AG4117">
        <v>0</v>
      </c>
      <c r="AH4117">
        <v>1</v>
      </c>
      <c r="AI4117">
        <v>1</v>
      </c>
      <c r="AJ4117">
        <v>0</v>
      </c>
      <c r="AK4117" t="s">
        <v>932</v>
      </c>
      <c r="AL4117">
        <v>32.738914000000001</v>
      </c>
      <c r="AM4117" t="s">
        <v>1322</v>
      </c>
      <c r="AN4117">
        <v>-116.67478300000001</v>
      </c>
      <c r="AO4117">
        <v>25</v>
      </c>
      <c r="AP4117">
        <v>4900</v>
      </c>
      <c r="AQ4117" t="s">
        <v>129</v>
      </c>
      <c r="AR4117">
        <v>-20</v>
      </c>
      <c r="AS4117">
        <v>140</v>
      </c>
      <c r="AT4117">
        <v>-960</v>
      </c>
      <c r="BB4117">
        <v>1200</v>
      </c>
      <c r="BC4117">
        <v>1</v>
      </c>
      <c r="BD4117" t="str">
        <f t="shared" si="1510"/>
        <v xml:space="preserve">N887QR  </v>
      </c>
      <c r="BE4117">
        <v>1</v>
      </c>
      <c r="BG4117">
        <v>0</v>
      </c>
      <c r="BH4117">
        <v>0</v>
      </c>
      <c r="BI4117">
        <v>0</v>
      </c>
      <c r="BJ4117">
        <v>4675</v>
      </c>
      <c r="BK4117">
        <v>-225</v>
      </c>
      <c r="BL4117" t="s">
        <v>163</v>
      </c>
      <c r="BM4117">
        <v>1</v>
      </c>
      <c r="BN4117">
        <v>1</v>
      </c>
      <c r="BO4117">
        <v>1</v>
      </c>
      <c r="BP4117">
        <v>0</v>
      </c>
      <c r="BS4117">
        <v>0.04</v>
      </c>
      <c r="BT4117">
        <v>0</v>
      </c>
      <c r="BU4117">
        <v>0</v>
      </c>
      <c r="CE4117" t="str">
        <f t="shared" si="1517"/>
        <v>19:36:37.785</v>
      </c>
      <c r="CF4117">
        <v>785113853</v>
      </c>
      <c r="CS4117">
        <v>0</v>
      </c>
      <c r="CT4117">
        <v>2</v>
      </c>
      <c r="CU4117">
        <v>0</v>
      </c>
      <c r="CV4117">
        <v>2</v>
      </c>
      <c r="CW4117">
        <v>0</v>
      </c>
      <c r="CX4117">
        <v>5</v>
      </c>
      <c r="CY4117">
        <v>7</v>
      </c>
      <c r="CZ4117" t="s">
        <v>131</v>
      </c>
      <c r="DA4117">
        <v>300</v>
      </c>
      <c r="DB4117">
        <v>0</v>
      </c>
      <c r="DC4117" t="s">
        <v>176</v>
      </c>
      <c r="DD4117" t="s">
        <v>177</v>
      </c>
      <c r="DG4117">
        <v>5455944</v>
      </c>
      <c r="DI4117">
        <v>1</v>
      </c>
      <c r="DJ4117">
        <v>0</v>
      </c>
      <c r="DK4117">
        <v>1</v>
      </c>
      <c r="DL4117">
        <v>0</v>
      </c>
      <c r="DM4117">
        <v>0</v>
      </c>
      <c r="DN4117">
        <v>1</v>
      </c>
      <c r="DO4117">
        <v>1</v>
      </c>
      <c r="DP4117">
        <v>0</v>
      </c>
      <c r="DQ4117">
        <v>1</v>
      </c>
      <c r="DR4117">
        <v>0</v>
      </c>
      <c r="DS4117">
        <v>0</v>
      </c>
    </row>
    <row r="4118" spans="1:123" x14ac:dyDescent="0.3">
      <c r="A4118" t="str">
        <f>"10/04/2022 19:36:38.074"</f>
        <v>10/04/2022 19:36:38.074</v>
      </c>
      <c r="C4118" t="str">
        <f t="shared" si="1500"/>
        <v>FFDFD3C0</v>
      </c>
      <c r="D4118" t="s">
        <v>141</v>
      </c>
      <c r="E4118">
        <v>4</v>
      </c>
      <c r="H4118">
        <v>4</v>
      </c>
      <c r="I4118" t="s">
        <v>142</v>
      </c>
      <c r="J4118" t="s">
        <v>138</v>
      </c>
      <c r="K4118">
        <v>0</v>
      </c>
      <c r="L4118">
        <v>3</v>
      </c>
      <c r="M4118">
        <v>0</v>
      </c>
      <c r="N4118">
        <v>2</v>
      </c>
      <c r="O4118">
        <v>0</v>
      </c>
      <c r="P4118">
        <v>1</v>
      </c>
      <c r="Q4118">
        <v>0</v>
      </c>
      <c r="S4118" t="str">
        <f t="shared" si="1515"/>
        <v>19:36:37.000</v>
      </c>
      <c r="T4118" t="str">
        <f t="shared" si="1515"/>
        <v>19:36:37.000</v>
      </c>
      <c r="U4118" t="str">
        <f t="shared" si="1509"/>
        <v>AC3944</v>
      </c>
      <c r="V4118">
        <v>0</v>
      </c>
      <c r="W4118">
        <v>0</v>
      </c>
      <c r="X4118">
        <v>2</v>
      </c>
      <c r="Y4118">
        <v>0</v>
      </c>
      <c r="AA4118">
        <v>1</v>
      </c>
      <c r="AB4118">
        <v>8</v>
      </c>
      <c r="AC4118">
        <v>3</v>
      </c>
      <c r="AD4118">
        <v>0</v>
      </c>
      <c r="AE4118">
        <v>9</v>
      </c>
      <c r="AF4118" t="s">
        <v>126</v>
      </c>
      <c r="AG4118">
        <v>0</v>
      </c>
      <c r="AH4118">
        <v>1</v>
      </c>
      <c r="AI4118">
        <v>1</v>
      </c>
      <c r="AJ4118">
        <v>0</v>
      </c>
      <c r="AK4118" t="s">
        <v>932</v>
      </c>
      <c r="AL4118">
        <v>32.738914000000001</v>
      </c>
      <c r="AM4118" t="s">
        <v>1322</v>
      </c>
      <c r="AN4118">
        <v>-116.67478300000001</v>
      </c>
      <c r="AO4118">
        <v>25</v>
      </c>
      <c r="AP4118">
        <v>4900</v>
      </c>
      <c r="AQ4118" t="s">
        <v>129</v>
      </c>
      <c r="AR4118">
        <v>-20</v>
      </c>
      <c r="AS4118">
        <v>140</v>
      </c>
      <c r="AT4118">
        <v>-960</v>
      </c>
      <c r="BB4118">
        <v>1200</v>
      </c>
      <c r="BC4118">
        <v>1</v>
      </c>
      <c r="BD4118" t="str">
        <f t="shared" si="1510"/>
        <v xml:space="preserve">N887QR  </v>
      </c>
      <c r="BE4118">
        <v>1</v>
      </c>
      <c r="BG4118">
        <v>0</v>
      </c>
      <c r="BH4118">
        <v>0</v>
      </c>
      <c r="BI4118">
        <v>0</v>
      </c>
      <c r="BJ4118">
        <v>4675</v>
      </c>
      <c r="BK4118">
        <v>-225</v>
      </c>
      <c r="BL4118" t="s">
        <v>163</v>
      </c>
      <c r="BM4118">
        <v>1</v>
      </c>
      <c r="BN4118">
        <v>1</v>
      </c>
      <c r="BO4118">
        <v>1</v>
      </c>
      <c r="BP4118">
        <v>0</v>
      </c>
      <c r="BS4118">
        <v>0.04</v>
      </c>
      <c r="BT4118">
        <v>0</v>
      </c>
      <c r="BU4118">
        <v>0</v>
      </c>
      <c r="CE4118" t="str">
        <f t="shared" si="1517"/>
        <v>19:36:37.785</v>
      </c>
      <c r="CF4118">
        <v>785113853</v>
      </c>
      <c r="CS4118">
        <v>0</v>
      </c>
      <c r="CT4118">
        <v>2</v>
      </c>
      <c r="CU4118">
        <v>0</v>
      </c>
      <c r="CV4118">
        <v>2</v>
      </c>
      <c r="CW4118">
        <v>0</v>
      </c>
      <c r="CX4118">
        <v>5</v>
      </c>
      <c r="CY4118">
        <v>7</v>
      </c>
      <c r="CZ4118" t="s">
        <v>131</v>
      </c>
      <c r="DA4118">
        <v>300</v>
      </c>
      <c r="DB4118">
        <v>0</v>
      </c>
      <c r="DC4118" t="s">
        <v>176</v>
      </c>
      <c r="DD4118" t="s">
        <v>177</v>
      </c>
      <c r="DG4118">
        <v>5455944</v>
      </c>
      <c r="DI4118">
        <v>1</v>
      </c>
      <c r="DJ4118">
        <v>0</v>
      </c>
      <c r="DK4118">
        <v>1</v>
      </c>
      <c r="DL4118">
        <v>0</v>
      </c>
      <c r="DM4118">
        <v>0</v>
      </c>
      <c r="DN4118">
        <v>1</v>
      </c>
      <c r="DO4118">
        <v>1</v>
      </c>
      <c r="DP4118">
        <v>0</v>
      </c>
      <c r="DQ4118">
        <v>1</v>
      </c>
      <c r="DR4118">
        <v>0</v>
      </c>
      <c r="DS4118">
        <v>0</v>
      </c>
    </row>
    <row r="4119" spans="1:123" x14ac:dyDescent="0.3">
      <c r="A4119" t="str">
        <f>"10/04/2022 19:36:38.074"</f>
        <v>10/04/2022 19:36:38.074</v>
      </c>
      <c r="C4119" t="str">
        <f t="shared" si="1500"/>
        <v>FFDFD3C0</v>
      </c>
      <c r="D4119" t="s">
        <v>147</v>
      </c>
      <c r="E4119">
        <v>3</v>
      </c>
      <c r="H4119">
        <v>166</v>
      </c>
      <c r="I4119" t="s">
        <v>144</v>
      </c>
      <c r="J4119" t="s">
        <v>148</v>
      </c>
      <c r="K4119">
        <v>0</v>
      </c>
      <c r="L4119">
        <v>3</v>
      </c>
      <c r="M4119">
        <v>0</v>
      </c>
      <c r="N4119">
        <v>2</v>
      </c>
      <c r="O4119">
        <v>0</v>
      </c>
      <c r="P4119">
        <v>1</v>
      </c>
      <c r="Q4119">
        <v>0</v>
      </c>
      <c r="S4119" t="str">
        <f t="shared" si="1515"/>
        <v>19:36:37.000</v>
      </c>
      <c r="T4119" t="str">
        <f t="shared" si="1515"/>
        <v>19:36:37.000</v>
      </c>
      <c r="U4119" t="str">
        <f t="shared" si="1509"/>
        <v>AC3944</v>
      </c>
      <c r="V4119">
        <v>0</v>
      </c>
      <c r="W4119">
        <v>0</v>
      </c>
      <c r="X4119">
        <v>2</v>
      </c>
      <c r="Y4119">
        <v>0</v>
      </c>
      <c r="AA4119">
        <v>1</v>
      </c>
      <c r="AB4119">
        <v>8</v>
      </c>
      <c r="AC4119">
        <v>3</v>
      </c>
      <c r="AD4119">
        <v>0</v>
      </c>
      <c r="AE4119">
        <v>9</v>
      </c>
      <c r="AF4119" t="s">
        <v>126</v>
      </c>
      <c r="AG4119">
        <v>0</v>
      </c>
      <c r="AH4119">
        <v>1</v>
      </c>
      <c r="AI4119">
        <v>1</v>
      </c>
      <c r="AJ4119">
        <v>0</v>
      </c>
      <c r="AK4119" t="s">
        <v>932</v>
      </c>
      <c r="AL4119">
        <v>32.738914000000001</v>
      </c>
      <c r="AM4119" t="s">
        <v>1322</v>
      </c>
      <c r="AN4119">
        <v>-116.67478300000001</v>
      </c>
      <c r="AO4119">
        <v>25</v>
      </c>
      <c r="AP4119">
        <v>4900</v>
      </c>
      <c r="AQ4119" t="s">
        <v>129</v>
      </c>
      <c r="AR4119">
        <v>-20</v>
      </c>
      <c r="AS4119">
        <v>140</v>
      </c>
      <c r="AT4119">
        <v>-960</v>
      </c>
      <c r="BB4119">
        <v>1200</v>
      </c>
      <c r="BC4119">
        <v>1</v>
      </c>
      <c r="BD4119" t="str">
        <f t="shared" si="1510"/>
        <v xml:space="preserve">N887QR  </v>
      </c>
      <c r="BE4119">
        <v>1</v>
      </c>
      <c r="BG4119">
        <v>0</v>
      </c>
      <c r="BH4119">
        <v>0</v>
      </c>
      <c r="BI4119">
        <v>0</v>
      </c>
      <c r="BJ4119">
        <v>4675</v>
      </c>
      <c r="BK4119">
        <v>-225</v>
      </c>
      <c r="BL4119" t="s">
        <v>163</v>
      </c>
      <c r="BM4119">
        <v>1</v>
      </c>
      <c r="BN4119">
        <v>1</v>
      </c>
      <c r="BO4119">
        <v>1</v>
      </c>
      <c r="BP4119">
        <v>0</v>
      </c>
      <c r="BS4119">
        <v>0.04</v>
      </c>
      <c r="BT4119">
        <v>0</v>
      </c>
      <c r="BU4119">
        <v>0</v>
      </c>
      <c r="CE4119" t="str">
        <f t="shared" si="1517"/>
        <v>19:36:37.785</v>
      </c>
      <c r="CF4119">
        <v>785113853</v>
      </c>
      <c r="CS4119">
        <v>0</v>
      </c>
      <c r="CT4119">
        <v>2</v>
      </c>
      <c r="CU4119">
        <v>0</v>
      </c>
      <c r="CV4119">
        <v>2</v>
      </c>
      <c r="CW4119">
        <v>0</v>
      </c>
      <c r="CX4119">
        <v>5</v>
      </c>
      <c r="CY4119">
        <v>7</v>
      </c>
      <c r="CZ4119" t="s">
        <v>131</v>
      </c>
      <c r="DA4119">
        <v>300</v>
      </c>
      <c r="DB4119">
        <v>0</v>
      </c>
      <c r="DC4119" t="s">
        <v>176</v>
      </c>
      <c r="DD4119" t="s">
        <v>177</v>
      </c>
      <c r="DG4119">
        <v>5455944</v>
      </c>
      <c r="DI4119">
        <v>1</v>
      </c>
      <c r="DJ4119">
        <v>0</v>
      </c>
      <c r="DK4119">
        <v>1</v>
      </c>
      <c r="DL4119">
        <v>0</v>
      </c>
      <c r="DM4119">
        <v>0</v>
      </c>
      <c r="DN4119">
        <v>1</v>
      </c>
      <c r="DO4119">
        <v>1</v>
      </c>
      <c r="DP4119">
        <v>0</v>
      </c>
      <c r="DQ4119">
        <v>1</v>
      </c>
      <c r="DR4119">
        <v>0</v>
      </c>
      <c r="DS4119">
        <v>0</v>
      </c>
    </row>
    <row r="4120" spans="1:123" x14ac:dyDescent="0.3">
      <c r="A4120" t="str">
        <f>"10/04/2022 19:36:38.074"</f>
        <v>10/04/2022 19:36:38.074</v>
      </c>
      <c r="C4120" t="str">
        <f t="shared" si="1500"/>
        <v>FFDFD3C0</v>
      </c>
      <c r="D4120" t="s">
        <v>134</v>
      </c>
      <c r="E4120">
        <v>15</v>
      </c>
      <c r="J4120" t="s">
        <v>135</v>
      </c>
      <c r="K4120">
        <v>0</v>
      </c>
      <c r="L4120">
        <v>3</v>
      </c>
      <c r="M4120">
        <v>0</v>
      </c>
      <c r="N4120">
        <v>2</v>
      </c>
      <c r="O4120">
        <v>0</v>
      </c>
      <c r="P4120">
        <v>1</v>
      </c>
      <c r="Q4120">
        <v>0</v>
      </c>
      <c r="S4120" t="str">
        <f t="shared" si="1515"/>
        <v>19:36:37.000</v>
      </c>
      <c r="T4120" t="str">
        <f t="shared" si="1515"/>
        <v>19:36:37.000</v>
      </c>
      <c r="U4120" t="str">
        <f t="shared" si="1509"/>
        <v>AC3944</v>
      </c>
      <c r="V4120">
        <v>0</v>
      </c>
      <c r="W4120">
        <v>0</v>
      </c>
      <c r="X4120">
        <v>2</v>
      </c>
      <c r="Y4120">
        <v>0</v>
      </c>
      <c r="AA4120">
        <v>1</v>
      </c>
      <c r="AB4120">
        <v>8</v>
      </c>
      <c r="AC4120">
        <v>3</v>
      </c>
      <c r="AD4120">
        <v>0</v>
      </c>
      <c r="AE4120">
        <v>9</v>
      </c>
      <c r="AF4120" t="s">
        <v>126</v>
      </c>
      <c r="AG4120">
        <v>0</v>
      </c>
      <c r="AH4120">
        <v>1</v>
      </c>
      <c r="AI4120">
        <v>1</v>
      </c>
      <c r="AJ4120">
        <v>0</v>
      </c>
      <c r="AK4120" t="s">
        <v>932</v>
      </c>
      <c r="AL4120">
        <v>32.738914000000001</v>
      </c>
      <c r="AM4120" t="s">
        <v>1322</v>
      </c>
      <c r="AN4120">
        <v>-116.67478300000001</v>
      </c>
      <c r="AO4120">
        <v>25</v>
      </c>
      <c r="AP4120">
        <v>4900</v>
      </c>
      <c r="AQ4120" t="s">
        <v>129</v>
      </c>
      <c r="AR4120">
        <v>-20</v>
      </c>
      <c r="AS4120">
        <v>140</v>
      </c>
      <c r="AT4120">
        <v>-960</v>
      </c>
      <c r="BB4120">
        <v>1200</v>
      </c>
      <c r="BC4120">
        <v>1</v>
      </c>
      <c r="BD4120" t="str">
        <f t="shared" si="1510"/>
        <v xml:space="preserve">N887QR  </v>
      </c>
      <c r="BE4120">
        <v>1</v>
      </c>
      <c r="BG4120">
        <v>0</v>
      </c>
      <c r="BH4120">
        <v>0</v>
      </c>
      <c r="BI4120">
        <v>0</v>
      </c>
      <c r="BJ4120">
        <v>4675</v>
      </c>
      <c r="BK4120">
        <v>-225</v>
      </c>
      <c r="BL4120" t="s">
        <v>163</v>
      </c>
      <c r="BM4120">
        <v>1</v>
      </c>
      <c r="BN4120">
        <v>1</v>
      </c>
      <c r="BO4120">
        <v>1</v>
      </c>
      <c r="BP4120">
        <v>0</v>
      </c>
      <c r="BS4120">
        <v>0.04</v>
      </c>
      <c r="BT4120">
        <v>0</v>
      </c>
      <c r="BU4120">
        <v>0</v>
      </c>
      <c r="CE4120" t="str">
        <f t="shared" si="1517"/>
        <v>19:36:37.785</v>
      </c>
      <c r="CF4120">
        <v>785113853</v>
      </c>
      <c r="CS4120">
        <v>0</v>
      </c>
      <c r="CT4120">
        <v>2</v>
      </c>
      <c r="CU4120">
        <v>0</v>
      </c>
      <c r="CV4120">
        <v>2</v>
      </c>
      <c r="CW4120">
        <v>0</v>
      </c>
      <c r="CX4120">
        <v>5</v>
      </c>
      <c r="CY4120">
        <v>7</v>
      </c>
      <c r="CZ4120" t="s">
        <v>131</v>
      </c>
      <c r="DA4120">
        <v>300</v>
      </c>
      <c r="DB4120">
        <v>0</v>
      </c>
      <c r="DC4120" t="s">
        <v>176</v>
      </c>
      <c r="DD4120" t="s">
        <v>177</v>
      </c>
      <c r="DG4120">
        <v>5455944</v>
      </c>
      <c r="DI4120">
        <v>1</v>
      </c>
      <c r="DJ4120">
        <v>0</v>
      </c>
      <c r="DK4120">
        <v>1</v>
      </c>
      <c r="DL4120">
        <v>0</v>
      </c>
      <c r="DM4120">
        <v>0</v>
      </c>
      <c r="DN4120">
        <v>1</v>
      </c>
      <c r="DO4120">
        <v>1</v>
      </c>
      <c r="DP4120">
        <v>0</v>
      </c>
      <c r="DQ4120">
        <v>1</v>
      </c>
      <c r="DR4120">
        <v>0</v>
      </c>
      <c r="DS4120">
        <v>0</v>
      </c>
    </row>
    <row r="4121" spans="1:123" x14ac:dyDescent="0.3">
      <c r="A4121" t="str">
        <f>"10/04/2022 19:36:38.105"</f>
        <v>10/04/2022 19:36:38.105</v>
      </c>
      <c r="C4121" t="str">
        <f t="shared" si="1500"/>
        <v>FFDFD3C0</v>
      </c>
      <c r="D4121" t="s">
        <v>136</v>
      </c>
      <c r="E4121">
        <v>8</v>
      </c>
      <c r="H4121">
        <v>225</v>
      </c>
      <c r="I4121" t="s">
        <v>137</v>
      </c>
      <c r="J4121" t="s">
        <v>138</v>
      </c>
      <c r="K4121">
        <v>0</v>
      </c>
      <c r="L4121">
        <v>3</v>
      </c>
      <c r="M4121">
        <v>0</v>
      </c>
      <c r="N4121">
        <v>2</v>
      </c>
      <c r="O4121">
        <v>0</v>
      </c>
      <c r="P4121">
        <v>1</v>
      </c>
      <c r="Q4121">
        <v>0</v>
      </c>
      <c r="S4121" t="str">
        <f t="shared" si="1515"/>
        <v>19:36:37.000</v>
      </c>
      <c r="T4121" t="str">
        <f t="shared" si="1515"/>
        <v>19:36:37.000</v>
      </c>
      <c r="U4121" t="str">
        <f t="shared" si="1509"/>
        <v>AC3944</v>
      </c>
      <c r="V4121">
        <v>0</v>
      </c>
      <c r="W4121">
        <v>0</v>
      </c>
      <c r="X4121">
        <v>2</v>
      </c>
      <c r="Y4121">
        <v>0</v>
      </c>
      <c r="AA4121">
        <v>1</v>
      </c>
      <c r="AB4121">
        <v>8</v>
      </c>
      <c r="AC4121">
        <v>3</v>
      </c>
      <c r="AD4121">
        <v>0</v>
      </c>
      <c r="AE4121">
        <v>9</v>
      </c>
      <c r="AF4121" t="s">
        <v>126</v>
      </c>
      <c r="AG4121">
        <v>0</v>
      </c>
      <c r="AH4121">
        <v>1</v>
      </c>
      <c r="AI4121">
        <v>1</v>
      </c>
      <c r="AJ4121">
        <v>0</v>
      </c>
      <c r="AK4121" t="s">
        <v>932</v>
      </c>
      <c r="AL4121">
        <v>32.738914000000001</v>
      </c>
      <c r="AM4121" t="s">
        <v>1322</v>
      </c>
      <c r="AN4121">
        <v>-116.67478300000001</v>
      </c>
      <c r="AO4121">
        <v>25</v>
      </c>
      <c r="AP4121">
        <v>4900</v>
      </c>
      <c r="AQ4121" t="s">
        <v>129</v>
      </c>
      <c r="AR4121">
        <v>-20</v>
      </c>
      <c r="AS4121">
        <v>140</v>
      </c>
      <c r="AT4121">
        <v>-960</v>
      </c>
      <c r="BB4121">
        <v>1200</v>
      </c>
      <c r="BC4121">
        <v>1</v>
      </c>
      <c r="BD4121" t="str">
        <f t="shared" si="1510"/>
        <v xml:space="preserve">N887QR  </v>
      </c>
      <c r="BE4121">
        <v>1</v>
      </c>
      <c r="BG4121">
        <v>0</v>
      </c>
      <c r="BH4121">
        <v>0</v>
      </c>
      <c r="BI4121">
        <v>0</v>
      </c>
      <c r="BJ4121">
        <v>4675</v>
      </c>
      <c r="BK4121">
        <v>-225</v>
      </c>
      <c r="BL4121" t="s">
        <v>163</v>
      </c>
      <c r="BM4121">
        <v>1</v>
      </c>
      <c r="BN4121">
        <v>1</v>
      </c>
      <c r="BO4121">
        <v>1</v>
      </c>
      <c r="BP4121">
        <v>0</v>
      </c>
      <c r="BS4121">
        <v>0.04</v>
      </c>
      <c r="BT4121">
        <v>0</v>
      </c>
      <c r="BU4121">
        <v>0</v>
      </c>
      <c r="CE4121" t="str">
        <f t="shared" si="1517"/>
        <v>19:36:37.785</v>
      </c>
      <c r="CF4121">
        <v>785113853</v>
      </c>
      <c r="CS4121">
        <v>0</v>
      </c>
      <c r="CT4121">
        <v>2</v>
      </c>
      <c r="CU4121">
        <v>0</v>
      </c>
      <c r="CV4121">
        <v>2</v>
      </c>
      <c r="CW4121">
        <v>0</v>
      </c>
      <c r="CX4121">
        <v>5</v>
      </c>
      <c r="CY4121">
        <v>7</v>
      </c>
      <c r="CZ4121" t="s">
        <v>131</v>
      </c>
      <c r="DA4121">
        <v>300</v>
      </c>
      <c r="DB4121">
        <v>0</v>
      </c>
      <c r="DC4121" t="s">
        <v>176</v>
      </c>
      <c r="DD4121" t="s">
        <v>177</v>
      </c>
      <c r="DG4121">
        <v>5455944</v>
      </c>
      <c r="DI4121">
        <v>1</v>
      </c>
      <c r="DJ4121">
        <v>0</v>
      </c>
      <c r="DK4121">
        <v>1</v>
      </c>
      <c r="DL4121">
        <v>0</v>
      </c>
      <c r="DM4121">
        <v>0</v>
      </c>
      <c r="DN4121">
        <v>1</v>
      </c>
      <c r="DO4121">
        <v>1</v>
      </c>
      <c r="DP4121">
        <v>0</v>
      </c>
      <c r="DQ4121">
        <v>1</v>
      </c>
      <c r="DR4121">
        <v>0</v>
      </c>
      <c r="DS4121">
        <v>0</v>
      </c>
    </row>
    <row r="4122" spans="1:123" x14ac:dyDescent="0.3">
      <c r="A4122" t="str">
        <f>"10/04/2022 19:36:38.105"</f>
        <v>10/04/2022 19:36:38.105</v>
      </c>
      <c r="C4122" t="str">
        <f t="shared" si="1500"/>
        <v>FFDFD3C0</v>
      </c>
      <c r="D4122" t="s">
        <v>143</v>
      </c>
      <c r="E4122">
        <v>20</v>
      </c>
      <c r="F4122">
        <v>1020</v>
      </c>
      <c r="G4122" t="s">
        <v>144</v>
      </c>
      <c r="J4122" t="s">
        <v>145</v>
      </c>
      <c r="K4122">
        <v>0</v>
      </c>
      <c r="L4122">
        <v>3</v>
      </c>
      <c r="M4122">
        <v>0</v>
      </c>
      <c r="N4122">
        <v>2</v>
      </c>
      <c r="O4122">
        <v>0</v>
      </c>
      <c r="P4122">
        <v>1</v>
      </c>
      <c r="Q4122">
        <v>0</v>
      </c>
      <c r="S4122" t="str">
        <f t="shared" si="1515"/>
        <v>19:36:37.000</v>
      </c>
      <c r="T4122" t="str">
        <f t="shared" si="1515"/>
        <v>19:36:37.000</v>
      </c>
      <c r="U4122" t="str">
        <f t="shared" si="1509"/>
        <v>AC3944</v>
      </c>
      <c r="V4122">
        <v>0</v>
      </c>
      <c r="W4122">
        <v>0</v>
      </c>
      <c r="X4122">
        <v>2</v>
      </c>
      <c r="Y4122">
        <v>0</v>
      </c>
      <c r="AA4122">
        <v>1</v>
      </c>
      <c r="AB4122">
        <v>8</v>
      </c>
      <c r="AC4122">
        <v>3</v>
      </c>
      <c r="AD4122">
        <v>0</v>
      </c>
      <c r="AE4122">
        <v>9</v>
      </c>
      <c r="AF4122" t="s">
        <v>126</v>
      </c>
      <c r="AG4122">
        <v>0</v>
      </c>
      <c r="AH4122">
        <v>1</v>
      </c>
      <c r="AI4122">
        <v>1</v>
      </c>
      <c r="AJ4122">
        <v>0</v>
      </c>
      <c r="AK4122" t="s">
        <v>932</v>
      </c>
      <c r="AL4122">
        <v>32.738914000000001</v>
      </c>
      <c r="AM4122" t="s">
        <v>1322</v>
      </c>
      <c r="AN4122">
        <v>-116.67478300000001</v>
      </c>
      <c r="AO4122">
        <v>25</v>
      </c>
      <c r="AP4122">
        <v>4900</v>
      </c>
      <c r="AQ4122" t="s">
        <v>129</v>
      </c>
      <c r="AR4122">
        <v>-20</v>
      </c>
      <c r="AS4122">
        <v>140</v>
      </c>
      <c r="AT4122">
        <v>-960</v>
      </c>
      <c r="BB4122">
        <v>1200</v>
      </c>
      <c r="BC4122">
        <v>1</v>
      </c>
      <c r="BD4122" t="str">
        <f t="shared" si="1510"/>
        <v xml:space="preserve">N887QR  </v>
      </c>
      <c r="BE4122">
        <v>1</v>
      </c>
      <c r="BG4122">
        <v>0</v>
      </c>
      <c r="BH4122">
        <v>0</v>
      </c>
      <c r="BI4122">
        <v>0</v>
      </c>
      <c r="BJ4122">
        <v>4675</v>
      </c>
      <c r="BK4122">
        <v>-225</v>
      </c>
      <c r="BL4122" t="s">
        <v>163</v>
      </c>
      <c r="BM4122">
        <v>1</v>
      </c>
      <c r="BN4122">
        <v>1</v>
      </c>
      <c r="BO4122">
        <v>1</v>
      </c>
      <c r="BP4122">
        <v>0</v>
      </c>
      <c r="BS4122">
        <v>0.04</v>
      </c>
      <c r="BT4122">
        <v>0</v>
      </c>
      <c r="BU4122">
        <v>0</v>
      </c>
      <c r="CE4122" t="str">
        <f t="shared" si="1517"/>
        <v>19:36:37.785</v>
      </c>
      <c r="CF4122">
        <v>785113853</v>
      </c>
      <c r="CS4122">
        <v>0</v>
      </c>
      <c r="CT4122">
        <v>2</v>
      </c>
      <c r="CU4122">
        <v>0</v>
      </c>
      <c r="CV4122">
        <v>2</v>
      </c>
      <c r="CW4122">
        <v>0</v>
      </c>
      <c r="CX4122">
        <v>5</v>
      </c>
      <c r="CY4122">
        <v>7</v>
      </c>
      <c r="CZ4122" t="s">
        <v>131</v>
      </c>
      <c r="DA4122">
        <v>300</v>
      </c>
      <c r="DB4122">
        <v>0</v>
      </c>
      <c r="DC4122" t="s">
        <v>176</v>
      </c>
      <c r="DD4122" t="s">
        <v>177</v>
      </c>
      <c r="DG4122">
        <v>5455944</v>
      </c>
      <c r="DI4122">
        <v>1</v>
      </c>
      <c r="DJ4122">
        <v>0</v>
      </c>
      <c r="DK4122">
        <v>1</v>
      </c>
      <c r="DL4122">
        <v>0</v>
      </c>
      <c r="DM4122">
        <v>0</v>
      </c>
      <c r="DN4122">
        <v>1</v>
      </c>
      <c r="DO4122">
        <v>1</v>
      </c>
      <c r="DP4122">
        <v>0</v>
      </c>
      <c r="DQ4122">
        <v>1</v>
      </c>
      <c r="DR4122">
        <v>0</v>
      </c>
      <c r="DS4122">
        <v>0</v>
      </c>
    </row>
    <row r="4123" spans="1:123" x14ac:dyDescent="0.3">
      <c r="A4123" t="str">
        <f>"10/04/2022 19:36:40.199"</f>
        <v>10/04/2022 19:36:40.199</v>
      </c>
      <c r="C4123" t="str">
        <f t="shared" si="1500"/>
        <v>FFDFD3C0</v>
      </c>
      <c r="D4123" t="s">
        <v>141</v>
      </c>
      <c r="E4123">
        <v>4</v>
      </c>
      <c r="H4123">
        <v>4</v>
      </c>
      <c r="I4123" t="s">
        <v>142</v>
      </c>
      <c r="J4123" t="s">
        <v>138</v>
      </c>
      <c r="K4123">
        <v>0</v>
      </c>
      <c r="L4123">
        <v>3</v>
      </c>
      <c r="M4123">
        <v>0</v>
      </c>
      <c r="N4123">
        <v>2</v>
      </c>
      <c r="O4123">
        <v>0</v>
      </c>
      <c r="P4123">
        <v>1</v>
      </c>
      <c r="Q4123">
        <v>0</v>
      </c>
      <c r="S4123" t="str">
        <f t="shared" ref="S4123:T4129" si="1518">"19:36:40.000"</f>
        <v>19:36:40.000</v>
      </c>
      <c r="T4123" t="str">
        <f t="shared" si="1518"/>
        <v>19:36:40.000</v>
      </c>
      <c r="U4123" t="str">
        <f t="shared" si="1509"/>
        <v>AC3944</v>
      </c>
      <c r="V4123">
        <v>0</v>
      </c>
      <c r="W4123">
        <v>0</v>
      </c>
      <c r="X4123">
        <v>2</v>
      </c>
      <c r="Y4123">
        <v>0</v>
      </c>
      <c r="AA4123">
        <v>1</v>
      </c>
      <c r="AB4123">
        <v>8</v>
      </c>
      <c r="AC4123">
        <v>3</v>
      </c>
      <c r="AD4123">
        <v>0</v>
      </c>
      <c r="AE4123">
        <v>9</v>
      </c>
      <c r="AF4123" t="s">
        <v>138</v>
      </c>
      <c r="AG4123">
        <v>0</v>
      </c>
      <c r="AH4123">
        <v>3</v>
      </c>
      <c r="AI4123">
        <v>1</v>
      </c>
      <c r="AJ4123">
        <v>0</v>
      </c>
      <c r="AK4123" t="s">
        <v>1323</v>
      </c>
      <c r="AL4123">
        <v>32.740330999999998</v>
      </c>
      <c r="AM4123" t="s">
        <v>1324</v>
      </c>
      <c r="AN4123">
        <v>-116.67514799999999</v>
      </c>
      <c r="AO4123">
        <v>25</v>
      </c>
      <c r="AP4123">
        <v>4900</v>
      </c>
      <c r="AQ4123" t="s">
        <v>129</v>
      </c>
      <c r="AR4123">
        <v>-43</v>
      </c>
      <c r="AS4123">
        <v>135</v>
      </c>
      <c r="AT4123">
        <v>-704</v>
      </c>
      <c r="BB4123">
        <v>1200</v>
      </c>
      <c r="BC4123">
        <v>1</v>
      </c>
      <c r="BD4123" t="str">
        <f t="shared" si="1510"/>
        <v xml:space="preserve">N887QR  </v>
      </c>
      <c r="BE4123">
        <v>1</v>
      </c>
      <c r="BG4123">
        <v>0</v>
      </c>
      <c r="BH4123">
        <v>0</v>
      </c>
      <c r="BI4123">
        <v>0</v>
      </c>
      <c r="BJ4123">
        <v>4675</v>
      </c>
      <c r="BK4123">
        <v>-225</v>
      </c>
      <c r="BL4123" t="s">
        <v>163</v>
      </c>
      <c r="BM4123">
        <v>1</v>
      </c>
      <c r="BN4123">
        <v>1</v>
      </c>
      <c r="BO4123">
        <v>1</v>
      </c>
      <c r="BP4123">
        <v>0</v>
      </c>
      <c r="BS4123">
        <v>0.04</v>
      </c>
      <c r="BT4123">
        <v>0</v>
      </c>
      <c r="BU4123">
        <v>0</v>
      </c>
      <c r="CE4123" t="str">
        <f t="shared" ref="CE4123:CE4129" si="1519">"19:36:40.009"</f>
        <v>19:36:40.009</v>
      </c>
      <c r="CF4123">
        <v>8620551</v>
      </c>
      <c r="CS4123">
        <v>0</v>
      </c>
      <c r="CT4123">
        <v>2</v>
      </c>
      <c r="CU4123">
        <v>0</v>
      </c>
      <c r="CV4123">
        <v>2</v>
      </c>
      <c r="CW4123">
        <v>0</v>
      </c>
      <c r="CX4123">
        <v>5</v>
      </c>
      <c r="CY4123">
        <v>7</v>
      </c>
      <c r="CZ4123" t="s">
        <v>131</v>
      </c>
      <c r="DA4123">
        <v>300</v>
      </c>
      <c r="DB4123">
        <v>0</v>
      </c>
      <c r="DC4123" t="s">
        <v>176</v>
      </c>
      <c r="DD4123" t="s">
        <v>177</v>
      </c>
      <c r="DG4123">
        <v>5456264</v>
      </c>
      <c r="DI4123">
        <v>1</v>
      </c>
      <c r="DJ4123">
        <v>0</v>
      </c>
      <c r="DK4123">
        <v>0</v>
      </c>
      <c r="DL4123">
        <v>0</v>
      </c>
      <c r="DM4123">
        <v>0</v>
      </c>
      <c r="DN4123">
        <v>1</v>
      </c>
      <c r="DO4123">
        <v>0</v>
      </c>
      <c r="DP4123">
        <v>0</v>
      </c>
      <c r="DQ4123">
        <v>0</v>
      </c>
      <c r="DR4123">
        <v>0</v>
      </c>
      <c r="DS4123">
        <v>0</v>
      </c>
    </row>
    <row r="4124" spans="1:123" x14ac:dyDescent="0.3">
      <c r="A4124" t="str">
        <f>"10/04/2022 19:36:40.199"</f>
        <v>10/04/2022 19:36:40.199</v>
      </c>
      <c r="C4124" t="str">
        <f t="shared" si="1500"/>
        <v>FFDFD3C0</v>
      </c>
      <c r="D4124" t="s">
        <v>147</v>
      </c>
      <c r="E4124">
        <v>3</v>
      </c>
      <c r="H4124">
        <v>166</v>
      </c>
      <c r="I4124" t="s">
        <v>144</v>
      </c>
      <c r="J4124" t="s">
        <v>148</v>
      </c>
      <c r="K4124">
        <v>0</v>
      </c>
      <c r="L4124">
        <v>3</v>
      </c>
      <c r="M4124">
        <v>0</v>
      </c>
      <c r="N4124">
        <v>2</v>
      </c>
      <c r="O4124">
        <v>0</v>
      </c>
      <c r="P4124">
        <v>1</v>
      </c>
      <c r="Q4124">
        <v>0</v>
      </c>
      <c r="S4124" t="str">
        <f t="shared" si="1518"/>
        <v>19:36:40.000</v>
      </c>
      <c r="T4124" t="str">
        <f t="shared" si="1518"/>
        <v>19:36:40.000</v>
      </c>
      <c r="U4124" t="str">
        <f t="shared" si="1509"/>
        <v>AC3944</v>
      </c>
      <c r="V4124">
        <v>0</v>
      </c>
      <c r="W4124">
        <v>0</v>
      </c>
      <c r="X4124">
        <v>2</v>
      </c>
      <c r="Y4124">
        <v>0</v>
      </c>
      <c r="AA4124">
        <v>1</v>
      </c>
      <c r="AB4124">
        <v>8</v>
      </c>
      <c r="AC4124">
        <v>3</v>
      </c>
      <c r="AD4124">
        <v>0</v>
      </c>
      <c r="AE4124">
        <v>9</v>
      </c>
      <c r="AF4124" t="s">
        <v>138</v>
      </c>
      <c r="AG4124">
        <v>0</v>
      </c>
      <c r="AH4124">
        <v>3</v>
      </c>
      <c r="AI4124">
        <v>1</v>
      </c>
      <c r="AJ4124">
        <v>0</v>
      </c>
      <c r="AK4124" t="s">
        <v>1323</v>
      </c>
      <c r="AL4124">
        <v>32.740330999999998</v>
      </c>
      <c r="AM4124" t="s">
        <v>1324</v>
      </c>
      <c r="AN4124">
        <v>-116.67514799999999</v>
      </c>
      <c r="AO4124">
        <v>25</v>
      </c>
      <c r="AP4124">
        <v>4900</v>
      </c>
      <c r="AQ4124" t="s">
        <v>129</v>
      </c>
      <c r="AR4124">
        <v>-43</v>
      </c>
      <c r="AS4124">
        <v>135</v>
      </c>
      <c r="AT4124">
        <v>-704</v>
      </c>
      <c r="BB4124">
        <v>1200</v>
      </c>
      <c r="BC4124">
        <v>1</v>
      </c>
      <c r="BD4124" t="str">
        <f t="shared" si="1510"/>
        <v xml:space="preserve">N887QR  </v>
      </c>
      <c r="BE4124">
        <v>1</v>
      </c>
      <c r="BG4124">
        <v>0</v>
      </c>
      <c r="BH4124">
        <v>0</v>
      </c>
      <c r="BI4124">
        <v>0</v>
      </c>
      <c r="BJ4124">
        <v>4675</v>
      </c>
      <c r="BK4124">
        <v>-225</v>
      </c>
      <c r="BL4124" t="s">
        <v>163</v>
      </c>
      <c r="BM4124">
        <v>1</v>
      </c>
      <c r="BN4124">
        <v>1</v>
      </c>
      <c r="BO4124">
        <v>1</v>
      </c>
      <c r="BP4124">
        <v>0</v>
      </c>
      <c r="BS4124">
        <v>0.04</v>
      </c>
      <c r="BT4124">
        <v>0</v>
      </c>
      <c r="BU4124">
        <v>0</v>
      </c>
      <c r="CE4124" t="str">
        <f t="shared" si="1519"/>
        <v>19:36:40.009</v>
      </c>
      <c r="CF4124">
        <v>8620551</v>
      </c>
      <c r="CS4124">
        <v>0</v>
      </c>
      <c r="CT4124">
        <v>2</v>
      </c>
      <c r="CU4124">
        <v>0</v>
      </c>
      <c r="CV4124">
        <v>2</v>
      </c>
      <c r="CW4124">
        <v>0</v>
      </c>
      <c r="CX4124">
        <v>5</v>
      </c>
      <c r="CY4124">
        <v>7</v>
      </c>
      <c r="CZ4124" t="s">
        <v>131</v>
      </c>
      <c r="DA4124">
        <v>300</v>
      </c>
      <c r="DB4124">
        <v>0</v>
      </c>
      <c r="DC4124" t="s">
        <v>176</v>
      </c>
      <c r="DD4124" t="s">
        <v>177</v>
      </c>
      <c r="DG4124">
        <v>5456264</v>
      </c>
      <c r="DI4124">
        <v>1</v>
      </c>
      <c r="DJ4124">
        <v>0</v>
      </c>
      <c r="DK4124">
        <v>1</v>
      </c>
      <c r="DL4124">
        <v>0</v>
      </c>
      <c r="DM4124">
        <v>0</v>
      </c>
      <c r="DN4124">
        <v>1</v>
      </c>
      <c r="DO4124">
        <v>0</v>
      </c>
      <c r="DP4124">
        <v>0</v>
      </c>
      <c r="DQ4124">
        <v>0</v>
      </c>
      <c r="DR4124">
        <v>0</v>
      </c>
      <c r="DS4124">
        <v>0</v>
      </c>
    </row>
    <row r="4125" spans="1:123" x14ac:dyDescent="0.3">
      <c r="A4125" t="str">
        <f>"10/04/2022 19:36:40.215"</f>
        <v>10/04/2022 19:36:40.215</v>
      </c>
      <c r="C4125" t="str">
        <f t="shared" si="1500"/>
        <v>FFDFD3C0</v>
      </c>
      <c r="D4125" t="s">
        <v>134</v>
      </c>
      <c r="E4125">
        <v>15</v>
      </c>
      <c r="J4125" t="s">
        <v>135</v>
      </c>
      <c r="K4125">
        <v>0</v>
      </c>
      <c r="L4125">
        <v>3</v>
      </c>
      <c r="M4125">
        <v>0</v>
      </c>
      <c r="N4125">
        <v>2</v>
      </c>
      <c r="O4125">
        <v>0</v>
      </c>
      <c r="P4125">
        <v>1</v>
      </c>
      <c r="Q4125">
        <v>0</v>
      </c>
      <c r="S4125" t="str">
        <f t="shared" si="1518"/>
        <v>19:36:40.000</v>
      </c>
      <c r="T4125" t="str">
        <f t="shared" si="1518"/>
        <v>19:36:40.000</v>
      </c>
      <c r="U4125" t="str">
        <f t="shared" si="1509"/>
        <v>AC3944</v>
      </c>
      <c r="V4125">
        <v>0</v>
      </c>
      <c r="W4125">
        <v>0</v>
      </c>
      <c r="X4125">
        <v>2</v>
      </c>
      <c r="Y4125">
        <v>0</v>
      </c>
      <c r="AA4125">
        <v>1</v>
      </c>
      <c r="AB4125">
        <v>8</v>
      </c>
      <c r="AC4125">
        <v>3</v>
      </c>
      <c r="AD4125">
        <v>0</v>
      </c>
      <c r="AE4125">
        <v>9</v>
      </c>
      <c r="AF4125" t="s">
        <v>138</v>
      </c>
      <c r="AG4125">
        <v>0</v>
      </c>
      <c r="AH4125">
        <v>3</v>
      </c>
      <c r="AI4125">
        <v>1</v>
      </c>
      <c r="AJ4125">
        <v>0</v>
      </c>
      <c r="AK4125" t="s">
        <v>1323</v>
      </c>
      <c r="AL4125">
        <v>32.740330999999998</v>
      </c>
      <c r="AM4125" t="s">
        <v>1324</v>
      </c>
      <c r="AN4125">
        <v>-116.67514799999999</v>
      </c>
      <c r="AO4125">
        <v>25</v>
      </c>
      <c r="AP4125">
        <v>4900</v>
      </c>
      <c r="AQ4125" t="s">
        <v>129</v>
      </c>
      <c r="AR4125">
        <v>-43</v>
      </c>
      <c r="AS4125">
        <v>135</v>
      </c>
      <c r="AT4125">
        <v>-704</v>
      </c>
      <c r="BB4125">
        <v>1200</v>
      </c>
      <c r="BC4125">
        <v>1</v>
      </c>
      <c r="BD4125" t="str">
        <f t="shared" si="1510"/>
        <v xml:space="preserve">N887QR  </v>
      </c>
      <c r="BE4125">
        <v>1</v>
      </c>
      <c r="BG4125">
        <v>0</v>
      </c>
      <c r="BH4125">
        <v>0</v>
      </c>
      <c r="BI4125">
        <v>0</v>
      </c>
      <c r="BJ4125">
        <v>4675</v>
      </c>
      <c r="BK4125">
        <v>-225</v>
      </c>
      <c r="BL4125" t="s">
        <v>163</v>
      </c>
      <c r="BM4125">
        <v>1</v>
      </c>
      <c r="BN4125">
        <v>1</v>
      </c>
      <c r="BO4125">
        <v>1</v>
      </c>
      <c r="BP4125">
        <v>0</v>
      </c>
      <c r="BS4125">
        <v>0.04</v>
      </c>
      <c r="BT4125">
        <v>0</v>
      </c>
      <c r="BU4125">
        <v>0</v>
      </c>
      <c r="CE4125" t="str">
        <f t="shared" si="1519"/>
        <v>19:36:40.009</v>
      </c>
      <c r="CF4125">
        <v>8620551</v>
      </c>
      <c r="CS4125">
        <v>0</v>
      </c>
      <c r="CT4125">
        <v>2</v>
      </c>
      <c r="CU4125">
        <v>0</v>
      </c>
      <c r="CV4125">
        <v>2</v>
      </c>
      <c r="CW4125">
        <v>0</v>
      </c>
      <c r="CX4125">
        <v>5</v>
      </c>
      <c r="CY4125">
        <v>7</v>
      </c>
      <c r="CZ4125" t="s">
        <v>131</v>
      </c>
      <c r="DA4125">
        <v>300</v>
      </c>
      <c r="DB4125">
        <v>0</v>
      </c>
      <c r="DC4125" t="s">
        <v>176</v>
      </c>
      <c r="DD4125" t="s">
        <v>177</v>
      </c>
      <c r="DG4125">
        <v>5456264</v>
      </c>
      <c r="DI4125">
        <v>1</v>
      </c>
      <c r="DJ4125">
        <v>0</v>
      </c>
      <c r="DK4125">
        <v>1</v>
      </c>
      <c r="DL4125">
        <v>0</v>
      </c>
      <c r="DM4125">
        <v>0</v>
      </c>
      <c r="DN4125">
        <v>1</v>
      </c>
      <c r="DO4125">
        <v>0</v>
      </c>
      <c r="DP4125">
        <v>0</v>
      </c>
      <c r="DQ4125">
        <v>0</v>
      </c>
      <c r="DR4125">
        <v>0</v>
      </c>
      <c r="DS4125">
        <v>0</v>
      </c>
    </row>
    <row r="4126" spans="1:123" x14ac:dyDescent="0.3">
      <c r="A4126" t="str">
        <f>"10/04/2022 19:36:40.230"</f>
        <v>10/04/2022 19:36:40.230</v>
      </c>
      <c r="C4126" t="str">
        <f t="shared" si="1500"/>
        <v>FFDFD3C0</v>
      </c>
      <c r="D4126" t="s">
        <v>136</v>
      </c>
      <c r="E4126">
        <v>8</v>
      </c>
      <c r="H4126">
        <v>225</v>
      </c>
      <c r="I4126" t="s">
        <v>137</v>
      </c>
      <c r="J4126" t="s">
        <v>138</v>
      </c>
      <c r="K4126">
        <v>0</v>
      </c>
      <c r="L4126">
        <v>3</v>
      </c>
      <c r="M4126">
        <v>0</v>
      </c>
      <c r="N4126">
        <v>2</v>
      </c>
      <c r="O4126">
        <v>0</v>
      </c>
      <c r="P4126">
        <v>1</v>
      </c>
      <c r="Q4126">
        <v>0</v>
      </c>
      <c r="S4126" t="str">
        <f t="shared" si="1518"/>
        <v>19:36:40.000</v>
      </c>
      <c r="T4126" t="str">
        <f t="shared" si="1518"/>
        <v>19:36:40.000</v>
      </c>
      <c r="U4126" t="str">
        <f t="shared" si="1509"/>
        <v>AC3944</v>
      </c>
      <c r="V4126">
        <v>0</v>
      </c>
      <c r="W4126">
        <v>0</v>
      </c>
      <c r="X4126">
        <v>2</v>
      </c>
      <c r="Y4126">
        <v>0</v>
      </c>
      <c r="AA4126">
        <v>1</v>
      </c>
      <c r="AB4126">
        <v>8</v>
      </c>
      <c r="AC4126">
        <v>3</v>
      </c>
      <c r="AD4126">
        <v>0</v>
      </c>
      <c r="AE4126">
        <v>9</v>
      </c>
      <c r="AF4126" t="s">
        <v>138</v>
      </c>
      <c r="AG4126">
        <v>0</v>
      </c>
      <c r="AH4126">
        <v>3</v>
      </c>
      <c r="AI4126">
        <v>1</v>
      </c>
      <c r="AJ4126">
        <v>0</v>
      </c>
      <c r="AK4126" t="s">
        <v>1323</v>
      </c>
      <c r="AL4126">
        <v>32.740330999999998</v>
      </c>
      <c r="AM4126" t="s">
        <v>1324</v>
      </c>
      <c r="AN4126">
        <v>-116.67514799999999</v>
      </c>
      <c r="AO4126">
        <v>25</v>
      </c>
      <c r="AP4126">
        <v>4900</v>
      </c>
      <c r="AQ4126" t="s">
        <v>129</v>
      </c>
      <c r="AR4126">
        <v>-43</v>
      </c>
      <c r="AS4126">
        <v>135</v>
      </c>
      <c r="AT4126">
        <v>-704</v>
      </c>
      <c r="BB4126">
        <v>1200</v>
      </c>
      <c r="BC4126">
        <v>1</v>
      </c>
      <c r="BD4126" t="str">
        <f t="shared" si="1510"/>
        <v xml:space="preserve">N887QR  </v>
      </c>
      <c r="BE4126">
        <v>1</v>
      </c>
      <c r="BG4126">
        <v>0</v>
      </c>
      <c r="BH4126">
        <v>0</v>
      </c>
      <c r="BI4126">
        <v>0</v>
      </c>
      <c r="BJ4126">
        <v>4675</v>
      </c>
      <c r="BK4126">
        <v>-225</v>
      </c>
      <c r="BL4126" t="s">
        <v>163</v>
      </c>
      <c r="BM4126">
        <v>1</v>
      </c>
      <c r="BN4126">
        <v>1</v>
      </c>
      <c r="BO4126">
        <v>1</v>
      </c>
      <c r="BP4126">
        <v>0</v>
      </c>
      <c r="BS4126">
        <v>0.04</v>
      </c>
      <c r="BT4126">
        <v>0</v>
      </c>
      <c r="BU4126">
        <v>0</v>
      </c>
      <c r="CE4126" t="str">
        <f t="shared" si="1519"/>
        <v>19:36:40.009</v>
      </c>
      <c r="CF4126">
        <v>8620551</v>
      </c>
      <c r="CS4126">
        <v>0</v>
      </c>
      <c r="CT4126">
        <v>2</v>
      </c>
      <c r="CU4126">
        <v>0</v>
      </c>
      <c r="CV4126">
        <v>2</v>
      </c>
      <c r="CW4126">
        <v>0</v>
      </c>
      <c r="CX4126">
        <v>5</v>
      </c>
      <c r="CY4126">
        <v>7</v>
      </c>
      <c r="CZ4126" t="s">
        <v>131</v>
      </c>
      <c r="DA4126">
        <v>300</v>
      </c>
      <c r="DB4126">
        <v>0</v>
      </c>
      <c r="DC4126" t="s">
        <v>176</v>
      </c>
      <c r="DD4126" t="s">
        <v>177</v>
      </c>
      <c r="DG4126">
        <v>5456264</v>
      </c>
      <c r="DI4126">
        <v>1</v>
      </c>
      <c r="DJ4126">
        <v>0</v>
      </c>
      <c r="DK4126">
        <v>1</v>
      </c>
      <c r="DL4126">
        <v>0</v>
      </c>
      <c r="DM4126">
        <v>0</v>
      </c>
      <c r="DN4126">
        <v>1</v>
      </c>
      <c r="DO4126">
        <v>0</v>
      </c>
      <c r="DP4126">
        <v>0</v>
      </c>
      <c r="DQ4126">
        <v>0</v>
      </c>
      <c r="DR4126">
        <v>0</v>
      </c>
      <c r="DS4126">
        <v>0</v>
      </c>
    </row>
    <row r="4127" spans="1:123" x14ac:dyDescent="0.3">
      <c r="A4127" t="str">
        <f>"10/04/2022 19:36:40.230"</f>
        <v>10/04/2022 19:36:40.230</v>
      </c>
      <c r="C4127" t="str">
        <f t="shared" si="1500"/>
        <v>FFDFD3C0</v>
      </c>
      <c r="D4127" t="s">
        <v>143</v>
      </c>
      <c r="E4127">
        <v>20</v>
      </c>
      <c r="F4127">
        <v>1020</v>
      </c>
      <c r="G4127" t="s">
        <v>144</v>
      </c>
      <c r="J4127" t="s">
        <v>145</v>
      </c>
      <c r="K4127">
        <v>0</v>
      </c>
      <c r="L4127">
        <v>3</v>
      </c>
      <c r="M4127">
        <v>0</v>
      </c>
      <c r="N4127">
        <v>2</v>
      </c>
      <c r="O4127">
        <v>0</v>
      </c>
      <c r="P4127">
        <v>1</v>
      </c>
      <c r="Q4127">
        <v>0</v>
      </c>
      <c r="S4127" t="str">
        <f t="shared" si="1518"/>
        <v>19:36:40.000</v>
      </c>
      <c r="T4127" t="str">
        <f t="shared" si="1518"/>
        <v>19:36:40.000</v>
      </c>
      <c r="U4127" t="str">
        <f t="shared" si="1509"/>
        <v>AC3944</v>
      </c>
      <c r="V4127">
        <v>0</v>
      </c>
      <c r="W4127">
        <v>0</v>
      </c>
      <c r="X4127">
        <v>2</v>
      </c>
      <c r="Y4127">
        <v>0</v>
      </c>
      <c r="AA4127">
        <v>1</v>
      </c>
      <c r="AB4127">
        <v>8</v>
      </c>
      <c r="AC4127">
        <v>3</v>
      </c>
      <c r="AD4127">
        <v>0</v>
      </c>
      <c r="AE4127">
        <v>9</v>
      </c>
      <c r="AF4127" t="s">
        <v>138</v>
      </c>
      <c r="AG4127">
        <v>0</v>
      </c>
      <c r="AH4127">
        <v>3</v>
      </c>
      <c r="AI4127">
        <v>1</v>
      </c>
      <c r="AJ4127">
        <v>0</v>
      </c>
      <c r="AK4127" t="s">
        <v>1323</v>
      </c>
      <c r="AL4127">
        <v>32.740330999999998</v>
      </c>
      <c r="AM4127" t="s">
        <v>1324</v>
      </c>
      <c r="AN4127">
        <v>-116.67514799999999</v>
      </c>
      <c r="AO4127">
        <v>25</v>
      </c>
      <c r="AP4127">
        <v>4900</v>
      </c>
      <c r="AQ4127" t="s">
        <v>129</v>
      </c>
      <c r="AR4127">
        <v>-43</v>
      </c>
      <c r="AS4127">
        <v>135</v>
      </c>
      <c r="AT4127">
        <v>-704</v>
      </c>
      <c r="BB4127">
        <v>1200</v>
      </c>
      <c r="BC4127">
        <v>1</v>
      </c>
      <c r="BD4127" t="str">
        <f t="shared" si="1510"/>
        <v xml:space="preserve">N887QR  </v>
      </c>
      <c r="BE4127">
        <v>1</v>
      </c>
      <c r="BG4127">
        <v>0</v>
      </c>
      <c r="BH4127">
        <v>0</v>
      </c>
      <c r="BI4127">
        <v>0</v>
      </c>
      <c r="BJ4127">
        <v>4675</v>
      </c>
      <c r="BK4127">
        <v>-225</v>
      </c>
      <c r="BL4127" t="s">
        <v>163</v>
      </c>
      <c r="BM4127">
        <v>1</v>
      </c>
      <c r="BN4127">
        <v>1</v>
      </c>
      <c r="BO4127">
        <v>1</v>
      </c>
      <c r="BP4127">
        <v>0</v>
      </c>
      <c r="BS4127">
        <v>0.04</v>
      </c>
      <c r="BT4127">
        <v>0</v>
      </c>
      <c r="BU4127">
        <v>0</v>
      </c>
      <c r="CE4127" t="str">
        <f t="shared" si="1519"/>
        <v>19:36:40.009</v>
      </c>
      <c r="CF4127">
        <v>8620551</v>
      </c>
      <c r="CS4127">
        <v>0</v>
      </c>
      <c r="CT4127">
        <v>2</v>
      </c>
      <c r="CU4127">
        <v>0</v>
      </c>
      <c r="CV4127">
        <v>2</v>
      </c>
      <c r="CW4127">
        <v>0</v>
      </c>
      <c r="CX4127">
        <v>5</v>
      </c>
      <c r="CY4127">
        <v>7</v>
      </c>
      <c r="CZ4127" t="s">
        <v>131</v>
      </c>
      <c r="DA4127">
        <v>300</v>
      </c>
      <c r="DB4127">
        <v>0</v>
      </c>
      <c r="DC4127" t="s">
        <v>176</v>
      </c>
      <c r="DD4127" t="s">
        <v>177</v>
      </c>
      <c r="DG4127">
        <v>5456264</v>
      </c>
      <c r="DI4127">
        <v>1</v>
      </c>
      <c r="DJ4127">
        <v>0</v>
      </c>
      <c r="DK4127">
        <v>1</v>
      </c>
      <c r="DL4127">
        <v>0</v>
      </c>
      <c r="DM4127">
        <v>0</v>
      </c>
      <c r="DN4127">
        <v>1</v>
      </c>
      <c r="DO4127">
        <v>0</v>
      </c>
      <c r="DP4127">
        <v>0</v>
      </c>
      <c r="DQ4127">
        <v>0</v>
      </c>
      <c r="DR4127">
        <v>0</v>
      </c>
      <c r="DS4127">
        <v>0</v>
      </c>
    </row>
    <row r="4128" spans="1:123" x14ac:dyDescent="0.3">
      <c r="A4128" t="str">
        <f>"10/04/2022 19:36:40.230"</f>
        <v>10/04/2022 19:36:40.230</v>
      </c>
      <c r="C4128" t="str">
        <f t="shared" si="1500"/>
        <v>FFDFD3C0</v>
      </c>
      <c r="D4128" t="s">
        <v>141</v>
      </c>
      <c r="E4128">
        <v>3</v>
      </c>
      <c r="H4128">
        <v>3</v>
      </c>
      <c r="I4128" t="s">
        <v>146</v>
      </c>
      <c r="J4128" t="s">
        <v>138</v>
      </c>
      <c r="K4128">
        <v>0</v>
      </c>
      <c r="L4128">
        <v>3</v>
      </c>
      <c r="M4128">
        <v>0</v>
      </c>
      <c r="N4128">
        <v>2</v>
      </c>
      <c r="O4128">
        <v>0</v>
      </c>
      <c r="P4128">
        <v>1</v>
      </c>
      <c r="Q4128">
        <v>0</v>
      </c>
      <c r="S4128" t="str">
        <f t="shared" si="1518"/>
        <v>19:36:40.000</v>
      </c>
      <c r="T4128" t="str">
        <f t="shared" si="1518"/>
        <v>19:36:40.000</v>
      </c>
      <c r="U4128" t="str">
        <f t="shared" si="1509"/>
        <v>AC3944</v>
      </c>
      <c r="V4128">
        <v>0</v>
      </c>
      <c r="W4128">
        <v>0</v>
      </c>
      <c r="X4128">
        <v>2</v>
      </c>
      <c r="Y4128">
        <v>0</v>
      </c>
      <c r="AA4128">
        <v>1</v>
      </c>
      <c r="AB4128">
        <v>8</v>
      </c>
      <c r="AC4128">
        <v>3</v>
      </c>
      <c r="AD4128">
        <v>0</v>
      </c>
      <c r="AE4128">
        <v>9</v>
      </c>
      <c r="AF4128" t="s">
        <v>138</v>
      </c>
      <c r="AG4128">
        <v>0</v>
      </c>
      <c r="AH4128">
        <v>3</v>
      </c>
      <c r="AI4128">
        <v>1</v>
      </c>
      <c r="AJ4128">
        <v>0</v>
      </c>
      <c r="AK4128" t="s">
        <v>1323</v>
      </c>
      <c r="AL4128">
        <v>32.740330999999998</v>
      </c>
      <c r="AM4128" t="s">
        <v>1324</v>
      </c>
      <c r="AN4128">
        <v>-116.67514799999999</v>
      </c>
      <c r="AO4128">
        <v>25</v>
      </c>
      <c r="AP4128">
        <v>4900</v>
      </c>
      <c r="AQ4128" t="s">
        <v>129</v>
      </c>
      <c r="AR4128">
        <v>-43</v>
      </c>
      <c r="AS4128">
        <v>135</v>
      </c>
      <c r="AT4128">
        <v>-704</v>
      </c>
      <c r="BB4128">
        <v>1200</v>
      </c>
      <c r="BC4128">
        <v>1</v>
      </c>
      <c r="BD4128" t="str">
        <f t="shared" si="1510"/>
        <v xml:space="preserve">N887QR  </v>
      </c>
      <c r="BE4128">
        <v>1</v>
      </c>
      <c r="BG4128">
        <v>0</v>
      </c>
      <c r="BH4128">
        <v>0</v>
      </c>
      <c r="BI4128">
        <v>0</v>
      </c>
      <c r="BJ4128">
        <v>4675</v>
      </c>
      <c r="BK4128">
        <v>-225</v>
      </c>
      <c r="BL4128" t="s">
        <v>163</v>
      </c>
      <c r="BM4128">
        <v>1</v>
      </c>
      <c r="BN4128">
        <v>1</v>
      </c>
      <c r="BO4128">
        <v>1</v>
      </c>
      <c r="BP4128">
        <v>0</v>
      </c>
      <c r="BS4128">
        <v>0.04</v>
      </c>
      <c r="BT4128">
        <v>0</v>
      </c>
      <c r="BU4128">
        <v>0</v>
      </c>
      <c r="CE4128" t="str">
        <f t="shared" si="1519"/>
        <v>19:36:40.009</v>
      </c>
      <c r="CF4128">
        <v>8620551</v>
      </c>
      <c r="CS4128">
        <v>0</v>
      </c>
      <c r="CT4128">
        <v>2</v>
      </c>
      <c r="CU4128">
        <v>0</v>
      </c>
      <c r="CV4128">
        <v>2</v>
      </c>
      <c r="CW4128">
        <v>0</v>
      </c>
      <c r="CX4128">
        <v>5</v>
      </c>
      <c r="CY4128">
        <v>7</v>
      </c>
      <c r="CZ4128" t="s">
        <v>131</v>
      </c>
      <c r="DA4128">
        <v>300</v>
      </c>
      <c r="DB4128">
        <v>0</v>
      </c>
      <c r="DC4128" t="s">
        <v>176</v>
      </c>
      <c r="DD4128" t="s">
        <v>177</v>
      </c>
      <c r="DG4128">
        <v>5456264</v>
      </c>
      <c r="DI4128">
        <v>1</v>
      </c>
      <c r="DJ4128">
        <v>0</v>
      </c>
      <c r="DK4128">
        <v>1</v>
      </c>
      <c r="DL4128">
        <v>0</v>
      </c>
      <c r="DM4128">
        <v>0</v>
      </c>
      <c r="DN4128">
        <v>1</v>
      </c>
      <c r="DO4128">
        <v>0</v>
      </c>
      <c r="DP4128">
        <v>0</v>
      </c>
      <c r="DQ4128">
        <v>0</v>
      </c>
      <c r="DR4128">
        <v>0</v>
      </c>
      <c r="DS4128">
        <v>0</v>
      </c>
    </row>
    <row r="4129" spans="1:123" x14ac:dyDescent="0.3">
      <c r="A4129" t="str">
        <f>"10/04/2022 19:36:40.230"</f>
        <v>10/04/2022 19:36:40.230</v>
      </c>
      <c r="C4129" t="str">
        <f t="shared" si="1500"/>
        <v>FFDFD3C0</v>
      </c>
      <c r="D4129" t="s">
        <v>123</v>
      </c>
      <c r="E4129">
        <v>7</v>
      </c>
      <c r="F4129">
        <v>2007</v>
      </c>
      <c r="G4129" t="s">
        <v>124</v>
      </c>
      <c r="J4129" t="s">
        <v>125</v>
      </c>
      <c r="K4129">
        <v>0</v>
      </c>
      <c r="L4129">
        <v>3</v>
      </c>
      <c r="M4129">
        <v>0</v>
      </c>
      <c r="N4129">
        <v>2</v>
      </c>
      <c r="O4129">
        <v>0</v>
      </c>
      <c r="P4129">
        <v>1</v>
      </c>
      <c r="Q4129">
        <v>0</v>
      </c>
      <c r="S4129" t="str">
        <f t="shared" si="1518"/>
        <v>19:36:40.000</v>
      </c>
      <c r="T4129" t="str">
        <f t="shared" si="1518"/>
        <v>19:36:40.000</v>
      </c>
      <c r="U4129" t="str">
        <f t="shared" si="1509"/>
        <v>AC3944</v>
      </c>
      <c r="V4129">
        <v>0</v>
      </c>
      <c r="W4129">
        <v>0</v>
      </c>
      <c r="X4129">
        <v>2</v>
      </c>
      <c r="Y4129">
        <v>0</v>
      </c>
      <c r="AA4129">
        <v>1</v>
      </c>
      <c r="AB4129">
        <v>8</v>
      </c>
      <c r="AC4129">
        <v>3</v>
      </c>
      <c r="AD4129">
        <v>0</v>
      </c>
      <c r="AE4129">
        <v>9</v>
      </c>
      <c r="AF4129" t="s">
        <v>138</v>
      </c>
      <c r="AG4129">
        <v>0</v>
      </c>
      <c r="AH4129">
        <v>3</v>
      </c>
      <c r="AI4129">
        <v>1</v>
      </c>
      <c r="AJ4129">
        <v>0</v>
      </c>
      <c r="AK4129" t="s">
        <v>1323</v>
      </c>
      <c r="AL4129">
        <v>32.740330999999998</v>
      </c>
      <c r="AM4129" t="s">
        <v>1324</v>
      </c>
      <c r="AN4129">
        <v>-116.67514799999999</v>
      </c>
      <c r="AO4129">
        <v>25</v>
      </c>
      <c r="AP4129">
        <v>4900</v>
      </c>
      <c r="AQ4129" t="s">
        <v>129</v>
      </c>
      <c r="AR4129">
        <v>-43</v>
      </c>
      <c r="AS4129">
        <v>135</v>
      </c>
      <c r="AT4129">
        <v>-704</v>
      </c>
      <c r="BB4129">
        <v>1200</v>
      </c>
      <c r="BC4129">
        <v>1</v>
      </c>
      <c r="BD4129" t="str">
        <f t="shared" si="1510"/>
        <v xml:space="preserve">N887QR  </v>
      </c>
      <c r="BE4129">
        <v>1</v>
      </c>
      <c r="BG4129">
        <v>0</v>
      </c>
      <c r="BH4129">
        <v>0</v>
      </c>
      <c r="BI4129">
        <v>0</v>
      </c>
      <c r="BJ4129">
        <v>4675</v>
      </c>
      <c r="BK4129">
        <v>-225</v>
      </c>
      <c r="BL4129" t="s">
        <v>163</v>
      </c>
      <c r="BM4129">
        <v>1</v>
      </c>
      <c r="BN4129">
        <v>1</v>
      </c>
      <c r="BO4129">
        <v>1</v>
      </c>
      <c r="BP4129">
        <v>0</v>
      </c>
      <c r="BS4129">
        <v>0.04</v>
      </c>
      <c r="BT4129">
        <v>0</v>
      </c>
      <c r="BU4129">
        <v>0</v>
      </c>
      <c r="CE4129" t="str">
        <f t="shared" si="1519"/>
        <v>19:36:40.009</v>
      </c>
      <c r="CF4129">
        <v>8620551</v>
      </c>
      <c r="CS4129">
        <v>0</v>
      </c>
      <c r="CT4129">
        <v>2</v>
      </c>
      <c r="CU4129">
        <v>0</v>
      </c>
      <c r="CV4129">
        <v>2</v>
      </c>
      <c r="CW4129">
        <v>0</v>
      </c>
      <c r="CX4129">
        <v>5</v>
      </c>
      <c r="CY4129">
        <v>7</v>
      </c>
      <c r="CZ4129" t="s">
        <v>131</v>
      </c>
      <c r="DA4129">
        <v>300</v>
      </c>
      <c r="DB4129">
        <v>0</v>
      </c>
      <c r="DC4129" t="s">
        <v>176</v>
      </c>
      <c r="DD4129" t="s">
        <v>177</v>
      </c>
      <c r="DG4129">
        <v>5456264</v>
      </c>
      <c r="DI4129">
        <v>1</v>
      </c>
      <c r="DJ4129">
        <v>0</v>
      </c>
      <c r="DK4129">
        <v>1</v>
      </c>
      <c r="DL4129">
        <v>0</v>
      </c>
      <c r="DM4129">
        <v>0</v>
      </c>
      <c r="DN4129">
        <v>1</v>
      </c>
      <c r="DO4129">
        <v>0</v>
      </c>
      <c r="DP4129">
        <v>0</v>
      </c>
      <c r="DQ4129">
        <v>0</v>
      </c>
      <c r="DR4129">
        <v>0</v>
      </c>
      <c r="DS4129">
        <v>0</v>
      </c>
    </row>
    <row r="4130" spans="1:123" x14ac:dyDescent="0.3">
      <c r="A4130" t="str">
        <f>"10/04/2022 19:36:41.839"</f>
        <v>10/04/2022 19:36:41.839</v>
      </c>
      <c r="C4130" t="str">
        <f t="shared" si="1500"/>
        <v>FFDFD3C0</v>
      </c>
      <c r="D4130" t="s">
        <v>136</v>
      </c>
      <c r="E4130">
        <v>8</v>
      </c>
      <c r="H4130">
        <v>225</v>
      </c>
      <c r="I4130" t="s">
        <v>137</v>
      </c>
      <c r="J4130" t="s">
        <v>138</v>
      </c>
      <c r="K4130">
        <v>0</v>
      </c>
      <c r="L4130">
        <v>3</v>
      </c>
      <c r="M4130">
        <v>0</v>
      </c>
      <c r="N4130">
        <v>2</v>
      </c>
      <c r="O4130">
        <v>0</v>
      </c>
      <c r="P4130">
        <v>1</v>
      </c>
      <c r="Q4130">
        <v>0</v>
      </c>
      <c r="S4130" t="str">
        <f t="shared" ref="S4130:T4142" si="1520">"19:36:41.000"</f>
        <v>19:36:41.000</v>
      </c>
      <c r="T4130" t="str">
        <f t="shared" si="1520"/>
        <v>19:36:41.000</v>
      </c>
      <c r="U4130" t="str">
        <f t="shared" si="1509"/>
        <v>AC3944</v>
      </c>
      <c r="V4130">
        <v>0</v>
      </c>
      <c r="W4130">
        <v>0</v>
      </c>
      <c r="X4130">
        <v>2</v>
      </c>
      <c r="Y4130">
        <v>0</v>
      </c>
      <c r="AA4130">
        <v>1</v>
      </c>
      <c r="AB4130">
        <v>8</v>
      </c>
      <c r="AC4130">
        <v>3</v>
      </c>
      <c r="AD4130">
        <v>0</v>
      </c>
      <c r="AE4130">
        <v>9</v>
      </c>
      <c r="AF4130" t="s">
        <v>138</v>
      </c>
      <c r="AG4130">
        <v>0</v>
      </c>
      <c r="AH4130">
        <v>3</v>
      </c>
      <c r="AI4130">
        <v>1</v>
      </c>
      <c r="AJ4130">
        <v>0</v>
      </c>
      <c r="AK4130" t="s">
        <v>1325</v>
      </c>
      <c r="AL4130">
        <v>32.740974000000001</v>
      </c>
      <c r="AM4130" t="s">
        <v>1313</v>
      </c>
      <c r="AN4130">
        <v>-116.67538399999999</v>
      </c>
      <c r="AO4130">
        <v>25</v>
      </c>
      <c r="AP4130">
        <v>4900</v>
      </c>
      <c r="AQ4130" t="s">
        <v>129</v>
      </c>
      <c r="AR4130">
        <v>-57</v>
      </c>
      <c r="AS4130">
        <v>129</v>
      </c>
      <c r="AT4130">
        <v>-384</v>
      </c>
      <c r="BB4130">
        <v>1200</v>
      </c>
      <c r="BC4130">
        <v>1</v>
      </c>
      <c r="BD4130" t="str">
        <f t="shared" si="1510"/>
        <v xml:space="preserve">N887QR  </v>
      </c>
      <c r="BE4130">
        <v>1</v>
      </c>
      <c r="BG4130">
        <v>0</v>
      </c>
      <c r="BH4130">
        <v>0</v>
      </c>
      <c r="BI4130">
        <v>0</v>
      </c>
      <c r="BJ4130">
        <v>4675</v>
      </c>
      <c r="BK4130">
        <v>-225</v>
      </c>
      <c r="BL4130" t="s">
        <v>163</v>
      </c>
      <c r="BM4130">
        <v>1</v>
      </c>
      <c r="BN4130">
        <v>1</v>
      </c>
      <c r="BO4130">
        <v>1</v>
      </c>
      <c r="BP4130">
        <v>0</v>
      </c>
      <c r="BS4130">
        <v>0.04</v>
      </c>
      <c r="BT4130">
        <v>0</v>
      </c>
      <c r="BU4130">
        <v>0</v>
      </c>
      <c r="CE4130" t="str">
        <f t="shared" ref="CE4130:CE4135" si="1521">"19:36:41.341"</f>
        <v>19:36:41.341</v>
      </c>
      <c r="CF4130">
        <v>340624532</v>
      </c>
      <c r="CS4130">
        <v>0</v>
      </c>
      <c r="CT4130">
        <v>2</v>
      </c>
      <c r="CU4130">
        <v>0</v>
      </c>
      <c r="CV4130">
        <v>2</v>
      </c>
      <c r="CW4130">
        <v>1</v>
      </c>
      <c r="CX4130">
        <v>5</v>
      </c>
      <c r="CY4130">
        <v>7</v>
      </c>
      <c r="CZ4130" t="s">
        <v>131</v>
      </c>
      <c r="DA4130">
        <v>300</v>
      </c>
      <c r="DB4130">
        <v>0</v>
      </c>
      <c r="DC4130" t="s">
        <v>176</v>
      </c>
      <c r="DD4130" t="s">
        <v>177</v>
      </c>
      <c r="DG4130">
        <v>5456466</v>
      </c>
      <c r="DI4130">
        <v>1</v>
      </c>
      <c r="DJ4130">
        <v>0</v>
      </c>
      <c r="DK4130">
        <v>0</v>
      </c>
      <c r="DL4130">
        <v>0</v>
      </c>
      <c r="DM4130">
        <v>0</v>
      </c>
      <c r="DN4130">
        <v>1</v>
      </c>
      <c r="DO4130">
        <v>0</v>
      </c>
      <c r="DP4130">
        <v>0</v>
      </c>
      <c r="DQ4130">
        <v>0</v>
      </c>
      <c r="DR4130">
        <v>0</v>
      </c>
      <c r="DS4130">
        <v>0</v>
      </c>
    </row>
    <row r="4131" spans="1:123" x14ac:dyDescent="0.3">
      <c r="A4131" t="str">
        <f>"10/04/2022 19:36:41.839"</f>
        <v>10/04/2022 19:36:41.839</v>
      </c>
      <c r="C4131" t="str">
        <f t="shared" si="1500"/>
        <v>FFDFD3C0</v>
      </c>
      <c r="D4131" t="s">
        <v>143</v>
      </c>
      <c r="E4131">
        <v>20</v>
      </c>
      <c r="F4131">
        <v>1020</v>
      </c>
      <c r="G4131" t="s">
        <v>144</v>
      </c>
      <c r="J4131" t="s">
        <v>145</v>
      </c>
      <c r="K4131">
        <v>0</v>
      </c>
      <c r="L4131">
        <v>3</v>
      </c>
      <c r="M4131">
        <v>0</v>
      </c>
      <c r="N4131">
        <v>2</v>
      </c>
      <c r="O4131">
        <v>0</v>
      </c>
      <c r="P4131">
        <v>1</v>
      </c>
      <c r="Q4131">
        <v>0</v>
      </c>
      <c r="S4131" t="str">
        <f t="shared" si="1520"/>
        <v>19:36:41.000</v>
      </c>
      <c r="T4131" t="str">
        <f t="shared" si="1520"/>
        <v>19:36:41.000</v>
      </c>
      <c r="U4131" t="str">
        <f t="shared" si="1509"/>
        <v>AC3944</v>
      </c>
      <c r="V4131">
        <v>0</v>
      </c>
      <c r="W4131">
        <v>0</v>
      </c>
      <c r="X4131">
        <v>2</v>
      </c>
      <c r="Y4131">
        <v>0</v>
      </c>
      <c r="AA4131">
        <v>1</v>
      </c>
      <c r="AB4131">
        <v>8</v>
      </c>
      <c r="AC4131">
        <v>3</v>
      </c>
      <c r="AD4131">
        <v>0</v>
      </c>
      <c r="AE4131">
        <v>9</v>
      </c>
      <c r="AF4131" t="s">
        <v>138</v>
      </c>
      <c r="AG4131">
        <v>0</v>
      </c>
      <c r="AH4131">
        <v>3</v>
      </c>
      <c r="AI4131">
        <v>1</v>
      </c>
      <c r="AJ4131">
        <v>0</v>
      </c>
      <c r="AK4131" t="s">
        <v>1325</v>
      </c>
      <c r="AL4131">
        <v>32.740974000000001</v>
      </c>
      <c r="AM4131" t="s">
        <v>1313</v>
      </c>
      <c r="AN4131">
        <v>-116.67538399999999</v>
      </c>
      <c r="AO4131">
        <v>25</v>
      </c>
      <c r="AP4131">
        <v>4900</v>
      </c>
      <c r="AQ4131" t="s">
        <v>129</v>
      </c>
      <c r="AR4131">
        <v>-57</v>
      </c>
      <c r="AS4131">
        <v>129</v>
      </c>
      <c r="AT4131">
        <v>-384</v>
      </c>
      <c r="BB4131">
        <v>1200</v>
      </c>
      <c r="BC4131">
        <v>1</v>
      </c>
      <c r="BD4131" t="str">
        <f t="shared" si="1510"/>
        <v xml:space="preserve">N887QR  </v>
      </c>
      <c r="BE4131">
        <v>1</v>
      </c>
      <c r="BG4131">
        <v>0</v>
      </c>
      <c r="BH4131">
        <v>0</v>
      </c>
      <c r="BI4131">
        <v>0</v>
      </c>
      <c r="BJ4131">
        <v>4675</v>
      </c>
      <c r="BK4131">
        <v>-225</v>
      </c>
      <c r="BL4131" t="s">
        <v>163</v>
      </c>
      <c r="BM4131">
        <v>1</v>
      </c>
      <c r="BN4131">
        <v>1</v>
      </c>
      <c r="BO4131">
        <v>1</v>
      </c>
      <c r="BP4131">
        <v>0</v>
      </c>
      <c r="BS4131">
        <v>0.04</v>
      </c>
      <c r="BT4131">
        <v>0</v>
      </c>
      <c r="BU4131">
        <v>0</v>
      </c>
      <c r="CE4131" t="str">
        <f t="shared" si="1521"/>
        <v>19:36:41.341</v>
      </c>
      <c r="CF4131">
        <v>340624532</v>
      </c>
      <c r="CS4131">
        <v>0</v>
      </c>
      <c r="CT4131">
        <v>2</v>
      </c>
      <c r="CU4131">
        <v>0</v>
      </c>
      <c r="CV4131">
        <v>2</v>
      </c>
      <c r="CW4131">
        <v>1</v>
      </c>
      <c r="CX4131">
        <v>5</v>
      </c>
      <c r="CY4131">
        <v>7</v>
      </c>
      <c r="CZ4131" t="s">
        <v>131</v>
      </c>
      <c r="DA4131">
        <v>300</v>
      </c>
      <c r="DB4131">
        <v>0</v>
      </c>
      <c r="DC4131" t="s">
        <v>176</v>
      </c>
      <c r="DD4131" t="s">
        <v>177</v>
      </c>
      <c r="DG4131">
        <v>5456466</v>
      </c>
      <c r="DI4131">
        <v>1</v>
      </c>
      <c r="DJ4131">
        <v>0</v>
      </c>
      <c r="DK4131">
        <v>1</v>
      </c>
      <c r="DL4131">
        <v>0</v>
      </c>
      <c r="DM4131">
        <v>0</v>
      </c>
      <c r="DN4131">
        <v>1</v>
      </c>
      <c r="DO4131">
        <v>0</v>
      </c>
      <c r="DP4131">
        <v>0</v>
      </c>
      <c r="DQ4131">
        <v>0</v>
      </c>
      <c r="DR4131">
        <v>0</v>
      </c>
      <c r="DS4131">
        <v>0</v>
      </c>
    </row>
    <row r="4132" spans="1:123" x14ac:dyDescent="0.3">
      <c r="A4132" t="str">
        <f>"10/04/2022 19:36:41.964"</f>
        <v>10/04/2022 19:36:41.964</v>
      </c>
      <c r="C4132" t="str">
        <f t="shared" si="1500"/>
        <v>FFDFD3C0</v>
      </c>
      <c r="D4132" t="s">
        <v>123</v>
      </c>
      <c r="E4132">
        <v>7</v>
      </c>
      <c r="F4132">
        <v>2007</v>
      </c>
      <c r="G4132" t="s">
        <v>124</v>
      </c>
      <c r="J4132" t="s">
        <v>125</v>
      </c>
      <c r="K4132">
        <v>0</v>
      </c>
      <c r="L4132">
        <v>3</v>
      </c>
      <c r="M4132">
        <v>0</v>
      </c>
      <c r="N4132">
        <v>2</v>
      </c>
      <c r="O4132">
        <v>0</v>
      </c>
      <c r="P4132">
        <v>1</v>
      </c>
      <c r="Q4132">
        <v>0</v>
      </c>
      <c r="S4132" t="str">
        <f t="shared" si="1520"/>
        <v>19:36:41.000</v>
      </c>
      <c r="T4132" t="str">
        <f t="shared" si="1520"/>
        <v>19:36:41.000</v>
      </c>
      <c r="U4132" t="str">
        <f t="shared" si="1509"/>
        <v>AC3944</v>
      </c>
      <c r="V4132">
        <v>0</v>
      </c>
      <c r="W4132">
        <v>0</v>
      </c>
      <c r="X4132">
        <v>2</v>
      </c>
      <c r="Y4132">
        <v>0</v>
      </c>
      <c r="AA4132">
        <v>1</v>
      </c>
      <c r="AB4132">
        <v>8</v>
      </c>
      <c r="AC4132">
        <v>3</v>
      </c>
      <c r="AD4132">
        <v>0</v>
      </c>
      <c r="AE4132">
        <v>9</v>
      </c>
      <c r="AF4132" t="s">
        <v>138</v>
      </c>
      <c r="AG4132">
        <v>0</v>
      </c>
      <c r="AH4132">
        <v>3</v>
      </c>
      <c r="AI4132">
        <v>1</v>
      </c>
      <c r="AJ4132">
        <v>0</v>
      </c>
      <c r="AK4132" t="s">
        <v>1325</v>
      </c>
      <c r="AL4132">
        <v>32.740974000000001</v>
      </c>
      <c r="AM4132" t="s">
        <v>1313</v>
      </c>
      <c r="AN4132">
        <v>-116.67538399999999</v>
      </c>
      <c r="AO4132">
        <v>25</v>
      </c>
      <c r="AP4132">
        <v>4900</v>
      </c>
      <c r="AQ4132" t="s">
        <v>129</v>
      </c>
      <c r="AR4132">
        <v>-57</v>
      </c>
      <c r="AS4132">
        <v>129</v>
      </c>
      <c r="AT4132">
        <v>-384</v>
      </c>
      <c r="BB4132">
        <v>1200</v>
      </c>
      <c r="BC4132">
        <v>1</v>
      </c>
      <c r="BD4132" t="str">
        <f t="shared" si="1510"/>
        <v xml:space="preserve">N887QR  </v>
      </c>
      <c r="BE4132">
        <v>1</v>
      </c>
      <c r="BG4132">
        <v>0</v>
      </c>
      <c r="BH4132">
        <v>0</v>
      </c>
      <c r="BI4132">
        <v>0</v>
      </c>
      <c r="BJ4132">
        <v>4675</v>
      </c>
      <c r="BK4132">
        <v>-225</v>
      </c>
      <c r="BL4132" t="s">
        <v>163</v>
      </c>
      <c r="BM4132">
        <v>1</v>
      </c>
      <c r="BN4132">
        <v>1</v>
      </c>
      <c r="BO4132">
        <v>1</v>
      </c>
      <c r="BP4132">
        <v>0</v>
      </c>
      <c r="BS4132">
        <v>0.04</v>
      </c>
      <c r="BT4132">
        <v>0</v>
      </c>
      <c r="BU4132">
        <v>0</v>
      </c>
      <c r="CE4132" t="str">
        <f t="shared" si="1521"/>
        <v>19:36:41.341</v>
      </c>
      <c r="CF4132">
        <v>340624532</v>
      </c>
      <c r="CS4132">
        <v>0</v>
      </c>
      <c r="CT4132">
        <v>2</v>
      </c>
      <c r="CU4132">
        <v>0</v>
      </c>
      <c r="CV4132">
        <v>2</v>
      </c>
      <c r="CW4132">
        <v>1</v>
      </c>
      <c r="CX4132">
        <v>5</v>
      </c>
      <c r="CY4132">
        <v>7</v>
      </c>
      <c r="CZ4132" t="s">
        <v>131</v>
      </c>
      <c r="DA4132">
        <v>300</v>
      </c>
      <c r="DB4132">
        <v>0</v>
      </c>
      <c r="DC4132" t="s">
        <v>176</v>
      </c>
      <c r="DD4132" t="s">
        <v>177</v>
      </c>
      <c r="DG4132">
        <v>5456466</v>
      </c>
      <c r="DI4132">
        <v>1</v>
      </c>
      <c r="DJ4132">
        <v>0</v>
      </c>
      <c r="DK4132">
        <v>1</v>
      </c>
      <c r="DL4132">
        <v>0</v>
      </c>
      <c r="DM4132">
        <v>0</v>
      </c>
      <c r="DN4132">
        <v>1</v>
      </c>
      <c r="DO4132">
        <v>0</v>
      </c>
      <c r="DP4132">
        <v>0</v>
      </c>
      <c r="DQ4132">
        <v>0</v>
      </c>
      <c r="DR4132">
        <v>0</v>
      </c>
      <c r="DS4132">
        <v>0</v>
      </c>
    </row>
    <row r="4133" spans="1:123" x14ac:dyDescent="0.3">
      <c r="A4133" t="str">
        <f>"10/04/2022 19:36:41.964"</f>
        <v>10/04/2022 19:36:41.964</v>
      </c>
      <c r="C4133" t="str">
        <f t="shared" si="1500"/>
        <v>FFDFD3C0</v>
      </c>
      <c r="D4133" t="s">
        <v>141</v>
      </c>
      <c r="E4133">
        <v>3</v>
      </c>
      <c r="H4133">
        <v>3</v>
      </c>
      <c r="I4133" t="s">
        <v>146</v>
      </c>
      <c r="J4133" t="s">
        <v>138</v>
      </c>
      <c r="K4133">
        <v>0</v>
      </c>
      <c r="L4133">
        <v>3</v>
      </c>
      <c r="M4133">
        <v>0</v>
      </c>
      <c r="N4133">
        <v>2</v>
      </c>
      <c r="O4133">
        <v>0</v>
      </c>
      <c r="P4133">
        <v>1</v>
      </c>
      <c r="Q4133">
        <v>0</v>
      </c>
      <c r="S4133" t="str">
        <f t="shared" si="1520"/>
        <v>19:36:41.000</v>
      </c>
      <c r="T4133" t="str">
        <f t="shared" si="1520"/>
        <v>19:36:41.000</v>
      </c>
      <c r="U4133" t="str">
        <f t="shared" si="1509"/>
        <v>AC3944</v>
      </c>
      <c r="V4133">
        <v>0</v>
      </c>
      <c r="W4133">
        <v>0</v>
      </c>
      <c r="X4133">
        <v>2</v>
      </c>
      <c r="Y4133">
        <v>0</v>
      </c>
      <c r="AA4133">
        <v>1</v>
      </c>
      <c r="AB4133">
        <v>8</v>
      </c>
      <c r="AC4133">
        <v>3</v>
      </c>
      <c r="AD4133">
        <v>0</v>
      </c>
      <c r="AE4133">
        <v>9</v>
      </c>
      <c r="AF4133" t="s">
        <v>138</v>
      </c>
      <c r="AG4133">
        <v>0</v>
      </c>
      <c r="AH4133">
        <v>3</v>
      </c>
      <c r="AI4133">
        <v>1</v>
      </c>
      <c r="AJ4133">
        <v>0</v>
      </c>
      <c r="AK4133" t="s">
        <v>1325</v>
      </c>
      <c r="AL4133">
        <v>32.740974000000001</v>
      </c>
      <c r="AM4133" t="s">
        <v>1313</v>
      </c>
      <c r="AN4133">
        <v>-116.67538399999999</v>
      </c>
      <c r="AO4133">
        <v>25</v>
      </c>
      <c r="AP4133">
        <v>4900</v>
      </c>
      <c r="AQ4133" t="s">
        <v>129</v>
      </c>
      <c r="AR4133">
        <v>-57</v>
      </c>
      <c r="AS4133">
        <v>129</v>
      </c>
      <c r="AT4133">
        <v>-384</v>
      </c>
      <c r="BB4133">
        <v>1200</v>
      </c>
      <c r="BC4133">
        <v>1</v>
      </c>
      <c r="BD4133" t="str">
        <f t="shared" si="1510"/>
        <v xml:space="preserve">N887QR  </v>
      </c>
      <c r="BE4133">
        <v>1</v>
      </c>
      <c r="BG4133">
        <v>0</v>
      </c>
      <c r="BH4133">
        <v>0</v>
      </c>
      <c r="BI4133">
        <v>0</v>
      </c>
      <c r="BJ4133">
        <v>4675</v>
      </c>
      <c r="BK4133">
        <v>-225</v>
      </c>
      <c r="BL4133" t="s">
        <v>163</v>
      </c>
      <c r="BM4133">
        <v>1</v>
      </c>
      <c r="BN4133">
        <v>1</v>
      </c>
      <c r="BO4133">
        <v>1</v>
      </c>
      <c r="BP4133">
        <v>0</v>
      </c>
      <c r="BS4133">
        <v>0.04</v>
      </c>
      <c r="BT4133">
        <v>0</v>
      </c>
      <c r="BU4133">
        <v>0</v>
      </c>
      <c r="CE4133" t="str">
        <f t="shared" si="1521"/>
        <v>19:36:41.341</v>
      </c>
      <c r="CF4133">
        <v>340624532</v>
      </c>
      <c r="CS4133">
        <v>0</v>
      </c>
      <c r="CT4133">
        <v>2</v>
      </c>
      <c r="CU4133">
        <v>0</v>
      </c>
      <c r="CV4133">
        <v>2</v>
      </c>
      <c r="CW4133">
        <v>1</v>
      </c>
      <c r="CX4133">
        <v>5</v>
      </c>
      <c r="CY4133">
        <v>7</v>
      </c>
      <c r="CZ4133" t="s">
        <v>131</v>
      </c>
      <c r="DA4133">
        <v>300</v>
      </c>
      <c r="DB4133">
        <v>0</v>
      </c>
      <c r="DC4133" t="s">
        <v>176</v>
      </c>
      <c r="DD4133" t="s">
        <v>177</v>
      </c>
      <c r="DG4133">
        <v>5456466</v>
      </c>
      <c r="DI4133">
        <v>1</v>
      </c>
      <c r="DJ4133">
        <v>0</v>
      </c>
      <c r="DK4133">
        <v>1</v>
      </c>
      <c r="DL4133">
        <v>0</v>
      </c>
      <c r="DM4133">
        <v>0</v>
      </c>
      <c r="DN4133">
        <v>1</v>
      </c>
      <c r="DO4133">
        <v>0</v>
      </c>
      <c r="DP4133">
        <v>0</v>
      </c>
      <c r="DQ4133">
        <v>0</v>
      </c>
      <c r="DR4133">
        <v>0</v>
      </c>
      <c r="DS4133">
        <v>0</v>
      </c>
    </row>
    <row r="4134" spans="1:123" x14ac:dyDescent="0.3">
      <c r="A4134" t="str">
        <f>"10/04/2022 19:36:42.057"</f>
        <v>10/04/2022 19:36:42.057</v>
      </c>
      <c r="C4134" t="str">
        <f t="shared" si="1500"/>
        <v>FFDFD3C0</v>
      </c>
      <c r="D4134" t="s">
        <v>141</v>
      </c>
      <c r="E4134">
        <v>4</v>
      </c>
      <c r="H4134">
        <v>4</v>
      </c>
      <c r="I4134" t="s">
        <v>142</v>
      </c>
      <c r="J4134" t="s">
        <v>138</v>
      </c>
      <c r="K4134">
        <v>0</v>
      </c>
      <c r="L4134">
        <v>3</v>
      </c>
      <c r="M4134">
        <v>0</v>
      </c>
      <c r="N4134">
        <v>2</v>
      </c>
      <c r="O4134">
        <v>0</v>
      </c>
      <c r="P4134">
        <v>1</v>
      </c>
      <c r="Q4134">
        <v>0</v>
      </c>
      <c r="S4134" t="str">
        <f t="shared" si="1520"/>
        <v>19:36:41.000</v>
      </c>
      <c r="T4134" t="str">
        <f t="shared" si="1520"/>
        <v>19:36:41.000</v>
      </c>
      <c r="U4134" t="str">
        <f t="shared" si="1509"/>
        <v>AC3944</v>
      </c>
      <c r="V4134">
        <v>0</v>
      </c>
      <c r="W4134">
        <v>0</v>
      </c>
      <c r="X4134">
        <v>2</v>
      </c>
      <c r="Y4134">
        <v>0</v>
      </c>
      <c r="AA4134">
        <v>1</v>
      </c>
      <c r="AB4134">
        <v>8</v>
      </c>
      <c r="AC4134">
        <v>3</v>
      </c>
      <c r="AD4134">
        <v>0</v>
      </c>
      <c r="AE4134">
        <v>9</v>
      </c>
      <c r="AF4134" t="s">
        <v>138</v>
      </c>
      <c r="AG4134">
        <v>0</v>
      </c>
      <c r="AH4134">
        <v>3</v>
      </c>
      <c r="AI4134">
        <v>1</v>
      </c>
      <c r="AJ4134">
        <v>0</v>
      </c>
      <c r="AK4134" t="s">
        <v>1325</v>
      </c>
      <c r="AL4134">
        <v>32.740974000000001</v>
      </c>
      <c r="AM4134" t="s">
        <v>1313</v>
      </c>
      <c r="AN4134">
        <v>-116.67538399999999</v>
      </c>
      <c r="AO4134">
        <v>25</v>
      </c>
      <c r="AP4134">
        <v>4900</v>
      </c>
      <c r="AQ4134" t="s">
        <v>129</v>
      </c>
      <c r="AR4134">
        <v>-57</v>
      </c>
      <c r="AS4134">
        <v>129</v>
      </c>
      <c r="AT4134">
        <v>-384</v>
      </c>
      <c r="BB4134">
        <v>1200</v>
      </c>
      <c r="BC4134">
        <v>1</v>
      </c>
      <c r="BD4134" t="str">
        <f t="shared" si="1510"/>
        <v xml:space="preserve">N887QR  </v>
      </c>
      <c r="BE4134">
        <v>1</v>
      </c>
      <c r="BG4134">
        <v>0</v>
      </c>
      <c r="BH4134">
        <v>0</v>
      </c>
      <c r="BI4134">
        <v>0</v>
      </c>
      <c r="BJ4134">
        <v>4675</v>
      </c>
      <c r="BK4134">
        <v>-225</v>
      </c>
      <c r="BL4134" t="s">
        <v>163</v>
      </c>
      <c r="BM4134">
        <v>1</v>
      </c>
      <c r="BN4134">
        <v>1</v>
      </c>
      <c r="BO4134">
        <v>1</v>
      </c>
      <c r="BP4134">
        <v>0</v>
      </c>
      <c r="BS4134">
        <v>0.04</v>
      </c>
      <c r="BT4134">
        <v>0</v>
      </c>
      <c r="BU4134">
        <v>0</v>
      </c>
      <c r="CE4134" t="str">
        <f t="shared" si="1521"/>
        <v>19:36:41.341</v>
      </c>
      <c r="CF4134">
        <v>340624532</v>
      </c>
      <c r="CS4134">
        <v>0</v>
      </c>
      <c r="CT4134">
        <v>2</v>
      </c>
      <c r="CU4134">
        <v>0</v>
      </c>
      <c r="CV4134">
        <v>2</v>
      </c>
      <c r="CW4134">
        <v>1</v>
      </c>
      <c r="CX4134">
        <v>5</v>
      </c>
      <c r="CY4134">
        <v>7</v>
      </c>
      <c r="CZ4134" t="s">
        <v>131</v>
      </c>
      <c r="DA4134">
        <v>300</v>
      </c>
      <c r="DB4134">
        <v>0</v>
      </c>
      <c r="DC4134" t="s">
        <v>176</v>
      </c>
      <c r="DD4134" t="s">
        <v>177</v>
      </c>
      <c r="DG4134">
        <v>5456466</v>
      </c>
      <c r="DI4134">
        <v>1</v>
      </c>
      <c r="DJ4134">
        <v>0</v>
      </c>
      <c r="DK4134">
        <v>1</v>
      </c>
      <c r="DL4134">
        <v>0</v>
      </c>
      <c r="DM4134">
        <v>0</v>
      </c>
      <c r="DN4134">
        <v>1</v>
      </c>
      <c r="DO4134">
        <v>0</v>
      </c>
      <c r="DP4134">
        <v>0</v>
      </c>
      <c r="DQ4134">
        <v>0</v>
      </c>
      <c r="DR4134">
        <v>0</v>
      </c>
      <c r="DS4134">
        <v>0</v>
      </c>
    </row>
    <row r="4135" spans="1:123" x14ac:dyDescent="0.3">
      <c r="A4135" t="str">
        <f>"10/04/2022 19:36:42.057"</f>
        <v>10/04/2022 19:36:42.057</v>
      </c>
      <c r="C4135" t="str">
        <f t="shared" si="1500"/>
        <v>FFDFD3C0</v>
      </c>
      <c r="D4135" t="s">
        <v>134</v>
      </c>
      <c r="E4135">
        <v>15</v>
      </c>
      <c r="J4135" t="s">
        <v>135</v>
      </c>
      <c r="K4135">
        <v>0</v>
      </c>
      <c r="L4135">
        <v>3</v>
      </c>
      <c r="M4135">
        <v>0</v>
      </c>
      <c r="N4135">
        <v>2</v>
      </c>
      <c r="O4135">
        <v>0</v>
      </c>
      <c r="P4135">
        <v>1</v>
      </c>
      <c r="Q4135">
        <v>0</v>
      </c>
      <c r="S4135" t="str">
        <f t="shared" si="1520"/>
        <v>19:36:41.000</v>
      </c>
      <c r="T4135" t="str">
        <f t="shared" si="1520"/>
        <v>19:36:41.000</v>
      </c>
      <c r="U4135" t="str">
        <f t="shared" si="1509"/>
        <v>AC3944</v>
      </c>
      <c r="V4135">
        <v>0</v>
      </c>
      <c r="W4135">
        <v>0</v>
      </c>
      <c r="X4135">
        <v>2</v>
      </c>
      <c r="Y4135">
        <v>0</v>
      </c>
      <c r="AA4135">
        <v>1</v>
      </c>
      <c r="AB4135">
        <v>8</v>
      </c>
      <c r="AC4135">
        <v>3</v>
      </c>
      <c r="AD4135">
        <v>0</v>
      </c>
      <c r="AE4135">
        <v>9</v>
      </c>
      <c r="AF4135" t="s">
        <v>138</v>
      </c>
      <c r="AG4135">
        <v>0</v>
      </c>
      <c r="AH4135">
        <v>3</v>
      </c>
      <c r="AI4135">
        <v>1</v>
      </c>
      <c r="AJ4135">
        <v>0</v>
      </c>
      <c r="AK4135" t="s">
        <v>1325</v>
      </c>
      <c r="AL4135">
        <v>32.740974000000001</v>
      </c>
      <c r="AM4135" t="s">
        <v>1313</v>
      </c>
      <c r="AN4135">
        <v>-116.67538399999999</v>
      </c>
      <c r="AO4135">
        <v>25</v>
      </c>
      <c r="AP4135">
        <v>4900</v>
      </c>
      <c r="AQ4135" t="s">
        <v>129</v>
      </c>
      <c r="AR4135">
        <v>-57</v>
      </c>
      <c r="AS4135">
        <v>129</v>
      </c>
      <c r="AT4135">
        <v>-384</v>
      </c>
      <c r="BB4135">
        <v>1200</v>
      </c>
      <c r="BC4135">
        <v>1</v>
      </c>
      <c r="BD4135" t="str">
        <f t="shared" si="1510"/>
        <v xml:space="preserve">N887QR  </v>
      </c>
      <c r="BE4135">
        <v>1</v>
      </c>
      <c r="BG4135">
        <v>0</v>
      </c>
      <c r="BH4135">
        <v>0</v>
      </c>
      <c r="BI4135">
        <v>0</v>
      </c>
      <c r="BJ4135">
        <v>4675</v>
      </c>
      <c r="BK4135">
        <v>-225</v>
      </c>
      <c r="BL4135" t="s">
        <v>163</v>
      </c>
      <c r="BM4135">
        <v>1</v>
      </c>
      <c r="BN4135">
        <v>1</v>
      </c>
      <c r="BO4135">
        <v>1</v>
      </c>
      <c r="BP4135">
        <v>0</v>
      </c>
      <c r="BS4135">
        <v>0.04</v>
      </c>
      <c r="BT4135">
        <v>0</v>
      </c>
      <c r="BU4135">
        <v>0</v>
      </c>
      <c r="CE4135" t="str">
        <f t="shared" si="1521"/>
        <v>19:36:41.341</v>
      </c>
      <c r="CF4135">
        <v>340624532</v>
      </c>
      <c r="CS4135">
        <v>0</v>
      </c>
      <c r="CT4135">
        <v>2</v>
      </c>
      <c r="CU4135">
        <v>0</v>
      </c>
      <c r="CV4135">
        <v>2</v>
      </c>
      <c r="CW4135">
        <v>1</v>
      </c>
      <c r="CX4135">
        <v>5</v>
      </c>
      <c r="CY4135">
        <v>7</v>
      </c>
      <c r="CZ4135" t="s">
        <v>131</v>
      </c>
      <c r="DA4135">
        <v>300</v>
      </c>
      <c r="DB4135">
        <v>0</v>
      </c>
      <c r="DC4135" t="s">
        <v>176</v>
      </c>
      <c r="DD4135" t="s">
        <v>177</v>
      </c>
      <c r="DG4135">
        <v>5456466</v>
      </c>
      <c r="DI4135">
        <v>1</v>
      </c>
      <c r="DJ4135">
        <v>0</v>
      </c>
      <c r="DK4135">
        <v>1</v>
      </c>
      <c r="DL4135">
        <v>0</v>
      </c>
      <c r="DM4135">
        <v>0</v>
      </c>
      <c r="DN4135">
        <v>1</v>
      </c>
      <c r="DO4135">
        <v>0</v>
      </c>
      <c r="DP4135">
        <v>0</v>
      </c>
      <c r="DQ4135">
        <v>0</v>
      </c>
      <c r="DR4135">
        <v>0</v>
      </c>
      <c r="DS4135">
        <v>0</v>
      </c>
    </row>
    <row r="4136" spans="1:123" x14ac:dyDescent="0.3">
      <c r="A4136" t="str">
        <f t="shared" ref="A4136:A4142" si="1522">"10/04/2022 19:36:42.292"</f>
        <v>10/04/2022 19:36:42.292</v>
      </c>
      <c r="C4136" t="str">
        <f t="shared" si="1500"/>
        <v>FFDFD3C0</v>
      </c>
      <c r="D4136" t="s">
        <v>141</v>
      </c>
      <c r="E4136">
        <v>3</v>
      </c>
      <c r="H4136">
        <v>3</v>
      </c>
      <c r="I4136" t="s">
        <v>146</v>
      </c>
      <c r="J4136" t="s">
        <v>138</v>
      </c>
      <c r="K4136">
        <v>0</v>
      </c>
      <c r="L4136">
        <v>3</v>
      </c>
      <c r="M4136">
        <v>0</v>
      </c>
      <c r="N4136">
        <v>2</v>
      </c>
      <c r="O4136">
        <v>0</v>
      </c>
      <c r="P4136">
        <v>1</v>
      </c>
      <c r="Q4136">
        <v>0</v>
      </c>
      <c r="S4136" t="str">
        <f t="shared" si="1520"/>
        <v>19:36:41.000</v>
      </c>
      <c r="T4136" t="str">
        <f t="shared" si="1520"/>
        <v>19:36:41.000</v>
      </c>
      <c r="U4136" t="str">
        <f t="shared" si="1509"/>
        <v>AC3944</v>
      </c>
      <c r="V4136">
        <v>0</v>
      </c>
      <c r="W4136">
        <v>0</v>
      </c>
      <c r="X4136">
        <v>2</v>
      </c>
      <c r="Y4136">
        <v>0</v>
      </c>
      <c r="AA4136">
        <v>1</v>
      </c>
      <c r="AB4136">
        <v>8</v>
      </c>
      <c r="AC4136">
        <v>3</v>
      </c>
      <c r="AD4136">
        <v>0</v>
      </c>
      <c r="AE4136">
        <v>9</v>
      </c>
      <c r="AF4136" t="s">
        <v>138</v>
      </c>
      <c r="AG4136">
        <v>0</v>
      </c>
      <c r="AH4136">
        <v>3</v>
      </c>
      <c r="AI4136">
        <v>1</v>
      </c>
      <c r="AJ4136">
        <v>0</v>
      </c>
      <c r="AK4136" t="s">
        <v>1326</v>
      </c>
      <c r="AL4136">
        <v>32.741596999999999</v>
      </c>
      <c r="AM4136" t="s">
        <v>1327</v>
      </c>
      <c r="AN4136">
        <v>-116.67570600000001</v>
      </c>
      <c r="AO4136">
        <v>25</v>
      </c>
      <c r="AP4136">
        <v>4900</v>
      </c>
      <c r="AQ4136" t="s">
        <v>129</v>
      </c>
      <c r="AR4136">
        <v>-61</v>
      </c>
      <c r="AS4136">
        <v>127</v>
      </c>
      <c r="AT4136">
        <v>-384</v>
      </c>
      <c r="BB4136">
        <v>1200</v>
      </c>
      <c r="BC4136">
        <v>1</v>
      </c>
      <c r="BD4136" t="str">
        <f t="shared" si="1510"/>
        <v xml:space="preserve">N887QR  </v>
      </c>
      <c r="BE4136">
        <v>1</v>
      </c>
      <c r="BG4136">
        <v>0</v>
      </c>
      <c r="BH4136">
        <v>0</v>
      </c>
      <c r="BI4136">
        <v>0</v>
      </c>
      <c r="BJ4136">
        <v>4675</v>
      </c>
      <c r="BK4136">
        <v>-225</v>
      </c>
      <c r="BL4136" t="s">
        <v>163</v>
      </c>
      <c r="BM4136">
        <v>1</v>
      </c>
      <c r="BN4136">
        <v>1</v>
      </c>
      <c r="BO4136">
        <v>1</v>
      </c>
      <c r="BP4136">
        <v>0</v>
      </c>
      <c r="BS4136">
        <v>0.04</v>
      </c>
      <c r="BT4136">
        <v>0</v>
      </c>
      <c r="BU4136">
        <v>0</v>
      </c>
      <c r="CE4136" t="str">
        <f t="shared" ref="CE4136:CE4142" si="1523">"19:36:41.842"</f>
        <v>19:36:41.842</v>
      </c>
      <c r="CF4136">
        <v>842066896</v>
      </c>
      <c r="CS4136">
        <v>0</v>
      </c>
      <c r="CT4136">
        <v>2</v>
      </c>
      <c r="CU4136">
        <v>0</v>
      </c>
      <c r="CV4136">
        <v>2</v>
      </c>
      <c r="CW4136">
        <v>1</v>
      </c>
      <c r="CX4136">
        <v>3</v>
      </c>
      <c r="CY4136">
        <v>7</v>
      </c>
      <c r="CZ4136" t="s">
        <v>131</v>
      </c>
      <c r="DA4136">
        <v>286</v>
      </c>
      <c r="DB4136">
        <v>0</v>
      </c>
      <c r="DC4136" t="s">
        <v>132</v>
      </c>
      <c r="DD4136" t="s">
        <v>133</v>
      </c>
      <c r="DG4136">
        <v>903049</v>
      </c>
      <c r="DI4136">
        <v>1</v>
      </c>
      <c r="DJ4136">
        <v>0</v>
      </c>
      <c r="DK4136">
        <v>0</v>
      </c>
      <c r="DL4136">
        <v>0</v>
      </c>
      <c r="DM4136">
        <v>0</v>
      </c>
      <c r="DN4136">
        <v>1</v>
      </c>
      <c r="DO4136">
        <v>0</v>
      </c>
      <c r="DP4136">
        <v>0</v>
      </c>
      <c r="DQ4136">
        <v>0</v>
      </c>
      <c r="DR4136">
        <v>0</v>
      </c>
      <c r="DS4136">
        <v>0</v>
      </c>
    </row>
    <row r="4137" spans="1:123" x14ac:dyDescent="0.3">
      <c r="A4137" t="str">
        <f t="shared" si="1522"/>
        <v>10/04/2022 19:36:42.292</v>
      </c>
      <c r="C4137" t="str">
        <f t="shared" si="1500"/>
        <v>FFDFD3C0</v>
      </c>
      <c r="D4137" t="s">
        <v>141</v>
      </c>
      <c r="E4137">
        <v>4</v>
      </c>
      <c r="H4137">
        <v>4</v>
      </c>
      <c r="I4137" t="s">
        <v>142</v>
      </c>
      <c r="J4137" t="s">
        <v>138</v>
      </c>
      <c r="K4137">
        <v>0</v>
      </c>
      <c r="L4137">
        <v>3</v>
      </c>
      <c r="M4137">
        <v>0</v>
      </c>
      <c r="N4137">
        <v>2</v>
      </c>
      <c r="O4137">
        <v>0</v>
      </c>
      <c r="P4137">
        <v>1</v>
      </c>
      <c r="Q4137">
        <v>0</v>
      </c>
      <c r="S4137" t="str">
        <f t="shared" si="1520"/>
        <v>19:36:41.000</v>
      </c>
      <c r="T4137" t="str">
        <f t="shared" si="1520"/>
        <v>19:36:41.000</v>
      </c>
      <c r="U4137" t="str">
        <f t="shared" si="1509"/>
        <v>AC3944</v>
      </c>
      <c r="V4137">
        <v>0</v>
      </c>
      <c r="W4137">
        <v>0</v>
      </c>
      <c r="X4137">
        <v>2</v>
      </c>
      <c r="Y4137">
        <v>0</v>
      </c>
      <c r="AA4137">
        <v>1</v>
      </c>
      <c r="AB4137">
        <v>8</v>
      </c>
      <c r="AC4137">
        <v>3</v>
      </c>
      <c r="AD4137">
        <v>0</v>
      </c>
      <c r="AE4137">
        <v>9</v>
      </c>
      <c r="AF4137" t="s">
        <v>138</v>
      </c>
      <c r="AG4137">
        <v>0</v>
      </c>
      <c r="AH4137">
        <v>3</v>
      </c>
      <c r="AI4137">
        <v>1</v>
      </c>
      <c r="AJ4137">
        <v>0</v>
      </c>
      <c r="AK4137" t="s">
        <v>1326</v>
      </c>
      <c r="AL4137">
        <v>32.741596999999999</v>
      </c>
      <c r="AM4137" t="s">
        <v>1327</v>
      </c>
      <c r="AN4137">
        <v>-116.67570600000001</v>
      </c>
      <c r="AO4137">
        <v>25</v>
      </c>
      <c r="AP4137">
        <v>4900</v>
      </c>
      <c r="AQ4137" t="s">
        <v>129</v>
      </c>
      <c r="AR4137">
        <v>-61</v>
      </c>
      <c r="AS4137">
        <v>127</v>
      </c>
      <c r="AT4137">
        <v>-384</v>
      </c>
      <c r="BB4137">
        <v>1200</v>
      </c>
      <c r="BC4137">
        <v>1</v>
      </c>
      <c r="BD4137" t="str">
        <f t="shared" si="1510"/>
        <v xml:space="preserve">N887QR  </v>
      </c>
      <c r="BE4137">
        <v>1</v>
      </c>
      <c r="BG4137">
        <v>0</v>
      </c>
      <c r="BH4137">
        <v>0</v>
      </c>
      <c r="BI4137">
        <v>0</v>
      </c>
      <c r="BJ4137">
        <v>4675</v>
      </c>
      <c r="BK4137">
        <v>-225</v>
      </c>
      <c r="BL4137" t="s">
        <v>163</v>
      </c>
      <c r="BM4137">
        <v>1</v>
      </c>
      <c r="BN4137">
        <v>1</v>
      </c>
      <c r="BO4137">
        <v>1</v>
      </c>
      <c r="BP4137">
        <v>0</v>
      </c>
      <c r="BS4137">
        <v>0.04</v>
      </c>
      <c r="BT4137">
        <v>0</v>
      </c>
      <c r="BU4137">
        <v>0</v>
      </c>
      <c r="CE4137" t="str">
        <f t="shared" si="1523"/>
        <v>19:36:41.842</v>
      </c>
      <c r="CF4137">
        <v>842066896</v>
      </c>
      <c r="CS4137">
        <v>0</v>
      </c>
      <c r="CT4137">
        <v>2</v>
      </c>
      <c r="CU4137">
        <v>0</v>
      </c>
      <c r="CV4137">
        <v>2</v>
      </c>
      <c r="CW4137">
        <v>1</v>
      </c>
      <c r="CX4137">
        <v>3</v>
      </c>
      <c r="CY4137">
        <v>7</v>
      </c>
      <c r="CZ4137" t="s">
        <v>131</v>
      </c>
      <c r="DA4137">
        <v>286</v>
      </c>
      <c r="DB4137">
        <v>0</v>
      </c>
      <c r="DC4137" t="s">
        <v>132</v>
      </c>
      <c r="DD4137" t="s">
        <v>133</v>
      </c>
      <c r="DG4137">
        <v>903049</v>
      </c>
      <c r="DI4137">
        <v>1</v>
      </c>
      <c r="DJ4137">
        <v>0</v>
      </c>
      <c r="DK4137">
        <v>0</v>
      </c>
      <c r="DL4137">
        <v>0</v>
      </c>
      <c r="DM4137">
        <v>0</v>
      </c>
      <c r="DN4137">
        <v>1</v>
      </c>
      <c r="DO4137">
        <v>0</v>
      </c>
      <c r="DP4137">
        <v>0</v>
      </c>
      <c r="DQ4137">
        <v>0</v>
      </c>
      <c r="DR4137">
        <v>0</v>
      </c>
      <c r="DS4137">
        <v>0</v>
      </c>
    </row>
    <row r="4138" spans="1:123" x14ac:dyDescent="0.3">
      <c r="A4138" t="str">
        <f t="shared" si="1522"/>
        <v>10/04/2022 19:36:42.292</v>
      </c>
      <c r="C4138" t="str">
        <f t="shared" si="1500"/>
        <v>FFDFD3C0</v>
      </c>
      <c r="D4138" t="s">
        <v>147</v>
      </c>
      <c r="E4138">
        <v>3</v>
      </c>
      <c r="H4138">
        <v>166</v>
      </c>
      <c r="I4138" t="s">
        <v>144</v>
      </c>
      <c r="J4138" t="s">
        <v>148</v>
      </c>
      <c r="K4138">
        <v>0</v>
      </c>
      <c r="L4138">
        <v>3</v>
      </c>
      <c r="M4138">
        <v>0</v>
      </c>
      <c r="N4138">
        <v>2</v>
      </c>
      <c r="O4138">
        <v>0</v>
      </c>
      <c r="P4138">
        <v>1</v>
      </c>
      <c r="Q4138">
        <v>0</v>
      </c>
      <c r="S4138" t="str">
        <f t="shared" si="1520"/>
        <v>19:36:41.000</v>
      </c>
      <c r="T4138" t="str">
        <f t="shared" si="1520"/>
        <v>19:36:41.000</v>
      </c>
      <c r="U4138" t="str">
        <f t="shared" si="1509"/>
        <v>AC3944</v>
      </c>
      <c r="V4138">
        <v>0</v>
      </c>
      <c r="W4138">
        <v>0</v>
      </c>
      <c r="X4138">
        <v>2</v>
      </c>
      <c r="Y4138">
        <v>0</v>
      </c>
      <c r="AA4138">
        <v>1</v>
      </c>
      <c r="AB4138">
        <v>8</v>
      </c>
      <c r="AC4138">
        <v>3</v>
      </c>
      <c r="AD4138">
        <v>0</v>
      </c>
      <c r="AE4138">
        <v>9</v>
      </c>
      <c r="AF4138" t="s">
        <v>138</v>
      </c>
      <c r="AG4138">
        <v>0</v>
      </c>
      <c r="AH4138">
        <v>3</v>
      </c>
      <c r="AI4138">
        <v>1</v>
      </c>
      <c r="AJ4138">
        <v>0</v>
      </c>
      <c r="AK4138" t="s">
        <v>1326</v>
      </c>
      <c r="AL4138">
        <v>32.741596999999999</v>
      </c>
      <c r="AM4138" t="s">
        <v>1327</v>
      </c>
      <c r="AN4138">
        <v>-116.67570600000001</v>
      </c>
      <c r="AO4138">
        <v>25</v>
      </c>
      <c r="AP4138">
        <v>4900</v>
      </c>
      <c r="AQ4138" t="s">
        <v>129</v>
      </c>
      <c r="AR4138">
        <v>-61</v>
      </c>
      <c r="AS4138">
        <v>127</v>
      </c>
      <c r="AT4138">
        <v>-384</v>
      </c>
      <c r="BB4138">
        <v>1200</v>
      </c>
      <c r="BC4138">
        <v>1</v>
      </c>
      <c r="BD4138" t="str">
        <f t="shared" si="1510"/>
        <v xml:space="preserve">N887QR  </v>
      </c>
      <c r="BE4138">
        <v>1</v>
      </c>
      <c r="BG4138">
        <v>0</v>
      </c>
      <c r="BH4138">
        <v>0</v>
      </c>
      <c r="BI4138">
        <v>0</v>
      </c>
      <c r="BJ4138">
        <v>4675</v>
      </c>
      <c r="BK4138">
        <v>-225</v>
      </c>
      <c r="BL4138" t="s">
        <v>163</v>
      </c>
      <c r="BM4138">
        <v>1</v>
      </c>
      <c r="BN4138">
        <v>1</v>
      </c>
      <c r="BO4138">
        <v>1</v>
      </c>
      <c r="BP4138">
        <v>0</v>
      </c>
      <c r="BS4138">
        <v>0.04</v>
      </c>
      <c r="BT4138">
        <v>0</v>
      </c>
      <c r="BU4138">
        <v>0</v>
      </c>
      <c r="CE4138" t="str">
        <f t="shared" si="1523"/>
        <v>19:36:41.842</v>
      </c>
      <c r="CF4138">
        <v>842066896</v>
      </c>
      <c r="CS4138">
        <v>0</v>
      </c>
      <c r="CT4138">
        <v>2</v>
      </c>
      <c r="CU4138">
        <v>0</v>
      </c>
      <c r="CV4138">
        <v>2</v>
      </c>
      <c r="CW4138">
        <v>1</v>
      </c>
      <c r="CX4138">
        <v>3</v>
      </c>
      <c r="CY4138">
        <v>7</v>
      </c>
      <c r="CZ4138" t="s">
        <v>131</v>
      </c>
      <c r="DA4138">
        <v>286</v>
      </c>
      <c r="DB4138">
        <v>0</v>
      </c>
      <c r="DC4138" t="s">
        <v>132</v>
      </c>
      <c r="DD4138" t="s">
        <v>133</v>
      </c>
      <c r="DG4138">
        <v>903049</v>
      </c>
      <c r="DI4138">
        <v>1</v>
      </c>
      <c r="DJ4138">
        <v>0</v>
      </c>
      <c r="DK4138">
        <v>1</v>
      </c>
      <c r="DL4138">
        <v>0</v>
      </c>
      <c r="DM4138">
        <v>0</v>
      </c>
      <c r="DN4138">
        <v>1</v>
      </c>
      <c r="DO4138">
        <v>0</v>
      </c>
      <c r="DP4138">
        <v>0</v>
      </c>
      <c r="DQ4138">
        <v>0</v>
      </c>
      <c r="DR4138">
        <v>0</v>
      </c>
      <c r="DS4138">
        <v>0</v>
      </c>
    </row>
    <row r="4139" spans="1:123" x14ac:dyDescent="0.3">
      <c r="A4139" t="str">
        <f t="shared" si="1522"/>
        <v>10/04/2022 19:36:42.292</v>
      </c>
      <c r="C4139" t="str">
        <f t="shared" ref="C4139:C4202" si="1524">"FFDFD3C0"</f>
        <v>FFDFD3C0</v>
      </c>
      <c r="D4139" t="s">
        <v>134</v>
      </c>
      <c r="E4139">
        <v>15</v>
      </c>
      <c r="J4139" t="s">
        <v>135</v>
      </c>
      <c r="K4139">
        <v>0</v>
      </c>
      <c r="L4139">
        <v>3</v>
      </c>
      <c r="M4139">
        <v>0</v>
      </c>
      <c r="N4139">
        <v>2</v>
      </c>
      <c r="O4139">
        <v>0</v>
      </c>
      <c r="P4139">
        <v>1</v>
      </c>
      <c r="Q4139">
        <v>0</v>
      </c>
      <c r="S4139" t="str">
        <f t="shared" si="1520"/>
        <v>19:36:41.000</v>
      </c>
      <c r="T4139" t="str">
        <f t="shared" si="1520"/>
        <v>19:36:41.000</v>
      </c>
      <c r="U4139" t="str">
        <f t="shared" si="1509"/>
        <v>AC3944</v>
      </c>
      <c r="V4139">
        <v>0</v>
      </c>
      <c r="W4139">
        <v>0</v>
      </c>
      <c r="X4139">
        <v>2</v>
      </c>
      <c r="Y4139">
        <v>0</v>
      </c>
      <c r="AA4139">
        <v>1</v>
      </c>
      <c r="AB4139">
        <v>8</v>
      </c>
      <c r="AC4139">
        <v>3</v>
      </c>
      <c r="AD4139">
        <v>0</v>
      </c>
      <c r="AE4139">
        <v>9</v>
      </c>
      <c r="AF4139" t="s">
        <v>138</v>
      </c>
      <c r="AG4139">
        <v>0</v>
      </c>
      <c r="AH4139">
        <v>3</v>
      </c>
      <c r="AI4139">
        <v>1</v>
      </c>
      <c r="AJ4139">
        <v>0</v>
      </c>
      <c r="AK4139" t="s">
        <v>1326</v>
      </c>
      <c r="AL4139">
        <v>32.741596999999999</v>
      </c>
      <c r="AM4139" t="s">
        <v>1327</v>
      </c>
      <c r="AN4139">
        <v>-116.67570600000001</v>
      </c>
      <c r="AO4139">
        <v>25</v>
      </c>
      <c r="AP4139">
        <v>4900</v>
      </c>
      <c r="AQ4139" t="s">
        <v>129</v>
      </c>
      <c r="AR4139">
        <v>-61</v>
      </c>
      <c r="AS4139">
        <v>127</v>
      </c>
      <c r="AT4139">
        <v>-384</v>
      </c>
      <c r="BB4139">
        <v>1200</v>
      </c>
      <c r="BC4139">
        <v>1</v>
      </c>
      <c r="BD4139" t="str">
        <f t="shared" si="1510"/>
        <v xml:space="preserve">N887QR  </v>
      </c>
      <c r="BE4139">
        <v>1</v>
      </c>
      <c r="BG4139">
        <v>0</v>
      </c>
      <c r="BH4139">
        <v>0</v>
      </c>
      <c r="BI4139">
        <v>0</v>
      </c>
      <c r="BJ4139">
        <v>4675</v>
      </c>
      <c r="BK4139">
        <v>-225</v>
      </c>
      <c r="BL4139" t="s">
        <v>163</v>
      </c>
      <c r="BM4139">
        <v>1</v>
      </c>
      <c r="BN4139">
        <v>1</v>
      </c>
      <c r="BO4139">
        <v>1</v>
      </c>
      <c r="BP4139">
        <v>0</v>
      </c>
      <c r="BS4139">
        <v>0.04</v>
      </c>
      <c r="BT4139">
        <v>0</v>
      </c>
      <c r="BU4139">
        <v>0</v>
      </c>
      <c r="CE4139" t="str">
        <f t="shared" si="1523"/>
        <v>19:36:41.842</v>
      </c>
      <c r="CF4139">
        <v>842066896</v>
      </c>
      <c r="CS4139">
        <v>0</v>
      </c>
      <c r="CT4139">
        <v>2</v>
      </c>
      <c r="CU4139">
        <v>0</v>
      </c>
      <c r="CV4139">
        <v>2</v>
      </c>
      <c r="CW4139">
        <v>1</v>
      </c>
      <c r="CX4139">
        <v>3</v>
      </c>
      <c r="CY4139">
        <v>7</v>
      </c>
      <c r="CZ4139" t="s">
        <v>131</v>
      </c>
      <c r="DA4139">
        <v>286</v>
      </c>
      <c r="DB4139">
        <v>0</v>
      </c>
      <c r="DC4139" t="s">
        <v>132</v>
      </c>
      <c r="DD4139" t="s">
        <v>133</v>
      </c>
      <c r="DG4139">
        <v>903049</v>
      </c>
      <c r="DI4139">
        <v>1</v>
      </c>
      <c r="DJ4139">
        <v>0</v>
      </c>
      <c r="DK4139">
        <v>1</v>
      </c>
      <c r="DL4139">
        <v>0</v>
      </c>
      <c r="DM4139">
        <v>0</v>
      </c>
      <c r="DN4139">
        <v>1</v>
      </c>
      <c r="DO4139">
        <v>0</v>
      </c>
      <c r="DP4139">
        <v>0</v>
      </c>
      <c r="DQ4139">
        <v>0</v>
      </c>
      <c r="DR4139">
        <v>0</v>
      </c>
      <c r="DS4139">
        <v>0</v>
      </c>
    </row>
    <row r="4140" spans="1:123" x14ac:dyDescent="0.3">
      <c r="A4140" t="str">
        <f t="shared" si="1522"/>
        <v>10/04/2022 19:36:42.292</v>
      </c>
      <c r="C4140" t="str">
        <f t="shared" si="1524"/>
        <v>FFDFD3C0</v>
      </c>
      <c r="D4140" t="s">
        <v>136</v>
      </c>
      <c r="E4140">
        <v>8</v>
      </c>
      <c r="H4140">
        <v>225</v>
      </c>
      <c r="I4140" t="s">
        <v>137</v>
      </c>
      <c r="J4140" t="s">
        <v>138</v>
      </c>
      <c r="K4140">
        <v>0</v>
      </c>
      <c r="L4140">
        <v>3</v>
      </c>
      <c r="M4140">
        <v>0</v>
      </c>
      <c r="N4140">
        <v>2</v>
      </c>
      <c r="O4140">
        <v>0</v>
      </c>
      <c r="P4140">
        <v>1</v>
      </c>
      <c r="Q4140">
        <v>0</v>
      </c>
      <c r="S4140" t="str">
        <f t="shared" si="1520"/>
        <v>19:36:41.000</v>
      </c>
      <c r="T4140" t="str">
        <f t="shared" si="1520"/>
        <v>19:36:41.000</v>
      </c>
      <c r="U4140" t="str">
        <f t="shared" si="1509"/>
        <v>AC3944</v>
      </c>
      <c r="V4140">
        <v>0</v>
      </c>
      <c r="W4140">
        <v>0</v>
      </c>
      <c r="X4140">
        <v>2</v>
      </c>
      <c r="Y4140">
        <v>0</v>
      </c>
      <c r="AA4140">
        <v>1</v>
      </c>
      <c r="AB4140">
        <v>8</v>
      </c>
      <c r="AC4140">
        <v>3</v>
      </c>
      <c r="AD4140">
        <v>0</v>
      </c>
      <c r="AE4140">
        <v>9</v>
      </c>
      <c r="AF4140" t="s">
        <v>138</v>
      </c>
      <c r="AG4140">
        <v>0</v>
      </c>
      <c r="AH4140">
        <v>3</v>
      </c>
      <c r="AI4140">
        <v>1</v>
      </c>
      <c r="AJ4140">
        <v>0</v>
      </c>
      <c r="AK4140" t="s">
        <v>1326</v>
      </c>
      <c r="AL4140">
        <v>32.741596999999999</v>
      </c>
      <c r="AM4140" t="s">
        <v>1327</v>
      </c>
      <c r="AN4140">
        <v>-116.67570600000001</v>
      </c>
      <c r="AO4140">
        <v>25</v>
      </c>
      <c r="AP4140">
        <v>4900</v>
      </c>
      <c r="AQ4140" t="s">
        <v>129</v>
      </c>
      <c r="AR4140">
        <v>-61</v>
      </c>
      <c r="AS4140">
        <v>127</v>
      </c>
      <c r="AT4140">
        <v>-384</v>
      </c>
      <c r="BB4140">
        <v>1200</v>
      </c>
      <c r="BC4140">
        <v>1</v>
      </c>
      <c r="BD4140" t="str">
        <f t="shared" si="1510"/>
        <v xml:space="preserve">N887QR  </v>
      </c>
      <c r="BE4140">
        <v>1</v>
      </c>
      <c r="BG4140">
        <v>0</v>
      </c>
      <c r="BH4140">
        <v>0</v>
      </c>
      <c r="BI4140">
        <v>0</v>
      </c>
      <c r="BJ4140">
        <v>4675</v>
      </c>
      <c r="BK4140">
        <v>-225</v>
      </c>
      <c r="BL4140" t="s">
        <v>163</v>
      </c>
      <c r="BM4140">
        <v>1</v>
      </c>
      <c r="BN4140">
        <v>1</v>
      </c>
      <c r="BO4140">
        <v>1</v>
      </c>
      <c r="BP4140">
        <v>0</v>
      </c>
      <c r="BS4140">
        <v>0.04</v>
      </c>
      <c r="BT4140">
        <v>0</v>
      </c>
      <c r="BU4140">
        <v>0</v>
      </c>
      <c r="CE4140" t="str">
        <f t="shared" si="1523"/>
        <v>19:36:41.842</v>
      </c>
      <c r="CF4140">
        <v>842066896</v>
      </c>
      <c r="CS4140">
        <v>0</v>
      </c>
      <c r="CT4140">
        <v>2</v>
      </c>
      <c r="CU4140">
        <v>0</v>
      </c>
      <c r="CV4140">
        <v>2</v>
      </c>
      <c r="CW4140">
        <v>1</v>
      </c>
      <c r="CX4140">
        <v>3</v>
      </c>
      <c r="CY4140">
        <v>7</v>
      </c>
      <c r="CZ4140" t="s">
        <v>131</v>
      </c>
      <c r="DA4140">
        <v>286</v>
      </c>
      <c r="DB4140">
        <v>0</v>
      </c>
      <c r="DC4140" t="s">
        <v>132</v>
      </c>
      <c r="DD4140" t="s">
        <v>133</v>
      </c>
      <c r="DG4140">
        <v>903049</v>
      </c>
      <c r="DI4140">
        <v>1</v>
      </c>
      <c r="DJ4140">
        <v>0</v>
      </c>
      <c r="DK4140">
        <v>1</v>
      </c>
      <c r="DL4140">
        <v>0</v>
      </c>
      <c r="DM4140">
        <v>0</v>
      </c>
      <c r="DN4140">
        <v>1</v>
      </c>
      <c r="DO4140">
        <v>0</v>
      </c>
      <c r="DP4140">
        <v>0</v>
      </c>
      <c r="DQ4140">
        <v>0</v>
      </c>
      <c r="DR4140">
        <v>0</v>
      </c>
      <c r="DS4140">
        <v>0</v>
      </c>
    </row>
    <row r="4141" spans="1:123" x14ac:dyDescent="0.3">
      <c r="A4141" t="str">
        <f t="shared" si="1522"/>
        <v>10/04/2022 19:36:42.292</v>
      </c>
      <c r="C4141" t="str">
        <f t="shared" si="1524"/>
        <v>FFDFD3C0</v>
      </c>
      <c r="D4141" t="s">
        <v>143</v>
      </c>
      <c r="E4141">
        <v>20</v>
      </c>
      <c r="F4141">
        <v>1020</v>
      </c>
      <c r="G4141" t="s">
        <v>144</v>
      </c>
      <c r="J4141" t="s">
        <v>145</v>
      </c>
      <c r="K4141">
        <v>0</v>
      </c>
      <c r="L4141">
        <v>3</v>
      </c>
      <c r="M4141">
        <v>0</v>
      </c>
      <c r="N4141">
        <v>2</v>
      </c>
      <c r="O4141">
        <v>0</v>
      </c>
      <c r="P4141">
        <v>1</v>
      </c>
      <c r="Q4141">
        <v>0</v>
      </c>
      <c r="S4141" t="str">
        <f t="shared" si="1520"/>
        <v>19:36:41.000</v>
      </c>
      <c r="T4141" t="str">
        <f t="shared" si="1520"/>
        <v>19:36:41.000</v>
      </c>
      <c r="U4141" t="str">
        <f t="shared" si="1509"/>
        <v>AC3944</v>
      </c>
      <c r="V4141">
        <v>0</v>
      </c>
      <c r="W4141">
        <v>0</v>
      </c>
      <c r="X4141">
        <v>2</v>
      </c>
      <c r="Y4141">
        <v>0</v>
      </c>
      <c r="AA4141">
        <v>1</v>
      </c>
      <c r="AB4141">
        <v>8</v>
      </c>
      <c r="AC4141">
        <v>3</v>
      </c>
      <c r="AD4141">
        <v>0</v>
      </c>
      <c r="AE4141">
        <v>9</v>
      </c>
      <c r="AF4141" t="s">
        <v>138</v>
      </c>
      <c r="AG4141">
        <v>0</v>
      </c>
      <c r="AH4141">
        <v>3</v>
      </c>
      <c r="AI4141">
        <v>1</v>
      </c>
      <c r="AJ4141">
        <v>0</v>
      </c>
      <c r="AK4141" t="s">
        <v>1326</v>
      </c>
      <c r="AL4141">
        <v>32.741596999999999</v>
      </c>
      <c r="AM4141" t="s">
        <v>1327</v>
      </c>
      <c r="AN4141">
        <v>-116.67570600000001</v>
      </c>
      <c r="AO4141">
        <v>25</v>
      </c>
      <c r="AP4141">
        <v>4900</v>
      </c>
      <c r="AQ4141" t="s">
        <v>129</v>
      </c>
      <c r="AR4141">
        <v>-61</v>
      </c>
      <c r="AS4141">
        <v>127</v>
      </c>
      <c r="AT4141">
        <v>-384</v>
      </c>
      <c r="BB4141">
        <v>1200</v>
      </c>
      <c r="BC4141">
        <v>1</v>
      </c>
      <c r="BD4141" t="str">
        <f t="shared" si="1510"/>
        <v xml:space="preserve">N887QR  </v>
      </c>
      <c r="BE4141">
        <v>1</v>
      </c>
      <c r="BG4141">
        <v>0</v>
      </c>
      <c r="BH4141">
        <v>0</v>
      </c>
      <c r="BI4141">
        <v>0</v>
      </c>
      <c r="BJ4141">
        <v>4675</v>
      </c>
      <c r="BK4141">
        <v>-225</v>
      </c>
      <c r="BL4141" t="s">
        <v>163</v>
      </c>
      <c r="BM4141">
        <v>1</v>
      </c>
      <c r="BN4141">
        <v>1</v>
      </c>
      <c r="BO4141">
        <v>1</v>
      </c>
      <c r="BP4141">
        <v>0</v>
      </c>
      <c r="BS4141">
        <v>0.04</v>
      </c>
      <c r="BT4141">
        <v>0</v>
      </c>
      <c r="BU4141">
        <v>0</v>
      </c>
      <c r="CE4141" t="str">
        <f t="shared" si="1523"/>
        <v>19:36:41.842</v>
      </c>
      <c r="CF4141">
        <v>842066896</v>
      </c>
      <c r="CS4141">
        <v>0</v>
      </c>
      <c r="CT4141">
        <v>2</v>
      </c>
      <c r="CU4141">
        <v>0</v>
      </c>
      <c r="CV4141">
        <v>2</v>
      </c>
      <c r="CW4141">
        <v>1</v>
      </c>
      <c r="CX4141">
        <v>3</v>
      </c>
      <c r="CY4141">
        <v>7</v>
      </c>
      <c r="CZ4141" t="s">
        <v>131</v>
      </c>
      <c r="DA4141">
        <v>286</v>
      </c>
      <c r="DB4141">
        <v>0</v>
      </c>
      <c r="DC4141" t="s">
        <v>132</v>
      </c>
      <c r="DD4141" t="s">
        <v>133</v>
      </c>
      <c r="DG4141">
        <v>903049</v>
      </c>
      <c r="DI4141">
        <v>1</v>
      </c>
      <c r="DJ4141">
        <v>0</v>
      </c>
      <c r="DK4141">
        <v>1</v>
      </c>
      <c r="DL4141">
        <v>0</v>
      </c>
      <c r="DM4141">
        <v>0</v>
      </c>
      <c r="DN4141">
        <v>1</v>
      </c>
      <c r="DO4141">
        <v>0</v>
      </c>
      <c r="DP4141">
        <v>0</v>
      </c>
      <c r="DQ4141">
        <v>0</v>
      </c>
      <c r="DR4141">
        <v>0</v>
      </c>
      <c r="DS4141">
        <v>0</v>
      </c>
    </row>
    <row r="4142" spans="1:123" x14ac:dyDescent="0.3">
      <c r="A4142" t="str">
        <f t="shared" si="1522"/>
        <v>10/04/2022 19:36:42.292</v>
      </c>
      <c r="C4142" t="str">
        <f t="shared" si="1524"/>
        <v>FFDFD3C0</v>
      </c>
      <c r="D4142" t="s">
        <v>123</v>
      </c>
      <c r="E4142">
        <v>7</v>
      </c>
      <c r="F4142">
        <v>2007</v>
      </c>
      <c r="G4142" t="s">
        <v>124</v>
      </c>
      <c r="J4142" t="s">
        <v>125</v>
      </c>
      <c r="K4142">
        <v>0</v>
      </c>
      <c r="L4142">
        <v>3</v>
      </c>
      <c r="M4142">
        <v>0</v>
      </c>
      <c r="N4142">
        <v>2</v>
      </c>
      <c r="O4142">
        <v>0</v>
      </c>
      <c r="P4142">
        <v>1</v>
      </c>
      <c r="Q4142">
        <v>0</v>
      </c>
      <c r="S4142" t="str">
        <f t="shared" si="1520"/>
        <v>19:36:41.000</v>
      </c>
      <c r="T4142" t="str">
        <f t="shared" si="1520"/>
        <v>19:36:41.000</v>
      </c>
      <c r="U4142" t="str">
        <f t="shared" si="1509"/>
        <v>AC3944</v>
      </c>
      <c r="V4142">
        <v>0</v>
      </c>
      <c r="W4142">
        <v>0</v>
      </c>
      <c r="X4142">
        <v>2</v>
      </c>
      <c r="Y4142">
        <v>0</v>
      </c>
      <c r="AA4142">
        <v>1</v>
      </c>
      <c r="AB4142">
        <v>8</v>
      </c>
      <c r="AC4142">
        <v>3</v>
      </c>
      <c r="AD4142">
        <v>0</v>
      </c>
      <c r="AE4142">
        <v>9</v>
      </c>
      <c r="AF4142" t="s">
        <v>138</v>
      </c>
      <c r="AG4142">
        <v>0</v>
      </c>
      <c r="AH4142">
        <v>3</v>
      </c>
      <c r="AI4142">
        <v>1</v>
      </c>
      <c r="AJ4142">
        <v>0</v>
      </c>
      <c r="AK4142" t="s">
        <v>1326</v>
      </c>
      <c r="AL4142">
        <v>32.741596999999999</v>
      </c>
      <c r="AM4142" t="s">
        <v>1327</v>
      </c>
      <c r="AN4142">
        <v>-116.67570600000001</v>
      </c>
      <c r="AO4142">
        <v>25</v>
      </c>
      <c r="AP4142">
        <v>4900</v>
      </c>
      <c r="AQ4142" t="s">
        <v>129</v>
      </c>
      <c r="AR4142">
        <v>-61</v>
      </c>
      <c r="AS4142">
        <v>127</v>
      </c>
      <c r="AT4142">
        <v>-384</v>
      </c>
      <c r="BB4142">
        <v>1200</v>
      </c>
      <c r="BC4142">
        <v>1</v>
      </c>
      <c r="BD4142" t="str">
        <f t="shared" si="1510"/>
        <v xml:space="preserve">N887QR  </v>
      </c>
      <c r="BE4142">
        <v>1</v>
      </c>
      <c r="BG4142">
        <v>0</v>
      </c>
      <c r="BH4142">
        <v>0</v>
      </c>
      <c r="BI4142">
        <v>0</v>
      </c>
      <c r="BJ4142">
        <v>4675</v>
      </c>
      <c r="BK4142">
        <v>-225</v>
      </c>
      <c r="BL4142" t="s">
        <v>163</v>
      </c>
      <c r="BM4142">
        <v>1</v>
      </c>
      <c r="BN4142">
        <v>1</v>
      </c>
      <c r="BO4142">
        <v>1</v>
      </c>
      <c r="BP4142">
        <v>0</v>
      </c>
      <c r="BS4142">
        <v>0.04</v>
      </c>
      <c r="BT4142">
        <v>0</v>
      </c>
      <c r="BU4142">
        <v>0</v>
      </c>
      <c r="CE4142" t="str">
        <f t="shared" si="1523"/>
        <v>19:36:41.842</v>
      </c>
      <c r="CF4142">
        <v>842066896</v>
      </c>
      <c r="CS4142">
        <v>0</v>
      </c>
      <c r="CT4142">
        <v>2</v>
      </c>
      <c r="CU4142">
        <v>0</v>
      </c>
      <c r="CV4142">
        <v>2</v>
      </c>
      <c r="CW4142">
        <v>1</v>
      </c>
      <c r="CX4142">
        <v>3</v>
      </c>
      <c r="CY4142">
        <v>7</v>
      </c>
      <c r="CZ4142" t="s">
        <v>131</v>
      </c>
      <c r="DA4142">
        <v>286</v>
      </c>
      <c r="DB4142">
        <v>0</v>
      </c>
      <c r="DC4142" t="s">
        <v>132</v>
      </c>
      <c r="DD4142" t="s">
        <v>133</v>
      </c>
      <c r="DG4142">
        <v>903049</v>
      </c>
      <c r="DI4142">
        <v>1</v>
      </c>
      <c r="DJ4142">
        <v>0</v>
      </c>
      <c r="DK4142">
        <v>1</v>
      </c>
      <c r="DL4142">
        <v>0</v>
      </c>
      <c r="DM4142">
        <v>0</v>
      </c>
      <c r="DN4142">
        <v>1</v>
      </c>
      <c r="DO4142">
        <v>0</v>
      </c>
      <c r="DP4142">
        <v>0</v>
      </c>
      <c r="DQ4142">
        <v>0</v>
      </c>
      <c r="DR4142">
        <v>0</v>
      </c>
      <c r="DS4142">
        <v>0</v>
      </c>
    </row>
    <row r="4143" spans="1:123" x14ac:dyDescent="0.3">
      <c r="A4143" t="str">
        <f t="shared" ref="A4143:A4149" si="1525">"10/04/2022 19:36:43.151"</f>
        <v>10/04/2022 19:36:43.151</v>
      </c>
      <c r="C4143" t="str">
        <f t="shared" si="1524"/>
        <v>FFDFD3C0</v>
      </c>
      <c r="D4143" t="s">
        <v>123</v>
      </c>
      <c r="E4143">
        <v>7</v>
      </c>
      <c r="F4143">
        <v>2007</v>
      </c>
      <c r="G4143" t="s">
        <v>124</v>
      </c>
      <c r="J4143" t="s">
        <v>125</v>
      </c>
      <c r="K4143">
        <v>0</v>
      </c>
      <c r="L4143">
        <v>3</v>
      </c>
      <c r="M4143">
        <v>0</v>
      </c>
      <c r="N4143">
        <v>2</v>
      </c>
      <c r="O4143">
        <v>0</v>
      </c>
      <c r="P4143">
        <v>1</v>
      </c>
      <c r="Q4143">
        <v>0</v>
      </c>
      <c r="S4143" t="str">
        <f t="shared" ref="S4143:T4149" si="1526">"19:36:42.000"</f>
        <v>19:36:42.000</v>
      </c>
      <c r="T4143" t="str">
        <f t="shared" si="1526"/>
        <v>19:36:42.000</v>
      </c>
      <c r="U4143" t="str">
        <f t="shared" si="1509"/>
        <v>AC3944</v>
      </c>
      <c r="V4143">
        <v>0</v>
      </c>
      <c r="W4143">
        <v>0</v>
      </c>
      <c r="X4143">
        <v>2</v>
      </c>
      <c r="Y4143">
        <v>0</v>
      </c>
      <c r="AA4143">
        <v>1</v>
      </c>
      <c r="AB4143">
        <v>8</v>
      </c>
      <c r="AC4143">
        <v>3</v>
      </c>
      <c r="AD4143">
        <v>0</v>
      </c>
      <c r="AE4143">
        <v>9</v>
      </c>
      <c r="AF4143" t="s">
        <v>138</v>
      </c>
      <c r="AG4143">
        <v>0</v>
      </c>
      <c r="AH4143">
        <v>3</v>
      </c>
      <c r="AI4143">
        <v>1</v>
      </c>
      <c r="AJ4143">
        <v>0</v>
      </c>
      <c r="AK4143" t="s">
        <v>1328</v>
      </c>
      <c r="AL4143">
        <v>32.742176000000001</v>
      </c>
      <c r="AM4143" t="s">
        <v>1329</v>
      </c>
      <c r="AN4143">
        <v>-116.67604900000001</v>
      </c>
      <c r="AO4143">
        <v>25</v>
      </c>
      <c r="AP4143">
        <v>4900</v>
      </c>
      <c r="AQ4143" t="s">
        <v>129</v>
      </c>
      <c r="AR4143">
        <v>-70</v>
      </c>
      <c r="AS4143">
        <v>122</v>
      </c>
      <c r="AT4143">
        <v>-64</v>
      </c>
      <c r="BB4143">
        <v>1200</v>
      </c>
      <c r="BC4143">
        <v>1</v>
      </c>
      <c r="BD4143" t="str">
        <f t="shared" si="1510"/>
        <v xml:space="preserve">N887QR  </v>
      </c>
      <c r="BE4143">
        <v>1</v>
      </c>
      <c r="BG4143">
        <v>0</v>
      </c>
      <c r="BH4143">
        <v>0</v>
      </c>
      <c r="BI4143">
        <v>0</v>
      </c>
      <c r="BJ4143">
        <v>4675</v>
      </c>
      <c r="BK4143">
        <v>-225</v>
      </c>
      <c r="BL4143" t="s">
        <v>163</v>
      </c>
      <c r="BM4143">
        <v>1</v>
      </c>
      <c r="BN4143">
        <v>1</v>
      </c>
      <c r="BO4143">
        <v>1</v>
      </c>
      <c r="BP4143">
        <v>0</v>
      </c>
      <c r="BS4143">
        <v>0.04</v>
      </c>
      <c r="BT4143">
        <v>0</v>
      </c>
      <c r="BU4143">
        <v>0</v>
      </c>
      <c r="CE4143" t="str">
        <f t="shared" ref="CE4143:CE4149" si="1527">"19:36:42.788"</f>
        <v>19:36:42.788</v>
      </c>
      <c r="CF4143">
        <v>788128866</v>
      </c>
      <c r="CS4143">
        <v>0</v>
      </c>
      <c r="CT4143">
        <v>2</v>
      </c>
      <c r="CU4143">
        <v>0</v>
      </c>
      <c r="CV4143">
        <v>2</v>
      </c>
      <c r="CW4143">
        <v>0</v>
      </c>
      <c r="CX4143">
        <v>5</v>
      </c>
      <c r="CY4143">
        <v>7</v>
      </c>
      <c r="CZ4143" t="s">
        <v>131</v>
      </c>
      <c r="DA4143">
        <v>300</v>
      </c>
      <c r="DB4143">
        <v>0</v>
      </c>
      <c r="DC4143" t="s">
        <v>176</v>
      </c>
      <c r="DD4143" t="s">
        <v>177</v>
      </c>
      <c r="DG4143">
        <v>5456690</v>
      </c>
      <c r="DI4143">
        <v>1</v>
      </c>
      <c r="DJ4143">
        <v>0</v>
      </c>
      <c r="DK4143">
        <v>0</v>
      </c>
      <c r="DL4143">
        <v>0</v>
      </c>
      <c r="DM4143">
        <v>0</v>
      </c>
      <c r="DN4143">
        <v>1</v>
      </c>
      <c r="DO4143">
        <v>0</v>
      </c>
      <c r="DP4143">
        <v>0</v>
      </c>
      <c r="DQ4143">
        <v>0</v>
      </c>
      <c r="DR4143">
        <v>0</v>
      </c>
      <c r="DS4143">
        <v>0</v>
      </c>
    </row>
    <row r="4144" spans="1:123" x14ac:dyDescent="0.3">
      <c r="A4144" t="str">
        <f t="shared" si="1525"/>
        <v>10/04/2022 19:36:43.151</v>
      </c>
      <c r="C4144" t="str">
        <f t="shared" si="1524"/>
        <v>FFDFD3C0</v>
      </c>
      <c r="D4144" t="s">
        <v>141</v>
      </c>
      <c r="E4144">
        <v>3</v>
      </c>
      <c r="H4144">
        <v>3</v>
      </c>
      <c r="I4144" t="s">
        <v>146</v>
      </c>
      <c r="J4144" t="s">
        <v>138</v>
      </c>
      <c r="K4144">
        <v>0</v>
      </c>
      <c r="L4144">
        <v>3</v>
      </c>
      <c r="M4144">
        <v>0</v>
      </c>
      <c r="N4144">
        <v>2</v>
      </c>
      <c r="O4144">
        <v>0</v>
      </c>
      <c r="P4144">
        <v>1</v>
      </c>
      <c r="Q4144">
        <v>0</v>
      </c>
      <c r="S4144" t="str">
        <f t="shared" si="1526"/>
        <v>19:36:42.000</v>
      </c>
      <c r="T4144" t="str">
        <f t="shared" si="1526"/>
        <v>19:36:42.000</v>
      </c>
      <c r="U4144" t="str">
        <f t="shared" si="1509"/>
        <v>AC3944</v>
      </c>
      <c r="V4144">
        <v>0</v>
      </c>
      <c r="W4144">
        <v>0</v>
      </c>
      <c r="X4144">
        <v>2</v>
      </c>
      <c r="Y4144">
        <v>0</v>
      </c>
      <c r="AA4144">
        <v>1</v>
      </c>
      <c r="AB4144">
        <v>8</v>
      </c>
      <c r="AC4144">
        <v>3</v>
      </c>
      <c r="AD4144">
        <v>0</v>
      </c>
      <c r="AE4144">
        <v>9</v>
      </c>
      <c r="AF4144" t="s">
        <v>138</v>
      </c>
      <c r="AG4144">
        <v>0</v>
      </c>
      <c r="AH4144">
        <v>3</v>
      </c>
      <c r="AI4144">
        <v>1</v>
      </c>
      <c r="AJ4144">
        <v>0</v>
      </c>
      <c r="AK4144" t="s">
        <v>1328</v>
      </c>
      <c r="AL4144">
        <v>32.742176000000001</v>
      </c>
      <c r="AM4144" t="s">
        <v>1329</v>
      </c>
      <c r="AN4144">
        <v>-116.67604900000001</v>
      </c>
      <c r="AO4144">
        <v>25</v>
      </c>
      <c r="AP4144">
        <v>4900</v>
      </c>
      <c r="AQ4144" t="s">
        <v>129</v>
      </c>
      <c r="AR4144">
        <v>-70</v>
      </c>
      <c r="AS4144">
        <v>122</v>
      </c>
      <c r="AT4144">
        <v>-64</v>
      </c>
      <c r="BB4144">
        <v>1200</v>
      </c>
      <c r="BC4144">
        <v>1</v>
      </c>
      <c r="BD4144" t="str">
        <f t="shared" si="1510"/>
        <v xml:space="preserve">N887QR  </v>
      </c>
      <c r="BE4144">
        <v>1</v>
      </c>
      <c r="BG4144">
        <v>0</v>
      </c>
      <c r="BH4144">
        <v>0</v>
      </c>
      <c r="BI4144">
        <v>0</v>
      </c>
      <c r="BJ4144">
        <v>4675</v>
      </c>
      <c r="BK4144">
        <v>-225</v>
      </c>
      <c r="BL4144" t="s">
        <v>163</v>
      </c>
      <c r="BM4144">
        <v>1</v>
      </c>
      <c r="BN4144">
        <v>1</v>
      </c>
      <c r="BO4144">
        <v>1</v>
      </c>
      <c r="BP4144">
        <v>0</v>
      </c>
      <c r="BS4144">
        <v>0.04</v>
      </c>
      <c r="BT4144">
        <v>0</v>
      </c>
      <c r="BU4144">
        <v>0</v>
      </c>
      <c r="CE4144" t="str">
        <f t="shared" si="1527"/>
        <v>19:36:42.788</v>
      </c>
      <c r="CF4144">
        <v>788128866</v>
      </c>
      <c r="CS4144">
        <v>0</v>
      </c>
      <c r="CT4144">
        <v>2</v>
      </c>
      <c r="CU4144">
        <v>0</v>
      </c>
      <c r="CV4144">
        <v>2</v>
      </c>
      <c r="CW4144">
        <v>0</v>
      </c>
      <c r="CX4144">
        <v>5</v>
      </c>
      <c r="CY4144">
        <v>7</v>
      </c>
      <c r="CZ4144" t="s">
        <v>131</v>
      </c>
      <c r="DA4144">
        <v>300</v>
      </c>
      <c r="DB4144">
        <v>0</v>
      </c>
      <c r="DC4144" t="s">
        <v>176</v>
      </c>
      <c r="DD4144" t="s">
        <v>177</v>
      </c>
      <c r="DG4144">
        <v>5456690</v>
      </c>
      <c r="DI4144">
        <v>1</v>
      </c>
      <c r="DJ4144">
        <v>0</v>
      </c>
      <c r="DK4144">
        <v>1</v>
      </c>
      <c r="DL4144">
        <v>0</v>
      </c>
      <c r="DM4144">
        <v>0</v>
      </c>
      <c r="DN4144">
        <v>1</v>
      </c>
      <c r="DO4144">
        <v>0</v>
      </c>
      <c r="DP4144">
        <v>0</v>
      </c>
      <c r="DQ4144">
        <v>0</v>
      </c>
      <c r="DR4144">
        <v>0</v>
      </c>
      <c r="DS4144">
        <v>0</v>
      </c>
    </row>
    <row r="4145" spans="1:123" x14ac:dyDescent="0.3">
      <c r="A4145" t="str">
        <f t="shared" si="1525"/>
        <v>10/04/2022 19:36:43.151</v>
      </c>
      <c r="C4145" t="str">
        <f t="shared" si="1524"/>
        <v>FFDFD3C0</v>
      </c>
      <c r="D4145" t="s">
        <v>141</v>
      </c>
      <c r="E4145">
        <v>4</v>
      </c>
      <c r="H4145">
        <v>4</v>
      </c>
      <c r="I4145" t="s">
        <v>142</v>
      </c>
      <c r="J4145" t="s">
        <v>138</v>
      </c>
      <c r="K4145">
        <v>0</v>
      </c>
      <c r="L4145">
        <v>3</v>
      </c>
      <c r="M4145">
        <v>0</v>
      </c>
      <c r="N4145">
        <v>2</v>
      </c>
      <c r="O4145">
        <v>0</v>
      </c>
      <c r="P4145">
        <v>1</v>
      </c>
      <c r="Q4145">
        <v>0</v>
      </c>
      <c r="S4145" t="str">
        <f t="shared" si="1526"/>
        <v>19:36:42.000</v>
      </c>
      <c r="T4145" t="str">
        <f t="shared" si="1526"/>
        <v>19:36:42.000</v>
      </c>
      <c r="U4145" t="str">
        <f t="shared" si="1509"/>
        <v>AC3944</v>
      </c>
      <c r="V4145">
        <v>0</v>
      </c>
      <c r="W4145">
        <v>0</v>
      </c>
      <c r="X4145">
        <v>2</v>
      </c>
      <c r="Y4145">
        <v>0</v>
      </c>
      <c r="AA4145">
        <v>1</v>
      </c>
      <c r="AB4145">
        <v>8</v>
      </c>
      <c r="AC4145">
        <v>3</v>
      </c>
      <c r="AD4145">
        <v>0</v>
      </c>
      <c r="AE4145">
        <v>9</v>
      </c>
      <c r="AF4145" t="s">
        <v>138</v>
      </c>
      <c r="AG4145">
        <v>0</v>
      </c>
      <c r="AH4145">
        <v>3</v>
      </c>
      <c r="AI4145">
        <v>1</v>
      </c>
      <c r="AJ4145">
        <v>0</v>
      </c>
      <c r="AK4145" t="s">
        <v>1328</v>
      </c>
      <c r="AL4145">
        <v>32.742176000000001</v>
      </c>
      <c r="AM4145" t="s">
        <v>1329</v>
      </c>
      <c r="AN4145">
        <v>-116.67604900000001</v>
      </c>
      <c r="AO4145">
        <v>25</v>
      </c>
      <c r="AP4145">
        <v>4900</v>
      </c>
      <c r="AQ4145" t="s">
        <v>129</v>
      </c>
      <c r="AR4145">
        <v>-70</v>
      </c>
      <c r="AS4145">
        <v>122</v>
      </c>
      <c r="AT4145">
        <v>-64</v>
      </c>
      <c r="BB4145">
        <v>1200</v>
      </c>
      <c r="BC4145">
        <v>1</v>
      </c>
      <c r="BD4145" t="str">
        <f t="shared" si="1510"/>
        <v xml:space="preserve">N887QR  </v>
      </c>
      <c r="BE4145">
        <v>1</v>
      </c>
      <c r="BG4145">
        <v>0</v>
      </c>
      <c r="BH4145">
        <v>0</v>
      </c>
      <c r="BI4145">
        <v>0</v>
      </c>
      <c r="BJ4145">
        <v>4675</v>
      </c>
      <c r="BK4145">
        <v>-225</v>
      </c>
      <c r="BL4145" t="s">
        <v>163</v>
      </c>
      <c r="BM4145">
        <v>1</v>
      </c>
      <c r="BN4145">
        <v>1</v>
      </c>
      <c r="BO4145">
        <v>1</v>
      </c>
      <c r="BP4145">
        <v>0</v>
      </c>
      <c r="BS4145">
        <v>0.04</v>
      </c>
      <c r="BT4145">
        <v>0</v>
      </c>
      <c r="BU4145">
        <v>0</v>
      </c>
      <c r="CE4145" t="str">
        <f t="shared" si="1527"/>
        <v>19:36:42.788</v>
      </c>
      <c r="CF4145">
        <v>788128866</v>
      </c>
      <c r="CS4145">
        <v>0</v>
      </c>
      <c r="CT4145">
        <v>2</v>
      </c>
      <c r="CU4145">
        <v>0</v>
      </c>
      <c r="CV4145">
        <v>2</v>
      </c>
      <c r="CW4145">
        <v>0</v>
      </c>
      <c r="CX4145">
        <v>5</v>
      </c>
      <c r="CY4145">
        <v>7</v>
      </c>
      <c r="CZ4145" t="s">
        <v>131</v>
      </c>
      <c r="DA4145">
        <v>300</v>
      </c>
      <c r="DB4145">
        <v>0</v>
      </c>
      <c r="DC4145" t="s">
        <v>176</v>
      </c>
      <c r="DD4145" t="s">
        <v>177</v>
      </c>
      <c r="DG4145">
        <v>5456690</v>
      </c>
      <c r="DI4145">
        <v>1</v>
      </c>
      <c r="DJ4145">
        <v>0</v>
      </c>
      <c r="DK4145">
        <v>1</v>
      </c>
      <c r="DL4145">
        <v>0</v>
      </c>
      <c r="DM4145">
        <v>0</v>
      </c>
      <c r="DN4145">
        <v>1</v>
      </c>
      <c r="DO4145">
        <v>0</v>
      </c>
      <c r="DP4145">
        <v>0</v>
      </c>
      <c r="DQ4145">
        <v>0</v>
      </c>
      <c r="DR4145">
        <v>0</v>
      </c>
      <c r="DS4145">
        <v>0</v>
      </c>
    </row>
    <row r="4146" spans="1:123" x14ac:dyDescent="0.3">
      <c r="A4146" t="str">
        <f t="shared" si="1525"/>
        <v>10/04/2022 19:36:43.151</v>
      </c>
      <c r="C4146" t="str">
        <f t="shared" si="1524"/>
        <v>FFDFD3C0</v>
      </c>
      <c r="D4146" t="s">
        <v>147</v>
      </c>
      <c r="E4146">
        <v>3</v>
      </c>
      <c r="H4146">
        <v>166</v>
      </c>
      <c r="I4146" t="s">
        <v>144</v>
      </c>
      <c r="J4146" t="s">
        <v>148</v>
      </c>
      <c r="K4146">
        <v>0</v>
      </c>
      <c r="L4146">
        <v>3</v>
      </c>
      <c r="M4146">
        <v>0</v>
      </c>
      <c r="N4146">
        <v>2</v>
      </c>
      <c r="O4146">
        <v>0</v>
      </c>
      <c r="P4146">
        <v>1</v>
      </c>
      <c r="Q4146">
        <v>0</v>
      </c>
      <c r="S4146" t="str">
        <f t="shared" si="1526"/>
        <v>19:36:42.000</v>
      </c>
      <c r="T4146" t="str">
        <f t="shared" si="1526"/>
        <v>19:36:42.000</v>
      </c>
      <c r="U4146" t="str">
        <f t="shared" si="1509"/>
        <v>AC3944</v>
      </c>
      <c r="V4146">
        <v>0</v>
      </c>
      <c r="W4146">
        <v>0</v>
      </c>
      <c r="X4146">
        <v>2</v>
      </c>
      <c r="Y4146">
        <v>0</v>
      </c>
      <c r="AA4146">
        <v>1</v>
      </c>
      <c r="AB4146">
        <v>8</v>
      </c>
      <c r="AC4146">
        <v>3</v>
      </c>
      <c r="AD4146">
        <v>0</v>
      </c>
      <c r="AE4146">
        <v>9</v>
      </c>
      <c r="AF4146" t="s">
        <v>138</v>
      </c>
      <c r="AG4146">
        <v>0</v>
      </c>
      <c r="AH4146">
        <v>3</v>
      </c>
      <c r="AI4146">
        <v>1</v>
      </c>
      <c r="AJ4146">
        <v>0</v>
      </c>
      <c r="AK4146" t="s">
        <v>1328</v>
      </c>
      <c r="AL4146">
        <v>32.742176000000001</v>
      </c>
      <c r="AM4146" t="s">
        <v>1329</v>
      </c>
      <c r="AN4146">
        <v>-116.67604900000001</v>
      </c>
      <c r="AO4146">
        <v>25</v>
      </c>
      <c r="AP4146">
        <v>4900</v>
      </c>
      <c r="AQ4146" t="s">
        <v>129</v>
      </c>
      <c r="AR4146">
        <v>-70</v>
      </c>
      <c r="AS4146">
        <v>122</v>
      </c>
      <c r="AT4146">
        <v>-64</v>
      </c>
      <c r="BB4146">
        <v>1200</v>
      </c>
      <c r="BC4146">
        <v>1</v>
      </c>
      <c r="BD4146" t="str">
        <f t="shared" si="1510"/>
        <v xml:space="preserve">N887QR  </v>
      </c>
      <c r="BE4146">
        <v>1</v>
      </c>
      <c r="BG4146">
        <v>0</v>
      </c>
      <c r="BH4146">
        <v>0</v>
      </c>
      <c r="BI4146">
        <v>0</v>
      </c>
      <c r="BJ4146">
        <v>4675</v>
      </c>
      <c r="BK4146">
        <v>-225</v>
      </c>
      <c r="BL4146" t="s">
        <v>163</v>
      </c>
      <c r="BM4146">
        <v>1</v>
      </c>
      <c r="BN4146">
        <v>1</v>
      </c>
      <c r="BO4146">
        <v>1</v>
      </c>
      <c r="BP4146">
        <v>0</v>
      </c>
      <c r="BS4146">
        <v>0.04</v>
      </c>
      <c r="BT4146">
        <v>0</v>
      </c>
      <c r="BU4146">
        <v>0</v>
      </c>
      <c r="CE4146" t="str">
        <f t="shared" si="1527"/>
        <v>19:36:42.788</v>
      </c>
      <c r="CF4146">
        <v>788128866</v>
      </c>
      <c r="CS4146">
        <v>0</v>
      </c>
      <c r="CT4146">
        <v>2</v>
      </c>
      <c r="CU4146">
        <v>0</v>
      </c>
      <c r="CV4146">
        <v>2</v>
      </c>
      <c r="CW4146">
        <v>0</v>
      </c>
      <c r="CX4146">
        <v>5</v>
      </c>
      <c r="CY4146">
        <v>7</v>
      </c>
      <c r="CZ4146" t="s">
        <v>131</v>
      </c>
      <c r="DA4146">
        <v>300</v>
      </c>
      <c r="DB4146">
        <v>0</v>
      </c>
      <c r="DC4146" t="s">
        <v>176</v>
      </c>
      <c r="DD4146" t="s">
        <v>177</v>
      </c>
      <c r="DG4146">
        <v>5456690</v>
      </c>
      <c r="DI4146">
        <v>1</v>
      </c>
      <c r="DJ4146">
        <v>0</v>
      </c>
      <c r="DK4146">
        <v>1</v>
      </c>
      <c r="DL4146">
        <v>0</v>
      </c>
      <c r="DM4146">
        <v>0</v>
      </c>
      <c r="DN4146">
        <v>1</v>
      </c>
      <c r="DO4146">
        <v>0</v>
      </c>
      <c r="DP4146">
        <v>0</v>
      </c>
      <c r="DQ4146">
        <v>0</v>
      </c>
      <c r="DR4146">
        <v>0</v>
      </c>
      <c r="DS4146">
        <v>0</v>
      </c>
    </row>
    <row r="4147" spans="1:123" x14ac:dyDescent="0.3">
      <c r="A4147" t="str">
        <f t="shared" si="1525"/>
        <v>10/04/2022 19:36:43.151</v>
      </c>
      <c r="C4147" t="str">
        <f t="shared" si="1524"/>
        <v>FFDFD3C0</v>
      </c>
      <c r="D4147" t="s">
        <v>136</v>
      </c>
      <c r="E4147">
        <v>8</v>
      </c>
      <c r="H4147">
        <v>225</v>
      </c>
      <c r="I4147" t="s">
        <v>137</v>
      </c>
      <c r="J4147" t="s">
        <v>138</v>
      </c>
      <c r="K4147">
        <v>0</v>
      </c>
      <c r="L4147">
        <v>3</v>
      </c>
      <c r="M4147">
        <v>0</v>
      </c>
      <c r="N4147">
        <v>2</v>
      </c>
      <c r="O4147">
        <v>0</v>
      </c>
      <c r="P4147">
        <v>1</v>
      </c>
      <c r="Q4147">
        <v>0</v>
      </c>
      <c r="S4147" t="str">
        <f t="shared" si="1526"/>
        <v>19:36:42.000</v>
      </c>
      <c r="T4147" t="str">
        <f t="shared" si="1526"/>
        <v>19:36:42.000</v>
      </c>
      <c r="U4147" t="str">
        <f t="shared" si="1509"/>
        <v>AC3944</v>
      </c>
      <c r="V4147">
        <v>0</v>
      </c>
      <c r="W4147">
        <v>0</v>
      </c>
      <c r="X4147">
        <v>2</v>
      </c>
      <c r="Y4147">
        <v>0</v>
      </c>
      <c r="AA4147">
        <v>1</v>
      </c>
      <c r="AB4147">
        <v>8</v>
      </c>
      <c r="AC4147">
        <v>3</v>
      </c>
      <c r="AD4147">
        <v>0</v>
      </c>
      <c r="AE4147">
        <v>9</v>
      </c>
      <c r="AF4147" t="s">
        <v>138</v>
      </c>
      <c r="AG4147">
        <v>0</v>
      </c>
      <c r="AH4147">
        <v>3</v>
      </c>
      <c r="AI4147">
        <v>1</v>
      </c>
      <c r="AJ4147">
        <v>0</v>
      </c>
      <c r="AK4147" t="s">
        <v>1328</v>
      </c>
      <c r="AL4147">
        <v>32.742176000000001</v>
      </c>
      <c r="AM4147" t="s">
        <v>1329</v>
      </c>
      <c r="AN4147">
        <v>-116.67604900000001</v>
      </c>
      <c r="AO4147">
        <v>25</v>
      </c>
      <c r="AP4147">
        <v>4900</v>
      </c>
      <c r="AQ4147" t="s">
        <v>129</v>
      </c>
      <c r="AR4147">
        <v>-70</v>
      </c>
      <c r="AS4147">
        <v>122</v>
      </c>
      <c r="AT4147">
        <v>-64</v>
      </c>
      <c r="BB4147">
        <v>1200</v>
      </c>
      <c r="BC4147">
        <v>1</v>
      </c>
      <c r="BD4147" t="str">
        <f t="shared" si="1510"/>
        <v xml:space="preserve">N887QR  </v>
      </c>
      <c r="BE4147">
        <v>1</v>
      </c>
      <c r="BG4147">
        <v>0</v>
      </c>
      <c r="BH4147">
        <v>0</v>
      </c>
      <c r="BI4147">
        <v>0</v>
      </c>
      <c r="BJ4147">
        <v>4675</v>
      </c>
      <c r="BK4147">
        <v>-225</v>
      </c>
      <c r="BL4147" t="s">
        <v>163</v>
      </c>
      <c r="BM4147">
        <v>1</v>
      </c>
      <c r="BN4147">
        <v>1</v>
      </c>
      <c r="BO4147">
        <v>1</v>
      </c>
      <c r="BP4147">
        <v>0</v>
      </c>
      <c r="BS4147">
        <v>0.04</v>
      </c>
      <c r="BT4147">
        <v>0</v>
      </c>
      <c r="BU4147">
        <v>0</v>
      </c>
      <c r="CE4147" t="str">
        <f t="shared" si="1527"/>
        <v>19:36:42.788</v>
      </c>
      <c r="CF4147">
        <v>788128866</v>
      </c>
      <c r="CS4147">
        <v>0</v>
      </c>
      <c r="CT4147">
        <v>2</v>
      </c>
      <c r="CU4147">
        <v>0</v>
      </c>
      <c r="CV4147">
        <v>2</v>
      </c>
      <c r="CW4147">
        <v>0</v>
      </c>
      <c r="CX4147">
        <v>5</v>
      </c>
      <c r="CY4147">
        <v>7</v>
      </c>
      <c r="CZ4147" t="s">
        <v>131</v>
      </c>
      <c r="DA4147">
        <v>300</v>
      </c>
      <c r="DB4147">
        <v>0</v>
      </c>
      <c r="DC4147" t="s">
        <v>176</v>
      </c>
      <c r="DD4147" t="s">
        <v>177</v>
      </c>
      <c r="DG4147">
        <v>5456690</v>
      </c>
      <c r="DI4147">
        <v>1</v>
      </c>
      <c r="DJ4147">
        <v>0</v>
      </c>
      <c r="DK4147">
        <v>1</v>
      </c>
      <c r="DL4147">
        <v>0</v>
      </c>
      <c r="DM4147">
        <v>0</v>
      </c>
      <c r="DN4147">
        <v>1</v>
      </c>
      <c r="DO4147">
        <v>0</v>
      </c>
      <c r="DP4147">
        <v>0</v>
      </c>
      <c r="DQ4147">
        <v>0</v>
      </c>
      <c r="DR4147">
        <v>0</v>
      </c>
      <c r="DS4147">
        <v>0</v>
      </c>
    </row>
    <row r="4148" spans="1:123" x14ac:dyDescent="0.3">
      <c r="A4148" t="str">
        <f t="shared" si="1525"/>
        <v>10/04/2022 19:36:43.151</v>
      </c>
      <c r="C4148" t="str">
        <f t="shared" si="1524"/>
        <v>FFDFD3C0</v>
      </c>
      <c r="D4148" t="s">
        <v>134</v>
      </c>
      <c r="E4148">
        <v>15</v>
      </c>
      <c r="J4148" t="s">
        <v>135</v>
      </c>
      <c r="K4148">
        <v>0</v>
      </c>
      <c r="L4148">
        <v>3</v>
      </c>
      <c r="M4148">
        <v>0</v>
      </c>
      <c r="N4148">
        <v>2</v>
      </c>
      <c r="O4148">
        <v>0</v>
      </c>
      <c r="P4148">
        <v>1</v>
      </c>
      <c r="Q4148">
        <v>0</v>
      </c>
      <c r="S4148" t="str">
        <f t="shared" si="1526"/>
        <v>19:36:42.000</v>
      </c>
      <c r="T4148" t="str">
        <f t="shared" si="1526"/>
        <v>19:36:42.000</v>
      </c>
      <c r="U4148" t="str">
        <f t="shared" si="1509"/>
        <v>AC3944</v>
      </c>
      <c r="V4148">
        <v>0</v>
      </c>
      <c r="W4148">
        <v>0</v>
      </c>
      <c r="X4148">
        <v>2</v>
      </c>
      <c r="Y4148">
        <v>0</v>
      </c>
      <c r="AA4148">
        <v>1</v>
      </c>
      <c r="AB4148">
        <v>8</v>
      </c>
      <c r="AC4148">
        <v>3</v>
      </c>
      <c r="AD4148">
        <v>0</v>
      </c>
      <c r="AE4148">
        <v>9</v>
      </c>
      <c r="AF4148" t="s">
        <v>138</v>
      </c>
      <c r="AG4148">
        <v>0</v>
      </c>
      <c r="AH4148">
        <v>3</v>
      </c>
      <c r="AI4148">
        <v>1</v>
      </c>
      <c r="AJ4148">
        <v>0</v>
      </c>
      <c r="AK4148" t="s">
        <v>1328</v>
      </c>
      <c r="AL4148">
        <v>32.742176000000001</v>
      </c>
      <c r="AM4148" t="s">
        <v>1329</v>
      </c>
      <c r="AN4148">
        <v>-116.67604900000001</v>
      </c>
      <c r="AO4148">
        <v>25</v>
      </c>
      <c r="AP4148">
        <v>4900</v>
      </c>
      <c r="AQ4148" t="s">
        <v>129</v>
      </c>
      <c r="AR4148">
        <v>-70</v>
      </c>
      <c r="AS4148">
        <v>122</v>
      </c>
      <c r="AT4148">
        <v>-64</v>
      </c>
      <c r="BB4148">
        <v>1200</v>
      </c>
      <c r="BC4148">
        <v>1</v>
      </c>
      <c r="BD4148" t="str">
        <f t="shared" si="1510"/>
        <v xml:space="preserve">N887QR  </v>
      </c>
      <c r="BE4148">
        <v>1</v>
      </c>
      <c r="BG4148">
        <v>0</v>
      </c>
      <c r="BH4148">
        <v>0</v>
      </c>
      <c r="BI4148">
        <v>0</v>
      </c>
      <c r="BJ4148">
        <v>4675</v>
      </c>
      <c r="BK4148">
        <v>-225</v>
      </c>
      <c r="BL4148" t="s">
        <v>163</v>
      </c>
      <c r="BM4148">
        <v>1</v>
      </c>
      <c r="BN4148">
        <v>1</v>
      </c>
      <c r="BO4148">
        <v>1</v>
      </c>
      <c r="BP4148">
        <v>0</v>
      </c>
      <c r="BS4148">
        <v>0.04</v>
      </c>
      <c r="BT4148">
        <v>0</v>
      </c>
      <c r="BU4148">
        <v>0</v>
      </c>
      <c r="CE4148" t="str">
        <f t="shared" si="1527"/>
        <v>19:36:42.788</v>
      </c>
      <c r="CF4148">
        <v>788128866</v>
      </c>
      <c r="CS4148">
        <v>0</v>
      </c>
      <c r="CT4148">
        <v>2</v>
      </c>
      <c r="CU4148">
        <v>0</v>
      </c>
      <c r="CV4148">
        <v>2</v>
      </c>
      <c r="CW4148">
        <v>0</v>
      </c>
      <c r="CX4148">
        <v>5</v>
      </c>
      <c r="CY4148">
        <v>7</v>
      </c>
      <c r="CZ4148" t="s">
        <v>131</v>
      </c>
      <c r="DA4148">
        <v>300</v>
      </c>
      <c r="DB4148">
        <v>0</v>
      </c>
      <c r="DC4148" t="s">
        <v>176</v>
      </c>
      <c r="DD4148" t="s">
        <v>177</v>
      </c>
      <c r="DG4148">
        <v>5456690</v>
      </c>
      <c r="DI4148">
        <v>1</v>
      </c>
      <c r="DJ4148">
        <v>0</v>
      </c>
      <c r="DK4148">
        <v>1</v>
      </c>
      <c r="DL4148">
        <v>0</v>
      </c>
      <c r="DM4148">
        <v>0</v>
      </c>
      <c r="DN4148">
        <v>1</v>
      </c>
      <c r="DO4148">
        <v>0</v>
      </c>
      <c r="DP4148">
        <v>0</v>
      </c>
      <c r="DQ4148">
        <v>0</v>
      </c>
      <c r="DR4148">
        <v>0</v>
      </c>
      <c r="DS4148">
        <v>0</v>
      </c>
    </row>
    <row r="4149" spans="1:123" x14ac:dyDescent="0.3">
      <c r="A4149" t="str">
        <f t="shared" si="1525"/>
        <v>10/04/2022 19:36:43.151</v>
      </c>
      <c r="C4149" t="str">
        <f t="shared" si="1524"/>
        <v>FFDFD3C0</v>
      </c>
      <c r="D4149" t="s">
        <v>143</v>
      </c>
      <c r="E4149">
        <v>20</v>
      </c>
      <c r="F4149">
        <v>1020</v>
      </c>
      <c r="G4149" t="s">
        <v>144</v>
      </c>
      <c r="J4149" t="s">
        <v>145</v>
      </c>
      <c r="K4149">
        <v>0</v>
      </c>
      <c r="L4149">
        <v>3</v>
      </c>
      <c r="M4149">
        <v>0</v>
      </c>
      <c r="N4149">
        <v>2</v>
      </c>
      <c r="O4149">
        <v>0</v>
      </c>
      <c r="P4149">
        <v>1</v>
      </c>
      <c r="Q4149">
        <v>0</v>
      </c>
      <c r="S4149" t="str">
        <f t="shared" si="1526"/>
        <v>19:36:42.000</v>
      </c>
      <c r="T4149" t="str">
        <f t="shared" si="1526"/>
        <v>19:36:42.000</v>
      </c>
      <c r="U4149" t="str">
        <f t="shared" si="1509"/>
        <v>AC3944</v>
      </c>
      <c r="V4149">
        <v>0</v>
      </c>
      <c r="W4149">
        <v>0</v>
      </c>
      <c r="X4149">
        <v>2</v>
      </c>
      <c r="Y4149">
        <v>0</v>
      </c>
      <c r="AA4149">
        <v>1</v>
      </c>
      <c r="AB4149">
        <v>8</v>
      </c>
      <c r="AC4149">
        <v>3</v>
      </c>
      <c r="AD4149">
        <v>0</v>
      </c>
      <c r="AE4149">
        <v>9</v>
      </c>
      <c r="AF4149" t="s">
        <v>138</v>
      </c>
      <c r="AG4149">
        <v>0</v>
      </c>
      <c r="AH4149">
        <v>3</v>
      </c>
      <c r="AI4149">
        <v>1</v>
      </c>
      <c r="AJ4149">
        <v>0</v>
      </c>
      <c r="AK4149" t="s">
        <v>1328</v>
      </c>
      <c r="AL4149">
        <v>32.742176000000001</v>
      </c>
      <c r="AM4149" t="s">
        <v>1329</v>
      </c>
      <c r="AN4149">
        <v>-116.67604900000001</v>
      </c>
      <c r="AO4149">
        <v>25</v>
      </c>
      <c r="AP4149">
        <v>4900</v>
      </c>
      <c r="AQ4149" t="s">
        <v>129</v>
      </c>
      <c r="AR4149">
        <v>-70</v>
      </c>
      <c r="AS4149">
        <v>122</v>
      </c>
      <c r="AT4149">
        <v>-64</v>
      </c>
      <c r="BB4149">
        <v>1200</v>
      </c>
      <c r="BC4149">
        <v>1</v>
      </c>
      <c r="BD4149" t="str">
        <f t="shared" si="1510"/>
        <v xml:space="preserve">N887QR  </v>
      </c>
      <c r="BE4149">
        <v>1</v>
      </c>
      <c r="BG4149">
        <v>0</v>
      </c>
      <c r="BH4149">
        <v>0</v>
      </c>
      <c r="BI4149">
        <v>0</v>
      </c>
      <c r="BJ4149">
        <v>4675</v>
      </c>
      <c r="BK4149">
        <v>-225</v>
      </c>
      <c r="BL4149" t="s">
        <v>163</v>
      </c>
      <c r="BM4149">
        <v>1</v>
      </c>
      <c r="BN4149">
        <v>1</v>
      </c>
      <c r="BO4149">
        <v>1</v>
      </c>
      <c r="BP4149">
        <v>0</v>
      </c>
      <c r="BS4149">
        <v>0.04</v>
      </c>
      <c r="BT4149">
        <v>0</v>
      </c>
      <c r="BU4149">
        <v>0</v>
      </c>
      <c r="CE4149" t="str">
        <f t="shared" si="1527"/>
        <v>19:36:42.788</v>
      </c>
      <c r="CF4149">
        <v>788128866</v>
      </c>
      <c r="CS4149">
        <v>0</v>
      </c>
      <c r="CT4149">
        <v>2</v>
      </c>
      <c r="CU4149">
        <v>0</v>
      </c>
      <c r="CV4149">
        <v>2</v>
      </c>
      <c r="CW4149">
        <v>0</v>
      </c>
      <c r="CX4149">
        <v>5</v>
      </c>
      <c r="CY4149">
        <v>7</v>
      </c>
      <c r="CZ4149" t="s">
        <v>131</v>
      </c>
      <c r="DA4149">
        <v>300</v>
      </c>
      <c r="DB4149">
        <v>0</v>
      </c>
      <c r="DC4149" t="s">
        <v>176</v>
      </c>
      <c r="DD4149" t="s">
        <v>177</v>
      </c>
      <c r="DG4149">
        <v>5456690</v>
      </c>
      <c r="DI4149">
        <v>1</v>
      </c>
      <c r="DJ4149">
        <v>0</v>
      </c>
      <c r="DK4149">
        <v>1</v>
      </c>
      <c r="DL4149">
        <v>0</v>
      </c>
      <c r="DM4149">
        <v>0</v>
      </c>
      <c r="DN4149">
        <v>1</v>
      </c>
      <c r="DO4149">
        <v>0</v>
      </c>
      <c r="DP4149">
        <v>0</v>
      </c>
      <c r="DQ4149">
        <v>0</v>
      </c>
      <c r="DR4149">
        <v>0</v>
      </c>
      <c r="DS4149">
        <v>0</v>
      </c>
    </row>
    <row r="4150" spans="1:123" x14ac:dyDescent="0.3">
      <c r="A4150" t="str">
        <f>"10/04/2022 19:36:44.683"</f>
        <v>10/04/2022 19:36:44.683</v>
      </c>
      <c r="C4150" t="str">
        <f t="shared" si="1524"/>
        <v>FFDFD3C0</v>
      </c>
      <c r="D4150" t="s">
        <v>123</v>
      </c>
      <c r="E4150">
        <v>7</v>
      </c>
      <c r="F4150">
        <v>2007</v>
      </c>
      <c r="G4150" t="s">
        <v>124</v>
      </c>
      <c r="J4150" t="s">
        <v>125</v>
      </c>
      <c r="K4150">
        <v>0</v>
      </c>
      <c r="L4150">
        <v>3</v>
      </c>
      <c r="M4150">
        <v>0</v>
      </c>
      <c r="N4150">
        <v>2</v>
      </c>
      <c r="O4150">
        <v>0</v>
      </c>
      <c r="P4150">
        <v>1</v>
      </c>
      <c r="Q4150">
        <v>0</v>
      </c>
      <c r="S4150" t="str">
        <f t="shared" ref="S4150:T4156" si="1528">"19:36:44.000"</f>
        <v>19:36:44.000</v>
      </c>
      <c r="T4150" t="str">
        <f t="shared" si="1528"/>
        <v>19:36:44.000</v>
      </c>
      <c r="U4150" t="str">
        <f t="shared" si="1509"/>
        <v>AC3944</v>
      </c>
      <c r="V4150">
        <v>0</v>
      </c>
      <c r="W4150">
        <v>0</v>
      </c>
      <c r="X4150">
        <v>2</v>
      </c>
      <c r="Y4150">
        <v>0</v>
      </c>
      <c r="AA4150">
        <v>1</v>
      </c>
      <c r="AB4150">
        <v>8</v>
      </c>
      <c r="AC4150">
        <v>3</v>
      </c>
      <c r="AD4150">
        <v>0</v>
      </c>
      <c r="AE4150">
        <v>9</v>
      </c>
      <c r="AF4150" t="s">
        <v>138</v>
      </c>
      <c r="AG4150">
        <v>0</v>
      </c>
      <c r="AH4150">
        <v>3</v>
      </c>
      <c r="AI4150">
        <v>1</v>
      </c>
      <c r="AJ4150">
        <v>0</v>
      </c>
      <c r="AK4150" t="s">
        <v>1330</v>
      </c>
      <c r="AL4150">
        <v>32.742733999999999</v>
      </c>
      <c r="AM4150" t="s">
        <v>1331</v>
      </c>
      <c r="AN4150">
        <v>-116.676457</v>
      </c>
      <c r="AO4150">
        <v>25</v>
      </c>
      <c r="AP4150">
        <v>4900</v>
      </c>
      <c r="AQ4150" t="s">
        <v>129</v>
      </c>
      <c r="AR4150">
        <v>-84</v>
      </c>
      <c r="AS4150">
        <v>113</v>
      </c>
      <c r="AT4150">
        <v>0</v>
      </c>
      <c r="BB4150">
        <v>1200</v>
      </c>
      <c r="BC4150">
        <v>1</v>
      </c>
      <c r="BD4150" t="str">
        <f t="shared" si="1510"/>
        <v xml:space="preserve">N887QR  </v>
      </c>
      <c r="BE4150">
        <v>1</v>
      </c>
      <c r="BG4150">
        <v>0</v>
      </c>
      <c r="BH4150">
        <v>0</v>
      </c>
      <c r="BI4150">
        <v>0</v>
      </c>
      <c r="BJ4150">
        <v>4675</v>
      </c>
      <c r="BK4150">
        <v>-225</v>
      </c>
      <c r="BL4150" t="s">
        <v>163</v>
      </c>
      <c r="BM4150">
        <v>1</v>
      </c>
      <c r="BN4150">
        <v>1</v>
      </c>
      <c r="BO4150">
        <v>1</v>
      </c>
      <c r="BP4150">
        <v>0</v>
      </c>
      <c r="BS4150">
        <v>0.04</v>
      </c>
      <c r="BT4150">
        <v>0</v>
      </c>
      <c r="BU4150">
        <v>0</v>
      </c>
      <c r="CE4150" t="str">
        <f t="shared" ref="CE4150:CE4156" si="1529">"19:36:44.481"</f>
        <v>19:36:44.481</v>
      </c>
      <c r="CF4150">
        <v>480883825</v>
      </c>
      <c r="CS4150">
        <v>0</v>
      </c>
      <c r="CT4150">
        <v>2</v>
      </c>
      <c r="CU4150">
        <v>0</v>
      </c>
      <c r="CV4150">
        <v>2</v>
      </c>
      <c r="CW4150">
        <v>0</v>
      </c>
      <c r="CX4150">
        <v>3</v>
      </c>
      <c r="CY4150">
        <v>7</v>
      </c>
      <c r="CZ4150" t="s">
        <v>131</v>
      </c>
      <c r="DA4150">
        <v>300</v>
      </c>
      <c r="DB4150">
        <v>0</v>
      </c>
      <c r="DC4150" t="s">
        <v>176</v>
      </c>
      <c r="DD4150" t="s">
        <v>177</v>
      </c>
      <c r="DG4150">
        <v>5456955</v>
      </c>
      <c r="DI4150">
        <v>0</v>
      </c>
      <c r="DJ4150">
        <v>0</v>
      </c>
      <c r="DK4150">
        <v>0</v>
      </c>
      <c r="DL4150">
        <v>0</v>
      </c>
      <c r="DM4150">
        <v>0</v>
      </c>
      <c r="DN4150">
        <v>1</v>
      </c>
      <c r="DO4150">
        <v>0</v>
      </c>
      <c r="DP4150">
        <v>0</v>
      </c>
      <c r="DQ4150">
        <v>0</v>
      </c>
      <c r="DR4150">
        <v>0</v>
      </c>
      <c r="DS4150">
        <v>0</v>
      </c>
    </row>
    <row r="4151" spans="1:123" x14ac:dyDescent="0.3">
      <c r="A4151" t="str">
        <f>"10/04/2022 19:36:44.683"</f>
        <v>10/04/2022 19:36:44.683</v>
      </c>
      <c r="C4151" t="str">
        <f t="shared" si="1524"/>
        <v>FFDFD3C0</v>
      </c>
      <c r="D4151" t="s">
        <v>134</v>
      </c>
      <c r="E4151">
        <v>15</v>
      </c>
      <c r="J4151" t="s">
        <v>135</v>
      </c>
      <c r="K4151">
        <v>0</v>
      </c>
      <c r="L4151">
        <v>3</v>
      </c>
      <c r="M4151">
        <v>0</v>
      </c>
      <c r="N4151">
        <v>2</v>
      </c>
      <c r="O4151">
        <v>0</v>
      </c>
      <c r="P4151">
        <v>1</v>
      </c>
      <c r="Q4151">
        <v>0</v>
      </c>
      <c r="S4151" t="str">
        <f t="shared" si="1528"/>
        <v>19:36:44.000</v>
      </c>
      <c r="T4151" t="str">
        <f t="shared" si="1528"/>
        <v>19:36:44.000</v>
      </c>
      <c r="U4151" t="str">
        <f t="shared" si="1509"/>
        <v>AC3944</v>
      </c>
      <c r="V4151">
        <v>0</v>
      </c>
      <c r="W4151">
        <v>0</v>
      </c>
      <c r="X4151">
        <v>2</v>
      </c>
      <c r="Y4151">
        <v>0</v>
      </c>
      <c r="AA4151">
        <v>1</v>
      </c>
      <c r="AB4151">
        <v>8</v>
      </c>
      <c r="AC4151">
        <v>3</v>
      </c>
      <c r="AD4151">
        <v>0</v>
      </c>
      <c r="AE4151">
        <v>9</v>
      </c>
      <c r="AF4151" t="s">
        <v>138</v>
      </c>
      <c r="AG4151">
        <v>0</v>
      </c>
      <c r="AH4151">
        <v>3</v>
      </c>
      <c r="AI4151">
        <v>1</v>
      </c>
      <c r="AJ4151">
        <v>0</v>
      </c>
      <c r="AK4151" t="s">
        <v>1330</v>
      </c>
      <c r="AL4151">
        <v>32.742733999999999</v>
      </c>
      <c r="AM4151" t="s">
        <v>1331</v>
      </c>
      <c r="AN4151">
        <v>-116.676457</v>
      </c>
      <c r="AO4151">
        <v>25</v>
      </c>
      <c r="AP4151">
        <v>4900</v>
      </c>
      <c r="AQ4151" t="s">
        <v>129</v>
      </c>
      <c r="AR4151">
        <v>-84</v>
      </c>
      <c r="AS4151">
        <v>113</v>
      </c>
      <c r="AT4151">
        <v>0</v>
      </c>
      <c r="BB4151">
        <v>1200</v>
      </c>
      <c r="BC4151">
        <v>1</v>
      </c>
      <c r="BD4151" t="str">
        <f t="shared" si="1510"/>
        <v xml:space="preserve">N887QR  </v>
      </c>
      <c r="BE4151">
        <v>1</v>
      </c>
      <c r="BG4151">
        <v>0</v>
      </c>
      <c r="BH4151">
        <v>0</v>
      </c>
      <c r="BI4151">
        <v>0</v>
      </c>
      <c r="BJ4151">
        <v>4675</v>
      </c>
      <c r="BK4151">
        <v>-225</v>
      </c>
      <c r="BL4151" t="s">
        <v>163</v>
      </c>
      <c r="BM4151">
        <v>1</v>
      </c>
      <c r="BN4151">
        <v>1</v>
      </c>
      <c r="BO4151">
        <v>1</v>
      </c>
      <c r="BP4151">
        <v>0</v>
      </c>
      <c r="BS4151">
        <v>0.04</v>
      </c>
      <c r="BT4151">
        <v>0</v>
      </c>
      <c r="BU4151">
        <v>0</v>
      </c>
      <c r="CE4151" t="str">
        <f t="shared" si="1529"/>
        <v>19:36:44.481</v>
      </c>
      <c r="CF4151">
        <v>480883825</v>
      </c>
      <c r="CS4151">
        <v>0</v>
      </c>
      <c r="CT4151">
        <v>2</v>
      </c>
      <c r="CU4151">
        <v>0</v>
      </c>
      <c r="CV4151">
        <v>2</v>
      </c>
      <c r="CW4151">
        <v>0</v>
      </c>
      <c r="CX4151">
        <v>3</v>
      </c>
      <c r="CY4151">
        <v>7</v>
      </c>
      <c r="CZ4151" t="s">
        <v>131</v>
      </c>
      <c r="DA4151">
        <v>300</v>
      </c>
      <c r="DB4151">
        <v>0</v>
      </c>
      <c r="DC4151" t="s">
        <v>176</v>
      </c>
      <c r="DD4151" t="s">
        <v>177</v>
      </c>
      <c r="DG4151">
        <v>5456955</v>
      </c>
      <c r="DI4151">
        <v>0</v>
      </c>
      <c r="DJ4151">
        <v>0</v>
      </c>
      <c r="DK4151">
        <v>1</v>
      </c>
      <c r="DL4151">
        <v>0</v>
      </c>
      <c r="DM4151">
        <v>0</v>
      </c>
      <c r="DN4151">
        <v>1</v>
      </c>
      <c r="DO4151">
        <v>0</v>
      </c>
      <c r="DP4151">
        <v>0</v>
      </c>
      <c r="DQ4151">
        <v>0</v>
      </c>
      <c r="DR4151">
        <v>0</v>
      </c>
      <c r="DS4151">
        <v>0</v>
      </c>
    </row>
    <row r="4152" spans="1:123" x14ac:dyDescent="0.3">
      <c r="A4152" t="str">
        <f>"10/04/2022 19:36:44.683"</f>
        <v>10/04/2022 19:36:44.683</v>
      </c>
      <c r="C4152" t="str">
        <f t="shared" si="1524"/>
        <v>FFDFD3C0</v>
      </c>
      <c r="D4152" t="s">
        <v>141</v>
      </c>
      <c r="E4152">
        <v>3</v>
      </c>
      <c r="H4152">
        <v>3</v>
      </c>
      <c r="I4152" t="s">
        <v>146</v>
      </c>
      <c r="J4152" t="s">
        <v>138</v>
      </c>
      <c r="K4152">
        <v>0</v>
      </c>
      <c r="L4152">
        <v>3</v>
      </c>
      <c r="M4152">
        <v>0</v>
      </c>
      <c r="N4152">
        <v>2</v>
      </c>
      <c r="O4152">
        <v>0</v>
      </c>
      <c r="P4152">
        <v>1</v>
      </c>
      <c r="Q4152">
        <v>0</v>
      </c>
      <c r="S4152" t="str">
        <f t="shared" si="1528"/>
        <v>19:36:44.000</v>
      </c>
      <c r="T4152" t="str">
        <f t="shared" si="1528"/>
        <v>19:36:44.000</v>
      </c>
      <c r="U4152" t="str">
        <f t="shared" si="1509"/>
        <v>AC3944</v>
      </c>
      <c r="V4152">
        <v>0</v>
      </c>
      <c r="W4152">
        <v>0</v>
      </c>
      <c r="X4152">
        <v>2</v>
      </c>
      <c r="Y4152">
        <v>0</v>
      </c>
      <c r="AA4152">
        <v>1</v>
      </c>
      <c r="AB4152">
        <v>8</v>
      </c>
      <c r="AC4152">
        <v>3</v>
      </c>
      <c r="AD4152">
        <v>0</v>
      </c>
      <c r="AE4152">
        <v>9</v>
      </c>
      <c r="AF4152" t="s">
        <v>138</v>
      </c>
      <c r="AG4152">
        <v>0</v>
      </c>
      <c r="AH4152">
        <v>3</v>
      </c>
      <c r="AI4152">
        <v>1</v>
      </c>
      <c r="AJ4152">
        <v>0</v>
      </c>
      <c r="AK4152" t="s">
        <v>1330</v>
      </c>
      <c r="AL4152">
        <v>32.742733999999999</v>
      </c>
      <c r="AM4152" t="s">
        <v>1331</v>
      </c>
      <c r="AN4152">
        <v>-116.676457</v>
      </c>
      <c r="AO4152">
        <v>25</v>
      </c>
      <c r="AP4152">
        <v>4900</v>
      </c>
      <c r="AQ4152" t="s">
        <v>129</v>
      </c>
      <c r="AR4152">
        <v>-84</v>
      </c>
      <c r="AS4152">
        <v>113</v>
      </c>
      <c r="AT4152">
        <v>0</v>
      </c>
      <c r="BB4152">
        <v>1200</v>
      </c>
      <c r="BC4152">
        <v>1</v>
      </c>
      <c r="BD4152" t="str">
        <f t="shared" si="1510"/>
        <v xml:space="preserve">N887QR  </v>
      </c>
      <c r="BE4152">
        <v>1</v>
      </c>
      <c r="BG4152">
        <v>0</v>
      </c>
      <c r="BH4152">
        <v>0</v>
      </c>
      <c r="BI4152">
        <v>0</v>
      </c>
      <c r="BJ4152">
        <v>4675</v>
      </c>
      <c r="BK4152">
        <v>-225</v>
      </c>
      <c r="BL4152" t="s">
        <v>163</v>
      </c>
      <c r="BM4152">
        <v>1</v>
      </c>
      <c r="BN4152">
        <v>1</v>
      </c>
      <c r="BO4152">
        <v>1</v>
      </c>
      <c r="BP4152">
        <v>0</v>
      </c>
      <c r="BS4152">
        <v>0.04</v>
      </c>
      <c r="BT4152">
        <v>0</v>
      </c>
      <c r="BU4152">
        <v>0</v>
      </c>
      <c r="CE4152" t="str">
        <f t="shared" si="1529"/>
        <v>19:36:44.481</v>
      </c>
      <c r="CF4152">
        <v>480883825</v>
      </c>
      <c r="CS4152">
        <v>0</v>
      </c>
      <c r="CT4152">
        <v>2</v>
      </c>
      <c r="CU4152">
        <v>0</v>
      </c>
      <c r="CV4152">
        <v>2</v>
      </c>
      <c r="CW4152">
        <v>0</v>
      </c>
      <c r="CX4152">
        <v>3</v>
      </c>
      <c r="CY4152">
        <v>7</v>
      </c>
      <c r="CZ4152" t="s">
        <v>131</v>
      </c>
      <c r="DA4152">
        <v>300</v>
      </c>
      <c r="DB4152">
        <v>0</v>
      </c>
      <c r="DC4152" t="s">
        <v>176</v>
      </c>
      <c r="DD4152" t="s">
        <v>177</v>
      </c>
      <c r="DG4152">
        <v>5456955</v>
      </c>
      <c r="DI4152">
        <v>0</v>
      </c>
      <c r="DJ4152">
        <v>0</v>
      </c>
      <c r="DK4152">
        <v>1</v>
      </c>
      <c r="DL4152">
        <v>0</v>
      </c>
      <c r="DM4152">
        <v>0</v>
      </c>
      <c r="DN4152">
        <v>1</v>
      </c>
      <c r="DO4152">
        <v>0</v>
      </c>
      <c r="DP4152">
        <v>0</v>
      </c>
      <c r="DQ4152">
        <v>0</v>
      </c>
      <c r="DR4152">
        <v>0</v>
      </c>
      <c r="DS4152">
        <v>0</v>
      </c>
    </row>
    <row r="4153" spans="1:123" x14ac:dyDescent="0.3">
      <c r="A4153" t="str">
        <f>"10/04/2022 19:36:44.683"</f>
        <v>10/04/2022 19:36:44.683</v>
      </c>
      <c r="C4153" t="str">
        <f t="shared" si="1524"/>
        <v>FFDFD3C0</v>
      </c>
      <c r="D4153" t="s">
        <v>141</v>
      </c>
      <c r="E4153">
        <v>4</v>
      </c>
      <c r="H4153">
        <v>4</v>
      </c>
      <c r="I4153" t="s">
        <v>142</v>
      </c>
      <c r="J4153" t="s">
        <v>138</v>
      </c>
      <c r="K4153">
        <v>0</v>
      </c>
      <c r="L4153">
        <v>3</v>
      </c>
      <c r="M4153">
        <v>0</v>
      </c>
      <c r="N4153">
        <v>2</v>
      </c>
      <c r="O4153">
        <v>0</v>
      </c>
      <c r="P4153">
        <v>1</v>
      </c>
      <c r="Q4153">
        <v>0</v>
      </c>
      <c r="S4153" t="str">
        <f t="shared" si="1528"/>
        <v>19:36:44.000</v>
      </c>
      <c r="T4153" t="str">
        <f t="shared" si="1528"/>
        <v>19:36:44.000</v>
      </c>
      <c r="U4153" t="str">
        <f t="shared" si="1509"/>
        <v>AC3944</v>
      </c>
      <c r="V4153">
        <v>0</v>
      </c>
      <c r="W4153">
        <v>0</v>
      </c>
      <c r="X4153">
        <v>2</v>
      </c>
      <c r="Y4153">
        <v>0</v>
      </c>
      <c r="AA4153">
        <v>1</v>
      </c>
      <c r="AB4153">
        <v>8</v>
      </c>
      <c r="AC4153">
        <v>3</v>
      </c>
      <c r="AD4153">
        <v>0</v>
      </c>
      <c r="AE4153">
        <v>9</v>
      </c>
      <c r="AF4153" t="s">
        <v>138</v>
      </c>
      <c r="AG4153">
        <v>0</v>
      </c>
      <c r="AH4153">
        <v>3</v>
      </c>
      <c r="AI4153">
        <v>1</v>
      </c>
      <c r="AJ4153">
        <v>0</v>
      </c>
      <c r="AK4153" t="s">
        <v>1330</v>
      </c>
      <c r="AL4153">
        <v>32.742733999999999</v>
      </c>
      <c r="AM4153" t="s">
        <v>1331</v>
      </c>
      <c r="AN4153">
        <v>-116.676457</v>
      </c>
      <c r="AO4153">
        <v>25</v>
      </c>
      <c r="AP4153">
        <v>4900</v>
      </c>
      <c r="AQ4153" t="s">
        <v>129</v>
      </c>
      <c r="AR4153">
        <v>-84</v>
      </c>
      <c r="AS4153">
        <v>113</v>
      </c>
      <c r="AT4153">
        <v>0</v>
      </c>
      <c r="BB4153">
        <v>1200</v>
      </c>
      <c r="BC4153">
        <v>1</v>
      </c>
      <c r="BD4153" t="str">
        <f t="shared" si="1510"/>
        <v xml:space="preserve">N887QR  </v>
      </c>
      <c r="BE4153">
        <v>1</v>
      </c>
      <c r="BG4153">
        <v>0</v>
      </c>
      <c r="BH4153">
        <v>0</v>
      </c>
      <c r="BI4153">
        <v>0</v>
      </c>
      <c r="BJ4153">
        <v>4675</v>
      </c>
      <c r="BK4153">
        <v>-225</v>
      </c>
      <c r="BL4153" t="s">
        <v>163</v>
      </c>
      <c r="BM4153">
        <v>1</v>
      </c>
      <c r="BN4153">
        <v>1</v>
      </c>
      <c r="BO4153">
        <v>1</v>
      </c>
      <c r="BP4153">
        <v>0</v>
      </c>
      <c r="BS4153">
        <v>0.04</v>
      </c>
      <c r="BT4153">
        <v>0</v>
      </c>
      <c r="BU4153">
        <v>0</v>
      </c>
      <c r="CE4153" t="str">
        <f t="shared" si="1529"/>
        <v>19:36:44.481</v>
      </c>
      <c r="CF4153">
        <v>480883825</v>
      </c>
      <c r="CS4153">
        <v>0</v>
      </c>
      <c r="CT4153">
        <v>2</v>
      </c>
      <c r="CU4153">
        <v>0</v>
      </c>
      <c r="CV4153">
        <v>2</v>
      </c>
      <c r="CW4153">
        <v>0</v>
      </c>
      <c r="CX4153">
        <v>3</v>
      </c>
      <c r="CY4153">
        <v>7</v>
      </c>
      <c r="CZ4153" t="s">
        <v>131</v>
      </c>
      <c r="DA4153">
        <v>300</v>
      </c>
      <c r="DB4153">
        <v>0</v>
      </c>
      <c r="DC4153" t="s">
        <v>176</v>
      </c>
      <c r="DD4153" t="s">
        <v>177</v>
      </c>
      <c r="DG4153">
        <v>5456955</v>
      </c>
      <c r="DI4153">
        <v>0</v>
      </c>
      <c r="DJ4153">
        <v>0</v>
      </c>
      <c r="DK4153">
        <v>1</v>
      </c>
      <c r="DL4153">
        <v>0</v>
      </c>
      <c r="DM4153">
        <v>0</v>
      </c>
      <c r="DN4153">
        <v>1</v>
      </c>
      <c r="DO4153">
        <v>0</v>
      </c>
      <c r="DP4153">
        <v>0</v>
      </c>
      <c r="DQ4153">
        <v>0</v>
      </c>
      <c r="DR4153">
        <v>0</v>
      </c>
      <c r="DS4153">
        <v>0</v>
      </c>
    </row>
    <row r="4154" spans="1:123" x14ac:dyDescent="0.3">
      <c r="A4154" t="str">
        <f>"10/04/2022 19:36:44.776"</f>
        <v>10/04/2022 19:36:44.776</v>
      </c>
      <c r="C4154" t="str">
        <f t="shared" si="1524"/>
        <v>FFDFD3C0</v>
      </c>
      <c r="D4154" t="s">
        <v>147</v>
      </c>
      <c r="E4154">
        <v>3</v>
      </c>
      <c r="H4154">
        <v>166</v>
      </c>
      <c r="I4154" t="s">
        <v>144</v>
      </c>
      <c r="J4154" t="s">
        <v>148</v>
      </c>
      <c r="K4154">
        <v>0</v>
      </c>
      <c r="L4154">
        <v>3</v>
      </c>
      <c r="M4154">
        <v>0</v>
      </c>
      <c r="N4154">
        <v>2</v>
      </c>
      <c r="O4154">
        <v>0</v>
      </c>
      <c r="P4154">
        <v>1</v>
      </c>
      <c r="Q4154">
        <v>0</v>
      </c>
      <c r="S4154" t="str">
        <f t="shared" si="1528"/>
        <v>19:36:44.000</v>
      </c>
      <c r="T4154" t="str">
        <f t="shared" si="1528"/>
        <v>19:36:44.000</v>
      </c>
      <c r="U4154" t="str">
        <f t="shared" si="1509"/>
        <v>AC3944</v>
      </c>
      <c r="V4154">
        <v>0</v>
      </c>
      <c r="W4154">
        <v>0</v>
      </c>
      <c r="X4154">
        <v>2</v>
      </c>
      <c r="Y4154">
        <v>0</v>
      </c>
      <c r="AA4154">
        <v>1</v>
      </c>
      <c r="AB4154">
        <v>8</v>
      </c>
      <c r="AC4154">
        <v>3</v>
      </c>
      <c r="AD4154">
        <v>0</v>
      </c>
      <c r="AE4154">
        <v>9</v>
      </c>
      <c r="AF4154" t="s">
        <v>138</v>
      </c>
      <c r="AG4154">
        <v>0</v>
      </c>
      <c r="AH4154">
        <v>3</v>
      </c>
      <c r="AI4154">
        <v>1</v>
      </c>
      <c r="AJ4154">
        <v>0</v>
      </c>
      <c r="AK4154" t="s">
        <v>1330</v>
      </c>
      <c r="AL4154">
        <v>32.742733999999999</v>
      </c>
      <c r="AM4154" t="s">
        <v>1331</v>
      </c>
      <c r="AN4154">
        <v>-116.676457</v>
      </c>
      <c r="AO4154">
        <v>25</v>
      </c>
      <c r="AP4154">
        <v>4900</v>
      </c>
      <c r="AQ4154" t="s">
        <v>129</v>
      </c>
      <c r="AR4154">
        <v>-84</v>
      </c>
      <c r="AS4154">
        <v>113</v>
      </c>
      <c r="AT4154">
        <v>0</v>
      </c>
      <c r="BB4154">
        <v>1200</v>
      </c>
      <c r="BC4154">
        <v>1</v>
      </c>
      <c r="BD4154" t="str">
        <f t="shared" si="1510"/>
        <v xml:space="preserve">N887QR  </v>
      </c>
      <c r="BE4154">
        <v>1</v>
      </c>
      <c r="BG4154">
        <v>0</v>
      </c>
      <c r="BH4154">
        <v>0</v>
      </c>
      <c r="BI4154">
        <v>0</v>
      </c>
      <c r="BJ4154">
        <v>4675</v>
      </c>
      <c r="BK4154">
        <v>-225</v>
      </c>
      <c r="BL4154" t="s">
        <v>163</v>
      </c>
      <c r="BM4154">
        <v>1</v>
      </c>
      <c r="BN4154">
        <v>1</v>
      </c>
      <c r="BO4154">
        <v>1</v>
      </c>
      <c r="BP4154">
        <v>0</v>
      </c>
      <c r="BS4154">
        <v>0.04</v>
      </c>
      <c r="BT4154">
        <v>0</v>
      </c>
      <c r="BU4154">
        <v>0</v>
      </c>
      <c r="CE4154" t="str">
        <f t="shared" si="1529"/>
        <v>19:36:44.481</v>
      </c>
      <c r="CF4154">
        <v>480883825</v>
      </c>
      <c r="CS4154">
        <v>0</v>
      </c>
      <c r="CT4154">
        <v>2</v>
      </c>
      <c r="CU4154">
        <v>0</v>
      </c>
      <c r="CV4154">
        <v>2</v>
      </c>
      <c r="CW4154">
        <v>0</v>
      </c>
      <c r="CX4154">
        <v>3</v>
      </c>
      <c r="CY4154">
        <v>7</v>
      </c>
      <c r="CZ4154" t="s">
        <v>131</v>
      </c>
      <c r="DA4154">
        <v>300</v>
      </c>
      <c r="DB4154">
        <v>0</v>
      </c>
      <c r="DC4154" t="s">
        <v>176</v>
      </c>
      <c r="DD4154" t="s">
        <v>177</v>
      </c>
      <c r="DG4154">
        <v>5456955</v>
      </c>
      <c r="DI4154">
        <v>0</v>
      </c>
      <c r="DJ4154">
        <v>0</v>
      </c>
      <c r="DK4154">
        <v>1</v>
      </c>
      <c r="DL4154">
        <v>0</v>
      </c>
      <c r="DM4154">
        <v>0</v>
      </c>
      <c r="DN4154">
        <v>1</v>
      </c>
      <c r="DO4154">
        <v>0</v>
      </c>
      <c r="DP4154">
        <v>0</v>
      </c>
      <c r="DQ4154">
        <v>0</v>
      </c>
      <c r="DR4154">
        <v>0</v>
      </c>
      <c r="DS4154">
        <v>0</v>
      </c>
    </row>
    <row r="4155" spans="1:123" x14ac:dyDescent="0.3">
      <c r="A4155" t="str">
        <f>"10/04/2022 19:36:44.808"</f>
        <v>10/04/2022 19:36:44.808</v>
      </c>
      <c r="C4155" t="str">
        <f t="shared" si="1524"/>
        <v>FFDFD3C0</v>
      </c>
      <c r="D4155" t="s">
        <v>143</v>
      </c>
      <c r="E4155">
        <v>20</v>
      </c>
      <c r="F4155">
        <v>1020</v>
      </c>
      <c r="G4155" t="s">
        <v>144</v>
      </c>
      <c r="J4155" t="s">
        <v>145</v>
      </c>
      <c r="K4155">
        <v>0</v>
      </c>
      <c r="L4155">
        <v>3</v>
      </c>
      <c r="M4155">
        <v>0</v>
      </c>
      <c r="N4155">
        <v>2</v>
      </c>
      <c r="O4155">
        <v>0</v>
      </c>
      <c r="P4155">
        <v>1</v>
      </c>
      <c r="Q4155">
        <v>0</v>
      </c>
      <c r="S4155" t="str">
        <f t="shared" si="1528"/>
        <v>19:36:44.000</v>
      </c>
      <c r="T4155" t="str">
        <f t="shared" si="1528"/>
        <v>19:36:44.000</v>
      </c>
      <c r="U4155" t="str">
        <f t="shared" si="1509"/>
        <v>AC3944</v>
      </c>
      <c r="V4155">
        <v>0</v>
      </c>
      <c r="W4155">
        <v>0</v>
      </c>
      <c r="X4155">
        <v>2</v>
      </c>
      <c r="Y4155">
        <v>0</v>
      </c>
      <c r="AA4155">
        <v>1</v>
      </c>
      <c r="AB4155">
        <v>8</v>
      </c>
      <c r="AC4155">
        <v>3</v>
      </c>
      <c r="AD4155">
        <v>0</v>
      </c>
      <c r="AE4155">
        <v>9</v>
      </c>
      <c r="AF4155" t="s">
        <v>138</v>
      </c>
      <c r="AG4155">
        <v>0</v>
      </c>
      <c r="AH4155">
        <v>3</v>
      </c>
      <c r="AI4155">
        <v>1</v>
      </c>
      <c r="AJ4155">
        <v>0</v>
      </c>
      <c r="AK4155" t="s">
        <v>1330</v>
      </c>
      <c r="AL4155">
        <v>32.742733999999999</v>
      </c>
      <c r="AM4155" t="s">
        <v>1331</v>
      </c>
      <c r="AN4155">
        <v>-116.676457</v>
      </c>
      <c r="AO4155">
        <v>25</v>
      </c>
      <c r="AP4155">
        <v>4900</v>
      </c>
      <c r="AQ4155" t="s">
        <v>129</v>
      </c>
      <c r="AR4155">
        <v>-84</v>
      </c>
      <c r="AS4155">
        <v>113</v>
      </c>
      <c r="AT4155">
        <v>0</v>
      </c>
      <c r="BB4155">
        <v>1200</v>
      </c>
      <c r="BC4155">
        <v>1</v>
      </c>
      <c r="BD4155" t="str">
        <f t="shared" si="1510"/>
        <v xml:space="preserve">N887QR  </v>
      </c>
      <c r="BE4155">
        <v>1</v>
      </c>
      <c r="BG4155">
        <v>0</v>
      </c>
      <c r="BH4155">
        <v>0</v>
      </c>
      <c r="BI4155">
        <v>0</v>
      </c>
      <c r="BJ4155">
        <v>4675</v>
      </c>
      <c r="BK4155">
        <v>-225</v>
      </c>
      <c r="BL4155" t="s">
        <v>163</v>
      </c>
      <c r="BM4155">
        <v>1</v>
      </c>
      <c r="BN4155">
        <v>1</v>
      </c>
      <c r="BO4155">
        <v>1</v>
      </c>
      <c r="BP4155">
        <v>0</v>
      </c>
      <c r="BS4155">
        <v>0.04</v>
      </c>
      <c r="BT4155">
        <v>0</v>
      </c>
      <c r="BU4155">
        <v>0</v>
      </c>
      <c r="CE4155" t="str">
        <f t="shared" si="1529"/>
        <v>19:36:44.481</v>
      </c>
      <c r="CF4155">
        <v>480883825</v>
      </c>
      <c r="CS4155">
        <v>0</v>
      </c>
      <c r="CT4155">
        <v>2</v>
      </c>
      <c r="CU4155">
        <v>0</v>
      </c>
      <c r="CV4155">
        <v>2</v>
      </c>
      <c r="CW4155">
        <v>0</v>
      </c>
      <c r="CX4155">
        <v>3</v>
      </c>
      <c r="CY4155">
        <v>7</v>
      </c>
      <c r="CZ4155" t="s">
        <v>131</v>
      </c>
      <c r="DA4155">
        <v>300</v>
      </c>
      <c r="DB4155">
        <v>0</v>
      </c>
      <c r="DC4155" t="s">
        <v>176</v>
      </c>
      <c r="DD4155" t="s">
        <v>177</v>
      </c>
      <c r="DG4155">
        <v>5456955</v>
      </c>
      <c r="DI4155">
        <v>0</v>
      </c>
      <c r="DJ4155">
        <v>0</v>
      </c>
      <c r="DK4155">
        <v>1</v>
      </c>
      <c r="DL4155">
        <v>0</v>
      </c>
      <c r="DM4155">
        <v>0</v>
      </c>
      <c r="DN4155">
        <v>1</v>
      </c>
      <c r="DO4155">
        <v>0</v>
      </c>
      <c r="DP4155">
        <v>0</v>
      </c>
      <c r="DQ4155">
        <v>0</v>
      </c>
      <c r="DR4155">
        <v>0</v>
      </c>
      <c r="DS4155">
        <v>0</v>
      </c>
    </row>
    <row r="4156" spans="1:123" x14ac:dyDescent="0.3">
      <c r="A4156" t="str">
        <f>"10/04/2022 19:36:44.808"</f>
        <v>10/04/2022 19:36:44.808</v>
      </c>
      <c r="C4156" t="str">
        <f t="shared" si="1524"/>
        <v>FFDFD3C0</v>
      </c>
      <c r="D4156" t="s">
        <v>136</v>
      </c>
      <c r="E4156">
        <v>8</v>
      </c>
      <c r="H4156">
        <v>225</v>
      </c>
      <c r="I4156" t="s">
        <v>137</v>
      </c>
      <c r="J4156" t="s">
        <v>138</v>
      </c>
      <c r="K4156">
        <v>0</v>
      </c>
      <c r="L4156">
        <v>3</v>
      </c>
      <c r="M4156">
        <v>0</v>
      </c>
      <c r="N4156">
        <v>2</v>
      </c>
      <c r="O4156">
        <v>0</v>
      </c>
      <c r="P4156">
        <v>1</v>
      </c>
      <c r="Q4156">
        <v>0</v>
      </c>
      <c r="S4156" t="str">
        <f t="shared" si="1528"/>
        <v>19:36:44.000</v>
      </c>
      <c r="T4156" t="str">
        <f t="shared" si="1528"/>
        <v>19:36:44.000</v>
      </c>
      <c r="U4156" t="str">
        <f t="shared" si="1509"/>
        <v>AC3944</v>
      </c>
      <c r="V4156">
        <v>0</v>
      </c>
      <c r="W4156">
        <v>0</v>
      </c>
      <c r="X4156">
        <v>2</v>
      </c>
      <c r="Y4156">
        <v>0</v>
      </c>
      <c r="AA4156">
        <v>1</v>
      </c>
      <c r="AB4156">
        <v>8</v>
      </c>
      <c r="AC4156">
        <v>3</v>
      </c>
      <c r="AD4156">
        <v>0</v>
      </c>
      <c r="AE4156">
        <v>9</v>
      </c>
      <c r="AF4156" t="s">
        <v>138</v>
      </c>
      <c r="AG4156">
        <v>0</v>
      </c>
      <c r="AH4156">
        <v>3</v>
      </c>
      <c r="AI4156">
        <v>1</v>
      </c>
      <c r="AJ4156">
        <v>0</v>
      </c>
      <c r="AK4156" t="s">
        <v>1330</v>
      </c>
      <c r="AL4156">
        <v>32.742733999999999</v>
      </c>
      <c r="AM4156" t="s">
        <v>1331</v>
      </c>
      <c r="AN4156">
        <v>-116.676457</v>
      </c>
      <c r="AO4156">
        <v>25</v>
      </c>
      <c r="AP4156">
        <v>4900</v>
      </c>
      <c r="AQ4156" t="s">
        <v>129</v>
      </c>
      <c r="AR4156">
        <v>-84</v>
      </c>
      <c r="AS4156">
        <v>113</v>
      </c>
      <c r="AT4156">
        <v>0</v>
      </c>
      <c r="BB4156">
        <v>1200</v>
      </c>
      <c r="BC4156">
        <v>1</v>
      </c>
      <c r="BD4156" t="str">
        <f t="shared" si="1510"/>
        <v xml:space="preserve">N887QR  </v>
      </c>
      <c r="BE4156">
        <v>1</v>
      </c>
      <c r="BG4156">
        <v>0</v>
      </c>
      <c r="BH4156">
        <v>0</v>
      </c>
      <c r="BI4156">
        <v>0</v>
      </c>
      <c r="BJ4156">
        <v>4675</v>
      </c>
      <c r="BK4156">
        <v>-225</v>
      </c>
      <c r="BL4156" t="s">
        <v>163</v>
      </c>
      <c r="BM4156">
        <v>1</v>
      </c>
      <c r="BN4156">
        <v>1</v>
      </c>
      <c r="BO4156">
        <v>1</v>
      </c>
      <c r="BP4156">
        <v>0</v>
      </c>
      <c r="BS4156">
        <v>0.04</v>
      </c>
      <c r="BT4156">
        <v>0</v>
      </c>
      <c r="BU4156">
        <v>0</v>
      </c>
      <c r="CE4156" t="str">
        <f t="shared" si="1529"/>
        <v>19:36:44.481</v>
      </c>
      <c r="CF4156">
        <v>480883825</v>
      </c>
      <c r="CS4156">
        <v>0</v>
      </c>
      <c r="CT4156">
        <v>2</v>
      </c>
      <c r="CU4156">
        <v>0</v>
      </c>
      <c r="CV4156">
        <v>2</v>
      </c>
      <c r="CW4156">
        <v>0</v>
      </c>
      <c r="CX4156">
        <v>3</v>
      </c>
      <c r="CY4156">
        <v>7</v>
      </c>
      <c r="CZ4156" t="s">
        <v>131</v>
      </c>
      <c r="DA4156">
        <v>300</v>
      </c>
      <c r="DB4156">
        <v>0</v>
      </c>
      <c r="DC4156" t="s">
        <v>176</v>
      </c>
      <c r="DD4156" t="s">
        <v>177</v>
      </c>
      <c r="DG4156">
        <v>5456955</v>
      </c>
      <c r="DI4156">
        <v>0</v>
      </c>
      <c r="DJ4156">
        <v>0</v>
      </c>
      <c r="DK4156">
        <v>1</v>
      </c>
      <c r="DL4156">
        <v>0</v>
      </c>
      <c r="DM4156">
        <v>0</v>
      </c>
      <c r="DN4156">
        <v>1</v>
      </c>
      <c r="DO4156">
        <v>0</v>
      </c>
      <c r="DP4156">
        <v>0</v>
      </c>
      <c r="DQ4156">
        <v>0</v>
      </c>
      <c r="DR4156">
        <v>0</v>
      </c>
      <c r="DS4156">
        <v>0</v>
      </c>
    </row>
    <row r="4157" spans="1:123" x14ac:dyDescent="0.3">
      <c r="A4157" t="str">
        <f>"10/04/2022 19:36:45.465"</f>
        <v>10/04/2022 19:36:45.465</v>
      </c>
      <c r="C4157" t="str">
        <f t="shared" si="1524"/>
        <v>FFDFD3C0</v>
      </c>
      <c r="D4157" t="s">
        <v>134</v>
      </c>
      <c r="E4157">
        <v>15</v>
      </c>
      <c r="J4157" t="s">
        <v>135</v>
      </c>
      <c r="K4157">
        <v>0</v>
      </c>
      <c r="L4157">
        <v>3</v>
      </c>
      <c r="M4157">
        <v>0</v>
      </c>
      <c r="N4157">
        <v>2</v>
      </c>
      <c r="O4157">
        <v>0</v>
      </c>
      <c r="P4157">
        <v>1</v>
      </c>
      <c r="Q4157">
        <v>0</v>
      </c>
      <c r="S4157" t="str">
        <f t="shared" ref="S4157:T4163" si="1530">"19:36:45.000"</f>
        <v>19:36:45.000</v>
      </c>
      <c r="T4157" t="str">
        <f t="shared" si="1530"/>
        <v>19:36:45.000</v>
      </c>
      <c r="U4157" t="str">
        <f t="shared" si="1509"/>
        <v>AC3944</v>
      </c>
      <c r="V4157">
        <v>0</v>
      </c>
      <c r="W4157">
        <v>0</v>
      </c>
      <c r="X4157">
        <v>2</v>
      </c>
      <c r="Y4157">
        <v>0</v>
      </c>
      <c r="AA4157">
        <v>1</v>
      </c>
      <c r="AB4157">
        <v>8</v>
      </c>
      <c r="AC4157">
        <v>3</v>
      </c>
      <c r="AD4157">
        <v>0</v>
      </c>
      <c r="AE4157">
        <v>9</v>
      </c>
      <c r="AF4157" t="s">
        <v>138</v>
      </c>
      <c r="AG4157">
        <v>0</v>
      </c>
      <c r="AH4157">
        <v>3</v>
      </c>
      <c r="AI4157">
        <v>1</v>
      </c>
      <c r="AJ4157">
        <v>0</v>
      </c>
      <c r="AK4157" t="s">
        <v>1332</v>
      </c>
      <c r="AL4157">
        <v>32.743270000000003</v>
      </c>
      <c r="AM4157" t="s">
        <v>1333</v>
      </c>
      <c r="AN4157">
        <v>-116.676908</v>
      </c>
      <c r="AO4157">
        <v>25</v>
      </c>
      <c r="AP4157">
        <v>4900</v>
      </c>
      <c r="AQ4157" t="s">
        <v>129</v>
      </c>
      <c r="AR4157">
        <v>-92</v>
      </c>
      <c r="AS4157">
        <v>107</v>
      </c>
      <c r="AT4157">
        <v>0</v>
      </c>
      <c r="BB4157">
        <v>1200</v>
      </c>
      <c r="BC4157">
        <v>1</v>
      </c>
      <c r="BD4157" t="str">
        <f t="shared" si="1510"/>
        <v xml:space="preserve">N887QR  </v>
      </c>
      <c r="BE4157">
        <v>1</v>
      </c>
      <c r="BG4157">
        <v>0</v>
      </c>
      <c r="BH4157">
        <v>0</v>
      </c>
      <c r="BI4157">
        <v>0</v>
      </c>
      <c r="BJ4157">
        <v>4675</v>
      </c>
      <c r="BK4157">
        <v>-225</v>
      </c>
      <c r="BL4157" t="s">
        <v>163</v>
      </c>
      <c r="BM4157">
        <v>1</v>
      </c>
      <c r="BN4157">
        <v>1</v>
      </c>
      <c r="BO4157">
        <v>1</v>
      </c>
      <c r="BP4157">
        <v>0</v>
      </c>
      <c r="BS4157">
        <v>0.04</v>
      </c>
      <c r="BT4157">
        <v>0</v>
      </c>
      <c r="BU4157">
        <v>0</v>
      </c>
      <c r="CE4157" t="str">
        <f t="shared" ref="CE4157:CE4163" si="1531">"19:36:45.240"</f>
        <v>19:36:45.240</v>
      </c>
      <c r="CF4157">
        <v>239577964</v>
      </c>
      <c r="CS4157">
        <v>0</v>
      </c>
      <c r="CT4157">
        <v>2</v>
      </c>
      <c r="CU4157">
        <v>0</v>
      </c>
      <c r="CV4157">
        <v>2</v>
      </c>
      <c r="CW4157">
        <v>0</v>
      </c>
      <c r="CX4157">
        <v>2</v>
      </c>
      <c r="CY4157">
        <v>7</v>
      </c>
      <c r="CZ4157" t="s">
        <v>131</v>
      </c>
      <c r="DA4157">
        <v>286</v>
      </c>
      <c r="DB4157">
        <v>0</v>
      </c>
      <c r="DC4157" t="s">
        <v>132</v>
      </c>
      <c r="DD4157" t="s">
        <v>133</v>
      </c>
      <c r="DG4157">
        <v>903697</v>
      </c>
      <c r="DI4157">
        <v>0</v>
      </c>
      <c r="DJ4157">
        <v>0</v>
      </c>
      <c r="DK4157">
        <v>0</v>
      </c>
      <c r="DL4157">
        <v>0</v>
      </c>
      <c r="DM4157">
        <v>0</v>
      </c>
      <c r="DN4157">
        <v>1</v>
      </c>
      <c r="DO4157">
        <v>0</v>
      </c>
      <c r="DP4157">
        <v>0</v>
      </c>
      <c r="DQ4157">
        <v>0</v>
      </c>
      <c r="DR4157">
        <v>0</v>
      </c>
      <c r="DS4157">
        <v>0</v>
      </c>
    </row>
    <row r="4158" spans="1:123" x14ac:dyDescent="0.3">
      <c r="A4158" t="str">
        <f>"10/04/2022 19:36:45.465"</f>
        <v>10/04/2022 19:36:45.465</v>
      </c>
      <c r="C4158" t="str">
        <f t="shared" si="1524"/>
        <v>FFDFD3C0</v>
      </c>
      <c r="D4158" t="s">
        <v>141</v>
      </c>
      <c r="E4158">
        <v>3</v>
      </c>
      <c r="H4158">
        <v>3</v>
      </c>
      <c r="I4158" t="s">
        <v>146</v>
      </c>
      <c r="J4158" t="s">
        <v>138</v>
      </c>
      <c r="K4158">
        <v>0</v>
      </c>
      <c r="L4158">
        <v>3</v>
      </c>
      <c r="M4158">
        <v>0</v>
      </c>
      <c r="N4158">
        <v>2</v>
      </c>
      <c r="O4158">
        <v>0</v>
      </c>
      <c r="P4158">
        <v>1</v>
      </c>
      <c r="Q4158">
        <v>0</v>
      </c>
      <c r="S4158" t="str">
        <f t="shared" si="1530"/>
        <v>19:36:45.000</v>
      </c>
      <c r="T4158" t="str">
        <f t="shared" si="1530"/>
        <v>19:36:45.000</v>
      </c>
      <c r="U4158" t="str">
        <f t="shared" si="1509"/>
        <v>AC3944</v>
      </c>
      <c r="V4158">
        <v>0</v>
      </c>
      <c r="W4158">
        <v>0</v>
      </c>
      <c r="X4158">
        <v>2</v>
      </c>
      <c r="Y4158">
        <v>0</v>
      </c>
      <c r="AA4158">
        <v>1</v>
      </c>
      <c r="AB4158">
        <v>8</v>
      </c>
      <c r="AC4158">
        <v>3</v>
      </c>
      <c r="AD4158">
        <v>0</v>
      </c>
      <c r="AE4158">
        <v>9</v>
      </c>
      <c r="AF4158" t="s">
        <v>138</v>
      </c>
      <c r="AG4158">
        <v>0</v>
      </c>
      <c r="AH4158">
        <v>3</v>
      </c>
      <c r="AI4158">
        <v>1</v>
      </c>
      <c r="AJ4158">
        <v>0</v>
      </c>
      <c r="AK4158" t="s">
        <v>1332</v>
      </c>
      <c r="AL4158">
        <v>32.743270000000003</v>
      </c>
      <c r="AM4158" t="s">
        <v>1333</v>
      </c>
      <c r="AN4158">
        <v>-116.676908</v>
      </c>
      <c r="AO4158">
        <v>25</v>
      </c>
      <c r="AP4158">
        <v>4900</v>
      </c>
      <c r="AQ4158" t="s">
        <v>129</v>
      </c>
      <c r="AR4158">
        <v>-92</v>
      </c>
      <c r="AS4158">
        <v>107</v>
      </c>
      <c r="AT4158">
        <v>0</v>
      </c>
      <c r="BB4158">
        <v>1200</v>
      </c>
      <c r="BC4158">
        <v>1</v>
      </c>
      <c r="BD4158" t="str">
        <f t="shared" si="1510"/>
        <v xml:space="preserve">N887QR  </v>
      </c>
      <c r="BE4158">
        <v>1</v>
      </c>
      <c r="BG4158">
        <v>0</v>
      </c>
      <c r="BH4158">
        <v>0</v>
      </c>
      <c r="BI4158">
        <v>0</v>
      </c>
      <c r="BJ4158">
        <v>4675</v>
      </c>
      <c r="BK4158">
        <v>-225</v>
      </c>
      <c r="BL4158" t="s">
        <v>163</v>
      </c>
      <c r="BM4158">
        <v>1</v>
      </c>
      <c r="BN4158">
        <v>1</v>
      </c>
      <c r="BO4158">
        <v>1</v>
      </c>
      <c r="BP4158">
        <v>0</v>
      </c>
      <c r="BS4158">
        <v>0.04</v>
      </c>
      <c r="BT4158">
        <v>0</v>
      </c>
      <c r="BU4158">
        <v>0</v>
      </c>
      <c r="CE4158" t="str">
        <f t="shared" si="1531"/>
        <v>19:36:45.240</v>
      </c>
      <c r="CF4158">
        <v>239577964</v>
      </c>
      <c r="CS4158">
        <v>0</v>
      </c>
      <c r="CT4158">
        <v>2</v>
      </c>
      <c r="CU4158">
        <v>0</v>
      </c>
      <c r="CV4158">
        <v>2</v>
      </c>
      <c r="CW4158">
        <v>0</v>
      </c>
      <c r="CX4158">
        <v>2</v>
      </c>
      <c r="CY4158">
        <v>7</v>
      </c>
      <c r="CZ4158" t="s">
        <v>131</v>
      </c>
      <c r="DA4158">
        <v>286</v>
      </c>
      <c r="DB4158">
        <v>0</v>
      </c>
      <c r="DC4158" t="s">
        <v>132</v>
      </c>
      <c r="DD4158" t="s">
        <v>133</v>
      </c>
      <c r="DG4158">
        <v>903697</v>
      </c>
      <c r="DI4158">
        <v>0</v>
      </c>
      <c r="DJ4158">
        <v>0</v>
      </c>
      <c r="DK4158">
        <v>1</v>
      </c>
      <c r="DL4158">
        <v>0</v>
      </c>
      <c r="DM4158">
        <v>0</v>
      </c>
      <c r="DN4158">
        <v>1</v>
      </c>
      <c r="DO4158">
        <v>0</v>
      </c>
      <c r="DP4158">
        <v>0</v>
      </c>
      <c r="DQ4158">
        <v>0</v>
      </c>
      <c r="DR4158">
        <v>0</v>
      </c>
      <c r="DS4158">
        <v>0</v>
      </c>
    </row>
    <row r="4159" spans="1:123" x14ac:dyDescent="0.3">
      <c r="A4159" t="str">
        <f>"10/04/2022 19:36:45.465"</f>
        <v>10/04/2022 19:36:45.465</v>
      </c>
      <c r="C4159" t="str">
        <f t="shared" si="1524"/>
        <v>FFDFD3C0</v>
      </c>
      <c r="D4159" t="s">
        <v>141</v>
      </c>
      <c r="E4159">
        <v>4</v>
      </c>
      <c r="H4159">
        <v>4</v>
      </c>
      <c r="I4159" t="s">
        <v>142</v>
      </c>
      <c r="J4159" t="s">
        <v>138</v>
      </c>
      <c r="K4159">
        <v>0</v>
      </c>
      <c r="L4159">
        <v>3</v>
      </c>
      <c r="M4159">
        <v>0</v>
      </c>
      <c r="N4159">
        <v>2</v>
      </c>
      <c r="O4159">
        <v>0</v>
      </c>
      <c r="P4159">
        <v>1</v>
      </c>
      <c r="Q4159">
        <v>0</v>
      </c>
      <c r="S4159" t="str">
        <f t="shared" si="1530"/>
        <v>19:36:45.000</v>
      </c>
      <c r="T4159" t="str">
        <f t="shared" si="1530"/>
        <v>19:36:45.000</v>
      </c>
      <c r="U4159" t="str">
        <f t="shared" si="1509"/>
        <v>AC3944</v>
      </c>
      <c r="V4159">
        <v>0</v>
      </c>
      <c r="W4159">
        <v>0</v>
      </c>
      <c r="X4159">
        <v>2</v>
      </c>
      <c r="Y4159">
        <v>0</v>
      </c>
      <c r="AA4159">
        <v>1</v>
      </c>
      <c r="AB4159">
        <v>8</v>
      </c>
      <c r="AC4159">
        <v>3</v>
      </c>
      <c r="AD4159">
        <v>0</v>
      </c>
      <c r="AE4159">
        <v>9</v>
      </c>
      <c r="AF4159" t="s">
        <v>138</v>
      </c>
      <c r="AG4159">
        <v>0</v>
      </c>
      <c r="AH4159">
        <v>3</v>
      </c>
      <c r="AI4159">
        <v>1</v>
      </c>
      <c r="AJ4159">
        <v>0</v>
      </c>
      <c r="AK4159" t="s">
        <v>1332</v>
      </c>
      <c r="AL4159">
        <v>32.743270000000003</v>
      </c>
      <c r="AM4159" t="s">
        <v>1333</v>
      </c>
      <c r="AN4159">
        <v>-116.676908</v>
      </c>
      <c r="AO4159">
        <v>25</v>
      </c>
      <c r="AP4159">
        <v>4900</v>
      </c>
      <c r="AQ4159" t="s">
        <v>129</v>
      </c>
      <c r="AR4159">
        <v>-92</v>
      </c>
      <c r="AS4159">
        <v>107</v>
      </c>
      <c r="AT4159">
        <v>0</v>
      </c>
      <c r="BB4159">
        <v>1200</v>
      </c>
      <c r="BC4159">
        <v>1</v>
      </c>
      <c r="BD4159" t="str">
        <f t="shared" si="1510"/>
        <v xml:space="preserve">N887QR  </v>
      </c>
      <c r="BE4159">
        <v>1</v>
      </c>
      <c r="BG4159">
        <v>0</v>
      </c>
      <c r="BH4159">
        <v>0</v>
      </c>
      <c r="BI4159">
        <v>0</v>
      </c>
      <c r="BJ4159">
        <v>4675</v>
      </c>
      <c r="BK4159">
        <v>-225</v>
      </c>
      <c r="BL4159" t="s">
        <v>163</v>
      </c>
      <c r="BM4159">
        <v>1</v>
      </c>
      <c r="BN4159">
        <v>1</v>
      </c>
      <c r="BO4159">
        <v>1</v>
      </c>
      <c r="BP4159">
        <v>0</v>
      </c>
      <c r="BS4159">
        <v>0.04</v>
      </c>
      <c r="BT4159">
        <v>0</v>
      </c>
      <c r="BU4159">
        <v>0</v>
      </c>
      <c r="CE4159" t="str">
        <f t="shared" si="1531"/>
        <v>19:36:45.240</v>
      </c>
      <c r="CF4159">
        <v>239577964</v>
      </c>
      <c r="CS4159">
        <v>0</v>
      </c>
      <c r="CT4159">
        <v>2</v>
      </c>
      <c r="CU4159">
        <v>0</v>
      </c>
      <c r="CV4159">
        <v>2</v>
      </c>
      <c r="CW4159">
        <v>0</v>
      </c>
      <c r="CX4159">
        <v>2</v>
      </c>
      <c r="CY4159">
        <v>7</v>
      </c>
      <c r="CZ4159" t="s">
        <v>131</v>
      </c>
      <c r="DA4159">
        <v>286</v>
      </c>
      <c r="DB4159">
        <v>0</v>
      </c>
      <c r="DC4159" t="s">
        <v>132</v>
      </c>
      <c r="DD4159" t="s">
        <v>133</v>
      </c>
      <c r="DG4159">
        <v>903697</v>
      </c>
      <c r="DI4159">
        <v>0</v>
      </c>
      <c r="DJ4159">
        <v>0</v>
      </c>
      <c r="DK4159">
        <v>1</v>
      </c>
      <c r="DL4159">
        <v>0</v>
      </c>
      <c r="DM4159">
        <v>0</v>
      </c>
      <c r="DN4159">
        <v>1</v>
      </c>
      <c r="DO4159">
        <v>0</v>
      </c>
      <c r="DP4159">
        <v>0</v>
      </c>
      <c r="DQ4159">
        <v>0</v>
      </c>
      <c r="DR4159">
        <v>0</v>
      </c>
      <c r="DS4159">
        <v>0</v>
      </c>
    </row>
    <row r="4160" spans="1:123" x14ac:dyDescent="0.3">
      <c r="A4160" t="str">
        <f>"10/04/2022 19:36:45.465"</f>
        <v>10/04/2022 19:36:45.465</v>
      </c>
      <c r="C4160" t="str">
        <f t="shared" si="1524"/>
        <v>FFDFD3C0</v>
      </c>
      <c r="D4160" t="s">
        <v>147</v>
      </c>
      <c r="E4160">
        <v>3</v>
      </c>
      <c r="H4160">
        <v>166</v>
      </c>
      <c r="I4160" t="s">
        <v>144</v>
      </c>
      <c r="J4160" t="s">
        <v>148</v>
      </c>
      <c r="K4160">
        <v>0</v>
      </c>
      <c r="L4160">
        <v>3</v>
      </c>
      <c r="M4160">
        <v>0</v>
      </c>
      <c r="N4160">
        <v>2</v>
      </c>
      <c r="O4160">
        <v>0</v>
      </c>
      <c r="P4160">
        <v>1</v>
      </c>
      <c r="Q4160">
        <v>0</v>
      </c>
      <c r="S4160" t="str">
        <f t="shared" si="1530"/>
        <v>19:36:45.000</v>
      </c>
      <c r="T4160" t="str">
        <f t="shared" si="1530"/>
        <v>19:36:45.000</v>
      </c>
      <c r="U4160" t="str">
        <f t="shared" si="1509"/>
        <v>AC3944</v>
      </c>
      <c r="V4160">
        <v>0</v>
      </c>
      <c r="W4160">
        <v>0</v>
      </c>
      <c r="X4160">
        <v>2</v>
      </c>
      <c r="Y4160">
        <v>0</v>
      </c>
      <c r="AA4160">
        <v>1</v>
      </c>
      <c r="AB4160">
        <v>8</v>
      </c>
      <c r="AC4160">
        <v>3</v>
      </c>
      <c r="AD4160">
        <v>0</v>
      </c>
      <c r="AE4160">
        <v>9</v>
      </c>
      <c r="AF4160" t="s">
        <v>138</v>
      </c>
      <c r="AG4160">
        <v>0</v>
      </c>
      <c r="AH4160">
        <v>3</v>
      </c>
      <c r="AI4160">
        <v>1</v>
      </c>
      <c r="AJ4160">
        <v>0</v>
      </c>
      <c r="AK4160" t="s">
        <v>1332</v>
      </c>
      <c r="AL4160">
        <v>32.743270000000003</v>
      </c>
      <c r="AM4160" t="s">
        <v>1333</v>
      </c>
      <c r="AN4160">
        <v>-116.676908</v>
      </c>
      <c r="AO4160">
        <v>25</v>
      </c>
      <c r="AP4160">
        <v>4900</v>
      </c>
      <c r="AQ4160" t="s">
        <v>129</v>
      </c>
      <c r="AR4160">
        <v>-92</v>
      </c>
      <c r="AS4160">
        <v>107</v>
      </c>
      <c r="AT4160">
        <v>0</v>
      </c>
      <c r="BB4160">
        <v>1200</v>
      </c>
      <c r="BC4160">
        <v>1</v>
      </c>
      <c r="BD4160" t="str">
        <f t="shared" si="1510"/>
        <v xml:space="preserve">N887QR  </v>
      </c>
      <c r="BE4160">
        <v>1</v>
      </c>
      <c r="BG4160">
        <v>0</v>
      </c>
      <c r="BH4160">
        <v>0</v>
      </c>
      <c r="BI4160">
        <v>0</v>
      </c>
      <c r="BJ4160">
        <v>4675</v>
      </c>
      <c r="BK4160">
        <v>-225</v>
      </c>
      <c r="BL4160" t="s">
        <v>163</v>
      </c>
      <c r="BM4160">
        <v>1</v>
      </c>
      <c r="BN4160">
        <v>1</v>
      </c>
      <c r="BO4160">
        <v>1</v>
      </c>
      <c r="BP4160">
        <v>0</v>
      </c>
      <c r="BS4160">
        <v>0.04</v>
      </c>
      <c r="BT4160">
        <v>0</v>
      </c>
      <c r="BU4160">
        <v>0</v>
      </c>
      <c r="CE4160" t="str">
        <f t="shared" si="1531"/>
        <v>19:36:45.240</v>
      </c>
      <c r="CF4160">
        <v>239577964</v>
      </c>
      <c r="CS4160">
        <v>0</v>
      </c>
      <c r="CT4160">
        <v>2</v>
      </c>
      <c r="CU4160">
        <v>0</v>
      </c>
      <c r="CV4160">
        <v>2</v>
      </c>
      <c r="CW4160">
        <v>0</v>
      </c>
      <c r="CX4160">
        <v>2</v>
      </c>
      <c r="CY4160">
        <v>7</v>
      </c>
      <c r="CZ4160" t="s">
        <v>131</v>
      </c>
      <c r="DA4160">
        <v>286</v>
      </c>
      <c r="DB4160">
        <v>0</v>
      </c>
      <c r="DC4160" t="s">
        <v>132</v>
      </c>
      <c r="DD4160" t="s">
        <v>133</v>
      </c>
      <c r="DG4160">
        <v>903697</v>
      </c>
      <c r="DI4160">
        <v>0</v>
      </c>
      <c r="DJ4160">
        <v>0</v>
      </c>
      <c r="DK4160">
        <v>1</v>
      </c>
      <c r="DL4160">
        <v>0</v>
      </c>
      <c r="DM4160">
        <v>0</v>
      </c>
      <c r="DN4160">
        <v>1</v>
      </c>
      <c r="DO4160">
        <v>0</v>
      </c>
      <c r="DP4160">
        <v>0</v>
      </c>
      <c r="DQ4160">
        <v>0</v>
      </c>
      <c r="DR4160">
        <v>0</v>
      </c>
      <c r="DS4160">
        <v>0</v>
      </c>
    </row>
    <row r="4161" spans="1:123" x14ac:dyDescent="0.3">
      <c r="A4161" t="str">
        <f>"10/04/2022 19:36:45.496"</f>
        <v>10/04/2022 19:36:45.496</v>
      </c>
      <c r="C4161" t="str">
        <f t="shared" si="1524"/>
        <v>FFDFD3C0</v>
      </c>
      <c r="D4161" t="s">
        <v>143</v>
      </c>
      <c r="E4161">
        <v>20</v>
      </c>
      <c r="F4161">
        <v>1020</v>
      </c>
      <c r="G4161" t="s">
        <v>144</v>
      </c>
      <c r="J4161" t="s">
        <v>145</v>
      </c>
      <c r="K4161">
        <v>0</v>
      </c>
      <c r="L4161">
        <v>3</v>
      </c>
      <c r="M4161">
        <v>0</v>
      </c>
      <c r="N4161">
        <v>2</v>
      </c>
      <c r="O4161">
        <v>0</v>
      </c>
      <c r="P4161">
        <v>1</v>
      </c>
      <c r="Q4161">
        <v>0</v>
      </c>
      <c r="S4161" t="str">
        <f t="shared" si="1530"/>
        <v>19:36:45.000</v>
      </c>
      <c r="T4161" t="str">
        <f t="shared" si="1530"/>
        <v>19:36:45.000</v>
      </c>
      <c r="U4161" t="str">
        <f t="shared" si="1509"/>
        <v>AC3944</v>
      </c>
      <c r="V4161">
        <v>0</v>
      </c>
      <c r="W4161">
        <v>0</v>
      </c>
      <c r="X4161">
        <v>2</v>
      </c>
      <c r="Y4161">
        <v>0</v>
      </c>
      <c r="AA4161">
        <v>1</v>
      </c>
      <c r="AB4161">
        <v>8</v>
      </c>
      <c r="AC4161">
        <v>3</v>
      </c>
      <c r="AD4161">
        <v>0</v>
      </c>
      <c r="AE4161">
        <v>9</v>
      </c>
      <c r="AF4161" t="s">
        <v>138</v>
      </c>
      <c r="AG4161">
        <v>0</v>
      </c>
      <c r="AH4161">
        <v>3</v>
      </c>
      <c r="AI4161">
        <v>1</v>
      </c>
      <c r="AJ4161">
        <v>0</v>
      </c>
      <c r="AK4161" t="s">
        <v>1332</v>
      </c>
      <c r="AL4161">
        <v>32.743270000000003</v>
      </c>
      <c r="AM4161" t="s">
        <v>1333</v>
      </c>
      <c r="AN4161">
        <v>-116.676908</v>
      </c>
      <c r="AO4161">
        <v>25</v>
      </c>
      <c r="AP4161">
        <v>4900</v>
      </c>
      <c r="AQ4161" t="s">
        <v>129</v>
      </c>
      <c r="AR4161">
        <v>-92</v>
      </c>
      <c r="AS4161">
        <v>107</v>
      </c>
      <c r="AT4161">
        <v>0</v>
      </c>
      <c r="BB4161">
        <v>1200</v>
      </c>
      <c r="BC4161">
        <v>1</v>
      </c>
      <c r="BD4161" t="str">
        <f t="shared" si="1510"/>
        <v xml:space="preserve">N887QR  </v>
      </c>
      <c r="BE4161">
        <v>1</v>
      </c>
      <c r="BG4161">
        <v>0</v>
      </c>
      <c r="BH4161">
        <v>0</v>
      </c>
      <c r="BI4161">
        <v>0</v>
      </c>
      <c r="BJ4161">
        <v>4675</v>
      </c>
      <c r="BK4161">
        <v>-225</v>
      </c>
      <c r="BL4161" t="s">
        <v>163</v>
      </c>
      <c r="BM4161">
        <v>1</v>
      </c>
      <c r="BN4161">
        <v>1</v>
      </c>
      <c r="BO4161">
        <v>1</v>
      </c>
      <c r="BP4161">
        <v>0</v>
      </c>
      <c r="BS4161">
        <v>0.04</v>
      </c>
      <c r="BT4161">
        <v>0</v>
      </c>
      <c r="BU4161">
        <v>0</v>
      </c>
      <c r="CE4161" t="str">
        <f t="shared" si="1531"/>
        <v>19:36:45.240</v>
      </c>
      <c r="CF4161">
        <v>239577964</v>
      </c>
      <c r="CS4161">
        <v>0</v>
      </c>
      <c r="CT4161">
        <v>2</v>
      </c>
      <c r="CU4161">
        <v>0</v>
      </c>
      <c r="CV4161">
        <v>2</v>
      </c>
      <c r="CW4161">
        <v>0</v>
      </c>
      <c r="CX4161">
        <v>2</v>
      </c>
      <c r="CY4161">
        <v>7</v>
      </c>
      <c r="CZ4161" t="s">
        <v>131</v>
      </c>
      <c r="DA4161">
        <v>286</v>
      </c>
      <c r="DB4161">
        <v>0</v>
      </c>
      <c r="DC4161" t="s">
        <v>132</v>
      </c>
      <c r="DD4161" t="s">
        <v>133</v>
      </c>
      <c r="DG4161">
        <v>903697</v>
      </c>
      <c r="DI4161">
        <v>0</v>
      </c>
      <c r="DJ4161">
        <v>0</v>
      </c>
      <c r="DK4161">
        <v>1</v>
      </c>
      <c r="DL4161">
        <v>0</v>
      </c>
      <c r="DM4161">
        <v>0</v>
      </c>
      <c r="DN4161">
        <v>1</v>
      </c>
      <c r="DO4161">
        <v>0</v>
      </c>
      <c r="DP4161">
        <v>0</v>
      </c>
      <c r="DQ4161">
        <v>0</v>
      </c>
      <c r="DR4161">
        <v>0</v>
      </c>
      <c r="DS4161">
        <v>0</v>
      </c>
    </row>
    <row r="4162" spans="1:123" x14ac:dyDescent="0.3">
      <c r="A4162" t="str">
        <f>"10/04/2022 19:36:45.496"</f>
        <v>10/04/2022 19:36:45.496</v>
      </c>
      <c r="C4162" t="str">
        <f t="shared" si="1524"/>
        <v>FFDFD3C0</v>
      </c>
      <c r="D4162" t="s">
        <v>136</v>
      </c>
      <c r="E4162">
        <v>8</v>
      </c>
      <c r="H4162">
        <v>225</v>
      </c>
      <c r="I4162" t="s">
        <v>137</v>
      </c>
      <c r="J4162" t="s">
        <v>138</v>
      </c>
      <c r="K4162">
        <v>0</v>
      </c>
      <c r="L4162">
        <v>3</v>
      </c>
      <c r="M4162">
        <v>0</v>
      </c>
      <c r="N4162">
        <v>2</v>
      </c>
      <c r="O4162">
        <v>0</v>
      </c>
      <c r="P4162">
        <v>1</v>
      </c>
      <c r="Q4162">
        <v>0</v>
      </c>
      <c r="S4162" t="str">
        <f t="shared" si="1530"/>
        <v>19:36:45.000</v>
      </c>
      <c r="T4162" t="str">
        <f t="shared" si="1530"/>
        <v>19:36:45.000</v>
      </c>
      <c r="U4162" t="str">
        <f t="shared" ref="U4162:U4225" si="1532">"AC3944"</f>
        <v>AC3944</v>
      </c>
      <c r="V4162">
        <v>0</v>
      </c>
      <c r="W4162">
        <v>0</v>
      </c>
      <c r="X4162">
        <v>2</v>
      </c>
      <c r="Y4162">
        <v>0</v>
      </c>
      <c r="AA4162">
        <v>1</v>
      </c>
      <c r="AB4162">
        <v>8</v>
      </c>
      <c r="AC4162">
        <v>3</v>
      </c>
      <c r="AD4162">
        <v>0</v>
      </c>
      <c r="AE4162">
        <v>9</v>
      </c>
      <c r="AF4162" t="s">
        <v>138</v>
      </c>
      <c r="AG4162">
        <v>0</v>
      </c>
      <c r="AH4162">
        <v>3</v>
      </c>
      <c r="AI4162">
        <v>1</v>
      </c>
      <c r="AJ4162">
        <v>0</v>
      </c>
      <c r="AK4162" t="s">
        <v>1332</v>
      </c>
      <c r="AL4162">
        <v>32.743270000000003</v>
      </c>
      <c r="AM4162" t="s">
        <v>1333</v>
      </c>
      <c r="AN4162">
        <v>-116.676908</v>
      </c>
      <c r="AO4162">
        <v>25</v>
      </c>
      <c r="AP4162">
        <v>4900</v>
      </c>
      <c r="AQ4162" t="s">
        <v>129</v>
      </c>
      <c r="AR4162">
        <v>-92</v>
      </c>
      <c r="AS4162">
        <v>107</v>
      </c>
      <c r="AT4162">
        <v>0</v>
      </c>
      <c r="BB4162">
        <v>1200</v>
      </c>
      <c r="BC4162">
        <v>1</v>
      </c>
      <c r="BD4162" t="str">
        <f t="shared" ref="BD4162:BD4225" si="1533">"N887QR  "</f>
        <v xml:space="preserve">N887QR  </v>
      </c>
      <c r="BE4162">
        <v>1</v>
      </c>
      <c r="BG4162">
        <v>0</v>
      </c>
      <c r="BH4162">
        <v>0</v>
      </c>
      <c r="BI4162">
        <v>0</v>
      </c>
      <c r="BJ4162">
        <v>4675</v>
      </c>
      <c r="BK4162">
        <v>-225</v>
      </c>
      <c r="BL4162" t="s">
        <v>163</v>
      </c>
      <c r="BM4162">
        <v>1</v>
      </c>
      <c r="BN4162">
        <v>1</v>
      </c>
      <c r="BO4162">
        <v>1</v>
      </c>
      <c r="BP4162">
        <v>0</v>
      </c>
      <c r="BS4162">
        <v>0.04</v>
      </c>
      <c r="BT4162">
        <v>0</v>
      </c>
      <c r="BU4162">
        <v>0</v>
      </c>
      <c r="CE4162" t="str">
        <f t="shared" si="1531"/>
        <v>19:36:45.240</v>
      </c>
      <c r="CF4162">
        <v>239577964</v>
      </c>
      <c r="CS4162">
        <v>0</v>
      </c>
      <c r="CT4162">
        <v>2</v>
      </c>
      <c r="CU4162">
        <v>0</v>
      </c>
      <c r="CV4162">
        <v>2</v>
      </c>
      <c r="CW4162">
        <v>0</v>
      </c>
      <c r="CX4162">
        <v>2</v>
      </c>
      <c r="CY4162">
        <v>7</v>
      </c>
      <c r="CZ4162" t="s">
        <v>131</v>
      </c>
      <c r="DA4162">
        <v>286</v>
      </c>
      <c r="DB4162">
        <v>0</v>
      </c>
      <c r="DC4162" t="s">
        <v>132</v>
      </c>
      <c r="DD4162" t="s">
        <v>133</v>
      </c>
      <c r="DG4162">
        <v>903697</v>
      </c>
      <c r="DI4162">
        <v>0</v>
      </c>
      <c r="DJ4162">
        <v>0</v>
      </c>
      <c r="DK4162">
        <v>1</v>
      </c>
      <c r="DL4162">
        <v>0</v>
      </c>
      <c r="DM4162">
        <v>0</v>
      </c>
      <c r="DN4162">
        <v>1</v>
      </c>
      <c r="DO4162">
        <v>0</v>
      </c>
      <c r="DP4162">
        <v>0</v>
      </c>
      <c r="DQ4162">
        <v>0</v>
      </c>
      <c r="DR4162">
        <v>0</v>
      </c>
      <c r="DS4162">
        <v>0</v>
      </c>
    </row>
    <row r="4163" spans="1:123" x14ac:dyDescent="0.3">
      <c r="A4163" t="str">
        <f>"10/04/2022 19:36:45.512"</f>
        <v>10/04/2022 19:36:45.512</v>
      </c>
      <c r="C4163" t="str">
        <f t="shared" si="1524"/>
        <v>FFDFD3C0</v>
      </c>
      <c r="D4163" t="s">
        <v>123</v>
      </c>
      <c r="E4163">
        <v>7</v>
      </c>
      <c r="F4163">
        <v>2007</v>
      </c>
      <c r="G4163" t="s">
        <v>124</v>
      </c>
      <c r="J4163" t="s">
        <v>125</v>
      </c>
      <c r="K4163">
        <v>0</v>
      </c>
      <c r="L4163">
        <v>3</v>
      </c>
      <c r="M4163">
        <v>0</v>
      </c>
      <c r="N4163">
        <v>2</v>
      </c>
      <c r="O4163">
        <v>0</v>
      </c>
      <c r="P4163">
        <v>1</v>
      </c>
      <c r="Q4163">
        <v>0</v>
      </c>
      <c r="S4163" t="str">
        <f t="shared" si="1530"/>
        <v>19:36:45.000</v>
      </c>
      <c r="T4163" t="str">
        <f t="shared" si="1530"/>
        <v>19:36:45.000</v>
      </c>
      <c r="U4163" t="str">
        <f t="shared" si="1532"/>
        <v>AC3944</v>
      </c>
      <c r="V4163">
        <v>0</v>
      </c>
      <c r="W4163">
        <v>0</v>
      </c>
      <c r="X4163">
        <v>2</v>
      </c>
      <c r="Y4163">
        <v>0</v>
      </c>
      <c r="AA4163">
        <v>1</v>
      </c>
      <c r="AB4163">
        <v>8</v>
      </c>
      <c r="AC4163">
        <v>3</v>
      </c>
      <c r="AD4163">
        <v>0</v>
      </c>
      <c r="AE4163">
        <v>9</v>
      </c>
      <c r="AF4163" t="s">
        <v>138</v>
      </c>
      <c r="AG4163">
        <v>0</v>
      </c>
      <c r="AH4163">
        <v>3</v>
      </c>
      <c r="AI4163">
        <v>1</v>
      </c>
      <c r="AJ4163">
        <v>0</v>
      </c>
      <c r="AK4163" t="s">
        <v>1332</v>
      </c>
      <c r="AL4163">
        <v>32.743270000000003</v>
      </c>
      <c r="AM4163" t="s">
        <v>1333</v>
      </c>
      <c r="AN4163">
        <v>-116.676908</v>
      </c>
      <c r="AO4163">
        <v>25</v>
      </c>
      <c r="AP4163">
        <v>4900</v>
      </c>
      <c r="AQ4163" t="s">
        <v>129</v>
      </c>
      <c r="AR4163">
        <v>-92</v>
      </c>
      <c r="AS4163">
        <v>107</v>
      </c>
      <c r="AT4163">
        <v>0</v>
      </c>
      <c r="BB4163">
        <v>1200</v>
      </c>
      <c r="BC4163">
        <v>1</v>
      </c>
      <c r="BD4163" t="str">
        <f t="shared" si="1533"/>
        <v xml:space="preserve">N887QR  </v>
      </c>
      <c r="BE4163">
        <v>1</v>
      </c>
      <c r="BG4163">
        <v>0</v>
      </c>
      <c r="BH4163">
        <v>0</v>
      </c>
      <c r="BI4163">
        <v>0</v>
      </c>
      <c r="BJ4163">
        <v>4675</v>
      </c>
      <c r="BK4163">
        <v>-225</v>
      </c>
      <c r="BL4163" t="s">
        <v>163</v>
      </c>
      <c r="BM4163">
        <v>1</v>
      </c>
      <c r="BN4163">
        <v>1</v>
      </c>
      <c r="BO4163">
        <v>1</v>
      </c>
      <c r="BP4163">
        <v>0</v>
      </c>
      <c r="BS4163">
        <v>0.04</v>
      </c>
      <c r="BT4163">
        <v>0</v>
      </c>
      <c r="BU4163">
        <v>0</v>
      </c>
      <c r="CE4163" t="str">
        <f t="shared" si="1531"/>
        <v>19:36:45.240</v>
      </c>
      <c r="CF4163">
        <v>239577964</v>
      </c>
      <c r="CS4163">
        <v>0</v>
      </c>
      <c r="CT4163">
        <v>2</v>
      </c>
      <c r="CU4163">
        <v>0</v>
      </c>
      <c r="CV4163">
        <v>2</v>
      </c>
      <c r="CW4163">
        <v>0</v>
      </c>
      <c r="CX4163">
        <v>2</v>
      </c>
      <c r="CY4163">
        <v>7</v>
      </c>
      <c r="CZ4163" t="s">
        <v>131</v>
      </c>
      <c r="DA4163">
        <v>286</v>
      </c>
      <c r="DB4163">
        <v>0</v>
      </c>
      <c r="DC4163" t="s">
        <v>132</v>
      </c>
      <c r="DD4163" t="s">
        <v>133</v>
      </c>
      <c r="DG4163">
        <v>903697</v>
      </c>
      <c r="DI4163">
        <v>0</v>
      </c>
      <c r="DJ4163">
        <v>0</v>
      </c>
      <c r="DK4163">
        <v>1</v>
      </c>
      <c r="DL4163">
        <v>0</v>
      </c>
      <c r="DM4163">
        <v>0</v>
      </c>
      <c r="DN4163">
        <v>1</v>
      </c>
      <c r="DO4163">
        <v>0</v>
      </c>
      <c r="DP4163">
        <v>0</v>
      </c>
      <c r="DQ4163">
        <v>0</v>
      </c>
      <c r="DR4163">
        <v>0</v>
      </c>
      <c r="DS4163">
        <v>0</v>
      </c>
    </row>
    <row r="4164" spans="1:123" x14ac:dyDescent="0.3">
      <c r="A4164" t="str">
        <f>"10/04/2022 19:36:46.792"</f>
        <v>10/04/2022 19:36:46.792</v>
      </c>
      <c r="C4164" t="str">
        <f t="shared" si="1524"/>
        <v>FFDFD3C0</v>
      </c>
      <c r="D4164" t="s">
        <v>134</v>
      </c>
      <c r="E4164">
        <v>15</v>
      </c>
      <c r="J4164" t="s">
        <v>135</v>
      </c>
      <c r="K4164">
        <v>0</v>
      </c>
      <c r="L4164">
        <v>3</v>
      </c>
      <c r="M4164">
        <v>0</v>
      </c>
      <c r="N4164">
        <v>2</v>
      </c>
      <c r="O4164">
        <v>0</v>
      </c>
      <c r="P4164">
        <v>1</v>
      </c>
      <c r="Q4164">
        <v>0</v>
      </c>
      <c r="S4164" t="str">
        <f t="shared" ref="S4164:T4170" si="1534">"19:36:46.000"</f>
        <v>19:36:46.000</v>
      </c>
      <c r="T4164" t="str">
        <f t="shared" si="1534"/>
        <v>19:36:46.000</v>
      </c>
      <c r="U4164" t="str">
        <f t="shared" si="1532"/>
        <v>AC3944</v>
      </c>
      <c r="V4164">
        <v>0</v>
      </c>
      <c r="W4164">
        <v>0</v>
      </c>
      <c r="X4164">
        <v>2</v>
      </c>
      <c r="Y4164">
        <v>0</v>
      </c>
      <c r="AA4164">
        <v>1</v>
      </c>
      <c r="AB4164">
        <v>8</v>
      </c>
      <c r="AC4164">
        <v>3</v>
      </c>
      <c r="AD4164">
        <v>0</v>
      </c>
      <c r="AE4164">
        <v>9</v>
      </c>
      <c r="AF4164" t="s">
        <v>138</v>
      </c>
      <c r="AG4164">
        <v>0</v>
      </c>
      <c r="AH4164">
        <v>3</v>
      </c>
      <c r="AI4164">
        <v>1</v>
      </c>
      <c r="AJ4164">
        <v>0</v>
      </c>
      <c r="AK4164" t="s">
        <v>1334</v>
      </c>
      <c r="AL4164">
        <v>32.743678000000003</v>
      </c>
      <c r="AM4164" t="s">
        <v>1335</v>
      </c>
      <c r="AN4164">
        <v>-116.67731499999999</v>
      </c>
      <c r="AO4164">
        <v>25</v>
      </c>
      <c r="AP4164">
        <v>4900</v>
      </c>
      <c r="AQ4164" t="s">
        <v>129</v>
      </c>
      <c r="AR4164">
        <v>-102</v>
      </c>
      <c r="AS4164">
        <v>99</v>
      </c>
      <c r="AT4164">
        <v>0</v>
      </c>
      <c r="BB4164">
        <v>1200</v>
      </c>
      <c r="BC4164">
        <v>1</v>
      </c>
      <c r="BD4164" t="str">
        <f t="shared" si="1533"/>
        <v xml:space="preserve">N887QR  </v>
      </c>
      <c r="BE4164">
        <v>1</v>
      </c>
      <c r="BG4164">
        <v>0</v>
      </c>
      <c r="BH4164">
        <v>0</v>
      </c>
      <c r="BI4164">
        <v>0</v>
      </c>
      <c r="BJ4164">
        <v>4675</v>
      </c>
      <c r="BK4164">
        <v>-225</v>
      </c>
      <c r="BL4164" t="s">
        <v>163</v>
      </c>
      <c r="BM4164">
        <v>1</v>
      </c>
      <c r="BN4164">
        <v>1</v>
      </c>
      <c r="BO4164">
        <v>1</v>
      </c>
      <c r="BP4164">
        <v>0</v>
      </c>
      <c r="BS4164">
        <v>0.04</v>
      </c>
      <c r="BT4164">
        <v>0</v>
      </c>
      <c r="BU4164">
        <v>0</v>
      </c>
      <c r="CE4164" t="str">
        <f t="shared" ref="CE4164:CE4170" si="1535">"19:36:46.522"</f>
        <v>19:36:46.522</v>
      </c>
      <c r="CF4164">
        <v>522389895</v>
      </c>
      <c r="CS4164">
        <v>0</v>
      </c>
      <c r="CT4164">
        <v>2</v>
      </c>
      <c r="CU4164">
        <v>0</v>
      </c>
      <c r="CV4164">
        <v>2</v>
      </c>
      <c r="CW4164">
        <v>0</v>
      </c>
      <c r="CX4164">
        <v>3</v>
      </c>
      <c r="CY4164">
        <v>7</v>
      </c>
      <c r="CZ4164" t="s">
        <v>131</v>
      </c>
      <c r="DA4164">
        <v>300</v>
      </c>
      <c r="DB4164">
        <v>0</v>
      </c>
      <c r="DC4164" t="s">
        <v>176</v>
      </c>
      <c r="DD4164" t="s">
        <v>177</v>
      </c>
      <c r="DG4164">
        <v>5457264</v>
      </c>
      <c r="DI4164">
        <v>0</v>
      </c>
      <c r="DJ4164">
        <v>0</v>
      </c>
      <c r="DK4164">
        <v>0</v>
      </c>
      <c r="DL4164">
        <v>0</v>
      </c>
      <c r="DM4164">
        <v>0</v>
      </c>
      <c r="DN4164">
        <v>1</v>
      </c>
      <c r="DO4164">
        <v>0</v>
      </c>
      <c r="DP4164">
        <v>0</v>
      </c>
      <c r="DQ4164">
        <v>0</v>
      </c>
      <c r="DR4164">
        <v>0</v>
      </c>
      <c r="DS4164">
        <v>0</v>
      </c>
    </row>
    <row r="4165" spans="1:123" x14ac:dyDescent="0.3">
      <c r="A4165" t="str">
        <f>"10/04/2022 19:36:46.792"</f>
        <v>10/04/2022 19:36:46.792</v>
      </c>
      <c r="C4165" t="str">
        <f t="shared" si="1524"/>
        <v>FFDFD3C0</v>
      </c>
      <c r="D4165" t="s">
        <v>141</v>
      </c>
      <c r="E4165">
        <v>3</v>
      </c>
      <c r="H4165">
        <v>3</v>
      </c>
      <c r="I4165" t="s">
        <v>146</v>
      </c>
      <c r="J4165" t="s">
        <v>138</v>
      </c>
      <c r="K4165">
        <v>0</v>
      </c>
      <c r="L4165">
        <v>3</v>
      </c>
      <c r="M4165">
        <v>0</v>
      </c>
      <c r="N4165">
        <v>2</v>
      </c>
      <c r="O4165">
        <v>0</v>
      </c>
      <c r="P4165">
        <v>1</v>
      </c>
      <c r="Q4165">
        <v>0</v>
      </c>
      <c r="S4165" t="str">
        <f t="shared" si="1534"/>
        <v>19:36:46.000</v>
      </c>
      <c r="T4165" t="str">
        <f t="shared" si="1534"/>
        <v>19:36:46.000</v>
      </c>
      <c r="U4165" t="str">
        <f t="shared" si="1532"/>
        <v>AC3944</v>
      </c>
      <c r="V4165">
        <v>0</v>
      </c>
      <c r="W4165">
        <v>0</v>
      </c>
      <c r="X4165">
        <v>2</v>
      </c>
      <c r="Y4165">
        <v>0</v>
      </c>
      <c r="AA4165">
        <v>1</v>
      </c>
      <c r="AB4165">
        <v>8</v>
      </c>
      <c r="AC4165">
        <v>3</v>
      </c>
      <c r="AD4165">
        <v>0</v>
      </c>
      <c r="AE4165">
        <v>9</v>
      </c>
      <c r="AF4165" t="s">
        <v>138</v>
      </c>
      <c r="AG4165">
        <v>0</v>
      </c>
      <c r="AH4165">
        <v>3</v>
      </c>
      <c r="AI4165">
        <v>1</v>
      </c>
      <c r="AJ4165">
        <v>0</v>
      </c>
      <c r="AK4165" t="s">
        <v>1334</v>
      </c>
      <c r="AL4165">
        <v>32.743678000000003</v>
      </c>
      <c r="AM4165" t="s">
        <v>1335</v>
      </c>
      <c r="AN4165">
        <v>-116.67731499999999</v>
      </c>
      <c r="AO4165">
        <v>25</v>
      </c>
      <c r="AP4165">
        <v>4900</v>
      </c>
      <c r="AQ4165" t="s">
        <v>129</v>
      </c>
      <c r="AR4165">
        <v>-102</v>
      </c>
      <c r="AS4165">
        <v>99</v>
      </c>
      <c r="AT4165">
        <v>0</v>
      </c>
      <c r="BB4165">
        <v>1200</v>
      </c>
      <c r="BC4165">
        <v>1</v>
      </c>
      <c r="BD4165" t="str">
        <f t="shared" si="1533"/>
        <v xml:space="preserve">N887QR  </v>
      </c>
      <c r="BE4165">
        <v>1</v>
      </c>
      <c r="BG4165">
        <v>0</v>
      </c>
      <c r="BH4165">
        <v>0</v>
      </c>
      <c r="BI4165">
        <v>0</v>
      </c>
      <c r="BJ4165">
        <v>4675</v>
      </c>
      <c r="BK4165">
        <v>-225</v>
      </c>
      <c r="BL4165" t="s">
        <v>163</v>
      </c>
      <c r="BM4165">
        <v>1</v>
      </c>
      <c r="BN4165">
        <v>1</v>
      </c>
      <c r="BO4165">
        <v>1</v>
      </c>
      <c r="BP4165">
        <v>0</v>
      </c>
      <c r="BS4165">
        <v>0.04</v>
      </c>
      <c r="BT4165">
        <v>0</v>
      </c>
      <c r="BU4165">
        <v>0</v>
      </c>
      <c r="CE4165" t="str">
        <f t="shared" si="1535"/>
        <v>19:36:46.522</v>
      </c>
      <c r="CF4165">
        <v>522389895</v>
      </c>
      <c r="CS4165">
        <v>0</v>
      </c>
      <c r="CT4165">
        <v>2</v>
      </c>
      <c r="CU4165">
        <v>0</v>
      </c>
      <c r="CV4165">
        <v>2</v>
      </c>
      <c r="CW4165">
        <v>0</v>
      </c>
      <c r="CX4165">
        <v>3</v>
      </c>
      <c r="CY4165">
        <v>7</v>
      </c>
      <c r="CZ4165" t="s">
        <v>131</v>
      </c>
      <c r="DA4165">
        <v>300</v>
      </c>
      <c r="DB4165">
        <v>0</v>
      </c>
      <c r="DC4165" t="s">
        <v>176</v>
      </c>
      <c r="DD4165" t="s">
        <v>177</v>
      </c>
      <c r="DG4165">
        <v>5457264</v>
      </c>
      <c r="DI4165">
        <v>0</v>
      </c>
      <c r="DJ4165">
        <v>0</v>
      </c>
      <c r="DK4165">
        <v>1</v>
      </c>
      <c r="DL4165">
        <v>0</v>
      </c>
      <c r="DM4165">
        <v>0</v>
      </c>
      <c r="DN4165">
        <v>1</v>
      </c>
      <c r="DO4165">
        <v>0</v>
      </c>
      <c r="DP4165">
        <v>0</v>
      </c>
      <c r="DQ4165">
        <v>0</v>
      </c>
      <c r="DR4165">
        <v>0</v>
      </c>
      <c r="DS4165">
        <v>0</v>
      </c>
    </row>
    <row r="4166" spans="1:123" x14ac:dyDescent="0.3">
      <c r="A4166" t="str">
        <f>"10/04/2022 19:36:46.792"</f>
        <v>10/04/2022 19:36:46.792</v>
      </c>
      <c r="C4166" t="str">
        <f t="shared" si="1524"/>
        <v>FFDFD3C0</v>
      </c>
      <c r="D4166" t="s">
        <v>141</v>
      </c>
      <c r="E4166">
        <v>4</v>
      </c>
      <c r="H4166">
        <v>4</v>
      </c>
      <c r="I4166" t="s">
        <v>142</v>
      </c>
      <c r="J4166" t="s">
        <v>138</v>
      </c>
      <c r="K4166">
        <v>0</v>
      </c>
      <c r="L4166">
        <v>3</v>
      </c>
      <c r="M4166">
        <v>0</v>
      </c>
      <c r="N4166">
        <v>2</v>
      </c>
      <c r="O4166">
        <v>0</v>
      </c>
      <c r="P4166">
        <v>1</v>
      </c>
      <c r="Q4166">
        <v>0</v>
      </c>
      <c r="S4166" t="str">
        <f t="shared" si="1534"/>
        <v>19:36:46.000</v>
      </c>
      <c r="T4166" t="str">
        <f t="shared" si="1534"/>
        <v>19:36:46.000</v>
      </c>
      <c r="U4166" t="str">
        <f t="shared" si="1532"/>
        <v>AC3944</v>
      </c>
      <c r="V4166">
        <v>0</v>
      </c>
      <c r="W4166">
        <v>0</v>
      </c>
      <c r="X4166">
        <v>2</v>
      </c>
      <c r="Y4166">
        <v>0</v>
      </c>
      <c r="AA4166">
        <v>1</v>
      </c>
      <c r="AB4166">
        <v>8</v>
      </c>
      <c r="AC4166">
        <v>3</v>
      </c>
      <c r="AD4166">
        <v>0</v>
      </c>
      <c r="AE4166">
        <v>9</v>
      </c>
      <c r="AF4166" t="s">
        <v>138</v>
      </c>
      <c r="AG4166">
        <v>0</v>
      </c>
      <c r="AH4166">
        <v>3</v>
      </c>
      <c r="AI4166">
        <v>1</v>
      </c>
      <c r="AJ4166">
        <v>0</v>
      </c>
      <c r="AK4166" t="s">
        <v>1334</v>
      </c>
      <c r="AL4166">
        <v>32.743678000000003</v>
      </c>
      <c r="AM4166" t="s">
        <v>1335</v>
      </c>
      <c r="AN4166">
        <v>-116.67731499999999</v>
      </c>
      <c r="AO4166">
        <v>25</v>
      </c>
      <c r="AP4166">
        <v>4900</v>
      </c>
      <c r="AQ4166" t="s">
        <v>129</v>
      </c>
      <c r="AR4166">
        <v>-102</v>
      </c>
      <c r="AS4166">
        <v>99</v>
      </c>
      <c r="AT4166">
        <v>0</v>
      </c>
      <c r="BB4166">
        <v>1200</v>
      </c>
      <c r="BC4166">
        <v>1</v>
      </c>
      <c r="BD4166" t="str">
        <f t="shared" si="1533"/>
        <v xml:space="preserve">N887QR  </v>
      </c>
      <c r="BE4166">
        <v>1</v>
      </c>
      <c r="BG4166">
        <v>0</v>
      </c>
      <c r="BH4166">
        <v>0</v>
      </c>
      <c r="BI4166">
        <v>0</v>
      </c>
      <c r="BJ4166">
        <v>4675</v>
      </c>
      <c r="BK4166">
        <v>-225</v>
      </c>
      <c r="BL4166" t="s">
        <v>163</v>
      </c>
      <c r="BM4166">
        <v>1</v>
      </c>
      <c r="BN4166">
        <v>1</v>
      </c>
      <c r="BO4166">
        <v>1</v>
      </c>
      <c r="BP4166">
        <v>0</v>
      </c>
      <c r="BS4166">
        <v>0.04</v>
      </c>
      <c r="BT4166">
        <v>0</v>
      </c>
      <c r="BU4166">
        <v>0</v>
      </c>
      <c r="CE4166" t="str">
        <f t="shared" si="1535"/>
        <v>19:36:46.522</v>
      </c>
      <c r="CF4166">
        <v>522389895</v>
      </c>
      <c r="CS4166">
        <v>0</v>
      </c>
      <c r="CT4166">
        <v>2</v>
      </c>
      <c r="CU4166">
        <v>0</v>
      </c>
      <c r="CV4166">
        <v>2</v>
      </c>
      <c r="CW4166">
        <v>0</v>
      </c>
      <c r="CX4166">
        <v>3</v>
      </c>
      <c r="CY4166">
        <v>7</v>
      </c>
      <c r="CZ4166" t="s">
        <v>131</v>
      </c>
      <c r="DA4166">
        <v>300</v>
      </c>
      <c r="DB4166">
        <v>0</v>
      </c>
      <c r="DC4166" t="s">
        <v>176</v>
      </c>
      <c r="DD4166" t="s">
        <v>177</v>
      </c>
      <c r="DG4166">
        <v>5457264</v>
      </c>
      <c r="DI4166">
        <v>0</v>
      </c>
      <c r="DJ4166">
        <v>0</v>
      </c>
      <c r="DK4166">
        <v>1</v>
      </c>
      <c r="DL4166">
        <v>0</v>
      </c>
      <c r="DM4166">
        <v>0</v>
      </c>
      <c r="DN4166">
        <v>1</v>
      </c>
      <c r="DO4166">
        <v>0</v>
      </c>
      <c r="DP4166">
        <v>0</v>
      </c>
      <c r="DQ4166">
        <v>0</v>
      </c>
      <c r="DR4166">
        <v>0</v>
      </c>
      <c r="DS4166">
        <v>0</v>
      </c>
    </row>
    <row r="4167" spans="1:123" x14ac:dyDescent="0.3">
      <c r="A4167" t="str">
        <f>"10/04/2022 19:36:46.855"</f>
        <v>10/04/2022 19:36:46.855</v>
      </c>
      <c r="C4167" t="str">
        <f t="shared" si="1524"/>
        <v>FFDFD3C0</v>
      </c>
      <c r="D4167" t="s">
        <v>147</v>
      </c>
      <c r="E4167">
        <v>3</v>
      </c>
      <c r="H4167">
        <v>166</v>
      </c>
      <c r="I4167" t="s">
        <v>144</v>
      </c>
      <c r="J4167" t="s">
        <v>148</v>
      </c>
      <c r="K4167">
        <v>0</v>
      </c>
      <c r="L4167">
        <v>3</v>
      </c>
      <c r="M4167">
        <v>0</v>
      </c>
      <c r="N4167">
        <v>2</v>
      </c>
      <c r="O4167">
        <v>0</v>
      </c>
      <c r="P4167">
        <v>1</v>
      </c>
      <c r="Q4167">
        <v>0</v>
      </c>
      <c r="S4167" t="str">
        <f t="shared" si="1534"/>
        <v>19:36:46.000</v>
      </c>
      <c r="T4167" t="str">
        <f t="shared" si="1534"/>
        <v>19:36:46.000</v>
      </c>
      <c r="U4167" t="str">
        <f t="shared" si="1532"/>
        <v>AC3944</v>
      </c>
      <c r="V4167">
        <v>0</v>
      </c>
      <c r="W4167">
        <v>0</v>
      </c>
      <c r="X4167">
        <v>2</v>
      </c>
      <c r="Y4167">
        <v>0</v>
      </c>
      <c r="AA4167">
        <v>1</v>
      </c>
      <c r="AB4167">
        <v>8</v>
      </c>
      <c r="AC4167">
        <v>3</v>
      </c>
      <c r="AD4167">
        <v>0</v>
      </c>
      <c r="AE4167">
        <v>9</v>
      </c>
      <c r="AF4167" t="s">
        <v>138</v>
      </c>
      <c r="AG4167">
        <v>0</v>
      </c>
      <c r="AH4167">
        <v>3</v>
      </c>
      <c r="AI4167">
        <v>1</v>
      </c>
      <c r="AJ4167">
        <v>0</v>
      </c>
      <c r="AK4167" t="s">
        <v>1334</v>
      </c>
      <c r="AL4167">
        <v>32.743678000000003</v>
      </c>
      <c r="AM4167" t="s">
        <v>1335</v>
      </c>
      <c r="AN4167">
        <v>-116.67731499999999</v>
      </c>
      <c r="AO4167">
        <v>25</v>
      </c>
      <c r="AP4167">
        <v>4900</v>
      </c>
      <c r="AQ4167" t="s">
        <v>129</v>
      </c>
      <c r="AR4167">
        <v>-102</v>
      </c>
      <c r="AS4167">
        <v>99</v>
      </c>
      <c r="AT4167">
        <v>0</v>
      </c>
      <c r="BB4167">
        <v>1200</v>
      </c>
      <c r="BC4167">
        <v>1</v>
      </c>
      <c r="BD4167" t="str">
        <f t="shared" si="1533"/>
        <v xml:space="preserve">N887QR  </v>
      </c>
      <c r="BE4167">
        <v>1</v>
      </c>
      <c r="BG4167">
        <v>0</v>
      </c>
      <c r="BH4167">
        <v>0</v>
      </c>
      <c r="BI4167">
        <v>0</v>
      </c>
      <c r="BJ4167">
        <v>4675</v>
      </c>
      <c r="BK4167">
        <v>-225</v>
      </c>
      <c r="BL4167" t="s">
        <v>163</v>
      </c>
      <c r="BM4167">
        <v>1</v>
      </c>
      <c r="BN4167">
        <v>1</v>
      </c>
      <c r="BO4167">
        <v>1</v>
      </c>
      <c r="BP4167">
        <v>0</v>
      </c>
      <c r="BS4167">
        <v>0.04</v>
      </c>
      <c r="BT4167">
        <v>0</v>
      </c>
      <c r="BU4167">
        <v>0</v>
      </c>
      <c r="CE4167" t="str">
        <f t="shared" si="1535"/>
        <v>19:36:46.522</v>
      </c>
      <c r="CF4167">
        <v>522389895</v>
      </c>
      <c r="CS4167">
        <v>0</v>
      </c>
      <c r="CT4167">
        <v>2</v>
      </c>
      <c r="CU4167">
        <v>0</v>
      </c>
      <c r="CV4167">
        <v>2</v>
      </c>
      <c r="CW4167">
        <v>0</v>
      </c>
      <c r="CX4167">
        <v>3</v>
      </c>
      <c r="CY4167">
        <v>7</v>
      </c>
      <c r="CZ4167" t="s">
        <v>131</v>
      </c>
      <c r="DA4167">
        <v>300</v>
      </c>
      <c r="DB4167">
        <v>0</v>
      </c>
      <c r="DC4167" t="s">
        <v>176</v>
      </c>
      <c r="DD4167" t="s">
        <v>177</v>
      </c>
      <c r="DG4167">
        <v>5457264</v>
      </c>
      <c r="DI4167">
        <v>0</v>
      </c>
      <c r="DJ4167">
        <v>0</v>
      </c>
      <c r="DK4167">
        <v>1</v>
      </c>
      <c r="DL4167">
        <v>0</v>
      </c>
      <c r="DM4167">
        <v>0</v>
      </c>
      <c r="DN4167">
        <v>1</v>
      </c>
      <c r="DO4167">
        <v>0</v>
      </c>
      <c r="DP4167">
        <v>0</v>
      </c>
      <c r="DQ4167">
        <v>0</v>
      </c>
      <c r="DR4167">
        <v>0</v>
      </c>
      <c r="DS4167">
        <v>0</v>
      </c>
    </row>
    <row r="4168" spans="1:123" x14ac:dyDescent="0.3">
      <c r="A4168" t="str">
        <f>"10/04/2022 19:36:46.855"</f>
        <v>10/04/2022 19:36:46.855</v>
      </c>
      <c r="C4168" t="str">
        <f t="shared" si="1524"/>
        <v>FFDFD3C0</v>
      </c>
      <c r="D4168" t="s">
        <v>143</v>
      </c>
      <c r="E4168">
        <v>20</v>
      </c>
      <c r="F4168">
        <v>1020</v>
      </c>
      <c r="G4168" t="s">
        <v>144</v>
      </c>
      <c r="J4168" t="s">
        <v>145</v>
      </c>
      <c r="K4168">
        <v>0</v>
      </c>
      <c r="L4168">
        <v>3</v>
      </c>
      <c r="M4168">
        <v>0</v>
      </c>
      <c r="N4168">
        <v>2</v>
      </c>
      <c r="O4168">
        <v>0</v>
      </c>
      <c r="P4168">
        <v>1</v>
      </c>
      <c r="Q4168">
        <v>0</v>
      </c>
      <c r="S4168" t="str">
        <f t="shared" si="1534"/>
        <v>19:36:46.000</v>
      </c>
      <c r="T4168" t="str">
        <f t="shared" si="1534"/>
        <v>19:36:46.000</v>
      </c>
      <c r="U4168" t="str">
        <f t="shared" si="1532"/>
        <v>AC3944</v>
      </c>
      <c r="V4168">
        <v>0</v>
      </c>
      <c r="W4168">
        <v>0</v>
      </c>
      <c r="X4168">
        <v>2</v>
      </c>
      <c r="Y4168">
        <v>0</v>
      </c>
      <c r="AA4168">
        <v>1</v>
      </c>
      <c r="AB4168">
        <v>8</v>
      </c>
      <c r="AC4168">
        <v>3</v>
      </c>
      <c r="AD4168">
        <v>0</v>
      </c>
      <c r="AE4168">
        <v>9</v>
      </c>
      <c r="AF4168" t="s">
        <v>138</v>
      </c>
      <c r="AG4168">
        <v>0</v>
      </c>
      <c r="AH4168">
        <v>3</v>
      </c>
      <c r="AI4168">
        <v>1</v>
      </c>
      <c r="AJ4168">
        <v>0</v>
      </c>
      <c r="AK4168" t="s">
        <v>1334</v>
      </c>
      <c r="AL4168">
        <v>32.743678000000003</v>
      </c>
      <c r="AM4168" t="s">
        <v>1335</v>
      </c>
      <c r="AN4168">
        <v>-116.67731499999999</v>
      </c>
      <c r="AO4168">
        <v>25</v>
      </c>
      <c r="AP4168">
        <v>4900</v>
      </c>
      <c r="AQ4168" t="s">
        <v>129</v>
      </c>
      <c r="AR4168">
        <v>-102</v>
      </c>
      <c r="AS4168">
        <v>99</v>
      </c>
      <c r="AT4168">
        <v>0</v>
      </c>
      <c r="BB4168">
        <v>1200</v>
      </c>
      <c r="BC4168">
        <v>1</v>
      </c>
      <c r="BD4168" t="str">
        <f t="shared" si="1533"/>
        <v xml:space="preserve">N887QR  </v>
      </c>
      <c r="BE4168">
        <v>1</v>
      </c>
      <c r="BG4168">
        <v>0</v>
      </c>
      <c r="BH4168">
        <v>0</v>
      </c>
      <c r="BI4168">
        <v>0</v>
      </c>
      <c r="BJ4168">
        <v>4675</v>
      </c>
      <c r="BK4168">
        <v>-225</v>
      </c>
      <c r="BL4168" t="s">
        <v>163</v>
      </c>
      <c r="BM4168">
        <v>1</v>
      </c>
      <c r="BN4168">
        <v>1</v>
      </c>
      <c r="BO4168">
        <v>1</v>
      </c>
      <c r="BP4168">
        <v>0</v>
      </c>
      <c r="BS4168">
        <v>0.04</v>
      </c>
      <c r="BT4168">
        <v>0</v>
      </c>
      <c r="BU4168">
        <v>0</v>
      </c>
      <c r="CE4168" t="str">
        <f t="shared" si="1535"/>
        <v>19:36:46.522</v>
      </c>
      <c r="CF4168">
        <v>522389895</v>
      </c>
      <c r="CS4168">
        <v>0</v>
      </c>
      <c r="CT4168">
        <v>2</v>
      </c>
      <c r="CU4168">
        <v>0</v>
      </c>
      <c r="CV4168">
        <v>2</v>
      </c>
      <c r="CW4168">
        <v>0</v>
      </c>
      <c r="CX4168">
        <v>3</v>
      </c>
      <c r="CY4168">
        <v>7</v>
      </c>
      <c r="CZ4168" t="s">
        <v>131</v>
      </c>
      <c r="DA4168">
        <v>300</v>
      </c>
      <c r="DB4168">
        <v>0</v>
      </c>
      <c r="DC4168" t="s">
        <v>176</v>
      </c>
      <c r="DD4168" t="s">
        <v>177</v>
      </c>
      <c r="DG4168">
        <v>5457264</v>
      </c>
      <c r="DI4168">
        <v>0</v>
      </c>
      <c r="DJ4168">
        <v>0</v>
      </c>
      <c r="DK4168">
        <v>1</v>
      </c>
      <c r="DL4168">
        <v>0</v>
      </c>
      <c r="DM4168">
        <v>0</v>
      </c>
      <c r="DN4168">
        <v>1</v>
      </c>
      <c r="DO4168">
        <v>0</v>
      </c>
      <c r="DP4168">
        <v>0</v>
      </c>
      <c r="DQ4168">
        <v>0</v>
      </c>
      <c r="DR4168">
        <v>0</v>
      </c>
      <c r="DS4168">
        <v>0</v>
      </c>
    </row>
    <row r="4169" spans="1:123" x14ac:dyDescent="0.3">
      <c r="A4169" t="str">
        <f>"10/04/2022 19:36:46.855"</f>
        <v>10/04/2022 19:36:46.855</v>
      </c>
      <c r="C4169" t="str">
        <f t="shared" si="1524"/>
        <v>FFDFD3C0</v>
      </c>
      <c r="D4169" t="s">
        <v>136</v>
      </c>
      <c r="E4169">
        <v>8</v>
      </c>
      <c r="H4169">
        <v>225</v>
      </c>
      <c r="I4169" t="s">
        <v>137</v>
      </c>
      <c r="J4169" t="s">
        <v>138</v>
      </c>
      <c r="K4169">
        <v>0</v>
      </c>
      <c r="L4169">
        <v>3</v>
      </c>
      <c r="M4169">
        <v>0</v>
      </c>
      <c r="N4169">
        <v>2</v>
      </c>
      <c r="O4169">
        <v>0</v>
      </c>
      <c r="P4169">
        <v>1</v>
      </c>
      <c r="Q4169">
        <v>0</v>
      </c>
      <c r="S4169" t="str">
        <f t="shared" si="1534"/>
        <v>19:36:46.000</v>
      </c>
      <c r="T4169" t="str">
        <f t="shared" si="1534"/>
        <v>19:36:46.000</v>
      </c>
      <c r="U4169" t="str">
        <f t="shared" si="1532"/>
        <v>AC3944</v>
      </c>
      <c r="V4169">
        <v>0</v>
      </c>
      <c r="W4169">
        <v>0</v>
      </c>
      <c r="X4169">
        <v>2</v>
      </c>
      <c r="Y4169">
        <v>0</v>
      </c>
      <c r="AA4169">
        <v>1</v>
      </c>
      <c r="AB4169">
        <v>8</v>
      </c>
      <c r="AC4169">
        <v>3</v>
      </c>
      <c r="AD4169">
        <v>0</v>
      </c>
      <c r="AE4169">
        <v>9</v>
      </c>
      <c r="AF4169" t="s">
        <v>138</v>
      </c>
      <c r="AG4169">
        <v>0</v>
      </c>
      <c r="AH4169">
        <v>3</v>
      </c>
      <c r="AI4169">
        <v>1</v>
      </c>
      <c r="AJ4169">
        <v>0</v>
      </c>
      <c r="AK4169" t="s">
        <v>1334</v>
      </c>
      <c r="AL4169">
        <v>32.743678000000003</v>
      </c>
      <c r="AM4169" t="s">
        <v>1335</v>
      </c>
      <c r="AN4169">
        <v>-116.67731499999999</v>
      </c>
      <c r="AO4169">
        <v>25</v>
      </c>
      <c r="AP4169">
        <v>4900</v>
      </c>
      <c r="AQ4169" t="s">
        <v>129</v>
      </c>
      <c r="AR4169">
        <v>-102</v>
      </c>
      <c r="AS4169">
        <v>99</v>
      </c>
      <c r="AT4169">
        <v>0</v>
      </c>
      <c r="BB4169">
        <v>1200</v>
      </c>
      <c r="BC4169">
        <v>1</v>
      </c>
      <c r="BD4169" t="str">
        <f t="shared" si="1533"/>
        <v xml:space="preserve">N887QR  </v>
      </c>
      <c r="BE4169">
        <v>1</v>
      </c>
      <c r="BG4169">
        <v>0</v>
      </c>
      <c r="BH4169">
        <v>0</v>
      </c>
      <c r="BI4169">
        <v>0</v>
      </c>
      <c r="BJ4169">
        <v>4675</v>
      </c>
      <c r="BK4169">
        <v>-225</v>
      </c>
      <c r="BL4169" t="s">
        <v>163</v>
      </c>
      <c r="BM4169">
        <v>1</v>
      </c>
      <c r="BN4169">
        <v>1</v>
      </c>
      <c r="BO4169">
        <v>1</v>
      </c>
      <c r="BP4169">
        <v>0</v>
      </c>
      <c r="BS4169">
        <v>0.04</v>
      </c>
      <c r="BT4169">
        <v>0</v>
      </c>
      <c r="BU4169">
        <v>0</v>
      </c>
      <c r="CE4169" t="str">
        <f t="shared" si="1535"/>
        <v>19:36:46.522</v>
      </c>
      <c r="CF4169">
        <v>522389895</v>
      </c>
      <c r="CS4169">
        <v>0</v>
      </c>
      <c r="CT4169">
        <v>2</v>
      </c>
      <c r="CU4169">
        <v>0</v>
      </c>
      <c r="CV4169">
        <v>2</v>
      </c>
      <c r="CW4169">
        <v>0</v>
      </c>
      <c r="CX4169">
        <v>3</v>
      </c>
      <c r="CY4169">
        <v>7</v>
      </c>
      <c r="CZ4169" t="s">
        <v>131</v>
      </c>
      <c r="DA4169">
        <v>300</v>
      </c>
      <c r="DB4169">
        <v>0</v>
      </c>
      <c r="DC4169" t="s">
        <v>176</v>
      </c>
      <c r="DD4169" t="s">
        <v>177</v>
      </c>
      <c r="DG4169">
        <v>5457264</v>
      </c>
      <c r="DI4169">
        <v>0</v>
      </c>
      <c r="DJ4169">
        <v>0</v>
      </c>
      <c r="DK4169">
        <v>1</v>
      </c>
      <c r="DL4169">
        <v>0</v>
      </c>
      <c r="DM4169">
        <v>0</v>
      </c>
      <c r="DN4169">
        <v>1</v>
      </c>
      <c r="DO4169">
        <v>0</v>
      </c>
      <c r="DP4169">
        <v>0</v>
      </c>
      <c r="DQ4169">
        <v>0</v>
      </c>
      <c r="DR4169">
        <v>0</v>
      </c>
      <c r="DS4169">
        <v>0</v>
      </c>
    </row>
    <row r="4170" spans="1:123" x14ac:dyDescent="0.3">
      <c r="A4170" t="str">
        <f>"10/04/2022 19:36:46.855"</f>
        <v>10/04/2022 19:36:46.855</v>
      </c>
      <c r="C4170" t="str">
        <f t="shared" si="1524"/>
        <v>FFDFD3C0</v>
      </c>
      <c r="D4170" t="s">
        <v>123</v>
      </c>
      <c r="E4170">
        <v>7</v>
      </c>
      <c r="F4170">
        <v>2007</v>
      </c>
      <c r="G4170" t="s">
        <v>124</v>
      </c>
      <c r="J4170" t="s">
        <v>125</v>
      </c>
      <c r="K4170">
        <v>0</v>
      </c>
      <c r="L4170">
        <v>3</v>
      </c>
      <c r="M4170">
        <v>0</v>
      </c>
      <c r="N4170">
        <v>2</v>
      </c>
      <c r="O4170">
        <v>0</v>
      </c>
      <c r="P4170">
        <v>1</v>
      </c>
      <c r="Q4170">
        <v>0</v>
      </c>
      <c r="S4170" t="str">
        <f t="shared" si="1534"/>
        <v>19:36:46.000</v>
      </c>
      <c r="T4170" t="str">
        <f t="shared" si="1534"/>
        <v>19:36:46.000</v>
      </c>
      <c r="U4170" t="str">
        <f t="shared" si="1532"/>
        <v>AC3944</v>
      </c>
      <c r="V4170">
        <v>0</v>
      </c>
      <c r="W4170">
        <v>0</v>
      </c>
      <c r="X4170">
        <v>2</v>
      </c>
      <c r="Y4170">
        <v>0</v>
      </c>
      <c r="AA4170">
        <v>1</v>
      </c>
      <c r="AB4170">
        <v>8</v>
      </c>
      <c r="AC4170">
        <v>3</v>
      </c>
      <c r="AD4170">
        <v>0</v>
      </c>
      <c r="AE4170">
        <v>9</v>
      </c>
      <c r="AF4170" t="s">
        <v>138</v>
      </c>
      <c r="AG4170">
        <v>0</v>
      </c>
      <c r="AH4170">
        <v>3</v>
      </c>
      <c r="AI4170">
        <v>1</v>
      </c>
      <c r="AJ4170">
        <v>0</v>
      </c>
      <c r="AK4170" t="s">
        <v>1334</v>
      </c>
      <c r="AL4170">
        <v>32.743678000000003</v>
      </c>
      <c r="AM4170" t="s">
        <v>1335</v>
      </c>
      <c r="AN4170">
        <v>-116.67731499999999</v>
      </c>
      <c r="AO4170">
        <v>25</v>
      </c>
      <c r="AP4170">
        <v>4900</v>
      </c>
      <c r="AQ4170" t="s">
        <v>129</v>
      </c>
      <c r="AR4170">
        <v>-102</v>
      </c>
      <c r="AS4170">
        <v>99</v>
      </c>
      <c r="AT4170">
        <v>0</v>
      </c>
      <c r="BB4170">
        <v>1200</v>
      </c>
      <c r="BC4170">
        <v>1</v>
      </c>
      <c r="BD4170" t="str">
        <f t="shared" si="1533"/>
        <v xml:space="preserve">N887QR  </v>
      </c>
      <c r="BE4170">
        <v>1</v>
      </c>
      <c r="BG4170">
        <v>0</v>
      </c>
      <c r="BH4170">
        <v>0</v>
      </c>
      <c r="BI4170">
        <v>0</v>
      </c>
      <c r="BJ4170">
        <v>4675</v>
      </c>
      <c r="BK4170">
        <v>-225</v>
      </c>
      <c r="BL4170" t="s">
        <v>163</v>
      </c>
      <c r="BM4170">
        <v>1</v>
      </c>
      <c r="BN4170">
        <v>1</v>
      </c>
      <c r="BO4170">
        <v>1</v>
      </c>
      <c r="BP4170">
        <v>0</v>
      </c>
      <c r="BS4170">
        <v>0.04</v>
      </c>
      <c r="BT4170">
        <v>0</v>
      </c>
      <c r="BU4170">
        <v>0</v>
      </c>
      <c r="CE4170" t="str">
        <f t="shared" si="1535"/>
        <v>19:36:46.522</v>
      </c>
      <c r="CF4170">
        <v>522389895</v>
      </c>
      <c r="CS4170">
        <v>0</v>
      </c>
      <c r="CT4170">
        <v>2</v>
      </c>
      <c r="CU4170">
        <v>0</v>
      </c>
      <c r="CV4170">
        <v>2</v>
      </c>
      <c r="CW4170">
        <v>0</v>
      </c>
      <c r="CX4170">
        <v>3</v>
      </c>
      <c r="CY4170">
        <v>7</v>
      </c>
      <c r="CZ4170" t="s">
        <v>131</v>
      </c>
      <c r="DA4170">
        <v>300</v>
      </c>
      <c r="DB4170">
        <v>0</v>
      </c>
      <c r="DC4170" t="s">
        <v>176</v>
      </c>
      <c r="DD4170" t="s">
        <v>177</v>
      </c>
      <c r="DG4170">
        <v>5457264</v>
      </c>
      <c r="DI4170">
        <v>0</v>
      </c>
      <c r="DJ4170">
        <v>0</v>
      </c>
      <c r="DK4170">
        <v>1</v>
      </c>
      <c r="DL4170">
        <v>0</v>
      </c>
      <c r="DM4170">
        <v>0</v>
      </c>
      <c r="DN4170">
        <v>1</v>
      </c>
      <c r="DO4170">
        <v>0</v>
      </c>
      <c r="DP4170">
        <v>0</v>
      </c>
      <c r="DQ4170">
        <v>0</v>
      </c>
      <c r="DR4170">
        <v>0</v>
      </c>
      <c r="DS4170">
        <v>0</v>
      </c>
    </row>
    <row r="4171" spans="1:123" x14ac:dyDescent="0.3">
      <c r="A4171" t="str">
        <f t="shared" ref="A4171:A4177" si="1536">"10/04/2022 19:36:48.167"</f>
        <v>10/04/2022 19:36:48.167</v>
      </c>
      <c r="C4171" t="str">
        <f t="shared" si="1524"/>
        <v>FFDFD3C0</v>
      </c>
      <c r="D4171" t="s">
        <v>141</v>
      </c>
      <c r="E4171">
        <v>3</v>
      </c>
      <c r="H4171">
        <v>3</v>
      </c>
      <c r="I4171" t="s">
        <v>146</v>
      </c>
      <c r="J4171" t="s">
        <v>138</v>
      </c>
      <c r="K4171">
        <v>0</v>
      </c>
      <c r="L4171">
        <v>3</v>
      </c>
      <c r="M4171">
        <v>0</v>
      </c>
      <c r="N4171">
        <v>2</v>
      </c>
      <c r="O4171">
        <v>0</v>
      </c>
      <c r="P4171">
        <v>1</v>
      </c>
      <c r="Q4171">
        <v>0</v>
      </c>
      <c r="S4171" t="str">
        <f t="shared" ref="S4171:T4177" si="1537">"19:36:47.000"</f>
        <v>19:36:47.000</v>
      </c>
      <c r="T4171" t="str">
        <f t="shared" si="1537"/>
        <v>19:36:47.000</v>
      </c>
      <c r="U4171" t="str">
        <f t="shared" si="1532"/>
        <v>AC3944</v>
      </c>
      <c r="V4171">
        <v>0</v>
      </c>
      <c r="W4171">
        <v>0</v>
      </c>
      <c r="X4171">
        <v>2</v>
      </c>
      <c r="Y4171">
        <v>0</v>
      </c>
      <c r="AA4171">
        <v>1</v>
      </c>
      <c r="AB4171">
        <v>8</v>
      </c>
      <c r="AC4171">
        <v>3</v>
      </c>
      <c r="AD4171">
        <v>0</v>
      </c>
      <c r="AE4171">
        <v>9</v>
      </c>
      <c r="AF4171" t="s">
        <v>138</v>
      </c>
      <c r="AG4171">
        <v>0</v>
      </c>
      <c r="AH4171">
        <v>3</v>
      </c>
      <c r="AI4171">
        <v>1</v>
      </c>
      <c r="AJ4171">
        <v>0</v>
      </c>
      <c r="AK4171" t="s">
        <v>1336</v>
      </c>
      <c r="AL4171">
        <v>32.744686999999999</v>
      </c>
      <c r="AM4171" t="s">
        <v>1337</v>
      </c>
      <c r="AN4171">
        <v>-116.67856</v>
      </c>
      <c r="AO4171">
        <v>25</v>
      </c>
      <c r="AP4171">
        <v>4900</v>
      </c>
      <c r="AQ4171" t="s">
        <v>129</v>
      </c>
      <c r="AR4171">
        <v>-113</v>
      </c>
      <c r="AS4171">
        <v>87</v>
      </c>
      <c r="AT4171">
        <v>0</v>
      </c>
      <c r="BB4171">
        <v>1200</v>
      </c>
      <c r="BC4171">
        <v>1</v>
      </c>
      <c r="BD4171" t="str">
        <f t="shared" si="1533"/>
        <v xml:space="preserve">N887QR  </v>
      </c>
      <c r="BE4171">
        <v>1</v>
      </c>
      <c r="BG4171">
        <v>0</v>
      </c>
      <c r="BH4171">
        <v>0</v>
      </c>
      <c r="BI4171">
        <v>0</v>
      </c>
      <c r="BJ4171">
        <v>4675</v>
      </c>
      <c r="BK4171">
        <v>-225</v>
      </c>
      <c r="BL4171" t="s">
        <v>163</v>
      </c>
      <c r="BM4171">
        <v>1</v>
      </c>
      <c r="BN4171">
        <v>1</v>
      </c>
      <c r="BO4171">
        <v>1</v>
      </c>
      <c r="BP4171">
        <v>0</v>
      </c>
      <c r="BS4171">
        <v>0.04</v>
      </c>
      <c r="BT4171">
        <v>0</v>
      </c>
      <c r="BU4171">
        <v>0</v>
      </c>
      <c r="CE4171" t="str">
        <f t="shared" ref="CE4171:CE4177" si="1538">"19:36:47.960"</f>
        <v>19:36:47.960</v>
      </c>
      <c r="CF4171">
        <v>959644189</v>
      </c>
      <c r="CS4171">
        <v>0</v>
      </c>
      <c r="CT4171">
        <v>2</v>
      </c>
      <c r="CU4171">
        <v>0</v>
      </c>
      <c r="CV4171">
        <v>2</v>
      </c>
      <c r="CW4171">
        <v>0</v>
      </c>
      <c r="CX4171">
        <v>3</v>
      </c>
      <c r="CY4171">
        <v>7</v>
      </c>
      <c r="CZ4171" t="s">
        <v>131</v>
      </c>
      <c r="DA4171">
        <v>300</v>
      </c>
      <c r="DB4171">
        <v>0</v>
      </c>
      <c r="DC4171" t="s">
        <v>176</v>
      </c>
      <c r="DD4171" t="s">
        <v>177</v>
      </c>
      <c r="DG4171">
        <v>5457475</v>
      </c>
      <c r="DI4171">
        <v>0</v>
      </c>
      <c r="DJ4171">
        <v>0</v>
      </c>
      <c r="DK4171">
        <v>0</v>
      </c>
      <c r="DL4171">
        <v>0</v>
      </c>
      <c r="DM4171">
        <v>0</v>
      </c>
      <c r="DN4171">
        <v>1</v>
      </c>
      <c r="DO4171">
        <v>0</v>
      </c>
      <c r="DP4171">
        <v>0</v>
      </c>
      <c r="DQ4171">
        <v>0</v>
      </c>
      <c r="DR4171">
        <v>0</v>
      </c>
      <c r="DS4171">
        <v>0</v>
      </c>
    </row>
    <row r="4172" spans="1:123" x14ac:dyDescent="0.3">
      <c r="A4172" t="str">
        <f t="shared" si="1536"/>
        <v>10/04/2022 19:36:48.167</v>
      </c>
      <c r="C4172" t="str">
        <f t="shared" si="1524"/>
        <v>FFDFD3C0</v>
      </c>
      <c r="D4172" t="s">
        <v>134</v>
      </c>
      <c r="E4172">
        <v>15</v>
      </c>
      <c r="J4172" t="s">
        <v>135</v>
      </c>
      <c r="K4172">
        <v>0</v>
      </c>
      <c r="L4172">
        <v>3</v>
      </c>
      <c r="M4172">
        <v>0</v>
      </c>
      <c r="N4172">
        <v>2</v>
      </c>
      <c r="O4172">
        <v>0</v>
      </c>
      <c r="P4172">
        <v>1</v>
      </c>
      <c r="Q4172">
        <v>0</v>
      </c>
      <c r="S4172" t="str">
        <f t="shared" si="1537"/>
        <v>19:36:47.000</v>
      </c>
      <c r="T4172" t="str">
        <f t="shared" si="1537"/>
        <v>19:36:47.000</v>
      </c>
      <c r="U4172" t="str">
        <f t="shared" si="1532"/>
        <v>AC3944</v>
      </c>
      <c r="V4172">
        <v>0</v>
      </c>
      <c r="W4172">
        <v>0</v>
      </c>
      <c r="X4172">
        <v>2</v>
      </c>
      <c r="Y4172">
        <v>0</v>
      </c>
      <c r="AA4172">
        <v>1</v>
      </c>
      <c r="AB4172">
        <v>8</v>
      </c>
      <c r="AC4172">
        <v>3</v>
      </c>
      <c r="AD4172">
        <v>0</v>
      </c>
      <c r="AE4172">
        <v>9</v>
      </c>
      <c r="AF4172" t="s">
        <v>138</v>
      </c>
      <c r="AG4172">
        <v>0</v>
      </c>
      <c r="AH4172">
        <v>3</v>
      </c>
      <c r="AI4172">
        <v>1</v>
      </c>
      <c r="AJ4172">
        <v>0</v>
      </c>
      <c r="AK4172" t="s">
        <v>1336</v>
      </c>
      <c r="AL4172">
        <v>32.744686999999999</v>
      </c>
      <c r="AM4172" t="s">
        <v>1337</v>
      </c>
      <c r="AN4172">
        <v>-116.67856</v>
      </c>
      <c r="AO4172">
        <v>25</v>
      </c>
      <c r="AP4172">
        <v>4900</v>
      </c>
      <c r="AQ4172" t="s">
        <v>129</v>
      </c>
      <c r="AR4172">
        <v>-113</v>
      </c>
      <c r="AS4172">
        <v>87</v>
      </c>
      <c r="AT4172">
        <v>0</v>
      </c>
      <c r="BB4172">
        <v>1200</v>
      </c>
      <c r="BC4172">
        <v>1</v>
      </c>
      <c r="BD4172" t="str">
        <f t="shared" si="1533"/>
        <v xml:space="preserve">N887QR  </v>
      </c>
      <c r="BE4172">
        <v>1</v>
      </c>
      <c r="BG4172">
        <v>0</v>
      </c>
      <c r="BH4172">
        <v>0</v>
      </c>
      <c r="BI4172">
        <v>0</v>
      </c>
      <c r="BJ4172">
        <v>4675</v>
      </c>
      <c r="BK4172">
        <v>-225</v>
      </c>
      <c r="BL4172" t="s">
        <v>163</v>
      </c>
      <c r="BM4172">
        <v>1</v>
      </c>
      <c r="BN4172">
        <v>1</v>
      </c>
      <c r="BO4172">
        <v>1</v>
      </c>
      <c r="BP4172">
        <v>0</v>
      </c>
      <c r="BS4172">
        <v>0.04</v>
      </c>
      <c r="BT4172">
        <v>0</v>
      </c>
      <c r="BU4172">
        <v>0</v>
      </c>
      <c r="CE4172" t="str">
        <f t="shared" si="1538"/>
        <v>19:36:47.960</v>
      </c>
      <c r="CF4172">
        <v>959644189</v>
      </c>
      <c r="CS4172">
        <v>0</v>
      </c>
      <c r="CT4172">
        <v>2</v>
      </c>
      <c r="CU4172">
        <v>0</v>
      </c>
      <c r="CV4172">
        <v>2</v>
      </c>
      <c r="CW4172">
        <v>0</v>
      </c>
      <c r="CX4172">
        <v>3</v>
      </c>
      <c r="CY4172">
        <v>7</v>
      </c>
      <c r="CZ4172" t="s">
        <v>131</v>
      </c>
      <c r="DA4172">
        <v>300</v>
      </c>
      <c r="DB4172">
        <v>0</v>
      </c>
      <c r="DC4172" t="s">
        <v>176</v>
      </c>
      <c r="DD4172" t="s">
        <v>177</v>
      </c>
      <c r="DG4172">
        <v>5457475</v>
      </c>
      <c r="DI4172">
        <v>0</v>
      </c>
      <c r="DJ4172">
        <v>0</v>
      </c>
      <c r="DK4172">
        <v>1</v>
      </c>
      <c r="DL4172">
        <v>0</v>
      </c>
      <c r="DM4172">
        <v>0</v>
      </c>
      <c r="DN4172">
        <v>1</v>
      </c>
      <c r="DO4172">
        <v>0</v>
      </c>
      <c r="DP4172">
        <v>0</v>
      </c>
      <c r="DQ4172">
        <v>0</v>
      </c>
      <c r="DR4172">
        <v>0</v>
      </c>
      <c r="DS4172">
        <v>0</v>
      </c>
    </row>
    <row r="4173" spans="1:123" x14ac:dyDescent="0.3">
      <c r="A4173" t="str">
        <f t="shared" si="1536"/>
        <v>10/04/2022 19:36:48.167</v>
      </c>
      <c r="C4173" t="str">
        <f t="shared" si="1524"/>
        <v>FFDFD3C0</v>
      </c>
      <c r="D4173" t="s">
        <v>147</v>
      </c>
      <c r="E4173">
        <v>3</v>
      </c>
      <c r="H4173">
        <v>166</v>
      </c>
      <c r="I4173" t="s">
        <v>144</v>
      </c>
      <c r="J4173" t="s">
        <v>148</v>
      </c>
      <c r="K4173">
        <v>0</v>
      </c>
      <c r="L4173">
        <v>3</v>
      </c>
      <c r="M4173">
        <v>0</v>
      </c>
      <c r="N4173">
        <v>2</v>
      </c>
      <c r="O4173">
        <v>0</v>
      </c>
      <c r="P4173">
        <v>1</v>
      </c>
      <c r="Q4173">
        <v>0</v>
      </c>
      <c r="S4173" t="str">
        <f t="shared" si="1537"/>
        <v>19:36:47.000</v>
      </c>
      <c r="T4173" t="str">
        <f t="shared" si="1537"/>
        <v>19:36:47.000</v>
      </c>
      <c r="U4173" t="str">
        <f t="shared" si="1532"/>
        <v>AC3944</v>
      </c>
      <c r="V4173">
        <v>0</v>
      </c>
      <c r="W4173">
        <v>0</v>
      </c>
      <c r="X4173">
        <v>2</v>
      </c>
      <c r="Y4173">
        <v>0</v>
      </c>
      <c r="AA4173">
        <v>1</v>
      </c>
      <c r="AB4173">
        <v>8</v>
      </c>
      <c r="AC4173">
        <v>3</v>
      </c>
      <c r="AD4173">
        <v>0</v>
      </c>
      <c r="AE4173">
        <v>9</v>
      </c>
      <c r="AF4173" t="s">
        <v>138</v>
      </c>
      <c r="AG4173">
        <v>0</v>
      </c>
      <c r="AH4173">
        <v>3</v>
      </c>
      <c r="AI4173">
        <v>1</v>
      </c>
      <c r="AJ4173">
        <v>0</v>
      </c>
      <c r="AK4173" t="s">
        <v>1336</v>
      </c>
      <c r="AL4173">
        <v>32.744686999999999</v>
      </c>
      <c r="AM4173" t="s">
        <v>1337</v>
      </c>
      <c r="AN4173">
        <v>-116.67856</v>
      </c>
      <c r="AO4173">
        <v>25</v>
      </c>
      <c r="AP4173">
        <v>4900</v>
      </c>
      <c r="AQ4173" t="s">
        <v>129</v>
      </c>
      <c r="AR4173">
        <v>-113</v>
      </c>
      <c r="AS4173">
        <v>87</v>
      </c>
      <c r="AT4173">
        <v>0</v>
      </c>
      <c r="BB4173">
        <v>1200</v>
      </c>
      <c r="BC4173">
        <v>1</v>
      </c>
      <c r="BD4173" t="str">
        <f t="shared" si="1533"/>
        <v xml:space="preserve">N887QR  </v>
      </c>
      <c r="BE4173">
        <v>1</v>
      </c>
      <c r="BG4173">
        <v>0</v>
      </c>
      <c r="BH4173">
        <v>0</v>
      </c>
      <c r="BI4173">
        <v>0</v>
      </c>
      <c r="BJ4173">
        <v>4675</v>
      </c>
      <c r="BK4173">
        <v>-225</v>
      </c>
      <c r="BL4173" t="s">
        <v>163</v>
      </c>
      <c r="BM4173">
        <v>1</v>
      </c>
      <c r="BN4173">
        <v>1</v>
      </c>
      <c r="BO4173">
        <v>1</v>
      </c>
      <c r="BP4173">
        <v>0</v>
      </c>
      <c r="BS4173">
        <v>0.04</v>
      </c>
      <c r="BT4173">
        <v>0</v>
      </c>
      <c r="BU4173">
        <v>0</v>
      </c>
      <c r="CE4173" t="str">
        <f t="shared" si="1538"/>
        <v>19:36:47.960</v>
      </c>
      <c r="CF4173">
        <v>959644189</v>
      </c>
      <c r="CS4173">
        <v>0</v>
      </c>
      <c r="CT4173">
        <v>2</v>
      </c>
      <c r="CU4173">
        <v>0</v>
      </c>
      <c r="CV4173">
        <v>2</v>
      </c>
      <c r="CW4173">
        <v>0</v>
      </c>
      <c r="CX4173">
        <v>3</v>
      </c>
      <c r="CY4173">
        <v>7</v>
      </c>
      <c r="CZ4173" t="s">
        <v>131</v>
      </c>
      <c r="DA4173">
        <v>300</v>
      </c>
      <c r="DB4173">
        <v>0</v>
      </c>
      <c r="DC4173" t="s">
        <v>176</v>
      </c>
      <c r="DD4173" t="s">
        <v>177</v>
      </c>
      <c r="DG4173">
        <v>5457475</v>
      </c>
      <c r="DI4173">
        <v>0</v>
      </c>
      <c r="DJ4173">
        <v>0</v>
      </c>
      <c r="DK4173">
        <v>1</v>
      </c>
      <c r="DL4173">
        <v>0</v>
      </c>
      <c r="DM4173">
        <v>0</v>
      </c>
      <c r="DN4173">
        <v>1</v>
      </c>
      <c r="DO4173">
        <v>0</v>
      </c>
      <c r="DP4173">
        <v>0</v>
      </c>
      <c r="DQ4173">
        <v>0</v>
      </c>
      <c r="DR4173">
        <v>0</v>
      </c>
      <c r="DS4173">
        <v>0</v>
      </c>
    </row>
    <row r="4174" spans="1:123" x14ac:dyDescent="0.3">
      <c r="A4174" t="str">
        <f t="shared" si="1536"/>
        <v>10/04/2022 19:36:48.167</v>
      </c>
      <c r="C4174" t="str">
        <f t="shared" si="1524"/>
        <v>FFDFD3C0</v>
      </c>
      <c r="D4174" t="s">
        <v>143</v>
      </c>
      <c r="E4174">
        <v>20</v>
      </c>
      <c r="F4174">
        <v>1020</v>
      </c>
      <c r="G4174" t="s">
        <v>144</v>
      </c>
      <c r="J4174" t="s">
        <v>145</v>
      </c>
      <c r="K4174">
        <v>0</v>
      </c>
      <c r="L4174">
        <v>3</v>
      </c>
      <c r="M4174">
        <v>0</v>
      </c>
      <c r="N4174">
        <v>2</v>
      </c>
      <c r="O4174">
        <v>0</v>
      </c>
      <c r="P4174">
        <v>1</v>
      </c>
      <c r="Q4174">
        <v>0</v>
      </c>
      <c r="S4174" t="str">
        <f t="shared" si="1537"/>
        <v>19:36:47.000</v>
      </c>
      <c r="T4174" t="str">
        <f t="shared" si="1537"/>
        <v>19:36:47.000</v>
      </c>
      <c r="U4174" t="str">
        <f t="shared" si="1532"/>
        <v>AC3944</v>
      </c>
      <c r="V4174">
        <v>0</v>
      </c>
      <c r="W4174">
        <v>0</v>
      </c>
      <c r="X4174">
        <v>2</v>
      </c>
      <c r="Y4174">
        <v>0</v>
      </c>
      <c r="AA4174">
        <v>1</v>
      </c>
      <c r="AB4174">
        <v>8</v>
      </c>
      <c r="AC4174">
        <v>3</v>
      </c>
      <c r="AD4174">
        <v>0</v>
      </c>
      <c r="AE4174">
        <v>9</v>
      </c>
      <c r="AF4174" t="s">
        <v>138</v>
      </c>
      <c r="AG4174">
        <v>0</v>
      </c>
      <c r="AH4174">
        <v>3</v>
      </c>
      <c r="AI4174">
        <v>1</v>
      </c>
      <c r="AJ4174">
        <v>0</v>
      </c>
      <c r="AK4174" t="s">
        <v>1336</v>
      </c>
      <c r="AL4174">
        <v>32.744686999999999</v>
      </c>
      <c r="AM4174" t="s">
        <v>1337</v>
      </c>
      <c r="AN4174">
        <v>-116.67856</v>
      </c>
      <c r="AO4174">
        <v>25</v>
      </c>
      <c r="AP4174">
        <v>4900</v>
      </c>
      <c r="AQ4174" t="s">
        <v>129</v>
      </c>
      <c r="AR4174">
        <v>-113</v>
      </c>
      <c r="AS4174">
        <v>87</v>
      </c>
      <c r="AT4174">
        <v>0</v>
      </c>
      <c r="BB4174">
        <v>1200</v>
      </c>
      <c r="BC4174">
        <v>1</v>
      </c>
      <c r="BD4174" t="str">
        <f t="shared" si="1533"/>
        <v xml:space="preserve">N887QR  </v>
      </c>
      <c r="BE4174">
        <v>1</v>
      </c>
      <c r="BG4174">
        <v>0</v>
      </c>
      <c r="BH4174">
        <v>0</v>
      </c>
      <c r="BI4174">
        <v>0</v>
      </c>
      <c r="BJ4174">
        <v>4675</v>
      </c>
      <c r="BK4174">
        <v>-225</v>
      </c>
      <c r="BL4174" t="s">
        <v>163</v>
      </c>
      <c r="BM4174">
        <v>1</v>
      </c>
      <c r="BN4174">
        <v>1</v>
      </c>
      <c r="BO4174">
        <v>1</v>
      </c>
      <c r="BP4174">
        <v>0</v>
      </c>
      <c r="BS4174">
        <v>0.04</v>
      </c>
      <c r="BT4174">
        <v>0</v>
      </c>
      <c r="BU4174">
        <v>0</v>
      </c>
      <c r="CE4174" t="str">
        <f t="shared" si="1538"/>
        <v>19:36:47.960</v>
      </c>
      <c r="CF4174">
        <v>959644189</v>
      </c>
      <c r="CS4174">
        <v>0</v>
      </c>
      <c r="CT4174">
        <v>2</v>
      </c>
      <c r="CU4174">
        <v>0</v>
      </c>
      <c r="CV4174">
        <v>2</v>
      </c>
      <c r="CW4174">
        <v>0</v>
      </c>
      <c r="CX4174">
        <v>3</v>
      </c>
      <c r="CY4174">
        <v>7</v>
      </c>
      <c r="CZ4174" t="s">
        <v>131</v>
      </c>
      <c r="DA4174">
        <v>300</v>
      </c>
      <c r="DB4174">
        <v>0</v>
      </c>
      <c r="DC4174" t="s">
        <v>176</v>
      </c>
      <c r="DD4174" t="s">
        <v>177</v>
      </c>
      <c r="DG4174">
        <v>5457475</v>
      </c>
      <c r="DI4174">
        <v>0</v>
      </c>
      <c r="DJ4174">
        <v>0</v>
      </c>
      <c r="DK4174">
        <v>1</v>
      </c>
      <c r="DL4174">
        <v>0</v>
      </c>
      <c r="DM4174">
        <v>0</v>
      </c>
      <c r="DN4174">
        <v>1</v>
      </c>
      <c r="DO4174">
        <v>0</v>
      </c>
      <c r="DP4174">
        <v>0</v>
      </c>
      <c r="DQ4174">
        <v>0</v>
      </c>
      <c r="DR4174">
        <v>0</v>
      </c>
      <c r="DS4174">
        <v>0</v>
      </c>
    </row>
    <row r="4175" spans="1:123" x14ac:dyDescent="0.3">
      <c r="A4175" t="str">
        <f t="shared" si="1536"/>
        <v>10/04/2022 19:36:48.167</v>
      </c>
      <c r="C4175" t="str">
        <f t="shared" si="1524"/>
        <v>FFDFD3C0</v>
      </c>
      <c r="D4175" t="s">
        <v>136</v>
      </c>
      <c r="E4175">
        <v>8</v>
      </c>
      <c r="H4175">
        <v>225</v>
      </c>
      <c r="I4175" t="s">
        <v>137</v>
      </c>
      <c r="J4175" t="s">
        <v>138</v>
      </c>
      <c r="K4175">
        <v>0</v>
      </c>
      <c r="L4175">
        <v>3</v>
      </c>
      <c r="M4175">
        <v>0</v>
      </c>
      <c r="N4175">
        <v>2</v>
      </c>
      <c r="O4175">
        <v>0</v>
      </c>
      <c r="P4175">
        <v>1</v>
      </c>
      <c r="Q4175">
        <v>0</v>
      </c>
      <c r="S4175" t="str">
        <f t="shared" si="1537"/>
        <v>19:36:47.000</v>
      </c>
      <c r="T4175" t="str">
        <f t="shared" si="1537"/>
        <v>19:36:47.000</v>
      </c>
      <c r="U4175" t="str">
        <f t="shared" si="1532"/>
        <v>AC3944</v>
      </c>
      <c r="V4175">
        <v>0</v>
      </c>
      <c r="W4175">
        <v>0</v>
      </c>
      <c r="X4175">
        <v>2</v>
      </c>
      <c r="Y4175">
        <v>0</v>
      </c>
      <c r="AA4175">
        <v>1</v>
      </c>
      <c r="AB4175">
        <v>8</v>
      </c>
      <c r="AC4175">
        <v>3</v>
      </c>
      <c r="AD4175">
        <v>0</v>
      </c>
      <c r="AE4175">
        <v>9</v>
      </c>
      <c r="AF4175" t="s">
        <v>138</v>
      </c>
      <c r="AG4175">
        <v>0</v>
      </c>
      <c r="AH4175">
        <v>3</v>
      </c>
      <c r="AI4175">
        <v>1</v>
      </c>
      <c r="AJ4175">
        <v>0</v>
      </c>
      <c r="AK4175" t="s">
        <v>1336</v>
      </c>
      <c r="AL4175">
        <v>32.744686999999999</v>
      </c>
      <c r="AM4175" t="s">
        <v>1337</v>
      </c>
      <c r="AN4175">
        <v>-116.67856</v>
      </c>
      <c r="AO4175">
        <v>25</v>
      </c>
      <c r="AP4175">
        <v>4900</v>
      </c>
      <c r="AQ4175" t="s">
        <v>129</v>
      </c>
      <c r="AR4175">
        <v>-113</v>
      </c>
      <c r="AS4175">
        <v>87</v>
      </c>
      <c r="AT4175">
        <v>0</v>
      </c>
      <c r="BB4175">
        <v>1200</v>
      </c>
      <c r="BC4175">
        <v>1</v>
      </c>
      <c r="BD4175" t="str">
        <f t="shared" si="1533"/>
        <v xml:space="preserve">N887QR  </v>
      </c>
      <c r="BE4175">
        <v>1</v>
      </c>
      <c r="BG4175">
        <v>0</v>
      </c>
      <c r="BH4175">
        <v>0</v>
      </c>
      <c r="BI4175">
        <v>0</v>
      </c>
      <c r="BJ4175">
        <v>4675</v>
      </c>
      <c r="BK4175">
        <v>-225</v>
      </c>
      <c r="BL4175" t="s">
        <v>163</v>
      </c>
      <c r="BM4175">
        <v>1</v>
      </c>
      <c r="BN4175">
        <v>1</v>
      </c>
      <c r="BO4175">
        <v>1</v>
      </c>
      <c r="BP4175">
        <v>0</v>
      </c>
      <c r="BS4175">
        <v>0.04</v>
      </c>
      <c r="BT4175">
        <v>0</v>
      </c>
      <c r="BU4175">
        <v>0</v>
      </c>
      <c r="CE4175" t="str">
        <f t="shared" si="1538"/>
        <v>19:36:47.960</v>
      </c>
      <c r="CF4175">
        <v>959644189</v>
      </c>
      <c r="CS4175">
        <v>0</v>
      </c>
      <c r="CT4175">
        <v>2</v>
      </c>
      <c r="CU4175">
        <v>0</v>
      </c>
      <c r="CV4175">
        <v>2</v>
      </c>
      <c r="CW4175">
        <v>0</v>
      </c>
      <c r="CX4175">
        <v>3</v>
      </c>
      <c r="CY4175">
        <v>7</v>
      </c>
      <c r="CZ4175" t="s">
        <v>131</v>
      </c>
      <c r="DA4175">
        <v>300</v>
      </c>
      <c r="DB4175">
        <v>0</v>
      </c>
      <c r="DC4175" t="s">
        <v>176</v>
      </c>
      <c r="DD4175" t="s">
        <v>177</v>
      </c>
      <c r="DG4175">
        <v>5457475</v>
      </c>
      <c r="DI4175">
        <v>0</v>
      </c>
      <c r="DJ4175">
        <v>0</v>
      </c>
      <c r="DK4175">
        <v>1</v>
      </c>
      <c r="DL4175">
        <v>0</v>
      </c>
      <c r="DM4175">
        <v>0</v>
      </c>
      <c r="DN4175">
        <v>1</v>
      </c>
      <c r="DO4175">
        <v>0</v>
      </c>
      <c r="DP4175">
        <v>0</v>
      </c>
      <c r="DQ4175">
        <v>0</v>
      </c>
      <c r="DR4175">
        <v>0</v>
      </c>
      <c r="DS4175">
        <v>0</v>
      </c>
    </row>
    <row r="4176" spans="1:123" x14ac:dyDescent="0.3">
      <c r="A4176" t="str">
        <f t="shared" si="1536"/>
        <v>10/04/2022 19:36:48.167</v>
      </c>
      <c r="C4176" t="str">
        <f t="shared" si="1524"/>
        <v>FFDFD3C0</v>
      </c>
      <c r="D4176" t="s">
        <v>123</v>
      </c>
      <c r="E4176">
        <v>7</v>
      </c>
      <c r="F4176">
        <v>2007</v>
      </c>
      <c r="G4176" t="s">
        <v>124</v>
      </c>
      <c r="J4176" t="s">
        <v>125</v>
      </c>
      <c r="K4176">
        <v>0</v>
      </c>
      <c r="L4176">
        <v>3</v>
      </c>
      <c r="M4176">
        <v>0</v>
      </c>
      <c r="N4176">
        <v>2</v>
      </c>
      <c r="O4176">
        <v>0</v>
      </c>
      <c r="P4176">
        <v>1</v>
      </c>
      <c r="Q4176">
        <v>0</v>
      </c>
      <c r="S4176" t="str">
        <f t="shared" si="1537"/>
        <v>19:36:47.000</v>
      </c>
      <c r="T4176" t="str">
        <f t="shared" si="1537"/>
        <v>19:36:47.000</v>
      </c>
      <c r="U4176" t="str">
        <f t="shared" si="1532"/>
        <v>AC3944</v>
      </c>
      <c r="V4176">
        <v>0</v>
      </c>
      <c r="W4176">
        <v>0</v>
      </c>
      <c r="X4176">
        <v>2</v>
      </c>
      <c r="Y4176">
        <v>0</v>
      </c>
      <c r="AA4176">
        <v>1</v>
      </c>
      <c r="AB4176">
        <v>8</v>
      </c>
      <c r="AC4176">
        <v>3</v>
      </c>
      <c r="AD4176">
        <v>0</v>
      </c>
      <c r="AE4176">
        <v>9</v>
      </c>
      <c r="AF4176" t="s">
        <v>138</v>
      </c>
      <c r="AG4176">
        <v>0</v>
      </c>
      <c r="AH4176">
        <v>3</v>
      </c>
      <c r="AI4176">
        <v>1</v>
      </c>
      <c r="AJ4176">
        <v>0</v>
      </c>
      <c r="AK4176" t="s">
        <v>1336</v>
      </c>
      <c r="AL4176">
        <v>32.744686999999999</v>
      </c>
      <c r="AM4176" t="s">
        <v>1337</v>
      </c>
      <c r="AN4176">
        <v>-116.67856</v>
      </c>
      <c r="AO4176">
        <v>25</v>
      </c>
      <c r="AP4176">
        <v>4900</v>
      </c>
      <c r="AQ4176" t="s">
        <v>129</v>
      </c>
      <c r="AR4176">
        <v>-113</v>
      </c>
      <c r="AS4176">
        <v>87</v>
      </c>
      <c r="AT4176">
        <v>0</v>
      </c>
      <c r="BB4176">
        <v>1200</v>
      </c>
      <c r="BC4176">
        <v>1</v>
      </c>
      <c r="BD4176" t="str">
        <f t="shared" si="1533"/>
        <v xml:space="preserve">N887QR  </v>
      </c>
      <c r="BE4176">
        <v>1</v>
      </c>
      <c r="BG4176">
        <v>0</v>
      </c>
      <c r="BH4176">
        <v>0</v>
      </c>
      <c r="BI4176">
        <v>0</v>
      </c>
      <c r="BJ4176">
        <v>4675</v>
      </c>
      <c r="BK4176">
        <v>-225</v>
      </c>
      <c r="BL4176" t="s">
        <v>163</v>
      </c>
      <c r="BM4176">
        <v>1</v>
      </c>
      <c r="BN4176">
        <v>1</v>
      </c>
      <c r="BO4176">
        <v>1</v>
      </c>
      <c r="BP4176">
        <v>0</v>
      </c>
      <c r="BS4176">
        <v>0.04</v>
      </c>
      <c r="BT4176">
        <v>0</v>
      </c>
      <c r="BU4176">
        <v>0</v>
      </c>
      <c r="CE4176" t="str">
        <f t="shared" si="1538"/>
        <v>19:36:47.960</v>
      </c>
      <c r="CF4176">
        <v>959644189</v>
      </c>
      <c r="CS4176">
        <v>0</v>
      </c>
      <c r="CT4176">
        <v>2</v>
      </c>
      <c r="CU4176">
        <v>0</v>
      </c>
      <c r="CV4176">
        <v>2</v>
      </c>
      <c r="CW4176">
        <v>0</v>
      </c>
      <c r="CX4176">
        <v>3</v>
      </c>
      <c r="CY4176">
        <v>7</v>
      </c>
      <c r="CZ4176" t="s">
        <v>131</v>
      </c>
      <c r="DA4176">
        <v>300</v>
      </c>
      <c r="DB4176">
        <v>0</v>
      </c>
      <c r="DC4176" t="s">
        <v>176</v>
      </c>
      <c r="DD4176" t="s">
        <v>177</v>
      </c>
      <c r="DG4176">
        <v>5457475</v>
      </c>
      <c r="DI4176">
        <v>0</v>
      </c>
      <c r="DJ4176">
        <v>0</v>
      </c>
      <c r="DK4176">
        <v>1</v>
      </c>
      <c r="DL4176">
        <v>0</v>
      </c>
      <c r="DM4176">
        <v>0</v>
      </c>
      <c r="DN4176">
        <v>1</v>
      </c>
      <c r="DO4176">
        <v>0</v>
      </c>
      <c r="DP4176">
        <v>0</v>
      </c>
      <c r="DQ4176">
        <v>0</v>
      </c>
      <c r="DR4176">
        <v>0</v>
      </c>
      <c r="DS4176">
        <v>0</v>
      </c>
    </row>
    <row r="4177" spans="1:123" x14ac:dyDescent="0.3">
      <c r="A4177" t="str">
        <f t="shared" si="1536"/>
        <v>10/04/2022 19:36:48.167</v>
      </c>
      <c r="C4177" t="str">
        <f t="shared" si="1524"/>
        <v>FFDFD3C0</v>
      </c>
      <c r="D4177" t="s">
        <v>141</v>
      </c>
      <c r="E4177">
        <v>4</v>
      </c>
      <c r="H4177">
        <v>4</v>
      </c>
      <c r="I4177" t="s">
        <v>142</v>
      </c>
      <c r="J4177" t="s">
        <v>138</v>
      </c>
      <c r="K4177">
        <v>0</v>
      </c>
      <c r="L4177">
        <v>3</v>
      </c>
      <c r="M4177">
        <v>0</v>
      </c>
      <c r="N4177">
        <v>2</v>
      </c>
      <c r="O4177">
        <v>0</v>
      </c>
      <c r="P4177">
        <v>1</v>
      </c>
      <c r="Q4177">
        <v>0</v>
      </c>
      <c r="S4177" t="str">
        <f t="shared" si="1537"/>
        <v>19:36:47.000</v>
      </c>
      <c r="T4177" t="str">
        <f t="shared" si="1537"/>
        <v>19:36:47.000</v>
      </c>
      <c r="U4177" t="str">
        <f t="shared" si="1532"/>
        <v>AC3944</v>
      </c>
      <c r="V4177">
        <v>0</v>
      </c>
      <c r="W4177">
        <v>0</v>
      </c>
      <c r="X4177">
        <v>2</v>
      </c>
      <c r="Y4177">
        <v>0</v>
      </c>
      <c r="AA4177">
        <v>1</v>
      </c>
      <c r="AB4177">
        <v>8</v>
      </c>
      <c r="AC4177">
        <v>3</v>
      </c>
      <c r="AD4177">
        <v>0</v>
      </c>
      <c r="AE4177">
        <v>9</v>
      </c>
      <c r="AF4177" t="s">
        <v>138</v>
      </c>
      <c r="AG4177">
        <v>0</v>
      </c>
      <c r="AH4177">
        <v>3</v>
      </c>
      <c r="AI4177">
        <v>1</v>
      </c>
      <c r="AJ4177">
        <v>0</v>
      </c>
      <c r="AK4177" t="s">
        <v>1336</v>
      </c>
      <c r="AL4177">
        <v>32.744686999999999</v>
      </c>
      <c r="AM4177" t="s">
        <v>1337</v>
      </c>
      <c r="AN4177">
        <v>-116.67856</v>
      </c>
      <c r="AO4177">
        <v>25</v>
      </c>
      <c r="AP4177">
        <v>4900</v>
      </c>
      <c r="AQ4177" t="s">
        <v>129</v>
      </c>
      <c r="AR4177">
        <v>-113</v>
      </c>
      <c r="AS4177">
        <v>87</v>
      </c>
      <c r="AT4177">
        <v>0</v>
      </c>
      <c r="BB4177">
        <v>1200</v>
      </c>
      <c r="BC4177">
        <v>1</v>
      </c>
      <c r="BD4177" t="str">
        <f t="shared" si="1533"/>
        <v xml:space="preserve">N887QR  </v>
      </c>
      <c r="BE4177">
        <v>1</v>
      </c>
      <c r="BG4177">
        <v>0</v>
      </c>
      <c r="BH4177">
        <v>0</v>
      </c>
      <c r="BI4177">
        <v>0</v>
      </c>
      <c r="BJ4177">
        <v>4675</v>
      </c>
      <c r="BK4177">
        <v>-225</v>
      </c>
      <c r="BL4177" t="s">
        <v>163</v>
      </c>
      <c r="BM4177">
        <v>1</v>
      </c>
      <c r="BN4177">
        <v>1</v>
      </c>
      <c r="BO4177">
        <v>1</v>
      </c>
      <c r="BP4177">
        <v>0</v>
      </c>
      <c r="BS4177">
        <v>0.04</v>
      </c>
      <c r="BT4177">
        <v>0</v>
      </c>
      <c r="BU4177">
        <v>0</v>
      </c>
      <c r="CE4177" t="str">
        <f t="shared" si="1538"/>
        <v>19:36:47.960</v>
      </c>
      <c r="CF4177">
        <v>959644189</v>
      </c>
      <c r="CS4177">
        <v>0</v>
      </c>
      <c r="CT4177">
        <v>2</v>
      </c>
      <c r="CU4177">
        <v>0</v>
      </c>
      <c r="CV4177">
        <v>2</v>
      </c>
      <c r="CW4177">
        <v>0</v>
      </c>
      <c r="CX4177">
        <v>3</v>
      </c>
      <c r="CY4177">
        <v>7</v>
      </c>
      <c r="CZ4177" t="s">
        <v>131</v>
      </c>
      <c r="DA4177">
        <v>300</v>
      </c>
      <c r="DB4177">
        <v>0</v>
      </c>
      <c r="DC4177" t="s">
        <v>176</v>
      </c>
      <c r="DD4177" t="s">
        <v>177</v>
      </c>
      <c r="DG4177">
        <v>5457475</v>
      </c>
      <c r="DI4177">
        <v>0</v>
      </c>
      <c r="DJ4177">
        <v>0</v>
      </c>
      <c r="DK4177">
        <v>1</v>
      </c>
      <c r="DL4177">
        <v>0</v>
      </c>
      <c r="DM4177">
        <v>0</v>
      </c>
      <c r="DN4177">
        <v>1</v>
      </c>
      <c r="DO4177">
        <v>0</v>
      </c>
      <c r="DP4177">
        <v>0</v>
      </c>
      <c r="DQ4177">
        <v>0</v>
      </c>
      <c r="DR4177">
        <v>0</v>
      </c>
      <c r="DS4177">
        <v>0</v>
      </c>
    </row>
    <row r="4178" spans="1:123" x14ac:dyDescent="0.3">
      <c r="A4178" t="str">
        <f t="shared" ref="A4178:A4184" si="1539">"10/04/2022 19:36:49.652"</f>
        <v>10/04/2022 19:36:49.652</v>
      </c>
      <c r="C4178" t="str">
        <f t="shared" si="1524"/>
        <v>FFDFD3C0</v>
      </c>
      <c r="D4178" t="s">
        <v>141</v>
      </c>
      <c r="E4178">
        <v>3</v>
      </c>
      <c r="H4178">
        <v>3</v>
      </c>
      <c r="I4178" t="s">
        <v>146</v>
      </c>
      <c r="J4178" t="s">
        <v>138</v>
      </c>
      <c r="K4178">
        <v>0</v>
      </c>
      <c r="L4178">
        <v>3</v>
      </c>
      <c r="M4178">
        <v>0</v>
      </c>
      <c r="N4178">
        <v>2</v>
      </c>
      <c r="O4178">
        <v>0</v>
      </c>
      <c r="P4178">
        <v>1</v>
      </c>
      <c r="Q4178">
        <v>0</v>
      </c>
      <c r="S4178" t="str">
        <f t="shared" ref="S4178:T4191" si="1540">"19:36:49.000"</f>
        <v>19:36:49.000</v>
      </c>
      <c r="T4178" t="str">
        <f t="shared" si="1540"/>
        <v>19:36:49.000</v>
      </c>
      <c r="U4178" t="str">
        <f t="shared" si="1532"/>
        <v>AC3944</v>
      </c>
      <c r="V4178">
        <v>0</v>
      </c>
      <c r="W4178">
        <v>0</v>
      </c>
      <c r="X4178">
        <v>2</v>
      </c>
      <c r="Y4178">
        <v>0</v>
      </c>
      <c r="AA4178">
        <v>1</v>
      </c>
      <c r="AB4178">
        <v>8</v>
      </c>
      <c r="AC4178">
        <v>3</v>
      </c>
      <c r="AD4178">
        <v>0</v>
      </c>
      <c r="AE4178">
        <v>9</v>
      </c>
      <c r="AF4178" t="s">
        <v>138</v>
      </c>
      <c r="AG4178">
        <v>0</v>
      </c>
      <c r="AH4178">
        <v>3</v>
      </c>
      <c r="AI4178">
        <v>1</v>
      </c>
      <c r="AJ4178">
        <v>0</v>
      </c>
      <c r="AK4178" t="s">
        <v>1338</v>
      </c>
      <c r="AL4178">
        <v>32.745094000000002</v>
      </c>
      <c r="AM4178" t="s">
        <v>1339</v>
      </c>
      <c r="AN4178">
        <v>-116.679204</v>
      </c>
      <c r="AO4178">
        <v>25</v>
      </c>
      <c r="AP4178">
        <v>4900</v>
      </c>
      <c r="AQ4178" t="s">
        <v>129</v>
      </c>
      <c r="AR4178">
        <v>-121</v>
      </c>
      <c r="AS4178">
        <v>76</v>
      </c>
      <c r="AT4178">
        <v>0</v>
      </c>
      <c r="BB4178">
        <v>1200</v>
      </c>
      <c r="BC4178">
        <v>1</v>
      </c>
      <c r="BD4178" t="str">
        <f t="shared" si="1533"/>
        <v xml:space="preserve">N887QR  </v>
      </c>
      <c r="BE4178">
        <v>1</v>
      </c>
      <c r="BG4178">
        <v>0</v>
      </c>
      <c r="BH4178">
        <v>0</v>
      </c>
      <c r="BI4178">
        <v>0</v>
      </c>
      <c r="BJ4178">
        <v>4675</v>
      </c>
      <c r="BK4178">
        <v>-225</v>
      </c>
      <c r="BL4178" t="s">
        <v>163</v>
      </c>
      <c r="BM4178">
        <v>1</v>
      </c>
      <c r="BN4178">
        <v>1</v>
      </c>
      <c r="BO4178">
        <v>1</v>
      </c>
      <c r="BP4178">
        <v>0</v>
      </c>
      <c r="BS4178">
        <v>0.04</v>
      </c>
      <c r="BT4178">
        <v>0</v>
      </c>
      <c r="BU4178">
        <v>0</v>
      </c>
      <c r="CE4178" t="str">
        <f t="shared" ref="CE4178:CE4184" si="1541">"19:36:49.340"</f>
        <v>19:36:49.340</v>
      </c>
      <c r="CF4178">
        <v>339591040</v>
      </c>
      <c r="CS4178">
        <v>0</v>
      </c>
      <c r="CT4178">
        <v>2</v>
      </c>
      <c r="CU4178">
        <v>0</v>
      </c>
      <c r="CV4178">
        <v>2</v>
      </c>
      <c r="CW4178">
        <v>0</v>
      </c>
      <c r="CX4178">
        <v>4</v>
      </c>
      <c r="CY4178">
        <v>7</v>
      </c>
      <c r="CZ4178" t="s">
        <v>131</v>
      </c>
      <c r="DA4178">
        <v>286</v>
      </c>
      <c r="DB4178">
        <v>0</v>
      </c>
      <c r="DC4178" t="s">
        <v>132</v>
      </c>
      <c r="DD4178" t="s">
        <v>133</v>
      </c>
      <c r="DG4178">
        <v>904466</v>
      </c>
      <c r="DI4178">
        <v>0</v>
      </c>
      <c r="DJ4178">
        <v>0</v>
      </c>
      <c r="DK4178">
        <v>0</v>
      </c>
      <c r="DL4178">
        <v>0</v>
      </c>
      <c r="DM4178">
        <v>0</v>
      </c>
      <c r="DN4178">
        <v>1</v>
      </c>
      <c r="DO4178">
        <v>0</v>
      </c>
      <c r="DP4178">
        <v>0</v>
      </c>
      <c r="DQ4178">
        <v>0</v>
      </c>
      <c r="DR4178">
        <v>0</v>
      </c>
      <c r="DS4178">
        <v>0</v>
      </c>
    </row>
    <row r="4179" spans="1:123" x14ac:dyDescent="0.3">
      <c r="A4179" t="str">
        <f t="shared" si="1539"/>
        <v>10/04/2022 19:36:49.652</v>
      </c>
      <c r="C4179" t="str">
        <f t="shared" si="1524"/>
        <v>FFDFD3C0</v>
      </c>
      <c r="D4179" t="s">
        <v>134</v>
      </c>
      <c r="E4179">
        <v>15</v>
      </c>
      <c r="J4179" t="s">
        <v>135</v>
      </c>
      <c r="K4179">
        <v>0</v>
      </c>
      <c r="L4179">
        <v>3</v>
      </c>
      <c r="M4179">
        <v>0</v>
      </c>
      <c r="N4179">
        <v>2</v>
      </c>
      <c r="O4179">
        <v>0</v>
      </c>
      <c r="P4179">
        <v>1</v>
      </c>
      <c r="Q4179">
        <v>0</v>
      </c>
      <c r="S4179" t="str">
        <f t="shared" si="1540"/>
        <v>19:36:49.000</v>
      </c>
      <c r="T4179" t="str">
        <f t="shared" si="1540"/>
        <v>19:36:49.000</v>
      </c>
      <c r="U4179" t="str">
        <f t="shared" si="1532"/>
        <v>AC3944</v>
      </c>
      <c r="V4179">
        <v>0</v>
      </c>
      <c r="W4179">
        <v>0</v>
      </c>
      <c r="X4179">
        <v>2</v>
      </c>
      <c r="Y4179">
        <v>0</v>
      </c>
      <c r="AA4179">
        <v>1</v>
      </c>
      <c r="AB4179">
        <v>8</v>
      </c>
      <c r="AC4179">
        <v>3</v>
      </c>
      <c r="AD4179">
        <v>0</v>
      </c>
      <c r="AE4179">
        <v>9</v>
      </c>
      <c r="AF4179" t="s">
        <v>138</v>
      </c>
      <c r="AG4179">
        <v>0</v>
      </c>
      <c r="AH4179">
        <v>3</v>
      </c>
      <c r="AI4179">
        <v>1</v>
      </c>
      <c r="AJ4179">
        <v>0</v>
      </c>
      <c r="AK4179" t="s">
        <v>1338</v>
      </c>
      <c r="AL4179">
        <v>32.745094000000002</v>
      </c>
      <c r="AM4179" t="s">
        <v>1339</v>
      </c>
      <c r="AN4179">
        <v>-116.679204</v>
      </c>
      <c r="AO4179">
        <v>25</v>
      </c>
      <c r="AP4179">
        <v>4900</v>
      </c>
      <c r="AQ4179" t="s">
        <v>129</v>
      </c>
      <c r="AR4179">
        <v>-121</v>
      </c>
      <c r="AS4179">
        <v>76</v>
      </c>
      <c r="AT4179">
        <v>0</v>
      </c>
      <c r="BB4179">
        <v>1200</v>
      </c>
      <c r="BC4179">
        <v>1</v>
      </c>
      <c r="BD4179" t="str">
        <f t="shared" si="1533"/>
        <v xml:space="preserve">N887QR  </v>
      </c>
      <c r="BE4179">
        <v>1</v>
      </c>
      <c r="BG4179">
        <v>0</v>
      </c>
      <c r="BH4179">
        <v>0</v>
      </c>
      <c r="BI4179">
        <v>0</v>
      </c>
      <c r="BJ4179">
        <v>4675</v>
      </c>
      <c r="BK4179">
        <v>-225</v>
      </c>
      <c r="BL4179" t="s">
        <v>163</v>
      </c>
      <c r="BM4179">
        <v>1</v>
      </c>
      <c r="BN4179">
        <v>1</v>
      </c>
      <c r="BO4179">
        <v>1</v>
      </c>
      <c r="BP4179">
        <v>0</v>
      </c>
      <c r="BS4179">
        <v>0.04</v>
      </c>
      <c r="BT4179">
        <v>0</v>
      </c>
      <c r="BU4179">
        <v>0</v>
      </c>
      <c r="CE4179" t="str">
        <f t="shared" si="1541"/>
        <v>19:36:49.340</v>
      </c>
      <c r="CF4179">
        <v>339591040</v>
      </c>
      <c r="CS4179">
        <v>0</v>
      </c>
      <c r="CT4179">
        <v>2</v>
      </c>
      <c r="CU4179">
        <v>0</v>
      </c>
      <c r="CV4179">
        <v>2</v>
      </c>
      <c r="CW4179">
        <v>0</v>
      </c>
      <c r="CX4179">
        <v>4</v>
      </c>
      <c r="CY4179">
        <v>7</v>
      </c>
      <c r="CZ4179" t="s">
        <v>131</v>
      </c>
      <c r="DA4179">
        <v>286</v>
      </c>
      <c r="DB4179">
        <v>0</v>
      </c>
      <c r="DC4179" t="s">
        <v>132</v>
      </c>
      <c r="DD4179" t="s">
        <v>133</v>
      </c>
      <c r="DG4179">
        <v>904466</v>
      </c>
      <c r="DI4179">
        <v>0</v>
      </c>
      <c r="DJ4179">
        <v>0</v>
      </c>
      <c r="DK4179">
        <v>1</v>
      </c>
      <c r="DL4179">
        <v>0</v>
      </c>
      <c r="DM4179">
        <v>0</v>
      </c>
      <c r="DN4179">
        <v>1</v>
      </c>
      <c r="DO4179">
        <v>0</v>
      </c>
      <c r="DP4179">
        <v>0</v>
      </c>
      <c r="DQ4179">
        <v>0</v>
      </c>
      <c r="DR4179">
        <v>0</v>
      </c>
      <c r="DS4179">
        <v>0</v>
      </c>
    </row>
    <row r="4180" spans="1:123" x14ac:dyDescent="0.3">
      <c r="A4180" t="str">
        <f t="shared" si="1539"/>
        <v>10/04/2022 19:36:49.652</v>
      </c>
      <c r="C4180" t="str">
        <f t="shared" si="1524"/>
        <v>FFDFD3C0</v>
      </c>
      <c r="D4180" t="s">
        <v>143</v>
      </c>
      <c r="E4180">
        <v>20</v>
      </c>
      <c r="F4180">
        <v>1020</v>
      </c>
      <c r="G4180" t="s">
        <v>144</v>
      </c>
      <c r="J4180" t="s">
        <v>145</v>
      </c>
      <c r="K4180">
        <v>0</v>
      </c>
      <c r="L4180">
        <v>3</v>
      </c>
      <c r="M4180">
        <v>0</v>
      </c>
      <c r="N4180">
        <v>2</v>
      </c>
      <c r="O4180">
        <v>0</v>
      </c>
      <c r="P4180">
        <v>1</v>
      </c>
      <c r="Q4180">
        <v>0</v>
      </c>
      <c r="S4180" t="str">
        <f t="shared" si="1540"/>
        <v>19:36:49.000</v>
      </c>
      <c r="T4180" t="str">
        <f t="shared" si="1540"/>
        <v>19:36:49.000</v>
      </c>
      <c r="U4180" t="str">
        <f t="shared" si="1532"/>
        <v>AC3944</v>
      </c>
      <c r="V4180">
        <v>0</v>
      </c>
      <c r="W4180">
        <v>0</v>
      </c>
      <c r="X4180">
        <v>2</v>
      </c>
      <c r="Y4180">
        <v>0</v>
      </c>
      <c r="AA4180">
        <v>1</v>
      </c>
      <c r="AB4180">
        <v>8</v>
      </c>
      <c r="AC4180">
        <v>3</v>
      </c>
      <c r="AD4180">
        <v>0</v>
      </c>
      <c r="AE4180">
        <v>9</v>
      </c>
      <c r="AF4180" t="s">
        <v>138</v>
      </c>
      <c r="AG4180">
        <v>0</v>
      </c>
      <c r="AH4180">
        <v>3</v>
      </c>
      <c r="AI4180">
        <v>1</v>
      </c>
      <c r="AJ4180">
        <v>0</v>
      </c>
      <c r="AK4180" t="s">
        <v>1338</v>
      </c>
      <c r="AL4180">
        <v>32.745094000000002</v>
      </c>
      <c r="AM4180" t="s">
        <v>1339</v>
      </c>
      <c r="AN4180">
        <v>-116.679204</v>
      </c>
      <c r="AO4180">
        <v>25</v>
      </c>
      <c r="AP4180">
        <v>4900</v>
      </c>
      <c r="AQ4180" t="s">
        <v>129</v>
      </c>
      <c r="AR4180">
        <v>-121</v>
      </c>
      <c r="AS4180">
        <v>76</v>
      </c>
      <c r="AT4180">
        <v>0</v>
      </c>
      <c r="BB4180">
        <v>1200</v>
      </c>
      <c r="BC4180">
        <v>1</v>
      </c>
      <c r="BD4180" t="str">
        <f t="shared" si="1533"/>
        <v xml:space="preserve">N887QR  </v>
      </c>
      <c r="BE4180">
        <v>1</v>
      </c>
      <c r="BG4180">
        <v>0</v>
      </c>
      <c r="BH4180">
        <v>0</v>
      </c>
      <c r="BI4180">
        <v>0</v>
      </c>
      <c r="BJ4180">
        <v>4675</v>
      </c>
      <c r="BK4180">
        <v>-225</v>
      </c>
      <c r="BL4180" t="s">
        <v>163</v>
      </c>
      <c r="BM4180">
        <v>1</v>
      </c>
      <c r="BN4180">
        <v>1</v>
      </c>
      <c r="BO4180">
        <v>1</v>
      </c>
      <c r="BP4180">
        <v>0</v>
      </c>
      <c r="BS4180">
        <v>0.04</v>
      </c>
      <c r="BT4180">
        <v>0</v>
      </c>
      <c r="BU4180">
        <v>0</v>
      </c>
      <c r="CE4180" t="str">
        <f t="shared" si="1541"/>
        <v>19:36:49.340</v>
      </c>
      <c r="CF4180">
        <v>339591040</v>
      </c>
      <c r="CS4180">
        <v>0</v>
      </c>
      <c r="CT4180">
        <v>2</v>
      </c>
      <c r="CU4180">
        <v>0</v>
      </c>
      <c r="CV4180">
        <v>2</v>
      </c>
      <c r="CW4180">
        <v>0</v>
      </c>
      <c r="CX4180">
        <v>4</v>
      </c>
      <c r="CY4180">
        <v>7</v>
      </c>
      <c r="CZ4180" t="s">
        <v>131</v>
      </c>
      <c r="DA4180">
        <v>286</v>
      </c>
      <c r="DB4180">
        <v>0</v>
      </c>
      <c r="DC4180" t="s">
        <v>132</v>
      </c>
      <c r="DD4180" t="s">
        <v>133</v>
      </c>
      <c r="DG4180">
        <v>904466</v>
      </c>
      <c r="DI4180">
        <v>0</v>
      </c>
      <c r="DJ4180">
        <v>0</v>
      </c>
      <c r="DK4180">
        <v>1</v>
      </c>
      <c r="DL4180">
        <v>0</v>
      </c>
      <c r="DM4180">
        <v>0</v>
      </c>
      <c r="DN4180">
        <v>1</v>
      </c>
      <c r="DO4180">
        <v>0</v>
      </c>
      <c r="DP4180">
        <v>0</v>
      </c>
      <c r="DQ4180">
        <v>0</v>
      </c>
      <c r="DR4180">
        <v>0</v>
      </c>
      <c r="DS4180">
        <v>0</v>
      </c>
    </row>
    <row r="4181" spans="1:123" x14ac:dyDescent="0.3">
      <c r="A4181" t="str">
        <f t="shared" si="1539"/>
        <v>10/04/2022 19:36:49.652</v>
      </c>
      <c r="C4181" t="str">
        <f t="shared" si="1524"/>
        <v>FFDFD3C0</v>
      </c>
      <c r="D4181" t="s">
        <v>147</v>
      </c>
      <c r="E4181">
        <v>3</v>
      </c>
      <c r="H4181">
        <v>166</v>
      </c>
      <c r="I4181" t="s">
        <v>144</v>
      </c>
      <c r="J4181" t="s">
        <v>148</v>
      </c>
      <c r="K4181">
        <v>0</v>
      </c>
      <c r="L4181">
        <v>3</v>
      </c>
      <c r="M4181">
        <v>0</v>
      </c>
      <c r="N4181">
        <v>2</v>
      </c>
      <c r="O4181">
        <v>0</v>
      </c>
      <c r="P4181">
        <v>1</v>
      </c>
      <c r="Q4181">
        <v>0</v>
      </c>
      <c r="S4181" t="str">
        <f t="shared" si="1540"/>
        <v>19:36:49.000</v>
      </c>
      <c r="T4181" t="str">
        <f t="shared" si="1540"/>
        <v>19:36:49.000</v>
      </c>
      <c r="U4181" t="str">
        <f t="shared" si="1532"/>
        <v>AC3944</v>
      </c>
      <c r="V4181">
        <v>0</v>
      </c>
      <c r="W4181">
        <v>0</v>
      </c>
      <c r="X4181">
        <v>2</v>
      </c>
      <c r="Y4181">
        <v>0</v>
      </c>
      <c r="AA4181">
        <v>1</v>
      </c>
      <c r="AB4181">
        <v>8</v>
      </c>
      <c r="AC4181">
        <v>3</v>
      </c>
      <c r="AD4181">
        <v>0</v>
      </c>
      <c r="AE4181">
        <v>9</v>
      </c>
      <c r="AF4181" t="s">
        <v>138</v>
      </c>
      <c r="AG4181">
        <v>0</v>
      </c>
      <c r="AH4181">
        <v>3</v>
      </c>
      <c r="AI4181">
        <v>1</v>
      </c>
      <c r="AJ4181">
        <v>0</v>
      </c>
      <c r="AK4181" t="s">
        <v>1338</v>
      </c>
      <c r="AL4181">
        <v>32.745094000000002</v>
      </c>
      <c r="AM4181" t="s">
        <v>1339</v>
      </c>
      <c r="AN4181">
        <v>-116.679204</v>
      </c>
      <c r="AO4181">
        <v>25</v>
      </c>
      <c r="AP4181">
        <v>4900</v>
      </c>
      <c r="AQ4181" t="s">
        <v>129</v>
      </c>
      <c r="AR4181">
        <v>-121</v>
      </c>
      <c r="AS4181">
        <v>76</v>
      </c>
      <c r="AT4181">
        <v>0</v>
      </c>
      <c r="BB4181">
        <v>1200</v>
      </c>
      <c r="BC4181">
        <v>1</v>
      </c>
      <c r="BD4181" t="str">
        <f t="shared" si="1533"/>
        <v xml:space="preserve">N887QR  </v>
      </c>
      <c r="BE4181">
        <v>1</v>
      </c>
      <c r="BG4181">
        <v>0</v>
      </c>
      <c r="BH4181">
        <v>0</v>
      </c>
      <c r="BI4181">
        <v>0</v>
      </c>
      <c r="BJ4181">
        <v>4675</v>
      </c>
      <c r="BK4181">
        <v>-225</v>
      </c>
      <c r="BL4181" t="s">
        <v>163</v>
      </c>
      <c r="BM4181">
        <v>1</v>
      </c>
      <c r="BN4181">
        <v>1</v>
      </c>
      <c r="BO4181">
        <v>1</v>
      </c>
      <c r="BP4181">
        <v>0</v>
      </c>
      <c r="BS4181">
        <v>0.04</v>
      </c>
      <c r="BT4181">
        <v>0</v>
      </c>
      <c r="BU4181">
        <v>0</v>
      </c>
      <c r="CE4181" t="str">
        <f t="shared" si="1541"/>
        <v>19:36:49.340</v>
      </c>
      <c r="CF4181">
        <v>339591040</v>
      </c>
      <c r="CS4181">
        <v>0</v>
      </c>
      <c r="CT4181">
        <v>2</v>
      </c>
      <c r="CU4181">
        <v>0</v>
      </c>
      <c r="CV4181">
        <v>2</v>
      </c>
      <c r="CW4181">
        <v>0</v>
      </c>
      <c r="CX4181">
        <v>4</v>
      </c>
      <c r="CY4181">
        <v>7</v>
      </c>
      <c r="CZ4181" t="s">
        <v>131</v>
      </c>
      <c r="DA4181">
        <v>286</v>
      </c>
      <c r="DB4181">
        <v>0</v>
      </c>
      <c r="DC4181" t="s">
        <v>132</v>
      </c>
      <c r="DD4181" t="s">
        <v>133</v>
      </c>
      <c r="DG4181">
        <v>904466</v>
      </c>
      <c r="DI4181">
        <v>0</v>
      </c>
      <c r="DJ4181">
        <v>0</v>
      </c>
      <c r="DK4181">
        <v>1</v>
      </c>
      <c r="DL4181">
        <v>0</v>
      </c>
      <c r="DM4181">
        <v>0</v>
      </c>
      <c r="DN4181">
        <v>1</v>
      </c>
      <c r="DO4181">
        <v>0</v>
      </c>
      <c r="DP4181">
        <v>0</v>
      </c>
      <c r="DQ4181">
        <v>0</v>
      </c>
      <c r="DR4181">
        <v>0</v>
      </c>
      <c r="DS4181">
        <v>0</v>
      </c>
    </row>
    <row r="4182" spans="1:123" x14ac:dyDescent="0.3">
      <c r="A4182" t="str">
        <f t="shared" si="1539"/>
        <v>10/04/2022 19:36:49.652</v>
      </c>
      <c r="C4182" t="str">
        <f t="shared" si="1524"/>
        <v>FFDFD3C0</v>
      </c>
      <c r="D4182" t="s">
        <v>123</v>
      </c>
      <c r="E4182">
        <v>7</v>
      </c>
      <c r="F4182">
        <v>2007</v>
      </c>
      <c r="G4182" t="s">
        <v>124</v>
      </c>
      <c r="J4182" t="s">
        <v>125</v>
      </c>
      <c r="K4182">
        <v>0</v>
      </c>
      <c r="L4182">
        <v>3</v>
      </c>
      <c r="M4182">
        <v>0</v>
      </c>
      <c r="N4182">
        <v>2</v>
      </c>
      <c r="O4182">
        <v>0</v>
      </c>
      <c r="P4182">
        <v>1</v>
      </c>
      <c r="Q4182">
        <v>0</v>
      </c>
      <c r="S4182" t="str">
        <f t="shared" si="1540"/>
        <v>19:36:49.000</v>
      </c>
      <c r="T4182" t="str">
        <f t="shared" si="1540"/>
        <v>19:36:49.000</v>
      </c>
      <c r="U4182" t="str">
        <f t="shared" si="1532"/>
        <v>AC3944</v>
      </c>
      <c r="V4182">
        <v>0</v>
      </c>
      <c r="W4182">
        <v>0</v>
      </c>
      <c r="X4182">
        <v>2</v>
      </c>
      <c r="Y4182">
        <v>0</v>
      </c>
      <c r="AA4182">
        <v>1</v>
      </c>
      <c r="AB4182">
        <v>8</v>
      </c>
      <c r="AC4182">
        <v>3</v>
      </c>
      <c r="AD4182">
        <v>0</v>
      </c>
      <c r="AE4182">
        <v>9</v>
      </c>
      <c r="AF4182" t="s">
        <v>138</v>
      </c>
      <c r="AG4182">
        <v>0</v>
      </c>
      <c r="AH4182">
        <v>3</v>
      </c>
      <c r="AI4182">
        <v>1</v>
      </c>
      <c r="AJ4182">
        <v>0</v>
      </c>
      <c r="AK4182" t="s">
        <v>1338</v>
      </c>
      <c r="AL4182">
        <v>32.745094000000002</v>
      </c>
      <c r="AM4182" t="s">
        <v>1339</v>
      </c>
      <c r="AN4182">
        <v>-116.679204</v>
      </c>
      <c r="AO4182">
        <v>25</v>
      </c>
      <c r="AP4182">
        <v>4900</v>
      </c>
      <c r="AQ4182" t="s">
        <v>129</v>
      </c>
      <c r="AR4182">
        <v>-121</v>
      </c>
      <c r="AS4182">
        <v>76</v>
      </c>
      <c r="AT4182">
        <v>0</v>
      </c>
      <c r="BB4182">
        <v>1200</v>
      </c>
      <c r="BC4182">
        <v>1</v>
      </c>
      <c r="BD4182" t="str">
        <f t="shared" si="1533"/>
        <v xml:space="preserve">N887QR  </v>
      </c>
      <c r="BE4182">
        <v>1</v>
      </c>
      <c r="BG4182">
        <v>0</v>
      </c>
      <c r="BH4182">
        <v>0</v>
      </c>
      <c r="BI4182">
        <v>0</v>
      </c>
      <c r="BJ4182">
        <v>4675</v>
      </c>
      <c r="BK4182">
        <v>-225</v>
      </c>
      <c r="BL4182" t="s">
        <v>163</v>
      </c>
      <c r="BM4182">
        <v>1</v>
      </c>
      <c r="BN4182">
        <v>1</v>
      </c>
      <c r="BO4182">
        <v>1</v>
      </c>
      <c r="BP4182">
        <v>0</v>
      </c>
      <c r="BS4182">
        <v>0.04</v>
      </c>
      <c r="BT4182">
        <v>0</v>
      </c>
      <c r="BU4182">
        <v>0</v>
      </c>
      <c r="CE4182" t="str">
        <f t="shared" si="1541"/>
        <v>19:36:49.340</v>
      </c>
      <c r="CF4182">
        <v>339591040</v>
      </c>
      <c r="CS4182">
        <v>0</v>
      </c>
      <c r="CT4182">
        <v>2</v>
      </c>
      <c r="CU4182">
        <v>0</v>
      </c>
      <c r="CV4182">
        <v>2</v>
      </c>
      <c r="CW4182">
        <v>0</v>
      </c>
      <c r="CX4182">
        <v>4</v>
      </c>
      <c r="CY4182">
        <v>7</v>
      </c>
      <c r="CZ4182" t="s">
        <v>131</v>
      </c>
      <c r="DA4182">
        <v>286</v>
      </c>
      <c r="DB4182">
        <v>0</v>
      </c>
      <c r="DC4182" t="s">
        <v>132</v>
      </c>
      <c r="DD4182" t="s">
        <v>133</v>
      </c>
      <c r="DG4182">
        <v>904466</v>
      </c>
      <c r="DI4182">
        <v>0</v>
      </c>
      <c r="DJ4182">
        <v>0</v>
      </c>
      <c r="DK4182">
        <v>1</v>
      </c>
      <c r="DL4182">
        <v>0</v>
      </c>
      <c r="DM4182">
        <v>0</v>
      </c>
      <c r="DN4182">
        <v>1</v>
      </c>
      <c r="DO4182">
        <v>0</v>
      </c>
      <c r="DP4182">
        <v>0</v>
      </c>
      <c r="DQ4182">
        <v>0</v>
      </c>
      <c r="DR4182">
        <v>0</v>
      </c>
      <c r="DS4182">
        <v>0</v>
      </c>
    </row>
    <row r="4183" spans="1:123" x14ac:dyDescent="0.3">
      <c r="A4183" t="str">
        <f t="shared" si="1539"/>
        <v>10/04/2022 19:36:49.652</v>
      </c>
      <c r="C4183" t="str">
        <f t="shared" si="1524"/>
        <v>FFDFD3C0</v>
      </c>
      <c r="D4183" t="s">
        <v>136</v>
      </c>
      <c r="E4183">
        <v>8</v>
      </c>
      <c r="H4183">
        <v>225</v>
      </c>
      <c r="I4183" t="s">
        <v>137</v>
      </c>
      <c r="J4183" t="s">
        <v>138</v>
      </c>
      <c r="K4183">
        <v>0</v>
      </c>
      <c r="L4183">
        <v>3</v>
      </c>
      <c r="M4183">
        <v>0</v>
      </c>
      <c r="N4183">
        <v>2</v>
      </c>
      <c r="O4183">
        <v>0</v>
      </c>
      <c r="P4183">
        <v>1</v>
      </c>
      <c r="Q4183">
        <v>0</v>
      </c>
      <c r="S4183" t="str">
        <f t="shared" si="1540"/>
        <v>19:36:49.000</v>
      </c>
      <c r="T4183" t="str">
        <f t="shared" si="1540"/>
        <v>19:36:49.000</v>
      </c>
      <c r="U4183" t="str">
        <f t="shared" si="1532"/>
        <v>AC3944</v>
      </c>
      <c r="V4183">
        <v>0</v>
      </c>
      <c r="W4183">
        <v>0</v>
      </c>
      <c r="X4183">
        <v>2</v>
      </c>
      <c r="Y4183">
        <v>0</v>
      </c>
      <c r="AA4183">
        <v>1</v>
      </c>
      <c r="AB4183">
        <v>8</v>
      </c>
      <c r="AC4183">
        <v>3</v>
      </c>
      <c r="AD4183">
        <v>0</v>
      </c>
      <c r="AE4183">
        <v>9</v>
      </c>
      <c r="AF4183" t="s">
        <v>138</v>
      </c>
      <c r="AG4183">
        <v>0</v>
      </c>
      <c r="AH4183">
        <v>3</v>
      </c>
      <c r="AI4183">
        <v>1</v>
      </c>
      <c r="AJ4183">
        <v>0</v>
      </c>
      <c r="AK4183" t="s">
        <v>1338</v>
      </c>
      <c r="AL4183">
        <v>32.745094000000002</v>
      </c>
      <c r="AM4183" t="s">
        <v>1339</v>
      </c>
      <c r="AN4183">
        <v>-116.679204</v>
      </c>
      <c r="AO4183">
        <v>25</v>
      </c>
      <c r="AP4183">
        <v>4900</v>
      </c>
      <c r="AQ4183" t="s">
        <v>129</v>
      </c>
      <c r="AR4183">
        <v>-121</v>
      </c>
      <c r="AS4183">
        <v>76</v>
      </c>
      <c r="AT4183">
        <v>0</v>
      </c>
      <c r="BB4183">
        <v>1200</v>
      </c>
      <c r="BC4183">
        <v>1</v>
      </c>
      <c r="BD4183" t="str">
        <f t="shared" si="1533"/>
        <v xml:space="preserve">N887QR  </v>
      </c>
      <c r="BE4183">
        <v>1</v>
      </c>
      <c r="BG4183">
        <v>0</v>
      </c>
      <c r="BH4183">
        <v>0</v>
      </c>
      <c r="BI4183">
        <v>0</v>
      </c>
      <c r="BJ4183">
        <v>4675</v>
      </c>
      <c r="BK4183">
        <v>-225</v>
      </c>
      <c r="BL4183" t="s">
        <v>163</v>
      </c>
      <c r="BM4183">
        <v>1</v>
      </c>
      <c r="BN4183">
        <v>1</v>
      </c>
      <c r="BO4183">
        <v>1</v>
      </c>
      <c r="BP4183">
        <v>0</v>
      </c>
      <c r="BS4183">
        <v>0.04</v>
      </c>
      <c r="BT4183">
        <v>0</v>
      </c>
      <c r="BU4183">
        <v>0</v>
      </c>
      <c r="CE4183" t="str">
        <f t="shared" si="1541"/>
        <v>19:36:49.340</v>
      </c>
      <c r="CF4183">
        <v>339591040</v>
      </c>
      <c r="CS4183">
        <v>0</v>
      </c>
      <c r="CT4183">
        <v>2</v>
      </c>
      <c r="CU4183">
        <v>0</v>
      </c>
      <c r="CV4183">
        <v>2</v>
      </c>
      <c r="CW4183">
        <v>0</v>
      </c>
      <c r="CX4183">
        <v>4</v>
      </c>
      <c r="CY4183">
        <v>7</v>
      </c>
      <c r="CZ4183" t="s">
        <v>131</v>
      </c>
      <c r="DA4183">
        <v>286</v>
      </c>
      <c r="DB4183">
        <v>0</v>
      </c>
      <c r="DC4183" t="s">
        <v>132</v>
      </c>
      <c r="DD4183" t="s">
        <v>133</v>
      </c>
      <c r="DG4183">
        <v>904466</v>
      </c>
      <c r="DI4183">
        <v>0</v>
      </c>
      <c r="DJ4183">
        <v>0</v>
      </c>
      <c r="DK4183">
        <v>1</v>
      </c>
      <c r="DL4183">
        <v>0</v>
      </c>
      <c r="DM4183">
        <v>0</v>
      </c>
      <c r="DN4183">
        <v>1</v>
      </c>
      <c r="DO4183">
        <v>0</v>
      </c>
      <c r="DP4183">
        <v>0</v>
      </c>
      <c r="DQ4183">
        <v>0</v>
      </c>
      <c r="DR4183">
        <v>0</v>
      </c>
      <c r="DS4183">
        <v>0</v>
      </c>
    </row>
    <row r="4184" spans="1:123" x14ac:dyDescent="0.3">
      <c r="A4184" t="str">
        <f t="shared" si="1539"/>
        <v>10/04/2022 19:36:49.652</v>
      </c>
      <c r="C4184" t="str">
        <f t="shared" si="1524"/>
        <v>FFDFD3C0</v>
      </c>
      <c r="D4184" t="s">
        <v>141</v>
      </c>
      <c r="E4184">
        <v>4</v>
      </c>
      <c r="H4184">
        <v>4</v>
      </c>
      <c r="I4184" t="s">
        <v>142</v>
      </c>
      <c r="J4184" t="s">
        <v>138</v>
      </c>
      <c r="K4184">
        <v>0</v>
      </c>
      <c r="L4184">
        <v>3</v>
      </c>
      <c r="M4184">
        <v>0</v>
      </c>
      <c r="N4184">
        <v>2</v>
      </c>
      <c r="O4184">
        <v>0</v>
      </c>
      <c r="P4184">
        <v>1</v>
      </c>
      <c r="Q4184">
        <v>0</v>
      </c>
      <c r="S4184" t="str">
        <f t="shared" si="1540"/>
        <v>19:36:49.000</v>
      </c>
      <c r="T4184" t="str">
        <f t="shared" si="1540"/>
        <v>19:36:49.000</v>
      </c>
      <c r="U4184" t="str">
        <f t="shared" si="1532"/>
        <v>AC3944</v>
      </c>
      <c r="V4184">
        <v>0</v>
      </c>
      <c r="W4184">
        <v>0</v>
      </c>
      <c r="X4184">
        <v>2</v>
      </c>
      <c r="Y4184">
        <v>0</v>
      </c>
      <c r="AA4184">
        <v>1</v>
      </c>
      <c r="AB4184">
        <v>8</v>
      </c>
      <c r="AC4184">
        <v>3</v>
      </c>
      <c r="AD4184">
        <v>0</v>
      </c>
      <c r="AE4184">
        <v>9</v>
      </c>
      <c r="AF4184" t="s">
        <v>138</v>
      </c>
      <c r="AG4184">
        <v>0</v>
      </c>
      <c r="AH4184">
        <v>3</v>
      </c>
      <c r="AI4184">
        <v>1</v>
      </c>
      <c r="AJ4184">
        <v>0</v>
      </c>
      <c r="AK4184" t="s">
        <v>1338</v>
      </c>
      <c r="AL4184">
        <v>32.745094000000002</v>
      </c>
      <c r="AM4184" t="s">
        <v>1339</v>
      </c>
      <c r="AN4184">
        <v>-116.679204</v>
      </c>
      <c r="AO4184">
        <v>25</v>
      </c>
      <c r="AP4184">
        <v>4900</v>
      </c>
      <c r="AQ4184" t="s">
        <v>129</v>
      </c>
      <c r="AR4184">
        <v>-121</v>
      </c>
      <c r="AS4184">
        <v>76</v>
      </c>
      <c r="AT4184">
        <v>0</v>
      </c>
      <c r="BB4184">
        <v>1200</v>
      </c>
      <c r="BC4184">
        <v>1</v>
      </c>
      <c r="BD4184" t="str">
        <f t="shared" si="1533"/>
        <v xml:space="preserve">N887QR  </v>
      </c>
      <c r="BE4184">
        <v>1</v>
      </c>
      <c r="BG4184">
        <v>0</v>
      </c>
      <c r="BH4184">
        <v>0</v>
      </c>
      <c r="BI4184">
        <v>0</v>
      </c>
      <c r="BJ4184">
        <v>4675</v>
      </c>
      <c r="BK4184">
        <v>-225</v>
      </c>
      <c r="BL4184" t="s">
        <v>163</v>
      </c>
      <c r="BM4184">
        <v>1</v>
      </c>
      <c r="BN4184">
        <v>1</v>
      </c>
      <c r="BO4184">
        <v>1</v>
      </c>
      <c r="BP4184">
        <v>0</v>
      </c>
      <c r="BS4184">
        <v>0.04</v>
      </c>
      <c r="BT4184">
        <v>0</v>
      </c>
      <c r="BU4184">
        <v>0</v>
      </c>
      <c r="CE4184" t="str">
        <f t="shared" si="1541"/>
        <v>19:36:49.340</v>
      </c>
      <c r="CF4184">
        <v>339591040</v>
      </c>
      <c r="CS4184">
        <v>0</v>
      </c>
      <c r="CT4184">
        <v>2</v>
      </c>
      <c r="CU4184">
        <v>0</v>
      </c>
      <c r="CV4184">
        <v>2</v>
      </c>
      <c r="CW4184">
        <v>0</v>
      </c>
      <c r="CX4184">
        <v>4</v>
      </c>
      <c r="CY4184">
        <v>7</v>
      </c>
      <c r="CZ4184" t="s">
        <v>131</v>
      </c>
      <c r="DA4184">
        <v>286</v>
      </c>
      <c r="DB4184">
        <v>0</v>
      </c>
      <c r="DC4184" t="s">
        <v>132</v>
      </c>
      <c r="DD4184" t="s">
        <v>133</v>
      </c>
      <c r="DG4184">
        <v>904466</v>
      </c>
      <c r="DI4184">
        <v>0</v>
      </c>
      <c r="DJ4184">
        <v>0</v>
      </c>
      <c r="DK4184">
        <v>1</v>
      </c>
      <c r="DL4184">
        <v>0</v>
      </c>
      <c r="DM4184">
        <v>0</v>
      </c>
      <c r="DN4184">
        <v>1</v>
      </c>
      <c r="DO4184">
        <v>0</v>
      </c>
      <c r="DP4184">
        <v>0</v>
      </c>
      <c r="DQ4184">
        <v>0</v>
      </c>
      <c r="DR4184">
        <v>0</v>
      </c>
      <c r="DS4184">
        <v>0</v>
      </c>
    </row>
    <row r="4185" spans="1:123" x14ac:dyDescent="0.3">
      <c r="A4185" t="str">
        <f t="shared" ref="A4185:A4190" si="1542">"10/04/2022 19:36:50.011"</f>
        <v>10/04/2022 19:36:50.011</v>
      </c>
      <c r="C4185" t="str">
        <f t="shared" si="1524"/>
        <v>FFDFD3C0</v>
      </c>
      <c r="D4185" t="s">
        <v>141</v>
      </c>
      <c r="E4185">
        <v>3</v>
      </c>
      <c r="H4185">
        <v>3</v>
      </c>
      <c r="I4185" t="s">
        <v>146</v>
      </c>
      <c r="J4185" t="s">
        <v>138</v>
      </c>
      <c r="K4185">
        <v>0</v>
      </c>
      <c r="L4185">
        <v>3</v>
      </c>
      <c r="M4185">
        <v>0</v>
      </c>
      <c r="N4185">
        <v>2</v>
      </c>
      <c r="O4185">
        <v>0</v>
      </c>
      <c r="P4185">
        <v>1</v>
      </c>
      <c r="Q4185">
        <v>0</v>
      </c>
      <c r="S4185" t="str">
        <f t="shared" si="1540"/>
        <v>19:36:49.000</v>
      </c>
      <c r="T4185" t="str">
        <f t="shared" si="1540"/>
        <v>19:36:49.000</v>
      </c>
      <c r="U4185" t="str">
        <f t="shared" si="1532"/>
        <v>AC3944</v>
      </c>
      <c r="V4185">
        <v>0</v>
      </c>
      <c r="W4185">
        <v>0</v>
      </c>
      <c r="X4185">
        <v>2</v>
      </c>
      <c r="Y4185">
        <v>0</v>
      </c>
      <c r="AA4185">
        <v>1</v>
      </c>
      <c r="AB4185">
        <v>8</v>
      </c>
      <c r="AC4185">
        <v>3</v>
      </c>
      <c r="AD4185">
        <v>0</v>
      </c>
      <c r="AE4185">
        <v>9</v>
      </c>
      <c r="AF4185" t="s">
        <v>138</v>
      </c>
      <c r="AG4185">
        <v>0</v>
      </c>
      <c r="AH4185">
        <v>3</v>
      </c>
      <c r="AI4185">
        <v>1</v>
      </c>
      <c r="AJ4185">
        <v>0</v>
      </c>
      <c r="AK4185" t="s">
        <v>1340</v>
      </c>
      <c r="AL4185">
        <v>32.745458999999997</v>
      </c>
      <c r="AM4185" t="s">
        <v>1302</v>
      </c>
      <c r="AN4185">
        <v>-116.679847</v>
      </c>
      <c r="AO4185">
        <v>25</v>
      </c>
      <c r="AP4185">
        <v>4900</v>
      </c>
      <c r="AQ4185" t="s">
        <v>129</v>
      </c>
      <c r="AR4185">
        <v>-123</v>
      </c>
      <c r="AS4185">
        <v>73</v>
      </c>
      <c r="AT4185">
        <v>0</v>
      </c>
      <c r="BB4185">
        <v>1200</v>
      </c>
      <c r="BC4185">
        <v>1</v>
      </c>
      <c r="BD4185" t="str">
        <f t="shared" si="1533"/>
        <v xml:space="preserve">N887QR  </v>
      </c>
      <c r="BE4185">
        <v>1</v>
      </c>
      <c r="BG4185">
        <v>0</v>
      </c>
      <c r="BH4185">
        <v>0</v>
      </c>
      <c r="BI4185">
        <v>0</v>
      </c>
      <c r="BJ4185">
        <v>4675</v>
      </c>
      <c r="BK4185">
        <v>-225</v>
      </c>
      <c r="BL4185" t="s">
        <v>163</v>
      </c>
      <c r="BM4185">
        <v>1</v>
      </c>
      <c r="BN4185">
        <v>1</v>
      </c>
      <c r="BO4185">
        <v>1</v>
      </c>
      <c r="BP4185">
        <v>0</v>
      </c>
      <c r="BS4185">
        <v>0</v>
      </c>
      <c r="BT4185">
        <v>0</v>
      </c>
      <c r="BU4185">
        <v>0</v>
      </c>
      <c r="CE4185" t="str">
        <f t="shared" ref="CE4185:CE4191" si="1543">"19:36:49.793"</f>
        <v>19:36:49.793</v>
      </c>
      <c r="CF4185">
        <v>792842473</v>
      </c>
      <c r="CS4185">
        <v>0</v>
      </c>
      <c r="CT4185">
        <v>2</v>
      </c>
      <c r="CU4185">
        <v>0</v>
      </c>
      <c r="CV4185">
        <v>2</v>
      </c>
      <c r="CW4185">
        <v>0</v>
      </c>
      <c r="CX4185">
        <v>4</v>
      </c>
      <c r="CY4185">
        <v>7</v>
      </c>
      <c r="CZ4185" t="s">
        <v>131</v>
      </c>
      <c r="DA4185">
        <v>286</v>
      </c>
      <c r="DB4185">
        <v>0</v>
      </c>
      <c r="DC4185" t="s">
        <v>132</v>
      </c>
      <c r="DD4185" t="s">
        <v>133</v>
      </c>
      <c r="DG4185">
        <v>904555</v>
      </c>
      <c r="DI4185">
        <v>0</v>
      </c>
      <c r="DJ4185">
        <v>0</v>
      </c>
      <c r="DK4185">
        <v>0</v>
      </c>
      <c r="DL4185">
        <v>0</v>
      </c>
      <c r="DM4185">
        <v>0</v>
      </c>
      <c r="DN4185">
        <v>1</v>
      </c>
      <c r="DO4185">
        <v>0</v>
      </c>
      <c r="DP4185">
        <v>0</v>
      </c>
      <c r="DQ4185">
        <v>0</v>
      </c>
      <c r="DR4185">
        <v>0</v>
      </c>
      <c r="DS4185">
        <v>0</v>
      </c>
    </row>
    <row r="4186" spans="1:123" x14ac:dyDescent="0.3">
      <c r="A4186" t="str">
        <f t="shared" si="1542"/>
        <v>10/04/2022 19:36:50.011</v>
      </c>
      <c r="C4186" t="str">
        <f t="shared" si="1524"/>
        <v>FFDFD3C0</v>
      </c>
      <c r="D4186" t="s">
        <v>134</v>
      </c>
      <c r="E4186">
        <v>15</v>
      </c>
      <c r="J4186" t="s">
        <v>135</v>
      </c>
      <c r="K4186">
        <v>0</v>
      </c>
      <c r="L4186">
        <v>3</v>
      </c>
      <c r="M4186">
        <v>0</v>
      </c>
      <c r="N4186">
        <v>2</v>
      </c>
      <c r="O4186">
        <v>0</v>
      </c>
      <c r="P4186">
        <v>1</v>
      </c>
      <c r="Q4186">
        <v>0</v>
      </c>
      <c r="S4186" t="str">
        <f t="shared" si="1540"/>
        <v>19:36:49.000</v>
      </c>
      <c r="T4186" t="str">
        <f t="shared" si="1540"/>
        <v>19:36:49.000</v>
      </c>
      <c r="U4186" t="str">
        <f t="shared" si="1532"/>
        <v>AC3944</v>
      </c>
      <c r="V4186">
        <v>0</v>
      </c>
      <c r="W4186">
        <v>0</v>
      </c>
      <c r="X4186">
        <v>2</v>
      </c>
      <c r="Y4186">
        <v>0</v>
      </c>
      <c r="AA4186">
        <v>1</v>
      </c>
      <c r="AB4186">
        <v>8</v>
      </c>
      <c r="AC4186">
        <v>3</v>
      </c>
      <c r="AD4186">
        <v>0</v>
      </c>
      <c r="AE4186">
        <v>9</v>
      </c>
      <c r="AF4186" t="s">
        <v>138</v>
      </c>
      <c r="AG4186">
        <v>0</v>
      </c>
      <c r="AH4186">
        <v>3</v>
      </c>
      <c r="AI4186">
        <v>1</v>
      </c>
      <c r="AJ4186">
        <v>0</v>
      </c>
      <c r="AK4186" t="s">
        <v>1340</v>
      </c>
      <c r="AL4186">
        <v>32.745458999999997</v>
      </c>
      <c r="AM4186" t="s">
        <v>1302</v>
      </c>
      <c r="AN4186">
        <v>-116.679847</v>
      </c>
      <c r="AO4186">
        <v>25</v>
      </c>
      <c r="AP4186">
        <v>4900</v>
      </c>
      <c r="AQ4186" t="s">
        <v>129</v>
      </c>
      <c r="AR4186">
        <v>-123</v>
      </c>
      <c r="AS4186">
        <v>73</v>
      </c>
      <c r="AT4186">
        <v>0</v>
      </c>
      <c r="BB4186">
        <v>1200</v>
      </c>
      <c r="BC4186">
        <v>1</v>
      </c>
      <c r="BD4186" t="str">
        <f t="shared" si="1533"/>
        <v xml:space="preserve">N887QR  </v>
      </c>
      <c r="BE4186">
        <v>1</v>
      </c>
      <c r="BG4186">
        <v>0</v>
      </c>
      <c r="BH4186">
        <v>0</v>
      </c>
      <c r="BI4186">
        <v>0</v>
      </c>
      <c r="BJ4186">
        <v>4675</v>
      </c>
      <c r="BK4186">
        <v>-225</v>
      </c>
      <c r="BL4186" t="s">
        <v>163</v>
      </c>
      <c r="BM4186">
        <v>1</v>
      </c>
      <c r="BN4186">
        <v>1</v>
      </c>
      <c r="BO4186">
        <v>1</v>
      </c>
      <c r="BP4186">
        <v>0</v>
      </c>
      <c r="BS4186">
        <v>0</v>
      </c>
      <c r="BT4186">
        <v>0</v>
      </c>
      <c r="BU4186">
        <v>0</v>
      </c>
      <c r="CE4186" t="str">
        <f t="shared" si="1543"/>
        <v>19:36:49.793</v>
      </c>
      <c r="CF4186">
        <v>792842473</v>
      </c>
      <c r="CS4186">
        <v>0</v>
      </c>
      <c r="CT4186">
        <v>2</v>
      </c>
      <c r="CU4186">
        <v>0</v>
      </c>
      <c r="CV4186">
        <v>2</v>
      </c>
      <c r="CW4186">
        <v>0</v>
      </c>
      <c r="CX4186">
        <v>4</v>
      </c>
      <c r="CY4186">
        <v>7</v>
      </c>
      <c r="CZ4186" t="s">
        <v>131</v>
      </c>
      <c r="DA4186">
        <v>286</v>
      </c>
      <c r="DB4186">
        <v>0</v>
      </c>
      <c r="DC4186" t="s">
        <v>132</v>
      </c>
      <c r="DD4186" t="s">
        <v>133</v>
      </c>
      <c r="DG4186">
        <v>904555</v>
      </c>
      <c r="DI4186">
        <v>0</v>
      </c>
      <c r="DJ4186">
        <v>0</v>
      </c>
      <c r="DK4186">
        <v>1</v>
      </c>
      <c r="DL4186">
        <v>0</v>
      </c>
      <c r="DM4186">
        <v>0</v>
      </c>
      <c r="DN4186">
        <v>1</v>
      </c>
      <c r="DO4186">
        <v>0</v>
      </c>
      <c r="DP4186">
        <v>0</v>
      </c>
      <c r="DQ4186">
        <v>0</v>
      </c>
      <c r="DR4186">
        <v>0</v>
      </c>
      <c r="DS4186">
        <v>0</v>
      </c>
    </row>
    <row r="4187" spans="1:123" x14ac:dyDescent="0.3">
      <c r="A4187" t="str">
        <f t="shared" si="1542"/>
        <v>10/04/2022 19:36:50.011</v>
      </c>
      <c r="C4187" t="str">
        <f t="shared" si="1524"/>
        <v>FFDFD3C0</v>
      </c>
      <c r="D4187" t="s">
        <v>143</v>
      </c>
      <c r="E4187">
        <v>20</v>
      </c>
      <c r="F4187">
        <v>1020</v>
      </c>
      <c r="G4187" t="s">
        <v>144</v>
      </c>
      <c r="J4187" t="s">
        <v>145</v>
      </c>
      <c r="K4187">
        <v>0</v>
      </c>
      <c r="L4187">
        <v>3</v>
      </c>
      <c r="M4187">
        <v>0</v>
      </c>
      <c r="N4187">
        <v>2</v>
      </c>
      <c r="O4187">
        <v>0</v>
      </c>
      <c r="P4187">
        <v>1</v>
      </c>
      <c r="Q4187">
        <v>0</v>
      </c>
      <c r="S4187" t="str">
        <f t="shared" si="1540"/>
        <v>19:36:49.000</v>
      </c>
      <c r="T4187" t="str">
        <f t="shared" si="1540"/>
        <v>19:36:49.000</v>
      </c>
      <c r="U4187" t="str">
        <f t="shared" si="1532"/>
        <v>AC3944</v>
      </c>
      <c r="V4187">
        <v>0</v>
      </c>
      <c r="W4187">
        <v>0</v>
      </c>
      <c r="X4187">
        <v>2</v>
      </c>
      <c r="Y4187">
        <v>0</v>
      </c>
      <c r="AA4187">
        <v>1</v>
      </c>
      <c r="AB4187">
        <v>8</v>
      </c>
      <c r="AC4187">
        <v>3</v>
      </c>
      <c r="AD4187">
        <v>0</v>
      </c>
      <c r="AE4187">
        <v>9</v>
      </c>
      <c r="AF4187" t="s">
        <v>138</v>
      </c>
      <c r="AG4187">
        <v>0</v>
      </c>
      <c r="AH4187">
        <v>3</v>
      </c>
      <c r="AI4187">
        <v>1</v>
      </c>
      <c r="AJ4187">
        <v>0</v>
      </c>
      <c r="AK4187" t="s">
        <v>1340</v>
      </c>
      <c r="AL4187">
        <v>32.745458999999997</v>
      </c>
      <c r="AM4187" t="s">
        <v>1302</v>
      </c>
      <c r="AN4187">
        <v>-116.679847</v>
      </c>
      <c r="AO4187">
        <v>25</v>
      </c>
      <c r="AP4187">
        <v>4900</v>
      </c>
      <c r="AQ4187" t="s">
        <v>129</v>
      </c>
      <c r="AR4187">
        <v>-123</v>
      </c>
      <c r="AS4187">
        <v>73</v>
      </c>
      <c r="AT4187">
        <v>0</v>
      </c>
      <c r="BB4187">
        <v>1200</v>
      </c>
      <c r="BC4187">
        <v>1</v>
      </c>
      <c r="BD4187" t="str">
        <f t="shared" si="1533"/>
        <v xml:space="preserve">N887QR  </v>
      </c>
      <c r="BE4187">
        <v>1</v>
      </c>
      <c r="BG4187">
        <v>0</v>
      </c>
      <c r="BH4187">
        <v>0</v>
      </c>
      <c r="BI4187">
        <v>0</v>
      </c>
      <c r="BJ4187">
        <v>4675</v>
      </c>
      <c r="BK4187">
        <v>-225</v>
      </c>
      <c r="BL4187" t="s">
        <v>163</v>
      </c>
      <c r="BM4187">
        <v>1</v>
      </c>
      <c r="BN4187">
        <v>1</v>
      </c>
      <c r="BO4187">
        <v>1</v>
      </c>
      <c r="BP4187">
        <v>0</v>
      </c>
      <c r="BS4187">
        <v>0</v>
      </c>
      <c r="BT4187">
        <v>0</v>
      </c>
      <c r="BU4187">
        <v>0</v>
      </c>
      <c r="CE4187" t="str">
        <f t="shared" si="1543"/>
        <v>19:36:49.793</v>
      </c>
      <c r="CF4187">
        <v>792842473</v>
      </c>
      <c r="CS4187">
        <v>0</v>
      </c>
      <c r="CT4187">
        <v>2</v>
      </c>
      <c r="CU4187">
        <v>0</v>
      </c>
      <c r="CV4187">
        <v>2</v>
      </c>
      <c r="CW4187">
        <v>0</v>
      </c>
      <c r="CX4187">
        <v>4</v>
      </c>
      <c r="CY4187">
        <v>7</v>
      </c>
      <c r="CZ4187" t="s">
        <v>131</v>
      </c>
      <c r="DA4187">
        <v>286</v>
      </c>
      <c r="DB4187">
        <v>0</v>
      </c>
      <c r="DC4187" t="s">
        <v>132</v>
      </c>
      <c r="DD4187" t="s">
        <v>133</v>
      </c>
      <c r="DG4187">
        <v>904555</v>
      </c>
      <c r="DI4187">
        <v>0</v>
      </c>
      <c r="DJ4187">
        <v>0</v>
      </c>
      <c r="DK4187">
        <v>1</v>
      </c>
      <c r="DL4187">
        <v>0</v>
      </c>
      <c r="DM4187">
        <v>0</v>
      </c>
      <c r="DN4187">
        <v>1</v>
      </c>
      <c r="DO4187">
        <v>0</v>
      </c>
      <c r="DP4187">
        <v>0</v>
      </c>
      <c r="DQ4187">
        <v>0</v>
      </c>
      <c r="DR4187">
        <v>0</v>
      </c>
      <c r="DS4187">
        <v>0</v>
      </c>
    </row>
    <row r="4188" spans="1:123" x14ac:dyDescent="0.3">
      <c r="A4188" t="str">
        <f t="shared" si="1542"/>
        <v>10/04/2022 19:36:50.011</v>
      </c>
      <c r="C4188" t="str">
        <f t="shared" si="1524"/>
        <v>FFDFD3C0</v>
      </c>
      <c r="D4188" t="s">
        <v>147</v>
      </c>
      <c r="E4188">
        <v>3</v>
      </c>
      <c r="H4188">
        <v>166</v>
      </c>
      <c r="I4188" t="s">
        <v>144</v>
      </c>
      <c r="J4188" t="s">
        <v>148</v>
      </c>
      <c r="K4188">
        <v>0</v>
      </c>
      <c r="L4188">
        <v>3</v>
      </c>
      <c r="M4188">
        <v>0</v>
      </c>
      <c r="N4188">
        <v>2</v>
      </c>
      <c r="O4188">
        <v>0</v>
      </c>
      <c r="P4188">
        <v>1</v>
      </c>
      <c r="Q4188">
        <v>0</v>
      </c>
      <c r="S4188" t="str">
        <f t="shared" si="1540"/>
        <v>19:36:49.000</v>
      </c>
      <c r="T4188" t="str">
        <f t="shared" si="1540"/>
        <v>19:36:49.000</v>
      </c>
      <c r="U4188" t="str">
        <f t="shared" si="1532"/>
        <v>AC3944</v>
      </c>
      <c r="V4188">
        <v>0</v>
      </c>
      <c r="W4188">
        <v>0</v>
      </c>
      <c r="X4188">
        <v>2</v>
      </c>
      <c r="Y4188">
        <v>0</v>
      </c>
      <c r="AA4188">
        <v>1</v>
      </c>
      <c r="AB4188">
        <v>8</v>
      </c>
      <c r="AC4188">
        <v>3</v>
      </c>
      <c r="AD4188">
        <v>0</v>
      </c>
      <c r="AE4188">
        <v>9</v>
      </c>
      <c r="AF4188" t="s">
        <v>138</v>
      </c>
      <c r="AG4188">
        <v>0</v>
      </c>
      <c r="AH4188">
        <v>3</v>
      </c>
      <c r="AI4188">
        <v>1</v>
      </c>
      <c r="AJ4188">
        <v>0</v>
      </c>
      <c r="AK4188" t="s">
        <v>1340</v>
      </c>
      <c r="AL4188">
        <v>32.745458999999997</v>
      </c>
      <c r="AM4188" t="s">
        <v>1302</v>
      </c>
      <c r="AN4188">
        <v>-116.679847</v>
      </c>
      <c r="AO4188">
        <v>25</v>
      </c>
      <c r="AP4188">
        <v>4900</v>
      </c>
      <c r="AQ4188" t="s">
        <v>129</v>
      </c>
      <c r="AR4188">
        <v>-123</v>
      </c>
      <c r="AS4188">
        <v>73</v>
      </c>
      <c r="AT4188">
        <v>0</v>
      </c>
      <c r="BB4188">
        <v>1200</v>
      </c>
      <c r="BC4188">
        <v>1</v>
      </c>
      <c r="BD4188" t="str">
        <f t="shared" si="1533"/>
        <v xml:space="preserve">N887QR  </v>
      </c>
      <c r="BE4188">
        <v>1</v>
      </c>
      <c r="BG4188">
        <v>0</v>
      </c>
      <c r="BH4188">
        <v>0</v>
      </c>
      <c r="BI4188">
        <v>0</v>
      </c>
      <c r="BJ4188">
        <v>4675</v>
      </c>
      <c r="BK4188">
        <v>-225</v>
      </c>
      <c r="BL4188" t="s">
        <v>163</v>
      </c>
      <c r="BM4188">
        <v>1</v>
      </c>
      <c r="BN4188">
        <v>1</v>
      </c>
      <c r="BO4188">
        <v>1</v>
      </c>
      <c r="BP4188">
        <v>0</v>
      </c>
      <c r="BS4188">
        <v>0</v>
      </c>
      <c r="BT4188">
        <v>0</v>
      </c>
      <c r="BU4188">
        <v>0</v>
      </c>
      <c r="CE4188" t="str">
        <f t="shared" si="1543"/>
        <v>19:36:49.793</v>
      </c>
      <c r="CF4188">
        <v>792842473</v>
      </c>
      <c r="CS4188">
        <v>0</v>
      </c>
      <c r="CT4188">
        <v>2</v>
      </c>
      <c r="CU4188">
        <v>0</v>
      </c>
      <c r="CV4188">
        <v>2</v>
      </c>
      <c r="CW4188">
        <v>0</v>
      </c>
      <c r="CX4188">
        <v>4</v>
      </c>
      <c r="CY4188">
        <v>7</v>
      </c>
      <c r="CZ4188" t="s">
        <v>131</v>
      </c>
      <c r="DA4188">
        <v>286</v>
      </c>
      <c r="DB4188">
        <v>0</v>
      </c>
      <c r="DC4188" t="s">
        <v>132</v>
      </c>
      <c r="DD4188" t="s">
        <v>133</v>
      </c>
      <c r="DG4188">
        <v>904555</v>
      </c>
      <c r="DI4188">
        <v>0</v>
      </c>
      <c r="DJ4188">
        <v>0</v>
      </c>
      <c r="DK4188">
        <v>1</v>
      </c>
      <c r="DL4188">
        <v>0</v>
      </c>
      <c r="DM4188">
        <v>0</v>
      </c>
      <c r="DN4188">
        <v>1</v>
      </c>
      <c r="DO4188">
        <v>0</v>
      </c>
      <c r="DP4188">
        <v>0</v>
      </c>
      <c r="DQ4188">
        <v>0</v>
      </c>
      <c r="DR4188">
        <v>0</v>
      </c>
      <c r="DS4188">
        <v>0</v>
      </c>
    </row>
    <row r="4189" spans="1:123" x14ac:dyDescent="0.3">
      <c r="A4189" t="str">
        <f t="shared" si="1542"/>
        <v>10/04/2022 19:36:50.011</v>
      </c>
      <c r="C4189" t="str">
        <f t="shared" si="1524"/>
        <v>FFDFD3C0</v>
      </c>
      <c r="D4189" t="s">
        <v>123</v>
      </c>
      <c r="E4189">
        <v>7</v>
      </c>
      <c r="F4189">
        <v>2007</v>
      </c>
      <c r="G4189" t="s">
        <v>124</v>
      </c>
      <c r="J4189" t="s">
        <v>125</v>
      </c>
      <c r="K4189">
        <v>0</v>
      </c>
      <c r="L4189">
        <v>3</v>
      </c>
      <c r="M4189">
        <v>0</v>
      </c>
      <c r="N4189">
        <v>2</v>
      </c>
      <c r="O4189">
        <v>0</v>
      </c>
      <c r="P4189">
        <v>1</v>
      </c>
      <c r="Q4189">
        <v>0</v>
      </c>
      <c r="S4189" t="str">
        <f t="shared" si="1540"/>
        <v>19:36:49.000</v>
      </c>
      <c r="T4189" t="str">
        <f t="shared" si="1540"/>
        <v>19:36:49.000</v>
      </c>
      <c r="U4189" t="str">
        <f t="shared" si="1532"/>
        <v>AC3944</v>
      </c>
      <c r="V4189">
        <v>0</v>
      </c>
      <c r="W4189">
        <v>0</v>
      </c>
      <c r="X4189">
        <v>2</v>
      </c>
      <c r="Y4189">
        <v>0</v>
      </c>
      <c r="AA4189">
        <v>1</v>
      </c>
      <c r="AB4189">
        <v>8</v>
      </c>
      <c r="AC4189">
        <v>3</v>
      </c>
      <c r="AD4189">
        <v>0</v>
      </c>
      <c r="AE4189">
        <v>9</v>
      </c>
      <c r="AF4189" t="s">
        <v>138</v>
      </c>
      <c r="AG4189">
        <v>0</v>
      </c>
      <c r="AH4189">
        <v>3</v>
      </c>
      <c r="AI4189">
        <v>1</v>
      </c>
      <c r="AJ4189">
        <v>0</v>
      </c>
      <c r="AK4189" t="s">
        <v>1340</v>
      </c>
      <c r="AL4189">
        <v>32.745458999999997</v>
      </c>
      <c r="AM4189" t="s">
        <v>1302</v>
      </c>
      <c r="AN4189">
        <v>-116.679847</v>
      </c>
      <c r="AO4189">
        <v>25</v>
      </c>
      <c r="AP4189">
        <v>4900</v>
      </c>
      <c r="AQ4189" t="s">
        <v>129</v>
      </c>
      <c r="AR4189">
        <v>-123</v>
      </c>
      <c r="AS4189">
        <v>73</v>
      </c>
      <c r="AT4189">
        <v>0</v>
      </c>
      <c r="BB4189">
        <v>1200</v>
      </c>
      <c r="BC4189">
        <v>1</v>
      </c>
      <c r="BD4189" t="str">
        <f t="shared" si="1533"/>
        <v xml:space="preserve">N887QR  </v>
      </c>
      <c r="BE4189">
        <v>1</v>
      </c>
      <c r="BG4189">
        <v>0</v>
      </c>
      <c r="BH4189">
        <v>0</v>
      </c>
      <c r="BI4189">
        <v>0</v>
      </c>
      <c r="BJ4189">
        <v>4675</v>
      </c>
      <c r="BK4189">
        <v>-225</v>
      </c>
      <c r="BL4189" t="s">
        <v>163</v>
      </c>
      <c r="BM4189">
        <v>1</v>
      </c>
      <c r="BN4189">
        <v>1</v>
      </c>
      <c r="BO4189">
        <v>1</v>
      </c>
      <c r="BP4189">
        <v>0</v>
      </c>
      <c r="BS4189">
        <v>0</v>
      </c>
      <c r="BT4189">
        <v>0</v>
      </c>
      <c r="BU4189">
        <v>0</v>
      </c>
      <c r="CE4189" t="str">
        <f t="shared" si="1543"/>
        <v>19:36:49.793</v>
      </c>
      <c r="CF4189">
        <v>792842473</v>
      </c>
      <c r="CS4189">
        <v>0</v>
      </c>
      <c r="CT4189">
        <v>2</v>
      </c>
      <c r="CU4189">
        <v>0</v>
      </c>
      <c r="CV4189">
        <v>2</v>
      </c>
      <c r="CW4189">
        <v>0</v>
      </c>
      <c r="CX4189">
        <v>4</v>
      </c>
      <c r="CY4189">
        <v>7</v>
      </c>
      <c r="CZ4189" t="s">
        <v>131</v>
      </c>
      <c r="DA4189">
        <v>286</v>
      </c>
      <c r="DB4189">
        <v>0</v>
      </c>
      <c r="DC4189" t="s">
        <v>132</v>
      </c>
      <c r="DD4189" t="s">
        <v>133</v>
      </c>
      <c r="DG4189">
        <v>904555</v>
      </c>
      <c r="DI4189">
        <v>0</v>
      </c>
      <c r="DJ4189">
        <v>0</v>
      </c>
      <c r="DK4189">
        <v>1</v>
      </c>
      <c r="DL4189">
        <v>0</v>
      </c>
      <c r="DM4189">
        <v>0</v>
      </c>
      <c r="DN4189">
        <v>1</v>
      </c>
      <c r="DO4189">
        <v>0</v>
      </c>
      <c r="DP4189">
        <v>0</v>
      </c>
      <c r="DQ4189">
        <v>0</v>
      </c>
      <c r="DR4189">
        <v>0</v>
      </c>
      <c r="DS4189">
        <v>0</v>
      </c>
    </row>
    <row r="4190" spans="1:123" x14ac:dyDescent="0.3">
      <c r="A4190" t="str">
        <f t="shared" si="1542"/>
        <v>10/04/2022 19:36:50.011</v>
      </c>
      <c r="C4190" t="str">
        <f t="shared" si="1524"/>
        <v>FFDFD3C0</v>
      </c>
      <c r="D4190" t="s">
        <v>136</v>
      </c>
      <c r="E4190">
        <v>8</v>
      </c>
      <c r="H4190">
        <v>225</v>
      </c>
      <c r="I4190" t="s">
        <v>137</v>
      </c>
      <c r="J4190" t="s">
        <v>138</v>
      </c>
      <c r="K4190">
        <v>0</v>
      </c>
      <c r="L4190">
        <v>3</v>
      </c>
      <c r="M4190">
        <v>0</v>
      </c>
      <c r="N4190">
        <v>2</v>
      </c>
      <c r="O4190">
        <v>0</v>
      </c>
      <c r="P4190">
        <v>1</v>
      </c>
      <c r="Q4190">
        <v>0</v>
      </c>
      <c r="S4190" t="str">
        <f t="shared" si="1540"/>
        <v>19:36:49.000</v>
      </c>
      <c r="T4190" t="str">
        <f t="shared" si="1540"/>
        <v>19:36:49.000</v>
      </c>
      <c r="U4190" t="str">
        <f t="shared" si="1532"/>
        <v>AC3944</v>
      </c>
      <c r="V4190">
        <v>0</v>
      </c>
      <c r="W4190">
        <v>0</v>
      </c>
      <c r="X4190">
        <v>2</v>
      </c>
      <c r="Y4190">
        <v>0</v>
      </c>
      <c r="AA4190">
        <v>1</v>
      </c>
      <c r="AB4190">
        <v>8</v>
      </c>
      <c r="AC4190">
        <v>3</v>
      </c>
      <c r="AD4190">
        <v>0</v>
      </c>
      <c r="AE4190">
        <v>9</v>
      </c>
      <c r="AF4190" t="s">
        <v>138</v>
      </c>
      <c r="AG4190">
        <v>0</v>
      </c>
      <c r="AH4190">
        <v>3</v>
      </c>
      <c r="AI4190">
        <v>1</v>
      </c>
      <c r="AJ4190">
        <v>0</v>
      </c>
      <c r="AK4190" t="s">
        <v>1340</v>
      </c>
      <c r="AL4190">
        <v>32.745458999999997</v>
      </c>
      <c r="AM4190" t="s">
        <v>1302</v>
      </c>
      <c r="AN4190">
        <v>-116.679847</v>
      </c>
      <c r="AO4190">
        <v>25</v>
      </c>
      <c r="AP4190">
        <v>4900</v>
      </c>
      <c r="AQ4190" t="s">
        <v>129</v>
      </c>
      <c r="AR4190">
        <v>-123</v>
      </c>
      <c r="AS4190">
        <v>73</v>
      </c>
      <c r="AT4190">
        <v>0</v>
      </c>
      <c r="BB4190">
        <v>1200</v>
      </c>
      <c r="BC4190">
        <v>1</v>
      </c>
      <c r="BD4190" t="str">
        <f t="shared" si="1533"/>
        <v xml:space="preserve">N887QR  </v>
      </c>
      <c r="BE4190">
        <v>1</v>
      </c>
      <c r="BG4190">
        <v>0</v>
      </c>
      <c r="BH4190">
        <v>0</v>
      </c>
      <c r="BI4190">
        <v>0</v>
      </c>
      <c r="BJ4190">
        <v>4675</v>
      </c>
      <c r="BK4190">
        <v>-225</v>
      </c>
      <c r="BL4190" t="s">
        <v>163</v>
      </c>
      <c r="BM4190">
        <v>1</v>
      </c>
      <c r="BN4190">
        <v>1</v>
      </c>
      <c r="BO4190">
        <v>1</v>
      </c>
      <c r="BP4190">
        <v>0</v>
      </c>
      <c r="BS4190">
        <v>0</v>
      </c>
      <c r="BT4190">
        <v>0</v>
      </c>
      <c r="BU4190">
        <v>0</v>
      </c>
      <c r="CE4190" t="str">
        <f t="shared" si="1543"/>
        <v>19:36:49.793</v>
      </c>
      <c r="CF4190">
        <v>792842473</v>
      </c>
      <c r="CS4190">
        <v>0</v>
      </c>
      <c r="CT4190">
        <v>2</v>
      </c>
      <c r="CU4190">
        <v>0</v>
      </c>
      <c r="CV4190">
        <v>2</v>
      </c>
      <c r="CW4190">
        <v>0</v>
      </c>
      <c r="CX4190">
        <v>4</v>
      </c>
      <c r="CY4190">
        <v>7</v>
      </c>
      <c r="CZ4190" t="s">
        <v>131</v>
      </c>
      <c r="DA4190">
        <v>286</v>
      </c>
      <c r="DB4190">
        <v>0</v>
      </c>
      <c r="DC4190" t="s">
        <v>132</v>
      </c>
      <c r="DD4190" t="s">
        <v>133</v>
      </c>
      <c r="DG4190">
        <v>904555</v>
      </c>
      <c r="DI4190">
        <v>0</v>
      </c>
      <c r="DJ4190">
        <v>0</v>
      </c>
      <c r="DK4190">
        <v>1</v>
      </c>
      <c r="DL4190">
        <v>0</v>
      </c>
      <c r="DM4190">
        <v>0</v>
      </c>
      <c r="DN4190">
        <v>1</v>
      </c>
      <c r="DO4190">
        <v>0</v>
      </c>
      <c r="DP4190">
        <v>0</v>
      </c>
      <c r="DQ4190">
        <v>0</v>
      </c>
      <c r="DR4190">
        <v>0</v>
      </c>
      <c r="DS4190">
        <v>0</v>
      </c>
    </row>
    <row r="4191" spans="1:123" x14ac:dyDescent="0.3">
      <c r="A4191" t="str">
        <f>"10/04/2022 19:36:50.058"</f>
        <v>10/04/2022 19:36:50.058</v>
      </c>
      <c r="C4191" t="str">
        <f t="shared" si="1524"/>
        <v>FFDFD3C0</v>
      </c>
      <c r="D4191" t="s">
        <v>141</v>
      </c>
      <c r="E4191">
        <v>4</v>
      </c>
      <c r="H4191">
        <v>4</v>
      </c>
      <c r="I4191" t="s">
        <v>142</v>
      </c>
      <c r="J4191" t="s">
        <v>138</v>
      </c>
      <c r="K4191">
        <v>0</v>
      </c>
      <c r="L4191">
        <v>3</v>
      </c>
      <c r="M4191">
        <v>0</v>
      </c>
      <c r="N4191">
        <v>2</v>
      </c>
      <c r="O4191">
        <v>0</v>
      </c>
      <c r="P4191">
        <v>1</v>
      </c>
      <c r="Q4191">
        <v>0</v>
      </c>
      <c r="S4191" t="str">
        <f t="shared" si="1540"/>
        <v>19:36:49.000</v>
      </c>
      <c r="T4191" t="str">
        <f t="shared" si="1540"/>
        <v>19:36:49.000</v>
      </c>
      <c r="U4191" t="str">
        <f t="shared" si="1532"/>
        <v>AC3944</v>
      </c>
      <c r="V4191">
        <v>0</v>
      </c>
      <c r="W4191">
        <v>0</v>
      </c>
      <c r="X4191">
        <v>2</v>
      </c>
      <c r="Y4191">
        <v>0</v>
      </c>
      <c r="AA4191">
        <v>1</v>
      </c>
      <c r="AB4191">
        <v>8</v>
      </c>
      <c r="AC4191">
        <v>3</v>
      </c>
      <c r="AD4191">
        <v>0</v>
      </c>
      <c r="AE4191">
        <v>9</v>
      </c>
      <c r="AF4191" t="s">
        <v>138</v>
      </c>
      <c r="AG4191">
        <v>0</v>
      </c>
      <c r="AH4191">
        <v>3</v>
      </c>
      <c r="AI4191">
        <v>1</v>
      </c>
      <c r="AJ4191">
        <v>0</v>
      </c>
      <c r="AK4191" t="s">
        <v>1340</v>
      </c>
      <c r="AL4191">
        <v>32.745458999999997</v>
      </c>
      <c r="AM4191" t="s">
        <v>1302</v>
      </c>
      <c r="AN4191">
        <v>-116.679847</v>
      </c>
      <c r="AO4191">
        <v>25</v>
      </c>
      <c r="AP4191">
        <v>4900</v>
      </c>
      <c r="AQ4191" t="s">
        <v>129</v>
      </c>
      <c r="AR4191">
        <v>-123</v>
      </c>
      <c r="AS4191">
        <v>73</v>
      </c>
      <c r="AT4191">
        <v>0</v>
      </c>
      <c r="BB4191">
        <v>1200</v>
      </c>
      <c r="BC4191">
        <v>1</v>
      </c>
      <c r="BD4191" t="str">
        <f t="shared" si="1533"/>
        <v xml:space="preserve">N887QR  </v>
      </c>
      <c r="BE4191">
        <v>1</v>
      </c>
      <c r="BG4191">
        <v>0</v>
      </c>
      <c r="BH4191">
        <v>0</v>
      </c>
      <c r="BI4191">
        <v>0</v>
      </c>
      <c r="BJ4191">
        <v>4675</v>
      </c>
      <c r="BK4191">
        <v>-225</v>
      </c>
      <c r="BL4191" t="s">
        <v>163</v>
      </c>
      <c r="BM4191">
        <v>1</v>
      </c>
      <c r="BN4191">
        <v>1</v>
      </c>
      <c r="BO4191">
        <v>1</v>
      </c>
      <c r="BP4191">
        <v>0</v>
      </c>
      <c r="BS4191">
        <v>0</v>
      </c>
      <c r="BT4191">
        <v>0</v>
      </c>
      <c r="BU4191">
        <v>0</v>
      </c>
      <c r="CE4191" t="str">
        <f t="shared" si="1543"/>
        <v>19:36:49.793</v>
      </c>
      <c r="CF4191">
        <v>792842473</v>
      </c>
      <c r="CS4191">
        <v>0</v>
      </c>
      <c r="CT4191">
        <v>2</v>
      </c>
      <c r="CU4191">
        <v>0</v>
      </c>
      <c r="CV4191">
        <v>2</v>
      </c>
      <c r="CW4191">
        <v>0</v>
      </c>
      <c r="CX4191">
        <v>4</v>
      </c>
      <c r="CY4191">
        <v>7</v>
      </c>
      <c r="CZ4191" t="s">
        <v>131</v>
      </c>
      <c r="DA4191">
        <v>286</v>
      </c>
      <c r="DB4191">
        <v>0</v>
      </c>
      <c r="DC4191" t="s">
        <v>132</v>
      </c>
      <c r="DD4191" t="s">
        <v>133</v>
      </c>
      <c r="DG4191">
        <v>904555</v>
      </c>
      <c r="DI4191">
        <v>0</v>
      </c>
      <c r="DJ4191">
        <v>0</v>
      </c>
      <c r="DK4191">
        <v>1</v>
      </c>
      <c r="DL4191">
        <v>0</v>
      </c>
      <c r="DM4191">
        <v>0</v>
      </c>
      <c r="DN4191">
        <v>1</v>
      </c>
      <c r="DO4191">
        <v>0</v>
      </c>
      <c r="DP4191">
        <v>0</v>
      </c>
      <c r="DQ4191">
        <v>0</v>
      </c>
      <c r="DR4191">
        <v>0</v>
      </c>
      <c r="DS4191">
        <v>0</v>
      </c>
    </row>
    <row r="4192" spans="1:123" x14ac:dyDescent="0.3">
      <c r="A4192" t="str">
        <f t="shared" ref="A4192:A4198" si="1544">"10/04/2022 19:36:51.621"</f>
        <v>10/04/2022 19:36:51.621</v>
      </c>
      <c r="C4192" t="str">
        <f t="shared" si="1524"/>
        <v>FFDFD3C0</v>
      </c>
      <c r="D4192" t="s">
        <v>141</v>
      </c>
      <c r="E4192">
        <v>3</v>
      </c>
      <c r="H4192">
        <v>3</v>
      </c>
      <c r="I4192" t="s">
        <v>146</v>
      </c>
      <c r="J4192" t="s">
        <v>138</v>
      </c>
      <c r="K4192">
        <v>0</v>
      </c>
      <c r="L4192">
        <v>3</v>
      </c>
      <c r="M4192">
        <v>0</v>
      </c>
      <c r="N4192">
        <v>2</v>
      </c>
      <c r="O4192">
        <v>0</v>
      </c>
      <c r="P4192">
        <v>1</v>
      </c>
      <c r="Q4192">
        <v>0</v>
      </c>
      <c r="S4192" t="str">
        <f t="shared" ref="S4192:T4198" si="1545">"19:36:51.000"</f>
        <v>19:36:51.000</v>
      </c>
      <c r="T4192" t="str">
        <f t="shared" si="1545"/>
        <v>19:36:51.000</v>
      </c>
      <c r="U4192" t="str">
        <f t="shared" si="1532"/>
        <v>AC3944</v>
      </c>
      <c r="V4192">
        <v>0</v>
      </c>
      <c r="W4192">
        <v>0</v>
      </c>
      <c r="X4192">
        <v>2</v>
      </c>
      <c r="Y4192">
        <v>0</v>
      </c>
      <c r="AA4192">
        <v>1</v>
      </c>
      <c r="AB4192">
        <v>8</v>
      </c>
      <c r="AC4192">
        <v>3</v>
      </c>
      <c r="AD4192">
        <v>0</v>
      </c>
      <c r="AE4192">
        <v>9</v>
      </c>
      <c r="AF4192" t="s">
        <v>138</v>
      </c>
      <c r="AG4192">
        <v>0</v>
      </c>
      <c r="AH4192">
        <v>3</v>
      </c>
      <c r="AI4192">
        <v>1</v>
      </c>
      <c r="AJ4192">
        <v>0</v>
      </c>
      <c r="AK4192" t="s">
        <v>902</v>
      </c>
      <c r="AL4192">
        <v>32.745781000000001</v>
      </c>
      <c r="AM4192" t="s">
        <v>1341</v>
      </c>
      <c r="AN4192">
        <v>-116.680555</v>
      </c>
      <c r="AO4192">
        <v>25</v>
      </c>
      <c r="AP4192">
        <v>4900</v>
      </c>
      <c r="AQ4192" t="s">
        <v>129</v>
      </c>
      <c r="AR4192">
        <v>-130</v>
      </c>
      <c r="AS4192">
        <v>59</v>
      </c>
      <c r="AT4192">
        <v>0</v>
      </c>
      <c r="BB4192">
        <v>1200</v>
      </c>
      <c r="BC4192">
        <v>1</v>
      </c>
      <c r="BD4192" t="str">
        <f t="shared" si="1533"/>
        <v xml:space="preserve">N887QR  </v>
      </c>
      <c r="BE4192">
        <v>1</v>
      </c>
      <c r="BG4192">
        <v>0</v>
      </c>
      <c r="BH4192">
        <v>0</v>
      </c>
      <c r="BI4192">
        <v>0</v>
      </c>
      <c r="BJ4192">
        <v>4675</v>
      </c>
      <c r="BK4192">
        <v>-225</v>
      </c>
      <c r="BL4192" t="s">
        <v>163</v>
      </c>
      <c r="BM4192">
        <v>1</v>
      </c>
      <c r="BN4192">
        <v>1</v>
      </c>
      <c r="BO4192">
        <v>1</v>
      </c>
      <c r="BP4192">
        <v>0</v>
      </c>
      <c r="BS4192">
        <v>0</v>
      </c>
      <c r="BT4192">
        <v>0</v>
      </c>
      <c r="BU4192">
        <v>0</v>
      </c>
      <c r="CE4192" t="str">
        <f t="shared" ref="CE4192:CE4198" si="1546">"19:36:51.381"</f>
        <v>19:36:51.381</v>
      </c>
      <c r="CF4192">
        <v>380904358</v>
      </c>
      <c r="CS4192">
        <v>0</v>
      </c>
      <c r="CT4192">
        <v>2</v>
      </c>
      <c r="CU4192">
        <v>0</v>
      </c>
      <c r="CV4192">
        <v>2</v>
      </c>
      <c r="CW4192">
        <v>0</v>
      </c>
      <c r="CX4192">
        <v>4</v>
      </c>
      <c r="CY4192">
        <v>7</v>
      </c>
      <c r="CZ4192" t="s">
        <v>131</v>
      </c>
      <c r="DA4192">
        <v>300</v>
      </c>
      <c r="DB4192">
        <v>0</v>
      </c>
      <c r="DC4192" t="s">
        <v>176</v>
      </c>
      <c r="DD4192" t="s">
        <v>177</v>
      </c>
      <c r="DG4192">
        <v>5457995</v>
      </c>
      <c r="DI4192">
        <v>1</v>
      </c>
      <c r="DJ4192">
        <v>0</v>
      </c>
      <c r="DK4192">
        <v>0</v>
      </c>
      <c r="DL4192">
        <v>0</v>
      </c>
      <c r="DM4192">
        <v>0</v>
      </c>
      <c r="DN4192">
        <v>1</v>
      </c>
      <c r="DO4192">
        <v>0</v>
      </c>
      <c r="DP4192">
        <v>0</v>
      </c>
      <c r="DQ4192">
        <v>0</v>
      </c>
      <c r="DR4192">
        <v>0</v>
      </c>
      <c r="DS4192">
        <v>0</v>
      </c>
    </row>
    <row r="4193" spans="1:123" x14ac:dyDescent="0.3">
      <c r="A4193" t="str">
        <f t="shared" si="1544"/>
        <v>10/04/2022 19:36:51.621</v>
      </c>
      <c r="C4193" t="str">
        <f t="shared" si="1524"/>
        <v>FFDFD3C0</v>
      </c>
      <c r="D4193" t="s">
        <v>143</v>
      </c>
      <c r="E4193">
        <v>20</v>
      </c>
      <c r="F4193">
        <v>1020</v>
      </c>
      <c r="G4193" t="s">
        <v>144</v>
      </c>
      <c r="J4193" t="s">
        <v>145</v>
      </c>
      <c r="K4193">
        <v>0</v>
      </c>
      <c r="L4193">
        <v>3</v>
      </c>
      <c r="M4193">
        <v>0</v>
      </c>
      <c r="N4193">
        <v>2</v>
      </c>
      <c r="O4193">
        <v>0</v>
      </c>
      <c r="P4193">
        <v>1</v>
      </c>
      <c r="Q4193">
        <v>0</v>
      </c>
      <c r="S4193" t="str">
        <f t="shared" si="1545"/>
        <v>19:36:51.000</v>
      </c>
      <c r="T4193" t="str">
        <f t="shared" si="1545"/>
        <v>19:36:51.000</v>
      </c>
      <c r="U4193" t="str">
        <f t="shared" si="1532"/>
        <v>AC3944</v>
      </c>
      <c r="V4193">
        <v>0</v>
      </c>
      <c r="W4193">
        <v>0</v>
      </c>
      <c r="X4193">
        <v>2</v>
      </c>
      <c r="Y4193">
        <v>0</v>
      </c>
      <c r="AA4193">
        <v>1</v>
      </c>
      <c r="AB4193">
        <v>8</v>
      </c>
      <c r="AC4193">
        <v>3</v>
      </c>
      <c r="AD4193">
        <v>0</v>
      </c>
      <c r="AE4193">
        <v>9</v>
      </c>
      <c r="AF4193" t="s">
        <v>138</v>
      </c>
      <c r="AG4193">
        <v>0</v>
      </c>
      <c r="AH4193">
        <v>3</v>
      </c>
      <c r="AI4193">
        <v>1</v>
      </c>
      <c r="AJ4193">
        <v>0</v>
      </c>
      <c r="AK4193" t="s">
        <v>902</v>
      </c>
      <c r="AL4193">
        <v>32.745781000000001</v>
      </c>
      <c r="AM4193" t="s">
        <v>1341</v>
      </c>
      <c r="AN4193">
        <v>-116.680555</v>
      </c>
      <c r="AO4193">
        <v>25</v>
      </c>
      <c r="AP4193">
        <v>4900</v>
      </c>
      <c r="AQ4193" t="s">
        <v>129</v>
      </c>
      <c r="AR4193">
        <v>-130</v>
      </c>
      <c r="AS4193">
        <v>59</v>
      </c>
      <c r="AT4193">
        <v>0</v>
      </c>
      <c r="BB4193">
        <v>1200</v>
      </c>
      <c r="BC4193">
        <v>1</v>
      </c>
      <c r="BD4193" t="str">
        <f t="shared" si="1533"/>
        <v xml:space="preserve">N887QR  </v>
      </c>
      <c r="BE4193">
        <v>1</v>
      </c>
      <c r="BG4193">
        <v>0</v>
      </c>
      <c r="BH4193">
        <v>0</v>
      </c>
      <c r="BI4193">
        <v>0</v>
      </c>
      <c r="BJ4193">
        <v>4675</v>
      </c>
      <c r="BK4193">
        <v>-225</v>
      </c>
      <c r="BL4193" t="s">
        <v>163</v>
      </c>
      <c r="BM4193">
        <v>1</v>
      </c>
      <c r="BN4193">
        <v>1</v>
      </c>
      <c r="BO4193">
        <v>1</v>
      </c>
      <c r="BP4193">
        <v>0</v>
      </c>
      <c r="BS4193">
        <v>0</v>
      </c>
      <c r="BT4193">
        <v>0</v>
      </c>
      <c r="BU4193">
        <v>0</v>
      </c>
      <c r="CE4193" t="str">
        <f t="shared" si="1546"/>
        <v>19:36:51.381</v>
      </c>
      <c r="CF4193">
        <v>380904358</v>
      </c>
      <c r="CS4193">
        <v>0</v>
      </c>
      <c r="CT4193">
        <v>2</v>
      </c>
      <c r="CU4193">
        <v>0</v>
      </c>
      <c r="CV4193">
        <v>2</v>
      </c>
      <c r="CW4193">
        <v>0</v>
      </c>
      <c r="CX4193">
        <v>4</v>
      </c>
      <c r="CY4193">
        <v>7</v>
      </c>
      <c r="CZ4193" t="s">
        <v>131</v>
      </c>
      <c r="DA4193">
        <v>300</v>
      </c>
      <c r="DB4193">
        <v>0</v>
      </c>
      <c r="DC4193" t="s">
        <v>176</v>
      </c>
      <c r="DD4193" t="s">
        <v>177</v>
      </c>
      <c r="DG4193">
        <v>5457995</v>
      </c>
      <c r="DI4193">
        <v>1</v>
      </c>
      <c r="DJ4193">
        <v>0</v>
      </c>
      <c r="DK4193">
        <v>1</v>
      </c>
      <c r="DL4193">
        <v>0</v>
      </c>
      <c r="DM4193">
        <v>0</v>
      </c>
      <c r="DN4193">
        <v>1</v>
      </c>
      <c r="DO4193">
        <v>0</v>
      </c>
      <c r="DP4193">
        <v>0</v>
      </c>
      <c r="DQ4193">
        <v>0</v>
      </c>
      <c r="DR4193">
        <v>0</v>
      </c>
      <c r="DS4193">
        <v>0</v>
      </c>
    </row>
    <row r="4194" spans="1:123" x14ac:dyDescent="0.3">
      <c r="A4194" t="str">
        <f t="shared" si="1544"/>
        <v>10/04/2022 19:36:51.621</v>
      </c>
      <c r="C4194" t="str">
        <f t="shared" si="1524"/>
        <v>FFDFD3C0</v>
      </c>
      <c r="D4194" t="s">
        <v>134</v>
      </c>
      <c r="E4194">
        <v>15</v>
      </c>
      <c r="J4194" t="s">
        <v>135</v>
      </c>
      <c r="K4194">
        <v>0</v>
      </c>
      <c r="L4194">
        <v>3</v>
      </c>
      <c r="M4194">
        <v>0</v>
      </c>
      <c r="N4194">
        <v>2</v>
      </c>
      <c r="O4194">
        <v>0</v>
      </c>
      <c r="P4194">
        <v>1</v>
      </c>
      <c r="Q4194">
        <v>0</v>
      </c>
      <c r="S4194" t="str">
        <f t="shared" si="1545"/>
        <v>19:36:51.000</v>
      </c>
      <c r="T4194" t="str">
        <f t="shared" si="1545"/>
        <v>19:36:51.000</v>
      </c>
      <c r="U4194" t="str">
        <f t="shared" si="1532"/>
        <v>AC3944</v>
      </c>
      <c r="V4194">
        <v>0</v>
      </c>
      <c r="W4194">
        <v>0</v>
      </c>
      <c r="X4194">
        <v>2</v>
      </c>
      <c r="Y4194">
        <v>0</v>
      </c>
      <c r="AA4194">
        <v>1</v>
      </c>
      <c r="AB4194">
        <v>8</v>
      </c>
      <c r="AC4194">
        <v>3</v>
      </c>
      <c r="AD4194">
        <v>0</v>
      </c>
      <c r="AE4194">
        <v>9</v>
      </c>
      <c r="AF4194" t="s">
        <v>138</v>
      </c>
      <c r="AG4194">
        <v>0</v>
      </c>
      <c r="AH4194">
        <v>3</v>
      </c>
      <c r="AI4194">
        <v>1</v>
      </c>
      <c r="AJ4194">
        <v>0</v>
      </c>
      <c r="AK4194" t="s">
        <v>902</v>
      </c>
      <c r="AL4194">
        <v>32.745781000000001</v>
      </c>
      <c r="AM4194" t="s">
        <v>1341</v>
      </c>
      <c r="AN4194">
        <v>-116.680555</v>
      </c>
      <c r="AO4194">
        <v>25</v>
      </c>
      <c r="AP4194">
        <v>4900</v>
      </c>
      <c r="AQ4194" t="s">
        <v>129</v>
      </c>
      <c r="AR4194">
        <v>-130</v>
      </c>
      <c r="AS4194">
        <v>59</v>
      </c>
      <c r="AT4194">
        <v>0</v>
      </c>
      <c r="BB4194">
        <v>1200</v>
      </c>
      <c r="BC4194">
        <v>1</v>
      </c>
      <c r="BD4194" t="str">
        <f t="shared" si="1533"/>
        <v xml:space="preserve">N887QR  </v>
      </c>
      <c r="BE4194">
        <v>1</v>
      </c>
      <c r="BG4194">
        <v>0</v>
      </c>
      <c r="BH4194">
        <v>0</v>
      </c>
      <c r="BI4194">
        <v>0</v>
      </c>
      <c r="BJ4194">
        <v>4675</v>
      </c>
      <c r="BK4194">
        <v>-225</v>
      </c>
      <c r="BL4194" t="s">
        <v>163</v>
      </c>
      <c r="BM4194">
        <v>1</v>
      </c>
      <c r="BN4194">
        <v>1</v>
      </c>
      <c r="BO4194">
        <v>1</v>
      </c>
      <c r="BP4194">
        <v>0</v>
      </c>
      <c r="BS4194">
        <v>0</v>
      </c>
      <c r="BT4194">
        <v>0</v>
      </c>
      <c r="BU4194">
        <v>0</v>
      </c>
      <c r="CE4194" t="str">
        <f t="shared" si="1546"/>
        <v>19:36:51.381</v>
      </c>
      <c r="CF4194">
        <v>380904358</v>
      </c>
      <c r="CS4194">
        <v>0</v>
      </c>
      <c r="CT4194">
        <v>2</v>
      </c>
      <c r="CU4194">
        <v>0</v>
      </c>
      <c r="CV4194">
        <v>2</v>
      </c>
      <c r="CW4194">
        <v>0</v>
      </c>
      <c r="CX4194">
        <v>4</v>
      </c>
      <c r="CY4194">
        <v>7</v>
      </c>
      <c r="CZ4194" t="s">
        <v>131</v>
      </c>
      <c r="DA4194">
        <v>300</v>
      </c>
      <c r="DB4194">
        <v>0</v>
      </c>
      <c r="DC4194" t="s">
        <v>176</v>
      </c>
      <c r="DD4194" t="s">
        <v>177</v>
      </c>
      <c r="DG4194">
        <v>5457995</v>
      </c>
      <c r="DI4194">
        <v>1</v>
      </c>
      <c r="DJ4194">
        <v>0</v>
      </c>
      <c r="DK4194">
        <v>1</v>
      </c>
      <c r="DL4194">
        <v>0</v>
      </c>
      <c r="DM4194">
        <v>0</v>
      </c>
      <c r="DN4194">
        <v>1</v>
      </c>
      <c r="DO4194">
        <v>0</v>
      </c>
      <c r="DP4194">
        <v>0</v>
      </c>
      <c r="DQ4194">
        <v>0</v>
      </c>
      <c r="DR4194">
        <v>0</v>
      </c>
      <c r="DS4194">
        <v>0</v>
      </c>
    </row>
    <row r="4195" spans="1:123" x14ac:dyDescent="0.3">
      <c r="A4195" t="str">
        <f t="shared" si="1544"/>
        <v>10/04/2022 19:36:51.621</v>
      </c>
      <c r="C4195" t="str">
        <f t="shared" si="1524"/>
        <v>FFDFD3C0</v>
      </c>
      <c r="D4195" t="s">
        <v>147</v>
      </c>
      <c r="E4195">
        <v>3</v>
      </c>
      <c r="H4195">
        <v>166</v>
      </c>
      <c r="I4195" t="s">
        <v>144</v>
      </c>
      <c r="J4195" t="s">
        <v>148</v>
      </c>
      <c r="K4195">
        <v>0</v>
      </c>
      <c r="L4195">
        <v>3</v>
      </c>
      <c r="M4195">
        <v>0</v>
      </c>
      <c r="N4195">
        <v>2</v>
      </c>
      <c r="O4195">
        <v>0</v>
      </c>
      <c r="P4195">
        <v>1</v>
      </c>
      <c r="Q4195">
        <v>0</v>
      </c>
      <c r="S4195" t="str">
        <f t="shared" si="1545"/>
        <v>19:36:51.000</v>
      </c>
      <c r="T4195" t="str">
        <f t="shared" si="1545"/>
        <v>19:36:51.000</v>
      </c>
      <c r="U4195" t="str">
        <f t="shared" si="1532"/>
        <v>AC3944</v>
      </c>
      <c r="V4195">
        <v>0</v>
      </c>
      <c r="W4195">
        <v>0</v>
      </c>
      <c r="X4195">
        <v>2</v>
      </c>
      <c r="Y4195">
        <v>0</v>
      </c>
      <c r="AA4195">
        <v>1</v>
      </c>
      <c r="AB4195">
        <v>8</v>
      </c>
      <c r="AC4195">
        <v>3</v>
      </c>
      <c r="AD4195">
        <v>0</v>
      </c>
      <c r="AE4195">
        <v>9</v>
      </c>
      <c r="AF4195" t="s">
        <v>138</v>
      </c>
      <c r="AG4195">
        <v>0</v>
      </c>
      <c r="AH4195">
        <v>3</v>
      </c>
      <c r="AI4195">
        <v>1</v>
      </c>
      <c r="AJ4195">
        <v>0</v>
      </c>
      <c r="AK4195" t="s">
        <v>902</v>
      </c>
      <c r="AL4195">
        <v>32.745781000000001</v>
      </c>
      <c r="AM4195" t="s">
        <v>1341</v>
      </c>
      <c r="AN4195">
        <v>-116.680555</v>
      </c>
      <c r="AO4195">
        <v>25</v>
      </c>
      <c r="AP4195">
        <v>4900</v>
      </c>
      <c r="AQ4195" t="s">
        <v>129</v>
      </c>
      <c r="AR4195">
        <v>-130</v>
      </c>
      <c r="AS4195">
        <v>59</v>
      </c>
      <c r="AT4195">
        <v>0</v>
      </c>
      <c r="BB4195">
        <v>1200</v>
      </c>
      <c r="BC4195">
        <v>1</v>
      </c>
      <c r="BD4195" t="str">
        <f t="shared" si="1533"/>
        <v xml:space="preserve">N887QR  </v>
      </c>
      <c r="BE4195">
        <v>1</v>
      </c>
      <c r="BG4195">
        <v>0</v>
      </c>
      <c r="BH4195">
        <v>0</v>
      </c>
      <c r="BI4195">
        <v>0</v>
      </c>
      <c r="BJ4195">
        <v>4675</v>
      </c>
      <c r="BK4195">
        <v>-225</v>
      </c>
      <c r="BL4195" t="s">
        <v>163</v>
      </c>
      <c r="BM4195">
        <v>1</v>
      </c>
      <c r="BN4195">
        <v>1</v>
      </c>
      <c r="BO4195">
        <v>1</v>
      </c>
      <c r="BP4195">
        <v>0</v>
      </c>
      <c r="BS4195">
        <v>0</v>
      </c>
      <c r="BT4195">
        <v>0</v>
      </c>
      <c r="BU4195">
        <v>0</v>
      </c>
      <c r="CE4195" t="str">
        <f t="shared" si="1546"/>
        <v>19:36:51.381</v>
      </c>
      <c r="CF4195">
        <v>380904358</v>
      </c>
      <c r="CS4195">
        <v>0</v>
      </c>
      <c r="CT4195">
        <v>2</v>
      </c>
      <c r="CU4195">
        <v>0</v>
      </c>
      <c r="CV4195">
        <v>2</v>
      </c>
      <c r="CW4195">
        <v>0</v>
      </c>
      <c r="CX4195">
        <v>4</v>
      </c>
      <c r="CY4195">
        <v>7</v>
      </c>
      <c r="CZ4195" t="s">
        <v>131</v>
      </c>
      <c r="DA4195">
        <v>300</v>
      </c>
      <c r="DB4195">
        <v>0</v>
      </c>
      <c r="DC4195" t="s">
        <v>176</v>
      </c>
      <c r="DD4195" t="s">
        <v>177</v>
      </c>
      <c r="DG4195">
        <v>5457995</v>
      </c>
      <c r="DI4195">
        <v>1</v>
      </c>
      <c r="DJ4195">
        <v>0</v>
      </c>
      <c r="DK4195">
        <v>1</v>
      </c>
      <c r="DL4195">
        <v>0</v>
      </c>
      <c r="DM4195">
        <v>0</v>
      </c>
      <c r="DN4195">
        <v>1</v>
      </c>
      <c r="DO4195">
        <v>0</v>
      </c>
      <c r="DP4195">
        <v>0</v>
      </c>
      <c r="DQ4195">
        <v>0</v>
      </c>
      <c r="DR4195">
        <v>0</v>
      </c>
      <c r="DS4195">
        <v>0</v>
      </c>
    </row>
    <row r="4196" spans="1:123" x14ac:dyDescent="0.3">
      <c r="A4196" t="str">
        <f t="shared" si="1544"/>
        <v>10/04/2022 19:36:51.621</v>
      </c>
      <c r="C4196" t="str">
        <f t="shared" si="1524"/>
        <v>FFDFD3C0</v>
      </c>
      <c r="D4196" t="s">
        <v>123</v>
      </c>
      <c r="E4196">
        <v>7</v>
      </c>
      <c r="F4196">
        <v>2007</v>
      </c>
      <c r="G4196" t="s">
        <v>124</v>
      </c>
      <c r="J4196" t="s">
        <v>125</v>
      </c>
      <c r="K4196">
        <v>0</v>
      </c>
      <c r="L4196">
        <v>3</v>
      </c>
      <c r="M4196">
        <v>0</v>
      </c>
      <c r="N4196">
        <v>2</v>
      </c>
      <c r="O4196">
        <v>0</v>
      </c>
      <c r="P4196">
        <v>1</v>
      </c>
      <c r="Q4196">
        <v>0</v>
      </c>
      <c r="S4196" t="str">
        <f t="shared" si="1545"/>
        <v>19:36:51.000</v>
      </c>
      <c r="T4196" t="str">
        <f t="shared" si="1545"/>
        <v>19:36:51.000</v>
      </c>
      <c r="U4196" t="str">
        <f t="shared" si="1532"/>
        <v>AC3944</v>
      </c>
      <c r="V4196">
        <v>0</v>
      </c>
      <c r="W4196">
        <v>0</v>
      </c>
      <c r="X4196">
        <v>2</v>
      </c>
      <c r="Y4196">
        <v>0</v>
      </c>
      <c r="AA4196">
        <v>1</v>
      </c>
      <c r="AB4196">
        <v>8</v>
      </c>
      <c r="AC4196">
        <v>3</v>
      </c>
      <c r="AD4196">
        <v>0</v>
      </c>
      <c r="AE4196">
        <v>9</v>
      </c>
      <c r="AF4196" t="s">
        <v>138</v>
      </c>
      <c r="AG4196">
        <v>0</v>
      </c>
      <c r="AH4196">
        <v>3</v>
      </c>
      <c r="AI4196">
        <v>1</v>
      </c>
      <c r="AJ4196">
        <v>0</v>
      </c>
      <c r="AK4196" t="s">
        <v>902</v>
      </c>
      <c r="AL4196">
        <v>32.745781000000001</v>
      </c>
      <c r="AM4196" t="s">
        <v>1341</v>
      </c>
      <c r="AN4196">
        <v>-116.680555</v>
      </c>
      <c r="AO4196">
        <v>25</v>
      </c>
      <c r="AP4196">
        <v>4900</v>
      </c>
      <c r="AQ4196" t="s">
        <v>129</v>
      </c>
      <c r="AR4196">
        <v>-130</v>
      </c>
      <c r="AS4196">
        <v>59</v>
      </c>
      <c r="AT4196">
        <v>0</v>
      </c>
      <c r="BB4196">
        <v>1200</v>
      </c>
      <c r="BC4196">
        <v>1</v>
      </c>
      <c r="BD4196" t="str">
        <f t="shared" si="1533"/>
        <v xml:space="preserve">N887QR  </v>
      </c>
      <c r="BE4196">
        <v>1</v>
      </c>
      <c r="BG4196">
        <v>0</v>
      </c>
      <c r="BH4196">
        <v>0</v>
      </c>
      <c r="BI4196">
        <v>0</v>
      </c>
      <c r="BJ4196">
        <v>4675</v>
      </c>
      <c r="BK4196">
        <v>-225</v>
      </c>
      <c r="BL4196" t="s">
        <v>163</v>
      </c>
      <c r="BM4196">
        <v>1</v>
      </c>
      <c r="BN4196">
        <v>1</v>
      </c>
      <c r="BO4196">
        <v>1</v>
      </c>
      <c r="BP4196">
        <v>0</v>
      </c>
      <c r="BS4196">
        <v>0</v>
      </c>
      <c r="BT4196">
        <v>0</v>
      </c>
      <c r="BU4196">
        <v>0</v>
      </c>
      <c r="CE4196" t="str">
        <f t="shared" si="1546"/>
        <v>19:36:51.381</v>
      </c>
      <c r="CF4196">
        <v>380904358</v>
      </c>
      <c r="CS4196">
        <v>0</v>
      </c>
      <c r="CT4196">
        <v>2</v>
      </c>
      <c r="CU4196">
        <v>0</v>
      </c>
      <c r="CV4196">
        <v>2</v>
      </c>
      <c r="CW4196">
        <v>0</v>
      </c>
      <c r="CX4196">
        <v>4</v>
      </c>
      <c r="CY4196">
        <v>7</v>
      </c>
      <c r="CZ4196" t="s">
        <v>131</v>
      </c>
      <c r="DA4196">
        <v>300</v>
      </c>
      <c r="DB4196">
        <v>0</v>
      </c>
      <c r="DC4196" t="s">
        <v>176</v>
      </c>
      <c r="DD4196" t="s">
        <v>177</v>
      </c>
      <c r="DG4196">
        <v>5457995</v>
      </c>
      <c r="DI4196">
        <v>1</v>
      </c>
      <c r="DJ4196">
        <v>0</v>
      </c>
      <c r="DK4196">
        <v>1</v>
      </c>
      <c r="DL4196">
        <v>0</v>
      </c>
      <c r="DM4196">
        <v>0</v>
      </c>
      <c r="DN4196">
        <v>1</v>
      </c>
      <c r="DO4196">
        <v>0</v>
      </c>
      <c r="DP4196">
        <v>0</v>
      </c>
      <c r="DQ4196">
        <v>0</v>
      </c>
      <c r="DR4196">
        <v>0</v>
      </c>
      <c r="DS4196">
        <v>0</v>
      </c>
    </row>
    <row r="4197" spans="1:123" x14ac:dyDescent="0.3">
      <c r="A4197" t="str">
        <f t="shared" si="1544"/>
        <v>10/04/2022 19:36:51.621</v>
      </c>
      <c r="C4197" t="str">
        <f t="shared" si="1524"/>
        <v>FFDFD3C0</v>
      </c>
      <c r="D4197" t="s">
        <v>136</v>
      </c>
      <c r="E4197">
        <v>8</v>
      </c>
      <c r="H4197">
        <v>225</v>
      </c>
      <c r="I4197" t="s">
        <v>137</v>
      </c>
      <c r="J4197" t="s">
        <v>138</v>
      </c>
      <c r="K4197">
        <v>0</v>
      </c>
      <c r="L4197">
        <v>3</v>
      </c>
      <c r="M4197">
        <v>0</v>
      </c>
      <c r="N4197">
        <v>2</v>
      </c>
      <c r="O4197">
        <v>0</v>
      </c>
      <c r="P4197">
        <v>1</v>
      </c>
      <c r="Q4197">
        <v>0</v>
      </c>
      <c r="S4197" t="str">
        <f t="shared" si="1545"/>
        <v>19:36:51.000</v>
      </c>
      <c r="T4197" t="str">
        <f t="shared" si="1545"/>
        <v>19:36:51.000</v>
      </c>
      <c r="U4197" t="str">
        <f t="shared" si="1532"/>
        <v>AC3944</v>
      </c>
      <c r="V4197">
        <v>0</v>
      </c>
      <c r="W4197">
        <v>0</v>
      </c>
      <c r="X4197">
        <v>2</v>
      </c>
      <c r="Y4197">
        <v>0</v>
      </c>
      <c r="AA4197">
        <v>1</v>
      </c>
      <c r="AB4197">
        <v>8</v>
      </c>
      <c r="AC4197">
        <v>3</v>
      </c>
      <c r="AD4197">
        <v>0</v>
      </c>
      <c r="AE4197">
        <v>9</v>
      </c>
      <c r="AF4197" t="s">
        <v>138</v>
      </c>
      <c r="AG4197">
        <v>0</v>
      </c>
      <c r="AH4197">
        <v>3</v>
      </c>
      <c r="AI4197">
        <v>1</v>
      </c>
      <c r="AJ4197">
        <v>0</v>
      </c>
      <c r="AK4197" t="s">
        <v>902</v>
      </c>
      <c r="AL4197">
        <v>32.745781000000001</v>
      </c>
      <c r="AM4197" t="s">
        <v>1341</v>
      </c>
      <c r="AN4197">
        <v>-116.680555</v>
      </c>
      <c r="AO4197">
        <v>25</v>
      </c>
      <c r="AP4197">
        <v>4900</v>
      </c>
      <c r="AQ4197" t="s">
        <v>129</v>
      </c>
      <c r="AR4197">
        <v>-130</v>
      </c>
      <c r="AS4197">
        <v>59</v>
      </c>
      <c r="AT4197">
        <v>0</v>
      </c>
      <c r="BB4197">
        <v>1200</v>
      </c>
      <c r="BC4197">
        <v>1</v>
      </c>
      <c r="BD4197" t="str">
        <f t="shared" si="1533"/>
        <v xml:space="preserve">N887QR  </v>
      </c>
      <c r="BE4197">
        <v>1</v>
      </c>
      <c r="BG4197">
        <v>0</v>
      </c>
      <c r="BH4197">
        <v>0</v>
      </c>
      <c r="BI4197">
        <v>0</v>
      </c>
      <c r="BJ4197">
        <v>4675</v>
      </c>
      <c r="BK4197">
        <v>-225</v>
      </c>
      <c r="BL4197" t="s">
        <v>163</v>
      </c>
      <c r="BM4197">
        <v>1</v>
      </c>
      <c r="BN4197">
        <v>1</v>
      </c>
      <c r="BO4197">
        <v>1</v>
      </c>
      <c r="BP4197">
        <v>0</v>
      </c>
      <c r="BS4197">
        <v>0</v>
      </c>
      <c r="BT4197">
        <v>0</v>
      </c>
      <c r="BU4197">
        <v>0</v>
      </c>
      <c r="CE4197" t="str">
        <f t="shared" si="1546"/>
        <v>19:36:51.381</v>
      </c>
      <c r="CF4197">
        <v>380904358</v>
      </c>
      <c r="CS4197">
        <v>0</v>
      </c>
      <c r="CT4197">
        <v>2</v>
      </c>
      <c r="CU4197">
        <v>0</v>
      </c>
      <c r="CV4197">
        <v>2</v>
      </c>
      <c r="CW4197">
        <v>0</v>
      </c>
      <c r="CX4197">
        <v>4</v>
      </c>
      <c r="CY4197">
        <v>7</v>
      </c>
      <c r="CZ4197" t="s">
        <v>131</v>
      </c>
      <c r="DA4197">
        <v>300</v>
      </c>
      <c r="DB4197">
        <v>0</v>
      </c>
      <c r="DC4197" t="s">
        <v>176</v>
      </c>
      <c r="DD4197" t="s">
        <v>177</v>
      </c>
      <c r="DG4197">
        <v>5457995</v>
      </c>
      <c r="DI4197">
        <v>1</v>
      </c>
      <c r="DJ4197">
        <v>0</v>
      </c>
      <c r="DK4197">
        <v>1</v>
      </c>
      <c r="DL4197">
        <v>0</v>
      </c>
      <c r="DM4197">
        <v>0</v>
      </c>
      <c r="DN4197">
        <v>1</v>
      </c>
      <c r="DO4197">
        <v>0</v>
      </c>
      <c r="DP4197">
        <v>0</v>
      </c>
      <c r="DQ4197">
        <v>0</v>
      </c>
      <c r="DR4197">
        <v>0</v>
      </c>
      <c r="DS4197">
        <v>0</v>
      </c>
    </row>
    <row r="4198" spans="1:123" x14ac:dyDescent="0.3">
      <c r="A4198" t="str">
        <f t="shared" si="1544"/>
        <v>10/04/2022 19:36:51.621</v>
      </c>
      <c r="C4198" t="str">
        <f t="shared" si="1524"/>
        <v>FFDFD3C0</v>
      </c>
      <c r="D4198" t="s">
        <v>141</v>
      </c>
      <c r="E4198">
        <v>4</v>
      </c>
      <c r="H4198">
        <v>4</v>
      </c>
      <c r="I4198" t="s">
        <v>142</v>
      </c>
      <c r="J4198" t="s">
        <v>138</v>
      </c>
      <c r="K4198">
        <v>0</v>
      </c>
      <c r="L4198">
        <v>3</v>
      </c>
      <c r="M4198">
        <v>0</v>
      </c>
      <c r="N4198">
        <v>2</v>
      </c>
      <c r="O4198">
        <v>0</v>
      </c>
      <c r="P4198">
        <v>1</v>
      </c>
      <c r="Q4198">
        <v>0</v>
      </c>
      <c r="S4198" t="str">
        <f t="shared" si="1545"/>
        <v>19:36:51.000</v>
      </c>
      <c r="T4198" t="str">
        <f t="shared" si="1545"/>
        <v>19:36:51.000</v>
      </c>
      <c r="U4198" t="str">
        <f t="shared" si="1532"/>
        <v>AC3944</v>
      </c>
      <c r="V4198">
        <v>0</v>
      </c>
      <c r="W4198">
        <v>0</v>
      </c>
      <c r="X4198">
        <v>2</v>
      </c>
      <c r="Y4198">
        <v>0</v>
      </c>
      <c r="AA4198">
        <v>1</v>
      </c>
      <c r="AB4198">
        <v>8</v>
      </c>
      <c r="AC4198">
        <v>3</v>
      </c>
      <c r="AD4198">
        <v>0</v>
      </c>
      <c r="AE4198">
        <v>9</v>
      </c>
      <c r="AF4198" t="s">
        <v>138</v>
      </c>
      <c r="AG4198">
        <v>0</v>
      </c>
      <c r="AH4198">
        <v>3</v>
      </c>
      <c r="AI4198">
        <v>1</v>
      </c>
      <c r="AJ4198">
        <v>0</v>
      </c>
      <c r="AK4198" t="s">
        <v>902</v>
      </c>
      <c r="AL4198">
        <v>32.745781000000001</v>
      </c>
      <c r="AM4198" t="s">
        <v>1341</v>
      </c>
      <c r="AN4198">
        <v>-116.680555</v>
      </c>
      <c r="AO4198">
        <v>25</v>
      </c>
      <c r="AP4198">
        <v>4900</v>
      </c>
      <c r="AQ4198" t="s">
        <v>129</v>
      </c>
      <c r="AR4198">
        <v>-130</v>
      </c>
      <c r="AS4198">
        <v>59</v>
      </c>
      <c r="AT4198">
        <v>0</v>
      </c>
      <c r="BB4198">
        <v>1200</v>
      </c>
      <c r="BC4198">
        <v>1</v>
      </c>
      <c r="BD4198" t="str">
        <f t="shared" si="1533"/>
        <v xml:space="preserve">N887QR  </v>
      </c>
      <c r="BE4198">
        <v>1</v>
      </c>
      <c r="BG4198">
        <v>0</v>
      </c>
      <c r="BH4198">
        <v>0</v>
      </c>
      <c r="BI4198">
        <v>0</v>
      </c>
      <c r="BJ4198">
        <v>4675</v>
      </c>
      <c r="BK4198">
        <v>-225</v>
      </c>
      <c r="BL4198" t="s">
        <v>163</v>
      </c>
      <c r="BM4198">
        <v>1</v>
      </c>
      <c r="BN4198">
        <v>1</v>
      </c>
      <c r="BO4198">
        <v>1</v>
      </c>
      <c r="BP4198">
        <v>0</v>
      </c>
      <c r="BS4198">
        <v>0</v>
      </c>
      <c r="BT4198">
        <v>0</v>
      </c>
      <c r="BU4198">
        <v>0</v>
      </c>
      <c r="CE4198" t="str">
        <f t="shared" si="1546"/>
        <v>19:36:51.381</v>
      </c>
      <c r="CF4198">
        <v>380904358</v>
      </c>
      <c r="CS4198">
        <v>0</v>
      </c>
      <c r="CT4198">
        <v>2</v>
      </c>
      <c r="CU4198">
        <v>0</v>
      </c>
      <c r="CV4198">
        <v>2</v>
      </c>
      <c r="CW4198">
        <v>0</v>
      </c>
      <c r="CX4198">
        <v>4</v>
      </c>
      <c r="CY4198">
        <v>7</v>
      </c>
      <c r="CZ4198" t="s">
        <v>131</v>
      </c>
      <c r="DA4198">
        <v>300</v>
      </c>
      <c r="DB4198">
        <v>0</v>
      </c>
      <c r="DC4198" t="s">
        <v>176</v>
      </c>
      <c r="DD4198" t="s">
        <v>177</v>
      </c>
      <c r="DG4198">
        <v>5457995</v>
      </c>
      <c r="DI4198">
        <v>1</v>
      </c>
      <c r="DJ4198">
        <v>0</v>
      </c>
      <c r="DK4198">
        <v>1</v>
      </c>
      <c r="DL4198">
        <v>0</v>
      </c>
      <c r="DM4198">
        <v>0</v>
      </c>
      <c r="DN4198">
        <v>1</v>
      </c>
      <c r="DO4198">
        <v>0</v>
      </c>
      <c r="DP4198">
        <v>0</v>
      </c>
      <c r="DQ4198">
        <v>0</v>
      </c>
      <c r="DR4198">
        <v>0</v>
      </c>
      <c r="DS4198">
        <v>0</v>
      </c>
    </row>
    <row r="4199" spans="1:123" x14ac:dyDescent="0.3">
      <c r="A4199" t="str">
        <f t="shared" ref="A4199:A4205" si="1547">"10/04/2022 19:36:52.292"</f>
        <v>10/04/2022 19:36:52.292</v>
      </c>
      <c r="C4199" t="str">
        <f t="shared" si="1524"/>
        <v>FFDFD3C0</v>
      </c>
      <c r="D4199" t="s">
        <v>123</v>
      </c>
      <c r="E4199">
        <v>7</v>
      </c>
      <c r="F4199">
        <v>2007</v>
      </c>
      <c r="G4199" t="s">
        <v>124</v>
      </c>
      <c r="J4199" t="s">
        <v>125</v>
      </c>
      <c r="K4199">
        <v>0</v>
      </c>
      <c r="L4199">
        <v>3</v>
      </c>
      <c r="M4199">
        <v>0</v>
      </c>
      <c r="N4199">
        <v>2</v>
      </c>
      <c r="O4199">
        <v>0</v>
      </c>
      <c r="P4199">
        <v>1</v>
      </c>
      <c r="Q4199">
        <v>0</v>
      </c>
      <c r="S4199" t="str">
        <f t="shared" ref="S4199:T4205" si="1548">"19:36:52.000"</f>
        <v>19:36:52.000</v>
      </c>
      <c r="T4199" t="str">
        <f t="shared" si="1548"/>
        <v>19:36:52.000</v>
      </c>
      <c r="U4199" t="str">
        <f t="shared" si="1532"/>
        <v>AC3944</v>
      </c>
      <c r="V4199">
        <v>0</v>
      </c>
      <c r="W4199">
        <v>0</v>
      </c>
      <c r="X4199">
        <v>2</v>
      </c>
      <c r="Y4199">
        <v>0</v>
      </c>
      <c r="AA4199">
        <v>1</v>
      </c>
      <c r="AB4199">
        <v>8</v>
      </c>
      <c r="AC4199">
        <v>3</v>
      </c>
      <c r="AD4199">
        <v>0</v>
      </c>
      <c r="AE4199">
        <v>9</v>
      </c>
      <c r="AF4199" t="s">
        <v>138</v>
      </c>
      <c r="AG4199">
        <v>0</v>
      </c>
      <c r="AH4199">
        <v>3</v>
      </c>
      <c r="AI4199">
        <v>1</v>
      </c>
      <c r="AJ4199">
        <v>0</v>
      </c>
      <c r="AK4199" t="s">
        <v>1342</v>
      </c>
      <c r="AL4199">
        <v>32.74606</v>
      </c>
      <c r="AM4199" t="s">
        <v>1343</v>
      </c>
      <c r="AN4199">
        <v>-116.681263</v>
      </c>
      <c r="AO4199">
        <v>25</v>
      </c>
      <c r="AP4199">
        <v>5000</v>
      </c>
      <c r="AQ4199" t="s">
        <v>129</v>
      </c>
      <c r="AR4199">
        <v>-132</v>
      </c>
      <c r="AS4199">
        <v>52</v>
      </c>
      <c r="AT4199">
        <v>0</v>
      </c>
      <c r="BB4199">
        <v>1200</v>
      </c>
      <c r="BC4199">
        <v>1</v>
      </c>
      <c r="BD4199" t="str">
        <f t="shared" si="1533"/>
        <v xml:space="preserve">N887QR  </v>
      </c>
      <c r="BE4199">
        <v>1</v>
      </c>
      <c r="BG4199">
        <v>0</v>
      </c>
      <c r="BH4199">
        <v>0</v>
      </c>
      <c r="BI4199">
        <v>0</v>
      </c>
      <c r="BJ4199">
        <v>4675</v>
      </c>
      <c r="BK4199">
        <v>-325</v>
      </c>
      <c r="BL4199" t="s">
        <v>163</v>
      </c>
      <c r="BM4199">
        <v>1</v>
      </c>
      <c r="BN4199">
        <v>1</v>
      </c>
      <c r="BO4199">
        <v>1</v>
      </c>
      <c r="BP4199">
        <v>0</v>
      </c>
      <c r="BS4199">
        <v>0</v>
      </c>
      <c r="BT4199">
        <v>0</v>
      </c>
      <c r="BU4199">
        <v>0</v>
      </c>
      <c r="CE4199" t="str">
        <f t="shared" ref="CE4199:CE4205" si="1549">"19:36:52.018"</f>
        <v>19:36:52.018</v>
      </c>
      <c r="CF4199">
        <v>17656250</v>
      </c>
      <c r="CS4199">
        <v>0</v>
      </c>
      <c r="CT4199">
        <v>2</v>
      </c>
      <c r="CU4199">
        <v>0</v>
      </c>
      <c r="CV4199">
        <v>2</v>
      </c>
      <c r="CW4199">
        <v>0</v>
      </c>
      <c r="CX4199">
        <v>5</v>
      </c>
      <c r="CY4199">
        <v>7</v>
      </c>
      <c r="CZ4199" t="s">
        <v>131</v>
      </c>
      <c r="DA4199">
        <v>300</v>
      </c>
      <c r="DB4199">
        <v>0</v>
      </c>
      <c r="DC4199" t="s">
        <v>176</v>
      </c>
      <c r="DD4199" t="s">
        <v>177</v>
      </c>
      <c r="DG4199">
        <v>5458085</v>
      </c>
      <c r="DI4199">
        <v>1</v>
      </c>
      <c r="DJ4199">
        <v>0</v>
      </c>
      <c r="DK4199">
        <v>0</v>
      </c>
      <c r="DL4199">
        <v>0</v>
      </c>
      <c r="DM4199">
        <v>0</v>
      </c>
      <c r="DN4199">
        <v>1</v>
      </c>
      <c r="DO4199">
        <v>0</v>
      </c>
      <c r="DP4199">
        <v>0</v>
      </c>
      <c r="DQ4199">
        <v>0</v>
      </c>
      <c r="DR4199">
        <v>0</v>
      </c>
      <c r="DS4199">
        <v>0</v>
      </c>
    </row>
    <row r="4200" spans="1:123" x14ac:dyDescent="0.3">
      <c r="A4200" t="str">
        <f t="shared" si="1547"/>
        <v>10/04/2022 19:36:52.292</v>
      </c>
      <c r="C4200" t="str">
        <f t="shared" si="1524"/>
        <v>FFDFD3C0</v>
      </c>
      <c r="D4200" t="s">
        <v>136</v>
      </c>
      <c r="E4200">
        <v>8</v>
      </c>
      <c r="H4200">
        <v>225</v>
      </c>
      <c r="I4200" t="s">
        <v>137</v>
      </c>
      <c r="J4200" t="s">
        <v>138</v>
      </c>
      <c r="K4200">
        <v>0</v>
      </c>
      <c r="L4200">
        <v>3</v>
      </c>
      <c r="M4200">
        <v>0</v>
      </c>
      <c r="N4200">
        <v>2</v>
      </c>
      <c r="O4200">
        <v>0</v>
      </c>
      <c r="P4200">
        <v>1</v>
      </c>
      <c r="Q4200">
        <v>0</v>
      </c>
      <c r="S4200" t="str">
        <f t="shared" si="1548"/>
        <v>19:36:52.000</v>
      </c>
      <c r="T4200" t="str">
        <f t="shared" si="1548"/>
        <v>19:36:52.000</v>
      </c>
      <c r="U4200" t="str">
        <f t="shared" si="1532"/>
        <v>AC3944</v>
      </c>
      <c r="V4200">
        <v>0</v>
      </c>
      <c r="W4200">
        <v>0</v>
      </c>
      <c r="X4200">
        <v>2</v>
      </c>
      <c r="Y4200">
        <v>0</v>
      </c>
      <c r="AA4200">
        <v>1</v>
      </c>
      <c r="AB4200">
        <v>8</v>
      </c>
      <c r="AC4200">
        <v>3</v>
      </c>
      <c r="AD4200">
        <v>0</v>
      </c>
      <c r="AE4200">
        <v>9</v>
      </c>
      <c r="AF4200" t="s">
        <v>138</v>
      </c>
      <c r="AG4200">
        <v>0</v>
      </c>
      <c r="AH4200">
        <v>3</v>
      </c>
      <c r="AI4200">
        <v>1</v>
      </c>
      <c r="AJ4200">
        <v>0</v>
      </c>
      <c r="AK4200" t="s">
        <v>1342</v>
      </c>
      <c r="AL4200">
        <v>32.74606</v>
      </c>
      <c r="AM4200" t="s">
        <v>1343</v>
      </c>
      <c r="AN4200">
        <v>-116.681263</v>
      </c>
      <c r="AO4200">
        <v>25</v>
      </c>
      <c r="AP4200">
        <v>5000</v>
      </c>
      <c r="AQ4200" t="s">
        <v>129</v>
      </c>
      <c r="AR4200">
        <v>-132</v>
      </c>
      <c r="AS4200">
        <v>52</v>
      </c>
      <c r="AT4200">
        <v>0</v>
      </c>
      <c r="BB4200">
        <v>1200</v>
      </c>
      <c r="BC4200">
        <v>1</v>
      </c>
      <c r="BD4200" t="str">
        <f t="shared" si="1533"/>
        <v xml:space="preserve">N887QR  </v>
      </c>
      <c r="BE4200">
        <v>1</v>
      </c>
      <c r="BG4200">
        <v>0</v>
      </c>
      <c r="BH4200">
        <v>0</v>
      </c>
      <c r="BI4200">
        <v>0</v>
      </c>
      <c r="BJ4200">
        <v>4675</v>
      </c>
      <c r="BK4200">
        <v>-325</v>
      </c>
      <c r="BL4200" t="s">
        <v>163</v>
      </c>
      <c r="BM4200">
        <v>1</v>
      </c>
      <c r="BN4200">
        <v>1</v>
      </c>
      <c r="BO4200">
        <v>1</v>
      </c>
      <c r="BP4200">
        <v>0</v>
      </c>
      <c r="BS4200">
        <v>0</v>
      </c>
      <c r="BT4200">
        <v>0</v>
      </c>
      <c r="BU4200">
        <v>0</v>
      </c>
      <c r="CE4200" t="str">
        <f t="shared" si="1549"/>
        <v>19:36:52.018</v>
      </c>
      <c r="CF4200">
        <v>17656250</v>
      </c>
      <c r="CS4200">
        <v>0</v>
      </c>
      <c r="CT4200">
        <v>2</v>
      </c>
      <c r="CU4200">
        <v>0</v>
      </c>
      <c r="CV4200">
        <v>2</v>
      </c>
      <c r="CW4200">
        <v>0</v>
      </c>
      <c r="CX4200">
        <v>5</v>
      </c>
      <c r="CY4200">
        <v>7</v>
      </c>
      <c r="CZ4200" t="s">
        <v>131</v>
      </c>
      <c r="DA4200">
        <v>300</v>
      </c>
      <c r="DB4200">
        <v>0</v>
      </c>
      <c r="DC4200" t="s">
        <v>176</v>
      </c>
      <c r="DD4200" t="s">
        <v>177</v>
      </c>
      <c r="DG4200">
        <v>5458085</v>
      </c>
      <c r="DI4200">
        <v>1</v>
      </c>
      <c r="DJ4200">
        <v>0</v>
      </c>
      <c r="DK4200">
        <v>1</v>
      </c>
      <c r="DL4200">
        <v>0</v>
      </c>
      <c r="DM4200">
        <v>0</v>
      </c>
      <c r="DN4200">
        <v>1</v>
      </c>
      <c r="DO4200">
        <v>0</v>
      </c>
      <c r="DP4200">
        <v>0</v>
      </c>
      <c r="DQ4200">
        <v>0</v>
      </c>
      <c r="DR4200">
        <v>0</v>
      </c>
      <c r="DS4200">
        <v>0</v>
      </c>
    </row>
    <row r="4201" spans="1:123" x14ac:dyDescent="0.3">
      <c r="A4201" t="str">
        <f t="shared" si="1547"/>
        <v>10/04/2022 19:36:52.292</v>
      </c>
      <c r="C4201" t="str">
        <f t="shared" si="1524"/>
        <v>FFDFD3C0</v>
      </c>
      <c r="D4201" t="s">
        <v>141</v>
      </c>
      <c r="E4201">
        <v>4</v>
      </c>
      <c r="H4201">
        <v>4</v>
      </c>
      <c r="I4201" t="s">
        <v>142</v>
      </c>
      <c r="J4201" t="s">
        <v>138</v>
      </c>
      <c r="K4201">
        <v>0</v>
      </c>
      <c r="L4201">
        <v>3</v>
      </c>
      <c r="M4201">
        <v>0</v>
      </c>
      <c r="N4201">
        <v>2</v>
      </c>
      <c r="O4201">
        <v>0</v>
      </c>
      <c r="P4201">
        <v>1</v>
      </c>
      <c r="Q4201">
        <v>0</v>
      </c>
      <c r="S4201" t="str">
        <f t="shared" si="1548"/>
        <v>19:36:52.000</v>
      </c>
      <c r="T4201" t="str">
        <f t="shared" si="1548"/>
        <v>19:36:52.000</v>
      </c>
      <c r="U4201" t="str">
        <f t="shared" si="1532"/>
        <v>AC3944</v>
      </c>
      <c r="V4201">
        <v>0</v>
      </c>
      <c r="W4201">
        <v>0</v>
      </c>
      <c r="X4201">
        <v>2</v>
      </c>
      <c r="Y4201">
        <v>0</v>
      </c>
      <c r="AA4201">
        <v>1</v>
      </c>
      <c r="AB4201">
        <v>8</v>
      </c>
      <c r="AC4201">
        <v>3</v>
      </c>
      <c r="AD4201">
        <v>0</v>
      </c>
      <c r="AE4201">
        <v>9</v>
      </c>
      <c r="AF4201" t="s">
        <v>138</v>
      </c>
      <c r="AG4201">
        <v>0</v>
      </c>
      <c r="AH4201">
        <v>3</v>
      </c>
      <c r="AI4201">
        <v>1</v>
      </c>
      <c r="AJ4201">
        <v>0</v>
      </c>
      <c r="AK4201" t="s">
        <v>1342</v>
      </c>
      <c r="AL4201">
        <v>32.74606</v>
      </c>
      <c r="AM4201" t="s">
        <v>1343</v>
      </c>
      <c r="AN4201">
        <v>-116.681263</v>
      </c>
      <c r="AO4201">
        <v>25</v>
      </c>
      <c r="AP4201">
        <v>5000</v>
      </c>
      <c r="AQ4201" t="s">
        <v>129</v>
      </c>
      <c r="AR4201">
        <v>-132</v>
      </c>
      <c r="AS4201">
        <v>52</v>
      </c>
      <c r="AT4201">
        <v>0</v>
      </c>
      <c r="BB4201">
        <v>1200</v>
      </c>
      <c r="BC4201">
        <v>1</v>
      </c>
      <c r="BD4201" t="str">
        <f t="shared" si="1533"/>
        <v xml:space="preserve">N887QR  </v>
      </c>
      <c r="BE4201">
        <v>1</v>
      </c>
      <c r="BG4201">
        <v>0</v>
      </c>
      <c r="BH4201">
        <v>0</v>
      </c>
      <c r="BI4201">
        <v>0</v>
      </c>
      <c r="BJ4201">
        <v>4675</v>
      </c>
      <c r="BK4201">
        <v>-325</v>
      </c>
      <c r="BL4201" t="s">
        <v>163</v>
      </c>
      <c r="BM4201">
        <v>1</v>
      </c>
      <c r="BN4201">
        <v>1</v>
      </c>
      <c r="BO4201">
        <v>1</v>
      </c>
      <c r="BP4201">
        <v>0</v>
      </c>
      <c r="BS4201">
        <v>0</v>
      </c>
      <c r="BT4201">
        <v>0</v>
      </c>
      <c r="BU4201">
        <v>0</v>
      </c>
      <c r="CE4201" t="str">
        <f t="shared" si="1549"/>
        <v>19:36:52.018</v>
      </c>
      <c r="CF4201">
        <v>17656250</v>
      </c>
      <c r="CS4201">
        <v>0</v>
      </c>
      <c r="CT4201">
        <v>2</v>
      </c>
      <c r="CU4201">
        <v>0</v>
      </c>
      <c r="CV4201">
        <v>2</v>
      </c>
      <c r="CW4201">
        <v>0</v>
      </c>
      <c r="CX4201">
        <v>5</v>
      </c>
      <c r="CY4201">
        <v>7</v>
      </c>
      <c r="CZ4201" t="s">
        <v>131</v>
      </c>
      <c r="DA4201">
        <v>300</v>
      </c>
      <c r="DB4201">
        <v>0</v>
      </c>
      <c r="DC4201" t="s">
        <v>176</v>
      </c>
      <c r="DD4201" t="s">
        <v>177</v>
      </c>
      <c r="DG4201">
        <v>5458085</v>
      </c>
      <c r="DI4201">
        <v>1</v>
      </c>
      <c r="DJ4201">
        <v>0</v>
      </c>
      <c r="DK4201">
        <v>1</v>
      </c>
      <c r="DL4201">
        <v>0</v>
      </c>
      <c r="DM4201">
        <v>0</v>
      </c>
      <c r="DN4201">
        <v>1</v>
      </c>
      <c r="DO4201">
        <v>0</v>
      </c>
      <c r="DP4201">
        <v>0</v>
      </c>
      <c r="DQ4201">
        <v>0</v>
      </c>
      <c r="DR4201">
        <v>0</v>
      </c>
      <c r="DS4201">
        <v>0</v>
      </c>
    </row>
    <row r="4202" spans="1:123" x14ac:dyDescent="0.3">
      <c r="A4202" t="str">
        <f t="shared" si="1547"/>
        <v>10/04/2022 19:36:52.292</v>
      </c>
      <c r="C4202" t="str">
        <f t="shared" si="1524"/>
        <v>FFDFD3C0</v>
      </c>
      <c r="D4202" t="s">
        <v>141</v>
      </c>
      <c r="E4202">
        <v>3</v>
      </c>
      <c r="H4202">
        <v>3</v>
      </c>
      <c r="I4202" t="s">
        <v>146</v>
      </c>
      <c r="J4202" t="s">
        <v>138</v>
      </c>
      <c r="K4202">
        <v>0</v>
      </c>
      <c r="L4202">
        <v>3</v>
      </c>
      <c r="M4202">
        <v>0</v>
      </c>
      <c r="N4202">
        <v>2</v>
      </c>
      <c r="O4202">
        <v>0</v>
      </c>
      <c r="P4202">
        <v>1</v>
      </c>
      <c r="Q4202">
        <v>0</v>
      </c>
      <c r="S4202" t="str">
        <f t="shared" si="1548"/>
        <v>19:36:52.000</v>
      </c>
      <c r="T4202" t="str">
        <f t="shared" si="1548"/>
        <v>19:36:52.000</v>
      </c>
      <c r="U4202" t="str">
        <f t="shared" si="1532"/>
        <v>AC3944</v>
      </c>
      <c r="V4202">
        <v>0</v>
      </c>
      <c r="W4202">
        <v>0</v>
      </c>
      <c r="X4202">
        <v>2</v>
      </c>
      <c r="Y4202">
        <v>0</v>
      </c>
      <c r="AA4202">
        <v>1</v>
      </c>
      <c r="AB4202">
        <v>8</v>
      </c>
      <c r="AC4202">
        <v>3</v>
      </c>
      <c r="AD4202">
        <v>0</v>
      </c>
      <c r="AE4202">
        <v>9</v>
      </c>
      <c r="AF4202" t="s">
        <v>138</v>
      </c>
      <c r="AG4202">
        <v>0</v>
      </c>
      <c r="AH4202">
        <v>3</v>
      </c>
      <c r="AI4202">
        <v>1</v>
      </c>
      <c r="AJ4202">
        <v>0</v>
      </c>
      <c r="AK4202" t="s">
        <v>1342</v>
      </c>
      <c r="AL4202">
        <v>32.74606</v>
      </c>
      <c r="AM4202" t="s">
        <v>1343</v>
      </c>
      <c r="AN4202">
        <v>-116.681263</v>
      </c>
      <c r="AO4202">
        <v>25</v>
      </c>
      <c r="AP4202">
        <v>5000</v>
      </c>
      <c r="AQ4202" t="s">
        <v>129</v>
      </c>
      <c r="AR4202">
        <v>-132</v>
      </c>
      <c r="AS4202">
        <v>52</v>
      </c>
      <c r="AT4202">
        <v>0</v>
      </c>
      <c r="BB4202">
        <v>1200</v>
      </c>
      <c r="BC4202">
        <v>1</v>
      </c>
      <c r="BD4202" t="str">
        <f t="shared" si="1533"/>
        <v xml:space="preserve">N887QR  </v>
      </c>
      <c r="BE4202">
        <v>1</v>
      </c>
      <c r="BG4202">
        <v>0</v>
      </c>
      <c r="BH4202">
        <v>0</v>
      </c>
      <c r="BI4202">
        <v>0</v>
      </c>
      <c r="BJ4202">
        <v>4675</v>
      </c>
      <c r="BK4202">
        <v>-325</v>
      </c>
      <c r="BL4202" t="s">
        <v>163</v>
      </c>
      <c r="BM4202">
        <v>1</v>
      </c>
      <c r="BN4202">
        <v>1</v>
      </c>
      <c r="BO4202">
        <v>1</v>
      </c>
      <c r="BP4202">
        <v>0</v>
      </c>
      <c r="BS4202">
        <v>0</v>
      </c>
      <c r="BT4202">
        <v>0</v>
      </c>
      <c r="BU4202">
        <v>0</v>
      </c>
      <c r="CE4202" t="str">
        <f t="shared" si="1549"/>
        <v>19:36:52.018</v>
      </c>
      <c r="CF4202">
        <v>17656250</v>
      </c>
      <c r="CS4202">
        <v>0</v>
      </c>
      <c r="CT4202">
        <v>2</v>
      </c>
      <c r="CU4202">
        <v>0</v>
      </c>
      <c r="CV4202">
        <v>2</v>
      </c>
      <c r="CW4202">
        <v>0</v>
      </c>
      <c r="CX4202">
        <v>5</v>
      </c>
      <c r="CY4202">
        <v>7</v>
      </c>
      <c r="CZ4202" t="s">
        <v>131</v>
      </c>
      <c r="DA4202">
        <v>300</v>
      </c>
      <c r="DB4202">
        <v>0</v>
      </c>
      <c r="DC4202" t="s">
        <v>176</v>
      </c>
      <c r="DD4202" t="s">
        <v>177</v>
      </c>
      <c r="DG4202">
        <v>5458085</v>
      </c>
      <c r="DI4202">
        <v>1</v>
      </c>
      <c r="DJ4202">
        <v>0</v>
      </c>
      <c r="DK4202">
        <v>1</v>
      </c>
      <c r="DL4202">
        <v>0</v>
      </c>
      <c r="DM4202">
        <v>0</v>
      </c>
      <c r="DN4202">
        <v>1</v>
      </c>
      <c r="DO4202">
        <v>0</v>
      </c>
      <c r="DP4202">
        <v>0</v>
      </c>
      <c r="DQ4202">
        <v>0</v>
      </c>
      <c r="DR4202">
        <v>0</v>
      </c>
      <c r="DS4202">
        <v>0</v>
      </c>
    </row>
    <row r="4203" spans="1:123" x14ac:dyDescent="0.3">
      <c r="A4203" t="str">
        <f t="shared" si="1547"/>
        <v>10/04/2022 19:36:52.292</v>
      </c>
      <c r="C4203" t="str">
        <f t="shared" ref="C4203:C4266" si="1550">"FFDFD3C0"</f>
        <v>FFDFD3C0</v>
      </c>
      <c r="D4203" t="s">
        <v>143</v>
      </c>
      <c r="E4203">
        <v>20</v>
      </c>
      <c r="F4203">
        <v>1020</v>
      </c>
      <c r="G4203" t="s">
        <v>144</v>
      </c>
      <c r="J4203" t="s">
        <v>145</v>
      </c>
      <c r="K4203">
        <v>0</v>
      </c>
      <c r="L4203">
        <v>3</v>
      </c>
      <c r="M4203">
        <v>0</v>
      </c>
      <c r="N4203">
        <v>2</v>
      </c>
      <c r="O4203">
        <v>0</v>
      </c>
      <c r="P4203">
        <v>1</v>
      </c>
      <c r="Q4203">
        <v>0</v>
      </c>
      <c r="S4203" t="str">
        <f t="shared" si="1548"/>
        <v>19:36:52.000</v>
      </c>
      <c r="T4203" t="str">
        <f t="shared" si="1548"/>
        <v>19:36:52.000</v>
      </c>
      <c r="U4203" t="str">
        <f t="shared" si="1532"/>
        <v>AC3944</v>
      </c>
      <c r="V4203">
        <v>0</v>
      </c>
      <c r="W4203">
        <v>0</v>
      </c>
      <c r="X4203">
        <v>2</v>
      </c>
      <c r="Y4203">
        <v>0</v>
      </c>
      <c r="AA4203">
        <v>1</v>
      </c>
      <c r="AB4203">
        <v>8</v>
      </c>
      <c r="AC4203">
        <v>3</v>
      </c>
      <c r="AD4203">
        <v>0</v>
      </c>
      <c r="AE4203">
        <v>9</v>
      </c>
      <c r="AF4203" t="s">
        <v>138</v>
      </c>
      <c r="AG4203">
        <v>0</v>
      </c>
      <c r="AH4203">
        <v>3</v>
      </c>
      <c r="AI4203">
        <v>1</v>
      </c>
      <c r="AJ4203">
        <v>0</v>
      </c>
      <c r="AK4203" t="s">
        <v>1342</v>
      </c>
      <c r="AL4203">
        <v>32.74606</v>
      </c>
      <c r="AM4203" t="s">
        <v>1343</v>
      </c>
      <c r="AN4203">
        <v>-116.681263</v>
      </c>
      <c r="AO4203">
        <v>25</v>
      </c>
      <c r="AP4203">
        <v>5000</v>
      </c>
      <c r="AQ4203" t="s">
        <v>129</v>
      </c>
      <c r="AR4203">
        <v>-132</v>
      </c>
      <c r="AS4203">
        <v>52</v>
      </c>
      <c r="AT4203">
        <v>0</v>
      </c>
      <c r="BB4203">
        <v>1200</v>
      </c>
      <c r="BC4203">
        <v>1</v>
      </c>
      <c r="BD4203" t="str">
        <f t="shared" si="1533"/>
        <v xml:space="preserve">N887QR  </v>
      </c>
      <c r="BE4203">
        <v>1</v>
      </c>
      <c r="BG4203">
        <v>0</v>
      </c>
      <c r="BH4203">
        <v>0</v>
      </c>
      <c r="BI4203">
        <v>0</v>
      </c>
      <c r="BJ4203">
        <v>4675</v>
      </c>
      <c r="BK4203">
        <v>-325</v>
      </c>
      <c r="BL4203" t="s">
        <v>163</v>
      </c>
      <c r="BM4203">
        <v>1</v>
      </c>
      <c r="BN4203">
        <v>1</v>
      </c>
      <c r="BO4203">
        <v>1</v>
      </c>
      <c r="BP4203">
        <v>0</v>
      </c>
      <c r="BS4203">
        <v>0</v>
      </c>
      <c r="BT4203">
        <v>0</v>
      </c>
      <c r="BU4203">
        <v>0</v>
      </c>
      <c r="CE4203" t="str">
        <f t="shared" si="1549"/>
        <v>19:36:52.018</v>
      </c>
      <c r="CF4203">
        <v>17656250</v>
      </c>
      <c r="CS4203">
        <v>0</v>
      </c>
      <c r="CT4203">
        <v>2</v>
      </c>
      <c r="CU4203">
        <v>0</v>
      </c>
      <c r="CV4203">
        <v>2</v>
      </c>
      <c r="CW4203">
        <v>0</v>
      </c>
      <c r="CX4203">
        <v>5</v>
      </c>
      <c r="CY4203">
        <v>7</v>
      </c>
      <c r="CZ4203" t="s">
        <v>131</v>
      </c>
      <c r="DA4203">
        <v>300</v>
      </c>
      <c r="DB4203">
        <v>0</v>
      </c>
      <c r="DC4203" t="s">
        <v>176</v>
      </c>
      <c r="DD4203" t="s">
        <v>177</v>
      </c>
      <c r="DG4203">
        <v>5458085</v>
      </c>
      <c r="DI4203">
        <v>1</v>
      </c>
      <c r="DJ4203">
        <v>0</v>
      </c>
      <c r="DK4203">
        <v>1</v>
      </c>
      <c r="DL4203">
        <v>0</v>
      </c>
      <c r="DM4203">
        <v>0</v>
      </c>
      <c r="DN4203">
        <v>1</v>
      </c>
      <c r="DO4203">
        <v>0</v>
      </c>
      <c r="DP4203">
        <v>0</v>
      </c>
      <c r="DQ4203">
        <v>0</v>
      </c>
      <c r="DR4203">
        <v>0</v>
      </c>
      <c r="DS4203">
        <v>0</v>
      </c>
    </row>
    <row r="4204" spans="1:123" x14ac:dyDescent="0.3">
      <c r="A4204" t="str">
        <f t="shared" si="1547"/>
        <v>10/04/2022 19:36:52.292</v>
      </c>
      <c r="C4204" t="str">
        <f t="shared" si="1550"/>
        <v>FFDFD3C0</v>
      </c>
      <c r="D4204" t="s">
        <v>147</v>
      </c>
      <c r="E4204">
        <v>3</v>
      </c>
      <c r="H4204">
        <v>166</v>
      </c>
      <c r="I4204" t="s">
        <v>144</v>
      </c>
      <c r="J4204" t="s">
        <v>148</v>
      </c>
      <c r="K4204">
        <v>0</v>
      </c>
      <c r="L4204">
        <v>3</v>
      </c>
      <c r="M4204">
        <v>0</v>
      </c>
      <c r="N4204">
        <v>2</v>
      </c>
      <c r="O4204">
        <v>0</v>
      </c>
      <c r="P4204">
        <v>1</v>
      </c>
      <c r="Q4204">
        <v>0</v>
      </c>
      <c r="S4204" t="str">
        <f t="shared" si="1548"/>
        <v>19:36:52.000</v>
      </c>
      <c r="T4204" t="str">
        <f t="shared" si="1548"/>
        <v>19:36:52.000</v>
      </c>
      <c r="U4204" t="str">
        <f t="shared" si="1532"/>
        <v>AC3944</v>
      </c>
      <c r="V4204">
        <v>0</v>
      </c>
      <c r="W4204">
        <v>0</v>
      </c>
      <c r="X4204">
        <v>2</v>
      </c>
      <c r="Y4204">
        <v>0</v>
      </c>
      <c r="AA4204">
        <v>1</v>
      </c>
      <c r="AB4204">
        <v>8</v>
      </c>
      <c r="AC4204">
        <v>3</v>
      </c>
      <c r="AD4204">
        <v>0</v>
      </c>
      <c r="AE4204">
        <v>9</v>
      </c>
      <c r="AF4204" t="s">
        <v>138</v>
      </c>
      <c r="AG4204">
        <v>0</v>
      </c>
      <c r="AH4204">
        <v>3</v>
      </c>
      <c r="AI4204">
        <v>1</v>
      </c>
      <c r="AJ4204">
        <v>0</v>
      </c>
      <c r="AK4204" t="s">
        <v>1342</v>
      </c>
      <c r="AL4204">
        <v>32.74606</v>
      </c>
      <c r="AM4204" t="s">
        <v>1343</v>
      </c>
      <c r="AN4204">
        <v>-116.681263</v>
      </c>
      <c r="AO4204">
        <v>25</v>
      </c>
      <c r="AP4204">
        <v>5000</v>
      </c>
      <c r="AQ4204" t="s">
        <v>129</v>
      </c>
      <c r="AR4204">
        <v>-132</v>
      </c>
      <c r="AS4204">
        <v>52</v>
      </c>
      <c r="AT4204">
        <v>0</v>
      </c>
      <c r="BB4204">
        <v>1200</v>
      </c>
      <c r="BC4204">
        <v>1</v>
      </c>
      <c r="BD4204" t="str">
        <f t="shared" si="1533"/>
        <v xml:space="preserve">N887QR  </v>
      </c>
      <c r="BE4204">
        <v>1</v>
      </c>
      <c r="BG4204">
        <v>0</v>
      </c>
      <c r="BH4204">
        <v>0</v>
      </c>
      <c r="BI4204">
        <v>0</v>
      </c>
      <c r="BJ4204">
        <v>4675</v>
      </c>
      <c r="BK4204">
        <v>-325</v>
      </c>
      <c r="BL4204" t="s">
        <v>163</v>
      </c>
      <c r="BM4204">
        <v>1</v>
      </c>
      <c r="BN4204">
        <v>1</v>
      </c>
      <c r="BO4204">
        <v>1</v>
      </c>
      <c r="BP4204">
        <v>0</v>
      </c>
      <c r="BS4204">
        <v>0</v>
      </c>
      <c r="BT4204">
        <v>0</v>
      </c>
      <c r="BU4204">
        <v>0</v>
      </c>
      <c r="CE4204" t="str">
        <f t="shared" si="1549"/>
        <v>19:36:52.018</v>
      </c>
      <c r="CF4204">
        <v>17656250</v>
      </c>
      <c r="CS4204">
        <v>0</v>
      </c>
      <c r="CT4204">
        <v>2</v>
      </c>
      <c r="CU4204">
        <v>0</v>
      </c>
      <c r="CV4204">
        <v>2</v>
      </c>
      <c r="CW4204">
        <v>0</v>
      </c>
      <c r="CX4204">
        <v>5</v>
      </c>
      <c r="CY4204">
        <v>7</v>
      </c>
      <c r="CZ4204" t="s">
        <v>131</v>
      </c>
      <c r="DA4204">
        <v>300</v>
      </c>
      <c r="DB4204">
        <v>0</v>
      </c>
      <c r="DC4204" t="s">
        <v>176</v>
      </c>
      <c r="DD4204" t="s">
        <v>177</v>
      </c>
      <c r="DG4204">
        <v>5458085</v>
      </c>
      <c r="DI4204">
        <v>1</v>
      </c>
      <c r="DJ4204">
        <v>0</v>
      </c>
      <c r="DK4204">
        <v>1</v>
      </c>
      <c r="DL4204">
        <v>0</v>
      </c>
      <c r="DM4204">
        <v>0</v>
      </c>
      <c r="DN4204">
        <v>1</v>
      </c>
      <c r="DO4204">
        <v>0</v>
      </c>
      <c r="DP4204">
        <v>0</v>
      </c>
      <c r="DQ4204">
        <v>0</v>
      </c>
      <c r="DR4204">
        <v>0</v>
      </c>
      <c r="DS4204">
        <v>0</v>
      </c>
    </row>
    <row r="4205" spans="1:123" x14ac:dyDescent="0.3">
      <c r="A4205" t="str">
        <f t="shared" si="1547"/>
        <v>10/04/2022 19:36:52.292</v>
      </c>
      <c r="C4205" t="str">
        <f t="shared" si="1550"/>
        <v>FFDFD3C0</v>
      </c>
      <c r="D4205" t="s">
        <v>134</v>
      </c>
      <c r="E4205">
        <v>15</v>
      </c>
      <c r="J4205" t="s">
        <v>135</v>
      </c>
      <c r="K4205">
        <v>0</v>
      </c>
      <c r="L4205">
        <v>3</v>
      </c>
      <c r="M4205">
        <v>0</v>
      </c>
      <c r="N4205">
        <v>2</v>
      </c>
      <c r="O4205">
        <v>0</v>
      </c>
      <c r="P4205">
        <v>1</v>
      </c>
      <c r="Q4205">
        <v>0</v>
      </c>
      <c r="S4205" t="str">
        <f t="shared" si="1548"/>
        <v>19:36:52.000</v>
      </c>
      <c r="T4205" t="str">
        <f t="shared" si="1548"/>
        <v>19:36:52.000</v>
      </c>
      <c r="U4205" t="str">
        <f t="shared" si="1532"/>
        <v>AC3944</v>
      </c>
      <c r="V4205">
        <v>0</v>
      </c>
      <c r="W4205">
        <v>0</v>
      </c>
      <c r="X4205">
        <v>2</v>
      </c>
      <c r="Y4205">
        <v>0</v>
      </c>
      <c r="AA4205">
        <v>1</v>
      </c>
      <c r="AB4205">
        <v>8</v>
      </c>
      <c r="AC4205">
        <v>3</v>
      </c>
      <c r="AD4205">
        <v>0</v>
      </c>
      <c r="AE4205">
        <v>9</v>
      </c>
      <c r="AF4205" t="s">
        <v>138</v>
      </c>
      <c r="AG4205">
        <v>0</v>
      </c>
      <c r="AH4205">
        <v>3</v>
      </c>
      <c r="AI4205">
        <v>1</v>
      </c>
      <c r="AJ4205">
        <v>0</v>
      </c>
      <c r="AK4205" t="s">
        <v>1342</v>
      </c>
      <c r="AL4205">
        <v>32.74606</v>
      </c>
      <c r="AM4205" t="s">
        <v>1343</v>
      </c>
      <c r="AN4205">
        <v>-116.681263</v>
      </c>
      <c r="AO4205">
        <v>25</v>
      </c>
      <c r="AP4205">
        <v>5000</v>
      </c>
      <c r="AQ4205" t="s">
        <v>129</v>
      </c>
      <c r="AR4205">
        <v>-132</v>
      </c>
      <c r="AS4205">
        <v>52</v>
      </c>
      <c r="AT4205">
        <v>0</v>
      </c>
      <c r="BB4205">
        <v>1200</v>
      </c>
      <c r="BC4205">
        <v>1</v>
      </c>
      <c r="BD4205" t="str">
        <f t="shared" si="1533"/>
        <v xml:space="preserve">N887QR  </v>
      </c>
      <c r="BE4205">
        <v>1</v>
      </c>
      <c r="BG4205">
        <v>0</v>
      </c>
      <c r="BH4205">
        <v>0</v>
      </c>
      <c r="BI4205">
        <v>0</v>
      </c>
      <c r="BJ4205">
        <v>4675</v>
      </c>
      <c r="BK4205">
        <v>-325</v>
      </c>
      <c r="BL4205" t="s">
        <v>163</v>
      </c>
      <c r="BM4205">
        <v>1</v>
      </c>
      <c r="BN4205">
        <v>1</v>
      </c>
      <c r="BO4205">
        <v>1</v>
      </c>
      <c r="BP4205">
        <v>0</v>
      </c>
      <c r="BS4205">
        <v>0</v>
      </c>
      <c r="BT4205">
        <v>0</v>
      </c>
      <c r="BU4205">
        <v>0</v>
      </c>
      <c r="CE4205" t="str">
        <f t="shared" si="1549"/>
        <v>19:36:52.018</v>
      </c>
      <c r="CF4205">
        <v>17656250</v>
      </c>
      <c r="CS4205">
        <v>0</v>
      </c>
      <c r="CT4205">
        <v>2</v>
      </c>
      <c r="CU4205">
        <v>0</v>
      </c>
      <c r="CV4205">
        <v>2</v>
      </c>
      <c r="CW4205">
        <v>0</v>
      </c>
      <c r="CX4205">
        <v>5</v>
      </c>
      <c r="CY4205">
        <v>7</v>
      </c>
      <c r="CZ4205" t="s">
        <v>131</v>
      </c>
      <c r="DA4205">
        <v>300</v>
      </c>
      <c r="DB4205">
        <v>0</v>
      </c>
      <c r="DC4205" t="s">
        <v>176</v>
      </c>
      <c r="DD4205" t="s">
        <v>177</v>
      </c>
      <c r="DG4205">
        <v>5458085</v>
      </c>
      <c r="DI4205">
        <v>1</v>
      </c>
      <c r="DJ4205">
        <v>0</v>
      </c>
      <c r="DK4205">
        <v>1</v>
      </c>
      <c r="DL4205">
        <v>0</v>
      </c>
      <c r="DM4205">
        <v>0</v>
      </c>
      <c r="DN4205">
        <v>1</v>
      </c>
      <c r="DO4205">
        <v>0</v>
      </c>
      <c r="DP4205">
        <v>0</v>
      </c>
      <c r="DQ4205">
        <v>0</v>
      </c>
      <c r="DR4205">
        <v>0</v>
      </c>
      <c r="DS4205">
        <v>0</v>
      </c>
    </row>
    <row r="4206" spans="1:123" x14ac:dyDescent="0.3">
      <c r="A4206" t="str">
        <f>"10/04/2022 19:36:54.027"</f>
        <v>10/04/2022 19:36:54.027</v>
      </c>
      <c r="C4206" t="str">
        <f t="shared" si="1550"/>
        <v>FFDFD3C0</v>
      </c>
      <c r="D4206" t="s">
        <v>123</v>
      </c>
      <c r="E4206">
        <v>7</v>
      </c>
      <c r="F4206">
        <v>2007</v>
      </c>
      <c r="G4206" t="s">
        <v>124</v>
      </c>
      <c r="J4206" t="s">
        <v>125</v>
      </c>
      <c r="K4206">
        <v>0</v>
      </c>
      <c r="L4206">
        <v>3</v>
      </c>
      <c r="M4206">
        <v>0</v>
      </c>
      <c r="N4206">
        <v>2</v>
      </c>
      <c r="O4206">
        <v>0</v>
      </c>
      <c r="P4206">
        <v>1</v>
      </c>
      <c r="Q4206">
        <v>0</v>
      </c>
      <c r="S4206" t="str">
        <f t="shared" ref="S4206:T4212" si="1551">"19:36:53.000"</f>
        <v>19:36:53.000</v>
      </c>
      <c r="T4206" t="str">
        <f t="shared" si="1551"/>
        <v>19:36:53.000</v>
      </c>
      <c r="U4206" t="str">
        <f t="shared" si="1532"/>
        <v>AC3944</v>
      </c>
      <c r="V4206">
        <v>0</v>
      </c>
      <c r="W4206">
        <v>0</v>
      </c>
      <c r="X4206">
        <v>2</v>
      </c>
      <c r="Y4206">
        <v>0</v>
      </c>
      <c r="AA4206">
        <v>1</v>
      </c>
      <c r="AB4206">
        <v>8</v>
      </c>
      <c r="AC4206">
        <v>3</v>
      </c>
      <c r="AD4206">
        <v>0</v>
      </c>
      <c r="AE4206">
        <v>9</v>
      </c>
      <c r="AF4206" t="s">
        <v>138</v>
      </c>
      <c r="AG4206">
        <v>0</v>
      </c>
      <c r="AH4206">
        <v>3</v>
      </c>
      <c r="AI4206">
        <v>1</v>
      </c>
      <c r="AJ4206">
        <v>0</v>
      </c>
      <c r="AK4206" t="s">
        <v>1344</v>
      </c>
      <c r="AL4206">
        <v>32.746445999999999</v>
      </c>
      <c r="AM4206" t="s">
        <v>1345</v>
      </c>
      <c r="AN4206">
        <v>-116.68259399999999</v>
      </c>
      <c r="AO4206">
        <v>25</v>
      </c>
      <c r="AP4206">
        <v>5000</v>
      </c>
      <c r="AQ4206" t="s">
        <v>129</v>
      </c>
      <c r="AR4206">
        <v>-137</v>
      </c>
      <c r="AS4206">
        <v>30</v>
      </c>
      <c r="AT4206">
        <v>128</v>
      </c>
      <c r="BB4206">
        <v>1200</v>
      </c>
      <c r="BC4206">
        <v>1</v>
      </c>
      <c r="BD4206" t="str">
        <f t="shared" si="1533"/>
        <v xml:space="preserve">N887QR  </v>
      </c>
      <c r="BE4206">
        <v>1</v>
      </c>
      <c r="BG4206">
        <v>0</v>
      </c>
      <c r="BH4206">
        <v>0</v>
      </c>
      <c r="BI4206">
        <v>0</v>
      </c>
      <c r="BJ4206">
        <v>4675</v>
      </c>
      <c r="BK4206">
        <v>-325</v>
      </c>
      <c r="BL4206" t="s">
        <v>163</v>
      </c>
      <c r="BM4206">
        <v>1</v>
      </c>
      <c r="BN4206">
        <v>1</v>
      </c>
      <c r="BO4206">
        <v>1</v>
      </c>
      <c r="BP4206">
        <v>0</v>
      </c>
      <c r="BS4206">
        <v>0</v>
      </c>
      <c r="BT4206">
        <v>0</v>
      </c>
      <c r="BU4206">
        <v>0</v>
      </c>
      <c r="CE4206" t="str">
        <f t="shared" ref="CE4206:CE4212" si="1552">"19:36:53.833"</f>
        <v>19:36:53.833</v>
      </c>
      <c r="CF4206">
        <v>832855082</v>
      </c>
      <c r="CS4206">
        <v>0</v>
      </c>
      <c r="CT4206">
        <v>2</v>
      </c>
      <c r="CU4206">
        <v>0</v>
      </c>
      <c r="CV4206">
        <v>2</v>
      </c>
      <c r="CW4206">
        <v>0</v>
      </c>
      <c r="CX4206">
        <v>5</v>
      </c>
      <c r="CY4206">
        <v>7</v>
      </c>
      <c r="CZ4206" t="s">
        <v>131</v>
      </c>
      <c r="DA4206">
        <v>286</v>
      </c>
      <c r="DB4206">
        <v>0</v>
      </c>
      <c r="DC4206" t="s">
        <v>132</v>
      </c>
      <c r="DD4206" t="s">
        <v>133</v>
      </c>
      <c r="DG4206">
        <v>905481</v>
      </c>
      <c r="DI4206">
        <v>1</v>
      </c>
      <c r="DJ4206">
        <v>0</v>
      </c>
      <c r="DK4206">
        <v>0</v>
      </c>
      <c r="DL4206">
        <v>0</v>
      </c>
      <c r="DM4206">
        <v>0</v>
      </c>
      <c r="DN4206">
        <v>1</v>
      </c>
      <c r="DO4206">
        <v>0</v>
      </c>
      <c r="DP4206">
        <v>0</v>
      </c>
      <c r="DQ4206">
        <v>0</v>
      </c>
      <c r="DR4206">
        <v>0</v>
      </c>
      <c r="DS4206">
        <v>0</v>
      </c>
    </row>
    <row r="4207" spans="1:123" x14ac:dyDescent="0.3">
      <c r="A4207" t="str">
        <f>"10/04/2022 19:36:54.027"</f>
        <v>10/04/2022 19:36:54.027</v>
      </c>
      <c r="C4207" t="str">
        <f t="shared" si="1550"/>
        <v>FFDFD3C0</v>
      </c>
      <c r="D4207" t="s">
        <v>147</v>
      </c>
      <c r="E4207">
        <v>3</v>
      </c>
      <c r="H4207">
        <v>166</v>
      </c>
      <c r="I4207" t="s">
        <v>144</v>
      </c>
      <c r="J4207" t="s">
        <v>148</v>
      </c>
      <c r="K4207">
        <v>0</v>
      </c>
      <c r="L4207">
        <v>3</v>
      </c>
      <c r="M4207">
        <v>0</v>
      </c>
      <c r="N4207">
        <v>2</v>
      </c>
      <c r="O4207">
        <v>0</v>
      </c>
      <c r="P4207">
        <v>1</v>
      </c>
      <c r="Q4207">
        <v>0</v>
      </c>
      <c r="S4207" t="str">
        <f t="shared" si="1551"/>
        <v>19:36:53.000</v>
      </c>
      <c r="T4207" t="str">
        <f t="shared" si="1551"/>
        <v>19:36:53.000</v>
      </c>
      <c r="U4207" t="str">
        <f t="shared" si="1532"/>
        <v>AC3944</v>
      </c>
      <c r="V4207">
        <v>0</v>
      </c>
      <c r="W4207">
        <v>0</v>
      </c>
      <c r="X4207">
        <v>2</v>
      </c>
      <c r="Y4207">
        <v>0</v>
      </c>
      <c r="AA4207">
        <v>1</v>
      </c>
      <c r="AB4207">
        <v>8</v>
      </c>
      <c r="AC4207">
        <v>3</v>
      </c>
      <c r="AD4207">
        <v>0</v>
      </c>
      <c r="AE4207">
        <v>9</v>
      </c>
      <c r="AF4207" t="s">
        <v>138</v>
      </c>
      <c r="AG4207">
        <v>0</v>
      </c>
      <c r="AH4207">
        <v>3</v>
      </c>
      <c r="AI4207">
        <v>1</v>
      </c>
      <c r="AJ4207">
        <v>0</v>
      </c>
      <c r="AK4207" t="s">
        <v>1344</v>
      </c>
      <c r="AL4207">
        <v>32.746445999999999</v>
      </c>
      <c r="AM4207" t="s">
        <v>1345</v>
      </c>
      <c r="AN4207">
        <v>-116.68259399999999</v>
      </c>
      <c r="AO4207">
        <v>25</v>
      </c>
      <c r="AP4207">
        <v>5000</v>
      </c>
      <c r="AQ4207" t="s">
        <v>129</v>
      </c>
      <c r="AR4207">
        <v>-137</v>
      </c>
      <c r="AS4207">
        <v>30</v>
      </c>
      <c r="AT4207">
        <v>128</v>
      </c>
      <c r="BB4207">
        <v>1200</v>
      </c>
      <c r="BC4207">
        <v>1</v>
      </c>
      <c r="BD4207" t="str">
        <f t="shared" si="1533"/>
        <v xml:space="preserve">N887QR  </v>
      </c>
      <c r="BE4207">
        <v>1</v>
      </c>
      <c r="BG4207">
        <v>0</v>
      </c>
      <c r="BH4207">
        <v>0</v>
      </c>
      <c r="BI4207">
        <v>0</v>
      </c>
      <c r="BJ4207">
        <v>4675</v>
      </c>
      <c r="BK4207">
        <v>-325</v>
      </c>
      <c r="BL4207" t="s">
        <v>163</v>
      </c>
      <c r="BM4207">
        <v>1</v>
      </c>
      <c r="BN4207">
        <v>1</v>
      </c>
      <c r="BO4207">
        <v>1</v>
      </c>
      <c r="BP4207">
        <v>0</v>
      </c>
      <c r="BS4207">
        <v>0</v>
      </c>
      <c r="BT4207">
        <v>0</v>
      </c>
      <c r="BU4207">
        <v>0</v>
      </c>
      <c r="CE4207" t="str">
        <f t="shared" si="1552"/>
        <v>19:36:53.833</v>
      </c>
      <c r="CF4207">
        <v>832855082</v>
      </c>
      <c r="CS4207">
        <v>0</v>
      </c>
      <c r="CT4207">
        <v>2</v>
      </c>
      <c r="CU4207">
        <v>0</v>
      </c>
      <c r="CV4207">
        <v>2</v>
      </c>
      <c r="CW4207">
        <v>0</v>
      </c>
      <c r="CX4207">
        <v>5</v>
      </c>
      <c r="CY4207">
        <v>7</v>
      </c>
      <c r="CZ4207" t="s">
        <v>131</v>
      </c>
      <c r="DA4207">
        <v>286</v>
      </c>
      <c r="DB4207">
        <v>0</v>
      </c>
      <c r="DC4207" t="s">
        <v>132</v>
      </c>
      <c r="DD4207" t="s">
        <v>133</v>
      </c>
      <c r="DG4207">
        <v>905481</v>
      </c>
      <c r="DI4207">
        <v>1</v>
      </c>
      <c r="DJ4207">
        <v>0</v>
      </c>
      <c r="DK4207">
        <v>1</v>
      </c>
      <c r="DL4207">
        <v>0</v>
      </c>
      <c r="DM4207">
        <v>0</v>
      </c>
      <c r="DN4207">
        <v>1</v>
      </c>
      <c r="DO4207">
        <v>0</v>
      </c>
      <c r="DP4207">
        <v>0</v>
      </c>
      <c r="DQ4207">
        <v>0</v>
      </c>
      <c r="DR4207">
        <v>0</v>
      </c>
      <c r="DS4207">
        <v>0</v>
      </c>
    </row>
    <row r="4208" spans="1:123" x14ac:dyDescent="0.3">
      <c r="A4208" t="str">
        <f>"10/04/2022 19:36:54.058"</f>
        <v>10/04/2022 19:36:54.058</v>
      </c>
      <c r="C4208" t="str">
        <f t="shared" si="1550"/>
        <v>FFDFD3C0</v>
      </c>
      <c r="D4208" t="s">
        <v>136</v>
      </c>
      <c r="E4208">
        <v>8</v>
      </c>
      <c r="H4208">
        <v>225</v>
      </c>
      <c r="I4208" t="s">
        <v>137</v>
      </c>
      <c r="J4208" t="s">
        <v>138</v>
      </c>
      <c r="K4208">
        <v>0</v>
      </c>
      <c r="L4208">
        <v>3</v>
      </c>
      <c r="M4208">
        <v>0</v>
      </c>
      <c r="N4208">
        <v>2</v>
      </c>
      <c r="O4208">
        <v>0</v>
      </c>
      <c r="P4208">
        <v>1</v>
      </c>
      <c r="Q4208">
        <v>0</v>
      </c>
      <c r="S4208" t="str">
        <f t="shared" si="1551"/>
        <v>19:36:53.000</v>
      </c>
      <c r="T4208" t="str">
        <f t="shared" si="1551"/>
        <v>19:36:53.000</v>
      </c>
      <c r="U4208" t="str">
        <f t="shared" si="1532"/>
        <v>AC3944</v>
      </c>
      <c r="V4208">
        <v>0</v>
      </c>
      <c r="W4208">
        <v>0</v>
      </c>
      <c r="X4208">
        <v>2</v>
      </c>
      <c r="Y4208">
        <v>0</v>
      </c>
      <c r="AA4208">
        <v>1</v>
      </c>
      <c r="AB4208">
        <v>8</v>
      </c>
      <c r="AC4208">
        <v>3</v>
      </c>
      <c r="AD4208">
        <v>0</v>
      </c>
      <c r="AE4208">
        <v>9</v>
      </c>
      <c r="AF4208" t="s">
        <v>138</v>
      </c>
      <c r="AG4208">
        <v>0</v>
      </c>
      <c r="AH4208">
        <v>3</v>
      </c>
      <c r="AI4208">
        <v>1</v>
      </c>
      <c r="AJ4208">
        <v>0</v>
      </c>
      <c r="AK4208" t="s">
        <v>1344</v>
      </c>
      <c r="AL4208">
        <v>32.746445999999999</v>
      </c>
      <c r="AM4208" t="s">
        <v>1345</v>
      </c>
      <c r="AN4208">
        <v>-116.68259399999999</v>
      </c>
      <c r="AO4208">
        <v>25</v>
      </c>
      <c r="AP4208">
        <v>5000</v>
      </c>
      <c r="AQ4208" t="s">
        <v>129</v>
      </c>
      <c r="AR4208">
        <v>-137</v>
      </c>
      <c r="AS4208">
        <v>30</v>
      </c>
      <c r="AT4208">
        <v>128</v>
      </c>
      <c r="BB4208">
        <v>1200</v>
      </c>
      <c r="BC4208">
        <v>1</v>
      </c>
      <c r="BD4208" t="str">
        <f t="shared" si="1533"/>
        <v xml:space="preserve">N887QR  </v>
      </c>
      <c r="BE4208">
        <v>1</v>
      </c>
      <c r="BG4208">
        <v>0</v>
      </c>
      <c r="BH4208">
        <v>0</v>
      </c>
      <c r="BI4208">
        <v>0</v>
      </c>
      <c r="BJ4208">
        <v>4675</v>
      </c>
      <c r="BK4208">
        <v>-325</v>
      </c>
      <c r="BL4208" t="s">
        <v>163</v>
      </c>
      <c r="BM4208">
        <v>1</v>
      </c>
      <c r="BN4208">
        <v>1</v>
      </c>
      <c r="BO4208">
        <v>1</v>
      </c>
      <c r="BP4208">
        <v>0</v>
      </c>
      <c r="BS4208">
        <v>0</v>
      </c>
      <c r="BT4208">
        <v>0</v>
      </c>
      <c r="BU4208">
        <v>0</v>
      </c>
      <c r="CE4208" t="str">
        <f t="shared" si="1552"/>
        <v>19:36:53.833</v>
      </c>
      <c r="CF4208">
        <v>832855082</v>
      </c>
      <c r="CS4208">
        <v>0</v>
      </c>
      <c r="CT4208">
        <v>2</v>
      </c>
      <c r="CU4208">
        <v>0</v>
      </c>
      <c r="CV4208">
        <v>2</v>
      </c>
      <c r="CW4208">
        <v>0</v>
      </c>
      <c r="CX4208">
        <v>5</v>
      </c>
      <c r="CY4208">
        <v>7</v>
      </c>
      <c r="CZ4208" t="s">
        <v>131</v>
      </c>
      <c r="DA4208">
        <v>286</v>
      </c>
      <c r="DB4208">
        <v>0</v>
      </c>
      <c r="DC4208" t="s">
        <v>132</v>
      </c>
      <c r="DD4208" t="s">
        <v>133</v>
      </c>
      <c r="DG4208">
        <v>905481</v>
      </c>
      <c r="DI4208">
        <v>1</v>
      </c>
      <c r="DJ4208">
        <v>0</v>
      </c>
      <c r="DK4208">
        <v>1</v>
      </c>
      <c r="DL4208">
        <v>0</v>
      </c>
      <c r="DM4208">
        <v>0</v>
      </c>
      <c r="DN4208">
        <v>1</v>
      </c>
      <c r="DO4208">
        <v>0</v>
      </c>
      <c r="DP4208">
        <v>0</v>
      </c>
      <c r="DQ4208">
        <v>0</v>
      </c>
      <c r="DR4208">
        <v>0</v>
      </c>
      <c r="DS4208">
        <v>0</v>
      </c>
    </row>
    <row r="4209" spans="1:123" x14ac:dyDescent="0.3">
      <c r="A4209" t="str">
        <f>"10/04/2022 19:36:54.058"</f>
        <v>10/04/2022 19:36:54.058</v>
      </c>
      <c r="C4209" t="str">
        <f t="shared" si="1550"/>
        <v>FFDFD3C0</v>
      </c>
      <c r="D4209" t="s">
        <v>134</v>
      </c>
      <c r="E4209">
        <v>15</v>
      </c>
      <c r="J4209" t="s">
        <v>135</v>
      </c>
      <c r="K4209">
        <v>0</v>
      </c>
      <c r="L4209">
        <v>3</v>
      </c>
      <c r="M4209">
        <v>0</v>
      </c>
      <c r="N4209">
        <v>2</v>
      </c>
      <c r="O4209">
        <v>0</v>
      </c>
      <c r="P4209">
        <v>1</v>
      </c>
      <c r="Q4209">
        <v>0</v>
      </c>
      <c r="S4209" t="str">
        <f t="shared" si="1551"/>
        <v>19:36:53.000</v>
      </c>
      <c r="T4209" t="str">
        <f t="shared" si="1551"/>
        <v>19:36:53.000</v>
      </c>
      <c r="U4209" t="str">
        <f t="shared" si="1532"/>
        <v>AC3944</v>
      </c>
      <c r="V4209">
        <v>0</v>
      </c>
      <c r="W4209">
        <v>0</v>
      </c>
      <c r="X4209">
        <v>2</v>
      </c>
      <c r="Y4209">
        <v>0</v>
      </c>
      <c r="AA4209">
        <v>1</v>
      </c>
      <c r="AB4209">
        <v>8</v>
      </c>
      <c r="AC4209">
        <v>3</v>
      </c>
      <c r="AD4209">
        <v>0</v>
      </c>
      <c r="AE4209">
        <v>9</v>
      </c>
      <c r="AF4209" t="s">
        <v>138</v>
      </c>
      <c r="AG4209">
        <v>0</v>
      </c>
      <c r="AH4209">
        <v>3</v>
      </c>
      <c r="AI4209">
        <v>1</v>
      </c>
      <c r="AJ4209">
        <v>0</v>
      </c>
      <c r="AK4209" t="s">
        <v>1344</v>
      </c>
      <c r="AL4209">
        <v>32.746445999999999</v>
      </c>
      <c r="AM4209" t="s">
        <v>1345</v>
      </c>
      <c r="AN4209">
        <v>-116.68259399999999</v>
      </c>
      <c r="AO4209">
        <v>25</v>
      </c>
      <c r="AP4209">
        <v>5000</v>
      </c>
      <c r="AQ4209" t="s">
        <v>129</v>
      </c>
      <c r="AR4209">
        <v>-137</v>
      </c>
      <c r="AS4209">
        <v>30</v>
      </c>
      <c r="AT4209">
        <v>128</v>
      </c>
      <c r="BB4209">
        <v>1200</v>
      </c>
      <c r="BC4209">
        <v>1</v>
      </c>
      <c r="BD4209" t="str">
        <f t="shared" si="1533"/>
        <v xml:space="preserve">N887QR  </v>
      </c>
      <c r="BE4209">
        <v>1</v>
      </c>
      <c r="BG4209">
        <v>0</v>
      </c>
      <c r="BH4209">
        <v>0</v>
      </c>
      <c r="BI4209">
        <v>0</v>
      </c>
      <c r="BJ4209">
        <v>4675</v>
      </c>
      <c r="BK4209">
        <v>-325</v>
      </c>
      <c r="BL4209" t="s">
        <v>163</v>
      </c>
      <c r="BM4209">
        <v>1</v>
      </c>
      <c r="BN4209">
        <v>1</v>
      </c>
      <c r="BO4209">
        <v>1</v>
      </c>
      <c r="BP4209">
        <v>0</v>
      </c>
      <c r="BS4209">
        <v>0</v>
      </c>
      <c r="BT4209">
        <v>0</v>
      </c>
      <c r="BU4209">
        <v>0</v>
      </c>
      <c r="CE4209" t="str">
        <f t="shared" si="1552"/>
        <v>19:36:53.833</v>
      </c>
      <c r="CF4209">
        <v>832855082</v>
      </c>
      <c r="CS4209">
        <v>0</v>
      </c>
      <c r="CT4209">
        <v>2</v>
      </c>
      <c r="CU4209">
        <v>0</v>
      </c>
      <c r="CV4209">
        <v>2</v>
      </c>
      <c r="CW4209">
        <v>0</v>
      </c>
      <c r="CX4209">
        <v>5</v>
      </c>
      <c r="CY4209">
        <v>7</v>
      </c>
      <c r="CZ4209" t="s">
        <v>131</v>
      </c>
      <c r="DA4209">
        <v>286</v>
      </c>
      <c r="DB4209">
        <v>0</v>
      </c>
      <c r="DC4209" t="s">
        <v>132</v>
      </c>
      <c r="DD4209" t="s">
        <v>133</v>
      </c>
      <c r="DG4209">
        <v>905481</v>
      </c>
      <c r="DI4209">
        <v>1</v>
      </c>
      <c r="DJ4209">
        <v>0</v>
      </c>
      <c r="DK4209">
        <v>1</v>
      </c>
      <c r="DL4209">
        <v>0</v>
      </c>
      <c r="DM4209">
        <v>0</v>
      </c>
      <c r="DN4209">
        <v>1</v>
      </c>
      <c r="DO4209">
        <v>0</v>
      </c>
      <c r="DP4209">
        <v>0</v>
      </c>
      <c r="DQ4209">
        <v>0</v>
      </c>
      <c r="DR4209">
        <v>0</v>
      </c>
      <c r="DS4209">
        <v>0</v>
      </c>
    </row>
    <row r="4210" spans="1:123" x14ac:dyDescent="0.3">
      <c r="A4210" t="str">
        <f>"10/04/2022 19:36:54.058"</f>
        <v>10/04/2022 19:36:54.058</v>
      </c>
      <c r="C4210" t="str">
        <f t="shared" si="1550"/>
        <v>FFDFD3C0</v>
      </c>
      <c r="D4210" t="s">
        <v>141</v>
      </c>
      <c r="E4210">
        <v>4</v>
      </c>
      <c r="H4210">
        <v>4</v>
      </c>
      <c r="I4210" t="s">
        <v>142</v>
      </c>
      <c r="J4210" t="s">
        <v>138</v>
      </c>
      <c r="K4210">
        <v>0</v>
      </c>
      <c r="L4210">
        <v>3</v>
      </c>
      <c r="M4210">
        <v>0</v>
      </c>
      <c r="N4210">
        <v>2</v>
      </c>
      <c r="O4210">
        <v>0</v>
      </c>
      <c r="P4210">
        <v>1</v>
      </c>
      <c r="Q4210">
        <v>0</v>
      </c>
      <c r="S4210" t="str">
        <f t="shared" si="1551"/>
        <v>19:36:53.000</v>
      </c>
      <c r="T4210" t="str">
        <f t="shared" si="1551"/>
        <v>19:36:53.000</v>
      </c>
      <c r="U4210" t="str">
        <f t="shared" si="1532"/>
        <v>AC3944</v>
      </c>
      <c r="V4210">
        <v>0</v>
      </c>
      <c r="W4210">
        <v>0</v>
      </c>
      <c r="X4210">
        <v>2</v>
      </c>
      <c r="Y4210">
        <v>0</v>
      </c>
      <c r="AA4210">
        <v>1</v>
      </c>
      <c r="AB4210">
        <v>8</v>
      </c>
      <c r="AC4210">
        <v>3</v>
      </c>
      <c r="AD4210">
        <v>0</v>
      </c>
      <c r="AE4210">
        <v>9</v>
      </c>
      <c r="AF4210" t="s">
        <v>138</v>
      </c>
      <c r="AG4210">
        <v>0</v>
      </c>
      <c r="AH4210">
        <v>3</v>
      </c>
      <c r="AI4210">
        <v>1</v>
      </c>
      <c r="AJ4210">
        <v>0</v>
      </c>
      <c r="AK4210" t="s">
        <v>1344</v>
      </c>
      <c r="AL4210">
        <v>32.746445999999999</v>
      </c>
      <c r="AM4210" t="s">
        <v>1345</v>
      </c>
      <c r="AN4210">
        <v>-116.68259399999999</v>
      </c>
      <c r="AO4210">
        <v>25</v>
      </c>
      <c r="AP4210">
        <v>5000</v>
      </c>
      <c r="AQ4210" t="s">
        <v>129</v>
      </c>
      <c r="AR4210">
        <v>-137</v>
      </c>
      <c r="AS4210">
        <v>30</v>
      </c>
      <c r="AT4210">
        <v>128</v>
      </c>
      <c r="BB4210">
        <v>1200</v>
      </c>
      <c r="BC4210">
        <v>1</v>
      </c>
      <c r="BD4210" t="str">
        <f t="shared" si="1533"/>
        <v xml:space="preserve">N887QR  </v>
      </c>
      <c r="BE4210">
        <v>1</v>
      </c>
      <c r="BG4210">
        <v>0</v>
      </c>
      <c r="BH4210">
        <v>0</v>
      </c>
      <c r="BI4210">
        <v>0</v>
      </c>
      <c r="BJ4210">
        <v>4675</v>
      </c>
      <c r="BK4210">
        <v>-325</v>
      </c>
      <c r="BL4210" t="s">
        <v>163</v>
      </c>
      <c r="BM4210">
        <v>1</v>
      </c>
      <c r="BN4210">
        <v>1</v>
      </c>
      <c r="BO4210">
        <v>1</v>
      </c>
      <c r="BP4210">
        <v>0</v>
      </c>
      <c r="BS4210">
        <v>0</v>
      </c>
      <c r="BT4210">
        <v>0</v>
      </c>
      <c r="BU4210">
        <v>0</v>
      </c>
      <c r="CE4210" t="str">
        <f t="shared" si="1552"/>
        <v>19:36:53.833</v>
      </c>
      <c r="CF4210">
        <v>832855082</v>
      </c>
      <c r="CS4210">
        <v>0</v>
      </c>
      <c r="CT4210">
        <v>2</v>
      </c>
      <c r="CU4210">
        <v>0</v>
      </c>
      <c r="CV4210">
        <v>2</v>
      </c>
      <c r="CW4210">
        <v>0</v>
      </c>
      <c r="CX4210">
        <v>5</v>
      </c>
      <c r="CY4210">
        <v>7</v>
      </c>
      <c r="CZ4210" t="s">
        <v>131</v>
      </c>
      <c r="DA4210">
        <v>286</v>
      </c>
      <c r="DB4210">
        <v>0</v>
      </c>
      <c r="DC4210" t="s">
        <v>132</v>
      </c>
      <c r="DD4210" t="s">
        <v>133</v>
      </c>
      <c r="DG4210">
        <v>905481</v>
      </c>
      <c r="DI4210">
        <v>1</v>
      </c>
      <c r="DJ4210">
        <v>0</v>
      </c>
      <c r="DK4210">
        <v>1</v>
      </c>
      <c r="DL4210">
        <v>0</v>
      </c>
      <c r="DM4210">
        <v>0</v>
      </c>
      <c r="DN4210">
        <v>1</v>
      </c>
      <c r="DO4210">
        <v>0</v>
      </c>
      <c r="DP4210">
        <v>0</v>
      </c>
      <c r="DQ4210">
        <v>0</v>
      </c>
      <c r="DR4210">
        <v>0</v>
      </c>
      <c r="DS4210">
        <v>0</v>
      </c>
    </row>
    <row r="4211" spans="1:123" x14ac:dyDescent="0.3">
      <c r="A4211" t="str">
        <f>"10/04/2022 19:36:54.074"</f>
        <v>10/04/2022 19:36:54.074</v>
      </c>
      <c r="C4211" t="str">
        <f t="shared" si="1550"/>
        <v>FFDFD3C0</v>
      </c>
      <c r="D4211" t="s">
        <v>143</v>
      </c>
      <c r="E4211">
        <v>20</v>
      </c>
      <c r="F4211">
        <v>1020</v>
      </c>
      <c r="G4211" t="s">
        <v>144</v>
      </c>
      <c r="J4211" t="s">
        <v>145</v>
      </c>
      <c r="K4211">
        <v>0</v>
      </c>
      <c r="L4211">
        <v>3</v>
      </c>
      <c r="M4211">
        <v>0</v>
      </c>
      <c r="N4211">
        <v>2</v>
      </c>
      <c r="O4211">
        <v>0</v>
      </c>
      <c r="P4211">
        <v>1</v>
      </c>
      <c r="Q4211">
        <v>0</v>
      </c>
      <c r="S4211" t="str">
        <f t="shared" si="1551"/>
        <v>19:36:53.000</v>
      </c>
      <c r="T4211" t="str">
        <f t="shared" si="1551"/>
        <v>19:36:53.000</v>
      </c>
      <c r="U4211" t="str">
        <f t="shared" si="1532"/>
        <v>AC3944</v>
      </c>
      <c r="V4211">
        <v>0</v>
      </c>
      <c r="W4211">
        <v>0</v>
      </c>
      <c r="X4211">
        <v>2</v>
      </c>
      <c r="Y4211">
        <v>0</v>
      </c>
      <c r="AA4211">
        <v>1</v>
      </c>
      <c r="AB4211">
        <v>8</v>
      </c>
      <c r="AC4211">
        <v>3</v>
      </c>
      <c r="AD4211">
        <v>0</v>
      </c>
      <c r="AE4211">
        <v>9</v>
      </c>
      <c r="AF4211" t="s">
        <v>138</v>
      </c>
      <c r="AG4211">
        <v>0</v>
      </c>
      <c r="AH4211">
        <v>3</v>
      </c>
      <c r="AI4211">
        <v>1</v>
      </c>
      <c r="AJ4211">
        <v>0</v>
      </c>
      <c r="AK4211" t="s">
        <v>1344</v>
      </c>
      <c r="AL4211">
        <v>32.746445999999999</v>
      </c>
      <c r="AM4211" t="s">
        <v>1345</v>
      </c>
      <c r="AN4211">
        <v>-116.68259399999999</v>
      </c>
      <c r="AO4211">
        <v>25</v>
      </c>
      <c r="AP4211">
        <v>5000</v>
      </c>
      <c r="AQ4211" t="s">
        <v>129</v>
      </c>
      <c r="AR4211">
        <v>-137</v>
      </c>
      <c r="AS4211">
        <v>30</v>
      </c>
      <c r="AT4211">
        <v>128</v>
      </c>
      <c r="BB4211">
        <v>1200</v>
      </c>
      <c r="BC4211">
        <v>1</v>
      </c>
      <c r="BD4211" t="str">
        <f t="shared" si="1533"/>
        <v xml:space="preserve">N887QR  </v>
      </c>
      <c r="BE4211">
        <v>1</v>
      </c>
      <c r="BG4211">
        <v>0</v>
      </c>
      <c r="BH4211">
        <v>0</v>
      </c>
      <c r="BI4211">
        <v>0</v>
      </c>
      <c r="BJ4211">
        <v>4675</v>
      </c>
      <c r="BK4211">
        <v>-325</v>
      </c>
      <c r="BL4211" t="s">
        <v>163</v>
      </c>
      <c r="BM4211">
        <v>1</v>
      </c>
      <c r="BN4211">
        <v>1</v>
      </c>
      <c r="BO4211">
        <v>1</v>
      </c>
      <c r="BP4211">
        <v>0</v>
      </c>
      <c r="BS4211">
        <v>0</v>
      </c>
      <c r="BT4211">
        <v>0</v>
      </c>
      <c r="BU4211">
        <v>0</v>
      </c>
      <c r="CE4211" t="str">
        <f t="shared" si="1552"/>
        <v>19:36:53.833</v>
      </c>
      <c r="CF4211">
        <v>832855082</v>
      </c>
      <c r="CS4211">
        <v>0</v>
      </c>
      <c r="CT4211">
        <v>2</v>
      </c>
      <c r="CU4211">
        <v>0</v>
      </c>
      <c r="CV4211">
        <v>2</v>
      </c>
      <c r="CW4211">
        <v>0</v>
      </c>
      <c r="CX4211">
        <v>5</v>
      </c>
      <c r="CY4211">
        <v>7</v>
      </c>
      <c r="CZ4211" t="s">
        <v>131</v>
      </c>
      <c r="DA4211">
        <v>286</v>
      </c>
      <c r="DB4211">
        <v>0</v>
      </c>
      <c r="DC4211" t="s">
        <v>132</v>
      </c>
      <c r="DD4211" t="s">
        <v>133</v>
      </c>
      <c r="DG4211">
        <v>905481</v>
      </c>
      <c r="DI4211">
        <v>1</v>
      </c>
      <c r="DJ4211">
        <v>0</v>
      </c>
      <c r="DK4211">
        <v>1</v>
      </c>
      <c r="DL4211">
        <v>0</v>
      </c>
      <c r="DM4211">
        <v>0</v>
      </c>
      <c r="DN4211">
        <v>1</v>
      </c>
      <c r="DO4211">
        <v>0</v>
      </c>
      <c r="DP4211">
        <v>0</v>
      </c>
      <c r="DQ4211">
        <v>0</v>
      </c>
      <c r="DR4211">
        <v>0</v>
      </c>
      <c r="DS4211">
        <v>0</v>
      </c>
    </row>
    <row r="4212" spans="1:123" x14ac:dyDescent="0.3">
      <c r="A4212" t="str">
        <f>"10/04/2022 19:36:54.074"</f>
        <v>10/04/2022 19:36:54.074</v>
      </c>
      <c r="C4212" t="str">
        <f t="shared" si="1550"/>
        <v>FFDFD3C0</v>
      </c>
      <c r="D4212" t="s">
        <v>141</v>
      </c>
      <c r="E4212">
        <v>3</v>
      </c>
      <c r="H4212">
        <v>3</v>
      </c>
      <c r="I4212" t="s">
        <v>146</v>
      </c>
      <c r="J4212" t="s">
        <v>138</v>
      </c>
      <c r="K4212">
        <v>0</v>
      </c>
      <c r="L4212">
        <v>3</v>
      </c>
      <c r="M4212">
        <v>0</v>
      </c>
      <c r="N4212">
        <v>2</v>
      </c>
      <c r="O4212">
        <v>0</v>
      </c>
      <c r="P4212">
        <v>1</v>
      </c>
      <c r="Q4212">
        <v>0</v>
      </c>
      <c r="S4212" t="str">
        <f t="shared" si="1551"/>
        <v>19:36:53.000</v>
      </c>
      <c r="T4212" t="str">
        <f t="shared" si="1551"/>
        <v>19:36:53.000</v>
      </c>
      <c r="U4212" t="str">
        <f t="shared" si="1532"/>
        <v>AC3944</v>
      </c>
      <c r="V4212">
        <v>0</v>
      </c>
      <c r="W4212">
        <v>0</v>
      </c>
      <c r="X4212">
        <v>2</v>
      </c>
      <c r="Y4212">
        <v>0</v>
      </c>
      <c r="AA4212">
        <v>1</v>
      </c>
      <c r="AB4212">
        <v>8</v>
      </c>
      <c r="AC4212">
        <v>3</v>
      </c>
      <c r="AD4212">
        <v>0</v>
      </c>
      <c r="AE4212">
        <v>9</v>
      </c>
      <c r="AF4212" t="s">
        <v>138</v>
      </c>
      <c r="AG4212">
        <v>0</v>
      </c>
      <c r="AH4212">
        <v>3</v>
      </c>
      <c r="AI4212">
        <v>1</v>
      </c>
      <c r="AJ4212">
        <v>0</v>
      </c>
      <c r="AK4212" t="s">
        <v>1344</v>
      </c>
      <c r="AL4212">
        <v>32.746445999999999</v>
      </c>
      <c r="AM4212" t="s">
        <v>1345</v>
      </c>
      <c r="AN4212">
        <v>-116.68259399999999</v>
      </c>
      <c r="AO4212">
        <v>25</v>
      </c>
      <c r="AP4212">
        <v>5000</v>
      </c>
      <c r="AQ4212" t="s">
        <v>129</v>
      </c>
      <c r="AR4212">
        <v>-137</v>
      </c>
      <c r="AS4212">
        <v>30</v>
      </c>
      <c r="AT4212">
        <v>128</v>
      </c>
      <c r="BB4212">
        <v>1200</v>
      </c>
      <c r="BC4212">
        <v>1</v>
      </c>
      <c r="BD4212" t="str">
        <f t="shared" si="1533"/>
        <v xml:space="preserve">N887QR  </v>
      </c>
      <c r="BE4212">
        <v>1</v>
      </c>
      <c r="BG4212">
        <v>0</v>
      </c>
      <c r="BH4212">
        <v>0</v>
      </c>
      <c r="BI4212">
        <v>0</v>
      </c>
      <c r="BJ4212">
        <v>4675</v>
      </c>
      <c r="BK4212">
        <v>-325</v>
      </c>
      <c r="BL4212" t="s">
        <v>163</v>
      </c>
      <c r="BM4212">
        <v>1</v>
      </c>
      <c r="BN4212">
        <v>1</v>
      </c>
      <c r="BO4212">
        <v>1</v>
      </c>
      <c r="BP4212">
        <v>0</v>
      </c>
      <c r="BS4212">
        <v>0</v>
      </c>
      <c r="BT4212">
        <v>0</v>
      </c>
      <c r="BU4212">
        <v>0</v>
      </c>
      <c r="CE4212" t="str">
        <f t="shared" si="1552"/>
        <v>19:36:53.833</v>
      </c>
      <c r="CF4212">
        <v>832855082</v>
      </c>
      <c r="CS4212">
        <v>0</v>
      </c>
      <c r="CT4212">
        <v>2</v>
      </c>
      <c r="CU4212">
        <v>0</v>
      </c>
      <c r="CV4212">
        <v>2</v>
      </c>
      <c r="CW4212">
        <v>0</v>
      </c>
      <c r="CX4212">
        <v>5</v>
      </c>
      <c r="CY4212">
        <v>7</v>
      </c>
      <c r="CZ4212" t="s">
        <v>131</v>
      </c>
      <c r="DA4212">
        <v>286</v>
      </c>
      <c r="DB4212">
        <v>0</v>
      </c>
      <c r="DC4212" t="s">
        <v>132</v>
      </c>
      <c r="DD4212" t="s">
        <v>133</v>
      </c>
      <c r="DG4212">
        <v>905481</v>
      </c>
      <c r="DI4212">
        <v>1</v>
      </c>
      <c r="DJ4212">
        <v>0</v>
      </c>
      <c r="DK4212">
        <v>1</v>
      </c>
      <c r="DL4212">
        <v>0</v>
      </c>
      <c r="DM4212">
        <v>0</v>
      </c>
      <c r="DN4212">
        <v>1</v>
      </c>
      <c r="DO4212">
        <v>0</v>
      </c>
      <c r="DP4212">
        <v>0</v>
      </c>
      <c r="DQ4212">
        <v>0</v>
      </c>
      <c r="DR4212">
        <v>0</v>
      </c>
      <c r="DS4212">
        <v>0</v>
      </c>
    </row>
    <row r="4213" spans="1:123" x14ac:dyDescent="0.3">
      <c r="A4213" t="str">
        <f t="shared" ref="A4213:A4219" si="1553">"10/04/2022 19:36:55.684"</f>
        <v>10/04/2022 19:36:55.684</v>
      </c>
      <c r="C4213" t="str">
        <f t="shared" si="1550"/>
        <v>FFDFD3C0</v>
      </c>
      <c r="D4213" t="s">
        <v>147</v>
      </c>
      <c r="E4213">
        <v>3</v>
      </c>
      <c r="H4213">
        <v>166</v>
      </c>
      <c r="I4213" t="s">
        <v>144</v>
      </c>
      <c r="J4213" t="s">
        <v>148</v>
      </c>
      <c r="K4213">
        <v>0</v>
      </c>
      <c r="L4213">
        <v>3</v>
      </c>
      <c r="M4213">
        <v>0</v>
      </c>
      <c r="N4213">
        <v>2</v>
      </c>
      <c r="O4213">
        <v>0</v>
      </c>
      <c r="P4213">
        <v>1</v>
      </c>
      <c r="Q4213">
        <v>0</v>
      </c>
      <c r="S4213" t="str">
        <f t="shared" ref="S4213:T4219" si="1554">"19:36:55.000"</f>
        <v>19:36:55.000</v>
      </c>
      <c r="T4213" t="str">
        <f t="shared" si="1554"/>
        <v>19:36:55.000</v>
      </c>
      <c r="U4213" t="str">
        <f t="shared" si="1532"/>
        <v>AC3944</v>
      </c>
      <c r="V4213">
        <v>0</v>
      </c>
      <c r="W4213">
        <v>0</v>
      </c>
      <c r="X4213">
        <v>2</v>
      </c>
      <c r="Y4213">
        <v>0</v>
      </c>
      <c r="AA4213">
        <v>1</v>
      </c>
      <c r="AB4213">
        <v>8</v>
      </c>
      <c r="AC4213">
        <v>3</v>
      </c>
      <c r="AD4213">
        <v>0</v>
      </c>
      <c r="AE4213">
        <v>9</v>
      </c>
      <c r="AF4213" t="s">
        <v>138</v>
      </c>
      <c r="AG4213">
        <v>0</v>
      </c>
      <c r="AH4213">
        <v>3</v>
      </c>
      <c r="AI4213">
        <v>1</v>
      </c>
      <c r="AJ4213">
        <v>0</v>
      </c>
      <c r="AK4213" t="s">
        <v>1346</v>
      </c>
      <c r="AL4213">
        <v>32.746575</v>
      </c>
      <c r="AM4213" t="s">
        <v>1347</v>
      </c>
      <c r="AN4213">
        <v>-116.683345</v>
      </c>
      <c r="AO4213">
        <v>25</v>
      </c>
      <c r="AP4213">
        <v>5000</v>
      </c>
      <c r="AQ4213" t="s">
        <v>129</v>
      </c>
      <c r="AR4213">
        <v>-139</v>
      </c>
      <c r="AS4213">
        <v>8</v>
      </c>
      <c r="AT4213">
        <v>448</v>
      </c>
      <c r="BB4213">
        <v>1200</v>
      </c>
      <c r="BC4213">
        <v>1</v>
      </c>
      <c r="BD4213" t="str">
        <f t="shared" si="1533"/>
        <v xml:space="preserve">N887QR  </v>
      </c>
      <c r="BE4213">
        <v>1</v>
      </c>
      <c r="BG4213">
        <v>0</v>
      </c>
      <c r="BH4213">
        <v>0</v>
      </c>
      <c r="BI4213">
        <v>0</v>
      </c>
      <c r="BJ4213">
        <v>4725</v>
      </c>
      <c r="BK4213">
        <v>-275</v>
      </c>
      <c r="BL4213" t="s">
        <v>163</v>
      </c>
      <c r="BM4213">
        <v>1</v>
      </c>
      <c r="BN4213">
        <v>1</v>
      </c>
      <c r="BO4213">
        <v>1</v>
      </c>
      <c r="BP4213">
        <v>0</v>
      </c>
      <c r="BS4213">
        <v>0.04</v>
      </c>
      <c r="BT4213">
        <v>0</v>
      </c>
      <c r="BU4213">
        <v>0</v>
      </c>
      <c r="CE4213" t="str">
        <f t="shared" ref="CE4213:CE4219" si="1555">"19:36:55.430"</f>
        <v>19:36:55.430</v>
      </c>
      <c r="CF4213">
        <v>430110010</v>
      </c>
      <c r="CS4213">
        <v>0</v>
      </c>
      <c r="CT4213">
        <v>2</v>
      </c>
      <c r="CU4213">
        <v>0</v>
      </c>
      <c r="CV4213">
        <v>2</v>
      </c>
      <c r="CW4213">
        <v>0</v>
      </c>
      <c r="CX4213">
        <v>5</v>
      </c>
      <c r="CY4213">
        <v>7</v>
      </c>
      <c r="CZ4213" t="s">
        <v>131</v>
      </c>
      <c r="DA4213">
        <v>286</v>
      </c>
      <c r="DB4213">
        <v>0</v>
      </c>
      <c r="DC4213" t="s">
        <v>132</v>
      </c>
      <c r="DD4213" t="s">
        <v>133</v>
      </c>
      <c r="DG4213">
        <v>905835</v>
      </c>
      <c r="DI4213">
        <v>1</v>
      </c>
      <c r="DJ4213">
        <v>0</v>
      </c>
      <c r="DK4213">
        <v>0</v>
      </c>
      <c r="DL4213">
        <v>0</v>
      </c>
      <c r="DM4213">
        <v>0</v>
      </c>
      <c r="DN4213">
        <v>1</v>
      </c>
      <c r="DO4213">
        <v>0</v>
      </c>
      <c r="DP4213">
        <v>0</v>
      </c>
      <c r="DQ4213">
        <v>0</v>
      </c>
      <c r="DR4213">
        <v>0</v>
      </c>
      <c r="DS4213">
        <v>0</v>
      </c>
    </row>
    <row r="4214" spans="1:123" x14ac:dyDescent="0.3">
      <c r="A4214" t="str">
        <f t="shared" si="1553"/>
        <v>10/04/2022 19:36:55.684</v>
      </c>
      <c r="C4214" t="str">
        <f t="shared" si="1550"/>
        <v>FFDFD3C0</v>
      </c>
      <c r="D4214" t="s">
        <v>141</v>
      </c>
      <c r="E4214">
        <v>4</v>
      </c>
      <c r="H4214">
        <v>4</v>
      </c>
      <c r="I4214" t="s">
        <v>142</v>
      </c>
      <c r="J4214" t="s">
        <v>138</v>
      </c>
      <c r="K4214">
        <v>0</v>
      </c>
      <c r="L4214">
        <v>3</v>
      </c>
      <c r="M4214">
        <v>0</v>
      </c>
      <c r="N4214">
        <v>2</v>
      </c>
      <c r="O4214">
        <v>0</v>
      </c>
      <c r="P4214">
        <v>1</v>
      </c>
      <c r="Q4214">
        <v>0</v>
      </c>
      <c r="S4214" t="str">
        <f t="shared" si="1554"/>
        <v>19:36:55.000</v>
      </c>
      <c r="T4214" t="str">
        <f t="shared" si="1554"/>
        <v>19:36:55.000</v>
      </c>
      <c r="U4214" t="str">
        <f t="shared" si="1532"/>
        <v>AC3944</v>
      </c>
      <c r="V4214">
        <v>0</v>
      </c>
      <c r="W4214">
        <v>0</v>
      </c>
      <c r="X4214">
        <v>2</v>
      </c>
      <c r="Y4214">
        <v>0</v>
      </c>
      <c r="AA4214">
        <v>1</v>
      </c>
      <c r="AB4214">
        <v>8</v>
      </c>
      <c r="AC4214">
        <v>3</v>
      </c>
      <c r="AD4214">
        <v>0</v>
      </c>
      <c r="AE4214">
        <v>9</v>
      </c>
      <c r="AF4214" t="s">
        <v>138</v>
      </c>
      <c r="AG4214">
        <v>0</v>
      </c>
      <c r="AH4214">
        <v>3</v>
      </c>
      <c r="AI4214">
        <v>1</v>
      </c>
      <c r="AJ4214">
        <v>0</v>
      </c>
      <c r="AK4214" t="s">
        <v>1346</v>
      </c>
      <c r="AL4214">
        <v>32.746575</v>
      </c>
      <c r="AM4214" t="s">
        <v>1347</v>
      </c>
      <c r="AN4214">
        <v>-116.683345</v>
      </c>
      <c r="AO4214">
        <v>25</v>
      </c>
      <c r="AP4214">
        <v>5000</v>
      </c>
      <c r="AQ4214" t="s">
        <v>129</v>
      </c>
      <c r="AR4214">
        <v>-139</v>
      </c>
      <c r="AS4214">
        <v>8</v>
      </c>
      <c r="AT4214">
        <v>448</v>
      </c>
      <c r="BB4214">
        <v>1200</v>
      </c>
      <c r="BC4214">
        <v>1</v>
      </c>
      <c r="BD4214" t="str">
        <f t="shared" si="1533"/>
        <v xml:space="preserve">N887QR  </v>
      </c>
      <c r="BE4214">
        <v>1</v>
      </c>
      <c r="BG4214">
        <v>0</v>
      </c>
      <c r="BH4214">
        <v>0</v>
      </c>
      <c r="BI4214">
        <v>0</v>
      </c>
      <c r="BJ4214">
        <v>4725</v>
      </c>
      <c r="BK4214">
        <v>-275</v>
      </c>
      <c r="BL4214" t="s">
        <v>163</v>
      </c>
      <c r="BM4214">
        <v>1</v>
      </c>
      <c r="BN4214">
        <v>1</v>
      </c>
      <c r="BO4214">
        <v>1</v>
      </c>
      <c r="BP4214">
        <v>0</v>
      </c>
      <c r="BS4214">
        <v>0.04</v>
      </c>
      <c r="BT4214">
        <v>0</v>
      </c>
      <c r="BU4214">
        <v>0</v>
      </c>
      <c r="CE4214" t="str">
        <f t="shared" si="1555"/>
        <v>19:36:55.430</v>
      </c>
      <c r="CF4214">
        <v>430110010</v>
      </c>
      <c r="CS4214">
        <v>0</v>
      </c>
      <c r="CT4214">
        <v>2</v>
      </c>
      <c r="CU4214">
        <v>0</v>
      </c>
      <c r="CV4214">
        <v>2</v>
      </c>
      <c r="CW4214">
        <v>0</v>
      </c>
      <c r="CX4214">
        <v>5</v>
      </c>
      <c r="CY4214">
        <v>7</v>
      </c>
      <c r="CZ4214" t="s">
        <v>131</v>
      </c>
      <c r="DA4214">
        <v>286</v>
      </c>
      <c r="DB4214">
        <v>0</v>
      </c>
      <c r="DC4214" t="s">
        <v>132</v>
      </c>
      <c r="DD4214" t="s">
        <v>133</v>
      </c>
      <c r="DG4214">
        <v>905835</v>
      </c>
      <c r="DI4214">
        <v>1</v>
      </c>
      <c r="DJ4214">
        <v>0</v>
      </c>
      <c r="DK4214">
        <v>0</v>
      </c>
      <c r="DL4214">
        <v>0</v>
      </c>
      <c r="DM4214">
        <v>0</v>
      </c>
      <c r="DN4214">
        <v>1</v>
      </c>
      <c r="DO4214">
        <v>0</v>
      </c>
      <c r="DP4214">
        <v>0</v>
      </c>
      <c r="DQ4214">
        <v>0</v>
      </c>
      <c r="DR4214">
        <v>0</v>
      </c>
      <c r="DS4214">
        <v>0</v>
      </c>
    </row>
    <row r="4215" spans="1:123" x14ac:dyDescent="0.3">
      <c r="A4215" t="str">
        <f t="shared" si="1553"/>
        <v>10/04/2022 19:36:55.684</v>
      </c>
      <c r="C4215" t="str">
        <f t="shared" si="1550"/>
        <v>FFDFD3C0</v>
      </c>
      <c r="D4215" t="s">
        <v>136</v>
      </c>
      <c r="E4215">
        <v>8</v>
      </c>
      <c r="H4215">
        <v>225</v>
      </c>
      <c r="I4215" t="s">
        <v>137</v>
      </c>
      <c r="J4215" t="s">
        <v>138</v>
      </c>
      <c r="K4215">
        <v>0</v>
      </c>
      <c r="L4215">
        <v>3</v>
      </c>
      <c r="M4215">
        <v>0</v>
      </c>
      <c r="N4215">
        <v>2</v>
      </c>
      <c r="O4215">
        <v>0</v>
      </c>
      <c r="P4215">
        <v>1</v>
      </c>
      <c r="Q4215">
        <v>0</v>
      </c>
      <c r="S4215" t="str">
        <f t="shared" si="1554"/>
        <v>19:36:55.000</v>
      </c>
      <c r="T4215" t="str">
        <f t="shared" si="1554"/>
        <v>19:36:55.000</v>
      </c>
      <c r="U4215" t="str">
        <f t="shared" si="1532"/>
        <v>AC3944</v>
      </c>
      <c r="V4215">
        <v>0</v>
      </c>
      <c r="W4215">
        <v>0</v>
      </c>
      <c r="X4215">
        <v>2</v>
      </c>
      <c r="Y4215">
        <v>0</v>
      </c>
      <c r="AA4215">
        <v>1</v>
      </c>
      <c r="AB4215">
        <v>8</v>
      </c>
      <c r="AC4215">
        <v>3</v>
      </c>
      <c r="AD4215">
        <v>0</v>
      </c>
      <c r="AE4215">
        <v>9</v>
      </c>
      <c r="AF4215" t="s">
        <v>138</v>
      </c>
      <c r="AG4215">
        <v>0</v>
      </c>
      <c r="AH4215">
        <v>3</v>
      </c>
      <c r="AI4215">
        <v>1</v>
      </c>
      <c r="AJ4215">
        <v>0</v>
      </c>
      <c r="AK4215" t="s">
        <v>1346</v>
      </c>
      <c r="AL4215">
        <v>32.746575</v>
      </c>
      <c r="AM4215" t="s">
        <v>1347</v>
      </c>
      <c r="AN4215">
        <v>-116.683345</v>
      </c>
      <c r="AO4215">
        <v>25</v>
      </c>
      <c r="AP4215">
        <v>5000</v>
      </c>
      <c r="AQ4215" t="s">
        <v>129</v>
      </c>
      <c r="AR4215">
        <v>-139</v>
      </c>
      <c r="AS4215">
        <v>8</v>
      </c>
      <c r="AT4215">
        <v>448</v>
      </c>
      <c r="BB4215">
        <v>1200</v>
      </c>
      <c r="BC4215">
        <v>1</v>
      </c>
      <c r="BD4215" t="str">
        <f t="shared" si="1533"/>
        <v xml:space="preserve">N887QR  </v>
      </c>
      <c r="BE4215">
        <v>1</v>
      </c>
      <c r="BG4215">
        <v>0</v>
      </c>
      <c r="BH4215">
        <v>0</v>
      </c>
      <c r="BI4215">
        <v>0</v>
      </c>
      <c r="BJ4215">
        <v>4725</v>
      </c>
      <c r="BK4215">
        <v>-275</v>
      </c>
      <c r="BL4215" t="s">
        <v>163</v>
      </c>
      <c r="BM4215">
        <v>1</v>
      </c>
      <c r="BN4215">
        <v>1</v>
      </c>
      <c r="BO4215">
        <v>1</v>
      </c>
      <c r="BP4215">
        <v>0</v>
      </c>
      <c r="BS4215">
        <v>0.04</v>
      </c>
      <c r="BT4215">
        <v>0</v>
      </c>
      <c r="BU4215">
        <v>0</v>
      </c>
      <c r="CE4215" t="str">
        <f t="shared" si="1555"/>
        <v>19:36:55.430</v>
      </c>
      <c r="CF4215">
        <v>430110010</v>
      </c>
      <c r="CS4215">
        <v>0</v>
      </c>
      <c r="CT4215">
        <v>2</v>
      </c>
      <c r="CU4215">
        <v>0</v>
      </c>
      <c r="CV4215">
        <v>2</v>
      </c>
      <c r="CW4215">
        <v>0</v>
      </c>
      <c r="CX4215">
        <v>5</v>
      </c>
      <c r="CY4215">
        <v>7</v>
      </c>
      <c r="CZ4215" t="s">
        <v>131</v>
      </c>
      <c r="DA4215">
        <v>286</v>
      </c>
      <c r="DB4215">
        <v>0</v>
      </c>
      <c r="DC4215" t="s">
        <v>132</v>
      </c>
      <c r="DD4215" t="s">
        <v>133</v>
      </c>
      <c r="DG4215">
        <v>905835</v>
      </c>
      <c r="DI4215">
        <v>1</v>
      </c>
      <c r="DJ4215">
        <v>0</v>
      </c>
      <c r="DK4215">
        <v>1</v>
      </c>
      <c r="DL4215">
        <v>0</v>
      </c>
      <c r="DM4215">
        <v>0</v>
      </c>
      <c r="DN4215">
        <v>1</v>
      </c>
      <c r="DO4215">
        <v>0</v>
      </c>
      <c r="DP4215">
        <v>0</v>
      </c>
      <c r="DQ4215">
        <v>0</v>
      </c>
      <c r="DR4215">
        <v>0</v>
      </c>
      <c r="DS4215">
        <v>0</v>
      </c>
    </row>
    <row r="4216" spans="1:123" x14ac:dyDescent="0.3">
      <c r="A4216" t="str">
        <f t="shared" si="1553"/>
        <v>10/04/2022 19:36:55.684</v>
      </c>
      <c r="C4216" t="str">
        <f t="shared" si="1550"/>
        <v>FFDFD3C0</v>
      </c>
      <c r="D4216" t="s">
        <v>134</v>
      </c>
      <c r="E4216">
        <v>15</v>
      </c>
      <c r="J4216" t="s">
        <v>135</v>
      </c>
      <c r="K4216">
        <v>0</v>
      </c>
      <c r="L4216">
        <v>3</v>
      </c>
      <c r="M4216">
        <v>0</v>
      </c>
      <c r="N4216">
        <v>2</v>
      </c>
      <c r="O4216">
        <v>0</v>
      </c>
      <c r="P4216">
        <v>1</v>
      </c>
      <c r="Q4216">
        <v>0</v>
      </c>
      <c r="S4216" t="str">
        <f t="shared" si="1554"/>
        <v>19:36:55.000</v>
      </c>
      <c r="T4216" t="str">
        <f t="shared" si="1554"/>
        <v>19:36:55.000</v>
      </c>
      <c r="U4216" t="str">
        <f t="shared" si="1532"/>
        <v>AC3944</v>
      </c>
      <c r="V4216">
        <v>0</v>
      </c>
      <c r="W4216">
        <v>0</v>
      </c>
      <c r="X4216">
        <v>2</v>
      </c>
      <c r="Y4216">
        <v>0</v>
      </c>
      <c r="AA4216">
        <v>1</v>
      </c>
      <c r="AB4216">
        <v>8</v>
      </c>
      <c r="AC4216">
        <v>3</v>
      </c>
      <c r="AD4216">
        <v>0</v>
      </c>
      <c r="AE4216">
        <v>9</v>
      </c>
      <c r="AF4216" t="s">
        <v>138</v>
      </c>
      <c r="AG4216">
        <v>0</v>
      </c>
      <c r="AH4216">
        <v>3</v>
      </c>
      <c r="AI4216">
        <v>1</v>
      </c>
      <c r="AJ4216">
        <v>0</v>
      </c>
      <c r="AK4216" t="s">
        <v>1346</v>
      </c>
      <c r="AL4216">
        <v>32.746575</v>
      </c>
      <c r="AM4216" t="s">
        <v>1347</v>
      </c>
      <c r="AN4216">
        <v>-116.683345</v>
      </c>
      <c r="AO4216">
        <v>25</v>
      </c>
      <c r="AP4216">
        <v>5000</v>
      </c>
      <c r="AQ4216" t="s">
        <v>129</v>
      </c>
      <c r="AR4216">
        <v>-139</v>
      </c>
      <c r="AS4216">
        <v>8</v>
      </c>
      <c r="AT4216">
        <v>448</v>
      </c>
      <c r="BB4216">
        <v>1200</v>
      </c>
      <c r="BC4216">
        <v>1</v>
      </c>
      <c r="BD4216" t="str">
        <f t="shared" si="1533"/>
        <v xml:space="preserve">N887QR  </v>
      </c>
      <c r="BE4216">
        <v>1</v>
      </c>
      <c r="BG4216">
        <v>0</v>
      </c>
      <c r="BH4216">
        <v>0</v>
      </c>
      <c r="BI4216">
        <v>0</v>
      </c>
      <c r="BJ4216">
        <v>4725</v>
      </c>
      <c r="BK4216">
        <v>-275</v>
      </c>
      <c r="BL4216" t="s">
        <v>163</v>
      </c>
      <c r="BM4216">
        <v>1</v>
      </c>
      <c r="BN4216">
        <v>1</v>
      </c>
      <c r="BO4216">
        <v>1</v>
      </c>
      <c r="BP4216">
        <v>0</v>
      </c>
      <c r="BS4216">
        <v>0.04</v>
      </c>
      <c r="BT4216">
        <v>0</v>
      </c>
      <c r="BU4216">
        <v>0</v>
      </c>
      <c r="CE4216" t="str">
        <f t="shared" si="1555"/>
        <v>19:36:55.430</v>
      </c>
      <c r="CF4216">
        <v>430110010</v>
      </c>
      <c r="CS4216">
        <v>0</v>
      </c>
      <c r="CT4216">
        <v>2</v>
      </c>
      <c r="CU4216">
        <v>0</v>
      </c>
      <c r="CV4216">
        <v>2</v>
      </c>
      <c r="CW4216">
        <v>0</v>
      </c>
      <c r="CX4216">
        <v>5</v>
      </c>
      <c r="CY4216">
        <v>7</v>
      </c>
      <c r="CZ4216" t="s">
        <v>131</v>
      </c>
      <c r="DA4216">
        <v>286</v>
      </c>
      <c r="DB4216">
        <v>0</v>
      </c>
      <c r="DC4216" t="s">
        <v>132</v>
      </c>
      <c r="DD4216" t="s">
        <v>133</v>
      </c>
      <c r="DG4216">
        <v>905835</v>
      </c>
      <c r="DI4216">
        <v>1</v>
      </c>
      <c r="DJ4216">
        <v>0</v>
      </c>
      <c r="DK4216">
        <v>1</v>
      </c>
      <c r="DL4216">
        <v>0</v>
      </c>
      <c r="DM4216">
        <v>0</v>
      </c>
      <c r="DN4216">
        <v>1</v>
      </c>
      <c r="DO4216">
        <v>0</v>
      </c>
      <c r="DP4216">
        <v>0</v>
      </c>
      <c r="DQ4216">
        <v>0</v>
      </c>
      <c r="DR4216">
        <v>0</v>
      </c>
      <c r="DS4216">
        <v>0</v>
      </c>
    </row>
    <row r="4217" spans="1:123" x14ac:dyDescent="0.3">
      <c r="A4217" t="str">
        <f t="shared" si="1553"/>
        <v>10/04/2022 19:36:55.684</v>
      </c>
      <c r="C4217" t="str">
        <f t="shared" si="1550"/>
        <v>FFDFD3C0</v>
      </c>
      <c r="D4217" t="s">
        <v>143</v>
      </c>
      <c r="E4217">
        <v>20</v>
      </c>
      <c r="F4217">
        <v>1020</v>
      </c>
      <c r="G4217" t="s">
        <v>144</v>
      </c>
      <c r="J4217" t="s">
        <v>145</v>
      </c>
      <c r="K4217">
        <v>0</v>
      </c>
      <c r="L4217">
        <v>3</v>
      </c>
      <c r="M4217">
        <v>0</v>
      </c>
      <c r="N4217">
        <v>2</v>
      </c>
      <c r="O4217">
        <v>0</v>
      </c>
      <c r="P4217">
        <v>1</v>
      </c>
      <c r="Q4217">
        <v>0</v>
      </c>
      <c r="S4217" t="str">
        <f t="shared" si="1554"/>
        <v>19:36:55.000</v>
      </c>
      <c r="T4217" t="str">
        <f t="shared" si="1554"/>
        <v>19:36:55.000</v>
      </c>
      <c r="U4217" t="str">
        <f t="shared" si="1532"/>
        <v>AC3944</v>
      </c>
      <c r="V4217">
        <v>0</v>
      </c>
      <c r="W4217">
        <v>0</v>
      </c>
      <c r="X4217">
        <v>2</v>
      </c>
      <c r="Y4217">
        <v>0</v>
      </c>
      <c r="AA4217">
        <v>1</v>
      </c>
      <c r="AB4217">
        <v>8</v>
      </c>
      <c r="AC4217">
        <v>3</v>
      </c>
      <c r="AD4217">
        <v>0</v>
      </c>
      <c r="AE4217">
        <v>9</v>
      </c>
      <c r="AF4217" t="s">
        <v>138</v>
      </c>
      <c r="AG4217">
        <v>0</v>
      </c>
      <c r="AH4217">
        <v>3</v>
      </c>
      <c r="AI4217">
        <v>1</v>
      </c>
      <c r="AJ4217">
        <v>0</v>
      </c>
      <c r="AK4217" t="s">
        <v>1346</v>
      </c>
      <c r="AL4217">
        <v>32.746575</v>
      </c>
      <c r="AM4217" t="s">
        <v>1347</v>
      </c>
      <c r="AN4217">
        <v>-116.683345</v>
      </c>
      <c r="AO4217">
        <v>25</v>
      </c>
      <c r="AP4217">
        <v>5000</v>
      </c>
      <c r="AQ4217" t="s">
        <v>129</v>
      </c>
      <c r="AR4217">
        <v>-139</v>
      </c>
      <c r="AS4217">
        <v>8</v>
      </c>
      <c r="AT4217">
        <v>448</v>
      </c>
      <c r="BB4217">
        <v>1200</v>
      </c>
      <c r="BC4217">
        <v>1</v>
      </c>
      <c r="BD4217" t="str">
        <f t="shared" si="1533"/>
        <v xml:space="preserve">N887QR  </v>
      </c>
      <c r="BE4217">
        <v>1</v>
      </c>
      <c r="BG4217">
        <v>0</v>
      </c>
      <c r="BH4217">
        <v>0</v>
      </c>
      <c r="BI4217">
        <v>0</v>
      </c>
      <c r="BJ4217">
        <v>4725</v>
      </c>
      <c r="BK4217">
        <v>-275</v>
      </c>
      <c r="BL4217" t="s">
        <v>163</v>
      </c>
      <c r="BM4217">
        <v>1</v>
      </c>
      <c r="BN4217">
        <v>1</v>
      </c>
      <c r="BO4217">
        <v>1</v>
      </c>
      <c r="BP4217">
        <v>0</v>
      </c>
      <c r="BS4217">
        <v>0.04</v>
      </c>
      <c r="BT4217">
        <v>0</v>
      </c>
      <c r="BU4217">
        <v>0</v>
      </c>
      <c r="CE4217" t="str">
        <f t="shared" si="1555"/>
        <v>19:36:55.430</v>
      </c>
      <c r="CF4217">
        <v>430110010</v>
      </c>
      <c r="CS4217">
        <v>0</v>
      </c>
      <c r="CT4217">
        <v>2</v>
      </c>
      <c r="CU4217">
        <v>0</v>
      </c>
      <c r="CV4217">
        <v>2</v>
      </c>
      <c r="CW4217">
        <v>0</v>
      </c>
      <c r="CX4217">
        <v>5</v>
      </c>
      <c r="CY4217">
        <v>7</v>
      </c>
      <c r="CZ4217" t="s">
        <v>131</v>
      </c>
      <c r="DA4217">
        <v>286</v>
      </c>
      <c r="DB4217">
        <v>0</v>
      </c>
      <c r="DC4217" t="s">
        <v>132</v>
      </c>
      <c r="DD4217" t="s">
        <v>133</v>
      </c>
      <c r="DG4217">
        <v>905835</v>
      </c>
      <c r="DI4217">
        <v>1</v>
      </c>
      <c r="DJ4217">
        <v>0</v>
      </c>
      <c r="DK4217">
        <v>1</v>
      </c>
      <c r="DL4217">
        <v>0</v>
      </c>
      <c r="DM4217">
        <v>0</v>
      </c>
      <c r="DN4217">
        <v>1</v>
      </c>
      <c r="DO4217">
        <v>0</v>
      </c>
      <c r="DP4217">
        <v>0</v>
      </c>
      <c r="DQ4217">
        <v>0</v>
      </c>
      <c r="DR4217">
        <v>0</v>
      </c>
      <c r="DS4217">
        <v>0</v>
      </c>
    </row>
    <row r="4218" spans="1:123" x14ac:dyDescent="0.3">
      <c r="A4218" t="str">
        <f t="shared" si="1553"/>
        <v>10/04/2022 19:36:55.684</v>
      </c>
      <c r="C4218" t="str">
        <f t="shared" si="1550"/>
        <v>FFDFD3C0</v>
      </c>
      <c r="D4218" t="s">
        <v>141</v>
      </c>
      <c r="E4218">
        <v>3</v>
      </c>
      <c r="H4218">
        <v>3</v>
      </c>
      <c r="I4218" t="s">
        <v>146</v>
      </c>
      <c r="J4218" t="s">
        <v>138</v>
      </c>
      <c r="K4218">
        <v>0</v>
      </c>
      <c r="L4218">
        <v>3</v>
      </c>
      <c r="M4218">
        <v>0</v>
      </c>
      <c r="N4218">
        <v>2</v>
      </c>
      <c r="O4218">
        <v>0</v>
      </c>
      <c r="P4218">
        <v>1</v>
      </c>
      <c r="Q4218">
        <v>0</v>
      </c>
      <c r="S4218" t="str">
        <f t="shared" si="1554"/>
        <v>19:36:55.000</v>
      </c>
      <c r="T4218" t="str">
        <f t="shared" si="1554"/>
        <v>19:36:55.000</v>
      </c>
      <c r="U4218" t="str">
        <f t="shared" si="1532"/>
        <v>AC3944</v>
      </c>
      <c r="V4218">
        <v>0</v>
      </c>
      <c r="W4218">
        <v>0</v>
      </c>
      <c r="X4218">
        <v>2</v>
      </c>
      <c r="Y4218">
        <v>0</v>
      </c>
      <c r="AA4218">
        <v>1</v>
      </c>
      <c r="AB4218">
        <v>8</v>
      </c>
      <c r="AC4218">
        <v>3</v>
      </c>
      <c r="AD4218">
        <v>0</v>
      </c>
      <c r="AE4218">
        <v>9</v>
      </c>
      <c r="AF4218" t="s">
        <v>138</v>
      </c>
      <c r="AG4218">
        <v>0</v>
      </c>
      <c r="AH4218">
        <v>3</v>
      </c>
      <c r="AI4218">
        <v>1</v>
      </c>
      <c r="AJ4218">
        <v>0</v>
      </c>
      <c r="AK4218" t="s">
        <v>1346</v>
      </c>
      <c r="AL4218">
        <v>32.746575</v>
      </c>
      <c r="AM4218" t="s">
        <v>1347</v>
      </c>
      <c r="AN4218">
        <v>-116.683345</v>
      </c>
      <c r="AO4218">
        <v>25</v>
      </c>
      <c r="AP4218">
        <v>5000</v>
      </c>
      <c r="AQ4218" t="s">
        <v>129</v>
      </c>
      <c r="AR4218">
        <v>-139</v>
      </c>
      <c r="AS4218">
        <v>8</v>
      </c>
      <c r="AT4218">
        <v>448</v>
      </c>
      <c r="BB4218">
        <v>1200</v>
      </c>
      <c r="BC4218">
        <v>1</v>
      </c>
      <c r="BD4218" t="str">
        <f t="shared" si="1533"/>
        <v xml:space="preserve">N887QR  </v>
      </c>
      <c r="BE4218">
        <v>1</v>
      </c>
      <c r="BG4218">
        <v>0</v>
      </c>
      <c r="BH4218">
        <v>0</v>
      </c>
      <c r="BI4218">
        <v>0</v>
      </c>
      <c r="BJ4218">
        <v>4725</v>
      </c>
      <c r="BK4218">
        <v>-275</v>
      </c>
      <c r="BL4218" t="s">
        <v>163</v>
      </c>
      <c r="BM4218">
        <v>1</v>
      </c>
      <c r="BN4218">
        <v>1</v>
      </c>
      <c r="BO4218">
        <v>1</v>
      </c>
      <c r="BP4218">
        <v>0</v>
      </c>
      <c r="BS4218">
        <v>0.04</v>
      </c>
      <c r="BT4218">
        <v>0</v>
      </c>
      <c r="BU4218">
        <v>0</v>
      </c>
      <c r="CE4218" t="str">
        <f t="shared" si="1555"/>
        <v>19:36:55.430</v>
      </c>
      <c r="CF4218">
        <v>430110010</v>
      </c>
      <c r="CS4218">
        <v>0</v>
      </c>
      <c r="CT4218">
        <v>2</v>
      </c>
      <c r="CU4218">
        <v>0</v>
      </c>
      <c r="CV4218">
        <v>2</v>
      </c>
      <c r="CW4218">
        <v>0</v>
      </c>
      <c r="CX4218">
        <v>5</v>
      </c>
      <c r="CY4218">
        <v>7</v>
      </c>
      <c r="CZ4218" t="s">
        <v>131</v>
      </c>
      <c r="DA4218">
        <v>286</v>
      </c>
      <c r="DB4218">
        <v>0</v>
      </c>
      <c r="DC4218" t="s">
        <v>132</v>
      </c>
      <c r="DD4218" t="s">
        <v>133</v>
      </c>
      <c r="DG4218">
        <v>905835</v>
      </c>
      <c r="DI4218">
        <v>1</v>
      </c>
      <c r="DJ4218">
        <v>0</v>
      </c>
      <c r="DK4218">
        <v>1</v>
      </c>
      <c r="DL4218">
        <v>0</v>
      </c>
      <c r="DM4218">
        <v>0</v>
      </c>
      <c r="DN4218">
        <v>1</v>
      </c>
      <c r="DO4218">
        <v>0</v>
      </c>
      <c r="DP4218">
        <v>0</v>
      </c>
      <c r="DQ4218">
        <v>0</v>
      </c>
      <c r="DR4218">
        <v>0</v>
      </c>
      <c r="DS4218">
        <v>0</v>
      </c>
    </row>
    <row r="4219" spans="1:123" x14ac:dyDescent="0.3">
      <c r="A4219" t="str">
        <f t="shared" si="1553"/>
        <v>10/04/2022 19:36:55.684</v>
      </c>
      <c r="C4219" t="str">
        <f t="shared" si="1550"/>
        <v>FFDFD3C0</v>
      </c>
      <c r="D4219" t="s">
        <v>123</v>
      </c>
      <c r="E4219">
        <v>7</v>
      </c>
      <c r="F4219">
        <v>2007</v>
      </c>
      <c r="G4219" t="s">
        <v>124</v>
      </c>
      <c r="J4219" t="s">
        <v>125</v>
      </c>
      <c r="K4219">
        <v>0</v>
      </c>
      <c r="L4219">
        <v>3</v>
      </c>
      <c r="M4219">
        <v>0</v>
      </c>
      <c r="N4219">
        <v>2</v>
      </c>
      <c r="O4219">
        <v>0</v>
      </c>
      <c r="P4219">
        <v>1</v>
      </c>
      <c r="Q4219">
        <v>0</v>
      </c>
      <c r="S4219" t="str">
        <f t="shared" si="1554"/>
        <v>19:36:55.000</v>
      </c>
      <c r="T4219" t="str">
        <f t="shared" si="1554"/>
        <v>19:36:55.000</v>
      </c>
      <c r="U4219" t="str">
        <f t="shared" si="1532"/>
        <v>AC3944</v>
      </c>
      <c r="V4219">
        <v>0</v>
      </c>
      <c r="W4219">
        <v>0</v>
      </c>
      <c r="X4219">
        <v>2</v>
      </c>
      <c r="Y4219">
        <v>0</v>
      </c>
      <c r="AA4219">
        <v>1</v>
      </c>
      <c r="AB4219">
        <v>8</v>
      </c>
      <c r="AC4219">
        <v>3</v>
      </c>
      <c r="AD4219">
        <v>0</v>
      </c>
      <c r="AE4219">
        <v>9</v>
      </c>
      <c r="AF4219" t="s">
        <v>138</v>
      </c>
      <c r="AG4219">
        <v>0</v>
      </c>
      <c r="AH4219">
        <v>3</v>
      </c>
      <c r="AI4219">
        <v>1</v>
      </c>
      <c r="AJ4219">
        <v>0</v>
      </c>
      <c r="AK4219" t="s">
        <v>1346</v>
      </c>
      <c r="AL4219">
        <v>32.746575</v>
      </c>
      <c r="AM4219" t="s">
        <v>1347</v>
      </c>
      <c r="AN4219">
        <v>-116.683345</v>
      </c>
      <c r="AO4219">
        <v>25</v>
      </c>
      <c r="AP4219">
        <v>5000</v>
      </c>
      <c r="AQ4219" t="s">
        <v>129</v>
      </c>
      <c r="AR4219">
        <v>-139</v>
      </c>
      <c r="AS4219">
        <v>8</v>
      </c>
      <c r="AT4219">
        <v>448</v>
      </c>
      <c r="BB4219">
        <v>1200</v>
      </c>
      <c r="BC4219">
        <v>1</v>
      </c>
      <c r="BD4219" t="str">
        <f t="shared" si="1533"/>
        <v xml:space="preserve">N887QR  </v>
      </c>
      <c r="BE4219">
        <v>1</v>
      </c>
      <c r="BG4219">
        <v>0</v>
      </c>
      <c r="BH4219">
        <v>0</v>
      </c>
      <c r="BI4219">
        <v>0</v>
      </c>
      <c r="BJ4219">
        <v>4725</v>
      </c>
      <c r="BK4219">
        <v>-275</v>
      </c>
      <c r="BL4219" t="s">
        <v>163</v>
      </c>
      <c r="BM4219">
        <v>1</v>
      </c>
      <c r="BN4219">
        <v>1</v>
      </c>
      <c r="BO4219">
        <v>1</v>
      </c>
      <c r="BP4219">
        <v>0</v>
      </c>
      <c r="BS4219">
        <v>0.04</v>
      </c>
      <c r="BT4219">
        <v>0</v>
      </c>
      <c r="BU4219">
        <v>0</v>
      </c>
      <c r="CE4219" t="str">
        <f t="shared" si="1555"/>
        <v>19:36:55.430</v>
      </c>
      <c r="CF4219">
        <v>430110010</v>
      </c>
      <c r="CS4219">
        <v>0</v>
      </c>
      <c r="CT4219">
        <v>2</v>
      </c>
      <c r="CU4219">
        <v>0</v>
      </c>
      <c r="CV4219">
        <v>2</v>
      </c>
      <c r="CW4219">
        <v>0</v>
      </c>
      <c r="CX4219">
        <v>5</v>
      </c>
      <c r="CY4219">
        <v>7</v>
      </c>
      <c r="CZ4219" t="s">
        <v>131</v>
      </c>
      <c r="DA4219">
        <v>286</v>
      </c>
      <c r="DB4219">
        <v>0</v>
      </c>
      <c r="DC4219" t="s">
        <v>132</v>
      </c>
      <c r="DD4219" t="s">
        <v>133</v>
      </c>
      <c r="DG4219">
        <v>905835</v>
      </c>
      <c r="DI4219">
        <v>1</v>
      </c>
      <c r="DJ4219">
        <v>0</v>
      </c>
      <c r="DK4219">
        <v>1</v>
      </c>
      <c r="DL4219">
        <v>0</v>
      </c>
      <c r="DM4219">
        <v>0</v>
      </c>
      <c r="DN4219">
        <v>1</v>
      </c>
      <c r="DO4219">
        <v>0</v>
      </c>
      <c r="DP4219">
        <v>0</v>
      </c>
      <c r="DQ4219">
        <v>0</v>
      </c>
      <c r="DR4219">
        <v>0</v>
      </c>
      <c r="DS4219">
        <v>0</v>
      </c>
    </row>
    <row r="4220" spans="1:123" x14ac:dyDescent="0.3">
      <c r="A4220" t="str">
        <f t="shared" ref="A4220:A4226" si="1556">"10/04/2022 19:36:56.496"</f>
        <v>10/04/2022 19:36:56.496</v>
      </c>
      <c r="C4220" t="str">
        <f t="shared" si="1550"/>
        <v>FFDFD3C0</v>
      </c>
      <c r="D4220" t="s">
        <v>147</v>
      </c>
      <c r="E4220">
        <v>3</v>
      </c>
      <c r="H4220">
        <v>166</v>
      </c>
      <c r="I4220" t="s">
        <v>144</v>
      </c>
      <c r="J4220" t="s">
        <v>148</v>
      </c>
      <c r="K4220">
        <v>0</v>
      </c>
      <c r="L4220">
        <v>3</v>
      </c>
      <c r="M4220">
        <v>0</v>
      </c>
      <c r="N4220">
        <v>2</v>
      </c>
      <c r="O4220">
        <v>0</v>
      </c>
      <c r="P4220">
        <v>1</v>
      </c>
      <c r="Q4220">
        <v>0</v>
      </c>
      <c r="S4220" t="str">
        <f t="shared" ref="S4220:T4232" si="1557">"19:36:56.000"</f>
        <v>19:36:56.000</v>
      </c>
      <c r="T4220" t="str">
        <f t="shared" si="1557"/>
        <v>19:36:56.000</v>
      </c>
      <c r="U4220" t="str">
        <f t="shared" si="1532"/>
        <v>AC3944</v>
      </c>
      <c r="V4220">
        <v>0</v>
      </c>
      <c r="W4220">
        <v>0</v>
      </c>
      <c r="X4220">
        <v>2</v>
      </c>
      <c r="Y4220">
        <v>0</v>
      </c>
      <c r="AA4220">
        <v>1</v>
      </c>
      <c r="AB4220">
        <v>8</v>
      </c>
      <c r="AC4220">
        <v>3</v>
      </c>
      <c r="AD4220">
        <v>0</v>
      </c>
      <c r="AE4220">
        <v>9</v>
      </c>
      <c r="AF4220" t="s">
        <v>138</v>
      </c>
      <c r="AG4220">
        <v>0</v>
      </c>
      <c r="AH4220">
        <v>3</v>
      </c>
      <c r="AI4220">
        <v>1</v>
      </c>
      <c r="AJ4220">
        <v>0</v>
      </c>
      <c r="AK4220" t="s">
        <v>1348</v>
      </c>
      <c r="AL4220">
        <v>32.746661000000003</v>
      </c>
      <c r="AM4220" t="s">
        <v>1349</v>
      </c>
      <c r="AN4220">
        <v>-116.684117</v>
      </c>
      <c r="AO4220">
        <v>25</v>
      </c>
      <c r="AP4220">
        <v>5000</v>
      </c>
      <c r="AQ4220" t="s">
        <v>129</v>
      </c>
      <c r="AR4220">
        <v>-139</v>
      </c>
      <c r="AS4220">
        <v>-2</v>
      </c>
      <c r="AT4220">
        <v>704</v>
      </c>
      <c r="BB4220">
        <v>1200</v>
      </c>
      <c r="BC4220">
        <v>1</v>
      </c>
      <c r="BD4220" t="str">
        <f t="shared" si="1533"/>
        <v xml:space="preserve">N887QR  </v>
      </c>
      <c r="BE4220">
        <v>1</v>
      </c>
      <c r="BG4220">
        <v>0</v>
      </c>
      <c r="BH4220">
        <v>0</v>
      </c>
      <c r="BI4220">
        <v>0</v>
      </c>
      <c r="BJ4220">
        <v>4750</v>
      </c>
      <c r="BK4220">
        <v>-250</v>
      </c>
      <c r="BL4220" t="s">
        <v>163</v>
      </c>
      <c r="BM4220">
        <v>1</v>
      </c>
      <c r="BN4220">
        <v>1</v>
      </c>
      <c r="BO4220">
        <v>1</v>
      </c>
      <c r="BP4220">
        <v>0</v>
      </c>
      <c r="BS4220">
        <v>0.04</v>
      </c>
      <c r="BT4220">
        <v>0</v>
      </c>
      <c r="BU4220">
        <v>0</v>
      </c>
      <c r="CE4220" t="str">
        <f t="shared" ref="CE4220:CE4226" si="1558">"19:36:56.234"</f>
        <v>19:36:56.234</v>
      </c>
      <c r="CF4220">
        <v>233612530</v>
      </c>
      <c r="CS4220">
        <v>0</v>
      </c>
      <c r="CT4220">
        <v>2</v>
      </c>
      <c r="CU4220">
        <v>0</v>
      </c>
      <c r="CV4220">
        <v>2</v>
      </c>
      <c r="CW4220">
        <v>0</v>
      </c>
      <c r="CX4220">
        <v>5</v>
      </c>
      <c r="CY4220">
        <v>7</v>
      </c>
      <c r="CZ4220" t="s">
        <v>131</v>
      </c>
      <c r="DA4220">
        <v>286</v>
      </c>
      <c r="DB4220">
        <v>0</v>
      </c>
      <c r="DC4220" t="s">
        <v>132</v>
      </c>
      <c r="DD4220" t="s">
        <v>133</v>
      </c>
      <c r="DG4220">
        <v>906032</v>
      </c>
      <c r="DI4220">
        <v>1</v>
      </c>
      <c r="DJ4220">
        <v>0</v>
      </c>
      <c r="DK4220">
        <v>0</v>
      </c>
      <c r="DL4220">
        <v>0</v>
      </c>
      <c r="DM4220">
        <v>0</v>
      </c>
      <c r="DN4220">
        <v>1</v>
      </c>
      <c r="DO4220">
        <v>0</v>
      </c>
      <c r="DP4220">
        <v>0</v>
      </c>
      <c r="DQ4220">
        <v>0</v>
      </c>
      <c r="DR4220">
        <v>0</v>
      </c>
      <c r="DS4220">
        <v>0</v>
      </c>
    </row>
    <row r="4221" spans="1:123" x14ac:dyDescent="0.3">
      <c r="A4221" t="str">
        <f t="shared" si="1556"/>
        <v>10/04/2022 19:36:56.496</v>
      </c>
      <c r="C4221" t="str">
        <f t="shared" si="1550"/>
        <v>FFDFD3C0</v>
      </c>
      <c r="D4221" t="s">
        <v>141</v>
      </c>
      <c r="E4221">
        <v>4</v>
      </c>
      <c r="H4221">
        <v>4</v>
      </c>
      <c r="I4221" t="s">
        <v>142</v>
      </c>
      <c r="J4221" t="s">
        <v>138</v>
      </c>
      <c r="K4221">
        <v>0</v>
      </c>
      <c r="L4221">
        <v>3</v>
      </c>
      <c r="M4221">
        <v>0</v>
      </c>
      <c r="N4221">
        <v>2</v>
      </c>
      <c r="O4221">
        <v>0</v>
      </c>
      <c r="P4221">
        <v>1</v>
      </c>
      <c r="Q4221">
        <v>0</v>
      </c>
      <c r="S4221" t="str">
        <f t="shared" si="1557"/>
        <v>19:36:56.000</v>
      </c>
      <c r="T4221" t="str">
        <f t="shared" si="1557"/>
        <v>19:36:56.000</v>
      </c>
      <c r="U4221" t="str">
        <f t="shared" si="1532"/>
        <v>AC3944</v>
      </c>
      <c r="V4221">
        <v>0</v>
      </c>
      <c r="W4221">
        <v>0</v>
      </c>
      <c r="X4221">
        <v>2</v>
      </c>
      <c r="Y4221">
        <v>0</v>
      </c>
      <c r="AA4221">
        <v>1</v>
      </c>
      <c r="AB4221">
        <v>8</v>
      </c>
      <c r="AC4221">
        <v>3</v>
      </c>
      <c r="AD4221">
        <v>0</v>
      </c>
      <c r="AE4221">
        <v>9</v>
      </c>
      <c r="AF4221" t="s">
        <v>138</v>
      </c>
      <c r="AG4221">
        <v>0</v>
      </c>
      <c r="AH4221">
        <v>3</v>
      </c>
      <c r="AI4221">
        <v>1</v>
      </c>
      <c r="AJ4221">
        <v>0</v>
      </c>
      <c r="AK4221" t="s">
        <v>1348</v>
      </c>
      <c r="AL4221">
        <v>32.746661000000003</v>
      </c>
      <c r="AM4221" t="s">
        <v>1349</v>
      </c>
      <c r="AN4221">
        <v>-116.684117</v>
      </c>
      <c r="AO4221">
        <v>25</v>
      </c>
      <c r="AP4221">
        <v>5000</v>
      </c>
      <c r="AQ4221" t="s">
        <v>129</v>
      </c>
      <c r="AR4221">
        <v>-139</v>
      </c>
      <c r="AS4221">
        <v>-2</v>
      </c>
      <c r="AT4221">
        <v>704</v>
      </c>
      <c r="BB4221">
        <v>1200</v>
      </c>
      <c r="BC4221">
        <v>1</v>
      </c>
      <c r="BD4221" t="str">
        <f t="shared" si="1533"/>
        <v xml:space="preserve">N887QR  </v>
      </c>
      <c r="BE4221">
        <v>1</v>
      </c>
      <c r="BG4221">
        <v>0</v>
      </c>
      <c r="BH4221">
        <v>0</v>
      </c>
      <c r="BI4221">
        <v>0</v>
      </c>
      <c r="BJ4221">
        <v>4750</v>
      </c>
      <c r="BK4221">
        <v>-250</v>
      </c>
      <c r="BL4221" t="s">
        <v>163</v>
      </c>
      <c r="BM4221">
        <v>1</v>
      </c>
      <c r="BN4221">
        <v>1</v>
      </c>
      <c r="BO4221">
        <v>1</v>
      </c>
      <c r="BP4221">
        <v>0</v>
      </c>
      <c r="BS4221">
        <v>0.04</v>
      </c>
      <c r="BT4221">
        <v>0</v>
      </c>
      <c r="BU4221">
        <v>0</v>
      </c>
      <c r="CE4221" t="str">
        <f t="shared" si="1558"/>
        <v>19:36:56.234</v>
      </c>
      <c r="CF4221">
        <v>233612530</v>
      </c>
      <c r="CS4221">
        <v>0</v>
      </c>
      <c r="CT4221">
        <v>2</v>
      </c>
      <c r="CU4221">
        <v>0</v>
      </c>
      <c r="CV4221">
        <v>2</v>
      </c>
      <c r="CW4221">
        <v>0</v>
      </c>
      <c r="CX4221">
        <v>5</v>
      </c>
      <c r="CY4221">
        <v>7</v>
      </c>
      <c r="CZ4221" t="s">
        <v>131</v>
      </c>
      <c r="DA4221">
        <v>286</v>
      </c>
      <c r="DB4221">
        <v>0</v>
      </c>
      <c r="DC4221" t="s">
        <v>132</v>
      </c>
      <c r="DD4221" t="s">
        <v>133</v>
      </c>
      <c r="DG4221">
        <v>906032</v>
      </c>
      <c r="DI4221">
        <v>1</v>
      </c>
      <c r="DJ4221">
        <v>0</v>
      </c>
      <c r="DK4221">
        <v>1</v>
      </c>
      <c r="DL4221">
        <v>0</v>
      </c>
      <c r="DM4221">
        <v>0</v>
      </c>
      <c r="DN4221">
        <v>1</v>
      </c>
      <c r="DO4221">
        <v>0</v>
      </c>
      <c r="DP4221">
        <v>0</v>
      </c>
      <c r="DQ4221">
        <v>0</v>
      </c>
      <c r="DR4221">
        <v>0</v>
      </c>
      <c r="DS4221">
        <v>0</v>
      </c>
    </row>
    <row r="4222" spans="1:123" x14ac:dyDescent="0.3">
      <c r="A4222" t="str">
        <f t="shared" si="1556"/>
        <v>10/04/2022 19:36:56.496</v>
      </c>
      <c r="C4222" t="str">
        <f t="shared" si="1550"/>
        <v>FFDFD3C0</v>
      </c>
      <c r="D4222" t="s">
        <v>136</v>
      </c>
      <c r="E4222">
        <v>8</v>
      </c>
      <c r="H4222">
        <v>225</v>
      </c>
      <c r="I4222" t="s">
        <v>137</v>
      </c>
      <c r="J4222" t="s">
        <v>138</v>
      </c>
      <c r="K4222">
        <v>0</v>
      </c>
      <c r="L4222">
        <v>3</v>
      </c>
      <c r="M4222">
        <v>0</v>
      </c>
      <c r="N4222">
        <v>2</v>
      </c>
      <c r="O4222">
        <v>0</v>
      </c>
      <c r="P4222">
        <v>1</v>
      </c>
      <c r="Q4222">
        <v>0</v>
      </c>
      <c r="S4222" t="str">
        <f t="shared" si="1557"/>
        <v>19:36:56.000</v>
      </c>
      <c r="T4222" t="str">
        <f t="shared" si="1557"/>
        <v>19:36:56.000</v>
      </c>
      <c r="U4222" t="str">
        <f t="shared" si="1532"/>
        <v>AC3944</v>
      </c>
      <c r="V4222">
        <v>0</v>
      </c>
      <c r="W4222">
        <v>0</v>
      </c>
      <c r="X4222">
        <v>2</v>
      </c>
      <c r="Y4222">
        <v>0</v>
      </c>
      <c r="AA4222">
        <v>1</v>
      </c>
      <c r="AB4222">
        <v>8</v>
      </c>
      <c r="AC4222">
        <v>3</v>
      </c>
      <c r="AD4222">
        <v>0</v>
      </c>
      <c r="AE4222">
        <v>9</v>
      </c>
      <c r="AF4222" t="s">
        <v>138</v>
      </c>
      <c r="AG4222">
        <v>0</v>
      </c>
      <c r="AH4222">
        <v>3</v>
      </c>
      <c r="AI4222">
        <v>1</v>
      </c>
      <c r="AJ4222">
        <v>0</v>
      </c>
      <c r="AK4222" t="s">
        <v>1348</v>
      </c>
      <c r="AL4222">
        <v>32.746661000000003</v>
      </c>
      <c r="AM4222" t="s">
        <v>1349</v>
      </c>
      <c r="AN4222">
        <v>-116.684117</v>
      </c>
      <c r="AO4222">
        <v>25</v>
      </c>
      <c r="AP4222">
        <v>5000</v>
      </c>
      <c r="AQ4222" t="s">
        <v>129</v>
      </c>
      <c r="AR4222">
        <v>-139</v>
      </c>
      <c r="AS4222">
        <v>-2</v>
      </c>
      <c r="AT4222">
        <v>704</v>
      </c>
      <c r="BB4222">
        <v>1200</v>
      </c>
      <c r="BC4222">
        <v>1</v>
      </c>
      <c r="BD4222" t="str">
        <f t="shared" si="1533"/>
        <v xml:space="preserve">N887QR  </v>
      </c>
      <c r="BE4222">
        <v>1</v>
      </c>
      <c r="BG4222">
        <v>0</v>
      </c>
      <c r="BH4222">
        <v>0</v>
      </c>
      <c r="BI4222">
        <v>0</v>
      </c>
      <c r="BJ4222">
        <v>4750</v>
      </c>
      <c r="BK4222">
        <v>-250</v>
      </c>
      <c r="BL4222" t="s">
        <v>163</v>
      </c>
      <c r="BM4222">
        <v>1</v>
      </c>
      <c r="BN4222">
        <v>1</v>
      </c>
      <c r="BO4222">
        <v>1</v>
      </c>
      <c r="BP4222">
        <v>0</v>
      </c>
      <c r="BS4222">
        <v>0.04</v>
      </c>
      <c r="BT4222">
        <v>0</v>
      </c>
      <c r="BU4222">
        <v>0</v>
      </c>
      <c r="CE4222" t="str">
        <f t="shared" si="1558"/>
        <v>19:36:56.234</v>
      </c>
      <c r="CF4222">
        <v>233612530</v>
      </c>
      <c r="CS4222">
        <v>0</v>
      </c>
      <c r="CT4222">
        <v>2</v>
      </c>
      <c r="CU4222">
        <v>0</v>
      </c>
      <c r="CV4222">
        <v>2</v>
      </c>
      <c r="CW4222">
        <v>0</v>
      </c>
      <c r="CX4222">
        <v>5</v>
      </c>
      <c r="CY4222">
        <v>7</v>
      </c>
      <c r="CZ4222" t="s">
        <v>131</v>
      </c>
      <c r="DA4222">
        <v>286</v>
      </c>
      <c r="DB4222">
        <v>0</v>
      </c>
      <c r="DC4222" t="s">
        <v>132</v>
      </c>
      <c r="DD4222" t="s">
        <v>133</v>
      </c>
      <c r="DG4222">
        <v>906032</v>
      </c>
      <c r="DI4222">
        <v>1</v>
      </c>
      <c r="DJ4222">
        <v>0</v>
      </c>
      <c r="DK4222">
        <v>1</v>
      </c>
      <c r="DL4222">
        <v>0</v>
      </c>
      <c r="DM4222">
        <v>0</v>
      </c>
      <c r="DN4222">
        <v>1</v>
      </c>
      <c r="DO4222">
        <v>0</v>
      </c>
      <c r="DP4222">
        <v>0</v>
      </c>
      <c r="DQ4222">
        <v>0</v>
      </c>
      <c r="DR4222">
        <v>0</v>
      </c>
      <c r="DS4222">
        <v>0</v>
      </c>
    </row>
    <row r="4223" spans="1:123" x14ac:dyDescent="0.3">
      <c r="A4223" t="str">
        <f t="shared" si="1556"/>
        <v>10/04/2022 19:36:56.496</v>
      </c>
      <c r="C4223" t="str">
        <f t="shared" si="1550"/>
        <v>FFDFD3C0</v>
      </c>
      <c r="D4223" t="s">
        <v>134</v>
      </c>
      <c r="E4223">
        <v>15</v>
      </c>
      <c r="J4223" t="s">
        <v>135</v>
      </c>
      <c r="K4223">
        <v>0</v>
      </c>
      <c r="L4223">
        <v>3</v>
      </c>
      <c r="M4223">
        <v>0</v>
      </c>
      <c r="N4223">
        <v>2</v>
      </c>
      <c r="O4223">
        <v>0</v>
      </c>
      <c r="P4223">
        <v>1</v>
      </c>
      <c r="Q4223">
        <v>0</v>
      </c>
      <c r="S4223" t="str">
        <f t="shared" si="1557"/>
        <v>19:36:56.000</v>
      </c>
      <c r="T4223" t="str">
        <f t="shared" si="1557"/>
        <v>19:36:56.000</v>
      </c>
      <c r="U4223" t="str">
        <f t="shared" si="1532"/>
        <v>AC3944</v>
      </c>
      <c r="V4223">
        <v>0</v>
      </c>
      <c r="W4223">
        <v>0</v>
      </c>
      <c r="X4223">
        <v>2</v>
      </c>
      <c r="Y4223">
        <v>0</v>
      </c>
      <c r="AA4223">
        <v>1</v>
      </c>
      <c r="AB4223">
        <v>8</v>
      </c>
      <c r="AC4223">
        <v>3</v>
      </c>
      <c r="AD4223">
        <v>0</v>
      </c>
      <c r="AE4223">
        <v>9</v>
      </c>
      <c r="AF4223" t="s">
        <v>138</v>
      </c>
      <c r="AG4223">
        <v>0</v>
      </c>
      <c r="AH4223">
        <v>3</v>
      </c>
      <c r="AI4223">
        <v>1</v>
      </c>
      <c r="AJ4223">
        <v>0</v>
      </c>
      <c r="AK4223" t="s">
        <v>1348</v>
      </c>
      <c r="AL4223">
        <v>32.746661000000003</v>
      </c>
      <c r="AM4223" t="s">
        <v>1349</v>
      </c>
      <c r="AN4223">
        <v>-116.684117</v>
      </c>
      <c r="AO4223">
        <v>25</v>
      </c>
      <c r="AP4223">
        <v>5000</v>
      </c>
      <c r="AQ4223" t="s">
        <v>129</v>
      </c>
      <c r="AR4223">
        <v>-139</v>
      </c>
      <c r="AS4223">
        <v>-2</v>
      </c>
      <c r="AT4223">
        <v>704</v>
      </c>
      <c r="BB4223">
        <v>1200</v>
      </c>
      <c r="BC4223">
        <v>1</v>
      </c>
      <c r="BD4223" t="str">
        <f t="shared" si="1533"/>
        <v xml:space="preserve">N887QR  </v>
      </c>
      <c r="BE4223">
        <v>1</v>
      </c>
      <c r="BG4223">
        <v>0</v>
      </c>
      <c r="BH4223">
        <v>0</v>
      </c>
      <c r="BI4223">
        <v>0</v>
      </c>
      <c r="BJ4223">
        <v>4750</v>
      </c>
      <c r="BK4223">
        <v>-250</v>
      </c>
      <c r="BL4223" t="s">
        <v>163</v>
      </c>
      <c r="BM4223">
        <v>1</v>
      </c>
      <c r="BN4223">
        <v>1</v>
      </c>
      <c r="BO4223">
        <v>1</v>
      </c>
      <c r="BP4223">
        <v>0</v>
      </c>
      <c r="BS4223">
        <v>0.04</v>
      </c>
      <c r="BT4223">
        <v>0</v>
      </c>
      <c r="BU4223">
        <v>0</v>
      </c>
      <c r="CE4223" t="str">
        <f t="shared" si="1558"/>
        <v>19:36:56.234</v>
      </c>
      <c r="CF4223">
        <v>233612530</v>
      </c>
      <c r="CS4223">
        <v>0</v>
      </c>
      <c r="CT4223">
        <v>2</v>
      </c>
      <c r="CU4223">
        <v>0</v>
      </c>
      <c r="CV4223">
        <v>2</v>
      </c>
      <c r="CW4223">
        <v>0</v>
      </c>
      <c r="CX4223">
        <v>5</v>
      </c>
      <c r="CY4223">
        <v>7</v>
      </c>
      <c r="CZ4223" t="s">
        <v>131</v>
      </c>
      <c r="DA4223">
        <v>286</v>
      </c>
      <c r="DB4223">
        <v>0</v>
      </c>
      <c r="DC4223" t="s">
        <v>132</v>
      </c>
      <c r="DD4223" t="s">
        <v>133</v>
      </c>
      <c r="DG4223">
        <v>906032</v>
      </c>
      <c r="DI4223">
        <v>1</v>
      </c>
      <c r="DJ4223">
        <v>0</v>
      </c>
      <c r="DK4223">
        <v>0</v>
      </c>
      <c r="DL4223">
        <v>0</v>
      </c>
      <c r="DM4223">
        <v>0</v>
      </c>
      <c r="DN4223">
        <v>1</v>
      </c>
      <c r="DO4223">
        <v>0</v>
      </c>
      <c r="DP4223">
        <v>0</v>
      </c>
      <c r="DQ4223">
        <v>0</v>
      </c>
      <c r="DR4223">
        <v>0</v>
      </c>
      <c r="DS4223">
        <v>0</v>
      </c>
    </row>
    <row r="4224" spans="1:123" x14ac:dyDescent="0.3">
      <c r="A4224" t="str">
        <f t="shared" si="1556"/>
        <v>10/04/2022 19:36:56.496</v>
      </c>
      <c r="C4224" t="str">
        <f t="shared" si="1550"/>
        <v>FFDFD3C0</v>
      </c>
      <c r="D4224" t="s">
        <v>143</v>
      </c>
      <c r="E4224">
        <v>20</v>
      </c>
      <c r="F4224">
        <v>1020</v>
      </c>
      <c r="G4224" t="s">
        <v>144</v>
      </c>
      <c r="J4224" t="s">
        <v>145</v>
      </c>
      <c r="K4224">
        <v>0</v>
      </c>
      <c r="L4224">
        <v>3</v>
      </c>
      <c r="M4224">
        <v>0</v>
      </c>
      <c r="N4224">
        <v>2</v>
      </c>
      <c r="O4224">
        <v>0</v>
      </c>
      <c r="P4224">
        <v>1</v>
      </c>
      <c r="Q4224">
        <v>0</v>
      </c>
      <c r="S4224" t="str">
        <f t="shared" si="1557"/>
        <v>19:36:56.000</v>
      </c>
      <c r="T4224" t="str">
        <f t="shared" si="1557"/>
        <v>19:36:56.000</v>
      </c>
      <c r="U4224" t="str">
        <f t="shared" si="1532"/>
        <v>AC3944</v>
      </c>
      <c r="V4224">
        <v>0</v>
      </c>
      <c r="W4224">
        <v>0</v>
      </c>
      <c r="X4224">
        <v>2</v>
      </c>
      <c r="Y4224">
        <v>0</v>
      </c>
      <c r="AA4224">
        <v>1</v>
      </c>
      <c r="AB4224">
        <v>8</v>
      </c>
      <c r="AC4224">
        <v>3</v>
      </c>
      <c r="AD4224">
        <v>0</v>
      </c>
      <c r="AE4224">
        <v>9</v>
      </c>
      <c r="AF4224" t="s">
        <v>138</v>
      </c>
      <c r="AG4224">
        <v>0</v>
      </c>
      <c r="AH4224">
        <v>3</v>
      </c>
      <c r="AI4224">
        <v>1</v>
      </c>
      <c r="AJ4224">
        <v>0</v>
      </c>
      <c r="AK4224" t="s">
        <v>1348</v>
      </c>
      <c r="AL4224">
        <v>32.746661000000003</v>
      </c>
      <c r="AM4224" t="s">
        <v>1349</v>
      </c>
      <c r="AN4224">
        <v>-116.684117</v>
      </c>
      <c r="AO4224">
        <v>25</v>
      </c>
      <c r="AP4224">
        <v>5000</v>
      </c>
      <c r="AQ4224" t="s">
        <v>129</v>
      </c>
      <c r="AR4224">
        <v>-139</v>
      </c>
      <c r="AS4224">
        <v>-2</v>
      </c>
      <c r="AT4224">
        <v>704</v>
      </c>
      <c r="BB4224">
        <v>1200</v>
      </c>
      <c r="BC4224">
        <v>1</v>
      </c>
      <c r="BD4224" t="str">
        <f t="shared" si="1533"/>
        <v xml:space="preserve">N887QR  </v>
      </c>
      <c r="BE4224">
        <v>1</v>
      </c>
      <c r="BG4224">
        <v>0</v>
      </c>
      <c r="BH4224">
        <v>0</v>
      </c>
      <c r="BI4224">
        <v>0</v>
      </c>
      <c r="BJ4224">
        <v>4750</v>
      </c>
      <c r="BK4224">
        <v>-250</v>
      </c>
      <c r="BL4224" t="s">
        <v>163</v>
      </c>
      <c r="BM4224">
        <v>1</v>
      </c>
      <c r="BN4224">
        <v>1</v>
      </c>
      <c r="BO4224">
        <v>1</v>
      </c>
      <c r="BP4224">
        <v>0</v>
      </c>
      <c r="BS4224">
        <v>0.04</v>
      </c>
      <c r="BT4224">
        <v>0</v>
      </c>
      <c r="BU4224">
        <v>0</v>
      </c>
      <c r="CE4224" t="str">
        <f t="shared" si="1558"/>
        <v>19:36:56.234</v>
      </c>
      <c r="CF4224">
        <v>233612530</v>
      </c>
      <c r="CS4224">
        <v>0</v>
      </c>
      <c r="CT4224">
        <v>2</v>
      </c>
      <c r="CU4224">
        <v>0</v>
      </c>
      <c r="CV4224">
        <v>2</v>
      </c>
      <c r="CW4224">
        <v>0</v>
      </c>
      <c r="CX4224">
        <v>5</v>
      </c>
      <c r="CY4224">
        <v>7</v>
      </c>
      <c r="CZ4224" t="s">
        <v>131</v>
      </c>
      <c r="DA4224">
        <v>286</v>
      </c>
      <c r="DB4224">
        <v>0</v>
      </c>
      <c r="DC4224" t="s">
        <v>132</v>
      </c>
      <c r="DD4224" t="s">
        <v>133</v>
      </c>
      <c r="DG4224">
        <v>906032</v>
      </c>
      <c r="DI4224">
        <v>1</v>
      </c>
      <c r="DJ4224">
        <v>0</v>
      </c>
      <c r="DK4224">
        <v>1</v>
      </c>
      <c r="DL4224">
        <v>0</v>
      </c>
      <c r="DM4224">
        <v>0</v>
      </c>
      <c r="DN4224">
        <v>1</v>
      </c>
      <c r="DO4224">
        <v>0</v>
      </c>
      <c r="DP4224">
        <v>0</v>
      </c>
      <c r="DQ4224">
        <v>0</v>
      </c>
      <c r="DR4224">
        <v>0</v>
      </c>
      <c r="DS4224">
        <v>0</v>
      </c>
    </row>
    <row r="4225" spans="1:123" x14ac:dyDescent="0.3">
      <c r="A4225" t="str">
        <f t="shared" si="1556"/>
        <v>10/04/2022 19:36:56.496</v>
      </c>
      <c r="C4225" t="str">
        <f t="shared" si="1550"/>
        <v>FFDFD3C0</v>
      </c>
      <c r="D4225" t="s">
        <v>141</v>
      </c>
      <c r="E4225">
        <v>3</v>
      </c>
      <c r="H4225">
        <v>3</v>
      </c>
      <c r="I4225" t="s">
        <v>146</v>
      </c>
      <c r="J4225" t="s">
        <v>138</v>
      </c>
      <c r="K4225">
        <v>0</v>
      </c>
      <c r="L4225">
        <v>3</v>
      </c>
      <c r="M4225">
        <v>0</v>
      </c>
      <c r="N4225">
        <v>2</v>
      </c>
      <c r="O4225">
        <v>0</v>
      </c>
      <c r="P4225">
        <v>1</v>
      </c>
      <c r="Q4225">
        <v>0</v>
      </c>
      <c r="S4225" t="str">
        <f t="shared" si="1557"/>
        <v>19:36:56.000</v>
      </c>
      <c r="T4225" t="str">
        <f t="shared" si="1557"/>
        <v>19:36:56.000</v>
      </c>
      <c r="U4225" t="str">
        <f t="shared" si="1532"/>
        <v>AC3944</v>
      </c>
      <c r="V4225">
        <v>0</v>
      </c>
      <c r="W4225">
        <v>0</v>
      </c>
      <c r="X4225">
        <v>2</v>
      </c>
      <c r="Y4225">
        <v>0</v>
      </c>
      <c r="AA4225">
        <v>1</v>
      </c>
      <c r="AB4225">
        <v>8</v>
      </c>
      <c r="AC4225">
        <v>3</v>
      </c>
      <c r="AD4225">
        <v>0</v>
      </c>
      <c r="AE4225">
        <v>9</v>
      </c>
      <c r="AF4225" t="s">
        <v>138</v>
      </c>
      <c r="AG4225">
        <v>0</v>
      </c>
      <c r="AH4225">
        <v>3</v>
      </c>
      <c r="AI4225">
        <v>1</v>
      </c>
      <c r="AJ4225">
        <v>0</v>
      </c>
      <c r="AK4225" t="s">
        <v>1348</v>
      </c>
      <c r="AL4225">
        <v>32.746661000000003</v>
      </c>
      <c r="AM4225" t="s">
        <v>1349</v>
      </c>
      <c r="AN4225">
        <v>-116.684117</v>
      </c>
      <c r="AO4225">
        <v>25</v>
      </c>
      <c r="AP4225">
        <v>5000</v>
      </c>
      <c r="AQ4225" t="s">
        <v>129</v>
      </c>
      <c r="AR4225">
        <v>-139</v>
      </c>
      <c r="AS4225">
        <v>-2</v>
      </c>
      <c r="AT4225">
        <v>704</v>
      </c>
      <c r="BB4225">
        <v>1200</v>
      </c>
      <c r="BC4225">
        <v>1</v>
      </c>
      <c r="BD4225" t="str">
        <f t="shared" si="1533"/>
        <v xml:space="preserve">N887QR  </v>
      </c>
      <c r="BE4225">
        <v>1</v>
      </c>
      <c r="BG4225">
        <v>0</v>
      </c>
      <c r="BH4225">
        <v>0</v>
      </c>
      <c r="BI4225">
        <v>0</v>
      </c>
      <c r="BJ4225">
        <v>4750</v>
      </c>
      <c r="BK4225">
        <v>-250</v>
      </c>
      <c r="BL4225" t="s">
        <v>163</v>
      </c>
      <c r="BM4225">
        <v>1</v>
      </c>
      <c r="BN4225">
        <v>1</v>
      </c>
      <c r="BO4225">
        <v>1</v>
      </c>
      <c r="BP4225">
        <v>0</v>
      </c>
      <c r="BS4225">
        <v>0.04</v>
      </c>
      <c r="BT4225">
        <v>0</v>
      </c>
      <c r="BU4225">
        <v>0</v>
      </c>
      <c r="CE4225" t="str">
        <f t="shared" si="1558"/>
        <v>19:36:56.234</v>
      </c>
      <c r="CF4225">
        <v>233612530</v>
      </c>
      <c r="CS4225">
        <v>0</v>
      </c>
      <c r="CT4225">
        <v>2</v>
      </c>
      <c r="CU4225">
        <v>0</v>
      </c>
      <c r="CV4225">
        <v>2</v>
      </c>
      <c r="CW4225">
        <v>0</v>
      </c>
      <c r="CX4225">
        <v>5</v>
      </c>
      <c r="CY4225">
        <v>7</v>
      </c>
      <c r="CZ4225" t="s">
        <v>131</v>
      </c>
      <c r="DA4225">
        <v>286</v>
      </c>
      <c r="DB4225">
        <v>0</v>
      </c>
      <c r="DC4225" t="s">
        <v>132</v>
      </c>
      <c r="DD4225" t="s">
        <v>133</v>
      </c>
      <c r="DG4225">
        <v>906032</v>
      </c>
      <c r="DI4225">
        <v>1</v>
      </c>
      <c r="DJ4225">
        <v>0</v>
      </c>
      <c r="DK4225">
        <v>1</v>
      </c>
      <c r="DL4225">
        <v>0</v>
      </c>
      <c r="DM4225">
        <v>0</v>
      </c>
      <c r="DN4225">
        <v>1</v>
      </c>
      <c r="DO4225">
        <v>0</v>
      </c>
      <c r="DP4225">
        <v>0</v>
      </c>
      <c r="DQ4225">
        <v>0</v>
      </c>
      <c r="DR4225">
        <v>0</v>
      </c>
      <c r="DS4225">
        <v>0</v>
      </c>
    </row>
    <row r="4226" spans="1:123" x14ac:dyDescent="0.3">
      <c r="A4226" t="str">
        <f t="shared" si="1556"/>
        <v>10/04/2022 19:36:56.496</v>
      </c>
      <c r="C4226" t="str">
        <f t="shared" si="1550"/>
        <v>FFDFD3C0</v>
      </c>
      <c r="D4226" t="s">
        <v>123</v>
      </c>
      <c r="E4226">
        <v>7</v>
      </c>
      <c r="F4226">
        <v>2007</v>
      </c>
      <c r="G4226" t="s">
        <v>124</v>
      </c>
      <c r="J4226" t="s">
        <v>125</v>
      </c>
      <c r="K4226">
        <v>0</v>
      </c>
      <c r="L4226">
        <v>3</v>
      </c>
      <c r="M4226">
        <v>0</v>
      </c>
      <c r="N4226">
        <v>2</v>
      </c>
      <c r="O4226">
        <v>0</v>
      </c>
      <c r="P4226">
        <v>1</v>
      </c>
      <c r="Q4226">
        <v>0</v>
      </c>
      <c r="S4226" t="str">
        <f t="shared" si="1557"/>
        <v>19:36:56.000</v>
      </c>
      <c r="T4226" t="str">
        <f t="shared" si="1557"/>
        <v>19:36:56.000</v>
      </c>
      <c r="U4226" t="str">
        <f t="shared" ref="U4226:U4289" si="1559">"AC3944"</f>
        <v>AC3944</v>
      </c>
      <c r="V4226">
        <v>0</v>
      </c>
      <c r="W4226">
        <v>0</v>
      </c>
      <c r="X4226">
        <v>2</v>
      </c>
      <c r="Y4226">
        <v>0</v>
      </c>
      <c r="AA4226">
        <v>1</v>
      </c>
      <c r="AB4226">
        <v>8</v>
      </c>
      <c r="AC4226">
        <v>3</v>
      </c>
      <c r="AD4226">
        <v>0</v>
      </c>
      <c r="AE4226">
        <v>9</v>
      </c>
      <c r="AF4226" t="s">
        <v>138</v>
      </c>
      <c r="AG4226">
        <v>0</v>
      </c>
      <c r="AH4226">
        <v>3</v>
      </c>
      <c r="AI4226">
        <v>1</v>
      </c>
      <c r="AJ4226">
        <v>0</v>
      </c>
      <c r="AK4226" t="s">
        <v>1348</v>
      </c>
      <c r="AL4226">
        <v>32.746661000000003</v>
      </c>
      <c r="AM4226" t="s">
        <v>1349</v>
      </c>
      <c r="AN4226">
        <v>-116.684117</v>
      </c>
      <c r="AO4226">
        <v>25</v>
      </c>
      <c r="AP4226">
        <v>5000</v>
      </c>
      <c r="AQ4226" t="s">
        <v>129</v>
      </c>
      <c r="AR4226">
        <v>-139</v>
      </c>
      <c r="AS4226">
        <v>-2</v>
      </c>
      <c r="AT4226">
        <v>704</v>
      </c>
      <c r="BB4226">
        <v>1200</v>
      </c>
      <c r="BC4226">
        <v>1</v>
      </c>
      <c r="BD4226" t="str">
        <f t="shared" ref="BD4226:BD4289" si="1560">"N887QR  "</f>
        <v xml:space="preserve">N887QR  </v>
      </c>
      <c r="BE4226">
        <v>1</v>
      </c>
      <c r="BG4226">
        <v>0</v>
      </c>
      <c r="BH4226">
        <v>0</v>
      </c>
      <c r="BI4226">
        <v>0</v>
      </c>
      <c r="BJ4226">
        <v>4750</v>
      </c>
      <c r="BK4226">
        <v>-250</v>
      </c>
      <c r="BL4226" t="s">
        <v>163</v>
      </c>
      <c r="BM4226">
        <v>1</v>
      </c>
      <c r="BN4226">
        <v>1</v>
      </c>
      <c r="BO4226">
        <v>1</v>
      </c>
      <c r="BP4226">
        <v>0</v>
      </c>
      <c r="BS4226">
        <v>0.04</v>
      </c>
      <c r="BT4226">
        <v>0</v>
      </c>
      <c r="BU4226">
        <v>0</v>
      </c>
      <c r="CE4226" t="str">
        <f t="shared" si="1558"/>
        <v>19:36:56.234</v>
      </c>
      <c r="CF4226">
        <v>233612530</v>
      </c>
      <c r="CS4226">
        <v>0</v>
      </c>
      <c r="CT4226">
        <v>2</v>
      </c>
      <c r="CU4226">
        <v>0</v>
      </c>
      <c r="CV4226">
        <v>2</v>
      </c>
      <c r="CW4226">
        <v>0</v>
      </c>
      <c r="CX4226">
        <v>5</v>
      </c>
      <c r="CY4226">
        <v>7</v>
      </c>
      <c r="CZ4226" t="s">
        <v>131</v>
      </c>
      <c r="DA4226">
        <v>286</v>
      </c>
      <c r="DB4226">
        <v>0</v>
      </c>
      <c r="DC4226" t="s">
        <v>132</v>
      </c>
      <c r="DD4226" t="s">
        <v>133</v>
      </c>
      <c r="DG4226">
        <v>906032</v>
      </c>
      <c r="DI4226">
        <v>1</v>
      </c>
      <c r="DJ4226">
        <v>0</v>
      </c>
      <c r="DK4226">
        <v>1</v>
      </c>
      <c r="DL4226">
        <v>0</v>
      </c>
      <c r="DM4226">
        <v>0</v>
      </c>
      <c r="DN4226">
        <v>1</v>
      </c>
      <c r="DO4226">
        <v>0</v>
      </c>
      <c r="DP4226">
        <v>0</v>
      </c>
      <c r="DQ4226">
        <v>0</v>
      </c>
      <c r="DR4226">
        <v>0</v>
      </c>
      <c r="DS4226">
        <v>0</v>
      </c>
    </row>
    <row r="4227" spans="1:123" x14ac:dyDescent="0.3">
      <c r="A4227" t="str">
        <f>"10/04/2022 19:36:57.168"</f>
        <v>10/04/2022 19:36:57.168</v>
      </c>
      <c r="C4227" t="str">
        <f t="shared" si="1550"/>
        <v>FFDFD3C0</v>
      </c>
      <c r="D4227" t="s">
        <v>143</v>
      </c>
      <c r="E4227">
        <v>20</v>
      </c>
      <c r="F4227">
        <v>1020</v>
      </c>
      <c r="G4227" t="s">
        <v>144</v>
      </c>
      <c r="J4227" t="s">
        <v>145</v>
      </c>
      <c r="K4227">
        <v>0</v>
      </c>
      <c r="L4227">
        <v>3</v>
      </c>
      <c r="M4227">
        <v>0</v>
      </c>
      <c r="N4227">
        <v>2</v>
      </c>
      <c r="O4227">
        <v>0</v>
      </c>
      <c r="P4227">
        <v>1</v>
      </c>
      <c r="Q4227">
        <v>0</v>
      </c>
      <c r="S4227" t="str">
        <f t="shared" si="1557"/>
        <v>19:36:56.000</v>
      </c>
      <c r="T4227" t="str">
        <f t="shared" si="1557"/>
        <v>19:36:56.000</v>
      </c>
      <c r="U4227" t="str">
        <f t="shared" si="1559"/>
        <v>AC3944</v>
      </c>
      <c r="V4227">
        <v>0</v>
      </c>
      <c r="W4227">
        <v>0</v>
      </c>
      <c r="X4227">
        <v>2</v>
      </c>
      <c r="Y4227">
        <v>0</v>
      </c>
      <c r="AA4227">
        <v>1</v>
      </c>
      <c r="AB4227">
        <v>8</v>
      </c>
      <c r="AC4227">
        <v>3</v>
      </c>
      <c r="AD4227">
        <v>0</v>
      </c>
      <c r="AE4227">
        <v>9</v>
      </c>
      <c r="AF4227" t="s">
        <v>138</v>
      </c>
      <c r="AG4227">
        <v>0</v>
      </c>
      <c r="AH4227">
        <v>3</v>
      </c>
      <c r="AI4227">
        <v>1</v>
      </c>
      <c r="AJ4227">
        <v>0</v>
      </c>
      <c r="AK4227" t="s">
        <v>1348</v>
      </c>
      <c r="AL4227">
        <v>32.746661000000003</v>
      </c>
      <c r="AM4227" t="s">
        <v>1350</v>
      </c>
      <c r="AN4227">
        <v>-116.68504</v>
      </c>
      <c r="AO4227">
        <v>25</v>
      </c>
      <c r="AP4227">
        <v>5000</v>
      </c>
      <c r="AQ4227" t="s">
        <v>129</v>
      </c>
      <c r="AR4227">
        <v>-139</v>
      </c>
      <c r="AS4227">
        <v>-10</v>
      </c>
      <c r="AT4227">
        <v>704</v>
      </c>
      <c r="BB4227">
        <v>1200</v>
      </c>
      <c r="BC4227">
        <v>1</v>
      </c>
      <c r="BD4227" t="str">
        <f t="shared" si="1560"/>
        <v xml:space="preserve">N887QR  </v>
      </c>
      <c r="BE4227">
        <v>1</v>
      </c>
      <c r="BG4227">
        <v>0</v>
      </c>
      <c r="BH4227">
        <v>0</v>
      </c>
      <c r="BI4227">
        <v>0</v>
      </c>
      <c r="BJ4227">
        <v>4750</v>
      </c>
      <c r="BK4227">
        <v>-250</v>
      </c>
      <c r="BL4227" t="s">
        <v>163</v>
      </c>
      <c r="BM4227">
        <v>1</v>
      </c>
      <c r="BN4227">
        <v>1</v>
      </c>
      <c r="BO4227">
        <v>1</v>
      </c>
      <c r="BP4227">
        <v>0</v>
      </c>
      <c r="BS4227">
        <v>0.04</v>
      </c>
      <c r="BT4227">
        <v>0</v>
      </c>
      <c r="BU4227">
        <v>0</v>
      </c>
      <c r="CE4227" t="str">
        <f t="shared" ref="CE4227:CE4232" si="1561">"19:36:56.832"</f>
        <v>19:36:56.832</v>
      </c>
      <c r="CF4227">
        <v>831864240</v>
      </c>
      <c r="CS4227">
        <v>0</v>
      </c>
      <c r="CT4227">
        <v>2</v>
      </c>
      <c r="CU4227">
        <v>0</v>
      </c>
      <c r="CV4227">
        <v>2</v>
      </c>
      <c r="CW4227">
        <v>0</v>
      </c>
      <c r="CX4227">
        <v>5</v>
      </c>
      <c r="CY4227">
        <v>7</v>
      </c>
      <c r="CZ4227" t="s">
        <v>131</v>
      </c>
      <c r="DA4227">
        <v>286</v>
      </c>
      <c r="DB4227">
        <v>0</v>
      </c>
      <c r="DC4227" t="s">
        <v>132</v>
      </c>
      <c r="DD4227" t="s">
        <v>133</v>
      </c>
      <c r="DG4227">
        <v>906189</v>
      </c>
      <c r="DI4227">
        <v>1</v>
      </c>
      <c r="DJ4227">
        <v>0</v>
      </c>
      <c r="DK4227">
        <v>0</v>
      </c>
      <c r="DL4227">
        <v>0</v>
      </c>
      <c r="DM4227">
        <v>0</v>
      </c>
      <c r="DN4227">
        <v>1</v>
      </c>
      <c r="DO4227">
        <v>0</v>
      </c>
      <c r="DP4227">
        <v>0</v>
      </c>
      <c r="DQ4227">
        <v>0</v>
      </c>
      <c r="DR4227">
        <v>0</v>
      </c>
      <c r="DS4227">
        <v>0</v>
      </c>
    </row>
    <row r="4228" spans="1:123" x14ac:dyDescent="0.3">
      <c r="A4228" t="str">
        <f>"10/04/2022 19:36:57.199"</f>
        <v>10/04/2022 19:36:57.199</v>
      </c>
      <c r="C4228" t="str">
        <f t="shared" si="1550"/>
        <v>FFDFD3C0</v>
      </c>
      <c r="D4228" t="s">
        <v>141</v>
      </c>
      <c r="E4228">
        <v>3</v>
      </c>
      <c r="H4228">
        <v>3</v>
      </c>
      <c r="I4228" t="s">
        <v>146</v>
      </c>
      <c r="J4228" t="s">
        <v>138</v>
      </c>
      <c r="K4228">
        <v>0</v>
      </c>
      <c r="L4228">
        <v>3</v>
      </c>
      <c r="M4228">
        <v>0</v>
      </c>
      <c r="N4228">
        <v>2</v>
      </c>
      <c r="O4228">
        <v>0</v>
      </c>
      <c r="P4228">
        <v>1</v>
      </c>
      <c r="Q4228">
        <v>0</v>
      </c>
      <c r="S4228" t="str">
        <f t="shared" si="1557"/>
        <v>19:36:56.000</v>
      </c>
      <c r="T4228" t="str">
        <f t="shared" si="1557"/>
        <v>19:36:56.000</v>
      </c>
      <c r="U4228" t="str">
        <f t="shared" si="1559"/>
        <v>AC3944</v>
      </c>
      <c r="V4228">
        <v>0</v>
      </c>
      <c r="W4228">
        <v>0</v>
      </c>
      <c r="X4228">
        <v>2</v>
      </c>
      <c r="Y4228">
        <v>0</v>
      </c>
      <c r="AA4228">
        <v>1</v>
      </c>
      <c r="AB4228">
        <v>8</v>
      </c>
      <c r="AC4228">
        <v>3</v>
      </c>
      <c r="AD4228">
        <v>0</v>
      </c>
      <c r="AE4228">
        <v>9</v>
      </c>
      <c r="AF4228" t="s">
        <v>138</v>
      </c>
      <c r="AG4228">
        <v>0</v>
      </c>
      <c r="AH4228">
        <v>3</v>
      </c>
      <c r="AI4228">
        <v>1</v>
      </c>
      <c r="AJ4228">
        <v>0</v>
      </c>
      <c r="AK4228" t="s">
        <v>1348</v>
      </c>
      <c r="AL4228">
        <v>32.746661000000003</v>
      </c>
      <c r="AM4228" t="s">
        <v>1350</v>
      </c>
      <c r="AN4228">
        <v>-116.68504</v>
      </c>
      <c r="AO4228">
        <v>25</v>
      </c>
      <c r="AP4228">
        <v>5000</v>
      </c>
      <c r="AQ4228" t="s">
        <v>129</v>
      </c>
      <c r="AR4228">
        <v>-139</v>
      </c>
      <c r="AS4228">
        <v>-10</v>
      </c>
      <c r="AT4228">
        <v>704</v>
      </c>
      <c r="BB4228">
        <v>1200</v>
      </c>
      <c r="BC4228">
        <v>1</v>
      </c>
      <c r="BD4228" t="str">
        <f t="shared" si="1560"/>
        <v xml:space="preserve">N887QR  </v>
      </c>
      <c r="BE4228">
        <v>1</v>
      </c>
      <c r="BG4228">
        <v>0</v>
      </c>
      <c r="BH4228">
        <v>0</v>
      </c>
      <c r="BI4228">
        <v>0</v>
      </c>
      <c r="BJ4228">
        <v>4750</v>
      </c>
      <c r="BK4228">
        <v>-250</v>
      </c>
      <c r="BL4228" t="s">
        <v>163</v>
      </c>
      <c r="BM4228">
        <v>1</v>
      </c>
      <c r="BN4228">
        <v>1</v>
      </c>
      <c r="BO4228">
        <v>1</v>
      </c>
      <c r="BP4228">
        <v>0</v>
      </c>
      <c r="BS4228">
        <v>0.04</v>
      </c>
      <c r="BT4228">
        <v>0</v>
      </c>
      <c r="BU4228">
        <v>0</v>
      </c>
      <c r="CE4228" t="str">
        <f t="shared" si="1561"/>
        <v>19:36:56.832</v>
      </c>
      <c r="CF4228">
        <v>831864240</v>
      </c>
      <c r="CS4228">
        <v>0</v>
      </c>
      <c r="CT4228">
        <v>2</v>
      </c>
      <c r="CU4228">
        <v>0</v>
      </c>
      <c r="CV4228">
        <v>2</v>
      </c>
      <c r="CW4228">
        <v>0</v>
      </c>
      <c r="CX4228">
        <v>5</v>
      </c>
      <c r="CY4228">
        <v>7</v>
      </c>
      <c r="CZ4228" t="s">
        <v>131</v>
      </c>
      <c r="DA4228">
        <v>286</v>
      </c>
      <c r="DB4228">
        <v>0</v>
      </c>
      <c r="DC4228" t="s">
        <v>132</v>
      </c>
      <c r="DD4228" t="s">
        <v>133</v>
      </c>
      <c r="DG4228">
        <v>906189</v>
      </c>
      <c r="DI4228">
        <v>1</v>
      </c>
      <c r="DJ4228">
        <v>0</v>
      </c>
      <c r="DK4228">
        <v>1</v>
      </c>
      <c r="DL4228">
        <v>0</v>
      </c>
      <c r="DM4228">
        <v>0</v>
      </c>
      <c r="DN4228">
        <v>1</v>
      </c>
      <c r="DO4228">
        <v>0</v>
      </c>
      <c r="DP4228">
        <v>0</v>
      </c>
      <c r="DQ4228">
        <v>0</v>
      </c>
      <c r="DR4228">
        <v>0</v>
      </c>
      <c r="DS4228">
        <v>0</v>
      </c>
    </row>
    <row r="4229" spans="1:123" x14ac:dyDescent="0.3">
      <c r="A4229" t="str">
        <f>"10/04/2022 19:36:57.199"</f>
        <v>10/04/2022 19:36:57.199</v>
      </c>
      <c r="C4229" t="str">
        <f t="shared" si="1550"/>
        <v>FFDFD3C0</v>
      </c>
      <c r="D4229" t="s">
        <v>123</v>
      </c>
      <c r="E4229">
        <v>7</v>
      </c>
      <c r="F4229">
        <v>2007</v>
      </c>
      <c r="G4229" t="s">
        <v>124</v>
      </c>
      <c r="J4229" t="s">
        <v>125</v>
      </c>
      <c r="K4229">
        <v>0</v>
      </c>
      <c r="L4229">
        <v>3</v>
      </c>
      <c r="M4229">
        <v>0</v>
      </c>
      <c r="N4229">
        <v>2</v>
      </c>
      <c r="O4229">
        <v>0</v>
      </c>
      <c r="P4229">
        <v>1</v>
      </c>
      <c r="Q4229">
        <v>0</v>
      </c>
      <c r="S4229" t="str">
        <f t="shared" si="1557"/>
        <v>19:36:56.000</v>
      </c>
      <c r="T4229" t="str">
        <f t="shared" si="1557"/>
        <v>19:36:56.000</v>
      </c>
      <c r="U4229" t="str">
        <f t="shared" si="1559"/>
        <v>AC3944</v>
      </c>
      <c r="V4229">
        <v>0</v>
      </c>
      <c r="W4229">
        <v>0</v>
      </c>
      <c r="X4229">
        <v>2</v>
      </c>
      <c r="Y4229">
        <v>0</v>
      </c>
      <c r="AA4229">
        <v>1</v>
      </c>
      <c r="AB4229">
        <v>8</v>
      </c>
      <c r="AC4229">
        <v>3</v>
      </c>
      <c r="AD4229">
        <v>0</v>
      </c>
      <c r="AE4229">
        <v>9</v>
      </c>
      <c r="AF4229" t="s">
        <v>138</v>
      </c>
      <c r="AG4229">
        <v>0</v>
      </c>
      <c r="AH4229">
        <v>3</v>
      </c>
      <c r="AI4229">
        <v>1</v>
      </c>
      <c r="AJ4229">
        <v>0</v>
      </c>
      <c r="AK4229" t="s">
        <v>1348</v>
      </c>
      <c r="AL4229">
        <v>32.746661000000003</v>
      </c>
      <c r="AM4229" t="s">
        <v>1350</v>
      </c>
      <c r="AN4229">
        <v>-116.68504</v>
      </c>
      <c r="AO4229">
        <v>25</v>
      </c>
      <c r="AP4229">
        <v>5000</v>
      </c>
      <c r="AQ4229" t="s">
        <v>129</v>
      </c>
      <c r="AR4229">
        <v>-139</v>
      </c>
      <c r="AS4229">
        <v>-10</v>
      </c>
      <c r="AT4229">
        <v>704</v>
      </c>
      <c r="BB4229">
        <v>1200</v>
      </c>
      <c r="BC4229">
        <v>1</v>
      </c>
      <c r="BD4229" t="str">
        <f t="shared" si="1560"/>
        <v xml:space="preserve">N887QR  </v>
      </c>
      <c r="BE4229">
        <v>1</v>
      </c>
      <c r="BG4229">
        <v>0</v>
      </c>
      <c r="BH4229">
        <v>0</v>
      </c>
      <c r="BI4229">
        <v>0</v>
      </c>
      <c r="BJ4229">
        <v>4750</v>
      </c>
      <c r="BK4229">
        <v>-250</v>
      </c>
      <c r="BL4229" t="s">
        <v>163</v>
      </c>
      <c r="BM4229">
        <v>1</v>
      </c>
      <c r="BN4229">
        <v>1</v>
      </c>
      <c r="BO4229">
        <v>1</v>
      </c>
      <c r="BP4229">
        <v>0</v>
      </c>
      <c r="BS4229">
        <v>0.04</v>
      </c>
      <c r="BT4229">
        <v>0</v>
      </c>
      <c r="BU4229">
        <v>0</v>
      </c>
      <c r="CE4229" t="str">
        <f t="shared" si="1561"/>
        <v>19:36:56.832</v>
      </c>
      <c r="CF4229">
        <v>831864240</v>
      </c>
      <c r="CS4229">
        <v>0</v>
      </c>
      <c r="CT4229">
        <v>2</v>
      </c>
      <c r="CU4229">
        <v>0</v>
      </c>
      <c r="CV4229">
        <v>2</v>
      </c>
      <c r="CW4229">
        <v>0</v>
      </c>
      <c r="CX4229">
        <v>5</v>
      </c>
      <c r="CY4229">
        <v>7</v>
      </c>
      <c r="CZ4229" t="s">
        <v>131</v>
      </c>
      <c r="DA4229">
        <v>286</v>
      </c>
      <c r="DB4229">
        <v>0</v>
      </c>
      <c r="DC4229" t="s">
        <v>132</v>
      </c>
      <c r="DD4229" t="s">
        <v>133</v>
      </c>
      <c r="DG4229">
        <v>906189</v>
      </c>
      <c r="DI4229">
        <v>1</v>
      </c>
      <c r="DJ4229">
        <v>0</v>
      </c>
      <c r="DK4229">
        <v>1</v>
      </c>
      <c r="DL4229">
        <v>0</v>
      </c>
      <c r="DM4229">
        <v>0</v>
      </c>
      <c r="DN4229">
        <v>1</v>
      </c>
      <c r="DO4229">
        <v>0</v>
      </c>
      <c r="DP4229">
        <v>0</v>
      </c>
      <c r="DQ4229">
        <v>0</v>
      </c>
      <c r="DR4229">
        <v>0</v>
      </c>
      <c r="DS4229">
        <v>0</v>
      </c>
    </row>
    <row r="4230" spans="1:123" x14ac:dyDescent="0.3">
      <c r="A4230" t="str">
        <f>"10/04/2022 19:36:57.199"</f>
        <v>10/04/2022 19:36:57.199</v>
      </c>
      <c r="C4230" t="str">
        <f t="shared" si="1550"/>
        <v>FFDFD3C0</v>
      </c>
      <c r="D4230" t="s">
        <v>141</v>
      </c>
      <c r="E4230">
        <v>4</v>
      </c>
      <c r="H4230">
        <v>4</v>
      </c>
      <c r="I4230" t="s">
        <v>142</v>
      </c>
      <c r="J4230" t="s">
        <v>138</v>
      </c>
      <c r="K4230">
        <v>0</v>
      </c>
      <c r="L4230">
        <v>3</v>
      </c>
      <c r="M4230">
        <v>0</v>
      </c>
      <c r="N4230">
        <v>2</v>
      </c>
      <c r="O4230">
        <v>0</v>
      </c>
      <c r="P4230">
        <v>1</v>
      </c>
      <c r="Q4230">
        <v>0</v>
      </c>
      <c r="S4230" t="str">
        <f t="shared" si="1557"/>
        <v>19:36:56.000</v>
      </c>
      <c r="T4230" t="str">
        <f t="shared" si="1557"/>
        <v>19:36:56.000</v>
      </c>
      <c r="U4230" t="str">
        <f t="shared" si="1559"/>
        <v>AC3944</v>
      </c>
      <c r="V4230">
        <v>0</v>
      </c>
      <c r="W4230">
        <v>0</v>
      </c>
      <c r="X4230">
        <v>2</v>
      </c>
      <c r="Y4230">
        <v>0</v>
      </c>
      <c r="AA4230">
        <v>1</v>
      </c>
      <c r="AB4230">
        <v>8</v>
      </c>
      <c r="AC4230">
        <v>3</v>
      </c>
      <c r="AD4230">
        <v>0</v>
      </c>
      <c r="AE4230">
        <v>9</v>
      </c>
      <c r="AF4230" t="s">
        <v>138</v>
      </c>
      <c r="AG4230">
        <v>0</v>
      </c>
      <c r="AH4230">
        <v>3</v>
      </c>
      <c r="AI4230">
        <v>1</v>
      </c>
      <c r="AJ4230">
        <v>0</v>
      </c>
      <c r="AK4230" t="s">
        <v>1348</v>
      </c>
      <c r="AL4230">
        <v>32.746661000000003</v>
      </c>
      <c r="AM4230" t="s">
        <v>1350</v>
      </c>
      <c r="AN4230">
        <v>-116.68504</v>
      </c>
      <c r="AO4230">
        <v>25</v>
      </c>
      <c r="AP4230">
        <v>5000</v>
      </c>
      <c r="AQ4230" t="s">
        <v>129</v>
      </c>
      <c r="AR4230">
        <v>-139</v>
      </c>
      <c r="AS4230">
        <v>-10</v>
      </c>
      <c r="AT4230">
        <v>704</v>
      </c>
      <c r="BB4230">
        <v>1200</v>
      </c>
      <c r="BC4230">
        <v>1</v>
      </c>
      <c r="BD4230" t="str">
        <f t="shared" si="1560"/>
        <v xml:space="preserve">N887QR  </v>
      </c>
      <c r="BE4230">
        <v>1</v>
      </c>
      <c r="BG4230">
        <v>0</v>
      </c>
      <c r="BH4230">
        <v>0</v>
      </c>
      <c r="BI4230">
        <v>0</v>
      </c>
      <c r="BJ4230">
        <v>4750</v>
      </c>
      <c r="BK4230">
        <v>-250</v>
      </c>
      <c r="BL4230" t="s">
        <v>163</v>
      </c>
      <c r="BM4230">
        <v>1</v>
      </c>
      <c r="BN4230">
        <v>1</v>
      </c>
      <c r="BO4230">
        <v>1</v>
      </c>
      <c r="BP4230">
        <v>0</v>
      </c>
      <c r="BS4230">
        <v>0.04</v>
      </c>
      <c r="BT4230">
        <v>0</v>
      </c>
      <c r="BU4230">
        <v>0</v>
      </c>
      <c r="CE4230" t="str">
        <f t="shared" si="1561"/>
        <v>19:36:56.832</v>
      </c>
      <c r="CF4230">
        <v>831864240</v>
      </c>
      <c r="CS4230">
        <v>0</v>
      </c>
      <c r="CT4230">
        <v>2</v>
      </c>
      <c r="CU4230">
        <v>0</v>
      </c>
      <c r="CV4230">
        <v>2</v>
      </c>
      <c r="CW4230">
        <v>0</v>
      </c>
      <c r="CX4230">
        <v>5</v>
      </c>
      <c r="CY4230">
        <v>7</v>
      </c>
      <c r="CZ4230" t="s">
        <v>131</v>
      </c>
      <c r="DA4230">
        <v>286</v>
      </c>
      <c r="DB4230">
        <v>0</v>
      </c>
      <c r="DC4230" t="s">
        <v>132</v>
      </c>
      <c r="DD4230" t="s">
        <v>133</v>
      </c>
      <c r="DG4230">
        <v>906189</v>
      </c>
      <c r="DI4230">
        <v>1</v>
      </c>
      <c r="DJ4230">
        <v>0</v>
      </c>
      <c r="DK4230">
        <v>1</v>
      </c>
      <c r="DL4230">
        <v>0</v>
      </c>
      <c r="DM4230">
        <v>0</v>
      </c>
      <c r="DN4230">
        <v>1</v>
      </c>
      <c r="DO4230">
        <v>0</v>
      </c>
      <c r="DP4230">
        <v>0</v>
      </c>
      <c r="DQ4230">
        <v>0</v>
      </c>
      <c r="DR4230">
        <v>0</v>
      </c>
      <c r="DS4230">
        <v>0</v>
      </c>
    </row>
    <row r="4231" spans="1:123" x14ac:dyDescent="0.3">
      <c r="A4231" t="str">
        <f>"10/04/2022 19:36:57.199"</f>
        <v>10/04/2022 19:36:57.199</v>
      </c>
      <c r="C4231" t="str">
        <f t="shared" si="1550"/>
        <v>FFDFD3C0</v>
      </c>
      <c r="D4231" t="s">
        <v>147</v>
      </c>
      <c r="E4231">
        <v>3</v>
      </c>
      <c r="H4231">
        <v>166</v>
      </c>
      <c r="I4231" t="s">
        <v>144</v>
      </c>
      <c r="J4231" t="s">
        <v>148</v>
      </c>
      <c r="K4231">
        <v>0</v>
      </c>
      <c r="L4231">
        <v>3</v>
      </c>
      <c r="M4231">
        <v>0</v>
      </c>
      <c r="N4231">
        <v>2</v>
      </c>
      <c r="O4231">
        <v>0</v>
      </c>
      <c r="P4231">
        <v>1</v>
      </c>
      <c r="Q4231">
        <v>0</v>
      </c>
      <c r="S4231" t="str">
        <f t="shared" si="1557"/>
        <v>19:36:56.000</v>
      </c>
      <c r="T4231" t="str">
        <f t="shared" si="1557"/>
        <v>19:36:56.000</v>
      </c>
      <c r="U4231" t="str">
        <f t="shared" si="1559"/>
        <v>AC3944</v>
      </c>
      <c r="V4231">
        <v>0</v>
      </c>
      <c r="W4231">
        <v>0</v>
      </c>
      <c r="X4231">
        <v>2</v>
      </c>
      <c r="Y4231">
        <v>0</v>
      </c>
      <c r="AA4231">
        <v>1</v>
      </c>
      <c r="AB4231">
        <v>8</v>
      </c>
      <c r="AC4231">
        <v>3</v>
      </c>
      <c r="AD4231">
        <v>0</v>
      </c>
      <c r="AE4231">
        <v>9</v>
      </c>
      <c r="AF4231" t="s">
        <v>138</v>
      </c>
      <c r="AG4231">
        <v>0</v>
      </c>
      <c r="AH4231">
        <v>3</v>
      </c>
      <c r="AI4231">
        <v>1</v>
      </c>
      <c r="AJ4231">
        <v>0</v>
      </c>
      <c r="AK4231" t="s">
        <v>1348</v>
      </c>
      <c r="AL4231">
        <v>32.746661000000003</v>
      </c>
      <c r="AM4231" t="s">
        <v>1350</v>
      </c>
      <c r="AN4231">
        <v>-116.68504</v>
      </c>
      <c r="AO4231">
        <v>25</v>
      </c>
      <c r="AP4231">
        <v>5000</v>
      </c>
      <c r="AQ4231" t="s">
        <v>129</v>
      </c>
      <c r="AR4231">
        <v>-139</v>
      </c>
      <c r="AS4231">
        <v>-10</v>
      </c>
      <c r="AT4231">
        <v>704</v>
      </c>
      <c r="BB4231">
        <v>1200</v>
      </c>
      <c r="BC4231">
        <v>1</v>
      </c>
      <c r="BD4231" t="str">
        <f t="shared" si="1560"/>
        <v xml:space="preserve">N887QR  </v>
      </c>
      <c r="BE4231">
        <v>1</v>
      </c>
      <c r="BG4231">
        <v>0</v>
      </c>
      <c r="BH4231">
        <v>0</v>
      </c>
      <c r="BI4231">
        <v>0</v>
      </c>
      <c r="BJ4231">
        <v>4750</v>
      </c>
      <c r="BK4231">
        <v>-250</v>
      </c>
      <c r="BL4231" t="s">
        <v>163</v>
      </c>
      <c r="BM4231">
        <v>1</v>
      </c>
      <c r="BN4231">
        <v>1</v>
      </c>
      <c r="BO4231">
        <v>1</v>
      </c>
      <c r="BP4231">
        <v>0</v>
      </c>
      <c r="BS4231">
        <v>0.04</v>
      </c>
      <c r="BT4231">
        <v>0</v>
      </c>
      <c r="BU4231">
        <v>0</v>
      </c>
      <c r="CE4231" t="str">
        <f t="shared" si="1561"/>
        <v>19:36:56.832</v>
      </c>
      <c r="CF4231">
        <v>831864240</v>
      </c>
      <c r="CS4231">
        <v>0</v>
      </c>
      <c r="CT4231">
        <v>2</v>
      </c>
      <c r="CU4231">
        <v>0</v>
      </c>
      <c r="CV4231">
        <v>2</v>
      </c>
      <c r="CW4231">
        <v>0</v>
      </c>
      <c r="CX4231">
        <v>5</v>
      </c>
      <c r="CY4231">
        <v>7</v>
      </c>
      <c r="CZ4231" t="s">
        <v>131</v>
      </c>
      <c r="DA4231">
        <v>286</v>
      </c>
      <c r="DB4231">
        <v>0</v>
      </c>
      <c r="DC4231" t="s">
        <v>132</v>
      </c>
      <c r="DD4231" t="s">
        <v>133</v>
      </c>
      <c r="DG4231">
        <v>906189</v>
      </c>
      <c r="DI4231">
        <v>1</v>
      </c>
      <c r="DJ4231">
        <v>0</v>
      </c>
      <c r="DK4231">
        <v>1</v>
      </c>
      <c r="DL4231">
        <v>0</v>
      </c>
      <c r="DM4231">
        <v>0</v>
      </c>
      <c r="DN4231">
        <v>1</v>
      </c>
      <c r="DO4231">
        <v>0</v>
      </c>
      <c r="DP4231">
        <v>0</v>
      </c>
      <c r="DQ4231">
        <v>0</v>
      </c>
      <c r="DR4231">
        <v>0</v>
      </c>
      <c r="DS4231">
        <v>0</v>
      </c>
    </row>
    <row r="4232" spans="1:123" x14ac:dyDescent="0.3">
      <c r="A4232" t="str">
        <f>"10/04/2022 19:36:57.199"</f>
        <v>10/04/2022 19:36:57.199</v>
      </c>
      <c r="C4232" t="str">
        <f t="shared" si="1550"/>
        <v>FFDFD3C0</v>
      </c>
      <c r="D4232" t="s">
        <v>136</v>
      </c>
      <c r="E4232">
        <v>8</v>
      </c>
      <c r="H4232">
        <v>225</v>
      </c>
      <c r="I4232" t="s">
        <v>137</v>
      </c>
      <c r="J4232" t="s">
        <v>138</v>
      </c>
      <c r="K4232">
        <v>0</v>
      </c>
      <c r="L4232">
        <v>3</v>
      </c>
      <c r="M4232">
        <v>0</v>
      </c>
      <c r="N4232">
        <v>2</v>
      </c>
      <c r="O4232">
        <v>0</v>
      </c>
      <c r="P4232">
        <v>1</v>
      </c>
      <c r="Q4232">
        <v>0</v>
      </c>
      <c r="S4232" t="str">
        <f t="shared" si="1557"/>
        <v>19:36:56.000</v>
      </c>
      <c r="T4232" t="str">
        <f t="shared" si="1557"/>
        <v>19:36:56.000</v>
      </c>
      <c r="U4232" t="str">
        <f t="shared" si="1559"/>
        <v>AC3944</v>
      </c>
      <c r="V4232">
        <v>0</v>
      </c>
      <c r="W4232">
        <v>0</v>
      </c>
      <c r="X4232">
        <v>2</v>
      </c>
      <c r="Y4232">
        <v>0</v>
      </c>
      <c r="AA4232">
        <v>1</v>
      </c>
      <c r="AB4232">
        <v>8</v>
      </c>
      <c r="AC4232">
        <v>3</v>
      </c>
      <c r="AD4232">
        <v>0</v>
      </c>
      <c r="AE4232">
        <v>9</v>
      </c>
      <c r="AF4232" t="s">
        <v>138</v>
      </c>
      <c r="AG4232">
        <v>0</v>
      </c>
      <c r="AH4232">
        <v>3</v>
      </c>
      <c r="AI4232">
        <v>1</v>
      </c>
      <c r="AJ4232">
        <v>0</v>
      </c>
      <c r="AK4232" t="s">
        <v>1348</v>
      </c>
      <c r="AL4232">
        <v>32.746661000000003</v>
      </c>
      <c r="AM4232" t="s">
        <v>1350</v>
      </c>
      <c r="AN4232">
        <v>-116.68504</v>
      </c>
      <c r="AO4232">
        <v>25</v>
      </c>
      <c r="AP4232">
        <v>5000</v>
      </c>
      <c r="AQ4232" t="s">
        <v>129</v>
      </c>
      <c r="AR4232">
        <v>-139</v>
      </c>
      <c r="AS4232">
        <v>-10</v>
      </c>
      <c r="AT4232">
        <v>704</v>
      </c>
      <c r="BB4232">
        <v>1200</v>
      </c>
      <c r="BC4232">
        <v>1</v>
      </c>
      <c r="BD4232" t="str">
        <f t="shared" si="1560"/>
        <v xml:space="preserve">N887QR  </v>
      </c>
      <c r="BE4232">
        <v>1</v>
      </c>
      <c r="BG4232">
        <v>0</v>
      </c>
      <c r="BH4232">
        <v>0</v>
      </c>
      <c r="BI4232">
        <v>0</v>
      </c>
      <c r="BJ4232">
        <v>4750</v>
      </c>
      <c r="BK4232">
        <v>-250</v>
      </c>
      <c r="BL4232" t="s">
        <v>163</v>
      </c>
      <c r="BM4232">
        <v>1</v>
      </c>
      <c r="BN4232">
        <v>1</v>
      </c>
      <c r="BO4232">
        <v>1</v>
      </c>
      <c r="BP4232">
        <v>0</v>
      </c>
      <c r="BS4232">
        <v>0.04</v>
      </c>
      <c r="BT4232">
        <v>0</v>
      </c>
      <c r="BU4232">
        <v>0</v>
      </c>
      <c r="CE4232" t="str">
        <f t="shared" si="1561"/>
        <v>19:36:56.832</v>
      </c>
      <c r="CF4232">
        <v>831864240</v>
      </c>
      <c r="CS4232">
        <v>0</v>
      </c>
      <c r="CT4232">
        <v>2</v>
      </c>
      <c r="CU4232">
        <v>0</v>
      </c>
      <c r="CV4232">
        <v>2</v>
      </c>
      <c r="CW4232">
        <v>0</v>
      </c>
      <c r="CX4232">
        <v>5</v>
      </c>
      <c r="CY4232">
        <v>7</v>
      </c>
      <c r="CZ4232" t="s">
        <v>131</v>
      </c>
      <c r="DA4232">
        <v>286</v>
      </c>
      <c r="DB4232">
        <v>0</v>
      </c>
      <c r="DC4232" t="s">
        <v>132</v>
      </c>
      <c r="DD4232" t="s">
        <v>133</v>
      </c>
      <c r="DG4232">
        <v>906189</v>
      </c>
      <c r="DI4232">
        <v>1</v>
      </c>
      <c r="DJ4232">
        <v>0</v>
      </c>
      <c r="DK4232">
        <v>1</v>
      </c>
      <c r="DL4232">
        <v>0</v>
      </c>
      <c r="DM4232">
        <v>0</v>
      </c>
      <c r="DN4232">
        <v>1</v>
      </c>
      <c r="DO4232">
        <v>0</v>
      </c>
      <c r="DP4232">
        <v>0</v>
      </c>
      <c r="DQ4232">
        <v>0</v>
      </c>
      <c r="DR4232">
        <v>0</v>
      </c>
      <c r="DS4232">
        <v>0</v>
      </c>
    </row>
    <row r="4233" spans="1:123" x14ac:dyDescent="0.3">
      <c r="A4233" t="str">
        <f t="shared" ref="A4233:A4239" si="1562">"10/04/2022 19:36:58.418"</f>
        <v>10/04/2022 19:36:58.418</v>
      </c>
      <c r="C4233" t="str">
        <f t="shared" si="1550"/>
        <v>FFDFD3C0</v>
      </c>
      <c r="D4233" t="s">
        <v>123</v>
      </c>
      <c r="E4233">
        <v>7</v>
      </c>
      <c r="F4233">
        <v>2007</v>
      </c>
      <c r="G4233" t="s">
        <v>124</v>
      </c>
      <c r="J4233" t="s">
        <v>125</v>
      </c>
      <c r="K4233">
        <v>0</v>
      </c>
      <c r="L4233">
        <v>3</v>
      </c>
      <c r="M4233">
        <v>0</v>
      </c>
      <c r="N4233">
        <v>2</v>
      </c>
      <c r="O4233">
        <v>0</v>
      </c>
      <c r="P4233">
        <v>1</v>
      </c>
      <c r="Q4233">
        <v>0</v>
      </c>
      <c r="S4233" t="str">
        <f t="shared" ref="S4233:T4246" si="1563">"19:36:58.000"</f>
        <v>19:36:58.000</v>
      </c>
      <c r="T4233" t="str">
        <f t="shared" si="1563"/>
        <v>19:36:58.000</v>
      </c>
      <c r="U4233" t="str">
        <f t="shared" si="1559"/>
        <v>AC3944</v>
      </c>
      <c r="V4233">
        <v>0</v>
      </c>
      <c r="W4233">
        <v>0</v>
      </c>
      <c r="X4233">
        <v>2</v>
      </c>
      <c r="Y4233">
        <v>0</v>
      </c>
      <c r="AA4233">
        <v>1</v>
      </c>
      <c r="AB4233">
        <v>8</v>
      </c>
      <c r="AC4233">
        <v>3</v>
      </c>
      <c r="AD4233">
        <v>0</v>
      </c>
      <c r="AE4233">
        <v>9</v>
      </c>
      <c r="AF4233" t="s">
        <v>138</v>
      </c>
      <c r="AG4233">
        <v>0</v>
      </c>
      <c r="AH4233">
        <v>3</v>
      </c>
      <c r="AI4233">
        <v>1</v>
      </c>
      <c r="AJ4233">
        <v>0</v>
      </c>
      <c r="AK4233" t="s">
        <v>1346</v>
      </c>
      <c r="AL4233">
        <v>32.746575</v>
      </c>
      <c r="AM4233" t="s">
        <v>1351</v>
      </c>
      <c r="AN4233">
        <v>-116.685812</v>
      </c>
      <c r="AO4233">
        <v>25</v>
      </c>
      <c r="AP4233">
        <v>5000</v>
      </c>
      <c r="AQ4233" t="s">
        <v>129</v>
      </c>
      <c r="AR4233">
        <v>-137</v>
      </c>
      <c r="AS4233">
        <v>-30</v>
      </c>
      <c r="AT4233">
        <v>768</v>
      </c>
      <c r="BB4233">
        <v>1200</v>
      </c>
      <c r="BC4233">
        <v>1</v>
      </c>
      <c r="BD4233" t="str">
        <f t="shared" si="1560"/>
        <v xml:space="preserve">N887QR  </v>
      </c>
      <c r="BE4233">
        <v>1</v>
      </c>
      <c r="BG4233">
        <v>0</v>
      </c>
      <c r="BH4233">
        <v>0</v>
      </c>
      <c r="BI4233">
        <v>0</v>
      </c>
      <c r="BJ4233">
        <v>4775</v>
      </c>
      <c r="BK4233">
        <v>-225</v>
      </c>
      <c r="BL4233" t="s">
        <v>163</v>
      </c>
      <c r="BM4233">
        <v>1</v>
      </c>
      <c r="BN4233">
        <v>1</v>
      </c>
      <c r="BO4233">
        <v>1</v>
      </c>
      <c r="BP4233">
        <v>0</v>
      </c>
      <c r="BS4233">
        <v>0.04</v>
      </c>
      <c r="BT4233">
        <v>0</v>
      </c>
      <c r="BU4233">
        <v>0</v>
      </c>
      <c r="CE4233" t="str">
        <f t="shared" ref="CE4233:CE4239" si="1564">"19:36:58.216"</f>
        <v>19:36:58.216</v>
      </c>
      <c r="CF4233">
        <v>215618430</v>
      </c>
      <c r="CS4233">
        <v>0</v>
      </c>
      <c r="CT4233">
        <v>2</v>
      </c>
      <c r="CU4233">
        <v>0</v>
      </c>
      <c r="CV4233">
        <v>2</v>
      </c>
      <c r="CW4233">
        <v>0</v>
      </c>
      <c r="CX4233">
        <v>5</v>
      </c>
      <c r="CY4233">
        <v>7</v>
      </c>
      <c r="CZ4233" t="s">
        <v>131</v>
      </c>
      <c r="DA4233">
        <v>286</v>
      </c>
      <c r="DB4233">
        <v>0</v>
      </c>
      <c r="DC4233" t="s">
        <v>132</v>
      </c>
      <c r="DD4233" t="s">
        <v>133</v>
      </c>
      <c r="DG4233">
        <v>906473</v>
      </c>
      <c r="DI4233">
        <v>1</v>
      </c>
      <c r="DJ4233">
        <v>0</v>
      </c>
      <c r="DK4233">
        <v>0</v>
      </c>
      <c r="DL4233">
        <v>0</v>
      </c>
      <c r="DM4233">
        <v>0</v>
      </c>
      <c r="DN4233">
        <v>1</v>
      </c>
      <c r="DO4233">
        <v>0</v>
      </c>
      <c r="DP4233">
        <v>0</v>
      </c>
      <c r="DQ4233">
        <v>0</v>
      </c>
      <c r="DR4233">
        <v>0</v>
      </c>
      <c r="DS4233">
        <v>0</v>
      </c>
    </row>
    <row r="4234" spans="1:123" x14ac:dyDescent="0.3">
      <c r="A4234" t="str">
        <f t="shared" si="1562"/>
        <v>10/04/2022 19:36:58.418</v>
      </c>
      <c r="C4234" t="str">
        <f t="shared" si="1550"/>
        <v>FFDFD3C0</v>
      </c>
      <c r="D4234" t="s">
        <v>141</v>
      </c>
      <c r="E4234">
        <v>3</v>
      </c>
      <c r="H4234">
        <v>3</v>
      </c>
      <c r="I4234" t="s">
        <v>146</v>
      </c>
      <c r="J4234" t="s">
        <v>138</v>
      </c>
      <c r="K4234">
        <v>0</v>
      </c>
      <c r="L4234">
        <v>3</v>
      </c>
      <c r="M4234">
        <v>0</v>
      </c>
      <c r="N4234">
        <v>2</v>
      </c>
      <c r="O4234">
        <v>0</v>
      </c>
      <c r="P4234">
        <v>1</v>
      </c>
      <c r="Q4234">
        <v>0</v>
      </c>
      <c r="S4234" t="str">
        <f t="shared" si="1563"/>
        <v>19:36:58.000</v>
      </c>
      <c r="T4234" t="str">
        <f t="shared" si="1563"/>
        <v>19:36:58.000</v>
      </c>
      <c r="U4234" t="str">
        <f t="shared" si="1559"/>
        <v>AC3944</v>
      </c>
      <c r="V4234">
        <v>0</v>
      </c>
      <c r="W4234">
        <v>0</v>
      </c>
      <c r="X4234">
        <v>2</v>
      </c>
      <c r="Y4234">
        <v>0</v>
      </c>
      <c r="AA4234">
        <v>1</v>
      </c>
      <c r="AB4234">
        <v>8</v>
      </c>
      <c r="AC4234">
        <v>3</v>
      </c>
      <c r="AD4234">
        <v>0</v>
      </c>
      <c r="AE4234">
        <v>9</v>
      </c>
      <c r="AF4234" t="s">
        <v>138</v>
      </c>
      <c r="AG4234">
        <v>0</v>
      </c>
      <c r="AH4234">
        <v>3</v>
      </c>
      <c r="AI4234">
        <v>1</v>
      </c>
      <c r="AJ4234">
        <v>0</v>
      </c>
      <c r="AK4234" t="s">
        <v>1346</v>
      </c>
      <c r="AL4234">
        <v>32.746575</v>
      </c>
      <c r="AM4234" t="s">
        <v>1351</v>
      </c>
      <c r="AN4234">
        <v>-116.685812</v>
      </c>
      <c r="AO4234">
        <v>25</v>
      </c>
      <c r="AP4234">
        <v>5000</v>
      </c>
      <c r="AQ4234" t="s">
        <v>129</v>
      </c>
      <c r="AR4234">
        <v>-137</v>
      </c>
      <c r="AS4234">
        <v>-30</v>
      </c>
      <c r="AT4234">
        <v>768</v>
      </c>
      <c r="BB4234">
        <v>1200</v>
      </c>
      <c r="BC4234">
        <v>1</v>
      </c>
      <c r="BD4234" t="str">
        <f t="shared" si="1560"/>
        <v xml:space="preserve">N887QR  </v>
      </c>
      <c r="BE4234">
        <v>1</v>
      </c>
      <c r="BG4234">
        <v>0</v>
      </c>
      <c r="BH4234">
        <v>0</v>
      </c>
      <c r="BI4234">
        <v>0</v>
      </c>
      <c r="BJ4234">
        <v>4775</v>
      </c>
      <c r="BK4234">
        <v>-225</v>
      </c>
      <c r="BL4234" t="s">
        <v>163</v>
      </c>
      <c r="BM4234">
        <v>1</v>
      </c>
      <c r="BN4234">
        <v>1</v>
      </c>
      <c r="BO4234">
        <v>1</v>
      </c>
      <c r="BP4234">
        <v>0</v>
      </c>
      <c r="BS4234">
        <v>0.04</v>
      </c>
      <c r="BT4234">
        <v>0</v>
      </c>
      <c r="BU4234">
        <v>0</v>
      </c>
      <c r="CE4234" t="str">
        <f t="shared" si="1564"/>
        <v>19:36:58.216</v>
      </c>
      <c r="CF4234">
        <v>215618430</v>
      </c>
      <c r="CS4234">
        <v>0</v>
      </c>
      <c r="CT4234">
        <v>2</v>
      </c>
      <c r="CU4234">
        <v>0</v>
      </c>
      <c r="CV4234">
        <v>2</v>
      </c>
      <c r="CW4234">
        <v>0</v>
      </c>
      <c r="CX4234">
        <v>5</v>
      </c>
      <c r="CY4234">
        <v>7</v>
      </c>
      <c r="CZ4234" t="s">
        <v>131</v>
      </c>
      <c r="DA4234">
        <v>286</v>
      </c>
      <c r="DB4234">
        <v>0</v>
      </c>
      <c r="DC4234" t="s">
        <v>132</v>
      </c>
      <c r="DD4234" t="s">
        <v>133</v>
      </c>
      <c r="DG4234">
        <v>906473</v>
      </c>
      <c r="DI4234">
        <v>1</v>
      </c>
      <c r="DJ4234">
        <v>0</v>
      </c>
      <c r="DK4234">
        <v>1</v>
      </c>
      <c r="DL4234">
        <v>0</v>
      </c>
      <c r="DM4234">
        <v>0</v>
      </c>
      <c r="DN4234">
        <v>1</v>
      </c>
      <c r="DO4234">
        <v>0</v>
      </c>
      <c r="DP4234">
        <v>0</v>
      </c>
      <c r="DQ4234">
        <v>0</v>
      </c>
      <c r="DR4234">
        <v>0</v>
      </c>
      <c r="DS4234">
        <v>0</v>
      </c>
    </row>
    <row r="4235" spans="1:123" x14ac:dyDescent="0.3">
      <c r="A4235" t="str">
        <f t="shared" si="1562"/>
        <v>10/04/2022 19:36:58.418</v>
      </c>
      <c r="C4235" t="str">
        <f t="shared" si="1550"/>
        <v>FFDFD3C0</v>
      </c>
      <c r="D4235" t="s">
        <v>141</v>
      </c>
      <c r="E4235">
        <v>4</v>
      </c>
      <c r="H4235">
        <v>4</v>
      </c>
      <c r="I4235" t="s">
        <v>142</v>
      </c>
      <c r="J4235" t="s">
        <v>138</v>
      </c>
      <c r="K4235">
        <v>0</v>
      </c>
      <c r="L4235">
        <v>3</v>
      </c>
      <c r="M4235">
        <v>0</v>
      </c>
      <c r="N4235">
        <v>2</v>
      </c>
      <c r="O4235">
        <v>0</v>
      </c>
      <c r="P4235">
        <v>1</v>
      </c>
      <c r="Q4235">
        <v>0</v>
      </c>
      <c r="S4235" t="str">
        <f t="shared" si="1563"/>
        <v>19:36:58.000</v>
      </c>
      <c r="T4235" t="str">
        <f t="shared" si="1563"/>
        <v>19:36:58.000</v>
      </c>
      <c r="U4235" t="str">
        <f t="shared" si="1559"/>
        <v>AC3944</v>
      </c>
      <c r="V4235">
        <v>0</v>
      </c>
      <c r="W4235">
        <v>0</v>
      </c>
      <c r="X4235">
        <v>2</v>
      </c>
      <c r="Y4235">
        <v>0</v>
      </c>
      <c r="AA4235">
        <v>1</v>
      </c>
      <c r="AB4235">
        <v>8</v>
      </c>
      <c r="AC4235">
        <v>3</v>
      </c>
      <c r="AD4235">
        <v>0</v>
      </c>
      <c r="AE4235">
        <v>9</v>
      </c>
      <c r="AF4235" t="s">
        <v>138</v>
      </c>
      <c r="AG4235">
        <v>0</v>
      </c>
      <c r="AH4235">
        <v>3</v>
      </c>
      <c r="AI4235">
        <v>1</v>
      </c>
      <c r="AJ4235">
        <v>0</v>
      </c>
      <c r="AK4235" t="s">
        <v>1346</v>
      </c>
      <c r="AL4235">
        <v>32.746575</v>
      </c>
      <c r="AM4235" t="s">
        <v>1351</v>
      </c>
      <c r="AN4235">
        <v>-116.685812</v>
      </c>
      <c r="AO4235">
        <v>25</v>
      </c>
      <c r="AP4235">
        <v>5000</v>
      </c>
      <c r="AQ4235" t="s">
        <v>129</v>
      </c>
      <c r="AR4235">
        <v>-137</v>
      </c>
      <c r="AS4235">
        <v>-30</v>
      </c>
      <c r="AT4235">
        <v>768</v>
      </c>
      <c r="BB4235">
        <v>1200</v>
      </c>
      <c r="BC4235">
        <v>1</v>
      </c>
      <c r="BD4235" t="str">
        <f t="shared" si="1560"/>
        <v xml:space="preserve">N887QR  </v>
      </c>
      <c r="BE4235">
        <v>1</v>
      </c>
      <c r="BG4235">
        <v>0</v>
      </c>
      <c r="BH4235">
        <v>0</v>
      </c>
      <c r="BI4235">
        <v>0</v>
      </c>
      <c r="BJ4235">
        <v>4775</v>
      </c>
      <c r="BK4235">
        <v>-225</v>
      </c>
      <c r="BL4235" t="s">
        <v>163</v>
      </c>
      <c r="BM4235">
        <v>1</v>
      </c>
      <c r="BN4235">
        <v>1</v>
      </c>
      <c r="BO4235">
        <v>1</v>
      </c>
      <c r="BP4235">
        <v>0</v>
      </c>
      <c r="BS4235">
        <v>0.04</v>
      </c>
      <c r="BT4235">
        <v>0</v>
      </c>
      <c r="BU4235">
        <v>0</v>
      </c>
      <c r="CE4235" t="str">
        <f t="shared" si="1564"/>
        <v>19:36:58.216</v>
      </c>
      <c r="CF4235">
        <v>215618430</v>
      </c>
      <c r="CS4235">
        <v>0</v>
      </c>
      <c r="CT4235">
        <v>2</v>
      </c>
      <c r="CU4235">
        <v>0</v>
      </c>
      <c r="CV4235">
        <v>2</v>
      </c>
      <c r="CW4235">
        <v>0</v>
      </c>
      <c r="CX4235">
        <v>5</v>
      </c>
      <c r="CY4235">
        <v>7</v>
      </c>
      <c r="CZ4235" t="s">
        <v>131</v>
      </c>
      <c r="DA4235">
        <v>286</v>
      </c>
      <c r="DB4235">
        <v>0</v>
      </c>
      <c r="DC4235" t="s">
        <v>132</v>
      </c>
      <c r="DD4235" t="s">
        <v>133</v>
      </c>
      <c r="DG4235">
        <v>906473</v>
      </c>
      <c r="DI4235">
        <v>1</v>
      </c>
      <c r="DJ4235">
        <v>0</v>
      </c>
      <c r="DK4235">
        <v>1</v>
      </c>
      <c r="DL4235">
        <v>0</v>
      </c>
      <c r="DM4235">
        <v>0</v>
      </c>
      <c r="DN4235">
        <v>1</v>
      </c>
      <c r="DO4235">
        <v>0</v>
      </c>
      <c r="DP4235">
        <v>0</v>
      </c>
      <c r="DQ4235">
        <v>0</v>
      </c>
      <c r="DR4235">
        <v>0</v>
      </c>
      <c r="DS4235">
        <v>0</v>
      </c>
    </row>
    <row r="4236" spans="1:123" x14ac:dyDescent="0.3">
      <c r="A4236" t="str">
        <f t="shared" si="1562"/>
        <v>10/04/2022 19:36:58.418</v>
      </c>
      <c r="C4236" t="str">
        <f t="shared" si="1550"/>
        <v>FFDFD3C0</v>
      </c>
      <c r="D4236" t="s">
        <v>147</v>
      </c>
      <c r="E4236">
        <v>3</v>
      </c>
      <c r="H4236">
        <v>166</v>
      </c>
      <c r="I4236" t="s">
        <v>144</v>
      </c>
      <c r="J4236" t="s">
        <v>148</v>
      </c>
      <c r="K4236">
        <v>0</v>
      </c>
      <c r="L4236">
        <v>3</v>
      </c>
      <c r="M4236">
        <v>0</v>
      </c>
      <c r="N4236">
        <v>2</v>
      </c>
      <c r="O4236">
        <v>0</v>
      </c>
      <c r="P4236">
        <v>1</v>
      </c>
      <c r="Q4236">
        <v>0</v>
      </c>
      <c r="S4236" t="str">
        <f t="shared" si="1563"/>
        <v>19:36:58.000</v>
      </c>
      <c r="T4236" t="str">
        <f t="shared" si="1563"/>
        <v>19:36:58.000</v>
      </c>
      <c r="U4236" t="str">
        <f t="shared" si="1559"/>
        <v>AC3944</v>
      </c>
      <c r="V4236">
        <v>0</v>
      </c>
      <c r="W4236">
        <v>0</v>
      </c>
      <c r="X4236">
        <v>2</v>
      </c>
      <c r="Y4236">
        <v>0</v>
      </c>
      <c r="AA4236">
        <v>1</v>
      </c>
      <c r="AB4236">
        <v>8</v>
      </c>
      <c r="AC4236">
        <v>3</v>
      </c>
      <c r="AD4236">
        <v>0</v>
      </c>
      <c r="AE4236">
        <v>9</v>
      </c>
      <c r="AF4236" t="s">
        <v>138</v>
      </c>
      <c r="AG4236">
        <v>0</v>
      </c>
      <c r="AH4236">
        <v>3</v>
      </c>
      <c r="AI4236">
        <v>1</v>
      </c>
      <c r="AJ4236">
        <v>0</v>
      </c>
      <c r="AK4236" t="s">
        <v>1346</v>
      </c>
      <c r="AL4236">
        <v>32.746575</v>
      </c>
      <c r="AM4236" t="s">
        <v>1351</v>
      </c>
      <c r="AN4236">
        <v>-116.685812</v>
      </c>
      <c r="AO4236">
        <v>25</v>
      </c>
      <c r="AP4236">
        <v>5000</v>
      </c>
      <c r="AQ4236" t="s">
        <v>129</v>
      </c>
      <c r="AR4236">
        <v>-137</v>
      </c>
      <c r="AS4236">
        <v>-30</v>
      </c>
      <c r="AT4236">
        <v>768</v>
      </c>
      <c r="BB4236">
        <v>1200</v>
      </c>
      <c r="BC4236">
        <v>1</v>
      </c>
      <c r="BD4236" t="str">
        <f t="shared" si="1560"/>
        <v xml:space="preserve">N887QR  </v>
      </c>
      <c r="BE4236">
        <v>1</v>
      </c>
      <c r="BG4236">
        <v>0</v>
      </c>
      <c r="BH4236">
        <v>0</v>
      </c>
      <c r="BI4236">
        <v>0</v>
      </c>
      <c r="BJ4236">
        <v>4775</v>
      </c>
      <c r="BK4236">
        <v>-225</v>
      </c>
      <c r="BL4236" t="s">
        <v>163</v>
      </c>
      <c r="BM4236">
        <v>1</v>
      </c>
      <c r="BN4236">
        <v>1</v>
      </c>
      <c r="BO4236">
        <v>1</v>
      </c>
      <c r="BP4236">
        <v>0</v>
      </c>
      <c r="BS4236">
        <v>0.04</v>
      </c>
      <c r="BT4236">
        <v>0</v>
      </c>
      <c r="BU4236">
        <v>0</v>
      </c>
      <c r="CE4236" t="str">
        <f t="shared" si="1564"/>
        <v>19:36:58.216</v>
      </c>
      <c r="CF4236">
        <v>215618430</v>
      </c>
      <c r="CS4236">
        <v>0</v>
      </c>
      <c r="CT4236">
        <v>2</v>
      </c>
      <c r="CU4236">
        <v>0</v>
      </c>
      <c r="CV4236">
        <v>2</v>
      </c>
      <c r="CW4236">
        <v>0</v>
      </c>
      <c r="CX4236">
        <v>5</v>
      </c>
      <c r="CY4236">
        <v>7</v>
      </c>
      <c r="CZ4236" t="s">
        <v>131</v>
      </c>
      <c r="DA4236">
        <v>286</v>
      </c>
      <c r="DB4236">
        <v>0</v>
      </c>
      <c r="DC4236" t="s">
        <v>132</v>
      </c>
      <c r="DD4236" t="s">
        <v>133</v>
      </c>
      <c r="DG4236">
        <v>906473</v>
      </c>
      <c r="DI4236">
        <v>1</v>
      </c>
      <c r="DJ4236">
        <v>0</v>
      </c>
      <c r="DK4236">
        <v>1</v>
      </c>
      <c r="DL4236">
        <v>0</v>
      </c>
      <c r="DM4236">
        <v>0</v>
      </c>
      <c r="DN4236">
        <v>1</v>
      </c>
      <c r="DO4236">
        <v>0</v>
      </c>
      <c r="DP4236">
        <v>0</v>
      </c>
      <c r="DQ4236">
        <v>0</v>
      </c>
      <c r="DR4236">
        <v>0</v>
      </c>
      <c r="DS4236">
        <v>0</v>
      </c>
    </row>
    <row r="4237" spans="1:123" x14ac:dyDescent="0.3">
      <c r="A4237" t="str">
        <f t="shared" si="1562"/>
        <v>10/04/2022 19:36:58.418</v>
      </c>
      <c r="C4237" t="str">
        <f t="shared" si="1550"/>
        <v>FFDFD3C0</v>
      </c>
      <c r="D4237" t="s">
        <v>136</v>
      </c>
      <c r="E4237">
        <v>8</v>
      </c>
      <c r="H4237">
        <v>225</v>
      </c>
      <c r="I4237" t="s">
        <v>137</v>
      </c>
      <c r="J4237" t="s">
        <v>138</v>
      </c>
      <c r="K4237">
        <v>0</v>
      </c>
      <c r="L4237">
        <v>3</v>
      </c>
      <c r="M4237">
        <v>0</v>
      </c>
      <c r="N4237">
        <v>2</v>
      </c>
      <c r="O4237">
        <v>0</v>
      </c>
      <c r="P4237">
        <v>1</v>
      </c>
      <c r="Q4237">
        <v>0</v>
      </c>
      <c r="S4237" t="str">
        <f t="shared" si="1563"/>
        <v>19:36:58.000</v>
      </c>
      <c r="T4237" t="str">
        <f t="shared" si="1563"/>
        <v>19:36:58.000</v>
      </c>
      <c r="U4237" t="str">
        <f t="shared" si="1559"/>
        <v>AC3944</v>
      </c>
      <c r="V4237">
        <v>0</v>
      </c>
      <c r="W4237">
        <v>0</v>
      </c>
      <c r="X4237">
        <v>2</v>
      </c>
      <c r="Y4237">
        <v>0</v>
      </c>
      <c r="AA4237">
        <v>1</v>
      </c>
      <c r="AB4237">
        <v>8</v>
      </c>
      <c r="AC4237">
        <v>3</v>
      </c>
      <c r="AD4237">
        <v>0</v>
      </c>
      <c r="AE4237">
        <v>9</v>
      </c>
      <c r="AF4237" t="s">
        <v>138</v>
      </c>
      <c r="AG4237">
        <v>0</v>
      </c>
      <c r="AH4237">
        <v>3</v>
      </c>
      <c r="AI4237">
        <v>1</v>
      </c>
      <c r="AJ4237">
        <v>0</v>
      </c>
      <c r="AK4237" t="s">
        <v>1346</v>
      </c>
      <c r="AL4237">
        <v>32.746575</v>
      </c>
      <c r="AM4237" t="s">
        <v>1351</v>
      </c>
      <c r="AN4237">
        <v>-116.685812</v>
      </c>
      <c r="AO4237">
        <v>25</v>
      </c>
      <c r="AP4237">
        <v>5000</v>
      </c>
      <c r="AQ4237" t="s">
        <v>129</v>
      </c>
      <c r="AR4237">
        <v>-137</v>
      </c>
      <c r="AS4237">
        <v>-30</v>
      </c>
      <c r="AT4237">
        <v>768</v>
      </c>
      <c r="BB4237">
        <v>1200</v>
      </c>
      <c r="BC4237">
        <v>1</v>
      </c>
      <c r="BD4237" t="str">
        <f t="shared" si="1560"/>
        <v xml:space="preserve">N887QR  </v>
      </c>
      <c r="BE4237">
        <v>1</v>
      </c>
      <c r="BG4237">
        <v>0</v>
      </c>
      <c r="BH4237">
        <v>0</v>
      </c>
      <c r="BI4237">
        <v>0</v>
      </c>
      <c r="BJ4237">
        <v>4775</v>
      </c>
      <c r="BK4237">
        <v>-225</v>
      </c>
      <c r="BL4237" t="s">
        <v>163</v>
      </c>
      <c r="BM4237">
        <v>1</v>
      </c>
      <c r="BN4237">
        <v>1</v>
      </c>
      <c r="BO4237">
        <v>1</v>
      </c>
      <c r="BP4237">
        <v>0</v>
      </c>
      <c r="BS4237">
        <v>0.04</v>
      </c>
      <c r="BT4237">
        <v>0</v>
      </c>
      <c r="BU4237">
        <v>0</v>
      </c>
      <c r="CE4237" t="str">
        <f t="shared" si="1564"/>
        <v>19:36:58.216</v>
      </c>
      <c r="CF4237">
        <v>215618430</v>
      </c>
      <c r="CS4237">
        <v>0</v>
      </c>
      <c r="CT4237">
        <v>2</v>
      </c>
      <c r="CU4237">
        <v>0</v>
      </c>
      <c r="CV4237">
        <v>2</v>
      </c>
      <c r="CW4237">
        <v>0</v>
      </c>
      <c r="CX4237">
        <v>5</v>
      </c>
      <c r="CY4237">
        <v>7</v>
      </c>
      <c r="CZ4237" t="s">
        <v>131</v>
      </c>
      <c r="DA4237">
        <v>286</v>
      </c>
      <c r="DB4237">
        <v>0</v>
      </c>
      <c r="DC4237" t="s">
        <v>132</v>
      </c>
      <c r="DD4237" t="s">
        <v>133</v>
      </c>
      <c r="DG4237">
        <v>906473</v>
      </c>
      <c r="DI4237">
        <v>1</v>
      </c>
      <c r="DJ4237">
        <v>0</v>
      </c>
      <c r="DK4237">
        <v>1</v>
      </c>
      <c r="DL4237">
        <v>0</v>
      </c>
      <c r="DM4237">
        <v>0</v>
      </c>
      <c r="DN4237">
        <v>1</v>
      </c>
      <c r="DO4237">
        <v>0</v>
      </c>
      <c r="DP4237">
        <v>0</v>
      </c>
      <c r="DQ4237">
        <v>0</v>
      </c>
      <c r="DR4237">
        <v>0</v>
      </c>
      <c r="DS4237">
        <v>0</v>
      </c>
    </row>
    <row r="4238" spans="1:123" x14ac:dyDescent="0.3">
      <c r="A4238" t="str">
        <f t="shared" si="1562"/>
        <v>10/04/2022 19:36:58.418</v>
      </c>
      <c r="C4238" t="str">
        <f t="shared" si="1550"/>
        <v>FFDFD3C0</v>
      </c>
      <c r="D4238" t="s">
        <v>134</v>
      </c>
      <c r="E4238">
        <v>15</v>
      </c>
      <c r="J4238" t="s">
        <v>135</v>
      </c>
      <c r="K4238">
        <v>0</v>
      </c>
      <c r="L4238">
        <v>3</v>
      </c>
      <c r="M4238">
        <v>0</v>
      </c>
      <c r="N4238">
        <v>2</v>
      </c>
      <c r="O4238">
        <v>0</v>
      </c>
      <c r="P4238">
        <v>1</v>
      </c>
      <c r="Q4238">
        <v>0</v>
      </c>
      <c r="S4238" t="str">
        <f t="shared" si="1563"/>
        <v>19:36:58.000</v>
      </c>
      <c r="T4238" t="str">
        <f t="shared" si="1563"/>
        <v>19:36:58.000</v>
      </c>
      <c r="U4238" t="str">
        <f t="shared" si="1559"/>
        <v>AC3944</v>
      </c>
      <c r="V4238">
        <v>0</v>
      </c>
      <c r="W4238">
        <v>0</v>
      </c>
      <c r="X4238">
        <v>2</v>
      </c>
      <c r="Y4238">
        <v>0</v>
      </c>
      <c r="AA4238">
        <v>1</v>
      </c>
      <c r="AB4238">
        <v>8</v>
      </c>
      <c r="AC4238">
        <v>3</v>
      </c>
      <c r="AD4238">
        <v>0</v>
      </c>
      <c r="AE4238">
        <v>9</v>
      </c>
      <c r="AF4238" t="s">
        <v>138</v>
      </c>
      <c r="AG4238">
        <v>0</v>
      </c>
      <c r="AH4238">
        <v>3</v>
      </c>
      <c r="AI4238">
        <v>1</v>
      </c>
      <c r="AJ4238">
        <v>0</v>
      </c>
      <c r="AK4238" t="s">
        <v>1346</v>
      </c>
      <c r="AL4238">
        <v>32.746575</v>
      </c>
      <c r="AM4238" t="s">
        <v>1351</v>
      </c>
      <c r="AN4238">
        <v>-116.685812</v>
      </c>
      <c r="AO4238">
        <v>25</v>
      </c>
      <c r="AP4238">
        <v>5000</v>
      </c>
      <c r="AQ4238" t="s">
        <v>129</v>
      </c>
      <c r="AR4238">
        <v>-137</v>
      </c>
      <c r="AS4238">
        <v>-30</v>
      </c>
      <c r="AT4238">
        <v>768</v>
      </c>
      <c r="BB4238">
        <v>1200</v>
      </c>
      <c r="BC4238">
        <v>1</v>
      </c>
      <c r="BD4238" t="str">
        <f t="shared" si="1560"/>
        <v xml:space="preserve">N887QR  </v>
      </c>
      <c r="BE4238">
        <v>1</v>
      </c>
      <c r="BG4238">
        <v>0</v>
      </c>
      <c r="BH4238">
        <v>0</v>
      </c>
      <c r="BI4238">
        <v>0</v>
      </c>
      <c r="BJ4238">
        <v>4775</v>
      </c>
      <c r="BK4238">
        <v>-225</v>
      </c>
      <c r="BL4238" t="s">
        <v>163</v>
      </c>
      <c r="BM4238">
        <v>1</v>
      </c>
      <c r="BN4238">
        <v>1</v>
      </c>
      <c r="BO4238">
        <v>1</v>
      </c>
      <c r="BP4238">
        <v>0</v>
      </c>
      <c r="BS4238">
        <v>0.04</v>
      </c>
      <c r="BT4238">
        <v>0</v>
      </c>
      <c r="BU4238">
        <v>0</v>
      </c>
      <c r="CE4238" t="str">
        <f t="shared" si="1564"/>
        <v>19:36:58.216</v>
      </c>
      <c r="CF4238">
        <v>215618430</v>
      </c>
      <c r="CS4238">
        <v>0</v>
      </c>
      <c r="CT4238">
        <v>2</v>
      </c>
      <c r="CU4238">
        <v>0</v>
      </c>
      <c r="CV4238">
        <v>2</v>
      </c>
      <c r="CW4238">
        <v>0</v>
      </c>
      <c r="CX4238">
        <v>5</v>
      </c>
      <c r="CY4238">
        <v>7</v>
      </c>
      <c r="CZ4238" t="s">
        <v>131</v>
      </c>
      <c r="DA4238">
        <v>286</v>
      </c>
      <c r="DB4238">
        <v>0</v>
      </c>
      <c r="DC4238" t="s">
        <v>132</v>
      </c>
      <c r="DD4238" t="s">
        <v>133</v>
      </c>
      <c r="DG4238">
        <v>906473</v>
      </c>
      <c r="DI4238">
        <v>1</v>
      </c>
      <c r="DJ4238">
        <v>0</v>
      </c>
      <c r="DK4238">
        <v>1</v>
      </c>
      <c r="DL4238">
        <v>0</v>
      </c>
      <c r="DM4238">
        <v>0</v>
      </c>
      <c r="DN4238">
        <v>1</v>
      </c>
      <c r="DO4238">
        <v>0</v>
      </c>
      <c r="DP4238">
        <v>0</v>
      </c>
      <c r="DQ4238">
        <v>0</v>
      </c>
      <c r="DR4238">
        <v>0</v>
      </c>
      <c r="DS4238">
        <v>0</v>
      </c>
    </row>
    <row r="4239" spans="1:123" x14ac:dyDescent="0.3">
      <c r="A4239" t="str">
        <f t="shared" si="1562"/>
        <v>10/04/2022 19:36:58.418</v>
      </c>
      <c r="C4239" t="str">
        <f t="shared" si="1550"/>
        <v>FFDFD3C0</v>
      </c>
      <c r="D4239" t="s">
        <v>143</v>
      </c>
      <c r="E4239">
        <v>20</v>
      </c>
      <c r="F4239">
        <v>1020</v>
      </c>
      <c r="G4239" t="s">
        <v>144</v>
      </c>
      <c r="J4239" t="s">
        <v>145</v>
      </c>
      <c r="K4239">
        <v>0</v>
      </c>
      <c r="L4239">
        <v>3</v>
      </c>
      <c r="M4239">
        <v>0</v>
      </c>
      <c r="N4239">
        <v>2</v>
      </c>
      <c r="O4239">
        <v>0</v>
      </c>
      <c r="P4239">
        <v>1</v>
      </c>
      <c r="Q4239">
        <v>0</v>
      </c>
      <c r="S4239" t="str">
        <f t="shared" si="1563"/>
        <v>19:36:58.000</v>
      </c>
      <c r="T4239" t="str">
        <f t="shared" si="1563"/>
        <v>19:36:58.000</v>
      </c>
      <c r="U4239" t="str">
        <f t="shared" si="1559"/>
        <v>AC3944</v>
      </c>
      <c r="V4239">
        <v>0</v>
      </c>
      <c r="W4239">
        <v>0</v>
      </c>
      <c r="X4239">
        <v>2</v>
      </c>
      <c r="Y4239">
        <v>0</v>
      </c>
      <c r="AA4239">
        <v>1</v>
      </c>
      <c r="AB4239">
        <v>8</v>
      </c>
      <c r="AC4239">
        <v>3</v>
      </c>
      <c r="AD4239">
        <v>0</v>
      </c>
      <c r="AE4239">
        <v>9</v>
      </c>
      <c r="AF4239" t="s">
        <v>138</v>
      </c>
      <c r="AG4239">
        <v>0</v>
      </c>
      <c r="AH4239">
        <v>3</v>
      </c>
      <c r="AI4239">
        <v>1</v>
      </c>
      <c r="AJ4239">
        <v>0</v>
      </c>
      <c r="AK4239" t="s">
        <v>1346</v>
      </c>
      <c r="AL4239">
        <v>32.746575</v>
      </c>
      <c r="AM4239" t="s">
        <v>1351</v>
      </c>
      <c r="AN4239">
        <v>-116.685812</v>
      </c>
      <c r="AO4239">
        <v>25</v>
      </c>
      <c r="AP4239">
        <v>5000</v>
      </c>
      <c r="AQ4239" t="s">
        <v>129</v>
      </c>
      <c r="AR4239">
        <v>-137</v>
      </c>
      <c r="AS4239">
        <v>-30</v>
      </c>
      <c r="AT4239">
        <v>768</v>
      </c>
      <c r="BB4239">
        <v>1200</v>
      </c>
      <c r="BC4239">
        <v>1</v>
      </c>
      <c r="BD4239" t="str">
        <f t="shared" si="1560"/>
        <v xml:space="preserve">N887QR  </v>
      </c>
      <c r="BE4239">
        <v>1</v>
      </c>
      <c r="BG4239">
        <v>0</v>
      </c>
      <c r="BH4239">
        <v>0</v>
      </c>
      <c r="BI4239">
        <v>0</v>
      </c>
      <c r="BJ4239">
        <v>4775</v>
      </c>
      <c r="BK4239">
        <v>-225</v>
      </c>
      <c r="BL4239" t="s">
        <v>163</v>
      </c>
      <c r="BM4239">
        <v>1</v>
      </c>
      <c r="BN4239">
        <v>1</v>
      </c>
      <c r="BO4239">
        <v>1</v>
      </c>
      <c r="BP4239">
        <v>0</v>
      </c>
      <c r="BS4239">
        <v>0.04</v>
      </c>
      <c r="BT4239">
        <v>0</v>
      </c>
      <c r="BU4239">
        <v>0</v>
      </c>
      <c r="CE4239" t="str">
        <f t="shared" si="1564"/>
        <v>19:36:58.216</v>
      </c>
      <c r="CF4239">
        <v>215618430</v>
      </c>
      <c r="CS4239">
        <v>0</v>
      </c>
      <c r="CT4239">
        <v>2</v>
      </c>
      <c r="CU4239">
        <v>0</v>
      </c>
      <c r="CV4239">
        <v>2</v>
      </c>
      <c r="CW4239">
        <v>0</v>
      </c>
      <c r="CX4239">
        <v>5</v>
      </c>
      <c r="CY4239">
        <v>7</v>
      </c>
      <c r="CZ4239" t="s">
        <v>131</v>
      </c>
      <c r="DA4239">
        <v>286</v>
      </c>
      <c r="DB4239">
        <v>0</v>
      </c>
      <c r="DC4239" t="s">
        <v>132</v>
      </c>
      <c r="DD4239" t="s">
        <v>133</v>
      </c>
      <c r="DG4239">
        <v>906473</v>
      </c>
      <c r="DI4239">
        <v>1</v>
      </c>
      <c r="DJ4239">
        <v>0</v>
      </c>
      <c r="DK4239">
        <v>1</v>
      </c>
      <c r="DL4239">
        <v>0</v>
      </c>
      <c r="DM4239">
        <v>0</v>
      </c>
      <c r="DN4239">
        <v>1</v>
      </c>
      <c r="DO4239">
        <v>0</v>
      </c>
      <c r="DP4239">
        <v>0</v>
      </c>
      <c r="DQ4239">
        <v>0</v>
      </c>
      <c r="DR4239">
        <v>0</v>
      </c>
      <c r="DS4239">
        <v>0</v>
      </c>
    </row>
    <row r="4240" spans="1:123" x14ac:dyDescent="0.3">
      <c r="A4240" t="str">
        <f t="shared" ref="A4240:A4246" si="1565">"10/04/2022 19:36:59.215"</f>
        <v>10/04/2022 19:36:59.215</v>
      </c>
      <c r="C4240" t="str">
        <f t="shared" si="1550"/>
        <v>FFDFD3C0</v>
      </c>
      <c r="D4240" t="s">
        <v>147</v>
      </c>
      <c r="E4240">
        <v>3</v>
      </c>
      <c r="H4240">
        <v>166</v>
      </c>
      <c r="I4240" t="s">
        <v>144</v>
      </c>
      <c r="J4240" t="s">
        <v>148</v>
      </c>
      <c r="K4240">
        <v>0</v>
      </c>
      <c r="L4240">
        <v>3</v>
      </c>
      <c r="M4240">
        <v>0</v>
      </c>
      <c r="N4240">
        <v>2</v>
      </c>
      <c r="O4240">
        <v>0</v>
      </c>
      <c r="P4240">
        <v>1</v>
      </c>
      <c r="Q4240">
        <v>0</v>
      </c>
      <c r="S4240" t="str">
        <f t="shared" si="1563"/>
        <v>19:36:58.000</v>
      </c>
      <c r="T4240" t="str">
        <f t="shared" si="1563"/>
        <v>19:36:58.000</v>
      </c>
      <c r="U4240" t="str">
        <f t="shared" si="1559"/>
        <v>AC3944</v>
      </c>
      <c r="V4240">
        <v>0</v>
      </c>
      <c r="W4240">
        <v>0</v>
      </c>
      <c r="X4240">
        <v>2</v>
      </c>
      <c r="Y4240">
        <v>0</v>
      </c>
      <c r="AA4240">
        <v>1</v>
      </c>
      <c r="AB4240">
        <v>8</v>
      </c>
      <c r="AC4240">
        <v>3</v>
      </c>
      <c r="AD4240">
        <v>0</v>
      </c>
      <c r="AE4240">
        <v>9</v>
      </c>
      <c r="AF4240" t="s">
        <v>138</v>
      </c>
      <c r="AG4240">
        <v>0</v>
      </c>
      <c r="AH4240">
        <v>3</v>
      </c>
      <c r="AI4240">
        <v>1</v>
      </c>
      <c r="AJ4240">
        <v>0</v>
      </c>
      <c r="AK4240" t="s">
        <v>1344</v>
      </c>
      <c r="AL4240">
        <v>32.746445999999999</v>
      </c>
      <c r="AM4240" t="s">
        <v>1352</v>
      </c>
      <c r="AN4240">
        <v>-116.68658499999999</v>
      </c>
      <c r="AO4240">
        <v>25</v>
      </c>
      <c r="AP4240">
        <v>5000</v>
      </c>
      <c r="AQ4240" t="s">
        <v>129</v>
      </c>
      <c r="AR4240">
        <v>-135</v>
      </c>
      <c r="AS4240">
        <v>-38</v>
      </c>
      <c r="AT4240">
        <v>768</v>
      </c>
      <c r="BB4240">
        <v>1200</v>
      </c>
      <c r="BC4240">
        <v>1</v>
      </c>
      <c r="BD4240" t="str">
        <f t="shared" si="1560"/>
        <v xml:space="preserve">N887QR  </v>
      </c>
      <c r="BE4240">
        <v>1</v>
      </c>
      <c r="BG4240">
        <v>0</v>
      </c>
      <c r="BH4240">
        <v>0</v>
      </c>
      <c r="BI4240">
        <v>0</v>
      </c>
      <c r="BJ4240">
        <v>4775</v>
      </c>
      <c r="BK4240">
        <v>-225</v>
      </c>
      <c r="BL4240" t="s">
        <v>163</v>
      </c>
      <c r="BM4240">
        <v>1</v>
      </c>
      <c r="BN4240">
        <v>1</v>
      </c>
      <c r="BO4240">
        <v>1</v>
      </c>
      <c r="BP4240">
        <v>0</v>
      </c>
      <c r="BS4240">
        <v>0.04</v>
      </c>
      <c r="BT4240">
        <v>0</v>
      </c>
      <c r="BU4240">
        <v>0</v>
      </c>
      <c r="CE4240" t="str">
        <f t="shared" ref="CE4240:CE4246" si="1566">"19:36:58.811"</f>
        <v>19:36:58.811</v>
      </c>
      <c r="CF4240">
        <v>811370242</v>
      </c>
      <c r="CS4240">
        <v>0</v>
      </c>
      <c r="CT4240">
        <v>2</v>
      </c>
      <c r="CU4240">
        <v>0</v>
      </c>
      <c r="CV4240">
        <v>2</v>
      </c>
      <c r="CW4240">
        <v>0</v>
      </c>
      <c r="CX4240">
        <v>6</v>
      </c>
      <c r="CY4240">
        <v>7</v>
      </c>
      <c r="CZ4240" t="s">
        <v>131</v>
      </c>
      <c r="DA4240">
        <v>286</v>
      </c>
      <c r="DB4240">
        <v>0</v>
      </c>
      <c r="DC4240" t="s">
        <v>132</v>
      </c>
      <c r="DD4240" t="s">
        <v>133</v>
      </c>
      <c r="DG4240">
        <v>906625</v>
      </c>
      <c r="DI4240">
        <v>1</v>
      </c>
      <c r="DJ4240">
        <v>0</v>
      </c>
      <c r="DK4240">
        <v>0</v>
      </c>
      <c r="DL4240">
        <v>0</v>
      </c>
      <c r="DM4240">
        <v>0</v>
      </c>
      <c r="DN4240">
        <v>1</v>
      </c>
      <c r="DO4240">
        <v>0</v>
      </c>
      <c r="DP4240">
        <v>0</v>
      </c>
      <c r="DQ4240">
        <v>0</v>
      </c>
      <c r="DR4240">
        <v>0</v>
      </c>
      <c r="DS4240">
        <v>0</v>
      </c>
    </row>
    <row r="4241" spans="1:123" x14ac:dyDescent="0.3">
      <c r="A4241" t="str">
        <f t="shared" si="1565"/>
        <v>10/04/2022 19:36:59.215</v>
      </c>
      <c r="C4241" t="str">
        <f t="shared" si="1550"/>
        <v>FFDFD3C0</v>
      </c>
      <c r="D4241" t="s">
        <v>136</v>
      </c>
      <c r="E4241">
        <v>8</v>
      </c>
      <c r="H4241">
        <v>225</v>
      </c>
      <c r="I4241" t="s">
        <v>137</v>
      </c>
      <c r="J4241" t="s">
        <v>138</v>
      </c>
      <c r="K4241">
        <v>0</v>
      </c>
      <c r="L4241">
        <v>3</v>
      </c>
      <c r="M4241">
        <v>0</v>
      </c>
      <c r="N4241">
        <v>2</v>
      </c>
      <c r="O4241">
        <v>0</v>
      </c>
      <c r="P4241">
        <v>1</v>
      </c>
      <c r="Q4241">
        <v>0</v>
      </c>
      <c r="S4241" t="str">
        <f t="shared" si="1563"/>
        <v>19:36:58.000</v>
      </c>
      <c r="T4241" t="str">
        <f t="shared" si="1563"/>
        <v>19:36:58.000</v>
      </c>
      <c r="U4241" t="str">
        <f t="shared" si="1559"/>
        <v>AC3944</v>
      </c>
      <c r="V4241">
        <v>0</v>
      </c>
      <c r="W4241">
        <v>0</v>
      </c>
      <c r="X4241">
        <v>2</v>
      </c>
      <c r="Y4241">
        <v>0</v>
      </c>
      <c r="AA4241">
        <v>1</v>
      </c>
      <c r="AB4241">
        <v>8</v>
      </c>
      <c r="AC4241">
        <v>3</v>
      </c>
      <c r="AD4241">
        <v>0</v>
      </c>
      <c r="AE4241">
        <v>9</v>
      </c>
      <c r="AF4241" t="s">
        <v>138</v>
      </c>
      <c r="AG4241">
        <v>0</v>
      </c>
      <c r="AH4241">
        <v>3</v>
      </c>
      <c r="AI4241">
        <v>1</v>
      </c>
      <c r="AJ4241">
        <v>0</v>
      </c>
      <c r="AK4241" t="s">
        <v>1344</v>
      </c>
      <c r="AL4241">
        <v>32.746445999999999</v>
      </c>
      <c r="AM4241" t="s">
        <v>1352</v>
      </c>
      <c r="AN4241">
        <v>-116.68658499999999</v>
      </c>
      <c r="AO4241">
        <v>25</v>
      </c>
      <c r="AP4241">
        <v>5000</v>
      </c>
      <c r="AQ4241" t="s">
        <v>129</v>
      </c>
      <c r="AR4241">
        <v>-135</v>
      </c>
      <c r="AS4241">
        <v>-38</v>
      </c>
      <c r="AT4241">
        <v>768</v>
      </c>
      <c r="BB4241">
        <v>1200</v>
      </c>
      <c r="BC4241">
        <v>1</v>
      </c>
      <c r="BD4241" t="str">
        <f t="shared" si="1560"/>
        <v xml:space="preserve">N887QR  </v>
      </c>
      <c r="BE4241">
        <v>1</v>
      </c>
      <c r="BG4241">
        <v>0</v>
      </c>
      <c r="BH4241">
        <v>0</v>
      </c>
      <c r="BI4241">
        <v>0</v>
      </c>
      <c r="BJ4241">
        <v>4775</v>
      </c>
      <c r="BK4241">
        <v>-225</v>
      </c>
      <c r="BL4241" t="s">
        <v>163</v>
      </c>
      <c r="BM4241">
        <v>1</v>
      </c>
      <c r="BN4241">
        <v>1</v>
      </c>
      <c r="BO4241">
        <v>1</v>
      </c>
      <c r="BP4241">
        <v>0</v>
      </c>
      <c r="BS4241">
        <v>0.04</v>
      </c>
      <c r="BT4241">
        <v>0</v>
      </c>
      <c r="BU4241">
        <v>0</v>
      </c>
      <c r="CE4241" t="str">
        <f t="shared" si="1566"/>
        <v>19:36:58.811</v>
      </c>
      <c r="CF4241">
        <v>811370242</v>
      </c>
      <c r="CS4241">
        <v>0</v>
      </c>
      <c r="CT4241">
        <v>2</v>
      </c>
      <c r="CU4241">
        <v>0</v>
      </c>
      <c r="CV4241">
        <v>2</v>
      </c>
      <c r="CW4241">
        <v>0</v>
      </c>
      <c r="CX4241">
        <v>6</v>
      </c>
      <c r="CY4241">
        <v>7</v>
      </c>
      <c r="CZ4241" t="s">
        <v>131</v>
      </c>
      <c r="DA4241">
        <v>286</v>
      </c>
      <c r="DB4241">
        <v>0</v>
      </c>
      <c r="DC4241" t="s">
        <v>132</v>
      </c>
      <c r="DD4241" t="s">
        <v>133</v>
      </c>
      <c r="DG4241">
        <v>906625</v>
      </c>
      <c r="DI4241">
        <v>1</v>
      </c>
      <c r="DJ4241">
        <v>0</v>
      </c>
      <c r="DK4241">
        <v>1</v>
      </c>
      <c r="DL4241">
        <v>0</v>
      </c>
      <c r="DM4241">
        <v>0</v>
      </c>
      <c r="DN4241">
        <v>1</v>
      </c>
      <c r="DO4241">
        <v>0</v>
      </c>
      <c r="DP4241">
        <v>0</v>
      </c>
      <c r="DQ4241">
        <v>0</v>
      </c>
      <c r="DR4241">
        <v>0</v>
      </c>
      <c r="DS4241">
        <v>0</v>
      </c>
    </row>
    <row r="4242" spans="1:123" x14ac:dyDescent="0.3">
      <c r="A4242" t="str">
        <f t="shared" si="1565"/>
        <v>10/04/2022 19:36:59.215</v>
      </c>
      <c r="C4242" t="str">
        <f t="shared" si="1550"/>
        <v>FFDFD3C0</v>
      </c>
      <c r="D4242" t="s">
        <v>134</v>
      </c>
      <c r="E4242">
        <v>15</v>
      </c>
      <c r="J4242" t="s">
        <v>135</v>
      </c>
      <c r="K4242">
        <v>0</v>
      </c>
      <c r="L4242">
        <v>3</v>
      </c>
      <c r="M4242">
        <v>0</v>
      </c>
      <c r="N4242">
        <v>2</v>
      </c>
      <c r="O4242">
        <v>0</v>
      </c>
      <c r="P4242">
        <v>1</v>
      </c>
      <c r="Q4242">
        <v>0</v>
      </c>
      <c r="S4242" t="str">
        <f t="shared" si="1563"/>
        <v>19:36:58.000</v>
      </c>
      <c r="T4242" t="str">
        <f t="shared" si="1563"/>
        <v>19:36:58.000</v>
      </c>
      <c r="U4242" t="str">
        <f t="shared" si="1559"/>
        <v>AC3944</v>
      </c>
      <c r="V4242">
        <v>0</v>
      </c>
      <c r="W4242">
        <v>0</v>
      </c>
      <c r="X4242">
        <v>2</v>
      </c>
      <c r="Y4242">
        <v>0</v>
      </c>
      <c r="AA4242">
        <v>1</v>
      </c>
      <c r="AB4242">
        <v>8</v>
      </c>
      <c r="AC4242">
        <v>3</v>
      </c>
      <c r="AD4242">
        <v>0</v>
      </c>
      <c r="AE4242">
        <v>9</v>
      </c>
      <c r="AF4242" t="s">
        <v>138</v>
      </c>
      <c r="AG4242">
        <v>0</v>
      </c>
      <c r="AH4242">
        <v>3</v>
      </c>
      <c r="AI4242">
        <v>1</v>
      </c>
      <c r="AJ4242">
        <v>0</v>
      </c>
      <c r="AK4242" t="s">
        <v>1344</v>
      </c>
      <c r="AL4242">
        <v>32.746445999999999</v>
      </c>
      <c r="AM4242" t="s">
        <v>1352</v>
      </c>
      <c r="AN4242">
        <v>-116.68658499999999</v>
      </c>
      <c r="AO4242">
        <v>25</v>
      </c>
      <c r="AP4242">
        <v>5000</v>
      </c>
      <c r="AQ4242" t="s">
        <v>129</v>
      </c>
      <c r="AR4242">
        <v>-135</v>
      </c>
      <c r="AS4242">
        <v>-38</v>
      </c>
      <c r="AT4242">
        <v>768</v>
      </c>
      <c r="BB4242">
        <v>1200</v>
      </c>
      <c r="BC4242">
        <v>1</v>
      </c>
      <c r="BD4242" t="str">
        <f t="shared" si="1560"/>
        <v xml:space="preserve">N887QR  </v>
      </c>
      <c r="BE4242">
        <v>1</v>
      </c>
      <c r="BG4242">
        <v>0</v>
      </c>
      <c r="BH4242">
        <v>0</v>
      </c>
      <c r="BI4242">
        <v>0</v>
      </c>
      <c r="BJ4242">
        <v>4775</v>
      </c>
      <c r="BK4242">
        <v>-225</v>
      </c>
      <c r="BL4242" t="s">
        <v>163</v>
      </c>
      <c r="BM4242">
        <v>1</v>
      </c>
      <c r="BN4242">
        <v>1</v>
      </c>
      <c r="BO4242">
        <v>1</v>
      </c>
      <c r="BP4242">
        <v>0</v>
      </c>
      <c r="BS4242">
        <v>0.04</v>
      </c>
      <c r="BT4242">
        <v>0</v>
      </c>
      <c r="BU4242">
        <v>0</v>
      </c>
      <c r="CE4242" t="str">
        <f t="shared" si="1566"/>
        <v>19:36:58.811</v>
      </c>
      <c r="CF4242">
        <v>811370242</v>
      </c>
      <c r="CS4242">
        <v>0</v>
      </c>
      <c r="CT4242">
        <v>2</v>
      </c>
      <c r="CU4242">
        <v>0</v>
      </c>
      <c r="CV4242">
        <v>2</v>
      </c>
      <c r="CW4242">
        <v>0</v>
      </c>
      <c r="CX4242">
        <v>6</v>
      </c>
      <c r="CY4242">
        <v>7</v>
      </c>
      <c r="CZ4242" t="s">
        <v>131</v>
      </c>
      <c r="DA4242">
        <v>286</v>
      </c>
      <c r="DB4242">
        <v>0</v>
      </c>
      <c r="DC4242" t="s">
        <v>132</v>
      </c>
      <c r="DD4242" t="s">
        <v>133</v>
      </c>
      <c r="DG4242">
        <v>906625</v>
      </c>
      <c r="DI4242">
        <v>1</v>
      </c>
      <c r="DJ4242">
        <v>0</v>
      </c>
      <c r="DK4242">
        <v>0</v>
      </c>
      <c r="DL4242">
        <v>0</v>
      </c>
      <c r="DM4242">
        <v>0</v>
      </c>
      <c r="DN4242">
        <v>1</v>
      </c>
      <c r="DO4242">
        <v>0</v>
      </c>
      <c r="DP4242">
        <v>0</v>
      </c>
      <c r="DQ4242">
        <v>0</v>
      </c>
      <c r="DR4242">
        <v>0</v>
      </c>
      <c r="DS4242">
        <v>0</v>
      </c>
    </row>
    <row r="4243" spans="1:123" x14ac:dyDescent="0.3">
      <c r="A4243" t="str">
        <f t="shared" si="1565"/>
        <v>10/04/2022 19:36:59.215</v>
      </c>
      <c r="C4243" t="str">
        <f t="shared" si="1550"/>
        <v>FFDFD3C0</v>
      </c>
      <c r="D4243" t="s">
        <v>143</v>
      </c>
      <c r="E4243">
        <v>20</v>
      </c>
      <c r="F4243">
        <v>1020</v>
      </c>
      <c r="G4243" t="s">
        <v>144</v>
      </c>
      <c r="J4243" t="s">
        <v>145</v>
      </c>
      <c r="K4243">
        <v>0</v>
      </c>
      <c r="L4243">
        <v>3</v>
      </c>
      <c r="M4243">
        <v>0</v>
      </c>
      <c r="N4243">
        <v>2</v>
      </c>
      <c r="O4243">
        <v>0</v>
      </c>
      <c r="P4243">
        <v>1</v>
      </c>
      <c r="Q4243">
        <v>0</v>
      </c>
      <c r="S4243" t="str">
        <f t="shared" si="1563"/>
        <v>19:36:58.000</v>
      </c>
      <c r="T4243" t="str">
        <f t="shared" si="1563"/>
        <v>19:36:58.000</v>
      </c>
      <c r="U4243" t="str">
        <f t="shared" si="1559"/>
        <v>AC3944</v>
      </c>
      <c r="V4243">
        <v>0</v>
      </c>
      <c r="W4243">
        <v>0</v>
      </c>
      <c r="X4243">
        <v>2</v>
      </c>
      <c r="Y4243">
        <v>0</v>
      </c>
      <c r="AA4243">
        <v>1</v>
      </c>
      <c r="AB4243">
        <v>8</v>
      </c>
      <c r="AC4243">
        <v>3</v>
      </c>
      <c r="AD4243">
        <v>0</v>
      </c>
      <c r="AE4243">
        <v>9</v>
      </c>
      <c r="AF4243" t="s">
        <v>138</v>
      </c>
      <c r="AG4243">
        <v>0</v>
      </c>
      <c r="AH4243">
        <v>3</v>
      </c>
      <c r="AI4243">
        <v>1</v>
      </c>
      <c r="AJ4243">
        <v>0</v>
      </c>
      <c r="AK4243" t="s">
        <v>1344</v>
      </c>
      <c r="AL4243">
        <v>32.746445999999999</v>
      </c>
      <c r="AM4243" t="s">
        <v>1352</v>
      </c>
      <c r="AN4243">
        <v>-116.68658499999999</v>
      </c>
      <c r="AO4243">
        <v>25</v>
      </c>
      <c r="AP4243">
        <v>5000</v>
      </c>
      <c r="AQ4243" t="s">
        <v>129</v>
      </c>
      <c r="AR4243">
        <v>-135</v>
      </c>
      <c r="AS4243">
        <v>-38</v>
      </c>
      <c r="AT4243">
        <v>768</v>
      </c>
      <c r="BB4243">
        <v>1200</v>
      </c>
      <c r="BC4243">
        <v>1</v>
      </c>
      <c r="BD4243" t="str">
        <f t="shared" si="1560"/>
        <v xml:space="preserve">N887QR  </v>
      </c>
      <c r="BE4243">
        <v>1</v>
      </c>
      <c r="BG4243">
        <v>0</v>
      </c>
      <c r="BH4243">
        <v>0</v>
      </c>
      <c r="BI4243">
        <v>0</v>
      </c>
      <c r="BJ4243">
        <v>4775</v>
      </c>
      <c r="BK4243">
        <v>-225</v>
      </c>
      <c r="BL4243" t="s">
        <v>163</v>
      </c>
      <c r="BM4243">
        <v>1</v>
      </c>
      <c r="BN4243">
        <v>1</v>
      </c>
      <c r="BO4243">
        <v>1</v>
      </c>
      <c r="BP4243">
        <v>0</v>
      </c>
      <c r="BS4243">
        <v>0.04</v>
      </c>
      <c r="BT4243">
        <v>0</v>
      </c>
      <c r="BU4243">
        <v>0</v>
      </c>
      <c r="CE4243" t="str">
        <f t="shared" si="1566"/>
        <v>19:36:58.811</v>
      </c>
      <c r="CF4243">
        <v>811370242</v>
      </c>
      <c r="CS4243">
        <v>0</v>
      </c>
      <c r="CT4243">
        <v>2</v>
      </c>
      <c r="CU4243">
        <v>0</v>
      </c>
      <c r="CV4243">
        <v>2</v>
      </c>
      <c r="CW4243">
        <v>0</v>
      </c>
      <c r="CX4243">
        <v>6</v>
      </c>
      <c r="CY4243">
        <v>7</v>
      </c>
      <c r="CZ4243" t="s">
        <v>131</v>
      </c>
      <c r="DA4243">
        <v>286</v>
      </c>
      <c r="DB4243">
        <v>0</v>
      </c>
      <c r="DC4243" t="s">
        <v>132</v>
      </c>
      <c r="DD4243" t="s">
        <v>133</v>
      </c>
      <c r="DG4243">
        <v>906625</v>
      </c>
      <c r="DI4243">
        <v>1</v>
      </c>
      <c r="DJ4243">
        <v>0</v>
      </c>
      <c r="DK4243">
        <v>1</v>
      </c>
      <c r="DL4243">
        <v>0</v>
      </c>
      <c r="DM4243">
        <v>0</v>
      </c>
      <c r="DN4243">
        <v>1</v>
      </c>
      <c r="DO4243">
        <v>0</v>
      </c>
      <c r="DP4243">
        <v>0</v>
      </c>
      <c r="DQ4243">
        <v>0</v>
      </c>
      <c r="DR4243">
        <v>0</v>
      </c>
      <c r="DS4243">
        <v>0</v>
      </c>
    </row>
    <row r="4244" spans="1:123" x14ac:dyDescent="0.3">
      <c r="A4244" t="str">
        <f t="shared" si="1565"/>
        <v>10/04/2022 19:36:59.215</v>
      </c>
      <c r="C4244" t="str">
        <f t="shared" si="1550"/>
        <v>FFDFD3C0</v>
      </c>
      <c r="D4244" t="s">
        <v>123</v>
      </c>
      <c r="E4244">
        <v>7</v>
      </c>
      <c r="F4244">
        <v>2007</v>
      </c>
      <c r="G4244" t="s">
        <v>124</v>
      </c>
      <c r="J4244" t="s">
        <v>125</v>
      </c>
      <c r="K4244">
        <v>0</v>
      </c>
      <c r="L4244">
        <v>3</v>
      </c>
      <c r="M4244">
        <v>0</v>
      </c>
      <c r="N4244">
        <v>2</v>
      </c>
      <c r="O4244">
        <v>0</v>
      </c>
      <c r="P4244">
        <v>1</v>
      </c>
      <c r="Q4244">
        <v>0</v>
      </c>
      <c r="S4244" t="str">
        <f t="shared" si="1563"/>
        <v>19:36:58.000</v>
      </c>
      <c r="T4244" t="str">
        <f t="shared" si="1563"/>
        <v>19:36:58.000</v>
      </c>
      <c r="U4244" t="str">
        <f t="shared" si="1559"/>
        <v>AC3944</v>
      </c>
      <c r="V4244">
        <v>0</v>
      </c>
      <c r="W4244">
        <v>0</v>
      </c>
      <c r="X4244">
        <v>2</v>
      </c>
      <c r="Y4244">
        <v>0</v>
      </c>
      <c r="AA4244">
        <v>1</v>
      </c>
      <c r="AB4244">
        <v>8</v>
      </c>
      <c r="AC4244">
        <v>3</v>
      </c>
      <c r="AD4244">
        <v>0</v>
      </c>
      <c r="AE4244">
        <v>9</v>
      </c>
      <c r="AF4244" t="s">
        <v>138</v>
      </c>
      <c r="AG4244">
        <v>0</v>
      </c>
      <c r="AH4244">
        <v>3</v>
      </c>
      <c r="AI4244">
        <v>1</v>
      </c>
      <c r="AJ4244">
        <v>0</v>
      </c>
      <c r="AK4244" t="s">
        <v>1344</v>
      </c>
      <c r="AL4244">
        <v>32.746445999999999</v>
      </c>
      <c r="AM4244" t="s">
        <v>1352</v>
      </c>
      <c r="AN4244">
        <v>-116.68658499999999</v>
      </c>
      <c r="AO4244">
        <v>25</v>
      </c>
      <c r="AP4244">
        <v>5000</v>
      </c>
      <c r="AQ4244" t="s">
        <v>129</v>
      </c>
      <c r="AR4244">
        <v>-135</v>
      </c>
      <c r="AS4244">
        <v>-38</v>
      </c>
      <c r="AT4244">
        <v>768</v>
      </c>
      <c r="BB4244">
        <v>1200</v>
      </c>
      <c r="BC4244">
        <v>1</v>
      </c>
      <c r="BD4244" t="str">
        <f t="shared" si="1560"/>
        <v xml:space="preserve">N887QR  </v>
      </c>
      <c r="BE4244">
        <v>1</v>
      </c>
      <c r="BG4244">
        <v>0</v>
      </c>
      <c r="BH4244">
        <v>0</v>
      </c>
      <c r="BI4244">
        <v>0</v>
      </c>
      <c r="BJ4244">
        <v>4775</v>
      </c>
      <c r="BK4244">
        <v>-225</v>
      </c>
      <c r="BL4244" t="s">
        <v>163</v>
      </c>
      <c r="BM4244">
        <v>1</v>
      </c>
      <c r="BN4244">
        <v>1</v>
      </c>
      <c r="BO4244">
        <v>1</v>
      </c>
      <c r="BP4244">
        <v>0</v>
      </c>
      <c r="BS4244">
        <v>0.04</v>
      </c>
      <c r="BT4244">
        <v>0</v>
      </c>
      <c r="BU4244">
        <v>0</v>
      </c>
      <c r="CE4244" t="str">
        <f t="shared" si="1566"/>
        <v>19:36:58.811</v>
      </c>
      <c r="CF4244">
        <v>811370242</v>
      </c>
      <c r="CS4244">
        <v>0</v>
      </c>
      <c r="CT4244">
        <v>2</v>
      </c>
      <c r="CU4244">
        <v>0</v>
      </c>
      <c r="CV4244">
        <v>2</v>
      </c>
      <c r="CW4244">
        <v>0</v>
      </c>
      <c r="CX4244">
        <v>6</v>
      </c>
      <c r="CY4244">
        <v>7</v>
      </c>
      <c r="CZ4244" t="s">
        <v>131</v>
      </c>
      <c r="DA4244">
        <v>286</v>
      </c>
      <c r="DB4244">
        <v>0</v>
      </c>
      <c r="DC4244" t="s">
        <v>132</v>
      </c>
      <c r="DD4244" t="s">
        <v>133</v>
      </c>
      <c r="DG4244">
        <v>906625</v>
      </c>
      <c r="DI4244">
        <v>1</v>
      </c>
      <c r="DJ4244">
        <v>0</v>
      </c>
      <c r="DK4244">
        <v>1</v>
      </c>
      <c r="DL4244">
        <v>0</v>
      </c>
      <c r="DM4244">
        <v>0</v>
      </c>
      <c r="DN4244">
        <v>1</v>
      </c>
      <c r="DO4244">
        <v>0</v>
      </c>
      <c r="DP4244">
        <v>0</v>
      </c>
      <c r="DQ4244">
        <v>0</v>
      </c>
      <c r="DR4244">
        <v>0</v>
      </c>
      <c r="DS4244">
        <v>0</v>
      </c>
    </row>
    <row r="4245" spans="1:123" x14ac:dyDescent="0.3">
      <c r="A4245" t="str">
        <f t="shared" si="1565"/>
        <v>10/04/2022 19:36:59.215</v>
      </c>
      <c r="C4245" t="str">
        <f t="shared" si="1550"/>
        <v>FFDFD3C0</v>
      </c>
      <c r="D4245" t="s">
        <v>141</v>
      </c>
      <c r="E4245">
        <v>3</v>
      </c>
      <c r="H4245">
        <v>3</v>
      </c>
      <c r="I4245" t="s">
        <v>146</v>
      </c>
      <c r="J4245" t="s">
        <v>138</v>
      </c>
      <c r="K4245">
        <v>0</v>
      </c>
      <c r="L4245">
        <v>3</v>
      </c>
      <c r="M4245">
        <v>0</v>
      </c>
      <c r="N4245">
        <v>2</v>
      </c>
      <c r="O4245">
        <v>0</v>
      </c>
      <c r="P4245">
        <v>1</v>
      </c>
      <c r="Q4245">
        <v>0</v>
      </c>
      <c r="S4245" t="str">
        <f t="shared" si="1563"/>
        <v>19:36:58.000</v>
      </c>
      <c r="T4245" t="str">
        <f t="shared" si="1563"/>
        <v>19:36:58.000</v>
      </c>
      <c r="U4245" t="str">
        <f t="shared" si="1559"/>
        <v>AC3944</v>
      </c>
      <c r="V4245">
        <v>0</v>
      </c>
      <c r="W4245">
        <v>0</v>
      </c>
      <c r="X4245">
        <v>2</v>
      </c>
      <c r="Y4245">
        <v>0</v>
      </c>
      <c r="AA4245">
        <v>1</v>
      </c>
      <c r="AB4245">
        <v>8</v>
      </c>
      <c r="AC4245">
        <v>3</v>
      </c>
      <c r="AD4245">
        <v>0</v>
      </c>
      <c r="AE4245">
        <v>9</v>
      </c>
      <c r="AF4245" t="s">
        <v>138</v>
      </c>
      <c r="AG4245">
        <v>0</v>
      </c>
      <c r="AH4245">
        <v>3</v>
      </c>
      <c r="AI4245">
        <v>1</v>
      </c>
      <c r="AJ4245">
        <v>0</v>
      </c>
      <c r="AK4245" t="s">
        <v>1344</v>
      </c>
      <c r="AL4245">
        <v>32.746445999999999</v>
      </c>
      <c r="AM4245" t="s">
        <v>1352</v>
      </c>
      <c r="AN4245">
        <v>-116.68658499999999</v>
      </c>
      <c r="AO4245">
        <v>25</v>
      </c>
      <c r="AP4245">
        <v>5000</v>
      </c>
      <c r="AQ4245" t="s">
        <v>129</v>
      </c>
      <c r="AR4245">
        <v>-135</v>
      </c>
      <c r="AS4245">
        <v>-38</v>
      </c>
      <c r="AT4245">
        <v>768</v>
      </c>
      <c r="BB4245">
        <v>1200</v>
      </c>
      <c r="BC4245">
        <v>1</v>
      </c>
      <c r="BD4245" t="str">
        <f t="shared" si="1560"/>
        <v xml:space="preserve">N887QR  </v>
      </c>
      <c r="BE4245">
        <v>1</v>
      </c>
      <c r="BG4245">
        <v>0</v>
      </c>
      <c r="BH4245">
        <v>0</v>
      </c>
      <c r="BI4245">
        <v>0</v>
      </c>
      <c r="BJ4245">
        <v>4775</v>
      </c>
      <c r="BK4245">
        <v>-225</v>
      </c>
      <c r="BL4245" t="s">
        <v>163</v>
      </c>
      <c r="BM4245">
        <v>1</v>
      </c>
      <c r="BN4245">
        <v>1</v>
      </c>
      <c r="BO4245">
        <v>1</v>
      </c>
      <c r="BP4245">
        <v>0</v>
      </c>
      <c r="BS4245">
        <v>0.04</v>
      </c>
      <c r="BT4245">
        <v>0</v>
      </c>
      <c r="BU4245">
        <v>0</v>
      </c>
      <c r="CE4245" t="str">
        <f t="shared" si="1566"/>
        <v>19:36:58.811</v>
      </c>
      <c r="CF4245">
        <v>811370242</v>
      </c>
      <c r="CS4245">
        <v>0</v>
      </c>
      <c r="CT4245">
        <v>2</v>
      </c>
      <c r="CU4245">
        <v>0</v>
      </c>
      <c r="CV4245">
        <v>2</v>
      </c>
      <c r="CW4245">
        <v>0</v>
      </c>
      <c r="CX4245">
        <v>6</v>
      </c>
      <c r="CY4245">
        <v>7</v>
      </c>
      <c r="CZ4245" t="s">
        <v>131</v>
      </c>
      <c r="DA4245">
        <v>286</v>
      </c>
      <c r="DB4245">
        <v>0</v>
      </c>
      <c r="DC4245" t="s">
        <v>132</v>
      </c>
      <c r="DD4245" t="s">
        <v>133</v>
      </c>
      <c r="DG4245">
        <v>906625</v>
      </c>
      <c r="DI4245">
        <v>1</v>
      </c>
      <c r="DJ4245">
        <v>0</v>
      </c>
      <c r="DK4245">
        <v>1</v>
      </c>
      <c r="DL4245">
        <v>0</v>
      </c>
      <c r="DM4245">
        <v>0</v>
      </c>
      <c r="DN4245">
        <v>1</v>
      </c>
      <c r="DO4245">
        <v>0</v>
      </c>
      <c r="DP4245">
        <v>0</v>
      </c>
      <c r="DQ4245">
        <v>0</v>
      </c>
      <c r="DR4245">
        <v>0</v>
      </c>
      <c r="DS4245">
        <v>0</v>
      </c>
    </row>
    <row r="4246" spans="1:123" x14ac:dyDescent="0.3">
      <c r="A4246" t="str">
        <f t="shared" si="1565"/>
        <v>10/04/2022 19:36:59.215</v>
      </c>
      <c r="C4246" t="str">
        <f t="shared" si="1550"/>
        <v>FFDFD3C0</v>
      </c>
      <c r="D4246" t="s">
        <v>141</v>
      </c>
      <c r="E4246">
        <v>4</v>
      </c>
      <c r="H4246">
        <v>4</v>
      </c>
      <c r="I4246" t="s">
        <v>142</v>
      </c>
      <c r="J4246" t="s">
        <v>138</v>
      </c>
      <c r="K4246">
        <v>0</v>
      </c>
      <c r="L4246">
        <v>3</v>
      </c>
      <c r="M4246">
        <v>0</v>
      </c>
      <c r="N4246">
        <v>2</v>
      </c>
      <c r="O4246">
        <v>0</v>
      </c>
      <c r="P4246">
        <v>1</v>
      </c>
      <c r="Q4246">
        <v>0</v>
      </c>
      <c r="S4246" t="str">
        <f t="shared" si="1563"/>
        <v>19:36:58.000</v>
      </c>
      <c r="T4246" t="str">
        <f t="shared" si="1563"/>
        <v>19:36:58.000</v>
      </c>
      <c r="U4246" t="str">
        <f t="shared" si="1559"/>
        <v>AC3944</v>
      </c>
      <c r="V4246">
        <v>0</v>
      </c>
      <c r="W4246">
        <v>0</v>
      </c>
      <c r="X4246">
        <v>2</v>
      </c>
      <c r="Y4246">
        <v>0</v>
      </c>
      <c r="AA4246">
        <v>1</v>
      </c>
      <c r="AB4246">
        <v>8</v>
      </c>
      <c r="AC4246">
        <v>3</v>
      </c>
      <c r="AD4246">
        <v>0</v>
      </c>
      <c r="AE4246">
        <v>9</v>
      </c>
      <c r="AF4246" t="s">
        <v>138</v>
      </c>
      <c r="AG4246">
        <v>0</v>
      </c>
      <c r="AH4246">
        <v>3</v>
      </c>
      <c r="AI4246">
        <v>1</v>
      </c>
      <c r="AJ4246">
        <v>0</v>
      </c>
      <c r="AK4246" t="s">
        <v>1344</v>
      </c>
      <c r="AL4246">
        <v>32.746445999999999</v>
      </c>
      <c r="AM4246" t="s">
        <v>1352</v>
      </c>
      <c r="AN4246">
        <v>-116.68658499999999</v>
      </c>
      <c r="AO4246">
        <v>25</v>
      </c>
      <c r="AP4246">
        <v>5000</v>
      </c>
      <c r="AQ4246" t="s">
        <v>129</v>
      </c>
      <c r="AR4246">
        <v>-135</v>
      </c>
      <c r="AS4246">
        <v>-38</v>
      </c>
      <c r="AT4246">
        <v>768</v>
      </c>
      <c r="BB4246">
        <v>1200</v>
      </c>
      <c r="BC4246">
        <v>1</v>
      </c>
      <c r="BD4246" t="str">
        <f t="shared" si="1560"/>
        <v xml:space="preserve">N887QR  </v>
      </c>
      <c r="BE4246">
        <v>1</v>
      </c>
      <c r="BG4246">
        <v>0</v>
      </c>
      <c r="BH4246">
        <v>0</v>
      </c>
      <c r="BI4246">
        <v>0</v>
      </c>
      <c r="BJ4246">
        <v>4775</v>
      </c>
      <c r="BK4246">
        <v>-225</v>
      </c>
      <c r="BL4246" t="s">
        <v>163</v>
      </c>
      <c r="BM4246">
        <v>1</v>
      </c>
      <c r="BN4246">
        <v>1</v>
      </c>
      <c r="BO4246">
        <v>1</v>
      </c>
      <c r="BP4246">
        <v>0</v>
      </c>
      <c r="BS4246">
        <v>0.04</v>
      </c>
      <c r="BT4246">
        <v>0</v>
      </c>
      <c r="BU4246">
        <v>0</v>
      </c>
      <c r="CE4246" t="str">
        <f t="shared" si="1566"/>
        <v>19:36:58.811</v>
      </c>
      <c r="CF4246">
        <v>811370242</v>
      </c>
      <c r="CS4246">
        <v>0</v>
      </c>
      <c r="CT4246">
        <v>2</v>
      </c>
      <c r="CU4246">
        <v>0</v>
      </c>
      <c r="CV4246">
        <v>2</v>
      </c>
      <c r="CW4246">
        <v>0</v>
      </c>
      <c r="CX4246">
        <v>6</v>
      </c>
      <c r="CY4246">
        <v>7</v>
      </c>
      <c r="CZ4246" t="s">
        <v>131</v>
      </c>
      <c r="DA4246">
        <v>286</v>
      </c>
      <c r="DB4246">
        <v>0</v>
      </c>
      <c r="DC4246" t="s">
        <v>132</v>
      </c>
      <c r="DD4246" t="s">
        <v>133</v>
      </c>
      <c r="DG4246">
        <v>906625</v>
      </c>
      <c r="DI4246">
        <v>1</v>
      </c>
      <c r="DJ4246">
        <v>0</v>
      </c>
      <c r="DK4246">
        <v>1</v>
      </c>
      <c r="DL4246">
        <v>0</v>
      </c>
      <c r="DM4246">
        <v>0</v>
      </c>
      <c r="DN4246">
        <v>1</v>
      </c>
      <c r="DO4246">
        <v>0</v>
      </c>
      <c r="DP4246">
        <v>0</v>
      </c>
      <c r="DQ4246">
        <v>0</v>
      </c>
      <c r="DR4246">
        <v>0</v>
      </c>
      <c r="DS4246">
        <v>0</v>
      </c>
    </row>
    <row r="4247" spans="1:123" x14ac:dyDescent="0.3">
      <c r="A4247" t="str">
        <f>"10/04/2022 19:37:00.043"</f>
        <v>10/04/2022 19:37:00.043</v>
      </c>
      <c r="C4247" t="str">
        <f t="shared" si="1550"/>
        <v>FFDFD3C0</v>
      </c>
      <c r="D4247" t="s">
        <v>134</v>
      </c>
      <c r="E4247">
        <v>15</v>
      </c>
      <c r="J4247" t="s">
        <v>135</v>
      </c>
      <c r="K4247">
        <v>0</v>
      </c>
      <c r="L4247">
        <v>3</v>
      </c>
      <c r="M4247">
        <v>0</v>
      </c>
      <c r="N4247">
        <v>2</v>
      </c>
      <c r="O4247">
        <v>0</v>
      </c>
      <c r="P4247">
        <v>1</v>
      </c>
      <c r="Q4247">
        <v>0</v>
      </c>
      <c r="S4247" t="str">
        <f t="shared" ref="S4247:T4253" si="1567">"19:36:59.000"</f>
        <v>19:36:59.000</v>
      </c>
      <c r="T4247" t="str">
        <f t="shared" si="1567"/>
        <v>19:36:59.000</v>
      </c>
      <c r="U4247" t="str">
        <f t="shared" si="1559"/>
        <v>AC3944</v>
      </c>
      <c r="V4247">
        <v>0</v>
      </c>
      <c r="W4247">
        <v>0</v>
      </c>
      <c r="X4247">
        <v>2</v>
      </c>
      <c r="Y4247">
        <v>0</v>
      </c>
      <c r="AA4247">
        <v>1</v>
      </c>
      <c r="AB4247">
        <v>8</v>
      </c>
      <c r="AC4247">
        <v>3</v>
      </c>
      <c r="AD4247">
        <v>0</v>
      </c>
      <c r="AE4247">
        <v>9</v>
      </c>
      <c r="AF4247" t="s">
        <v>138</v>
      </c>
      <c r="AG4247">
        <v>0</v>
      </c>
      <c r="AH4247">
        <v>3</v>
      </c>
      <c r="AI4247">
        <v>1</v>
      </c>
      <c r="AJ4247">
        <v>0</v>
      </c>
      <c r="AK4247" t="s">
        <v>1353</v>
      </c>
      <c r="AL4247">
        <v>32.746231999999999</v>
      </c>
      <c r="AM4247" t="s">
        <v>1354</v>
      </c>
      <c r="AN4247">
        <v>-116.687315</v>
      </c>
      <c r="AO4247">
        <v>25</v>
      </c>
      <c r="AP4247">
        <v>5000</v>
      </c>
      <c r="AQ4247" t="s">
        <v>129</v>
      </c>
      <c r="AR4247">
        <v>-132</v>
      </c>
      <c r="AS4247">
        <v>-50</v>
      </c>
      <c r="AT4247">
        <v>768</v>
      </c>
      <c r="BB4247">
        <v>1200</v>
      </c>
      <c r="BC4247">
        <v>1</v>
      </c>
      <c r="BD4247" t="str">
        <f t="shared" si="1560"/>
        <v xml:space="preserve">N887QR  </v>
      </c>
      <c r="BE4247">
        <v>1</v>
      </c>
      <c r="BG4247">
        <v>0</v>
      </c>
      <c r="BH4247">
        <v>0</v>
      </c>
      <c r="BI4247">
        <v>0</v>
      </c>
      <c r="BJ4247">
        <v>4775</v>
      </c>
      <c r="BK4247">
        <v>-225</v>
      </c>
      <c r="BL4247" t="s">
        <v>163</v>
      </c>
      <c r="BM4247">
        <v>1</v>
      </c>
      <c r="BN4247">
        <v>1</v>
      </c>
      <c r="BO4247">
        <v>1</v>
      </c>
      <c r="BP4247">
        <v>0</v>
      </c>
      <c r="BS4247">
        <v>0.04</v>
      </c>
      <c r="BT4247">
        <v>0</v>
      </c>
      <c r="BU4247">
        <v>0</v>
      </c>
      <c r="CE4247" t="str">
        <f t="shared" ref="CE4247:CE4253" si="1568">"19:36:59.778"</f>
        <v>19:36:59.778</v>
      </c>
      <c r="CF4247">
        <v>777623118</v>
      </c>
      <c r="CS4247">
        <v>0</v>
      </c>
      <c r="CT4247">
        <v>2</v>
      </c>
      <c r="CU4247">
        <v>0</v>
      </c>
      <c r="CV4247">
        <v>2</v>
      </c>
      <c r="CW4247">
        <v>0</v>
      </c>
      <c r="CX4247">
        <v>5</v>
      </c>
      <c r="CY4247">
        <v>7</v>
      </c>
      <c r="CZ4247" t="s">
        <v>131</v>
      </c>
      <c r="DA4247">
        <v>286</v>
      </c>
      <c r="DB4247">
        <v>0</v>
      </c>
      <c r="DC4247" t="s">
        <v>132</v>
      </c>
      <c r="DD4247" t="s">
        <v>133</v>
      </c>
      <c r="DG4247">
        <v>906844</v>
      </c>
      <c r="DI4247">
        <v>1</v>
      </c>
      <c r="DJ4247">
        <v>0</v>
      </c>
      <c r="DK4247">
        <v>0</v>
      </c>
      <c r="DL4247">
        <v>0</v>
      </c>
      <c r="DM4247">
        <v>0</v>
      </c>
      <c r="DN4247">
        <v>1</v>
      </c>
      <c r="DO4247">
        <v>0</v>
      </c>
      <c r="DP4247">
        <v>0</v>
      </c>
      <c r="DQ4247">
        <v>0</v>
      </c>
      <c r="DR4247">
        <v>0</v>
      </c>
      <c r="DS4247">
        <v>0</v>
      </c>
    </row>
    <row r="4248" spans="1:123" x14ac:dyDescent="0.3">
      <c r="A4248" t="str">
        <f>"10/04/2022 19:37:00.043"</f>
        <v>10/04/2022 19:37:00.043</v>
      </c>
      <c r="C4248" t="str">
        <f t="shared" si="1550"/>
        <v>FFDFD3C0</v>
      </c>
      <c r="D4248" t="s">
        <v>123</v>
      </c>
      <c r="E4248">
        <v>7</v>
      </c>
      <c r="F4248">
        <v>2007</v>
      </c>
      <c r="G4248" t="s">
        <v>124</v>
      </c>
      <c r="J4248" t="s">
        <v>125</v>
      </c>
      <c r="K4248">
        <v>0</v>
      </c>
      <c r="L4248">
        <v>3</v>
      </c>
      <c r="M4248">
        <v>0</v>
      </c>
      <c r="N4248">
        <v>2</v>
      </c>
      <c r="O4248">
        <v>0</v>
      </c>
      <c r="P4248">
        <v>1</v>
      </c>
      <c r="Q4248">
        <v>0</v>
      </c>
      <c r="S4248" t="str">
        <f t="shared" si="1567"/>
        <v>19:36:59.000</v>
      </c>
      <c r="T4248" t="str">
        <f t="shared" si="1567"/>
        <v>19:36:59.000</v>
      </c>
      <c r="U4248" t="str">
        <f t="shared" si="1559"/>
        <v>AC3944</v>
      </c>
      <c r="V4248">
        <v>0</v>
      </c>
      <c r="W4248">
        <v>0</v>
      </c>
      <c r="X4248">
        <v>2</v>
      </c>
      <c r="Y4248">
        <v>0</v>
      </c>
      <c r="AA4248">
        <v>1</v>
      </c>
      <c r="AB4248">
        <v>8</v>
      </c>
      <c r="AC4248">
        <v>3</v>
      </c>
      <c r="AD4248">
        <v>0</v>
      </c>
      <c r="AE4248">
        <v>9</v>
      </c>
      <c r="AF4248" t="s">
        <v>138</v>
      </c>
      <c r="AG4248">
        <v>0</v>
      </c>
      <c r="AH4248">
        <v>3</v>
      </c>
      <c r="AI4248">
        <v>1</v>
      </c>
      <c r="AJ4248">
        <v>0</v>
      </c>
      <c r="AK4248" t="s">
        <v>1353</v>
      </c>
      <c r="AL4248">
        <v>32.746231999999999</v>
      </c>
      <c r="AM4248" t="s">
        <v>1354</v>
      </c>
      <c r="AN4248">
        <v>-116.687315</v>
      </c>
      <c r="AO4248">
        <v>25</v>
      </c>
      <c r="AP4248">
        <v>5000</v>
      </c>
      <c r="AQ4248" t="s">
        <v>129</v>
      </c>
      <c r="AR4248">
        <v>-132</v>
      </c>
      <c r="AS4248">
        <v>-50</v>
      </c>
      <c r="AT4248">
        <v>768</v>
      </c>
      <c r="BB4248">
        <v>1200</v>
      </c>
      <c r="BC4248">
        <v>1</v>
      </c>
      <c r="BD4248" t="str">
        <f t="shared" si="1560"/>
        <v xml:space="preserve">N887QR  </v>
      </c>
      <c r="BE4248">
        <v>1</v>
      </c>
      <c r="BG4248">
        <v>0</v>
      </c>
      <c r="BH4248">
        <v>0</v>
      </c>
      <c r="BI4248">
        <v>0</v>
      </c>
      <c r="BJ4248">
        <v>4775</v>
      </c>
      <c r="BK4248">
        <v>-225</v>
      </c>
      <c r="BL4248" t="s">
        <v>163</v>
      </c>
      <c r="BM4248">
        <v>1</v>
      </c>
      <c r="BN4248">
        <v>1</v>
      </c>
      <c r="BO4248">
        <v>1</v>
      </c>
      <c r="BP4248">
        <v>0</v>
      </c>
      <c r="BS4248">
        <v>0.04</v>
      </c>
      <c r="BT4248">
        <v>0</v>
      </c>
      <c r="BU4248">
        <v>0</v>
      </c>
      <c r="CE4248" t="str">
        <f t="shared" si="1568"/>
        <v>19:36:59.778</v>
      </c>
      <c r="CF4248">
        <v>777623118</v>
      </c>
      <c r="CS4248">
        <v>0</v>
      </c>
      <c r="CT4248">
        <v>2</v>
      </c>
      <c r="CU4248">
        <v>0</v>
      </c>
      <c r="CV4248">
        <v>2</v>
      </c>
      <c r="CW4248">
        <v>0</v>
      </c>
      <c r="CX4248">
        <v>5</v>
      </c>
      <c r="CY4248">
        <v>7</v>
      </c>
      <c r="CZ4248" t="s">
        <v>131</v>
      </c>
      <c r="DA4248">
        <v>286</v>
      </c>
      <c r="DB4248">
        <v>0</v>
      </c>
      <c r="DC4248" t="s">
        <v>132</v>
      </c>
      <c r="DD4248" t="s">
        <v>133</v>
      </c>
      <c r="DG4248">
        <v>906844</v>
      </c>
      <c r="DI4248">
        <v>1</v>
      </c>
      <c r="DJ4248">
        <v>0</v>
      </c>
      <c r="DK4248">
        <v>1</v>
      </c>
      <c r="DL4248">
        <v>0</v>
      </c>
      <c r="DM4248">
        <v>0</v>
      </c>
      <c r="DN4248">
        <v>1</v>
      </c>
      <c r="DO4248">
        <v>0</v>
      </c>
      <c r="DP4248">
        <v>0</v>
      </c>
      <c r="DQ4248">
        <v>0</v>
      </c>
      <c r="DR4248">
        <v>0</v>
      </c>
      <c r="DS4248">
        <v>0</v>
      </c>
    </row>
    <row r="4249" spans="1:123" x14ac:dyDescent="0.3">
      <c r="A4249" t="str">
        <f>"10/04/2022 19:37:00.043"</f>
        <v>10/04/2022 19:37:00.043</v>
      </c>
      <c r="C4249" t="str">
        <f t="shared" si="1550"/>
        <v>FFDFD3C0</v>
      </c>
      <c r="D4249" t="s">
        <v>141</v>
      </c>
      <c r="E4249">
        <v>4</v>
      </c>
      <c r="H4249">
        <v>4</v>
      </c>
      <c r="I4249" t="s">
        <v>142</v>
      </c>
      <c r="J4249" t="s">
        <v>138</v>
      </c>
      <c r="K4249">
        <v>0</v>
      </c>
      <c r="L4249">
        <v>3</v>
      </c>
      <c r="M4249">
        <v>0</v>
      </c>
      <c r="N4249">
        <v>2</v>
      </c>
      <c r="O4249">
        <v>0</v>
      </c>
      <c r="P4249">
        <v>1</v>
      </c>
      <c r="Q4249">
        <v>0</v>
      </c>
      <c r="S4249" t="str">
        <f t="shared" si="1567"/>
        <v>19:36:59.000</v>
      </c>
      <c r="T4249" t="str">
        <f t="shared" si="1567"/>
        <v>19:36:59.000</v>
      </c>
      <c r="U4249" t="str">
        <f t="shared" si="1559"/>
        <v>AC3944</v>
      </c>
      <c r="V4249">
        <v>0</v>
      </c>
      <c r="W4249">
        <v>0</v>
      </c>
      <c r="X4249">
        <v>2</v>
      </c>
      <c r="Y4249">
        <v>0</v>
      </c>
      <c r="AA4249">
        <v>1</v>
      </c>
      <c r="AB4249">
        <v>8</v>
      </c>
      <c r="AC4249">
        <v>3</v>
      </c>
      <c r="AD4249">
        <v>0</v>
      </c>
      <c r="AE4249">
        <v>9</v>
      </c>
      <c r="AF4249" t="s">
        <v>138</v>
      </c>
      <c r="AG4249">
        <v>0</v>
      </c>
      <c r="AH4249">
        <v>3</v>
      </c>
      <c r="AI4249">
        <v>1</v>
      </c>
      <c r="AJ4249">
        <v>0</v>
      </c>
      <c r="AK4249" t="s">
        <v>1353</v>
      </c>
      <c r="AL4249">
        <v>32.746231999999999</v>
      </c>
      <c r="AM4249" t="s">
        <v>1354</v>
      </c>
      <c r="AN4249">
        <v>-116.687315</v>
      </c>
      <c r="AO4249">
        <v>25</v>
      </c>
      <c r="AP4249">
        <v>5000</v>
      </c>
      <c r="AQ4249" t="s">
        <v>129</v>
      </c>
      <c r="AR4249">
        <v>-132</v>
      </c>
      <c r="AS4249">
        <v>-50</v>
      </c>
      <c r="AT4249">
        <v>768</v>
      </c>
      <c r="BB4249">
        <v>1200</v>
      </c>
      <c r="BC4249">
        <v>1</v>
      </c>
      <c r="BD4249" t="str">
        <f t="shared" si="1560"/>
        <v xml:space="preserve">N887QR  </v>
      </c>
      <c r="BE4249">
        <v>1</v>
      </c>
      <c r="BG4249">
        <v>0</v>
      </c>
      <c r="BH4249">
        <v>0</v>
      </c>
      <c r="BI4249">
        <v>0</v>
      </c>
      <c r="BJ4249">
        <v>4775</v>
      </c>
      <c r="BK4249">
        <v>-225</v>
      </c>
      <c r="BL4249" t="s">
        <v>163</v>
      </c>
      <c r="BM4249">
        <v>1</v>
      </c>
      <c r="BN4249">
        <v>1</v>
      </c>
      <c r="BO4249">
        <v>1</v>
      </c>
      <c r="BP4249">
        <v>0</v>
      </c>
      <c r="BS4249">
        <v>0.04</v>
      </c>
      <c r="BT4249">
        <v>0</v>
      </c>
      <c r="BU4249">
        <v>0</v>
      </c>
      <c r="CE4249" t="str">
        <f t="shared" si="1568"/>
        <v>19:36:59.778</v>
      </c>
      <c r="CF4249">
        <v>777623118</v>
      </c>
      <c r="CS4249">
        <v>0</v>
      </c>
      <c r="CT4249">
        <v>2</v>
      </c>
      <c r="CU4249">
        <v>0</v>
      </c>
      <c r="CV4249">
        <v>2</v>
      </c>
      <c r="CW4249">
        <v>0</v>
      </c>
      <c r="CX4249">
        <v>5</v>
      </c>
      <c r="CY4249">
        <v>7</v>
      </c>
      <c r="CZ4249" t="s">
        <v>131</v>
      </c>
      <c r="DA4249">
        <v>286</v>
      </c>
      <c r="DB4249">
        <v>0</v>
      </c>
      <c r="DC4249" t="s">
        <v>132</v>
      </c>
      <c r="DD4249" t="s">
        <v>133</v>
      </c>
      <c r="DG4249">
        <v>906844</v>
      </c>
      <c r="DI4249">
        <v>1</v>
      </c>
      <c r="DJ4249">
        <v>0</v>
      </c>
      <c r="DK4249">
        <v>1</v>
      </c>
      <c r="DL4249">
        <v>0</v>
      </c>
      <c r="DM4249">
        <v>0</v>
      </c>
      <c r="DN4249">
        <v>1</v>
      </c>
      <c r="DO4249">
        <v>0</v>
      </c>
      <c r="DP4249">
        <v>0</v>
      </c>
      <c r="DQ4249">
        <v>0</v>
      </c>
      <c r="DR4249">
        <v>0</v>
      </c>
      <c r="DS4249">
        <v>0</v>
      </c>
    </row>
    <row r="4250" spans="1:123" x14ac:dyDescent="0.3">
      <c r="A4250" t="str">
        <f>"10/04/2022 19:37:00.059"</f>
        <v>10/04/2022 19:37:00.059</v>
      </c>
      <c r="C4250" t="str">
        <f t="shared" si="1550"/>
        <v>FFDFD3C0</v>
      </c>
      <c r="D4250" t="s">
        <v>141</v>
      </c>
      <c r="E4250">
        <v>3</v>
      </c>
      <c r="H4250">
        <v>3</v>
      </c>
      <c r="I4250" t="s">
        <v>146</v>
      </c>
      <c r="J4250" t="s">
        <v>138</v>
      </c>
      <c r="K4250">
        <v>0</v>
      </c>
      <c r="L4250">
        <v>3</v>
      </c>
      <c r="M4250">
        <v>0</v>
      </c>
      <c r="N4250">
        <v>2</v>
      </c>
      <c r="O4250">
        <v>0</v>
      </c>
      <c r="P4250">
        <v>1</v>
      </c>
      <c r="Q4250">
        <v>0</v>
      </c>
      <c r="S4250" t="str">
        <f t="shared" si="1567"/>
        <v>19:36:59.000</v>
      </c>
      <c r="T4250" t="str">
        <f t="shared" si="1567"/>
        <v>19:36:59.000</v>
      </c>
      <c r="U4250" t="str">
        <f t="shared" si="1559"/>
        <v>AC3944</v>
      </c>
      <c r="V4250">
        <v>0</v>
      </c>
      <c r="W4250">
        <v>0</v>
      </c>
      <c r="X4250">
        <v>2</v>
      </c>
      <c r="Y4250">
        <v>0</v>
      </c>
      <c r="AA4250">
        <v>1</v>
      </c>
      <c r="AB4250">
        <v>8</v>
      </c>
      <c r="AC4250">
        <v>3</v>
      </c>
      <c r="AD4250">
        <v>0</v>
      </c>
      <c r="AE4250">
        <v>9</v>
      </c>
      <c r="AF4250" t="s">
        <v>138</v>
      </c>
      <c r="AG4250">
        <v>0</v>
      </c>
      <c r="AH4250">
        <v>3</v>
      </c>
      <c r="AI4250">
        <v>1</v>
      </c>
      <c r="AJ4250">
        <v>0</v>
      </c>
      <c r="AK4250" t="s">
        <v>1353</v>
      </c>
      <c r="AL4250">
        <v>32.746231999999999</v>
      </c>
      <c r="AM4250" t="s">
        <v>1354</v>
      </c>
      <c r="AN4250">
        <v>-116.687315</v>
      </c>
      <c r="AO4250">
        <v>25</v>
      </c>
      <c r="AP4250">
        <v>5000</v>
      </c>
      <c r="AQ4250" t="s">
        <v>129</v>
      </c>
      <c r="AR4250">
        <v>-132</v>
      </c>
      <c r="AS4250">
        <v>-50</v>
      </c>
      <c r="AT4250">
        <v>768</v>
      </c>
      <c r="BB4250">
        <v>1200</v>
      </c>
      <c r="BC4250">
        <v>1</v>
      </c>
      <c r="BD4250" t="str">
        <f t="shared" si="1560"/>
        <v xml:space="preserve">N887QR  </v>
      </c>
      <c r="BE4250">
        <v>1</v>
      </c>
      <c r="BG4250">
        <v>0</v>
      </c>
      <c r="BH4250">
        <v>0</v>
      </c>
      <c r="BI4250">
        <v>0</v>
      </c>
      <c r="BJ4250">
        <v>4775</v>
      </c>
      <c r="BK4250">
        <v>-225</v>
      </c>
      <c r="BL4250" t="s">
        <v>163</v>
      </c>
      <c r="BM4250">
        <v>1</v>
      </c>
      <c r="BN4250">
        <v>1</v>
      </c>
      <c r="BO4250">
        <v>1</v>
      </c>
      <c r="BP4250">
        <v>0</v>
      </c>
      <c r="BS4250">
        <v>0.04</v>
      </c>
      <c r="BT4250">
        <v>0</v>
      </c>
      <c r="BU4250">
        <v>0</v>
      </c>
      <c r="CE4250" t="str">
        <f t="shared" si="1568"/>
        <v>19:36:59.778</v>
      </c>
      <c r="CF4250">
        <v>777623118</v>
      </c>
      <c r="CS4250">
        <v>0</v>
      </c>
      <c r="CT4250">
        <v>2</v>
      </c>
      <c r="CU4250">
        <v>0</v>
      </c>
      <c r="CV4250">
        <v>2</v>
      </c>
      <c r="CW4250">
        <v>0</v>
      </c>
      <c r="CX4250">
        <v>5</v>
      </c>
      <c r="CY4250">
        <v>7</v>
      </c>
      <c r="CZ4250" t="s">
        <v>131</v>
      </c>
      <c r="DA4250">
        <v>286</v>
      </c>
      <c r="DB4250">
        <v>0</v>
      </c>
      <c r="DC4250" t="s">
        <v>132</v>
      </c>
      <c r="DD4250" t="s">
        <v>133</v>
      </c>
      <c r="DG4250">
        <v>906844</v>
      </c>
      <c r="DI4250">
        <v>1</v>
      </c>
      <c r="DJ4250">
        <v>0</v>
      </c>
      <c r="DK4250">
        <v>1</v>
      </c>
      <c r="DL4250">
        <v>0</v>
      </c>
      <c r="DM4250">
        <v>0</v>
      </c>
      <c r="DN4250">
        <v>1</v>
      </c>
      <c r="DO4250">
        <v>0</v>
      </c>
      <c r="DP4250">
        <v>0</v>
      </c>
      <c r="DQ4250">
        <v>0</v>
      </c>
      <c r="DR4250">
        <v>0</v>
      </c>
      <c r="DS4250">
        <v>0</v>
      </c>
    </row>
    <row r="4251" spans="1:123" x14ac:dyDescent="0.3">
      <c r="A4251" t="str">
        <f>"10/04/2022 19:37:00.106"</f>
        <v>10/04/2022 19:37:00.106</v>
      </c>
      <c r="C4251" t="str">
        <f t="shared" si="1550"/>
        <v>FFDFD3C0</v>
      </c>
      <c r="D4251" t="s">
        <v>147</v>
      </c>
      <c r="E4251">
        <v>3</v>
      </c>
      <c r="H4251">
        <v>166</v>
      </c>
      <c r="I4251" t="s">
        <v>144</v>
      </c>
      <c r="J4251" t="s">
        <v>148</v>
      </c>
      <c r="K4251">
        <v>0</v>
      </c>
      <c r="L4251">
        <v>3</v>
      </c>
      <c r="M4251">
        <v>0</v>
      </c>
      <c r="N4251">
        <v>2</v>
      </c>
      <c r="O4251">
        <v>0</v>
      </c>
      <c r="P4251">
        <v>1</v>
      </c>
      <c r="Q4251">
        <v>0</v>
      </c>
      <c r="S4251" t="str">
        <f t="shared" si="1567"/>
        <v>19:36:59.000</v>
      </c>
      <c r="T4251" t="str">
        <f t="shared" si="1567"/>
        <v>19:36:59.000</v>
      </c>
      <c r="U4251" t="str">
        <f t="shared" si="1559"/>
        <v>AC3944</v>
      </c>
      <c r="V4251">
        <v>0</v>
      </c>
      <c r="W4251">
        <v>0</v>
      </c>
      <c r="X4251">
        <v>2</v>
      </c>
      <c r="Y4251">
        <v>0</v>
      </c>
      <c r="AA4251">
        <v>1</v>
      </c>
      <c r="AB4251">
        <v>8</v>
      </c>
      <c r="AC4251">
        <v>3</v>
      </c>
      <c r="AD4251">
        <v>0</v>
      </c>
      <c r="AE4251">
        <v>9</v>
      </c>
      <c r="AF4251" t="s">
        <v>138</v>
      </c>
      <c r="AG4251">
        <v>0</v>
      </c>
      <c r="AH4251">
        <v>3</v>
      </c>
      <c r="AI4251">
        <v>1</v>
      </c>
      <c r="AJ4251">
        <v>0</v>
      </c>
      <c r="AK4251" t="s">
        <v>1353</v>
      </c>
      <c r="AL4251">
        <v>32.746231999999999</v>
      </c>
      <c r="AM4251" t="s">
        <v>1354</v>
      </c>
      <c r="AN4251">
        <v>-116.687315</v>
      </c>
      <c r="AO4251">
        <v>25</v>
      </c>
      <c r="AP4251">
        <v>5000</v>
      </c>
      <c r="AQ4251" t="s">
        <v>129</v>
      </c>
      <c r="AR4251">
        <v>-132</v>
      </c>
      <c r="AS4251">
        <v>-50</v>
      </c>
      <c r="AT4251">
        <v>768</v>
      </c>
      <c r="BB4251">
        <v>1200</v>
      </c>
      <c r="BC4251">
        <v>1</v>
      </c>
      <c r="BD4251" t="str">
        <f t="shared" si="1560"/>
        <v xml:space="preserve">N887QR  </v>
      </c>
      <c r="BE4251">
        <v>1</v>
      </c>
      <c r="BG4251">
        <v>0</v>
      </c>
      <c r="BH4251">
        <v>0</v>
      </c>
      <c r="BI4251">
        <v>0</v>
      </c>
      <c r="BJ4251">
        <v>4775</v>
      </c>
      <c r="BK4251">
        <v>-225</v>
      </c>
      <c r="BL4251" t="s">
        <v>163</v>
      </c>
      <c r="BM4251">
        <v>1</v>
      </c>
      <c r="BN4251">
        <v>1</v>
      </c>
      <c r="BO4251">
        <v>1</v>
      </c>
      <c r="BP4251">
        <v>0</v>
      </c>
      <c r="BS4251">
        <v>0.04</v>
      </c>
      <c r="BT4251">
        <v>0</v>
      </c>
      <c r="BU4251">
        <v>0</v>
      </c>
      <c r="CE4251" t="str">
        <f t="shared" si="1568"/>
        <v>19:36:59.778</v>
      </c>
      <c r="CF4251">
        <v>777623118</v>
      </c>
      <c r="CS4251">
        <v>0</v>
      </c>
      <c r="CT4251">
        <v>2</v>
      </c>
      <c r="CU4251">
        <v>0</v>
      </c>
      <c r="CV4251">
        <v>2</v>
      </c>
      <c r="CW4251">
        <v>0</v>
      </c>
      <c r="CX4251">
        <v>5</v>
      </c>
      <c r="CY4251">
        <v>7</v>
      </c>
      <c r="CZ4251" t="s">
        <v>131</v>
      </c>
      <c r="DA4251">
        <v>286</v>
      </c>
      <c r="DB4251">
        <v>0</v>
      </c>
      <c r="DC4251" t="s">
        <v>132</v>
      </c>
      <c r="DD4251" t="s">
        <v>133</v>
      </c>
      <c r="DG4251">
        <v>906844</v>
      </c>
      <c r="DI4251">
        <v>1</v>
      </c>
      <c r="DJ4251">
        <v>0</v>
      </c>
      <c r="DK4251">
        <v>1</v>
      </c>
      <c r="DL4251">
        <v>0</v>
      </c>
      <c r="DM4251">
        <v>0</v>
      </c>
      <c r="DN4251">
        <v>1</v>
      </c>
      <c r="DO4251">
        <v>0</v>
      </c>
      <c r="DP4251">
        <v>0</v>
      </c>
      <c r="DQ4251">
        <v>0</v>
      </c>
      <c r="DR4251">
        <v>0</v>
      </c>
      <c r="DS4251">
        <v>0</v>
      </c>
    </row>
    <row r="4252" spans="1:123" x14ac:dyDescent="0.3">
      <c r="A4252" t="str">
        <f>"10/04/2022 19:37:00.137"</f>
        <v>10/04/2022 19:37:00.137</v>
      </c>
      <c r="C4252" t="str">
        <f t="shared" si="1550"/>
        <v>FFDFD3C0</v>
      </c>
      <c r="D4252" t="s">
        <v>136</v>
      </c>
      <c r="E4252">
        <v>8</v>
      </c>
      <c r="H4252">
        <v>225</v>
      </c>
      <c r="I4252" t="s">
        <v>137</v>
      </c>
      <c r="J4252" t="s">
        <v>138</v>
      </c>
      <c r="K4252">
        <v>0</v>
      </c>
      <c r="L4252">
        <v>3</v>
      </c>
      <c r="M4252">
        <v>0</v>
      </c>
      <c r="N4252">
        <v>2</v>
      </c>
      <c r="O4252">
        <v>0</v>
      </c>
      <c r="P4252">
        <v>1</v>
      </c>
      <c r="Q4252">
        <v>0</v>
      </c>
      <c r="S4252" t="str">
        <f t="shared" si="1567"/>
        <v>19:36:59.000</v>
      </c>
      <c r="T4252" t="str">
        <f t="shared" si="1567"/>
        <v>19:36:59.000</v>
      </c>
      <c r="U4252" t="str">
        <f t="shared" si="1559"/>
        <v>AC3944</v>
      </c>
      <c r="V4252">
        <v>0</v>
      </c>
      <c r="W4252">
        <v>0</v>
      </c>
      <c r="X4252">
        <v>2</v>
      </c>
      <c r="Y4252">
        <v>0</v>
      </c>
      <c r="AA4252">
        <v>1</v>
      </c>
      <c r="AB4252">
        <v>8</v>
      </c>
      <c r="AC4252">
        <v>3</v>
      </c>
      <c r="AD4252">
        <v>0</v>
      </c>
      <c r="AE4252">
        <v>9</v>
      </c>
      <c r="AF4252" t="s">
        <v>138</v>
      </c>
      <c r="AG4252">
        <v>0</v>
      </c>
      <c r="AH4252">
        <v>3</v>
      </c>
      <c r="AI4252">
        <v>1</v>
      </c>
      <c r="AJ4252">
        <v>0</v>
      </c>
      <c r="AK4252" t="s">
        <v>1353</v>
      </c>
      <c r="AL4252">
        <v>32.746231999999999</v>
      </c>
      <c r="AM4252" t="s">
        <v>1354</v>
      </c>
      <c r="AN4252">
        <v>-116.687315</v>
      </c>
      <c r="AO4252">
        <v>25</v>
      </c>
      <c r="AP4252">
        <v>5000</v>
      </c>
      <c r="AQ4252" t="s">
        <v>129</v>
      </c>
      <c r="AR4252">
        <v>-132</v>
      </c>
      <c r="AS4252">
        <v>-50</v>
      </c>
      <c r="AT4252">
        <v>768</v>
      </c>
      <c r="BB4252">
        <v>1200</v>
      </c>
      <c r="BC4252">
        <v>1</v>
      </c>
      <c r="BD4252" t="str">
        <f t="shared" si="1560"/>
        <v xml:space="preserve">N887QR  </v>
      </c>
      <c r="BE4252">
        <v>1</v>
      </c>
      <c r="BG4252">
        <v>0</v>
      </c>
      <c r="BH4252">
        <v>0</v>
      </c>
      <c r="BI4252">
        <v>0</v>
      </c>
      <c r="BJ4252">
        <v>4775</v>
      </c>
      <c r="BK4252">
        <v>-225</v>
      </c>
      <c r="BL4252" t="s">
        <v>163</v>
      </c>
      <c r="BM4252">
        <v>1</v>
      </c>
      <c r="BN4252">
        <v>1</v>
      </c>
      <c r="BO4252">
        <v>1</v>
      </c>
      <c r="BP4252">
        <v>0</v>
      </c>
      <c r="BS4252">
        <v>0.04</v>
      </c>
      <c r="BT4252">
        <v>0</v>
      </c>
      <c r="BU4252">
        <v>0</v>
      </c>
      <c r="CE4252" t="str">
        <f t="shared" si="1568"/>
        <v>19:36:59.778</v>
      </c>
      <c r="CF4252">
        <v>777623118</v>
      </c>
      <c r="CS4252">
        <v>0</v>
      </c>
      <c r="CT4252">
        <v>2</v>
      </c>
      <c r="CU4252">
        <v>0</v>
      </c>
      <c r="CV4252">
        <v>2</v>
      </c>
      <c r="CW4252">
        <v>0</v>
      </c>
      <c r="CX4252">
        <v>5</v>
      </c>
      <c r="CY4252">
        <v>7</v>
      </c>
      <c r="CZ4252" t="s">
        <v>131</v>
      </c>
      <c r="DA4252">
        <v>286</v>
      </c>
      <c r="DB4252">
        <v>0</v>
      </c>
      <c r="DC4252" t="s">
        <v>132</v>
      </c>
      <c r="DD4252" t="s">
        <v>133</v>
      </c>
      <c r="DG4252">
        <v>906844</v>
      </c>
      <c r="DI4252">
        <v>1</v>
      </c>
      <c r="DJ4252">
        <v>0</v>
      </c>
      <c r="DK4252">
        <v>0</v>
      </c>
      <c r="DL4252">
        <v>0</v>
      </c>
      <c r="DM4252">
        <v>0</v>
      </c>
      <c r="DN4252">
        <v>1</v>
      </c>
      <c r="DO4252">
        <v>0</v>
      </c>
      <c r="DP4252">
        <v>0</v>
      </c>
      <c r="DQ4252">
        <v>0</v>
      </c>
      <c r="DR4252">
        <v>0</v>
      </c>
      <c r="DS4252">
        <v>0</v>
      </c>
    </row>
    <row r="4253" spans="1:123" x14ac:dyDescent="0.3">
      <c r="A4253" t="str">
        <f>"10/04/2022 19:37:00.137"</f>
        <v>10/04/2022 19:37:00.137</v>
      </c>
      <c r="C4253" t="str">
        <f t="shared" si="1550"/>
        <v>FFDFD3C0</v>
      </c>
      <c r="D4253" t="s">
        <v>143</v>
      </c>
      <c r="E4253">
        <v>20</v>
      </c>
      <c r="F4253">
        <v>1020</v>
      </c>
      <c r="G4253" t="s">
        <v>144</v>
      </c>
      <c r="J4253" t="s">
        <v>145</v>
      </c>
      <c r="K4253">
        <v>0</v>
      </c>
      <c r="L4253">
        <v>3</v>
      </c>
      <c r="M4253">
        <v>0</v>
      </c>
      <c r="N4253">
        <v>2</v>
      </c>
      <c r="O4253">
        <v>0</v>
      </c>
      <c r="P4253">
        <v>1</v>
      </c>
      <c r="Q4253">
        <v>0</v>
      </c>
      <c r="S4253" t="str">
        <f t="shared" si="1567"/>
        <v>19:36:59.000</v>
      </c>
      <c r="T4253" t="str">
        <f t="shared" si="1567"/>
        <v>19:36:59.000</v>
      </c>
      <c r="U4253" t="str">
        <f t="shared" si="1559"/>
        <v>AC3944</v>
      </c>
      <c r="V4253">
        <v>0</v>
      </c>
      <c r="W4253">
        <v>0</v>
      </c>
      <c r="X4253">
        <v>2</v>
      </c>
      <c r="Y4253">
        <v>0</v>
      </c>
      <c r="AA4253">
        <v>1</v>
      </c>
      <c r="AB4253">
        <v>8</v>
      </c>
      <c r="AC4253">
        <v>3</v>
      </c>
      <c r="AD4253">
        <v>0</v>
      </c>
      <c r="AE4253">
        <v>9</v>
      </c>
      <c r="AF4253" t="s">
        <v>138</v>
      </c>
      <c r="AG4253">
        <v>0</v>
      </c>
      <c r="AH4253">
        <v>3</v>
      </c>
      <c r="AI4253">
        <v>1</v>
      </c>
      <c r="AJ4253">
        <v>0</v>
      </c>
      <c r="AK4253" t="s">
        <v>1353</v>
      </c>
      <c r="AL4253">
        <v>32.746231999999999</v>
      </c>
      <c r="AM4253" t="s">
        <v>1354</v>
      </c>
      <c r="AN4253">
        <v>-116.687315</v>
      </c>
      <c r="AO4253">
        <v>25</v>
      </c>
      <c r="AP4253">
        <v>5000</v>
      </c>
      <c r="AQ4253" t="s">
        <v>129</v>
      </c>
      <c r="AR4253">
        <v>-132</v>
      </c>
      <c r="AS4253">
        <v>-50</v>
      </c>
      <c r="AT4253">
        <v>768</v>
      </c>
      <c r="BB4253">
        <v>1200</v>
      </c>
      <c r="BC4253">
        <v>1</v>
      </c>
      <c r="BD4253" t="str">
        <f t="shared" si="1560"/>
        <v xml:space="preserve">N887QR  </v>
      </c>
      <c r="BE4253">
        <v>1</v>
      </c>
      <c r="BG4253">
        <v>0</v>
      </c>
      <c r="BH4253">
        <v>0</v>
      </c>
      <c r="BI4253">
        <v>0</v>
      </c>
      <c r="BJ4253">
        <v>4775</v>
      </c>
      <c r="BK4253">
        <v>-225</v>
      </c>
      <c r="BL4253" t="s">
        <v>163</v>
      </c>
      <c r="BM4253">
        <v>1</v>
      </c>
      <c r="BN4253">
        <v>1</v>
      </c>
      <c r="BO4253">
        <v>1</v>
      </c>
      <c r="BP4253">
        <v>0</v>
      </c>
      <c r="BS4253">
        <v>0.04</v>
      </c>
      <c r="BT4253">
        <v>0</v>
      </c>
      <c r="BU4253">
        <v>0</v>
      </c>
      <c r="CE4253" t="str">
        <f t="shared" si="1568"/>
        <v>19:36:59.778</v>
      </c>
      <c r="CF4253">
        <v>777623118</v>
      </c>
      <c r="CS4253">
        <v>0</v>
      </c>
      <c r="CT4253">
        <v>2</v>
      </c>
      <c r="CU4253">
        <v>0</v>
      </c>
      <c r="CV4253">
        <v>2</v>
      </c>
      <c r="CW4253">
        <v>0</v>
      </c>
      <c r="CX4253">
        <v>5</v>
      </c>
      <c r="CY4253">
        <v>7</v>
      </c>
      <c r="CZ4253" t="s">
        <v>131</v>
      </c>
      <c r="DA4253">
        <v>286</v>
      </c>
      <c r="DB4253">
        <v>0</v>
      </c>
      <c r="DC4253" t="s">
        <v>132</v>
      </c>
      <c r="DD4253" t="s">
        <v>133</v>
      </c>
      <c r="DG4253">
        <v>906844</v>
      </c>
      <c r="DI4253">
        <v>1</v>
      </c>
      <c r="DJ4253">
        <v>0</v>
      </c>
      <c r="DK4253">
        <v>0</v>
      </c>
      <c r="DL4253">
        <v>0</v>
      </c>
      <c r="DM4253">
        <v>0</v>
      </c>
      <c r="DN4253">
        <v>1</v>
      </c>
      <c r="DO4253">
        <v>0</v>
      </c>
      <c r="DP4253">
        <v>0</v>
      </c>
      <c r="DQ4253">
        <v>0</v>
      </c>
      <c r="DR4253">
        <v>0</v>
      </c>
      <c r="DS4253">
        <v>0</v>
      </c>
    </row>
    <row r="4254" spans="1:123" x14ac:dyDescent="0.3">
      <c r="A4254" t="str">
        <f t="shared" ref="A4254:A4260" si="1569">"10/04/2022 19:37:01.449"</f>
        <v>10/04/2022 19:37:01.449</v>
      </c>
      <c r="C4254" t="str">
        <f t="shared" si="1550"/>
        <v>FFDFD3C0</v>
      </c>
      <c r="D4254" t="s">
        <v>143</v>
      </c>
      <c r="E4254">
        <v>20</v>
      </c>
      <c r="F4254">
        <v>1020</v>
      </c>
      <c r="G4254" t="s">
        <v>144</v>
      </c>
      <c r="J4254" t="s">
        <v>145</v>
      </c>
      <c r="K4254">
        <v>0</v>
      </c>
      <c r="L4254">
        <v>3</v>
      </c>
      <c r="M4254">
        <v>0</v>
      </c>
      <c r="N4254">
        <v>2</v>
      </c>
      <c r="O4254">
        <v>0</v>
      </c>
      <c r="P4254">
        <v>1</v>
      </c>
      <c r="Q4254">
        <v>0</v>
      </c>
      <c r="S4254" t="str">
        <f t="shared" ref="S4254:T4267" si="1570">"19:37:01.000"</f>
        <v>19:37:01.000</v>
      </c>
      <c r="T4254" t="str">
        <f t="shared" si="1570"/>
        <v>19:37:01.000</v>
      </c>
      <c r="U4254" t="str">
        <f t="shared" si="1559"/>
        <v>AC3944</v>
      </c>
      <c r="V4254">
        <v>0</v>
      </c>
      <c r="W4254">
        <v>0</v>
      </c>
      <c r="X4254">
        <v>2</v>
      </c>
      <c r="Y4254">
        <v>0</v>
      </c>
      <c r="AA4254">
        <v>1</v>
      </c>
      <c r="AB4254">
        <v>8</v>
      </c>
      <c r="AC4254">
        <v>3</v>
      </c>
      <c r="AD4254">
        <v>0</v>
      </c>
      <c r="AE4254">
        <v>9</v>
      </c>
      <c r="AF4254" t="s">
        <v>138</v>
      </c>
      <c r="AG4254">
        <v>0</v>
      </c>
      <c r="AH4254">
        <v>3</v>
      </c>
      <c r="AI4254">
        <v>1</v>
      </c>
      <c r="AJ4254">
        <v>0</v>
      </c>
      <c r="AK4254" t="s">
        <v>1355</v>
      </c>
      <c r="AL4254">
        <v>32.745995999999998</v>
      </c>
      <c r="AM4254" t="s">
        <v>1356</v>
      </c>
      <c r="AN4254">
        <v>-116.688044</v>
      </c>
      <c r="AO4254">
        <v>25</v>
      </c>
      <c r="AP4254">
        <v>5000</v>
      </c>
      <c r="AQ4254" t="s">
        <v>129</v>
      </c>
      <c r="AR4254">
        <v>-127</v>
      </c>
      <c r="AS4254">
        <v>-65</v>
      </c>
      <c r="AT4254">
        <v>576</v>
      </c>
      <c r="BB4254">
        <v>1200</v>
      </c>
      <c r="BC4254">
        <v>1</v>
      </c>
      <c r="BD4254" t="str">
        <f t="shared" si="1560"/>
        <v xml:space="preserve">N887QR  </v>
      </c>
      <c r="BE4254">
        <v>1</v>
      </c>
      <c r="BG4254">
        <v>0</v>
      </c>
      <c r="BH4254">
        <v>0</v>
      </c>
      <c r="BI4254">
        <v>0</v>
      </c>
      <c r="BJ4254">
        <v>4800</v>
      </c>
      <c r="BK4254">
        <v>-200</v>
      </c>
      <c r="BL4254" t="s">
        <v>163</v>
      </c>
      <c r="BM4254">
        <v>1</v>
      </c>
      <c r="BN4254">
        <v>1</v>
      </c>
      <c r="BO4254">
        <v>1</v>
      </c>
      <c r="BP4254">
        <v>0</v>
      </c>
      <c r="BS4254">
        <v>0</v>
      </c>
      <c r="BT4254">
        <v>0</v>
      </c>
      <c r="BU4254">
        <v>0</v>
      </c>
      <c r="CE4254" t="str">
        <f t="shared" ref="CE4254:CE4260" si="1571">"19:37:01.168"</f>
        <v>19:37:01.168</v>
      </c>
      <c r="CF4254">
        <v>168127287</v>
      </c>
      <c r="CS4254">
        <v>0</v>
      </c>
      <c r="CT4254">
        <v>2</v>
      </c>
      <c r="CU4254">
        <v>0</v>
      </c>
      <c r="CV4254">
        <v>2</v>
      </c>
      <c r="CW4254">
        <v>0</v>
      </c>
      <c r="CX4254">
        <v>6</v>
      </c>
      <c r="CY4254">
        <v>7</v>
      </c>
      <c r="CZ4254" t="s">
        <v>131</v>
      </c>
      <c r="DA4254">
        <v>286</v>
      </c>
      <c r="DB4254">
        <v>0</v>
      </c>
      <c r="DC4254" t="s">
        <v>132</v>
      </c>
      <c r="DD4254" t="s">
        <v>133</v>
      </c>
      <c r="DG4254">
        <v>907132</v>
      </c>
      <c r="DI4254">
        <v>1</v>
      </c>
      <c r="DJ4254">
        <v>0</v>
      </c>
      <c r="DK4254">
        <v>0</v>
      </c>
      <c r="DL4254">
        <v>0</v>
      </c>
      <c r="DM4254">
        <v>0</v>
      </c>
      <c r="DN4254">
        <v>1</v>
      </c>
      <c r="DO4254">
        <v>0</v>
      </c>
      <c r="DP4254">
        <v>0</v>
      </c>
      <c r="DQ4254">
        <v>0</v>
      </c>
      <c r="DR4254">
        <v>0</v>
      </c>
      <c r="DS4254">
        <v>0</v>
      </c>
    </row>
    <row r="4255" spans="1:123" x14ac:dyDescent="0.3">
      <c r="A4255" t="str">
        <f t="shared" si="1569"/>
        <v>10/04/2022 19:37:01.449</v>
      </c>
      <c r="C4255" t="str">
        <f t="shared" si="1550"/>
        <v>FFDFD3C0</v>
      </c>
      <c r="D4255" t="s">
        <v>134</v>
      </c>
      <c r="E4255">
        <v>15</v>
      </c>
      <c r="J4255" t="s">
        <v>135</v>
      </c>
      <c r="K4255">
        <v>0</v>
      </c>
      <c r="L4255">
        <v>3</v>
      </c>
      <c r="M4255">
        <v>0</v>
      </c>
      <c r="N4255">
        <v>2</v>
      </c>
      <c r="O4255">
        <v>0</v>
      </c>
      <c r="P4255">
        <v>1</v>
      </c>
      <c r="Q4255">
        <v>0</v>
      </c>
      <c r="S4255" t="str">
        <f t="shared" si="1570"/>
        <v>19:37:01.000</v>
      </c>
      <c r="T4255" t="str">
        <f t="shared" si="1570"/>
        <v>19:37:01.000</v>
      </c>
      <c r="U4255" t="str">
        <f t="shared" si="1559"/>
        <v>AC3944</v>
      </c>
      <c r="V4255">
        <v>0</v>
      </c>
      <c r="W4255">
        <v>0</v>
      </c>
      <c r="X4255">
        <v>2</v>
      </c>
      <c r="Y4255">
        <v>0</v>
      </c>
      <c r="AA4255">
        <v>1</v>
      </c>
      <c r="AB4255">
        <v>8</v>
      </c>
      <c r="AC4255">
        <v>3</v>
      </c>
      <c r="AD4255">
        <v>0</v>
      </c>
      <c r="AE4255">
        <v>9</v>
      </c>
      <c r="AF4255" t="s">
        <v>138</v>
      </c>
      <c r="AG4255">
        <v>0</v>
      </c>
      <c r="AH4255">
        <v>3</v>
      </c>
      <c r="AI4255">
        <v>1</v>
      </c>
      <c r="AJ4255">
        <v>0</v>
      </c>
      <c r="AK4255" t="s">
        <v>1355</v>
      </c>
      <c r="AL4255">
        <v>32.745995999999998</v>
      </c>
      <c r="AM4255" t="s">
        <v>1356</v>
      </c>
      <c r="AN4255">
        <v>-116.688044</v>
      </c>
      <c r="AO4255">
        <v>25</v>
      </c>
      <c r="AP4255">
        <v>5000</v>
      </c>
      <c r="AQ4255" t="s">
        <v>129</v>
      </c>
      <c r="AR4255">
        <v>-127</v>
      </c>
      <c r="AS4255">
        <v>-65</v>
      </c>
      <c r="AT4255">
        <v>576</v>
      </c>
      <c r="BB4255">
        <v>1200</v>
      </c>
      <c r="BC4255">
        <v>1</v>
      </c>
      <c r="BD4255" t="str">
        <f t="shared" si="1560"/>
        <v xml:space="preserve">N887QR  </v>
      </c>
      <c r="BE4255">
        <v>1</v>
      </c>
      <c r="BG4255">
        <v>0</v>
      </c>
      <c r="BH4255">
        <v>0</v>
      </c>
      <c r="BI4255">
        <v>0</v>
      </c>
      <c r="BJ4255">
        <v>4800</v>
      </c>
      <c r="BK4255">
        <v>-200</v>
      </c>
      <c r="BL4255" t="s">
        <v>163</v>
      </c>
      <c r="BM4255">
        <v>1</v>
      </c>
      <c r="BN4255">
        <v>1</v>
      </c>
      <c r="BO4255">
        <v>1</v>
      </c>
      <c r="BP4255">
        <v>0</v>
      </c>
      <c r="BS4255">
        <v>0</v>
      </c>
      <c r="BT4255">
        <v>0</v>
      </c>
      <c r="BU4255">
        <v>0</v>
      </c>
      <c r="CE4255" t="str">
        <f t="shared" si="1571"/>
        <v>19:37:01.168</v>
      </c>
      <c r="CF4255">
        <v>168127287</v>
      </c>
      <c r="CS4255">
        <v>0</v>
      </c>
      <c r="CT4255">
        <v>2</v>
      </c>
      <c r="CU4255">
        <v>0</v>
      </c>
      <c r="CV4255">
        <v>2</v>
      </c>
      <c r="CW4255">
        <v>0</v>
      </c>
      <c r="CX4255">
        <v>6</v>
      </c>
      <c r="CY4255">
        <v>7</v>
      </c>
      <c r="CZ4255" t="s">
        <v>131</v>
      </c>
      <c r="DA4255">
        <v>286</v>
      </c>
      <c r="DB4255">
        <v>0</v>
      </c>
      <c r="DC4255" t="s">
        <v>132</v>
      </c>
      <c r="DD4255" t="s">
        <v>133</v>
      </c>
      <c r="DG4255">
        <v>907132</v>
      </c>
      <c r="DI4255">
        <v>1</v>
      </c>
      <c r="DJ4255">
        <v>0</v>
      </c>
      <c r="DK4255">
        <v>1</v>
      </c>
      <c r="DL4255">
        <v>0</v>
      </c>
      <c r="DM4255">
        <v>0</v>
      </c>
      <c r="DN4255">
        <v>1</v>
      </c>
      <c r="DO4255">
        <v>0</v>
      </c>
      <c r="DP4255">
        <v>0</v>
      </c>
      <c r="DQ4255">
        <v>0</v>
      </c>
      <c r="DR4255">
        <v>0</v>
      </c>
      <c r="DS4255">
        <v>0</v>
      </c>
    </row>
    <row r="4256" spans="1:123" x14ac:dyDescent="0.3">
      <c r="A4256" t="str">
        <f t="shared" si="1569"/>
        <v>10/04/2022 19:37:01.449</v>
      </c>
      <c r="C4256" t="str">
        <f t="shared" si="1550"/>
        <v>FFDFD3C0</v>
      </c>
      <c r="D4256" t="s">
        <v>123</v>
      </c>
      <c r="E4256">
        <v>7</v>
      </c>
      <c r="F4256">
        <v>2007</v>
      </c>
      <c r="G4256" t="s">
        <v>124</v>
      </c>
      <c r="J4256" t="s">
        <v>125</v>
      </c>
      <c r="K4256">
        <v>0</v>
      </c>
      <c r="L4256">
        <v>3</v>
      </c>
      <c r="M4256">
        <v>0</v>
      </c>
      <c r="N4256">
        <v>2</v>
      </c>
      <c r="O4256">
        <v>0</v>
      </c>
      <c r="P4256">
        <v>1</v>
      </c>
      <c r="Q4256">
        <v>0</v>
      </c>
      <c r="S4256" t="str">
        <f t="shared" si="1570"/>
        <v>19:37:01.000</v>
      </c>
      <c r="T4256" t="str">
        <f t="shared" si="1570"/>
        <v>19:37:01.000</v>
      </c>
      <c r="U4256" t="str">
        <f t="shared" si="1559"/>
        <v>AC3944</v>
      </c>
      <c r="V4256">
        <v>0</v>
      </c>
      <c r="W4256">
        <v>0</v>
      </c>
      <c r="X4256">
        <v>2</v>
      </c>
      <c r="Y4256">
        <v>0</v>
      </c>
      <c r="AA4256">
        <v>1</v>
      </c>
      <c r="AB4256">
        <v>8</v>
      </c>
      <c r="AC4256">
        <v>3</v>
      </c>
      <c r="AD4256">
        <v>0</v>
      </c>
      <c r="AE4256">
        <v>9</v>
      </c>
      <c r="AF4256" t="s">
        <v>138</v>
      </c>
      <c r="AG4256">
        <v>0</v>
      </c>
      <c r="AH4256">
        <v>3</v>
      </c>
      <c r="AI4256">
        <v>1</v>
      </c>
      <c r="AJ4256">
        <v>0</v>
      </c>
      <c r="AK4256" t="s">
        <v>1355</v>
      </c>
      <c r="AL4256">
        <v>32.745995999999998</v>
      </c>
      <c r="AM4256" t="s">
        <v>1356</v>
      </c>
      <c r="AN4256">
        <v>-116.688044</v>
      </c>
      <c r="AO4256">
        <v>25</v>
      </c>
      <c r="AP4256">
        <v>5000</v>
      </c>
      <c r="AQ4256" t="s">
        <v>129</v>
      </c>
      <c r="AR4256">
        <v>-127</v>
      </c>
      <c r="AS4256">
        <v>-65</v>
      </c>
      <c r="AT4256">
        <v>576</v>
      </c>
      <c r="BB4256">
        <v>1200</v>
      </c>
      <c r="BC4256">
        <v>1</v>
      </c>
      <c r="BD4256" t="str">
        <f t="shared" si="1560"/>
        <v xml:space="preserve">N887QR  </v>
      </c>
      <c r="BE4256">
        <v>1</v>
      </c>
      <c r="BG4256">
        <v>0</v>
      </c>
      <c r="BH4256">
        <v>0</v>
      </c>
      <c r="BI4256">
        <v>0</v>
      </c>
      <c r="BJ4256">
        <v>4800</v>
      </c>
      <c r="BK4256">
        <v>-200</v>
      </c>
      <c r="BL4256" t="s">
        <v>163</v>
      </c>
      <c r="BM4256">
        <v>1</v>
      </c>
      <c r="BN4256">
        <v>1</v>
      </c>
      <c r="BO4256">
        <v>1</v>
      </c>
      <c r="BP4256">
        <v>0</v>
      </c>
      <c r="BS4256">
        <v>0</v>
      </c>
      <c r="BT4256">
        <v>0</v>
      </c>
      <c r="BU4256">
        <v>0</v>
      </c>
      <c r="CE4256" t="str">
        <f t="shared" si="1571"/>
        <v>19:37:01.168</v>
      </c>
      <c r="CF4256">
        <v>168127287</v>
      </c>
      <c r="CS4256">
        <v>0</v>
      </c>
      <c r="CT4256">
        <v>2</v>
      </c>
      <c r="CU4256">
        <v>0</v>
      </c>
      <c r="CV4256">
        <v>2</v>
      </c>
      <c r="CW4256">
        <v>0</v>
      </c>
      <c r="CX4256">
        <v>6</v>
      </c>
      <c r="CY4256">
        <v>7</v>
      </c>
      <c r="CZ4256" t="s">
        <v>131</v>
      </c>
      <c r="DA4256">
        <v>286</v>
      </c>
      <c r="DB4256">
        <v>0</v>
      </c>
      <c r="DC4256" t="s">
        <v>132</v>
      </c>
      <c r="DD4256" t="s">
        <v>133</v>
      </c>
      <c r="DG4256">
        <v>907132</v>
      </c>
      <c r="DI4256">
        <v>1</v>
      </c>
      <c r="DJ4256">
        <v>0</v>
      </c>
      <c r="DK4256">
        <v>1</v>
      </c>
      <c r="DL4256">
        <v>0</v>
      </c>
      <c r="DM4256">
        <v>0</v>
      </c>
      <c r="DN4256">
        <v>1</v>
      </c>
      <c r="DO4256">
        <v>0</v>
      </c>
      <c r="DP4256">
        <v>0</v>
      </c>
      <c r="DQ4256">
        <v>0</v>
      </c>
      <c r="DR4256">
        <v>0</v>
      </c>
      <c r="DS4256">
        <v>0</v>
      </c>
    </row>
    <row r="4257" spans="1:123" x14ac:dyDescent="0.3">
      <c r="A4257" t="str">
        <f t="shared" si="1569"/>
        <v>10/04/2022 19:37:01.449</v>
      </c>
      <c r="C4257" t="str">
        <f t="shared" si="1550"/>
        <v>FFDFD3C0</v>
      </c>
      <c r="D4257" t="s">
        <v>141</v>
      </c>
      <c r="E4257">
        <v>4</v>
      </c>
      <c r="H4257">
        <v>4</v>
      </c>
      <c r="I4257" t="s">
        <v>142</v>
      </c>
      <c r="J4257" t="s">
        <v>138</v>
      </c>
      <c r="K4257">
        <v>0</v>
      </c>
      <c r="L4257">
        <v>3</v>
      </c>
      <c r="M4257">
        <v>0</v>
      </c>
      <c r="N4257">
        <v>2</v>
      </c>
      <c r="O4257">
        <v>0</v>
      </c>
      <c r="P4257">
        <v>1</v>
      </c>
      <c r="Q4257">
        <v>0</v>
      </c>
      <c r="S4257" t="str">
        <f t="shared" si="1570"/>
        <v>19:37:01.000</v>
      </c>
      <c r="T4257" t="str">
        <f t="shared" si="1570"/>
        <v>19:37:01.000</v>
      </c>
      <c r="U4257" t="str">
        <f t="shared" si="1559"/>
        <v>AC3944</v>
      </c>
      <c r="V4257">
        <v>0</v>
      </c>
      <c r="W4257">
        <v>0</v>
      </c>
      <c r="X4257">
        <v>2</v>
      </c>
      <c r="Y4257">
        <v>0</v>
      </c>
      <c r="AA4257">
        <v>1</v>
      </c>
      <c r="AB4257">
        <v>8</v>
      </c>
      <c r="AC4257">
        <v>3</v>
      </c>
      <c r="AD4257">
        <v>0</v>
      </c>
      <c r="AE4257">
        <v>9</v>
      </c>
      <c r="AF4257" t="s">
        <v>138</v>
      </c>
      <c r="AG4257">
        <v>0</v>
      </c>
      <c r="AH4257">
        <v>3</v>
      </c>
      <c r="AI4257">
        <v>1</v>
      </c>
      <c r="AJ4257">
        <v>0</v>
      </c>
      <c r="AK4257" t="s">
        <v>1355</v>
      </c>
      <c r="AL4257">
        <v>32.745995999999998</v>
      </c>
      <c r="AM4257" t="s">
        <v>1356</v>
      </c>
      <c r="AN4257">
        <v>-116.688044</v>
      </c>
      <c r="AO4257">
        <v>25</v>
      </c>
      <c r="AP4257">
        <v>5000</v>
      </c>
      <c r="AQ4257" t="s">
        <v>129</v>
      </c>
      <c r="AR4257">
        <v>-127</v>
      </c>
      <c r="AS4257">
        <v>-65</v>
      </c>
      <c r="AT4257">
        <v>576</v>
      </c>
      <c r="BB4257">
        <v>1200</v>
      </c>
      <c r="BC4257">
        <v>1</v>
      </c>
      <c r="BD4257" t="str">
        <f t="shared" si="1560"/>
        <v xml:space="preserve">N887QR  </v>
      </c>
      <c r="BE4257">
        <v>1</v>
      </c>
      <c r="BG4257">
        <v>0</v>
      </c>
      <c r="BH4257">
        <v>0</v>
      </c>
      <c r="BI4257">
        <v>0</v>
      </c>
      <c r="BJ4257">
        <v>4800</v>
      </c>
      <c r="BK4257">
        <v>-200</v>
      </c>
      <c r="BL4257" t="s">
        <v>163</v>
      </c>
      <c r="BM4257">
        <v>1</v>
      </c>
      <c r="BN4257">
        <v>1</v>
      </c>
      <c r="BO4257">
        <v>1</v>
      </c>
      <c r="BP4257">
        <v>0</v>
      </c>
      <c r="BS4257">
        <v>0</v>
      </c>
      <c r="BT4257">
        <v>0</v>
      </c>
      <c r="BU4257">
        <v>0</v>
      </c>
      <c r="CE4257" t="str">
        <f t="shared" si="1571"/>
        <v>19:37:01.168</v>
      </c>
      <c r="CF4257">
        <v>168127287</v>
      </c>
      <c r="CS4257">
        <v>0</v>
      </c>
      <c r="CT4257">
        <v>2</v>
      </c>
      <c r="CU4257">
        <v>0</v>
      </c>
      <c r="CV4257">
        <v>2</v>
      </c>
      <c r="CW4257">
        <v>0</v>
      </c>
      <c r="CX4257">
        <v>6</v>
      </c>
      <c r="CY4257">
        <v>7</v>
      </c>
      <c r="CZ4257" t="s">
        <v>131</v>
      </c>
      <c r="DA4257">
        <v>286</v>
      </c>
      <c r="DB4257">
        <v>0</v>
      </c>
      <c r="DC4257" t="s">
        <v>132</v>
      </c>
      <c r="DD4257" t="s">
        <v>133</v>
      </c>
      <c r="DG4257">
        <v>907132</v>
      </c>
      <c r="DI4257">
        <v>1</v>
      </c>
      <c r="DJ4257">
        <v>0</v>
      </c>
      <c r="DK4257">
        <v>1</v>
      </c>
      <c r="DL4257">
        <v>0</v>
      </c>
      <c r="DM4257">
        <v>0</v>
      </c>
      <c r="DN4257">
        <v>1</v>
      </c>
      <c r="DO4257">
        <v>0</v>
      </c>
      <c r="DP4257">
        <v>0</v>
      </c>
      <c r="DQ4257">
        <v>0</v>
      </c>
      <c r="DR4257">
        <v>0</v>
      </c>
      <c r="DS4257">
        <v>0</v>
      </c>
    </row>
    <row r="4258" spans="1:123" x14ac:dyDescent="0.3">
      <c r="A4258" t="str">
        <f t="shared" si="1569"/>
        <v>10/04/2022 19:37:01.449</v>
      </c>
      <c r="C4258" t="str">
        <f t="shared" si="1550"/>
        <v>FFDFD3C0</v>
      </c>
      <c r="D4258" t="s">
        <v>141</v>
      </c>
      <c r="E4258">
        <v>3</v>
      </c>
      <c r="H4258">
        <v>3</v>
      </c>
      <c r="I4258" t="s">
        <v>146</v>
      </c>
      <c r="J4258" t="s">
        <v>138</v>
      </c>
      <c r="K4258">
        <v>0</v>
      </c>
      <c r="L4258">
        <v>3</v>
      </c>
      <c r="M4258">
        <v>0</v>
      </c>
      <c r="N4258">
        <v>2</v>
      </c>
      <c r="O4258">
        <v>0</v>
      </c>
      <c r="P4258">
        <v>1</v>
      </c>
      <c r="Q4258">
        <v>0</v>
      </c>
      <c r="S4258" t="str">
        <f t="shared" si="1570"/>
        <v>19:37:01.000</v>
      </c>
      <c r="T4258" t="str">
        <f t="shared" si="1570"/>
        <v>19:37:01.000</v>
      </c>
      <c r="U4258" t="str">
        <f t="shared" si="1559"/>
        <v>AC3944</v>
      </c>
      <c r="V4258">
        <v>0</v>
      </c>
      <c r="W4258">
        <v>0</v>
      </c>
      <c r="X4258">
        <v>2</v>
      </c>
      <c r="Y4258">
        <v>0</v>
      </c>
      <c r="AA4258">
        <v>1</v>
      </c>
      <c r="AB4258">
        <v>8</v>
      </c>
      <c r="AC4258">
        <v>3</v>
      </c>
      <c r="AD4258">
        <v>0</v>
      </c>
      <c r="AE4258">
        <v>9</v>
      </c>
      <c r="AF4258" t="s">
        <v>138</v>
      </c>
      <c r="AG4258">
        <v>0</v>
      </c>
      <c r="AH4258">
        <v>3</v>
      </c>
      <c r="AI4258">
        <v>1</v>
      </c>
      <c r="AJ4258">
        <v>0</v>
      </c>
      <c r="AK4258" t="s">
        <v>1355</v>
      </c>
      <c r="AL4258">
        <v>32.745995999999998</v>
      </c>
      <c r="AM4258" t="s">
        <v>1356</v>
      </c>
      <c r="AN4258">
        <v>-116.688044</v>
      </c>
      <c r="AO4258">
        <v>25</v>
      </c>
      <c r="AP4258">
        <v>5000</v>
      </c>
      <c r="AQ4258" t="s">
        <v>129</v>
      </c>
      <c r="AR4258">
        <v>-127</v>
      </c>
      <c r="AS4258">
        <v>-65</v>
      </c>
      <c r="AT4258">
        <v>576</v>
      </c>
      <c r="BB4258">
        <v>1200</v>
      </c>
      <c r="BC4258">
        <v>1</v>
      </c>
      <c r="BD4258" t="str">
        <f t="shared" si="1560"/>
        <v xml:space="preserve">N887QR  </v>
      </c>
      <c r="BE4258">
        <v>1</v>
      </c>
      <c r="BG4258">
        <v>0</v>
      </c>
      <c r="BH4258">
        <v>0</v>
      </c>
      <c r="BI4258">
        <v>0</v>
      </c>
      <c r="BJ4258">
        <v>4800</v>
      </c>
      <c r="BK4258">
        <v>-200</v>
      </c>
      <c r="BL4258" t="s">
        <v>163</v>
      </c>
      <c r="BM4258">
        <v>1</v>
      </c>
      <c r="BN4258">
        <v>1</v>
      </c>
      <c r="BO4258">
        <v>1</v>
      </c>
      <c r="BP4258">
        <v>0</v>
      </c>
      <c r="BS4258">
        <v>0</v>
      </c>
      <c r="BT4258">
        <v>0</v>
      </c>
      <c r="BU4258">
        <v>0</v>
      </c>
      <c r="CE4258" t="str">
        <f t="shared" si="1571"/>
        <v>19:37:01.168</v>
      </c>
      <c r="CF4258">
        <v>168127287</v>
      </c>
      <c r="CS4258">
        <v>0</v>
      </c>
      <c r="CT4258">
        <v>2</v>
      </c>
      <c r="CU4258">
        <v>0</v>
      </c>
      <c r="CV4258">
        <v>2</v>
      </c>
      <c r="CW4258">
        <v>0</v>
      </c>
      <c r="CX4258">
        <v>6</v>
      </c>
      <c r="CY4258">
        <v>7</v>
      </c>
      <c r="CZ4258" t="s">
        <v>131</v>
      </c>
      <c r="DA4258">
        <v>286</v>
      </c>
      <c r="DB4258">
        <v>0</v>
      </c>
      <c r="DC4258" t="s">
        <v>132</v>
      </c>
      <c r="DD4258" t="s">
        <v>133</v>
      </c>
      <c r="DG4258">
        <v>907132</v>
      </c>
      <c r="DI4258">
        <v>1</v>
      </c>
      <c r="DJ4258">
        <v>0</v>
      </c>
      <c r="DK4258">
        <v>1</v>
      </c>
      <c r="DL4258">
        <v>0</v>
      </c>
      <c r="DM4258">
        <v>0</v>
      </c>
      <c r="DN4258">
        <v>1</v>
      </c>
      <c r="DO4258">
        <v>0</v>
      </c>
      <c r="DP4258">
        <v>0</v>
      </c>
      <c r="DQ4258">
        <v>0</v>
      </c>
      <c r="DR4258">
        <v>0</v>
      </c>
      <c r="DS4258">
        <v>0</v>
      </c>
    </row>
    <row r="4259" spans="1:123" x14ac:dyDescent="0.3">
      <c r="A4259" t="str">
        <f t="shared" si="1569"/>
        <v>10/04/2022 19:37:01.449</v>
      </c>
      <c r="C4259" t="str">
        <f t="shared" si="1550"/>
        <v>FFDFD3C0</v>
      </c>
      <c r="D4259" t="s">
        <v>147</v>
      </c>
      <c r="E4259">
        <v>3</v>
      </c>
      <c r="H4259">
        <v>166</v>
      </c>
      <c r="I4259" t="s">
        <v>144</v>
      </c>
      <c r="J4259" t="s">
        <v>148</v>
      </c>
      <c r="K4259">
        <v>0</v>
      </c>
      <c r="L4259">
        <v>3</v>
      </c>
      <c r="M4259">
        <v>0</v>
      </c>
      <c r="N4259">
        <v>2</v>
      </c>
      <c r="O4259">
        <v>0</v>
      </c>
      <c r="P4259">
        <v>1</v>
      </c>
      <c r="Q4259">
        <v>0</v>
      </c>
      <c r="S4259" t="str">
        <f t="shared" si="1570"/>
        <v>19:37:01.000</v>
      </c>
      <c r="T4259" t="str">
        <f t="shared" si="1570"/>
        <v>19:37:01.000</v>
      </c>
      <c r="U4259" t="str">
        <f t="shared" si="1559"/>
        <v>AC3944</v>
      </c>
      <c r="V4259">
        <v>0</v>
      </c>
      <c r="W4259">
        <v>0</v>
      </c>
      <c r="X4259">
        <v>2</v>
      </c>
      <c r="Y4259">
        <v>0</v>
      </c>
      <c r="AA4259">
        <v>1</v>
      </c>
      <c r="AB4259">
        <v>8</v>
      </c>
      <c r="AC4259">
        <v>3</v>
      </c>
      <c r="AD4259">
        <v>0</v>
      </c>
      <c r="AE4259">
        <v>9</v>
      </c>
      <c r="AF4259" t="s">
        <v>138</v>
      </c>
      <c r="AG4259">
        <v>0</v>
      </c>
      <c r="AH4259">
        <v>3</v>
      </c>
      <c r="AI4259">
        <v>1</v>
      </c>
      <c r="AJ4259">
        <v>0</v>
      </c>
      <c r="AK4259" t="s">
        <v>1355</v>
      </c>
      <c r="AL4259">
        <v>32.745995999999998</v>
      </c>
      <c r="AM4259" t="s">
        <v>1356</v>
      </c>
      <c r="AN4259">
        <v>-116.688044</v>
      </c>
      <c r="AO4259">
        <v>25</v>
      </c>
      <c r="AP4259">
        <v>5000</v>
      </c>
      <c r="AQ4259" t="s">
        <v>129</v>
      </c>
      <c r="AR4259">
        <v>-127</v>
      </c>
      <c r="AS4259">
        <v>-65</v>
      </c>
      <c r="AT4259">
        <v>576</v>
      </c>
      <c r="BB4259">
        <v>1200</v>
      </c>
      <c r="BC4259">
        <v>1</v>
      </c>
      <c r="BD4259" t="str">
        <f t="shared" si="1560"/>
        <v xml:space="preserve">N887QR  </v>
      </c>
      <c r="BE4259">
        <v>1</v>
      </c>
      <c r="BG4259">
        <v>0</v>
      </c>
      <c r="BH4259">
        <v>0</v>
      </c>
      <c r="BI4259">
        <v>0</v>
      </c>
      <c r="BJ4259">
        <v>4800</v>
      </c>
      <c r="BK4259">
        <v>-200</v>
      </c>
      <c r="BL4259" t="s">
        <v>163</v>
      </c>
      <c r="BM4259">
        <v>1</v>
      </c>
      <c r="BN4259">
        <v>1</v>
      </c>
      <c r="BO4259">
        <v>1</v>
      </c>
      <c r="BP4259">
        <v>0</v>
      </c>
      <c r="BS4259">
        <v>0</v>
      </c>
      <c r="BT4259">
        <v>0</v>
      </c>
      <c r="BU4259">
        <v>0</v>
      </c>
      <c r="CE4259" t="str">
        <f t="shared" si="1571"/>
        <v>19:37:01.168</v>
      </c>
      <c r="CF4259">
        <v>168127287</v>
      </c>
      <c r="CS4259">
        <v>0</v>
      </c>
      <c r="CT4259">
        <v>2</v>
      </c>
      <c r="CU4259">
        <v>0</v>
      </c>
      <c r="CV4259">
        <v>2</v>
      </c>
      <c r="CW4259">
        <v>0</v>
      </c>
      <c r="CX4259">
        <v>6</v>
      </c>
      <c r="CY4259">
        <v>7</v>
      </c>
      <c r="CZ4259" t="s">
        <v>131</v>
      </c>
      <c r="DA4259">
        <v>286</v>
      </c>
      <c r="DB4259">
        <v>0</v>
      </c>
      <c r="DC4259" t="s">
        <v>132</v>
      </c>
      <c r="DD4259" t="s">
        <v>133</v>
      </c>
      <c r="DG4259">
        <v>907132</v>
      </c>
      <c r="DI4259">
        <v>1</v>
      </c>
      <c r="DJ4259">
        <v>0</v>
      </c>
      <c r="DK4259">
        <v>1</v>
      </c>
      <c r="DL4259">
        <v>0</v>
      </c>
      <c r="DM4259">
        <v>0</v>
      </c>
      <c r="DN4259">
        <v>1</v>
      </c>
      <c r="DO4259">
        <v>0</v>
      </c>
      <c r="DP4259">
        <v>0</v>
      </c>
      <c r="DQ4259">
        <v>0</v>
      </c>
      <c r="DR4259">
        <v>0</v>
      </c>
      <c r="DS4259">
        <v>0</v>
      </c>
    </row>
    <row r="4260" spans="1:123" x14ac:dyDescent="0.3">
      <c r="A4260" t="str">
        <f t="shared" si="1569"/>
        <v>10/04/2022 19:37:01.449</v>
      </c>
      <c r="C4260" t="str">
        <f t="shared" si="1550"/>
        <v>FFDFD3C0</v>
      </c>
      <c r="D4260" t="s">
        <v>136</v>
      </c>
      <c r="E4260">
        <v>8</v>
      </c>
      <c r="H4260">
        <v>225</v>
      </c>
      <c r="I4260" t="s">
        <v>137</v>
      </c>
      <c r="J4260" t="s">
        <v>138</v>
      </c>
      <c r="K4260">
        <v>0</v>
      </c>
      <c r="L4260">
        <v>3</v>
      </c>
      <c r="M4260">
        <v>0</v>
      </c>
      <c r="N4260">
        <v>2</v>
      </c>
      <c r="O4260">
        <v>0</v>
      </c>
      <c r="P4260">
        <v>1</v>
      </c>
      <c r="Q4260">
        <v>0</v>
      </c>
      <c r="S4260" t="str">
        <f t="shared" si="1570"/>
        <v>19:37:01.000</v>
      </c>
      <c r="T4260" t="str">
        <f t="shared" si="1570"/>
        <v>19:37:01.000</v>
      </c>
      <c r="U4260" t="str">
        <f t="shared" si="1559"/>
        <v>AC3944</v>
      </c>
      <c r="V4260">
        <v>0</v>
      </c>
      <c r="W4260">
        <v>0</v>
      </c>
      <c r="X4260">
        <v>2</v>
      </c>
      <c r="Y4260">
        <v>0</v>
      </c>
      <c r="AA4260">
        <v>1</v>
      </c>
      <c r="AB4260">
        <v>8</v>
      </c>
      <c r="AC4260">
        <v>3</v>
      </c>
      <c r="AD4260">
        <v>0</v>
      </c>
      <c r="AE4260">
        <v>9</v>
      </c>
      <c r="AF4260" t="s">
        <v>138</v>
      </c>
      <c r="AG4260">
        <v>0</v>
      </c>
      <c r="AH4260">
        <v>3</v>
      </c>
      <c r="AI4260">
        <v>1</v>
      </c>
      <c r="AJ4260">
        <v>0</v>
      </c>
      <c r="AK4260" t="s">
        <v>1355</v>
      </c>
      <c r="AL4260">
        <v>32.745995999999998</v>
      </c>
      <c r="AM4260" t="s">
        <v>1356</v>
      </c>
      <c r="AN4260">
        <v>-116.688044</v>
      </c>
      <c r="AO4260">
        <v>25</v>
      </c>
      <c r="AP4260">
        <v>5000</v>
      </c>
      <c r="AQ4260" t="s">
        <v>129</v>
      </c>
      <c r="AR4260">
        <v>-127</v>
      </c>
      <c r="AS4260">
        <v>-65</v>
      </c>
      <c r="AT4260">
        <v>576</v>
      </c>
      <c r="BB4260">
        <v>1200</v>
      </c>
      <c r="BC4260">
        <v>1</v>
      </c>
      <c r="BD4260" t="str">
        <f t="shared" si="1560"/>
        <v xml:space="preserve">N887QR  </v>
      </c>
      <c r="BE4260">
        <v>1</v>
      </c>
      <c r="BG4260">
        <v>0</v>
      </c>
      <c r="BH4260">
        <v>0</v>
      </c>
      <c r="BI4260">
        <v>0</v>
      </c>
      <c r="BJ4260">
        <v>4800</v>
      </c>
      <c r="BK4260">
        <v>-200</v>
      </c>
      <c r="BL4260" t="s">
        <v>163</v>
      </c>
      <c r="BM4260">
        <v>1</v>
      </c>
      <c r="BN4260">
        <v>1</v>
      </c>
      <c r="BO4260">
        <v>1</v>
      </c>
      <c r="BP4260">
        <v>0</v>
      </c>
      <c r="BS4260">
        <v>0</v>
      </c>
      <c r="BT4260">
        <v>0</v>
      </c>
      <c r="BU4260">
        <v>0</v>
      </c>
      <c r="CE4260" t="str">
        <f t="shared" si="1571"/>
        <v>19:37:01.168</v>
      </c>
      <c r="CF4260">
        <v>168127287</v>
      </c>
      <c r="CS4260">
        <v>0</v>
      </c>
      <c r="CT4260">
        <v>2</v>
      </c>
      <c r="CU4260">
        <v>0</v>
      </c>
      <c r="CV4260">
        <v>2</v>
      </c>
      <c r="CW4260">
        <v>0</v>
      </c>
      <c r="CX4260">
        <v>6</v>
      </c>
      <c r="CY4260">
        <v>7</v>
      </c>
      <c r="CZ4260" t="s">
        <v>131</v>
      </c>
      <c r="DA4260">
        <v>286</v>
      </c>
      <c r="DB4260">
        <v>0</v>
      </c>
      <c r="DC4260" t="s">
        <v>132</v>
      </c>
      <c r="DD4260" t="s">
        <v>133</v>
      </c>
      <c r="DG4260">
        <v>907132</v>
      </c>
      <c r="DI4260">
        <v>1</v>
      </c>
      <c r="DJ4260">
        <v>0</v>
      </c>
      <c r="DK4260">
        <v>1</v>
      </c>
      <c r="DL4260">
        <v>0</v>
      </c>
      <c r="DM4260">
        <v>0</v>
      </c>
      <c r="DN4260">
        <v>1</v>
      </c>
      <c r="DO4260">
        <v>0</v>
      </c>
      <c r="DP4260">
        <v>0</v>
      </c>
      <c r="DQ4260">
        <v>0</v>
      </c>
      <c r="DR4260">
        <v>0</v>
      </c>
      <c r="DS4260">
        <v>0</v>
      </c>
    </row>
    <row r="4261" spans="1:123" x14ac:dyDescent="0.3">
      <c r="A4261" t="str">
        <f t="shared" ref="A4261:A4267" si="1572">"10/04/2022 19:37:02.220"</f>
        <v>10/04/2022 19:37:02.220</v>
      </c>
      <c r="C4261" t="str">
        <f t="shared" si="1550"/>
        <v>FFDFD3C0</v>
      </c>
      <c r="D4261" t="s">
        <v>136</v>
      </c>
      <c r="E4261">
        <v>8</v>
      </c>
      <c r="H4261">
        <v>225</v>
      </c>
      <c r="I4261" t="s">
        <v>137</v>
      </c>
      <c r="J4261" t="s">
        <v>138</v>
      </c>
      <c r="K4261">
        <v>0</v>
      </c>
      <c r="L4261">
        <v>3</v>
      </c>
      <c r="M4261">
        <v>0</v>
      </c>
      <c r="N4261">
        <v>2</v>
      </c>
      <c r="O4261">
        <v>0</v>
      </c>
      <c r="P4261">
        <v>1</v>
      </c>
      <c r="Q4261">
        <v>0</v>
      </c>
      <c r="S4261" t="str">
        <f t="shared" si="1570"/>
        <v>19:37:01.000</v>
      </c>
      <c r="T4261" t="str">
        <f t="shared" si="1570"/>
        <v>19:37:01.000</v>
      </c>
      <c r="U4261" t="str">
        <f t="shared" si="1559"/>
        <v>AC3944</v>
      </c>
      <c r="V4261">
        <v>0</v>
      </c>
      <c r="W4261">
        <v>0</v>
      </c>
      <c r="X4261">
        <v>2</v>
      </c>
      <c r="Y4261">
        <v>0</v>
      </c>
      <c r="AA4261">
        <v>1</v>
      </c>
      <c r="AB4261">
        <v>8</v>
      </c>
      <c r="AC4261">
        <v>3</v>
      </c>
      <c r="AD4261">
        <v>0</v>
      </c>
      <c r="AE4261">
        <v>9</v>
      </c>
      <c r="AF4261" t="s">
        <v>138</v>
      </c>
      <c r="AG4261">
        <v>0</v>
      </c>
      <c r="AH4261">
        <v>3</v>
      </c>
      <c r="AI4261">
        <v>1</v>
      </c>
      <c r="AJ4261">
        <v>0</v>
      </c>
      <c r="AK4261" t="s">
        <v>1357</v>
      </c>
      <c r="AL4261">
        <v>32.745694999999998</v>
      </c>
      <c r="AM4261" t="s">
        <v>1358</v>
      </c>
      <c r="AN4261">
        <v>-116.688731</v>
      </c>
      <c r="AO4261">
        <v>25</v>
      </c>
      <c r="AP4261">
        <v>5000</v>
      </c>
      <c r="AQ4261" t="s">
        <v>129</v>
      </c>
      <c r="AR4261">
        <v>-125</v>
      </c>
      <c r="AS4261">
        <v>-71</v>
      </c>
      <c r="AT4261">
        <v>576</v>
      </c>
      <c r="BB4261">
        <v>1200</v>
      </c>
      <c r="BC4261">
        <v>1</v>
      </c>
      <c r="BD4261" t="str">
        <f t="shared" si="1560"/>
        <v xml:space="preserve">N887QR  </v>
      </c>
      <c r="BE4261">
        <v>1</v>
      </c>
      <c r="BG4261">
        <v>0</v>
      </c>
      <c r="BH4261">
        <v>0</v>
      </c>
      <c r="BI4261">
        <v>0</v>
      </c>
      <c r="BJ4261">
        <v>4800</v>
      </c>
      <c r="BK4261">
        <v>-200</v>
      </c>
      <c r="BL4261" t="s">
        <v>163</v>
      </c>
      <c r="BM4261">
        <v>1</v>
      </c>
      <c r="BN4261">
        <v>1</v>
      </c>
      <c r="BO4261">
        <v>1</v>
      </c>
      <c r="BP4261">
        <v>0</v>
      </c>
      <c r="BS4261">
        <v>0</v>
      </c>
      <c r="BT4261">
        <v>0</v>
      </c>
      <c r="BU4261">
        <v>0</v>
      </c>
      <c r="CE4261" t="str">
        <f t="shared" ref="CE4261:CE4267" si="1573">"19:37:01.918"</f>
        <v>19:37:01.918</v>
      </c>
      <c r="CF4261">
        <v>917879499</v>
      </c>
      <c r="CS4261">
        <v>0</v>
      </c>
      <c r="CT4261">
        <v>2</v>
      </c>
      <c r="CU4261">
        <v>0</v>
      </c>
      <c r="CV4261">
        <v>2</v>
      </c>
      <c r="CW4261">
        <v>0</v>
      </c>
      <c r="CX4261">
        <v>6</v>
      </c>
      <c r="CY4261">
        <v>7</v>
      </c>
      <c r="CZ4261" t="s">
        <v>131</v>
      </c>
      <c r="DA4261">
        <v>286</v>
      </c>
      <c r="DB4261">
        <v>0</v>
      </c>
      <c r="DC4261" t="s">
        <v>132</v>
      </c>
      <c r="DD4261" t="s">
        <v>133</v>
      </c>
      <c r="DG4261">
        <v>907343</v>
      </c>
      <c r="DI4261">
        <v>1</v>
      </c>
      <c r="DJ4261">
        <v>0</v>
      </c>
      <c r="DK4261">
        <v>0</v>
      </c>
      <c r="DL4261">
        <v>0</v>
      </c>
      <c r="DM4261">
        <v>0</v>
      </c>
      <c r="DN4261">
        <v>1</v>
      </c>
      <c r="DO4261">
        <v>0</v>
      </c>
      <c r="DP4261">
        <v>0</v>
      </c>
      <c r="DQ4261">
        <v>0</v>
      </c>
      <c r="DR4261">
        <v>0</v>
      </c>
      <c r="DS4261">
        <v>0</v>
      </c>
    </row>
    <row r="4262" spans="1:123" x14ac:dyDescent="0.3">
      <c r="A4262" t="str">
        <f t="shared" si="1572"/>
        <v>10/04/2022 19:37:02.220</v>
      </c>
      <c r="C4262" t="str">
        <f t="shared" si="1550"/>
        <v>FFDFD3C0</v>
      </c>
      <c r="D4262" t="s">
        <v>123</v>
      </c>
      <c r="E4262">
        <v>7</v>
      </c>
      <c r="F4262">
        <v>2007</v>
      </c>
      <c r="G4262" t="s">
        <v>124</v>
      </c>
      <c r="J4262" t="s">
        <v>125</v>
      </c>
      <c r="K4262">
        <v>0</v>
      </c>
      <c r="L4262">
        <v>3</v>
      </c>
      <c r="M4262">
        <v>0</v>
      </c>
      <c r="N4262">
        <v>2</v>
      </c>
      <c r="O4262">
        <v>0</v>
      </c>
      <c r="P4262">
        <v>1</v>
      </c>
      <c r="Q4262">
        <v>0</v>
      </c>
      <c r="S4262" t="str">
        <f t="shared" si="1570"/>
        <v>19:37:01.000</v>
      </c>
      <c r="T4262" t="str">
        <f t="shared" si="1570"/>
        <v>19:37:01.000</v>
      </c>
      <c r="U4262" t="str">
        <f t="shared" si="1559"/>
        <v>AC3944</v>
      </c>
      <c r="V4262">
        <v>0</v>
      </c>
      <c r="W4262">
        <v>0</v>
      </c>
      <c r="X4262">
        <v>2</v>
      </c>
      <c r="Y4262">
        <v>0</v>
      </c>
      <c r="AA4262">
        <v>1</v>
      </c>
      <c r="AB4262">
        <v>8</v>
      </c>
      <c r="AC4262">
        <v>3</v>
      </c>
      <c r="AD4262">
        <v>0</v>
      </c>
      <c r="AE4262">
        <v>9</v>
      </c>
      <c r="AF4262" t="s">
        <v>138</v>
      </c>
      <c r="AG4262">
        <v>0</v>
      </c>
      <c r="AH4262">
        <v>3</v>
      </c>
      <c r="AI4262">
        <v>1</v>
      </c>
      <c r="AJ4262">
        <v>0</v>
      </c>
      <c r="AK4262" t="s">
        <v>1357</v>
      </c>
      <c r="AL4262">
        <v>32.745694999999998</v>
      </c>
      <c r="AM4262" t="s">
        <v>1358</v>
      </c>
      <c r="AN4262">
        <v>-116.688731</v>
      </c>
      <c r="AO4262">
        <v>25</v>
      </c>
      <c r="AP4262">
        <v>5000</v>
      </c>
      <c r="AQ4262" t="s">
        <v>129</v>
      </c>
      <c r="AR4262">
        <v>-125</v>
      </c>
      <c r="AS4262">
        <v>-71</v>
      </c>
      <c r="AT4262">
        <v>576</v>
      </c>
      <c r="BB4262">
        <v>1200</v>
      </c>
      <c r="BC4262">
        <v>1</v>
      </c>
      <c r="BD4262" t="str">
        <f t="shared" si="1560"/>
        <v xml:space="preserve">N887QR  </v>
      </c>
      <c r="BE4262">
        <v>1</v>
      </c>
      <c r="BG4262">
        <v>0</v>
      </c>
      <c r="BH4262">
        <v>0</v>
      </c>
      <c r="BI4262">
        <v>0</v>
      </c>
      <c r="BJ4262">
        <v>4800</v>
      </c>
      <c r="BK4262">
        <v>-200</v>
      </c>
      <c r="BL4262" t="s">
        <v>163</v>
      </c>
      <c r="BM4262">
        <v>1</v>
      </c>
      <c r="BN4262">
        <v>1</v>
      </c>
      <c r="BO4262">
        <v>1</v>
      </c>
      <c r="BP4262">
        <v>0</v>
      </c>
      <c r="BS4262">
        <v>0</v>
      </c>
      <c r="BT4262">
        <v>0</v>
      </c>
      <c r="BU4262">
        <v>0</v>
      </c>
      <c r="CE4262" t="str">
        <f t="shared" si="1573"/>
        <v>19:37:01.918</v>
      </c>
      <c r="CF4262">
        <v>917879499</v>
      </c>
      <c r="CS4262">
        <v>0</v>
      </c>
      <c r="CT4262">
        <v>2</v>
      </c>
      <c r="CU4262">
        <v>0</v>
      </c>
      <c r="CV4262">
        <v>2</v>
      </c>
      <c r="CW4262">
        <v>0</v>
      </c>
      <c r="CX4262">
        <v>6</v>
      </c>
      <c r="CY4262">
        <v>7</v>
      </c>
      <c r="CZ4262" t="s">
        <v>131</v>
      </c>
      <c r="DA4262">
        <v>286</v>
      </c>
      <c r="DB4262">
        <v>0</v>
      </c>
      <c r="DC4262" t="s">
        <v>132</v>
      </c>
      <c r="DD4262" t="s">
        <v>133</v>
      </c>
      <c r="DG4262">
        <v>907343</v>
      </c>
      <c r="DI4262">
        <v>1</v>
      </c>
      <c r="DJ4262">
        <v>0</v>
      </c>
      <c r="DK4262">
        <v>1</v>
      </c>
      <c r="DL4262">
        <v>0</v>
      </c>
      <c r="DM4262">
        <v>0</v>
      </c>
      <c r="DN4262">
        <v>1</v>
      </c>
      <c r="DO4262">
        <v>0</v>
      </c>
      <c r="DP4262">
        <v>0</v>
      </c>
      <c r="DQ4262">
        <v>0</v>
      </c>
      <c r="DR4262">
        <v>0</v>
      </c>
      <c r="DS4262">
        <v>0</v>
      </c>
    </row>
    <row r="4263" spans="1:123" x14ac:dyDescent="0.3">
      <c r="A4263" t="str">
        <f t="shared" si="1572"/>
        <v>10/04/2022 19:37:02.220</v>
      </c>
      <c r="C4263" t="str">
        <f t="shared" si="1550"/>
        <v>FFDFD3C0</v>
      </c>
      <c r="D4263" t="s">
        <v>134</v>
      </c>
      <c r="E4263">
        <v>15</v>
      </c>
      <c r="J4263" t="s">
        <v>135</v>
      </c>
      <c r="K4263">
        <v>0</v>
      </c>
      <c r="L4263">
        <v>3</v>
      </c>
      <c r="M4263">
        <v>0</v>
      </c>
      <c r="N4263">
        <v>2</v>
      </c>
      <c r="O4263">
        <v>0</v>
      </c>
      <c r="P4263">
        <v>1</v>
      </c>
      <c r="Q4263">
        <v>0</v>
      </c>
      <c r="S4263" t="str">
        <f t="shared" si="1570"/>
        <v>19:37:01.000</v>
      </c>
      <c r="T4263" t="str">
        <f t="shared" si="1570"/>
        <v>19:37:01.000</v>
      </c>
      <c r="U4263" t="str">
        <f t="shared" si="1559"/>
        <v>AC3944</v>
      </c>
      <c r="V4263">
        <v>0</v>
      </c>
      <c r="W4263">
        <v>0</v>
      </c>
      <c r="X4263">
        <v>2</v>
      </c>
      <c r="Y4263">
        <v>0</v>
      </c>
      <c r="AA4263">
        <v>1</v>
      </c>
      <c r="AB4263">
        <v>8</v>
      </c>
      <c r="AC4263">
        <v>3</v>
      </c>
      <c r="AD4263">
        <v>0</v>
      </c>
      <c r="AE4263">
        <v>9</v>
      </c>
      <c r="AF4263" t="s">
        <v>138</v>
      </c>
      <c r="AG4263">
        <v>0</v>
      </c>
      <c r="AH4263">
        <v>3</v>
      </c>
      <c r="AI4263">
        <v>1</v>
      </c>
      <c r="AJ4263">
        <v>0</v>
      </c>
      <c r="AK4263" t="s">
        <v>1357</v>
      </c>
      <c r="AL4263">
        <v>32.745694999999998</v>
      </c>
      <c r="AM4263" t="s">
        <v>1358</v>
      </c>
      <c r="AN4263">
        <v>-116.688731</v>
      </c>
      <c r="AO4263">
        <v>25</v>
      </c>
      <c r="AP4263">
        <v>5000</v>
      </c>
      <c r="AQ4263" t="s">
        <v>129</v>
      </c>
      <c r="AR4263">
        <v>-125</v>
      </c>
      <c r="AS4263">
        <v>-71</v>
      </c>
      <c r="AT4263">
        <v>576</v>
      </c>
      <c r="BB4263">
        <v>1200</v>
      </c>
      <c r="BC4263">
        <v>1</v>
      </c>
      <c r="BD4263" t="str">
        <f t="shared" si="1560"/>
        <v xml:space="preserve">N887QR  </v>
      </c>
      <c r="BE4263">
        <v>1</v>
      </c>
      <c r="BG4263">
        <v>0</v>
      </c>
      <c r="BH4263">
        <v>0</v>
      </c>
      <c r="BI4263">
        <v>0</v>
      </c>
      <c r="BJ4263">
        <v>4800</v>
      </c>
      <c r="BK4263">
        <v>-200</v>
      </c>
      <c r="BL4263" t="s">
        <v>163</v>
      </c>
      <c r="BM4263">
        <v>1</v>
      </c>
      <c r="BN4263">
        <v>1</v>
      </c>
      <c r="BO4263">
        <v>1</v>
      </c>
      <c r="BP4263">
        <v>0</v>
      </c>
      <c r="BS4263">
        <v>0</v>
      </c>
      <c r="BT4263">
        <v>0</v>
      </c>
      <c r="BU4263">
        <v>0</v>
      </c>
      <c r="CE4263" t="str">
        <f t="shared" si="1573"/>
        <v>19:37:01.918</v>
      </c>
      <c r="CF4263">
        <v>917879499</v>
      </c>
      <c r="CS4263">
        <v>0</v>
      </c>
      <c r="CT4263">
        <v>2</v>
      </c>
      <c r="CU4263">
        <v>0</v>
      </c>
      <c r="CV4263">
        <v>2</v>
      </c>
      <c r="CW4263">
        <v>0</v>
      </c>
      <c r="CX4263">
        <v>6</v>
      </c>
      <c r="CY4263">
        <v>7</v>
      </c>
      <c r="CZ4263" t="s">
        <v>131</v>
      </c>
      <c r="DA4263">
        <v>286</v>
      </c>
      <c r="DB4263">
        <v>0</v>
      </c>
      <c r="DC4263" t="s">
        <v>132</v>
      </c>
      <c r="DD4263" t="s">
        <v>133</v>
      </c>
      <c r="DG4263">
        <v>907343</v>
      </c>
      <c r="DI4263">
        <v>1</v>
      </c>
      <c r="DJ4263">
        <v>0</v>
      </c>
      <c r="DK4263">
        <v>1</v>
      </c>
      <c r="DL4263">
        <v>0</v>
      </c>
      <c r="DM4263">
        <v>0</v>
      </c>
      <c r="DN4263">
        <v>1</v>
      </c>
      <c r="DO4263">
        <v>0</v>
      </c>
      <c r="DP4263">
        <v>0</v>
      </c>
      <c r="DQ4263">
        <v>0</v>
      </c>
      <c r="DR4263">
        <v>0</v>
      </c>
      <c r="DS4263">
        <v>0</v>
      </c>
    </row>
    <row r="4264" spans="1:123" x14ac:dyDescent="0.3">
      <c r="A4264" t="str">
        <f t="shared" si="1572"/>
        <v>10/04/2022 19:37:02.220</v>
      </c>
      <c r="C4264" t="str">
        <f t="shared" si="1550"/>
        <v>FFDFD3C0</v>
      </c>
      <c r="D4264" t="s">
        <v>141</v>
      </c>
      <c r="E4264">
        <v>4</v>
      </c>
      <c r="H4264">
        <v>4</v>
      </c>
      <c r="I4264" t="s">
        <v>142</v>
      </c>
      <c r="J4264" t="s">
        <v>138</v>
      </c>
      <c r="K4264">
        <v>0</v>
      </c>
      <c r="L4264">
        <v>3</v>
      </c>
      <c r="M4264">
        <v>0</v>
      </c>
      <c r="N4264">
        <v>2</v>
      </c>
      <c r="O4264">
        <v>0</v>
      </c>
      <c r="P4264">
        <v>1</v>
      </c>
      <c r="Q4264">
        <v>0</v>
      </c>
      <c r="S4264" t="str">
        <f t="shared" si="1570"/>
        <v>19:37:01.000</v>
      </c>
      <c r="T4264" t="str">
        <f t="shared" si="1570"/>
        <v>19:37:01.000</v>
      </c>
      <c r="U4264" t="str">
        <f t="shared" si="1559"/>
        <v>AC3944</v>
      </c>
      <c r="V4264">
        <v>0</v>
      </c>
      <c r="W4264">
        <v>0</v>
      </c>
      <c r="X4264">
        <v>2</v>
      </c>
      <c r="Y4264">
        <v>0</v>
      </c>
      <c r="AA4264">
        <v>1</v>
      </c>
      <c r="AB4264">
        <v>8</v>
      </c>
      <c r="AC4264">
        <v>3</v>
      </c>
      <c r="AD4264">
        <v>0</v>
      </c>
      <c r="AE4264">
        <v>9</v>
      </c>
      <c r="AF4264" t="s">
        <v>138</v>
      </c>
      <c r="AG4264">
        <v>0</v>
      </c>
      <c r="AH4264">
        <v>3</v>
      </c>
      <c r="AI4264">
        <v>1</v>
      </c>
      <c r="AJ4264">
        <v>0</v>
      </c>
      <c r="AK4264" t="s">
        <v>1357</v>
      </c>
      <c r="AL4264">
        <v>32.745694999999998</v>
      </c>
      <c r="AM4264" t="s">
        <v>1358</v>
      </c>
      <c r="AN4264">
        <v>-116.688731</v>
      </c>
      <c r="AO4264">
        <v>25</v>
      </c>
      <c r="AP4264">
        <v>5000</v>
      </c>
      <c r="AQ4264" t="s">
        <v>129</v>
      </c>
      <c r="AR4264">
        <v>-125</v>
      </c>
      <c r="AS4264">
        <v>-71</v>
      </c>
      <c r="AT4264">
        <v>576</v>
      </c>
      <c r="BB4264">
        <v>1200</v>
      </c>
      <c r="BC4264">
        <v>1</v>
      </c>
      <c r="BD4264" t="str">
        <f t="shared" si="1560"/>
        <v xml:space="preserve">N887QR  </v>
      </c>
      <c r="BE4264">
        <v>1</v>
      </c>
      <c r="BG4264">
        <v>0</v>
      </c>
      <c r="BH4264">
        <v>0</v>
      </c>
      <c r="BI4264">
        <v>0</v>
      </c>
      <c r="BJ4264">
        <v>4800</v>
      </c>
      <c r="BK4264">
        <v>-200</v>
      </c>
      <c r="BL4264" t="s">
        <v>163</v>
      </c>
      <c r="BM4264">
        <v>1</v>
      </c>
      <c r="BN4264">
        <v>1</v>
      </c>
      <c r="BO4264">
        <v>1</v>
      </c>
      <c r="BP4264">
        <v>0</v>
      </c>
      <c r="BS4264">
        <v>0</v>
      </c>
      <c r="BT4264">
        <v>0</v>
      </c>
      <c r="BU4264">
        <v>0</v>
      </c>
      <c r="CE4264" t="str">
        <f t="shared" si="1573"/>
        <v>19:37:01.918</v>
      </c>
      <c r="CF4264">
        <v>917879499</v>
      </c>
      <c r="CS4264">
        <v>0</v>
      </c>
      <c r="CT4264">
        <v>2</v>
      </c>
      <c r="CU4264">
        <v>0</v>
      </c>
      <c r="CV4264">
        <v>2</v>
      </c>
      <c r="CW4264">
        <v>0</v>
      </c>
      <c r="CX4264">
        <v>6</v>
      </c>
      <c r="CY4264">
        <v>7</v>
      </c>
      <c r="CZ4264" t="s">
        <v>131</v>
      </c>
      <c r="DA4264">
        <v>286</v>
      </c>
      <c r="DB4264">
        <v>0</v>
      </c>
      <c r="DC4264" t="s">
        <v>132</v>
      </c>
      <c r="DD4264" t="s">
        <v>133</v>
      </c>
      <c r="DG4264">
        <v>907343</v>
      </c>
      <c r="DI4264">
        <v>1</v>
      </c>
      <c r="DJ4264">
        <v>0</v>
      </c>
      <c r="DK4264">
        <v>1</v>
      </c>
      <c r="DL4264">
        <v>0</v>
      </c>
      <c r="DM4264">
        <v>0</v>
      </c>
      <c r="DN4264">
        <v>1</v>
      </c>
      <c r="DO4264">
        <v>0</v>
      </c>
      <c r="DP4264">
        <v>0</v>
      </c>
      <c r="DQ4264">
        <v>0</v>
      </c>
      <c r="DR4264">
        <v>0</v>
      </c>
      <c r="DS4264">
        <v>0</v>
      </c>
    </row>
    <row r="4265" spans="1:123" x14ac:dyDescent="0.3">
      <c r="A4265" t="str">
        <f t="shared" si="1572"/>
        <v>10/04/2022 19:37:02.220</v>
      </c>
      <c r="C4265" t="str">
        <f t="shared" si="1550"/>
        <v>FFDFD3C0</v>
      </c>
      <c r="D4265" t="s">
        <v>147</v>
      </c>
      <c r="E4265">
        <v>3</v>
      </c>
      <c r="H4265">
        <v>166</v>
      </c>
      <c r="I4265" t="s">
        <v>144</v>
      </c>
      <c r="J4265" t="s">
        <v>148</v>
      </c>
      <c r="K4265">
        <v>0</v>
      </c>
      <c r="L4265">
        <v>3</v>
      </c>
      <c r="M4265">
        <v>0</v>
      </c>
      <c r="N4265">
        <v>2</v>
      </c>
      <c r="O4265">
        <v>0</v>
      </c>
      <c r="P4265">
        <v>1</v>
      </c>
      <c r="Q4265">
        <v>0</v>
      </c>
      <c r="S4265" t="str">
        <f t="shared" si="1570"/>
        <v>19:37:01.000</v>
      </c>
      <c r="T4265" t="str">
        <f t="shared" si="1570"/>
        <v>19:37:01.000</v>
      </c>
      <c r="U4265" t="str">
        <f t="shared" si="1559"/>
        <v>AC3944</v>
      </c>
      <c r="V4265">
        <v>0</v>
      </c>
      <c r="W4265">
        <v>0</v>
      </c>
      <c r="X4265">
        <v>2</v>
      </c>
      <c r="Y4265">
        <v>0</v>
      </c>
      <c r="AA4265">
        <v>1</v>
      </c>
      <c r="AB4265">
        <v>8</v>
      </c>
      <c r="AC4265">
        <v>3</v>
      </c>
      <c r="AD4265">
        <v>0</v>
      </c>
      <c r="AE4265">
        <v>9</v>
      </c>
      <c r="AF4265" t="s">
        <v>138</v>
      </c>
      <c r="AG4265">
        <v>0</v>
      </c>
      <c r="AH4265">
        <v>3</v>
      </c>
      <c r="AI4265">
        <v>1</v>
      </c>
      <c r="AJ4265">
        <v>0</v>
      </c>
      <c r="AK4265" t="s">
        <v>1357</v>
      </c>
      <c r="AL4265">
        <v>32.745694999999998</v>
      </c>
      <c r="AM4265" t="s">
        <v>1358</v>
      </c>
      <c r="AN4265">
        <v>-116.688731</v>
      </c>
      <c r="AO4265">
        <v>25</v>
      </c>
      <c r="AP4265">
        <v>5000</v>
      </c>
      <c r="AQ4265" t="s">
        <v>129</v>
      </c>
      <c r="AR4265">
        <v>-125</v>
      </c>
      <c r="AS4265">
        <v>-71</v>
      </c>
      <c r="AT4265">
        <v>576</v>
      </c>
      <c r="BB4265">
        <v>1200</v>
      </c>
      <c r="BC4265">
        <v>1</v>
      </c>
      <c r="BD4265" t="str">
        <f t="shared" si="1560"/>
        <v xml:space="preserve">N887QR  </v>
      </c>
      <c r="BE4265">
        <v>1</v>
      </c>
      <c r="BG4265">
        <v>0</v>
      </c>
      <c r="BH4265">
        <v>0</v>
      </c>
      <c r="BI4265">
        <v>0</v>
      </c>
      <c r="BJ4265">
        <v>4800</v>
      </c>
      <c r="BK4265">
        <v>-200</v>
      </c>
      <c r="BL4265" t="s">
        <v>163</v>
      </c>
      <c r="BM4265">
        <v>1</v>
      </c>
      <c r="BN4265">
        <v>1</v>
      </c>
      <c r="BO4265">
        <v>1</v>
      </c>
      <c r="BP4265">
        <v>0</v>
      </c>
      <c r="BS4265">
        <v>0</v>
      </c>
      <c r="BT4265">
        <v>0</v>
      </c>
      <c r="BU4265">
        <v>0</v>
      </c>
      <c r="CE4265" t="str">
        <f t="shared" si="1573"/>
        <v>19:37:01.918</v>
      </c>
      <c r="CF4265">
        <v>917879499</v>
      </c>
      <c r="CS4265">
        <v>0</v>
      </c>
      <c r="CT4265">
        <v>2</v>
      </c>
      <c r="CU4265">
        <v>0</v>
      </c>
      <c r="CV4265">
        <v>2</v>
      </c>
      <c r="CW4265">
        <v>0</v>
      </c>
      <c r="CX4265">
        <v>6</v>
      </c>
      <c r="CY4265">
        <v>7</v>
      </c>
      <c r="CZ4265" t="s">
        <v>131</v>
      </c>
      <c r="DA4265">
        <v>286</v>
      </c>
      <c r="DB4265">
        <v>0</v>
      </c>
      <c r="DC4265" t="s">
        <v>132</v>
      </c>
      <c r="DD4265" t="s">
        <v>133</v>
      </c>
      <c r="DG4265">
        <v>907343</v>
      </c>
      <c r="DI4265">
        <v>1</v>
      </c>
      <c r="DJ4265">
        <v>0</v>
      </c>
      <c r="DK4265">
        <v>1</v>
      </c>
      <c r="DL4265">
        <v>0</v>
      </c>
      <c r="DM4265">
        <v>0</v>
      </c>
      <c r="DN4265">
        <v>1</v>
      </c>
      <c r="DO4265">
        <v>0</v>
      </c>
      <c r="DP4265">
        <v>0</v>
      </c>
      <c r="DQ4265">
        <v>0</v>
      </c>
      <c r="DR4265">
        <v>0</v>
      </c>
      <c r="DS4265">
        <v>0</v>
      </c>
    </row>
    <row r="4266" spans="1:123" x14ac:dyDescent="0.3">
      <c r="A4266" t="str">
        <f t="shared" si="1572"/>
        <v>10/04/2022 19:37:02.220</v>
      </c>
      <c r="C4266" t="str">
        <f t="shared" si="1550"/>
        <v>FFDFD3C0</v>
      </c>
      <c r="D4266" t="s">
        <v>141</v>
      </c>
      <c r="E4266">
        <v>3</v>
      </c>
      <c r="H4266">
        <v>3</v>
      </c>
      <c r="I4266" t="s">
        <v>146</v>
      </c>
      <c r="J4266" t="s">
        <v>138</v>
      </c>
      <c r="K4266">
        <v>0</v>
      </c>
      <c r="L4266">
        <v>3</v>
      </c>
      <c r="M4266">
        <v>0</v>
      </c>
      <c r="N4266">
        <v>2</v>
      </c>
      <c r="O4266">
        <v>0</v>
      </c>
      <c r="P4266">
        <v>1</v>
      </c>
      <c r="Q4266">
        <v>0</v>
      </c>
      <c r="S4266" t="str">
        <f t="shared" si="1570"/>
        <v>19:37:01.000</v>
      </c>
      <c r="T4266" t="str">
        <f t="shared" si="1570"/>
        <v>19:37:01.000</v>
      </c>
      <c r="U4266" t="str">
        <f t="shared" si="1559"/>
        <v>AC3944</v>
      </c>
      <c r="V4266">
        <v>0</v>
      </c>
      <c r="W4266">
        <v>0</v>
      </c>
      <c r="X4266">
        <v>2</v>
      </c>
      <c r="Y4266">
        <v>0</v>
      </c>
      <c r="AA4266">
        <v>1</v>
      </c>
      <c r="AB4266">
        <v>8</v>
      </c>
      <c r="AC4266">
        <v>3</v>
      </c>
      <c r="AD4266">
        <v>0</v>
      </c>
      <c r="AE4266">
        <v>9</v>
      </c>
      <c r="AF4266" t="s">
        <v>138</v>
      </c>
      <c r="AG4266">
        <v>0</v>
      </c>
      <c r="AH4266">
        <v>3</v>
      </c>
      <c r="AI4266">
        <v>1</v>
      </c>
      <c r="AJ4266">
        <v>0</v>
      </c>
      <c r="AK4266" t="s">
        <v>1357</v>
      </c>
      <c r="AL4266">
        <v>32.745694999999998</v>
      </c>
      <c r="AM4266" t="s">
        <v>1358</v>
      </c>
      <c r="AN4266">
        <v>-116.688731</v>
      </c>
      <c r="AO4266">
        <v>25</v>
      </c>
      <c r="AP4266">
        <v>5000</v>
      </c>
      <c r="AQ4266" t="s">
        <v>129</v>
      </c>
      <c r="AR4266">
        <v>-125</v>
      </c>
      <c r="AS4266">
        <v>-71</v>
      </c>
      <c r="AT4266">
        <v>576</v>
      </c>
      <c r="BB4266">
        <v>1200</v>
      </c>
      <c r="BC4266">
        <v>1</v>
      </c>
      <c r="BD4266" t="str">
        <f t="shared" si="1560"/>
        <v xml:space="preserve">N887QR  </v>
      </c>
      <c r="BE4266">
        <v>1</v>
      </c>
      <c r="BG4266">
        <v>0</v>
      </c>
      <c r="BH4266">
        <v>0</v>
      </c>
      <c r="BI4266">
        <v>0</v>
      </c>
      <c r="BJ4266">
        <v>4800</v>
      </c>
      <c r="BK4266">
        <v>-200</v>
      </c>
      <c r="BL4266" t="s">
        <v>163</v>
      </c>
      <c r="BM4266">
        <v>1</v>
      </c>
      <c r="BN4266">
        <v>1</v>
      </c>
      <c r="BO4266">
        <v>1</v>
      </c>
      <c r="BP4266">
        <v>0</v>
      </c>
      <c r="BS4266">
        <v>0</v>
      </c>
      <c r="BT4266">
        <v>0</v>
      </c>
      <c r="BU4266">
        <v>0</v>
      </c>
      <c r="CE4266" t="str">
        <f t="shared" si="1573"/>
        <v>19:37:01.918</v>
      </c>
      <c r="CF4266">
        <v>917879499</v>
      </c>
      <c r="CS4266">
        <v>0</v>
      </c>
      <c r="CT4266">
        <v>2</v>
      </c>
      <c r="CU4266">
        <v>0</v>
      </c>
      <c r="CV4266">
        <v>2</v>
      </c>
      <c r="CW4266">
        <v>0</v>
      </c>
      <c r="CX4266">
        <v>6</v>
      </c>
      <c r="CY4266">
        <v>7</v>
      </c>
      <c r="CZ4266" t="s">
        <v>131</v>
      </c>
      <c r="DA4266">
        <v>286</v>
      </c>
      <c r="DB4266">
        <v>0</v>
      </c>
      <c r="DC4266" t="s">
        <v>132</v>
      </c>
      <c r="DD4266" t="s">
        <v>133</v>
      </c>
      <c r="DG4266">
        <v>907343</v>
      </c>
      <c r="DI4266">
        <v>1</v>
      </c>
      <c r="DJ4266">
        <v>0</v>
      </c>
      <c r="DK4266">
        <v>1</v>
      </c>
      <c r="DL4266">
        <v>0</v>
      </c>
      <c r="DM4266">
        <v>0</v>
      </c>
      <c r="DN4266">
        <v>1</v>
      </c>
      <c r="DO4266">
        <v>0</v>
      </c>
      <c r="DP4266">
        <v>0</v>
      </c>
      <c r="DQ4266">
        <v>0</v>
      </c>
      <c r="DR4266">
        <v>0</v>
      </c>
      <c r="DS4266">
        <v>0</v>
      </c>
    </row>
    <row r="4267" spans="1:123" x14ac:dyDescent="0.3">
      <c r="A4267" t="str">
        <f t="shared" si="1572"/>
        <v>10/04/2022 19:37:02.220</v>
      </c>
      <c r="C4267" t="str">
        <f t="shared" ref="C4267:C4330" si="1574">"FFDFD3C0"</f>
        <v>FFDFD3C0</v>
      </c>
      <c r="D4267" t="s">
        <v>143</v>
      </c>
      <c r="E4267">
        <v>20</v>
      </c>
      <c r="F4267">
        <v>1020</v>
      </c>
      <c r="G4267" t="s">
        <v>144</v>
      </c>
      <c r="J4267" t="s">
        <v>145</v>
      </c>
      <c r="K4267">
        <v>0</v>
      </c>
      <c r="L4267">
        <v>3</v>
      </c>
      <c r="M4267">
        <v>0</v>
      </c>
      <c r="N4267">
        <v>2</v>
      </c>
      <c r="O4267">
        <v>0</v>
      </c>
      <c r="P4267">
        <v>1</v>
      </c>
      <c r="Q4267">
        <v>0</v>
      </c>
      <c r="S4267" t="str">
        <f t="shared" si="1570"/>
        <v>19:37:01.000</v>
      </c>
      <c r="T4267" t="str">
        <f t="shared" si="1570"/>
        <v>19:37:01.000</v>
      </c>
      <c r="U4267" t="str">
        <f t="shared" si="1559"/>
        <v>AC3944</v>
      </c>
      <c r="V4267">
        <v>0</v>
      </c>
      <c r="W4267">
        <v>0</v>
      </c>
      <c r="X4267">
        <v>2</v>
      </c>
      <c r="Y4267">
        <v>0</v>
      </c>
      <c r="AA4267">
        <v>1</v>
      </c>
      <c r="AB4267">
        <v>8</v>
      </c>
      <c r="AC4267">
        <v>3</v>
      </c>
      <c r="AD4267">
        <v>0</v>
      </c>
      <c r="AE4267">
        <v>9</v>
      </c>
      <c r="AF4267" t="s">
        <v>138</v>
      </c>
      <c r="AG4267">
        <v>0</v>
      </c>
      <c r="AH4267">
        <v>3</v>
      </c>
      <c r="AI4267">
        <v>1</v>
      </c>
      <c r="AJ4267">
        <v>0</v>
      </c>
      <c r="AK4267" t="s">
        <v>1357</v>
      </c>
      <c r="AL4267">
        <v>32.745694999999998</v>
      </c>
      <c r="AM4267" t="s">
        <v>1358</v>
      </c>
      <c r="AN4267">
        <v>-116.688731</v>
      </c>
      <c r="AO4267">
        <v>25</v>
      </c>
      <c r="AP4267">
        <v>5000</v>
      </c>
      <c r="AQ4267" t="s">
        <v>129</v>
      </c>
      <c r="AR4267">
        <v>-125</v>
      </c>
      <c r="AS4267">
        <v>-71</v>
      </c>
      <c r="AT4267">
        <v>576</v>
      </c>
      <c r="BB4267">
        <v>1200</v>
      </c>
      <c r="BC4267">
        <v>1</v>
      </c>
      <c r="BD4267" t="str">
        <f t="shared" si="1560"/>
        <v xml:space="preserve">N887QR  </v>
      </c>
      <c r="BE4267">
        <v>1</v>
      </c>
      <c r="BG4267">
        <v>0</v>
      </c>
      <c r="BH4267">
        <v>0</v>
      </c>
      <c r="BI4267">
        <v>0</v>
      </c>
      <c r="BJ4267">
        <v>4800</v>
      </c>
      <c r="BK4267">
        <v>-200</v>
      </c>
      <c r="BL4267" t="s">
        <v>163</v>
      </c>
      <c r="BM4267">
        <v>1</v>
      </c>
      <c r="BN4267">
        <v>1</v>
      </c>
      <c r="BO4267">
        <v>1</v>
      </c>
      <c r="BP4267">
        <v>0</v>
      </c>
      <c r="BS4267">
        <v>0</v>
      </c>
      <c r="BT4267">
        <v>0</v>
      </c>
      <c r="BU4267">
        <v>0</v>
      </c>
      <c r="CE4267" t="str">
        <f t="shared" si="1573"/>
        <v>19:37:01.918</v>
      </c>
      <c r="CF4267">
        <v>917879499</v>
      </c>
      <c r="CS4267">
        <v>0</v>
      </c>
      <c r="CT4267">
        <v>2</v>
      </c>
      <c r="CU4267">
        <v>0</v>
      </c>
      <c r="CV4267">
        <v>2</v>
      </c>
      <c r="CW4267">
        <v>0</v>
      </c>
      <c r="CX4267">
        <v>6</v>
      </c>
      <c r="CY4267">
        <v>7</v>
      </c>
      <c r="CZ4267" t="s">
        <v>131</v>
      </c>
      <c r="DA4267">
        <v>286</v>
      </c>
      <c r="DB4267">
        <v>0</v>
      </c>
      <c r="DC4267" t="s">
        <v>132</v>
      </c>
      <c r="DD4267" t="s">
        <v>133</v>
      </c>
      <c r="DG4267">
        <v>907343</v>
      </c>
      <c r="DI4267">
        <v>1</v>
      </c>
      <c r="DJ4267">
        <v>0</v>
      </c>
      <c r="DK4267">
        <v>1</v>
      </c>
      <c r="DL4267">
        <v>0</v>
      </c>
      <c r="DM4267">
        <v>0</v>
      </c>
      <c r="DN4267">
        <v>1</v>
      </c>
      <c r="DO4267">
        <v>0</v>
      </c>
      <c r="DP4267">
        <v>0</v>
      </c>
      <c r="DQ4267">
        <v>0</v>
      </c>
      <c r="DR4267">
        <v>0</v>
      </c>
      <c r="DS4267">
        <v>0</v>
      </c>
    </row>
    <row r="4268" spans="1:123" x14ac:dyDescent="0.3">
      <c r="A4268" t="str">
        <f>"10/04/2022 19:37:03.783"</f>
        <v>10/04/2022 19:37:03.783</v>
      </c>
      <c r="C4268" t="str">
        <f t="shared" si="1574"/>
        <v>FFDFD3C0</v>
      </c>
      <c r="D4268" t="s">
        <v>123</v>
      </c>
      <c r="E4268">
        <v>7</v>
      </c>
      <c r="F4268">
        <v>2007</v>
      </c>
      <c r="G4268" t="s">
        <v>124</v>
      </c>
      <c r="J4268" t="s">
        <v>125</v>
      </c>
      <c r="K4268">
        <v>0</v>
      </c>
      <c r="L4268">
        <v>3</v>
      </c>
      <c r="M4268">
        <v>0</v>
      </c>
      <c r="N4268">
        <v>2</v>
      </c>
      <c r="O4268">
        <v>0</v>
      </c>
      <c r="P4268">
        <v>1</v>
      </c>
      <c r="Q4268">
        <v>0</v>
      </c>
      <c r="S4268" t="str">
        <f t="shared" ref="S4268:T4281" si="1575">"19:37:03.000"</f>
        <v>19:37:03.000</v>
      </c>
      <c r="T4268" t="str">
        <f t="shared" si="1575"/>
        <v>19:37:03.000</v>
      </c>
      <c r="U4268" t="str">
        <f t="shared" si="1559"/>
        <v>AC3944</v>
      </c>
      <c r="V4268">
        <v>0</v>
      </c>
      <c r="W4268">
        <v>0</v>
      </c>
      <c r="X4268">
        <v>2</v>
      </c>
      <c r="Y4268">
        <v>0</v>
      </c>
      <c r="AA4268">
        <v>1</v>
      </c>
      <c r="AB4268">
        <v>8</v>
      </c>
      <c r="AC4268">
        <v>3</v>
      </c>
      <c r="AD4268">
        <v>0</v>
      </c>
      <c r="AE4268">
        <v>9</v>
      </c>
      <c r="AF4268" t="s">
        <v>138</v>
      </c>
      <c r="AG4268">
        <v>0</v>
      </c>
      <c r="AH4268">
        <v>3</v>
      </c>
      <c r="AI4268">
        <v>1</v>
      </c>
      <c r="AJ4268">
        <v>0</v>
      </c>
      <c r="AK4268" t="s">
        <v>1359</v>
      </c>
      <c r="AL4268">
        <v>32.745415999999999</v>
      </c>
      <c r="AM4268" t="s">
        <v>1360</v>
      </c>
      <c r="AN4268">
        <v>-116.689289</v>
      </c>
      <c r="AO4268">
        <v>25</v>
      </c>
      <c r="AP4268">
        <v>5000</v>
      </c>
      <c r="AQ4268" t="s">
        <v>129</v>
      </c>
      <c r="AR4268">
        <v>-120</v>
      </c>
      <c r="AS4268">
        <v>-83</v>
      </c>
      <c r="AT4268">
        <v>192</v>
      </c>
      <c r="BB4268">
        <v>1200</v>
      </c>
      <c r="BC4268">
        <v>1</v>
      </c>
      <c r="BD4268" t="str">
        <f t="shared" si="1560"/>
        <v xml:space="preserve">N887QR  </v>
      </c>
      <c r="BE4268">
        <v>1</v>
      </c>
      <c r="BG4268">
        <v>0</v>
      </c>
      <c r="BH4268">
        <v>0</v>
      </c>
      <c r="BI4268">
        <v>0</v>
      </c>
      <c r="BJ4268">
        <v>4775</v>
      </c>
      <c r="BK4268">
        <v>-225</v>
      </c>
      <c r="BL4268" t="s">
        <v>163</v>
      </c>
      <c r="BM4268">
        <v>1</v>
      </c>
      <c r="BN4268">
        <v>1</v>
      </c>
      <c r="BO4268">
        <v>1</v>
      </c>
      <c r="BP4268">
        <v>0</v>
      </c>
      <c r="BS4268">
        <v>0</v>
      </c>
      <c r="BT4268">
        <v>0</v>
      </c>
      <c r="BU4268">
        <v>0</v>
      </c>
      <c r="CE4268" t="str">
        <f t="shared" ref="CE4268:CE4274" si="1576">"19:37:03.502"</f>
        <v>19:37:03.502</v>
      </c>
      <c r="CF4268">
        <v>501634222</v>
      </c>
      <c r="CS4268">
        <v>0</v>
      </c>
      <c r="CT4268">
        <v>2</v>
      </c>
      <c r="CU4268">
        <v>0</v>
      </c>
      <c r="CV4268">
        <v>2</v>
      </c>
      <c r="CW4268">
        <v>0</v>
      </c>
      <c r="CX4268">
        <v>6</v>
      </c>
      <c r="CY4268">
        <v>7</v>
      </c>
      <c r="CZ4268" t="s">
        <v>131</v>
      </c>
      <c r="DA4268">
        <v>286</v>
      </c>
      <c r="DB4268">
        <v>0</v>
      </c>
      <c r="DC4268" t="s">
        <v>132</v>
      </c>
      <c r="DD4268" t="s">
        <v>133</v>
      </c>
      <c r="DG4268">
        <v>907640</v>
      </c>
      <c r="DI4268">
        <v>1</v>
      </c>
      <c r="DJ4268">
        <v>0</v>
      </c>
      <c r="DK4268">
        <v>0</v>
      </c>
      <c r="DL4268">
        <v>0</v>
      </c>
      <c r="DM4268">
        <v>0</v>
      </c>
      <c r="DN4268">
        <v>1</v>
      </c>
      <c r="DO4268">
        <v>0</v>
      </c>
      <c r="DP4268">
        <v>0</v>
      </c>
      <c r="DQ4268">
        <v>0</v>
      </c>
      <c r="DR4268">
        <v>0</v>
      </c>
      <c r="DS4268">
        <v>0</v>
      </c>
    </row>
    <row r="4269" spans="1:123" x14ac:dyDescent="0.3">
      <c r="A4269" t="str">
        <f>"10/04/2022 19:37:03.783"</f>
        <v>10/04/2022 19:37:03.783</v>
      </c>
      <c r="C4269" t="str">
        <f t="shared" si="1574"/>
        <v>FFDFD3C0</v>
      </c>
      <c r="D4269" t="s">
        <v>141</v>
      </c>
      <c r="E4269">
        <v>4</v>
      </c>
      <c r="H4269">
        <v>4</v>
      </c>
      <c r="I4269" t="s">
        <v>142</v>
      </c>
      <c r="J4269" t="s">
        <v>138</v>
      </c>
      <c r="K4269">
        <v>0</v>
      </c>
      <c r="L4269">
        <v>3</v>
      </c>
      <c r="M4269">
        <v>0</v>
      </c>
      <c r="N4269">
        <v>2</v>
      </c>
      <c r="O4269">
        <v>0</v>
      </c>
      <c r="P4269">
        <v>1</v>
      </c>
      <c r="Q4269">
        <v>0</v>
      </c>
      <c r="S4269" t="str">
        <f t="shared" si="1575"/>
        <v>19:37:03.000</v>
      </c>
      <c r="T4269" t="str">
        <f t="shared" si="1575"/>
        <v>19:37:03.000</v>
      </c>
      <c r="U4269" t="str">
        <f t="shared" si="1559"/>
        <v>AC3944</v>
      </c>
      <c r="V4269">
        <v>0</v>
      </c>
      <c r="W4269">
        <v>0</v>
      </c>
      <c r="X4269">
        <v>2</v>
      </c>
      <c r="Y4269">
        <v>0</v>
      </c>
      <c r="AA4269">
        <v>1</v>
      </c>
      <c r="AB4269">
        <v>8</v>
      </c>
      <c r="AC4269">
        <v>3</v>
      </c>
      <c r="AD4269">
        <v>0</v>
      </c>
      <c r="AE4269">
        <v>9</v>
      </c>
      <c r="AF4269" t="s">
        <v>138</v>
      </c>
      <c r="AG4269">
        <v>0</v>
      </c>
      <c r="AH4269">
        <v>3</v>
      </c>
      <c r="AI4269">
        <v>1</v>
      </c>
      <c r="AJ4269">
        <v>0</v>
      </c>
      <c r="AK4269" t="s">
        <v>1359</v>
      </c>
      <c r="AL4269">
        <v>32.745415999999999</v>
      </c>
      <c r="AM4269" t="s">
        <v>1360</v>
      </c>
      <c r="AN4269">
        <v>-116.689289</v>
      </c>
      <c r="AO4269">
        <v>25</v>
      </c>
      <c r="AP4269">
        <v>5000</v>
      </c>
      <c r="AQ4269" t="s">
        <v>129</v>
      </c>
      <c r="AR4269">
        <v>-120</v>
      </c>
      <c r="AS4269">
        <v>-83</v>
      </c>
      <c r="AT4269">
        <v>192</v>
      </c>
      <c r="BB4269">
        <v>1200</v>
      </c>
      <c r="BC4269">
        <v>1</v>
      </c>
      <c r="BD4269" t="str">
        <f t="shared" si="1560"/>
        <v xml:space="preserve">N887QR  </v>
      </c>
      <c r="BE4269">
        <v>1</v>
      </c>
      <c r="BG4269">
        <v>0</v>
      </c>
      <c r="BH4269">
        <v>0</v>
      </c>
      <c r="BI4269">
        <v>0</v>
      </c>
      <c r="BJ4269">
        <v>4775</v>
      </c>
      <c r="BK4269">
        <v>-225</v>
      </c>
      <c r="BL4269" t="s">
        <v>163</v>
      </c>
      <c r="BM4269">
        <v>1</v>
      </c>
      <c r="BN4269">
        <v>1</v>
      </c>
      <c r="BO4269">
        <v>1</v>
      </c>
      <c r="BP4269">
        <v>0</v>
      </c>
      <c r="BS4269">
        <v>0</v>
      </c>
      <c r="BT4269">
        <v>0</v>
      </c>
      <c r="BU4269">
        <v>0</v>
      </c>
      <c r="CE4269" t="str">
        <f t="shared" si="1576"/>
        <v>19:37:03.502</v>
      </c>
      <c r="CF4269">
        <v>501634222</v>
      </c>
      <c r="CS4269">
        <v>0</v>
      </c>
      <c r="CT4269">
        <v>2</v>
      </c>
      <c r="CU4269">
        <v>0</v>
      </c>
      <c r="CV4269">
        <v>2</v>
      </c>
      <c r="CW4269">
        <v>0</v>
      </c>
      <c r="CX4269">
        <v>6</v>
      </c>
      <c r="CY4269">
        <v>7</v>
      </c>
      <c r="CZ4269" t="s">
        <v>131</v>
      </c>
      <c r="DA4269">
        <v>286</v>
      </c>
      <c r="DB4269">
        <v>0</v>
      </c>
      <c r="DC4269" t="s">
        <v>132</v>
      </c>
      <c r="DD4269" t="s">
        <v>133</v>
      </c>
      <c r="DG4269">
        <v>907640</v>
      </c>
      <c r="DI4269">
        <v>1</v>
      </c>
      <c r="DJ4269">
        <v>0</v>
      </c>
      <c r="DK4269">
        <v>1</v>
      </c>
      <c r="DL4269">
        <v>0</v>
      </c>
      <c r="DM4269">
        <v>0</v>
      </c>
      <c r="DN4269">
        <v>1</v>
      </c>
      <c r="DO4269">
        <v>0</v>
      </c>
      <c r="DP4269">
        <v>0</v>
      </c>
      <c r="DQ4269">
        <v>0</v>
      </c>
      <c r="DR4269">
        <v>0</v>
      </c>
      <c r="DS4269">
        <v>0</v>
      </c>
    </row>
    <row r="4270" spans="1:123" x14ac:dyDescent="0.3">
      <c r="A4270" t="str">
        <f>"10/04/2022 19:37:03.783"</f>
        <v>10/04/2022 19:37:03.783</v>
      </c>
      <c r="C4270" t="str">
        <f t="shared" si="1574"/>
        <v>FFDFD3C0</v>
      </c>
      <c r="D4270" t="s">
        <v>134</v>
      </c>
      <c r="E4270">
        <v>15</v>
      </c>
      <c r="J4270" t="s">
        <v>135</v>
      </c>
      <c r="K4270">
        <v>0</v>
      </c>
      <c r="L4270">
        <v>3</v>
      </c>
      <c r="M4270">
        <v>0</v>
      </c>
      <c r="N4270">
        <v>2</v>
      </c>
      <c r="O4270">
        <v>0</v>
      </c>
      <c r="P4270">
        <v>1</v>
      </c>
      <c r="Q4270">
        <v>0</v>
      </c>
      <c r="S4270" t="str">
        <f t="shared" si="1575"/>
        <v>19:37:03.000</v>
      </c>
      <c r="T4270" t="str">
        <f t="shared" si="1575"/>
        <v>19:37:03.000</v>
      </c>
      <c r="U4270" t="str">
        <f t="shared" si="1559"/>
        <v>AC3944</v>
      </c>
      <c r="V4270">
        <v>0</v>
      </c>
      <c r="W4270">
        <v>0</v>
      </c>
      <c r="X4270">
        <v>2</v>
      </c>
      <c r="Y4270">
        <v>0</v>
      </c>
      <c r="AA4270">
        <v>1</v>
      </c>
      <c r="AB4270">
        <v>8</v>
      </c>
      <c r="AC4270">
        <v>3</v>
      </c>
      <c r="AD4270">
        <v>0</v>
      </c>
      <c r="AE4270">
        <v>9</v>
      </c>
      <c r="AF4270" t="s">
        <v>138</v>
      </c>
      <c r="AG4270">
        <v>0</v>
      </c>
      <c r="AH4270">
        <v>3</v>
      </c>
      <c r="AI4270">
        <v>1</v>
      </c>
      <c r="AJ4270">
        <v>0</v>
      </c>
      <c r="AK4270" t="s">
        <v>1359</v>
      </c>
      <c r="AL4270">
        <v>32.745415999999999</v>
      </c>
      <c r="AM4270" t="s">
        <v>1360</v>
      </c>
      <c r="AN4270">
        <v>-116.689289</v>
      </c>
      <c r="AO4270">
        <v>25</v>
      </c>
      <c r="AP4270">
        <v>5000</v>
      </c>
      <c r="AQ4270" t="s">
        <v>129</v>
      </c>
      <c r="AR4270">
        <v>-120</v>
      </c>
      <c r="AS4270">
        <v>-83</v>
      </c>
      <c r="AT4270">
        <v>192</v>
      </c>
      <c r="BB4270">
        <v>1200</v>
      </c>
      <c r="BC4270">
        <v>1</v>
      </c>
      <c r="BD4270" t="str">
        <f t="shared" si="1560"/>
        <v xml:space="preserve">N887QR  </v>
      </c>
      <c r="BE4270">
        <v>1</v>
      </c>
      <c r="BG4270">
        <v>0</v>
      </c>
      <c r="BH4270">
        <v>0</v>
      </c>
      <c r="BI4270">
        <v>0</v>
      </c>
      <c r="BJ4270">
        <v>4775</v>
      </c>
      <c r="BK4270">
        <v>-225</v>
      </c>
      <c r="BL4270" t="s">
        <v>163</v>
      </c>
      <c r="BM4270">
        <v>1</v>
      </c>
      <c r="BN4270">
        <v>1</v>
      </c>
      <c r="BO4270">
        <v>1</v>
      </c>
      <c r="BP4270">
        <v>0</v>
      </c>
      <c r="BS4270">
        <v>0</v>
      </c>
      <c r="BT4270">
        <v>0</v>
      </c>
      <c r="BU4270">
        <v>0</v>
      </c>
      <c r="CE4270" t="str">
        <f t="shared" si="1576"/>
        <v>19:37:03.502</v>
      </c>
      <c r="CF4270">
        <v>501634222</v>
      </c>
      <c r="CS4270">
        <v>0</v>
      </c>
      <c r="CT4270">
        <v>2</v>
      </c>
      <c r="CU4270">
        <v>0</v>
      </c>
      <c r="CV4270">
        <v>2</v>
      </c>
      <c r="CW4270">
        <v>0</v>
      </c>
      <c r="CX4270">
        <v>6</v>
      </c>
      <c r="CY4270">
        <v>7</v>
      </c>
      <c r="CZ4270" t="s">
        <v>131</v>
      </c>
      <c r="DA4270">
        <v>286</v>
      </c>
      <c r="DB4270">
        <v>0</v>
      </c>
      <c r="DC4270" t="s">
        <v>132</v>
      </c>
      <c r="DD4270" t="s">
        <v>133</v>
      </c>
      <c r="DG4270">
        <v>907640</v>
      </c>
      <c r="DI4270">
        <v>1</v>
      </c>
      <c r="DJ4270">
        <v>0</v>
      </c>
      <c r="DK4270">
        <v>1</v>
      </c>
      <c r="DL4270">
        <v>0</v>
      </c>
      <c r="DM4270">
        <v>0</v>
      </c>
      <c r="DN4270">
        <v>1</v>
      </c>
      <c r="DO4270">
        <v>0</v>
      </c>
      <c r="DP4270">
        <v>0</v>
      </c>
      <c r="DQ4270">
        <v>0</v>
      </c>
      <c r="DR4270">
        <v>0</v>
      </c>
      <c r="DS4270">
        <v>0</v>
      </c>
    </row>
    <row r="4271" spans="1:123" x14ac:dyDescent="0.3">
      <c r="A4271" t="str">
        <f>"10/04/2022 19:37:03.783"</f>
        <v>10/04/2022 19:37:03.783</v>
      </c>
      <c r="C4271" t="str">
        <f t="shared" si="1574"/>
        <v>FFDFD3C0</v>
      </c>
      <c r="D4271" t="s">
        <v>147</v>
      </c>
      <c r="E4271">
        <v>3</v>
      </c>
      <c r="H4271">
        <v>166</v>
      </c>
      <c r="I4271" t="s">
        <v>144</v>
      </c>
      <c r="J4271" t="s">
        <v>148</v>
      </c>
      <c r="K4271">
        <v>0</v>
      </c>
      <c r="L4271">
        <v>3</v>
      </c>
      <c r="M4271">
        <v>0</v>
      </c>
      <c r="N4271">
        <v>2</v>
      </c>
      <c r="O4271">
        <v>0</v>
      </c>
      <c r="P4271">
        <v>1</v>
      </c>
      <c r="Q4271">
        <v>0</v>
      </c>
      <c r="S4271" t="str">
        <f t="shared" si="1575"/>
        <v>19:37:03.000</v>
      </c>
      <c r="T4271" t="str">
        <f t="shared" si="1575"/>
        <v>19:37:03.000</v>
      </c>
      <c r="U4271" t="str">
        <f t="shared" si="1559"/>
        <v>AC3944</v>
      </c>
      <c r="V4271">
        <v>0</v>
      </c>
      <c r="W4271">
        <v>0</v>
      </c>
      <c r="X4271">
        <v>2</v>
      </c>
      <c r="Y4271">
        <v>0</v>
      </c>
      <c r="AA4271">
        <v>1</v>
      </c>
      <c r="AB4271">
        <v>8</v>
      </c>
      <c r="AC4271">
        <v>3</v>
      </c>
      <c r="AD4271">
        <v>0</v>
      </c>
      <c r="AE4271">
        <v>9</v>
      </c>
      <c r="AF4271" t="s">
        <v>138</v>
      </c>
      <c r="AG4271">
        <v>0</v>
      </c>
      <c r="AH4271">
        <v>3</v>
      </c>
      <c r="AI4271">
        <v>1</v>
      </c>
      <c r="AJ4271">
        <v>0</v>
      </c>
      <c r="AK4271" t="s">
        <v>1359</v>
      </c>
      <c r="AL4271">
        <v>32.745415999999999</v>
      </c>
      <c r="AM4271" t="s">
        <v>1360</v>
      </c>
      <c r="AN4271">
        <v>-116.689289</v>
      </c>
      <c r="AO4271">
        <v>25</v>
      </c>
      <c r="AP4271">
        <v>5000</v>
      </c>
      <c r="AQ4271" t="s">
        <v>129</v>
      </c>
      <c r="AR4271">
        <v>-120</v>
      </c>
      <c r="AS4271">
        <v>-83</v>
      </c>
      <c r="AT4271">
        <v>192</v>
      </c>
      <c r="BB4271">
        <v>1200</v>
      </c>
      <c r="BC4271">
        <v>1</v>
      </c>
      <c r="BD4271" t="str">
        <f t="shared" si="1560"/>
        <v xml:space="preserve">N887QR  </v>
      </c>
      <c r="BE4271">
        <v>1</v>
      </c>
      <c r="BG4271">
        <v>0</v>
      </c>
      <c r="BH4271">
        <v>0</v>
      </c>
      <c r="BI4271">
        <v>0</v>
      </c>
      <c r="BJ4271">
        <v>4775</v>
      </c>
      <c r="BK4271">
        <v>-225</v>
      </c>
      <c r="BL4271" t="s">
        <v>163</v>
      </c>
      <c r="BM4271">
        <v>1</v>
      </c>
      <c r="BN4271">
        <v>1</v>
      </c>
      <c r="BO4271">
        <v>1</v>
      </c>
      <c r="BP4271">
        <v>0</v>
      </c>
      <c r="BS4271">
        <v>0</v>
      </c>
      <c r="BT4271">
        <v>0</v>
      </c>
      <c r="BU4271">
        <v>0</v>
      </c>
      <c r="CE4271" t="str">
        <f t="shared" si="1576"/>
        <v>19:37:03.502</v>
      </c>
      <c r="CF4271">
        <v>501634222</v>
      </c>
      <c r="CS4271">
        <v>0</v>
      </c>
      <c r="CT4271">
        <v>2</v>
      </c>
      <c r="CU4271">
        <v>0</v>
      </c>
      <c r="CV4271">
        <v>2</v>
      </c>
      <c r="CW4271">
        <v>0</v>
      </c>
      <c r="CX4271">
        <v>6</v>
      </c>
      <c r="CY4271">
        <v>7</v>
      </c>
      <c r="CZ4271" t="s">
        <v>131</v>
      </c>
      <c r="DA4271">
        <v>286</v>
      </c>
      <c r="DB4271">
        <v>0</v>
      </c>
      <c r="DC4271" t="s">
        <v>132</v>
      </c>
      <c r="DD4271" t="s">
        <v>133</v>
      </c>
      <c r="DG4271">
        <v>907640</v>
      </c>
      <c r="DI4271">
        <v>1</v>
      </c>
      <c r="DJ4271">
        <v>0</v>
      </c>
      <c r="DK4271">
        <v>1</v>
      </c>
      <c r="DL4271">
        <v>0</v>
      </c>
      <c r="DM4271">
        <v>0</v>
      </c>
      <c r="DN4271">
        <v>1</v>
      </c>
      <c r="DO4271">
        <v>0</v>
      </c>
      <c r="DP4271">
        <v>0</v>
      </c>
      <c r="DQ4271">
        <v>0</v>
      </c>
      <c r="DR4271">
        <v>0</v>
      </c>
      <c r="DS4271">
        <v>0</v>
      </c>
    </row>
    <row r="4272" spans="1:123" x14ac:dyDescent="0.3">
      <c r="A4272" t="str">
        <f>"10/04/2022 19:37:03.783"</f>
        <v>10/04/2022 19:37:03.783</v>
      </c>
      <c r="C4272" t="str">
        <f t="shared" si="1574"/>
        <v>FFDFD3C0</v>
      </c>
      <c r="D4272" t="s">
        <v>141</v>
      </c>
      <c r="E4272">
        <v>3</v>
      </c>
      <c r="H4272">
        <v>3</v>
      </c>
      <c r="I4272" t="s">
        <v>146</v>
      </c>
      <c r="J4272" t="s">
        <v>138</v>
      </c>
      <c r="K4272">
        <v>0</v>
      </c>
      <c r="L4272">
        <v>3</v>
      </c>
      <c r="M4272">
        <v>0</v>
      </c>
      <c r="N4272">
        <v>2</v>
      </c>
      <c r="O4272">
        <v>0</v>
      </c>
      <c r="P4272">
        <v>1</v>
      </c>
      <c r="Q4272">
        <v>0</v>
      </c>
      <c r="S4272" t="str">
        <f t="shared" si="1575"/>
        <v>19:37:03.000</v>
      </c>
      <c r="T4272" t="str">
        <f t="shared" si="1575"/>
        <v>19:37:03.000</v>
      </c>
      <c r="U4272" t="str">
        <f t="shared" si="1559"/>
        <v>AC3944</v>
      </c>
      <c r="V4272">
        <v>0</v>
      </c>
      <c r="W4272">
        <v>0</v>
      </c>
      <c r="X4272">
        <v>2</v>
      </c>
      <c r="Y4272">
        <v>0</v>
      </c>
      <c r="AA4272">
        <v>1</v>
      </c>
      <c r="AB4272">
        <v>8</v>
      </c>
      <c r="AC4272">
        <v>3</v>
      </c>
      <c r="AD4272">
        <v>0</v>
      </c>
      <c r="AE4272">
        <v>9</v>
      </c>
      <c r="AF4272" t="s">
        <v>138</v>
      </c>
      <c r="AG4272">
        <v>0</v>
      </c>
      <c r="AH4272">
        <v>3</v>
      </c>
      <c r="AI4272">
        <v>1</v>
      </c>
      <c r="AJ4272">
        <v>0</v>
      </c>
      <c r="AK4272" t="s">
        <v>1359</v>
      </c>
      <c r="AL4272">
        <v>32.745415999999999</v>
      </c>
      <c r="AM4272" t="s">
        <v>1360</v>
      </c>
      <c r="AN4272">
        <v>-116.689289</v>
      </c>
      <c r="AO4272">
        <v>25</v>
      </c>
      <c r="AP4272">
        <v>5000</v>
      </c>
      <c r="AQ4272" t="s">
        <v>129</v>
      </c>
      <c r="AR4272">
        <v>-120</v>
      </c>
      <c r="AS4272">
        <v>-83</v>
      </c>
      <c r="AT4272">
        <v>192</v>
      </c>
      <c r="BB4272">
        <v>1200</v>
      </c>
      <c r="BC4272">
        <v>1</v>
      </c>
      <c r="BD4272" t="str">
        <f t="shared" si="1560"/>
        <v xml:space="preserve">N887QR  </v>
      </c>
      <c r="BE4272">
        <v>1</v>
      </c>
      <c r="BG4272">
        <v>0</v>
      </c>
      <c r="BH4272">
        <v>0</v>
      </c>
      <c r="BI4272">
        <v>0</v>
      </c>
      <c r="BJ4272">
        <v>4775</v>
      </c>
      <c r="BK4272">
        <v>-225</v>
      </c>
      <c r="BL4272" t="s">
        <v>163</v>
      </c>
      <c r="BM4272">
        <v>1</v>
      </c>
      <c r="BN4272">
        <v>1</v>
      </c>
      <c r="BO4272">
        <v>1</v>
      </c>
      <c r="BP4272">
        <v>0</v>
      </c>
      <c r="BS4272">
        <v>0</v>
      </c>
      <c r="BT4272">
        <v>0</v>
      </c>
      <c r="BU4272">
        <v>0</v>
      </c>
      <c r="CE4272" t="str">
        <f t="shared" si="1576"/>
        <v>19:37:03.502</v>
      </c>
      <c r="CF4272">
        <v>501634222</v>
      </c>
      <c r="CS4272">
        <v>0</v>
      </c>
      <c r="CT4272">
        <v>2</v>
      </c>
      <c r="CU4272">
        <v>0</v>
      </c>
      <c r="CV4272">
        <v>2</v>
      </c>
      <c r="CW4272">
        <v>0</v>
      </c>
      <c r="CX4272">
        <v>6</v>
      </c>
      <c r="CY4272">
        <v>7</v>
      </c>
      <c r="CZ4272" t="s">
        <v>131</v>
      </c>
      <c r="DA4272">
        <v>286</v>
      </c>
      <c r="DB4272">
        <v>0</v>
      </c>
      <c r="DC4272" t="s">
        <v>132</v>
      </c>
      <c r="DD4272" t="s">
        <v>133</v>
      </c>
      <c r="DG4272">
        <v>907640</v>
      </c>
      <c r="DI4272">
        <v>1</v>
      </c>
      <c r="DJ4272">
        <v>0</v>
      </c>
      <c r="DK4272">
        <v>1</v>
      </c>
      <c r="DL4272">
        <v>0</v>
      </c>
      <c r="DM4272">
        <v>0</v>
      </c>
      <c r="DN4272">
        <v>1</v>
      </c>
      <c r="DO4272">
        <v>0</v>
      </c>
      <c r="DP4272">
        <v>0</v>
      </c>
      <c r="DQ4272">
        <v>0</v>
      </c>
      <c r="DR4272">
        <v>0</v>
      </c>
      <c r="DS4272">
        <v>0</v>
      </c>
    </row>
    <row r="4273" spans="1:123" x14ac:dyDescent="0.3">
      <c r="A4273" t="str">
        <f>"10/04/2022 19:37:03.798"</f>
        <v>10/04/2022 19:37:03.798</v>
      </c>
      <c r="C4273" t="str">
        <f t="shared" si="1574"/>
        <v>FFDFD3C0</v>
      </c>
      <c r="D4273" t="s">
        <v>136</v>
      </c>
      <c r="E4273">
        <v>8</v>
      </c>
      <c r="H4273">
        <v>225</v>
      </c>
      <c r="I4273" t="s">
        <v>137</v>
      </c>
      <c r="J4273" t="s">
        <v>138</v>
      </c>
      <c r="K4273">
        <v>0</v>
      </c>
      <c r="L4273">
        <v>3</v>
      </c>
      <c r="M4273">
        <v>0</v>
      </c>
      <c r="N4273">
        <v>2</v>
      </c>
      <c r="O4273">
        <v>0</v>
      </c>
      <c r="P4273">
        <v>1</v>
      </c>
      <c r="Q4273">
        <v>0</v>
      </c>
      <c r="S4273" t="str">
        <f t="shared" si="1575"/>
        <v>19:37:03.000</v>
      </c>
      <c r="T4273" t="str">
        <f t="shared" si="1575"/>
        <v>19:37:03.000</v>
      </c>
      <c r="U4273" t="str">
        <f t="shared" si="1559"/>
        <v>AC3944</v>
      </c>
      <c r="V4273">
        <v>0</v>
      </c>
      <c r="W4273">
        <v>0</v>
      </c>
      <c r="X4273">
        <v>2</v>
      </c>
      <c r="Y4273">
        <v>0</v>
      </c>
      <c r="AA4273">
        <v>1</v>
      </c>
      <c r="AB4273">
        <v>8</v>
      </c>
      <c r="AC4273">
        <v>3</v>
      </c>
      <c r="AD4273">
        <v>0</v>
      </c>
      <c r="AE4273">
        <v>9</v>
      </c>
      <c r="AF4273" t="s">
        <v>138</v>
      </c>
      <c r="AG4273">
        <v>0</v>
      </c>
      <c r="AH4273">
        <v>3</v>
      </c>
      <c r="AI4273">
        <v>1</v>
      </c>
      <c r="AJ4273">
        <v>0</v>
      </c>
      <c r="AK4273" t="s">
        <v>1359</v>
      </c>
      <c r="AL4273">
        <v>32.745415999999999</v>
      </c>
      <c r="AM4273" t="s">
        <v>1360</v>
      </c>
      <c r="AN4273">
        <v>-116.689289</v>
      </c>
      <c r="AO4273">
        <v>25</v>
      </c>
      <c r="AP4273">
        <v>5000</v>
      </c>
      <c r="AQ4273" t="s">
        <v>129</v>
      </c>
      <c r="AR4273">
        <v>-120</v>
      </c>
      <c r="AS4273">
        <v>-83</v>
      </c>
      <c r="AT4273">
        <v>192</v>
      </c>
      <c r="BB4273">
        <v>1200</v>
      </c>
      <c r="BC4273">
        <v>1</v>
      </c>
      <c r="BD4273" t="str">
        <f t="shared" si="1560"/>
        <v xml:space="preserve">N887QR  </v>
      </c>
      <c r="BE4273">
        <v>1</v>
      </c>
      <c r="BG4273">
        <v>0</v>
      </c>
      <c r="BH4273">
        <v>0</v>
      </c>
      <c r="BI4273">
        <v>0</v>
      </c>
      <c r="BJ4273">
        <v>4775</v>
      </c>
      <c r="BK4273">
        <v>-225</v>
      </c>
      <c r="BL4273" t="s">
        <v>163</v>
      </c>
      <c r="BM4273">
        <v>1</v>
      </c>
      <c r="BN4273">
        <v>1</v>
      </c>
      <c r="BO4273">
        <v>1</v>
      </c>
      <c r="BP4273">
        <v>0</v>
      </c>
      <c r="BS4273">
        <v>0</v>
      </c>
      <c r="BT4273">
        <v>0</v>
      </c>
      <c r="BU4273">
        <v>0</v>
      </c>
      <c r="CE4273" t="str">
        <f t="shared" si="1576"/>
        <v>19:37:03.502</v>
      </c>
      <c r="CF4273">
        <v>501634222</v>
      </c>
      <c r="CS4273">
        <v>0</v>
      </c>
      <c r="CT4273">
        <v>2</v>
      </c>
      <c r="CU4273">
        <v>0</v>
      </c>
      <c r="CV4273">
        <v>2</v>
      </c>
      <c r="CW4273">
        <v>0</v>
      </c>
      <c r="CX4273">
        <v>6</v>
      </c>
      <c r="CY4273">
        <v>7</v>
      </c>
      <c r="CZ4273" t="s">
        <v>131</v>
      </c>
      <c r="DA4273">
        <v>286</v>
      </c>
      <c r="DB4273">
        <v>0</v>
      </c>
      <c r="DC4273" t="s">
        <v>132</v>
      </c>
      <c r="DD4273" t="s">
        <v>133</v>
      </c>
      <c r="DG4273">
        <v>907640</v>
      </c>
      <c r="DI4273">
        <v>1</v>
      </c>
      <c r="DJ4273">
        <v>0</v>
      </c>
      <c r="DK4273">
        <v>1</v>
      </c>
      <c r="DL4273">
        <v>0</v>
      </c>
      <c r="DM4273">
        <v>0</v>
      </c>
      <c r="DN4273">
        <v>1</v>
      </c>
      <c r="DO4273">
        <v>0</v>
      </c>
      <c r="DP4273">
        <v>0</v>
      </c>
      <c r="DQ4273">
        <v>0</v>
      </c>
      <c r="DR4273">
        <v>0</v>
      </c>
      <c r="DS4273">
        <v>0</v>
      </c>
    </row>
    <row r="4274" spans="1:123" x14ac:dyDescent="0.3">
      <c r="A4274" t="str">
        <f>"10/04/2022 19:37:03.829"</f>
        <v>10/04/2022 19:37:03.829</v>
      </c>
      <c r="C4274" t="str">
        <f t="shared" si="1574"/>
        <v>FFDFD3C0</v>
      </c>
      <c r="D4274" t="s">
        <v>143</v>
      </c>
      <c r="E4274">
        <v>20</v>
      </c>
      <c r="F4274">
        <v>1020</v>
      </c>
      <c r="G4274" t="s">
        <v>144</v>
      </c>
      <c r="J4274" t="s">
        <v>145</v>
      </c>
      <c r="K4274">
        <v>0</v>
      </c>
      <c r="L4274">
        <v>3</v>
      </c>
      <c r="M4274">
        <v>0</v>
      </c>
      <c r="N4274">
        <v>2</v>
      </c>
      <c r="O4274">
        <v>0</v>
      </c>
      <c r="P4274">
        <v>1</v>
      </c>
      <c r="Q4274">
        <v>0</v>
      </c>
      <c r="S4274" t="str">
        <f t="shared" si="1575"/>
        <v>19:37:03.000</v>
      </c>
      <c r="T4274" t="str">
        <f t="shared" si="1575"/>
        <v>19:37:03.000</v>
      </c>
      <c r="U4274" t="str">
        <f t="shared" si="1559"/>
        <v>AC3944</v>
      </c>
      <c r="V4274">
        <v>0</v>
      </c>
      <c r="W4274">
        <v>0</v>
      </c>
      <c r="X4274">
        <v>2</v>
      </c>
      <c r="Y4274">
        <v>0</v>
      </c>
      <c r="AA4274">
        <v>1</v>
      </c>
      <c r="AB4274">
        <v>8</v>
      </c>
      <c r="AC4274">
        <v>3</v>
      </c>
      <c r="AD4274">
        <v>0</v>
      </c>
      <c r="AE4274">
        <v>9</v>
      </c>
      <c r="AF4274" t="s">
        <v>138</v>
      </c>
      <c r="AG4274">
        <v>0</v>
      </c>
      <c r="AH4274">
        <v>3</v>
      </c>
      <c r="AI4274">
        <v>1</v>
      </c>
      <c r="AJ4274">
        <v>0</v>
      </c>
      <c r="AK4274" t="s">
        <v>1359</v>
      </c>
      <c r="AL4274">
        <v>32.745415999999999</v>
      </c>
      <c r="AM4274" t="s">
        <v>1360</v>
      </c>
      <c r="AN4274">
        <v>-116.689289</v>
      </c>
      <c r="AO4274">
        <v>25</v>
      </c>
      <c r="AP4274">
        <v>5000</v>
      </c>
      <c r="AQ4274" t="s">
        <v>129</v>
      </c>
      <c r="AR4274">
        <v>-120</v>
      </c>
      <c r="AS4274">
        <v>-83</v>
      </c>
      <c r="AT4274">
        <v>192</v>
      </c>
      <c r="BB4274">
        <v>1200</v>
      </c>
      <c r="BC4274">
        <v>1</v>
      </c>
      <c r="BD4274" t="str">
        <f t="shared" si="1560"/>
        <v xml:space="preserve">N887QR  </v>
      </c>
      <c r="BE4274">
        <v>1</v>
      </c>
      <c r="BG4274">
        <v>0</v>
      </c>
      <c r="BH4274">
        <v>0</v>
      </c>
      <c r="BI4274">
        <v>0</v>
      </c>
      <c r="BJ4274">
        <v>4775</v>
      </c>
      <c r="BK4274">
        <v>-225</v>
      </c>
      <c r="BL4274" t="s">
        <v>163</v>
      </c>
      <c r="BM4274">
        <v>1</v>
      </c>
      <c r="BN4274">
        <v>1</v>
      </c>
      <c r="BO4274">
        <v>1</v>
      </c>
      <c r="BP4274">
        <v>0</v>
      </c>
      <c r="BS4274">
        <v>0</v>
      </c>
      <c r="BT4274">
        <v>0</v>
      </c>
      <c r="BU4274">
        <v>0</v>
      </c>
      <c r="CE4274" t="str">
        <f t="shared" si="1576"/>
        <v>19:37:03.502</v>
      </c>
      <c r="CF4274">
        <v>501634222</v>
      </c>
      <c r="CS4274">
        <v>0</v>
      </c>
      <c r="CT4274">
        <v>2</v>
      </c>
      <c r="CU4274">
        <v>0</v>
      </c>
      <c r="CV4274">
        <v>2</v>
      </c>
      <c r="CW4274">
        <v>0</v>
      </c>
      <c r="CX4274">
        <v>6</v>
      </c>
      <c r="CY4274">
        <v>7</v>
      </c>
      <c r="CZ4274" t="s">
        <v>131</v>
      </c>
      <c r="DA4274">
        <v>286</v>
      </c>
      <c r="DB4274">
        <v>0</v>
      </c>
      <c r="DC4274" t="s">
        <v>132</v>
      </c>
      <c r="DD4274" t="s">
        <v>133</v>
      </c>
      <c r="DG4274">
        <v>907640</v>
      </c>
      <c r="DI4274">
        <v>1</v>
      </c>
      <c r="DJ4274">
        <v>0</v>
      </c>
      <c r="DK4274">
        <v>1</v>
      </c>
      <c r="DL4274">
        <v>0</v>
      </c>
      <c r="DM4274">
        <v>0</v>
      </c>
      <c r="DN4274">
        <v>1</v>
      </c>
      <c r="DO4274">
        <v>0</v>
      </c>
      <c r="DP4274">
        <v>0</v>
      </c>
      <c r="DQ4274">
        <v>0</v>
      </c>
      <c r="DR4274">
        <v>0</v>
      </c>
      <c r="DS4274">
        <v>0</v>
      </c>
    </row>
    <row r="4275" spans="1:123" x14ac:dyDescent="0.3">
      <c r="A4275" t="str">
        <f t="shared" ref="A4275:A4281" si="1577">"10/04/2022 19:37:04.111"</f>
        <v>10/04/2022 19:37:04.111</v>
      </c>
      <c r="C4275" t="str">
        <f t="shared" si="1574"/>
        <v>FFDFD3C0</v>
      </c>
      <c r="D4275" t="s">
        <v>136</v>
      </c>
      <c r="E4275">
        <v>8</v>
      </c>
      <c r="H4275">
        <v>225</v>
      </c>
      <c r="I4275" t="s">
        <v>137</v>
      </c>
      <c r="J4275" t="s">
        <v>138</v>
      </c>
      <c r="K4275">
        <v>0</v>
      </c>
      <c r="L4275">
        <v>3</v>
      </c>
      <c r="M4275">
        <v>0</v>
      </c>
      <c r="N4275">
        <v>2</v>
      </c>
      <c r="O4275">
        <v>0</v>
      </c>
      <c r="P4275">
        <v>1</v>
      </c>
      <c r="Q4275">
        <v>0</v>
      </c>
      <c r="S4275" t="str">
        <f t="shared" si="1575"/>
        <v>19:37:03.000</v>
      </c>
      <c r="T4275" t="str">
        <f t="shared" si="1575"/>
        <v>19:37:03.000</v>
      </c>
      <c r="U4275" t="str">
        <f t="shared" si="1559"/>
        <v>AC3944</v>
      </c>
      <c r="V4275">
        <v>0</v>
      </c>
      <c r="W4275">
        <v>0</v>
      </c>
      <c r="X4275">
        <v>2</v>
      </c>
      <c r="Y4275">
        <v>0</v>
      </c>
      <c r="AA4275">
        <v>1</v>
      </c>
      <c r="AB4275">
        <v>8</v>
      </c>
      <c r="AC4275">
        <v>3</v>
      </c>
      <c r="AD4275">
        <v>0</v>
      </c>
      <c r="AE4275">
        <v>9</v>
      </c>
      <c r="AF4275" t="s">
        <v>138</v>
      </c>
      <c r="AG4275">
        <v>0</v>
      </c>
      <c r="AH4275">
        <v>3</v>
      </c>
      <c r="AI4275">
        <v>1</v>
      </c>
      <c r="AJ4275">
        <v>0</v>
      </c>
      <c r="AK4275" t="s">
        <v>1361</v>
      </c>
      <c r="AL4275">
        <v>32.745050999999997</v>
      </c>
      <c r="AM4275" t="s">
        <v>1362</v>
      </c>
      <c r="AN4275">
        <v>-116.689954</v>
      </c>
      <c r="AO4275">
        <v>25</v>
      </c>
      <c r="AP4275">
        <v>5000</v>
      </c>
      <c r="AQ4275" t="s">
        <v>129</v>
      </c>
      <c r="AR4275">
        <v>-119</v>
      </c>
      <c r="AS4275">
        <v>-85</v>
      </c>
      <c r="AT4275">
        <v>192</v>
      </c>
      <c r="BB4275">
        <v>1200</v>
      </c>
      <c r="BC4275">
        <v>1</v>
      </c>
      <c r="BD4275" t="str">
        <f t="shared" si="1560"/>
        <v xml:space="preserve">N887QR  </v>
      </c>
      <c r="BE4275">
        <v>1</v>
      </c>
      <c r="BG4275">
        <v>0</v>
      </c>
      <c r="BH4275">
        <v>0</v>
      </c>
      <c r="BI4275">
        <v>0</v>
      </c>
      <c r="BJ4275">
        <v>4775</v>
      </c>
      <c r="BK4275">
        <v>-225</v>
      </c>
      <c r="BL4275" t="s">
        <v>163</v>
      </c>
      <c r="BM4275">
        <v>1</v>
      </c>
      <c r="BN4275">
        <v>1</v>
      </c>
      <c r="BO4275">
        <v>1</v>
      </c>
      <c r="BP4275">
        <v>0</v>
      </c>
      <c r="BS4275">
        <v>0</v>
      </c>
      <c r="BT4275">
        <v>0</v>
      </c>
      <c r="BU4275">
        <v>0</v>
      </c>
      <c r="CE4275" t="str">
        <f t="shared" ref="CE4275:CE4281" si="1578">"19:37:03.837"</f>
        <v>19:37:03.837</v>
      </c>
      <c r="CF4275">
        <v>837135207</v>
      </c>
      <c r="CS4275">
        <v>0</v>
      </c>
      <c r="CT4275">
        <v>2</v>
      </c>
      <c r="CU4275">
        <v>0</v>
      </c>
      <c r="CV4275">
        <v>2</v>
      </c>
      <c r="CW4275">
        <v>0</v>
      </c>
      <c r="CX4275">
        <v>6</v>
      </c>
      <c r="CY4275">
        <v>7</v>
      </c>
      <c r="CZ4275" t="s">
        <v>131</v>
      </c>
      <c r="DA4275">
        <v>286</v>
      </c>
      <c r="DB4275">
        <v>0</v>
      </c>
      <c r="DC4275" t="s">
        <v>132</v>
      </c>
      <c r="DD4275" t="s">
        <v>133</v>
      </c>
      <c r="DG4275">
        <v>907753</v>
      </c>
      <c r="DI4275">
        <v>1</v>
      </c>
      <c r="DJ4275">
        <v>0</v>
      </c>
      <c r="DK4275">
        <v>0</v>
      </c>
      <c r="DL4275">
        <v>0</v>
      </c>
      <c r="DM4275">
        <v>0</v>
      </c>
      <c r="DN4275">
        <v>1</v>
      </c>
      <c r="DO4275">
        <v>0</v>
      </c>
      <c r="DP4275">
        <v>0</v>
      </c>
      <c r="DQ4275">
        <v>0</v>
      </c>
      <c r="DR4275">
        <v>0</v>
      </c>
      <c r="DS4275">
        <v>0</v>
      </c>
    </row>
    <row r="4276" spans="1:123" x14ac:dyDescent="0.3">
      <c r="A4276" t="str">
        <f t="shared" si="1577"/>
        <v>10/04/2022 19:37:04.111</v>
      </c>
      <c r="C4276" t="str">
        <f t="shared" si="1574"/>
        <v>FFDFD3C0</v>
      </c>
      <c r="D4276" t="s">
        <v>143</v>
      </c>
      <c r="E4276">
        <v>20</v>
      </c>
      <c r="F4276">
        <v>1020</v>
      </c>
      <c r="G4276" t="s">
        <v>144</v>
      </c>
      <c r="J4276" t="s">
        <v>145</v>
      </c>
      <c r="K4276">
        <v>0</v>
      </c>
      <c r="L4276">
        <v>3</v>
      </c>
      <c r="M4276">
        <v>0</v>
      </c>
      <c r="N4276">
        <v>2</v>
      </c>
      <c r="O4276">
        <v>0</v>
      </c>
      <c r="P4276">
        <v>1</v>
      </c>
      <c r="Q4276">
        <v>0</v>
      </c>
      <c r="S4276" t="str">
        <f t="shared" si="1575"/>
        <v>19:37:03.000</v>
      </c>
      <c r="T4276" t="str">
        <f t="shared" si="1575"/>
        <v>19:37:03.000</v>
      </c>
      <c r="U4276" t="str">
        <f t="shared" si="1559"/>
        <v>AC3944</v>
      </c>
      <c r="V4276">
        <v>0</v>
      </c>
      <c r="W4276">
        <v>0</v>
      </c>
      <c r="X4276">
        <v>2</v>
      </c>
      <c r="Y4276">
        <v>0</v>
      </c>
      <c r="AA4276">
        <v>1</v>
      </c>
      <c r="AB4276">
        <v>8</v>
      </c>
      <c r="AC4276">
        <v>3</v>
      </c>
      <c r="AD4276">
        <v>0</v>
      </c>
      <c r="AE4276">
        <v>9</v>
      </c>
      <c r="AF4276" t="s">
        <v>138</v>
      </c>
      <c r="AG4276">
        <v>0</v>
      </c>
      <c r="AH4276">
        <v>3</v>
      </c>
      <c r="AI4276">
        <v>1</v>
      </c>
      <c r="AJ4276">
        <v>0</v>
      </c>
      <c r="AK4276" t="s">
        <v>1361</v>
      </c>
      <c r="AL4276">
        <v>32.745050999999997</v>
      </c>
      <c r="AM4276" t="s">
        <v>1362</v>
      </c>
      <c r="AN4276">
        <v>-116.689954</v>
      </c>
      <c r="AO4276">
        <v>25</v>
      </c>
      <c r="AP4276">
        <v>5000</v>
      </c>
      <c r="AQ4276" t="s">
        <v>129</v>
      </c>
      <c r="AR4276">
        <v>-119</v>
      </c>
      <c r="AS4276">
        <v>-85</v>
      </c>
      <c r="AT4276">
        <v>192</v>
      </c>
      <c r="BB4276">
        <v>1200</v>
      </c>
      <c r="BC4276">
        <v>1</v>
      </c>
      <c r="BD4276" t="str">
        <f t="shared" si="1560"/>
        <v xml:space="preserve">N887QR  </v>
      </c>
      <c r="BE4276">
        <v>1</v>
      </c>
      <c r="BG4276">
        <v>0</v>
      </c>
      <c r="BH4276">
        <v>0</v>
      </c>
      <c r="BI4276">
        <v>0</v>
      </c>
      <c r="BJ4276">
        <v>4775</v>
      </c>
      <c r="BK4276">
        <v>-225</v>
      </c>
      <c r="BL4276" t="s">
        <v>163</v>
      </c>
      <c r="BM4276">
        <v>1</v>
      </c>
      <c r="BN4276">
        <v>1</v>
      </c>
      <c r="BO4276">
        <v>1</v>
      </c>
      <c r="BP4276">
        <v>0</v>
      </c>
      <c r="BS4276">
        <v>0</v>
      </c>
      <c r="BT4276">
        <v>0</v>
      </c>
      <c r="BU4276">
        <v>0</v>
      </c>
      <c r="CE4276" t="str">
        <f t="shared" si="1578"/>
        <v>19:37:03.837</v>
      </c>
      <c r="CF4276">
        <v>837135207</v>
      </c>
      <c r="CS4276">
        <v>0</v>
      </c>
      <c r="CT4276">
        <v>2</v>
      </c>
      <c r="CU4276">
        <v>0</v>
      </c>
      <c r="CV4276">
        <v>2</v>
      </c>
      <c r="CW4276">
        <v>0</v>
      </c>
      <c r="CX4276">
        <v>6</v>
      </c>
      <c r="CY4276">
        <v>7</v>
      </c>
      <c r="CZ4276" t="s">
        <v>131</v>
      </c>
      <c r="DA4276">
        <v>286</v>
      </c>
      <c r="DB4276">
        <v>0</v>
      </c>
      <c r="DC4276" t="s">
        <v>132</v>
      </c>
      <c r="DD4276" t="s">
        <v>133</v>
      </c>
      <c r="DG4276">
        <v>907753</v>
      </c>
      <c r="DI4276">
        <v>1</v>
      </c>
      <c r="DJ4276">
        <v>0</v>
      </c>
      <c r="DK4276">
        <v>1</v>
      </c>
      <c r="DL4276">
        <v>0</v>
      </c>
      <c r="DM4276">
        <v>0</v>
      </c>
      <c r="DN4276">
        <v>1</v>
      </c>
      <c r="DO4276">
        <v>0</v>
      </c>
      <c r="DP4276">
        <v>0</v>
      </c>
      <c r="DQ4276">
        <v>0</v>
      </c>
      <c r="DR4276">
        <v>0</v>
      </c>
      <c r="DS4276">
        <v>0</v>
      </c>
    </row>
    <row r="4277" spans="1:123" x14ac:dyDescent="0.3">
      <c r="A4277" t="str">
        <f t="shared" si="1577"/>
        <v>10/04/2022 19:37:04.111</v>
      </c>
      <c r="C4277" t="str">
        <f t="shared" si="1574"/>
        <v>FFDFD3C0</v>
      </c>
      <c r="D4277" t="s">
        <v>123</v>
      </c>
      <c r="E4277">
        <v>7</v>
      </c>
      <c r="F4277">
        <v>2007</v>
      </c>
      <c r="G4277" t="s">
        <v>124</v>
      </c>
      <c r="J4277" t="s">
        <v>125</v>
      </c>
      <c r="K4277">
        <v>0</v>
      </c>
      <c r="L4277">
        <v>3</v>
      </c>
      <c r="M4277">
        <v>0</v>
      </c>
      <c r="N4277">
        <v>2</v>
      </c>
      <c r="O4277">
        <v>0</v>
      </c>
      <c r="P4277">
        <v>1</v>
      </c>
      <c r="Q4277">
        <v>0</v>
      </c>
      <c r="S4277" t="str">
        <f t="shared" si="1575"/>
        <v>19:37:03.000</v>
      </c>
      <c r="T4277" t="str">
        <f t="shared" si="1575"/>
        <v>19:37:03.000</v>
      </c>
      <c r="U4277" t="str">
        <f t="shared" si="1559"/>
        <v>AC3944</v>
      </c>
      <c r="V4277">
        <v>0</v>
      </c>
      <c r="W4277">
        <v>0</v>
      </c>
      <c r="X4277">
        <v>2</v>
      </c>
      <c r="Y4277">
        <v>0</v>
      </c>
      <c r="AA4277">
        <v>1</v>
      </c>
      <c r="AB4277">
        <v>8</v>
      </c>
      <c r="AC4277">
        <v>3</v>
      </c>
      <c r="AD4277">
        <v>0</v>
      </c>
      <c r="AE4277">
        <v>9</v>
      </c>
      <c r="AF4277" t="s">
        <v>138</v>
      </c>
      <c r="AG4277">
        <v>0</v>
      </c>
      <c r="AH4277">
        <v>3</v>
      </c>
      <c r="AI4277">
        <v>1</v>
      </c>
      <c r="AJ4277">
        <v>0</v>
      </c>
      <c r="AK4277" t="s">
        <v>1361</v>
      </c>
      <c r="AL4277">
        <v>32.745050999999997</v>
      </c>
      <c r="AM4277" t="s">
        <v>1362</v>
      </c>
      <c r="AN4277">
        <v>-116.689954</v>
      </c>
      <c r="AO4277">
        <v>25</v>
      </c>
      <c r="AP4277">
        <v>5000</v>
      </c>
      <c r="AQ4277" t="s">
        <v>129</v>
      </c>
      <c r="AR4277">
        <v>-119</v>
      </c>
      <c r="AS4277">
        <v>-85</v>
      </c>
      <c r="AT4277">
        <v>192</v>
      </c>
      <c r="BB4277">
        <v>1200</v>
      </c>
      <c r="BC4277">
        <v>1</v>
      </c>
      <c r="BD4277" t="str">
        <f t="shared" si="1560"/>
        <v xml:space="preserve">N887QR  </v>
      </c>
      <c r="BE4277">
        <v>1</v>
      </c>
      <c r="BG4277">
        <v>0</v>
      </c>
      <c r="BH4277">
        <v>0</v>
      </c>
      <c r="BI4277">
        <v>0</v>
      </c>
      <c r="BJ4277">
        <v>4775</v>
      </c>
      <c r="BK4277">
        <v>-225</v>
      </c>
      <c r="BL4277" t="s">
        <v>163</v>
      </c>
      <c r="BM4277">
        <v>1</v>
      </c>
      <c r="BN4277">
        <v>1</v>
      </c>
      <c r="BO4277">
        <v>1</v>
      </c>
      <c r="BP4277">
        <v>0</v>
      </c>
      <c r="BS4277">
        <v>0</v>
      </c>
      <c r="BT4277">
        <v>0</v>
      </c>
      <c r="BU4277">
        <v>0</v>
      </c>
      <c r="CE4277" t="str">
        <f t="shared" si="1578"/>
        <v>19:37:03.837</v>
      </c>
      <c r="CF4277">
        <v>837135207</v>
      </c>
      <c r="CS4277">
        <v>0</v>
      </c>
      <c r="CT4277">
        <v>2</v>
      </c>
      <c r="CU4277">
        <v>0</v>
      </c>
      <c r="CV4277">
        <v>2</v>
      </c>
      <c r="CW4277">
        <v>0</v>
      </c>
      <c r="CX4277">
        <v>6</v>
      </c>
      <c r="CY4277">
        <v>7</v>
      </c>
      <c r="CZ4277" t="s">
        <v>131</v>
      </c>
      <c r="DA4277">
        <v>286</v>
      </c>
      <c r="DB4277">
        <v>0</v>
      </c>
      <c r="DC4277" t="s">
        <v>132</v>
      </c>
      <c r="DD4277" t="s">
        <v>133</v>
      </c>
      <c r="DG4277">
        <v>907753</v>
      </c>
      <c r="DI4277">
        <v>1</v>
      </c>
      <c r="DJ4277">
        <v>0</v>
      </c>
      <c r="DK4277">
        <v>1</v>
      </c>
      <c r="DL4277">
        <v>0</v>
      </c>
      <c r="DM4277">
        <v>0</v>
      </c>
      <c r="DN4277">
        <v>1</v>
      </c>
      <c r="DO4277">
        <v>0</v>
      </c>
      <c r="DP4277">
        <v>0</v>
      </c>
      <c r="DQ4277">
        <v>0</v>
      </c>
      <c r="DR4277">
        <v>0</v>
      </c>
      <c r="DS4277">
        <v>0</v>
      </c>
    </row>
    <row r="4278" spans="1:123" x14ac:dyDescent="0.3">
      <c r="A4278" t="str">
        <f t="shared" si="1577"/>
        <v>10/04/2022 19:37:04.111</v>
      </c>
      <c r="C4278" t="str">
        <f t="shared" si="1574"/>
        <v>FFDFD3C0</v>
      </c>
      <c r="D4278" t="s">
        <v>141</v>
      </c>
      <c r="E4278">
        <v>4</v>
      </c>
      <c r="H4278">
        <v>4</v>
      </c>
      <c r="I4278" t="s">
        <v>142</v>
      </c>
      <c r="J4278" t="s">
        <v>138</v>
      </c>
      <c r="K4278">
        <v>0</v>
      </c>
      <c r="L4278">
        <v>3</v>
      </c>
      <c r="M4278">
        <v>0</v>
      </c>
      <c r="N4278">
        <v>2</v>
      </c>
      <c r="O4278">
        <v>0</v>
      </c>
      <c r="P4278">
        <v>1</v>
      </c>
      <c r="Q4278">
        <v>0</v>
      </c>
      <c r="S4278" t="str">
        <f t="shared" si="1575"/>
        <v>19:37:03.000</v>
      </c>
      <c r="T4278" t="str">
        <f t="shared" si="1575"/>
        <v>19:37:03.000</v>
      </c>
      <c r="U4278" t="str">
        <f t="shared" si="1559"/>
        <v>AC3944</v>
      </c>
      <c r="V4278">
        <v>0</v>
      </c>
      <c r="W4278">
        <v>0</v>
      </c>
      <c r="X4278">
        <v>2</v>
      </c>
      <c r="Y4278">
        <v>0</v>
      </c>
      <c r="AA4278">
        <v>1</v>
      </c>
      <c r="AB4278">
        <v>8</v>
      </c>
      <c r="AC4278">
        <v>3</v>
      </c>
      <c r="AD4278">
        <v>0</v>
      </c>
      <c r="AE4278">
        <v>9</v>
      </c>
      <c r="AF4278" t="s">
        <v>138</v>
      </c>
      <c r="AG4278">
        <v>0</v>
      </c>
      <c r="AH4278">
        <v>3</v>
      </c>
      <c r="AI4278">
        <v>1</v>
      </c>
      <c r="AJ4278">
        <v>0</v>
      </c>
      <c r="AK4278" t="s">
        <v>1361</v>
      </c>
      <c r="AL4278">
        <v>32.745050999999997</v>
      </c>
      <c r="AM4278" t="s">
        <v>1362</v>
      </c>
      <c r="AN4278">
        <v>-116.689954</v>
      </c>
      <c r="AO4278">
        <v>25</v>
      </c>
      <c r="AP4278">
        <v>5000</v>
      </c>
      <c r="AQ4278" t="s">
        <v>129</v>
      </c>
      <c r="AR4278">
        <v>-119</v>
      </c>
      <c r="AS4278">
        <v>-85</v>
      </c>
      <c r="AT4278">
        <v>192</v>
      </c>
      <c r="BB4278">
        <v>1200</v>
      </c>
      <c r="BC4278">
        <v>1</v>
      </c>
      <c r="BD4278" t="str">
        <f t="shared" si="1560"/>
        <v xml:space="preserve">N887QR  </v>
      </c>
      <c r="BE4278">
        <v>1</v>
      </c>
      <c r="BG4278">
        <v>0</v>
      </c>
      <c r="BH4278">
        <v>0</v>
      </c>
      <c r="BI4278">
        <v>0</v>
      </c>
      <c r="BJ4278">
        <v>4775</v>
      </c>
      <c r="BK4278">
        <v>-225</v>
      </c>
      <c r="BL4278" t="s">
        <v>163</v>
      </c>
      <c r="BM4278">
        <v>1</v>
      </c>
      <c r="BN4278">
        <v>1</v>
      </c>
      <c r="BO4278">
        <v>1</v>
      </c>
      <c r="BP4278">
        <v>0</v>
      </c>
      <c r="BS4278">
        <v>0</v>
      </c>
      <c r="BT4278">
        <v>0</v>
      </c>
      <c r="BU4278">
        <v>0</v>
      </c>
      <c r="CE4278" t="str">
        <f t="shared" si="1578"/>
        <v>19:37:03.837</v>
      </c>
      <c r="CF4278">
        <v>837135207</v>
      </c>
      <c r="CS4278">
        <v>0</v>
      </c>
      <c r="CT4278">
        <v>2</v>
      </c>
      <c r="CU4278">
        <v>0</v>
      </c>
      <c r="CV4278">
        <v>2</v>
      </c>
      <c r="CW4278">
        <v>0</v>
      </c>
      <c r="CX4278">
        <v>6</v>
      </c>
      <c r="CY4278">
        <v>7</v>
      </c>
      <c r="CZ4278" t="s">
        <v>131</v>
      </c>
      <c r="DA4278">
        <v>286</v>
      </c>
      <c r="DB4278">
        <v>0</v>
      </c>
      <c r="DC4278" t="s">
        <v>132</v>
      </c>
      <c r="DD4278" t="s">
        <v>133</v>
      </c>
      <c r="DG4278">
        <v>907753</v>
      </c>
      <c r="DI4278">
        <v>1</v>
      </c>
      <c r="DJ4278">
        <v>0</v>
      </c>
      <c r="DK4278">
        <v>1</v>
      </c>
      <c r="DL4278">
        <v>0</v>
      </c>
      <c r="DM4278">
        <v>0</v>
      </c>
      <c r="DN4278">
        <v>1</v>
      </c>
      <c r="DO4278">
        <v>0</v>
      </c>
      <c r="DP4278">
        <v>0</v>
      </c>
      <c r="DQ4278">
        <v>0</v>
      </c>
      <c r="DR4278">
        <v>0</v>
      </c>
      <c r="DS4278">
        <v>0</v>
      </c>
    </row>
    <row r="4279" spans="1:123" x14ac:dyDescent="0.3">
      <c r="A4279" t="str">
        <f t="shared" si="1577"/>
        <v>10/04/2022 19:37:04.111</v>
      </c>
      <c r="C4279" t="str">
        <f t="shared" si="1574"/>
        <v>FFDFD3C0</v>
      </c>
      <c r="D4279" t="s">
        <v>134</v>
      </c>
      <c r="E4279">
        <v>15</v>
      </c>
      <c r="J4279" t="s">
        <v>135</v>
      </c>
      <c r="K4279">
        <v>0</v>
      </c>
      <c r="L4279">
        <v>3</v>
      </c>
      <c r="M4279">
        <v>0</v>
      </c>
      <c r="N4279">
        <v>2</v>
      </c>
      <c r="O4279">
        <v>0</v>
      </c>
      <c r="P4279">
        <v>1</v>
      </c>
      <c r="Q4279">
        <v>0</v>
      </c>
      <c r="S4279" t="str">
        <f t="shared" si="1575"/>
        <v>19:37:03.000</v>
      </c>
      <c r="T4279" t="str">
        <f t="shared" si="1575"/>
        <v>19:37:03.000</v>
      </c>
      <c r="U4279" t="str">
        <f t="shared" si="1559"/>
        <v>AC3944</v>
      </c>
      <c r="V4279">
        <v>0</v>
      </c>
      <c r="W4279">
        <v>0</v>
      </c>
      <c r="X4279">
        <v>2</v>
      </c>
      <c r="Y4279">
        <v>0</v>
      </c>
      <c r="AA4279">
        <v>1</v>
      </c>
      <c r="AB4279">
        <v>8</v>
      </c>
      <c r="AC4279">
        <v>3</v>
      </c>
      <c r="AD4279">
        <v>0</v>
      </c>
      <c r="AE4279">
        <v>9</v>
      </c>
      <c r="AF4279" t="s">
        <v>138</v>
      </c>
      <c r="AG4279">
        <v>0</v>
      </c>
      <c r="AH4279">
        <v>3</v>
      </c>
      <c r="AI4279">
        <v>1</v>
      </c>
      <c r="AJ4279">
        <v>0</v>
      </c>
      <c r="AK4279" t="s">
        <v>1361</v>
      </c>
      <c r="AL4279">
        <v>32.745050999999997</v>
      </c>
      <c r="AM4279" t="s">
        <v>1362</v>
      </c>
      <c r="AN4279">
        <v>-116.689954</v>
      </c>
      <c r="AO4279">
        <v>25</v>
      </c>
      <c r="AP4279">
        <v>5000</v>
      </c>
      <c r="AQ4279" t="s">
        <v>129</v>
      </c>
      <c r="AR4279">
        <v>-119</v>
      </c>
      <c r="AS4279">
        <v>-85</v>
      </c>
      <c r="AT4279">
        <v>192</v>
      </c>
      <c r="BB4279">
        <v>1200</v>
      </c>
      <c r="BC4279">
        <v>1</v>
      </c>
      <c r="BD4279" t="str">
        <f t="shared" si="1560"/>
        <v xml:space="preserve">N887QR  </v>
      </c>
      <c r="BE4279">
        <v>1</v>
      </c>
      <c r="BG4279">
        <v>0</v>
      </c>
      <c r="BH4279">
        <v>0</v>
      </c>
      <c r="BI4279">
        <v>0</v>
      </c>
      <c r="BJ4279">
        <v>4775</v>
      </c>
      <c r="BK4279">
        <v>-225</v>
      </c>
      <c r="BL4279" t="s">
        <v>163</v>
      </c>
      <c r="BM4279">
        <v>1</v>
      </c>
      <c r="BN4279">
        <v>1</v>
      </c>
      <c r="BO4279">
        <v>1</v>
      </c>
      <c r="BP4279">
        <v>0</v>
      </c>
      <c r="BS4279">
        <v>0</v>
      </c>
      <c r="BT4279">
        <v>0</v>
      </c>
      <c r="BU4279">
        <v>0</v>
      </c>
      <c r="CE4279" t="str">
        <f t="shared" si="1578"/>
        <v>19:37:03.837</v>
      </c>
      <c r="CF4279">
        <v>837135207</v>
      </c>
      <c r="CS4279">
        <v>0</v>
      </c>
      <c r="CT4279">
        <v>2</v>
      </c>
      <c r="CU4279">
        <v>0</v>
      </c>
      <c r="CV4279">
        <v>2</v>
      </c>
      <c r="CW4279">
        <v>0</v>
      </c>
      <c r="CX4279">
        <v>6</v>
      </c>
      <c r="CY4279">
        <v>7</v>
      </c>
      <c r="CZ4279" t="s">
        <v>131</v>
      </c>
      <c r="DA4279">
        <v>286</v>
      </c>
      <c r="DB4279">
        <v>0</v>
      </c>
      <c r="DC4279" t="s">
        <v>132</v>
      </c>
      <c r="DD4279" t="s">
        <v>133</v>
      </c>
      <c r="DG4279">
        <v>907753</v>
      </c>
      <c r="DI4279">
        <v>1</v>
      </c>
      <c r="DJ4279">
        <v>0</v>
      </c>
      <c r="DK4279">
        <v>0</v>
      </c>
      <c r="DL4279">
        <v>0</v>
      </c>
      <c r="DM4279">
        <v>0</v>
      </c>
      <c r="DN4279">
        <v>1</v>
      </c>
      <c r="DO4279">
        <v>0</v>
      </c>
      <c r="DP4279">
        <v>0</v>
      </c>
      <c r="DQ4279">
        <v>0</v>
      </c>
      <c r="DR4279">
        <v>0</v>
      </c>
      <c r="DS4279">
        <v>0</v>
      </c>
    </row>
    <row r="4280" spans="1:123" x14ac:dyDescent="0.3">
      <c r="A4280" t="str">
        <f t="shared" si="1577"/>
        <v>10/04/2022 19:37:04.111</v>
      </c>
      <c r="C4280" t="str">
        <f t="shared" si="1574"/>
        <v>FFDFD3C0</v>
      </c>
      <c r="D4280" t="s">
        <v>147</v>
      </c>
      <c r="E4280">
        <v>3</v>
      </c>
      <c r="H4280">
        <v>166</v>
      </c>
      <c r="I4280" t="s">
        <v>144</v>
      </c>
      <c r="J4280" t="s">
        <v>148</v>
      </c>
      <c r="K4280">
        <v>0</v>
      </c>
      <c r="L4280">
        <v>3</v>
      </c>
      <c r="M4280">
        <v>0</v>
      </c>
      <c r="N4280">
        <v>2</v>
      </c>
      <c r="O4280">
        <v>0</v>
      </c>
      <c r="P4280">
        <v>1</v>
      </c>
      <c r="Q4280">
        <v>0</v>
      </c>
      <c r="S4280" t="str">
        <f t="shared" si="1575"/>
        <v>19:37:03.000</v>
      </c>
      <c r="T4280" t="str">
        <f t="shared" si="1575"/>
        <v>19:37:03.000</v>
      </c>
      <c r="U4280" t="str">
        <f t="shared" si="1559"/>
        <v>AC3944</v>
      </c>
      <c r="V4280">
        <v>0</v>
      </c>
      <c r="W4280">
        <v>0</v>
      </c>
      <c r="X4280">
        <v>2</v>
      </c>
      <c r="Y4280">
        <v>0</v>
      </c>
      <c r="AA4280">
        <v>1</v>
      </c>
      <c r="AB4280">
        <v>8</v>
      </c>
      <c r="AC4280">
        <v>3</v>
      </c>
      <c r="AD4280">
        <v>0</v>
      </c>
      <c r="AE4280">
        <v>9</v>
      </c>
      <c r="AF4280" t="s">
        <v>138</v>
      </c>
      <c r="AG4280">
        <v>0</v>
      </c>
      <c r="AH4280">
        <v>3</v>
      </c>
      <c r="AI4280">
        <v>1</v>
      </c>
      <c r="AJ4280">
        <v>0</v>
      </c>
      <c r="AK4280" t="s">
        <v>1361</v>
      </c>
      <c r="AL4280">
        <v>32.745050999999997</v>
      </c>
      <c r="AM4280" t="s">
        <v>1362</v>
      </c>
      <c r="AN4280">
        <v>-116.689954</v>
      </c>
      <c r="AO4280">
        <v>25</v>
      </c>
      <c r="AP4280">
        <v>5000</v>
      </c>
      <c r="AQ4280" t="s">
        <v>129</v>
      </c>
      <c r="AR4280">
        <v>-119</v>
      </c>
      <c r="AS4280">
        <v>-85</v>
      </c>
      <c r="AT4280">
        <v>192</v>
      </c>
      <c r="BB4280">
        <v>1200</v>
      </c>
      <c r="BC4280">
        <v>1</v>
      </c>
      <c r="BD4280" t="str">
        <f t="shared" si="1560"/>
        <v xml:space="preserve">N887QR  </v>
      </c>
      <c r="BE4280">
        <v>1</v>
      </c>
      <c r="BG4280">
        <v>0</v>
      </c>
      <c r="BH4280">
        <v>0</v>
      </c>
      <c r="BI4280">
        <v>0</v>
      </c>
      <c r="BJ4280">
        <v>4775</v>
      </c>
      <c r="BK4280">
        <v>-225</v>
      </c>
      <c r="BL4280" t="s">
        <v>163</v>
      </c>
      <c r="BM4280">
        <v>1</v>
      </c>
      <c r="BN4280">
        <v>1</v>
      </c>
      <c r="BO4280">
        <v>1</v>
      </c>
      <c r="BP4280">
        <v>0</v>
      </c>
      <c r="BS4280">
        <v>0</v>
      </c>
      <c r="BT4280">
        <v>0</v>
      </c>
      <c r="BU4280">
        <v>0</v>
      </c>
      <c r="CE4280" t="str">
        <f t="shared" si="1578"/>
        <v>19:37:03.837</v>
      </c>
      <c r="CF4280">
        <v>837135207</v>
      </c>
      <c r="CS4280">
        <v>0</v>
      </c>
      <c r="CT4280">
        <v>2</v>
      </c>
      <c r="CU4280">
        <v>0</v>
      </c>
      <c r="CV4280">
        <v>2</v>
      </c>
      <c r="CW4280">
        <v>0</v>
      </c>
      <c r="CX4280">
        <v>6</v>
      </c>
      <c r="CY4280">
        <v>7</v>
      </c>
      <c r="CZ4280" t="s">
        <v>131</v>
      </c>
      <c r="DA4280">
        <v>286</v>
      </c>
      <c r="DB4280">
        <v>0</v>
      </c>
      <c r="DC4280" t="s">
        <v>132</v>
      </c>
      <c r="DD4280" t="s">
        <v>133</v>
      </c>
      <c r="DG4280">
        <v>907753</v>
      </c>
      <c r="DI4280">
        <v>1</v>
      </c>
      <c r="DJ4280">
        <v>0</v>
      </c>
      <c r="DK4280">
        <v>1</v>
      </c>
      <c r="DL4280">
        <v>0</v>
      </c>
      <c r="DM4280">
        <v>0</v>
      </c>
      <c r="DN4280">
        <v>1</v>
      </c>
      <c r="DO4280">
        <v>0</v>
      </c>
      <c r="DP4280">
        <v>0</v>
      </c>
      <c r="DQ4280">
        <v>0</v>
      </c>
      <c r="DR4280">
        <v>0</v>
      </c>
      <c r="DS4280">
        <v>0</v>
      </c>
    </row>
    <row r="4281" spans="1:123" x14ac:dyDescent="0.3">
      <c r="A4281" t="str">
        <f t="shared" si="1577"/>
        <v>10/04/2022 19:37:04.111</v>
      </c>
      <c r="C4281" t="str">
        <f t="shared" si="1574"/>
        <v>FFDFD3C0</v>
      </c>
      <c r="D4281" t="s">
        <v>141</v>
      </c>
      <c r="E4281">
        <v>3</v>
      </c>
      <c r="H4281">
        <v>3</v>
      </c>
      <c r="I4281" t="s">
        <v>146</v>
      </c>
      <c r="J4281" t="s">
        <v>138</v>
      </c>
      <c r="K4281">
        <v>0</v>
      </c>
      <c r="L4281">
        <v>3</v>
      </c>
      <c r="M4281">
        <v>0</v>
      </c>
      <c r="N4281">
        <v>2</v>
      </c>
      <c r="O4281">
        <v>0</v>
      </c>
      <c r="P4281">
        <v>1</v>
      </c>
      <c r="Q4281">
        <v>0</v>
      </c>
      <c r="S4281" t="str">
        <f t="shared" si="1575"/>
        <v>19:37:03.000</v>
      </c>
      <c r="T4281" t="str">
        <f t="shared" si="1575"/>
        <v>19:37:03.000</v>
      </c>
      <c r="U4281" t="str">
        <f t="shared" si="1559"/>
        <v>AC3944</v>
      </c>
      <c r="V4281">
        <v>0</v>
      </c>
      <c r="W4281">
        <v>0</v>
      </c>
      <c r="X4281">
        <v>2</v>
      </c>
      <c r="Y4281">
        <v>0</v>
      </c>
      <c r="AA4281">
        <v>1</v>
      </c>
      <c r="AB4281">
        <v>8</v>
      </c>
      <c r="AC4281">
        <v>3</v>
      </c>
      <c r="AD4281">
        <v>0</v>
      </c>
      <c r="AE4281">
        <v>9</v>
      </c>
      <c r="AF4281" t="s">
        <v>138</v>
      </c>
      <c r="AG4281">
        <v>0</v>
      </c>
      <c r="AH4281">
        <v>3</v>
      </c>
      <c r="AI4281">
        <v>1</v>
      </c>
      <c r="AJ4281">
        <v>0</v>
      </c>
      <c r="AK4281" t="s">
        <v>1361</v>
      </c>
      <c r="AL4281">
        <v>32.745050999999997</v>
      </c>
      <c r="AM4281" t="s">
        <v>1362</v>
      </c>
      <c r="AN4281">
        <v>-116.689954</v>
      </c>
      <c r="AO4281">
        <v>25</v>
      </c>
      <c r="AP4281">
        <v>5000</v>
      </c>
      <c r="AQ4281" t="s">
        <v>129</v>
      </c>
      <c r="AR4281">
        <v>-119</v>
      </c>
      <c r="AS4281">
        <v>-85</v>
      </c>
      <c r="AT4281">
        <v>192</v>
      </c>
      <c r="BB4281">
        <v>1200</v>
      </c>
      <c r="BC4281">
        <v>1</v>
      </c>
      <c r="BD4281" t="str">
        <f t="shared" si="1560"/>
        <v xml:space="preserve">N887QR  </v>
      </c>
      <c r="BE4281">
        <v>1</v>
      </c>
      <c r="BG4281">
        <v>0</v>
      </c>
      <c r="BH4281">
        <v>0</v>
      </c>
      <c r="BI4281">
        <v>0</v>
      </c>
      <c r="BJ4281">
        <v>4775</v>
      </c>
      <c r="BK4281">
        <v>-225</v>
      </c>
      <c r="BL4281" t="s">
        <v>163</v>
      </c>
      <c r="BM4281">
        <v>1</v>
      </c>
      <c r="BN4281">
        <v>1</v>
      </c>
      <c r="BO4281">
        <v>1</v>
      </c>
      <c r="BP4281">
        <v>0</v>
      </c>
      <c r="BS4281">
        <v>0</v>
      </c>
      <c r="BT4281">
        <v>0</v>
      </c>
      <c r="BU4281">
        <v>0</v>
      </c>
      <c r="CE4281" t="str">
        <f t="shared" si="1578"/>
        <v>19:37:03.837</v>
      </c>
      <c r="CF4281">
        <v>837135207</v>
      </c>
      <c r="CS4281">
        <v>0</v>
      </c>
      <c r="CT4281">
        <v>2</v>
      </c>
      <c r="CU4281">
        <v>0</v>
      </c>
      <c r="CV4281">
        <v>2</v>
      </c>
      <c r="CW4281">
        <v>0</v>
      </c>
      <c r="CX4281">
        <v>6</v>
      </c>
      <c r="CY4281">
        <v>7</v>
      </c>
      <c r="CZ4281" t="s">
        <v>131</v>
      </c>
      <c r="DA4281">
        <v>286</v>
      </c>
      <c r="DB4281">
        <v>0</v>
      </c>
      <c r="DC4281" t="s">
        <v>132</v>
      </c>
      <c r="DD4281" t="s">
        <v>133</v>
      </c>
      <c r="DG4281">
        <v>907753</v>
      </c>
      <c r="DI4281">
        <v>1</v>
      </c>
      <c r="DJ4281">
        <v>0</v>
      </c>
      <c r="DK4281">
        <v>1</v>
      </c>
      <c r="DL4281">
        <v>0</v>
      </c>
      <c r="DM4281">
        <v>0</v>
      </c>
      <c r="DN4281">
        <v>1</v>
      </c>
      <c r="DO4281">
        <v>0</v>
      </c>
      <c r="DP4281">
        <v>0</v>
      </c>
      <c r="DQ4281">
        <v>0</v>
      </c>
      <c r="DR4281">
        <v>0</v>
      </c>
      <c r="DS4281">
        <v>0</v>
      </c>
    </row>
    <row r="4282" spans="1:123" x14ac:dyDescent="0.3">
      <c r="A4282" t="str">
        <f>"10/04/2022 19:37:05.064"</f>
        <v>10/04/2022 19:37:05.064</v>
      </c>
      <c r="C4282" t="str">
        <f t="shared" si="1574"/>
        <v>FFDFD3C0</v>
      </c>
      <c r="D4282" t="s">
        <v>123</v>
      </c>
      <c r="E4282">
        <v>7</v>
      </c>
      <c r="F4282">
        <v>2007</v>
      </c>
      <c r="G4282" t="s">
        <v>124</v>
      </c>
      <c r="J4282" t="s">
        <v>125</v>
      </c>
      <c r="K4282">
        <v>0</v>
      </c>
      <c r="L4282">
        <v>3</v>
      </c>
      <c r="M4282">
        <v>0</v>
      </c>
      <c r="N4282">
        <v>2</v>
      </c>
      <c r="O4282">
        <v>0</v>
      </c>
      <c r="P4282">
        <v>1</v>
      </c>
      <c r="Q4282">
        <v>0</v>
      </c>
      <c r="S4282" t="str">
        <f t="shared" ref="S4282:T4288" si="1579">"19:37:04.000"</f>
        <v>19:37:04.000</v>
      </c>
      <c r="T4282" t="str">
        <f t="shared" si="1579"/>
        <v>19:37:04.000</v>
      </c>
      <c r="U4282" t="str">
        <f t="shared" si="1559"/>
        <v>AC3944</v>
      </c>
      <c r="V4282">
        <v>0</v>
      </c>
      <c r="W4282">
        <v>0</v>
      </c>
      <c r="X4282">
        <v>2</v>
      </c>
      <c r="Y4282">
        <v>0</v>
      </c>
      <c r="AA4282">
        <v>1</v>
      </c>
      <c r="AB4282">
        <v>8</v>
      </c>
      <c r="AC4282">
        <v>3</v>
      </c>
      <c r="AD4282">
        <v>0</v>
      </c>
      <c r="AE4282">
        <v>9</v>
      </c>
      <c r="AF4282" t="s">
        <v>138</v>
      </c>
      <c r="AG4282">
        <v>0</v>
      </c>
      <c r="AH4282">
        <v>3</v>
      </c>
      <c r="AI4282">
        <v>1</v>
      </c>
      <c r="AJ4282">
        <v>0</v>
      </c>
      <c r="AK4282" t="s">
        <v>1363</v>
      </c>
      <c r="AL4282">
        <v>32.744557999999998</v>
      </c>
      <c r="AM4282" t="s">
        <v>1364</v>
      </c>
      <c r="AN4282">
        <v>-116.690726</v>
      </c>
      <c r="AO4282">
        <v>25</v>
      </c>
      <c r="AP4282">
        <v>5000</v>
      </c>
      <c r="AQ4282" t="s">
        <v>129</v>
      </c>
      <c r="AR4282">
        <v>-118</v>
      </c>
      <c r="AS4282">
        <v>-90</v>
      </c>
      <c r="AT4282">
        <v>-128</v>
      </c>
      <c r="BB4282">
        <v>1200</v>
      </c>
      <c r="BC4282">
        <v>1</v>
      </c>
      <c r="BD4282" t="str">
        <f t="shared" si="1560"/>
        <v xml:space="preserve">N887QR  </v>
      </c>
      <c r="BE4282">
        <v>1</v>
      </c>
      <c r="BG4282">
        <v>0</v>
      </c>
      <c r="BH4282">
        <v>0</v>
      </c>
      <c r="BI4282">
        <v>0</v>
      </c>
      <c r="BJ4282">
        <v>4775</v>
      </c>
      <c r="BK4282">
        <v>-225</v>
      </c>
      <c r="BL4282" t="s">
        <v>163</v>
      </c>
      <c r="BM4282">
        <v>1</v>
      </c>
      <c r="BN4282">
        <v>1</v>
      </c>
      <c r="BO4282">
        <v>1</v>
      </c>
      <c r="BP4282">
        <v>0</v>
      </c>
      <c r="BS4282">
        <v>0</v>
      </c>
      <c r="BT4282">
        <v>0</v>
      </c>
      <c r="BU4282">
        <v>0</v>
      </c>
      <c r="CE4282" t="str">
        <f t="shared" ref="CE4282:CE4288" si="1580">"19:37:04.811"</f>
        <v>19:37:04.811</v>
      </c>
      <c r="CF4282">
        <v>810888103</v>
      </c>
      <c r="CS4282">
        <v>0</v>
      </c>
      <c r="CT4282">
        <v>2</v>
      </c>
      <c r="CU4282">
        <v>0</v>
      </c>
      <c r="CV4282">
        <v>2</v>
      </c>
      <c r="CW4282">
        <v>0</v>
      </c>
      <c r="CX4282">
        <v>6</v>
      </c>
      <c r="CY4282">
        <v>7</v>
      </c>
      <c r="CZ4282" t="s">
        <v>131</v>
      </c>
      <c r="DA4282">
        <v>286</v>
      </c>
      <c r="DB4282">
        <v>0</v>
      </c>
      <c r="DC4282" t="s">
        <v>132</v>
      </c>
      <c r="DD4282" t="s">
        <v>133</v>
      </c>
      <c r="DG4282">
        <v>907994</v>
      </c>
      <c r="DI4282">
        <v>1</v>
      </c>
      <c r="DJ4282">
        <v>0</v>
      </c>
      <c r="DK4282">
        <v>0</v>
      </c>
      <c r="DL4282">
        <v>0</v>
      </c>
      <c r="DM4282">
        <v>0</v>
      </c>
      <c r="DN4282">
        <v>1</v>
      </c>
      <c r="DO4282">
        <v>0</v>
      </c>
      <c r="DP4282">
        <v>0</v>
      </c>
      <c r="DQ4282">
        <v>0</v>
      </c>
      <c r="DR4282">
        <v>0</v>
      </c>
      <c r="DS4282">
        <v>0</v>
      </c>
    </row>
    <row r="4283" spans="1:123" x14ac:dyDescent="0.3">
      <c r="A4283" t="str">
        <f>"10/04/2022 19:37:05.064"</f>
        <v>10/04/2022 19:37:05.064</v>
      </c>
      <c r="C4283" t="str">
        <f t="shared" si="1574"/>
        <v>FFDFD3C0</v>
      </c>
      <c r="D4283" t="s">
        <v>141</v>
      </c>
      <c r="E4283">
        <v>4</v>
      </c>
      <c r="H4283">
        <v>4</v>
      </c>
      <c r="I4283" t="s">
        <v>142</v>
      </c>
      <c r="J4283" t="s">
        <v>138</v>
      </c>
      <c r="K4283">
        <v>0</v>
      </c>
      <c r="L4283">
        <v>3</v>
      </c>
      <c r="M4283">
        <v>0</v>
      </c>
      <c r="N4283">
        <v>2</v>
      </c>
      <c r="O4283">
        <v>0</v>
      </c>
      <c r="P4283">
        <v>1</v>
      </c>
      <c r="Q4283">
        <v>0</v>
      </c>
      <c r="S4283" t="str">
        <f t="shared" si="1579"/>
        <v>19:37:04.000</v>
      </c>
      <c r="T4283" t="str">
        <f t="shared" si="1579"/>
        <v>19:37:04.000</v>
      </c>
      <c r="U4283" t="str">
        <f t="shared" si="1559"/>
        <v>AC3944</v>
      </c>
      <c r="V4283">
        <v>0</v>
      </c>
      <c r="W4283">
        <v>0</v>
      </c>
      <c r="X4283">
        <v>2</v>
      </c>
      <c r="Y4283">
        <v>0</v>
      </c>
      <c r="AA4283">
        <v>1</v>
      </c>
      <c r="AB4283">
        <v>8</v>
      </c>
      <c r="AC4283">
        <v>3</v>
      </c>
      <c r="AD4283">
        <v>0</v>
      </c>
      <c r="AE4283">
        <v>9</v>
      </c>
      <c r="AF4283" t="s">
        <v>138</v>
      </c>
      <c r="AG4283">
        <v>0</v>
      </c>
      <c r="AH4283">
        <v>3</v>
      </c>
      <c r="AI4283">
        <v>1</v>
      </c>
      <c r="AJ4283">
        <v>0</v>
      </c>
      <c r="AK4283" t="s">
        <v>1363</v>
      </c>
      <c r="AL4283">
        <v>32.744557999999998</v>
      </c>
      <c r="AM4283" t="s">
        <v>1364</v>
      </c>
      <c r="AN4283">
        <v>-116.690726</v>
      </c>
      <c r="AO4283">
        <v>25</v>
      </c>
      <c r="AP4283">
        <v>5000</v>
      </c>
      <c r="AQ4283" t="s">
        <v>129</v>
      </c>
      <c r="AR4283">
        <v>-118</v>
      </c>
      <c r="AS4283">
        <v>-90</v>
      </c>
      <c r="AT4283">
        <v>-128</v>
      </c>
      <c r="BB4283">
        <v>1200</v>
      </c>
      <c r="BC4283">
        <v>1</v>
      </c>
      <c r="BD4283" t="str">
        <f t="shared" si="1560"/>
        <v xml:space="preserve">N887QR  </v>
      </c>
      <c r="BE4283">
        <v>1</v>
      </c>
      <c r="BG4283">
        <v>0</v>
      </c>
      <c r="BH4283">
        <v>0</v>
      </c>
      <c r="BI4283">
        <v>0</v>
      </c>
      <c r="BJ4283">
        <v>4775</v>
      </c>
      <c r="BK4283">
        <v>-225</v>
      </c>
      <c r="BL4283" t="s">
        <v>163</v>
      </c>
      <c r="BM4283">
        <v>1</v>
      </c>
      <c r="BN4283">
        <v>1</v>
      </c>
      <c r="BO4283">
        <v>1</v>
      </c>
      <c r="BP4283">
        <v>0</v>
      </c>
      <c r="BS4283">
        <v>0</v>
      </c>
      <c r="BT4283">
        <v>0</v>
      </c>
      <c r="BU4283">
        <v>0</v>
      </c>
      <c r="CE4283" t="str">
        <f t="shared" si="1580"/>
        <v>19:37:04.811</v>
      </c>
      <c r="CF4283">
        <v>810888103</v>
      </c>
      <c r="CS4283">
        <v>0</v>
      </c>
      <c r="CT4283">
        <v>2</v>
      </c>
      <c r="CU4283">
        <v>0</v>
      </c>
      <c r="CV4283">
        <v>2</v>
      </c>
      <c r="CW4283">
        <v>0</v>
      </c>
      <c r="CX4283">
        <v>6</v>
      </c>
      <c r="CY4283">
        <v>7</v>
      </c>
      <c r="CZ4283" t="s">
        <v>131</v>
      </c>
      <c r="DA4283">
        <v>286</v>
      </c>
      <c r="DB4283">
        <v>0</v>
      </c>
      <c r="DC4283" t="s">
        <v>132</v>
      </c>
      <c r="DD4283" t="s">
        <v>133</v>
      </c>
      <c r="DG4283">
        <v>907994</v>
      </c>
      <c r="DI4283">
        <v>1</v>
      </c>
      <c r="DJ4283">
        <v>0</v>
      </c>
      <c r="DK4283">
        <v>1</v>
      </c>
      <c r="DL4283">
        <v>0</v>
      </c>
      <c r="DM4283">
        <v>0</v>
      </c>
      <c r="DN4283">
        <v>1</v>
      </c>
      <c r="DO4283">
        <v>0</v>
      </c>
      <c r="DP4283">
        <v>0</v>
      </c>
      <c r="DQ4283">
        <v>0</v>
      </c>
      <c r="DR4283">
        <v>0</v>
      </c>
      <c r="DS4283">
        <v>0</v>
      </c>
    </row>
    <row r="4284" spans="1:123" x14ac:dyDescent="0.3">
      <c r="A4284" t="str">
        <f>"10/04/2022 19:37:05.080"</f>
        <v>10/04/2022 19:37:05.080</v>
      </c>
      <c r="C4284" t="str">
        <f t="shared" si="1574"/>
        <v>FFDFD3C0</v>
      </c>
      <c r="D4284" t="s">
        <v>147</v>
      </c>
      <c r="E4284">
        <v>3</v>
      </c>
      <c r="H4284">
        <v>166</v>
      </c>
      <c r="I4284" t="s">
        <v>144</v>
      </c>
      <c r="J4284" t="s">
        <v>148</v>
      </c>
      <c r="K4284">
        <v>0</v>
      </c>
      <c r="L4284">
        <v>3</v>
      </c>
      <c r="M4284">
        <v>0</v>
      </c>
      <c r="N4284">
        <v>2</v>
      </c>
      <c r="O4284">
        <v>0</v>
      </c>
      <c r="P4284">
        <v>1</v>
      </c>
      <c r="Q4284">
        <v>0</v>
      </c>
      <c r="S4284" t="str">
        <f t="shared" si="1579"/>
        <v>19:37:04.000</v>
      </c>
      <c r="T4284" t="str">
        <f t="shared" si="1579"/>
        <v>19:37:04.000</v>
      </c>
      <c r="U4284" t="str">
        <f t="shared" si="1559"/>
        <v>AC3944</v>
      </c>
      <c r="V4284">
        <v>0</v>
      </c>
      <c r="W4284">
        <v>0</v>
      </c>
      <c r="X4284">
        <v>2</v>
      </c>
      <c r="Y4284">
        <v>0</v>
      </c>
      <c r="AA4284">
        <v>1</v>
      </c>
      <c r="AB4284">
        <v>8</v>
      </c>
      <c r="AC4284">
        <v>3</v>
      </c>
      <c r="AD4284">
        <v>0</v>
      </c>
      <c r="AE4284">
        <v>9</v>
      </c>
      <c r="AF4284" t="s">
        <v>138</v>
      </c>
      <c r="AG4284">
        <v>0</v>
      </c>
      <c r="AH4284">
        <v>3</v>
      </c>
      <c r="AI4284">
        <v>1</v>
      </c>
      <c r="AJ4284">
        <v>0</v>
      </c>
      <c r="AK4284" t="s">
        <v>1363</v>
      </c>
      <c r="AL4284">
        <v>32.744557999999998</v>
      </c>
      <c r="AM4284" t="s">
        <v>1364</v>
      </c>
      <c r="AN4284">
        <v>-116.690726</v>
      </c>
      <c r="AO4284">
        <v>25</v>
      </c>
      <c r="AP4284">
        <v>5000</v>
      </c>
      <c r="AQ4284" t="s">
        <v>129</v>
      </c>
      <c r="AR4284">
        <v>-118</v>
      </c>
      <c r="AS4284">
        <v>-90</v>
      </c>
      <c r="AT4284">
        <v>-128</v>
      </c>
      <c r="BB4284">
        <v>1200</v>
      </c>
      <c r="BC4284">
        <v>1</v>
      </c>
      <c r="BD4284" t="str">
        <f t="shared" si="1560"/>
        <v xml:space="preserve">N887QR  </v>
      </c>
      <c r="BE4284">
        <v>1</v>
      </c>
      <c r="BG4284">
        <v>0</v>
      </c>
      <c r="BH4284">
        <v>0</v>
      </c>
      <c r="BI4284">
        <v>0</v>
      </c>
      <c r="BJ4284">
        <v>4775</v>
      </c>
      <c r="BK4284">
        <v>-225</v>
      </c>
      <c r="BL4284" t="s">
        <v>163</v>
      </c>
      <c r="BM4284">
        <v>1</v>
      </c>
      <c r="BN4284">
        <v>1</v>
      </c>
      <c r="BO4284">
        <v>1</v>
      </c>
      <c r="BP4284">
        <v>0</v>
      </c>
      <c r="BS4284">
        <v>0</v>
      </c>
      <c r="BT4284">
        <v>0</v>
      </c>
      <c r="BU4284">
        <v>0</v>
      </c>
      <c r="CE4284" t="str">
        <f t="shared" si="1580"/>
        <v>19:37:04.811</v>
      </c>
      <c r="CF4284">
        <v>810888103</v>
      </c>
      <c r="CS4284">
        <v>0</v>
      </c>
      <c r="CT4284">
        <v>2</v>
      </c>
      <c r="CU4284">
        <v>0</v>
      </c>
      <c r="CV4284">
        <v>2</v>
      </c>
      <c r="CW4284">
        <v>0</v>
      </c>
      <c r="CX4284">
        <v>6</v>
      </c>
      <c r="CY4284">
        <v>7</v>
      </c>
      <c r="CZ4284" t="s">
        <v>131</v>
      </c>
      <c r="DA4284">
        <v>286</v>
      </c>
      <c r="DB4284">
        <v>0</v>
      </c>
      <c r="DC4284" t="s">
        <v>132</v>
      </c>
      <c r="DD4284" t="s">
        <v>133</v>
      </c>
      <c r="DG4284">
        <v>907994</v>
      </c>
      <c r="DI4284">
        <v>1</v>
      </c>
      <c r="DJ4284">
        <v>0</v>
      </c>
      <c r="DK4284">
        <v>1</v>
      </c>
      <c r="DL4284">
        <v>0</v>
      </c>
      <c r="DM4284">
        <v>0</v>
      </c>
      <c r="DN4284">
        <v>1</v>
      </c>
      <c r="DO4284">
        <v>0</v>
      </c>
      <c r="DP4284">
        <v>0</v>
      </c>
      <c r="DQ4284">
        <v>0</v>
      </c>
      <c r="DR4284">
        <v>0</v>
      </c>
      <c r="DS4284">
        <v>0</v>
      </c>
    </row>
    <row r="4285" spans="1:123" x14ac:dyDescent="0.3">
      <c r="A4285" t="str">
        <f>"10/04/2022 19:37:05.080"</f>
        <v>10/04/2022 19:37:05.080</v>
      </c>
      <c r="C4285" t="str">
        <f t="shared" si="1574"/>
        <v>FFDFD3C0</v>
      </c>
      <c r="D4285" t="s">
        <v>134</v>
      </c>
      <c r="E4285">
        <v>15</v>
      </c>
      <c r="J4285" t="s">
        <v>135</v>
      </c>
      <c r="K4285">
        <v>0</v>
      </c>
      <c r="L4285">
        <v>3</v>
      </c>
      <c r="M4285">
        <v>0</v>
      </c>
      <c r="N4285">
        <v>2</v>
      </c>
      <c r="O4285">
        <v>0</v>
      </c>
      <c r="P4285">
        <v>1</v>
      </c>
      <c r="Q4285">
        <v>0</v>
      </c>
      <c r="S4285" t="str">
        <f t="shared" si="1579"/>
        <v>19:37:04.000</v>
      </c>
      <c r="T4285" t="str">
        <f t="shared" si="1579"/>
        <v>19:37:04.000</v>
      </c>
      <c r="U4285" t="str">
        <f t="shared" si="1559"/>
        <v>AC3944</v>
      </c>
      <c r="V4285">
        <v>0</v>
      </c>
      <c r="W4285">
        <v>0</v>
      </c>
      <c r="X4285">
        <v>2</v>
      </c>
      <c r="Y4285">
        <v>0</v>
      </c>
      <c r="AA4285">
        <v>1</v>
      </c>
      <c r="AB4285">
        <v>8</v>
      </c>
      <c r="AC4285">
        <v>3</v>
      </c>
      <c r="AD4285">
        <v>0</v>
      </c>
      <c r="AE4285">
        <v>9</v>
      </c>
      <c r="AF4285" t="s">
        <v>138</v>
      </c>
      <c r="AG4285">
        <v>0</v>
      </c>
      <c r="AH4285">
        <v>3</v>
      </c>
      <c r="AI4285">
        <v>1</v>
      </c>
      <c r="AJ4285">
        <v>0</v>
      </c>
      <c r="AK4285" t="s">
        <v>1363</v>
      </c>
      <c r="AL4285">
        <v>32.744557999999998</v>
      </c>
      <c r="AM4285" t="s">
        <v>1364</v>
      </c>
      <c r="AN4285">
        <v>-116.690726</v>
      </c>
      <c r="AO4285">
        <v>25</v>
      </c>
      <c r="AP4285">
        <v>5000</v>
      </c>
      <c r="AQ4285" t="s">
        <v>129</v>
      </c>
      <c r="AR4285">
        <v>-118</v>
      </c>
      <c r="AS4285">
        <v>-90</v>
      </c>
      <c r="AT4285">
        <v>-128</v>
      </c>
      <c r="BB4285">
        <v>1200</v>
      </c>
      <c r="BC4285">
        <v>1</v>
      </c>
      <c r="BD4285" t="str">
        <f t="shared" si="1560"/>
        <v xml:space="preserve">N887QR  </v>
      </c>
      <c r="BE4285">
        <v>1</v>
      </c>
      <c r="BG4285">
        <v>0</v>
      </c>
      <c r="BH4285">
        <v>0</v>
      </c>
      <c r="BI4285">
        <v>0</v>
      </c>
      <c r="BJ4285">
        <v>4775</v>
      </c>
      <c r="BK4285">
        <v>-225</v>
      </c>
      <c r="BL4285" t="s">
        <v>163</v>
      </c>
      <c r="BM4285">
        <v>1</v>
      </c>
      <c r="BN4285">
        <v>1</v>
      </c>
      <c r="BO4285">
        <v>1</v>
      </c>
      <c r="BP4285">
        <v>0</v>
      </c>
      <c r="BS4285">
        <v>0</v>
      </c>
      <c r="BT4285">
        <v>0</v>
      </c>
      <c r="BU4285">
        <v>0</v>
      </c>
      <c r="CE4285" t="str">
        <f t="shared" si="1580"/>
        <v>19:37:04.811</v>
      </c>
      <c r="CF4285">
        <v>810888103</v>
      </c>
      <c r="CS4285">
        <v>0</v>
      </c>
      <c r="CT4285">
        <v>2</v>
      </c>
      <c r="CU4285">
        <v>0</v>
      </c>
      <c r="CV4285">
        <v>2</v>
      </c>
      <c r="CW4285">
        <v>0</v>
      </c>
      <c r="CX4285">
        <v>6</v>
      </c>
      <c r="CY4285">
        <v>7</v>
      </c>
      <c r="CZ4285" t="s">
        <v>131</v>
      </c>
      <c r="DA4285">
        <v>286</v>
      </c>
      <c r="DB4285">
        <v>0</v>
      </c>
      <c r="DC4285" t="s">
        <v>132</v>
      </c>
      <c r="DD4285" t="s">
        <v>133</v>
      </c>
      <c r="DG4285">
        <v>907994</v>
      </c>
      <c r="DI4285">
        <v>1</v>
      </c>
      <c r="DJ4285">
        <v>0</v>
      </c>
      <c r="DK4285">
        <v>1</v>
      </c>
      <c r="DL4285">
        <v>0</v>
      </c>
      <c r="DM4285">
        <v>0</v>
      </c>
      <c r="DN4285">
        <v>1</v>
      </c>
      <c r="DO4285">
        <v>0</v>
      </c>
      <c r="DP4285">
        <v>0</v>
      </c>
      <c r="DQ4285">
        <v>0</v>
      </c>
      <c r="DR4285">
        <v>0</v>
      </c>
      <c r="DS4285">
        <v>0</v>
      </c>
    </row>
    <row r="4286" spans="1:123" x14ac:dyDescent="0.3">
      <c r="A4286" t="str">
        <f>"10/04/2022 19:37:05.080"</f>
        <v>10/04/2022 19:37:05.080</v>
      </c>
      <c r="C4286" t="str">
        <f t="shared" si="1574"/>
        <v>FFDFD3C0</v>
      </c>
      <c r="D4286" t="s">
        <v>141</v>
      </c>
      <c r="E4286">
        <v>3</v>
      </c>
      <c r="H4286">
        <v>3</v>
      </c>
      <c r="I4286" t="s">
        <v>146</v>
      </c>
      <c r="J4286" t="s">
        <v>138</v>
      </c>
      <c r="K4286">
        <v>0</v>
      </c>
      <c r="L4286">
        <v>3</v>
      </c>
      <c r="M4286">
        <v>0</v>
      </c>
      <c r="N4286">
        <v>2</v>
      </c>
      <c r="O4286">
        <v>0</v>
      </c>
      <c r="P4286">
        <v>1</v>
      </c>
      <c r="Q4286">
        <v>0</v>
      </c>
      <c r="S4286" t="str">
        <f t="shared" si="1579"/>
        <v>19:37:04.000</v>
      </c>
      <c r="T4286" t="str">
        <f t="shared" si="1579"/>
        <v>19:37:04.000</v>
      </c>
      <c r="U4286" t="str">
        <f t="shared" si="1559"/>
        <v>AC3944</v>
      </c>
      <c r="V4286">
        <v>0</v>
      </c>
      <c r="W4286">
        <v>0</v>
      </c>
      <c r="X4286">
        <v>2</v>
      </c>
      <c r="Y4286">
        <v>0</v>
      </c>
      <c r="AA4286">
        <v>1</v>
      </c>
      <c r="AB4286">
        <v>8</v>
      </c>
      <c r="AC4286">
        <v>3</v>
      </c>
      <c r="AD4286">
        <v>0</v>
      </c>
      <c r="AE4286">
        <v>9</v>
      </c>
      <c r="AF4286" t="s">
        <v>138</v>
      </c>
      <c r="AG4286">
        <v>0</v>
      </c>
      <c r="AH4286">
        <v>3</v>
      </c>
      <c r="AI4286">
        <v>1</v>
      </c>
      <c r="AJ4286">
        <v>0</v>
      </c>
      <c r="AK4286" t="s">
        <v>1363</v>
      </c>
      <c r="AL4286">
        <v>32.744557999999998</v>
      </c>
      <c r="AM4286" t="s">
        <v>1364</v>
      </c>
      <c r="AN4286">
        <v>-116.690726</v>
      </c>
      <c r="AO4286">
        <v>25</v>
      </c>
      <c r="AP4286">
        <v>5000</v>
      </c>
      <c r="AQ4286" t="s">
        <v>129</v>
      </c>
      <c r="AR4286">
        <v>-118</v>
      </c>
      <c r="AS4286">
        <v>-90</v>
      </c>
      <c r="AT4286">
        <v>-128</v>
      </c>
      <c r="BB4286">
        <v>1200</v>
      </c>
      <c r="BC4286">
        <v>1</v>
      </c>
      <c r="BD4286" t="str">
        <f t="shared" si="1560"/>
        <v xml:space="preserve">N887QR  </v>
      </c>
      <c r="BE4286">
        <v>1</v>
      </c>
      <c r="BG4286">
        <v>0</v>
      </c>
      <c r="BH4286">
        <v>0</v>
      </c>
      <c r="BI4286">
        <v>0</v>
      </c>
      <c r="BJ4286">
        <v>4775</v>
      </c>
      <c r="BK4286">
        <v>-225</v>
      </c>
      <c r="BL4286" t="s">
        <v>163</v>
      </c>
      <c r="BM4286">
        <v>1</v>
      </c>
      <c r="BN4286">
        <v>1</v>
      </c>
      <c r="BO4286">
        <v>1</v>
      </c>
      <c r="BP4286">
        <v>0</v>
      </c>
      <c r="BS4286">
        <v>0</v>
      </c>
      <c r="BT4286">
        <v>0</v>
      </c>
      <c r="BU4286">
        <v>0</v>
      </c>
      <c r="CE4286" t="str">
        <f t="shared" si="1580"/>
        <v>19:37:04.811</v>
      </c>
      <c r="CF4286">
        <v>810888103</v>
      </c>
      <c r="CS4286">
        <v>0</v>
      </c>
      <c r="CT4286">
        <v>2</v>
      </c>
      <c r="CU4286">
        <v>0</v>
      </c>
      <c r="CV4286">
        <v>2</v>
      </c>
      <c r="CW4286">
        <v>0</v>
      </c>
      <c r="CX4286">
        <v>6</v>
      </c>
      <c r="CY4286">
        <v>7</v>
      </c>
      <c r="CZ4286" t="s">
        <v>131</v>
      </c>
      <c r="DA4286">
        <v>286</v>
      </c>
      <c r="DB4286">
        <v>0</v>
      </c>
      <c r="DC4286" t="s">
        <v>132</v>
      </c>
      <c r="DD4286" t="s">
        <v>133</v>
      </c>
      <c r="DG4286">
        <v>907994</v>
      </c>
      <c r="DI4286">
        <v>1</v>
      </c>
      <c r="DJ4286">
        <v>0</v>
      </c>
      <c r="DK4286">
        <v>1</v>
      </c>
      <c r="DL4286">
        <v>0</v>
      </c>
      <c r="DM4286">
        <v>0</v>
      </c>
      <c r="DN4286">
        <v>1</v>
      </c>
      <c r="DO4286">
        <v>0</v>
      </c>
      <c r="DP4286">
        <v>0</v>
      </c>
      <c r="DQ4286">
        <v>0</v>
      </c>
      <c r="DR4286">
        <v>0</v>
      </c>
      <c r="DS4286">
        <v>0</v>
      </c>
    </row>
    <row r="4287" spans="1:123" x14ac:dyDescent="0.3">
      <c r="A4287" t="str">
        <f>"10/04/2022 19:37:05.080"</f>
        <v>10/04/2022 19:37:05.080</v>
      </c>
      <c r="C4287" t="str">
        <f t="shared" si="1574"/>
        <v>FFDFD3C0</v>
      </c>
      <c r="D4287" t="s">
        <v>136</v>
      </c>
      <c r="E4287">
        <v>8</v>
      </c>
      <c r="H4287">
        <v>225</v>
      </c>
      <c r="I4287" t="s">
        <v>137</v>
      </c>
      <c r="J4287" t="s">
        <v>138</v>
      </c>
      <c r="K4287">
        <v>0</v>
      </c>
      <c r="L4287">
        <v>3</v>
      </c>
      <c r="M4287">
        <v>0</v>
      </c>
      <c r="N4287">
        <v>2</v>
      </c>
      <c r="O4287">
        <v>0</v>
      </c>
      <c r="P4287">
        <v>1</v>
      </c>
      <c r="Q4287">
        <v>0</v>
      </c>
      <c r="S4287" t="str">
        <f t="shared" si="1579"/>
        <v>19:37:04.000</v>
      </c>
      <c r="T4287" t="str">
        <f t="shared" si="1579"/>
        <v>19:37:04.000</v>
      </c>
      <c r="U4287" t="str">
        <f t="shared" si="1559"/>
        <v>AC3944</v>
      </c>
      <c r="V4287">
        <v>0</v>
      </c>
      <c r="W4287">
        <v>0</v>
      </c>
      <c r="X4287">
        <v>2</v>
      </c>
      <c r="Y4287">
        <v>0</v>
      </c>
      <c r="AA4287">
        <v>1</v>
      </c>
      <c r="AB4287">
        <v>8</v>
      </c>
      <c r="AC4287">
        <v>3</v>
      </c>
      <c r="AD4287">
        <v>0</v>
      </c>
      <c r="AE4287">
        <v>9</v>
      </c>
      <c r="AF4287" t="s">
        <v>138</v>
      </c>
      <c r="AG4287">
        <v>0</v>
      </c>
      <c r="AH4287">
        <v>3</v>
      </c>
      <c r="AI4287">
        <v>1</v>
      </c>
      <c r="AJ4287">
        <v>0</v>
      </c>
      <c r="AK4287" t="s">
        <v>1363</v>
      </c>
      <c r="AL4287">
        <v>32.744557999999998</v>
      </c>
      <c r="AM4287" t="s">
        <v>1364</v>
      </c>
      <c r="AN4287">
        <v>-116.690726</v>
      </c>
      <c r="AO4287">
        <v>25</v>
      </c>
      <c r="AP4287">
        <v>5000</v>
      </c>
      <c r="AQ4287" t="s">
        <v>129</v>
      </c>
      <c r="AR4287">
        <v>-118</v>
      </c>
      <c r="AS4287">
        <v>-90</v>
      </c>
      <c r="AT4287">
        <v>-128</v>
      </c>
      <c r="BB4287">
        <v>1200</v>
      </c>
      <c r="BC4287">
        <v>1</v>
      </c>
      <c r="BD4287" t="str">
        <f t="shared" si="1560"/>
        <v xml:space="preserve">N887QR  </v>
      </c>
      <c r="BE4287">
        <v>1</v>
      </c>
      <c r="BG4287">
        <v>0</v>
      </c>
      <c r="BH4287">
        <v>0</v>
      </c>
      <c r="BI4287">
        <v>0</v>
      </c>
      <c r="BJ4287">
        <v>4775</v>
      </c>
      <c r="BK4287">
        <v>-225</v>
      </c>
      <c r="BL4287" t="s">
        <v>163</v>
      </c>
      <c r="BM4287">
        <v>1</v>
      </c>
      <c r="BN4287">
        <v>1</v>
      </c>
      <c r="BO4287">
        <v>1</v>
      </c>
      <c r="BP4287">
        <v>0</v>
      </c>
      <c r="BS4287">
        <v>0</v>
      </c>
      <c r="BT4287">
        <v>0</v>
      </c>
      <c r="BU4287">
        <v>0</v>
      </c>
      <c r="CE4287" t="str">
        <f t="shared" si="1580"/>
        <v>19:37:04.811</v>
      </c>
      <c r="CF4287">
        <v>810888103</v>
      </c>
      <c r="CS4287">
        <v>0</v>
      </c>
      <c r="CT4287">
        <v>2</v>
      </c>
      <c r="CU4287">
        <v>0</v>
      </c>
      <c r="CV4287">
        <v>2</v>
      </c>
      <c r="CW4287">
        <v>0</v>
      </c>
      <c r="CX4287">
        <v>6</v>
      </c>
      <c r="CY4287">
        <v>7</v>
      </c>
      <c r="CZ4287" t="s">
        <v>131</v>
      </c>
      <c r="DA4287">
        <v>286</v>
      </c>
      <c r="DB4287">
        <v>0</v>
      </c>
      <c r="DC4287" t="s">
        <v>132</v>
      </c>
      <c r="DD4287" t="s">
        <v>133</v>
      </c>
      <c r="DG4287">
        <v>907994</v>
      </c>
      <c r="DI4287">
        <v>1</v>
      </c>
      <c r="DJ4287">
        <v>0</v>
      </c>
      <c r="DK4287">
        <v>1</v>
      </c>
      <c r="DL4287">
        <v>0</v>
      </c>
      <c r="DM4287">
        <v>0</v>
      </c>
      <c r="DN4287">
        <v>1</v>
      </c>
      <c r="DO4287">
        <v>0</v>
      </c>
      <c r="DP4287">
        <v>0</v>
      </c>
      <c r="DQ4287">
        <v>0</v>
      </c>
      <c r="DR4287">
        <v>0</v>
      </c>
      <c r="DS4287">
        <v>0</v>
      </c>
    </row>
    <row r="4288" spans="1:123" x14ac:dyDescent="0.3">
      <c r="A4288" t="str">
        <f>"10/04/2022 19:37:05.080"</f>
        <v>10/04/2022 19:37:05.080</v>
      </c>
      <c r="C4288" t="str">
        <f t="shared" si="1574"/>
        <v>FFDFD3C0</v>
      </c>
      <c r="D4288" t="s">
        <v>143</v>
      </c>
      <c r="E4288">
        <v>20</v>
      </c>
      <c r="F4288">
        <v>1020</v>
      </c>
      <c r="G4288" t="s">
        <v>144</v>
      </c>
      <c r="J4288" t="s">
        <v>145</v>
      </c>
      <c r="K4288">
        <v>0</v>
      </c>
      <c r="L4288">
        <v>3</v>
      </c>
      <c r="M4288">
        <v>0</v>
      </c>
      <c r="N4288">
        <v>2</v>
      </c>
      <c r="O4288">
        <v>0</v>
      </c>
      <c r="P4288">
        <v>1</v>
      </c>
      <c r="Q4288">
        <v>0</v>
      </c>
      <c r="S4288" t="str">
        <f t="shared" si="1579"/>
        <v>19:37:04.000</v>
      </c>
      <c r="T4288" t="str">
        <f t="shared" si="1579"/>
        <v>19:37:04.000</v>
      </c>
      <c r="U4288" t="str">
        <f t="shared" si="1559"/>
        <v>AC3944</v>
      </c>
      <c r="V4288">
        <v>0</v>
      </c>
      <c r="W4288">
        <v>0</v>
      </c>
      <c r="X4288">
        <v>2</v>
      </c>
      <c r="Y4288">
        <v>0</v>
      </c>
      <c r="AA4288">
        <v>1</v>
      </c>
      <c r="AB4288">
        <v>8</v>
      </c>
      <c r="AC4288">
        <v>3</v>
      </c>
      <c r="AD4288">
        <v>0</v>
      </c>
      <c r="AE4288">
        <v>9</v>
      </c>
      <c r="AF4288" t="s">
        <v>138</v>
      </c>
      <c r="AG4288">
        <v>0</v>
      </c>
      <c r="AH4288">
        <v>3</v>
      </c>
      <c r="AI4288">
        <v>1</v>
      </c>
      <c r="AJ4288">
        <v>0</v>
      </c>
      <c r="AK4288" t="s">
        <v>1363</v>
      </c>
      <c r="AL4288">
        <v>32.744557999999998</v>
      </c>
      <c r="AM4288" t="s">
        <v>1364</v>
      </c>
      <c r="AN4288">
        <v>-116.690726</v>
      </c>
      <c r="AO4288">
        <v>25</v>
      </c>
      <c r="AP4288">
        <v>5000</v>
      </c>
      <c r="AQ4288" t="s">
        <v>129</v>
      </c>
      <c r="AR4288">
        <v>-118</v>
      </c>
      <c r="AS4288">
        <v>-90</v>
      </c>
      <c r="AT4288">
        <v>-128</v>
      </c>
      <c r="BB4288">
        <v>1200</v>
      </c>
      <c r="BC4288">
        <v>1</v>
      </c>
      <c r="BD4288" t="str">
        <f t="shared" si="1560"/>
        <v xml:space="preserve">N887QR  </v>
      </c>
      <c r="BE4288">
        <v>1</v>
      </c>
      <c r="BG4288">
        <v>0</v>
      </c>
      <c r="BH4288">
        <v>0</v>
      </c>
      <c r="BI4288">
        <v>0</v>
      </c>
      <c r="BJ4288">
        <v>4775</v>
      </c>
      <c r="BK4288">
        <v>-225</v>
      </c>
      <c r="BL4288" t="s">
        <v>163</v>
      </c>
      <c r="BM4288">
        <v>1</v>
      </c>
      <c r="BN4288">
        <v>1</v>
      </c>
      <c r="BO4288">
        <v>1</v>
      </c>
      <c r="BP4288">
        <v>0</v>
      </c>
      <c r="BS4288">
        <v>0</v>
      </c>
      <c r="BT4288">
        <v>0</v>
      </c>
      <c r="BU4288">
        <v>0</v>
      </c>
      <c r="CE4288" t="str">
        <f t="shared" si="1580"/>
        <v>19:37:04.811</v>
      </c>
      <c r="CF4288">
        <v>810888103</v>
      </c>
      <c r="CS4288">
        <v>0</v>
      </c>
      <c r="CT4288">
        <v>2</v>
      </c>
      <c r="CU4288">
        <v>0</v>
      </c>
      <c r="CV4288">
        <v>2</v>
      </c>
      <c r="CW4288">
        <v>0</v>
      </c>
      <c r="CX4288">
        <v>6</v>
      </c>
      <c r="CY4288">
        <v>7</v>
      </c>
      <c r="CZ4288" t="s">
        <v>131</v>
      </c>
      <c r="DA4288">
        <v>286</v>
      </c>
      <c r="DB4288">
        <v>0</v>
      </c>
      <c r="DC4288" t="s">
        <v>132</v>
      </c>
      <c r="DD4288" t="s">
        <v>133</v>
      </c>
      <c r="DG4288">
        <v>907994</v>
      </c>
      <c r="DI4288">
        <v>1</v>
      </c>
      <c r="DJ4288">
        <v>0</v>
      </c>
      <c r="DK4288">
        <v>1</v>
      </c>
      <c r="DL4288">
        <v>0</v>
      </c>
      <c r="DM4288">
        <v>0</v>
      </c>
      <c r="DN4288">
        <v>1</v>
      </c>
      <c r="DO4288">
        <v>0</v>
      </c>
      <c r="DP4288">
        <v>0</v>
      </c>
      <c r="DQ4288">
        <v>0</v>
      </c>
      <c r="DR4288">
        <v>0</v>
      </c>
      <c r="DS4288">
        <v>0</v>
      </c>
    </row>
    <row r="4289" spans="1:123" x14ac:dyDescent="0.3">
      <c r="A4289" t="str">
        <f>"10/04/2022 19:37:06.371"</f>
        <v>10/04/2022 19:37:06.371</v>
      </c>
      <c r="C4289" t="str">
        <f t="shared" si="1574"/>
        <v>FFDFD3C0</v>
      </c>
      <c r="D4289" t="s">
        <v>134</v>
      </c>
      <c r="E4289">
        <v>15</v>
      </c>
      <c r="J4289" t="s">
        <v>135</v>
      </c>
      <c r="K4289">
        <v>0</v>
      </c>
      <c r="L4289">
        <v>3</v>
      </c>
      <c r="M4289">
        <v>0</v>
      </c>
      <c r="N4289">
        <v>2</v>
      </c>
      <c r="O4289">
        <v>0</v>
      </c>
      <c r="P4289">
        <v>1</v>
      </c>
      <c r="Q4289">
        <v>0</v>
      </c>
      <c r="S4289" t="str">
        <f t="shared" ref="S4289:T4295" si="1581">"19:37:06.000"</f>
        <v>19:37:06.000</v>
      </c>
      <c r="T4289" t="str">
        <f t="shared" si="1581"/>
        <v>19:37:06.000</v>
      </c>
      <c r="U4289" t="str">
        <f t="shared" si="1559"/>
        <v>AC3944</v>
      </c>
      <c r="V4289">
        <v>0</v>
      </c>
      <c r="W4289">
        <v>0</v>
      </c>
      <c r="X4289">
        <v>2</v>
      </c>
      <c r="Y4289">
        <v>0</v>
      </c>
      <c r="AA4289">
        <v>1</v>
      </c>
      <c r="AB4289">
        <v>8</v>
      </c>
      <c r="AC4289">
        <v>3</v>
      </c>
      <c r="AD4289">
        <v>0</v>
      </c>
      <c r="AE4289">
        <v>9</v>
      </c>
      <c r="AF4289" t="s">
        <v>138</v>
      </c>
      <c r="AG4289">
        <v>0</v>
      </c>
      <c r="AH4289">
        <v>3</v>
      </c>
      <c r="AI4289">
        <v>1</v>
      </c>
      <c r="AJ4289">
        <v>0</v>
      </c>
      <c r="AK4289" t="s">
        <v>1365</v>
      </c>
      <c r="AL4289">
        <v>32.744129000000001</v>
      </c>
      <c r="AM4289" t="s">
        <v>1366</v>
      </c>
      <c r="AN4289">
        <v>-116.691391</v>
      </c>
      <c r="AO4289">
        <v>25</v>
      </c>
      <c r="AP4289">
        <v>5000</v>
      </c>
      <c r="AQ4289" t="s">
        <v>129</v>
      </c>
      <c r="AR4289">
        <v>-117</v>
      </c>
      <c r="AS4289">
        <v>-95</v>
      </c>
      <c r="AT4289">
        <v>-512</v>
      </c>
      <c r="BB4289">
        <v>1200</v>
      </c>
      <c r="BC4289">
        <v>1</v>
      </c>
      <c r="BD4289" t="str">
        <f t="shared" si="1560"/>
        <v xml:space="preserve">N887QR  </v>
      </c>
      <c r="BE4289">
        <v>1</v>
      </c>
      <c r="BG4289">
        <v>0</v>
      </c>
      <c r="BH4289">
        <v>0</v>
      </c>
      <c r="BI4289">
        <v>0</v>
      </c>
      <c r="BJ4289">
        <v>4725</v>
      </c>
      <c r="BK4289">
        <v>-275</v>
      </c>
      <c r="BL4289" t="s">
        <v>163</v>
      </c>
      <c r="BM4289">
        <v>1</v>
      </c>
      <c r="BN4289">
        <v>1</v>
      </c>
      <c r="BO4289">
        <v>1</v>
      </c>
      <c r="BP4289">
        <v>0</v>
      </c>
      <c r="BS4289">
        <v>0</v>
      </c>
      <c r="BT4289">
        <v>0</v>
      </c>
      <c r="BU4289">
        <v>0</v>
      </c>
      <c r="CE4289" t="str">
        <f t="shared" ref="CE4289:CE4295" si="1582">"19:37:06.130"</f>
        <v>19:37:06.130</v>
      </c>
      <c r="CF4289">
        <v>129641990</v>
      </c>
      <c r="CS4289">
        <v>0</v>
      </c>
      <c r="CT4289">
        <v>2</v>
      </c>
      <c r="CU4289">
        <v>0</v>
      </c>
      <c r="CV4289">
        <v>2</v>
      </c>
      <c r="CW4289">
        <v>0</v>
      </c>
      <c r="CX4289">
        <v>6</v>
      </c>
      <c r="CY4289">
        <v>7</v>
      </c>
      <c r="CZ4289" t="s">
        <v>131</v>
      </c>
      <c r="DA4289">
        <v>286</v>
      </c>
      <c r="DB4289">
        <v>0</v>
      </c>
      <c r="DC4289" t="s">
        <v>132</v>
      </c>
      <c r="DD4289" t="s">
        <v>133</v>
      </c>
      <c r="DG4289">
        <v>908307</v>
      </c>
      <c r="DI4289">
        <v>1</v>
      </c>
      <c r="DJ4289">
        <v>0</v>
      </c>
      <c r="DK4289">
        <v>0</v>
      </c>
      <c r="DL4289">
        <v>0</v>
      </c>
      <c r="DM4289">
        <v>0</v>
      </c>
      <c r="DN4289">
        <v>1</v>
      </c>
      <c r="DO4289">
        <v>0</v>
      </c>
      <c r="DP4289">
        <v>0</v>
      </c>
      <c r="DQ4289">
        <v>0</v>
      </c>
      <c r="DR4289">
        <v>0</v>
      </c>
      <c r="DS4289">
        <v>0</v>
      </c>
    </row>
    <row r="4290" spans="1:123" x14ac:dyDescent="0.3">
      <c r="A4290" t="str">
        <f>"10/04/2022 19:37:06.371"</f>
        <v>10/04/2022 19:37:06.371</v>
      </c>
      <c r="C4290" t="str">
        <f t="shared" si="1574"/>
        <v>FFDFD3C0</v>
      </c>
      <c r="D4290" t="s">
        <v>147</v>
      </c>
      <c r="E4290">
        <v>3</v>
      </c>
      <c r="H4290">
        <v>166</v>
      </c>
      <c r="I4290" t="s">
        <v>144</v>
      </c>
      <c r="J4290" t="s">
        <v>148</v>
      </c>
      <c r="K4290">
        <v>0</v>
      </c>
      <c r="L4290">
        <v>3</v>
      </c>
      <c r="M4290">
        <v>0</v>
      </c>
      <c r="N4290">
        <v>2</v>
      </c>
      <c r="O4290">
        <v>0</v>
      </c>
      <c r="P4290">
        <v>1</v>
      </c>
      <c r="Q4290">
        <v>0</v>
      </c>
      <c r="S4290" t="str">
        <f t="shared" si="1581"/>
        <v>19:37:06.000</v>
      </c>
      <c r="T4290" t="str">
        <f t="shared" si="1581"/>
        <v>19:37:06.000</v>
      </c>
      <c r="U4290" t="str">
        <f t="shared" ref="U4290:U4353" si="1583">"AC3944"</f>
        <v>AC3944</v>
      </c>
      <c r="V4290">
        <v>0</v>
      </c>
      <c r="W4290">
        <v>0</v>
      </c>
      <c r="X4290">
        <v>2</v>
      </c>
      <c r="Y4290">
        <v>0</v>
      </c>
      <c r="AA4290">
        <v>1</v>
      </c>
      <c r="AB4290">
        <v>8</v>
      </c>
      <c r="AC4290">
        <v>3</v>
      </c>
      <c r="AD4290">
        <v>0</v>
      </c>
      <c r="AE4290">
        <v>9</v>
      </c>
      <c r="AF4290" t="s">
        <v>138</v>
      </c>
      <c r="AG4290">
        <v>0</v>
      </c>
      <c r="AH4290">
        <v>3</v>
      </c>
      <c r="AI4290">
        <v>1</v>
      </c>
      <c r="AJ4290">
        <v>0</v>
      </c>
      <c r="AK4290" t="s">
        <v>1365</v>
      </c>
      <c r="AL4290">
        <v>32.744129000000001</v>
      </c>
      <c r="AM4290" t="s">
        <v>1366</v>
      </c>
      <c r="AN4290">
        <v>-116.691391</v>
      </c>
      <c r="AO4290">
        <v>25</v>
      </c>
      <c r="AP4290">
        <v>5000</v>
      </c>
      <c r="AQ4290" t="s">
        <v>129</v>
      </c>
      <c r="AR4290">
        <v>-117</v>
      </c>
      <c r="AS4290">
        <v>-95</v>
      </c>
      <c r="AT4290">
        <v>-512</v>
      </c>
      <c r="BB4290">
        <v>1200</v>
      </c>
      <c r="BC4290">
        <v>1</v>
      </c>
      <c r="BD4290" t="str">
        <f t="shared" ref="BD4290:BD4353" si="1584">"N887QR  "</f>
        <v xml:space="preserve">N887QR  </v>
      </c>
      <c r="BE4290">
        <v>1</v>
      </c>
      <c r="BG4290">
        <v>0</v>
      </c>
      <c r="BH4290">
        <v>0</v>
      </c>
      <c r="BI4290">
        <v>0</v>
      </c>
      <c r="BJ4290">
        <v>4725</v>
      </c>
      <c r="BK4290">
        <v>-275</v>
      </c>
      <c r="BL4290" t="s">
        <v>163</v>
      </c>
      <c r="BM4290">
        <v>1</v>
      </c>
      <c r="BN4290">
        <v>1</v>
      </c>
      <c r="BO4290">
        <v>1</v>
      </c>
      <c r="BP4290">
        <v>0</v>
      </c>
      <c r="BS4290">
        <v>0</v>
      </c>
      <c r="BT4290">
        <v>0</v>
      </c>
      <c r="BU4290">
        <v>0</v>
      </c>
      <c r="CE4290" t="str">
        <f t="shared" si="1582"/>
        <v>19:37:06.130</v>
      </c>
      <c r="CF4290">
        <v>129641990</v>
      </c>
      <c r="CS4290">
        <v>0</v>
      </c>
      <c r="CT4290">
        <v>2</v>
      </c>
      <c r="CU4290">
        <v>0</v>
      </c>
      <c r="CV4290">
        <v>2</v>
      </c>
      <c r="CW4290">
        <v>0</v>
      </c>
      <c r="CX4290">
        <v>6</v>
      </c>
      <c r="CY4290">
        <v>7</v>
      </c>
      <c r="CZ4290" t="s">
        <v>131</v>
      </c>
      <c r="DA4290">
        <v>286</v>
      </c>
      <c r="DB4290">
        <v>0</v>
      </c>
      <c r="DC4290" t="s">
        <v>132</v>
      </c>
      <c r="DD4290" t="s">
        <v>133</v>
      </c>
      <c r="DG4290">
        <v>908307</v>
      </c>
      <c r="DI4290">
        <v>1</v>
      </c>
      <c r="DJ4290">
        <v>0</v>
      </c>
      <c r="DK4290">
        <v>1</v>
      </c>
      <c r="DL4290">
        <v>0</v>
      </c>
      <c r="DM4290">
        <v>0</v>
      </c>
      <c r="DN4290">
        <v>1</v>
      </c>
      <c r="DO4290">
        <v>0</v>
      </c>
      <c r="DP4290">
        <v>0</v>
      </c>
      <c r="DQ4290">
        <v>0</v>
      </c>
      <c r="DR4290">
        <v>0</v>
      </c>
      <c r="DS4290">
        <v>0</v>
      </c>
    </row>
    <row r="4291" spans="1:123" x14ac:dyDescent="0.3">
      <c r="A4291" t="str">
        <f>"10/04/2022 19:37:06.402"</f>
        <v>10/04/2022 19:37:06.402</v>
      </c>
      <c r="C4291" t="str">
        <f t="shared" si="1574"/>
        <v>FFDFD3C0</v>
      </c>
      <c r="D4291" t="s">
        <v>141</v>
      </c>
      <c r="E4291">
        <v>3</v>
      </c>
      <c r="H4291">
        <v>3</v>
      </c>
      <c r="I4291" t="s">
        <v>146</v>
      </c>
      <c r="J4291" t="s">
        <v>138</v>
      </c>
      <c r="K4291">
        <v>0</v>
      </c>
      <c r="L4291">
        <v>3</v>
      </c>
      <c r="M4291">
        <v>0</v>
      </c>
      <c r="N4291">
        <v>2</v>
      </c>
      <c r="O4291">
        <v>0</v>
      </c>
      <c r="P4291">
        <v>1</v>
      </c>
      <c r="Q4291">
        <v>0</v>
      </c>
      <c r="S4291" t="str">
        <f t="shared" si="1581"/>
        <v>19:37:06.000</v>
      </c>
      <c r="T4291" t="str">
        <f t="shared" si="1581"/>
        <v>19:37:06.000</v>
      </c>
      <c r="U4291" t="str">
        <f t="shared" si="1583"/>
        <v>AC3944</v>
      </c>
      <c r="V4291">
        <v>0</v>
      </c>
      <c r="W4291">
        <v>0</v>
      </c>
      <c r="X4291">
        <v>2</v>
      </c>
      <c r="Y4291">
        <v>0</v>
      </c>
      <c r="AA4291">
        <v>1</v>
      </c>
      <c r="AB4291">
        <v>8</v>
      </c>
      <c r="AC4291">
        <v>3</v>
      </c>
      <c r="AD4291">
        <v>0</v>
      </c>
      <c r="AE4291">
        <v>9</v>
      </c>
      <c r="AF4291" t="s">
        <v>138</v>
      </c>
      <c r="AG4291">
        <v>0</v>
      </c>
      <c r="AH4291">
        <v>3</v>
      </c>
      <c r="AI4291">
        <v>1</v>
      </c>
      <c r="AJ4291">
        <v>0</v>
      </c>
      <c r="AK4291" t="s">
        <v>1365</v>
      </c>
      <c r="AL4291">
        <v>32.744129000000001</v>
      </c>
      <c r="AM4291" t="s">
        <v>1366</v>
      </c>
      <c r="AN4291">
        <v>-116.691391</v>
      </c>
      <c r="AO4291">
        <v>25</v>
      </c>
      <c r="AP4291">
        <v>5000</v>
      </c>
      <c r="AQ4291" t="s">
        <v>129</v>
      </c>
      <c r="AR4291">
        <v>-117</v>
      </c>
      <c r="AS4291">
        <v>-95</v>
      </c>
      <c r="AT4291">
        <v>-512</v>
      </c>
      <c r="BB4291">
        <v>1200</v>
      </c>
      <c r="BC4291">
        <v>1</v>
      </c>
      <c r="BD4291" t="str">
        <f t="shared" si="1584"/>
        <v xml:space="preserve">N887QR  </v>
      </c>
      <c r="BE4291">
        <v>1</v>
      </c>
      <c r="BG4291">
        <v>0</v>
      </c>
      <c r="BH4291">
        <v>0</v>
      </c>
      <c r="BI4291">
        <v>0</v>
      </c>
      <c r="BJ4291">
        <v>4725</v>
      </c>
      <c r="BK4291">
        <v>-275</v>
      </c>
      <c r="BL4291" t="s">
        <v>163</v>
      </c>
      <c r="BM4291">
        <v>1</v>
      </c>
      <c r="BN4291">
        <v>1</v>
      </c>
      <c r="BO4291">
        <v>1</v>
      </c>
      <c r="BP4291">
        <v>0</v>
      </c>
      <c r="BS4291">
        <v>0</v>
      </c>
      <c r="BT4291">
        <v>0</v>
      </c>
      <c r="BU4291">
        <v>0</v>
      </c>
      <c r="CE4291" t="str">
        <f t="shared" si="1582"/>
        <v>19:37:06.130</v>
      </c>
      <c r="CF4291">
        <v>129641990</v>
      </c>
      <c r="CS4291">
        <v>0</v>
      </c>
      <c r="CT4291">
        <v>2</v>
      </c>
      <c r="CU4291">
        <v>0</v>
      </c>
      <c r="CV4291">
        <v>2</v>
      </c>
      <c r="CW4291">
        <v>0</v>
      </c>
      <c r="CX4291">
        <v>6</v>
      </c>
      <c r="CY4291">
        <v>7</v>
      </c>
      <c r="CZ4291" t="s">
        <v>131</v>
      </c>
      <c r="DA4291">
        <v>286</v>
      </c>
      <c r="DB4291">
        <v>0</v>
      </c>
      <c r="DC4291" t="s">
        <v>132</v>
      </c>
      <c r="DD4291" t="s">
        <v>133</v>
      </c>
      <c r="DG4291">
        <v>908307</v>
      </c>
      <c r="DI4291">
        <v>1</v>
      </c>
      <c r="DJ4291">
        <v>0</v>
      </c>
      <c r="DK4291">
        <v>1</v>
      </c>
      <c r="DL4291">
        <v>0</v>
      </c>
      <c r="DM4291">
        <v>0</v>
      </c>
      <c r="DN4291">
        <v>1</v>
      </c>
      <c r="DO4291">
        <v>0</v>
      </c>
      <c r="DP4291">
        <v>0</v>
      </c>
      <c r="DQ4291">
        <v>0</v>
      </c>
      <c r="DR4291">
        <v>0</v>
      </c>
      <c r="DS4291">
        <v>0</v>
      </c>
    </row>
    <row r="4292" spans="1:123" x14ac:dyDescent="0.3">
      <c r="A4292" t="str">
        <f>"10/04/2022 19:37:06.402"</f>
        <v>10/04/2022 19:37:06.402</v>
      </c>
      <c r="C4292" t="str">
        <f t="shared" si="1574"/>
        <v>FFDFD3C0</v>
      </c>
      <c r="D4292" t="s">
        <v>143</v>
      </c>
      <c r="E4292">
        <v>20</v>
      </c>
      <c r="F4292">
        <v>1020</v>
      </c>
      <c r="G4292" t="s">
        <v>144</v>
      </c>
      <c r="J4292" t="s">
        <v>145</v>
      </c>
      <c r="K4292">
        <v>0</v>
      </c>
      <c r="L4292">
        <v>3</v>
      </c>
      <c r="M4292">
        <v>0</v>
      </c>
      <c r="N4292">
        <v>2</v>
      </c>
      <c r="O4292">
        <v>0</v>
      </c>
      <c r="P4292">
        <v>1</v>
      </c>
      <c r="Q4292">
        <v>0</v>
      </c>
      <c r="S4292" t="str">
        <f t="shared" si="1581"/>
        <v>19:37:06.000</v>
      </c>
      <c r="T4292" t="str">
        <f t="shared" si="1581"/>
        <v>19:37:06.000</v>
      </c>
      <c r="U4292" t="str">
        <f t="shared" si="1583"/>
        <v>AC3944</v>
      </c>
      <c r="V4292">
        <v>0</v>
      </c>
      <c r="W4292">
        <v>0</v>
      </c>
      <c r="X4292">
        <v>2</v>
      </c>
      <c r="Y4292">
        <v>0</v>
      </c>
      <c r="AA4292">
        <v>1</v>
      </c>
      <c r="AB4292">
        <v>8</v>
      </c>
      <c r="AC4292">
        <v>3</v>
      </c>
      <c r="AD4292">
        <v>0</v>
      </c>
      <c r="AE4292">
        <v>9</v>
      </c>
      <c r="AF4292" t="s">
        <v>138</v>
      </c>
      <c r="AG4292">
        <v>0</v>
      </c>
      <c r="AH4292">
        <v>3</v>
      </c>
      <c r="AI4292">
        <v>1</v>
      </c>
      <c r="AJ4292">
        <v>0</v>
      </c>
      <c r="AK4292" t="s">
        <v>1365</v>
      </c>
      <c r="AL4292">
        <v>32.744129000000001</v>
      </c>
      <c r="AM4292" t="s">
        <v>1366</v>
      </c>
      <c r="AN4292">
        <v>-116.691391</v>
      </c>
      <c r="AO4292">
        <v>25</v>
      </c>
      <c r="AP4292">
        <v>5000</v>
      </c>
      <c r="AQ4292" t="s">
        <v>129</v>
      </c>
      <c r="AR4292">
        <v>-117</v>
      </c>
      <c r="AS4292">
        <v>-95</v>
      </c>
      <c r="AT4292">
        <v>-512</v>
      </c>
      <c r="BB4292">
        <v>1200</v>
      </c>
      <c r="BC4292">
        <v>1</v>
      </c>
      <c r="BD4292" t="str">
        <f t="shared" si="1584"/>
        <v xml:space="preserve">N887QR  </v>
      </c>
      <c r="BE4292">
        <v>1</v>
      </c>
      <c r="BG4292">
        <v>0</v>
      </c>
      <c r="BH4292">
        <v>0</v>
      </c>
      <c r="BI4292">
        <v>0</v>
      </c>
      <c r="BJ4292">
        <v>4725</v>
      </c>
      <c r="BK4292">
        <v>-275</v>
      </c>
      <c r="BL4292" t="s">
        <v>163</v>
      </c>
      <c r="BM4292">
        <v>1</v>
      </c>
      <c r="BN4292">
        <v>1</v>
      </c>
      <c r="BO4292">
        <v>1</v>
      </c>
      <c r="BP4292">
        <v>0</v>
      </c>
      <c r="BS4292">
        <v>0</v>
      </c>
      <c r="BT4292">
        <v>0</v>
      </c>
      <c r="BU4292">
        <v>0</v>
      </c>
      <c r="CE4292" t="str">
        <f t="shared" si="1582"/>
        <v>19:37:06.130</v>
      </c>
      <c r="CF4292">
        <v>129641990</v>
      </c>
      <c r="CS4292">
        <v>0</v>
      </c>
      <c r="CT4292">
        <v>2</v>
      </c>
      <c r="CU4292">
        <v>0</v>
      </c>
      <c r="CV4292">
        <v>2</v>
      </c>
      <c r="CW4292">
        <v>0</v>
      </c>
      <c r="CX4292">
        <v>6</v>
      </c>
      <c r="CY4292">
        <v>7</v>
      </c>
      <c r="CZ4292" t="s">
        <v>131</v>
      </c>
      <c r="DA4292">
        <v>286</v>
      </c>
      <c r="DB4292">
        <v>0</v>
      </c>
      <c r="DC4292" t="s">
        <v>132</v>
      </c>
      <c r="DD4292" t="s">
        <v>133</v>
      </c>
      <c r="DG4292">
        <v>908307</v>
      </c>
      <c r="DI4292">
        <v>1</v>
      </c>
      <c r="DJ4292">
        <v>0</v>
      </c>
      <c r="DK4292">
        <v>1</v>
      </c>
      <c r="DL4292">
        <v>0</v>
      </c>
      <c r="DM4292">
        <v>0</v>
      </c>
      <c r="DN4292">
        <v>1</v>
      </c>
      <c r="DO4292">
        <v>0</v>
      </c>
      <c r="DP4292">
        <v>0</v>
      </c>
      <c r="DQ4292">
        <v>0</v>
      </c>
      <c r="DR4292">
        <v>0</v>
      </c>
      <c r="DS4292">
        <v>0</v>
      </c>
    </row>
    <row r="4293" spans="1:123" x14ac:dyDescent="0.3">
      <c r="A4293" t="str">
        <f>"10/04/2022 19:37:06.402"</f>
        <v>10/04/2022 19:37:06.402</v>
      </c>
      <c r="C4293" t="str">
        <f t="shared" si="1574"/>
        <v>FFDFD3C0</v>
      </c>
      <c r="D4293" t="s">
        <v>136</v>
      </c>
      <c r="E4293">
        <v>8</v>
      </c>
      <c r="H4293">
        <v>225</v>
      </c>
      <c r="I4293" t="s">
        <v>137</v>
      </c>
      <c r="J4293" t="s">
        <v>138</v>
      </c>
      <c r="K4293">
        <v>0</v>
      </c>
      <c r="L4293">
        <v>3</v>
      </c>
      <c r="M4293">
        <v>0</v>
      </c>
      <c r="N4293">
        <v>2</v>
      </c>
      <c r="O4293">
        <v>0</v>
      </c>
      <c r="P4293">
        <v>1</v>
      </c>
      <c r="Q4293">
        <v>0</v>
      </c>
      <c r="S4293" t="str">
        <f t="shared" si="1581"/>
        <v>19:37:06.000</v>
      </c>
      <c r="T4293" t="str">
        <f t="shared" si="1581"/>
        <v>19:37:06.000</v>
      </c>
      <c r="U4293" t="str">
        <f t="shared" si="1583"/>
        <v>AC3944</v>
      </c>
      <c r="V4293">
        <v>0</v>
      </c>
      <c r="W4293">
        <v>0</v>
      </c>
      <c r="X4293">
        <v>2</v>
      </c>
      <c r="Y4293">
        <v>0</v>
      </c>
      <c r="AA4293">
        <v>1</v>
      </c>
      <c r="AB4293">
        <v>8</v>
      </c>
      <c r="AC4293">
        <v>3</v>
      </c>
      <c r="AD4293">
        <v>0</v>
      </c>
      <c r="AE4293">
        <v>9</v>
      </c>
      <c r="AF4293" t="s">
        <v>138</v>
      </c>
      <c r="AG4293">
        <v>0</v>
      </c>
      <c r="AH4293">
        <v>3</v>
      </c>
      <c r="AI4293">
        <v>1</v>
      </c>
      <c r="AJ4293">
        <v>0</v>
      </c>
      <c r="AK4293" t="s">
        <v>1365</v>
      </c>
      <c r="AL4293">
        <v>32.744129000000001</v>
      </c>
      <c r="AM4293" t="s">
        <v>1366</v>
      </c>
      <c r="AN4293">
        <v>-116.691391</v>
      </c>
      <c r="AO4293">
        <v>25</v>
      </c>
      <c r="AP4293">
        <v>5000</v>
      </c>
      <c r="AQ4293" t="s">
        <v>129</v>
      </c>
      <c r="AR4293">
        <v>-117</v>
      </c>
      <c r="AS4293">
        <v>-95</v>
      </c>
      <c r="AT4293">
        <v>-512</v>
      </c>
      <c r="BB4293">
        <v>1200</v>
      </c>
      <c r="BC4293">
        <v>1</v>
      </c>
      <c r="BD4293" t="str">
        <f t="shared" si="1584"/>
        <v xml:space="preserve">N887QR  </v>
      </c>
      <c r="BE4293">
        <v>1</v>
      </c>
      <c r="BG4293">
        <v>0</v>
      </c>
      <c r="BH4293">
        <v>0</v>
      </c>
      <c r="BI4293">
        <v>0</v>
      </c>
      <c r="BJ4293">
        <v>4725</v>
      </c>
      <c r="BK4293">
        <v>-275</v>
      </c>
      <c r="BL4293" t="s">
        <v>163</v>
      </c>
      <c r="BM4293">
        <v>1</v>
      </c>
      <c r="BN4293">
        <v>1</v>
      </c>
      <c r="BO4293">
        <v>1</v>
      </c>
      <c r="BP4293">
        <v>0</v>
      </c>
      <c r="BS4293">
        <v>0</v>
      </c>
      <c r="BT4293">
        <v>0</v>
      </c>
      <c r="BU4293">
        <v>0</v>
      </c>
      <c r="CE4293" t="str">
        <f t="shared" si="1582"/>
        <v>19:37:06.130</v>
      </c>
      <c r="CF4293">
        <v>129641990</v>
      </c>
      <c r="CS4293">
        <v>0</v>
      </c>
      <c r="CT4293">
        <v>2</v>
      </c>
      <c r="CU4293">
        <v>0</v>
      </c>
      <c r="CV4293">
        <v>2</v>
      </c>
      <c r="CW4293">
        <v>0</v>
      </c>
      <c r="CX4293">
        <v>6</v>
      </c>
      <c r="CY4293">
        <v>7</v>
      </c>
      <c r="CZ4293" t="s">
        <v>131</v>
      </c>
      <c r="DA4293">
        <v>286</v>
      </c>
      <c r="DB4293">
        <v>0</v>
      </c>
      <c r="DC4293" t="s">
        <v>132</v>
      </c>
      <c r="DD4293" t="s">
        <v>133</v>
      </c>
      <c r="DG4293">
        <v>908307</v>
      </c>
      <c r="DI4293">
        <v>1</v>
      </c>
      <c r="DJ4293">
        <v>0</v>
      </c>
      <c r="DK4293">
        <v>1</v>
      </c>
      <c r="DL4293">
        <v>0</v>
      </c>
      <c r="DM4293">
        <v>0</v>
      </c>
      <c r="DN4293">
        <v>1</v>
      </c>
      <c r="DO4293">
        <v>0</v>
      </c>
      <c r="DP4293">
        <v>0</v>
      </c>
      <c r="DQ4293">
        <v>0</v>
      </c>
      <c r="DR4293">
        <v>0</v>
      </c>
      <c r="DS4293">
        <v>0</v>
      </c>
    </row>
    <row r="4294" spans="1:123" x14ac:dyDescent="0.3">
      <c r="A4294" t="str">
        <f>"10/04/2022 19:37:06.433"</f>
        <v>10/04/2022 19:37:06.433</v>
      </c>
      <c r="C4294" t="str">
        <f t="shared" si="1574"/>
        <v>FFDFD3C0</v>
      </c>
      <c r="D4294" t="s">
        <v>123</v>
      </c>
      <c r="E4294">
        <v>7</v>
      </c>
      <c r="F4294">
        <v>2007</v>
      </c>
      <c r="G4294" t="s">
        <v>124</v>
      </c>
      <c r="J4294" t="s">
        <v>125</v>
      </c>
      <c r="K4294">
        <v>0</v>
      </c>
      <c r="L4294">
        <v>3</v>
      </c>
      <c r="M4294">
        <v>0</v>
      </c>
      <c r="N4294">
        <v>2</v>
      </c>
      <c r="O4294">
        <v>0</v>
      </c>
      <c r="P4294">
        <v>1</v>
      </c>
      <c r="Q4294">
        <v>0</v>
      </c>
      <c r="S4294" t="str">
        <f t="shared" si="1581"/>
        <v>19:37:06.000</v>
      </c>
      <c r="T4294" t="str">
        <f t="shared" si="1581"/>
        <v>19:37:06.000</v>
      </c>
      <c r="U4294" t="str">
        <f t="shared" si="1583"/>
        <v>AC3944</v>
      </c>
      <c r="V4294">
        <v>0</v>
      </c>
      <c r="W4294">
        <v>0</v>
      </c>
      <c r="X4294">
        <v>2</v>
      </c>
      <c r="Y4294">
        <v>0</v>
      </c>
      <c r="AA4294">
        <v>1</v>
      </c>
      <c r="AB4294">
        <v>8</v>
      </c>
      <c r="AC4294">
        <v>3</v>
      </c>
      <c r="AD4294">
        <v>0</v>
      </c>
      <c r="AE4294">
        <v>9</v>
      </c>
      <c r="AF4294" t="s">
        <v>138</v>
      </c>
      <c r="AG4294">
        <v>0</v>
      </c>
      <c r="AH4294">
        <v>3</v>
      </c>
      <c r="AI4294">
        <v>1</v>
      </c>
      <c r="AJ4294">
        <v>0</v>
      </c>
      <c r="AK4294" t="s">
        <v>1365</v>
      </c>
      <c r="AL4294">
        <v>32.744129000000001</v>
      </c>
      <c r="AM4294" t="s">
        <v>1366</v>
      </c>
      <c r="AN4294">
        <v>-116.691391</v>
      </c>
      <c r="AO4294">
        <v>25</v>
      </c>
      <c r="AP4294">
        <v>5000</v>
      </c>
      <c r="AQ4294" t="s">
        <v>129</v>
      </c>
      <c r="AR4294">
        <v>-117</v>
      </c>
      <c r="AS4294">
        <v>-95</v>
      </c>
      <c r="AT4294">
        <v>-512</v>
      </c>
      <c r="BB4294">
        <v>1200</v>
      </c>
      <c r="BC4294">
        <v>1</v>
      </c>
      <c r="BD4294" t="str">
        <f t="shared" si="1584"/>
        <v xml:space="preserve">N887QR  </v>
      </c>
      <c r="BE4294">
        <v>1</v>
      </c>
      <c r="BG4294">
        <v>0</v>
      </c>
      <c r="BH4294">
        <v>0</v>
      </c>
      <c r="BI4294">
        <v>0</v>
      </c>
      <c r="BJ4294">
        <v>4725</v>
      </c>
      <c r="BK4294">
        <v>-275</v>
      </c>
      <c r="BL4294" t="s">
        <v>163</v>
      </c>
      <c r="BM4294">
        <v>1</v>
      </c>
      <c r="BN4294">
        <v>1</v>
      </c>
      <c r="BO4294">
        <v>1</v>
      </c>
      <c r="BP4294">
        <v>0</v>
      </c>
      <c r="BS4294">
        <v>0</v>
      </c>
      <c r="BT4294">
        <v>0</v>
      </c>
      <c r="BU4294">
        <v>0</v>
      </c>
      <c r="CE4294" t="str">
        <f t="shared" si="1582"/>
        <v>19:37:06.130</v>
      </c>
      <c r="CF4294">
        <v>129641990</v>
      </c>
      <c r="CS4294">
        <v>0</v>
      </c>
      <c r="CT4294">
        <v>2</v>
      </c>
      <c r="CU4294">
        <v>0</v>
      </c>
      <c r="CV4294">
        <v>2</v>
      </c>
      <c r="CW4294">
        <v>0</v>
      </c>
      <c r="CX4294">
        <v>6</v>
      </c>
      <c r="CY4294">
        <v>7</v>
      </c>
      <c r="CZ4294" t="s">
        <v>131</v>
      </c>
      <c r="DA4294">
        <v>286</v>
      </c>
      <c r="DB4294">
        <v>0</v>
      </c>
      <c r="DC4294" t="s">
        <v>132</v>
      </c>
      <c r="DD4294" t="s">
        <v>133</v>
      </c>
      <c r="DG4294">
        <v>908307</v>
      </c>
      <c r="DI4294">
        <v>1</v>
      </c>
      <c r="DJ4294">
        <v>0</v>
      </c>
      <c r="DK4294">
        <v>1</v>
      </c>
      <c r="DL4294">
        <v>0</v>
      </c>
      <c r="DM4294">
        <v>0</v>
      </c>
      <c r="DN4294">
        <v>1</v>
      </c>
      <c r="DO4294">
        <v>0</v>
      </c>
      <c r="DP4294">
        <v>0</v>
      </c>
      <c r="DQ4294">
        <v>0</v>
      </c>
      <c r="DR4294">
        <v>0</v>
      </c>
      <c r="DS4294">
        <v>0</v>
      </c>
    </row>
    <row r="4295" spans="1:123" x14ac:dyDescent="0.3">
      <c r="A4295" t="str">
        <f>"10/04/2022 19:37:06.433"</f>
        <v>10/04/2022 19:37:06.433</v>
      </c>
      <c r="C4295" t="str">
        <f t="shared" si="1574"/>
        <v>FFDFD3C0</v>
      </c>
      <c r="D4295" t="s">
        <v>141</v>
      </c>
      <c r="E4295">
        <v>4</v>
      </c>
      <c r="H4295">
        <v>4</v>
      </c>
      <c r="I4295" t="s">
        <v>142</v>
      </c>
      <c r="J4295" t="s">
        <v>138</v>
      </c>
      <c r="K4295">
        <v>0</v>
      </c>
      <c r="L4295">
        <v>3</v>
      </c>
      <c r="M4295">
        <v>0</v>
      </c>
      <c r="N4295">
        <v>2</v>
      </c>
      <c r="O4295">
        <v>0</v>
      </c>
      <c r="P4295">
        <v>1</v>
      </c>
      <c r="Q4295">
        <v>0</v>
      </c>
      <c r="S4295" t="str">
        <f t="shared" si="1581"/>
        <v>19:37:06.000</v>
      </c>
      <c r="T4295" t="str">
        <f t="shared" si="1581"/>
        <v>19:37:06.000</v>
      </c>
      <c r="U4295" t="str">
        <f t="shared" si="1583"/>
        <v>AC3944</v>
      </c>
      <c r="V4295">
        <v>0</v>
      </c>
      <c r="W4295">
        <v>0</v>
      </c>
      <c r="X4295">
        <v>2</v>
      </c>
      <c r="Y4295">
        <v>0</v>
      </c>
      <c r="AA4295">
        <v>1</v>
      </c>
      <c r="AB4295">
        <v>8</v>
      </c>
      <c r="AC4295">
        <v>3</v>
      </c>
      <c r="AD4295">
        <v>0</v>
      </c>
      <c r="AE4295">
        <v>9</v>
      </c>
      <c r="AF4295" t="s">
        <v>138</v>
      </c>
      <c r="AG4295">
        <v>0</v>
      </c>
      <c r="AH4295">
        <v>3</v>
      </c>
      <c r="AI4295">
        <v>1</v>
      </c>
      <c r="AJ4295">
        <v>0</v>
      </c>
      <c r="AK4295" t="s">
        <v>1365</v>
      </c>
      <c r="AL4295">
        <v>32.744129000000001</v>
      </c>
      <c r="AM4295" t="s">
        <v>1366</v>
      </c>
      <c r="AN4295">
        <v>-116.691391</v>
      </c>
      <c r="AO4295">
        <v>25</v>
      </c>
      <c r="AP4295">
        <v>5000</v>
      </c>
      <c r="AQ4295" t="s">
        <v>129</v>
      </c>
      <c r="AR4295">
        <v>-117</v>
      </c>
      <c r="AS4295">
        <v>-95</v>
      </c>
      <c r="AT4295">
        <v>-512</v>
      </c>
      <c r="BB4295">
        <v>1200</v>
      </c>
      <c r="BC4295">
        <v>1</v>
      </c>
      <c r="BD4295" t="str">
        <f t="shared" si="1584"/>
        <v xml:space="preserve">N887QR  </v>
      </c>
      <c r="BE4295">
        <v>1</v>
      </c>
      <c r="BG4295">
        <v>0</v>
      </c>
      <c r="BH4295">
        <v>0</v>
      </c>
      <c r="BI4295">
        <v>0</v>
      </c>
      <c r="BJ4295">
        <v>4725</v>
      </c>
      <c r="BK4295">
        <v>-275</v>
      </c>
      <c r="BL4295" t="s">
        <v>163</v>
      </c>
      <c r="BM4295">
        <v>1</v>
      </c>
      <c r="BN4295">
        <v>1</v>
      </c>
      <c r="BO4295">
        <v>1</v>
      </c>
      <c r="BP4295">
        <v>0</v>
      </c>
      <c r="BS4295">
        <v>0</v>
      </c>
      <c r="BT4295">
        <v>0</v>
      </c>
      <c r="BU4295">
        <v>0</v>
      </c>
      <c r="CE4295" t="str">
        <f t="shared" si="1582"/>
        <v>19:37:06.130</v>
      </c>
      <c r="CF4295">
        <v>129641990</v>
      </c>
      <c r="CS4295">
        <v>0</v>
      </c>
      <c r="CT4295">
        <v>2</v>
      </c>
      <c r="CU4295">
        <v>0</v>
      </c>
      <c r="CV4295">
        <v>2</v>
      </c>
      <c r="CW4295">
        <v>0</v>
      </c>
      <c r="CX4295">
        <v>6</v>
      </c>
      <c r="CY4295">
        <v>7</v>
      </c>
      <c r="CZ4295" t="s">
        <v>131</v>
      </c>
      <c r="DA4295">
        <v>286</v>
      </c>
      <c r="DB4295">
        <v>0</v>
      </c>
      <c r="DC4295" t="s">
        <v>132</v>
      </c>
      <c r="DD4295" t="s">
        <v>133</v>
      </c>
      <c r="DG4295">
        <v>908307</v>
      </c>
      <c r="DI4295">
        <v>1</v>
      </c>
      <c r="DJ4295">
        <v>0</v>
      </c>
      <c r="DK4295">
        <v>1</v>
      </c>
      <c r="DL4295">
        <v>0</v>
      </c>
      <c r="DM4295">
        <v>0</v>
      </c>
      <c r="DN4295">
        <v>1</v>
      </c>
      <c r="DO4295">
        <v>0</v>
      </c>
      <c r="DP4295">
        <v>0</v>
      </c>
      <c r="DQ4295">
        <v>0</v>
      </c>
      <c r="DR4295">
        <v>0</v>
      </c>
      <c r="DS4295">
        <v>0</v>
      </c>
    </row>
    <row r="4296" spans="1:123" x14ac:dyDescent="0.3">
      <c r="A4296" t="str">
        <f t="shared" ref="A4296:A4302" si="1585">"10/04/2022 19:37:07.808"</f>
        <v>10/04/2022 19:37:07.808</v>
      </c>
      <c r="C4296" t="str">
        <f t="shared" si="1574"/>
        <v>FFDFD3C0</v>
      </c>
      <c r="D4296" t="s">
        <v>134</v>
      </c>
      <c r="E4296">
        <v>15</v>
      </c>
      <c r="J4296" t="s">
        <v>135</v>
      </c>
      <c r="K4296">
        <v>0</v>
      </c>
      <c r="L4296">
        <v>3</v>
      </c>
      <c r="M4296">
        <v>0</v>
      </c>
      <c r="N4296">
        <v>2</v>
      </c>
      <c r="O4296">
        <v>0</v>
      </c>
      <c r="P4296">
        <v>1</v>
      </c>
      <c r="Q4296">
        <v>0</v>
      </c>
      <c r="S4296" t="str">
        <f t="shared" ref="S4296:T4302" si="1586">"19:37:07.000"</f>
        <v>19:37:07.000</v>
      </c>
      <c r="T4296" t="str">
        <f t="shared" si="1586"/>
        <v>19:37:07.000</v>
      </c>
      <c r="U4296" t="str">
        <f t="shared" si="1583"/>
        <v>AC3944</v>
      </c>
      <c r="V4296">
        <v>0</v>
      </c>
      <c r="W4296">
        <v>0</v>
      </c>
      <c r="X4296">
        <v>2</v>
      </c>
      <c r="Y4296">
        <v>0</v>
      </c>
      <c r="AA4296">
        <v>1</v>
      </c>
      <c r="AB4296">
        <v>8</v>
      </c>
      <c r="AC4296">
        <v>3</v>
      </c>
      <c r="AD4296">
        <v>0</v>
      </c>
      <c r="AE4296">
        <v>9</v>
      </c>
      <c r="AF4296" t="s">
        <v>138</v>
      </c>
      <c r="AG4296">
        <v>0</v>
      </c>
      <c r="AH4296">
        <v>3</v>
      </c>
      <c r="AI4296">
        <v>1</v>
      </c>
      <c r="AJ4296">
        <v>0</v>
      </c>
      <c r="AK4296" t="s">
        <v>1334</v>
      </c>
      <c r="AL4296">
        <v>32.743678000000003</v>
      </c>
      <c r="AM4296" t="s">
        <v>1367</v>
      </c>
      <c r="AN4296">
        <v>-116.692035</v>
      </c>
      <c r="AO4296">
        <v>25</v>
      </c>
      <c r="AP4296">
        <v>5000</v>
      </c>
      <c r="AQ4296" t="s">
        <v>129</v>
      </c>
      <c r="AR4296">
        <v>-118</v>
      </c>
      <c r="AS4296">
        <v>-96</v>
      </c>
      <c r="AT4296">
        <v>-512</v>
      </c>
      <c r="BB4296">
        <v>1200</v>
      </c>
      <c r="BC4296">
        <v>1</v>
      </c>
      <c r="BD4296" t="str">
        <f t="shared" si="1584"/>
        <v xml:space="preserve">N887QR  </v>
      </c>
      <c r="BE4296">
        <v>1</v>
      </c>
      <c r="BG4296">
        <v>0</v>
      </c>
      <c r="BH4296">
        <v>0</v>
      </c>
      <c r="BI4296">
        <v>0</v>
      </c>
      <c r="BJ4296">
        <v>4725</v>
      </c>
      <c r="BK4296">
        <v>-275</v>
      </c>
      <c r="BL4296" t="s">
        <v>163</v>
      </c>
      <c r="BM4296">
        <v>1</v>
      </c>
      <c r="BN4296">
        <v>1</v>
      </c>
      <c r="BO4296">
        <v>1</v>
      </c>
      <c r="BP4296">
        <v>0</v>
      </c>
      <c r="BS4296">
        <v>0</v>
      </c>
      <c r="BT4296">
        <v>0</v>
      </c>
      <c r="BU4296">
        <v>0</v>
      </c>
      <c r="CE4296" t="str">
        <f t="shared" ref="CE4296:CE4302" si="1587">"19:37:07.493"</f>
        <v>19:37:07.493</v>
      </c>
      <c r="CF4296">
        <v>493145986</v>
      </c>
      <c r="CS4296">
        <v>0</v>
      </c>
      <c r="CT4296">
        <v>2</v>
      </c>
      <c r="CU4296">
        <v>0</v>
      </c>
      <c r="CV4296">
        <v>2</v>
      </c>
      <c r="CW4296">
        <v>1</v>
      </c>
      <c r="CX4296">
        <v>6</v>
      </c>
      <c r="CY4296">
        <v>7</v>
      </c>
      <c r="CZ4296" t="s">
        <v>131</v>
      </c>
      <c r="DA4296">
        <v>286</v>
      </c>
      <c r="DB4296">
        <v>0</v>
      </c>
      <c r="DC4296" t="s">
        <v>132</v>
      </c>
      <c r="DD4296" t="s">
        <v>133</v>
      </c>
      <c r="DG4296">
        <v>908636</v>
      </c>
      <c r="DI4296">
        <v>1</v>
      </c>
      <c r="DJ4296">
        <v>0</v>
      </c>
      <c r="DK4296">
        <v>0</v>
      </c>
      <c r="DL4296">
        <v>0</v>
      </c>
      <c r="DM4296">
        <v>0</v>
      </c>
      <c r="DN4296">
        <v>1</v>
      </c>
      <c r="DO4296">
        <v>0</v>
      </c>
      <c r="DP4296">
        <v>0</v>
      </c>
      <c r="DQ4296">
        <v>0</v>
      </c>
      <c r="DR4296">
        <v>0</v>
      </c>
      <c r="DS4296">
        <v>0</v>
      </c>
    </row>
    <row r="4297" spans="1:123" x14ac:dyDescent="0.3">
      <c r="A4297" t="str">
        <f t="shared" si="1585"/>
        <v>10/04/2022 19:37:07.808</v>
      </c>
      <c r="C4297" t="str">
        <f t="shared" si="1574"/>
        <v>FFDFD3C0</v>
      </c>
      <c r="D4297" t="s">
        <v>147</v>
      </c>
      <c r="E4297">
        <v>3</v>
      </c>
      <c r="H4297">
        <v>166</v>
      </c>
      <c r="I4297" t="s">
        <v>144</v>
      </c>
      <c r="J4297" t="s">
        <v>148</v>
      </c>
      <c r="K4297">
        <v>0</v>
      </c>
      <c r="L4297">
        <v>3</v>
      </c>
      <c r="M4297">
        <v>0</v>
      </c>
      <c r="N4297">
        <v>2</v>
      </c>
      <c r="O4297">
        <v>0</v>
      </c>
      <c r="P4297">
        <v>1</v>
      </c>
      <c r="Q4297">
        <v>0</v>
      </c>
      <c r="S4297" t="str">
        <f t="shared" si="1586"/>
        <v>19:37:07.000</v>
      </c>
      <c r="T4297" t="str">
        <f t="shared" si="1586"/>
        <v>19:37:07.000</v>
      </c>
      <c r="U4297" t="str">
        <f t="shared" si="1583"/>
        <v>AC3944</v>
      </c>
      <c r="V4297">
        <v>0</v>
      </c>
      <c r="W4297">
        <v>0</v>
      </c>
      <c r="X4297">
        <v>2</v>
      </c>
      <c r="Y4297">
        <v>0</v>
      </c>
      <c r="AA4297">
        <v>1</v>
      </c>
      <c r="AB4297">
        <v>8</v>
      </c>
      <c r="AC4297">
        <v>3</v>
      </c>
      <c r="AD4297">
        <v>0</v>
      </c>
      <c r="AE4297">
        <v>9</v>
      </c>
      <c r="AF4297" t="s">
        <v>138</v>
      </c>
      <c r="AG4297">
        <v>0</v>
      </c>
      <c r="AH4297">
        <v>3</v>
      </c>
      <c r="AI4297">
        <v>1</v>
      </c>
      <c r="AJ4297">
        <v>0</v>
      </c>
      <c r="AK4297" t="s">
        <v>1334</v>
      </c>
      <c r="AL4297">
        <v>32.743678000000003</v>
      </c>
      <c r="AM4297" t="s">
        <v>1367</v>
      </c>
      <c r="AN4297">
        <v>-116.692035</v>
      </c>
      <c r="AO4297">
        <v>25</v>
      </c>
      <c r="AP4297">
        <v>5000</v>
      </c>
      <c r="AQ4297" t="s">
        <v>129</v>
      </c>
      <c r="AR4297">
        <v>-118</v>
      </c>
      <c r="AS4297">
        <v>-96</v>
      </c>
      <c r="AT4297">
        <v>-512</v>
      </c>
      <c r="BB4297">
        <v>1200</v>
      </c>
      <c r="BC4297">
        <v>1</v>
      </c>
      <c r="BD4297" t="str">
        <f t="shared" si="1584"/>
        <v xml:space="preserve">N887QR  </v>
      </c>
      <c r="BE4297">
        <v>1</v>
      </c>
      <c r="BG4297">
        <v>0</v>
      </c>
      <c r="BH4297">
        <v>0</v>
      </c>
      <c r="BI4297">
        <v>0</v>
      </c>
      <c r="BJ4297">
        <v>4725</v>
      </c>
      <c r="BK4297">
        <v>-275</v>
      </c>
      <c r="BL4297" t="s">
        <v>163</v>
      </c>
      <c r="BM4297">
        <v>1</v>
      </c>
      <c r="BN4297">
        <v>1</v>
      </c>
      <c r="BO4297">
        <v>1</v>
      </c>
      <c r="BP4297">
        <v>0</v>
      </c>
      <c r="BS4297">
        <v>0</v>
      </c>
      <c r="BT4297">
        <v>0</v>
      </c>
      <c r="BU4297">
        <v>0</v>
      </c>
      <c r="CE4297" t="str">
        <f t="shared" si="1587"/>
        <v>19:37:07.493</v>
      </c>
      <c r="CF4297">
        <v>493145986</v>
      </c>
      <c r="CS4297">
        <v>0</v>
      </c>
      <c r="CT4297">
        <v>2</v>
      </c>
      <c r="CU4297">
        <v>0</v>
      </c>
      <c r="CV4297">
        <v>2</v>
      </c>
      <c r="CW4297">
        <v>1</v>
      </c>
      <c r="CX4297">
        <v>6</v>
      </c>
      <c r="CY4297">
        <v>7</v>
      </c>
      <c r="CZ4297" t="s">
        <v>131</v>
      </c>
      <c r="DA4297">
        <v>286</v>
      </c>
      <c r="DB4297">
        <v>0</v>
      </c>
      <c r="DC4297" t="s">
        <v>132</v>
      </c>
      <c r="DD4297" t="s">
        <v>133</v>
      </c>
      <c r="DG4297">
        <v>908636</v>
      </c>
      <c r="DI4297">
        <v>1</v>
      </c>
      <c r="DJ4297">
        <v>0</v>
      </c>
      <c r="DK4297">
        <v>1</v>
      </c>
      <c r="DL4297">
        <v>0</v>
      </c>
      <c r="DM4297">
        <v>0</v>
      </c>
      <c r="DN4297">
        <v>1</v>
      </c>
      <c r="DO4297">
        <v>0</v>
      </c>
      <c r="DP4297">
        <v>0</v>
      </c>
      <c r="DQ4297">
        <v>0</v>
      </c>
      <c r="DR4297">
        <v>0</v>
      </c>
      <c r="DS4297">
        <v>0</v>
      </c>
    </row>
    <row r="4298" spans="1:123" x14ac:dyDescent="0.3">
      <c r="A4298" t="str">
        <f t="shared" si="1585"/>
        <v>10/04/2022 19:37:07.808</v>
      </c>
      <c r="C4298" t="str">
        <f t="shared" si="1574"/>
        <v>FFDFD3C0</v>
      </c>
      <c r="D4298" t="s">
        <v>141</v>
      </c>
      <c r="E4298">
        <v>3</v>
      </c>
      <c r="H4298">
        <v>3</v>
      </c>
      <c r="I4298" t="s">
        <v>146</v>
      </c>
      <c r="J4298" t="s">
        <v>138</v>
      </c>
      <c r="K4298">
        <v>0</v>
      </c>
      <c r="L4298">
        <v>3</v>
      </c>
      <c r="M4298">
        <v>0</v>
      </c>
      <c r="N4298">
        <v>2</v>
      </c>
      <c r="O4298">
        <v>0</v>
      </c>
      <c r="P4298">
        <v>1</v>
      </c>
      <c r="Q4298">
        <v>0</v>
      </c>
      <c r="S4298" t="str">
        <f t="shared" si="1586"/>
        <v>19:37:07.000</v>
      </c>
      <c r="T4298" t="str">
        <f t="shared" si="1586"/>
        <v>19:37:07.000</v>
      </c>
      <c r="U4298" t="str">
        <f t="shared" si="1583"/>
        <v>AC3944</v>
      </c>
      <c r="V4298">
        <v>0</v>
      </c>
      <c r="W4298">
        <v>0</v>
      </c>
      <c r="X4298">
        <v>2</v>
      </c>
      <c r="Y4298">
        <v>0</v>
      </c>
      <c r="AA4298">
        <v>1</v>
      </c>
      <c r="AB4298">
        <v>8</v>
      </c>
      <c r="AC4298">
        <v>3</v>
      </c>
      <c r="AD4298">
        <v>0</v>
      </c>
      <c r="AE4298">
        <v>9</v>
      </c>
      <c r="AF4298" t="s">
        <v>138</v>
      </c>
      <c r="AG4298">
        <v>0</v>
      </c>
      <c r="AH4298">
        <v>3</v>
      </c>
      <c r="AI4298">
        <v>1</v>
      </c>
      <c r="AJ4298">
        <v>0</v>
      </c>
      <c r="AK4298" t="s">
        <v>1334</v>
      </c>
      <c r="AL4298">
        <v>32.743678000000003</v>
      </c>
      <c r="AM4298" t="s">
        <v>1367</v>
      </c>
      <c r="AN4298">
        <v>-116.692035</v>
      </c>
      <c r="AO4298">
        <v>25</v>
      </c>
      <c r="AP4298">
        <v>5000</v>
      </c>
      <c r="AQ4298" t="s">
        <v>129</v>
      </c>
      <c r="AR4298">
        <v>-118</v>
      </c>
      <c r="AS4298">
        <v>-96</v>
      </c>
      <c r="AT4298">
        <v>-512</v>
      </c>
      <c r="BB4298">
        <v>1200</v>
      </c>
      <c r="BC4298">
        <v>1</v>
      </c>
      <c r="BD4298" t="str">
        <f t="shared" si="1584"/>
        <v xml:space="preserve">N887QR  </v>
      </c>
      <c r="BE4298">
        <v>1</v>
      </c>
      <c r="BG4298">
        <v>0</v>
      </c>
      <c r="BH4298">
        <v>0</v>
      </c>
      <c r="BI4298">
        <v>0</v>
      </c>
      <c r="BJ4298">
        <v>4725</v>
      </c>
      <c r="BK4298">
        <v>-275</v>
      </c>
      <c r="BL4298" t="s">
        <v>163</v>
      </c>
      <c r="BM4298">
        <v>1</v>
      </c>
      <c r="BN4298">
        <v>1</v>
      </c>
      <c r="BO4298">
        <v>1</v>
      </c>
      <c r="BP4298">
        <v>0</v>
      </c>
      <c r="BS4298">
        <v>0</v>
      </c>
      <c r="BT4298">
        <v>0</v>
      </c>
      <c r="BU4298">
        <v>0</v>
      </c>
      <c r="CE4298" t="str">
        <f t="shared" si="1587"/>
        <v>19:37:07.493</v>
      </c>
      <c r="CF4298">
        <v>493145986</v>
      </c>
      <c r="CS4298">
        <v>0</v>
      </c>
      <c r="CT4298">
        <v>2</v>
      </c>
      <c r="CU4298">
        <v>0</v>
      </c>
      <c r="CV4298">
        <v>2</v>
      </c>
      <c r="CW4298">
        <v>1</v>
      </c>
      <c r="CX4298">
        <v>6</v>
      </c>
      <c r="CY4298">
        <v>7</v>
      </c>
      <c r="CZ4298" t="s">
        <v>131</v>
      </c>
      <c r="DA4298">
        <v>286</v>
      </c>
      <c r="DB4298">
        <v>0</v>
      </c>
      <c r="DC4298" t="s">
        <v>132</v>
      </c>
      <c r="DD4298" t="s">
        <v>133</v>
      </c>
      <c r="DG4298">
        <v>908636</v>
      </c>
      <c r="DI4298">
        <v>1</v>
      </c>
      <c r="DJ4298">
        <v>0</v>
      </c>
      <c r="DK4298">
        <v>1</v>
      </c>
      <c r="DL4298">
        <v>0</v>
      </c>
      <c r="DM4298">
        <v>0</v>
      </c>
      <c r="DN4298">
        <v>1</v>
      </c>
      <c r="DO4298">
        <v>0</v>
      </c>
      <c r="DP4298">
        <v>0</v>
      </c>
      <c r="DQ4298">
        <v>0</v>
      </c>
      <c r="DR4298">
        <v>0</v>
      </c>
      <c r="DS4298">
        <v>0</v>
      </c>
    </row>
    <row r="4299" spans="1:123" x14ac:dyDescent="0.3">
      <c r="A4299" t="str">
        <f t="shared" si="1585"/>
        <v>10/04/2022 19:37:07.808</v>
      </c>
      <c r="C4299" t="str">
        <f t="shared" si="1574"/>
        <v>FFDFD3C0</v>
      </c>
      <c r="D4299" t="s">
        <v>143</v>
      </c>
      <c r="E4299">
        <v>20</v>
      </c>
      <c r="F4299">
        <v>1020</v>
      </c>
      <c r="G4299" t="s">
        <v>144</v>
      </c>
      <c r="J4299" t="s">
        <v>145</v>
      </c>
      <c r="K4299">
        <v>0</v>
      </c>
      <c r="L4299">
        <v>3</v>
      </c>
      <c r="M4299">
        <v>0</v>
      </c>
      <c r="N4299">
        <v>2</v>
      </c>
      <c r="O4299">
        <v>0</v>
      </c>
      <c r="P4299">
        <v>1</v>
      </c>
      <c r="Q4299">
        <v>0</v>
      </c>
      <c r="S4299" t="str">
        <f t="shared" si="1586"/>
        <v>19:37:07.000</v>
      </c>
      <c r="T4299" t="str">
        <f t="shared" si="1586"/>
        <v>19:37:07.000</v>
      </c>
      <c r="U4299" t="str">
        <f t="shared" si="1583"/>
        <v>AC3944</v>
      </c>
      <c r="V4299">
        <v>0</v>
      </c>
      <c r="W4299">
        <v>0</v>
      </c>
      <c r="X4299">
        <v>2</v>
      </c>
      <c r="Y4299">
        <v>0</v>
      </c>
      <c r="AA4299">
        <v>1</v>
      </c>
      <c r="AB4299">
        <v>8</v>
      </c>
      <c r="AC4299">
        <v>3</v>
      </c>
      <c r="AD4299">
        <v>0</v>
      </c>
      <c r="AE4299">
        <v>9</v>
      </c>
      <c r="AF4299" t="s">
        <v>138</v>
      </c>
      <c r="AG4299">
        <v>0</v>
      </c>
      <c r="AH4299">
        <v>3</v>
      </c>
      <c r="AI4299">
        <v>1</v>
      </c>
      <c r="AJ4299">
        <v>0</v>
      </c>
      <c r="AK4299" t="s">
        <v>1334</v>
      </c>
      <c r="AL4299">
        <v>32.743678000000003</v>
      </c>
      <c r="AM4299" t="s">
        <v>1367</v>
      </c>
      <c r="AN4299">
        <v>-116.692035</v>
      </c>
      <c r="AO4299">
        <v>25</v>
      </c>
      <c r="AP4299">
        <v>5000</v>
      </c>
      <c r="AQ4299" t="s">
        <v>129</v>
      </c>
      <c r="AR4299">
        <v>-118</v>
      </c>
      <c r="AS4299">
        <v>-96</v>
      </c>
      <c r="AT4299">
        <v>-512</v>
      </c>
      <c r="BB4299">
        <v>1200</v>
      </c>
      <c r="BC4299">
        <v>1</v>
      </c>
      <c r="BD4299" t="str">
        <f t="shared" si="1584"/>
        <v xml:space="preserve">N887QR  </v>
      </c>
      <c r="BE4299">
        <v>1</v>
      </c>
      <c r="BG4299">
        <v>0</v>
      </c>
      <c r="BH4299">
        <v>0</v>
      </c>
      <c r="BI4299">
        <v>0</v>
      </c>
      <c r="BJ4299">
        <v>4725</v>
      </c>
      <c r="BK4299">
        <v>-275</v>
      </c>
      <c r="BL4299" t="s">
        <v>163</v>
      </c>
      <c r="BM4299">
        <v>1</v>
      </c>
      <c r="BN4299">
        <v>1</v>
      </c>
      <c r="BO4299">
        <v>1</v>
      </c>
      <c r="BP4299">
        <v>0</v>
      </c>
      <c r="BS4299">
        <v>0</v>
      </c>
      <c r="BT4299">
        <v>0</v>
      </c>
      <c r="BU4299">
        <v>0</v>
      </c>
      <c r="CE4299" t="str">
        <f t="shared" si="1587"/>
        <v>19:37:07.493</v>
      </c>
      <c r="CF4299">
        <v>493145986</v>
      </c>
      <c r="CS4299">
        <v>0</v>
      </c>
      <c r="CT4299">
        <v>2</v>
      </c>
      <c r="CU4299">
        <v>0</v>
      </c>
      <c r="CV4299">
        <v>2</v>
      </c>
      <c r="CW4299">
        <v>1</v>
      </c>
      <c r="CX4299">
        <v>6</v>
      </c>
      <c r="CY4299">
        <v>7</v>
      </c>
      <c r="CZ4299" t="s">
        <v>131</v>
      </c>
      <c r="DA4299">
        <v>286</v>
      </c>
      <c r="DB4299">
        <v>0</v>
      </c>
      <c r="DC4299" t="s">
        <v>132</v>
      </c>
      <c r="DD4299" t="s">
        <v>133</v>
      </c>
      <c r="DG4299">
        <v>908636</v>
      </c>
      <c r="DI4299">
        <v>1</v>
      </c>
      <c r="DJ4299">
        <v>0</v>
      </c>
      <c r="DK4299">
        <v>1</v>
      </c>
      <c r="DL4299">
        <v>0</v>
      </c>
      <c r="DM4299">
        <v>0</v>
      </c>
      <c r="DN4299">
        <v>1</v>
      </c>
      <c r="DO4299">
        <v>0</v>
      </c>
      <c r="DP4299">
        <v>0</v>
      </c>
      <c r="DQ4299">
        <v>0</v>
      </c>
      <c r="DR4299">
        <v>0</v>
      </c>
      <c r="DS4299">
        <v>0</v>
      </c>
    </row>
    <row r="4300" spans="1:123" x14ac:dyDescent="0.3">
      <c r="A4300" t="str">
        <f t="shared" si="1585"/>
        <v>10/04/2022 19:37:07.808</v>
      </c>
      <c r="C4300" t="str">
        <f t="shared" si="1574"/>
        <v>FFDFD3C0</v>
      </c>
      <c r="D4300" t="s">
        <v>136</v>
      </c>
      <c r="E4300">
        <v>8</v>
      </c>
      <c r="H4300">
        <v>225</v>
      </c>
      <c r="I4300" t="s">
        <v>137</v>
      </c>
      <c r="J4300" t="s">
        <v>138</v>
      </c>
      <c r="K4300">
        <v>0</v>
      </c>
      <c r="L4300">
        <v>3</v>
      </c>
      <c r="M4300">
        <v>0</v>
      </c>
      <c r="N4300">
        <v>2</v>
      </c>
      <c r="O4300">
        <v>0</v>
      </c>
      <c r="P4300">
        <v>1</v>
      </c>
      <c r="Q4300">
        <v>0</v>
      </c>
      <c r="S4300" t="str">
        <f t="shared" si="1586"/>
        <v>19:37:07.000</v>
      </c>
      <c r="T4300" t="str">
        <f t="shared" si="1586"/>
        <v>19:37:07.000</v>
      </c>
      <c r="U4300" t="str">
        <f t="shared" si="1583"/>
        <v>AC3944</v>
      </c>
      <c r="V4300">
        <v>0</v>
      </c>
      <c r="W4300">
        <v>0</v>
      </c>
      <c r="X4300">
        <v>2</v>
      </c>
      <c r="Y4300">
        <v>0</v>
      </c>
      <c r="AA4300">
        <v>1</v>
      </c>
      <c r="AB4300">
        <v>8</v>
      </c>
      <c r="AC4300">
        <v>3</v>
      </c>
      <c r="AD4300">
        <v>0</v>
      </c>
      <c r="AE4300">
        <v>9</v>
      </c>
      <c r="AF4300" t="s">
        <v>138</v>
      </c>
      <c r="AG4300">
        <v>0</v>
      </c>
      <c r="AH4300">
        <v>3</v>
      </c>
      <c r="AI4300">
        <v>1</v>
      </c>
      <c r="AJ4300">
        <v>0</v>
      </c>
      <c r="AK4300" t="s">
        <v>1334</v>
      </c>
      <c r="AL4300">
        <v>32.743678000000003</v>
      </c>
      <c r="AM4300" t="s">
        <v>1367</v>
      </c>
      <c r="AN4300">
        <v>-116.692035</v>
      </c>
      <c r="AO4300">
        <v>25</v>
      </c>
      <c r="AP4300">
        <v>5000</v>
      </c>
      <c r="AQ4300" t="s">
        <v>129</v>
      </c>
      <c r="AR4300">
        <v>-118</v>
      </c>
      <c r="AS4300">
        <v>-96</v>
      </c>
      <c r="AT4300">
        <v>-512</v>
      </c>
      <c r="BB4300">
        <v>1200</v>
      </c>
      <c r="BC4300">
        <v>1</v>
      </c>
      <c r="BD4300" t="str">
        <f t="shared" si="1584"/>
        <v xml:space="preserve">N887QR  </v>
      </c>
      <c r="BE4300">
        <v>1</v>
      </c>
      <c r="BG4300">
        <v>0</v>
      </c>
      <c r="BH4300">
        <v>0</v>
      </c>
      <c r="BI4300">
        <v>0</v>
      </c>
      <c r="BJ4300">
        <v>4725</v>
      </c>
      <c r="BK4300">
        <v>-275</v>
      </c>
      <c r="BL4300" t="s">
        <v>163</v>
      </c>
      <c r="BM4300">
        <v>1</v>
      </c>
      <c r="BN4300">
        <v>1</v>
      </c>
      <c r="BO4300">
        <v>1</v>
      </c>
      <c r="BP4300">
        <v>0</v>
      </c>
      <c r="BS4300">
        <v>0</v>
      </c>
      <c r="BT4300">
        <v>0</v>
      </c>
      <c r="BU4300">
        <v>0</v>
      </c>
      <c r="CE4300" t="str">
        <f t="shared" si="1587"/>
        <v>19:37:07.493</v>
      </c>
      <c r="CF4300">
        <v>493145986</v>
      </c>
      <c r="CS4300">
        <v>0</v>
      </c>
      <c r="CT4300">
        <v>2</v>
      </c>
      <c r="CU4300">
        <v>0</v>
      </c>
      <c r="CV4300">
        <v>2</v>
      </c>
      <c r="CW4300">
        <v>1</v>
      </c>
      <c r="CX4300">
        <v>6</v>
      </c>
      <c r="CY4300">
        <v>7</v>
      </c>
      <c r="CZ4300" t="s">
        <v>131</v>
      </c>
      <c r="DA4300">
        <v>286</v>
      </c>
      <c r="DB4300">
        <v>0</v>
      </c>
      <c r="DC4300" t="s">
        <v>132</v>
      </c>
      <c r="DD4300" t="s">
        <v>133</v>
      </c>
      <c r="DG4300">
        <v>908636</v>
      </c>
      <c r="DI4300">
        <v>1</v>
      </c>
      <c r="DJ4300">
        <v>0</v>
      </c>
      <c r="DK4300">
        <v>1</v>
      </c>
      <c r="DL4300">
        <v>0</v>
      </c>
      <c r="DM4300">
        <v>0</v>
      </c>
      <c r="DN4300">
        <v>1</v>
      </c>
      <c r="DO4300">
        <v>0</v>
      </c>
      <c r="DP4300">
        <v>0</v>
      </c>
      <c r="DQ4300">
        <v>0</v>
      </c>
      <c r="DR4300">
        <v>0</v>
      </c>
      <c r="DS4300">
        <v>0</v>
      </c>
    </row>
    <row r="4301" spans="1:123" x14ac:dyDescent="0.3">
      <c r="A4301" t="str">
        <f t="shared" si="1585"/>
        <v>10/04/2022 19:37:07.808</v>
      </c>
      <c r="C4301" t="str">
        <f t="shared" si="1574"/>
        <v>FFDFD3C0</v>
      </c>
      <c r="D4301" t="s">
        <v>123</v>
      </c>
      <c r="E4301">
        <v>7</v>
      </c>
      <c r="F4301">
        <v>2007</v>
      </c>
      <c r="G4301" t="s">
        <v>124</v>
      </c>
      <c r="J4301" t="s">
        <v>125</v>
      </c>
      <c r="K4301">
        <v>0</v>
      </c>
      <c r="L4301">
        <v>3</v>
      </c>
      <c r="M4301">
        <v>0</v>
      </c>
      <c r="N4301">
        <v>2</v>
      </c>
      <c r="O4301">
        <v>0</v>
      </c>
      <c r="P4301">
        <v>1</v>
      </c>
      <c r="Q4301">
        <v>0</v>
      </c>
      <c r="S4301" t="str">
        <f t="shared" si="1586"/>
        <v>19:37:07.000</v>
      </c>
      <c r="T4301" t="str">
        <f t="shared" si="1586"/>
        <v>19:37:07.000</v>
      </c>
      <c r="U4301" t="str">
        <f t="shared" si="1583"/>
        <v>AC3944</v>
      </c>
      <c r="V4301">
        <v>0</v>
      </c>
      <c r="W4301">
        <v>0</v>
      </c>
      <c r="X4301">
        <v>2</v>
      </c>
      <c r="Y4301">
        <v>0</v>
      </c>
      <c r="AA4301">
        <v>1</v>
      </c>
      <c r="AB4301">
        <v>8</v>
      </c>
      <c r="AC4301">
        <v>3</v>
      </c>
      <c r="AD4301">
        <v>0</v>
      </c>
      <c r="AE4301">
        <v>9</v>
      </c>
      <c r="AF4301" t="s">
        <v>138</v>
      </c>
      <c r="AG4301">
        <v>0</v>
      </c>
      <c r="AH4301">
        <v>3</v>
      </c>
      <c r="AI4301">
        <v>1</v>
      </c>
      <c r="AJ4301">
        <v>0</v>
      </c>
      <c r="AK4301" t="s">
        <v>1334</v>
      </c>
      <c r="AL4301">
        <v>32.743678000000003</v>
      </c>
      <c r="AM4301" t="s">
        <v>1367</v>
      </c>
      <c r="AN4301">
        <v>-116.692035</v>
      </c>
      <c r="AO4301">
        <v>25</v>
      </c>
      <c r="AP4301">
        <v>5000</v>
      </c>
      <c r="AQ4301" t="s">
        <v>129</v>
      </c>
      <c r="AR4301">
        <v>-118</v>
      </c>
      <c r="AS4301">
        <v>-96</v>
      </c>
      <c r="AT4301">
        <v>-512</v>
      </c>
      <c r="BB4301">
        <v>1200</v>
      </c>
      <c r="BC4301">
        <v>1</v>
      </c>
      <c r="BD4301" t="str">
        <f t="shared" si="1584"/>
        <v xml:space="preserve">N887QR  </v>
      </c>
      <c r="BE4301">
        <v>1</v>
      </c>
      <c r="BG4301">
        <v>0</v>
      </c>
      <c r="BH4301">
        <v>0</v>
      </c>
      <c r="BI4301">
        <v>0</v>
      </c>
      <c r="BJ4301">
        <v>4725</v>
      </c>
      <c r="BK4301">
        <v>-275</v>
      </c>
      <c r="BL4301" t="s">
        <v>163</v>
      </c>
      <c r="BM4301">
        <v>1</v>
      </c>
      <c r="BN4301">
        <v>1</v>
      </c>
      <c r="BO4301">
        <v>1</v>
      </c>
      <c r="BP4301">
        <v>0</v>
      </c>
      <c r="BS4301">
        <v>0</v>
      </c>
      <c r="BT4301">
        <v>0</v>
      </c>
      <c r="BU4301">
        <v>0</v>
      </c>
      <c r="CE4301" t="str">
        <f t="shared" si="1587"/>
        <v>19:37:07.493</v>
      </c>
      <c r="CF4301">
        <v>493145986</v>
      </c>
      <c r="CS4301">
        <v>0</v>
      </c>
      <c r="CT4301">
        <v>2</v>
      </c>
      <c r="CU4301">
        <v>0</v>
      </c>
      <c r="CV4301">
        <v>2</v>
      </c>
      <c r="CW4301">
        <v>1</v>
      </c>
      <c r="CX4301">
        <v>6</v>
      </c>
      <c r="CY4301">
        <v>7</v>
      </c>
      <c r="CZ4301" t="s">
        <v>131</v>
      </c>
      <c r="DA4301">
        <v>286</v>
      </c>
      <c r="DB4301">
        <v>0</v>
      </c>
      <c r="DC4301" t="s">
        <v>132</v>
      </c>
      <c r="DD4301" t="s">
        <v>133</v>
      </c>
      <c r="DG4301">
        <v>908636</v>
      </c>
      <c r="DI4301">
        <v>1</v>
      </c>
      <c r="DJ4301">
        <v>0</v>
      </c>
      <c r="DK4301">
        <v>1</v>
      </c>
      <c r="DL4301">
        <v>0</v>
      </c>
      <c r="DM4301">
        <v>0</v>
      </c>
      <c r="DN4301">
        <v>1</v>
      </c>
      <c r="DO4301">
        <v>0</v>
      </c>
      <c r="DP4301">
        <v>0</v>
      </c>
      <c r="DQ4301">
        <v>0</v>
      </c>
      <c r="DR4301">
        <v>0</v>
      </c>
      <c r="DS4301">
        <v>0</v>
      </c>
    </row>
    <row r="4302" spans="1:123" x14ac:dyDescent="0.3">
      <c r="A4302" t="str">
        <f t="shared" si="1585"/>
        <v>10/04/2022 19:37:07.808</v>
      </c>
      <c r="C4302" t="str">
        <f t="shared" si="1574"/>
        <v>FFDFD3C0</v>
      </c>
      <c r="D4302" t="s">
        <v>141</v>
      </c>
      <c r="E4302">
        <v>4</v>
      </c>
      <c r="H4302">
        <v>4</v>
      </c>
      <c r="I4302" t="s">
        <v>142</v>
      </c>
      <c r="J4302" t="s">
        <v>138</v>
      </c>
      <c r="K4302">
        <v>0</v>
      </c>
      <c r="L4302">
        <v>3</v>
      </c>
      <c r="M4302">
        <v>0</v>
      </c>
      <c r="N4302">
        <v>2</v>
      </c>
      <c r="O4302">
        <v>0</v>
      </c>
      <c r="P4302">
        <v>1</v>
      </c>
      <c r="Q4302">
        <v>0</v>
      </c>
      <c r="S4302" t="str">
        <f t="shared" si="1586"/>
        <v>19:37:07.000</v>
      </c>
      <c r="T4302" t="str">
        <f t="shared" si="1586"/>
        <v>19:37:07.000</v>
      </c>
      <c r="U4302" t="str">
        <f t="shared" si="1583"/>
        <v>AC3944</v>
      </c>
      <c r="V4302">
        <v>0</v>
      </c>
      <c r="W4302">
        <v>0</v>
      </c>
      <c r="X4302">
        <v>2</v>
      </c>
      <c r="Y4302">
        <v>0</v>
      </c>
      <c r="AA4302">
        <v>1</v>
      </c>
      <c r="AB4302">
        <v>8</v>
      </c>
      <c r="AC4302">
        <v>3</v>
      </c>
      <c r="AD4302">
        <v>0</v>
      </c>
      <c r="AE4302">
        <v>9</v>
      </c>
      <c r="AF4302" t="s">
        <v>138</v>
      </c>
      <c r="AG4302">
        <v>0</v>
      </c>
      <c r="AH4302">
        <v>3</v>
      </c>
      <c r="AI4302">
        <v>1</v>
      </c>
      <c r="AJ4302">
        <v>0</v>
      </c>
      <c r="AK4302" t="s">
        <v>1334</v>
      </c>
      <c r="AL4302">
        <v>32.743678000000003</v>
      </c>
      <c r="AM4302" t="s">
        <v>1367</v>
      </c>
      <c r="AN4302">
        <v>-116.692035</v>
      </c>
      <c r="AO4302">
        <v>25</v>
      </c>
      <c r="AP4302">
        <v>5000</v>
      </c>
      <c r="AQ4302" t="s">
        <v>129</v>
      </c>
      <c r="AR4302">
        <v>-118</v>
      </c>
      <c r="AS4302">
        <v>-96</v>
      </c>
      <c r="AT4302">
        <v>-512</v>
      </c>
      <c r="BB4302">
        <v>1200</v>
      </c>
      <c r="BC4302">
        <v>1</v>
      </c>
      <c r="BD4302" t="str">
        <f t="shared" si="1584"/>
        <v xml:space="preserve">N887QR  </v>
      </c>
      <c r="BE4302">
        <v>1</v>
      </c>
      <c r="BG4302">
        <v>0</v>
      </c>
      <c r="BH4302">
        <v>0</v>
      </c>
      <c r="BI4302">
        <v>0</v>
      </c>
      <c r="BJ4302">
        <v>4725</v>
      </c>
      <c r="BK4302">
        <v>-275</v>
      </c>
      <c r="BL4302" t="s">
        <v>163</v>
      </c>
      <c r="BM4302">
        <v>1</v>
      </c>
      <c r="BN4302">
        <v>1</v>
      </c>
      <c r="BO4302">
        <v>1</v>
      </c>
      <c r="BP4302">
        <v>0</v>
      </c>
      <c r="BS4302">
        <v>0</v>
      </c>
      <c r="BT4302">
        <v>0</v>
      </c>
      <c r="BU4302">
        <v>0</v>
      </c>
      <c r="CE4302" t="str">
        <f t="shared" si="1587"/>
        <v>19:37:07.493</v>
      </c>
      <c r="CF4302">
        <v>493145986</v>
      </c>
      <c r="CS4302">
        <v>0</v>
      </c>
      <c r="CT4302">
        <v>2</v>
      </c>
      <c r="CU4302">
        <v>0</v>
      </c>
      <c r="CV4302">
        <v>2</v>
      </c>
      <c r="CW4302">
        <v>1</v>
      </c>
      <c r="CX4302">
        <v>6</v>
      </c>
      <c r="CY4302">
        <v>7</v>
      </c>
      <c r="CZ4302" t="s">
        <v>131</v>
      </c>
      <c r="DA4302">
        <v>286</v>
      </c>
      <c r="DB4302">
        <v>0</v>
      </c>
      <c r="DC4302" t="s">
        <v>132</v>
      </c>
      <c r="DD4302" t="s">
        <v>133</v>
      </c>
      <c r="DG4302">
        <v>908636</v>
      </c>
      <c r="DI4302">
        <v>1</v>
      </c>
      <c r="DJ4302">
        <v>0</v>
      </c>
      <c r="DK4302">
        <v>1</v>
      </c>
      <c r="DL4302">
        <v>0</v>
      </c>
      <c r="DM4302">
        <v>0</v>
      </c>
      <c r="DN4302">
        <v>1</v>
      </c>
      <c r="DO4302">
        <v>0</v>
      </c>
      <c r="DP4302">
        <v>0</v>
      </c>
      <c r="DQ4302">
        <v>0</v>
      </c>
      <c r="DR4302">
        <v>0</v>
      </c>
      <c r="DS4302">
        <v>0</v>
      </c>
    </row>
    <row r="4303" spans="1:123" x14ac:dyDescent="0.3">
      <c r="A4303" t="str">
        <f t="shared" ref="A4303:A4309" si="1588">"10/04/2022 19:37:08.543"</f>
        <v>10/04/2022 19:37:08.543</v>
      </c>
      <c r="C4303" t="str">
        <f t="shared" si="1574"/>
        <v>FFDFD3C0</v>
      </c>
      <c r="D4303" t="s">
        <v>143</v>
      </c>
      <c r="E4303">
        <v>20</v>
      </c>
      <c r="F4303">
        <v>1020</v>
      </c>
      <c r="G4303" t="s">
        <v>144</v>
      </c>
      <c r="J4303" t="s">
        <v>145</v>
      </c>
      <c r="K4303">
        <v>0</v>
      </c>
      <c r="L4303">
        <v>3</v>
      </c>
      <c r="M4303">
        <v>0</v>
      </c>
      <c r="N4303">
        <v>2</v>
      </c>
      <c r="O4303">
        <v>0</v>
      </c>
      <c r="P4303">
        <v>1</v>
      </c>
      <c r="Q4303">
        <v>0</v>
      </c>
      <c r="S4303" t="str">
        <f t="shared" ref="S4303:T4316" si="1589">"19:37:08.000"</f>
        <v>19:37:08.000</v>
      </c>
      <c r="T4303" t="str">
        <f t="shared" si="1589"/>
        <v>19:37:08.000</v>
      </c>
      <c r="U4303" t="str">
        <f t="shared" si="1583"/>
        <v>AC3944</v>
      </c>
      <c r="V4303">
        <v>0</v>
      </c>
      <c r="W4303">
        <v>0</v>
      </c>
      <c r="X4303">
        <v>2</v>
      </c>
      <c r="Y4303">
        <v>0</v>
      </c>
      <c r="AA4303">
        <v>1</v>
      </c>
      <c r="AB4303">
        <v>8</v>
      </c>
      <c r="AC4303">
        <v>3</v>
      </c>
      <c r="AD4303">
        <v>0</v>
      </c>
      <c r="AE4303">
        <v>9</v>
      </c>
      <c r="AF4303" t="s">
        <v>138</v>
      </c>
      <c r="AG4303">
        <v>0</v>
      </c>
      <c r="AH4303">
        <v>3</v>
      </c>
      <c r="AI4303">
        <v>1</v>
      </c>
      <c r="AJ4303">
        <v>0</v>
      </c>
      <c r="AK4303" t="s">
        <v>1368</v>
      </c>
      <c r="AL4303">
        <v>32.743226999999997</v>
      </c>
      <c r="AM4303" t="s">
        <v>1369</v>
      </c>
      <c r="AN4303">
        <v>-116.692679</v>
      </c>
      <c r="AO4303">
        <v>25</v>
      </c>
      <c r="AP4303">
        <v>5000</v>
      </c>
      <c r="AQ4303" t="s">
        <v>129</v>
      </c>
      <c r="AR4303">
        <v>-119</v>
      </c>
      <c r="AS4303">
        <v>-96</v>
      </c>
      <c r="AT4303">
        <v>-768</v>
      </c>
      <c r="BB4303">
        <v>1200</v>
      </c>
      <c r="BC4303">
        <v>1</v>
      </c>
      <c r="BD4303" t="str">
        <f t="shared" si="1584"/>
        <v xml:space="preserve">N887QR  </v>
      </c>
      <c r="BE4303">
        <v>1</v>
      </c>
      <c r="BG4303">
        <v>0</v>
      </c>
      <c r="BH4303">
        <v>0</v>
      </c>
      <c r="BI4303">
        <v>0</v>
      </c>
      <c r="BJ4303">
        <v>4725</v>
      </c>
      <c r="BK4303">
        <v>-275</v>
      </c>
      <c r="BL4303" t="s">
        <v>163</v>
      </c>
      <c r="BM4303">
        <v>1</v>
      </c>
      <c r="BN4303">
        <v>1</v>
      </c>
      <c r="BO4303">
        <v>1</v>
      </c>
      <c r="BP4303">
        <v>0</v>
      </c>
      <c r="BS4303">
        <v>0</v>
      </c>
      <c r="BT4303">
        <v>0</v>
      </c>
      <c r="BU4303">
        <v>0</v>
      </c>
      <c r="CE4303" t="str">
        <f t="shared" ref="CE4303:CE4309" si="1590">"19:37:08.197"</f>
        <v>19:37:08.197</v>
      </c>
      <c r="CF4303">
        <v>196898094</v>
      </c>
      <c r="CS4303">
        <v>0</v>
      </c>
      <c r="CT4303">
        <v>2</v>
      </c>
      <c r="CU4303">
        <v>0</v>
      </c>
      <c r="CV4303">
        <v>2</v>
      </c>
      <c r="CW4303">
        <v>0</v>
      </c>
      <c r="CX4303">
        <v>6</v>
      </c>
      <c r="CY4303">
        <v>7</v>
      </c>
      <c r="CZ4303" t="s">
        <v>131</v>
      </c>
      <c r="DA4303">
        <v>286</v>
      </c>
      <c r="DB4303">
        <v>0</v>
      </c>
      <c r="DC4303" t="s">
        <v>132</v>
      </c>
      <c r="DD4303" t="s">
        <v>133</v>
      </c>
      <c r="DG4303">
        <v>908754</v>
      </c>
      <c r="DI4303">
        <v>1</v>
      </c>
      <c r="DJ4303">
        <v>0</v>
      </c>
      <c r="DK4303">
        <v>0</v>
      </c>
      <c r="DL4303">
        <v>0</v>
      </c>
      <c r="DM4303">
        <v>0</v>
      </c>
      <c r="DN4303">
        <v>1</v>
      </c>
      <c r="DO4303">
        <v>0</v>
      </c>
      <c r="DP4303">
        <v>0</v>
      </c>
      <c r="DQ4303">
        <v>0</v>
      </c>
      <c r="DR4303">
        <v>0</v>
      </c>
      <c r="DS4303">
        <v>0</v>
      </c>
    </row>
    <row r="4304" spans="1:123" x14ac:dyDescent="0.3">
      <c r="A4304" t="str">
        <f t="shared" si="1588"/>
        <v>10/04/2022 19:37:08.543</v>
      </c>
      <c r="C4304" t="str">
        <f t="shared" si="1574"/>
        <v>FFDFD3C0</v>
      </c>
      <c r="D4304" t="s">
        <v>136</v>
      </c>
      <c r="E4304">
        <v>8</v>
      </c>
      <c r="H4304">
        <v>225</v>
      </c>
      <c r="I4304" t="s">
        <v>137</v>
      </c>
      <c r="J4304" t="s">
        <v>138</v>
      </c>
      <c r="K4304">
        <v>0</v>
      </c>
      <c r="L4304">
        <v>3</v>
      </c>
      <c r="M4304">
        <v>0</v>
      </c>
      <c r="N4304">
        <v>2</v>
      </c>
      <c r="O4304">
        <v>0</v>
      </c>
      <c r="P4304">
        <v>1</v>
      </c>
      <c r="Q4304">
        <v>0</v>
      </c>
      <c r="S4304" t="str">
        <f t="shared" si="1589"/>
        <v>19:37:08.000</v>
      </c>
      <c r="T4304" t="str">
        <f t="shared" si="1589"/>
        <v>19:37:08.000</v>
      </c>
      <c r="U4304" t="str">
        <f t="shared" si="1583"/>
        <v>AC3944</v>
      </c>
      <c r="V4304">
        <v>0</v>
      </c>
      <c r="W4304">
        <v>0</v>
      </c>
      <c r="X4304">
        <v>2</v>
      </c>
      <c r="Y4304">
        <v>0</v>
      </c>
      <c r="AA4304">
        <v>1</v>
      </c>
      <c r="AB4304">
        <v>8</v>
      </c>
      <c r="AC4304">
        <v>3</v>
      </c>
      <c r="AD4304">
        <v>0</v>
      </c>
      <c r="AE4304">
        <v>9</v>
      </c>
      <c r="AF4304" t="s">
        <v>138</v>
      </c>
      <c r="AG4304">
        <v>0</v>
      </c>
      <c r="AH4304">
        <v>3</v>
      </c>
      <c r="AI4304">
        <v>1</v>
      </c>
      <c r="AJ4304">
        <v>0</v>
      </c>
      <c r="AK4304" t="s">
        <v>1368</v>
      </c>
      <c r="AL4304">
        <v>32.743226999999997</v>
      </c>
      <c r="AM4304" t="s">
        <v>1369</v>
      </c>
      <c r="AN4304">
        <v>-116.692679</v>
      </c>
      <c r="AO4304">
        <v>25</v>
      </c>
      <c r="AP4304">
        <v>5000</v>
      </c>
      <c r="AQ4304" t="s">
        <v>129</v>
      </c>
      <c r="AR4304">
        <v>-119</v>
      </c>
      <c r="AS4304">
        <v>-96</v>
      </c>
      <c r="AT4304">
        <v>-768</v>
      </c>
      <c r="BB4304">
        <v>1200</v>
      </c>
      <c r="BC4304">
        <v>1</v>
      </c>
      <c r="BD4304" t="str">
        <f t="shared" si="1584"/>
        <v xml:space="preserve">N887QR  </v>
      </c>
      <c r="BE4304">
        <v>1</v>
      </c>
      <c r="BG4304">
        <v>0</v>
      </c>
      <c r="BH4304">
        <v>0</v>
      </c>
      <c r="BI4304">
        <v>0</v>
      </c>
      <c r="BJ4304">
        <v>4725</v>
      </c>
      <c r="BK4304">
        <v>-275</v>
      </c>
      <c r="BL4304" t="s">
        <v>163</v>
      </c>
      <c r="BM4304">
        <v>1</v>
      </c>
      <c r="BN4304">
        <v>1</v>
      </c>
      <c r="BO4304">
        <v>1</v>
      </c>
      <c r="BP4304">
        <v>0</v>
      </c>
      <c r="BS4304">
        <v>0</v>
      </c>
      <c r="BT4304">
        <v>0</v>
      </c>
      <c r="BU4304">
        <v>0</v>
      </c>
      <c r="CE4304" t="str">
        <f t="shared" si="1590"/>
        <v>19:37:08.197</v>
      </c>
      <c r="CF4304">
        <v>196898094</v>
      </c>
      <c r="CS4304">
        <v>0</v>
      </c>
      <c r="CT4304">
        <v>2</v>
      </c>
      <c r="CU4304">
        <v>0</v>
      </c>
      <c r="CV4304">
        <v>2</v>
      </c>
      <c r="CW4304">
        <v>0</v>
      </c>
      <c r="CX4304">
        <v>6</v>
      </c>
      <c r="CY4304">
        <v>7</v>
      </c>
      <c r="CZ4304" t="s">
        <v>131</v>
      </c>
      <c r="DA4304">
        <v>286</v>
      </c>
      <c r="DB4304">
        <v>0</v>
      </c>
      <c r="DC4304" t="s">
        <v>132</v>
      </c>
      <c r="DD4304" t="s">
        <v>133</v>
      </c>
      <c r="DG4304">
        <v>908754</v>
      </c>
      <c r="DI4304">
        <v>1</v>
      </c>
      <c r="DJ4304">
        <v>0</v>
      </c>
      <c r="DK4304">
        <v>1</v>
      </c>
      <c r="DL4304">
        <v>0</v>
      </c>
      <c r="DM4304">
        <v>0</v>
      </c>
      <c r="DN4304">
        <v>1</v>
      </c>
      <c r="DO4304">
        <v>0</v>
      </c>
      <c r="DP4304">
        <v>0</v>
      </c>
      <c r="DQ4304">
        <v>0</v>
      </c>
      <c r="DR4304">
        <v>0</v>
      </c>
      <c r="DS4304">
        <v>0</v>
      </c>
    </row>
    <row r="4305" spans="1:123" x14ac:dyDescent="0.3">
      <c r="A4305" t="str">
        <f t="shared" si="1588"/>
        <v>10/04/2022 19:37:08.543</v>
      </c>
      <c r="C4305" t="str">
        <f t="shared" si="1574"/>
        <v>FFDFD3C0</v>
      </c>
      <c r="D4305" t="s">
        <v>123</v>
      </c>
      <c r="E4305">
        <v>7</v>
      </c>
      <c r="F4305">
        <v>2007</v>
      </c>
      <c r="G4305" t="s">
        <v>124</v>
      </c>
      <c r="J4305" t="s">
        <v>125</v>
      </c>
      <c r="K4305">
        <v>0</v>
      </c>
      <c r="L4305">
        <v>3</v>
      </c>
      <c r="M4305">
        <v>0</v>
      </c>
      <c r="N4305">
        <v>2</v>
      </c>
      <c r="O4305">
        <v>0</v>
      </c>
      <c r="P4305">
        <v>1</v>
      </c>
      <c r="Q4305">
        <v>0</v>
      </c>
      <c r="S4305" t="str">
        <f t="shared" si="1589"/>
        <v>19:37:08.000</v>
      </c>
      <c r="T4305" t="str">
        <f t="shared" si="1589"/>
        <v>19:37:08.000</v>
      </c>
      <c r="U4305" t="str">
        <f t="shared" si="1583"/>
        <v>AC3944</v>
      </c>
      <c r="V4305">
        <v>0</v>
      </c>
      <c r="W4305">
        <v>0</v>
      </c>
      <c r="X4305">
        <v>2</v>
      </c>
      <c r="Y4305">
        <v>0</v>
      </c>
      <c r="AA4305">
        <v>1</v>
      </c>
      <c r="AB4305">
        <v>8</v>
      </c>
      <c r="AC4305">
        <v>3</v>
      </c>
      <c r="AD4305">
        <v>0</v>
      </c>
      <c r="AE4305">
        <v>9</v>
      </c>
      <c r="AF4305" t="s">
        <v>138</v>
      </c>
      <c r="AG4305">
        <v>0</v>
      </c>
      <c r="AH4305">
        <v>3</v>
      </c>
      <c r="AI4305">
        <v>1</v>
      </c>
      <c r="AJ4305">
        <v>0</v>
      </c>
      <c r="AK4305" t="s">
        <v>1368</v>
      </c>
      <c r="AL4305">
        <v>32.743226999999997</v>
      </c>
      <c r="AM4305" t="s">
        <v>1369</v>
      </c>
      <c r="AN4305">
        <v>-116.692679</v>
      </c>
      <c r="AO4305">
        <v>25</v>
      </c>
      <c r="AP4305">
        <v>5000</v>
      </c>
      <c r="AQ4305" t="s">
        <v>129</v>
      </c>
      <c r="AR4305">
        <v>-119</v>
      </c>
      <c r="AS4305">
        <v>-96</v>
      </c>
      <c r="AT4305">
        <v>-768</v>
      </c>
      <c r="BB4305">
        <v>1200</v>
      </c>
      <c r="BC4305">
        <v>1</v>
      </c>
      <c r="BD4305" t="str">
        <f t="shared" si="1584"/>
        <v xml:space="preserve">N887QR  </v>
      </c>
      <c r="BE4305">
        <v>1</v>
      </c>
      <c r="BG4305">
        <v>0</v>
      </c>
      <c r="BH4305">
        <v>0</v>
      </c>
      <c r="BI4305">
        <v>0</v>
      </c>
      <c r="BJ4305">
        <v>4725</v>
      </c>
      <c r="BK4305">
        <v>-275</v>
      </c>
      <c r="BL4305" t="s">
        <v>163</v>
      </c>
      <c r="BM4305">
        <v>1</v>
      </c>
      <c r="BN4305">
        <v>1</v>
      </c>
      <c r="BO4305">
        <v>1</v>
      </c>
      <c r="BP4305">
        <v>0</v>
      </c>
      <c r="BS4305">
        <v>0</v>
      </c>
      <c r="BT4305">
        <v>0</v>
      </c>
      <c r="BU4305">
        <v>0</v>
      </c>
      <c r="CE4305" t="str">
        <f t="shared" si="1590"/>
        <v>19:37:08.197</v>
      </c>
      <c r="CF4305">
        <v>196898094</v>
      </c>
      <c r="CS4305">
        <v>0</v>
      </c>
      <c r="CT4305">
        <v>2</v>
      </c>
      <c r="CU4305">
        <v>0</v>
      </c>
      <c r="CV4305">
        <v>2</v>
      </c>
      <c r="CW4305">
        <v>0</v>
      </c>
      <c r="CX4305">
        <v>6</v>
      </c>
      <c r="CY4305">
        <v>7</v>
      </c>
      <c r="CZ4305" t="s">
        <v>131</v>
      </c>
      <c r="DA4305">
        <v>286</v>
      </c>
      <c r="DB4305">
        <v>0</v>
      </c>
      <c r="DC4305" t="s">
        <v>132</v>
      </c>
      <c r="DD4305" t="s">
        <v>133</v>
      </c>
      <c r="DG4305">
        <v>908754</v>
      </c>
      <c r="DI4305">
        <v>1</v>
      </c>
      <c r="DJ4305">
        <v>0</v>
      </c>
      <c r="DK4305">
        <v>0</v>
      </c>
      <c r="DL4305">
        <v>0</v>
      </c>
      <c r="DM4305">
        <v>0</v>
      </c>
      <c r="DN4305">
        <v>1</v>
      </c>
      <c r="DO4305">
        <v>0</v>
      </c>
      <c r="DP4305">
        <v>0</v>
      </c>
      <c r="DQ4305">
        <v>0</v>
      </c>
      <c r="DR4305">
        <v>0</v>
      </c>
      <c r="DS4305">
        <v>0</v>
      </c>
    </row>
    <row r="4306" spans="1:123" x14ac:dyDescent="0.3">
      <c r="A4306" t="str">
        <f t="shared" si="1588"/>
        <v>10/04/2022 19:37:08.543</v>
      </c>
      <c r="C4306" t="str">
        <f t="shared" si="1574"/>
        <v>FFDFD3C0</v>
      </c>
      <c r="D4306" t="s">
        <v>141</v>
      </c>
      <c r="E4306">
        <v>4</v>
      </c>
      <c r="H4306">
        <v>4</v>
      </c>
      <c r="I4306" t="s">
        <v>142</v>
      </c>
      <c r="J4306" t="s">
        <v>138</v>
      </c>
      <c r="K4306">
        <v>0</v>
      </c>
      <c r="L4306">
        <v>3</v>
      </c>
      <c r="M4306">
        <v>0</v>
      </c>
      <c r="N4306">
        <v>2</v>
      </c>
      <c r="O4306">
        <v>0</v>
      </c>
      <c r="P4306">
        <v>1</v>
      </c>
      <c r="Q4306">
        <v>0</v>
      </c>
      <c r="S4306" t="str">
        <f t="shared" si="1589"/>
        <v>19:37:08.000</v>
      </c>
      <c r="T4306" t="str">
        <f t="shared" si="1589"/>
        <v>19:37:08.000</v>
      </c>
      <c r="U4306" t="str">
        <f t="shared" si="1583"/>
        <v>AC3944</v>
      </c>
      <c r="V4306">
        <v>0</v>
      </c>
      <c r="W4306">
        <v>0</v>
      </c>
      <c r="X4306">
        <v>2</v>
      </c>
      <c r="Y4306">
        <v>0</v>
      </c>
      <c r="AA4306">
        <v>1</v>
      </c>
      <c r="AB4306">
        <v>8</v>
      </c>
      <c r="AC4306">
        <v>3</v>
      </c>
      <c r="AD4306">
        <v>0</v>
      </c>
      <c r="AE4306">
        <v>9</v>
      </c>
      <c r="AF4306" t="s">
        <v>138</v>
      </c>
      <c r="AG4306">
        <v>0</v>
      </c>
      <c r="AH4306">
        <v>3</v>
      </c>
      <c r="AI4306">
        <v>1</v>
      </c>
      <c r="AJ4306">
        <v>0</v>
      </c>
      <c r="AK4306" t="s">
        <v>1368</v>
      </c>
      <c r="AL4306">
        <v>32.743226999999997</v>
      </c>
      <c r="AM4306" t="s">
        <v>1369</v>
      </c>
      <c r="AN4306">
        <v>-116.692679</v>
      </c>
      <c r="AO4306">
        <v>25</v>
      </c>
      <c r="AP4306">
        <v>5000</v>
      </c>
      <c r="AQ4306" t="s">
        <v>129</v>
      </c>
      <c r="AR4306">
        <v>-119</v>
      </c>
      <c r="AS4306">
        <v>-96</v>
      </c>
      <c r="AT4306">
        <v>-768</v>
      </c>
      <c r="BB4306">
        <v>1200</v>
      </c>
      <c r="BC4306">
        <v>1</v>
      </c>
      <c r="BD4306" t="str">
        <f t="shared" si="1584"/>
        <v xml:space="preserve">N887QR  </v>
      </c>
      <c r="BE4306">
        <v>1</v>
      </c>
      <c r="BG4306">
        <v>0</v>
      </c>
      <c r="BH4306">
        <v>0</v>
      </c>
      <c r="BI4306">
        <v>0</v>
      </c>
      <c r="BJ4306">
        <v>4725</v>
      </c>
      <c r="BK4306">
        <v>-275</v>
      </c>
      <c r="BL4306" t="s">
        <v>163</v>
      </c>
      <c r="BM4306">
        <v>1</v>
      </c>
      <c r="BN4306">
        <v>1</v>
      </c>
      <c r="BO4306">
        <v>1</v>
      </c>
      <c r="BP4306">
        <v>0</v>
      </c>
      <c r="BS4306">
        <v>0</v>
      </c>
      <c r="BT4306">
        <v>0</v>
      </c>
      <c r="BU4306">
        <v>0</v>
      </c>
      <c r="CE4306" t="str">
        <f t="shared" si="1590"/>
        <v>19:37:08.197</v>
      </c>
      <c r="CF4306">
        <v>196898094</v>
      </c>
      <c r="CS4306">
        <v>0</v>
      </c>
      <c r="CT4306">
        <v>2</v>
      </c>
      <c r="CU4306">
        <v>0</v>
      </c>
      <c r="CV4306">
        <v>2</v>
      </c>
      <c r="CW4306">
        <v>0</v>
      </c>
      <c r="CX4306">
        <v>6</v>
      </c>
      <c r="CY4306">
        <v>7</v>
      </c>
      <c r="CZ4306" t="s">
        <v>131</v>
      </c>
      <c r="DA4306">
        <v>286</v>
      </c>
      <c r="DB4306">
        <v>0</v>
      </c>
      <c r="DC4306" t="s">
        <v>132</v>
      </c>
      <c r="DD4306" t="s">
        <v>133</v>
      </c>
      <c r="DG4306">
        <v>908754</v>
      </c>
      <c r="DI4306">
        <v>1</v>
      </c>
      <c r="DJ4306">
        <v>0</v>
      </c>
      <c r="DK4306">
        <v>1</v>
      </c>
      <c r="DL4306">
        <v>0</v>
      </c>
      <c r="DM4306">
        <v>0</v>
      </c>
      <c r="DN4306">
        <v>1</v>
      </c>
      <c r="DO4306">
        <v>0</v>
      </c>
      <c r="DP4306">
        <v>0</v>
      </c>
      <c r="DQ4306">
        <v>0</v>
      </c>
      <c r="DR4306">
        <v>0</v>
      </c>
      <c r="DS4306">
        <v>0</v>
      </c>
    </row>
    <row r="4307" spans="1:123" x14ac:dyDescent="0.3">
      <c r="A4307" t="str">
        <f t="shared" si="1588"/>
        <v>10/04/2022 19:37:08.543</v>
      </c>
      <c r="C4307" t="str">
        <f t="shared" si="1574"/>
        <v>FFDFD3C0</v>
      </c>
      <c r="D4307" t="s">
        <v>147</v>
      </c>
      <c r="E4307">
        <v>3</v>
      </c>
      <c r="H4307">
        <v>166</v>
      </c>
      <c r="I4307" t="s">
        <v>144</v>
      </c>
      <c r="J4307" t="s">
        <v>148</v>
      </c>
      <c r="K4307">
        <v>0</v>
      </c>
      <c r="L4307">
        <v>3</v>
      </c>
      <c r="M4307">
        <v>0</v>
      </c>
      <c r="N4307">
        <v>2</v>
      </c>
      <c r="O4307">
        <v>0</v>
      </c>
      <c r="P4307">
        <v>1</v>
      </c>
      <c r="Q4307">
        <v>0</v>
      </c>
      <c r="S4307" t="str">
        <f t="shared" si="1589"/>
        <v>19:37:08.000</v>
      </c>
      <c r="T4307" t="str">
        <f t="shared" si="1589"/>
        <v>19:37:08.000</v>
      </c>
      <c r="U4307" t="str">
        <f t="shared" si="1583"/>
        <v>AC3944</v>
      </c>
      <c r="V4307">
        <v>0</v>
      </c>
      <c r="W4307">
        <v>0</v>
      </c>
      <c r="X4307">
        <v>2</v>
      </c>
      <c r="Y4307">
        <v>0</v>
      </c>
      <c r="AA4307">
        <v>1</v>
      </c>
      <c r="AB4307">
        <v>8</v>
      </c>
      <c r="AC4307">
        <v>3</v>
      </c>
      <c r="AD4307">
        <v>0</v>
      </c>
      <c r="AE4307">
        <v>9</v>
      </c>
      <c r="AF4307" t="s">
        <v>138</v>
      </c>
      <c r="AG4307">
        <v>0</v>
      </c>
      <c r="AH4307">
        <v>3</v>
      </c>
      <c r="AI4307">
        <v>1</v>
      </c>
      <c r="AJ4307">
        <v>0</v>
      </c>
      <c r="AK4307" t="s">
        <v>1368</v>
      </c>
      <c r="AL4307">
        <v>32.743226999999997</v>
      </c>
      <c r="AM4307" t="s">
        <v>1369</v>
      </c>
      <c r="AN4307">
        <v>-116.692679</v>
      </c>
      <c r="AO4307">
        <v>25</v>
      </c>
      <c r="AP4307">
        <v>5000</v>
      </c>
      <c r="AQ4307" t="s">
        <v>129</v>
      </c>
      <c r="AR4307">
        <v>-119</v>
      </c>
      <c r="AS4307">
        <v>-96</v>
      </c>
      <c r="AT4307">
        <v>-768</v>
      </c>
      <c r="BB4307">
        <v>1200</v>
      </c>
      <c r="BC4307">
        <v>1</v>
      </c>
      <c r="BD4307" t="str">
        <f t="shared" si="1584"/>
        <v xml:space="preserve">N887QR  </v>
      </c>
      <c r="BE4307">
        <v>1</v>
      </c>
      <c r="BG4307">
        <v>0</v>
      </c>
      <c r="BH4307">
        <v>0</v>
      </c>
      <c r="BI4307">
        <v>0</v>
      </c>
      <c r="BJ4307">
        <v>4725</v>
      </c>
      <c r="BK4307">
        <v>-275</v>
      </c>
      <c r="BL4307" t="s">
        <v>163</v>
      </c>
      <c r="BM4307">
        <v>1</v>
      </c>
      <c r="BN4307">
        <v>1</v>
      </c>
      <c r="BO4307">
        <v>1</v>
      </c>
      <c r="BP4307">
        <v>0</v>
      </c>
      <c r="BS4307">
        <v>0</v>
      </c>
      <c r="BT4307">
        <v>0</v>
      </c>
      <c r="BU4307">
        <v>0</v>
      </c>
      <c r="CE4307" t="str">
        <f t="shared" si="1590"/>
        <v>19:37:08.197</v>
      </c>
      <c r="CF4307">
        <v>196898094</v>
      </c>
      <c r="CS4307">
        <v>0</v>
      </c>
      <c r="CT4307">
        <v>2</v>
      </c>
      <c r="CU4307">
        <v>0</v>
      </c>
      <c r="CV4307">
        <v>2</v>
      </c>
      <c r="CW4307">
        <v>0</v>
      </c>
      <c r="CX4307">
        <v>6</v>
      </c>
      <c r="CY4307">
        <v>7</v>
      </c>
      <c r="CZ4307" t="s">
        <v>131</v>
      </c>
      <c r="DA4307">
        <v>286</v>
      </c>
      <c r="DB4307">
        <v>0</v>
      </c>
      <c r="DC4307" t="s">
        <v>132</v>
      </c>
      <c r="DD4307" t="s">
        <v>133</v>
      </c>
      <c r="DG4307">
        <v>908754</v>
      </c>
      <c r="DI4307">
        <v>1</v>
      </c>
      <c r="DJ4307">
        <v>0</v>
      </c>
      <c r="DK4307">
        <v>1</v>
      </c>
      <c r="DL4307">
        <v>0</v>
      </c>
      <c r="DM4307">
        <v>0</v>
      </c>
      <c r="DN4307">
        <v>1</v>
      </c>
      <c r="DO4307">
        <v>0</v>
      </c>
      <c r="DP4307">
        <v>0</v>
      </c>
      <c r="DQ4307">
        <v>0</v>
      </c>
      <c r="DR4307">
        <v>0</v>
      </c>
      <c r="DS4307">
        <v>0</v>
      </c>
    </row>
    <row r="4308" spans="1:123" x14ac:dyDescent="0.3">
      <c r="A4308" t="str">
        <f t="shared" si="1588"/>
        <v>10/04/2022 19:37:08.543</v>
      </c>
      <c r="C4308" t="str">
        <f t="shared" si="1574"/>
        <v>FFDFD3C0</v>
      </c>
      <c r="D4308" t="s">
        <v>141</v>
      </c>
      <c r="E4308">
        <v>3</v>
      </c>
      <c r="H4308">
        <v>3</v>
      </c>
      <c r="I4308" t="s">
        <v>146</v>
      </c>
      <c r="J4308" t="s">
        <v>138</v>
      </c>
      <c r="K4308">
        <v>0</v>
      </c>
      <c r="L4308">
        <v>3</v>
      </c>
      <c r="M4308">
        <v>0</v>
      </c>
      <c r="N4308">
        <v>2</v>
      </c>
      <c r="O4308">
        <v>0</v>
      </c>
      <c r="P4308">
        <v>1</v>
      </c>
      <c r="Q4308">
        <v>0</v>
      </c>
      <c r="S4308" t="str">
        <f t="shared" si="1589"/>
        <v>19:37:08.000</v>
      </c>
      <c r="T4308" t="str">
        <f t="shared" si="1589"/>
        <v>19:37:08.000</v>
      </c>
      <c r="U4308" t="str">
        <f t="shared" si="1583"/>
        <v>AC3944</v>
      </c>
      <c r="V4308">
        <v>0</v>
      </c>
      <c r="W4308">
        <v>0</v>
      </c>
      <c r="X4308">
        <v>2</v>
      </c>
      <c r="Y4308">
        <v>0</v>
      </c>
      <c r="AA4308">
        <v>1</v>
      </c>
      <c r="AB4308">
        <v>8</v>
      </c>
      <c r="AC4308">
        <v>3</v>
      </c>
      <c r="AD4308">
        <v>0</v>
      </c>
      <c r="AE4308">
        <v>9</v>
      </c>
      <c r="AF4308" t="s">
        <v>138</v>
      </c>
      <c r="AG4308">
        <v>0</v>
      </c>
      <c r="AH4308">
        <v>3</v>
      </c>
      <c r="AI4308">
        <v>1</v>
      </c>
      <c r="AJ4308">
        <v>0</v>
      </c>
      <c r="AK4308" t="s">
        <v>1368</v>
      </c>
      <c r="AL4308">
        <v>32.743226999999997</v>
      </c>
      <c r="AM4308" t="s">
        <v>1369</v>
      </c>
      <c r="AN4308">
        <v>-116.692679</v>
      </c>
      <c r="AO4308">
        <v>25</v>
      </c>
      <c r="AP4308">
        <v>5000</v>
      </c>
      <c r="AQ4308" t="s">
        <v>129</v>
      </c>
      <c r="AR4308">
        <v>-119</v>
      </c>
      <c r="AS4308">
        <v>-96</v>
      </c>
      <c r="AT4308">
        <v>-768</v>
      </c>
      <c r="BB4308">
        <v>1200</v>
      </c>
      <c r="BC4308">
        <v>1</v>
      </c>
      <c r="BD4308" t="str">
        <f t="shared" si="1584"/>
        <v xml:space="preserve">N887QR  </v>
      </c>
      <c r="BE4308">
        <v>1</v>
      </c>
      <c r="BG4308">
        <v>0</v>
      </c>
      <c r="BH4308">
        <v>0</v>
      </c>
      <c r="BI4308">
        <v>0</v>
      </c>
      <c r="BJ4308">
        <v>4725</v>
      </c>
      <c r="BK4308">
        <v>-275</v>
      </c>
      <c r="BL4308" t="s">
        <v>163</v>
      </c>
      <c r="BM4308">
        <v>1</v>
      </c>
      <c r="BN4308">
        <v>1</v>
      </c>
      <c r="BO4308">
        <v>1</v>
      </c>
      <c r="BP4308">
        <v>0</v>
      </c>
      <c r="BS4308">
        <v>0</v>
      </c>
      <c r="BT4308">
        <v>0</v>
      </c>
      <c r="BU4308">
        <v>0</v>
      </c>
      <c r="CE4308" t="str">
        <f t="shared" si="1590"/>
        <v>19:37:08.197</v>
      </c>
      <c r="CF4308">
        <v>196898094</v>
      </c>
      <c r="CS4308">
        <v>0</v>
      </c>
      <c r="CT4308">
        <v>2</v>
      </c>
      <c r="CU4308">
        <v>0</v>
      </c>
      <c r="CV4308">
        <v>2</v>
      </c>
      <c r="CW4308">
        <v>0</v>
      </c>
      <c r="CX4308">
        <v>6</v>
      </c>
      <c r="CY4308">
        <v>7</v>
      </c>
      <c r="CZ4308" t="s">
        <v>131</v>
      </c>
      <c r="DA4308">
        <v>286</v>
      </c>
      <c r="DB4308">
        <v>0</v>
      </c>
      <c r="DC4308" t="s">
        <v>132</v>
      </c>
      <c r="DD4308" t="s">
        <v>133</v>
      </c>
      <c r="DG4308">
        <v>908754</v>
      </c>
      <c r="DI4308">
        <v>1</v>
      </c>
      <c r="DJ4308">
        <v>0</v>
      </c>
      <c r="DK4308">
        <v>1</v>
      </c>
      <c r="DL4308">
        <v>0</v>
      </c>
      <c r="DM4308">
        <v>0</v>
      </c>
      <c r="DN4308">
        <v>1</v>
      </c>
      <c r="DO4308">
        <v>0</v>
      </c>
      <c r="DP4308">
        <v>0</v>
      </c>
      <c r="DQ4308">
        <v>0</v>
      </c>
      <c r="DR4308">
        <v>0</v>
      </c>
      <c r="DS4308">
        <v>0</v>
      </c>
    </row>
    <row r="4309" spans="1:123" x14ac:dyDescent="0.3">
      <c r="A4309" t="str">
        <f t="shared" si="1588"/>
        <v>10/04/2022 19:37:08.543</v>
      </c>
      <c r="C4309" t="str">
        <f t="shared" si="1574"/>
        <v>FFDFD3C0</v>
      </c>
      <c r="D4309" t="s">
        <v>134</v>
      </c>
      <c r="E4309">
        <v>15</v>
      </c>
      <c r="J4309" t="s">
        <v>135</v>
      </c>
      <c r="K4309">
        <v>0</v>
      </c>
      <c r="L4309">
        <v>3</v>
      </c>
      <c r="M4309">
        <v>0</v>
      </c>
      <c r="N4309">
        <v>2</v>
      </c>
      <c r="O4309">
        <v>0</v>
      </c>
      <c r="P4309">
        <v>1</v>
      </c>
      <c r="Q4309">
        <v>0</v>
      </c>
      <c r="S4309" t="str">
        <f t="shared" si="1589"/>
        <v>19:37:08.000</v>
      </c>
      <c r="T4309" t="str">
        <f t="shared" si="1589"/>
        <v>19:37:08.000</v>
      </c>
      <c r="U4309" t="str">
        <f t="shared" si="1583"/>
        <v>AC3944</v>
      </c>
      <c r="V4309">
        <v>0</v>
      </c>
      <c r="W4309">
        <v>0</v>
      </c>
      <c r="X4309">
        <v>2</v>
      </c>
      <c r="Y4309">
        <v>0</v>
      </c>
      <c r="AA4309">
        <v>1</v>
      </c>
      <c r="AB4309">
        <v>8</v>
      </c>
      <c r="AC4309">
        <v>3</v>
      </c>
      <c r="AD4309">
        <v>0</v>
      </c>
      <c r="AE4309">
        <v>9</v>
      </c>
      <c r="AF4309" t="s">
        <v>138</v>
      </c>
      <c r="AG4309">
        <v>0</v>
      </c>
      <c r="AH4309">
        <v>3</v>
      </c>
      <c r="AI4309">
        <v>1</v>
      </c>
      <c r="AJ4309">
        <v>0</v>
      </c>
      <c r="AK4309" t="s">
        <v>1368</v>
      </c>
      <c r="AL4309">
        <v>32.743226999999997</v>
      </c>
      <c r="AM4309" t="s">
        <v>1369</v>
      </c>
      <c r="AN4309">
        <v>-116.692679</v>
      </c>
      <c r="AO4309">
        <v>25</v>
      </c>
      <c r="AP4309">
        <v>5000</v>
      </c>
      <c r="AQ4309" t="s">
        <v>129</v>
      </c>
      <c r="AR4309">
        <v>-119</v>
      </c>
      <c r="AS4309">
        <v>-96</v>
      </c>
      <c r="AT4309">
        <v>-768</v>
      </c>
      <c r="BB4309">
        <v>1200</v>
      </c>
      <c r="BC4309">
        <v>1</v>
      </c>
      <c r="BD4309" t="str">
        <f t="shared" si="1584"/>
        <v xml:space="preserve">N887QR  </v>
      </c>
      <c r="BE4309">
        <v>1</v>
      </c>
      <c r="BG4309">
        <v>0</v>
      </c>
      <c r="BH4309">
        <v>0</v>
      </c>
      <c r="BI4309">
        <v>0</v>
      </c>
      <c r="BJ4309">
        <v>4725</v>
      </c>
      <c r="BK4309">
        <v>-275</v>
      </c>
      <c r="BL4309" t="s">
        <v>163</v>
      </c>
      <c r="BM4309">
        <v>1</v>
      </c>
      <c r="BN4309">
        <v>1</v>
      </c>
      <c r="BO4309">
        <v>1</v>
      </c>
      <c r="BP4309">
        <v>0</v>
      </c>
      <c r="BS4309">
        <v>0</v>
      </c>
      <c r="BT4309">
        <v>0</v>
      </c>
      <c r="BU4309">
        <v>0</v>
      </c>
      <c r="CE4309" t="str">
        <f t="shared" si="1590"/>
        <v>19:37:08.197</v>
      </c>
      <c r="CF4309">
        <v>196898094</v>
      </c>
      <c r="CS4309">
        <v>0</v>
      </c>
      <c r="CT4309">
        <v>2</v>
      </c>
      <c r="CU4309">
        <v>0</v>
      </c>
      <c r="CV4309">
        <v>2</v>
      </c>
      <c r="CW4309">
        <v>0</v>
      </c>
      <c r="CX4309">
        <v>6</v>
      </c>
      <c r="CY4309">
        <v>7</v>
      </c>
      <c r="CZ4309" t="s">
        <v>131</v>
      </c>
      <c r="DA4309">
        <v>286</v>
      </c>
      <c r="DB4309">
        <v>0</v>
      </c>
      <c r="DC4309" t="s">
        <v>132</v>
      </c>
      <c r="DD4309" t="s">
        <v>133</v>
      </c>
      <c r="DG4309">
        <v>908754</v>
      </c>
      <c r="DI4309">
        <v>1</v>
      </c>
      <c r="DJ4309">
        <v>0</v>
      </c>
      <c r="DK4309">
        <v>1</v>
      </c>
      <c r="DL4309">
        <v>0</v>
      </c>
      <c r="DM4309">
        <v>0</v>
      </c>
      <c r="DN4309">
        <v>1</v>
      </c>
      <c r="DO4309">
        <v>0</v>
      </c>
      <c r="DP4309">
        <v>0</v>
      </c>
      <c r="DQ4309">
        <v>0</v>
      </c>
      <c r="DR4309">
        <v>0</v>
      </c>
      <c r="DS4309">
        <v>0</v>
      </c>
    </row>
    <row r="4310" spans="1:123" x14ac:dyDescent="0.3">
      <c r="A4310" t="str">
        <f>"10/04/2022 19:37:09.230"</f>
        <v>10/04/2022 19:37:09.230</v>
      </c>
      <c r="C4310" t="str">
        <f t="shared" si="1574"/>
        <v>FFDFD3C0</v>
      </c>
      <c r="D4310" t="s">
        <v>143</v>
      </c>
      <c r="E4310">
        <v>20</v>
      </c>
      <c r="F4310">
        <v>1020</v>
      </c>
      <c r="G4310" t="s">
        <v>144</v>
      </c>
      <c r="J4310" t="s">
        <v>145</v>
      </c>
      <c r="K4310">
        <v>0</v>
      </c>
      <c r="L4310">
        <v>3</v>
      </c>
      <c r="M4310">
        <v>0</v>
      </c>
      <c r="N4310">
        <v>2</v>
      </c>
      <c r="O4310">
        <v>0</v>
      </c>
      <c r="P4310">
        <v>1</v>
      </c>
      <c r="Q4310">
        <v>0</v>
      </c>
      <c r="S4310" t="str">
        <f t="shared" si="1589"/>
        <v>19:37:08.000</v>
      </c>
      <c r="T4310" t="str">
        <f t="shared" si="1589"/>
        <v>19:37:08.000</v>
      </c>
      <c r="U4310" t="str">
        <f t="shared" si="1583"/>
        <v>AC3944</v>
      </c>
      <c r="V4310">
        <v>0</v>
      </c>
      <c r="W4310">
        <v>0</v>
      </c>
      <c r="X4310">
        <v>2</v>
      </c>
      <c r="Y4310">
        <v>0</v>
      </c>
      <c r="AA4310">
        <v>1</v>
      </c>
      <c r="AB4310">
        <v>8</v>
      </c>
      <c r="AC4310">
        <v>3</v>
      </c>
      <c r="AD4310">
        <v>0</v>
      </c>
      <c r="AE4310">
        <v>9</v>
      </c>
      <c r="AF4310" t="s">
        <v>138</v>
      </c>
      <c r="AG4310">
        <v>0</v>
      </c>
      <c r="AH4310">
        <v>3</v>
      </c>
      <c r="AI4310">
        <v>1</v>
      </c>
      <c r="AJ4310">
        <v>0</v>
      </c>
      <c r="AK4310" t="s">
        <v>916</v>
      </c>
      <c r="AL4310">
        <v>32.742776999999997</v>
      </c>
      <c r="AM4310" t="s">
        <v>1370</v>
      </c>
      <c r="AN4310">
        <v>-116.693344</v>
      </c>
      <c r="AO4310">
        <v>25</v>
      </c>
      <c r="AP4310">
        <v>5000</v>
      </c>
      <c r="AQ4310" t="s">
        <v>129</v>
      </c>
      <c r="AR4310">
        <v>-121</v>
      </c>
      <c r="AS4310">
        <v>-95</v>
      </c>
      <c r="AT4310">
        <v>-768</v>
      </c>
      <c r="BB4310">
        <v>1200</v>
      </c>
      <c r="BC4310">
        <v>1</v>
      </c>
      <c r="BD4310" t="str">
        <f t="shared" si="1584"/>
        <v xml:space="preserve">N887QR  </v>
      </c>
      <c r="BE4310">
        <v>1</v>
      </c>
      <c r="BG4310">
        <v>0</v>
      </c>
      <c r="BH4310">
        <v>0</v>
      </c>
      <c r="BI4310">
        <v>0</v>
      </c>
      <c r="BJ4310">
        <v>4675</v>
      </c>
      <c r="BK4310">
        <v>-325</v>
      </c>
      <c r="BL4310" t="s">
        <v>163</v>
      </c>
      <c r="BM4310">
        <v>1</v>
      </c>
      <c r="BN4310">
        <v>1</v>
      </c>
      <c r="BO4310">
        <v>1</v>
      </c>
      <c r="BP4310">
        <v>0</v>
      </c>
      <c r="BS4310">
        <v>0</v>
      </c>
      <c r="BT4310">
        <v>0</v>
      </c>
      <c r="BU4310">
        <v>0</v>
      </c>
      <c r="CE4310" t="str">
        <f t="shared" ref="CE4310:CE4316" si="1591">"19:37:08.950"</f>
        <v>19:37:08.950</v>
      </c>
      <c r="CF4310">
        <v>949900307</v>
      </c>
      <c r="CS4310">
        <v>0</v>
      </c>
      <c r="CT4310">
        <v>2</v>
      </c>
      <c r="CU4310">
        <v>0</v>
      </c>
      <c r="CV4310">
        <v>2</v>
      </c>
      <c r="CW4310">
        <v>0</v>
      </c>
      <c r="CX4310">
        <v>6</v>
      </c>
      <c r="CY4310">
        <v>7</v>
      </c>
      <c r="CZ4310" t="s">
        <v>131</v>
      </c>
      <c r="DA4310">
        <v>286</v>
      </c>
      <c r="DB4310">
        <v>0</v>
      </c>
      <c r="DC4310" t="s">
        <v>132</v>
      </c>
      <c r="DD4310" t="s">
        <v>133</v>
      </c>
      <c r="DG4310">
        <v>908960</v>
      </c>
      <c r="DI4310">
        <v>1</v>
      </c>
      <c r="DJ4310">
        <v>0</v>
      </c>
      <c r="DK4310">
        <v>0</v>
      </c>
      <c r="DL4310">
        <v>0</v>
      </c>
      <c r="DM4310">
        <v>0</v>
      </c>
      <c r="DN4310">
        <v>1</v>
      </c>
      <c r="DO4310">
        <v>0</v>
      </c>
      <c r="DP4310">
        <v>0</v>
      </c>
      <c r="DQ4310">
        <v>0</v>
      </c>
      <c r="DR4310">
        <v>0</v>
      </c>
      <c r="DS4310">
        <v>0</v>
      </c>
    </row>
    <row r="4311" spans="1:123" x14ac:dyDescent="0.3">
      <c r="A4311" t="str">
        <f>"10/04/2022 19:37:09.230"</f>
        <v>10/04/2022 19:37:09.230</v>
      </c>
      <c r="C4311" t="str">
        <f t="shared" si="1574"/>
        <v>FFDFD3C0</v>
      </c>
      <c r="D4311" t="s">
        <v>136</v>
      </c>
      <c r="E4311">
        <v>8</v>
      </c>
      <c r="H4311">
        <v>225</v>
      </c>
      <c r="I4311" t="s">
        <v>137</v>
      </c>
      <c r="J4311" t="s">
        <v>138</v>
      </c>
      <c r="K4311">
        <v>0</v>
      </c>
      <c r="L4311">
        <v>3</v>
      </c>
      <c r="M4311">
        <v>0</v>
      </c>
      <c r="N4311">
        <v>2</v>
      </c>
      <c r="O4311">
        <v>0</v>
      </c>
      <c r="P4311">
        <v>1</v>
      </c>
      <c r="Q4311">
        <v>0</v>
      </c>
      <c r="S4311" t="str">
        <f t="shared" si="1589"/>
        <v>19:37:08.000</v>
      </c>
      <c r="T4311" t="str">
        <f t="shared" si="1589"/>
        <v>19:37:08.000</v>
      </c>
      <c r="U4311" t="str">
        <f t="shared" si="1583"/>
        <v>AC3944</v>
      </c>
      <c r="V4311">
        <v>0</v>
      </c>
      <c r="W4311">
        <v>0</v>
      </c>
      <c r="X4311">
        <v>2</v>
      </c>
      <c r="Y4311">
        <v>0</v>
      </c>
      <c r="AA4311">
        <v>1</v>
      </c>
      <c r="AB4311">
        <v>8</v>
      </c>
      <c r="AC4311">
        <v>3</v>
      </c>
      <c r="AD4311">
        <v>0</v>
      </c>
      <c r="AE4311">
        <v>9</v>
      </c>
      <c r="AF4311" t="s">
        <v>138</v>
      </c>
      <c r="AG4311">
        <v>0</v>
      </c>
      <c r="AH4311">
        <v>3</v>
      </c>
      <c r="AI4311">
        <v>1</v>
      </c>
      <c r="AJ4311">
        <v>0</v>
      </c>
      <c r="AK4311" t="s">
        <v>916</v>
      </c>
      <c r="AL4311">
        <v>32.742776999999997</v>
      </c>
      <c r="AM4311" t="s">
        <v>1370</v>
      </c>
      <c r="AN4311">
        <v>-116.693344</v>
      </c>
      <c r="AO4311">
        <v>25</v>
      </c>
      <c r="AP4311">
        <v>5000</v>
      </c>
      <c r="AQ4311" t="s">
        <v>129</v>
      </c>
      <c r="AR4311">
        <v>-121</v>
      </c>
      <c r="AS4311">
        <v>-95</v>
      </c>
      <c r="AT4311">
        <v>-768</v>
      </c>
      <c r="BB4311">
        <v>1200</v>
      </c>
      <c r="BC4311">
        <v>1</v>
      </c>
      <c r="BD4311" t="str">
        <f t="shared" si="1584"/>
        <v xml:space="preserve">N887QR  </v>
      </c>
      <c r="BE4311">
        <v>1</v>
      </c>
      <c r="BG4311">
        <v>0</v>
      </c>
      <c r="BH4311">
        <v>0</v>
      </c>
      <c r="BI4311">
        <v>0</v>
      </c>
      <c r="BJ4311">
        <v>4675</v>
      </c>
      <c r="BK4311">
        <v>-325</v>
      </c>
      <c r="BL4311" t="s">
        <v>163</v>
      </c>
      <c r="BM4311">
        <v>1</v>
      </c>
      <c r="BN4311">
        <v>1</v>
      </c>
      <c r="BO4311">
        <v>1</v>
      </c>
      <c r="BP4311">
        <v>0</v>
      </c>
      <c r="BS4311">
        <v>0</v>
      </c>
      <c r="BT4311">
        <v>0</v>
      </c>
      <c r="BU4311">
        <v>0</v>
      </c>
      <c r="CE4311" t="str">
        <f t="shared" si="1591"/>
        <v>19:37:08.950</v>
      </c>
      <c r="CF4311">
        <v>949900307</v>
      </c>
      <c r="CS4311">
        <v>0</v>
      </c>
      <c r="CT4311">
        <v>2</v>
      </c>
      <c r="CU4311">
        <v>0</v>
      </c>
      <c r="CV4311">
        <v>2</v>
      </c>
      <c r="CW4311">
        <v>0</v>
      </c>
      <c r="CX4311">
        <v>6</v>
      </c>
      <c r="CY4311">
        <v>7</v>
      </c>
      <c r="CZ4311" t="s">
        <v>131</v>
      </c>
      <c r="DA4311">
        <v>286</v>
      </c>
      <c r="DB4311">
        <v>0</v>
      </c>
      <c r="DC4311" t="s">
        <v>132</v>
      </c>
      <c r="DD4311" t="s">
        <v>133</v>
      </c>
      <c r="DG4311">
        <v>908960</v>
      </c>
      <c r="DI4311">
        <v>1</v>
      </c>
      <c r="DJ4311">
        <v>0</v>
      </c>
      <c r="DK4311">
        <v>1</v>
      </c>
      <c r="DL4311">
        <v>0</v>
      </c>
      <c r="DM4311">
        <v>0</v>
      </c>
      <c r="DN4311">
        <v>1</v>
      </c>
      <c r="DO4311">
        <v>0</v>
      </c>
      <c r="DP4311">
        <v>0</v>
      </c>
      <c r="DQ4311">
        <v>0</v>
      </c>
      <c r="DR4311">
        <v>0</v>
      </c>
      <c r="DS4311">
        <v>0</v>
      </c>
    </row>
    <row r="4312" spans="1:123" x14ac:dyDescent="0.3">
      <c r="A4312" t="str">
        <f>"10/04/2022 19:37:09.262"</f>
        <v>10/04/2022 19:37:09.262</v>
      </c>
      <c r="C4312" t="str">
        <f t="shared" si="1574"/>
        <v>FFDFD3C0</v>
      </c>
      <c r="D4312" t="s">
        <v>123</v>
      </c>
      <c r="E4312">
        <v>7</v>
      </c>
      <c r="F4312">
        <v>2007</v>
      </c>
      <c r="G4312" t="s">
        <v>124</v>
      </c>
      <c r="J4312" t="s">
        <v>125</v>
      </c>
      <c r="K4312">
        <v>0</v>
      </c>
      <c r="L4312">
        <v>3</v>
      </c>
      <c r="M4312">
        <v>0</v>
      </c>
      <c r="N4312">
        <v>2</v>
      </c>
      <c r="O4312">
        <v>0</v>
      </c>
      <c r="P4312">
        <v>1</v>
      </c>
      <c r="Q4312">
        <v>0</v>
      </c>
      <c r="S4312" t="str">
        <f t="shared" si="1589"/>
        <v>19:37:08.000</v>
      </c>
      <c r="T4312" t="str">
        <f t="shared" si="1589"/>
        <v>19:37:08.000</v>
      </c>
      <c r="U4312" t="str">
        <f t="shared" si="1583"/>
        <v>AC3944</v>
      </c>
      <c r="V4312">
        <v>0</v>
      </c>
      <c r="W4312">
        <v>0</v>
      </c>
      <c r="X4312">
        <v>2</v>
      </c>
      <c r="Y4312">
        <v>0</v>
      </c>
      <c r="AA4312">
        <v>1</v>
      </c>
      <c r="AB4312">
        <v>8</v>
      </c>
      <c r="AC4312">
        <v>3</v>
      </c>
      <c r="AD4312">
        <v>0</v>
      </c>
      <c r="AE4312">
        <v>9</v>
      </c>
      <c r="AF4312" t="s">
        <v>138</v>
      </c>
      <c r="AG4312">
        <v>0</v>
      </c>
      <c r="AH4312">
        <v>3</v>
      </c>
      <c r="AI4312">
        <v>1</v>
      </c>
      <c r="AJ4312">
        <v>0</v>
      </c>
      <c r="AK4312" t="s">
        <v>916</v>
      </c>
      <c r="AL4312">
        <v>32.742776999999997</v>
      </c>
      <c r="AM4312" t="s">
        <v>1370</v>
      </c>
      <c r="AN4312">
        <v>-116.693344</v>
      </c>
      <c r="AO4312">
        <v>25</v>
      </c>
      <c r="AP4312">
        <v>5000</v>
      </c>
      <c r="AQ4312" t="s">
        <v>129</v>
      </c>
      <c r="AR4312">
        <v>-121</v>
      </c>
      <c r="AS4312">
        <v>-95</v>
      </c>
      <c r="AT4312">
        <v>-768</v>
      </c>
      <c r="BB4312">
        <v>1200</v>
      </c>
      <c r="BC4312">
        <v>1</v>
      </c>
      <c r="BD4312" t="str">
        <f t="shared" si="1584"/>
        <v xml:space="preserve">N887QR  </v>
      </c>
      <c r="BE4312">
        <v>1</v>
      </c>
      <c r="BG4312">
        <v>0</v>
      </c>
      <c r="BH4312">
        <v>0</v>
      </c>
      <c r="BI4312">
        <v>0</v>
      </c>
      <c r="BJ4312">
        <v>4675</v>
      </c>
      <c r="BK4312">
        <v>-325</v>
      </c>
      <c r="BL4312" t="s">
        <v>163</v>
      </c>
      <c r="BM4312">
        <v>1</v>
      </c>
      <c r="BN4312">
        <v>1</v>
      </c>
      <c r="BO4312">
        <v>1</v>
      </c>
      <c r="BP4312">
        <v>0</v>
      </c>
      <c r="BS4312">
        <v>0</v>
      </c>
      <c r="BT4312">
        <v>0</v>
      </c>
      <c r="BU4312">
        <v>0</v>
      </c>
      <c r="CE4312" t="str">
        <f t="shared" si="1591"/>
        <v>19:37:08.950</v>
      </c>
      <c r="CF4312">
        <v>949900307</v>
      </c>
      <c r="CS4312">
        <v>0</v>
      </c>
      <c r="CT4312">
        <v>2</v>
      </c>
      <c r="CU4312">
        <v>0</v>
      </c>
      <c r="CV4312">
        <v>2</v>
      </c>
      <c r="CW4312">
        <v>0</v>
      </c>
      <c r="CX4312">
        <v>6</v>
      </c>
      <c r="CY4312">
        <v>7</v>
      </c>
      <c r="CZ4312" t="s">
        <v>131</v>
      </c>
      <c r="DA4312">
        <v>286</v>
      </c>
      <c r="DB4312">
        <v>0</v>
      </c>
      <c r="DC4312" t="s">
        <v>132</v>
      </c>
      <c r="DD4312" t="s">
        <v>133</v>
      </c>
      <c r="DG4312">
        <v>908960</v>
      </c>
      <c r="DI4312">
        <v>1</v>
      </c>
      <c r="DJ4312">
        <v>0</v>
      </c>
      <c r="DK4312">
        <v>1</v>
      </c>
      <c r="DL4312">
        <v>0</v>
      </c>
      <c r="DM4312">
        <v>0</v>
      </c>
      <c r="DN4312">
        <v>1</v>
      </c>
      <c r="DO4312">
        <v>0</v>
      </c>
      <c r="DP4312">
        <v>0</v>
      </c>
      <c r="DQ4312">
        <v>0</v>
      </c>
      <c r="DR4312">
        <v>0</v>
      </c>
      <c r="DS4312">
        <v>0</v>
      </c>
    </row>
    <row r="4313" spans="1:123" x14ac:dyDescent="0.3">
      <c r="A4313" t="str">
        <f>"10/04/2022 19:37:09.230"</f>
        <v>10/04/2022 19:37:09.230</v>
      </c>
      <c r="C4313" t="str">
        <f t="shared" si="1574"/>
        <v>FFDFD3C0</v>
      </c>
      <c r="D4313" t="s">
        <v>141</v>
      </c>
      <c r="E4313">
        <v>3</v>
      </c>
      <c r="H4313">
        <v>3</v>
      </c>
      <c r="I4313" t="s">
        <v>146</v>
      </c>
      <c r="J4313" t="s">
        <v>138</v>
      </c>
      <c r="K4313">
        <v>0</v>
      </c>
      <c r="L4313">
        <v>3</v>
      </c>
      <c r="M4313">
        <v>0</v>
      </c>
      <c r="N4313">
        <v>2</v>
      </c>
      <c r="O4313">
        <v>0</v>
      </c>
      <c r="P4313">
        <v>1</v>
      </c>
      <c r="Q4313">
        <v>0</v>
      </c>
      <c r="S4313" t="str">
        <f t="shared" si="1589"/>
        <v>19:37:08.000</v>
      </c>
      <c r="T4313" t="str">
        <f t="shared" si="1589"/>
        <v>19:37:08.000</v>
      </c>
      <c r="U4313" t="str">
        <f t="shared" si="1583"/>
        <v>AC3944</v>
      </c>
      <c r="V4313">
        <v>0</v>
      </c>
      <c r="W4313">
        <v>0</v>
      </c>
      <c r="X4313">
        <v>2</v>
      </c>
      <c r="Y4313">
        <v>0</v>
      </c>
      <c r="AA4313">
        <v>1</v>
      </c>
      <c r="AB4313">
        <v>8</v>
      </c>
      <c r="AC4313">
        <v>3</v>
      </c>
      <c r="AD4313">
        <v>0</v>
      </c>
      <c r="AE4313">
        <v>9</v>
      </c>
      <c r="AF4313" t="s">
        <v>138</v>
      </c>
      <c r="AG4313">
        <v>0</v>
      </c>
      <c r="AH4313">
        <v>3</v>
      </c>
      <c r="AI4313">
        <v>1</v>
      </c>
      <c r="AJ4313">
        <v>0</v>
      </c>
      <c r="AK4313" t="s">
        <v>916</v>
      </c>
      <c r="AL4313">
        <v>32.742776999999997</v>
      </c>
      <c r="AM4313" t="s">
        <v>1370</v>
      </c>
      <c r="AN4313">
        <v>-116.693344</v>
      </c>
      <c r="AO4313">
        <v>25</v>
      </c>
      <c r="AP4313">
        <v>5000</v>
      </c>
      <c r="AQ4313" t="s">
        <v>129</v>
      </c>
      <c r="AR4313">
        <v>-121</v>
      </c>
      <c r="AS4313">
        <v>-95</v>
      </c>
      <c r="AT4313">
        <v>-768</v>
      </c>
      <c r="BB4313">
        <v>1200</v>
      </c>
      <c r="BC4313">
        <v>1</v>
      </c>
      <c r="BD4313" t="str">
        <f t="shared" si="1584"/>
        <v xml:space="preserve">N887QR  </v>
      </c>
      <c r="BE4313">
        <v>1</v>
      </c>
      <c r="BG4313">
        <v>0</v>
      </c>
      <c r="BH4313">
        <v>0</v>
      </c>
      <c r="BI4313">
        <v>0</v>
      </c>
      <c r="BJ4313">
        <v>4675</v>
      </c>
      <c r="BK4313">
        <v>-325</v>
      </c>
      <c r="BL4313" t="s">
        <v>163</v>
      </c>
      <c r="BM4313">
        <v>1</v>
      </c>
      <c r="BN4313">
        <v>1</v>
      </c>
      <c r="BO4313">
        <v>1</v>
      </c>
      <c r="BP4313">
        <v>0</v>
      </c>
      <c r="BS4313">
        <v>0</v>
      </c>
      <c r="BT4313">
        <v>0</v>
      </c>
      <c r="BU4313">
        <v>0</v>
      </c>
      <c r="CE4313" t="str">
        <f t="shared" si="1591"/>
        <v>19:37:08.950</v>
      </c>
      <c r="CF4313">
        <v>949900307</v>
      </c>
      <c r="CS4313">
        <v>0</v>
      </c>
      <c r="CT4313">
        <v>2</v>
      </c>
      <c r="CU4313">
        <v>0</v>
      </c>
      <c r="CV4313">
        <v>2</v>
      </c>
      <c r="CW4313">
        <v>0</v>
      </c>
      <c r="CX4313">
        <v>6</v>
      </c>
      <c r="CY4313">
        <v>7</v>
      </c>
      <c r="CZ4313" t="s">
        <v>131</v>
      </c>
      <c r="DA4313">
        <v>286</v>
      </c>
      <c r="DB4313">
        <v>0</v>
      </c>
      <c r="DC4313" t="s">
        <v>132</v>
      </c>
      <c r="DD4313" t="s">
        <v>133</v>
      </c>
      <c r="DG4313">
        <v>908960</v>
      </c>
      <c r="DI4313">
        <v>1</v>
      </c>
      <c r="DJ4313">
        <v>0</v>
      </c>
      <c r="DK4313">
        <v>1</v>
      </c>
      <c r="DL4313">
        <v>0</v>
      </c>
      <c r="DM4313">
        <v>0</v>
      </c>
      <c r="DN4313">
        <v>1</v>
      </c>
      <c r="DO4313">
        <v>0</v>
      </c>
      <c r="DP4313">
        <v>0</v>
      </c>
      <c r="DQ4313">
        <v>0</v>
      </c>
      <c r="DR4313">
        <v>0</v>
      </c>
      <c r="DS4313">
        <v>0</v>
      </c>
    </row>
    <row r="4314" spans="1:123" x14ac:dyDescent="0.3">
      <c r="A4314" t="str">
        <f>"10/04/2022 19:37:09.262"</f>
        <v>10/04/2022 19:37:09.262</v>
      </c>
      <c r="C4314" t="str">
        <f t="shared" si="1574"/>
        <v>FFDFD3C0</v>
      </c>
      <c r="D4314" t="s">
        <v>141</v>
      </c>
      <c r="E4314">
        <v>4</v>
      </c>
      <c r="H4314">
        <v>4</v>
      </c>
      <c r="I4314" t="s">
        <v>142</v>
      </c>
      <c r="J4314" t="s">
        <v>138</v>
      </c>
      <c r="K4314">
        <v>0</v>
      </c>
      <c r="L4314">
        <v>3</v>
      </c>
      <c r="M4314">
        <v>0</v>
      </c>
      <c r="N4314">
        <v>2</v>
      </c>
      <c r="O4314">
        <v>0</v>
      </c>
      <c r="P4314">
        <v>1</v>
      </c>
      <c r="Q4314">
        <v>0</v>
      </c>
      <c r="S4314" t="str">
        <f t="shared" si="1589"/>
        <v>19:37:08.000</v>
      </c>
      <c r="T4314" t="str">
        <f t="shared" si="1589"/>
        <v>19:37:08.000</v>
      </c>
      <c r="U4314" t="str">
        <f t="shared" si="1583"/>
        <v>AC3944</v>
      </c>
      <c r="V4314">
        <v>0</v>
      </c>
      <c r="W4314">
        <v>0</v>
      </c>
      <c r="X4314">
        <v>2</v>
      </c>
      <c r="Y4314">
        <v>0</v>
      </c>
      <c r="AA4314">
        <v>1</v>
      </c>
      <c r="AB4314">
        <v>8</v>
      </c>
      <c r="AC4314">
        <v>3</v>
      </c>
      <c r="AD4314">
        <v>0</v>
      </c>
      <c r="AE4314">
        <v>9</v>
      </c>
      <c r="AF4314" t="s">
        <v>138</v>
      </c>
      <c r="AG4314">
        <v>0</v>
      </c>
      <c r="AH4314">
        <v>3</v>
      </c>
      <c r="AI4314">
        <v>1</v>
      </c>
      <c r="AJ4314">
        <v>0</v>
      </c>
      <c r="AK4314" t="s">
        <v>916</v>
      </c>
      <c r="AL4314">
        <v>32.742776999999997</v>
      </c>
      <c r="AM4314" t="s">
        <v>1370</v>
      </c>
      <c r="AN4314">
        <v>-116.693344</v>
      </c>
      <c r="AO4314">
        <v>25</v>
      </c>
      <c r="AP4314">
        <v>5000</v>
      </c>
      <c r="AQ4314" t="s">
        <v>129</v>
      </c>
      <c r="AR4314">
        <v>-121</v>
      </c>
      <c r="AS4314">
        <v>-95</v>
      </c>
      <c r="AT4314">
        <v>-768</v>
      </c>
      <c r="BB4314">
        <v>1200</v>
      </c>
      <c r="BC4314">
        <v>1</v>
      </c>
      <c r="BD4314" t="str">
        <f t="shared" si="1584"/>
        <v xml:space="preserve">N887QR  </v>
      </c>
      <c r="BE4314">
        <v>1</v>
      </c>
      <c r="BG4314">
        <v>0</v>
      </c>
      <c r="BH4314">
        <v>0</v>
      </c>
      <c r="BI4314">
        <v>0</v>
      </c>
      <c r="BJ4314">
        <v>4675</v>
      </c>
      <c r="BK4314">
        <v>-325</v>
      </c>
      <c r="BL4314" t="s">
        <v>163</v>
      </c>
      <c r="BM4314">
        <v>1</v>
      </c>
      <c r="BN4314">
        <v>1</v>
      </c>
      <c r="BO4314">
        <v>1</v>
      </c>
      <c r="BP4314">
        <v>0</v>
      </c>
      <c r="BS4314">
        <v>0</v>
      </c>
      <c r="BT4314">
        <v>0</v>
      </c>
      <c r="BU4314">
        <v>0</v>
      </c>
      <c r="CE4314" t="str">
        <f t="shared" si="1591"/>
        <v>19:37:08.950</v>
      </c>
      <c r="CF4314">
        <v>949900307</v>
      </c>
      <c r="CS4314">
        <v>0</v>
      </c>
      <c r="CT4314">
        <v>2</v>
      </c>
      <c r="CU4314">
        <v>0</v>
      </c>
      <c r="CV4314">
        <v>2</v>
      </c>
      <c r="CW4314">
        <v>0</v>
      </c>
      <c r="CX4314">
        <v>6</v>
      </c>
      <c r="CY4314">
        <v>7</v>
      </c>
      <c r="CZ4314" t="s">
        <v>131</v>
      </c>
      <c r="DA4314">
        <v>286</v>
      </c>
      <c r="DB4314">
        <v>0</v>
      </c>
      <c r="DC4314" t="s">
        <v>132</v>
      </c>
      <c r="DD4314" t="s">
        <v>133</v>
      </c>
      <c r="DG4314">
        <v>908960</v>
      </c>
      <c r="DI4314">
        <v>1</v>
      </c>
      <c r="DJ4314">
        <v>0</v>
      </c>
      <c r="DK4314">
        <v>1</v>
      </c>
      <c r="DL4314">
        <v>0</v>
      </c>
      <c r="DM4314">
        <v>0</v>
      </c>
      <c r="DN4314">
        <v>1</v>
      </c>
      <c r="DO4314">
        <v>0</v>
      </c>
      <c r="DP4314">
        <v>0</v>
      </c>
      <c r="DQ4314">
        <v>0</v>
      </c>
      <c r="DR4314">
        <v>0</v>
      </c>
      <c r="DS4314">
        <v>0</v>
      </c>
    </row>
    <row r="4315" spans="1:123" x14ac:dyDescent="0.3">
      <c r="A4315" t="str">
        <f>"10/04/2022 19:37:09.262"</f>
        <v>10/04/2022 19:37:09.262</v>
      </c>
      <c r="C4315" t="str">
        <f t="shared" si="1574"/>
        <v>FFDFD3C0</v>
      </c>
      <c r="D4315" t="s">
        <v>147</v>
      </c>
      <c r="E4315">
        <v>3</v>
      </c>
      <c r="H4315">
        <v>166</v>
      </c>
      <c r="I4315" t="s">
        <v>144</v>
      </c>
      <c r="J4315" t="s">
        <v>148</v>
      </c>
      <c r="K4315">
        <v>0</v>
      </c>
      <c r="L4315">
        <v>3</v>
      </c>
      <c r="M4315">
        <v>0</v>
      </c>
      <c r="N4315">
        <v>2</v>
      </c>
      <c r="O4315">
        <v>0</v>
      </c>
      <c r="P4315">
        <v>1</v>
      </c>
      <c r="Q4315">
        <v>0</v>
      </c>
      <c r="S4315" t="str">
        <f t="shared" si="1589"/>
        <v>19:37:08.000</v>
      </c>
      <c r="T4315" t="str">
        <f t="shared" si="1589"/>
        <v>19:37:08.000</v>
      </c>
      <c r="U4315" t="str">
        <f t="shared" si="1583"/>
        <v>AC3944</v>
      </c>
      <c r="V4315">
        <v>0</v>
      </c>
      <c r="W4315">
        <v>0</v>
      </c>
      <c r="X4315">
        <v>2</v>
      </c>
      <c r="Y4315">
        <v>0</v>
      </c>
      <c r="AA4315">
        <v>1</v>
      </c>
      <c r="AB4315">
        <v>8</v>
      </c>
      <c r="AC4315">
        <v>3</v>
      </c>
      <c r="AD4315">
        <v>0</v>
      </c>
      <c r="AE4315">
        <v>9</v>
      </c>
      <c r="AF4315" t="s">
        <v>138</v>
      </c>
      <c r="AG4315">
        <v>0</v>
      </c>
      <c r="AH4315">
        <v>3</v>
      </c>
      <c r="AI4315">
        <v>1</v>
      </c>
      <c r="AJ4315">
        <v>0</v>
      </c>
      <c r="AK4315" t="s">
        <v>916</v>
      </c>
      <c r="AL4315">
        <v>32.742776999999997</v>
      </c>
      <c r="AM4315" t="s">
        <v>1370</v>
      </c>
      <c r="AN4315">
        <v>-116.693344</v>
      </c>
      <c r="AO4315">
        <v>25</v>
      </c>
      <c r="AP4315">
        <v>5000</v>
      </c>
      <c r="AQ4315" t="s">
        <v>129</v>
      </c>
      <c r="AR4315">
        <v>-121</v>
      </c>
      <c r="AS4315">
        <v>-95</v>
      </c>
      <c r="AT4315">
        <v>-768</v>
      </c>
      <c r="BB4315">
        <v>1200</v>
      </c>
      <c r="BC4315">
        <v>1</v>
      </c>
      <c r="BD4315" t="str">
        <f t="shared" si="1584"/>
        <v xml:space="preserve">N887QR  </v>
      </c>
      <c r="BE4315">
        <v>1</v>
      </c>
      <c r="BG4315">
        <v>0</v>
      </c>
      <c r="BH4315">
        <v>0</v>
      </c>
      <c r="BI4315">
        <v>0</v>
      </c>
      <c r="BJ4315">
        <v>4675</v>
      </c>
      <c r="BK4315">
        <v>-325</v>
      </c>
      <c r="BL4315" t="s">
        <v>163</v>
      </c>
      <c r="BM4315">
        <v>1</v>
      </c>
      <c r="BN4315">
        <v>1</v>
      </c>
      <c r="BO4315">
        <v>1</v>
      </c>
      <c r="BP4315">
        <v>0</v>
      </c>
      <c r="BS4315">
        <v>0</v>
      </c>
      <c r="BT4315">
        <v>0</v>
      </c>
      <c r="BU4315">
        <v>0</v>
      </c>
      <c r="CE4315" t="str">
        <f t="shared" si="1591"/>
        <v>19:37:08.950</v>
      </c>
      <c r="CF4315">
        <v>949900307</v>
      </c>
      <c r="CS4315">
        <v>0</v>
      </c>
      <c r="CT4315">
        <v>2</v>
      </c>
      <c r="CU4315">
        <v>0</v>
      </c>
      <c r="CV4315">
        <v>2</v>
      </c>
      <c r="CW4315">
        <v>0</v>
      </c>
      <c r="CX4315">
        <v>6</v>
      </c>
      <c r="CY4315">
        <v>7</v>
      </c>
      <c r="CZ4315" t="s">
        <v>131</v>
      </c>
      <c r="DA4315">
        <v>286</v>
      </c>
      <c r="DB4315">
        <v>0</v>
      </c>
      <c r="DC4315" t="s">
        <v>132</v>
      </c>
      <c r="DD4315" t="s">
        <v>133</v>
      </c>
      <c r="DG4315">
        <v>908960</v>
      </c>
      <c r="DI4315">
        <v>1</v>
      </c>
      <c r="DJ4315">
        <v>0</v>
      </c>
      <c r="DK4315">
        <v>0</v>
      </c>
      <c r="DL4315">
        <v>0</v>
      </c>
      <c r="DM4315">
        <v>0</v>
      </c>
      <c r="DN4315">
        <v>1</v>
      </c>
      <c r="DO4315">
        <v>0</v>
      </c>
      <c r="DP4315">
        <v>0</v>
      </c>
      <c r="DQ4315">
        <v>0</v>
      </c>
      <c r="DR4315">
        <v>0</v>
      </c>
      <c r="DS4315">
        <v>0</v>
      </c>
    </row>
    <row r="4316" spans="1:123" x14ac:dyDescent="0.3">
      <c r="A4316" t="str">
        <f>"10/04/2022 19:37:09.262"</f>
        <v>10/04/2022 19:37:09.262</v>
      </c>
      <c r="C4316" t="str">
        <f t="shared" si="1574"/>
        <v>FFDFD3C0</v>
      </c>
      <c r="D4316" t="s">
        <v>134</v>
      </c>
      <c r="E4316">
        <v>15</v>
      </c>
      <c r="J4316" t="s">
        <v>135</v>
      </c>
      <c r="K4316">
        <v>0</v>
      </c>
      <c r="L4316">
        <v>3</v>
      </c>
      <c r="M4316">
        <v>0</v>
      </c>
      <c r="N4316">
        <v>2</v>
      </c>
      <c r="O4316">
        <v>0</v>
      </c>
      <c r="P4316">
        <v>1</v>
      </c>
      <c r="Q4316">
        <v>0</v>
      </c>
      <c r="S4316" t="str">
        <f t="shared" si="1589"/>
        <v>19:37:08.000</v>
      </c>
      <c r="T4316" t="str">
        <f t="shared" si="1589"/>
        <v>19:37:08.000</v>
      </c>
      <c r="U4316" t="str">
        <f t="shared" si="1583"/>
        <v>AC3944</v>
      </c>
      <c r="V4316">
        <v>0</v>
      </c>
      <c r="W4316">
        <v>0</v>
      </c>
      <c r="X4316">
        <v>2</v>
      </c>
      <c r="Y4316">
        <v>0</v>
      </c>
      <c r="AA4316">
        <v>1</v>
      </c>
      <c r="AB4316">
        <v>8</v>
      </c>
      <c r="AC4316">
        <v>3</v>
      </c>
      <c r="AD4316">
        <v>0</v>
      </c>
      <c r="AE4316">
        <v>9</v>
      </c>
      <c r="AF4316" t="s">
        <v>138</v>
      </c>
      <c r="AG4316">
        <v>0</v>
      </c>
      <c r="AH4316">
        <v>3</v>
      </c>
      <c r="AI4316">
        <v>1</v>
      </c>
      <c r="AJ4316">
        <v>0</v>
      </c>
      <c r="AK4316" t="s">
        <v>916</v>
      </c>
      <c r="AL4316">
        <v>32.742776999999997</v>
      </c>
      <c r="AM4316" t="s">
        <v>1370</v>
      </c>
      <c r="AN4316">
        <v>-116.693344</v>
      </c>
      <c r="AO4316">
        <v>25</v>
      </c>
      <c r="AP4316">
        <v>5000</v>
      </c>
      <c r="AQ4316" t="s">
        <v>129</v>
      </c>
      <c r="AR4316">
        <v>-121</v>
      </c>
      <c r="AS4316">
        <v>-95</v>
      </c>
      <c r="AT4316">
        <v>-768</v>
      </c>
      <c r="BB4316">
        <v>1200</v>
      </c>
      <c r="BC4316">
        <v>1</v>
      </c>
      <c r="BD4316" t="str">
        <f t="shared" si="1584"/>
        <v xml:space="preserve">N887QR  </v>
      </c>
      <c r="BE4316">
        <v>1</v>
      </c>
      <c r="BG4316">
        <v>0</v>
      </c>
      <c r="BH4316">
        <v>0</v>
      </c>
      <c r="BI4316">
        <v>0</v>
      </c>
      <c r="BJ4316">
        <v>4675</v>
      </c>
      <c r="BK4316">
        <v>-325</v>
      </c>
      <c r="BL4316" t="s">
        <v>163</v>
      </c>
      <c r="BM4316">
        <v>1</v>
      </c>
      <c r="BN4316">
        <v>1</v>
      </c>
      <c r="BO4316">
        <v>1</v>
      </c>
      <c r="BP4316">
        <v>0</v>
      </c>
      <c r="BS4316">
        <v>0</v>
      </c>
      <c r="BT4316">
        <v>0</v>
      </c>
      <c r="BU4316">
        <v>0</v>
      </c>
      <c r="CE4316" t="str">
        <f t="shared" si="1591"/>
        <v>19:37:08.950</v>
      </c>
      <c r="CF4316">
        <v>949900307</v>
      </c>
      <c r="CS4316">
        <v>0</v>
      </c>
      <c r="CT4316">
        <v>2</v>
      </c>
      <c r="CU4316">
        <v>0</v>
      </c>
      <c r="CV4316">
        <v>2</v>
      </c>
      <c r="CW4316">
        <v>0</v>
      </c>
      <c r="CX4316">
        <v>6</v>
      </c>
      <c r="CY4316">
        <v>7</v>
      </c>
      <c r="CZ4316" t="s">
        <v>131</v>
      </c>
      <c r="DA4316">
        <v>286</v>
      </c>
      <c r="DB4316">
        <v>0</v>
      </c>
      <c r="DC4316" t="s">
        <v>132</v>
      </c>
      <c r="DD4316" t="s">
        <v>133</v>
      </c>
      <c r="DG4316">
        <v>908960</v>
      </c>
      <c r="DI4316">
        <v>1</v>
      </c>
      <c r="DJ4316">
        <v>0</v>
      </c>
      <c r="DK4316">
        <v>1</v>
      </c>
      <c r="DL4316">
        <v>0</v>
      </c>
      <c r="DM4316">
        <v>0</v>
      </c>
      <c r="DN4316">
        <v>1</v>
      </c>
      <c r="DO4316">
        <v>0</v>
      </c>
      <c r="DP4316">
        <v>0</v>
      </c>
      <c r="DQ4316">
        <v>0</v>
      </c>
      <c r="DR4316">
        <v>0</v>
      </c>
      <c r="DS4316">
        <v>0</v>
      </c>
    </row>
    <row r="4317" spans="1:123" x14ac:dyDescent="0.3">
      <c r="A4317" t="str">
        <f>"10/04/2022 19:37:11.401"</f>
        <v>10/04/2022 19:37:11.401</v>
      </c>
      <c r="C4317" t="str">
        <f t="shared" si="1574"/>
        <v>FFDFD3C0</v>
      </c>
      <c r="D4317" t="s">
        <v>141</v>
      </c>
      <c r="E4317">
        <v>4</v>
      </c>
      <c r="H4317">
        <v>4</v>
      </c>
      <c r="I4317" t="s">
        <v>142</v>
      </c>
      <c r="J4317" t="s">
        <v>138</v>
      </c>
      <c r="K4317">
        <v>0</v>
      </c>
      <c r="L4317">
        <v>3</v>
      </c>
      <c r="M4317">
        <v>0</v>
      </c>
      <c r="N4317">
        <v>2</v>
      </c>
      <c r="O4317">
        <v>0</v>
      </c>
      <c r="P4317">
        <v>1</v>
      </c>
      <c r="Q4317">
        <v>0</v>
      </c>
      <c r="S4317" t="str">
        <f t="shared" ref="S4317:T4323" si="1592">"19:37:11.000"</f>
        <v>19:37:11.000</v>
      </c>
      <c r="T4317" t="str">
        <f t="shared" si="1592"/>
        <v>19:37:11.000</v>
      </c>
      <c r="U4317" t="str">
        <f t="shared" si="1583"/>
        <v>AC3944</v>
      </c>
      <c r="V4317">
        <v>0</v>
      </c>
      <c r="W4317">
        <v>0</v>
      </c>
      <c r="X4317">
        <v>2</v>
      </c>
      <c r="Y4317">
        <v>0</v>
      </c>
      <c r="AA4317">
        <v>1</v>
      </c>
      <c r="AB4317">
        <v>8</v>
      </c>
      <c r="AC4317">
        <v>3</v>
      </c>
      <c r="AD4317">
        <v>0</v>
      </c>
      <c r="AE4317">
        <v>9</v>
      </c>
      <c r="AF4317" t="s">
        <v>138</v>
      </c>
      <c r="AG4317">
        <v>0</v>
      </c>
      <c r="AH4317">
        <v>3</v>
      </c>
      <c r="AI4317">
        <v>1</v>
      </c>
      <c r="AJ4317">
        <v>0</v>
      </c>
      <c r="AK4317" t="s">
        <v>1371</v>
      </c>
      <c r="AL4317">
        <v>32.741982999999998</v>
      </c>
      <c r="AM4317" t="s">
        <v>1372</v>
      </c>
      <c r="AN4317">
        <v>-116.694546</v>
      </c>
      <c r="AO4317">
        <v>25</v>
      </c>
      <c r="AP4317">
        <v>5000</v>
      </c>
      <c r="AQ4317" t="s">
        <v>129</v>
      </c>
      <c r="AR4317">
        <v>-126</v>
      </c>
      <c r="AS4317">
        <v>-91</v>
      </c>
      <c r="AT4317">
        <v>-768</v>
      </c>
      <c r="BB4317">
        <v>1200</v>
      </c>
      <c r="BC4317">
        <v>1</v>
      </c>
      <c r="BD4317" t="str">
        <f t="shared" si="1584"/>
        <v xml:space="preserve">N887QR  </v>
      </c>
      <c r="BE4317">
        <v>1</v>
      </c>
      <c r="BG4317">
        <v>0</v>
      </c>
      <c r="BH4317">
        <v>0</v>
      </c>
      <c r="BI4317">
        <v>0</v>
      </c>
      <c r="BJ4317">
        <v>4675</v>
      </c>
      <c r="BK4317">
        <v>-325</v>
      </c>
      <c r="BL4317" t="s">
        <v>163</v>
      </c>
      <c r="BM4317">
        <v>1</v>
      </c>
      <c r="BN4317">
        <v>1</v>
      </c>
      <c r="BO4317">
        <v>1</v>
      </c>
      <c r="BP4317">
        <v>0</v>
      </c>
      <c r="BS4317">
        <v>0</v>
      </c>
      <c r="BT4317">
        <v>0</v>
      </c>
      <c r="BU4317">
        <v>0</v>
      </c>
      <c r="CE4317" t="str">
        <f t="shared" ref="CE4317:CE4323" si="1593">"19:37:11.182"</f>
        <v>19:37:11.182</v>
      </c>
      <c r="CF4317">
        <v>181906902</v>
      </c>
      <c r="CS4317">
        <v>0</v>
      </c>
      <c r="CT4317">
        <v>2</v>
      </c>
      <c r="CU4317">
        <v>0</v>
      </c>
      <c r="CV4317">
        <v>2</v>
      </c>
      <c r="CW4317">
        <v>0</v>
      </c>
      <c r="CX4317">
        <v>6</v>
      </c>
      <c r="CY4317">
        <v>7</v>
      </c>
      <c r="CZ4317" t="s">
        <v>131</v>
      </c>
      <c r="DA4317">
        <v>286</v>
      </c>
      <c r="DB4317">
        <v>0</v>
      </c>
      <c r="DC4317" t="s">
        <v>132</v>
      </c>
      <c r="DD4317" t="s">
        <v>133</v>
      </c>
      <c r="DG4317">
        <v>909465</v>
      </c>
      <c r="DI4317">
        <v>1</v>
      </c>
      <c r="DJ4317">
        <v>0</v>
      </c>
      <c r="DK4317">
        <v>0</v>
      </c>
      <c r="DL4317">
        <v>0</v>
      </c>
      <c r="DM4317">
        <v>0</v>
      </c>
      <c r="DN4317">
        <v>1</v>
      </c>
      <c r="DO4317">
        <v>0</v>
      </c>
      <c r="DP4317">
        <v>0</v>
      </c>
      <c r="DQ4317">
        <v>0</v>
      </c>
      <c r="DR4317">
        <v>0</v>
      </c>
      <c r="DS4317">
        <v>0</v>
      </c>
    </row>
    <row r="4318" spans="1:123" x14ac:dyDescent="0.3">
      <c r="A4318" t="str">
        <f t="shared" ref="A4318:A4323" si="1594">"10/04/2022 19:37:11.511"</f>
        <v>10/04/2022 19:37:11.511</v>
      </c>
      <c r="C4318" t="str">
        <f t="shared" si="1574"/>
        <v>FFDFD3C0</v>
      </c>
      <c r="D4318" t="s">
        <v>147</v>
      </c>
      <c r="E4318">
        <v>3</v>
      </c>
      <c r="H4318">
        <v>166</v>
      </c>
      <c r="I4318" t="s">
        <v>144</v>
      </c>
      <c r="J4318" t="s">
        <v>148</v>
      </c>
      <c r="K4318">
        <v>0</v>
      </c>
      <c r="L4318">
        <v>3</v>
      </c>
      <c r="M4318">
        <v>0</v>
      </c>
      <c r="N4318">
        <v>2</v>
      </c>
      <c r="O4318">
        <v>0</v>
      </c>
      <c r="P4318">
        <v>1</v>
      </c>
      <c r="Q4318">
        <v>0</v>
      </c>
      <c r="S4318" t="str">
        <f t="shared" si="1592"/>
        <v>19:37:11.000</v>
      </c>
      <c r="T4318" t="str">
        <f t="shared" si="1592"/>
        <v>19:37:11.000</v>
      </c>
      <c r="U4318" t="str">
        <f t="shared" si="1583"/>
        <v>AC3944</v>
      </c>
      <c r="V4318">
        <v>0</v>
      </c>
      <c r="W4318">
        <v>0</v>
      </c>
      <c r="X4318">
        <v>2</v>
      </c>
      <c r="Y4318">
        <v>0</v>
      </c>
      <c r="AA4318">
        <v>1</v>
      </c>
      <c r="AB4318">
        <v>8</v>
      </c>
      <c r="AC4318">
        <v>3</v>
      </c>
      <c r="AD4318">
        <v>0</v>
      </c>
      <c r="AE4318">
        <v>9</v>
      </c>
      <c r="AF4318" t="s">
        <v>138</v>
      </c>
      <c r="AG4318">
        <v>0</v>
      </c>
      <c r="AH4318">
        <v>3</v>
      </c>
      <c r="AI4318">
        <v>1</v>
      </c>
      <c r="AJ4318">
        <v>0</v>
      </c>
      <c r="AK4318" t="s">
        <v>1371</v>
      </c>
      <c r="AL4318">
        <v>32.741982999999998</v>
      </c>
      <c r="AM4318" t="s">
        <v>1372</v>
      </c>
      <c r="AN4318">
        <v>-116.694546</v>
      </c>
      <c r="AO4318">
        <v>25</v>
      </c>
      <c r="AP4318">
        <v>5000</v>
      </c>
      <c r="AQ4318" t="s">
        <v>129</v>
      </c>
      <c r="AR4318">
        <v>-126</v>
      </c>
      <c r="AS4318">
        <v>-91</v>
      </c>
      <c r="AT4318">
        <v>-768</v>
      </c>
      <c r="BB4318">
        <v>1200</v>
      </c>
      <c r="BC4318">
        <v>1</v>
      </c>
      <c r="BD4318" t="str">
        <f t="shared" si="1584"/>
        <v xml:space="preserve">N887QR  </v>
      </c>
      <c r="BE4318">
        <v>1</v>
      </c>
      <c r="BG4318">
        <v>0</v>
      </c>
      <c r="BH4318">
        <v>0</v>
      </c>
      <c r="BI4318">
        <v>0</v>
      </c>
      <c r="BJ4318">
        <v>4675</v>
      </c>
      <c r="BK4318">
        <v>-325</v>
      </c>
      <c r="BL4318" t="s">
        <v>163</v>
      </c>
      <c r="BM4318">
        <v>1</v>
      </c>
      <c r="BN4318">
        <v>1</v>
      </c>
      <c r="BO4318">
        <v>1</v>
      </c>
      <c r="BP4318">
        <v>0</v>
      </c>
      <c r="BS4318">
        <v>0</v>
      </c>
      <c r="BT4318">
        <v>0</v>
      </c>
      <c r="BU4318">
        <v>0</v>
      </c>
      <c r="CE4318" t="str">
        <f t="shared" si="1593"/>
        <v>19:37:11.182</v>
      </c>
      <c r="CF4318">
        <v>181906902</v>
      </c>
      <c r="CS4318">
        <v>0</v>
      </c>
      <c r="CT4318">
        <v>2</v>
      </c>
      <c r="CU4318">
        <v>0</v>
      </c>
      <c r="CV4318">
        <v>2</v>
      </c>
      <c r="CW4318">
        <v>0</v>
      </c>
      <c r="CX4318">
        <v>6</v>
      </c>
      <c r="CY4318">
        <v>7</v>
      </c>
      <c r="CZ4318" t="s">
        <v>131</v>
      </c>
      <c r="DA4318">
        <v>286</v>
      </c>
      <c r="DB4318">
        <v>0</v>
      </c>
      <c r="DC4318" t="s">
        <v>132</v>
      </c>
      <c r="DD4318" t="s">
        <v>133</v>
      </c>
      <c r="DG4318">
        <v>909465</v>
      </c>
      <c r="DI4318">
        <v>1</v>
      </c>
      <c r="DJ4318">
        <v>0</v>
      </c>
      <c r="DK4318">
        <v>0</v>
      </c>
      <c r="DL4318">
        <v>0</v>
      </c>
      <c r="DM4318">
        <v>0</v>
      </c>
      <c r="DN4318">
        <v>1</v>
      </c>
      <c r="DO4318">
        <v>0</v>
      </c>
      <c r="DP4318">
        <v>0</v>
      </c>
      <c r="DQ4318">
        <v>0</v>
      </c>
      <c r="DR4318">
        <v>0</v>
      </c>
      <c r="DS4318">
        <v>0</v>
      </c>
    </row>
    <row r="4319" spans="1:123" x14ac:dyDescent="0.3">
      <c r="A4319" t="str">
        <f t="shared" si="1594"/>
        <v>10/04/2022 19:37:11.511</v>
      </c>
      <c r="C4319" t="str">
        <f t="shared" si="1574"/>
        <v>FFDFD3C0</v>
      </c>
      <c r="D4319" t="s">
        <v>143</v>
      </c>
      <c r="E4319">
        <v>20</v>
      </c>
      <c r="F4319">
        <v>1020</v>
      </c>
      <c r="G4319" t="s">
        <v>144</v>
      </c>
      <c r="J4319" t="s">
        <v>145</v>
      </c>
      <c r="K4319">
        <v>0</v>
      </c>
      <c r="L4319">
        <v>3</v>
      </c>
      <c r="M4319">
        <v>0</v>
      </c>
      <c r="N4319">
        <v>2</v>
      </c>
      <c r="O4319">
        <v>0</v>
      </c>
      <c r="P4319">
        <v>1</v>
      </c>
      <c r="Q4319">
        <v>0</v>
      </c>
      <c r="S4319" t="str">
        <f t="shared" si="1592"/>
        <v>19:37:11.000</v>
      </c>
      <c r="T4319" t="str">
        <f t="shared" si="1592"/>
        <v>19:37:11.000</v>
      </c>
      <c r="U4319" t="str">
        <f t="shared" si="1583"/>
        <v>AC3944</v>
      </c>
      <c r="V4319">
        <v>0</v>
      </c>
      <c r="W4319">
        <v>0</v>
      </c>
      <c r="X4319">
        <v>2</v>
      </c>
      <c r="Y4319">
        <v>0</v>
      </c>
      <c r="AA4319">
        <v>1</v>
      </c>
      <c r="AB4319">
        <v>8</v>
      </c>
      <c r="AC4319">
        <v>3</v>
      </c>
      <c r="AD4319">
        <v>0</v>
      </c>
      <c r="AE4319">
        <v>9</v>
      </c>
      <c r="AF4319" t="s">
        <v>138</v>
      </c>
      <c r="AG4319">
        <v>0</v>
      </c>
      <c r="AH4319">
        <v>3</v>
      </c>
      <c r="AI4319">
        <v>1</v>
      </c>
      <c r="AJ4319">
        <v>0</v>
      </c>
      <c r="AK4319" t="s">
        <v>1371</v>
      </c>
      <c r="AL4319">
        <v>32.741982999999998</v>
      </c>
      <c r="AM4319" t="s">
        <v>1372</v>
      </c>
      <c r="AN4319">
        <v>-116.694546</v>
      </c>
      <c r="AO4319">
        <v>25</v>
      </c>
      <c r="AP4319">
        <v>5000</v>
      </c>
      <c r="AQ4319" t="s">
        <v>129</v>
      </c>
      <c r="AR4319">
        <v>-126</v>
      </c>
      <c r="AS4319">
        <v>-91</v>
      </c>
      <c r="AT4319">
        <v>-768</v>
      </c>
      <c r="BB4319">
        <v>1200</v>
      </c>
      <c r="BC4319">
        <v>1</v>
      </c>
      <c r="BD4319" t="str">
        <f t="shared" si="1584"/>
        <v xml:space="preserve">N887QR  </v>
      </c>
      <c r="BE4319">
        <v>1</v>
      </c>
      <c r="BG4319">
        <v>0</v>
      </c>
      <c r="BH4319">
        <v>0</v>
      </c>
      <c r="BI4319">
        <v>0</v>
      </c>
      <c r="BJ4319">
        <v>4675</v>
      </c>
      <c r="BK4319">
        <v>-325</v>
      </c>
      <c r="BL4319" t="s">
        <v>163</v>
      </c>
      <c r="BM4319">
        <v>1</v>
      </c>
      <c r="BN4319">
        <v>1</v>
      </c>
      <c r="BO4319">
        <v>1</v>
      </c>
      <c r="BP4319">
        <v>0</v>
      </c>
      <c r="BS4319">
        <v>0</v>
      </c>
      <c r="BT4319">
        <v>0</v>
      </c>
      <c r="BU4319">
        <v>0</v>
      </c>
      <c r="CE4319" t="str">
        <f t="shared" si="1593"/>
        <v>19:37:11.182</v>
      </c>
      <c r="CF4319">
        <v>181906902</v>
      </c>
      <c r="CS4319">
        <v>0</v>
      </c>
      <c r="CT4319">
        <v>2</v>
      </c>
      <c r="CU4319">
        <v>0</v>
      </c>
      <c r="CV4319">
        <v>2</v>
      </c>
      <c r="CW4319">
        <v>0</v>
      </c>
      <c r="CX4319">
        <v>6</v>
      </c>
      <c r="CY4319">
        <v>7</v>
      </c>
      <c r="CZ4319" t="s">
        <v>131</v>
      </c>
      <c r="DA4319">
        <v>286</v>
      </c>
      <c r="DB4319">
        <v>0</v>
      </c>
      <c r="DC4319" t="s">
        <v>132</v>
      </c>
      <c r="DD4319" t="s">
        <v>133</v>
      </c>
      <c r="DG4319">
        <v>909465</v>
      </c>
      <c r="DI4319">
        <v>1</v>
      </c>
      <c r="DJ4319">
        <v>0</v>
      </c>
      <c r="DK4319">
        <v>1</v>
      </c>
      <c r="DL4319">
        <v>0</v>
      </c>
      <c r="DM4319">
        <v>0</v>
      </c>
      <c r="DN4319">
        <v>1</v>
      </c>
      <c r="DO4319">
        <v>0</v>
      </c>
      <c r="DP4319">
        <v>0</v>
      </c>
      <c r="DQ4319">
        <v>0</v>
      </c>
      <c r="DR4319">
        <v>0</v>
      </c>
      <c r="DS4319">
        <v>0</v>
      </c>
    </row>
    <row r="4320" spans="1:123" x14ac:dyDescent="0.3">
      <c r="A4320" t="str">
        <f t="shared" si="1594"/>
        <v>10/04/2022 19:37:11.511</v>
      </c>
      <c r="C4320" t="str">
        <f t="shared" si="1574"/>
        <v>FFDFD3C0</v>
      </c>
      <c r="D4320" t="s">
        <v>134</v>
      </c>
      <c r="E4320">
        <v>15</v>
      </c>
      <c r="J4320" t="s">
        <v>135</v>
      </c>
      <c r="K4320">
        <v>0</v>
      </c>
      <c r="L4320">
        <v>3</v>
      </c>
      <c r="M4320">
        <v>0</v>
      </c>
      <c r="N4320">
        <v>2</v>
      </c>
      <c r="O4320">
        <v>0</v>
      </c>
      <c r="P4320">
        <v>1</v>
      </c>
      <c r="Q4320">
        <v>0</v>
      </c>
      <c r="S4320" t="str">
        <f t="shared" si="1592"/>
        <v>19:37:11.000</v>
      </c>
      <c r="T4320" t="str">
        <f t="shared" si="1592"/>
        <v>19:37:11.000</v>
      </c>
      <c r="U4320" t="str">
        <f t="shared" si="1583"/>
        <v>AC3944</v>
      </c>
      <c r="V4320">
        <v>0</v>
      </c>
      <c r="W4320">
        <v>0</v>
      </c>
      <c r="X4320">
        <v>2</v>
      </c>
      <c r="Y4320">
        <v>0</v>
      </c>
      <c r="AA4320">
        <v>1</v>
      </c>
      <c r="AB4320">
        <v>8</v>
      </c>
      <c r="AC4320">
        <v>3</v>
      </c>
      <c r="AD4320">
        <v>0</v>
      </c>
      <c r="AE4320">
        <v>9</v>
      </c>
      <c r="AF4320" t="s">
        <v>138</v>
      </c>
      <c r="AG4320">
        <v>0</v>
      </c>
      <c r="AH4320">
        <v>3</v>
      </c>
      <c r="AI4320">
        <v>1</v>
      </c>
      <c r="AJ4320">
        <v>0</v>
      </c>
      <c r="AK4320" t="s">
        <v>1371</v>
      </c>
      <c r="AL4320">
        <v>32.741982999999998</v>
      </c>
      <c r="AM4320" t="s">
        <v>1372</v>
      </c>
      <c r="AN4320">
        <v>-116.694546</v>
      </c>
      <c r="AO4320">
        <v>25</v>
      </c>
      <c r="AP4320">
        <v>5000</v>
      </c>
      <c r="AQ4320" t="s">
        <v>129</v>
      </c>
      <c r="AR4320">
        <v>-126</v>
      </c>
      <c r="AS4320">
        <v>-91</v>
      </c>
      <c r="AT4320">
        <v>-768</v>
      </c>
      <c r="BB4320">
        <v>1200</v>
      </c>
      <c r="BC4320">
        <v>1</v>
      </c>
      <c r="BD4320" t="str">
        <f t="shared" si="1584"/>
        <v xml:space="preserve">N887QR  </v>
      </c>
      <c r="BE4320">
        <v>1</v>
      </c>
      <c r="BG4320">
        <v>0</v>
      </c>
      <c r="BH4320">
        <v>0</v>
      </c>
      <c r="BI4320">
        <v>0</v>
      </c>
      <c r="BJ4320">
        <v>4675</v>
      </c>
      <c r="BK4320">
        <v>-325</v>
      </c>
      <c r="BL4320" t="s">
        <v>163</v>
      </c>
      <c r="BM4320">
        <v>1</v>
      </c>
      <c r="BN4320">
        <v>1</v>
      </c>
      <c r="BO4320">
        <v>1</v>
      </c>
      <c r="BP4320">
        <v>0</v>
      </c>
      <c r="BS4320">
        <v>0</v>
      </c>
      <c r="BT4320">
        <v>0</v>
      </c>
      <c r="BU4320">
        <v>0</v>
      </c>
      <c r="CE4320" t="str">
        <f t="shared" si="1593"/>
        <v>19:37:11.182</v>
      </c>
      <c r="CF4320">
        <v>181906902</v>
      </c>
      <c r="CS4320">
        <v>0</v>
      </c>
      <c r="CT4320">
        <v>2</v>
      </c>
      <c r="CU4320">
        <v>0</v>
      </c>
      <c r="CV4320">
        <v>2</v>
      </c>
      <c r="CW4320">
        <v>0</v>
      </c>
      <c r="CX4320">
        <v>6</v>
      </c>
      <c r="CY4320">
        <v>7</v>
      </c>
      <c r="CZ4320" t="s">
        <v>131</v>
      </c>
      <c r="DA4320">
        <v>286</v>
      </c>
      <c r="DB4320">
        <v>0</v>
      </c>
      <c r="DC4320" t="s">
        <v>132</v>
      </c>
      <c r="DD4320" t="s">
        <v>133</v>
      </c>
      <c r="DG4320">
        <v>909465</v>
      </c>
      <c r="DI4320">
        <v>1</v>
      </c>
      <c r="DJ4320">
        <v>0</v>
      </c>
      <c r="DK4320">
        <v>1</v>
      </c>
      <c r="DL4320">
        <v>0</v>
      </c>
      <c r="DM4320">
        <v>0</v>
      </c>
      <c r="DN4320">
        <v>1</v>
      </c>
      <c r="DO4320">
        <v>0</v>
      </c>
      <c r="DP4320">
        <v>0</v>
      </c>
      <c r="DQ4320">
        <v>0</v>
      </c>
      <c r="DR4320">
        <v>0</v>
      </c>
      <c r="DS4320">
        <v>0</v>
      </c>
    </row>
    <row r="4321" spans="1:123" x14ac:dyDescent="0.3">
      <c r="A4321" t="str">
        <f t="shared" si="1594"/>
        <v>10/04/2022 19:37:11.511</v>
      </c>
      <c r="C4321" t="str">
        <f t="shared" si="1574"/>
        <v>FFDFD3C0</v>
      </c>
      <c r="D4321" t="s">
        <v>141</v>
      </c>
      <c r="E4321">
        <v>3</v>
      </c>
      <c r="H4321">
        <v>3</v>
      </c>
      <c r="I4321" t="s">
        <v>146</v>
      </c>
      <c r="J4321" t="s">
        <v>138</v>
      </c>
      <c r="K4321">
        <v>0</v>
      </c>
      <c r="L4321">
        <v>3</v>
      </c>
      <c r="M4321">
        <v>0</v>
      </c>
      <c r="N4321">
        <v>2</v>
      </c>
      <c r="O4321">
        <v>0</v>
      </c>
      <c r="P4321">
        <v>1</v>
      </c>
      <c r="Q4321">
        <v>0</v>
      </c>
      <c r="S4321" t="str">
        <f t="shared" si="1592"/>
        <v>19:37:11.000</v>
      </c>
      <c r="T4321" t="str">
        <f t="shared" si="1592"/>
        <v>19:37:11.000</v>
      </c>
      <c r="U4321" t="str">
        <f t="shared" si="1583"/>
        <v>AC3944</v>
      </c>
      <c r="V4321">
        <v>0</v>
      </c>
      <c r="W4321">
        <v>0</v>
      </c>
      <c r="X4321">
        <v>2</v>
      </c>
      <c r="Y4321">
        <v>0</v>
      </c>
      <c r="AA4321">
        <v>1</v>
      </c>
      <c r="AB4321">
        <v>8</v>
      </c>
      <c r="AC4321">
        <v>3</v>
      </c>
      <c r="AD4321">
        <v>0</v>
      </c>
      <c r="AE4321">
        <v>9</v>
      </c>
      <c r="AF4321" t="s">
        <v>138</v>
      </c>
      <c r="AG4321">
        <v>0</v>
      </c>
      <c r="AH4321">
        <v>3</v>
      </c>
      <c r="AI4321">
        <v>1</v>
      </c>
      <c r="AJ4321">
        <v>0</v>
      </c>
      <c r="AK4321" t="s">
        <v>1371</v>
      </c>
      <c r="AL4321">
        <v>32.741982999999998</v>
      </c>
      <c r="AM4321" t="s">
        <v>1372</v>
      </c>
      <c r="AN4321">
        <v>-116.694546</v>
      </c>
      <c r="AO4321">
        <v>25</v>
      </c>
      <c r="AP4321">
        <v>5000</v>
      </c>
      <c r="AQ4321" t="s">
        <v>129</v>
      </c>
      <c r="AR4321">
        <v>-126</v>
      </c>
      <c r="AS4321">
        <v>-91</v>
      </c>
      <c r="AT4321">
        <v>-768</v>
      </c>
      <c r="BB4321">
        <v>1200</v>
      </c>
      <c r="BC4321">
        <v>1</v>
      </c>
      <c r="BD4321" t="str">
        <f t="shared" si="1584"/>
        <v xml:space="preserve">N887QR  </v>
      </c>
      <c r="BE4321">
        <v>1</v>
      </c>
      <c r="BG4321">
        <v>0</v>
      </c>
      <c r="BH4321">
        <v>0</v>
      </c>
      <c r="BI4321">
        <v>0</v>
      </c>
      <c r="BJ4321">
        <v>4675</v>
      </c>
      <c r="BK4321">
        <v>-325</v>
      </c>
      <c r="BL4321" t="s">
        <v>163</v>
      </c>
      <c r="BM4321">
        <v>1</v>
      </c>
      <c r="BN4321">
        <v>1</v>
      </c>
      <c r="BO4321">
        <v>1</v>
      </c>
      <c r="BP4321">
        <v>0</v>
      </c>
      <c r="BS4321">
        <v>0</v>
      </c>
      <c r="BT4321">
        <v>0</v>
      </c>
      <c r="BU4321">
        <v>0</v>
      </c>
      <c r="CE4321" t="str">
        <f t="shared" si="1593"/>
        <v>19:37:11.182</v>
      </c>
      <c r="CF4321">
        <v>181906902</v>
      </c>
      <c r="CS4321">
        <v>0</v>
      </c>
      <c r="CT4321">
        <v>2</v>
      </c>
      <c r="CU4321">
        <v>0</v>
      </c>
      <c r="CV4321">
        <v>2</v>
      </c>
      <c r="CW4321">
        <v>0</v>
      </c>
      <c r="CX4321">
        <v>6</v>
      </c>
      <c r="CY4321">
        <v>7</v>
      </c>
      <c r="CZ4321" t="s">
        <v>131</v>
      </c>
      <c r="DA4321">
        <v>286</v>
      </c>
      <c r="DB4321">
        <v>0</v>
      </c>
      <c r="DC4321" t="s">
        <v>132</v>
      </c>
      <c r="DD4321" t="s">
        <v>133</v>
      </c>
      <c r="DG4321">
        <v>909465</v>
      </c>
      <c r="DI4321">
        <v>1</v>
      </c>
      <c r="DJ4321">
        <v>0</v>
      </c>
      <c r="DK4321">
        <v>1</v>
      </c>
      <c r="DL4321">
        <v>0</v>
      </c>
      <c r="DM4321">
        <v>0</v>
      </c>
      <c r="DN4321">
        <v>1</v>
      </c>
      <c r="DO4321">
        <v>0</v>
      </c>
      <c r="DP4321">
        <v>0</v>
      </c>
      <c r="DQ4321">
        <v>0</v>
      </c>
      <c r="DR4321">
        <v>0</v>
      </c>
      <c r="DS4321">
        <v>0</v>
      </c>
    </row>
    <row r="4322" spans="1:123" x14ac:dyDescent="0.3">
      <c r="A4322" t="str">
        <f t="shared" si="1594"/>
        <v>10/04/2022 19:37:11.511</v>
      </c>
      <c r="C4322" t="str">
        <f t="shared" si="1574"/>
        <v>FFDFD3C0</v>
      </c>
      <c r="D4322" t="s">
        <v>123</v>
      </c>
      <c r="E4322">
        <v>7</v>
      </c>
      <c r="F4322">
        <v>2007</v>
      </c>
      <c r="G4322" t="s">
        <v>124</v>
      </c>
      <c r="J4322" t="s">
        <v>125</v>
      </c>
      <c r="K4322">
        <v>0</v>
      </c>
      <c r="L4322">
        <v>3</v>
      </c>
      <c r="M4322">
        <v>0</v>
      </c>
      <c r="N4322">
        <v>2</v>
      </c>
      <c r="O4322">
        <v>0</v>
      </c>
      <c r="P4322">
        <v>1</v>
      </c>
      <c r="Q4322">
        <v>0</v>
      </c>
      <c r="S4322" t="str">
        <f t="shared" si="1592"/>
        <v>19:37:11.000</v>
      </c>
      <c r="T4322" t="str">
        <f t="shared" si="1592"/>
        <v>19:37:11.000</v>
      </c>
      <c r="U4322" t="str">
        <f t="shared" si="1583"/>
        <v>AC3944</v>
      </c>
      <c r="V4322">
        <v>0</v>
      </c>
      <c r="W4322">
        <v>0</v>
      </c>
      <c r="X4322">
        <v>2</v>
      </c>
      <c r="Y4322">
        <v>0</v>
      </c>
      <c r="AA4322">
        <v>1</v>
      </c>
      <c r="AB4322">
        <v>8</v>
      </c>
      <c r="AC4322">
        <v>3</v>
      </c>
      <c r="AD4322">
        <v>0</v>
      </c>
      <c r="AE4322">
        <v>9</v>
      </c>
      <c r="AF4322" t="s">
        <v>138</v>
      </c>
      <c r="AG4322">
        <v>0</v>
      </c>
      <c r="AH4322">
        <v>3</v>
      </c>
      <c r="AI4322">
        <v>1</v>
      </c>
      <c r="AJ4322">
        <v>0</v>
      </c>
      <c r="AK4322" t="s">
        <v>1371</v>
      </c>
      <c r="AL4322">
        <v>32.741982999999998</v>
      </c>
      <c r="AM4322" t="s">
        <v>1372</v>
      </c>
      <c r="AN4322">
        <v>-116.694546</v>
      </c>
      <c r="AO4322">
        <v>25</v>
      </c>
      <c r="AP4322">
        <v>5000</v>
      </c>
      <c r="AQ4322" t="s">
        <v>129</v>
      </c>
      <c r="AR4322">
        <v>-126</v>
      </c>
      <c r="AS4322">
        <v>-91</v>
      </c>
      <c r="AT4322">
        <v>-768</v>
      </c>
      <c r="BB4322">
        <v>1200</v>
      </c>
      <c r="BC4322">
        <v>1</v>
      </c>
      <c r="BD4322" t="str">
        <f t="shared" si="1584"/>
        <v xml:space="preserve">N887QR  </v>
      </c>
      <c r="BE4322">
        <v>1</v>
      </c>
      <c r="BG4322">
        <v>0</v>
      </c>
      <c r="BH4322">
        <v>0</v>
      </c>
      <c r="BI4322">
        <v>0</v>
      </c>
      <c r="BJ4322">
        <v>4675</v>
      </c>
      <c r="BK4322">
        <v>-325</v>
      </c>
      <c r="BL4322" t="s">
        <v>163</v>
      </c>
      <c r="BM4322">
        <v>1</v>
      </c>
      <c r="BN4322">
        <v>1</v>
      </c>
      <c r="BO4322">
        <v>1</v>
      </c>
      <c r="BP4322">
        <v>0</v>
      </c>
      <c r="BS4322">
        <v>0</v>
      </c>
      <c r="BT4322">
        <v>0</v>
      </c>
      <c r="BU4322">
        <v>0</v>
      </c>
      <c r="CE4322" t="str">
        <f t="shared" si="1593"/>
        <v>19:37:11.182</v>
      </c>
      <c r="CF4322">
        <v>181906902</v>
      </c>
      <c r="CS4322">
        <v>0</v>
      </c>
      <c r="CT4322">
        <v>2</v>
      </c>
      <c r="CU4322">
        <v>0</v>
      </c>
      <c r="CV4322">
        <v>2</v>
      </c>
      <c r="CW4322">
        <v>0</v>
      </c>
      <c r="CX4322">
        <v>6</v>
      </c>
      <c r="CY4322">
        <v>7</v>
      </c>
      <c r="CZ4322" t="s">
        <v>131</v>
      </c>
      <c r="DA4322">
        <v>286</v>
      </c>
      <c r="DB4322">
        <v>0</v>
      </c>
      <c r="DC4322" t="s">
        <v>132</v>
      </c>
      <c r="DD4322" t="s">
        <v>133</v>
      </c>
      <c r="DG4322">
        <v>909465</v>
      </c>
      <c r="DI4322">
        <v>1</v>
      </c>
      <c r="DJ4322">
        <v>0</v>
      </c>
      <c r="DK4322">
        <v>1</v>
      </c>
      <c r="DL4322">
        <v>0</v>
      </c>
      <c r="DM4322">
        <v>0</v>
      </c>
      <c r="DN4322">
        <v>1</v>
      </c>
      <c r="DO4322">
        <v>0</v>
      </c>
      <c r="DP4322">
        <v>0</v>
      </c>
      <c r="DQ4322">
        <v>0</v>
      </c>
      <c r="DR4322">
        <v>0</v>
      </c>
      <c r="DS4322">
        <v>0</v>
      </c>
    </row>
    <row r="4323" spans="1:123" x14ac:dyDescent="0.3">
      <c r="A4323" t="str">
        <f t="shared" si="1594"/>
        <v>10/04/2022 19:37:11.511</v>
      </c>
      <c r="C4323" t="str">
        <f t="shared" si="1574"/>
        <v>FFDFD3C0</v>
      </c>
      <c r="D4323" t="s">
        <v>136</v>
      </c>
      <c r="E4323">
        <v>8</v>
      </c>
      <c r="H4323">
        <v>225</v>
      </c>
      <c r="I4323" t="s">
        <v>137</v>
      </c>
      <c r="J4323" t="s">
        <v>138</v>
      </c>
      <c r="K4323">
        <v>0</v>
      </c>
      <c r="L4323">
        <v>3</v>
      </c>
      <c r="M4323">
        <v>0</v>
      </c>
      <c r="N4323">
        <v>2</v>
      </c>
      <c r="O4323">
        <v>0</v>
      </c>
      <c r="P4323">
        <v>1</v>
      </c>
      <c r="Q4323">
        <v>0</v>
      </c>
      <c r="S4323" t="str">
        <f t="shared" si="1592"/>
        <v>19:37:11.000</v>
      </c>
      <c r="T4323" t="str">
        <f t="shared" si="1592"/>
        <v>19:37:11.000</v>
      </c>
      <c r="U4323" t="str">
        <f t="shared" si="1583"/>
        <v>AC3944</v>
      </c>
      <c r="V4323">
        <v>0</v>
      </c>
      <c r="W4323">
        <v>0</v>
      </c>
      <c r="X4323">
        <v>2</v>
      </c>
      <c r="Y4323">
        <v>0</v>
      </c>
      <c r="AA4323">
        <v>1</v>
      </c>
      <c r="AB4323">
        <v>8</v>
      </c>
      <c r="AC4323">
        <v>3</v>
      </c>
      <c r="AD4323">
        <v>0</v>
      </c>
      <c r="AE4323">
        <v>9</v>
      </c>
      <c r="AF4323" t="s">
        <v>138</v>
      </c>
      <c r="AG4323">
        <v>0</v>
      </c>
      <c r="AH4323">
        <v>3</v>
      </c>
      <c r="AI4323">
        <v>1</v>
      </c>
      <c r="AJ4323">
        <v>0</v>
      </c>
      <c r="AK4323" t="s">
        <v>1371</v>
      </c>
      <c r="AL4323">
        <v>32.741982999999998</v>
      </c>
      <c r="AM4323" t="s">
        <v>1372</v>
      </c>
      <c r="AN4323">
        <v>-116.694546</v>
      </c>
      <c r="AO4323">
        <v>25</v>
      </c>
      <c r="AP4323">
        <v>5000</v>
      </c>
      <c r="AQ4323" t="s">
        <v>129</v>
      </c>
      <c r="AR4323">
        <v>-126</v>
      </c>
      <c r="AS4323">
        <v>-91</v>
      </c>
      <c r="AT4323">
        <v>-768</v>
      </c>
      <c r="BB4323">
        <v>1200</v>
      </c>
      <c r="BC4323">
        <v>1</v>
      </c>
      <c r="BD4323" t="str">
        <f t="shared" si="1584"/>
        <v xml:space="preserve">N887QR  </v>
      </c>
      <c r="BE4323">
        <v>1</v>
      </c>
      <c r="BG4323">
        <v>0</v>
      </c>
      <c r="BH4323">
        <v>0</v>
      </c>
      <c r="BI4323">
        <v>0</v>
      </c>
      <c r="BJ4323">
        <v>4675</v>
      </c>
      <c r="BK4323">
        <v>-325</v>
      </c>
      <c r="BL4323" t="s">
        <v>163</v>
      </c>
      <c r="BM4323">
        <v>1</v>
      </c>
      <c r="BN4323">
        <v>1</v>
      </c>
      <c r="BO4323">
        <v>1</v>
      </c>
      <c r="BP4323">
        <v>0</v>
      </c>
      <c r="BS4323">
        <v>0</v>
      </c>
      <c r="BT4323">
        <v>0</v>
      </c>
      <c r="BU4323">
        <v>0</v>
      </c>
      <c r="CE4323" t="str">
        <f t="shared" si="1593"/>
        <v>19:37:11.182</v>
      </c>
      <c r="CF4323">
        <v>181906902</v>
      </c>
      <c r="CS4323">
        <v>0</v>
      </c>
      <c r="CT4323">
        <v>2</v>
      </c>
      <c r="CU4323">
        <v>0</v>
      </c>
      <c r="CV4323">
        <v>2</v>
      </c>
      <c r="CW4323">
        <v>0</v>
      </c>
      <c r="CX4323">
        <v>6</v>
      </c>
      <c r="CY4323">
        <v>7</v>
      </c>
      <c r="CZ4323" t="s">
        <v>131</v>
      </c>
      <c r="DA4323">
        <v>286</v>
      </c>
      <c r="DB4323">
        <v>0</v>
      </c>
      <c r="DC4323" t="s">
        <v>132</v>
      </c>
      <c r="DD4323" t="s">
        <v>133</v>
      </c>
      <c r="DG4323">
        <v>909465</v>
      </c>
      <c r="DI4323">
        <v>1</v>
      </c>
      <c r="DJ4323">
        <v>0</v>
      </c>
      <c r="DK4323">
        <v>1</v>
      </c>
      <c r="DL4323">
        <v>0</v>
      </c>
      <c r="DM4323">
        <v>0</v>
      </c>
      <c r="DN4323">
        <v>1</v>
      </c>
      <c r="DO4323">
        <v>0</v>
      </c>
      <c r="DP4323">
        <v>0</v>
      </c>
      <c r="DQ4323">
        <v>0</v>
      </c>
      <c r="DR4323">
        <v>0</v>
      </c>
      <c r="DS4323">
        <v>0</v>
      </c>
    </row>
    <row r="4324" spans="1:123" x14ac:dyDescent="0.3">
      <c r="A4324" t="str">
        <f t="shared" ref="A4324:A4330" si="1595">"10/04/2022 19:37:12.777"</f>
        <v>10/04/2022 19:37:12.777</v>
      </c>
      <c r="C4324" t="str">
        <f t="shared" si="1574"/>
        <v>FFDFD3C0</v>
      </c>
      <c r="D4324" t="s">
        <v>143</v>
      </c>
      <c r="E4324">
        <v>20</v>
      </c>
      <c r="F4324">
        <v>1020</v>
      </c>
      <c r="G4324" t="s">
        <v>144</v>
      </c>
      <c r="J4324" t="s">
        <v>145</v>
      </c>
      <c r="K4324">
        <v>0</v>
      </c>
      <c r="L4324">
        <v>3</v>
      </c>
      <c r="M4324">
        <v>0</v>
      </c>
      <c r="N4324">
        <v>2</v>
      </c>
      <c r="O4324">
        <v>0</v>
      </c>
      <c r="P4324">
        <v>1</v>
      </c>
      <c r="Q4324">
        <v>0</v>
      </c>
      <c r="S4324" t="str">
        <f t="shared" ref="S4324:T4330" si="1596">"19:37:12.000"</f>
        <v>19:37:12.000</v>
      </c>
      <c r="T4324" t="str">
        <f t="shared" si="1596"/>
        <v>19:37:12.000</v>
      </c>
      <c r="U4324" t="str">
        <f t="shared" si="1583"/>
        <v>AC3944</v>
      </c>
      <c r="V4324">
        <v>0</v>
      </c>
      <c r="W4324">
        <v>0</v>
      </c>
      <c r="X4324">
        <v>2</v>
      </c>
      <c r="Y4324">
        <v>0</v>
      </c>
      <c r="AA4324">
        <v>1</v>
      </c>
      <c r="AB4324">
        <v>8</v>
      </c>
      <c r="AC4324">
        <v>3</v>
      </c>
      <c r="AD4324">
        <v>0</v>
      </c>
      <c r="AE4324">
        <v>9</v>
      </c>
      <c r="AF4324" t="s">
        <v>138</v>
      </c>
      <c r="AG4324">
        <v>0</v>
      </c>
      <c r="AH4324">
        <v>3</v>
      </c>
      <c r="AI4324">
        <v>1</v>
      </c>
      <c r="AJ4324">
        <v>0</v>
      </c>
      <c r="AK4324" t="s">
        <v>922</v>
      </c>
      <c r="AL4324">
        <v>32.741554000000001</v>
      </c>
      <c r="AM4324" t="s">
        <v>1373</v>
      </c>
      <c r="AN4324">
        <v>-116.695232</v>
      </c>
      <c r="AO4324">
        <v>25</v>
      </c>
      <c r="AP4324">
        <v>5000</v>
      </c>
      <c r="AQ4324" t="s">
        <v>129</v>
      </c>
      <c r="AR4324">
        <v>-128</v>
      </c>
      <c r="AS4324">
        <v>-90</v>
      </c>
      <c r="AT4324">
        <v>-512</v>
      </c>
      <c r="BB4324">
        <v>1200</v>
      </c>
      <c r="BC4324">
        <v>1</v>
      </c>
      <c r="BD4324" t="str">
        <f t="shared" si="1584"/>
        <v xml:space="preserve">N887QR  </v>
      </c>
      <c r="BE4324">
        <v>1</v>
      </c>
      <c r="BG4324">
        <v>0</v>
      </c>
      <c r="BH4324">
        <v>0</v>
      </c>
      <c r="BI4324">
        <v>0</v>
      </c>
      <c r="BJ4324">
        <v>4675</v>
      </c>
      <c r="BK4324">
        <v>-325</v>
      </c>
      <c r="BL4324" t="s">
        <v>163</v>
      </c>
      <c r="BM4324">
        <v>1</v>
      </c>
      <c r="BN4324">
        <v>1</v>
      </c>
      <c r="BO4324">
        <v>1</v>
      </c>
      <c r="BP4324">
        <v>0</v>
      </c>
      <c r="BS4324">
        <v>0</v>
      </c>
      <c r="BT4324">
        <v>0</v>
      </c>
      <c r="BU4324">
        <v>0</v>
      </c>
      <c r="CE4324" t="str">
        <f t="shared" ref="CE4324:CE4330" si="1597">"19:37:12.456"</f>
        <v>19:37:12.456</v>
      </c>
      <c r="CF4324">
        <v>455910698</v>
      </c>
      <c r="CS4324">
        <v>0</v>
      </c>
      <c r="CT4324">
        <v>2</v>
      </c>
      <c r="CU4324">
        <v>0</v>
      </c>
      <c r="CV4324">
        <v>2</v>
      </c>
      <c r="CW4324">
        <v>0</v>
      </c>
      <c r="CX4324">
        <v>6</v>
      </c>
      <c r="CY4324">
        <v>7</v>
      </c>
      <c r="CZ4324" t="s">
        <v>131</v>
      </c>
      <c r="DA4324">
        <v>286</v>
      </c>
      <c r="DB4324">
        <v>0</v>
      </c>
      <c r="DC4324" t="s">
        <v>132</v>
      </c>
      <c r="DD4324" t="s">
        <v>133</v>
      </c>
      <c r="DG4324">
        <v>909797</v>
      </c>
      <c r="DI4324">
        <v>1</v>
      </c>
      <c r="DJ4324">
        <v>0</v>
      </c>
      <c r="DK4324">
        <v>0</v>
      </c>
      <c r="DL4324">
        <v>0</v>
      </c>
      <c r="DM4324">
        <v>0</v>
      </c>
      <c r="DN4324">
        <v>1</v>
      </c>
      <c r="DO4324">
        <v>0</v>
      </c>
      <c r="DP4324">
        <v>0</v>
      </c>
      <c r="DQ4324">
        <v>0</v>
      </c>
      <c r="DR4324">
        <v>0</v>
      </c>
      <c r="DS4324">
        <v>0</v>
      </c>
    </row>
    <row r="4325" spans="1:123" x14ac:dyDescent="0.3">
      <c r="A4325" t="str">
        <f t="shared" si="1595"/>
        <v>10/04/2022 19:37:12.777</v>
      </c>
      <c r="C4325" t="str">
        <f t="shared" si="1574"/>
        <v>FFDFD3C0</v>
      </c>
      <c r="D4325" t="s">
        <v>147</v>
      </c>
      <c r="E4325">
        <v>3</v>
      </c>
      <c r="H4325">
        <v>166</v>
      </c>
      <c r="I4325" t="s">
        <v>144</v>
      </c>
      <c r="J4325" t="s">
        <v>148</v>
      </c>
      <c r="K4325">
        <v>0</v>
      </c>
      <c r="L4325">
        <v>3</v>
      </c>
      <c r="M4325">
        <v>0</v>
      </c>
      <c r="N4325">
        <v>2</v>
      </c>
      <c r="O4325">
        <v>0</v>
      </c>
      <c r="P4325">
        <v>1</v>
      </c>
      <c r="Q4325">
        <v>0</v>
      </c>
      <c r="S4325" t="str">
        <f t="shared" si="1596"/>
        <v>19:37:12.000</v>
      </c>
      <c r="T4325" t="str">
        <f t="shared" si="1596"/>
        <v>19:37:12.000</v>
      </c>
      <c r="U4325" t="str">
        <f t="shared" si="1583"/>
        <v>AC3944</v>
      </c>
      <c r="V4325">
        <v>0</v>
      </c>
      <c r="W4325">
        <v>0</v>
      </c>
      <c r="X4325">
        <v>2</v>
      </c>
      <c r="Y4325">
        <v>0</v>
      </c>
      <c r="AA4325">
        <v>1</v>
      </c>
      <c r="AB4325">
        <v>8</v>
      </c>
      <c r="AC4325">
        <v>3</v>
      </c>
      <c r="AD4325">
        <v>0</v>
      </c>
      <c r="AE4325">
        <v>9</v>
      </c>
      <c r="AF4325" t="s">
        <v>138</v>
      </c>
      <c r="AG4325">
        <v>0</v>
      </c>
      <c r="AH4325">
        <v>3</v>
      </c>
      <c r="AI4325">
        <v>1</v>
      </c>
      <c r="AJ4325">
        <v>0</v>
      </c>
      <c r="AK4325" t="s">
        <v>922</v>
      </c>
      <c r="AL4325">
        <v>32.741554000000001</v>
      </c>
      <c r="AM4325" t="s">
        <v>1373</v>
      </c>
      <c r="AN4325">
        <v>-116.695232</v>
      </c>
      <c r="AO4325">
        <v>25</v>
      </c>
      <c r="AP4325">
        <v>5000</v>
      </c>
      <c r="AQ4325" t="s">
        <v>129</v>
      </c>
      <c r="AR4325">
        <v>-128</v>
      </c>
      <c r="AS4325">
        <v>-90</v>
      </c>
      <c r="AT4325">
        <v>-512</v>
      </c>
      <c r="BB4325">
        <v>1200</v>
      </c>
      <c r="BC4325">
        <v>1</v>
      </c>
      <c r="BD4325" t="str">
        <f t="shared" si="1584"/>
        <v xml:space="preserve">N887QR  </v>
      </c>
      <c r="BE4325">
        <v>1</v>
      </c>
      <c r="BG4325">
        <v>0</v>
      </c>
      <c r="BH4325">
        <v>0</v>
      </c>
      <c r="BI4325">
        <v>0</v>
      </c>
      <c r="BJ4325">
        <v>4675</v>
      </c>
      <c r="BK4325">
        <v>-325</v>
      </c>
      <c r="BL4325" t="s">
        <v>163</v>
      </c>
      <c r="BM4325">
        <v>1</v>
      </c>
      <c r="BN4325">
        <v>1</v>
      </c>
      <c r="BO4325">
        <v>1</v>
      </c>
      <c r="BP4325">
        <v>0</v>
      </c>
      <c r="BS4325">
        <v>0</v>
      </c>
      <c r="BT4325">
        <v>0</v>
      </c>
      <c r="BU4325">
        <v>0</v>
      </c>
      <c r="CE4325" t="str">
        <f t="shared" si="1597"/>
        <v>19:37:12.456</v>
      </c>
      <c r="CF4325">
        <v>455910698</v>
      </c>
      <c r="CS4325">
        <v>0</v>
      </c>
      <c r="CT4325">
        <v>2</v>
      </c>
      <c r="CU4325">
        <v>0</v>
      </c>
      <c r="CV4325">
        <v>2</v>
      </c>
      <c r="CW4325">
        <v>0</v>
      </c>
      <c r="CX4325">
        <v>6</v>
      </c>
      <c r="CY4325">
        <v>7</v>
      </c>
      <c r="CZ4325" t="s">
        <v>131</v>
      </c>
      <c r="DA4325">
        <v>286</v>
      </c>
      <c r="DB4325">
        <v>0</v>
      </c>
      <c r="DC4325" t="s">
        <v>132</v>
      </c>
      <c r="DD4325" t="s">
        <v>133</v>
      </c>
      <c r="DG4325">
        <v>909797</v>
      </c>
      <c r="DI4325">
        <v>1</v>
      </c>
      <c r="DJ4325">
        <v>0</v>
      </c>
      <c r="DK4325">
        <v>1</v>
      </c>
      <c r="DL4325">
        <v>0</v>
      </c>
      <c r="DM4325">
        <v>0</v>
      </c>
      <c r="DN4325">
        <v>1</v>
      </c>
      <c r="DO4325">
        <v>0</v>
      </c>
      <c r="DP4325">
        <v>0</v>
      </c>
      <c r="DQ4325">
        <v>0</v>
      </c>
      <c r="DR4325">
        <v>0</v>
      </c>
      <c r="DS4325">
        <v>0</v>
      </c>
    </row>
    <row r="4326" spans="1:123" x14ac:dyDescent="0.3">
      <c r="A4326" t="str">
        <f t="shared" si="1595"/>
        <v>10/04/2022 19:37:12.777</v>
      </c>
      <c r="C4326" t="str">
        <f t="shared" si="1574"/>
        <v>FFDFD3C0</v>
      </c>
      <c r="D4326" t="s">
        <v>141</v>
      </c>
      <c r="E4326">
        <v>3</v>
      </c>
      <c r="H4326">
        <v>3</v>
      </c>
      <c r="I4326" t="s">
        <v>146</v>
      </c>
      <c r="J4326" t="s">
        <v>138</v>
      </c>
      <c r="K4326">
        <v>0</v>
      </c>
      <c r="L4326">
        <v>3</v>
      </c>
      <c r="M4326">
        <v>0</v>
      </c>
      <c r="N4326">
        <v>2</v>
      </c>
      <c r="O4326">
        <v>0</v>
      </c>
      <c r="P4326">
        <v>1</v>
      </c>
      <c r="Q4326">
        <v>0</v>
      </c>
      <c r="S4326" t="str">
        <f t="shared" si="1596"/>
        <v>19:37:12.000</v>
      </c>
      <c r="T4326" t="str">
        <f t="shared" si="1596"/>
        <v>19:37:12.000</v>
      </c>
      <c r="U4326" t="str">
        <f t="shared" si="1583"/>
        <v>AC3944</v>
      </c>
      <c r="V4326">
        <v>0</v>
      </c>
      <c r="W4326">
        <v>0</v>
      </c>
      <c r="X4326">
        <v>2</v>
      </c>
      <c r="Y4326">
        <v>0</v>
      </c>
      <c r="AA4326">
        <v>1</v>
      </c>
      <c r="AB4326">
        <v>8</v>
      </c>
      <c r="AC4326">
        <v>3</v>
      </c>
      <c r="AD4326">
        <v>0</v>
      </c>
      <c r="AE4326">
        <v>9</v>
      </c>
      <c r="AF4326" t="s">
        <v>138</v>
      </c>
      <c r="AG4326">
        <v>0</v>
      </c>
      <c r="AH4326">
        <v>3</v>
      </c>
      <c r="AI4326">
        <v>1</v>
      </c>
      <c r="AJ4326">
        <v>0</v>
      </c>
      <c r="AK4326" t="s">
        <v>922</v>
      </c>
      <c r="AL4326">
        <v>32.741554000000001</v>
      </c>
      <c r="AM4326" t="s">
        <v>1373</v>
      </c>
      <c r="AN4326">
        <v>-116.695232</v>
      </c>
      <c r="AO4326">
        <v>25</v>
      </c>
      <c r="AP4326">
        <v>5000</v>
      </c>
      <c r="AQ4326" t="s">
        <v>129</v>
      </c>
      <c r="AR4326">
        <v>-128</v>
      </c>
      <c r="AS4326">
        <v>-90</v>
      </c>
      <c r="AT4326">
        <v>-512</v>
      </c>
      <c r="BB4326">
        <v>1200</v>
      </c>
      <c r="BC4326">
        <v>1</v>
      </c>
      <c r="BD4326" t="str">
        <f t="shared" si="1584"/>
        <v xml:space="preserve">N887QR  </v>
      </c>
      <c r="BE4326">
        <v>1</v>
      </c>
      <c r="BG4326">
        <v>0</v>
      </c>
      <c r="BH4326">
        <v>0</v>
      </c>
      <c r="BI4326">
        <v>0</v>
      </c>
      <c r="BJ4326">
        <v>4675</v>
      </c>
      <c r="BK4326">
        <v>-325</v>
      </c>
      <c r="BL4326" t="s">
        <v>163</v>
      </c>
      <c r="BM4326">
        <v>1</v>
      </c>
      <c r="BN4326">
        <v>1</v>
      </c>
      <c r="BO4326">
        <v>1</v>
      </c>
      <c r="BP4326">
        <v>0</v>
      </c>
      <c r="BS4326">
        <v>0</v>
      </c>
      <c r="BT4326">
        <v>0</v>
      </c>
      <c r="BU4326">
        <v>0</v>
      </c>
      <c r="CE4326" t="str">
        <f t="shared" si="1597"/>
        <v>19:37:12.456</v>
      </c>
      <c r="CF4326">
        <v>455910698</v>
      </c>
      <c r="CS4326">
        <v>0</v>
      </c>
      <c r="CT4326">
        <v>2</v>
      </c>
      <c r="CU4326">
        <v>0</v>
      </c>
      <c r="CV4326">
        <v>2</v>
      </c>
      <c r="CW4326">
        <v>0</v>
      </c>
      <c r="CX4326">
        <v>6</v>
      </c>
      <c r="CY4326">
        <v>7</v>
      </c>
      <c r="CZ4326" t="s">
        <v>131</v>
      </c>
      <c r="DA4326">
        <v>286</v>
      </c>
      <c r="DB4326">
        <v>0</v>
      </c>
      <c r="DC4326" t="s">
        <v>132</v>
      </c>
      <c r="DD4326" t="s">
        <v>133</v>
      </c>
      <c r="DG4326">
        <v>909797</v>
      </c>
      <c r="DI4326">
        <v>1</v>
      </c>
      <c r="DJ4326">
        <v>0</v>
      </c>
      <c r="DK4326">
        <v>1</v>
      </c>
      <c r="DL4326">
        <v>0</v>
      </c>
      <c r="DM4326">
        <v>0</v>
      </c>
      <c r="DN4326">
        <v>1</v>
      </c>
      <c r="DO4326">
        <v>0</v>
      </c>
      <c r="DP4326">
        <v>0</v>
      </c>
      <c r="DQ4326">
        <v>0</v>
      </c>
      <c r="DR4326">
        <v>0</v>
      </c>
      <c r="DS4326">
        <v>0</v>
      </c>
    </row>
    <row r="4327" spans="1:123" x14ac:dyDescent="0.3">
      <c r="A4327" t="str">
        <f t="shared" si="1595"/>
        <v>10/04/2022 19:37:12.777</v>
      </c>
      <c r="C4327" t="str">
        <f t="shared" si="1574"/>
        <v>FFDFD3C0</v>
      </c>
      <c r="D4327" t="s">
        <v>123</v>
      </c>
      <c r="E4327">
        <v>7</v>
      </c>
      <c r="F4327">
        <v>2007</v>
      </c>
      <c r="G4327" t="s">
        <v>124</v>
      </c>
      <c r="J4327" t="s">
        <v>125</v>
      </c>
      <c r="K4327">
        <v>0</v>
      </c>
      <c r="L4327">
        <v>3</v>
      </c>
      <c r="M4327">
        <v>0</v>
      </c>
      <c r="N4327">
        <v>2</v>
      </c>
      <c r="O4327">
        <v>0</v>
      </c>
      <c r="P4327">
        <v>1</v>
      </c>
      <c r="Q4327">
        <v>0</v>
      </c>
      <c r="S4327" t="str">
        <f t="shared" si="1596"/>
        <v>19:37:12.000</v>
      </c>
      <c r="T4327" t="str">
        <f t="shared" si="1596"/>
        <v>19:37:12.000</v>
      </c>
      <c r="U4327" t="str">
        <f t="shared" si="1583"/>
        <v>AC3944</v>
      </c>
      <c r="V4327">
        <v>0</v>
      </c>
      <c r="W4327">
        <v>0</v>
      </c>
      <c r="X4327">
        <v>2</v>
      </c>
      <c r="Y4327">
        <v>0</v>
      </c>
      <c r="AA4327">
        <v>1</v>
      </c>
      <c r="AB4327">
        <v>8</v>
      </c>
      <c r="AC4327">
        <v>3</v>
      </c>
      <c r="AD4327">
        <v>0</v>
      </c>
      <c r="AE4327">
        <v>9</v>
      </c>
      <c r="AF4327" t="s">
        <v>138</v>
      </c>
      <c r="AG4327">
        <v>0</v>
      </c>
      <c r="AH4327">
        <v>3</v>
      </c>
      <c r="AI4327">
        <v>1</v>
      </c>
      <c r="AJ4327">
        <v>0</v>
      </c>
      <c r="AK4327" t="s">
        <v>922</v>
      </c>
      <c r="AL4327">
        <v>32.741554000000001</v>
      </c>
      <c r="AM4327" t="s">
        <v>1373</v>
      </c>
      <c r="AN4327">
        <v>-116.695232</v>
      </c>
      <c r="AO4327">
        <v>25</v>
      </c>
      <c r="AP4327">
        <v>5000</v>
      </c>
      <c r="AQ4327" t="s">
        <v>129</v>
      </c>
      <c r="AR4327">
        <v>-128</v>
      </c>
      <c r="AS4327">
        <v>-90</v>
      </c>
      <c r="AT4327">
        <v>-512</v>
      </c>
      <c r="BB4327">
        <v>1200</v>
      </c>
      <c r="BC4327">
        <v>1</v>
      </c>
      <c r="BD4327" t="str">
        <f t="shared" si="1584"/>
        <v xml:space="preserve">N887QR  </v>
      </c>
      <c r="BE4327">
        <v>1</v>
      </c>
      <c r="BG4327">
        <v>0</v>
      </c>
      <c r="BH4327">
        <v>0</v>
      </c>
      <c r="BI4327">
        <v>0</v>
      </c>
      <c r="BJ4327">
        <v>4675</v>
      </c>
      <c r="BK4327">
        <v>-325</v>
      </c>
      <c r="BL4327" t="s">
        <v>163</v>
      </c>
      <c r="BM4327">
        <v>1</v>
      </c>
      <c r="BN4327">
        <v>1</v>
      </c>
      <c r="BO4327">
        <v>1</v>
      </c>
      <c r="BP4327">
        <v>0</v>
      </c>
      <c r="BS4327">
        <v>0</v>
      </c>
      <c r="BT4327">
        <v>0</v>
      </c>
      <c r="BU4327">
        <v>0</v>
      </c>
      <c r="CE4327" t="str">
        <f t="shared" si="1597"/>
        <v>19:37:12.456</v>
      </c>
      <c r="CF4327">
        <v>455910698</v>
      </c>
      <c r="CS4327">
        <v>0</v>
      </c>
      <c r="CT4327">
        <v>2</v>
      </c>
      <c r="CU4327">
        <v>0</v>
      </c>
      <c r="CV4327">
        <v>2</v>
      </c>
      <c r="CW4327">
        <v>0</v>
      </c>
      <c r="CX4327">
        <v>6</v>
      </c>
      <c r="CY4327">
        <v>7</v>
      </c>
      <c r="CZ4327" t="s">
        <v>131</v>
      </c>
      <c r="DA4327">
        <v>286</v>
      </c>
      <c r="DB4327">
        <v>0</v>
      </c>
      <c r="DC4327" t="s">
        <v>132</v>
      </c>
      <c r="DD4327" t="s">
        <v>133</v>
      </c>
      <c r="DG4327">
        <v>909797</v>
      </c>
      <c r="DI4327">
        <v>1</v>
      </c>
      <c r="DJ4327">
        <v>0</v>
      </c>
      <c r="DK4327">
        <v>1</v>
      </c>
      <c r="DL4327">
        <v>0</v>
      </c>
      <c r="DM4327">
        <v>0</v>
      </c>
      <c r="DN4327">
        <v>1</v>
      </c>
      <c r="DO4327">
        <v>0</v>
      </c>
      <c r="DP4327">
        <v>0</v>
      </c>
      <c r="DQ4327">
        <v>0</v>
      </c>
      <c r="DR4327">
        <v>0</v>
      </c>
      <c r="DS4327">
        <v>0</v>
      </c>
    </row>
    <row r="4328" spans="1:123" x14ac:dyDescent="0.3">
      <c r="A4328" t="str">
        <f t="shared" si="1595"/>
        <v>10/04/2022 19:37:12.777</v>
      </c>
      <c r="C4328" t="str">
        <f t="shared" si="1574"/>
        <v>FFDFD3C0</v>
      </c>
      <c r="D4328" t="s">
        <v>134</v>
      </c>
      <c r="E4328">
        <v>15</v>
      </c>
      <c r="J4328" t="s">
        <v>135</v>
      </c>
      <c r="K4328">
        <v>0</v>
      </c>
      <c r="L4328">
        <v>3</v>
      </c>
      <c r="M4328">
        <v>0</v>
      </c>
      <c r="N4328">
        <v>2</v>
      </c>
      <c r="O4328">
        <v>0</v>
      </c>
      <c r="P4328">
        <v>1</v>
      </c>
      <c r="Q4328">
        <v>0</v>
      </c>
      <c r="S4328" t="str">
        <f t="shared" si="1596"/>
        <v>19:37:12.000</v>
      </c>
      <c r="T4328" t="str">
        <f t="shared" si="1596"/>
        <v>19:37:12.000</v>
      </c>
      <c r="U4328" t="str">
        <f t="shared" si="1583"/>
        <v>AC3944</v>
      </c>
      <c r="V4328">
        <v>0</v>
      </c>
      <c r="W4328">
        <v>0</v>
      </c>
      <c r="X4328">
        <v>2</v>
      </c>
      <c r="Y4328">
        <v>0</v>
      </c>
      <c r="AA4328">
        <v>1</v>
      </c>
      <c r="AB4328">
        <v>8</v>
      </c>
      <c r="AC4328">
        <v>3</v>
      </c>
      <c r="AD4328">
        <v>0</v>
      </c>
      <c r="AE4328">
        <v>9</v>
      </c>
      <c r="AF4328" t="s">
        <v>138</v>
      </c>
      <c r="AG4328">
        <v>0</v>
      </c>
      <c r="AH4328">
        <v>3</v>
      </c>
      <c r="AI4328">
        <v>1</v>
      </c>
      <c r="AJ4328">
        <v>0</v>
      </c>
      <c r="AK4328" t="s">
        <v>922</v>
      </c>
      <c r="AL4328">
        <v>32.741554000000001</v>
      </c>
      <c r="AM4328" t="s">
        <v>1373</v>
      </c>
      <c r="AN4328">
        <v>-116.695232</v>
      </c>
      <c r="AO4328">
        <v>25</v>
      </c>
      <c r="AP4328">
        <v>5000</v>
      </c>
      <c r="AQ4328" t="s">
        <v>129</v>
      </c>
      <c r="AR4328">
        <v>-128</v>
      </c>
      <c r="AS4328">
        <v>-90</v>
      </c>
      <c r="AT4328">
        <v>-512</v>
      </c>
      <c r="BB4328">
        <v>1200</v>
      </c>
      <c r="BC4328">
        <v>1</v>
      </c>
      <c r="BD4328" t="str">
        <f t="shared" si="1584"/>
        <v xml:space="preserve">N887QR  </v>
      </c>
      <c r="BE4328">
        <v>1</v>
      </c>
      <c r="BG4328">
        <v>0</v>
      </c>
      <c r="BH4328">
        <v>0</v>
      </c>
      <c r="BI4328">
        <v>0</v>
      </c>
      <c r="BJ4328">
        <v>4675</v>
      </c>
      <c r="BK4328">
        <v>-325</v>
      </c>
      <c r="BL4328" t="s">
        <v>163</v>
      </c>
      <c r="BM4328">
        <v>1</v>
      </c>
      <c r="BN4328">
        <v>1</v>
      </c>
      <c r="BO4328">
        <v>1</v>
      </c>
      <c r="BP4328">
        <v>0</v>
      </c>
      <c r="BS4328">
        <v>0</v>
      </c>
      <c r="BT4328">
        <v>0</v>
      </c>
      <c r="BU4328">
        <v>0</v>
      </c>
      <c r="CE4328" t="str">
        <f t="shared" si="1597"/>
        <v>19:37:12.456</v>
      </c>
      <c r="CF4328">
        <v>455910698</v>
      </c>
      <c r="CS4328">
        <v>0</v>
      </c>
      <c r="CT4328">
        <v>2</v>
      </c>
      <c r="CU4328">
        <v>0</v>
      </c>
      <c r="CV4328">
        <v>2</v>
      </c>
      <c r="CW4328">
        <v>0</v>
      </c>
      <c r="CX4328">
        <v>6</v>
      </c>
      <c r="CY4328">
        <v>7</v>
      </c>
      <c r="CZ4328" t="s">
        <v>131</v>
      </c>
      <c r="DA4328">
        <v>286</v>
      </c>
      <c r="DB4328">
        <v>0</v>
      </c>
      <c r="DC4328" t="s">
        <v>132</v>
      </c>
      <c r="DD4328" t="s">
        <v>133</v>
      </c>
      <c r="DG4328">
        <v>909797</v>
      </c>
      <c r="DI4328">
        <v>1</v>
      </c>
      <c r="DJ4328">
        <v>0</v>
      </c>
      <c r="DK4328">
        <v>1</v>
      </c>
      <c r="DL4328">
        <v>0</v>
      </c>
      <c r="DM4328">
        <v>0</v>
      </c>
      <c r="DN4328">
        <v>1</v>
      </c>
      <c r="DO4328">
        <v>0</v>
      </c>
      <c r="DP4328">
        <v>0</v>
      </c>
      <c r="DQ4328">
        <v>0</v>
      </c>
      <c r="DR4328">
        <v>0</v>
      </c>
      <c r="DS4328">
        <v>0</v>
      </c>
    </row>
    <row r="4329" spans="1:123" x14ac:dyDescent="0.3">
      <c r="A4329" t="str">
        <f t="shared" si="1595"/>
        <v>10/04/2022 19:37:12.777</v>
      </c>
      <c r="C4329" t="str">
        <f t="shared" si="1574"/>
        <v>FFDFD3C0</v>
      </c>
      <c r="D4329" t="s">
        <v>136</v>
      </c>
      <c r="E4329">
        <v>8</v>
      </c>
      <c r="H4329">
        <v>225</v>
      </c>
      <c r="I4329" t="s">
        <v>137</v>
      </c>
      <c r="J4329" t="s">
        <v>138</v>
      </c>
      <c r="K4329">
        <v>0</v>
      </c>
      <c r="L4329">
        <v>3</v>
      </c>
      <c r="M4329">
        <v>0</v>
      </c>
      <c r="N4329">
        <v>2</v>
      </c>
      <c r="O4329">
        <v>0</v>
      </c>
      <c r="P4329">
        <v>1</v>
      </c>
      <c r="Q4329">
        <v>0</v>
      </c>
      <c r="S4329" t="str">
        <f t="shared" si="1596"/>
        <v>19:37:12.000</v>
      </c>
      <c r="T4329" t="str">
        <f t="shared" si="1596"/>
        <v>19:37:12.000</v>
      </c>
      <c r="U4329" t="str">
        <f t="shared" si="1583"/>
        <v>AC3944</v>
      </c>
      <c r="V4329">
        <v>0</v>
      </c>
      <c r="W4329">
        <v>0</v>
      </c>
      <c r="X4329">
        <v>2</v>
      </c>
      <c r="Y4329">
        <v>0</v>
      </c>
      <c r="AA4329">
        <v>1</v>
      </c>
      <c r="AB4329">
        <v>8</v>
      </c>
      <c r="AC4329">
        <v>3</v>
      </c>
      <c r="AD4329">
        <v>0</v>
      </c>
      <c r="AE4329">
        <v>9</v>
      </c>
      <c r="AF4329" t="s">
        <v>138</v>
      </c>
      <c r="AG4329">
        <v>0</v>
      </c>
      <c r="AH4329">
        <v>3</v>
      </c>
      <c r="AI4329">
        <v>1</v>
      </c>
      <c r="AJ4329">
        <v>0</v>
      </c>
      <c r="AK4329" t="s">
        <v>922</v>
      </c>
      <c r="AL4329">
        <v>32.741554000000001</v>
      </c>
      <c r="AM4329" t="s">
        <v>1373</v>
      </c>
      <c r="AN4329">
        <v>-116.695232</v>
      </c>
      <c r="AO4329">
        <v>25</v>
      </c>
      <c r="AP4329">
        <v>5000</v>
      </c>
      <c r="AQ4329" t="s">
        <v>129</v>
      </c>
      <c r="AR4329">
        <v>-128</v>
      </c>
      <c r="AS4329">
        <v>-90</v>
      </c>
      <c r="AT4329">
        <v>-512</v>
      </c>
      <c r="BB4329">
        <v>1200</v>
      </c>
      <c r="BC4329">
        <v>1</v>
      </c>
      <c r="BD4329" t="str">
        <f t="shared" si="1584"/>
        <v xml:space="preserve">N887QR  </v>
      </c>
      <c r="BE4329">
        <v>1</v>
      </c>
      <c r="BG4329">
        <v>0</v>
      </c>
      <c r="BH4329">
        <v>0</v>
      </c>
      <c r="BI4329">
        <v>0</v>
      </c>
      <c r="BJ4329">
        <v>4675</v>
      </c>
      <c r="BK4329">
        <v>-325</v>
      </c>
      <c r="BL4329" t="s">
        <v>163</v>
      </c>
      <c r="BM4329">
        <v>1</v>
      </c>
      <c r="BN4329">
        <v>1</v>
      </c>
      <c r="BO4329">
        <v>1</v>
      </c>
      <c r="BP4329">
        <v>0</v>
      </c>
      <c r="BS4329">
        <v>0</v>
      </c>
      <c r="BT4329">
        <v>0</v>
      </c>
      <c r="BU4329">
        <v>0</v>
      </c>
      <c r="CE4329" t="str">
        <f t="shared" si="1597"/>
        <v>19:37:12.456</v>
      </c>
      <c r="CF4329">
        <v>455910698</v>
      </c>
      <c r="CS4329">
        <v>0</v>
      </c>
      <c r="CT4329">
        <v>2</v>
      </c>
      <c r="CU4329">
        <v>0</v>
      </c>
      <c r="CV4329">
        <v>2</v>
      </c>
      <c r="CW4329">
        <v>0</v>
      </c>
      <c r="CX4329">
        <v>6</v>
      </c>
      <c r="CY4329">
        <v>7</v>
      </c>
      <c r="CZ4329" t="s">
        <v>131</v>
      </c>
      <c r="DA4329">
        <v>286</v>
      </c>
      <c r="DB4329">
        <v>0</v>
      </c>
      <c r="DC4329" t="s">
        <v>132</v>
      </c>
      <c r="DD4329" t="s">
        <v>133</v>
      </c>
      <c r="DG4329">
        <v>909797</v>
      </c>
      <c r="DI4329">
        <v>1</v>
      </c>
      <c r="DJ4329">
        <v>0</v>
      </c>
      <c r="DK4329">
        <v>1</v>
      </c>
      <c r="DL4329">
        <v>0</v>
      </c>
      <c r="DM4329">
        <v>0</v>
      </c>
      <c r="DN4329">
        <v>1</v>
      </c>
      <c r="DO4329">
        <v>0</v>
      </c>
      <c r="DP4329">
        <v>0</v>
      </c>
      <c r="DQ4329">
        <v>0</v>
      </c>
      <c r="DR4329">
        <v>0</v>
      </c>
      <c r="DS4329">
        <v>0</v>
      </c>
    </row>
    <row r="4330" spans="1:123" x14ac:dyDescent="0.3">
      <c r="A4330" t="str">
        <f t="shared" si="1595"/>
        <v>10/04/2022 19:37:12.777</v>
      </c>
      <c r="C4330" t="str">
        <f t="shared" si="1574"/>
        <v>FFDFD3C0</v>
      </c>
      <c r="D4330" t="s">
        <v>141</v>
      </c>
      <c r="E4330">
        <v>4</v>
      </c>
      <c r="H4330">
        <v>4</v>
      </c>
      <c r="I4330" t="s">
        <v>142</v>
      </c>
      <c r="J4330" t="s">
        <v>138</v>
      </c>
      <c r="K4330">
        <v>0</v>
      </c>
      <c r="L4330">
        <v>3</v>
      </c>
      <c r="M4330">
        <v>0</v>
      </c>
      <c r="N4330">
        <v>2</v>
      </c>
      <c r="O4330">
        <v>0</v>
      </c>
      <c r="P4330">
        <v>1</v>
      </c>
      <c r="Q4330">
        <v>0</v>
      </c>
      <c r="S4330" t="str">
        <f t="shared" si="1596"/>
        <v>19:37:12.000</v>
      </c>
      <c r="T4330" t="str">
        <f t="shared" si="1596"/>
        <v>19:37:12.000</v>
      </c>
      <c r="U4330" t="str">
        <f t="shared" si="1583"/>
        <v>AC3944</v>
      </c>
      <c r="V4330">
        <v>0</v>
      </c>
      <c r="W4330">
        <v>0</v>
      </c>
      <c r="X4330">
        <v>2</v>
      </c>
      <c r="Y4330">
        <v>0</v>
      </c>
      <c r="AA4330">
        <v>1</v>
      </c>
      <c r="AB4330">
        <v>8</v>
      </c>
      <c r="AC4330">
        <v>3</v>
      </c>
      <c r="AD4330">
        <v>0</v>
      </c>
      <c r="AE4330">
        <v>9</v>
      </c>
      <c r="AF4330" t="s">
        <v>138</v>
      </c>
      <c r="AG4330">
        <v>0</v>
      </c>
      <c r="AH4330">
        <v>3</v>
      </c>
      <c r="AI4330">
        <v>1</v>
      </c>
      <c r="AJ4330">
        <v>0</v>
      </c>
      <c r="AK4330" t="s">
        <v>922</v>
      </c>
      <c r="AL4330">
        <v>32.741554000000001</v>
      </c>
      <c r="AM4330" t="s">
        <v>1373</v>
      </c>
      <c r="AN4330">
        <v>-116.695232</v>
      </c>
      <c r="AO4330">
        <v>25</v>
      </c>
      <c r="AP4330">
        <v>5000</v>
      </c>
      <c r="AQ4330" t="s">
        <v>129</v>
      </c>
      <c r="AR4330">
        <v>-128</v>
      </c>
      <c r="AS4330">
        <v>-90</v>
      </c>
      <c r="AT4330">
        <v>-512</v>
      </c>
      <c r="BB4330">
        <v>1200</v>
      </c>
      <c r="BC4330">
        <v>1</v>
      </c>
      <c r="BD4330" t="str">
        <f t="shared" si="1584"/>
        <v xml:space="preserve">N887QR  </v>
      </c>
      <c r="BE4330">
        <v>1</v>
      </c>
      <c r="BG4330">
        <v>0</v>
      </c>
      <c r="BH4330">
        <v>0</v>
      </c>
      <c r="BI4330">
        <v>0</v>
      </c>
      <c r="BJ4330">
        <v>4675</v>
      </c>
      <c r="BK4330">
        <v>-325</v>
      </c>
      <c r="BL4330" t="s">
        <v>163</v>
      </c>
      <c r="BM4330">
        <v>1</v>
      </c>
      <c r="BN4330">
        <v>1</v>
      </c>
      <c r="BO4330">
        <v>1</v>
      </c>
      <c r="BP4330">
        <v>0</v>
      </c>
      <c r="BS4330">
        <v>0</v>
      </c>
      <c r="BT4330">
        <v>0</v>
      </c>
      <c r="BU4330">
        <v>0</v>
      </c>
      <c r="CE4330" t="str">
        <f t="shared" si="1597"/>
        <v>19:37:12.456</v>
      </c>
      <c r="CF4330">
        <v>455910698</v>
      </c>
      <c r="CS4330">
        <v>0</v>
      </c>
      <c r="CT4330">
        <v>2</v>
      </c>
      <c r="CU4330">
        <v>0</v>
      </c>
      <c r="CV4330">
        <v>2</v>
      </c>
      <c r="CW4330">
        <v>0</v>
      </c>
      <c r="CX4330">
        <v>6</v>
      </c>
      <c r="CY4330">
        <v>7</v>
      </c>
      <c r="CZ4330" t="s">
        <v>131</v>
      </c>
      <c r="DA4330">
        <v>286</v>
      </c>
      <c r="DB4330">
        <v>0</v>
      </c>
      <c r="DC4330" t="s">
        <v>132</v>
      </c>
      <c r="DD4330" t="s">
        <v>133</v>
      </c>
      <c r="DG4330">
        <v>909797</v>
      </c>
      <c r="DI4330">
        <v>1</v>
      </c>
      <c r="DJ4330">
        <v>0</v>
      </c>
      <c r="DK4330">
        <v>1</v>
      </c>
      <c r="DL4330">
        <v>0</v>
      </c>
      <c r="DM4330">
        <v>0</v>
      </c>
      <c r="DN4330">
        <v>1</v>
      </c>
      <c r="DO4330">
        <v>0</v>
      </c>
      <c r="DP4330">
        <v>0</v>
      </c>
      <c r="DQ4330">
        <v>0</v>
      </c>
      <c r="DR4330">
        <v>0</v>
      </c>
      <c r="DS4330">
        <v>0</v>
      </c>
    </row>
    <row r="4331" spans="1:123" x14ac:dyDescent="0.3">
      <c r="A4331" t="str">
        <f t="shared" ref="A4331:A4337" si="1598">"10/04/2022 19:37:13.433"</f>
        <v>10/04/2022 19:37:13.433</v>
      </c>
      <c r="C4331" t="str">
        <f t="shared" ref="C4331:C4394" si="1599">"FFDFD3C0"</f>
        <v>FFDFD3C0</v>
      </c>
      <c r="D4331" t="s">
        <v>123</v>
      </c>
      <c r="E4331">
        <v>7</v>
      </c>
      <c r="F4331">
        <v>2007</v>
      </c>
      <c r="G4331" t="s">
        <v>124</v>
      </c>
      <c r="J4331" t="s">
        <v>125</v>
      </c>
      <c r="K4331">
        <v>0</v>
      </c>
      <c r="L4331">
        <v>3</v>
      </c>
      <c r="M4331">
        <v>0</v>
      </c>
      <c r="N4331">
        <v>2</v>
      </c>
      <c r="O4331">
        <v>0</v>
      </c>
      <c r="P4331">
        <v>1</v>
      </c>
      <c r="Q4331">
        <v>0</v>
      </c>
      <c r="S4331" t="str">
        <f t="shared" ref="S4331:T4337" si="1600">"19:37:13.000"</f>
        <v>19:37:13.000</v>
      </c>
      <c r="T4331" t="str">
        <f t="shared" si="1600"/>
        <v>19:37:13.000</v>
      </c>
      <c r="U4331" t="str">
        <f t="shared" si="1583"/>
        <v>AC3944</v>
      </c>
      <c r="V4331">
        <v>0</v>
      </c>
      <c r="W4331">
        <v>0</v>
      </c>
      <c r="X4331">
        <v>2</v>
      </c>
      <c r="Y4331">
        <v>0</v>
      </c>
      <c r="AA4331">
        <v>1</v>
      </c>
      <c r="AB4331">
        <v>8</v>
      </c>
      <c r="AC4331">
        <v>3</v>
      </c>
      <c r="AD4331">
        <v>0</v>
      </c>
      <c r="AE4331">
        <v>9</v>
      </c>
      <c r="AF4331" t="s">
        <v>138</v>
      </c>
      <c r="AG4331">
        <v>0</v>
      </c>
      <c r="AH4331">
        <v>3</v>
      </c>
      <c r="AI4331">
        <v>1</v>
      </c>
      <c r="AJ4331">
        <v>0</v>
      </c>
      <c r="AK4331" t="s">
        <v>1374</v>
      </c>
      <c r="AL4331">
        <v>32.741039000000001</v>
      </c>
      <c r="AM4331" t="s">
        <v>1375</v>
      </c>
      <c r="AN4331">
        <v>-116.69606899999999</v>
      </c>
      <c r="AO4331">
        <v>25</v>
      </c>
      <c r="AP4331">
        <v>5000</v>
      </c>
      <c r="AQ4331" t="s">
        <v>129</v>
      </c>
      <c r="AR4331">
        <v>-129</v>
      </c>
      <c r="AS4331">
        <v>-89</v>
      </c>
      <c r="AT4331">
        <v>-512</v>
      </c>
      <c r="BB4331">
        <v>1200</v>
      </c>
      <c r="BC4331">
        <v>1</v>
      </c>
      <c r="BD4331" t="str">
        <f t="shared" si="1584"/>
        <v xml:space="preserve">N887QR  </v>
      </c>
      <c r="BE4331">
        <v>1</v>
      </c>
      <c r="BG4331">
        <v>0</v>
      </c>
      <c r="BH4331">
        <v>0</v>
      </c>
      <c r="BI4331">
        <v>0</v>
      </c>
      <c r="BJ4331">
        <v>4675</v>
      </c>
      <c r="BK4331">
        <v>-325</v>
      </c>
      <c r="BL4331" t="s">
        <v>163</v>
      </c>
      <c r="BM4331">
        <v>1</v>
      </c>
      <c r="BN4331">
        <v>1</v>
      </c>
      <c r="BO4331">
        <v>1</v>
      </c>
      <c r="BP4331">
        <v>0</v>
      </c>
      <c r="BS4331">
        <v>0</v>
      </c>
      <c r="BT4331">
        <v>0</v>
      </c>
      <c r="BU4331">
        <v>0</v>
      </c>
      <c r="CE4331" t="str">
        <f t="shared" ref="CE4331:CE4337" si="1601">"19:37:13.189"</f>
        <v>19:37:13.189</v>
      </c>
      <c r="CF4331">
        <v>188662839</v>
      </c>
      <c r="CS4331">
        <v>0</v>
      </c>
      <c r="CT4331">
        <v>2</v>
      </c>
      <c r="CU4331">
        <v>0</v>
      </c>
      <c r="CV4331">
        <v>2</v>
      </c>
      <c r="CW4331">
        <v>0</v>
      </c>
      <c r="CX4331">
        <v>6</v>
      </c>
      <c r="CY4331">
        <v>7</v>
      </c>
      <c r="CZ4331" t="s">
        <v>131</v>
      </c>
      <c r="DA4331">
        <v>286</v>
      </c>
      <c r="DB4331">
        <v>0</v>
      </c>
      <c r="DC4331" t="s">
        <v>132</v>
      </c>
      <c r="DD4331" t="s">
        <v>133</v>
      </c>
      <c r="DG4331">
        <v>909952</v>
      </c>
      <c r="DI4331">
        <v>1</v>
      </c>
      <c r="DJ4331">
        <v>0</v>
      </c>
      <c r="DK4331">
        <v>0</v>
      </c>
      <c r="DL4331">
        <v>0</v>
      </c>
      <c r="DM4331">
        <v>0</v>
      </c>
      <c r="DN4331">
        <v>1</v>
      </c>
      <c r="DO4331">
        <v>0</v>
      </c>
      <c r="DP4331">
        <v>0</v>
      </c>
      <c r="DQ4331">
        <v>0</v>
      </c>
      <c r="DR4331">
        <v>0</v>
      </c>
      <c r="DS4331">
        <v>0</v>
      </c>
    </row>
    <row r="4332" spans="1:123" x14ac:dyDescent="0.3">
      <c r="A4332" t="str">
        <f t="shared" si="1598"/>
        <v>10/04/2022 19:37:13.433</v>
      </c>
      <c r="C4332" t="str">
        <f t="shared" si="1599"/>
        <v>FFDFD3C0</v>
      </c>
      <c r="D4332" t="s">
        <v>141</v>
      </c>
      <c r="E4332">
        <v>3</v>
      </c>
      <c r="H4332">
        <v>3</v>
      </c>
      <c r="I4332" t="s">
        <v>146</v>
      </c>
      <c r="J4332" t="s">
        <v>138</v>
      </c>
      <c r="K4332">
        <v>0</v>
      </c>
      <c r="L4332">
        <v>3</v>
      </c>
      <c r="M4332">
        <v>0</v>
      </c>
      <c r="N4332">
        <v>2</v>
      </c>
      <c r="O4332">
        <v>0</v>
      </c>
      <c r="P4332">
        <v>1</v>
      </c>
      <c r="Q4332">
        <v>0</v>
      </c>
      <c r="S4332" t="str">
        <f t="shared" si="1600"/>
        <v>19:37:13.000</v>
      </c>
      <c r="T4332" t="str">
        <f t="shared" si="1600"/>
        <v>19:37:13.000</v>
      </c>
      <c r="U4332" t="str">
        <f t="shared" si="1583"/>
        <v>AC3944</v>
      </c>
      <c r="V4332">
        <v>0</v>
      </c>
      <c r="W4332">
        <v>0</v>
      </c>
      <c r="X4332">
        <v>2</v>
      </c>
      <c r="Y4332">
        <v>0</v>
      </c>
      <c r="AA4332">
        <v>1</v>
      </c>
      <c r="AB4332">
        <v>8</v>
      </c>
      <c r="AC4332">
        <v>3</v>
      </c>
      <c r="AD4332">
        <v>0</v>
      </c>
      <c r="AE4332">
        <v>9</v>
      </c>
      <c r="AF4332" t="s">
        <v>138</v>
      </c>
      <c r="AG4332">
        <v>0</v>
      </c>
      <c r="AH4332">
        <v>3</v>
      </c>
      <c r="AI4332">
        <v>1</v>
      </c>
      <c r="AJ4332">
        <v>0</v>
      </c>
      <c r="AK4332" t="s">
        <v>1374</v>
      </c>
      <c r="AL4332">
        <v>32.741039000000001</v>
      </c>
      <c r="AM4332" t="s">
        <v>1375</v>
      </c>
      <c r="AN4332">
        <v>-116.69606899999999</v>
      </c>
      <c r="AO4332">
        <v>25</v>
      </c>
      <c r="AP4332">
        <v>5000</v>
      </c>
      <c r="AQ4332" t="s">
        <v>129</v>
      </c>
      <c r="AR4332">
        <v>-129</v>
      </c>
      <c r="AS4332">
        <v>-89</v>
      </c>
      <c r="AT4332">
        <v>-512</v>
      </c>
      <c r="BB4332">
        <v>1200</v>
      </c>
      <c r="BC4332">
        <v>1</v>
      </c>
      <c r="BD4332" t="str">
        <f t="shared" si="1584"/>
        <v xml:space="preserve">N887QR  </v>
      </c>
      <c r="BE4332">
        <v>1</v>
      </c>
      <c r="BG4332">
        <v>0</v>
      </c>
      <c r="BH4332">
        <v>0</v>
      </c>
      <c r="BI4332">
        <v>0</v>
      </c>
      <c r="BJ4332">
        <v>4675</v>
      </c>
      <c r="BK4332">
        <v>-325</v>
      </c>
      <c r="BL4332" t="s">
        <v>163</v>
      </c>
      <c r="BM4332">
        <v>1</v>
      </c>
      <c r="BN4332">
        <v>1</v>
      </c>
      <c r="BO4332">
        <v>1</v>
      </c>
      <c r="BP4332">
        <v>0</v>
      </c>
      <c r="BS4332">
        <v>0</v>
      </c>
      <c r="BT4332">
        <v>0</v>
      </c>
      <c r="BU4332">
        <v>0</v>
      </c>
      <c r="CE4332" t="str">
        <f t="shared" si="1601"/>
        <v>19:37:13.189</v>
      </c>
      <c r="CF4332">
        <v>188662839</v>
      </c>
      <c r="CS4332">
        <v>0</v>
      </c>
      <c r="CT4332">
        <v>2</v>
      </c>
      <c r="CU4332">
        <v>0</v>
      </c>
      <c r="CV4332">
        <v>2</v>
      </c>
      <c r="CW4332">
        <v>0</v>
      </c>
      <c r="CX4332">
        <v>6</v>
      </c>
      <c r="CY4332">
        <v>7</v>
      </c>
      <c r="CZ4332" t="s">
        <v>131</v>
      </c>
      <c r="DA4332">
        <v>286</v>
      </c>
      <c r="DB4332">
        <v>0</v>
      </c>
      <c r="DC4332" t="s">
        <v>132</v>
      </c>
      <c r="DD4332" t="s">
        <v>133</v>
      </c>
      <c r="DG4332">
        <v>909952</v>
      </c>
      <c r="DI4332">
        <v>1</v>
      </c>
      <c r="DJ4332">
        <v>0</v>
      </c>
      <c r="DK4332">
        <v>1</v>
      </c>
      <c r="DL4332">
        <v>0</v>
      </c>
      <c r="DM4332">
        <v>0</v>
      </c>
      <c r="DN4332">
        <v>1</v>
      </c>
      <c r="DO4332">
        <v>0</v>
      </c>
      <c r="DP4332">
        <v>0</v>
      </c>
      <c r="DQ4332">
        <v>0</v>
      </c>
      <c r="DR4332">
        <v>0</v>
      </c>
      <c r="DS4332">
        <v>0</v>
      </c>
    </row>
    <row r="4333" spans="1:123" x14ac:dyDescent="0.3">
      <c r="A4333" t="str">
        <f t="shared" si="1598"/>
        <v>10/04/2022 19:37:13.433</v>
      </c>
      <c r="C4333" t="str">
        <f t="shared" si="1599"/>
        <v>FFDFD3C0</v>
      </c>
      <c r="D4333" t="s">
        <v>136</v>
      </c>
      <c r="E4333">
        <v>8</v>
      </c>
      <c r="H4333">
        <v>225</v>
      </c>
      <c r="I4333" t="s">
        <v>137</v>
      </c>
      <c r="J4333" t="s">
        <v>138</v>
      </c>
      <c r="K4333">
        <v>0</v>
      </c>
      <c r="L4333">
        <v>3</v>
      </c>
      <c r="M4333">
        <v>0</v>
      </c>
      <c r="N4333">
        <v>2</v>
      </c>
      <c r="O4333">
        <v>0</v>
      </c>
      <c r="P4333">
        <v>1</v>
      </c>
      <c r="Q4333">
        <v>0</v>
      </c>
      <c r="S4333" t="str">
        <f t="shared" si="1600"/>
        <v>19:37:13.000</v>
      </c>
      <c r="T4333" t="str">
        <f t="shared" si="1600"/>
        <v>19:37:13.000</v>
      </c>
      <c r="U4333" t="str">
        <f t="shared" si="1583"/>
        <v>AC3944</v>
      </c>
      <c r="V4333">
        <v>0</v>
      </c>
      <c r="W4333">
        <v>0</v>
      </c>
      <c r="X4333">
        <v>2</v>
      </c>
      <c r="Y4333">
        <v>0</v>
      </c>
      <c r="AA4333">
        <v>1</v>
      </c>
      <c r="AB4333">
        <v>8</v>
      </c>
      <c r="AC4333">
        <v>3</v>
      </c>
      <c r="AD4333">
        <v>0</v>
      </c>
      <c r="AE4333">
        <v>9</v>
      </c>
      <c r="AF4333" t="s">
        <v>138</v>
      </c>
      <c r="AG4333">
        <v>0</v>
      </c>
      <c r="AH4333">
        <v>3</v>
      </c>
      <c r="AI4333">
        <v>1</v>
      </c>
      <c r="AJ4333">
        <v>0</v>
      </c>
      <c r="AK4333" t="s">
        <v>1374</v>
      </c>
      <c r="AL4333">
        <v>32.741039000000001</v>
      </c>
      <c r="AM4333" t="s">
        <v>1375</v>
      </c>
      <c r="AN4333">
        <v>-116.69606899999999</v>
      </c>
      <c r="AO4333">
        <v>25</v>
      </c>
      <c r="AP4333">
        <v>5000</v>
      </c>
      <c r="AQ4333" t="s">
        <v>129</v>
      </c>
      <c r="AR4333">
        <v>-129</v>
      </c>
      <c r="AS4333">
        <v>-89</v>
      </c>
      <c r="AT4333">
        <v>-512</v>
      </c>
      <c r="BB4333">
        <v>1200</v>
      </c>
      <c r="BC4333">
        <v>1</v>
      </c>
      <c r="BD4333" t="str">
        <f t="shared" si="1584"/>
        <v xml:space="preserve">N887QR  </v>
      </c>
      <c r="BE4333">
        <v>1</v>
      </c>
      <c r="BG4333">
        <v>0</v>
      </c>
      <c r="BH4333">
        <v>0</v>
      </c>
      <c r="BI4333">
        <v>0</v>
      </c>
      <c r="BJ4333">
        <v>4675</v>
      </c>
      <c r="BK4333">
        <v>-325</v>
      </c>
      <c r="BL4333" t="s">
        <v>163</v>
      </c>
      <c r="BM4333">
        <v>1</v>
      </c>
      <c r="BN4333">
        <v>1</v>
      </c>
      <c r="BO4333">
        <v>1</v>
      </c>
      <c r="BP4333">
        <v>0</v>
      </c>
      <c r="BS4333">
        <v>0</v>
      </c>
      <c r="BT4333">
        <v>0</v>
      </c>
      <c r="BU4333">
        <v>0</v>
      </c>
      <c r="CE4333" t="str">
        <f t="shared" si="1601"/>
        <v>19:37:13.189</v>
      </c>
      <c r="CF4333">
        <v>188662839</v>
      </c>
      <c r="CS4333">
        <v>0</v>
      </c>
      <c r="CT4333">
        <v>2</v>
      </c>
      <c r="CU4333">
        <v>0</v>
      </c>
      <c r="CV4333">
        <v>2</v>
      </c>
      <c r="CW4333">
        <v>0</v>
      </c>
      <c r="CX4333">
        <v>6</v>
      </c>
      <c r="CY4333">
        <v>7</v>
      </c>
      <c r="CZ4333" t="s">
        <v>131</v>
      </c>
      <c r="DA4333">
        <v>286</v>
      </c>
      <c r="DB4333">
        <v>0</v>
      </c>
      <c r="DC4333" t="s">
        <v>132</v>
      </c>
      <c r="DD4333" t="s">
        <v>133</v>
      </c>
      <c r="DG4333">
        <v>909952</v>
      </c>
      <c r="DI4333">
        <v>1</v>
      </c>
      <c r="DJ4333">
        <v>0</v>
      </c>
      <c r="DK4333">
        <v>1</v>
      </c>
      <c r="DL4333">
        <v>0</v>
      </c>
      <c r="DM4333">
        <v>0</v>
      </c>
      <c r="DN4333">
        <v>1</v>
      </c>
      <c r="DO4333">
        <v>0</v>
      </c>
      <c r="DP4333">
        <v>0</v>
      </c>
      <c r="DQ4333">
        <v>0</v>
      </c>
      <c r="DR4333">
        <v>0</v>
      </c>
      <c r="DS4333">
        <v>0</v>
      </c>
    </row>
    <row r="4334" spans="1:123" x14ac:dyDescent="0.3">
      <c r="A4334" t="str">
        <f t="shared" si="1598"/>
        <v>10/04/2022 19:37:13.433</v>
      </c>
      <c r="C4334" t="str">
        <f t="shared" si="1599"/>
        <v>FFDFD3C0</v>
      </c>
      <c r="D4334" t="s">
        <v>134</v>
      </c>
      <c r="E4334">
        <v>15</v>
      </c>
      <c r="J4334" t="s">
        <v>135</v>
      </c>
      <c r="K4334">
        <v>0</v>
      </c>
      <c r="L4334">
        <v>3</v>
      </c>
      <c r="M4334">
        <v>0</v>
      </c>
      <c r="N4334">
        <v>2</v>
      </c>
      <c r="O4334">
        <v>0</v>
      </c>
      <c r="P4334">
        <v>1</v>
      </c>
      <c r="Q4334">
        <v>0</v>
      </c>
      <c r="S4334" t="str">
        <f t="shared" si="1600"/>
        <v>19:37:13.000</v>
      </c>
      <c r="T4334" t="str">
        <f t="shared" si="1600"/>
        <v>19:37:13.000</v>
      </c>
      <c r="U4334" t="str">
        <f t="shared" si="1583"/>
        <v>AC3944</v>
      </c>
      <c r="V4334">
        <v>0</v>
      </c>
      <c r="W4334">
        <v>0</v>
      </c>
      <c r="X4334">
        <v>2</v>
      </c>
      <c r="Y4334">
        <v>0</v>
      </c>
      <c r="AA4334">
        <v>1</v>
      </c>
      <c r="AB4334">
        <v>8</v>
      </c>
      <c r="AC4334">
        <v>3</v>
      </c>
      <c r="AD4334">
        <v>0</v>
      </c>
      <c r="AE4334">
        <v>9</v>
      </c>
      <c r="AF4334" t="s">
        <v>138</v>
      </c>
      <c r="AG4334">
        <v>0</v>
      </c>
      <c r="AH4334">
        <v>3</v>
      </c>
      <c r="AI4334">
        <v>1</v>
      </c>
      <c r="AJ4334">
        <v>0</v>
      </c>
      <c r="AK4334" t="s">
        <v>1374</v>
      </c>
      <c r="AL4334">
        <v>32.741039000000001</v>
      </c>
      <c r="AM4334" t="s">
        <v>1375</v>
      </c>
      <c r="AN4334">
        <v>-116.69606899999999</v>
      </c>
      <c r="AO4334">
        <v>25</v>
      </c>
      <c r="AP4334">
        <v>5000</v>
      </c>
      <c r="AQ4334" t="s">
        <v>129</v>
      </c>
      <c r="AR4334">
        <v>-129</v>
      </c>
      <c r="AS4334">
        <v>-89</v>
      </c>
      <c r="AT4334">
        <v>-512</v>
      </c>
      <c r="BB4334">
        <v>1200</v>
      </c>
      <c r="BC4334">
        <v>1</v>
      </c>
      <c r="BD4334" t="str">
        <f t="shared" si="1584"/>
        <v xml:space="preserve">N887QR  </v>
      </c>
      <c r="BE4334">
        <v>1</v>
      </c>
      <c r="BG4334">
        <v>0</v>
      </c>
      <c r="BH4334">
        <v>0</v>
      </c>
      <c r="BI4334">
        <v>0</v>
      </c>
      <c r="BJ4334">
        <v>4675</v>
      </c>
      <c r="BK4334">
        <v>-325</v>
      </c>
      <c r="BL4334" t="s">
        <v>163</v>
      </c>
      <c r="BM4334">
        <v>1</v>
      </c>
      <c r="BN4334">
        <v>1</v>
      </c>
      <c r="BO4334">
        <v>1</v>
      </c>
      <c r="BP4334">
        <v>0</v>
      </c>
      <c r="BS4334">
        <v>0</v>
      </c>
      <c r="BT4334">
        <v>0</v>
      </c>
      <c r="BU4334">
        <v>0</v>
      </c>
      <c r="CE4334" t="str">
        <f t="shared" si="1601"/>
        <v>19:37:13.189</v>
      </c>
      <c r="CF4334">
        <v>188662839</v>
      </c>
      <c r="CS4334">
        <v>0</v>
      </c>
      <c r="CT4334">
        <v>2</v>
      </c>
      <c r="CU4334">
        <v>0</v>
      </c>
      <c r="CV4334">
        <v>2</v>
      </c>
      <c r="CW4334">
        <v>0</v>
      </c>
      <c r="CX4334">
        <v>6</v>
      </c>
      <c r="CY4334">
        <v>7</v>
      </c>
      <c r="CZ4334" t="s">
        <v>131</v>
      </c>
      <c r="DA4334">
        <v>286</v>
      </c>
      <c r="DB4334">
        <v>0</v>
      </c>
      <c r="DC4334" t="s">
        <v>132</v>
      </c>
      <c r="DD4334" t="s">
        <v>133</v>
      </c>
      <c r="DG4334">
        <v>909952</v>
      </c>
      <c r="DI4334">
        <v>1</v>
      </c>
      <c r="DJ4334">
        <v>0</v>
      </c>
      <c r="DK4334">
        <v>1</v>
      </c>
      <c r="DL4334">
        <v>0</v>
      </c>
      <c r="DM4334">
        <v>0</v>
      </c>
      <c r="DN4334">
        <v>1</v>
      </c>
      <c r="DO4334">
        <v>0</v>
      </c>
      <c r="DP4334">
        <v>0</v>
      </c>
      <c r="DQ4334">
        <v>0</v>
      </c>
      <c r="DR4334">
        <v>0</v>
      </c>
      <c r="DS4334">
        <v>0</v>
      </c>
    </row>
    <row r="4335" spans="1:123" x14ac:dyDescent="0.3">
      <c r="A4335" t="str">
        <f t="shared" si="1598"/>
        <v>10/04/2022 19:37:13.433</v>
      </c>
      <c r="C4335" t="str">
        <f t="shared" si="1599"/>
        <v>FFDFD3C0</v>
      </c>
      <c r="D4335" t="s">
        <v>141</v>
      </c>
      <c r="E4335">
        <v>4</v>
      </c>
      <c r="H4335">
        <v>4</v>
      </c>
      <c r="I4335" t="s">
        <v>142</v>
      </c>
      <c r="J4335" t="s">
        <v>138</v>
      </c>
      <c r="K4335">
        <v>0</v>
      </c>
      <c r="L4335">
        <v>3</v>
      </c>
      <c r="M4335">
        <v>0</v>
      </c>
      <c r="N4335">
        <v>2</v>
      </c>
      <c r="O4335">
        <v>0</v>
      </c>
      <c r="P4335">
        <v>1</v>
      </c>
      <c r="Q4335">
        <v>0</v>
      </c>
      <c r="S4335" t="str">
        <f t="shared" si="1600"/>
        <v>19:37:13.000</v>
      </c>
      <c r="T4335" t="str">
        <f t="shared" si="1600"/>
        <v>19:37:13.000</v>
      </c>
      <c r="U4335" t="str">
        <f t="shared" si="1583"/>
        <v>AC3944</v>
      </c>
      <c r="V4335">
        <v>0</v>
      </c>
      <c r="W4335">
        <v>0</v>
      </c>
      <c r="X4335">
        <v>2</v>
      </c>
      <c r="Y4335">
        <v>0</v>
      </c>
      <c r="AA4335">
        <v>1</v>
      </c>
      <c r="AB4335">
        <v>8</v>
      </c>
      <c r="AC4335">
        <v>3</v>
      </c>
      <c r="AD4335">
        <v>0</v>
      </c>
      <c r="AE4335">
        <v>9</v>
      </c>
      <c r="AF4335" t="s">
        <v>138</v>
      </c>
      <c r="AG4335">
        <v>0</v>
      </c>
      <c r="AH4335">
        <v>3</v>
      </c>
      <c r="AI4335">
        <v>1</v>
      </c>
      <c r="AJ4335">
        <v>0</v>
      </c>
      <c r="AK4335" t="s">
        <v>1374</v>
      </c>
      <c r="AL4335">
        <v>32.741039000000001</v>
      </c>
      <c r="AM4335" t="s">
        <v>1375</v>
      </c>
      <c r="AN4335">
        <v>-116.69606899999999</v>
      </c>
      <c r="AO4335">
        <v>25</v>
      </c>
      <c r="AP4335">
        <v>5000</v>
      </c>
      <c r="AQ4335" t="s">
        <v>129</v>
      </c>
      <c r="AR4335">
        <v>-129</v>
      </c>
      <c r="AS4335">
        <v>-89</v>
      </c>
      <c r="AT4335">
        <v>-512</v>
      </c>
      <c r="BB4335">
        <v>1200</v>
      </c>
      <c r="BC4335">
        <v>1</v>
      </c>
      <c r="BD4335" t="str">
        <f t="shared" si="1584"/>
        <v xml:space="preserve">N887QR  </v>
      </c>
      <c r="BE4335">
        <v>1</v>
      </c>
      <c r="BG4335">
        <v>0</v>
      </c>
      <c r="BH4335">
        <v>0</v>
      </c>
      <c r="BI4335">
        <v>0</v>
      </c>
      <c r="BJ4335">
        <v>4675</v>
      </c>
      <c r="BK4335">
        <v>-325</v>
      </c>
      <c r="BL4335" t="s">
        <v>163</v>
      </c>
      <c r="BM4335">
        <v>1</v>
      </c>
      <c r="BN4335">
        <v>1</v>
      </c>
      <c r="BO4335">
        <v>1</v>
      </c>
      <c r="BP4335">
        <v>0</v>
      </c>
      <c r="BS4335">
        <v>0</v>
      </c>
      <c r="BT4335">
        <v>0</v>
      </c>
      <c r="BU4335">
        <v>0</v>
      </c>
      <c r="CE4335" t="str">
        <f t="shared" si="1601"/>
        <v>19:37:13.189</v>
      </c>
      <c r="CF4335">
        <v>188662839</v>
      </c>
      <c r="CS4335">
        <v>0</v>
      </c>
      <c r="CT4335">
        <v>2</v>
      </c>
      <c r="CU4335">
        <v>0</v>
      </c>
      <c r="CV4335">
        <v>2</v>
      </c>
      <c r="CW4335">
        <v>0</v>
      </c>
      <c r="CX4335">
        <v>6</v>
      </c>
      <c r="CY4335">
        <v>7</v>
      </c>
      <c r="CZ4335" t="s">
        <v>131</v>
      </c>
      <c r="DA4335">
        <v>286</v>
      </c>
      <c r="DB4335">
        <v>0</v>
      </c>
      <c r="DC4335" t="s">
        <v>132</v>
      </c>
      <c r="DD4335" t="s">
        <v>133</v>
      </c>
      <c r="DG4335">
        <v>909952</v>
      </c>
      <c r="DI4335">
        <v>1</v>
      </c>
      <c r="DJ4335">
        <v>0</v>
      </c>
      <c r="DK4335">
        <v>1</v>
      </c>
      <c r="DL4335">
        <v>0</v>
      </c>
      <c r="DM4335">
        <v>0</v>
      </c>
      <c r="DN4335">
        <v>1</v>
      </c>
      <c r="DO4335">
        <v>0</v>
      </c>
      <c r="DP4335">
        <v>0</v>
      </c>
      <c r="DQ4335">
        <v>0</v>
      </c>
      <c r="DR4335">
        <v>0</v>
      </c>
      <c r="DS4335">
        <v>0</v>
      </c>
    </row>
    <row r="4336" spans="1:123" x14ac:dyDescent="0.3">
      <c r="A4336" t="str">
        <f t="shared" si="1598"/>
        <v>10/04/2022 19:37:13.433</v>
      </c>
      <c r="C4336" t="str">
        <f t="shared" si="1599"/>
        <v>FFDFD3C0</v>
      </c>
      <c r="D4336" t="s">
        <v>147</v>
      </c>
      <c r="E4336">
        <v>3</v>
      </c>
      <c r="H4336">
        <v>166</v>
      </c>
      <c r="I4336" t="s">
        <v>144</v>
      </c>
      <c r="J4336" t="s">
        <v>148</v>
      </c>
      <c r="K4336">
        <v>0</v>
      </c>
      <c r="L4336">
        <v>3</v>
      </c>
      <c r="M4336">
        <v>0</v>
      </c>
      <c r="N4336">
        <v>2</v>
      </c>
      <c r="O4336">
        <v>0</v>
      </c>
      <c r="P4336">
        <v>1</v>
      </c>
      <c r="Q4336">
        <v>0</v>
      </c>
      <c r="S4336" t="str">
        <f t="shared" si="1600"/>
        <v>19:37:13.000</v>
      </c>
      <c r="T4336" t="str">
        <f t="shared" si="1600"/>
        <v>19:37:13.000</v>
      </c>
      <c r="U4336" t="str">
        <f t="shared" si="1583"/>
        <v>AC3944</v>
      </c>
      <c r="V4336">
        <v>0</v>
      </c>
      <c r="W4336">
        <v>0</v>
      </c>
      <c r="X4336">
        <v>2</v>
      </c>
      <c r="Y4336">
        <v>0</v>
      </c>
      <c r="AA4336">
        <v>1</v>
      </c>
      <c r="AB4336">
        <v>8</v>
      </c>
      <c r="AC4336">
        <v>3</v>
      </c>
      <c r="AD4336">
        <v>0</v>
      </c>
      <c r="AE4336">
        <v>9</v>
      </c>
      <c r="AF4336" t="s">
        <v>138</v>
      </c>
      <c r="AG4336">
        <v>0</v>
      </c>
      <c r="AH4336">
        <v>3</v>
      </c>
      <c r="AI4336">
        <v>1</v>
      </c>
      <c r="AJ4336">
        <v>0</v>
      </c>
      <c r="AK4336" t="s">
        <v>1374</v>
      </c>
      <c r="AL4336">
        <v>32.741039000000001</v>
      </c>
      <c r="AM4336" t="s">
        <v>1375</v>
      </c>
      <c r="AN4336">
        <v>-116.69606899999999</v>
      </c>
      <c r="AO4336">
        <v>25</v>
      </c>
      <c r="AP4336">
        <v>5000</v>
      </c>
      <c r="AQ4336" t="s">
        <v>129</v>
      </c>
      <c r="AR4336">
        <v>-129</v>
      </c>
      <c r="AS4336">
        <v>-89</v>
      </c>
      <c r="AT4336">
        <v>-512</v>
      </c>
      <c r="BB4336">
        <v>1200</v>
      </c>
      <c r="BC4336">
        <v>1</v>
      </c>
      <c r="BD4336" t="str">
        <f t="shared" si="1584"/>
        <v xml:space="preserve">N887QR  </v>
      </c>
      <c r="BE4336">
        <v>1</v>
      </c>
      <c r="BG4336">
        <v>0</v>
      </c>
      <c r="BH4336">
        <v>0</v>
      </c>
      <c r="BI4336">
        <v>0</v>
      </c>
      <c r="BJ4336">
        <v>4675</v>
      </c>
      <c r="BK4336">
        <v>-325</v>
      </c>
      <c r="BL4336" t="s">
        <v>163</v>
      </c>
      <c r="BM4336">
        <v>1</v>
      </c>
      <c r="BN4336">
        <v>1</v>
      </c>
      <c r="BO4336">
        <v>1</v>
      </c>
      <c r="BP4336">
        <v>0</v>
      </c>
      <c r="BS4336">
        <v>0</v>
      </c>
      <c r="BT4336">
        <v>0</v>
      </c>
      <c r="BU4336">
        <v>0</v>
      </c>
      <c r="CE4336" t="str">
        <f t="shared" si="1601"/>
        <v>19:37:13.189</v>
      </c>
      <c r="CF4336">
        <v>188662839</v>
      </c>
      <c r="CS4336">
        <v>0</v>
      </c>
      <c r="CT4336">
        <v>2</v>
      </c>
      <c r="CU4336">
        <v>0</v>
      </c>
      <c r="CV4336">
        <v>2</v>
      </c>
      <c r="CW4336">
        <v>0</v>
      </c>
      <c r="CX4336">
        <v>6</v>
      </c>
      <c r="CY4336">
        <v>7</v>
      </c>
      <c r="CZ4336" t="s">
        <v>131</v>
      </c>
      <c r="DA4336">
        <v>286</v>
      </c>
      <c r="DB4336">
        <v>0</v>
      </c>
      <c r="DC4336" t="s">
        <v>132</v>
      </c>
      <c r="DD4336" t="s">
        <v>133</v>
      </c>
      <c r="DG4336">
        <v>909952</v>
      </c>
      <c r="DI4336">
        <v>1</v>
      </c>
      <c r="DJ4336">
        <v>0</v>
      </c>
      <c r="DK4336">
        <v>1</v>
      </c>
      <c r="DL4336">
        <v>0</v>
      </c>
      <c r="DM4336">
        <v>0</v>
      </c>
      <c r="DN4336">
        <v>1</v>
      </c>
      <c r="DO4336">
        <v>0</v>
      </c>
      <c r="DP4336">
        <v>0</v>
      </c>
      <c r="DQ4336">
        <v>0</v>
      </c>
      <c r="DR4336">
        <v>0</v>
      </c>
      <c r="DS4336">
        <v>0</v>
      </c>
    </row>
    <row r="4337" spans="1:123" x14ac:dyDescent="0.3">
      <c r="A4337" t="str">
        <f t="shared" si="1598"/>
        <v>10/04/2022 19:37:13.433</v>
      </c>
      <c r="C4337" t="str">
        <f t="shared" si="1599"/>
        <v>FFDFD3C0</v>
      </c>
      <c r="D4337" t="s">
        <v>143</v>
      </c>
      <c r="E4337">
        <v>20</v>
      </c>
      <c r="F4337">
        <v>1020</v>
      </c>
      <c r="G4337" t="s">
        <v>144</v>
      </c>
      <c r="J4337" t="s">
        <v>145</v>
      </c>
      <c r="K4337">
        <v>0</v>
      </c>
      <c r="L4337">
        <v>3</v>
      </c>
      <c r="M4337">
        <v>0</v>
      </c>
      <c r="N4337">
        <v>2</v>
      </c>
      <c r="O4337">
        <v>0</v>
      </c>
      <c r="P4337">
        <v>1</v>
      </c>
      <c r="Q4337">
        <v>0</v>
      </c>
      <c r="S4337" t="str">
        <f t="shared" si="1600"/>
        <v>19:37:13.000</v>
      </c>
      <c r="T4337" t="str">
        <f t="shared" si="1600"/>
        <v>19:37:13.000</v>
      </c>
      <c r="U4337" t="str">
        <f t="shared" si="1583"/>
        <v>AC3944</v>
      </c>
      <c r="V4337">
        <v>0</v>
      </c>
      <c r="W4337">
        <v>0</v>
      </c>
      <c r="X4337">
        <v>2</v>
      </c>
      <c r="Y4337">
        <v>0</v>
      </c>
      <c r="AA4337">
        <v>1</v>
      </c>
      <c r="AB4337">
        <v>8</v>
      </c>
      <c r="AC4337">
        <v>3</v>
      </c>
      <c r="AD4337">
        <v>0</v>
      </c>
      <c r="AE4337">
        <v>9</v>
      </c>
      <c r="AF4337" t="s">
        <v>138</v>
      </c>
      <c r="AG4337">
        <v>0</v>
      </c>
      <c r="AH4337">
        <v>3</v>
      </c>
      <c r="AI4337">
        <v>1</v>
      </c>
      <c r="AJ4337">
        <v>0</v>
      </c>
      <c r="AK4337" t="s">
        <v>1374</v>
      </c>
      <c r="AL4337">
        <v>32.741039000000001</v>
      </c>
      <c r="AM4337" t="s">
        <v>1375</v>
      </c>
      <c r="AN4337">
        <v>-116.69606899999999</v>
      </c>
      <c r="AO4337">
        <v>25</v>
      </c>
      <c r="AP4337">
        <v>5000</v>
      </c>
      <c r="AQ4337" t="s">
        <v>129</v>
      </c>
      <c r="AR4337">
        <v>-129</v>
      </c>
      <c r="AS4337">
        <v>-89</v>
      </c>
      <c r="AT4337">
        <v>-512</v>
      </c>
      <c r="BB4337">
        <v>1200</v>
      </c>
      <c r="BC4337">
        <v>1</v>
      </c>
      <c r="BD4337" t="str">
        <f t="shared" si="1584"/>
        <v xml:space="preserve">N887QR  </v>
      </c>
      <c r="BE4337">
        <v>1</v>
      </c>
      <c r="BG4337">
        <v>0</v>
      </c>
      <c r="BH4337">
        <v>0</v>
      </c>
      <c r="BI4337">
        <v>0</v>
      </c>
      <c r="BJ4337">
        <v>4675</v>
      </c>
      <c r="BK4337">
        <v>-325</v>
      </c>
      <c r="BL4337" t="s">
        <v>163</v>
      </c>
      <c r="BM4337">
        <v>1</v>
      </c>
      <c r="BN4337">
        <v>1</v>
      </c>
      <c r="BO4337">
        <v>1</v>
      </c>
      <c r="BP4337">
        <v>0</v>
      </c>
      <c r="BS4337">
        <v>0</v>
      </c>
      <c r="BT4337">
        <v>0</v>
      </c>
      <c r="BU4337">
        <v>0</v>
      </c>
      <c r="CE4337" t="str">
        <f t="shared" si="1601"/>
        <v>19:37:13.189</v>
      </c>
      <c r="CF4337">
        <v>188662839</v>
      </c>
      <c r="CS4337">
        <v>0</v>
      </c>
      <c r="CT4337">
        <v>2</v>
      </c>
      <c r="CU4337">
        <v>0</v>
      </c>
      <c r="CV4337">
        <v>2</v>
      </c>
      <c r="CW4337">
        <v>0</v>
      </c>
      <c r="CX4337">
        <v>6</v>
      </c>
      <c r="CY4337">
        <v>7</v>
      </c>
      <c r="CZ4337" t="s">
        <v>131</v>
      </c>
      <c r="DA4337">
        <v>286</v>
      </c>
      <c r="DB4337">
        <v>0</v>
      </c>
      <c r="DC4337" t="s">
        <v>132</v>
      </c>
      <c r="DD4337" t="s">
        <v>133</v>
      </c>
      <c r="DG4337">
        <v>909952</v>
      </c>
      <c r="DI4337">
        <v>1</v>
      </c>
      <c r="DJ4337">
        <v>0</v>
      </c>
      <c r="DK4337">
        <v>1</v>
      </c>
      <c r="DL4337">
        <v>0</v>
      </c>
      <c r="DM4337">
        <v>0</v>
      </c>
      <c r="DN4337">
        <v>1</v>
      </c>
      <c r="DO4337">
        <v>0</v>
      </c>
      <c r="DP4337">
        <v>0</v>
      </c>
      <c r="DQ4337">
        <v>0</v>
      </c>
      <c r="DR4337">
        <v>0</v>
      </c>
      <c r="DS4337">
        <v>0</v>
      </c>
    </row>
    <row r="4338" spans="1:123" x14ac:dyDescent="0.3">
      <c r="A4338" t="str">
        <f t="shared" ref="A4338:A4344" si="1602">"10/04/2022 19:37:14.511"</f>
        <v>10/04/2022 19:37:14.511</v>
      </c>
      <c r="C4338" t="str">
        <f t="shared" si="1599"/>
        <v>FFDFD3C0</v>
      </c>
      <c r="D4338" t="s">
        <v>143</v>
      </c>
      <c r="E4338">
        <v>20</v>
      </c>
      <c r="F4338">
        <v>1020</v>
      </c>
      <c r="G4338" t="s">
        <v>144</v>
      </c>
      <c r="J4338" t="s">
        <v>145</v>
      </c>
      <c r="K4338">
        <v>0</v>
      </c>
      <c r="L4338">
        <v>3</v>
      </c>
      <c r="M4338">
        <v>0</v>
      </c>
      <c r="N4338">
        <v>2</v>
      </c>
      <c r="O4338">
        <v>0</v>
      </c>
      <c r="P4338">
        <v>1</v>
      </c>
      <c r="Q4338">
        <v>0</v>
      </c>
      <c r="S4338" t="str">
        <f t="shared" ref="S4338:T4344" si="1603">"19:37:14.000"</f>
        <v>19:37:14.000</v>
      </c>
      <c r="T4338" t="str">
        <f t="shared" si="1603"/>
        <v>19:37:14.000</v>
      </c>
      <c r="U4338" t="str">
        <f t="shared" si="1583"/>
        <v>AC3944</v>
      </c>
      <c r="V4338">
        <v>0</v>
      </c>
      <c r="W4338">
        <v>0</v>
      </c>
      <c r="X4338">
        <v>2</v>
      </c>
      <c r="Y4338">
        <v>0</v>
      </c>
      <c r="AA4338">
        <v>1</v>
      </c>
      <c r="AB4338">
        <v>8</v>
      </c>
      <c r="AC4338">
        <v>3</v>
      </c>
      <c r="AD4338">
        <v>0</v>
      </c>
      <c r="AE4338">
        <v>9</v>
      </c>
      <c r="AF4338" t="s">
        <v>138</v>
      </c>
      <c r="AG4338">
        <v>0</v>
      </c>
      <c r="AH4338">
        <v>3</v>
      </c>
      <c r="AI4338">
        <v>1</v>
      </c>
      <c r="AJ4338">
        <v>0</v>
      </c>
      <c r="AK4338" t="s">
        <v>1376</v>
      </c>
      <c r="AL4338">
        <v>32.740631</v>
      </c>
      <c r="AM4338" t="s">
        <v>1377</v>
      </c>
      <c r="AN4338">
        <v>-116.696799</v>
      </c>
      <c r="AO4338">
        <v>25</v>
      </c>
      <c r="AP4338">
        <v>5000</v>
      </c>
      <c r="AQ4338" t="s">
        <v>129</v>
      </c>
      <c r="AR4338">
        <v>-130</v>
      </c>
      <c r="AS4338">
        <v>-88</v>
      </c>
      <c r="AT4338">
        <v>-256</v>
      </c>
      <c r="BB4338">
        <v>1200</v>
      </c>
      <c r="BC4338">
        <v>1</v>
      </c>
      <c r="BD4338" t="str">
        <f t="shared" si="1584"/>
        <v xml:space="preserve">N887QR  </v>
      </c>
      <c r="BE4338">
        <v>1</v>
      </c>
      <c r="BG4338">
        <v>0</v>
      </c>
      <c r="BH4338">
        <v>0</v>
      </c>
      <c r="BI4338">
        <v>0</v>
      </c>
      <c r="BJ4338">
        <v>4675</v>
      </c>
      <c r="BK4338">
        <v>-325</v>
      </c>
      <c r="BL4338" t="s">
        <v>163</v>
      </c>
      <c r="BM4338">
        <v>1</v>
      </c>
      <c r="BN4338">
        <v>1</v>
      </c>
      <c r="BO4338">
        <v>1</v>
      </c>
      <c r="BP4338">
        <v>0</v>
      </c>
      <c r="BS4338">
        <v>0</v>
      </c>
      <c r="BT4338">
        <v>0</v>
      </c>
      <c r="BU4338">
        <v>0</v>
      </c>
      <c r="CE4338" t="str">
        <f t="shared" ref="CE4338:CE4344" si="1604">"19:37:14.244"</f>
        <v>19:37:14.244</v>
      </c>
      <c r="CF4338">
        <v>244415959</v>
      </c>
      <c r="CS4338">
        <v>0</v>
      </c>
      <c r="CT4338">
        <v>2</v>
      </c>
      <c r="CU4338">
        <v>0</v>
      </c>
      <c r="CV4338">
        <v>2</v>
      </c>
      <c r="CW4338">
        <v>0</v>
      </c>
      <c r="CX4338">
        <v>6</v>
      </c>
      <c r="CY4338">
        <v>7</v>
      </c>
      <c r="CZ4338" t="s">
        <v>131</v>
      </c>
      <c r="DA4338">
        <v>286</v>
      </c>
      <c r="DB4338">
        <v>0</v>
      </c>
      <c r="DC4338" t="s">
        <v>132</v>
      </c>
      <c r="DD4338" t="s">
        <v>133</v>
      </c>
      <c r="DG4338">
        <v>910235</v>
      </c>
      <c r="DI4338">
        <v>1</v>
      </c>
      <c r="DJ4338">
        <v>0</v>
      </c>
      <c r="DK4338">
        <v>0</v>
      </c>
      <c r="DL4338">
        <v>0</v>
      </c>
      <c r="DM4338">
        <v>0</v>
      </c>
      <c r="DN4338">
        <v>1</v>
      </c>
      <c r="DO4338">
        <v>0</v>
      </c>
      <c r="DP4338">
        <v>0</v>
      </c>
      <c r="DQ4338">
        <v>0</v>
      </c>
      <c r="DR4338">
        <v>0</v>
      </c>
      <c r="DS4338">
        <v>0</v>
      </c>
    </row>
    <row r="4339" spans="1:123" x14ac:dyDescent="0.3">
      <c r="A4339" t="str">
        <f t="shared" si="1602"/>
        <v>10/04/2022 19:37:14.511</v>
      </c>
      <c r="C4339" t="str">
        <f t="shared" si="1599"/>
        <v>FFDFD3C0</v>
      </c>
      <c r="D4339" t="s">
        <v>147</v>
      </c>
      <c r="E4339">
        <v>3</v>
      </c>
      <c r="H4339">
        <v>166</v>
      </c>
      <c r="I4339" t="s">
        <v>144</v>
      </c>
      <c r="J4339" t="s">
        <v>148</v>
      </c>
      <c r="K4339">
        <v>0</v>
      </c>
      <c r="L4339">
        <v>3</v>
      </c>
      <c r="M4339">
        <v>0</v>
      </c>
      <c r="N4339">
        <v>2</v>
      </c>
      <c r="O4339">
        <v>0</v>
      </c>
      <c r="P4339">
        <v>1</v>
      </c>
      <c r="Q4339">
        <v>0</v>
      </c>
      <c r="S4339" t="str">
        <f t="shared" si="1603"/>
        <v>19:37:14.000</v>
      </c>
      <c r="T4339" t="str">
        <f t="shared" si="1603"/>
        <v>19:37:14.000</v>
      </c>
      <c r="U4339" t="str">
        <f t="shared" si="1583"/>
        <v>AC3944</v>
      </c>
      <c r="V4339">
        <v>0</v>
      </c>
      <c r="W4339">
        <v>0</v>
      </c>
      <c r="X4339">
        <v>2</v>
      </c>
      <c r="Y4339">
        <v>0</v>
      </c>
      <c r="AA4339">
        <v>1</v>
      </c>
      <c r="AB4339">
        <v>8</v>
      </c>
      <c r="AC4339">
        <v>3</v>
      </c>
      <c r="AD4339">
        <v>0</v>
      </c>
      <c r="AE4339">
        <v>9</v>
      </c>
      <c r="AF4339" t="s">
        <v>138</v>
      </c>
      <c r="AG4339">
        <v>0</v>
      </c>
      <c r="AH4339">
        <v>3</v>
      </c>
      <c r="AI4339">
        <v>1</v>
      </c>
      <c r="AJ4339">
        <v>0</v>
      </c>
      <c r="AK4339" t="s">
        <v>1376</v>
      </c>
      <c r="AL4339">
        <v>32.740631</v>
      </c>
      <c r="AM4339" t="s">
        <v>1377</v>
      </c>
      <c r="AN4339">
        <v>-116.696799</v>
      </c>
      <c r="AO4339">
        <v>25</v>
      </c>
      <c r="AP4339">
        <v>5000</v>
      </c>
      <c r="AQ4339" t="s">
        <v>129</v>
      </c>
      <c r="AR4339">
        <v>-130</v>
      </c>
      <c r="AS4339">
        <v>-88</v>
      </c>
      <c r="AT4339">
        <v>-256</v>
      </c>
      <c r="BB4339">
        <v>1200</v>
      </c>
      <c r="BC4339">
        <v>1</v>
      </c>
      <c r="BD4339" t="str">
        <f t="shared" si="1584"/>
        <v xml:space="preserve">N887QR  </v>
      </c>
      <c r="BE4339">
        <v>1</v>
      </c>
      <c r="BG4339">
        <v>0</v>
      </c>
      <c r="BH4339">
        <v>0</v>
      </c>
      <c r="BI4339">
        <v>0</v>
      </c>
      <c r="BJ4339">
        <v>4675</v>
      </c>
      <c r="BK4339">
        <v>-325</v>
      </c>
      <c r="BL4339" t="s">
        <v>163</v>
      </c>
      <c r="BM4339">
        <v>1</v>
      </c>
      <c r="BN4339">
        <v>1</v>
      </c>
      <c r="BO4339">
        <v>1</v>
      </c>
      <c r="BP4339">
        <v>0</v>
      </c>
      <c r="BS4339">
        <v>0</v>
      </c>
      <c r="BT4339">
        <v>0</v>
      </c>
      <c r="BU4339">
        <v>0</v>
      </c>
      <c r="CE4339" t="str">
        <f t="shared" si="1604"/>
        <v>19:37:14.244</v>
      </c>
      <c r="CF4339">
        <v>244415959</v>
      </c>
      <c r="CS4339">
        <v>0</v>
      </c>
      <c r="CT4339">
        <v>2</v>
      </c>
      <c r="CU4339">
        <v>0</v>
      </c>
      <c r="CV4339">
        <v>2</v>
      </c>
      <c r="CW4339">
        <v>0</v>
      </c>
      <c r="CX4339">
        <v>6</v>
      </c>
      <c r="CY4339">
        <v>7</v>
      </c>
      <c r="CZ4339" t="s">
        <v>131</v>
      </c>
      <c r="DA4339">
        <v>286</v>
      </c>
      <c r="DB4339">
        <v>0</v>
      </c>
      <c r="DC4339" t="s">
        <v>132</v>
      </c>
      <c r="DD4339" t="s">
        <v>133</v>
      </c>
      <c r="DG4339">
        <v>910235</v>
      </c>
      <c r="DI4339">
        <v>1</v>
      </c>
      <c r="DJ4339">
        <v>0</v>
      </c>
      <c r="DK4339">
        <v>1</v>
      </c>
      <c r="DL4339">
        <v>0</v>
      </c>
      <c r="DM4339">
        <v>0</v>
      </c>
      <c r="DN4339">
        <v>1</v>
      </c>
      <c r="DO4339">
        <v>0</v>
      </c>
      <c r="DP4339">
        <v>0</v>
      </c>
      <c r="DQ4339">
        <v>0</v>
      </c>
      <c r="DR4339">
        <v>0</v>
      </c>
      <c r="DS4339">
        <v>0</v>
      </c>
    </row>
    <row r="4340" spans="1:123" x14ac:dyDescent="0.3">
      <c r="A4340" t="str">
        <f t="shared" si="1602"/>
        <v>10/04/2022 19:37:14.511</v>
      </c>
      <c r="C4340" t="str">
        <f t="shared" si="1599"/>
        <v>FFDFD3C0</v>
      </c>
      <c r="D4340" t="s">
        <v>123</v>
      </c>
      <c r="E4340">
        <v>7</v>
      </c>
      <c r="F4340">
        <v>2007</v>
      </c>
      <c r="G4340" t="s">
        <v>124</v>
      </c>
      <c r="J4340" t="s">
        <v>125</v>
      </c>
      <c r="K4340">
        <v>0</v>
      </c>
      <c r="L4340">
        <v>3</v>
      </c>
      <c r="M4340">
        <v>0</v>
      </c>
      <c r="N4340">
        <v>2</v>
      </c>
      <c r="O4340">
        <v>0</v>
      </c>
      <c r="P4340">
        <v>1</v>
      </c>
      <c r="Q4340">
        <v>0</v>
      </c>
      <c r="S4340" t="str">
        <f t="shared" si="1603"/>
        <v>19:37:14.000</v>
      </c>
      <c r="T4340" t="str">
        <f t="shared" si="1603"/>
        <v>19:37:14.000</v>
      </c>
      <c r="U4340" t="str">
        <f t="shared" si="1583"/>
        <v>AC3944</v>
      </c>
      <c r="V4340">
        <v>0</v>
      </c>
      <c r="W4340">
        <v>0</v>
      </c>
      <c r="X4340">
        <v>2</v>
      </c>
      <c r="Y4340">
        <v>0</v>
      </c>
      <c r="AA4340">
        <v>1</v>
      </c>
      <c r="AB4340">
        <v>8</v>
      </c>
      <c r="AC4340">
        <v>3</v>
      </c>
      <c r="AD4340">
        <v>0</v>
      </c>
      <c r="AE4340">
        <v>9</v>
      </c>
      <c r="AF4340" t="s">
        <v>138</v>
      </c>
      <c r="AG4340">
        <v>0</v>
      </c>
      <c r="AH4340">
        <v>3</v>
      </c>
      <c r="AI4340">
        <v>1</v>
      </c>
      <c r="AJ4340">
        <v>0</v>
      </c>
      <c r="AK4340" t="s">
        <v>1376</v>
      </c>
      <c r="AL4340">
        <v>32.740631</v>
      </c>
      <c r="AM4340" t="s">
        <v>1377</v>
      </c>
      <c r="AN4340">
        <v>-116.696799</v>
      </c>
      <c r="AO4340">
        <v>25</v>
      </c>
      <c r="AP4340">
        <v>5000</v>
      </c>
      <c r="AQ4340" t="s">
        <v>129</v>
      </c>
      <c r="AR4340">
        <v>-130</v>
      </c>
      <c r="AS4340">
        <v>-88</v>
      </c>
      <c r="AT4340">
        <v>-256</v>
      </c>
      <c r="BB4340">
        <v>1200</v>
      </c>
      <c r="BC4340">
        <v>1</v>
      </c>
      <c r="BD4340" t="str">
        <f t="shared" si="1584"/>
        <v xml:space="preserve">N887QR  </v>
      </c>
      <c r="BE4340">
        <v>1</v>
      </c>
      <c r="BG4340">
        <v>0</v>
      </c>
      <c r="BH4340">
        <v>0</v>
      </c>
      <c r="BI4340">
        <v>0</v>
      </c>
      <c r="BJ4340">
        <v>4675</v>
      </c>
      <c r="BK4340">
        <v>-325</v>
      </c>
      <c r="BL4340" t="s">
        <v>163</v>
      </c>
      <c r="BM4340">
        <v>1</v>
      </c>
      <c r="BN4340">
        <v>1</v>
      </c>
      <c r="BO4340">
        <v>1</v>
      </c>
      <c r="BP4340">
        <v>0</v>
      </c>
      <c r="BS4340">
        <v>0</v>
      </c>
      <c r="BT4340">
        <v>0</v>
      </c>
      <c r="BU4340">
        <v>0</v>
      </c>
      <c r="CE4340" t="str">
        <f t="shared" si="1604"/>
        <v>19:37:14.244</v>
      </c>
      <c r="CF4340">
        <v>244415959</v>
      </c>
      <c r="CS4340">
        <v>0</v>
      </c>
      <c r="CT4340">
        <v>2</v>
      </c>
      <c r="CU4340">
        <v>0</v>
      </c>
      <c r="CV4340">
        <v>2</v>
      </c>
      <c r="CW4340">
        <v>0</v>
      </c>
      <c r="CX4340">
        <v>6</v>
      </c>
      <c r="CY4340">
        <v>7</v>
      </c>
      <c r="CZ4340" t="s">
        <v>131</v>
      </c>
      <c r="DA4340">
        <v>286</v>
      </c>
      <c r="DB4340">
        <v>0</v>
      </c>
      <c r="DC4340" t="s">
        <v>132</v>
      </c>
      <c r="DD4340" t="s">
        <v>133</v>
      </c>
      <c r="DG4340">
        <v>910235</v>
      </c>
      <c r="DI4340">
        <v>1</v>
      </c>
      <c r="DJ4340">
        <v>0</v>
      </c>
      <c r="DK4340">
        <v>1</v>
      </c>
      <c r="DL4340">
        <v>0</v>
      </c>
      <c r="DM4340">
        <v>0</v>
      </c>
      <c r="DN4340">
        <v>1</v>
      </c>
      <c r="DO4340">
        <v>0</v>
      </c>
      <c r="DP4340">
        <v>0</v>
      </c>
      <c r="DQ4340">
        <v>0</v>
      </c>
      <c r="DR4340">
        <v>0</v>
      </c>
      <c r="DS4340">
        <v>0</v>
      </c>
    </row>
    <row r="4341" spans="1:123" x14ac:dyDescent="0.3">
      <c r="A4341" t="str">
        <f t="shared" si="1602"/>
        <v>10/04/2022 19:37:14.511</v>
      </c>
      <c r="C4341" t="str">
        <f t="shared" si="1599"/>
        <v>FFDFD3C0</v>
      </c>
      <c r="D4341" t="s">
        <v>136</v>
      </c>
      <c r="E4341">
        <v>8</v>
      </c>
      <c r="H4341">
        <v>225</v>
      </c>
      <c r="I4341" t="s">
        <v>137</v>
      </c>
      <c r="J4341" t="s">
        <v>138</v>
      </c>
      <c r="K4341">
        <v>0</v>
      </c>
      <c r="L4341">
        <v>3</v>
      </c>
      <c r="M4341">
        <v>0</v>
      </c>
      <c r="N4341">
        <v>2</v>
      </c>
      <c r="O4341">
        <v>0</v>
      </c>
      <c r="P4341">
        <v>1</v>
      </c>
      <c r="Q4341">
        <v>0</v>
      </c>
      <c r="S4341" t="str">
        <f t="shared" si="1603"/>
        <v>19:37:14.000</v>
      </c>
      <c r="T4341" t="str">
        <f t="shared" si="1603"/>
        <v>19:37:14.000</v>
      </c>
      <c r="U4341" t="str">
        <f t="shared" si="1583"/>
        <v>AC3944</v>
      </c>
      <c r="V4341">
        <v>0</v>
      </c>
      <c r="W4341">
        <v>0</v>
      </c>
      <c r="X4341">
        <v>2</v>
      </c>
      <c r="Y4341">
        <v>0</v>
      </c>
      <c r="AA4341">
        <v>1</v>
      </c>
      <c r="AB4341">
        <v>8</v>
      </c>
      <c r="AC4341">
        <v>3</v>
      </c>
      <c r="AD4341">
        <v>0</v>
      </c>
      <c r="AE4341">
        <v>9</v>
      </c>
      <c r="AF4341" t="s">
        <v>138</v>
      </c>
      <c r="AG4341">
        <v>0</v>
      </c>
      <c r="AH4341">
        <v>3</v>
      </c>
      <c r="AI4341">
        <v>1</v>
      </c>
      <c r="AJ4341">
        <v>0</v>
      </c>
      <c r="AK4341" t="s">
        <v>1376</v>
      </c>
      <c r="AL4341">
        <v>32.740631</v>
      </c>
      <c r="AM4341" t="s">
        <v>1377</v>
      </c>
      <c r="AN4341">
        <v>-116.696799</v>
      </c>
      <c r="AO4341">
        <v>25</v>
      </c>
      <c r="AP4341">
        <v>5000</v>
      </c>
      <c r="AQ4341" t="s">
        <v>129</v>
      </c>
      <c r="AR4341">
        <v>-130</v>
      </c>
      <c r="AS4341">
        <v>-88</v>
      </c>
      <c r="AT4341">
        <v>-256</v>
      </c>
      <c r="BB4341">
        <v>1200</v>
      </c>
      <c r="BC4341">
        <v>1</v>
      </c>
      <c r="BD4341" t="str">
        <f t="shared" si="1584"/>
        <v xml:space="preserve">N887QR  </v>
      </c>
      <c r="BE4341">
        <v>1</v>
      </c>
      <c r="BG4341">
        <v>0</v>
      </c>
      <c r="BH4341">
        <v>0</v>
      </c>
      <c r="BI4341">
        <v>0</v>
      </c>
      <c r="BJ4341">
        <v>4675</v>
      </c>
      <c r="BK4341">
        <v>-325</v>
      </c>
      <c r="BL4341" t="s">
        <v>163</v>
      </c>
      <c r="BM4341">
        <v>1</v>
      </c>
      <c r="BN4341">
        <v>1</v>
      </c>
      <c r="BO4341">
        <v>1</v>
      </c>
      <c r="BP4341">
        <v>0</v>
      </c>
      <c r="BS4341">
        <v>0</v>
      </c>
      <c r="BT4341">
        <v>0</v>
      </c>
      <c r="BU4341">
        <v>0</v>
      </c>
      <c r="CE4341" t="str">
        <f t="shared" si="1604"/>
        <v>19:37:14.244</v>
      </c>
      <c r="CF4341">
        <v>244415959</v>
      </c>
      <c r="CS4341">
        <v>0</v>
      </c>
      <c r="CT4341">
        <v>2</v>
      </c>
      <c r="CU4341">
        <v>0</v>
      </c>
      <c r="CV4341">
        <v>2</v>
      </c>
      <c r="CW4341">
        <v>0</v>
      </c>
      <c r="CX4341">
        <v>6</v>
      </c>
      <c r="CY4341">
        <v>7</v>
      </c>
      <c r="CZ4341" t="s">
        <v>131</v>
      </c>
      <c r="DA4341">
        <v>286</v>
      </c>
      <c r="DB4341">
        <v>0</v>
      </c>
      <c r="DC4341" t="s">
        <v>132</v>
      </c>
      <c r="DD4341" t="s">
        <v>133</v>
      </c>
      <c r="DG4341">
        <v>910235</v>
      </c>
      <c r="DI4341">
        <v>1</v>
      </c>
      <c r="DJ4341">
        <v>0</v>
      </c>
      <c r="DK4341">
        <v>1</v>
      </c>
      <c r="DL4341">
        <v>0</v>
      </c>
      <c r="DM4341">
        <v>0</v>
      </c>
      <c r="DN4341">
        <v>1</v>
      </c>
      <c r="DO4341">
        <v>0</v>
      </c>
      <c r="DP4341">
        <v>0</v>
      </c>
      <c r="DQ4341">
        <v>0</v>
      </c>
      <c r="DR4341">
        <v>0</v>
      </c>
      <c r="DS4341">
        <v>0</v>
      </c>
    </row>
    <row r="4342" spans="1:123" x14ac:dyDescent="0.3">
      <c r="A4342" t="str">
        <f t="shared" si="1602"/>
        <v>10/04/2022 19:37:14.511</v>
      </c>
      <c r="C4342" t="str">
        <f t="shared" si="1599"/>
        <v>FFDFD3C0</v>
      </c>
      <c r="D4342" t="s">
        <v>141</v>
      </c>
      <c r="E4342">
        <v>3</v>
      </c>
      <c r="H4342">
        <v>3</v>
      </c>
      <c r="I4342" t="s">
        <v>146</v>
      </c>
      <c r="J4342" t="s">
        <v>138</v>
      </c>
      <c r="K4342">
        <v>0</v>
      </c>
      <c r="L4342">
        <v>3</v>
      </c>
      <c r="M4342">
        <v>0</v>
      </c>
      <c r="N4342">
        <v>2</v>
      </c>
      <c r="O4342">
        <v>0</v>
      </c>
      <c r="P4342">
        <v>1</v>
      </c>
      <c r="Q4342">
        <v>0</v>
      </c>
      <c r="S4342" t="str">
        <f t="shared" si="1603"/>
        <v>19:37:14.000</v>
      </c>
      <c r="T4342" t="str">
        <f t="shared" si="1603"/>
        <v>19:37:14.000</v>
      </c>
      <c r="U4342" t="str">
        <f t="shared" si="1583"/>
        <v>AC3944</v>
      </c>
      <c r="V4342">
        <v>0</v>
      </c>
      <c r="W4342">
        <v>0</v>
      </c>
      <c r="X4342">
        <v>2</v>
      </c>
      <c r="Y4342">
        <v>0</v>
      </c>
      <c r="AA4342">
        <v>1</v>
      </c>
      <c r="AB4342">
        <v>8</v>
      </c>
      <c r="AC4342">
        <v>3</v>
      </c>
      <c r="AD4342">
        <v>0</v>
      </c>
      <c r="AE4342">
        <v>9</v>
      </c>
      <c r="AF4342" t="s">
        <v>138</v>
      </c>
      <c r="AG4342">
        <v>0</v>
      </c>
      <c r="AH4342">
        <v>3</v>
      </c>
      <c r="AI4342">
        <v>1</v>
      </c>
      <c r="AJ4342">
        <v>0</v>
      </c>
      <c r="AK4342" t="s">
        <v>1376</v>
      </c>
      <c r="AL4342">
        <v>32.740631</v>
      </c>
      <c r="AM4342" t="s">
        <v>1377</v>
      </c>
      <c r="AN4342">
        <v>-116.696799</v>
      </c>
      <c r="AO4342">
        <v>25</v>
      </c>
      <c r="AP4342">
        <v>5000</v>
      </c>
      <c r="AQ4342" t="s">
        <v>129</v>
      </c>
      <c r="AR4342">
        <v>-130</v>
      </c>
      <c r="AS4342">
        <v>-88</v>
      </c>
      <c r="AT4342">
        <v>-256</v>
      </c>
      <c r="BB4342">
        <v>1200</v>
      </c>
      <c r="BC4342">
        <v>1</v>
      </c>
      <c r="BD4342" t="str">
        <f t="shared" si="1584"/>
        <v xml:space="preserve">N887QR  </v>
      </c>
      <c r="BE4342">
        <v>1</v>
      </c>
      <c r="BG4342">
        <v>0</v>
      </c>
      <c r="BH4342">
        <v>0</v>
      </c>
      <c r="BI4342">
        <v>0</v>
      </c>
      <c r="BJ4342">
        <v>4675</v>
      </c>
      <c r="BK4342">
        <v>-325</v>
      </c>
      <c r="BL4342" t="s">
        <v>163</v>
      </c>
      <c r="BM4342">
        <v>1</v>
      </c>
      <c r="BN4342">
        <v>1</v>
      </c>
      <c r="BO4342">
        <v>1</v>
      </c>
      <c r="BP4342">
        <v>0</v>
      </c>
      <c r="BS4342">
        <v>0</v>
      </c>
      <c r="BT4342">
        <v>0</v>
      </c>
      <c r="BU4342">
        <v>0</v>
      </c>
      <c r="CE4342" t="str">
        <f t="shared" si="1604"/>
        <v>19:37:14.244</v>
      </c>
      <c r="CF4342">
        <v>244415959</v>
      </c>
      <c r="CS4342">
        <v>0</v>
      </c>
      <c r="CT4342">
        <v>2</v>
      </c>
      <c r="CU4342">
        <v>0</v>
      </c>
      <c r="CV4342">
        <v>2</v>
      </c>
      <c r="CW4342">
        <v>0</v>
      </c>
      <c r="CX4342">
        <v>6</v>
      </c>
      <c r="CY4342">
        <v>7</v>
      </c>
      <c r="CZ4342" t="s">
        <v>131</v>
      </c>
      <c r="DA4342">
        <v>286</v>
      </c>
      <c r="DB4342">
        <v>0</v>
      </c>
      <c r="DC4342" t="s">
        <v>132</v>
      </c>
      <c r="DD4342" t="s">
        <v>133</v>
      </c>
      <c r="DG4342">
        <v>910235</v>
      </c>
      <c r="DI4342">
        <v>1</v>
      </c>
      <c r="DJ4342">
        <v>0</v>
      </c>
      <c r="DK4342">
        <v>1</v>
      </c>
      <c r="DL4342">
        <v>0</v>
      </c>
      <c r="DM4342">
        <v>0</v>
      </c>
      <c r="DN4342">
        <v>1</v>
      </c>
      <c r="DO4342">
        <v>0</v>
      </c>
      <c r="DP4342">
        <v>0</v>
      </c>
      <c r="DQ4342">
        <v>0</v>
      </c>
      <c r="DR4342">
        <v>0</v>
      </c>
      <c r="DS4342">
        <v>0</v>
      </c>
    </row>
    <row r="4343" spans="1:123" x14ac:dyDescent="0.3">
      <c r="A4343" t="str">
        <f t="shared" si="1602"/>
        <v>10/04/2022 19:37:14.511</v>
      </c>
      <c r="C4343" t="str">
        <f t="shared" si="1599"/>
        <v>FFDFD3C0</v>
      </c>
      <c r="D4343" t="s">
        <v>141</v>
      </c>
      <c r="E4343">
        <v>4</v>
      </c>
      <c r="H4343">
        <v>4</v>
      </c>
      <c r="I4343" t="s">
        <v>142</v>
      </c>
      <c r="J4343" t="s">
        <v>138</v>
      </c>
      <c r="K4343">
        <v>0</v>
      </c>
      <c r="L4343">
        <v>3</v>
      </c>
      <c r="M4343">
        <v>0</v>
      </c>
      <c r="N4343">
        <v>2</v>
      </c>
      <c r="O4343">
        <v>0</v>
      </c>
      <c r="P4343">
        <v>1</v>
      </c>
      <c r="Q4343">
        <v>0</v>
      </c>
      <c r="S4343" t="str">
        <f t="shared" si="1603"/>
        <v>19:37:14.000</v>
      </c>
      <c r="T4343" t="str">
        <f t="shared" si="1603"/>
        <v>19:37:14.000</v>
      </c>
      <c r="U4343" t="str">
        <f t="shared" si="1583"/>
        <v>AC3944</v>
      </c>
      <c r="V4343">
        <v>0</v>
      </c>
      <c r="W4343">
        <v>0</v>
      </c>
      <c r="X4343">
        <v>2</v>
      </c>
      <c r="Y4343">
        <v>0</v>
      </c>
      <c r="AA4343">
        <v>1</v>
      </c>
      <c r="AB4343">
        <v>8</v>
      </c>
      <c r="AC4343">
        <v>3</v>
      </c>
      <c r="AD4343">
        <v>0</v>
      </c>
      <c r="AE4343">
        <v>9</v>
      </c>
      <c r="AF4343" t="s">
        <v>138</v>
      </c>
      <c r="AG4343">
        <v>0</v>
      </c>
      <c r="AH4343">
        <v>3</v>
      </c>
      <c r="AI4343">
        <v>1</v>
      </c>
      <c r="AJ4343">
        <v>0</v>
      </c>
      <c r="AK4343" t="s">
        <v>1376</v>
      </c>
      <c r="AL4343">
        <v>32.740631</v>
      </c>
      <c r="AM4343" t="s">
        <v>1377</v>
      </c>
      <c r="AN4343">
        <v>-116.696799</v>
      </c>
      <c r="AO4343">
        <v>25</v>
      </c>
      <c r="AP4343">
        <v>5000</v>
      </c>
      <c r="AQ4343" t="s">
        <v>129</v>
      </c>
      <c r="AR4343">
        <v>-130</v>
      </c>
      <c r="AS4343">
        <v>-88</v>
      </c>
      <c r="AT4343">
        <v>-256</v>
      </c>
      <c r="BB4343">
        <v>1200</v>
      </c>
      <c r="BC4343">
        <v>1</v>
      </c>
      <c r="BD4343" t="str">
        <f t="shared" si="1584"/>
        <v xml:space="preserve">N887QR  </v>
      </c>
      <c r="BE4343">
        <v>1</v>
      </c>
      <c r="BG4343">
        <v>0</v>
      </c>
      <c r="BH4343">
        <v>0</v>
      </c>
      <c r="BI4343">
        <v>0</v>
      </c>
      <c r="BJ4343">
        <v>4675</v>
      </c>
      <c r="BK4343">
        <v>-325</v>
      </c>
      <c r="BL4343" t="s">
        <v>163</v>
      </c>
      <c r="BM4343">
        <v>1</v>
      </c>
      <c r="BN4343">
        <v>1</v>
      </c>
      <c r="BO4343">
        <v>1</v>
      </c>
      <c r="BP4343">
        <v>0</v>
      </c>
      <c r="BS4343">
        <v>0</v>
      </c>
      <c r="BT4343">
        <v>0</v>
      </c>
      <c r="BU4343">
        <v>0</v>
      </c>
      <c r="CE4343" t="str">
        <f t="shared" si="1604"/>
        <v>19:37:14.244</v>
      </c>
      <c r="CF4343">
        <v>244415959</v>
      </c>
      <c r="CS4343">
        <v>0</v>
      </c>
      <c r="CT4343">
        <v>2</v>
      </c>
      <c r="CU4343">
        <v>0</v>
      </c>
      <c r="CV4343">
        <v>2</v>
      </c>
      <c r="CW4343">
        <v>0</v>
      </c>
      <c r="CX4343">
        <v>6</v>
      </c>
      <c r="CY4343">
        <v>7</v>
      </c>
      <c r="CZ4343" t="s">
        <v>131</v>
      </c>
      <c r="DA4343">
        <v>286</v>
      </c>
      <c r="DB4343">
        <v>0</v>
      </c>
      <c r="DC4343" t="s">
        <v>132</v>
      </c>
      <c r="DD4343" t="s">
        <v>133</v>
      </c>
      <c r="DG4343">
        <v>910235</v>
      </c>
      <c r="DI4343">
        <v>1</v>
      </c>
      <c r="DJ4343">
        <v>0</v>
      </c>
      <c r="DK4343">
        <v>1</v>
      </c>
      <c r="DL4343">
        <v>0</v>
      </c>
      <c r="DM4343">
        <v>0</v>
      </c>
      <c r="DN4343">
        <v>1</v>
      </c>
      <c r="DO4343">
        <v>0</v>
      </c>
      <c r="DP4343">
        <v>0</v>
      </c>
      <c r="DQ4343">
        <v>0</v>
      </c>
      <c r="DR4343">
        <v>0</v>
      </c>
      <c r="DS4343">
        <v>0</v>
      </c>
    </row>
    <row r="4344" spans="1:123" x14ac:dyDescent="0.3">
      <c r="A4344" t="str">
        <f t="shared" si="1602"/>
        <v>10/04/2022 19:37:14.511</v>
      </c>
      <c r="C4344" t="str">
        <f t="shared" si="1599"/>
        <v>FFDFD3C0</v>
      </c>
      <c r="D4344" t="s">
        <v>134</v>
      </c>
      <c r="E4344">
        <v>15</v>
      </c>
      <c r="J4344" t="s">
        <v>135</v>
      </c>
      <c r="K4344">
        <v>0</v>
      </c>
      <c r="L4344">
        <v>3</v>
      </c>
      <c r="M4344">
        <v>0</v>
      </c>
      <c r="N4344">
        <v>2</v>
      </c>
      <c r="O4344">
        <v>0</v>
      </c>
      <c r="P4344">
        <v>1</v>
      </c>
      <c r="Q4344">
        <v>0</v>
      </c>
      <c r="S4344" t="str">
        <f t="shared" si="1603"/>
        <v>19:37:14.000</v>
      </c>
      <c r="T4344" t="str">
        <f t="shared" si="1603"/>
        <v>19:37:14.000</v>
      </c>
      <c r="U4344" t="str">
        <f t="shared" si="1583"/>
        <v>AC3944</v>
      </c>
      <c r="V4344">
        <v>0</v>
      </c>
      <c r="W4344">
        <v>0</v>
      </c>
      <c r="X4344">
        <v>2</v>
      </c>
      <c r="Y4344">
        <v>0</v>
      </c>
      <c r="AA4344">
        <v>1</v>
      </c>
      <c r="AB4344">
        <v>8</v>
      </c>
      <c r="AC4344">
        <v>3</v>
      </c>
      <c r="AD4344">
        <v>0</v>
      </c>
      <c r="AE4344">
        <v>9</v>
      </c>
      <c r="AF4344" t="s">
        <v>138</v>
      </c>
      <c r="AG4344">
        <v>0</v>
      </c>
      <c r="AH4344">
        <v>3</v>
      </c>
      <c r="AI4344">
        <v>1</v>
      </c>
      <c r="AJ4344">
        <v>0</v>
      </c>
      <c r="AK4344" t="s">
        <v>1376</v>
      </c>
      <c r="AL4344">
        <v>32.740631</v>
      </c>
      <c r="AM4344" t="s">
        <v>1377</v>
      </c>
      <c r="AN4344">
        <v>-116.696799</v>
      </c>
      <c r="AO4344">
        <v>25</v>
      </c>
      <c r="AP4344">
        <v>5000</v>
      </c>
      <c r="AQ4344" t="s">
        <v>129</v>
      </c>
      <c r="AR4344">
        <v>-130</v>
      </c>
      <c r="AS4344">
        <v>-88</v>
      </c>
      <c r="AT4344">
        <v>-256</v>
      </c>
      <c r="BB4344">
        <v>1200</v>
      </c>
      <c r="BC4344">
        <v>1</v>
      </c>
      <c r="BD4344" t="str">
        <f t="shared" si="1584"/>
        <v xml:space="preserve">N887QR  </v>
      </c>
      <c r="BE4344">
        <v>1</v>
      </c>
      <c r="BG4344">
        <v>0</v>
      </c>
      <c r="BH4344">
        <v>0</v>
      </c>
      <c r="BI4344">
        <v>0</v>
      </c>
      <c r="BJ4344">
        <v>4675</v>
      </c>
      <c r="BK4344">
        <v>-325</v>
      </c>
      <c r="BL4344" t="s">
        <v>163</v>
      </c>
      <c r="BM4344">
        <v>1</v>
      </c>
      <c r="BN4344">
        <v>1</v>
      </c>
      <c r="BO4344">
        <v>1</v>
      </c>
      <c r="BP4344">
        <v>0</v>
      </c>
      <c r="BS4344">
        <v>0</v>
      </c>
      <c r="BT4344">
        <v>0</v>
      </c>
      <c r="BU4344">
        <v>0</v>
      </c>
      <c r="CE4344" t="str">
        <f t="shared" si="1604"/>
        <v>19:37:14.244</v>
      </c>
      <c r="CF4344">
        <v>244415959</v>
      </c>
      <c r="CS4344">
        <v>0</v>
      </c>
      <c r="CT4344">
        <v>2</v>
      </c>
      <c r="CU4344">
        <v>0</v>
      </c>
      <c r="CV4344">
        <v>2</v>
      </c>
      <c r="CW4344">
        <v>0</v>
      </c>
      <c r="CX4344">
        <v>6</v>
      </c>
      <c r="CY4344">
        <v>7</v>
      </c>
      <c r="CZ4344" t="s">
        <v>131</v>
      </c>
      <c r="DA4344">
        <v>286</v>
      </c>
      <c r="DB4344">
        <v>0</v>
      </c>
      <c r="DC4344" t="s">
        <v>132</v>
      </c>
      <c r="DD4344" t="s">
        <v>133</v>
      </c>
      <c r="DG4344">
        <v>910235</v>
      </c>
      <c r="DI4344">
        <v>1</v>
      </c>
      <c r="DJ4344">
        <v>0</v>
      </c>
      <c r="DK4344">
        <v>1</v>
      </c>
      <c r="DL4344">
        <v>0</v>
      </c>
      <c r="DM4344">
        <v>0</v>
      </c>
      <c r="DN4344">
        <v>1</v>
      </c>
      <c r="DO4344">
        <v>0</v>
      </c>
      <c r="DP4344">
        <v>0</v>
      </c>
      <c r="DQ4344">
        <v>0</v>
      </c>
      <c r="DR4344">
        <v>0</v>
      </c>
      <c r="DS4344">
        <v>0</v>
      </c>
    </row>
    <row r="4345" spans="1:123" x14ac:dyDescent="0.3">
      <c r="A4345" t="str">
        <f>"10/04/2022 19:37:15.653"</f>
        <v>10/04/2022 19:37:15.653</v>
      </c>
      <c r="C4345" t="str">
        <f t="shared" si="1599"/>
        <v>FFDFD3C0</v>
      </c>
      <c r="D4345" t="s">
        <v>141</v>
      </c>
      <c r="E4345">
        <v>3</v>
      </c>
      <c r="H4345">
        <v>3</v>
      </c>
      <c r="I4345" t="s">
        <v>146</v>
      </c>
      <c r="J4345" t="s">
        <v>138</v>
      </c>
      <c r="K4345">
        <v>0</v>
      </c>
      <c r="L4345">
        <v>3</v>
      </c>
      <c r="M4345">
        <v>0</v>
      </c>
      <c r="N4345">
        <v>2</v>
      </c>
      <c r="O4345">
        <v>0</v>
      </c>
      <c r="P4345">
        <v>1</v>
      </c>
      <c r="Q4345">
        <v>0</v>
      </c>
      <c r="S4345" t="str">
        <f t="shared" ref="S4345:T4351" si="1605">"19:37:15.000"</f>
        <v>19:37:15.000</v>
      </c>
      <c r="T4345" t="str">
        <f t="shared" si="1605"/>
        <v>19:37:15.000</v>
      </c>
      <c r="U4345" t="str">
        <f t="shared" si="1583"/>
        <v>AC3944</v>
      </c>
      <c r="V4345">
        <v>0</v>
      </c>
      <c r="W4345">
        <v>0</v>
      </c>
      <c r="X4345">
        <v>2</v>
      </c>
      <c r="Y4345">
        <v>0</v>
      </c>
      <c r="AA4345">
        <v>1</v>
      </c>
      <c r="AB4345">
        <v>8</v>
      </c>
      <c r="AC4345">
        <v>3</v>
      </c>
      <c r="AD4345">
        <v>0</v>
      </c>
      <c r="AE4345">
        <v>9</v>
      </c>
      <c r="AF4345" t="s">
        <v>138</v>
      </c>
      <c r="AG4345">
        <v>0</v>
      </c>
      <c r="AH4345">
        <v>3</v>
      </c>
      <c r="AI4345">
        <v>1</v>
      </c>
      <c r="AJ4345">
        <v>0</v>
      </c>
      <c r="AK4345" t="s">
        <v>1378</v>
      </c>
      <c r="AL4345">
        <v>32.740223</v>
      </c>
      <c r="AM4345" t="s">
        <v>1379</v>
      </c>
      <c r="AN4345">
        <v>-116.697507</v>
      </c>
      <c r="AO4345">
        <v>25</v>
      </c>
      <c r="AP4345">
        <v>5000</v>
      </c>
      <c r="AQ4345" t="s">
        <v>129</v>
      </c>
      <c r="AR4345">
        <v>-133</v>
      </c>
      <c r="AS4345">
        <v>-85</v>
      </c>
      <c r="AT4345">
        <v>-256</v>
      </c>
      <c r="BB4345">
        <v>1200</v>
      </c>
      <c r="BC4345">
        <v>1</v>
      </c>
      <c r="BD4345" t="str">
        <f t="shared" si="1584"/>
        <v xml:space="preserve">N887QR  </v>
      </c>
      <c r="BE4345">
        <v>1</v>
      </c>
      <c r="BG4345">
        <v>0</v>
      </c>
      <c r="BH4345">
        <v>0</v>
      </c>
      <c r="BI4345">
        <v>0</v>
      </c>
      <c r="BJ4345">
        <v>4675</v>
      </c>
      <c r="BK4345">
        <v>-325</v>
      </c>
      <c r="BL4345" t="s">
        <v>163</v>
      </c>
      <c r="BM4345">
        <v>1</v>
      </c>
      <c r="BN4345">
        <v>1</v>
      </c>
      <c r="BO4345">
        <v>1</v>
      </c>
      <c r="BP4345">
        <v>0</v>
      </c>
      <c r="BS4345">
        <v>0</v>
      </c>
      <c r="BT4345">
        <v>0</v>
      </c>
      <c r="BU4345">
        <v>0</v>
      </c>
      <c r="CE4345" t="str">
        <f t="shared" ref="CE4345:CE4351" si="1606">"19:37:15.368"</f>
        <v>19:37:15.368</v>
      </c>
      <c r="CF4345">
        <v>367669250</v>
      </c>
      <c r="CS4345">
        <v>0</v>
      </c>
      <c r="CT4345">
        <v>2</v>
      </c>
      <c r="CU4345">
        <v>0</v>
      </c>
      <c r="CV4345">
        <v>2</v>
      </c>
      <c r="CW4345">
        <v>0</v>
      </c>
      <c r="CX4345">
        <v>6</v>
      </c>
      <c r="CY4345">
        <v>7</v>
      </c>
      <c r="CZ4345" t="s">
        <v>131</v>
      </c>
      <c r="DA4345">
        <v>286</v>
      </c>
      <c r="DB4345">
        <v>0</v>
      </c>
      <c r="DC4345" t="s">
        <v>132</v>
      </c>
      <c r="DD4345" t="s">
        <v>133</v>
      </c>
      <c r="DG4345">
        <v>910520</v>
      </c>
      <c r="DI4345">
        <v>1</v>
      </c>
      <c r="DJ4345">
        <v>0</v>
      </c>
      <c r="DK4345">
        <v>0</v>
      </c>
      <c r="DL4345">
        <v>0</v>
      </c>
      <c r="DM4345">
        <v>0</v>
      </c>
      <c r="DN4345">
        <v>1</v>
      </c>
      <c r="DO4345">
        <v>0</v>
      </c>
      <c r="DP4345">
        <v>0</v>
      </c>
      <c r="DQ4345">
        <v>0</v>
      </c>
      <c r="DR4345">
        <v>0</v>
      </c>
      <c r="DS4345">
        <v>0</v>
      </c>
    </row>
    <row r="4346" spans="1:123" x14ac:dyDescent="0.3">
      <c r="A4346" t="str">
        <f>"10/04/2022 19:37:15.653"</f>
        <v>10/04/2022 19:37:15.653</v>
      </c>
      <c r="C4346" t="str">
        <f t="shared" si="1599"/>
        <v>FFDFD3C0</v>
      </c>
      <c r="D4346" t="s">
        <v>136</v>
      </c>
      <c r="E4346">
        <v>8</v>
      </c>
      <c r="H4346">
        <v>225</v>
      </c>
      <c r="I4346" t="s">
        <v>137</v>
      </c>
      <c r="J4346" t="s">
        <v>138</v>
      </c>
      <c r="K4346">
        <v>0</v>
      </c>
      <c r="L4346">
        <v>3</v>
      </c>
      <c r="M4346">
        <v>0</v>
      </c>
      <c r="N4346">
        <v>2</v>
      </c>
      <c r="O4346">
        <v>0</v>
      </c>
      <c r="P4346">
        <v>1</v>
      </c>
      <c r="Q4346">
        <v>0</v>
      </c>
      <c r="S4346" t="str">
        <f t="shared" si="1605"/>
        <v>19:37:15.000</v>
      </c>
      <c r="T4346" t="str">
        <f t="shared" si="1605"/>
        <v>19:37:15.000</v>
      </c>
      <c r="U4346" t="str">
        <f t="shared" si="1583"/>
        <v>AC3944</v>
      </c>
      <c r="V4346">
        <v>0</v>
      </c>
      <c r="W4346">
        <v>0</v>
      </c>
      <c r="X4346">
        <v>2</v>
      </c>
      <c r="Y4346">
        <v>0</v>
      </c>
      <c r="AA4346">
        <v>1</v>
      </c>
      <c r="AB4346">
        <v>8</v>
      </c>
      <c r="AC4346">
        <v>3</v>
      </c>
      <c r="AD4346">
        <v>0</v>
      </c>
      <c r="AE4346">
        <v>9</v>
      </c>
      <c r="AF4346" t="s">
        <v>138</v>
      </c>
      <c r="AG4346">
        <v>0</v>
      </c>
      <c r="AH4346">
        <v>3</v>
      </c>
      <c r="AI4346">
        <v>1</v>
      </c>
      <c r="AJ4346">
        <v>0</v>
      </c>
      <c r="AK4346" t="s">
        <v>1378</v>
      </c>
      <c r="AL4346">
        <v>32.740223</v>
      </c>
      <c r="AM4346" t="s">
        <v>1379</v>
      </c>
      <c r="AN4346">
        <v>-116.697507</v>
      </c>
      <c r="AO4346">
        <v>25</v>
      </c>
      <c r="AP4346">
        <v>5000</v>
      </c>
      <c r="AQ4346" t="s">
        <v>129</v>
      </c>
      <c r="AR4346">
        <v>-133</v>
      </c>
      <c r="AS4346">
        <v>-85</v>
      </c>
      <c r="AT4346">
        <v>-256</v>
      </c>
      <c r="BB4346">
        <v>1200</v>
      </c>
      <c r="BC4346">
        <v>1</v>
      </c>
      <c r="BD4346" t="str">
        <f t="shared" si="1584"/>
        <v xml:space="preserve">N887QR  </v>
      </c>
      <c r="BE4346">
        <v>1</v>
      </c>
      <c r="BG4346">
        <v>0</v>
      </c>
      <c r="BH4346">
        <v>0</v>
      </c>
      <c r="BI4346">
        <v>0</v>
      </c>
      <c r="BJ4346">
        <v>4675</v>
      </c>
      <c r="BK4346">
        <v>-325</v>
      </c>
      <c r="BL4346" t="s">
        <v>163</v>
      </c>
      <c r="BM4346">
        <v>1</v>
      </c>
      <c r="BN4346">
        <v>1</v>
      </c>
      <c r="BO4346">
        <v>1</v>
      </c>
      <c r="BP4346">
        <v>0</v>
      </c>
      <c r="BS4346">
        <v>0</v>
      </c>
      <c r="BT4346">
        <v>0</v>
      </c>
      <c r="BU4346">
        <v>0</v>
      </c>
      <c r="CE4346" t="str">
        <f t="shared" si="1606"/>
        <v>19:37:15.368</v>
      </c>
      <c r="CF4346">
        <v>367669250</v>
      </c>
      <c r="CS4346">
        <v>0</v>
      </c>
      <c r="CT4346">
        <v>2</v>
      </c>
      <c r="CU4346">
        <v>0</v>
      </c>
      <c r="CV4346">
        <v>2</v>
      </c>
      <c r="CW4346">
        <v>0</v>
      </c>
      <c r="CX4346">
        <v>6</v>
      </c>
      <c r="CY4346">
        <v>7</v>
      </c>
      <c r="CZ4346" t="s">
        <v>131</v>
      </c>
      <c r="DA4346">
        <v>286</v>
      </c>
      <c r="DB4346">
        <v>0</v>
      </c>
      <c r="DC4346" t="s">
        <v>132</v>
      </c>
      <c r="DD4346" t="s">
        <v>133</v>
      </c>
      <c r="DG4346">
        <v>910520</v>
      </c>
      <c r="DI4346">
        <v>1</v>
      </c>
      <c r="DJ4346">
        <v>0</v>
      </c>
      <c r="DK4346">
        <v>1</v>
      </c>
      <c r="DL4346">
        <v>0</v>
      </c>
      <c r="DM4346">
        <v>0</v>
      </c>
      <c r="DN4346">
        <v>1</v>
      </c>
      <c r="DO4346">
        <v>0</v>
      </c>
      <c r="DP4346">
        <v>0</v>
      </c>
      <c r="DQ4346">
        <v>0</v>
      </c>
      <c r="DR4346">
        <v>0</v>
      </c>
      <c r="DS4346">
        <v>0</v>
      </c>
    </row>
    <row r="4347" spans="1:123" x14ac:dyDescent="0.3">
      <c r="A4347" t="str">
        <f>"10/04/2022 19:37:15.653"</f>
        <v>10/04/2022 19:37:15.653</v>
      </c>
      <c r="C4347" t="str">
        <f t="shared" si="1599"/>
        <v>FFDFD3C0</v>
      </c>
      <c r="D4347" t="s">
        <v>141</v>
      </c>
      <c r="E4347">
        <v>4</v>
      </c>
      <c r="H4347">
        <v>4</v>
      </c>
      <c r="I4347" t="s">
        <v>142</v>
      </c>
      <c r="J4347" t="s">
        <v>138</v>
      </c>
      <c r="K4347">
        <v>0</v>
      </c>
      <c r="L4347">
        <v>3</v>
      </c>
      <c r="M4347">
        <v>0</v>
      </c>
      <c r="N4347">
        <v>2</v>
      </c>
      <c r="O4347">
        <v>0</v>
      </c>
      <c r="P4347">
        <v>1</v>
      </c>
      <c r="Q4347">
        <v>0</v>
      </c>
      <c r="S4347" t="str">
        <f t="shared" si="1605"/>
        <v>19:37:15.000</v>
      </c>
      <c r="T4347" t="str">
        <f t="shared" si="1605"/>
        <v>19:37:15.000</v>
      </c>
      <c r="U4347" t="str">
        <f t="shared" si="1583"/>
        <v>AC3944</v>
      </c>
      <c r="V4347">
        <v>0</v>
      </c>
      <c r="W4347">
        <v>0</v>
      </c>
      <c r="X4347">
        <v>2</v>
      </c>
      <c r="Y4347">
        <v>0</v>
      </c>
      <c r="AA4347">
        <v>1</v>
      </c>
      <c r="AB4347">
        <v>8</v>
      </c>
      <c r="AC4347">
        <v>3</v>
      </c>
      <c r="AD4347">
        <v>0</v>
      </c>
      <c r="AE4347">
        <v>9</v>
      </c>
      <c r="AF4347" t="s">
        <v>138</v>
      </c>
      <c r="AG4347">
        <v>0</v>
      </c>
      <c r="AH4347">
        <v>3</v>
      </c>
      <c r="AI4347">
        <v>1</v>
      </c>
      <c r="AJ4347">
        <v>0</v>
      </c>
      <c r="AK4347" t="s">
        <v>1378</v>
      </c>
      <c r="AL4347">
        <v>32.740223</v>
      </c>
      <c r="AM4347" t="s">
        <v>1379</v>
      </c>
      <c r="AN4347">
        <v>-116.697507</v>
      </c>
      <c r="AO4347">
        <v>25</v>
      </c>
      <c r="AP4347">
        <v>5000</v>
      </c>
      <c r="AQ4347" t="s">
        <v>129</v>
      </c>
      <c r="AR4347">
        <v>-133</v>
      </c>
      <c r="AS4347">
        <v>-85</v>
      </c>
      <c r="AT4347">
        <v>-256</v>
      </c>
      <c r="BB4347">
        <v>1200</v>
      </c>
      <c r="BC4347">
        <v>1</v>
      </c>
      <c r="BD4347" t="str">
        <f t="shared" si="1584"/>
        <v xml:space="preserve">N887QR  </v>
      </c>
      <c r="BE4347">
        <v>1</v>
      </c>
      <c r="BG4347">
        <v>0</v>
      </c>
      <c r="BH4347">
        <v>0</v>
      </c>
      <c r="BI4347">
        <v>0</v>
      </c>
      <c r="BJ4347">
        <v>4675</v>
      </c>
      <c r="BK4347">
        <v>-325</v>
      </c>
      <c r="BL4347" t="s">
        <v>163</v>
      </c>
      <c r="BM4347">
        <v>1</v>
      </c>
      <c r="BN4347">
        <v>1</v>
      </c>
      <c r="BO4347">
        <v>1</v>
      </c>
      <c r="BP4347">
        <v>0</v>
      </c>
      <c r="BS4347">
        <v>0</v>
      </c>
      <c r="BT4347">
        <v>0</v>
      </c>
      <c r="BU4347">
        <v>0</v>
      </c>
      <c r="CE4347" t="str">
        <f t="shared" si="1606"/>
        <v>19:37:15.368</v>
      </c>
      <c r="CF4347">
        <v>367669250</v>
      </c>
      <c r="CS4347">
        <v>0</v>
      </c>
      <c r="CT4347">
        <v>2</v>
      </c>
      <c r="CU4347">
        <v>0</v>
      </c>
      <c r="CV4347">
        <v>2</v>
      </c>
      <c r="CW4347">
        <v>0</v>
      </c>
      <c r="CX4347">
        <v>6</v>
      </c>
      <c r="CY4347">
        <v>7</v>
      </c>
      <c r="CZ4347" t="s">
        <v>131</v>
      </c>
      <c r="DA4347">
        <v>286</v>
      </c>
      <c r="DB4347">
        <v>0</v>
      </c>
      <c r="DC4347" t="s">
        <v>132</v>
      </c>
      <c r="DD4347" t="s">
        <v>133</v>
      </c>
      <c r="DG4347">
        <v>910520</v>
      </c>
      <c r="DI4347">
        <v>1</v>
      </c>
      <c r="DJ4347">
        <v>0</v>
      </c>
      <c r="DK4347">
        <v>1</v>
      </c>
      <c r="DL4347">
        <v>0</v>
      </c>
      <c r="DM4347">
        <v>0</v>
      </c>
      <c r="DN4347">
        <v>1</v>
      </c>
      <c r="DO4347">
        <v>0</v>
      </c>
      <c r="DP4347">
        <v>0</v>
      </c>
      <c r="DQ4347">
        <v>0</v>
      </c>
      <c r="DR4347">
        <v>0</v>
      </c>
      <c r="DS4347">
        <v>0</v>
      </c>
    </row>
    <row r="4348" spans="1:123" x14ac:dyDescent="0.3">
      <c r="A4348" t="str">
        <f>"10/04/2022 19:37:15.653"</f>
        <v>10/04/2022 19:37:15.653</v>
      </c>
      <c r="C4348" t="str">
        <f t="shared" si="1599"/>
        <v>FFDFD3C0</v>
      </c>
      <c r="D4348" t="s">
        <v>134</v>
      </c>
      <c r="E4348">
        <v>15</v>
      </c>
      <c r="J4348" t="s">
        <v>135</v>
      </c>
      <c r="K4348">
        <v>0</v>
      </c>
      <c r="L4348">
        <v>3</v>
      </c>
      <c r="M4348">
        <v>0</v>
      </c>
      <c r="N4348">
        <v>2</v>
      </c>
      <c r="O4348">
        <v>0</v>
      </c>
      <c r="P4348">
        <v>1</v>
      </c>
      <c r="Q4348">
        <v>0</v>
      </c>
      <c r="S4348" t="str">
        <f t="shared" si="1605"/>
        <v>19:37:15.000</v>
      </c>
      <c r="T4348" t="str">
        <f t="shared" si="1605"/>
        <v>19:37:15.000</v>
      </c>
      <c r="U4348" t="str">
        <f t="shared" si="1583"/>
        <v>AC3944</v>
      </c>
      <c r="V4348">
        <v>0</v>
      </c>
      <c r="W4348">
        <v>0</v>
      </c>
      <c r="X4348">
        <v>2</v>
      </c>
      <c r="Y4348">
        <v>0</v>
      </c>
      <c r="AA4348">
        <v>1</v>
      </c>
      <c r="AB4348">
        <v>8</v>
      </c>
      <c r="AC4348">
        <v>3</v>
      </c>
      <c r="AD4348">
        <v>0</v>
      </c>
      <c r="AE4348">
        <v>9</v>
      </c>
      <c r="AF4348" t="s">
        <v>138</v>
      </c>
      <c r="AG4348">
        <v>0</v>
      </c>
      <c r="AH4348">
        <v>3</v>
      </c>
      <c r="AI4348">
        <v>1</v>
      </c>
      <c r="AJ4348">
        <v>0</v>
      </c>
      <c r="AK4348" t="s">
        <v>1378</v>
      </c>
      <c r="AL4348">
        <v>32.740223</v>
      </c>
      <c r="AM4348" t="s">
        <v>1379</v>
      </c>
      <c r="AN4348">
        <v>-116.697507</v>
      </c>
      <c r="AO4348">
        <v>25</v>
      </c>
      <c r="AP4348">
        <v>5000</v>
      </c>
      <c r="AQ4348" t="s">
        <v>129</v>
      </c>
      <c r="AR4348">
        <v>-133</v>
      </c>
      <c r="AS4348">
        <v>-85</v>
      </c>
      <c r="AT4348">
        <v>-256</v>
      </c>
      <c r="BB4348">
        <v>1200</v>
      </c>
      <c r="BC4348">
        <v>1</v>
      </c>
      <c r="BD4348" t="str">
        <f t="shared" si="1584"/>
        <v xml:space="preserve">N887QR  </v>
      </c>
      <c r="BE4348">
        <v>1</v>
      </c>
      <c r="BG4348">
        <v>0</v>
      </c>
      <c r="BH4348">
        <v>0</v>
      </c>
      <c r="BI4348">
        <v>0</v>
      </c>
      <c r="BJ4348">
        <v>4675</v>
      </c>
      <c r="BK4348">
        <v>-325</v>
      </c>
      <c r="BL4348" t="s">
        <v>163</v>
      </c>
      <c r="BM4348">
        <v>1</v>
      </c>
      <c r="BN4348">
        <v>1</v>
      </c>
      <c r="BO4348">
        <v>1</v>
      </c>
      <c r="BP4348">
        <v>0</v>
      </c>
      <c r="BS4348">
        <v>0</v>
      </c>
      <c r="BT4348">
        <v>0</v>
      </c>
      <c r="BU4348">
        <v>0</v>
      </c>
      <c r="CE4348" t="str">
        <f t="shared" si="1606"/>
        <v>19:37:15.368</v>
      </c>
      <c r="CF4348">
        <v>367669250</v>
      </c>
      <c r="CS4348">
        <v>0</v>
      </c>
      <c r="CT4348">
        <v>2</v>
      </c>
      <c r="CU4348">
        <v>0</v>
      </c>
      <c r="CV4348">
        <v>2</v>
      </c>
      <c r="CW4348">
        <v>0</v>
      </c>
      <c r="CX4348">
        <v>6</v>
      </c>
      <c r="CY4348">
        <v>7</v>
      </c>
      <c r="CZ4348" t="s">
        <v>131</v>
      </c>
      <c r="DA4348">
        <v>286</v>
      </c>
      <c r="DB4348">
        <v>0</v>
      </c>
      <c r="DC4348" t="s">
        <v>132</v>
      </c>
      <c r="DD4348" t="s">
        <v>133</v>
      </c>
      <c r="DG4348">
        <v>910520</v>
      </c>
      <c r="DI4348">
        <v>1</v>
      </c>
      <c r="DJ4348">
        <v>0</v>
      </c>
      <c r="DK4348">
        <v>1</v>
      </c>
      <c r="DL4348">
        <v>0</v>
      </c>
      <c r="DM4348">
        <v>0</v>
      </c>
      <c r="DN4348">
        <v>1</v>
      </c>
      <c r="DO4348">
        <v>0</v>
      </c>
      <c r="DP4348">
        <v>0</v>
      </c>
      <c r="DQ4348">
        <v>0</v>
      </c>
      <c r="DR4348">
        <v>0</v>
      </c>
      <c r="DS4348">
        <v>0</v>
      </c>
    </row>
    <row r="4349" spans="1:123" x14ac:dyDescent="0.3">
      <c r="A4349" t="str">
        <f>"10/04/2022 19:37:15.684"</f>
        <v>10/04/2022 19:37:15.684</v>
      </c>
      <c r="C4349" t="str">
        <f t="shared" si="1599"/>
        <v>FFDFD3C0</v>
      </c>
      <c r="D4349" t="s">
        <v>143</v>
      </c>
      <c r="E4349">
        <v>20</v>
      </c>
      <c r="F4349">
        <v>1020</v>
      </c>
      <c r="G4349" t="s">
        <v>144</v>
      </c>
      <c r="J4349" t="s">
        <v>145</v>
      </c>
      <c r="K4349">
        <v>0</v>
      </c>
      <c r="L4349">
        <v>3</v>
      </c>
      <c r="M4349">
        <v>0</v>
      </c>
      <c r="N4349">
        <v>2</v>
      </c>
      <c r="O4349">
        <v>0</v>
      </c>
      <c r="P4349">
        <v>1</v>
      </c>
      <c r="Q4349">
        <v>0</v>
      </c>
      <c r="S4349" t="str">
        <f t="shared" si="1605"/>
        <v>19:37:15.000</v>
      </c>
      <c r="T4349" t="str">
        <f t="shared" si="1605"/>
        <v>19:37:15.000</v>
      </c>
      <c r="U4349" t="str">
        <f t="shared" si="1583"/>
        <v>AC3944</v>
      </c>
      <c r="V4349">
        <v>0</v>
      </c>
      <c r="W4349">
        <v>0</v>
      </c>
      <c r="X4349">
        <v>2</v>
      </c>
      <c r="Y4349">
        <v>0</v>
      </c>
      <c r="AA4349">
        <v>1</v>
      </c>
      <c r="AB4349">
        <v>8</v>
      </c>
      <c r="AC4349">
        <v>3</v>
      </c>
      <c r="AD4349">
        <v>0</v>
      </c>
      <c r="AE4349">
        <v>9</v>
      </c>
      <c r="AF4349" t="s">
        <v>138</v>
      </c>
      <c r="AG4349">
        <v>0</v>
      </c>
      <c r="AH4349">
        <v>3</v>
      </c>
      <c r="AI4349">
        <v>1</v>
      </c>
      <c r="AJ4349">
        <v>0</v>
      </c>
      <c r="AK4349" t="s">
        <v>1378</v>
      </c>
      <c r="AL4349">
        <v>32.740223</v>
      </c>
      <c r="AM4349" t="s">
        <v>1379</v>
      </c>
      <c r="AN4349">
        <v>-116.697507</v>
      </c>
      <c r="AO4349">
        <v>25</v>
      </c>
      <c r="AP4349">
        <v>5000</v>
      </c>
      <c r="AQ4349" t="s">
        <v>129</v>
      </c>
      <c r="AR4349">
        <v>-133</v>
      </c>
      <c r="AS4349">
        <v>-85</v>
      </c>
      <c r="AT4349">
        <v>-256</v>
      </c>
      <c r="BB4349">
        <v>1200</v>
      </c>
      <c r="BC4349">
        <v>1</v>
      </c>
      <c r="BD4349" t="str">
        <f t="shared" si="1584"/>
        <v xml:space="preserve">N887QR  </v>
      </c>
      <c r="BE4349">
        <v>1</v>
      </c>
      <c r="BG4349">
        <v>0</v>
      </c>
      <c r="BH4349">
        <v>0</v>
      </c>
      <c r="BI4349">
        <v>0</v>
      </c>
      <c r="BJ4349">
        <v>4675</v>
      </c>
      <c r="BK4349">
        <v>-325</v>
      </c>
      <c r="BL4349" t="s">
        <v>163</v>
      </c>
      <c r="BM4349">
        <v>1</v>
      </c>
      <c r="BN4349">
        <v>1</v>
      </c>
      <c r="BO4349">
        <v>1</v>
      </c>
      <c r="BP4349">
        <v>0</v>
      </c>
      <c r="BS4349">
        <v>0</v>
      </c>
      <c r="BT4349">
        <v>0</v>
      </c>
      <c r="BU4349">
        <v>0</v>
      </c>
      <c r="CE4349" t="str">
        <f t="shared" si="1606"/>
        <v>19:37:15.368</v>
      </c>
      <c r="CF4349">
        <v>367669250</v>
      </c>
      <c r="CS4349">
        <v>0</v>
      </c>
      <c r="CT4349">
        <v>2</v>
      </c>
      <c r="CU4349">
        <v>0</v>
      </c>
      <c r="CV4349">
        <v>2</v>
      </c>
      <c r="CW4349">
        <v>0</v>
      </c>
      <c r="CX4349">
        <v>6</v>
      </c>
      <c r="CY4349">
        <v>7</v>
      </c>
      <c r="CZ4349" t="s">
        <v>131</v>
      </c>
      <c r="DA4349">
        <v>286</v>
      </c>
      <c r="DB4349">
        <v>0</v>
      </c>
      <c r="DC4349" t="s">
        <v>132</v>
      </c>
      <c r="DD4349" t="s">
        <v>133</v>
      </c>
      <c r="DG4349">
        <v>910520</v>
      </c>
      <c r="DI4349">
        <v>1</v>
      </c>
      <c r="DJ4349">
        <v>0</v>
      </c>
      <c r="DK4349">
        <v>1</v>
      </c>
      <c r="DL4349">
        <v>0</v>
      </c>
      <c r="DM4349">
        <v>0</v>
      </c>
      <c r="DN4349">
        <v>1</v>
      </c>
      <c r="DO4349">
        <v>0</v>
      </c>
      <c r="DP4349">
        <v>0</v>
      </c>
      <c r="DQ4349">
        <v>0</v>
      </c>
      <c r="DR4349">
        <v>0</v>
      </c>
      <c r="DS4349">
        <v>0</v>
      </c>
    </row>
    <row r="4350" spans="1:123" x14ac:dyDescent="0.3">
      <c r="A4350" t="str">
        <f>"10/04/2022 19:37:15.700"</f>
        <v>10/04/2022 19:37:15.700</v>
      </c>
      <c r="C4350" t="str">
        <f t="shared" si="1599"/>
        <v>FFDFD3C0</v>
      </c>
      <c r="D4350" t="s">
        <v>147</v>
      </c>
      <c r="E4350">
        <v>3</v>
      </c>
      <c r="H4350">
        <v>166</v>
      </c>
      <c r="I4350" t="s">
        <v>144</v>
      </c>
      <c r="J4350" t="s">
        <v>148</v>
      </c>
      <c r="K4350">
        <v>0</v>
      </c>
      <c r="L4350">
        <v>3</v>
      </c>
      <c r="M4350">
        <v>0</v>
      </c>
      <c r="N4350">
        <v>2</v>
      </c>
      <c r="O4350">
        <v>0</v>
      </c>
      <c r="P4350">
        <v>1</v>
      </c>
      <c r="Q4350">
        <v>0</v>
      </c>
      <c r="S4350" t="str">
        <f t="shared" si="1605"/>
        <v>19:37:15.000</v>
      </c>
      <c r="T4350" t="str">
        <f t="shared" si="1605"/>
        <v>19:37:15.000</v>
      </c>
      <c r="U4350" t="str">
        <f t="shared" si="1583"/>
        <v>AC3944</v>
      </c>
      <c r="V4350">
        <v>0</v>
      </c>
      <c r="W4350">
        <v>0</v>
      </c>
      <c r="X4350">
        <v>2</v>
      </c>
      <c r="Y4350">
        <v>0</v>
      </c>
      <c r="AA4350">
        <v>1</v>
      </c>
      <c r="AB4350">
        <v>8</v>
      </c>
      <c r="AC4350">
        <v>3</v>
      </c>
      <c r="AD4350">
        <v>0</v>
      </c>
      <c r="AE4350">
        <v>9</v>
      </c>
      <c r="AF4350" t="s">
        <v>138</v>
      </c>
      <c r="AG4350">
        <v>0</v>
      </c>
      <c r="AH4350">
        <v>3</v>
      </c>
      <c r="AI4350">
        <v>1</v>
      </c>
      <c r="AJ4350">
        <v>0</v>
      </c>
      <c r="AK4350" t="s">
        <v>1378</v>
      </c>
      <c r="AL4350">
        <v>32.740223</v>
      </c>
      <c r="AM4350" t="s">
        <v>1379</v>
      </c>
      <c r="AN4350">
        <v>-116.697507</v>
      </c>
      <c r="AO4350">
        <v>25</v>
      </c>
      <c r="AP4350">
        <v>5000</v>
      </c>
      <c r="AQ4350" t="s">
        <v>129</v>
      </c>
      <c r="AR4350">
        <v>-133</v>
      </c>
      <c r="AS4350">
        <v>-85</v>
      </c>
      <c r="AT4350">
        <v>-256</v>
      </c>
      <c r="BB4350">
        <v>1200</v>
      </c>
      <c r="BC4350">
        <v>1</v>
      </c>
      <c r="BD4350" t="str">
        <f t="shared" si="1584"/>
        <v xml:space="preserve">N887QR  </v>
      </c>
      <c r="BE4350">
        <v>1</v>
      </c>
      <c r="BG4350">
        <v>0</v>
      </c>
      <c r="BH4350">
        <v>0</v>
      </c>
      <c r="BI4350">
        <v>0</v>
      </c>
      <c r="BJ4350">
        <v>4675</v>
      </c>
      <c r="BK4350">
        <v>-325</v>
      </c>
      <c r="BL4350" t="s">
        <v>163</v>
      </c>
      <c r="BM4350">
        <v>1</v>
      </c>
      <c r="BN4350">
        <v>1</v>
      </c>
      <c r="BO4350">
        <v>1</v>
      </c>
      <c r="BP4350">
        <v>0</v>
      </c>
      <c r="BS4350">
        <v>0</v>
      </c>
      <c r="BT4350">
        <v>0</v>
      </c>
      <c r="BU4350">
        <v>0</v>
      </c>
      <c r="CE4350" t="str">
        <f t="shared" si="1606"/>
        <v>19:37:15.368</v>
      </c>
      <c r="CF4350">
        <v>367669250</v>
      </c>
      <c r="CS4350">
        <v>0</v>
      </c>
      <c r="CT4350">
        <v>2</v>
      </c>
      <c r="CU4350">
        <v>0</v>
      </c>
      <c r="CV4350">
        <v>2</v>
      </c>
      <c r="CW4350">
        <v>0</v>
      </c>
      <c r="CX4350">
        <v>6</v>
      </c>
      <c r="CY4350">
        <v>7</v>
      </c>
      <c r="CZ4350" t="s">
        <v>131</v>
      </c>
      <c r="DA4350">
        <v>286</v>
      </c>
      <c r="DB4350">
        <v>0</v>
      </c>
      <c r="DC4350" t="s">
        <v>132</v>
      </c>
      <c r="DD4350" t="s">
        <v>133</v>
      </c>
      <c r="DG4350">
        <v>910520</v>
      </c>
      <c r="DI4350">
        <v>1</v>
      </c>
      <c r="DJ4350">
        <v>0</v>
      </c>
      <c r="DK4350">
        <v>1</v>
      </c>
      <c r="DL4350">
        <v>0</v>
      </c>
      <c r="DM4350">
        <v>0</v>
      </c>
      <c r="DN4350">
        <v>1</v>
      </c>
      <c r="DO4350">
        <v>0</v>
      </c>
      <c r="DP4350">
        <v>0</v>
      </c>
      <c r="DQ4350">
        <v>0</v>
      </c>
      <c r="DR4350">
        <v>0</v>
      </c>
      <c r="DS4350">
        <v>0</v>
      </c>
    </row>
    <row r="4351" spans="1:123" x14ac:dyDescent="0.3">
      <c r="A4351" t="str">
        <f>"10/04/2022 19:37:15.700"</f>
        <v>10/04/2022 19:37:15.700</v>
      </c>
      <c r="C4351" t="str">
        <f t="shared" si="1599"/>
        <v>FFDFD3C0</v>
      </c>
      <c r="D4351" t="s">
        <v>123</v>
      </c>
      <c r="E4351">
        <v>7</v>
      </c>
      <c r="F4351">
        <v>2007</v>
      </c>
      <c r="G4351" t="s">
        <v>124</v>
      </c>
      <c r="J4351" t="s">
        <v>125</v>
      </c>
      <c r="K4351">
        <v>0</v>
      </c>
      <c r="L4351">
        <v>3</v>
      </c>
      <c r="M4351">
        <v>0</v>
      </c>
      <c r="N4351">
        <v>2</v>
      </c>
      <c r="O4351">
        <v>0</v>
      </c>
      <c r="P4351">
        <v>1</v>
      </c>
      <c r="Q4351">
        <v>0</v>
      </c>
      <c r="S4351" t="str">
        <f t="shared" si="1605"/>
        <v>19:37:15.000</v>
      </c>
      <c r="T4351" t="str">
        <f t="shared" si="1605"/>
        <v>19:37:15.000</v>
      </c>
      <c r="U4351" t="str">
        <f t="shared" si="1583"/>
        <v>AC3944</v>
      </c>
      <c r="V4351">
        <v>0</v>
      </c>
      <c r="W4351">
        <v>0</v>
      </c>
      <c r="X4351">
        <v>2</v>
      </c>
      <c r="Y4351">
        <v>0</v>
      </c>
      <c r="AA4351">
        <v>1</v>
      </c>
      <c r="AB4351">
        <v>8</v>
      </c>
      <c r="AC4351">
        <v>3</v>
      </c>
      <c r="AD4351">
        <v>0</v>
      </c>
      <c r="AE4351">
        <v>9</v>
      </c>
      <c r="AF4351" t="s">
        <v>138</v>
      </c>
      <c r="AG4351">
        <v>0</v>
      </c>
      <c r="AH4351">
        <v>3</v>
      </c>
      <c r="AI4351">
        <v>1</v>
      </c>
      <c r="AJ4351">
        <v>0</v>
      </c>
      <c r="AK4351" t="s">
        <v>1378</v>
      </c>
      <c r="AL4351">
        <v>32.740223</v>
      </c>
      <c r="AM4351" t="s">
        <v>1379</v>
      </c>
      <c r="AN4351">
        <v>-116.697507</v>
      </c>
      <c r="AO4351">
        <v>25</v>
      </c>
      <c r="AP4351">
        <v>5000</v>
      </c>
      <c r="AQ4351" t="s">
        <v>129</v>
      </c>
      <c r="AR4351">
        <v>-133</v>
      </c>
      <c r="AS4351">
        <v>-85</v>
      </c>
      <c r="AT4351">
        <v>-256</v>
      </c>
      <c r="BB4351">
        <v>1200</v>
      </c>
      <c r="BC4351">
        <v>1</v>
      </c>
      <c r="BD4351" t="str">
        <f t="shared" si="1584"/>
        <v xml:space="preserve">N887QR  </v>
      </c>
      <c r="BE4351">
        <v>1</v>
      </c>
      <c r="BG4351">
        <v>0</v>
      </c>
      <c r="BH4351">
        <v>0</v>
      </c>
      <c r="BI4351">
        <v>0</v>
      </c>
      <c r="BJ4351">
        <v>4675</v>
      </c>
      <c r="BK4351">
        <v>-325</v>
      </c>
      <c r="BL4351" t="s">
        <v>163</v>
      </c>
      <c r="BM4351">
        <v>1</v>
      </c>
      <c r="BN4351">
        <v>1</v>
      </c>
      <c r="BO4351">
        <v>1</v>
      </c>
      <c r="BP4351">
        <v>0</v>
      </c>
      <c r="BS4351">
        <v>0</v>
      </c>
      <c r="BT4351">
        <v>0</v>
      </c>
      <c r="BU4351">
        <v>0</v>
      </c>
      <c r="CE4351" t="str">
        <f t="shared" si="1606"/>
        <v>19:37:15.368</v>
      </c>
      <c r="CF4351">
        <v>367669250</v>
      </c>
      <c r="CS4351">
        <v>0</v>
      </c>
      <c r="CT4351">
        <v>2</v>
      </c>
      <c r="CU4351">
        <v>0</v>
      </c>
      <c r="CV4351">
        <v>2</v>
      </c>
      <c r="CW4351">
        <v>0</v>
      </c>
      <c r="CX4351">
        <v>6</v>
      </c>
      <c r="CY4351">
        <v>7</v>
      </c>
      <c r="CZ4351" t="s">
        <v>131</v>
      </c>
      <c r="DA4351">
        <v>286</v>
      </c>
      <c r="DB4351">
        <v>0</v>
      </c>
      <c r="DC4351" t="s">
        <v>132</v>
      </c>
      <c r="DD4351" t="s">
        <v>133</v>
      </c>
      <c r="DG4351">
        <v>910520</v>
      </c>
      <c r="DI4351">
        <v>1</v>
      </c>
      <c r="DJ4351">
        <v>0</v>
      </c>
      <c r="DK4351">
        <v>1</v>
      </c>
      <c r="DL4351">
        <v>0</v>
      </c>
      <c r="DM4351">
        <v>0</v>
      </c>
      <c r="DN4351">
        <v>1</v>
      </c>
      <c r="DO4351">
        <v>0</v>
      </c>
      <c r="DP4351">
        <v>0</v>
      </c>
      <c r="DQ4351">
        <v>0</v>
      </c>
      <c r="DR4351">
        <v>0</v>
      </c>
      <c r="DS4351">
        <v>0</v>
      </c>
    </row>
    <row r="4352" spans="1:123" x14ac:dyDescent="0.3">
      <c r="A4352" t="str">
        <f>"10/04/2022 19:37:16.605"</f>
        <v>10/04/2022 19:37:16.605</v>
      </c>
      <c r="C4352" t="str">
        <f t="shared" si="1599"/>
        <v>FFDFD3C0</v>
      </c>
      <c r="D4352" t="s">
        <v>134</v>
      </c>
      <c r="E4352">
        <v>15</v>
      </c>
      <c r="J4352" t="s">
        <v>135</v>
      </c>
      <c r="K4352">
        <v>0</v>
      </c>
      <c r="L4352">
        <v>3</v>
      </c>
      <c r="M4352">
        <v>0</v>
      </c>
      <c r="N4352">
        <v>2</v>
      </c>
      <c r="O4352">
        <v>0</v>
      </c>
      <c r="P4352">
        <v>1</v>
      </c>
      <c r="Q4352">
        <v>0</v>
      </c>
      <c r="S4352" t="str">
        <f t="shared" ref="S4352:T4358" si="1607">"19:37:16.000"</f>
        <v>19:37:16.000</v>
      </c>
      <c r="T4352" t="str">
        <f t="shared" si="1607"/>
        <v>19:37:16.000</v>
      </c>
      <c r="U4352" t="str">
        <f t="shared" si="1583"/>
        <v>AC3944</v>
      </c>
      <c r="V4352">
        <v>0</v>
      </c>
      <c r="W4352">
        <v>0</v>
      </c>
      <c r="X4352">
        <v>2</v>
      </c>
      <c r="Y4352">
        <v>0</v>
      </c>
      <c r="AA4352">
        <v>1</v>
      </c>
      <c r="AB4352">
        <v>8</v>
      </c>
      <c r="AC4352">
        <v>3</v>
      </c>
      <c r="AD4352">
        <v>0</v>
      </c>
      <c r="AE4352">
        <v>9</v>
      </c>
      <c r="AF4352" t="s">
        <v>138</v>
      </c>
      <c r="AG4352">
        <v>0</v>
      </c>
      <c r="AH4352">
        <v>3</v>
      </c>
      <c r="AI4352">
        <v>1</v>
      </c>
      <c r="AJ4352">
        <v>0</v>
      </c>
      <c r="AK4352" t="s">
        <v>1380</v>
      </c>
      <c r="AL4352">
        <v>32.739815999999998</v>
      </c>
      <c r="AM4352" t="s">
        <v>1381</v>
      </c>
      <c r="AN4352">
        <v>-116.698258</v>
      </c>
      <c r="AO4352">
        <v>25</v>
      </c>
      <c r="AP4352">
        <v>5000</v>
      </c>
      <c r="AQ4352" t="s">
        <v>129</v>
      </c>
      <c r="AR4352">
        <v>-135</v>
      </c>
      <c r="AS4352">
        <v>-82</v>
      </c>
      <c r="AT4352">
        <v>-192</v>
      </c>
      <c r="BB4352">
        <v>1200</v>
      </c>
      <c r="BC4352">
        <v>1</v>
      </c>
      <c r="BD4352" t="str">
        <f t="shared" si="1584"/>
        <v xml:space="preserve">N887QR  </v>
      </c>
      <c r="BE4352">
        <v>1</v>
      </c>
      <c r="BG4352">
        <v>0</v>
      </c>
      <c r="BH4352">
        <v>0</v>
      </c>
      <c r="BI4352">
        <v>0</v>
      </c>
      <c r="BJ4352">
        <v>4675</v>
      </c>
      <c r="BK4352">
        <v>-325</v>
      </c>
      <c r="BL4352" t="s">
        <v>163</v>
      </c>
      <c r="BM4352">
        <v>1</v>
      </c>
      <c r="BN4352">
        <v>1</v>
      </c>
      <c r="BO4352">
        <v>1</v>
      </c>
      <c r="BP4352">
        <v>0</v>
      </c>
      <c r="BS4352">
        <v>0</v>
      </c>
      <c r="BT4352">
        <v>0</v>
      </c>
      <c r="BU4352">
        <v>0</v>
      </c>
      <c r="CE4352" t="str">
        <f t="shared" ref="CE4352:CE4358" si="1608">"19:37:16.406"</f>
        <v>19:37:16.406</v>
      </c>
      <c r="CF4352">
        <v>406422318</v>
      </c>
      <c r="CS4352">
        <v>0</v>
      </c>
      <c r="CT4352">
        <v>2</v>
      </c>
      <c r="CU4352">
        <v>0</v>
      </c>
      <c r="CV4352">
        <v>2</v>
      </c>
      <c r="CW4352">
        <v>0</v>
      </c>
      <c r="CX4352">
        <v>6</v>
      </c>
      <c r="CY4352">
        <v>7</v>
      </c>
      <c r="CZ4352" t="s">
        <v>131</v>
      </c>
      <c r="DA4352">
        <v>286</v>
      </c>
      <c r="DB4352">
        <v>0</v>
      </c>
      <c r="DC4352" t="s">
        <v>132</v>
      </c>
      <c r="DD4352" t="s">
        <v>133</v>
      </c>
      <c r="DG4352">
        <v>910785</v>
      </c>
      <c r="DI4352">
        <v>1</v>
      </c>
      <c r="DJ4352">
        <v>0</v>
      </c>
      <c r="DK4352">
        <v>0</v>
      </c>
      <c r="DL4352">
        <v>0</v>
      </c>
      <c r="DM4352">
        <v>0</v>
      </c>
      <c r="DN4352">
        <v>1</v>
      </c>
      <c r="DO4352">
        <v>0</v>
      </c>
      <c r="DP4352">
        <v>0</v>
      </c>
      <c r="DQ4352">
        <v>0</v>
      </c>
      <c r="DR4352">
        <v>0</v>
      </c>
      <c r="DS4352">
        <v>0</v>
      </c>
    </row>
    <row r="4353" spans="1:123" x14ac:dyDescent="0.3">
      <c r="A4353" t="str">
        <f>"10/04/2022 19:37:16.652"</f>
        <v>10/04/2022 19:37:16.652</v>
      </c>
      <c r="C4353" t="str">
        <f t="shared" si="1599"/>
        <v>FFDFD3C0</v>
      </c>
      <c r="D4353" t="s">
        <v>143</v>
      </c>
      <c r="E4353">
        <v>20</v>
      </c>
      <c r="F4353">
        <v>1020</v>
      </c>
      <c r="G4353" t="s">
        <v>144</v>
      </c>
      <c r="J4353" t="s">
        <v>145</v>
      </c>
      <c r="K4353">
        <v>0</v>
      </c>
      <c r="L4353">
        <v>3</v>
      </c>
      <c r="M4353">
        <v>0</v>
      </c>
      <c r="N4353">
        <v>2</v>
      </c>
      <c r="O4353">
        <v>0</v>
      </c>
      <c r="P4353">
        <v>1</v>
      </c>
      <c r="Q4353">
        <v>0</v>
      </c>
      <c r="S4353" t="str">
        <f t="shared" si="1607"/>
        <v>19:37:16.000</v>
      </c>
      <c r="T4353" t="str">
        <f t="shared" si="1607"/>
        <v>19:37:16.000</v>
      </c>
      <c r="U4353" t="str">
        <f t="shared" si="1583"/>
        <v>AC3944</v>
      </c>
      <c r="V4353">
        <v>0</v>
      </c>
      <c r="W4353">
        <v>0</v>
      </c>
      <c r="X4353">
        <v>2</v>
      </c>
      <c r="Y4353">
        <v>0</v>
      </c>
      <c r="AA4353">
        <v>1</v>
      </c>
      <c r="AB4353">
        <v>8</v>
      </c>
      <c r="AC4353">
        <v>3</v>
      </c>
      <c r="AD4353">
        <v>0</v>
      </c>
      <c r="AE4353">
        <v>9</v>
      </c>
      <c r="AF4353" t="s">
        <v>138</v>
      </c>
      <c r="AG4353">
        <v>0</v>
      </c>
      <c r="AH4353">
        <v>3</v>
      </c>
      <c r="AI4353">
        <v>1</v>
      </c>
      <c r="AJ4353">
        <v>0</v>
      </c>
      <c r="AK4353" t="s">
        <v>1380</v>
      </c>
      <c r="AL4353">
        <v>32.739815999999998</v>
      </c>
      <c r="AM4353" t="s">
        <v>1381</v>
      </c>
      <c r="AN4353">
        <v>-116.698258</v>
      </c>
      <c r="AO4353">
        <v>25</v>
      </c>
      <c r="AP4353">
        <v>5000</v>
      </c>
      <c r="AQ4353" t="s">
        <v>129</v>
      </c>
      <c r="AR4353">
        <v>-135</v>
      </c>
      <c r="AS4353">
        <v>-82</v>
      </c>
      <c r="AT4353">
        <v>-192</v>
      </c>
      <c r="BB4353">
        <v>1200</v>
      </c>
      <c r="BC4353">
        <v>1</v>
      </c>
      <c r="BD4353" t="str">
        <f t="shared" si="1584"/>
        <v xml:space="preserve">N887QR  </v>
      </c>
      <c r="BE4353">
        <v>1</v>
      </c>
      <c r="BG4353">
        <v>0</v>
      </c>
      <c r="BH4353">
        <v>0</v>
      </c>
      <c r="BI4353">
        <v>0</v>
      </c>
      <c r="BJ4353">
        <v>4675</v>
      </c>
      <c r="BK4353">
        <v>-325</v>
      </c>
      <c r="BL4353" t="s">
        <v>163</v>
      </c>
      <c r="BM4353">
        <v>1</v>
      </c>
      <c r="BN4353">
        <v>1</v>
      </c>
      <c r="BO4353">
        <v>1</v>
      </c>
      <c r="BP4353">
        <v>0</v>
      </c>
      <c r="BS4353">
        <v>0</v>
      </c>
      <c r="BT4353">
        <v>0</v>
      </c>
      <c r="BU4353">
        <v>0</v>
      </c>
      <c r="CE4353" t="str">
        <f t="shared" si="1608"/>
        <v>19:37:16.406</v>
      </c>
      <c r="CF4353">
        <v>406422318</v>
      </c>
      <c r="CS4353">
        <v>0</v>
      </c>
      <c r="CT4353">
        <v>2</v>
      </c>
      <c r="CU4353">
        <v>0</v>
      </c>
      <c r="CV4353">
        <v>2</v>
      </c>
      <c r="CW4353">
        <v>0</v>
      </c>
      <c r="CX4353">
        <v>6</v>
      </c>
      <c r="CY4353">
        <v>7</v>
      </c>
      <c r="CZ4353" t="s">
        <v>131</v>
      </c>
      <c r="DA4353">
        <v>286</v>
      </c>
      <c r="DB4353">
        <v>0</v>
      </c>
      <c r="DC4353" t="s">
        <v>132</v>
      </c>
      <c r="DD4353" t="s">
        <v>133</v>
      </c>
      <c r="DG4353">
        <v>910785</v>
      </c>
      <c r="DI4353">
        <v>1</v>
      </c>
      <c r="DJ4353">
        <v>0</v>
      </c>
      <c r="DK4353">
        <v>1</v>
      </c>
      <c r="DL4353">
        <v>0</v>
      </c>
      <c r="DM4353">
        <v>0</v>
      </c>
      <c r="DN4353">
        <v>1</v>
      </c>
      <c r="DO4353">
        <v>0</v>
      </c>
      <c r="DP4353">
        <v>0</v>
      </c>
      <c r="DQ4353">
        <v>0</v>
      </c>
      <c r="DR4353">
        <v>0</v>
      </c>
      <c r="DS4353">
        <v>0</v>
      </c>
    </row>
    <row r="4354" spans="1:123" x14ac:dyDescent="0.3">
      <c r="A4354" t="str">
        <f>"10/04/2022 19:37:16.652"</f>
        <v>10/04/2022 19:37:16.652</v>
      </c>
      <c r="C4354" t="str">
        <f t="shared" si="1599"/>
        <v>FFDFD3C0</v>
      </c>
      <c r="D4354" t="s">
        <v>147</v>
      </c>
      <c r="E4354">
        <v>3</v>
      </c>
      <c r="H4354">
        <v>166</v>
      </c>
      <c r="I4354" t="s">
        <v>144</v>
      </c>
      <c r="J4354" t="s">
        <v>148</v>
      </c>
      <c r="K4354">
        <v>0</v>
      </c>
      <c r="L4354">
        <v>3</v>
      </c>
      <c r="M4354">
        <v>0</v>
      </c>
      <c r="N4354">
        <v>2</v>
      </c>
      <c r="O4354">
        <v>0</v>
      </c>
      <c r="P4354">
        <v>1</v>
      </c>
      <c r="Q4354">
        <v>0</v>
      </c>
      <c r="S4354" t="str">
        <f t="shared" si="1607"/>
        <v>19:37:16.000</v>
      </c>
      <c r="T4354" t="str">
        <f t="shared" si="1607"/>
        <v>19:37:16.000</v>
      </c>
      <c r="U4354" t="str">
        <f t="shared" ref="U4354:U4417" si="1609">"AC3944"</f>
        <v>AC3944</v>
      </c>
      <c r="V4354">
        <v>0</v>
      </c>
      <c r="W4354">
        <v>0</v>
      </c>
      <c r="X4354">
        <v>2</v>
      </c>
      <c r="Y4354">
        <v>0</v>
      </c>
      <c r="AA4354">
        <v>1</v>
      </c>
      <c r="AB4354">
        <v>8</v>
      </c>
      <c r="AC4354">
        <v>3</v>
      </c>
      <c r="AD4354">
        <v>0</v>
      </c>
      <c r="AE4354">
        <v>9</v>
      </c>
      <c r="AF4354" t="s">
        <v>138</v>
      </c>
      <c r="AG4354">
        <v>0</v>
      </c>
      <c r="AH4354">
        <v>3</v>
      </c>
      <c r="AI4354">
        <v>1</v>
      </c>
      <c r="AJ4354">
        <v>0</v>
      </c>
      <c r="AK4354" t="s">
        <v>1380</v>
      </c>
      <c r="AL4354">
        <v>32.739815999999998</v>
      </c>
      <c r="AM4354" t="s">
        <v>1381</v>
      </c>
      <c r="AN4354">
        <v>-116.698258</v>
      </c>
      <c r="AO4354">
        <v>25</v>
      </c>
      <c r="AP4354">
        <v>5000</v>
      </c>
      <c r="AQ4354" t="s">
        <v>129</v>
      </c>
      <c r="AR4354">
        <v>-135</v>
      </c>
      <c r="AS4354">
        <v>-82</v>
      </c>
      <c r="AT4354">
        <v>-192</v>
      </c>
      <c r="BB4354">
        <v>1200</v>
      </c>
      <c r="BC4354">
        <v>1</v>
      </c>
      <c r="BD4354" t="str">
        <f t="shared" ref="BD4354:BD4417" si="1610">"N887QR  "</f>
        <v xml:space="preserve">N887QR  </v>
      </c>
      <c r="BE4354">
        <v>1</v>
      </c>
      <c r="BG4354">
        <v>0</v>
      </c>
      <c r="BH4354">
        <v>0</v>
      </c>
      <c r="BI4354">
        <v>0</v>
      </c>
      <c r="BJ4354">
        <v>4675</v>
      </c>
      <c r="BK4354">
        <v>-325</v>
      </c>
      <c r="BL4354" t="s">
        <v>163</v>
      </c>
      <c r="BM4354">
        <v>1</v>
      </c>
      <c r="BN4354">
        <v>1</v>
      </c>
      <c r="BO4354">
        <v>1</v>
      </c>
      <c r="BP4354">
        <v>0</v>
      </c>
      <c r="BS4354">
        <v>0</v>
      </c>
      <c r="BT4354">
        <v>0</v>
      </c>
      <c r="BU4354">
        <v>0</v>
      </c>
      <c r="CE4354" t="str">
        <f t="shared" si="1608"/>
        <v>19:37:16.406</v>
      </c>
      <c r="CF4354">
        <v>406422318</v>
      </c>
      <c r="CS4354">
        <v>0</v>
      </c>
      <c r="CT4354">
        <v>2</v>
      </c>
      <c r="CU4354">
        <v>0</v>
      </c>
      <c r="CV4354">
        <v>2</v>
      </c>
      <c r="CW4354">
        <v>0</v>
      </c>
      <c r="CX4354">
        <v>6</v>
      </c>
      <c r="CY4354">
        <v>7</v>
      </c>
      <c r="CZ4354" t="s">
        <v>131</v>
      </c>
      <c r="DA4354">
        <v>286</v>
      </c>
      <c r="DB4354">
        <v>0</v>
      </c>
      <c r="DC4354" t="s">
        <v>132</v>
      </c>
      <c r="DD4354" t="s">
        <v>133</v>
      </c>
      <c r="DG4354">
        <v>910785</v>
      </c>
      <c r="DI4354">
        <v>1</v>
      </c>
      <c r="DJ4354">
        <v>0</v>
      </c>
      <c r="DK4354">
        <v>1</v>
      </c>
      <c r="DL4354">
        <v>0</v>
      </c>
      <c r="DM4354">
        <v>0</v>
      </c>
      <c r="DN4354">
        <v>1</v>
      </c>
      <c r="DO4354">
        <v>0</v>
      </c>
      <c r="DP4354">
        <v>0</v>
      </c>
      <c r="DQ4354">
        <v>0</v>
      </c>
      <c r="DR4354">
        <v>0</v>
      </c>
      <c r="DS4354">
        <v>0</v>
      </c>
    </row>
    <row r="4355" spans="1:123" x14ac:dyDescent="0.3">
      <c r="A4355" t="str">
        <f>"10/04/2022 19:37:16.652"</f>
        <v>10/04/2022 19:37:16.652</v>
      </c>
      <c r="C4355" t="str">
        <f t="shared" si="1599"/>
        <v>FFDFD3C0</v>
      </c>
      <c r="D4355" t="s">
        <v>123</v>
      </c>
      <c r="E4355">
        <v>7</v>
      </c>
      <c r="F4355">
        <v>2007</v>
      </c>
      <c r="G4355" t="s">
        <v>124</v>
      </c>
      <c r="J4355" t="s">
        <v>125</v>
      </c>
      <c r="K4355">
        <v>0</v>
      </c>
      <c r="L4355">
        <v>3</v>
      </c>
      <c r="M4355">
        <v>0</v>
      </c>
      <c r="N4355">
        <v>2</v>
      </c>
      <c r="O4355">
        <v>0</v>
      </c>
      <c r="P4355">
        <v>1</v>
      </c>
      <c r="Q4355">
        <v>0</v>
      </c>
      <c r="S4355" t="str">
        <f t="shared" si="1607"/>
        <v>19:37:16.000</v>
      </c>
      <c r="T4355" t="str">
        <f t="shared" si="1607"/>
        <v>19:37:16.000</v>
      </c>
      <c r="U4355" t="str">
        <f t="shared" si="1609"/>
        <v>AC3944</v>
      </c>
      <c r="V4355">
        <v>0</v>
      </c>
      <c r="W4355">
        <v>0</v>
      </c>
      <c r="X4355">
        <v>2</v>
      </c>
      <c r="Y4355">
        <v>0</v>
      </c>
      <c r="AA4355">
        <v>1</v>
      </c>
      <c r="AB4355">
        <v>8</v>
      </c>
      <c r="AC4355">
        <v>3</v>
      </c>
      <c r="AD4355">
        <v>0</v>
      </c>
      <c r="AE4355">
        <v>9</v>
      </c>
      <c r="AF4355" t="s">
        <v>138</v>
      </c>
      <c r="AG4355">
        <v>0</v>
      </c>
      <c r="AH4355">
        <v>3</v>
      </c>
      <c r="AI4355">
        <v>1</v>
      </c>
      <c r="AJ4355">
        <v>0</v>
      </c>
      <c r="AK4355" t="s">
        <v>1380</v>
      </c>
      <c r="AL4355">
        <v>32.739815999999998</v>
      </c>
      <c r="AM4355" t="s">
        <v>1381</v>
      </c>
      <c r="AN4355">
        <v>-116.698258</v>
      </c>
      <c r="AO4355">
        <v>25</v>
      </c>
      <c r="AP4355">
        <v>5000</v>
      </c>
      <c r="AQ4355" t="s">
        <v>129</v>
      </c>
      <c r="AR4355">
        <v>-135</v>
      </c>
      <c r="AS4355">
        <v>-82</v>
      </c>
      <c r="AT4355">
        <v>-192</v>
      </c>
      <c r="BB4355">
        <v>1200</v>
      </c>
      <c r="BC4355">
        <v>1</v>
      </c>
      <c r="BD4355" t="str">
        <f t="shared" si="1610"/>
        <v xml:space="preserve">N887QR  </v>
      </c>
      <c r="BE4355">
        <v>1</v>
      </c>
      <c r="BG4355">
        <v>0</v>
      </c>
      <c r="BH4355">
        <v>0</v>
      </c>
      <c r="BI4355">
        <v>0</v>
      </c>
      <c r="BJ4355">
        <v>4675</v>
      </c>
      <c r="BK4355">
        <v>-325</v>
      </c>
      <c r="BL4355" t="s">
        <v>163</v>
      </c>
      <c r="BM4355">
        <v>1</v>
      </c>
      <c r="BN4355">
        <v>1</v>
      </c>
      <c r="BO4355">
        <v>1</v>
      </c>
      <c r="BP4355">
        <v>0</v>
      </c>
      <c r="BS4355">
        <v>0</v>
      </c>
      <c r="BT4355">
        <v>0</v>
      </c>
      <c r="BU4355">
        <v>0</v>
      </c>
      <c r="CE4355" t="str">
        <f t="shared" si="1608"/>
        <v>19:37:16.406</v>
      </c>
      <c r="CF4355">
        <v>406422318</v>
      </c>
      <c r="CS4355">
        <v>0</v>
      </c>
      <c r="CT4355">
        <v>2</v>
      </c>
      <c r="CU4355">
        <v>0</v>
      </c>
      <c r="CV4355">
        <v>2</v>
      </c>
      <c r="CW4355">
        <v>0</v>
      </c>
      <c r="CX4355">
        <v>6</v>
      </c>
      <c r="CY4355">
        <v>7</v>
      </c>
      <c r="CZ4355" t="s">
        <v>131</v>
      </c>
      <c r="DA4355">
        <v>286</v>
      </c>
      <c r="DB4355">
        <v>0</v>
      </c>
      <c r="DC4355" t="s">
        <v>132</v>
      </c>
      <c r="DD4355" t="s">
        <v>133</v>
      </c>
      <c r="DG4355">
        <v>910785</v>
      </c>
      <c r="DI4355">
        <v>1</v>
      </c>
      <c r="DJ4355">
        <v>0</v>
      </c>
      <c r="DK4355">
        <v>1</v>
      </c>
      <c r="DL4355">
        <v>0</v>
      </c>
      <c r="DM4355">
        <v>0</v>
      </c>
      <c r="DN4355">
        <v>1</v>
      </c>
      <c r="DO4355">
        <v>0</v>
      </c>
      <c r="DP4355">
        <v>0</v>
      </c>
      <c r="DQ4355">
        <v>0</v>
      </c>
      <c r="DR4355">
        <v>0</v>
      </c>
      <c r="DS4355">
        <v>0</v>
      </c>
    </row>
    <row r="4356" spans="1:123" x14ac:dyDescent="0.3">
      <c r="A4356" t="str">
        <f>"10/04/2022 19:37:16.699"</f>
        <v>10/04/2022 19:37:16.699</v>
      </c>
      <c r="C4356" t="str">
        <f t="shared" si="1599"/>
        <v>FFDFD3C0</v>
      </c>
      <c r="D4356" t="s">
        <v>141</v>
      </c>
      <c r="E4356">
        <v>4</v>
      </c>
      <c r="H4356">
        <v>4</v>
      </c>
      <c r="I4356" t="s">
        <v>142</v>
      </c>
      <c r="J4356" t="s">
        <v>138</v>
      </c>
      <c r="K4356">
        <v>0</v>
      </c>
      <c r="L4356">
        <v>3</v>
      </c>
      <c r="M4356">
        <v>0</v>
      </c>
      <c r="N4356">
        <v>2</v>
      </c>
      <c r="O4356">
        <v>0</v>
      </c>
      <c r="P4356">
        <v>1</v>
      </c>
      <c r="Q4356">
        <v>0</v>
      </c>
      <c r="S4356" t="str">
        <f t="shared" si="1607"/>
        <v>19:37:16.000</v>
      </c>
      <c r="T4356" t="str">
        <f t="shared" si="1607"/>
        <v>19:37:16.000</v>
      </c>
      <c r="U4356" t="str">
        <f t="shared" si="1609"/>
        <v>AC3944</v>
      </c>
      <c r="V4356">
        <v>0</v>
      </c>
      <c r="W4356">
        <v>0</v>
      </c>
      <c r="X4356">
        <v>2</v>
      </c>
      <c r="Y4356">
        <v>0</v>
      </c>
      <c r="AA4356">
        <v>1</v>
      </c>
      <c r="AB4356">
        <v>8</v>
      </c>
      <c r="AC4356">
        <v>3</v>
      </c>
      <c r="AD4356">
        <v>0</v>
      </c>
      <c r="AE4356">
        <v>9</v>
      </c>
      <c r="AF4356" t="s">
        <v>138</v>
      </c>
      <c r="AG4356">
        <v>0</v>
      </c>
      <c r="AH4356">
        <v>3</v>
      </c>
      <c r="AI4356">
        <v>1</v>
      </c>
      <c r="AJ4356">
        <v>0</v>
      </c>
      <c r="AK4356" t="s">
        <v>1380</v>
      </c>
      <c r="AL4356">
        <v>32.739815999999998</v>
      </c>
      <c r="AM4356" t="s">
        <v>1381</v>
      </c>
      <c r="AN4356">
        <v>-116.698258</v>
      </c>
      <c r="AO4356">
        <v>25</v>
      </c>
      <c r="AP4356">
        <v>5000</v>
      </c>
      <c r="AQ4356" t="s">
        <v>129</v>
      </c>
      <c r="AR4356">
        <v>-135</v>
      </c>
      <c r="AS4356">
        <v>-82</v>
      </c>
      <c r="AT4356">
        <v>-192</v>
      </c>
      <c r="BB4356">
        <v>1200</v>
      </c>
      <c r="BC4356">
        <v>1</v>
      </c>
      <c r="BD4356" t="str">
        <f t="shared" si="1610"/>
        <v xml:space="preserve">N887QR  </v>
      </c>
      <c r="BE4356">
        <v>1</v>
      </c>
      <c r="BG4356">
        <v>0</v>
      </c>
      <c r="BH4356">
        <v>0</v>
      </c>
      <c r="BI4356">
        <v>0</v>
      </c>
      <c r="BJ4356">
        <v>4675</v>
      </c>
      <c r="BK4356">
        <v>-325</v>
      </c>
      <c r="BL4356" t="s">
        <v>163</v>
      </c>
      <c r="BM4356">
        <v>1</v>
      </c>
      <c r="BN4356">
        <v>1</v>
      </c>
      <c r="BO4356">
        <v>1</v>
      </c>
      <c r="BP4356">
        <v>0</v>
      </c>
      <c r="BS4356">
        <v>0</v>
      </c>
      <c r="BT4356">
        <v>0</v>
      </c>
      <c r="BU4356">
        <v>0</v>
      </c>
      <c r="CE4356" t="str">
        <f t="shared" si="1608"/>
        <v>19:37:16.406</v>
      </c>
      <c r="CF4356">
        <v>406422318</v>
      </c>
      <c r="CS4356">
        <v>0</v>
      </c>
      <c r="CT4356">
        <v>2</v>
      </c>
      <c r="CU4356">
        <v>0</v>
      </c>
      <c r="CV4356">
        <v>2</v>
      </c>
      <c r="CW4356">
        <v>0</v>
      </c>
      <c r="CX4356">
        <v>6</v>
      </c>
      <c r="CY4356">
        <v>7</v>
      </c>
      <c r="CZ4356" t="s">
        <v>131</v>
      </c>
      <c r="DA4356">
        <v>286</v>
      </c>
      <c r="DB4356">
        <v>0</v>
      </c>
      <c r="DC4356" t="s">
        <v>132</v>
      </c>
      <c r="DD4356" t="s">
        <v>133</v>
      </c>
      <c r="DG4356">
        <v>910785</v>
      </c>
      <c r="DI4356">
        <v>1</v>
      </c>
      <c r="DJ4356">
        <v>0</v>
      </c>
      <c r="DK4356">
        <v>1</v>
      </c>
      <c r="DL4356">
        <v>0</v>
      </c>
      <c r="DM4356">
        <v>0</v>
      </c>
      <c r="DN4356">
        <v>1</v>
      </c>
      <c r="DO4356">
        <v>0</v>
      </c>
      <c r="DP4356">
        <v>0</v>
      </c>
      <c r="DQ4356">
        <v>0</v>
      </c>
      <c r="DR4356">
        <v>0</v>
      </c>
      <c r="DS4356">
        <v>0</v>
      </c>
    </row>
    <row r="4357" spans="1:123" x14ac:dyDescent="0.3">
      <c r="A4357" t="str">
        <f>"10/04/2022 19:37:16.699"</f>
        <v>10/04/2022 19:37:16.699</v>
      </c>
      <c r="C4357" t="str">
        <f t="shared" si="1599"/>
        <v>FFDFD3C0</v>
      </c>
      <c r="D4357" t="s">
        <v>141</v>
      </c>
      <c r="E4357">
        <v>3</v>
      </c>
      <c r="H4357">
        <v>3</v>
      </c>
      <c r="I4357" t="s">
        <v>146</v>
      </c>
      <c r="J4357" t="s">
        <v>138</v>
      </c>
      <c r="K4357">
        <v>0</v>
      </c>
      <c r="L4357">
        <v>3</v>
      </c>
      <c r="M4357">
        <v>0</v>
      </c>
      <c r="N4357">
        <v>2</v>
      </c>
      <c r="O4357">
        <v>0</v>
      </c>
      <c r="P4357">
        <v>1</v>
      </c>
      <c r="Q4357">
        <v>0</v>
      </c>
      <c r="S4357" t="str">
        <f t="shared" si="1607"/>
        <v>19:37:16.000</v>
      </c>
      <c r="T4357" t="str">
        <f t="shared" si="1607"/>
        <v>19:37:16.000</v>
      </c>
      <c r="U4357" t="str">
        <f t="shared" si="1609"/>
        <v>AC3944</v>
      </c>
      <c r="V4357">
        <v>0</v>
      </c>
      <c r="W4357">
        <v>0</v>
      </c>
      <c r="X4357">
        <v>2</v>
      </c>
      <c r="Y4357">
        <v>0</v>
      </c>
      <c r="AA4357">
        <v>1</v>
      </c>
      <c r="AB4357">
        <v>8</v>
      </c>
      <c r="AC4357">
        <v>3</v>
      </c>
      <c r="AD4357">
        <v>0</v>
      </c>
      <c r="AE4357">
        <v>9</v>
      </c>
      <c r="AF4357" t="s">
        <v>138</v>
      </c>
      <c r="AG4357">
        <v>0</v>
      </c>
      <c r="AH4357">
        <v>3</v>
      </c>
      <c r="AI4357">
        <v>1</v>
      </c>
      <c r="AJ4357">
        <v>0</v>
      </c>
      <c r="AK4357" t="s">
        <v>1380</v>
      </c>
      <c r="AL4357">
        <v>32.739815999999998</v>
      </c>
      <c r="AM4357" t="s">
        <v>1381</v>
      </c>
      <c r="AN4357">
        <v>-116.698258</v>
      </c>
      <c r="AO4357">
        <v>25</v>
      </c>
      <c r="AP4357">
        <v>5000</v>
      </c>
      <c r="AQ4357" t="s">
        <v>129</v>
      </c>
      <c r="AR4357">
        <v>-135</v>
      </c>
      <c r="AS4357">
        <v>-82</v>
      </c>
      <c r="AT4357">
        <v>-192</v>
      </c>
      <c r="BB4357">
        <v>1200</v>
      </c>
      <c r="BC4357">
        <v>1</v>
      </c>
      <c r="BD4357" t="str">
        <f t="shared" si="1610"/>
        <v xml:space="preserve">N887QR  </v>
      </c>
      <c r="BE4357">
        <v>1</v>
      </c>
      <c r="BG4357">
        <v>0</v>
      </c>
      <c r="BH4357">
        <v>0</v>
      </c>
      <c r="BI4357">
        <v>0</v>
      </c>
      <c r="BJ4357">
        <v>4675</v>
      </c>
      <c r="BK4357">
        <v>-325</v>
      </c>
      <c r="BL4357" t="s">
        <v>163</v>
      </c>
      <c r="BM4357">
        <v>1</v>
      </c>
      <c r="BN4357">
        <v>1</v>
      </c>
      <c r="BO4357">
        <v>1</v>
      </c>
      <c r="BP4357">
        <v>0</v>
      </c>
      <c r="BS4357">
        <v>0</v>
      </c>
      <c r="BT4357">
        <v>0</v>
      </c>
      <c r="BU4357">
        <v>0</v>
      </c>
      <c r="CE4357" t="str">
        <f t="shared" si="1608"/>
        <v>19:37:16.406</v>
      </c>
      <c r="CF4357">
        <v>406422318</v>
      </c>
      <c r="CS4357">
        <v>0</v>
      </c>
      <c r="CT4357">
        <v>2</v>
      </c>
      <c r="CU4357">
        <v>0</v>
      </c>
      <c r="CV4357">
        <v>2</v>
      </c>
      <c r="CW4357">
        <v>0</v>
      </c>
      <c r="CX4357">
        <v>6</v>
      </c>
      <c r="CY4357">
        <v>7</v>
      </c>
      <c r="CZ4357" t="s">
        <v>131</v>
      </c>
      <c r="DA4357">
        <v>286</v>
      </c>
      <c r="DB4357">
        <v>0</v>
      </c>
      <c r="DC4357" t="s">
        <v>132</v>
      </c>
      <c r="DD4357" t="s">
        <v>133</v>
      </c>
      <c r="DG4357">
        <v>910785</v>
      </c>
      <c r="DI4357">
        <v>1</v>
      </c>
      <c r="DJ4357">
        <v>0</v>
      </c>
      <c r="DK4357">
        <v>1</v>
      </c>
      <c r="DL4357">
        <v>0</v>
      </c>
      <c r="DM4357">
        <v>0</v>
      </c>
      <c r="DN4357">
        <v>1</v>
      </c>
      <c r="DO4357">
        <v>0</v>
      </c>
      <c r="DP4357">
        <v>0</v>
      </c>
      <c r="DQ4357">
        <v>0</v>
      </c>
      <c r="DR4357">
        <v>0</v>
      </c>
      <c r="DS4357">
        <v>0</v>
      </c>
    </row>
    <row r="4358" spans="1:123" x14ac:dyDescent="0.3">
      <c r="A4358" t="str">
        <f>"10/04/2022 19:37:16.699"</f>
        <v>10/04/2022 19:37:16.699</v>
      </c>
      <c r="C4358" t="str">
        <f t="shared" si="1599"/>
        <v>FFDFD3C0</v>
      </c>
      <c r="D4358" t="s">
        <v>136</v>
      </c>
      <c r="E4358">
        <v>8</v>
      </c>
      <c r="H4358">
        <v>225</v>
      </c>
      <c r="I4358" t="s">
        <v>137</v>
      </c>
      <c r="J4358" t="s">
        <v>138</v>
      </c>
      <c r="K4358">
        <v>0</v>
      </c>
      <c r="L4358">
        <v>3</v>
      </c>
      <c r="M4358">
        <v>0</v>
      </c>
      <c r="N4358">
        <v>2</v>
      </c>
      <c r="O4358">
        <v>0</v>
      </c>
      <c r="P4358">
        <v>1</v>
      </c>
      <c r="Q4358">
        <v>0</v>
      </c>
      <c r="S4358" t="str">
        <f t="shared" si="1607"/>
        <v>19:37:16.000</v>
      </c>
      <c r="T4358" t="str">
        <f t="shared" si="1607"/>
        <v>19:37:16.000</v>
      </c>
      <c r="U4358" t="str">
        <f t="shared" si="1609"/>
        <v>AC3944</v>
      </c>
      <c r="V4358">
        <v>0</v>
      </c>
      <c r="W4358">
        <v>0</v>
      </c>
      <c r="X4358">
        <v>2</v>
      </c>
      <c r="Y4358">
        <v>0</v>
      </c>
      <c r="AA4358">
        <v>1</v>
      </c>
      <c r="AB4358">
        <v>8</v>
      </c>
      <c r="AC4358">
        <v>3</v>
      </c>
      <c r="AD4358">
        <v>0</v>
      </c>
      <c r="AE4358">
        <v>9</v>
      </c>
      <c r="AF4358" t="s">
        <v>138</v>
      </c>
      <c r="AG4358">
        <v>0</v>
      </c>
      <c r="AH4358">
        <v>3</v>
      </c>
      <c r="AI4358">
        <v>1</v>
      </c>
      <c r="AJ4358">
        <v>0</v>
      </c>
      <c r="AK4358" t="s">
        <v>1380</v>
      </c>
      <c r="AL4358">
        <v>32.739815999999998</v>
      </c>
      <c r="AM4358" t="s">
        <v>1381</v>
      </c>
      <c r="AN4358">
        <v>-116.698258</v>
      </c>
      <c r="AO4358">
        <v>25</v>
      </c>
      <c r="AP4358">
        <v>5000</v>
      </c>
      <c r="AQ4358" t="s">
        <v>129</v>
      </c>
      <c r="AR4358">
        <v>-135</v>
      </c>
      <c r="AS4358">
        <v>-82</v>
      </c>
      <c r="AT4358">
        <v>-192</v>
      </c>
      <c r="BB4358">
        <v>1200</v>
      </c>
      <c r="BC4358">
        <v>1</v>
      </c>
      <c r="BD4358" t="str">
        <f t="shared" si="1610"/>
        <v xml:space="preserve">N887QR  </v>
      </c>
      <c r="BE4358">
        <v>1</v>
      </c>
      <c r="BG4358">
        <v>0</v>
      </c>
      <c r="BH4358">
        <v>0</v>
      </c>
      <c r="BI4358">
        <v>0</v>
      </c>
      <c r="BJ4358">
        <v>4675</v>
      </c>
      <c r="BK4358">
        <v>-325</v>
      </c>
      <c r="BL4358" t="s">
        <v>163</v>
      </c>
      <c r="BM4358">
        <v>1</v>
      </c>
      <c r="BN4358">
        <v>1</v>
      </c>
      <c r="BO4358">
        <v>1</v>
      </c>
      <c r="BP4358">
        <v>0</v>
      </c>
      <c r="BS4358">
        <v>0</v>
      </c>
      <c r="BT4358">
        <v>0</v>
      </c>
      <c r="BU4358">
        <v>0</v>
      </c>
      <c r="CE4358" t="str">
        <f t="shared" si="1608"/>
        <v>19:37:16.406</v>
      </c>
      <c r="CF4358">
        <v>406422318</v>
      </c>
      <c r="CS4358">
        <v>0</v>
      </c>
      <c r="CT4358">
        <v>2</v>
      </c>
      <c r="CU4358">
        <v>0</v>
      </c>
      <c r="CV4358">
        <v>2</v>
      </c>
      <c r="CW4358">
        <v>0</v>
      </c>
      <c r="CX4358">
        <v>6</v>
      </c>
      <c r="CY4358">
        <v>7</v>
      </c>
      <c r="CZ4358" t="s">
        <v>131</v>
      </c>
      <c r="DA4358">
        <v>286</v>
      </c>
      <c r="DB4358">
        <v>0</v>
      </c>
      <c r="DC4358" t="s">
        <v>132</v>
      </c>
      <c r="DD4358" t="s">
        <v>133</v>
      </c>
      <c r="DG4358">
        <v>910785</v>
      </c>
      <c r="DI4358">
        <v>1</v>
      </c>
      <c r="DJ4358">
        <v>0</v>
      </c>
      <c r="DK4358">
        <v>1</v>
      </c>
      <c r="DL4358">
        <v>0</v>
      </c>
      <c r="DM4358">
        <v>0</v>
      </c>
      <c r="DN4358">
        <v>1</v>
      </c>
      <c r="DO4358">
        <v>0</v>
      </c>
      <c r="DP4358">
        <v>0</v>
      </c>
      <c r="DQ4358">
        <v>0</v>
      </c>
      <c r="DR4358">
        <v>0</v>
      </c>
      <c r="DS4358">
        <v>0</v>
      </c>
    </row>
    <row r="4359" spans="1:123" x14ac:dyDescent="0.3">
      <c r="A4359" t="str">
        <f t="shared" ref="A4359:A4364" si="1611">"10/04/2022 19:37:17.777"</f>
        <v>10/04/2022 19:37:17.777</v>
      </c>
      <c r="C4359" t="str">
        <f t="shared" si="1599"/>
        <v>FFDFD3C0</v>
      </c>
      <c r="D4359" t="s">
        <v>147</v>
      </c>
      <c r="E4359">
        <v>3</v>
      </c>
      <c r="H4359">
        <v>166</v>
      </c>
      <c r="I4359" t="s">
        <v>144</v>
      </c>
      <c r="J4359" t="s">
        <v>148</v>
      </c>
      <c r="K4359">
        <v>0</v>
      </c>
      <c r="L4359">
        <v>3</v>
      </c>
      <c r="M4359">
        <v>0</v>
      </c>
      <c r="N4359">
        <v>2</v>
      </c>
      <c r="O4359">
        <v>0</v>
      </c>
      <c r="P4359">
        <v>1</v>
      </c>
      <c r="Q4359">
        <v>0</v>
      </c>
      <c r="S4359" t="str">
        <f t="shared" ref="S4359:T4365" si="1612">"19:37:17.000"</f>
        <v>19:37:17.000</v>
      </c>
      <c r="T4359" t="str">
        <f t="shared" si="1612"/>
        <v>19:37:17.000</v>
      </c>
      <c r="U4359" t="str">
        <f t="shared" si="1609"/>
        <v>AC3944</v>
      </c>
      <c r="V4359">
        <v>0</v>
      </c>
      <c r="W4359">
        <v>0</v>
      </c>
      <c r="X4359">
        <v>2</v>
      </c>
      <c r="Y4359">
        <v>0</v>
      </c>
      <c r="AA4359">
        <v>1</v>
      </c>
      <c r="AB4359">
        <v>8</v>
      </c>
      <c r="AC4359">
        <v>3</v>
      </c>
      <c r="AD4359">
        <v>0</v>
      </c>
      <c r="AE4359">
        <v>9</v>
      </c>
      <c r="AF4359" t="s">
        <v>138</v>
      </c>
      <c r="AG4359">
        <v>0</v>
      </c>
      <c r="AH4359">
        <v>3</v>
      </c>
      <c r="AI4359">
        <v>1</v>
      </c>
      <c r="AJ4359">
        <v>0</v>
      </c>
      <c r="AK4359" t="s">
        <v>1382</v>
      </c>
      <c r="AL4359">
        <v>32.739429000000001</v>
      </c>
      <c r="AM4359" t="s">
        <v>1383</v>
      </c>
      <c r="AN4359">
        <v>-116.698987</v>
      </c>
      <c r="AO4359">
        <v>25</v>
      </c>
      <c r="AP4359">
        <v>5000</v>
      </c>
      <c r="AQ4359" t="s">
        <v>129</v>
      </c>
      <c r="AR4359">
        <v>-136</v>
      </c>
      <c r="AS4359">
        <v>-80</v>
      </c>
      <c r="AT4359">
        <v>-192</v>
      </c>
      <c r="BB4359">
        <v>1200</v>
      </c>
      <c r="BC4359">
        <v>1</v>
      </c>
      <c r="BD4359" t="str">
        <f t="shared" si="1610"/>
        <v xml:space="preserve">N887QR  </v>
      </c>
      <c r="BE4359">
        <v>1</v>
      </c>
      <c r="BG4359">
        <v>0</v>
      </c>
      <c r="BH4359">
        <v>0</v>
      </c>
      <c r="BI4359">
        <v>0</v>
      </c>
      <c r="BJ4359">
        <v>4675</v>
      </c>
      <c r="BK4359">
        <v>-325</v>
      </c>
      <c r="BL4359" t="s">
        <v>163</v>
      </c>
      <c r="BM4359">
        <v>1</v>
      </c>
      <c r="BN4359">
        <v>1</v>
      </c>
      <c r="BO4359">
        <v>1</v>
      </c>
      <c r="BP4359">
        <v>0</v>
      </c>
      <c r="BS4359">
        <v>0</v>
      </c>
      <c r="BT4359">
        <v>0</v>
      </c>
      <c r="BU4359">
        <v>0</v>
      </c>
      <c r="CE4359" t="str">
        <f t="shared" ref="CE4359:CE4365" si="1613">"19:37:17.520"</f>
        <v>19:37:17.520</v>
      </c>
      <c r="CF4359">
        <v>520425614</v>
      </c>
      <c r="CS4359">
        <v>0</v>
      </c>
      <c r="CT4359">
        <v>2</v>
      </c>
      <c r="CU4359">
        <v>0</v>
      </c>
      <c r="CV4359">
        <v>2</v>
      </c>
      <c r="CW4359">
        <v>1</v>
      </c>
      <c r="CX4359">
        <v>6</v>
      </c>
      <c r="CY4359">
        <v>7</v>
      </c>
      <c r="CZ4359" t="s">
        <v>131</v>
      </c>
      <c r="DA4359">
        <v>286</v>
      </c>
      <c r="DB4359">
        <v>0</v>
      </c>
      <c r="DC4359" t="s">
        <v>132</v>
      </c>
      <c r="DD4359" t="s">
        <v>133</v>
      </c>
      <c r="DG4359">
        <v>911064</v>
      </c>
      <c r="DI4359">
        <v>1</v>
      </c>
      <c r="DJ4359">
        <v>0</v>
      </c>
      <c r="DK4359">
        <v>0</v>
      </c>
      <c r="DL4359">
        <v>0</v>
      </c>
      <c r="DM4359">
        <v>0</v>
      </c>
      <c r="DN4359">
        <v>1</v>
      </c>
      <c r="DO4359">
        <v>0</v>
      </c>
      <c r="DP4359">
        <v>0</v>
      </c>
      <c r="DQ4359">
        <v>0</v>
      </c>
      <c r="DR4359">
        <v>0</v>
      </c>
      <c r="DS4359">
        <v>0</v>
      </c>
    </row>
    <row r="4360" spans="1:123" x14ac:dyDescent="0.3">
      <c r="A4360" t="str">
        <f t="shared" si="1611"/>
        <v>10/04/2022 19:37:17.777</v>
      </c>
      <c r="C4360" t="str">
        <f t="shared" si="1599"/>
        <v>FFDFD3C0</v>
      </c>
      <c r="D4360" t="s">
        <v>123</v>
      </c>
      <c r="E4360">
        <v>7</v>
      </c>
      <c r="F4360">
        <v>2007</v>
      </c>
      <c r="G4360" t="s">
        <v>124</v>
      </c>
      <c r="J4360" t="s">
        <v>125</v>
      </c>
      <c r="K4360">
        <v>0</v>
      </c>
      <c r="L4360">
        <v>3</v>
      </c>
      <c r="M4360">
        <v>0</v>
      </c>
      <c r="N4360">
        <v>2</v>
      </c>
      <c r="O4360">
        <v>0</v>
      </c>
      <c r="P4360">
        <v>1</v>
      </c>
      <c r="Q4360">
        <v>0</v>
      </c>
      <c r="S4360" t="str">
        <f t="shared" si="1612"/>
        <v>19:37:17.000</v>
      </c>
      <c r="T4360" t="str">
        <f t="shared" si="1612"/>
        <v>19:37:17.000</v>
      </c>
      <c r="U4360" t="str">
        <f t="shared" si="1609"/>
        <v>AC3944</v>
      </c>
      <c r="V4360">
        <v>0</v>
      </c>
      <c r="W4360">
        <v>0</v>
      </c>
      <c r="X4360">
        <v>2</v>
      </c>
      <c r="Y4360">
        <v>0</v>
      </c>
      <c r="AA4360">
        <v>1</v>
      </c>
      <c r="AB4360">
        <v>8</v>
      </c>
      <c r="AC4360">
        <v>3</v>
      </c>
      <c r="AD4360">
        <v>0</v>
      </c>
      <c r="AE4360">
        <v>9</v>
      </c>
      <c r="AF4360" t="s">
        <v>138</v>
      </c>
      <c r="AG4360">
        <v>0</v>
      </c>
      <c r="AH4360">
        <v>3</v>
      </c>
      <c r="AI4360">
        <v>1</v>
      </c>
      <c r="AJ4360">
        <v>0</v>
      </c>
      <c r="AK4360" t="s">
        <v>1382</v>
      </c>
      <c r="AL4360">
        <v>32.739429000000001</v>
      </c>
      <c r="AM4360" t="s">
        <v>1383</v>
      </c>
      <c r="AN4360">
        <v>-116.698987</v>
      </c>
      <c r="AO4360">
        <v>25</v>
      </c>
      <c r="AP4360">
        <v>5000</v>
      </c>
      <c r="AQ4360" t="s">
        <v>129</v>
      </c>
      <c r="AR4360">
        <v>-136</v>
      </c>
      <c r="AS4360">
        <v>-80</v>
      </c>
      <c r="AT4360">
        <v>-192</v>
      </c>
      <c r="BB4360">
        <v>1200</v>
      </c>
      <c r="BC4360">
        <v>1</v>
      </c>
      <c r="BD4360" t="str">
        <f t="shared" si="1610"/>
        <v xml:space="preserve">N887QR  </v>
      </c>
      <c r="BE4360">
        <v>1</v>
      </c>
      <c r="BG4360">
        <v>0</v>
      </c>
      <c r="BH4360">
        <v>0</v>
      </c>
      <c r="BI4360">
        <v>0</v>
      </c>
      <c r="BJ4360">
        <v>4675</v>
      </c>
      <c r="BK4360">
        <v>-325</v>
      </c>
      <c r="BL4360" t="s">
        <v>163</v>
      </c>
      <c r="BM4360">
        <v>1</v>
      </c>
      <c r="BN4360">
        <v>1</v>
      </c>
      <c r="BO4360">
        <v>1</v>
      </c>
      <c r="BP4360">
        <v>0</v>
      </c>
      <c r="BS4360">
        <v>0</v>
      </c>
      <c r="BT4360">
        <v>0</v>
      </c>
      <c r="BU4360">
        <v>0</v>
      </c>
      <c r="CE4360" t="str">
        <f t="shared" si="1613"/>
        <v>19:37:17.520</v>
      </c>
      <c r="CF4360">
        <v>520425614</v>
      </c>
      <c r="CS4360">
        <v>0</v>
      </c>
      <c r="CT4360">
        <v>2</v>
      </c>
      <c r="CU4360">
        <v>0</v>
      </c>
      <c r="CV4360">
        <v>2</v>
      </c>
      <c r="CW4360">
        <v>1</v>
      </c>
      <c r="CX4360">
        <v>6</v>
      </c>
      <c r="CY4360">
        <v>7</v>
      </c>
      <c r="CZ4360" t="s">
        <v>131</v>
      </c>
      <c r="DA4360">
        <v>286</v>
      </c>
      <c r="DB4360">
        <v>0</v>
      </c>
      <c r="DC4360" t="s">
        <v>132</v>
      </c>
      <c r="DD4360" t="s">
        <v>133</v>
      </c>
      <c r="DG4360">
        <v>911064</v>
      </c>
      <c r="DI4360">
        <v>1</v>
      </c>
      <c r="DJ4360">
        <v>0</v>
      </c>
      <c r="DK4360">
        <v>1</v>
      </c>
      <c r="DL4360">
        <v>0</v>
      </c>
      <c r="DM4360">
        <v>0</v>
      </c>
      <c r="DN4360">
        <v>1</v>
      </c>
      <c r="DO4360">
        <v>0</v>
      </c>
      <c r="DP4360">
        <v>0</v>
      </c>
      <c r="DQ4360">
        <v>0</v>
      </c>
      <c r="DR4360">
        <v>0</v>
      </c>
      <c r="DS4360">
        <v>0</v>
      </c>
    </row>
    <row r="4361" spans="1:123" x14ac:dyDescent="0.3">
      <c r="A4361" t="str">
        <f t="shared" si="1611"/>
        <v>10/04/2022 19:37:17.777</v>
      </c>
      <c r="C4361" t="str">
        <f t="shared" si="1599"/>
        <v>FFDFD3C0</v>
      </c>
      <c r="D4361" t="s">
        <v>141</v>
      </c>
      <c r="E4361">
        <v>4</v>
      </c>
      <c r="H4361">
        <v>4</v>
      </c>
      <c r="I4361" t="s">
        <v>142</v>
      </c>
      <c r="J4361" t="s">
        <v>138</v>
      </c>
      <c r="K4361">
        <v>0</v>
      </c>
      <c r="L4361">
        <v>3</v>
      </c>
      <c r="M4361">
        <v>0</v>
      </c>
      <c r="N4361">
        <v>2</v>
      </c>
      <c r="O4361">
        <v>0</v>
      </c>
      <c r="P4361">
        <v>1</v>
      </c>
      <c r="Q4361">
        <v>0</v>
      </c>
      <c r="S4361" t="str">
        <f t="shared" si="1612"/>
        <v>19:37:17.000</v>
      </c>
      <c r="T4361" t="str">
        <f t="shared" si="1612"/>
        <v>19:37:17.000</v>
      </c>
      <c r="U4361" t="str">
        <f t="shared" si="1609"/>
        <v>AC3944</v>
      </c>
      <c r="V4361">
        <v>0</v>
      </c>
      <c r="W4361">
        <v>0</v>
      </c>
      <c r="X4361">
        <v>2</v>
      </c>
      <c r="Y4361">
        <v>0</v>
      </c>
      <c r="AA4361">
        <v>1</v>
      </c>
      <c r="AB4361">
        <v>8</v>
      </c>
      <c r="AC4361">
        <v>3</v>
      </c>
      <c r="AD4361">
        <v>0</v>
      </c>
      <c r="AE4361">
        <v>9</v>
      </c>
      <c r="AF4361" t="s">
        <v>138</v>
      </c>
      <c r="AG4361">
        <v>0</v>
      </c>
      <c r="AH4361">
        <v>3</v>
      </c>
      <c r="AI4361">
        <v>1</v>
      </c>
      <c r="AJ4361">
        <v>0</v>
      </c>
      <c r="AK4361" t="s">
        <v>1382</v>
      </c>
      <c r="AL4361">
        <v>32.739429000000001</v>
      </c>
      <c r="AM4361" t="s">
        <v>1383</v>
      </c>
      <c r="AN4361">
        <v>-116.698987</v>
      </c>
      <c r="AO4361">
        <v>25</v>
      </c>
      <c r="AP4361">
        <v>5000</v>
      </c>
      <c r="AQ4361" t="s">
        <v>129</v>
      </c>
      <c r="AR4361">
        <v>-136</v>
      </c>
      <c r="AS4361">
        <v>-80</v>
      </c>
      <c r="AT4361">
        <v>-192</v>
      </c>
      <c r="BB4361">
        <v>1200</v>
      </c>
      <c r="BC4361">
        <v>1</v>
      </c>
      <c r="BD4361" t="str">
        <f t="shared" si="1610"/>
        <v xml:space="preserve">N887QR  </v>
      </c>
      <c r="BE4361">
        <v>1</v>
      </c>
      <c r="BG4361">
        <v>0</v>
      </c>
      <c r="BH4361">
        <v>0</v>
      </c>
      <c r="BI4361">
        <v>0</v>
      </c>
      <c r="BJ4361">
        <v>4675</v>
      </c>
      <c r="BK4361">
        <v>-325</v>
      </c>
      <c r="BL4361" t="s">
        <v>163</v>
      </c>
      <c r="BM4361">
        <v>1</v>
      </c>
      <c r="BN4361">
        <v>1</v>
      </c>
      <c r="BO4361">
        <v>1</v>
      </c>
      <c r="BP4361">
        <v>0</v>
      </c>
      <c r="BS4361">
        <v>0</v>
      </c>
      <c r="BT4361">
        <v>0</v>
      </c>
      <c r="BU4361">
        <v>0</v>
      </c>
      <c r="CE4361" t="str">
        <f t="shared" si="1613"/>
        <v>19:37:17.520</v>
      </c>
      <c r="CF4361">
        <v>520425614</v>
      </c>
      <c r="CS4361">
        <v>0</v>
      </c>
      <c r="CT4361">
        <v>2</v>
      </c>
      <c r="CU4361">
        <v>0</v>
      </c>
      <c r="CV4361">
        <v>2</v>
      </c>
      <c r="CW4361">
        <v>1</v>
      </c>
      <c r="CX4361">
        <v>6</v>
      </c>
      <c r="CY4361">
        <v>7</v>
      </c>
      <c r="CZ4361" t="s">
        <v>131</v>
      </c>
      <c r="DA4361">
        <v>286</v>
      </c>
      <c r="DB4361">
        <v>0</v>
      </c>
      <c r="DC4361" t="s">
        <v>132</v>
      </c>
      <c r="DD4361" t="s">
        <v>133</v>
      </c>
      <c r="DG4361">
        <v>911064</v>
      </c>
      <c r="DI4361">
        <v>1</v>
      </c>
      <c r="DJ4361">
        <v>0</v>
      </c>
      <c r="DK4361">
        <v>1</v>
      </c>
      <c r="DL4361">
        <v>0</v>
      </c>
      <c r="DM4361">
        <v>0</v>
      </c>
      <c r="DN4361">
        <v>1</v>
      </c>
      <c r="DO4361">
        <v>0</v>
      </c>
      <c r="DP4361">
        <v>0</v>
      </c>
      <c r="DQ4361">
        <v>0</v>
      </c>
      <c r="DR4361">
        <v>0</v>
      </c>
      <c r="DS4361">
        <v>0</v>
      </c>
    </row>
    <row r="4362" spans="1:123" x14ac:dyDescent="0.3">
      <c r="A4362" t="str">
        <f t="shared" si="1611"/>
        <v>10/04/2022 19:37:17.777</v>
      </c>
      <c r="C4362" t="str">
        <f t="shared" si="1599"/>
        <v>FFDFD3C0</v>
      </c>
      <c r="D4362" t="s">
        <v>136</v>
      </c>
      <c r="E4362">
        <v>8</v>
      </c>
      <c r="H4362">
        <v>225</v>
      </c>
      <c r="I4362" t="s">
        <v>137</v>
      </c>
      <c r="J4362" t="s">
        <v>138</v>
      </c>
      <c r="K4362">
        <v>0</v>
      </c>
      <c r="L4362">
        <v>3</v>
      </c>
      <c r="M4362">
        <v>0</v>
      </c>
      <c r="N4362">
        <v>2</v>
      </c>
      <c r="O4362">
        <v>0</v>
      </c>
      <c r="P4362">
        <v>1</v>
      </c>
      <c r="Q4362">
        <v>0</v>
      </c>
      <c r="S4362" t="str">
        <f t="shared" si="1612"/>
        <v>19:37:17.000</v>
      </c>
      <c r="T4362" t="str">
        <f t="shared" si="1612"/>
        <v>19:37:17.000</v>
      </c>
      <c r="U4362" t="str">
        <f t="shared" si="1609"/>
        <v>AC3944</v>
      </c>
      <c r="V4362">
        <v>0</v>
      </c>
      <c r="W4362">
        <v>0</v>
      </c>
      <c r="X4362">
        <v>2</v>
      </c>
      <c r="Y4362">
        <v>0</v>
      </c>
      <c r="AA4362">
        <v>1</v>
      </c>
      <c r="AB4362">
        <v>8</v>
      </c>
      <c r="AC4362">
        <v>3</v>
      </c>
      <c r="AD4362">
        <v>0</v>
      </c>
      <c r="AE4362">
        <v>9</v>
      </c>
      <c r="AF4362" t="s">
        <v>138</v>
      </c>
      <c r="AG4362">
        <v>0</v>
      </c>
      <c r="AH4362">
        <v>3</v>
      </c>
      <c r="AI4362">
        <v>1</v>
      </c>
      <c r="AJ4362">
        <v>0</v>
      </c>
      <c r="AK4362" t="s">
        <v>1382</v>
      </c>
      <c r="AL4362">
        <v>32.739429000000001</v>
      </c>
      <c r="AM4362" t="s">
        <v>1383</v>
      </c>
      <c r="AN4362">
        <v>-116.698987</v>
      </c>
      <c r="AO4362">
        <v>25</v>
      </c>
      <c r="AP4362">
        <v>5000</v>
      </c>
      <c r="AQ4362" t="s">
        <v>129</v>
      </c>
      <c r="AR4362">
        <v>-136</v>
      </c>
      <c r="AS4362">
        <v>-80</v>
      </c>
      <c r="AT4362">
        <v>-192</v>
      </c>
      <c r="BB4362">
        <v>1200</v>
      </c>
      <c r="BC4362">
        <v>1</v>
      </c>
      <c r="BD4362" t="str">
        <f t="shared" si="1610"/>
        <v xml:space="preserve">N887QR  </v>
      </c>
      <c r="BE4362">
        <v>1</v>
      </c>
      <c r="BG4362">
        <v>0</v>
      </c>
      <c r="BH4362">
        <v>0</v>
      </c>
      <c r="BI4362">
        <v>0</v>
      </c>
      <c r="BJ4362">
        <v>4675</v>
      </c>
      <c r="BK4362">
        <v>-325</v>
      </c>
      <c r="BL4362" t="s">
        <v>163</v>
      </c>
      <c r="BM4362">
        <v>1</v>
      </c>
      <c r="BN4362">
        <v>1</v>
      </c>
      <c r="BO4362">
        <v>1</v>
      </c>
      <c r="BP4362">
        <v>0</v>
      </c>
      <c r="BS4362">
        <v>0</v>
      </c>
      <c r="BT4362">
        <v>0</v>
      </c>
      <c r="BU4362">
        <v>0</v>
      </c>
      <c r="CE4362" t="str">
        <f t="shared" si="1613"/>
        <v>19:37:17.520</v>
      </c>
      <c r="CF4362">
        <v>520425614</v>
      </c>
      <c r="CS4362">
        <v>0</v>
      </c>
      <c r="CT4362">
        <v>2</v>
      </c>
      <c r="CU4362">
        <v>0</v>
      </c>
      <c r="CV4362">
        <v>2</v>
      </c>
      <c r="CW4362">
        <v>1</v>
      </c>
      <c r="CX4362">
        <v>6</v>
      </c>
      <c r="CY4362">
        <v>7</v>
      </c>
      <c r="CZ4362" t="s">
        <v>131</v>
      </c>
      <c r="DA4362">
        <v>286</v>
      </c>
      <c r="DB4362">
        <v>0</v>
      </c>
      <c r="DC4362" t="s">
        <v>132</v>
      </c>
      <c r="DD4362" t="s">
        <v>133</v>
      </c>
      <c r="DG4362">
        <v>911064</v>
      </c>
      <c r="DI4362">
        <v>1</v>
      </c>
      <c r="DJ4362">
        <v>0</v>
      </c>
      <c r="DK4362">
        <v>1</v>
      </c>
      <c r="DL4362">
        <v>0</v>
      </c>
      <c r="DM4362">
        <v>0</v>
      </c>
      <c r="DN4362">
        <v>1</v>
      </c>
      <c r="DO4362">
        <v>0</v>
      </c>
      <c r="DP4362">
        <v>0</v>
      </c>
      <c r="DQ4362">
        <v>0</v>
      </c>
      <c r="DR4362">
        <v>0</v>
      </c>
      <c r="DS4362">
        <v>0</v>
      </c>
    </row>
    <row r="4363" spans="1:123" x14ac:dyDescent="0.3">
      <c r="A4363" t="str">
        <f t="shared" si="1611"/>
        <v>10/04/2022 19:37:17.777</v>
      </c>
      <c r="C4363" t="str">
        <f t="shared" si="1599"/>
        <v>FFDFD3C0</v>
      </c>
      <c r="D4363" t="s">
        <v>141</v>
      </c>
      <c r="E4363">
        <v>3</v>
      </c>
      <c r="H4363">
        <v>3</v>
      </c>
      <c r="I4363" t="s">
        <v>146</v>
      </c>
      <c r="J4363" t="s">
        <v>138</v>
      </c>
      <c r="K4363">
        <v>0</v>
      </c>
      <c r="L4363">
        <v>3</v>
      </c>
      <c r="M4363">
        <v>0</v>
      </c>
      <c r="N4363">
        <v>2</v>
      </c>
      <c r="O4363">
        <v>0</v>
      </c>
      <c r="P4363">
        <v>1</v>
      </c>
      <c r="Q4363">
        <v>0</v>
      </c>
      <c r="S4363" t="str">
        <f t="shared" si="1612"/>
        <v>19:37:17.000</v>
      </c>
      <c r="T4363" t="str">
        <f t="shared" si="1612"/>
        <v>19:37:17.000</v>
      </c>
      <c r="U4363" t="str">
        <f t="shared" si="1609"/>
        <v>AC3944</v>
      </c>
      <c r="V4363">
        <v>0</v>
      </c>
      <c r="W4363">
        <v>0</v>
      </c>
      <c r="X4363">
        <v>2</v>
      </c>
      <c r="Y4363">
        <v>0</v>
      </c>
      <c r="AA4363">
        <v>1</v>
      </c>
      <c r="AB4363">
        <v>8</v>
      </c>
      <c r="AC4363">
        <v>3</v>
      </c>
      <c r="AD4363">
        <v>0</v>
      </c>
      <c r="AE4363">
        <v>9</v>
      </c>
      <c r="AF4363" t="s">
        <v>138</v>
      </c>
      <c r="AG4363">
        <v>0</v>
      </c>
      <c r="AH4363">
        <v>3</v>
      </c>
      <c r="AI4363">
        <v>1</v>
      </c>
      <c r="AJ4363">
        <v>0</v>
      </c>
      <c r="AK4363" t="s">
        <v>1382</v>
      </c>
      <c r="AL4363">
        <v>32.739429000000001</v>
      </c>
      <c r="AM4363" t="s">
        <v>1383</v>
      </c>
      <c r="AN4363">
        <v>-116.698987</v>
      </c>
      <c r="AO4363">
        <v>25</v>
      </c>
      <c r="AP4363">
        <v>5000</v>
      </c>
      <c r="AQ4363" t="s">
        <v>129</v>
      </c>
      <c r="AR4363">
        <v>-136</v>
      </c>
      <c r="AS4363">
        <v>-80</v>
      </c>
      <c r="AT4363">
        <v>-192</v>
      </c>
      <c r="BB4363">
        <v>1200</v>
      </c>
      <c r="BC4363">
        <v>1</v>
      </c>
      <c r="BD4363" t="str">
        <f t="shared" si="1610"/>
        <v xml:space="preserve">N887QR  </v>
      </c>
      <c r="BE4363">
        <v>1</v>
      </c>
      <c r="BG4363">
        <v>0</v>
      </c>
      <c r="BH4363">
        <v>0</v>
      </c>
      <c r="BI4363">
        <v>0</v>
      </c>
      <c r="BJ4363">
        <v>4675</v>
      </c>
      <c r="BK4363">
        <v>-325</v>
      </c>
      <c r="BL4363" t="s">
        <v>163</v>
      </c>
      <c r="BM4363">
        <v>1</v>
      </c>
      <c r="BN4363">
        <v>1</v>
      </c>
      <c r="BO4363">
        <v>1</v>
      </c>
      <c r="BP4363">
        <v>0</v>
      </c>
      <c r="BS4363">
        <v>0</v>
      </c>
      <c r="BT4363">
        <v>0</v>
      </c>
      <c r="BU4363">
        <v>0</v>
      </c>
      <c r="CE4363" t="str">
        <f t="shared" si="1613"/>
        <v>19:37:17.520</v>
      </c>
      <c r="CF4363">
        <v>520425614</v>
      </c>
      <c r="CS4363">
        <v>0</v>
      </c>
      <c r="CT4363">
        <v>2</v>
      </c>
      <c r="CU4363">
        <v>0</v>
      </c>
      <c r="CV4363">
        <v>2</v>
      </c>
      <c r="CW4363">
        <v>1</v>
      </c>
      <c r="CX4363">
        <v>6</v>
      </c>
      <c r="CY4363">
        <v>7</v>
      </c>
      <c r="CZ4363" t="s">
        <v>131</v>
      </c>
      <c r="DA4363">
        <v>286</v>
      </c>
      <c r="DB4363">
        <v>0</v>
      </c>
      <c r="DC4363" t="s">
        <v>132</v>
      </c>
      <c r="DD4363" t="s">
        <v>133</v>
      </c>
      <c r="DG4363">
        <v>911064</v>
      </c>
      <c r="DI4363">
        <v>1</v>
      </c>
      <c r="DJ4363">
        <v>0</v>
      </c>
      <c r="DK4363">
        <v>1</v>
      </c>
      <c r="DL4363">
        <v>0</v>
      </c>
      <c r="DM4363">
        <v>0</v>
      </c>
      <c r="DN4363">
        <v>1</v>
      </c>
      <c r="DO4363">
        <v>0</v>
      </c>
      <c r="DP4363">
        <v>0</v>
      </c>
      <c r="DQ4363">
        <v>0</v>
      </c>
      <c r="DR4363">
        <v>0</v>
      </c>
      <c r="DS4363">
        <v>0</v>
      </c>
    </row>
    <row r="4364" spans="1:123" x14ac:dyDescent="0.3">
      <c r="A4364" t="str">
        <f t="shared" si="1611"/>
        <v>10/04/2022 19:37:17.777</v>
      </c>
      <c r="C4364" t="str">
        <f t="shared" si="1599"/>
        <v>FFDFD3C0</v>
      </c>
      <c r="D4364" t="s">
        <v>134</v>
      </c>
      <c r="E4364">
        <v>15</v>
      </c>
      <c r="J4364" t="s">
        <v>135</v>
      </c>
      <c r="K4364">
        <v>0</v>
      </c>
      <c r="L4364">
        <v>3</v>
      </c>
      <c r="M4364">
        <v>0</v>
      </c>
      <c r="N4364">
        <v>2</v>
      </c>
      <c r="O4364">
        <v>0</v>
      </c>
      <c r="P4364">
        <v>1</v>
      </c>
      <c r="Q4364">
        <v>0</v>
      </c>
      <c r="S4364" t="str">
        <f t="shared" si="1612"/>
        <v>19:37:17.000</v>
      </c>
      <c r="T4364" t="str">
        <f t="shared" si="1612"/>
        <v>19:37:17.000</v>
      </c>
      <c r="U4364" t="str">
        <f t="shared" si="1609"/>
        <v>AC3944</v>
      </c>
      <c r="V4364">
        <v>0</v>
      </c>
      <c r="W4364">
        <v>0</v>
      </c>
      <c r="X4364">
        <v>2</v>
      </c>
      <c r="Y4364">
        <v>0</v>
      </c>
      <c r="AA4364">
        <v>1</v>
      </c>
      <c r="AB4364">
        <v>8</v>
      </c>
      <c r="AC4364">
        <v>3</v>
      </c>
      <c r="AD4364">
        <v>0</v>
      </c>
      <c r="AE4364">
        <v>9</v>
      </c>
      <c r="AF4364" t="s">
        <v>138</v>
      </c>
      <c r="AG4364">
        <v>0</v>
      </c>
      <c r="AH4364">
        <v>3</v>
      </c>
      <c r="AI4364">
        <v>1</v>
      </c>
      <c r="AJ4364">
        <v>0</v>
      </c>
      <c r="AK4364" t="s">
        <v>1382</v>
      </c>
      <c r="AL4364">
        <v>32.739429000000001</v>
      </c>
      <c r="AM4364" t="s">
        <v>1383</v>
      </c>
      <c r="AN4364">
        <v>-116.698987</v>
      </c>
      <c r="AO4364">
        <v>25</v>
      </c>
      <c r="AP4364">
        <v>5000</v>
      </c>
      <c r="AQ4364" t="s">
        <v>129</v>
      </c>
      <c r="AR4364">
        <v>-136</v>
      </c>
      <c r="AS4364">
        <v>-80</v>
      </c>
      <c r="AT4364">
        <v>-192</v>
      </c>
      <c r="BB4364">
        <v>1200</v>
      </c>
      <c r="BC4364">
        <v>1</v>
      </c>
      <c r="BD4364" t="str">
        <f t="shared" si="1610"/>
        <v xml:space="preserve">N887QR  </v>
      </c>
      <c r="BE4364">
        <v>1</v>
      </c>
      <c r="BG4364">
        <v>0</v>
      </c>
      <c r="BH4364">
        <v>0</v>
      </c>
      <c r="BI4364">
        <v>0</v>
      </c>
      <c r="BJ4364">
        <v>4675</v>
      </c>
      <c r="BK4364">
        <v>-325</v>
      </c>
      <c r="BL4364" t="s">
        <v>163</v>
      </c>
      <c r="BM4364">
        <v>1</v>
      </c>
      <c r="BN4364">
        <v>1</v>
      </c>
      <c r="BO4364">
        <v>1</v>
      </c>
      <c r="BP4364">
        <v>0</v>
      </c>
      <c r="BS4364">
        <v>0</v>
      </c>
      <c r="BT4364">
        <v>0</v>
      </c>
      <c r="BU4364">
        <v>0</v>
      </c>
      <c r="CE4364" t="str">
        <f t="shared" si="1613"/>
        <v>19:37:17.520</v>
      </c>
      <c r="CF4364">
        <v>520425614</v>
      </c>
      <c r="CS4364">
        <v>0</v>
      </c>
      <c r="CT4364">
        <v>2</v>
      </c>
      <c r="CU4364">
        <v>0</v>
      </c>
      <c r="CV4364">
        <v>2</v>
      </c>
      <c r="CW4364">
        <v>1</v>
      </c>
      <c r="CX4364">
        <v>6</v>
      </c>
      <c r="CY4364">
        <v>7</v>
      </c>
      <c r="CZ4364" t="s">
        <v>131</v>
      </c>
      <c r="DA4364">
        <v>286</v>
      </c>
      <c r="DB4364">
        <v>0</v>
      </c>
      <c r="DC4364" t="s">
        <v>132</v>
      </c>
      <c r="DD4364" t="s">
        <v>133</v>
      </c>
      <c r="DG4364">
        <v>911064</v>
      </c>
      <c r="DI4364">
        <v>1</v>
      </c>
      <c r="DJ4364">
        <v>0</v>
      </c>
      <c r="DK4364">
        <v>1</v>
      </c>
      <c r="DL4364">
        <v>0</v>
      </c>
      <c r="DM4364">
        <v>0</v>
      </c>
      <c r="DN4364">
        <v>1</v>
      </c>
      <c r="DO4364">
        <v>0</v>
      </c>
      <c r="DP4364">
        <v>0</v>
      </c>
      <c r="DQ4364">
        <v>0</v>
      </c>
      <c r="DR4364">
        <v>0</v>
      </c>
      <c r="DS4364">
        <v>0</v>
      </c>
    </row>
    <row r="4365" spans="1:123" x14ac:dyDescent="0.3">
      <c r="A4365" t="str">
        <f>"10/04/2022 19:37:17.792"</f>
        <v>10/04/2022 19:37:17.792</v>
      </c>
      <c r="C4365" t="str">
        <f t="shared" si="1599"/>
        <v>FFDFD3C0</v>
      </c>
      <c r="D4365" t="s">
        <v>143</v>
      </c>
      <c r="E4365">
        <v>20</v>
      </c>
      <c r="F4365">
        <v>1020</v>
      </c>
      <c r="G4365" t="s">
        <v>144</v>
      </c>
      <c r="J4365" t="s">
        <v>145</v>
      </c>
      <c r="K4365">
        <v>0</v>
      </c>
      <c r="L4365">
        <v>3</v>
      </c>
      <c r="M4365">
        <v>0</v>
      </c>
      <c r="N4365">
        <v>2</v>
      </c>
      <c r="O4365">
        <v>0</v>
      </c>
      <c r="P4365">
        <v>1</v>
      </c>
      <c r="Q4365">
        <v>0</v>
      </c>
      <c r="S4365" t="str">
        <f t="shared" si="1612"/>
        <v>19:37:17.000</v>
      </c>
      <c r="T4365" t="str">
        <f t="shared" si="1612"/>
        <v>19:37:17.000</v>
      </c>
      <c r="U4365" t="str">
        <f t="shared" si="1609"/>
        <v>AC3944</v>
      </c>
      <c r="V4365">
        <v>0</v>
      </c>
      <c r="W4365">
        <v>0</v>
      </c>
      <c r="X4365">
        <v>2</v>
      </c>
      <c r="Y4365">
        <v>0</v>
      </c>
      <c r="AA4365">
        <v>1</v>
      </c>
      <c r="AB4365">
        <v>8</v>
      </c>
      <c r="AC4365">
        <v>3</v>
      </c>
      <c r="AD4365">
        <v>0</v>
      </c>
      <c r="AE4365">
        <v>9</v>
      </c>
      <c r="AF4365" t="s">
        <v>138</v>
      </c>
      <c r="AG4365">
        <v>0</v>
      </c>
      <c r="AH4365">
        <v>3</v>
      </c>
      <c r="AI4365">
        <v>1</v>
      </c>
      <c r="AJ4365">
        <v>0</v>
      </c>
      <c r="AK4365" t="s">
        <v>1382</v>
      </c>
      <c r="AL4365">
        <v>32.739429000000001</v>
      </c>
      <c r="AM4365" t="s">
        <v>1383</v>
      </c>
      <c r="AN4365">
        <v>-116.698987</v>
      </c>
      <c r="AO4365">
        <v>25</v>
      </c>
      <c r="AP4365">
        <v>5000</v>
      </c>
      <c r="AQ4365" t="s">
        <v>129</v>
      </c>
      <c r="AR4365">
        <v>-136</v>
      </c>
      <c r="AS4365">
        <v>-80</v>
      </c>
      <c r="AT4365">
        <v>-192</v>
      </c>
      <c r="BB4365">
        <v>1200</v>
      </c>
      <c r="BC4365">
        <v>1</v>
      </c>
      <c r="BD4365" t="str">
        <f t="shared" si="1610"/>
        <v xml:space="preserve">N887QR  </v>
      </c>
      <c r="BE4365">
        <v>1</v>
      </c>
      <c r="BG4365">
        <v>0</v>
      </c>
      <c r="BH4365">
        <v>0</v>
      </c>
      <c r="BI4365">
        <v>0</v>
      </c>
      <c r="BJ4365">
        <v>4675</v>
      </c>
      <c r="BK4365">
        <v>-325</v>
      </c>
      <c r="BL4365" t="s">
        <v>163</v>
      </c>
      <c r="BM4365">
        <v>1</v>
      </c>
      <c r="BN4365">
        <v>1</v>
      </c>
      <c r="BO4365">
        <v>1</v>
      </c>
      <c r="BP4365">
        <v>0</v>
      </c>
      <c r="BS4365">
        <v>0</v>
      </c>
      <c r="BT4365">
        <v>0</v>
      </c>
      <c r="BU4365">
        <v>0</v>
      </c>
      <c r="CE4365" t="str">
        <f t="shared" si="1613"/>
        <v>19:37:17.520</v>
      </c>
      <c r="CF4365">
        <v>520425614</v>
      </c>
      <c r="CS4365">
        <v>0</v>
      </c>
      <c r="CT4365">
        <v>2</v>
      </c>
      <c r="CU4365">
        <v>0</v>
      </c>
      <c r="CV4365">
        <v>2</v>
      </c>
      <c r="CW4365">
        <v>1</v>
      </c>
      <c r="CX4365">
        <v>6</v>
      </c>
      <c r="CY4365">
        <v>7</v>
      </c>
      <c r="CZ4365" t="s">
        <v>131</v>
      </c>
      <c r="DA4365">
        <v>286</v>
      </c>
      <c r="DB4365">
        <v>0</v>
      </c>
      <c r="DC4365" t="s">
        <v>132</v>
      </c>
      <c r="DD4365" t="s">
        <v>133</v>
      </c>
      <c r="DG4365">
        <v>911064</v>
      </c>
      <c r="DI4365">
        <v>1</v>
      </c>
      <c r="DJ4365">
        <v>0</v>
      </c>
      <c r="DK4365">
        <v>1</v>
      </c>
      <c r="DL4365">
        <v>0</v>
      </c>
      <c r="DM4365">
        <v>0</v>
      </c>
      <c r="DN4365">
        <v>1</v>
      </c>
      <c r="DO4365">
        <v>0</v>
      </c>
      <c r="DP4365">
        <v>0</v>
      </c>
      <c r="DQ4365">
        <v>0</v>
      </c>
      <c r="DR4365">
        <v>0</v>
      </c>
      <c r="DS4365">
        <v>0</v>
      </c>
    </row>
    <row r="4366" spans="1:123" x14ac:dyDescent="0.3">
      <c r="A4366" t="str">
        <f>"10/04/2022 19:37:18.699"</f>
        <v>10/04/2022 19:37:18.699</v>
      </c>
      <c r="C4366" t="str">
        <f t="shared" si="1599"/>
        <v>FFDFD3C0</v>
      </c>
      <c r="D4366" t="s">
        <v>141</v>
      </c>
      <c r="E4366">
        <v>4</v>
      </c>
      <c r="H4366">
        <v>4</v>
      </c>
      <c r="I4366" t="s">
        <v>142</v>
      </c>
      <c r="J4366" t="s">
        <v>138</v>
      </c>
      <c r="K4366">
        <v>0</v>
      </c>
      <c r="L4366">
        <v>3</v>
      </c>
      <c r="M4366">
        <v>0</v>
      </c>
      <c r="N4366">
        <v>2</v>
      </c>
      <c r="O4366">
        <v>0</v>
      </c>
      <c r="P4366">
        <v>1</v>
      </c>
      <c r="Q4366">
        <v>0</v>
      </c>
      <c r="S4366" t="str">
        <f t="shared" ref="S4366:T4372" si="1614">"19:37:18.000"</f>
        <v>19:37:18.000</v>
      </c>
      <c r="T4366" t="str">
        <f t="shared" si="1614"/>
        <v>19:37:18.000</v>
      </c>
      <c r="U4366" t="str">
        <f t="shared" si="1609"/>
        <v>AC3944</v>
      </c>
      <c r="V4366">
        <v>0</v>
      </c>
      <c r="W4366">
        <v>0</v>
      </c>
      <c r="X4366">
        <v>2</v>
      </c>
      <c r="Y4366">
        <v>0</v>
      </c>
      <c r="AA4366">
        <v>1</v>
      </c>
      <c r="AB4366">
        <v>8</v>
      </c>
      <c r="AC4366">
        <v>3</v>
      </c>
      <c r="AD4366">
        <v>0</v>
      </c>
      <c r="AE4366">
        <v>9</v>
      </c>
      <c r="AF4366" t="s">
        <v>138</v>
      </c>
      <c r="AG4366">
        <v>0</v>
      </c>
      <c r="AH4366">
        <v>3</v>
      </c>
      <c r="AI4366">
        <v>1</v>
      </c>
      <c r="AJ4366">
        <v>0</v>
      </c>
      <c r="AK4366" t="s">
        <v>1384</v>
      </c>
      <c r="AL4366">
        <v>32.739043000000002</v>
      </c>
      <c r="AM4366" t="s">
        <v>1385</v>
      </c>
      <c r="AN4366">
        <v>-116.69973899999999</v>
      </c>
      <c r="AO4366">
        <v>25</v>
      </c>
      <c r="AP4366">
        <v>5000</v>
      </c>
      <c r="AQ4366" t="s">
        <v>129</v>
      </c>
      <c r="AR4366">
        <v>-137</v>
      </c>
      <c r="AS4366">
        <v>-80</v>
      </c>
      <c r="AT4366">
        <v>0</v>
      </c>
      <c r="BB4366">
        <v>1200</v>
      </c>
      <c r="BC4366">
        <v>1</v>
      </c>
      <c r="BD4366" t="str">
        <f t="shared" si="1610"/>
        <v xml:space="preserve">N887QR  </v>
      </c>
      <c r="BE4366">
        <v>1</v>
      </c>
      <c r="BG4366">
        <v>0</v>
      </c>
      <c r="BH4366">
        <v>0</v>
      </c>
      <c r="BI4366">
        <v>0</v>
      </c>
      <c r="BJ4366">
        <v>4675</v>
      </c>
      <c r="BK4366">
        <v>-325</v>
      </c>
      <c r="BL4366" t="s">
        <v>163</v>
      </c>
      <c r="BM4366">
        <v>1</v>
      </c>
      <c r="BN4366">
        <v>1</v>
      </c>
      <c r="BO4366">
        <v>1</v>
      </c>
      <c r="BP4366">
        <v>0</v>
      </c>
      <c r="BS4366">
        <v>0</v>
      </c>
      <c r="BT4366">
        <v>0</v>
      </c>
      <c r="BU4366">
        <v>0</v>
      </c>
      <c r="CE4366" t="str">
        <f t="shared" ref="CE4366:CE4372" si="1615">"19:37:18.342"</f>
        <v>19:37:18.342</v>
      </c>
      <c r="CF4366">
        <v>341928064</v>
      </c>
      <c r="CS4366">
        <v>0</v>
      </c>
      <c r="CT4366">
        <v>2</v>
      </c>
      <c r="CU4366">
        <v>0</v>
      </c>
      <c r="CV4366">
        <v>2</v>
      </c>
      <c r="CW4366">
        <v>0</v>
      </c>
      <c r="CX4366">
        <v>6</v>
      </c>
      <c r="CY4366">
        <v>7</v>
      </c>
      <c r="CZ4366" t="s">
        <v>131</v>
      </c>
      <c r="DA4366">
        <v>286</v>
      </c>
      <c r="DB4366">
        <v>0</v>
      </c>
      <c r="DC4366" t="s">
        <v>132</v>
      </c>
      <c r="DD4366" t="s">
        <v>133</v>
      </c>
      <c r="DG4366">
        <v>911261</v>
      </c>
      <c r="DI4366">
        <v>1</v>
      </c>
      <c r="DJ4366">
        <v>0</v>
      </c>
      <c r="DK4366">
        <v>0</v>
      </c>
      <c r="DL4366">
        <v>0</v>
      </c>
      <c r="DM4366">
        <v>0</v>
      </c>
      <c r="DN4366">
        <v>1</v>
      </c>
      <c r="DO4366">
        <v>0</v>
      </c>
      <c r="DP4366">
        <v>0</v>
      </c>
      <c r="DQ4366">
        <v>0</v>
      </c>
      <c r="DR4366">
        <v>0</v>
      </c>
      <c r="DS4366">
        <v>0</v>
      </c>
    </row>
    <row r="4367" spans="1:123" x14ac:dyDescent="0.3">
      <c r="A4367" t="str">
        <f>"10/04/2022 19:37:18.699"</f>
        <v>10/04/2022 19:37:18.699</v>
      </c>
      <c r="C4367" t="str">
        <f t="shared" si="1599"/>
        <v>FFDFD3C0</v>
      </c>
      <c r="D4367" t="s">
        <v>136</v>
      </c>
      <c r="E4367">
        <v>8</v>
      </c>
      <c r="H4367">
        <v>225</v>
      </c>
      <c r="I4367" t="s">
        <v>137</v>
      </c>
      <c r="J4367" t="s">
        <v>138</v>
      </c>
      <c r="K4367">
        <v>0</v>
      </c>
      <c r="L4367">
        <v>3</v>
      </c>
      <c r="M4367">
        <v>0</v>
      </c>
      <c r="N4367">
        <v>2</v>
      </c>
      <c r="O4367">
        <v>0</v>
      </c>
      <c r="P4367">
        <v>1</v>
      </c>
      <c r="Q4367">
        <v>0</v>
      </c>
      <c r="S4367" t="str">
        <f t="shared" si="1614"/>
        <v>19:37:18.000</v>
      </c>
      <c r="T4367" t="str">
        <f t="shared" si="1614"/>
        <v>19:37:18.000</v>
      </c>
      <c r="U4367" t="str">
        <f t="shared" si="1609"/>
        <v>AC3944</v>
      </c>
      <c r="V4367">
        <v>0</v>
      </c>
      <c r="W4367">
        <v>0</v>
      </c>
      <c r="X4367">
        <v>2</v>
      </c>
      <c r="Y4367">
        <v>0</v>
      </c>
      <c r="AA4367">
        <v>1</v>
      </c>
      <c r="AB4367">
        <v>8</v>
      </c>
      <c r="AC4367">
        <v>3</v>
      </c>
      <c r="AD4367">
        <v>0</v>
      </c>
      <c r="AE4367">
        <v>9</v>
      </c>
      <c r="AF4367" t="s">
        <v>138</v>
      </c>
      <c r="AG4367">
        <v>0</v>
      </c>
      <c r="AH4367">
        <v>3</v>
      </c>
      <c r="AI4367">
        <v>1</v>
      </c>
      <c r="AJ4367">
        <v>0</v>
      </c>
      <c r="AK4367" t="s">
        <v>1384</v>
      </c>
      <c r="AL4367">
        <v>32.739043000000002</v>
      </c>
      <c r="AM4367" t="s">
        <v>1385</v>
      </c>
      <c r="AN4367">
        <v>-116.69973899999999</v>
      </c>
      <c r="AO4367">
        <v>25</v>
      </c>
      <c r="AP4367">
        <v>5000</v>
      </c>
      <c r="AQ4367" t="s">
        <v>129</v>
      </c>
      <c r="AR4367">
        <v>-137</v>
      </c>
      <c r="AS4367">
        <v>-80</v>
      </c>
      <c r="AT4367">
        <v>0</v>
      </c>
      <c r="BB4367">
        <v>1200</v>
      </c>
      <c r="BC4367">
        <v>1</v>
      </c>
      <c r="BD4367" t="str">
        <f t="shared" si="1610"/>
        <v xml:space="preserve">N887QR  </v>
      </c>
      <c r="BE4367">
        <v>1</v>
      </c>
      <c r="BG4367">
        <v>0</v>
      </c>
      <c r="BH4367">
        <v>0</v>
      </c>
      <c r="BI4367">
        <v>0</v>
      </c>
      <c r="BJ4367">
        <v>4675</v>
      </c>
      <c r="BK4367">
        <v>-325</v>
      </c>
      <c r="BL4367" t="s">
        <v>163</v>
      </c>
      <c r="BM4367">
        <v>1</v>
      </c>
      <c r="BN4367">
        <v>1</v>
      </c>
      <c r="BO4367">
        <v>1</v>
      </c>
      <c r="BP4367">
        <v>0</v>
      </c>
      <c r="BS4367">
        <v>0</v>
      </c>
      <c r="BT4367">
        <v>0</v>
      </c>
      <c r="BU4367">
        <v>0</v>
      </c>
      <c r="CE4367" t="str">
        <f t="shared" si="1615"/>
        <v>19:37:18.342</v>
      </c>
      <c r="CF4367">
        <v>341928064</v>
      </c>
      <c r="CS4367">
        <v>0</v>
      </c>
      <c r="CT4367">
        <v>2</v>
      </c>
      <c r="CU4367">
        <v>0</v>
      </c>
      <c r="CV4367">
        <v>2</v>
      </c>
      <c r="CW4367">
        <v>0</v>
      </c>
      <c r="CX4367">
        <v>6</v>
      </c>
      <c r="CY4367">
        <v>7</v>
      </c>
      <c r="CZ4367" t="s">
        <v>131</v>
      </c>
      <c r="DA4367">
        <v>286</v>
      </c>
      <c r="DB4367">
        <v>0</v>
      </c>
      <c r="DC4367" t="s">
        <v>132</v>
      </c>
      <c r="DD4367" t="s">
        <v>133</v>
      </c>
      <c r="DG4367">
        <v>911261</v>
      </c>
      <c r="DI4367">
        <v>1</v>
      </c>
      <c r="DJ4367">
        <v>0</v>
      </c>
      <c r="DK4367">
        <v>1</v>
      </c>
      <c r="DL4367">
        <v>0</v>
      </c>
      <c r="DM4367">
        <v>0</v>
      </c>
      <c r="DN4367">
        <v>1</v>
      </c>
      <c r="DO4367">
        <v>0</v>
      </c>
      <c r="DP4367">
        <v>0</v>
      </c>
      <c r="DQ4367">
        <v>0</v>
      </c>
      <c r="DR4367">
        <v>0</v>
      </c>
      <c r="DS4367">
        <v>0</v>
      </c>
    </row>
    <row r="4368" spans="1:123" x14ac:dyDescent="0.3">
      <c r="A4368" t="str">
        <f>"10/04/2022 19:37:18.699"</f>
        <v>10/04/2022 19:37:18.699</v>
      </c>
      <c r="C4368" t="str">
        <f t="shared" si="1599"/>
        <v>FFDFD3C0</v>
      </c>
      <c r="D4368" t="s">
        <v>141</v>
      </c>
      <c r="E4368">
        <v>3</v>
      </c>
      <c r="H4368">
        <v>3</v>
      </c>
      <c r="I4368" t="s">
        <v>146</v>
      </c>
      <c r="J4368" t="s">
        <v>138</v>
      </c>
      <c r="K4368">
        <v>0</v>
      </c>
      <c r="L4368">
        <v>3</v>
      </c>
      <c r="M4368">
        <v>0</v>
      </c>
      <c r="N4368">
        <v>2</v>
      </c>
      <c r="O4368">
        <v>0</v>
      </c>
      <c r="P4368">
        <v>1</v>
      </c>
      <c r="Q4368">
        <v>0</v>
      </c>
      <c r="S4368" t="str">
        <f t="shared" si="1614"/>
        <v>19:37:18.000</v>
      </c>
      <c r="T4368" t="str">
        <f t="shared" si="1614"/>
        <v>19:37:18.000</v>
      </c>
      <c r="U4368" t="str">
        <f t="shared" si="1609"/>
        <v>AC3944</v>
      </c>
      <c r="V4368">
        <v>0</v>
      </c>
      <c r="W4368">
        <v>0</v>
      </c>
      <c r="X4368">
        <v>2</v>
      </c>
      <c r="Y4368">
        <v>0</v>
      </c>
      <c r="AA4368">
        <v>1</v>
      </c>
      <c r="AB4368">
        <v>8</v>
      </c>
      <c r="AC4368">
        <v>3</v>
      </c>
      <c r="AD4368">
        <v>0</v>
      </c>
      <c r="AE4368">
        <v>9</v>
      </c>
      <c r="AF4368" t="s">
        <v>138</v>
      </c>
      <c r="AG4368">
        <v>0</v>
      </c>
      <c r="AH4368">
        <v>3</v>
      </c>
      <c r="AI4368">
        <v>1</v>
      </c>
      <c r="AJ4368">
        <v>0</v>
      </c>
      <c r="AK4368" t="s">
        <v>1384</v>
      </c>
      <c r="AL4368">
        <v>32.739043000000002</v>
      </c>
      <c r="AM4368" t="s">
        <v>1385</v>
      </c>
      <c r="AN4368">
        <v>-116.69973899999999</v>
      </c>
      <c r="AO4368">
        <v>25</v>
      </c>
      <c r="AP4368">
        <v>5000</v>
      </c>
      <c r="AQ4368" t="s">
        <v>129</v>
      </c>
      <c r="AR4368">
        <v>-137</v>
      </c>
      <c r="AS4368">
        <v>-80</v>
      </c>
      <c r="AT4368">
        <v>0</v>
      </c>
      <c r="BB4368">
        <v>1200</v>
      </c>
      <c r="BC4368">
        <v>1</v>
      </c>
      <c r="BD4368" t="str">
        <f t="shared" si="1610"/>
        <v xml:space="preserve">N887QR  </v>
      </c>
      <c r="BE4368">
        <v>1</v>
      </c>
      <c r="BG4368">
        <v>0</v>
      </c>
      <c r="BH4368">
        <v>0</v>
      </c>
      <c r="BI4368">
        <v>0</v>
      </c>
      <c r="BJ4368">
        <v>4675</v>
      </c>
      <c r="BK4368">
        <v>-325</v>
      </c>
      <c r="BL4368" t="s">
        <v>163</v>
      </c>
      <c r="BM4368">
        <v>1</v>
      </c>
      <c r="BN4368">
        <v>1</v>
      </c>
      <c r="BO4368">
        <v>1</v>
      </c>
      <c r="BP4368">
        <v>0</v>
      </c>
      <c r="BS4368">
        <v>0</v>
      </c>
      <c r="BT4368">
        <v>0</v>
      </c>
      <c r="BU4368">
        <v>0</v>
      </c>
      <c r="CE4368" t="str">
        <f t="shared" si="1615"/>
        <v>19:37:18.342</v>
      </c>
      <c r="CF4368">
        <v>341928064</v>
      </c>
      <c r="CS4368">
        <v>0</v>
      </c>
      <c r="CT4368">
        <v>2</v>
      </c>
      <c r="CU4368">
        <v>0</v>
      </c>
      <c r="CV4368">
        <v>2</v>
      </c>
      <c r="CW4368">
        <v>0</v>
      </c>
      <c r="CX4368">
        <v>6</v>
      </c>
      <c r="CY4368">
        <v>7</v>
      </c>
      <c r="CZ4368" t="s">
        <v>131</v>
      </c>
      <c r="DA4368">
        <v>286</v>
      </c>
      <c r="DB4368">
        <v>0</v>
      </c>
      <c r="DC4368" t="s">
        <v>132</v>
      </c>
      <c r="DD4368" t="s">
        <v>133</v>
      </c>
      <c r="DG4368">
        <v>911261</v>
      </c>
      <c r="DI4368">
        <v>1</v>
      </c>
      <c r="DJ4368">
        <v>0</v>
      </c>
      <c r="DK4368">
        <v>1</v>
      </c>
      <c r="DL4368">
        <v>0</v>
      </c>
      <c r="DM4368">
        <v>0</v>
      </c>
      <c r="DN4368">
        <v>1</v>
      </c>
      <c r="DO4368">
        <v>0</v>
      </c>
      <c r="DP4368">
        <v>0</v>
      </c>
      <c r="DQ4368">
        <v>0</v>
      </c>
      <c r="DR4368">
        <v>0</v>
      </c>
      <c r="DS4368">
        <v>0</v>
      </c>
    </row>
    <row r="4369" spans="1:123" x14ac:dyDescent="0.3">
      <c r="A4369" t="str">
        <f>"10/04/2022 19:37:18.793"</f>
        <v>10/04/2022 19:37:18.793</v>
      </c>
      <c r="C4369" t="str">
        <f t="shared" si="1599"/>
        <v>FFDFD3C0</v>
      </c>
      <c r="D4369" t="s">
        <v>134</v>
      </c>
      <c r="E4369">
        <v>15</v>
      </c>
      <c r="J4369" t="s">
        <v>135</v>
      </c>
      <c r="K4369">
        <v>0</v>
      </c>
      <c r="L4369">
        <v>3</v>
      </c>
      <c r="M4369">
        <v>0</v>
      </c>
      <c r="N4369">
        <v>2</v>
      </c>
      <c r="O4369">
        <v>0</v>
      </c>
      <c r="P4369">
        <v>1</v>
      </c>
      <c r="Q4369">
        <v>0</v>
      </c>
      <c r="S4369" t="str">
        <f t="shared" si="1614"/>
        <v>19:37:18.000</v>
      </c>
      <c r="T4369" t="str">
        <f t="shared" si="1614"/>
        <v>19:37:18.000</v>
      </c>
      <c r="U4369" t="str">
        <f t="shared" si="1609"/>
        <v>AC3944</v>
      </c>
      <c r="V4369">
        <v>0</v>
      </c>
      <c r="W4369">
        <v>0</v>
      </c>
      <c r="X4369">
        <v>2</v>
      </c>
      <c r="Y4369">
        <v>0</v>
      </c>
      <c r="AA4369">
        <v>1</v>
      </c>
      <c r="AB4369">
        <v>8</v>
      </c>
      <c r="AC4369">
        <v>3</v>
      </c>
      <c r="AD4369">
        <v>0</v>
      </c>
      <c r="AE4369">
        <v>9</v>
      </c>
      <c r="AF4369" t="s">
        <v>138</v>
      </c>
      <c r="AG4369">
        <v>0</v>
      </c>
      <c r="AH4369">
        <v>3</v>
      </c>
      <c r="AI4369">
        <v>1</v>
      </c>
      <c r="AJ4369">
        <v>0</v>
      </c>
      <c r="AK4369" t="s">
        <v>1384</v>
      </c>
      <c r="AL4369">
        <v>32.739043000000002</v>
      </c>
      <c r="AM4369" t="s">
        <v>1385</v>
      </c>
      <c r="AN4369">
        <v>-116.69973899999999</v>
      </c>
      <c r="AO4369">
        <v>25</v>
      </c>
      <c r="AP4369">
        <v>5000</v>
      </c>
      <c r="AQ4369" t="s">
        <v>129</v>
      </c>
      <c r="AR4369">
        <v>-137</v>
      </c>
      <c r="AS4369">
        <v>-80</v>
      </c>
      <c r="AT4369">
        <v>0</v>
      </c>
      <c r="BB4369">
        <v>1200</v>
      </c>
      <c r="BC4369">
        <v>1</v>
      </c>
      <c r="BD4369" t="str">
        <f t="shared" si="1610"/>
        <v xml:space="preserve">N887QR  </v>
      </c>
      <c r="BE4369">
        <v>1</v>
      </c>
      <c r="BG4369">
        <v>0</v>
      </c>
      <c r="BH4369">
        <v>0</v>
      </c>
      <c r="BI4369">
        <v>0</v>
      </c>
      <c r="BJ4369">
        <v>4675</v>
      </c>
      <c r="BK4369">
        <v>-325</v>
      </c>
      <c r="BL4369" t="s">
        <v>163</v>
      </c>
      <c r="BM4369">
        <v>1</v>
      </c>
      <c r="BN4369">
        <v>1</v>
      </c>
      <c r="BO4369">
        <v>1</v>
      </c>
      <c r="BP4369">
        <v>0</v>
      </c>
      <c r="BS4369">
        <v>0</v>
      </c>
      <c r="BT4369">
        <v>0</v>
      </c>
      <c r="BU4369">
        <v>0</v>
      </c>
      <c r="CE4369" t="str">
        <f t="shared" si="1615"/>
        <v>19:37:18.342</v>
      </c>
      <c r="CF4369">
        <v>341928064</v>
      </c>
      <c r="CS4369">
        <v>0</v>
      </c>
      <c r="CT4369">
        <v>2</v>
      </c>
      <c r="CU4369">
        <v>0</v>
      </c>
      <c r="CV4369">
        <v>2</v>
      </c>
      <c r="CW4369">
        <v>0</v>
      </c>
      <c r="CX4369">
        <v>6</v>
      </c>
      <c r="CY4369">
        <v>7</v>
      </c>
      <c r="CZ4369" t="s">
        <v>131</v>
      </c>
      <c r="DA4369">
        <v>286</v>
      </c>
      <c r="DB4369">
        <v>0</v>
      </c>
      <c r="DC4369" t="s">
        <v>132</v>
      </c>
      <c r="DD4369" t="s">
        <v>133</v>
      </c>
      <c r="DG4369">
        <v>911261</v>
      </c>
      <c r="DI4369">
        <v>1</v>
      </c>
      <c r="DJ4369">
        <v>0</v>
      </c>
      <c r="DK4369">
        <v>1</v>
      </c>
      <c r="DL4369">
        <v>0</v>
      </c>
      <c r="DM4369">
        <v>0</v>
      </c>
      <c r="DN4369">
        <v>1</v>
      </c>
      <c r="DO4369">
        <v>0</v>
      </c>
      <c r="DP4369">
        <v>0</v>
      </c>
      <c r="DQ4369">
        <v>0</v>
      </c>
      <c r="DR4369">
        <v>0</v>
      </c>
      <c r="DS4369">
        <v>0</v>
      </c>
    </row>
    <row r="4370" spans="1:123" x14ac:dyDescent="0.3">
      <c r="A4370" t="str">
        <f>"10/04/2022 19:37:18.793"</f>
        <v>10/04/2022 19:37:18.793</v>
      </c>
      <c r="C4370" t="str">
        <f t="shared" si="1599"/>
        <v>FFDFD3C0</v>
      </c>
      <c r="D4370" t="s">
        <v>143</v>
      </c>
      <c r="E4370">
        <v>20</v>
      </c>
      <c r="F4370">
        <v>1020</v>
      </c>
      <c r="G4370" t="s">
        <v>144</v>
      </c>
      <c r="J4370" t="s">
        <v>145</v>
      </c>
      <c r="K4370">
        <v>0</v>
      </c>
      <c r="L4370">
        <v>3</v>
      </c>
      <c r="M4370">
        <v>0</v>
      </c>
      <c r="N4370">
        <v>2</v>
      </c>
      <c r="O4370">
        <v>0</v>
      </c>
      <c r="P4370">
        <v>1</v>
      </c>
      <c r="Q4370">
        <v>0</v>
      </c>
      <c r="S4370" t="str">
        <f t="shared" si="1614"/>
        <v>19:37:18.000</v>
      </c>
      <c r="T4370" t="str">
        <f t="shared" si="1614"/>
        <v>19:37:18.000</v>
      </c>
      <c r="U4370" t="str">
        <f t="shared" si="1609"/>
        <v>AC3944</v>
      </c>
      <c r="V4370">
        <v>0</v>
      </c>
      <c r="W4370">
        <v>0</v>
      </c>
      <c r="X4370">
        <v>2</v>
      </c>
      <c r="Y4370">
        <v>0</v>
      </c>
      <c r="AA4370">
        <v>1</v>
      </c>
      <c r="AB4370">
        <v>8</v>
      </c>
      <c r="AC4370">
        <v>3</v>
      </c>
      <c r="AD4370">
        <v>0</v>
      </c>
      <c r="AE4370">
        <v>9</v>
      </c>
      <c r="AF4370" t="s">
        <v>138</v>
      </c>
      <c r="AG4370">
        <v>0</v>
      </c>
      <c r="AH4370">
        <v>3</v>
      </c>
      <c r="AI4370">
        <v>1</v>
      </c>
      <c r="AJ4370">
        <v>0</v>
      </c>
      <c r="AK4370" t="s">
        <v>1384</v>
      </c>
      <c r="AL4370">
        <v>32.739043000000002</v>
      </c>
      <c r="AM4370" t="s">
        <v>1385</v>
      </c>
      <c r="AN4370">
        <v>-116.69973899999999</v>
      </c>
      <c r="AO4370">
        <v>25</v>
      </c>
      <c r="AP4370">
        <v>5000</v>
      </c>
      <c r="AQ4370" t="s">
        <v>129</v>
      </c>
      <c r="AR4370">
        <v>-137</v>
      </c>
      <c r="AS4370">
        <v>-80</v>
      </c>
      <c r="AT4370">
        <v>0</v>
      </c>
      <c r="BB4370">
        <v>1200</v>
      </c>
      <c r="BC4370">
        <v>1</v>
      </c>
      <c r="BD4370" t="str">
        <f t="shared" si="1610"/>
        <v xml:space="preserve">N887QR  </v>
      </c>
      <c r="BE4370">
        <v>1</v>
      </c>
      <c r="BG4370">
        <v>0</v>
      </c>
      <c r="BH4370">
        <v>0</v>
      </c>
      <c r="BI4370">
        <v>0</v>
      </c>
      <c r="BJ4370">
        <v>4675</v>
      </c>
      <c r="BK4370">
        <v>-325</v>
      </c>
      <c r="BL4370" t="s">
        <v>163</v>
      </c>
      <c r="BM4370">
        <v>1</v>
      </c>
      <c r="BN4370">
        <v>1</v>
      </c>
      <c r="BO4370">
        <v>1</v>
      </c>
      <c r="BP4370">
        <v>0</v>
      </c>
      <c r="BS4370">
        <v>0</v>
      </c>
      <c r="BT4370">
        <v>0</v>
      </c>
      <c r="BU4370">
        <v>0</v>
      </c>
      <c r="CE4370" t="str">
        <f t="shared" si="1615"/>
        <v>19:37:18.342</v>
      </c>
      <c r="CF4370">
        <v>341928064</v>
      </c>
      <c r="CS4370">
        <v>0</v>
      </c>
      <c r="CT4370">
        <v>2</v>
      </c>
      <c r="CU4370">
        <v>0</v>
      </c>
      <c r="CV4370">
        <v>2</v>
      </c>
      <c r="CW4370">
        <v>0</v>
      </c>
      <c r="CX4370">
        <v>6</v>
      </c>
      <c r="CY4370">
        <v>7</v>
      </c>
      <c r="CZ4370" t="s">
        <v>131</v>
      </c>
      <c r="DA4370">
        <v>286</v>
      </c>
      <c r="DB4370">
        <v>0</v>
      </c>
      <c r="DC4370" t="s">
        <v>132</v>
      </c>
      <c r="DD4370" t="s">
        <v>133</v>
      </c>
      <c r="DG4370">
        <v>911261</v>
      </c>
      <c r="DI4370">
        <v>1</v>
      </c>
      <c r="DJ4370">
        <v>0</v>
      </c>
      <c r="DK4370">
        <v>1</v>
      </c>
      <c r="DL4370">
        <v>0</v>
      </c>
      <c r="DM4370">
        <v>0</v>
      </c>
      <c r="DN4370">
        <v>1</v>
      </c>
      <c r="DO4370">
        <v>0</v>
      </c>
      <c r="DP4370">
        <v>0</v>
      </c>
      <c r="DQ4370">
        <v>0</v>
      </c>
      <c r="DR4370">
        <v>0</v>
      </c>
      <c r="DS4370">
        <v>0</v>
      </c>
    </row>
    <row r="4371" spans="1:123" x14ac:dyDescent="0.3">
      <c r="A4371" t="str">
        <f>"10/04/2022 19:37:18.793"</f>
        <v>10/04/2022 19:37:18.793</v>
      </c>
      <c r="C4371" t="str">
        <f t="shared" si="1599"/>
        <v>FFDFD3C0</v>
      </c>
      <c r="D4371" t="s">
        <v>123</v>
      </c>
      <c r="E4371">
        <v>7</v>
      </c>
      <c r="F4371">
        <v>2007</v>
      </c>
      <c r="G4371" t="s">
        <v>124</v>
      </c>
      <c r="J4371" t="s">
        <v>125</v>
      </c>
      <c r="K4371">
        <v>0</v>
      </c>
      <c r="L4371">
        <v>3</v>
      </c>
      <c r="M4371">
        <v>0</v>
      </c>
      <c r="N4371">
        <v>2</v>
      </c>
      <c r="O4371">
        <v>0</v>
      </c>
      <c r="P4371">
        <v>1</v>
      </c>
      <c r="Q4371">
        <v>0</v>
      </c>
      <c r="S4371" t="str">
        <f t="shared" si="1614"/>
        <v>19:37:18.000</v>
      </c>
      <c r="T4371" t="str">
        <f t="shared" si="1614"/>
        <v>19:37:18.000</v>
      </c>
      <c r="U4371" t="str">
        <f t="shared" si="1609"/>
        <v>AC3944</v>
      </c>
      <c r="V4371">
        <v>0</v>
      </c>
      <c r="W4371">
        <v>0</v>
      </c>
      <c r="X4371">
        <v>2</v>
      </c>
      <c r="Y4371">
        <v>0</v>
      </c>
      <c r="AA4371">
        <v>1</v>
      </c>
      <c r="AB4371">
        <v>8</v>
      </c>
      <c r="AC4371">
        <v>3</v>
      </c>
      <c r="AD4371">
        <v>0</v>
      </c>
      <c r="AE4371">
        <v>9</v>
      </c>
      <c r="AF4371" t="s">
        <v>138</v>
      </c>
      <c r="AG4371">
        <v>0</v>
      </c>
      <c r="AH4371">
        <v>3</v>
      </c>
      <c r="AI4371">
        <v>1</v>
      </c>
      <c r="AJ4371">
        <v>0</v>
      </c>
      <c r="AK4371" t="s">
        <v>1384</v>
      </c>
      <c r="AL4371">
        <v>32.739043000000002</v>
      </c>
      <c r="AM4371" t="s">
        <v>1385</v>
      </c>
      <c r="AN4371">
        <v>-116.69973899999999</v>
      </c>
      <c r="AO4371">
        <v>25</v>
      </c>
      <c r="AP4371">
        <v>5000</v>
      </c>
      <c r="AQ4371" t="s">
        <v>129</v>
      </c>
      <c r="AR4371">
        <v>-137</v>
      </c>
      <c r="AS4371">
        <v>-80</v>
      </c>
      <c r="AT4371">
        <v>0</v>
      </c>
      <c r="BB4371">
        <v>1200</v>
      </c>
      <c r="BC4371">
        <v>1</v>
      </c>
      <c r="BD4371" t="str">
        <f t="shared" si="1610"/>
        <v xml:space="preserve">N887QR  </v>
      </c>
      <c r="BE4371">
        <v>1</v>
      </c>
      <c r="BG4371">
        <v>0</v>
      </c>
      <c r="BH4371">
        <v>0</v>
      </c>
      <c r="BI4371">
        <v>0</v>
      </c>
      <c r="BJ4371">
        <v>4675</v>
      </c>
      <c r="BK4371">
        <v>-325</v>
      </c>
      <c r="BL4371" t="s">
        <v>163</v>
      </c>
      <c r="BM4371">
        <v>1</v>
      </c>
      <c r="BN4371">
        <v>1</v>
      </c>
      <c r="BO4371">
        <v>1</v>
      </c>
      <c r="BP4371">
        <v>0</v>
      </c>
      <c r="BS4371">
        <v>0</v>
      </c>
      <c r="BT4371">
        <v>0</v>
      </c>
      <c r="BU4371">
        <v>0</v>
      </c>
      <c r="CE4371" t="str">
        <f t="shared" si="1615"/>
        <v>19:37:18.342</v>
      </c>
      <c r="CF4371">
        <v>341928064</v>
      </c>
      <c r="CS4371">
        <v>0</v>
      </c>
      <c r="CT4371">
        <v>2</v>
      </c>
      <c r="CU4371">
        <v>0</v>
      </c>
      <c r="CV4371">
        <v>2</v>
      </c>
      <c r="CW4371">
        <v>0</v>
      </c>
      <c r="CX4371">
        <v>6</v>
      </c>
      <c r="CY4371">
        <v>7</v>
      </c>
      <c r="CZ4371" t="s">
        <v>131</v>
      </c>
      <c r="DA4371">
        <v>286</v>
      </c>
      <c r="DB4371">
        <v>0</v>
      </c>
      <c r="DC4371" t="s">
        <v>132</v>
      </c>
      <c r="DD4371" t="s">
        <v>133</v>
      </c>
      <c r="DG4371">
        <v>911261</v>
      </c>
      <c r="DI4371">
        <v>1</v>
      </c>
      <c r="DJ4371">
        <v>0</v>
      </c>
      <c r="DK4371">
        <v>1</v>
      </c>
      <c r="DL4371">
        <v>0</v>
      </c>
      <c r="DM4371">
        <v>0</v>
      </c>
      <c r="DN4371">
        <v>1</v>
      </c>
      <c r="DO4371">
        <v>0</v>
      </c>
      <c r="DP4371">
        <v>0</v>
      </c>
      <c r="DQ4371">
        <v>0</v>
      </c>
      <c r="DR4371">
        <v>0</v>
      </c>
      <c r="DS4371">
        <v>0</v>
      </c>
    </row>
    <row r="4372" spans="1:123" x14ac:dyDescent="0.3">
      <c r="A4372" t="str">
        <f>"10/04/2022 19:37:18.793"</f>
        <v>10/04/2022 19:37:18.793</v>
      </c>
      <c r="C4372" t="str">
        <f t="shared" si="1599"/>
        <v>FFDFD3C0</v>
      </c>
      <c r="D4372" t="s">
        <v>147</v>
      </c>
      <c r="E4372">
        <v>3</v>
      </c>
      <c r="H4372">
        <v>166</v>
      </c>
      <c r="I4372" t="s">
        <v>144</v>
      </c>
      <c r="J4372" t="s">
        <v>148</v>
      </c>
      <c r="K4372">
        <v>0</v>
      </c>
      <c r="L4372">
        <v>3</v>
      </c>
      <c r="M4372">
        <v>0</v>
      </c>
      <c r="N4372">
        <v>2</v>
      </c>
      <c r="O4372">
        <v>0</v>
      </c>
      <c r="P4372">
        <v>1</v>
      </c>
      <c r="Q4372">
        <v>0</v>
      </c>
      <c r="S4372" t="str">
        <f t="shared" si="1614"/>
        <v>19:37:18.000</v>
      </c>
      <c r="T4372" t="str">
        <f t="shared" si="1614"/>
        <v>19:37:18.000</v>
      </c>
      <c r="U4372" t="str">
        <f t="shared" si="1609"/>
        <v>AC3944</v>
      </c>
      <c r="V4372">
        <v>0</v>
      </c>
      <c r="W4372">
        <v>0</v>
      </c>
      <c r="X4372">
        <v>2</v>
      </c>
      <c r="Y4372">
        <v>0</v>
      </c>
      <c r="AA4372">
        <v>1</v>
      </c>
      <c r="AB4372">
        <v>8</v>
      </c>
      <c r="AC4372">
        <v>3</v>
      </c>
      <c r="AD4372">
        <v>0</v>
      </c>
      <c r="AE4372">
        <v>9</v>
      </c>
      <c r="AF4372" t="s">
        <v>138</v>
      </c>
      <c r="AG4372">
        <v>0</v>
      </c>
      <c r="AH4372">
        <v>3</v>
      </c>
      <c r="AI4372">
        <v>1</v>
      </c>
      <c r="AJ4372">
        <v>0</v>
      </c>
      <c r="AK4372" t="s">
        <v>1384</v>
      </c>
      <c r="AL4372">
        <v>32.739043000000002</v>
      </c>
      <c r="AM4372" t="s">
        <v>1385</v>
      </c>
      <c r="AN4372">
        <v>-116.69973899999999</v>
      </c>
      <c r="AO4372">
        <v>25</v>
      </c>
      <c r="AP4372">
        <v>5000</v>
      </c>
      <c r="AQ4372" t="s">
        <v>129</v>
      </c>
      <c r="AR4372">
        <v>-137</v>
      </c>
      <c r="AS4372">
        <v>-80</v>
      </c>
      <c r="AT4372">
        <v>0</v>
      </c>
      <c r="BB4372">
        <v>1200</v>
      </c>
      <c r="BC4372">
        <v>1</v>
      </c>
      <c r="BD4372" t="str">
        <f t="shared" si="1610"/>
        <v xml:space="preserve">N887QR  </v>
      </c>
      <c r="BE4372">
        <v>1</v>
      </c>
      <c r="BG4372">
        <v>0</v>
      </c>
      <c r="BH4372">
        <v>0</v>
      </c>
      <c r="BI4372">
        <v>0</v>
      </c>
      <c r="BJ4372">
        <v>4675</v>
      </c>
      <c r="BK4372">
        <v>-325</v>
      </c>
      <c r="BL4372" t="s">
        <v>163</v>
      </c>
      <c r="BM4372">
        <v>1</v>
      </c>
      <c r="BN4372">
        <v>1</v>
      </c>
      <c r="BO4372">
        <v>1</v>
      </c>
      <c r="BP4372">
        <v>0</v>
      </c>
      <c r="BS4372">
        <v>0</v>
      </c>
      <c r="BT4372">
        <v>0</v>
      </c>
      <c r="BU4372">
        <v>0</v>
      </c>
      <c r="CE4372" t="str">
        <f t="shared" si="1615"/>
        <v>19:37:18.342</v>
      </c>
      <c r="CF4372">
        <v>341928064</v>
      </c>
      <c r="CS4372">
        <v>0</v>
      </c>
      <c r="CT4372">
        <v>2</v>
      </c>
      <c r="CU4372">
        <v>0</v>
      </c>
      <c r="CV4372">
        <v>2</v>
      </c>
      <c r="CW4372">
        <v>0</v>
      </c>
      <c r="CX4372">
        <v>6</v>
      </c>
      <c r="CY4372">
        <v>7</v>
      </c>
      <c r="CZ4372" t="s">
        <v>131</v>
      </c>
      <c r="DA4372">
        <v>286</v>
      </c>
      <c r="DB4372">
        <v>0</v>
      </c>
      <c r="DC4372" t="s">
        <v>132</v>
      </c>
      <c r="DD4372" t="s">
        <v>133</v>
      </c>
      <c r="DG4372">
        <v>911261</v>
      </c>
      <c r="DI4372">
        <v>1</v>
      </c>
      <c r="DJ4372">
        <v>0</v>
      </c>
      <c r="DK4372">
        <v>1</v>
      </c>
      <c r="DL4372">
        <v>0</v>
      </c>
      <c r="DM4372">
        <v>0</v>
      </c>
      <c r="DN4372">
        <v>1</v>
      </c>
      <c r="DO4372">
        <v>0</v>
      </c>
      <c r="DP4372">
        <v>0</v>
      </c>
      <c r="DQ4372">
        <v>0</v>
      </c>
      <c r="DR4372">
        <v>0</v>
      </c>
      <c r="DS4372">
        <v>0</v>
      </c>
    </row>
    <row r="4373" spans="1:123" x14ac:dyDescent="0.3">
      <c r="A4373" t="str">
        <f>"10/04/2022 19:37:19.278"</f>
        <v>10/04/2022 19:37:19.278</v>
      </c>
      <c r="C4373" t="str">
        <f t="shared" si="1599"/>
        <v>FFDFD3C0</v>
      </c>
      <c r="D4373" t="s">
        <v>143</v>
      </c>
      <c r="E4373">
        <v>20</v>
      </c>
      <c r="F4373">
        <v>1020</v>
      </c>
      <c r="G4373" t="s">
        <v>144</v>
      </c>
      <c r="J4373" t="s">
        <v>145</v>
      </c>
      <c r="K4373">
        <v>0</v>
      </c>
      <c r="L4373">
        <v>3</v>
      </c>
      <c r="M4373">
        <v>0</v>
      </c>
      <c r="N4373">
        <v>2</v>
      </c>
      <c r="O4373">
        <v>0</v>
      </c>
      <c r="P4373">
        <v>1</v>
      </c>
      <c r="Q4373">
        <v>0</v>
      </c>
      <c r="S4373" t="str">
        <f t="shared" ref="S4373:T4379" si="1616">"19:37:19.000"</f>
        <v>19:37:19.000</v>
      </c>
      <c r="T4373" t="str">
        <f t="shared" si="1616"/>
        <v>19:37:19.000</v>
      </c>
      <c r="U4373" t="str">
        <f t="shared" si="1609"/>
        <v>AC3944</v>
      </c>
      <c r="V4373">
        <v>0</v>
      </c>
      <c r="W4373">
        <v>0</v>
      </c>
      <c r="X4373">
        <v>2</v>
      </c>
      <c r="Y4373">
        <v>0</v>
      </c>
      <c r="AA4373">
        <v>1</v>
      </c>
      <c r="AB4373">
        <v>8</v>
      </c>
      <c r="AC4373">
        <v>3</v>
      </c>
      <c r="AD4373">
        <v>0</v>
      </c>
      <c r="AE4373">
        <v>9</v>
      </c>
      <c r="AF4373" t="s">
        <v>138</v>
      </c>
      <c r="AG4373">
        <v>0</v>
      </c>
      <c r="AH4373">
        <v>3</v>
      </c>
      <c r="AI4373">
        <v>1</v>
      </c>
      <c r="AJ4373">
        <v>0</v>
      </c>
      <c r="AK4373" t="s">
        <v>1386</v>
      </c>
      <c r="AL4373">
        <v>32.738678</v>
      </c>
      <c r="AM4373" t="s">
        <v>1387</v>
      </c>
      <c r="AN4373">
        <v>-116.70049</v>
      </c>
      <c r="AO4373">
        <v>25</v>
      </c>
      <c r="AP4373">
        <v>5000</v>
      </c>
      <c r="AQ4373" t="s">
        <v>129</v>
      </c>
      <c r="AR4373">
        <v>-137</v>
      </c>
      <c r="AS4373">
        <v>-79</v>
      </c>
      <c r="AT4373">
        <v>0</v>
      </c>
      <c r="BB4373">
        <v>1200</v>
      </c>
      <c r="BC4373">
        <v>1</v>
      </c>
      <c r="BD4373" t="str">
        <f t="shared" si="1610"/>
        <v xml:space="preserve">N887QR  </v>
      </c>
      <c r="BE4373">
        <v>1</v>
      </c>
      <c r="BG4373">
        <v>0</v>
      </c>
      <c r="BH4373">
        <v>0</v>
      </c>
      <c r="BI4373">
        <v>0</v>
      </c>
      <c r="BJ4373">
        <v>4675</v>
      </c>
      <c r="BK4373">
        <v>-325</v>
      </c>
      <c r="BL4373" t="s">
        <v>163</v>
      </c>
      <c r="BM4373">
        <v>1</v>
      </c>
      <c r="BN4373">
        <v>1</v>
      </c>
      <c r="BO4373">
        <v>1</v>
      </c>
      <c r="BP4373">
        <v>0</v>
      </c>
      <c r="BS4373">
        <v>0</v>
      </c>
      <c r="BT4373">
        <v>0</v>
      </c>
      <c r="BU4373">
        <v>0</v>
      </c>
      <c r="CE4373" t="str">
        <f t="shared" ref="CE4373:CE4379" si="1617">"19:37:19.047"</f>
        <v>19:37:19.047</v>
      </c>
      <c r="CF4373">
        <v>47180135</v>
      </c>
      <c r="CS4373">
        <v>0</v>
      </c>
      <c r="CT4373">
        <v>2</v>
      </c>
      <c r="CU4373">
        <v>0</v>
      </c>
      <c r="CV4373">
        <v>2</v>
      </c>
      <c r="CW4373">
        <v>0</v>
      </c>
      <c r="CX4373">
        <v>5</v>
      </c>
      <c r="CY4373">
        <v>7</v>
      </c>
      <c r="CZ4373" t="s">
        <v>131</v>
      </c>
      <c r="DA4373">
        <v>286</v>
      </c>
      <c r="DB4373">
        <v>0</v>
      </c>
      <c r="DC4373" t="s">
        <v>132</v>
      </c>
      <c r="DD4373" t="s">
        <v>133</v>
      </c>
      <c r="DG4373">
        <v>911452</v>
      </c>
      <c r="DI4373">
        <v>1</v>
      </c>
      <c r="DJ4373">
        <v>0</v>
      </c>
      <c r="DK4373">
        <v>0</v>
      </c>
      <c r="DL4373">
        <v>0</v>
      </c>
      <c r="DM4373">
        <v>0</v>
      </c>
      <c r="DN4373">
        <v>1</v>
      </c>
      <c r="DO4373">
        <v>0</v>
      </c>
      <c r="DP4373">
        <v>0</v>
      </c>
      <c r="DQ4373">
        <v>0</v>
      </c>
      <c r="DR4373">
        <v>0</v>
      </c>
      <c r="DS4373">
        <v>0</v>
      </c>
    </row>
    <row r="4374" spans="1:123" x14ac:dyDescent="0.3">
      <c r="A4374" t="str">
        <f t="shared" ref="A4374:A4379" si="1618">"10/04/2022 19:37:19.325"</f>
        <v>10/04/2022 19:37:19.325</v>
      </c>
      <c r="C4374" t="str">
        <f t="shared" si="1599"/>
        <v>FFDFD3C0</v>
      </c>
      <c r="D4374" t="s">
        <v>123</v>
      </c>
      <c r="E4374">
        <v>7</v>
      </c>
      <c r="F4374">
        <v>2007</v>
      </c>
      <c r="G4374" t="s">
        <v>124</v>
      </c>
      <c r="J4374" t="s">
        <v>125</v>
      </c>
      <c r="K4374">
        <v>0</v>
      </c>
      <c r="L4374">
        <v>3</v>
      </c>
      <c r="M4374">
        <v>0</v>
      </c>
      <c r="N4374">
        <v>2</v>
      </c>
      <c r="O4374">
        <v>0</v>
      </c>
      <c r="P4374">
        <v>1</v>
      </c>
      <c r="Q4374">
        <v>0</v>
      </c>
      <c r="S4374" t="str">
        <f t="shared" si="1616"/>
        <v>19:37:19.000</v>
      </c>
      <c r="T4374" t="str">
        <f t="shared" si="1616"/>
        <v>19:37:19.000</v>
      </c>
      <c r="U4374" t="str">
        <f t="shared" si="1609"/>
        <v>AC3944</v>
      </c>
      <c r="V4374">
        <v>0</v>
      </c>
      <c r="W4374">
        <v>0</v>
      </c>
      <c r="X4374">
        <v>2</v>
      </c>
      <c r="Y4374">
        <v>0</v>
      </c>
      <c r="AA4374">
        <v>1</v>
      </c>
      <c r="AB4374">
        <v>8</v>
      </c>
      <c r="AC4374">
        <v>3</v>
      </c>
      <c r="AD4374">
        <v>0</v>
      </c>
      <c r="AE4374">
        <v>9</v>
      </c>
      <c r="AF4374" t="s">
        <v>138</v>
      </c>
      <c r="AG4374">
        <v>0</v>
      </c>
      <c r="AH4374">
        <v>3</v>
      </c>
      <c r="AI4374">
        <v>1</v>
      </c>
      <c r="AJ4374">
        <v>0</v>
      </c>
      <c r="AK4374" t="s">
        <v>1386</v>
      </c>
      <c r="AL4374">
        <v>32.738678</v>
      </c>
      <c r="AM4374" t="s">
        <v>1387</v>
      </c>
      <c r="AN4374">
        <v>-116.70049</v>
      </c>
      <c r="AO4374">
        <v>25</v>
      </c>
      <c r="AP4374">
        <v>5000</v>
      </c>
      <c r="AQ4374" t="s">
        <v>129</v>
      </c>
      <c r="AR4374">
        <v>-137</v>
      </c>
      <c r="AS4374">
        <v>-79</v>
      </c>
      <c r="AT4374">
        <v>0</v>
      </c>
      <c r="BB4374">
        <v>1200</v>
      </c>
      <c r="BC4374">
        <v>1</v>
      </c>
      <c r="BD4374" t="str">
        <f t="shared" si="1610"/>
        <v xml:space="preserve">N887QR  </v>
      </c>
      <c r="BE4374">
        <v>1</v>
      </c>
      <c r="BG4374">
        <v>0</v>
      </c>
      <c r="BH4374">
        <v>0</v>
      </c>
      <c r="BI4374">
        <v>0</v>
      </c>
      <c r="BJ4374">
        <v>4675</v>
      </c>
      <c r="BK4374">
        <v>-325</v>
      </c>
      <c r="BL4374" t="s">
        <v>163</v>
      </c>
      <c r="BM4374">
        <v>1</v>
      </c>
      <c r="BN4374">
        <v>1</v>
      </c>
      <c r="BO4374">
        <v>1</v>
      </c>
      <c r="BP4374">
        <v>0</v>
      </c>
      <c r="BS4374">
        <v>0</v>
      </c>
      <c r="BT4374">
        <v>0</v>
      </c>
      <c r="BU4374">
        <v>0</v>
      </c>
      <c r="CE4374" t="str">
        <f t="shared" si="1617"/>
        <v>19:37:19.047</v>
      </c>
      <c r="CF4374">
        <v>47180135</v>
      </c>
      <c r="CS4374">
        <v>0</v>
      </c>
      <c r="CT4374">
        <v>2</v>
      </c>
      <c r="CU4374">
        <v>0</v>
      </c>
      <c r="CV4374">
        <v>2</v>
      </c>
      <c r="CW4374">
        <v>0</v>
      </c>
      <c r="CX4374">
        <v>5</v>
      </c>
      <c r="CY4374">
        <v>7</v>
      </c>
      <c r="CZ4374" t="s">
        <v>131</v>
      </c>
      <c r="DA4374">
        <v>286</v>
      </c>
      <c r="DB4374">
        <v>0</v>
      </c>
      <c r="DC4374" t="s">
        <v>132</v>
      </c>
      <c r="DD4374" t="s">
        <v>133</v>
      </c>
      <c r="DG4374">
        <v>911452</v>
      </c>
      <c r="DI4374">
        <v>1</v>
      </c>
      <c r="DJ4374">
        <v>0</v>
      </c>
      <c r="DK4374">
        <v>1</v>
      </c>
      <c r="DL4374">
        <v>0</v>
      </c>
      <c r="DM4374">
        <v>0</v>
      </c>
      <c r="DN4374">
        <v>1</v>
      </c>
      <c r="DO4374">
        <v>0</v>
      </c>
      <c r="DP4374">
        <v>0</v>
      </c>
      <c r="DQ4374">
        <v>0</v>
      </c>
      <c r="DR4374">
        <v>0</v>
      </c>
      <c r="DS4374">
        <v>0</v>
      </c>
    </row>
    <row r="4375" spans="1:123" x14ac:dyDescent="0.3">
      <c r="A4375" t="str">
        <f t="shared" si="1618"/>
        <v>10/04/2022 19:37:19.325</v>
      </c>
      <c r="C4375" t="str">
        <f t="shared" si="1599"/>
        <v>FFDFD3C0</v>
      </c>
      <c r="D4375" t="s">
        <v>147</v>
      </c>
      <c r="E4375">
        <v>3</v>
      </c>
      <c r="H4375">
        <v>166</v>
      </c>
      <c r="I4375" t="s">
        <v>144</v>
      </c>
      <c r="J4375" t="s">
        <v>148</v>
      </c>
      <c r="K4375">
        <v>0</v>
      </c>
      <c r="L4375">
        <v>3</v>
      </c>
      <c r="M4375">
        <v>0</v>
      </c>
      <c r="N4375">
        <v>2</v>
      </c>
      <c r="O4375">
        <v>0</v>
      </c>
      <c r="P4375">
        <v>1</v>
      </c>
      <c r="Q4375">
        <v>0</v>
      </c>
      <c r="S4375" t="str">
        <f t="shared" si="1616"/>
        <v>19:37:19.000</v>
      </c>
      <c r="T4375" t="str">
        <f t="shared" si="1616"/>
        <v>19:37:19.000</v>
      </c>
      <c r="U4375" t="str">
        <f t="shared" si="1609"/>
        <v>AC3944</v>
      </c>
      <c r="V4375">
        <v>0</v>
      </c>
      <c r="W4375">
        <v>0</v>
      </c>
      <c r="X4375">
        <v>2</v>
      </c>
      <c r="Y4375">
        <v>0</v>
      </c>
      <c r="AA4375">
        <v>1</v>
      </c>
      <c r="AB4375">
        <v>8</v>
      </c>
      <c r="AC4375">
        <v>3</v>
      </c>
      <c r="AD4375">
        <v>0</v>
      </c>
      <c r="AE4375">
        <v>9</v>
      </c>
      <c r="AF4375" t="s">
        <v>138</v>
      </c>
      <c r="AG4375">
        <v>0</v>
      </c>
      <c r="AH4375">
        <v>3</v>
      </c>
      <c r="AI4375">
        <v>1</v>
      </c>
      <c r="AJ4375">
        <v>0</v>
      </c>
      <c r="AK4375" t="s">
        <v>1386</v>
      </c>
      <c r="AL4375">
        <v>32.738678</v>
      </c>
      <c r="AM4375" t="s">
        <v>1387</v>
      </c>
      <c r="AN4375">
        <v>-116.70049</v>
      </c>
      <c r="AO4375">
        <v>25</v>
      </c>
      <c r="AP4375">
        <v>5000</v>
      </c>
      <c r="AQ4375" t="s">
        <v>129</v>
      </c>
      <c r="AR4375">
        <v>-137</v>
      </c>
      <c r="AS4375">
        <v>-79</v>
      </c>
      <c r="AT4375">
        <v>0</v>
      </c>
      <c r="BB4375">
        <v>1200</v>
      </c>
      <c r="BC4375">
        <v>1</v>
      </c>
      <c r="BD4375" t="str">
        <f t="shared" si="1610"/>
        <v xml:space="preserve">N887QR  </v>
      </c>
      <c r="BE4375">
        <v>1</v>
      </c>
      <c r="BG4375">
        <v>0</v>
      </c>
      <c r="BH4375">
        <v>0</v>
      </c>
      <c r="BI4375">
        <v>0</v>
      </c>
      <c r="BJ4375">
        <v>4675</v>
      </c>
      <c r="BK4375">
        <v>-325</v>
      </c>
      <c r="BL4375" t="s">
        <v>163</v>
      </c>
      <c r="BM4375">
        <v>1</v>
      </c>
      <c r="BN4375">
        <v>1</v>
      </c>
      <c r="BO4375">
        <v>1</v>
      </c>
      <c r="BP4375">
        <v>0</v>
      </c>
      <c r="BS4375">
        <v>0</v>
      </c>
      <c r="BT4375">
        <v>0</v>
      </c>
      <c r="BU4375">
        <v>0</v>
      </c>
      <c r="CE4375" t="str">
        <f t="shared" si="1617"/>
        <v>19:37:19.047</v>
      </c>
      <c r="CF4375">
        <v>47180135</v>
      </c>
      <c r="CS4375">
        <v>0</v>
      </c>
      <c r="CT4375">
        <v>2</v>
      </c>
      <c r="CU4375">
        <v>0</v>
      </c>
      <c r="CV4375">
        <v>2</v>
      </c>
      <c r="CW4375">
        <v>0</v>
      </c>
      <c r="CX4375">
        <v>5</v>
      </c>
      <c r="CY4375">
        <v>7</v>
      </c>
      <c r="CZ4375" t="s">
        <v>131</v>
      </c>
      <c r="DA4375">
        <v>286</v>
      </c>
      <c r="DB4375">
        <v>0</v>
      </c>
      <c r="DC4375" t="s">
        <v>132</v>
      </c>
      <c r="DD4375" t="s">
        <v>133</v>
      </c>
      <c r="DG4375">
        <v>911452</v>
      </c>
      <c r="DI4375">
        <v>1</v>
      </c>
      <c r="DJ4375">
        <v>0</v>
      </c>
      <c r="DK4375">
        <v>1</v>
      </c>
      <c r="DL4375">
        <v>0</v>
      </c>
      <c r="DM4375">
        <v>0</v>
      </c>
      <c r="DN4375">
        <v>1</v>
      </c>
      <c r="DO4375">
        <v>0</v>
      </c>
      <c r="DP4375">
        <v>0</v>
      </c>
      <c r="DQ4375">
        <v>0</v>
      </c>
      <c r="DR4375">
        <v>0</v>
      </c>
      <c r="DS4375">
        <v>0</v>
      </c>
    </row>
    <row r="4376" spans="1:123" x14ac:dyDescent="0.3">
      <c r="A4376" t="str">
        <f t="shared" si="1618"/>
        <v>10/04/2022 19:37:19.325</v>
      </c>
      <c r="C4376" t="str">
        <f t="shared" si="1599"/>
        <v>FFDFD3C0</v>
      </c>
      <c r="D4376" t="s">
        <v>141</v>
      </c>
      <c r="E4376">
        <v>4</v>
      </c>
      <c r="H4376">
        <v>4</v>
      </c>
      <c r="I4376" t="s">
        <v>142</v>
      </c>
      <c r="J4376" t="s">
        <v>138</v>
      </c>
      <c r="K4376">
        <v>0</v>
      </c>
      <c r="L4376">
        <v>3</v>
      </c>
      <c r="M4376">
        <v>0</v>
      </c>
      <c r="N4376">
        <v>2</v>
      </c>
      <c r="O4376">
        <v>0</v>
      </c>
      <c r="P4376">
        <v>1</v>
      </c>
      <c r="Q4376">
        <v>0</v>
      </c>
      <c r="S4376" t="str">
        <f t="shared" si="1616"/>
        <v>19:37:19.000</v>
      </c>
      <c r="T4376" t="str">
        <f t="shared" si="1616"/>
        <v>19:37:19.000</v>
      </c>
      <c r="U4376" t="str">
        <f t="shared" si="1609"/>
        <v>AC3944</v>
      </c>
      <c r="V4376">
        <v>0</v>
      </c>
      <c r="W4376">
        <v>0</v>
      </c>
      <c r="X4376">
        <v>2</v>
      </c>
      <c r="Y4376">
        <v>0</v>
      </c>
      <c r="AA4376">
        <v>1</v>
      </c>
      <c r="AB4376">
        <v>8</v>
      </c>
      <c r="AC4376">
        <v>3</v>
      </c>
      <c r="AD4376">
        <v>0</v>
      </c>
      <c r="AE4376">
        <v>9</v>
      </c>
      <c r="AF4376" t="s">
        <v>138</v>
      </c>
      <c r="AG4376">
        <v>0</v>
      </c>
      <c r="AH4376">
        <v>3</v>
      </c>
      <c r="AI4376">
        <v>1</v>
      </c>
      <c r="AJ4376">
        <v>0</v>
      </c>
      <c r="AK4376" t="s">
        <v>1386</v>
      </c>
      <c r="AL4376">
        <v>32.738678</v>
      </c>
      <c r="AM4376" t="s">
        <v>1387</v>
      </c>
      <c r="AN4376">
        <v>-116.70049</v>
      </c>
      <c r="AO4376">
        <v>25</v>
      </c>
      <c r="AP4376">
        <v>5000</v>
      </c>
      <c r="AQ4376" t="s">
        <v>129</v>
      </c>
      <c r="AR4376">
        <v>-137</v>
      </c>
      <c r="AS4376">
        <v>-79</v>
      </c>
      <c r="AT4376">
        <v>0</v>
      </c>
      <c r="BB4376">
        <v>1200</v>
      </c>
      <c r="BC4376">
        <v>1</v>
      </c>
      <c r="BD4376" t="str">
        <f t="shared" si="1610"/>
        <v xml:space="preserve">N887QR  </v>
      </c>
      <c r="BE4376">
        <v>1</v>
      </c>
      <c r="BG4376">
        <v>0</v>
      </c>
      <c r="BH4376">
        <v>0</v>
      </c>
      <c r="BI4376">
        <v>0</v>
      </c>
      <c r="BJ4376">
        <v>4675</v>
      </c>
      <c r="BK4376">
        <v>-325</v>
      </c>
      <c r="BL4376" t="s">
        <v>163</v>
      </c>
      <c r="BM4376">
        <v>1</v>
      </c>
      <c r="BN4376">
        <v>1</v>
      </c>
      <c r="BO4376">
        <v>1</v>
      </c>
      <c r="BP4376">
        <v>0</v>
      </c>
      <c r="BS4376">
        <v>0</v>
      </c>
      <c r="BT4376">
        <v>0</v>
      </c>
      <c r="BU4376">
        <v>0</v>
      </c>
      <c r="CE4376" t="str">
        <f t="shared" si="1617"/>
        <v>19:37:19.047</v>
      </c>
      <c r="CF4376">
        <v>47180135</v>
      </c>
      <c r="CS4376">
        <v>0</v>
      </c>
      <c r="CT4376">
        <v>2</v>
      </c>
      <c r="CU4376">
        <v>0</v>
      </c>
      <c r="CV4376">
        <v>2</v>
      </c>
      <c r="CW4376">
        <v>0</v>
      </c>
      <c r="CX4376">
        <v>5</v>
      </c>
      <c r="CY4376">
        <v>7</v>
      </c>
      <c r="CZ4376" t="s">
        <v>131</v>
      </c>
      <c r="DA4376">
        <v>286</v>
      </c>
      <c r="DB4376">
        <v>0</v>
      </c>
      <c r="DC4376" t="s">
        <v>132</v>
      </c>
      <c r="DD4376" t="s">
        <v>133</v>
      </c>
      <c r="DG4376">
        <v>911452</v>
      </c>
      <c r="DI4376">
        <v>1</v>
      </c>
      <c r="DJ4376">
        <v>0</v>
      </c>
      <c r="DK4376">
        <v>1</v>
      </c>
      <c r="DL4376">
        <v>0</v>
      </c>
      <c r="DM4376">
        <v>0</v>
      </c>
      <c r="DN4376">
        <v>1</v>
      </c>
      <c r="DO4376">
        <v>0</v>
      </c>
      <c r="DP4376">
        <v>0</v>
      </c>
      <c r="DQ4376">
        <v>0</v>
      </c>
      <c r="DR4376">
        <v>0</v>
      </c>
      <c r="DS4376">
        <v>0</v>
      </c>
    </row>
    <row r="4377" spans="1:123" x14ac:dyDescent="0.3">
      <c r="A4377" t="str">
        <f t="shared" si="1618"/>
        <v>10/04/2022 19:37:19.325</v>
      </c>
      <c r="C4377" t="str">
        <f t="shared" si="1599"/>
        <v>FFDFD3C0</v>
      </c>
      <c r="D4377" t="s">
        <v>136</v>
      </c>
      <c r="E4377">
        <v>8</v>
      </c>
      <c r="H4377">
        <v>225</v>
      </c>
      <c r="I4377" t="s">
        <v>137</v>
      </c>
      <c r="J4377" t="s">
        <v>138</v>
      </c>
      <c r="K4377">
        <v>0</v>
      </c>
      <c r="L4377">
        <v>3</v>
      </c>
      <c r="M4377">
        <v>0</v>
      </c>
      <c r="N4377">
        <v>2</v>
      </c>
      <c r="O4377">
        <v>0</v>
      </c>
      <c r="P4377">
        <v>1</v>
      </c>
      <c r="Q4377">
        <v>0</v>
      </c>
      <c r="S4377" t="str">
        <f t="shared" si="1616"/>
        <v>19:37:19.000</v>
      </c>
      <c r="T4377" t="str">
        <f t="shared" si="1616"/>
        <v>19:37:19.000</v>
      </c>
      <c r="U4377" t="str">
        <f t="shared" si="1609"/>
        <v>AC3944</v>
      </c>
      <c r="V4377">
        <v>0</v>
      </c>
      <c r="W4377">
        <v>0</v>
      </c>
      <c r="X4377">
        <v>2</v>
      </c>
      <c r="Y4377">
        <v>0</v>
      </c>
      <c r="AA4377">
        <v>1</v>
      </c>
      <c r="AB4377">
        <v>8</v>
      </c>
      <c r="AC4377">
        <v>3</v>
      </c>
      <c r="AD4377">
        <v>0</v>
      </c>
      <c r="AE4377">
        <v>9</v>
      </c>
      <c r="AF4377" t="s">
        <v>138</v>
      </c>
      <c r="AG4377">
        <v>0</v>
      </c>
      <c r="AH4377">
        <v>3</v>
      </c>
      <c r="AI4377">
        <v>1</v>
      </c>
      <c r="AJ4377">
        <v>0</v>
      </c>
      <c r="AK4377" t="s">
        <v>1386</v>
      </c>
      <c r="AL4377">
        <v>32.738678</v>
      </c>
      <c r="AM4377" t="s">
        <v>1387</v>
      </c>
      <c r="AN4377">
        <v>-116.70049</v>
      </c>
      <c r="AO4377">
        <v>25</v>
      </c>
      <c r="AP4377">
        <v>5000</v>
      </c>
      <c r="AQ4377" t="s">
        <v>129</v>
      </c>
      <c r="AR4377">
        <v>-137</v>
      </c>
      <c r="AS4377">
        <v>-79</v>
      </c>
      <c r="AT4377">
        <v>0</v>
      </c>
      <c r="BB4377">
        <v>1200</v>
      </c>
      <c r="BC4377">
        <v>1</v>
      </c>
      <c r="BD4377" t="str">
        <f t="shared" si="1610"/>
        <v xml:space="preserve">N887QR  </v>
      </c>
      <c r="BE4377">
        <v>1</v>
      </c>
      <c r="BG4377">
        <v>0</v>
      </c>
      <c r="BH4377">
        <v>0</v>
      </c>
      <c r="BI4377">
        <v>0</v>
      </c>
      <c r="BJ4377">
        <v>4675</v>
      </c>
      <c r="BK4377">
        <v>-325</v>
      </c>
      <c r="BL4377" t="s">
        <v>163</v>
      </c>
      <c r="BM4377">
        <v>1</v>
      </c>
      <c r="BN4377">
        <v>1</v>
      </c>
      <c r="BO4377">
        <v>1</v>
      </c>
      <c r="BP4377">
        <v>0</v>
      </c>
      <c r="BS4377">
        <v>0</v>
      </c>
      <c r="BT4377">
        <v>0</v>
      </c>
      <c r="BU4377">
        <v>0</v>
      </c>
      <c r="CE4377" t="str">
        <f t="shared" si="1617"/>
        <v>19:37:19.047</v>
      </c>
      <c r="CF4377">
        <v>47180135</v>
      </c>
      <c r="CS4377">
        <v>0</v>
      </c>
      <c r="CT4377">
        <v>2</v>
      </c>
      <c r="CU4377">
        <v>0</v>
      </c>
      <c r="CV4377">
        <v>2</v>
      </c>
      <c r="CW4377">
        <v>0</v>
      </c>
      <c r="CX4377">
        <v>5</v>
      </c>
      <c r="CY4377">
        <v>7</v>
      </c>
      <c r="CZ4377" t="s">
        <v>131</v>
      </c>
      <c r="DA4377">
        <v>286</v>
      </c>
      <c r="DB4377">
        <v>0</v>
      </c>
      <c r="DC4377" t="s">
        <v>132</v>
      </c>
      <c r="DD4377" t="s">
        <v>133</v>
      </c>
      <c r="DG4377">
        <v>911452</v>
      </c>
      <c r="DI4377">
        <v>1</v>
      </c>
      <c r="DJ4377">
        <v>0</v>
      </c>
      <c r="DK4377">
        <v>1</v>
      </c>
      <c r="DL4377">
        <v>0</v>
      </c>
      <c r="DM4377">
        <v>0</v>
      </c>
      <c r="DN4377">
        <v>1</v>
      </c>
      <c r="DO4377">
        <v>0</v>
      </c>
      <c r="DP4377">
        <v>0</v>
      </c>
      <c r="DQ4377">
        <v>0</v>
      </c>
      <c r="DR4377">
        <v>0</v>
      </c>
      <c r="DS4377">
        <v>0</v>
      </c>
    </row>
    <row r="4378" spans="1:123" x14ac:dyDescent="0.3">
      <c r="A4378" t="str">
        <f t="shared" si="1618"/>
        <v>10/04/2022 19:37:19.325</v>
      </c>
      <c r="C4378" t="str">
        <f t="shared" si="1599"/>
        <v>FFDFD3C0</v>
      </c>
      <c r="D4378" t="s">
        <v>141</v>
      </c>
      <c r="E4378">
        <v>3</v>
      </c>
      <c r="H4378">
        <v>3</v>
      </c>
      <c r="I4378" t="s">
        <v>146</v>
      </c>
      <c r="J4378" t="s">
        <v>138</v>
      </c>
      <c r="K4378">
        <v>0</v>
      </c>
      <c r="L4378">
        <v>3</v>
      </c>
      <c r="M4378">
        <v>0</v>
      </c>
      <c r="N4378">
        <v>2</v>
      </c>
      <c r="O4378">
        <v>0</v>
      </c>
      <c r="P4378">
        <v>1</v>
      </c>
      <c r="Q4378">
        <v>0</v>
      </c>
      <c r="S4378" t="str">
        <f t="shared" si="1616"/>
        <v>19:37:19.000</v>
      </c>
      <c r="T4378" t="str">
        <f t="shared" si="1616"/>
        <v>19:37:19.000</v>
      </c>
      <c r="U4378" t="str">
        <f t="shared" si="1609"/>
        <v>AC3944</v>
      </c>
      <c r="V4378">
        <v>0</v>
      </c>
      <c r="W4378">
        <v>0</v>
      </c>
      <c r="X4378">
        <v>2</v>
      </c>
      <c r="Y4378">
        <v>0</v>
      </c>
      <c r="AA4378">
        <v>1</v>
      </c>
      <c r="AB4378">
        <v>8</v>
      </c>
      <c r="AC4378">
        <v>3</v>
      </c>
      <c r="AD4378">
        <v>0</v>
      </c>
      <c r="AE4378">
        <v>9</v>
      </c>
      <c r="AF4378" t="s">
        <v>138</v>
      </c>
      <c r="AG4378">
        <v>0</v>
      </c>
      <c r="AH4378">
        <v>3</v>
      </c>
      <c r="AI4378">
        <v>1</v>
      </c>
      <c r="AJ4378">
        <v>0</v>
      </c>
      <c r="AK4378" t="s">
        <v>1386</v>
      </c>
      <c r="AL4378">
        <v>32.738678</v>
      </c>
      <c r="AM4378" t="s">
        <v>1387</v>
      </c>
      <c r="AN4378">
        <v>-116.70049</v>
      </c>
      <c r="AO4378">
        <v>25</v>
      </c>
      <c r="AP4378">
        <v>5000</v>
      </c>
      <c r="AQ4378" t="s">
        <v>129</v>
      </c>
      <c r="AR4378">
        <v>-137</v>
      </c>
      <c r="AS4378">
        <v>-79</v>
      </c>
      <c r="AT4378">
        <v>0</v>
      </c>
      <c r="BB4378">
        <v>1200</v>
      </c>
      <c r="BC4378">
        <v>1</v>
      </c>
      <c r="BD4378" t="str">
        <f t="shared" si="1610"/>
        <v xml:space="preserve">N887QR  </v>
      </c>
      <c r="BE4378">
        <v>1</v>
      </c>
      <c r="BG4378">
        <v>0</v>
      </c>
      <c r="BH4378">
        <v>0</v>
      </c>
      <c r="BI4378">
        <v>0</v>
      </c>
      <c r="BJ4378">
        <v>4675</v>
      </c>
      <c r="BK4378">
        <v>-325</v>
      </c>
      <c r="BL4378" t="s">
        <v>163</v>
      </c>
      <c r="BM4378">
        <v>1</v>
      </c>
      <c r="BN4378">
        <v>1</v>
      </c>
      <c r="BO4378">
        <v>1</v>
      </c>
      <c r="BP4378">
        <v>0</v>
      </c>
      <c r="BS4378">
        <v>0</v>
      </c>
      <c r="BT4378">
        <v>0</v>
      </c>
      <c r="BU4378">
        <v>0</v>
      </c>
      <c r="CE4378" t="str">
        <f t="shared" si="1617"/>
        <v>19:37:19.047</v>
      </c>
      <c r="CF4378">
        <v>47180135</v>
      </c>
      <c r="CS4378">
        <v>0</v>
      </c>
      <c r="CT4378">
        <v>2</v>
      </c>
      <c r="CU4378">
        <v>0</v>
      </c>
      <c r="CV4378">
        <v>2</v>
      </c>
      <c r="CW4378">
        <v>0</v>
      </c>
      <c r="CX4378">
        <v>5</v>
      </c>
      <c r="CY4378">
        <v>7</v>
      </c>
      <c r="CZ4378" t="s">
        <v>131</v>
      </c>
      <c r="DA4378">
        <v>286</v>
      </c>
      <c r="DB4378">
        <v>0</v>
      </c>
      <c r="DC4378" t="s">
        <v>132</v>
      </c>
      <c r="DD4378" t="s">
        <v>133</v>
      </c>
      <c r="DG4378">
        <v>911452</v>
      </c>
      <c r="DI4378">
        <v>1</v>
      </c>
      <c r="DJ4378">
        <v>0</v>
      </c>
      <c r="DK4378">
        <v>1</v>
      </c>
      <c r="DL4378">
        <v>0</v>
      </c>
      <c r="DM4378">
        <v>0</v>
      </c>
      <c r="DN4378">
        <v>1</v>
      </c>
      <c r="DO4378">
        <v>0</v>
      </c>
      <c r="DP4378">
        <v>0</v>
      </c>
      <c r="DQ4378">
        <v>0</v>
      </c>
      <c r="DR4378">
        <v>0</v>
      </c>
      <c r="DS4378">
        <v>0</v>
      </c>
    </row>
    <row r="4379" spans="1:123" x14ac:dyDescent="0.3">
      <c r="A4379" t="str">
        <f t="shared" si="1618"/>
        <v>10/04/2022 19:37:19.325</v>
      </c>
      <c r="C4379" t="str">
        <f t="shared" si="1599"/>
        <v>FFDFD3C0</v>
      </c>
      <c r="D4379" t="s">
        <v>134</v>
      </c>
      <c r="E4379">
        <v>15</v>
      </c>
      <c r="J4379" t="s">
        <v>135</v>
      </c>
      <c r="K4379">
        <v>0</v>
      </c>
      <c r="L4379">
        <v>3</v>
      </c>
      <c r="M4379">
        <v>0</v>
      </c>
      <c r="N4379">
        <v>2</v>
      </c>
      <c r="O4379">
        <v>0</v>
      </c>
      <c r="P4379">
        <v>1</v>
      </c>
      <c r="Q4379">
        <v>0</v>
      </c>
      <c r="S4379" t="str">
        <f t="shared" si="1616"/>
        <v>19:37:19.000</v>
      </c>
      <c r="T4379" t="str">
        <f t="shared" si="1616"/>
        <v>19:37:19.000</v>
      </c>
      <c r="U4379" t="str">
        <f t="shared" si="1609"/>
        <v>AC3944</v>
      </c>
      <c r="V4379">
        <v>0</v>
      </c>
      <c r="W4379">
        <v>0</v>
      </c>
      <c r="X4379">
        <v>2</v>
      </c>
      <c r="Y4379">
        <v>0</v>
      </c>
      <c r="AA4379">
        <v>1</v>
      </c>
      <c r="AB4379">
        <v>8</v>
      </c>
      <c r="AC4379">
        <v>3</v>
      </c>
      <c r="AD4379">
        <v>0</v>
      </c>
      <c r="AE4379">
        <v>9</v>
      </c>
      <c r="AF4379" t="s">
        <v>138</v>
      </c>
      <c r="AG4379">
        <v>0</v>
      </c>
      <c r="AH4379">
        <v>3</v>
      </c>
      <c r="AI4379">
        <v>1</v>
      </c>
      <c r="AJ4379">
        <v>0</v>
      </c>
      <c r="AK4379" t="s">
        <v>1386</v>
      </c>
      <c r="AL4379">
        <v>32.738678</v>
      </c>
      <c r="AM4379" t="s">
        <v>1387</v>
      </c>
      <c r="AN4379">
        <v>-116.70049</v>
      </c>
      <c r="AO4379">
        <v>25</v>
      </c>
      <c r="AP4379">
        <v>5000</v>
      </c>
      <c r="AQ4379" t="s">
        <v>129</v>
      </c>
      <c r="AR4379">
        <v>-137</v>
      </c>
      <c r="AS4379">
        <v>-79</v>
      </c>
      <c r="AT4379">
        <v>0</v>
      </c>
      <c r="BB4379">
        <v>1200</v>
      </c>
      <c r="BC4379">
        <v>1</v>
      </c>
      <c r="BD4379" t="str">
        <f t="shared" si="1610"/>
        <v xml:space="preserve">N887QR  </v>
      </c>
      <c r="BE4379">
        <v>1</v>
      </c>
      <c r="BG4379">
        <v>0</v>
      </c>
      <c r="BH4379">
        <v>0</v>
      </c>
      <c r="BI4379">
        <v>0</v>
      </c>
      <c r="BJ4379">
        <v>4675</v>
      </c>
      <c r="BK4379">
        <v>-325</v>
      </c>
      <c r="BL4379" t="s">
        <v>163</v>
      </c>
      <c r="BM4379">
        <v>1</v>
      </c>
      <c r="BN4379">
        <v>1</v>
      </c>
      <c r="BO4379">
        <v>1</v>
      </c>
      <c r="BP4379">
        <v>0</v>
      </c>
      <c r="BS4379">
        <v>0</v>
      </c>
      <c r="BT4379">
        <v>0</v>
      </c>
      <c r="BU4379">
        <v>0</v>
      </c>
      <c r="CE4379" t="str">
        <f t="shared" si="1617"/>
        <v>19:37:19.047</v>
      </c>
      <c r="CF4379">
        <v>47180135</v>
      </c>
      <c r="CS4379">
        <v>0</v>
      </c>
      <c r="CT4379">
        <v>2</v>
      </c>
      <c r="CU4379">
        <v>0</v>
      </c>
      <c r="CV4379">
        <v>2</v>
      </c>
      <c r="CW4379">
        <v>0</v>
      </c>
      <c r="CX4379">
        <v>5</v>
      </c>
      <c r="CY4379">
        <v>7</v>
      </c>
      <c r="CZ4379" t="s">
        <v>131</v>
      </c>
      <c r="DA4379">
        <v>286</v>
      </c>
      <c r="DB4379">
        <v>0</v>
      </c>
      <c r="DC4379" t="s">
        <v>132</v>
      </c>
      <c r="DD4379" t="s">
        <v>133</v>
      </c>
      <c r="DG4379">
        <v>911452</v>
      </c>
      <c r="DI4379">
        <v>1</v>
      </c>
      <c r="DJ4379">
        <v>0</v>
      </c>
      <c r="DK4379">
        <v>1</v>
      </c>
      <c r="DL4379">
        <v>0</v>
      </c>
      <c r="DM4379">
        <v>0</v>
      </c>
      <c r="DN4379">
        <v>1</v>
      </c>
      <c r="DO4379">
        <v>0</v>
      </c>
      <c r="DP4379">
        <v>0</v>
      </c>
      <c r="DQ4379">
        <v>0</v>
      </c>
      <c r="DR4379">
        <v>0</v>
      </c>
      <c r="DS4379">
        <v>0</v>
      </c>
    </row>
    <row r="4380" spans="1:123" x14ac:dyDescent="0.3">
      <c r="A4380" t="str">
        <f t="shared" ref="A4380:A4386" si="1619">"10/04/2022 19:37:20.779"</f>
        <v>10/04/2022 19:37:20.779</v>
      </c>
      <c r="C4380" t="str">
        <f t="shared" si="1599"/>
        <v>FFDFD3C0</v>
      </c>
      <c r="D4380" t="s">
        <v>143</v>
      </c>
      <c r="E4380">
        <v>20</v>
      </c>
      <c r="F4380">
        <v>1020</v>
      </c>
      <c r="G4380" t="s">
        <v>144</v>
      </c>
      <c r="J4380" t="s">
        <v>145</v>
      </c>
      <c r="K4380">
        <v>0</v>
      </c>
      <c r="L4380">
        <v>3</v>
      </c>
      <c r="M4380">
        <v>0</v>
      </c>
      <c r="N4380">
        <v>2</v>
      </c>
      <c r="O4380">
        <v>0</v>
      </c>
      <c r="P4380">
        <v>1</v>
      </c>
      <c r="Q4380">
        <v>0</v>
      </c>
      <c r="S4380" t="str">
        <f t="shared" ref="S4380:T4386" si="1620">"19:37:20.000"</f>
        <v>19:37:20.000</v>
      </c>
      <c r="T4380" t="str">
        <f t="shared" si="1620"/>
        <v>19:37:20.000</v>
      </c>
      <c r="U4380" t="str">
        <f t="shared" si="1609"/>
        <v>AC3944</v>
      </c>
      <c r="V4380">
        <v>0</v>
      </c>
      <c r="W4380">
        <v>0</v>
      </c>
      <c r="X4380">
        <v>2</v>
      </c>
      <c r="Y4380">
        <v>0</v>
      </c>
      <c r="AA4380">
        <v>1</v>
      </c>
      <c r="AB4380">
        <v>8</v>
      </c>
      <c r="AC4380">
        <v>3</v>
      </c>
      <c r="AD4380">
        <v>0</v>
      </c>
      <c r="AE4380">
        <v>9</v>
      </c>
      <c r="AF4380" t="s">
        <v>138</v>
      </c>
      <c r="AG4380">
        <v>0</v>
      </c>
      <c r="AH4380">
        <v>3</v>
      </c>
      <c r="AI4380">
        <v>1</v>
      </c>
      <c r="AJ4380">
        <v>0</v>
      </c>
      <c r="AK4380" t="s">
        <v>1388</v>
      </c>
      <c r="AL4380">
        <v>32.738377999999997</v>
      </c>
      <c r="AM4380" t="s">
        <v>1389</v>
      </c>
      <c r="AN4380">
        <v>-116.70108999999999</v>
      </c>
      <c r="AO4380">
        <v>25</v>
      </c>
      <c r="AP4380">
        <v>5000</v>
      </c>
      <c r="AQ4380" t="s">
        <v>129</v>
      </c>
      <c r="AR4380">
        <v>-138</v>
      </c>
      <c r="AS4380">
        <v>-78</v>
      </c>
      <c r="AT4380">
        <v>64</v>
      </c>
      <c r="BB4380">
        <v>1200</v>
      </c>
      <c r="BC4380">
        <v>1</v>
      </c>
      <c r="BD4380" t="str">
        <f t="shared" si="1610"/>
        <v xml:space="preserve">N887QR  </v>
      </c>
      <c r="BE4380">
        <v>1</v>
      </c>
      <c r="BG4380">
        <v>0</v>
      </c>
      <c r="BH4380">
        <v>0</v>
      </c>
      <c r="BI4380">
        <v>0</v>
      </c>
      <c r="BJ4380">
        <v>4675</v>
      </c>
      <c r="BK4380">
        <v>-325</v>
      </c>
      <c r="BL4380" t="s">
        <v>163</v>
      </c>
      <c r="BM4380">
        <v>1</v>
      </c>
      <c r="BN4380">
        <v>1</v>
      </c>
      <c r="BO4380">
        <v>1</v>
      </c>
      <c r="BP4380">
        <v>0</v>
      </c>
      <c r="BS4380">
        <v>0</v>
      </c>
      <c r="BT4380">
        <v>0</v>
      </c>
      <c r="BU4380">
        <v>0</v>
      </c>
      <c r="CE4380" t="str">
        <f t="shared" ref="CE4380:CE4386" si="1621">"19:37:20.453"</f>
        <v>19:37:20.453</v>
      </c>
      <c r="CF4380">
        <v>452934314</v>
      </c>
      <c r="CS4380">
        <v>0</v>
      </c>
      <c r="CT4380">
        <v>2</v>
      </c>
      <c r="CU4380">
        <v>0</v>
      </c>
      <c r="CV4380">
        <v>2</v>
      </c>
      <c r="CW4380">
        <v>0</v>
      </c>
      <c r="CX4380">
        <v>5</v>
      </c>
      <c r="CY4380">
        <v>7</v>
      </c>
      <c r="CZ4380" t="s">
        <v>131</v>
      </c>
      <c r="DA4380">
        <v>286</v>
      </c>
      <c r="DB4380">
        <v>0</v>
      </c>
      <c r="DC4380" t="s">
        <v>132</v>
      </c>
      <c r="DD4380" t="s">
        <v>133</v>
      </c>
      <c r="DG4380">
        <v>911755</v>
      </c>
      <c r="DI4380">
        <v>1</v>
      </c>
      <c r="DJ4380">
        <v>0</v>
      </c>
      <c r="DK4380">
        <v>0</v>
      </c>
      <c r="DL4380">
        <v>0</v>
      </c>
      <c r="DM4380">
        <v>0</v>
      </c>
      <c r="DN4380">
        <v>1</v>
      </c>
      <c r="DO4380">
        <v>0</v>
      </c>
      <c r="DP4380">
        <v>0</v>
      </c>
      <c r="DQ4380">
        <v>0</v>
      </c>
      <c r="DR4380">
        <v>0</v>
      </c>
      <c r="DS4380">
        <v>0</v>
      </c>
    </row>
    <row r="4381" spans="1:123" x14ac:dyDescent="0.3">
      <c r="A4381" t="str">
        <f t="shared" si="1619"/>
        <v>10/04/2022 19:37:20.779</v>
      </c>
      <c r="C4381" t="str">
        <f t="shared" si="1599"/>
        <v>FFDFD3C0</v>
      </c>
      <c r="D4381" t="s">
        <v>134</v>
      </c>
      <c r="E4381">
        <v>15</v>
      </c>
      <c r="J4381" t="s">
        <v>135</v>
      </c>
      <c r="K4381">
        <v>0</v>
      </c>
      <c r="L4381">
        <v>3</v>
      </c>
      <c r="M4381">
        <v>0</v>
      </c>
      <c r="N4381">
        <v>2</v>
      </c>
      <c r="O4381">
        <v>0</v>
      </c>
      <c r="P4381">
        <v>1</v>
      </c>
      <c r="Q4381">
        <v>0</v>
      </c>
      <c r="S4381" t="str">
        <f t="shared" si="1620"/>
        <v>19:37:20.000</v>
      </c>
      <c r="T4381" t="str">
        <f t="shared" si="1620"/>
        <v>19:37:20.000</v>
      </c>
      <c r="U4381" t="str">
        <f t="shared" si="1609"/>
        <v>AC3944</v>
      </c>
      <c r="V4381">
        <v>0</v>
      </c>
      <c r="W4381">
        <v>0</v>
      </c>
      <c r="X4381">
        <v>2</v>
      </c>
      <c r="Y4381">
        <v>0</v>
      </c>
      <c r="AA4381">
        <v>1</v>
      </c>
      <c r="AB4381">
        <v>8</v>
      </c>
      <c r="AC4381">
        <v>3</v>
      </c>
      <c r="AD4381">
        <v>0</v>
      </c>
      <c r="AE4381">
        <v>9</v>
      </c>
      <c r="AF4381" t="s">
        <v>138</v>
      </c>
      <c r="AG4381">
        <v>0</v>
      </c>
      <c r="AH4381">
        <v>3</v>
      </c>
      <c r="AI4381">
        <v>1</v>
      </c>
      <c r="AJ4381">
        <v>0</v>
      </c>
      <c r="AK4381" t="s">
        <v>1388</v>
      </c>
      <c r="AL4381">
        <v>32.738377999999997</v>
      </c>
      <c r="AM4381" t="s">
        <v>1389</v>
      </c>
      <c r="AN4381">
        <v>-116.70108999999999</v>
      </c>
      <c r="AO4381">
        <v>25</v>
      </c>
      <c r="AP4381">
        <v>5000</v>
      </c>
      <c r="AQ4381" t="s">
        <v>129</v>
      </c>
      <c r="AR4381">
        <v>-138</v>
      </c>
      <c r="AS4381">
        <v>-78</v>
      </c>
      <c r="AT4381">
        <v>64</v>
      </c>
      <c r="BB4381">
        <v>1200</v>
      </c>
      <c r="BC4381">
        <v>1</v>
      </c>
      <c r="BD4381" t="str">
        <f t="shared" si="1610"/>
        <v xml:space="preserve">N887QR  </v>
      </c>
      <c r="BE4381">
        <v>1</v>
      </c>
      <c r="BG4381">
        <v>0</v>
      </c>
      <c r="BH4381">
        <v>0</v>
      </c>
      <c r="BI4381">
        <v>0</v>
      </c>
      <c r="BJ4381">
        <v>4675</v>
      </c>
      <c r="BK4381">
        <v>-325</v>
      </c>
      <c r="BL4381" t="s">
        <v>163</v>
      </c>
      <c r="BM4381">
        <v>1</v>
      </c>
      <c r="BN4381">
        <v>1</v>
      </c>
      <c r="BO4381">
        <v>1</v>
      </c>
      <c r="BP4381">
        <v>0</v>
      </c>
      <c r="BS4381">
        <v>0</v>
      </c>
      <c r="BT4381">
        <v>0</v>
      </c>
      <c r="BU4381">
        <v>0</v>
      </c>
      <c r="CE4381" t="str">
        <f t="shared" si="1621"/>
        <v>19:37:20.453</v>
      </c>
      <c r="CF4381">
        <v>452934314</v>
      </c>
      <c r="CS4381">
        <v>0</v>
      </c>
      <c r="CT4381">
        <v>2</v>
      </c>
      <c r="CU4381">
        <v>0</v>
      </c>
      <c r="CV4381">
        <v>2</v>
      </c>
      <c r="CW4381">
        <v>0</v>
      </c>
      <c r="CX4381">
        <v>5</v>
      </c>
      <c r="CY4381">
        <v>7</v>
      </c>
      <c r="CZ4381" t="s">
        <v>131</v>
      </c>
      <c r="DA4381">
        <v>286</v>
      </c>
      <c r="DB4381">
        <v>0</v>
      </c>
      <c r="DC4381" t="s">
        <v>132</v>
      </c>
      <c r="DD4381" t="s">
        <v>133</v>
      </c>
      <c r="DG4381">
        <v>911755</v>
      </c>
      <c r="DI4381">
        <v>1</v>
      </c>
      <c r="DJ4381">
        <v>0</v>
      </c>
      <c r="DK4381">
        <v>1</v>
      </c>
      <c r="DL4381">
        <v>0</v>
      </c>
      <c r="DM4381">
        <v>0</v>
      </c>
      <c r="DN4381">
        <v>1</v>
      </c>
      <c r="DO4381">
        <v>0</v>
      </c>
      <c r="DP4381">
        <v>0</v>
      </c>
      <c r="DQ4381">
        <v>0</v>
      </c>
      <c r="DR4381">
        <v>0</v>
      </c>
      <c r="DS4381">
        <v>0</v>
      </c>
    </row>
    <row r="4382" spans="1:123" x14ac:dyDescent="0.3">
      <c r="A4382" t="str">
        <f t="shared" si="1619"/>
        <v>10/04/2022 19:37:20.779</v>
      </c>
      <c r="C4382" t="str">
        <f t="shared" si="1599"/>
        <v>FFDFD3C0</v>
      </c>
      <c r="D4382" t="s">
        <v>123</v>
      </c>
      <c r="E4382">
        <v>7</v>
      </c>
      <c r="F4382">
        <v>2007</v>
      </c>
      <c r="G4382" t="s">
        <v>124</v>
      </c>
      <c r="J4382" t="s">
        <v>125</v>
      </c>
      <c r="K4382">
        <v>0</v>
      </c>
      <c r="L4382">
        <v>3</v>
      </c>
      <c r="M4382">
        <v>0</v>
      </c>
      <c r="N4382">
        <v>2</v>
      </c>
      <c r="O4382">
        <v>0</v>
      </c>
      <c r="P4382">
        <v>1</v>
      </c>
      <c r="Q4382">
        <v>0</v>
      </c>
      <c r="S4382" t="str">
        <f t="shared" si="1620"/>
        <v>19:37:20.000</v>
      </c>
      <c r="T4382" t="str">
        <f t="shared" si="1620"/>
        <v>19:37:20.000</v>
      </c>
      <c r="U4382" t="str">
        <f t="shared" si="1609"/>
        <v>AC3944</v>
      </c>
      <c r="V4382">
        <v>0</v>
      </c>
      <c r="W4382">
        <v>0</v>
      </c>
      <c r="X4382">
        <v>2</v>
      </c>
      <c r="Y4382">
        <v>0</v>
      </c>
      <c r="AA4382">
        <v>1</v>
      </c>
      <c r="AB4382">
        <v>8</v>
      </c>
      <c r="AC4382">
        <v>3</v>
      </c>
      <c r="AD4382">
        <v>0</v>
      </c>
      <c r="AE4382">
        <v>9</v>
      </c>
      <c r="AF4382" t="s">
        <v>138</v>
      </c>
      <c r="AG4382">
        <v>0</v>
      </c>
      <c r="AH4382">
        <v>3</v>
      </c>
      <c r="AI4382">
        <v>1</v>
      </c>
      <c r="AJ4382">
        <v>0</v>
      </c>
      <c r="AK4382" t="s">
        <v>1388</v>
      </c>
      <c r="AL4382">
        <v>32.738377999999997</v>
      </c>
      <c r="AM4382" t="s">
        <v>1389</v>
      </c>
      <c r="AN4382">
        <v>-116.70108999999999</v>
      </c>
      <c r="AO4382">
        <v>25</v>
      </c>
      <c r="AP4382">
        <v>5000</v>
      </c>
      <c r="AQ4382" t="s">
        <v>129</v>
      </c>
      <c r="AR4382">
        <v>-138</v>
      </c>
      <c r="AS4382">
        <v>-78</v>
      </c>
      <c r="AT4382">
        <v>64</v>
      </c>
      <c r="BB4382">
        <v>1200</v>
      </c>
      <c r="BC4382">
        <v>1</v>
      </c>
      <c r="BD4382" t="str">
        <f t="shared" si="1610"/>
        <v xml:space="preserve">N887QR  </v>
      </c>
      <c r="BE4382">
        <v>1</v>
      </c>
      <c r="BG4382">
        <v>0</v>
      </c>
      <c r="BH4382">
        <v>0</v>
      </c>
      <c r="BI4382">
        <v>0</v>
      </c>
      <c r="BJ4382">
        <v>4675</v>
      </c>
      <c r="BK4382">
        <v>-325</v>
      </c>
      <c r="BL4382" t="s">
        <v>163</v>
      </c>
      <c r="BM4382">
        <v>1</v>
      </c>
      <c r="BN4382">
        <v>1</v>
      </c>
      <c r="BO4382">
        <v>1</v>
      </c>
      <c r="BP4382">
        <v>0</v>
      </c>
      <c r="BS4382">
        <v>0</v>
      </c>
      <c r="BT4382">
        <v>0</v>
      </c>
      <c r="BU4382">
        <v>0</v>
      </c>
      <c r="CE4382" t="str">
        <f t="shared" si="1621"/>
        <v>19:37:20.453</v>
      </c>
      <c r="CF4382">
        <v>452934314</v>
      </c>
      <c r="CS4382">
        <v>0</v>
      </c>
      <c r="CT4382">
        <v>2</v>
      </c>
      <c r="CU4382">
        <v>0</v>
      </c>
      <c r="CV4382">
        <v>2</v>
      </c>
      <c r="CW4382">
        <v>0</v>
      </c>
      <c r="CX4382">
        <v>5</v>
      </c>
      <c r="CY4382">
        <v>7</v>
      </c>
      <c r="CZ4382" t="s">
        <v>131</v>
      </c>
      <c r="DA4382">
        <v>286</v>
      </c>
      <c r="DB4382">
        <v>0</v>
      </c>
      <c r="DC4382" t="s">
        <v>132</v>
      </c>
      <c r="DD4382" t="s">
        <v>133</v>
      </c>
      <c r="DG4382">
        <v>911755</v>
      </c>
      <c r="DI4382">
        <v>1</v>
      </c>
      <c r="DJ4382">
        <v>0</v>
      </c>
      <c r="DK4382">
        <v>1</v>
      </c>
      <c r="DL4382">
        <v>0</v>
      </c>
      <c r="DM4382">
        <v>0</v>
      </c>
      <c r="DN4382">
        <v>1</v>
      </c>
      <c r="DO4382">
        <v>0</v>
      </c>
      <c r="DP4382">
        <v>0</v>
      </c>
      <c r="DQ4382">
        <v>0</v>
      </c>
      <c r="DR4382">
        <v>0</v>
      </c>
      <c r="DS4382">
        <v>0</v>
      </c>
    </row>
    <row r="4383" spans="1:123" x14ac:dyDescent="0.3">
      <c r="A4383" t="str">
        <f t="shared" si="1619"/>
        <v>10/04/2022 19:37:20.779</v>
      </c>
      <c r="C4383" t="str">
        <f t="shared" si="1599"/>
        <v>FFDFD3C0</v>
      </c>
      <c r="D4383" t="s">
        <v>147</v>
      </c>
      <c r="E4383">
        <v>3</v>
      </c>
      <c r="H4383">
        <v>166</v>
      </c>
      <c r="I4383" t="s">
        <v>144</v>
      </c>
      <c r="J4383" t="s">
        <v>148</v>
      </c>
      <c r="K4383">
        <v>0</v>
      </c>
      <c r="L4383">
        <v>3</v>
      </c>
      <c r="M4383">
        <v>0</v>
      </c>
      <c r="N4383">
        <v>2</v>
      </c>
      <c r="O4383">
        <v>0</v>
      </c>
      <c r="P4383">
        <v>1</v>
      </c>
      <c r="Q4383">
        <v>0</v>
      </c>
      <c r="S4383" t="str">
        <f t="shared" si="1620"/>
        <v>19:37:20.000</v>
      </c>
      <c r="T4383" t="str">
        <f t="shared" si="1620"/>
        <v>19:37:20.000</v>
      </c>
      <c r="U4383" t="str">
        <f t="shared" si="1609"/>
        <v>AC3944</v>
      </c>
      <c r="V4383">
        <v>0</v>
      </c>
      <c r="W4383">
        <v>0</v>
      </c>
      <c r="X4383">
        <v>2</v>
      </c>
      <c r="Y4383">
        <v>0</v>
      </c>
      <c r="AA4383">
        <v>1</v>
      </c>
      <c r="AB4383">
        <v>8</v>
      </c>
      <c r="AC4383">
        <v>3</v>
      </c>
      <c r="AD4383">
        <v>0</v>
      </c>
      <c r="AE4383">
        <v>9</v>
      </c>
      <c r="AF4383" t="s">
        <v>138</v>
      </c>
      <c r="AG4383">
        <v>0</v>
      </c>
      <c r="AH4383">
        <v>3</v>
      </c>
      <c r="AI4383">
        <v>1</v>
      </c>
      <c r="AJ4383">
        <v>0</v>
      </c>
      <c r="AK4383" t="s">
        <v>1388</v>
      </c>
      <c r="AL4383">
        <v>32.738377999999997</v>
      </c>
      <c r="AM4383" t="s">
        <v>1389</v>
      </c>
      <c r="AN4383">
        <v>-116.70108999999999</v>
      </c>
      <c r="AO4383">
        <v>25</v>
      </c>
      <c r="AP4383">
        <v>5000</v>
      </c>
      <c r="AQ4383" t="s">
        <v>129</v>
      </c>
      <c r="AR4383">
        <v>-138</v>
      </c>
      <c r="AS4383">
        <v>-78</v>
      </c>
      <c r="AT4383">
        <v>64</v>
      </c>
      <c r="BB4383">
        <v>1200</v>
      </c>
      <c r="BC4383">
        <v>1</v>
      </c>
      <c r="BD4383" t="str">
        <f t="shared" si="1610"/>
        <v xml:space="preserve">N887QR  </v>
      </c>
      <c r="BE4383">
        <v>1</v>
      </c>
      <c r="BG4383">
        <v>0</v>
      </c>
      <c r="BH4383">
        <v>0</v>
      </c>
      <c r="BI4383">
        <v>0</v>
      </c>
      <c r="BJ4383">
        <v>4675</v>
      </c>
      <c r="BK4383">
        <v>-325</v>
      </c>
      <c r="BL4383" t="s">
        <v>163</v>
      </c>
      <c r="BM4383">
        <v>1</v>
      </c>
      <c r="BN4383">
        <v>1</v>
      </c>
      <c r="BO4383">
        <v>1</v>
      </c>
      <c r="BP4383">
        <v>0</v>
      </c>
      <c r="BS4383">
        <v>0</v>
      </c>
      <c r="BT4383">
        <v>0</v>
      </c>
      <c r="BU4383">
        <v>0</v>
      </c>
      <c r="CE4383" t="str">
        <f t="shared" si="1621"/>
        <v>19:37:20.453</v>
      </c>
      <c r="CF4383">
        <v>452934314</v>
      </c>
      <c r="CS4383">
        <v>0</v>
      </c>
      <c r="CT4383">
        <v>2</v>
      </c>
      <c r="CU4383">
        <v>0</v>
      </c>
      <c r="CV4383">
        <v>2</v>
      </c>
      <c r="CW4383">
        <v>0</v>
      </c>
      <c r="CX4383">
        <v>5</v>
      </c>
      <c r="CY4383">
        <v>7</v>
      </c>
      <c r="CZ4383" t="s">
        <v>131</v>
      </c>
      <c r="DA4383">
        <v>286</v>
      </c>
      <c r="DB4383">
        <v>0</v>
      </c>
      <c r="DC4383" t="s">
        <v>132</v>
      </c>
      <c r="DD4383" t="s">
        <v>133</v>
      </c>
      <c r="DG4383">
        <v>911755</v>
      </c>
      <c r="DI4383">
        <v>1</v>
      </c>
      <c r="DJ4383">
        <v>0</v>
      </c>
      <c r="DK4383">
        <v>1</v>
      </c>
      <c r="DL4383">
        <v>0</v>
      </c>
      <c r="DM4383">
        <v>0</v>
      </c>
      <c r="DN4383">
        <v>1</v>
      </c>
      <c r="DO4383">
        <v>0</v>
      </c>
      <c r="DP4383">
        <v>0</v>
      </c>
      <c r="DQ4383">
        <v>0</v>
      </c>
      <c r="DR4383">
        <v>0</v>
      </c>
      <c r="DS4383">
        <v>0</v>
      </c>
    </row>
    <row r="4384" spans="1:123" x14ac:dyDescent="0.3">
      <c r="A4384" t="str">
        <f t="shared" si="1619"/>
        <v>10/04/2022 19:37:20.779</v>
      </c>
      <c r="C4384" t="str">
        <f t="shared" si="1599"/>
        <v>FFDFD3C0</v>
      </c>
      <c r="D4384" t="s">
        <v>141</v>
      </c>
      <c r="E4384">
        <v>4</v>
      </c>
      <c r="H4384">
        <v>4</v>
      </c>
      <c r="I4384" t="s">
        <v>142</v>
      </c>
      <c r="J4384" t="s">
        <v>138</v>
      </c>
      <c r="K4384">
        <v>0</v>
      </c>
      <c r="L4384">
        <v>3</v>
      </c>
      <c r="M4384">
        <v>0</v>
      </c>
      <c r="N4384">
        <v>2</v>
      </c>
      <c r="O4384">
        <v>0</v>
      </c>
      <c r="P4384">
        <v>1</v>
      </c>
      <c r="Q4384">
        <v>0</v>
      </c>
      <c r="S4384" t="str">
        <f t="shared" si="1620"/>
        <v>19:37:20.000</v>
      </c>
      <c r="T4384" t="str">
        <f t="shared" si="1620"/>
        <v>19:37:20.000</v>
      </c>
      <c r="U4384" t="str">
        <f t="shared" si="1609"/>
        <v>AC3944</v>
      </c>
      <c r="V4384">
        <v>0</v>
      </c>
      <c r="W4384">
        <v>0</v>
      </c>
      <c r="X4384">
        <v>2</v>
      </c>
      <c r="Y4384">
        <v>0</v>
      </c>
      <c r="AA4384">
        <v>1</v>
      </c>
      <c r="AB4384">
        <v>8</v>
      </c>
      <c r="AC4384">
        <v>3</v>
      </c>
      <c r="AD4384">
        <v>0</v>
      </c>
      <c r="AE4384">
        <v>9</v>
      </c>
      <c r="AF4384" t="s">
        <v>138</v>
      </c>
      <c r="AG4384">
        <v>0</v>
      </c>
      <c r="AH4384">
        <v>3</v>
      </c>
      <c r="AI4384">
        <v>1</v>
      </c>
      <c r="AJ4384">
        <v>0</v>
      </c>
      <c r="AK4384" t="s">
        <v>1388</v>
      </c>
      <c r="AL4384">
        <v>32.738377999999997</v>
      </c>
      <c r="AM4384" t="s">
        <v>1389</v>
      </c>
      <c r="AN4384">
        <v>-116.70108999999999</v>
      </c>
      <c r="AO4384">
        <v>25</v>
      </c>
      <c r="AP4384">
        <v>5000</v>
      </c>
      <c r="AQ4384" t="s">
        <v>129</v>
      </c>
      <c r="AR4384">
        <v>-138</v>
      </c>
      <c r="AS4384">
        <v>-78</v>
      </c>
      <c r="AT4384">
        <v>64</v>
      </c>
      <c r="BB4384">
        <v>1200</v>
      </c>
      <c r="BC4384">
        <v>1</v>
      </c>
      <c r="BD4384" t="str">
        <f t="shared" si="1610"/>
        <v xml:space="preserve">N887QR  </v>
      </c>
      <c r="BE4384">
        <v>1</v>
      </c>
      <c r="BG4384">
        <v>0</v>
      </c>
      <c r="BH4384">
        <v>0</v>
      </c>
      <c r="BI4384">
        <v>0</v>
      </c>
      <c r="BJ4384">
        <v>4675</v>
      </c>
      <c r="BK4384">
        <v>-325</v>
      </c>
      <c r="BL4384" t="s">
        <v>163</v>
      </c>
      <c r="BM4384">
        <v>1</v>
      </c>
      <c r="BN4384">
        <v>1</v>
      </c>
      <c r="BO4384">
        <v>1</v>
      </c>
      <c r="BP4384">
        <v>0</v>
      </c>
      <c r="BS4384">
        <v>0</v>
      </c>
      <c r="BT4384">
        <v>0</v>
      </c>
      <c r="BU4384">
        <v>0</v>
      </c>
      <c r="CE4384" t="str">
        <f t="shared" si="1621"/>
        <v>19:37:20.453</v>
      </c>
      <c r="CF4384">
        <v>452934314</v>
      </c>
      <c r="CS4384">
        <v>0</v>
      </c>
      <c r="CT4384">
        <v>2</v>
      </c>
      <c r="CU4384">
        <v>0</v>
      </c>
      <c r="CV4384">
        <v>2</v>
      </c>
      <c r="CW4384">
        <v>0</v>
      </c>
      <c r="CX4384">
        <v>5</v>
      </c>
      <c r="CY4384">
        <v>7</v>
      </c>
      <c r="CZ4384" t="s">
        <v>131</v>
      </c>
      <c r="DA4384">
        <v>286</v>
      </c>
      <c r="DB4384">
        <v>0</v>
      </c>
      <c r="DC4384" t="s">
        <v>132</v>
      </c>
      <c r="DD4384" t="s">
        <v>133</v>
      </c>
      <c r="DG4384">
        <v>911755</v>
      </c>
      <c r="DI4384">
        <v>1</v>
      </c>
      <c r="DJ4384">
        <v>0</v>
      </c>
      <c r="DK4384">
        <v>1</v>
      </c>
      <c r="DL4384">
        <v>0</v>
      </c>
      <c r="DM4384">
        <v>0</v>
      </c>
      <c r="DN4384">
        <v>1</v>
      </c>
      <c r="DO4384">
        <v>0</v>
      </c>
      <c r="DP4384">
        <v>0</v>
      </c>
      <c r="DQ4384">
        <v>0</v>
      </c>
      <c r="DR4384">
        <v>0</v>
      </c>
      <c r="DS4384">
        <v>0</v>
      </c>
    </row>
    <row r="4385" spans="1:123" x14ac:dyDescent="0.3">
      <c r="A4385" t="str">
        <f t="shared" si="1619"/>
        <v>10/04/2022 19:37:20.779</v>
      </c>
      <c r="C4385" t="str">
        <f t="shared" si="1599"/>
        <v>FFDFD3C0</v>
      </c>
      <c r="D4385" t="s">
        <v>136</v>
      </c>
      <c r="E4385">
        <v>8</v>
      </c>
      <c r="H4385">
        <v>225</v>
      </c>
      <c r="I4385" t="s">
        <v>137</v>
      </c>
      <c r="J4385" t="s">
        <v>138</v>
      </c>
      <c r="K4385">
        <v>0</v>
      </c>
      <c r="L4385">
        <v>3</v>
      </c>
      <c r="M4385">
        <v>0</v>
      </c>
      <c r="N4385">
        <v>2</v>
      </c>
      <c r="O4385">
        <v>0</v>
      </c>
      <c r="P4385">
        <v>1</v>
      </c>
      <c r="Q4385">
        <v>0</v>
      </c>
      <c r="S4385" t="str">
        <f t="shared" si="1620"/>
        <v>19:37:20.000</v>
      </c>
      <c r="T4385" t="str">
        <f t="shared" si="1620"/>
        <v>19:37:20.000</v>
      </c>
      <c r="U4385" t="str">
        <f t="shared" si="1609"/>
        <v>AC3944</v>
      </c>
      <c r="V4385">
        <v>0</v>
      </c>
      <c r="W4385">
        <v>0</v>
      </c>
      <c r="X4385">
        <v>2</v>
      </c>
      <c r="Y4385">
        <v>0</v>
      </c>
      <c r="AA4385">
        <v>1</v>
      </c>
      <c r="AB4385">
        <v>8</v>
      </c>
      <c r="AC4385">
        <v>3</v>
      </c>
      <c r="AD4385">
        <v>0</v>
      </c>
      <c r="AE4385">
        <v>9</v>
      </c>
      <c r="AF4385" t="s">
        <v>138</v>
      </c>
      <c r="AG4385">
        <v>0</v>
      </c>
      <c r="AH4385">
        <v>3</v>
      </c>
      <c r="AI4385">
        <v>1</v>
      </c>
      <c r="AJ4385">
        <v>0</v>
      </c>
      <c r="AK4385" t="s">
        <v>1388</v>
      </c>
      <c r="AL4385">
        <v>32.738377999999997</v>
      </c>
      <c r="AM4385" t="s">
        <v>1389</v>
      </c>
      <c r="AN4385">
        <v>-116.70108999999999</v>
      </c>
      <c r="AO4385">
        <v>25</v>
      </c>
      <c r="AP4385">
        <v>5000</v>
      </c>
      <c r="AQ4385" t="s">
        <v>129</v>
      </c>
      <c r="AR4385">
        <v>-138</v>
      </c>
      <c r="AS4385">
        <v>-78</v>
      </c>
      <c r="AT4385">
        <v>64</v>
      </c>
      <c r="BB4385">
        <v>1200</v>
      </c>
      <c r="BC4385">
        <v>1</v>
      </c>
      <c r="BD4385" t="str">
        <f t="shared" si="1610"/>
        <v xml:space="preserve">N887QR  </v>
      </c>
      <c r="BE4385">
        <v>1</v>
      </c>
      <c r="BG4385">
        <v>0</v>
      </c>
      <c r="BH4385">
        <v>0</v>
      </c>
      <c r="BI4385">
        <v>0</v>
      </c>
      <c r="BJ4385">
        <v>4675</v>
      </c>
      <c r="BK4385">
        <v>-325</v>
      </c>
      <c r="BL4385" t="s">
        <v>163</v>
      </c>
      <c r="BM4385">
        <v>1</v>
      </c>
      <c r="BN4385">
        <v>1</v>
      </c>
      <c r="BO4385">
        <v>1</v>
      </c>
      <c r="BP4385">
        <v>0</v>
      </c>
      <c r="BS4385">
        <v>0</v>
      </c>
      <c r="BT4385">
        <v>0</v>
      </c>
      <c r="BU4385">
        <v>0</v>
      </c>
      <c r="CE4385" t="str">
        <f t="shared" si="1621"/>
        <v>19:37:20.453</v>
      </c>
      <c r="CF4385">
        <v>452934314</v>
      </c>
      <c r="CS4385">
        <v>0</v>
      </c>
      <c r="CT4385">
        <v>2</v>
      </c>
      <c r="CU4385">
        <v>0</v>
      </c>
      <c r="CV4385">
        <v>2</v>
      </c>
      <c r="CW4385">
        <v>0</v>
      </c>
      <c r="CX4385">
        <v>5</v>
      </c>
      <c r="CY4385">
        <v>7</v>
      </c>
      <c r="CZ4385" t="s">
        <v>131</v>
      </c>
      <c r="DA4385">
        <v>286</v>
      </c>
      <c r="DB4385">
        <v>0</v>
      </c>
      <c r="DC4385" t="s">
        <v>132</v>
      </c>
      <c r="DD4385" t="s">
        <v>133</v>
      </c>
      <c r="DG4385">
        <v>911755</v>
      </c>
      <c r="DI4385">
        <v>1</v>
      </c>
      <c r="DJ4385">
        <v>0</v>
      </c>
      <c r="DK4385">
        <v>0</v>
      </c>
      <c r="DL4385">
        <v>0</v>
      </c>
      <c r="DM4385">
        <v>0</v>
      </c>
      <c r="DN4385">
        <v>1</v>
      </c>
      <c r="DO4385">
        <v>0</v>
      </c>
      <c r="DP4385">
        <v>0</v>
      </c>
      <c r="DQ4385">
        <v>0</v>
      </c>
      <c r="DR4385">
        <v>0</v>
      </c>
      <c r="DS4385">
        <v>0</v>
      </c>
    </row>
    <row r="4386" spans="1:123" x14ac:dyDescent="0.3">
      <c r="A4386" t="str">
        <f t="shared" si="1619"/>
        <v>10/04/2022 19:37:20.779</v>
      </c>
      <c r="C4386" t="str">
        <f t="shared" si="1599"/>
        <v>FFDFD3C0</v>
      </c>
      <c r="D4386" t="s">
        <v>141</v>
      </c>
      <c r="E4386">
        <v>3</v>
      </c>
      <c r="H4386">
        <v>3</v>
      </c>
      <c r="I4386" t="s">
        <v>146</v>
      </c>
      <c r="J4386" t="s">
        <v>138</v>
      </c>
      <c r="K4386">
        <v>0</v>
      </c>
      <c r="L4386">
        <v>3</v>
      </c>
      <c r="M4386">
        <v>0</v>
      </c>
      <c r="N4386">
        <v>2</v>
      </c>
      <c r="O4386">
        <v>0</v>
      </c>
      <c r="P4386">
        <v>1</v>
      </c>
      <c r="Q4386">
        <v>0</v>
      </c>
      <c r="S4386" t="str">
        <f t="shared" si="1620"/>
        <v>19:37:20.000</v>
      </c>
      <c r="T4386" t="str">
        <f t="shared" si="1620"/>
        <v>19:37:20.000</v>
      </c>
      <c r="U4386" t="str">
        <f t="shared" si="1609"/>
        <v>AC3944</v>
      </c>
      <c r="V4386">
        <v>0</v>
      </c>
      <c r="W4386">
        <v>0</v>
      </c>
      <c r="X4386">
        <v>2</v>
      </c>
      <c r="Y4386">
        <v>0</v>
      </c>
      <c r="AA4386">
        <v>1</v>
      </c>
      <c r="AB4386">
        <v>8</v>
      </c>
      <c r="AC4386">
        <v>3</v>
      </c>
      <c r="AD4386">
        <v>0</v>
      </c>
      <c r="AE4386">
        <v>9</v>
      </c>
      <c r="AF4386" t="s">
        <v>138</v>
      </c>
      <c r="AG4386">
        <v>0</v>
      </c>
      <c r="AH4386">
        <v>3</v>
      </c>
      <c r="AI4386">
        <v>1</v>
      </c>
      <c r="AJ4386">
        <v>0</v>
      </c>
      <c r="AK4386" t="s">
        <v>1388</v>
      </c>
      <c r="AL4386">
        <v>32.738377999999997</v>
      </c>
      <c r="AM4386" t="s">
        <v>1389</v>
      </c>
      <c r="AN4386">
        <v>-116.70108999999999</v>
      </c>
      <c r="AO4386">
        <v>25</v>
      </c>
      <c r="AP4386">
        <v>5000</v>
      </c>
      <c r="AQ4386" t="s">
        <v>129</v>
      </c>
      <c r="AR4386">
        <v>-138</v>
      </c>
      <c r="AS4386">
        <v>-78</v>
      </c>
      <c r="AT4386">
        <v>64</v>
      </c>
      <c r="BB4386">
        <v>1200</v>
      </c>
      <c r="BC4386">
        <v>1</v>
      </c>
      <c r="BD4386" t="str">
        <f t="shared" si="1610"/>
        <v xml:space="preserve">N887QR  </v>
      </c>
      <c r="BE4386">
        <v>1</v>
      </c>
      <c r="BG4386">
        <v>0</v>
      </c>
      <c r="BH4386">
        <v>0</v>
      </c>
      <c r="BI4386">
        <v>0</v>
      </c>
      <c r="BJ4386">
        <v>4675</v>
      </c>
      <c r="BK4386">
        <v>-325</v>
      </c>
      <c r="BL4386" t="s">
        <v>163</v>
      </c>
      <c r="BM4386">
        <v>1</v>
      </c>
      <c r="BN4386">
        <v>1</v>
      </c>
      <c r="BO4386">
        <v>1</v>
      </c>
      <c r="BP4386">
        <v>0</v>
      </c>
      <c r="BS4386">
        <v>0</v>
      </c>
      <c r="BT4386">
        <v>0</v>
      </c>
      <c r="BU4386">
        <v>0</v>
      </c>
      <c r="CE4386" t="str">
        <f t="shared" si="1621"/>
        <v>19:37:20.453</v>
      </c>
      <c r="CF4386">
        <v>452934314</v>
      </c>
      <c r="CS4386">
        <v>0</v>
      </c>
      <c r="CT4386">
        <v>2</v>
      </c>
      <c r="CU4386">
        <v>0</v>
      </c>
      <c r="CV4386">
        <v>2</v>
      </c>
      <c r="CW4386">
        <v>0</v>
      </c>
      <c r="CX4386">
        <v>5</v>
      </c>
      <c r="CY4386">
        <v>7</v>
      </c>
      <c r="CZ4386" t="s">
        <v>131</v>
      </c>
      <c r="DA4386">
        <v>286</v>
      </c>
      <c r="DB4386">
        <v>0</v>
      </c>
      <c r="DC4386" t="s">
        <v>132</v>
      </c>
      <c r="DD4386" t="s">
        <v>133</v>
      </c>
      <c r="DG4386">
        <v>911755</v>
      </c>
      <c r="DI4386">
        <v>1</v>
      </c>
      <c r="DJ4386">
        <v>0</v>
      </c>
      <c r="DK4386">
        <v>1</v>
      </c>
      <c r="DL4386">
        <v>0</v>
      </c>
      <c r="DM4386">
        <v>0</v>
      </c>
      <c r="DN4386">
        <v>1</v>
      </c>
      <c r="DO4386">
        <v>0</v>
      </c>
      <c r="DP4386">
        <v>0</v>
      </c>
      <c r="DQ4386">
        <v>0</v>
      </c>
      <c r="DR4386">
        <v>0</v>
      </c>
      <c r="DS4386">
        <v>0</v>
      </c>
    </row>
    <row r="4387" spans="1:123" x14ac:dyDescent="0.3">
      <c r="A4387" t="str">
        <f t="shared" ref="A4387:A4393" si="1622">"10/04/2022 19:37:21.465"</f>
        <v>10/04/2022 19:37:21.465</v>
      </c>
      <c r="C4387" t="str">
        <f t="shared" si="1599"/>
        <v>FFDFD3C0</v>
      </c>
      <c r="D4387" t="s">
        <v>141</v>
      </c>
      <c r="E4387">
        <v>4</v>
      </c>
      <c r="H4387">
        <v>4</v>
      </c>
      <c r="I4387" t="s">
        <v>142</v>
      </c>
      <c r="J4387" t="s">
        <v>138</v>
      </c>
      <c r="K4387">
        <v>0</v>
      </c>
      <c r="L4387">
        <v>3</v>
      </c>
      <c r="M4387">
        <v>0</v>
      </c>
      <c r="N4387">
        <v>2</v>
      </c>
      <c r="O4387">
        <v>0</v>
      </c>
      <c r="P4387">
        <v>1</v>
      </c>
      <c r="Q4387">
        <v>0</v>
      </c>
      <c r="S4387" t="str">
        <f t="shared" ref="S4387:T4393" si="1623">"19:37:21.000"</f>
        <v>19:37:21.000</v>
      </c>
      <c r="T4387" t="str">
        <f t="shared" si="1623"/>
        <v>19:37:21.000</v>
      </c>
      <c r="U4387" t="str">
        <f t="shared" si="1609"/>
        <v>AC3944</v>
      </c>
      <c r="V4387">
        <v>0</v>
      </c>
      <c r="W4387">
        <v>0</v>
      </c>
      <c r="X4387">
        <v>2</v>
      </c>
      <c r="Y4387">
        <v>0</v>
      </c>
      <c r="AA4387">
        <v>1</v>
      </c>
      <c r="AB4387">
        <v>8</v>
      </c>
      <c r="AC4387">
        <v>3</v>
      </c>
      <c r="AD4387">
        <v>0</v>
      </c>
      <c r="AE4387">
        <v>9</v>
      </c>
      <c r="AF4387" t="s">
        <v>138</v>
      </c>
      <c r="AG4387">
        <v>0</v>
      </c>
      <c r="AH4387">
        <v>3</v>
      </c>
      <c r="AI4387">
        <v>1</v>
      </c>
      <c r="AJ4387">
        <v>0</v>
      </c>
      <c r="AK4387" t="s">
        <v>1390</v>
      </c>
      <c r="AL4387">
        <v>32.737949</v>
      </c>
      <c r="AM4387" t="s">
        <v>1391</v>
      </c>
      <c r="AN4387">
        <v>-116.70201299999999</v>
      </c>
      <c r="AO4387">
        <v>25</v>
      </c>
      <c r="AP4387">
        <v>5000</v>
      </c>
      <c r="AQ4387" t="s">
        <v>129</v>
      </c>
      <c r="AR4387">
        <v>-139</v>
      </c>
      <c r="AS4387">
        <v>-78</v>
      </c>
      <c r="AT4387">
        <v>64</v>
      </c>
      <c r="BB4387">
        <v>1200</v>
      </c>
      <c r="BC4387">
        <v>1</v>
      </c>
      <c r="BD4387" t="str">
        <f t="shared" si="1610"/>
        <v xml:space="preserve">N887QR  </v>
      </c>
      <c r="BE4387">
        <v>1</v>
      </c>
      <c r="BG4387">
        <v>0</v>
      </c>
      <c r="BH4387">
        <v>0</v>
      </c>
      <c r="BI4387">
        <v>0</v>
      </c>
      <c r="BJ4387">
        <v>4675</v>
      </c>
      <c r="BK4387">
        <v>-325</v>
      </c>
      <c r="BL4387" t="s">
        <v>163</v>
      </c>
      <c r="BM4387">
        <v>1</v>
      </c>
      <c r="BN4387">
        <v>1</v>
      </c>
      <c r="BO4387">
        <v>1</v>
      </c>
      <c r="BP4387">
        <v>0</v>
      </c>
      <c r="BS4387">
        <v>0</v>
      </c>
      <c r="BT4387">
        <v>0</v>
      </c>
      <c r="BU4387">
        <v>0</v>
      </c>
      <c r="CE4387" t="str">
        <f t="shared" ref="CE4387:CE4393" si="1624">"19:37:21.150"</f>
        <v>19:37:21.150</v>
      </c>
      <c r="CF4387">
        <v>149686356</v>
      </c>
      <c r="CS4387">
        <v>0</v>
      </c>
      <c r="CT4387">
        <v>2</v>
      </c>
      <c r="CU4387">
        <v>0</v>
      </c>
      <c r="CV4387">
        <v>2</v>
      </c>
      <c r="CW4387">
        <v>0</v>
      </c>
      <c r="CX4387">
        <v>5</v>
      </c>
      <c r="CY4387">
        <v>7</v>
      </c>
      <c r="CZ4387" t="s">
        <v>131</v>
      </c>
      <c r="DA4387">
        <v>286</v>
      </c>
      <c r="DB4387">
        <v>0</v>
      </c>
      <c r="DC4387" t="s">
        <v>132</v>
      </c>
      <c r="DD4387" t="s">
        <v>133</v>
      </c>
      <c r="DG4387">
        <v>911921</v>
      </c>
      <c r="DI4387">
        <v>1</v>
      </c>
      <c r="DJ4387">
        <v>0</v>
      </c>
      <c r="DK4387">
        <v>0</v>
      </c>
      <c r="DL4387">
        <v>0</v>
      </c>
      <c r="DM4387">
        <v>0</v>
      </c>
      <c r="DN4387">
        <v>1</v>
      </c>
      <c r="DO4387">
        <v>0</v>
      </c>
      <c r="DP4387">
        <v>0</v>
      </c>
      <c r="DQ4387">
        <v>0</v>
      </c>
      <c r="DR4387">
        <v>0</v>
      </c>
      <c r="DS4387">
        <v>0</v>
      </c>
    </row>
    <row r="4388" spans="1:123" x14ac:dyDescent="0.3">
      <c r="A4388" t="str">
        <f t="shared" si="1622"/>
        <v>10/04/2022 19:37:21.465</v>
      </c>
      <c r="C4388" t="str">
        <f t="shared" si="1599"/>
        <v>FFDFD3C0</v>
      </c>
      <c r="D4388" t="s">
        <v>147</v>
      </c>
      <c r="E4388">
        <v>3</v>
      </c>
      <c r="H4388">
        <v>166</v>
      </c>
      <c r="I4388" t="s">
        <v>144</v>
      </c>
      <c r="J4388" t="s">
        <v>148</v>
      </c>
      <c r="K4388">
        <v>0</v>
      </c>
      <c r="L4388">
        <v>3</v>
      </c>
      <c r="M4388">
        <v>0</v>
      </c>
      <c r="N4388">
        <v>2</v>
      </c>
      <c r="O4388">
        <v>0</v>
      </c>
      <c r="P4388">
        <v>1</v>
      </c>
      <c r="Q4388">
        <v>0</v>
      </c>
      <c r="S4388" t="str">
        <f t="shared" si="1623"/>
        <v>19:37:21.000</v>
      </c>
      <c r="T4388" t="str">
        <f t="shared" si="1623"/>
        <v>19:37:21.000</v>
      </c>
      <c r="U4388" t="str">
        <f t="shared" si="1609"/>
        <v>AC3944</v>
      </c>
      <c r="V4388">
        <v>0</v>
      </c>
      <c r="W4388">
        <v>0</v>
      </c>
      <c r="X4388">
        <v>2</v>
      </c>
      <c r="Y4388">
        <v>0</v>
      </c>
      <c r="AA4388">
        <v>1</v>
      </c>
      <c r="AB4388">
        <v>8</v>
      </c>
      <c r="AC4388">
        <v>3</v>
      </c>
      <c r="AD4388">
        <v>0</v>
      </c>
      <c r="AE4388">
        <v>9</v>
      </c>
      <c r="AF4388" t="s">
        <v>138</v>
      </c>
      <c r="AG4388">
        <v>0</v>
      </c>
      <c r="AH4388">
        <v>3</v>
      </c>
      <c r="AI4388">
        <v>1</v>
      </c>
      <c r="AJ4388">
        <v>0</v>
      </c>
      <c r="AK4388" t="s">
        <v>1390</v>
      </c>
      <c r="AL4388">
        <v>32.737949</v>
      </c>
      <c r="AM4388" t="s">
        <v>1391</v>
      </c>
      <c r="AN4388">
        <v>-116.70201299999999</v>
      </c>
      <c r="AO4388">
        <v>25</v>
      </c>
      <c r="AP4388">
        <v>5000</v>
      </c>
      <c r="AQ4388" t="s">
        <v>129</v>
      </c>
      <c r="AR4388">
        <v>-139</v>
      </c>
      <c r="AS4388">
        <v>-78</v>
      </c>
      <c r="AT4388">
        <v>64</v>
      </c>
      <c r="BB4388">
        <v>1200</v>
      </c>
      <c r="BC4388">
        <v>1</v>
      </c>
      <c r="BD4388" t="str">
        <f t="shared" si="1610"/>
        <v xml:space="preserve">N887QR  </v>
      </c>
      <c r="BE4388">
        <v>1</v>
      </c>
      <c r="BG4388">
        <v>0</v>
      </c>
      <c r="BH4388">
        <v>0</v>
      </c>
      <c r="BI4388">
        <v>0</v>
      </c>
      <c r="BJ4388">
        <v>4675</v>
      </c>
      <c r="BK4388">
        <v>-325</v>
      </c>
      <c r="BL4388" t="s">
        <v>163</v>
      </c>
      <c r="BM4388">
        <v>1</v>
      </c>
      <c r="BN4388">
        <v>1</v>
      </c>
      <c r="BO4388">
        <v>1</v>
      </c>
      <c r="BP4388">
        <v>0</v>
      </c>
      <c r="BS4388">
        <v>0</v>
      </c>
      <c r="BT4388">
        <v>0</v>
      </c>
      <c r="BU4388">
        <v>0</v>
      </c>
      <c r="CE4388" t="str">
        <f t="shared" si="1624"/>
        <v>19:37:21.150</v>
      </c>
      <c r="CF4388">
        <v>149686356</v>
      </c>
      <c r="CS4388">
        <v>0</v>
      </c>
      <c r="CT4388">
        <v>2</v>
      </c>
      <c r="CU4388">
        <v>0</v>
      </c>
      <c r="CV4388">
        <v>2</v>
      </c>
      <c r="CW4388">
        <v>0</v>
      </c>
      <c r="CX4388">
        <v>5</v>
      </c>
      <c r="CY4388">
        <v>7</v>
      </c>
      <c r="CZ4388" t="s">
        <v>131</v>
      </c>
      <c r="DA4388">
        <v>286</v>
      </c>
      <c r="DB4388">
        <v>0</v>
      </c>
      <c r="DC4388" t="s">
        <v>132</v>
      </c>
      <c r="DD4388" t="s">
        <v>133</v>
      </c>
      <c r="DG4388">
        <v>911921</v>
      </c>
      <c r="DI4388">
        <v>1</v>
      </c>
      <c r="DJ4388">
        <v>0</v>
      </c>
      <c r="DK4388">
        <v>1</v>
      </c>
      <c r="DL4388">
        <v>0</v>
      </c>
      <c r="DM4388">
        <v>0</v>
      </c>
      <c r="DN4388">
        <v>1</v>
      </c>
      <c r="DO4388">
        <v>0</v>
      </c>
      <c r="DP4388">
        <v>0</v>
      </c>
      <c r="DQ4388">
        <v>0</v>
      </c>
      <c r="DR4388">
        <v>0</v>
      </c>
      <c r="DS4388">
        <v>0</v>
      </c>
    </row>
    <row r="4389" spans="1:123" x14ac:dyDescent="0.3">
      <c r="A4389" t="str">
        <f t="shared" si="1622"/>
        <v>10/04/2022 19:37:21.465</v>
      </c>
      <c r="C4389" t="str">
        <f t="shared" si="1599"/>
        <v>FFDFD3C0</v>
      </c>
      <c r="D4389" t="s">
        <v>136</v>
      </c>
      <c r="E4389">
        <v>8</v>
      </c>
      <c r="H4389">
        <v>225</v>
      </c>
      <c r="I4389" t="s">
        <v>137</v>
      </c>
      <c r="J4389" t="s">
        <v>138</v>
      </c>
      <c r="K4389">
        <v>0</v>
      </c>
      <c r="L4389">
        <v>3</v>
      </c>
      <c r="M4389">
        <v>0</v>
      </c>
      <c r="N4389">
        <v>2</v>
      </c>
      <c r="O4389">
        <v>0</v>
      </c>
      <c r="P4389">
        <v>1</v>
      </c>
      <c r="Q4389">
        <v>0</v>
      </c>
      <c r="S4389" t="str">
        <f t="shared" si="1623"/>
        <v>19:37:21.000</v>
      </c>
      <c r="T4389" t="str">
        <f t="shared" si="1623"/>
        <v>19:37:21.000</v>
      </c>
      <c r="U4389" t="str">
        <f t="shared" si="1609"/>
        <v>AC3944</v>
      </c>
      <c r="V4389">
        <v>0</v>
      </c>
      <c r="W4389">
        <v>0</v>
      </c>
      <c r="X4389">
        <v>2</v>
      </c>
      <c r="Y4389">
        <v>0</v>
      </c>
      <c r="AA4389">
        <v>1</v>
      </c>
      <c r="AB4389">
        <v>8</v>
      </c>
      <c r="AC4389">
        <v>3</v>
      </c>
      <c r="AD4389">
        <v>0</v>
      </c>
      <c r="AE4389">
        <v>9</v>
      </c>
      <c r="AF4389" t="s">
        <v>138</v>
      </c>
      <c r="AG4389">
        <v>0</v>
      </c>
      <c r="AH4389">
        <v>3</v>
      </c>
      <c r="AI4389">
        <v>1</v>
      </c>
      <c r="AJ4389">
        <v>0</v>
      </c>
      <c r="AK4389" t="s">
        <v>1390</v>
      </c>
      <c r="AL4389">
        <v>32.737949</v>
      </c>
      <c r="AM4389" t="s">
        <v>1391</v>
      </c>
      <c r="AN4389">
        <v>-116.70201299999999</v>
      </c>
      <c r="AO4389">
        <v>25</v>
      </c>
      <c r="AP4389">
        <v>5000</v>
      </c>
      <c r="AQ4389" t="s">
        <v>129</v>
      </c>
      <c r="AR4389">
        <v>-139</v>
      </c>
      <c r="AS4389">
        <v>-78</v>
      </c>
      <c r="AT4389">
        <v>64</v>
      </c>
      <c r="BB4389">
        <v>1200</v>
      </c>
      <c r="BC4389">
        <v>1</v>
      </c>
      <c r="BD4389" t="str">
        <f t="shared" si="1610"/>
        <v xml:space="preserve">N887QR  </v>
      </c>
      <c r="BE4389">
        <v>1</v>
      </c>
      <c r="BG4389">
        <v>0</v>
      </c>
      <c r="BH4389">
        <v>0</v>
      </c>
      <c r="BI4389">
        <v>0</v>
      </c>
      <c r="BJ4389">
        <v>4675</v>
      </c>
      <c r="BK4389">
        <v>-325</v>
      </c>
      <c r="BL4389" t="s">
        <v>163</v>
      </c>
      <c r="BM4389">
        <v>1</v>
      </c>
      <c r="BN4389">
        <v>1</v>
      </c>
      <c r="BO4389">
        <v>1</v>
      </c>
      <c r="BP4389">
        <v>0</v>
      </c>
      <c r="BS4389">
        <v>0</v>
      </c>
      <c r="BT4389">
        <v>0</v>
      </c>
      <c r="BU4389">
        <v>0</v>
      </c>
      <c r="CE4389" t="str">
        <f t="shared" si="1624"/>
        <v>19:37:21.150</v>
      </c>
      <c r="CF4389">
        <v>149686356</v>
      </c>
      <c r="CS4389">
        <v>0</v>
      </c>
      <c r="CT4389">
        <v>2</v>
      </c>
      <c r="CU4389">
        <v>0</v>
      </c>
      <c r="CV4389">
        <v>2</v>
      </c>
      <c r="CW4389">
        <v>0</v>
      </c>
      <c r="CX4389">
        <v>5</v>
      </c>
      <c r="CY4389">
        <v>7</v>
      </c>
      <c r="CZ4389" t="s">
        <v>131</v>
      </c>
      <c r="DA4389">
        <v>286</v>
      </c>
      <c r="DB4389">
        <v>0</v>
      </c>
      <c r="DC4389" t="s">
        <v>132</v>
      </c>
      <c r="DD4389" t="s">
        <v>133</v>
      </c>
      <c r="DG4389">
        <v>911921</v>
      </c>
      <c r="DI4389">
        <v>1</v>
      </c>
      <c r="DJ4389">
        <v>0</v>
      </c>
      <c r="DK4389">
        <v>1</v>
      </c>
      <c r="DL4389">
        <v>0</v>
      </c>
      <c r="DM4389">
        <v>0</v>
      </c>
      <c r="DN4389">
        <v>1</v>
      </c>
      <c r="DO4389">
        <v>0</v>
      </c>
      <c r="DP4389">
        <v>0</v>
      </c>
      <c r="DQ4389">
        <v>0</v>
      </c>
      <c r="DR4389">
        <v>0</v>
      </c>
      <c r="DS4389">
        <v>0</v>
      </c>
    </row>
    <row r="4390" spans="1:123" x14ac:dyDescent="0.3">
      <c r="A4390" t="str">
        <f t="shared" si="1622"/>
        <v>10/04/2022 19:37:21.465</v>
      </c>
      <c r="C4390" t="str">
        <f t="shared" si="1599"/>
        <v>FFDFD3C0</v>
      </c>
      <c r="D4390" t="s">
        <v>141</v>
      </c>
      <c r="E4390">
        <v>3</v>
      </c>
      <c r="H4390">
        <v>3</v>
      </c>
      <c r="I4390" t="s">
        <v>146</v>
      </c>
      <c r="J4390" t="s">
        <v>138</v>
      </c>
      <c r="K4390">
        <v>0</v>
      </c>
      <c r="L4390">
        <v>3</v>
      </c>
      <c r="M4390">
        <v>0</v>
      </c>
      <c r="N4390">
        <v>2</v>
      </c>
      <c r="O4390">
        <v>0</v>
      </c>
      <c r="P4390">
        <v>1</v>
      </c>
      <c r="Q4390">
        <v>0</v>
      </c>
      <c r="S4390" t="str">
        <f t="shared" si="1623"/>
        <v>19:37:21.000</v>
      </c>
      <c r="T4390" t="str">
        <f t="shared" si="1623"/>
        <v>19:37:21.000</v>
      </c>
      <c r="U4390" t="str">
        <f t="shared" si="1609"/>
        <v>AC3944</v>
      </c>
      <c r="V4390">
        <v>0</v>
      </c>
      <c r="W4390">
        <v>0</v>
      </c>
      <c r="X4390">
        <v>2</v>
      </c>
      <c r="Y4390">
        <v>0</v>
      </c>
      <c r="AA4390">
        <v>1</v>
      </c>
      <c r="AB4390">
        <v>8</v>
      </c>
      <c r="AC4390">
        <v>3</v>
      </c>
      <c r="AD4390">
        <v>0</v>
      </c>
      <c r="AE4390">
        <v>9</v>
      </c>
      <c r="AF4390" t="s">
        <v>138</v>
      </c>
      <c r="AG4390">
        <v>0</v>
      </c>
      <c r="AH4390">
        <v>3</v>
      </c>
      <c r="AI4390">
        <v>1</v>
      </c>
      <c r="AJ4390">
        <v>0</v>
      </c>
      <c r="AK4390" t="s">
        <v>1390</v>
      </c>
      <c r="AL4390">
        <v>32.737949</v>
      </c>
      <c r="AM4390" t="s">
        <v>1391</v>
      </c>
      <c r="AN4390">
        <v>-116.70201299999999</v>
      </c>
      <c r="AO4390">
        <v>25</v>
      </c>
      <c r="AP4390">
        <v>5000</v>
      </c>
      <c r="AQ4390" t="s">
        <v>129</v>
      </c>
      <c r="AR4390">
        <v>-139</v>
      </c>
      <c r="AS4390">
        <v>-78</v>
      </c>
      <c r="AT4390">
        <v>64</v>
      </c>
      <c r="BB4390">
        <v>1200</v>
      </c>
      <c r="BC4390">
        <v>1</v>
      </c>
      <c r="BD4390" t="str">
        <f t="shared" si="1610"/>
        <v xml:space="preserve">N887QR  </v>
      </c>
      <c r="BE4390">
        <v>1</v>
      </c>
      <c r="BG4390">
        <v>0</v>
      </c>
      <c r="BH4390">
        <v>0</v>
      </c>
      <c r="BI4390">
        <v>0</v>
      </c>
      <c r="BJ4390">
        <v>4675</v>
      </c>
      <c r="BK4390">
        <v>-325</v>
      </c>
      <c r="BL4390" t="s">
        <v>163</v>
      </c>
      <c r="BM4390">
        <v>1</v>
      </c>
      <c r="BN4390">
        <v>1</v>
      </c>
      <c r="BO4390">
        <v>1</v>
      </c>
      <c r="BP4390">
        <v>0</v>
      </c>
      <c r="BS4390">
        <v>0</v>
      </c>
      <c r="BT4390">
        <v>0</v>
      </c>
      <c r="BU4390">
        <v>0</v>
      </c>
      <c r="CE4390" t="str">
        <f t="shared" si="1624"/>
        <v>19:37:21.150</v>
      </c>
      <c r="CF4390">
        <v>149686356</v>
      </c>
      <c r="CS4390">
        <v>0</v>
      </c>
      <c r="CT4390">
        <v>2</v>
      </c>
      <c r="CU4390">
        <v>0</v>
      </c>
      <c r="CV4390">
        <v>2</v>
      </c>
      <c r="CW4390">
        <v>0</v>
      </c>
      <c r="CX4390">
        <v>5</v>
      </c>
      <c r="CY4390">
        <v>7</v>
      </c>
      <c r="CZ4390" t="s">
        <v>131</v>
      </c>
      <c r="DA4390">
        <v>286</v>
      </c>
      <c r="DB4390">
        <v>0</v>
      </c>
      <c r="DC4390" t="s">
        <v>132</v>
      </c>
      <c r="DD4390" t="s">
        <v>133</v>
      </c>
      <c r="DG4390">
        <v>911921</v>
      </c>
      <c r="DI4390">
        <v>1</v>
      </c>
      <c r="DJ4390">
        <v>0</v>
      </c>
      <c r="DK4390">
        <v>1</v>
      </c>
      <c r="DL4390">
        <v>0</v>
      </c>
      <c r="DM4390">
        <v>0</v>
      </c>
      <c r="DN4390">
        <v>1</v>
      </c>
      <c r="DO4390">
        <v>0</v>
      </c>
      <c r="DP4390">
        <v>0</v>
      </c>
      <c r="DQ4390">
        <v>0</v>
      </c>
      <c r="DR4390">
        <v>0</v>
      </c>
      <c r="DS4390">
        <v>0</v>
      </c>
    </row>
    <row r="4391" spans="1:123" x14ac:dyDescent="0.3">
      <c r="A4391" t="str">
        <f t="shared" si="1622"/>
        <v>10/04/2022 19:37:21.465</v>
      </c>
      <c r="C4391" t="str">
        <f t="shared" si="1599"/>
        <v>FFDFD3C0</v>
      </c>
      <c r="D4391" t="s">
        <v>143</v>
      </c>
      <c r="E4391">
        <v>20</v>
      </c>
      <c r="F4391">
        <v>1020</v>
      </c>
      <c r="G4391" t="s">
        <v>144</v>
      </c>
      <c r="J4391" t="s">
        <v>145</v>
      </c>
      <c r="K4391">
        <v>0</v>
      </c>
      <c r="L4391">
        <v>3</v>
      </c>
      <c r="M4391">
        <v>0</v>
      </c>
      <c r="N4391">
        <v>2</v>
      </c>
      <c r="O4391">
        <v>0</v>
      </c>
      <c r="P4391">
        <v>1</v>
      </c>
      <c r="Q4391">
        <v>0</v>
      </c>
      <c r="S4391" t="str">
        <f t="shared" si="1623"/>
        <v>19:37:21.000</v>
      </c>
      <c r="T4391" t="str">
        <f t="shared" si="1623"/>
        <v>19:37:21.000</v>
      </c>
      <c r="U4391" t="str">
        <f t="shared" si="1609"/>
        <v>AC3944</v>
      </c>
      <c r="V4391">
        <v>0</v>
      </c>
      <c r="W4391">
        <v>0</v>
      </c>
      <c r="X4391">
        <v>2</v>
      </c>
      <c r="Y4391">
        <v>0</v>
      </c>
      <c r="AA4391">
        <v>1</v>
      </c>
      <c r="AB4391">
        <v>8</v>
      </c>
      <c r="AC4391">
        <v>3</v>
      </c>
      <c r="AD4391">
        <v>0</v>
      </c>
      <c r="AE4391">
        <v>9</v>
      </c>
      <c r="AF4391" t="s">
        <v>138</v>
      </c>
      <c r="AG4391">
        <v>0</v>
      </c>
      <c r="AH4391">
        <v>3</v>
      </c>
      <c r="AI4391">
        <v>1</v>
      </c>
      <c r="AJ4391">
        <v>0</v>
      </c>
      <c r="AK4391" t="s">
        <v>1390</v>
      </c>
      <c r="AL4391">
        <v>32.737949</v>
      </c>
      <c r="AM4391" t="s">
        <v>1391</v>
      </c>
      <c r="AN4391">
        <v>-116.70201299999999</v>
      </c>
      <c r="AO4391">
        <v>25</v>
      </c>
      <c r="AP4391">
        <v>5000</v>
      </c>
      <c r="AQ4391" t="s">
        <v>129</v>
      </c>
      <c r="AR4391">
        <v>-139</v>
      </c>
      <c r="AS4391">
        <v>-78</v>
      </c>
      <c r="AT4391">
        <v>64</v>
      </c>
      <c r="BB4391">
        <v>1200</v>
      </c>
      <c r="BC4391">
        <v>1</v>
      </c>
      <c r="BD4391" t="str">
        <f t="shared" si="1610"/>
        <v xml:space="preserve">N887QR  </v>
      </c>
      <c r="BE4391">
        <v>1</v>
      </c>
      <c r="BG4391">
        <v>0</v>
      </c>
      <c r="BH4391">
        <v>0</v>
      </c>
      <c r="BI4391">
        <v>0</v>
      </c>
      <c r="BJ4391">
        <v>4675</v>
      </c>
      <c r="BK4391">
        <v>-325</v>
      </c>
      <c r="BL4391" t="s">
        <v>163</v>
      </c>
      <c r="BM4391">
        <v>1</v>
      </c>
      <c r="BN4391">
        <v>1</v>
      </c>
      <c r="BO4391">
        <v>1</v>
      </c>
      <c r="BP4391">
        <v>0</v>
      </c>
      <c r="BS4391">
        <v>0</v>
      </c>
      <c r="BT4391">
        <v>0</v>
      </c>
      <c r="BU4391">
        <v>0</v>
      </c>
      <c r="CE4391" t="str">
        <f t="shared" si="1624"/>
        <v>19:37:21.150</v>
      </c>
      <c r="CF4391">
        <v>149686356</v>
      </c>
      <c r="CS4391">
        <v>0</v>
      </c>
      <c r="CT4391">
        <v>2</v>
      </c>
      <c r="CU4391">
        <v>0</v>
      </c>
      <c r="CV4391">
        <v>2</v>
      </c>
      <c r="CW4391">
        <v>0</v>
      </c>
      <c r="CX4391">
        <v>5</v>
      </c>
      <c r="CY4391">
        <v>7</v>
      </c>
      <c r="CZ4391" t="s">
        <v>131</v>
      </c>
      <c r="DA4391">
        <v>286</v>
      </c>
      <c r="DB4391">
        <v>0</v>
      </c>
      <c r="DC4391" t="s">
        <v>132</v>
      </c>
      <c r="DD4391" t="s">
        <v>133</v>
      </c>
      <c r="DG4391">
        <v>911921</v>
      </c>
      <c r="DI4391">
        <v>1</v>
      </c>
      <c r="DJ4391">
        <v>0</v>
      </c>
      <c r="DK4391">
        <v>1</v>
      </c>
      <c r="DL4391">
        <v>0</v>
      </c>
      <c r="DM4391">
        <v>0</v>
      </c>
      <c r="DN4391">
        <v>1</v>
      </c>
      <c r="DO4391">
        <v>0</v>
      </c>
      <c r="DP4391">
        <v>0</v>
      </c>
      <c r="DQ4391">
        <v>0</v>
      </c>
      <c r="DR4391">
        <v>0</v>
      </c>
      <c r="DS4391">
        <v>0</v>
      </c>
    </row>
    <row r="4392" spans="1:123" x14ac:dyDescent="0.3">
      <c r="A4392" t="str">
        <f t="shared" si="1622"/>
        <v>10/04/2022 19:37:21.465</v>
      </c>
      <c r="C4392" t="str">
        <f t="shared" si="1599"/>
        <v>FFDFD3C0</v>
      </c>
      <c r="D4392" t="s">
        <v>123</v>
      </c>
      <c r="E4392">
        <v>7</v>
      </c>
      <c r="F4392">
        <v>2007</v>
      </c>
      <c r="G4392" t="s">
        <v>124</v>
      </c>
      <c r="J4392" t="s">
        <v>125</v>
      </c>
      <c r="K4392">
        <v>0</v>
      </c>
      <c r="L4392">
        <v>3</v>
      </c>
      <c r="M4392">
        <v>0</v>
      </c>
      <c r="N4392">
        <v>2</v>
      </c>
      <c r="O4392">
        <v>0</v>
      </c>
      <c r="P4392">
        <v>1</v>
      </c>
      <c r="Q4392">
        <v>0</v>
      </c>
      <c r="S4392" t="str">
        <f t="shared" si="1623"/>
        <v>19:37:21.000</v>
      </c>
      <c r="T4392" t="str">
        <f t="shared" si="1623"/>
        <v>19:37:21.000</v>
      </c>
      <c r="U4392" t="str">
        <f t="shared" si="1609"/>
        <v>AC3944</v>
      </c>
      <c r="V4392">
        <v>0</v>
      </c>
      <c r="W4392">
        <v>0</v>
      </c>
      <c r="X4392">
        <v>2</v>
      </c>
      <c r="Y4392">
        <v>0</v>
      </c>
      <c r="AA4392">
        <v>1</v>
      </c>
      <c r="AB4392">
        <v>8</v>
      </c>
      <c r="AC4392">
        <v>3</v>
      </c>
      <c r="AD4392">
        <v>0</v>
      </c>
      <c r="AE4392">
        <v>9</v>
      </c>
      <c r="AF4392" t="s">
        <v>138</v>
      </c>
      <c r="AG4392">
        <v>0</v>
      </c>
      <c r="AH4392">
        <v>3</v>
      </c>
      <c r="AI4392">
        <v>1</v>
      </c>
      <c r="AJ4392">
        <v>0</v>
      </c>
      <c r="AK4392" t="s">
        <v>1390</v>
      </c>
      <c r="AL4392">
        <v>32.737949</v>
      </c>
      <c r="AM4392" t="s">
        <v>1391</v>
      </c>
      <c r="AN4392">
        <v>-116.70201299999999</v>
      </c>
      <c r="AO4392">
        <v>25</v>
      </c>
      <c r="AP4392">
        <v>5000</v>
      </c>
      <c r="AQ4392" t="s">
        <v>129</v>
      </c>
      <c r="AR4392">
        <v>-139</v>
      </c>
      <c r="AS4392">
        <v>-78</v>
      </c>
      <c r="AT4392">
        <v>64</v>
      </c>
      <c r="BB4392">
        <v>1200</v>
      </c>
      <c r="BC4392">
        <v>1</v>
      </c>
      <c r="BD4392" t="str">
        <f t="shared" si="1610"/>
        <v xml:space="preserve">N887QR  </v>
      </c>
      <c r="BE4392">
        <v>1</v>
      </c>
      <c r="BG4392">
        <v>0</v>
      </c>
      <c r="BH4392">
        <v>0</v>
      </c>
      <c r="BI4392">
        <v>0</v>
      </c>
      <c r="BJ4392">
        <v>4675</v>
      </c>
      <c r="BK4392">
        <v>-325</v>
      </c>
      <c r="BL4392" t="s">
        <v>163</v>
      </c>
      <c r="BM4392">
        <v>1</v>
      </c>
      <c r="BN4392">
        <v>1</v>
      </c>
      <c r="BO4392">
        <v>1</v>
      </c>
      <c r="BP4392">
        <v>0</v>
      </c>
      <c r="BS4392">
        <v>0</v>
      </c>
      <c r="BT4392">
        <v>0</v>
      </c>
      <c r="BU4392">
        <v>0</v>
      </c>
      <c r="CE4392" t="str">
        <f t="shared" si="1624"/>
        <v>19:37:21.150</v>
      </c>
      <c r="CF4392">
        <v>149686356</v>
      </c>
      <c r="CS4392">
        <v>0</v>
      </c>
      <c r="CT4392">
        <v>2</v>
      </c>
      <c r="CU4392">
        <v>0</v>
      </c>
      <c r="CV4392">
        <v>2</v>
      </c>
      <c r="CW4392">
        <v>0</v>
      </c>
      <c r="CX4392">
        <v>5</v>
      </c>
      <c r="CY4392">
        <v>7</v>
      </c>
      <c r="CZ4392" t="s">
        <v>131</v>
      </c>
      <c r="DA4392">
        <v>286</v>
      </c>
      <c r="DB4392">
        <v>0</v>
      </c>
      <c r="DC4392" t="s">
        <v>132</v>
      </c>
      <c r="DD4392" t="s">
        <v>133</v>
      </c>
      <c r="DG4392">
        <v>911921</v>
      </c>
      <c r="DI4392">
        <v>1</v>
      </c>
      <c r="DJ4392">
        <v>0</v>
      </c>
      <c r="DK4392">
        <v>1</v>
      </c>
      <c r="DL4392">
        <v>0</v>
      </c>
      <c r="DM4392">
        <v>0</v>
      </c>
      <c r="DN4392">
        <v>1</v>
      </c>
      <c r="DO4392">
        <v>0</v>
      </c>
      <c r="DP4392">
        <v>0</v>
      </c>
      <c r="DQ4392">
        <v>0</v>
      </c>
      <c r="DR4392">
        <v>0</v>
      </c>
      <c r="DS4392">
        <v>0</v>
      </c>
    </row>
    <row r="4393" spans="1:123" x14ac:dyDescent="0.3">
      <c r="A4393" t="str">
        <f t="shared" si="1622"/>
        <v>10/04/2022 19:37:21.465</v>
      </c>
      <c r="C4393" t="str">
        <f t="shared" si="1599"/>
        <v>FFDFD3C0</v>
      </c>
      <c r="D4393" t="s">
        <v>134</v>
      </c>
      <c r="E4393">
        <v>15</v>
      </c>
      <c r="J4393" t="s">
        <v>135</v>
      </c>
      <c r="K4393">
        <v>0</v>
      </c>
      <c r="L4393">
        <v>3</v>
      </c>
      <c r="M4393">
        <v>0</v>
      </c>
      <c r="N4393">
        <v>2</v>
      </c>
      <c r="O4393">
        <v>0</v>
      </c>
      <c r="P4393">
        <v>1</v>
      </c>
      <c r="Q4393">
        <v>0</v>
      </c>
      <c r="S4393" t="str">
        <f t="shared" si="1623"/>
        <v>19:37:21.000</v>
      </c>
      <c r="T4393" t="str">
        <f t="shared" si="1623"/>
        <v>19:37:21.000</v>
      </c>
      <c r="U4393" t="str">
        <f t="shared" si="1609"/>
        <v>AC3944</v>
      </c>
      <c r="V4393">
        <v>0</v>
      </c>
      <c r="W4393">
        <v>0</v>
      </c>
      <c r="X4393">
        <v>2</v>
      </c>
      <c r="Y4393">
        <v>0</v>
      </c>
      <c r="AA4393">
        <v>1</v>
      </c>
      <c r="AB4393">
        <v>8</v>
      </c>
      <c r="AC4393">
        <v>3</v>
      </c>
      <c r="AD4393">
        <v>0</v>
      </c>
      <c r="AE4393">
        <v>9</v>
      </c>
      <c r="AF4393" t="s">
        <v>138</v>
      </c>
      <c r="AG4393">
        <v>0</v>
      </c>
      <c r="AH4393">
        <v>3</v>
      </c>
      <c r="AI4393">
        <v>1</v>
      </c>
      <c r="AJ4393">
        <v>0</v>
      </c>
      <c r="AK4393" t="s">
        <v>1390</v>
      </c>
      <c r="AL4393">
        <v>32.737949</v>
      </c>
      <c r="AM4393" t="s">
        <v>1391</v>
      </c>
      <c r="AN4393">
        <v>-116.70201299999999</v>
      </c>
      <c r="AO4393">
        <v>25</v>
      </c>
      <c r="AP4393">
        <v>5000</v>
      </c>
      <c r="AQ4393" t="s">
        <v>129</v>
      </c>
      <c r="AR4393">
        <v>-139</v>
      </c>
      <c r="AS4393">
        <v>-78</v>
      </c>
      <c r="AT4393">
        <v>64</v>
      </c>
      <c r="BB4393">
        <v>1200</v>
      </c>
      <c r="BC4393">
        <v>1</v>
      </c>
      <c r="BD4393" t="str">
        <f t="shared" si="1610"/>
        <v xml:space="preserve">N887QR  </v>
      </c>
      <c r="BE4393">
        <v>1</v>
      </c>
      <c r="BG4393">
        <v>0</v>
      </c>
      <c r="BH4393">
        <v>0</v>
      </c>
      <c r="BI4393">
        <v>0</v>
      </c>
      <c r="BJ4393">
        <v>4675</v>
      </c>
      <c r="BK4393">
        <v>-325</v>
      </c>
      <c r="BL4393" t="s">
        <v>163</v>
      </c>
      <c r="BM4393">
        <v>1</v>
      </c>
      <c r="BN4393">
        <v>1</v>
      </c>
      <c r="BO4393">
        <v>1</v>
      </c>
      <c r="BP4393">
        <v>0</v>
      </c>
      <c r="BS4393">
        <v>0</v>
      </c>
      <c r="BT4393">
        <v>0</v>
      </c>
      <c r="BU4393">
        <v>0</v>
      </c>
      <c r="CE4393" t="str">
        <f t="shared" si="1624"/>
        <v>19:37:21.150</v>
      </c>
      <c r="CF4393">
        <v>149686356</v>
      </c>
      <c r="CS4393">
        <v>0</v>
      </c>
      <c r="CT4393">
        <v>2</v>
      </c>
      <c r="CU4393">
        <v>0</v>
      </c>
      <c r="CV4393">
        <v>2</v>
      </c>
      <c r="CW4393">
        <v>0</v>
      </c>
      <c r="CX4393">
        <v>5</v>
      </c>
      <c r="CY4393">
        <v>7</v>
      </c>
      <c r="CZ4393" t="s">
        <v>131</v>
      </c>
      <c r="DA4393">
        <v>286</v>
      </c>
      <c r="DB4393">
        <v>0</v>
      </c>
      <c r="DC4393" t="s">
        <v>132</v>
      </c>
      <c r="DD4393" t="s">
        <v>133</v>
      </c>
      <c r="DG4393">
        <v>911921</v>
      </c>
      <c r="DI4393">
        <v>1</v>
      </c>
      <c r="DJ4393">
        <v>0</v>
      </c>
      <c r="DK4393">
        <v>1</v>
      </c>
      <c r="DL4393">
        <v>0</v>
      </c>
      <c r="DM4393">
        <v>0</v>
      </c>
      <c r="DN4393">
        <v>1</v>
      </c>
      <c r="DO4393">
        <v>0</v>
      </c>
      <c r="DP4393">
        <v>0</v>
      </c>
      <c r="DQ4393">
        <v>0</v>
      </c>
      <c r="DR4393">
        <v>0</v>
      </c>
      <c r="DS4393">
        <v>0</v>
      </c>
    </row>
    <row r="4394" spans="1:123" x14ac:dyDescent="0.3">
      <c r="A4394" t="str">
        <f>"10/04/2022 19:37:22.449"</f>
        <v>10/04/2022 19:37:22.449</v>
      </c>
      <c r="C4394" t="str">
        <f t="shared" si="1599"/>
        <v>FFDFD3C0</v>
      </c>
      <c r="D4394" t="s">
        <v>136</v>
      </c>
      <c r="E4394">
        <v>8</v>
      </c>
      <c r="H4394">
        <v>225</v>
      </c>
      <c r="I4394" t="s">
        <v>137</v>
      </c>
      <c r="J4394" t="s">
        <v>138</v>
      </c>
      <c r="K4394">
        <v>0</v>
      </c>
      <c r="L4394">
        <v>3</v>
      </c>
      <c r="M4394">
        <v>0</v>
      </c>
      <c r="N4394">
        <v>2</v>
      </c>
      <c r="O4394">
        <v>0</v>
      </c>
      <c r="P4394">
        <v>1</v>
      </c>
      <c r="Q4394">
        <v>0</v>
      </c>
      <c r="S4394" t="str">
        <f t="shared" ref="S4394:T4400" si="1625">"19:37:22.000"</f>
        <v>19:37:22.000</v>
      </c>
      <c r="T4394" t="str">
        <f t="shared" si="1625"/>
        <v>19:37:22.000</v>
      </c>
      <c r="U4394" t="str">
        <f t="shared" si="1609"/>
        <v>AC3944</v>
      </c>
      <c r="V4394">
        <v>0</v>
      </c>
      <c r="W4394">
        <v>0</v>
      </c>
      <c r="X4394">
        <v>2</v>
      </c>
      <c r="Y4394">
        <v>0</v>
      </c>
      <c r="AA4394">
        <v>1</v>
      </c>
      <c r="AB4394">
        <v>8</v>
      </c>
      <c r="AC4394">
        <v>3</v>
      </c>
      <c r="AD4394">
        <v>0</v>
      </c>
      <c r="AE4394">
        <v>9</v>
      </c>
      <c r="AF4394" t="s">
        <v>138</v>
      </c>
      <c r="AG4394">
        <v>0</v>
      </c>
      <c r="AH4394">
        <v>3</v>
      </c>
      <c r="AI4394">
        <v>1</v>
      </c>
      <c r="AJ4394">
        <v>0</v>
      </c>
      <c r="AK4394" t="s">
        <v>1240</v>
      </c>
      <c r="AL4394">
        <v>32.737583999999998</v>
      </c>
      <c r="AM4394" t="s">
        <v>1392</v>
      </c>
      <c r="AN4394">
        <v>-116.70278500000001</v>
      </c>
      <c r="AO4394">
        <v>25</v>
      </c>
      <c r="AP4394">
        <v>5000</v>
      </c>
      <c r="AQ4394" t="s">
        <v>129</v>
      </c>
      <c r="AR4394">
        <v>-140</v>
      </c>
      <c r="AS4394">
        <v>-78</v>
      </c>
      <c r="AT4394">
        <v>0</v>
      </c>
      <c r="BB4394">
        <v>1200</v>
      </c>
      <c r="BC4394">
        <v>1</v>
      </c>
      <c r="BD4394" t="str">
        <f t="shared" si="1610"/>
        <v xml:space="preserve">N887QR  </v>
      </c>
      <c r="BE4394">
        <v>1</v>
      </c>
      <c r="BG4394">
        <v>0</v>
      </c>
      <c r="BH4394">
        <v>0</v>
      </c>
      <c r="BI4394">
        <v>0</v>
      </c>
      <c r="BJ4394">
        <v>4675</v>
      </c>
      <c r="BK4394">
        <v>-325</v>
      </c>
      <c r="BL4394" t="s">
        <v>163</v>
      </c>
      <c r="BM4394">
        <v>1</v>
      </c>
      <c r="BN4394">
        <v>1</v>
      </c>
      <c r="BO4394">
        <v>1</v>
      </c>
      <c r="BP4394">
        <v>0</v>
      </c>
      <c r="BS4394">
        <v>0</v>
      </c>
      <c r="BT4394">
        <v>0</v>
      </c>
      <c r="BU4394">
        <v>0</v>
      </c>
      <c r="CE4394" t="str">
        <f t="shared" ref="CE4394:CE4400" si="1626">"19:37:22.136"</f>
        <v>19:37:22.136</v>
      </c>
      <c r="CF4394">
        <v>135689270</v>
      </c>
      <c r="CS4394">
        <v>0</v>
      </c>
      <c r="CT4394">
        <v>2</v>
      </c>
      <c r="CU4394">
        <v>0</v>
      </c>
      <c r="CV4394">
        <v>2</v>
      </c>
      <c r="CW4394">
        <v>0</v>
      </c>
      <c r="CX4394">
        <v>5</v>
      </c>
      <c r="CY4394">
        <v>7</v>
      </c>
      <c r="CZ4394" t="s">
        <v>131</v>
      </c>
      <c r="DA4394">
        <v>286</v>
      </c>
      <c r="DB4394">
        <v>0</v>
      </c>
      <c r="DC4394" t="s">
        <v>132</v>
      </c>
      <c r="DD4394" t="s">
        <v>133</v>
      </c>
      <c r="DG4394">
        <v>912163</v>
      </c>
      <c r="DI4394">
        <v>1</v>
      </c>
      <c r="DJ4394">
        <v>0</v>
      </c>
      <c r="DK4394">
        <v>0</v>
      </c>
      <c r="DL4394">
        <v>0</v>
      </c>
      <c r="DM4394">
        <v>0</v>
      </c>
      <c r="DN4394">
        <v>1</v>
      </c>
      <c r="DO4394">
        <v>0</v>
      </c>
      <c r="DP4394">
        <v>0</v>
      </c>
      <c r="DQ4394">
        <v>0</v>
      </c>
      <c r="DR4394">
        <v>0</v>
      </c>
      <c r="DS4394">
        <v>0</v>
      </c>
    </row>
    <row r="4395" spans="1:123" x14ac:dyDescent="0.3">
      <c r="A4395" t="str">
        <f>"10/04/2022 19:37:22.480"</f>
        <v>10/04/2022 19:37:22.480</v>
      </c>
      <c r="C4395" t="str">
        <f t="shared" ref="C4395:C4458" si="1627">"FFDFD3C0"</f>
        <v>FFDFD3C0</v>
      </c>
      <c r="D4395" t="s">
        <v>141</v>
      </c>
      <c r="E4395">
        <v>3</v>
      </c>
      <c r="H4395">
        <v>3</v>
      </c>
      <c r="I4395" t="s">
        <v>146</v>
      </c>
      <c r="J4395" t="s">
        <v>138</v>
      </c>
      <c r="K4395">
        <v>0</v>
      </c>
      <c r="L4395">
        <v>3</v>
      </c>
      <c r="M4395">
        <v>0</v>
      </c>
      <c r="N4395">
        <v>2</v>
      </c>
      <c r="O4395">
        <v>0</v>
      </c>
      <c r="P4395">
        <v>1</v>
      </c>
      <c r="Q4395">
        <v>0</v>
      </c>
      <c r="S4395" t="str">
        <f t="shared" si="1625"/>
        <v>19:37:22.000</v>
      </c>
      <c r="T4395" t="str">
        <f t="shared" si="1625"/>
        <v>19:37:22.000</v>
      </c>
      <c r="U4395" t="str">
        <f t="shared" si="1609"/>
        <v>AC3944</v>
      </c>
      <c r="V4395">
        <v>0</v>
      </c>
      <c r="W4395">
        <v>0</v>
      </c>
      <c r="X4395">
        <v>2</v>
      </c>
      <c r="Y4395">
        <v>0</v>
      </c>
      <c r="AA4395">
        <v>1</v>
      </c>
      <c r="AB4395">
        <v>8</v>
      </c>
      <c r="AC4395">
        <v>3</v>
      </c>
      <c r="AD4395">
        <v>0</v>
      </c>
      <c r="AE4395">
        <v>9</v>
      </c>
      <c r="AF4395" t="s">
        <v>138</v>
      </c>
      <c r="AG4395">
        <v>0</v>
      </c>
      <c r="AH4395">
        <v>3</v>
      </c>
      <c r="AI4395">
        <v>1</v>
      </c>
      <c r="AJ4395">
        <v>0</v>
      </c>
      <c r="AK4395" t="s">
        <v>1240</v>
      </c>
      <c r="AL4395">
        <v>32.737583999999998</v>
      </c>
      <c r="AM4395" t="s">
        <v>1392</v>
      </c>
      <c r="AN4395">
        <v>-116.70278500000001</v>
      </c>
      <c r="AO4395">
        <v>25</v>
      </c>
      <c r="AP4395">
        <v>5000</v>
      </c>
      <c r="AQ4395" t="s">
        <v>129</v>
      </c>
      <c r="AR4395">
        <v>-140</v>
      </c>
      <c r="AS4395">
        <v>-78</v>
      </c>
      <c r="AT4395">
        <v>0</v>
      </c>
      <c r="BB4395">
        <v>1200</v>
      </c>
      <c r="BC4395">
        <v>1</v>
      </c>
      <c r="BD4395" t="str">
        <f t="shared" si="1610"/>
        <v xml:space="preserve">N887QR  </v>
      </c>
      <c r="BE4395">
        <v>1</v>
      </c>
      <c r="BG4395">
        <v>0</v>
      </c>
      <c r="BH4395">
        <v>0</v>
      </c>
      <c r="BI4395">
        <v>0</v>
      </c>
      <c r="BJ4395">
        <v>4675</v>
      </c>
      <c r="BK4395">
        <v>-325</v>
      </c>
      <c r="BL4395" t="s">
        <v>163</v>
      </c>
      <c r="BM4395">
        <v>1</v>
      </c>
      <c r="BN4395">
        <v>1</v>
      </c>
      <c r="BO4395">
        <v>1</v>
      </c>
      <c r="BP4395">
        <v>0</v>
      </c>
      <c r="BS4395">
        <v>0</v>
      </c>
      <c r="BT4395">
        <v>0</v>
      </c>
      <c r="BU4395">
        <v>0</v>
      </c>
      <c r="CE4395" t="str">
        <f t="shared" si="1626"/>
        <v>19:37:22.136</v>
      </c>
      <c r="CF4395">
        <v>135689270</v>
      </c>
      <c r="CS4395">
        <v>0</v>
      </c>
      <c r="CT4395">
        <v>2</v>
      </c>
      <c r="CU4395">
        <v>0</v>
      </c>
      <c r="CV4395">
        <v>2</v>
      </c>
      <c r="CW4395">
        <v>0</v>
      </c>
      <c r="CX4395">
        <v>5</v>
      </c>
      <c r="CY4395">
        <v>7</v>
      </c>
      <c r="CZ4395" t="s">
        <v>131</v>
      </c>
      <c r="DA4395">
        <v>286</v>
      </c>
      <c r="DB4395">
        <v>0</v>
      </c>
      <c r="DC4395" t="s">
        <v>132</v>
      </c>
      <c r="DD4395" t="s">
        <v>133</v>
      </c>
      <c r="DG4395">
        <v>912163</v>
      </c>
      <c r="DI4395">
        <v>1</v>
      </c>
      <c r="DJ4395">
        <v>0</v>
      </c>
      <c r="DK4395">
        <v>0</v>
      </c>
      <c r="DL4395">
        <v>0</v>
      </c>
      <c r="DM4395">
        <v>0</v>
      </c>
      <c r="DN4395">
        <v>1</v>
      </c>
      <c r="DO4395">
        <v>0</v>
      </c>
      <c r="DP4395">
        <v>0</v>
      </c>
      <c r="DQ4395">
        <v>0</v>
      </c>
      <c r="DR4395">
        <v>0</v>
      </c>
      <c r="DS4395">
        <v>0</v>
      </c>
    </row>
    <row r="4396" spans="1:123" x14ac:dyDescent="0.3">
      <c r="A4396" t="str">
        <f>"10/04/2022 19:37:22.480"</f>
        <v>10/04/2022 19:37:22.480</v>
      </c>
      <c r="C4396" t="str">
        <f t="shared" si="1627"/>
        <v>FFDFD3C0</v>
      </c>
      <c r="D4396" t="s">
        <v>143</v>
      </c>
      <c r="E4396">
        <v>20</v>
      </c>
      <c r="F4396">
        <v>1020</v>
      </c>
      <c r="G4396" t="s">
        <v>144</v>
      </c>
      <c r="J4396" t="s">
        <v>145</v>
      </c>
      <c r="K4396">
        <v>0</v>
      </c>
      <c r="L4396">
        <v>3</v>
      </c>
      <c r="M4396">
        <v>0</v>
      </c>
      <c r="N4396">
        <v>2</v>
      </c>
      <c r="O4396">
        <v>0</v>
      </c>
      <c r="P4396">
        <v>1</v>
      </c>
      <c r="Q4396">
        <v>0</v>
      </c>
      <c r="S4396" t="str">
        <f t="shared" si="1625"/>
        <v>19:37:22.000</v>
      </c>
      <c r="T4396" t="str">
        <f t="shared" si="1625"/>
        <v>19:37:22.000</v>
      </c>
      <c r="U4396" t="str">
        <f t="shared" si="1609"/>
        <v>AC3944</v>
      </c>
      <c r="V4396">
        <v>0</v>
      </c>
      <c r="W4396">
        <v>0</v>
      </c>
      <c r="X4396">
        <v>2</v>
      </c>
      <c r="Y4396">
        <v>0</v>
      </c>
      <c r="AA4396">
        <v>1</v>
      </c>
      <c r="AB4396">
        <v>8</v>
      </c>
      <c r="AC4396">
        <v>3</v>
      </c>
      <c r="AD4396">
        <v>0</v>
      </c>
      <c r="AE4396">
        <v>9</v>
      </c>
      <c r="AF4396" t="s">
        <v>138</v>
      </c>
      <c r="AG4396">
        <v>0</v>
      </c>
      <c r="AH4396">
        <v>3</v>
      </c>
      <c r="AI4396">
        <v>1</v>
      </c>
      <c r="AJ4396">
        <v>0</v>
      </c>
      <c r="AK4396" t="s">
        <v>1240</v>
      </c>
      <c r="AL4396">
        <v>32.737583999999998</v>
      </c>
      <c r="AM4396" t="s">
        <v>1392</v>
      </c>
      <c r="AN4396">
        <v>-116.70278500000001</v>
      </c>
      <c r="AO4396">
        <v>25</v>
      </c>
      <c r="AP4396">
        <v>5000</v>
      </c>
      <c r="AQ4396" t="s">
        <v>129</v>
      </c>
      <c r="AR4396">
        <v>-140</v>
      </c>
      <c r="AS4396">
        <v>-78</v>
      </c>
      <c r="AT4396">
        <v>0</v>
      </c>
      <c r="BB4396">
        <v>1200</v>
      </c>
      <c r="BC4396">
        <v>1</v>
      </c>
      <c r="BD4396" t="str">
        <f t="shared" si="1610"/>
        <v xml:space="preserve">N887QR  </v>
      </c>
      <c r="BE4396">
        <v>1</v>
      </c>
      <c r="BG4396">
        <v>0</v>
      </c>
      <c r="BH4396">
        <v>0</v>
      </c>
      <c r="BI4396">
        <v>0</v>
      </c>
      <c r="BJ4396">
        <v>4675</v>
      </c>
      <c r="BK4396">
        <v>-325</v>
      </c>
      <c r="BL4396" t="s">
        <v>163</v>
      </c>
      <c r="BM4396">
        <v>1</v>
      </c>
      <c r="BN4396">
        <v>1</v>
      </c>
      <c r="BO4396">
        <v>1</v>
      </c>
      <c r="BP4396">
        <v>0</v>
      </c>
      <c r="BS4396">
        <v>0</v>
      </c>
      <c r="BT4396">
        <v>0</v>
      </c>
      <c r="BU4396">
        <v>0</v>
      </c>
      <c r="CE4396" t="str">
        <f t="shared" si="1626"/>
        <v>19:37:22.136</v>
      </c>
      <c r="CF4396">
        <v>135689270</v>
      </c>
      <c r="CS4396">
        <v>0</v>
      </c>
      <c r="CT4396">
        <v>2</v>
      </c>
      <c r="CU4396">
        <v>0</v>
      </c>
      <c r="CV4396">
        <v>2</v>
      </c>
      <c r="CW4396">
        <v>0</v>
      </c>
      <c r="CX4396">
        <v>5</v>
      </c>
      <c r="CY4396">
        <v>7</v>
      </c>
      <c r="CZ4396" t="s">
        <v>131</v>
      </c>
      <c r="DA4396">
        <v>286</v>
      </c>
      <c r="DB4396">
        <v>0</v>
      </c>
      <c r="DC4396" t="s">
        <v>132</v>
      </c>
      <c r="DD4396" t="s">
        <v>133</v>
      </c>
      <c r="DG4396">
        <v>912163</v>
      </c>
      <c r="DI4396">
        <v>1</v>
      </c>
      <c r="DJ4396">
        <v>0</v>
      </c>
      <c r="DK4396">
        <v>1</v>
      </c>
      <c r="DL4396">
        <v>0</v>
      </c>
      <c r="DM4396">
        <v>0</v>
      </c>
      <c r="DN4396">
        <v>1</v>
      </c>
      <c r="DO4396">
        <v>0</v>
      </c>
      <c r="DP4396">
        <v>0</v>
      </c>
      <c r="DQ4396">
        <v>0</v>
      </c>
      <c r="DR4396">
        <v>0</v>
      </c>
      <c r="DS4396">
        <v>0</v>
      </c>
    </row>
    <row r="4397" spans="1:123" x14ac:dyDescent="0.3">
      <c r="A4397" t="str">
        <f>"10/04/2022 19:37:22.480"</f>
        <v>10/04/2022 19:37:22.480</v>
      </c>
      <c r="C4397" t="str">
        <f t="shared" si="1627"/>
        <v>FFDFD3C0</v>
      </c>
      <c r="D4397" t="s">
        <v>123</v>
      </c>
      <c r="E4397">
        <v>7</v>
      </c>
      <c r="F4397">
        <v>2007</v>
      </c>
      <c r="G4397" t="s">
        <v>124</v>
      </c>
      <c r="J4397" t="s">
        <v>125</v>
      </c>
      <c r="K4397">
        <v>0</v>
      </c>
      <c r="L4397">
        <v>3</v>
      </c>
      <c r="M4397">
        <v>0</v>
      </c>
      <c r="N4397">
        <v>2</v>
      </c>
      <c r="O4397">
        <v>0</v>
      </c>
      <c r="P4397">
        <v>1</v>
      </c>
      <c r="Q4397">
        <v>0</v>
      </c>
      <c r="S4397" t="str">
        <f t="shared" si="1625"/>
        <v>19:37:22.000</v>
      </c>
      <c r="T4397" t="str">
        <f t="shared" si="1625"/>
        <v>19:37:22.000</v>
      </c>
      <c r="U4397" t="str">
        <f t="shared" si="1609"/>
        <v>AC3944</v>
      </c>
      <c r="V4397">
        <v>0</v>
      </c>
      <c r="W4397">
        <v>0</v>
      </c>
      <c r="X4397">
        <v>2</v>
      </c>
      <c r="Y4397">
        <v>0</v>
      </c>
      <c r="AA4397">
        <v>1</v>
      </c>
      <c r="AB4397">
        <v>8</v>
      </c>
      <c r="AC4397">
        <v>3</v>
      </c>
      <c r="AD4397">
        <v>0</v>
      </c>
      <c r="AE4397">
        <v>9</v>
      </c>
      <c r="AF4397" t="s">
        <v>138</v>
      </c>
      <c r="AG4397">
        <v>0</v>
      </c>
      <c r="AH4397">
        <v>3</v>
      </c>
      <c r="AI4397">
        <v>1</v>
      </c>
      <c r="AJ4397">
        <v>0</v>
      </c>
      <c r="AK4397" t="s">
        <v>1240</v>
      </c>
      <c r="AL4397">
        <v>32.737583999999998</v>
      </c>
      <c r="AM4397" t="s">
        <v>1392</v>
      </c>
      <c r="AN4397">
        <v>-116.70278500000001</v>
      </c>
      <c r="AO4397">
        <v>25</v>
      </c>
      <c r="AP4397">
        <v>5000</v>
      </c>
      <c r="AQ4397" t="s">
        <v>129</v>
      </c>
      <c r="AR4397">
        <v>-140</v>
      </c>
      <c r="AS4397">
        <v>-78</v>
      </c>
      <c r="AT4397">
        <v>0</v>
      </c>
      <c r="BB4397">
        <v>1200</v>
      </c>
      <c r="BC4397">
        <v>1</v>
      </c>
      <c r="BD4397" t="str">
        <f t="shared" si="1610"/>
        <v xml:space="preserve">N887QR  </v>
      </c>
      <c r="BE4397">
        <v>1</v>
      </c>
      <c r="BG4397">
        <v>0</v>
      </c>
      <c r="BH4397">
        <v>0</v>
      </c>
      <c r="BI4397">
        <v>0</v>
      </c>
      <c r="BJ4397">
        <v>4675</v>
      </c>
      <c r="BK4397">
        <v>-325</v>
      </c>
      <c r="BL4397" t="s">
        <v>163</v>
      </c>
      <c r="BM4397">
        <v>1</v>
      </c>
      <c r="BN4397">
        <v>1</v>
      </c>
      <c r="BO4397">
        <v>1</v>
      </c>
      <c r="BP4397">
        <v>0</v>
      </c>
      <c r="BS4397">
        <v>0</v>
      </c>
      <c r="BT4397">
        <v>0</v>
      </c>
      <c r="BU4397">
        <v>0</v>
      </c>
      <c r="CE4397" t="str">
        <f t="shared" si="1626"/>
        <v>19:37:22.136</v>
      </c>
      <c r="CF4397">
        <v>135689270</v>
      </c>
      <c r="CS4397">
        <v>0</v>
      </c>
      <c r="CT4397">
        <v>2</v>
      </c>
      <c r="CU4397">
        <v>0</v>
      </c>
      <c r="CV4397">
        <v>2</v>
      </c>
      <c r="CW4397">
        <v>0</v>
      </c>
      <c r="CX4397">
        <v>5</v>
      </c>
      <c r="CY4397">
        <v>7</v>
      </c>
      <c r="CZ4397" t="s">
        <v>131</v>
      </c>
      <c r="DA4397">
        <v>286</v>
      </c>
      <c r="DB4397">
        <v>0</v>
      </c>
      <c r="DC4397" t="s">
        <v>132</v>
      </c>
      <c r="DD4397" t="s">
        <v>133</v>
      </c>
      <c r="DG4397">
        <v>912163</v>
      </c>
      <c r="DI4397">
        <v>1</v>
      </c>
      <c r="DJ4397">
        <v>0</v>
      </c>
      <c r="DK4397">
        <v>1</v>
      </c>
      <c r="DL4397">
        <v>0</v>
      </c>
      <c r="DM4397">
        <v>0</v>
      </c>
      <c r="DN4397">
        <v>1</v>
      </c>
      <c r="DO4397">
        <v>0</v>
      </c>
      <c r="DP4397">
        <v>0</v>
      </c>
      <c r="DQ4397">
        <v>0</v>
      </c>
      <c r="DR4397">
        <v>0</v>
      </c>
      <c r="DS4397">
        <v>0</v>
      </c>
    </row>
    <row r="4398" spans="1:123" x14ac:dyDescent="0.3">
      <c r="A4398" t="str">
        <f>"10/04/2022 19:37:22.512"</f>
        <v>10/04/2022 19:37:22.512</v>
      </c>
      <c r="C4398" t="str">
        <f t="shared" si="1627"/>
        <v>FFDFD3C0</v>
      </c>
      <c r="D4398" t="s">
        <v>141</v>
      </c>
      <c r="E4398">
        <v>4</v>
      </c>
      <c r="H4398">
        <v>4</v>
      </c>
      <c r="I4398" t="s">
        <v>142</v>
      </c>
      <c r="J4398" t="s">
        <v>138</v>
      </c>
      <c r="K4398">
        <v>0</v>
      </c>
      <c r="L4398">
        <v>3</v>
      </c>
      <c r="M4398">
        <v>0</v>
      </c>
      <c r="N4398">
        <v>2</v>
      </c>
      <c r="O4398">
        <v>0</v>
      </c>
      <c r="P4398">
        <v>1</v>
      </c>
      <c r="Q4398">
        <v>0</v>
      </c>
      <c r="S4398" t="str">
        <f t="shared" si="1625"/>
        <v>19:37:22.000</v>
      </c>
      <c r="T4398" t="str">
        <f t="shared" si="1625"/>
        <v>19:37:22.000</v>
      </c>
      <c r="U4398" t="str">
        <f t="shared" si="1609"/>
        <v>AC3944</v>
      </c>
      <c r="V4398">
        <v>0</v>
      </c>
      <c r="W4398">
        <v>0</v>
      </c>
      <c r="X4398">
        <v>2</v>
      </c>
      <c r="Y4398">
        <v>0</v>
      </c>
      <c r="AA4398">
        <v>1</v>
      </c>
      <c r="AB4398">
        <v>8</v>
      </c>
      <c r="AC4398">
        <v>3</v>
      </c>
      <c r="AD4398">
        <v>0</v>
      </c>
      <c r="AE4398">
        <v>9</v>
      </c>
      <c r="AF4398" t="s">
        <v>138</v>
      </c>
      <c r="AG4398">
        <v>0</v>
      </c>
      <c r="AH4398">
        <v>3</v>
      </c>
      <c r="AI4398">
        <v>1</v>
      </c>
      <c r="AJ4398">
        <v>0</v>
      </c>
      <c r="AK4398" t="s">
        <v>1240</v>
      </c>
      <c r="AL4398">
        <v>32.737583999999998</v>
      </c>
      <c r="AM4398" t="s">
        <v>1392</v>
      </c>
      <c r="AN4398">
        <v>-116.70278500000001</v>
      </c>
      <c r="AO4398">
        <v>25</v>
      </c>
      <c r="AP4398">
        <v>5000</v>
      </c>
      <c r="AQ4398" t="s">
        <v>129</v>
      </c>
      <c r="AR4398">
        <v>-140</v>
      </c>
      <c r="AS4398">
        <v>-78</v>
      </c>
      <c r="AT4398">
        <v>0</v>
      </c>
      <c r="BB4398">
        <v>1200</v>
      </c>
      <c r="BC4398">
        <v>1</v>
      </c>
      <c r="BD4398" t="str">
        <f t="shared" si="1610"/>
        <v xml:space="preserve">N887QR  </v>
      </c>
      <c r="BE4398">
        <v>1</v>
      </c>
      <c r="BG4398">
        <v>0</v>
      </c>
      <c r="BH4398">
        <v>0</v>
      </c>
      <c r="BI4398">
        <v>0</v>
      </c>
      <c r="BJ4398">
        <v>4675</v>
      </c>
      <c r="BK4398">
        <v>-325</v>
      </c>
      <c r="BL4398" t="s">
        <v>163</v>
      </c>
      <c r="BM4398">
        <v>1</v>
      </c>
      <c r="BN4398">
        <v>1</v>
      </c>
      <c r="BO4398">
        <v>1</v>
      </c>
      <c r="BP4398">
        <v>0</v>
      </c>
      <c r="BS4398">
        <v>0</v>
      </c>
      <c r="BT4398">
        <v>0</v>
      </c>
      <c r="BU4398">
        <v>0</v>
      </c>
      <c r="CE4398" t="str">
        <f t="shared" si="1626"/>
        <v>19:37:22.136</v>
      </c>
      <c r="CF4398">
        <v>135689270</v>
      </c>
      <c r="CS4398">
        <v>0</v>
      </c>
      <c r="CT4398">
        <v>2</v>
      </c>
      <c r="CU4398">
        <v>0</v>
      </c>
      <c r="CV4398">
        <v>2</v>
      </c>
      <c r="CW4398">
        <v>0</v>
      </c>
      <c r="CX4398">
        <v>5</v>
      </c>
      <c r="CY4398">
        <v>7</v>
      </c>
      <c r="CZ4398" t="s">
        <v>131</v>
      </c>
      <c r="DA4398">
        <v>286</v>
      </c>
      <c r="DB4398">
        <v>0</v>
      </c>
      <c r="DC4398" t="s">
        <v>132</v>
      </c>
      <c r="DD4398" t="s">
        <v>133</v>
      </c>
      <c r="DG4398">
        <v>912163</v>
      </c>
      <c r="DI4398">
        <v>1</v>
      </c>
      <c r="DJ4398">
        <v>0</v>
      </c>
      <c r="DK4398">
        <v>1</v>
      </c>
      <c r="DL4398">
        <v>0</v>
      </c>
      <c r="DM4398">
        <v>0</v>
      </c>
      <c r="DN4398">
        <v>1</v>
      </c>
      <c r="DO4398">
        <v>0</v>
      </c>
      <c r="DP4398">
        <v>0</v>
      </c>
      <c r="DQ4398">
        <v>0</v>
      </c>
      <c r="DR4398">
        <v>0</v>
      </c>
      <c r="DS4398">
        <v>0</v>
      </c>
    </row>
    <row r="4399" spans="1:123" x14ac:dyDescent="0.3">
      <c r="A4399" t="str">
        <f>"10/04/2022 19:37:22.512"</f>
        <v>10/04/2022 19:37:22.512</v>
      </c>
      <c r="C4399" t="str">
        <f t="shared" si="1627"/>
        <v>FFDFD3C0</v>
      </c>
      <c r="D4399" t="s">
        <v>147</v>
      </c>
      <c r="E4399">
        <v>3</v>
      </c>
      <c r="H4399">
        <v>166</v>
      </c>
      <c r="I4399" t="s">
        <v>144</v>
      </c>
      <c r="J4399" t="s">
        <v>148</v>
      </c>
      <c r="K4399">
        <v>0</v>
      </c>
      <c r="L4399">
        <v>3</v>
      </c>
      <c r="M4399">
        <v>0</v>
      </c>
      <c r="N4399">
        <v>2</v>
      </c>
      <c r="O4399">
        <v>0</v>
      </c>
      <c r="P4399">
        <v>1</v>
      </c>
      <c r="Q4399">
        <v>0</v>
      </c>
      <c r="S4399" t="str">
        <f t="shared" si="1625"/>
        <v>19:37:22.000</v>
      </c>
      <c r="T4399" t="str">
        <f t="shared" si="1625"/>
        <v>19:37:22.000</v>
      </c>
      <c r="U4399" t="str">
        <f t="shared" si="1609"/>
        <v>AC3944</v>
      </c>
      <c r="V4399">
        <v>0</v>
      </c>
      <c r="W4399">
        <v>0</v>
      </c>
      <c r="X4399">
        <v>2</v>
      </c>
      <c r="Y4399">
        <v>0</v>
      </c>
      <c r="AA4399">
        <v>1</v>
      </c>
      <c r="AB4399">
        <v>8</v>
      </c>
      <c r="AC4399">
        <v>3</v>
      </c>
      <c r="AD4399">
        <v>0</v>
      </c>
      <c r="AE4399">
        <v>9</v>
      </c>
      <c r="AF4399" t="s">
        <v>138</v>
      </c>
      <c r="AG4399">
        <v>0</v>
      </c>
      <c r="AH4399">
        <v>3</v>
      </c>
      <c r="AI4399">
        <v>1</v>
      </c>
      <c r="AJ4399">
        <v>0</v>
      </c>
      <c r="AK4399" t="s">
        <v>1240</v>
      </c>
      <c r="AL4399">
        <v>32.737583999999998</v>
      </c>
      <c r="AM4399" t="s">
        <v>1392</v>
      </c>
      <c r="AN4399">
        <v>-116.70278500000001</v>
      </c>
      <c r="AO4399">
        <v>25</v>
      </c>
      <c r="AP4399">
        <v>5000</v>
      </c>
      <c r="AQ4399" t="s">
        <v>129</v>
      </c>
      <c r="AR4399">
        <v>-140</v>
      </c>
      <c r="AS4399">
        <v>-78</v>
      </c>
      <c r="AT4399">
        <v>0</v>
      </c>
      <c r="BB4399">
        <v>1200</v>
      </c>
      <c r="BC4399">
        <v>1</v>
      </c>
      <c r="BD4399" t="str">
        <f t="shared" si="1610"/>
        <v xml:space="preserve">N887QR  </v>
      </c>
      <c r="BE4399">
        <v>1</v>
      </c>
      <c r="BG4399">
        <v>0</v>
      </c>
      <c r="BH4399">
        <v>0</v>
      </c>
      <c r="BI4399">
        <v>0</v>
      </c>
      <c r="BJ4399">
        <v>4675</v>
      </c>
      <c r="BK4399">
        <v>-325</v>
      </c>
      <c r="BL4399" t="s">
        <v>163</v>
      </c>
      <c r="BM4399">
        <v>1</v>
      </c>
      <c r="BN4399">
        <v>1</v>
      </c>
      <c r="BO4399">
        <v>1</v>
      </c>
      <c r="BP4399">
        <v>0</v>
      </c>
      <c r="BS4399">
        <v>0</v>
      </c>
      <c r="BT4399">
        <v>0</v>
      </c>
      <c r="BU4399">
        <v>0</v>
      </c>
      <c r="CE4399" t="str">
        <f t="shared" si="1626"/>
        <v>19:37:22.136</v>
      </c>
      <c r="CF4399">
        <v>135689270</v>
      </c>
      <c r="CS4399">
        <v>0</v>
      </c>
      <c r="CT4399">
        <v>2</v>
      </c>
      <c r="CU4399">
        <v>0</v>
      </c>
      <c r="CV4399">
        <v>2</v>
      </c>
      <c r="CW4399">
        <v>0</v>
      </c>
      <c r="CX4399">
        <v>5</v>
      </c>
      <c r="CY4399">
        <v>7</v>
      </c>
      <c r="CZ4399" t="s">
        <v>131</v>
      </c>
      <c r="DA4399">
        <v>286</v>
      </c>
      <c r="DB4399">
        <v>0</v>
      </c>
      <c r="DC4399" t="s">
        <v>132</v>
      </c>
      <c r="DD4399" t="s">
        <v>133</v>
      </c>
      <c r="DG4399">
        <v>912163</v>
      </c>
      <c r="DI4399">
        <v>1</v>
      </c>
      <c r="DJ4399">
        <v>0</v>
      </c>
      <c r="DK4399">
        <v>1</v>
      </c>
      <c r="DL4399">
        <v>0</v>
      </c>
      <c r="DM4399">
        <v>0</v>
      </c>
      <c r="DN4399">
        <v>1</v>
      </c>
      <c r="DO4399">
        <v>0</v>
      </c>
      <c r="DP4399">
        <v>0</v>
      </c>
      <c r="DQ4399">
        <v>0</v>
      </c>
      <c r="DR4399">
        <v>0</v>
      </c>
      <c r="DS4399">
        <v>0</v>
      </c>
    </row>
    <row r="4400" spans="1:123" x14ac:dyDescent="0.3">
      <c r="A4400" t="str">
        <f>"10/04/2022 19:37:22.512"</f>
        <v>10/04/2022 19:37:22.512</v>
      </c>
      <c r="C4400" t="str">
        <f t="shared" si="1627"/>
        <v>FFDFD3C0</v>
      </c>
      <c r="D4400" t="s">
        <v>134</v>
      </c>
      <c r="E4400">
        <v>15</v>
      </c>
      <c r="J4400" t="s">
        <v>135</v>
      </c>
      <c r="K4400">
        <v>0</v>
      </c>
      <c r="L4400">
        <v>3</v>
      </c>
      <c r="M4400">
        <v>0</v>
      </c>
      <c r="N4400">
        <v>2</v>
      </c>
      <c r="O4400">
        <v>0</v>
      </c>
      <c r="P4400">
        <v>1</v>
      </c>
      <c r="Q4400">
        <v>0</v>
      </c>
      <c r="S4400" t="str">
        <f t="shared" si="1625"/>
        <v>19:37:22.000</v>
      </c>
      <c r="T4400" t="str">
        <f t="shared" si="1625"/>
        <v>19:37:22.000</v>
      </c>
      <c r="U4400" t="str">
        <f t="shared" si="1609"/>
        <v>AC3944</v>
      </c>
      <c r="V4400">
        <v>0</v>
      </c>
      <c r="W4400">
        <v>0</v>
      </c>
      <c r="X4400">
        <v>2</v>
      </c>
      <c r="Y4400">
        <v>0</v>
      </c>
      <c r="AA4400">
        <v>1</v>
      </c>
      <c r="AB4400">
        <v>8</v>
      </c>
      <c r="AC4400">
        <v>3</v>
      </c>
      <c r="AD4400">
        <v>0</v>
      </c>
      <c r="AE4400">
        <v>9</v>
      </c>
      <c r="AF4400" t="s">
        <v>138</v>
      </c>
      <c r="AG4400">
        <v>0</v>
      </c>
      <c r="AH4400">
        <v>3</v>
      </c>
      <c r="AI4400">
        <v>1</v>
      </c>
      <c r="AJ4400">
        <v>0</v>
      </c>
      <c r="AK4400" t="s">
        <v>1240</v>
      </c>
      <c r="AL4400">
        <v>32.737583999999998</v>
      </c>
      <c r="AM4400" t="s">
        <v>1392</v>
      </c>
      <c r="AN4400">
        <v>-116.70278500000001</v>
      </c>
      <c r="AO4400">
        <v>25</v>
      </c>
      <c r="AP4400">
        <v>5000</v>
      </c>
      <c r="AQ4400" t="s">
        <v>129</v>
      </c>
      <c r="AR4400">
        <v>-140</v>
      </c>
      <c r="AS4400">
        <v>-78</v>
      </c>
      <c r="AT4400">
        <v>0</v>
      </c>
      <c r="BB4400">
        <v>1200</v>
      </c>
      <c r="BC4400">
        <v>1</v>
      </c>
      <c r="BD4400" t="str">
        <f t="shared" si="1610"/>
        <v xml:space="preserve">N887QR  </v>
      </c>
      <c r="BE4400">
        <v>1</v>
      </c>
      <c r="BG4400">
        <v>0</v>
      </c>
      <c r="BH4400">
        <v>0</v>
      </c>
      <c r="BI4400">
        <v>0</v>
      </c>
      <c r="BJ4400">
        <v>4675</v>
      </c>
      <c r="BK4400">
        <v>-325</v>
      </c>
      <c r="BL4400" t="s">
        <v>163</v>
      </c>
      <c r="BM4400">
        <v>1</v>
      </c>
      <c r="BN4400">
        <v>1</v>
      </c>
      <c r="BO4400">
        <v>1</v>
      </c>
      <c r="BP4400">
        <v>0</v>
      </c>
      <c r="BS4400">
        <v>0</v>
      </c>
      <c r="BT4400">
        <v>0</v>
      </c>
      <c r="BU4400">
        <v>0</v>
      </c>
      <c r="CE4400" t="str">
        <f t="shared" si="1626"/>
        <v>19:37:22.136</v>
      </c>
      <c r="CF4400">
        <v>135689270</v>
      </c>
      <c r="CS4400">
        <v>0</v>
      </c>
      <c r="CT4400">
        <v>2</v>
      </c>
      <c r="CU4400">
        <v>0</v>
      </c>
      <c r="CV4400">
        <v>2</v>
      </c>
      <c r="CW4400">
        <v>0</v>
      </c>
      <c r="CX4400">
        <v>5</v>
      </c>
      <c r="CY4400">
        <v>7</v>
      </c>
      <c r="CZ4400" t="s">
        <v>131</v>
      </c>
      <c r="DA4400">
        <v>286</v>
      </c>
      <c r="DB4400">
        <v>0</v>
      </c>
      <c r="DC4400" t="s">
        <v>132</v>
      </c>
      <c r="DD4400" t="s">
        <v>133</v>
      </c>
      <c r="DG4400">
        <v>912163</v>
      </c>
      <c r="DI4400">
        <v>1</v>
      </c>
      <c r="DJ4400">
        <v>0</v>
      </c>
      <c r="DK4400">
        <v>1</v>
      </c>
      <c r="DL4400">
        <v>0</v>
      </c>
      <c r="DM4400">
        <v>0</v>
      </c>
      <c r="DN4400">
        <v>1</v>
      </c>
      <c r="DO4400">
        <v>0</v>
      </c>
      <c r="DP4400">
        <v>0</v>
      </c>
      <c r="DQ4400">
        <v>0</v>
      </c>
      <c r="DR4400">
        <v>0</v>
      </c>
      <c r="DS4400">
        <v>0</v>
      </c>
    </row>
    <row r="4401" spans="1:123" x14ac:dyDescent="0.3">
      <c r="A4401" t="str">
        <f>"10/04/2022 19:37:23.668"</f>
        <v>10/04/2022 19:37:23.668</v>
      </c>
      <c r="C4401" t="str">
        <f t="shared" si="1627"/>
        <v>FFDFD3C0</v>
      </c>
      <c r="D4401" t="s">
        <v>143</v>
      </c>
      <c r="E4401">
        <v>20</v>
      </c>
      <c r="F4401">
        <v>1020</v>
      </c>
      <c r="G4401" t="s">
        <v>144</v>
      </c>
      <c r="J4401" t="s">
        <v>145</v>
      </c>
      <c r="K4401">
        <v>0</v>
      </c>
      <c r="L4401">
        <v>3</v>
      </c>
      <c r="M4401">
        <v>0</v>
      </c>
      <c r="N4401">
        <v>2</v>
      </c>
      <c r="O4401">
        <v>0</v>
      </c>
      <c r="P4401">
        <v>1</v>
      </c>
      <c r="Q4401">
        <v>0</v>
      </c>
      <c r="S4401" t="str">
        <f t="shared" ref="S4401:T4414" si="1628">"19:37:23.000"</f>
        <v>19:37:23.000</v>
      </c>
      <c r="T4401" t="str">
        <f t="shared" si="1628"/>
        <v>19:37:23.000</v>
      </c>
      <c r="U4401" t="str">
        <f t="shared" si="1609"/>
        <v>AC3944</v>
      </c>
      <c r="V4401">
        <v>0</v>
      </c>
      <c r="W4401">
        <v>0</v>
      </c>
      <c r="X4401">
        <v>2</v>
      </c>
      <c r="Y4401">
        <v>0</v>
      </c>
      <c r="AA4401">
        <v>1</v>
      </c>
      <c r="AB4401">
        <v>8</v>
      </c>
      <c r="AC4401">
        <v>3</v>
      </c>
      <c r="AD4401">
        <v>0</v>
      </c>
      <c r="AE4401">
        <v>9</v>
      </c>
      <c r="AF4401" t="s">
        <v>138</v>
      </c>
      <c r="AG4401">
        <v>0</v>
      </c>
      <c r="AH4401">
        <v>3</v>
      </c>
      <c r="AI4401">
        <v>1</v>
      </c>
      <c r="AJ4401">
        <v>0</v>
      </c>
      <c r="AK4401" t="s">
        <v>938</v>
      </c>
      <c r="AL4401">
        <v>32.737219000000003</v>
      </c>
      <c r="AM4401" t="s">
        <v>1393</v>
      </c>
      <c r="AN4401">
        <v>-116.703537</v>
      </c>
      <c r="AO4401">
        <v>25</v>
      </c>
      <c r="AP4401">
        <v>5000</v>
      </c>
      <c r="AQ4401" t="s">
        <v>129</v>
      </c>
      <c r="AR4401">
        <v>-140</v>
      </c>
      <c r="AS4401">
        <v>-79</v>
      </c>
      <c r="AT4401">
        <v>0</v>
      </c>
      <c r="BB4401">
        <v>1200</v>
      </c>
      <c r="BC4401">
        <v>1</v>
      </c>
      <c r="BD4401" t="str">
        <f t="shared" si="1610"/>
        <v xml:space="preserve">N887QR  </v>
      </c>
      <c r="BE4401">
        <v>1</v>
      </c>
      <c r="BG4401">
        <v>0</v>
      </c>
      <c r="BH4401">
        <v>0</v>
      </c>
      <c r="BI4401">
        <v>0</v>
      </c>
      <c r="BJ4401">
        <v>4675</v>
      </c>
      <c r="BK4401">
        <v>-325</v>
      </c>
      <c r="BL4401" t="s">
        <v>163</v>
      </c>
      <c r="BM4401">
        <v>1</v>
      </c>
      <c r="BN4401">
        <v>1</v>
      </c>
      <c r="BO4401">
        <v>1</v>
      </c>
      <c r="BP4401">
        <v>0</v>
      </c>
      <c r="BS4401">
        <v>0</v>
      </c>
      <c r="BT4401">
        <v>0</v>
      </c>
      <c r="BU4401">
        <v>0</v>
      </c>
      <c r="CE4401" t="str">
        <f t="shared" ref="CE4401:CE4407" si="1629">"19:37:23.424"</f>
        <v>19:37:23.424</v>
      </c>
      <c r="CF4401">
        <v>423943069</v>
      </c>
      <c r="CS4401">
        <v>0</v>
      </c>
      <c r="CT4401">
        <v>2</v>
      </c>
      <c r="CU4401">
        <v>0</v>
      </c>
      <c r="CV4401">
        <v>2</v>
      </c>
      <c r="CW4401">
        <v>2</v>
      </c>
      <c r="CX4401">
        <v>5</v>
      </c>
      <c r="CY4401">
        <v>7</v>
      </c>
      <c r="CZ4401" t="s">
        <v>131</v>
      </c>
      <c r="DA4401">
        <v>286</v>
      </c>
      <c r="DB4401">
        <v>0</v>
      </c>
      <c r="DC4401" t="s">
        <v>132</v>
      </c>
      <c r="DD4401" t="s">
        <v>133</v>
      </c>
      <c r="DG4401">
        <v>912495</v>
      </c>
      <c r="DI4401">
        <v>1</v>
      </c>
      <c r="DJ4401">
        <v>0</v>
      </c>
      <c r="DK4401">
        <v>0</v>
      </c>
      <c r="DL4401">
        <v>0</v>
      </c>
      <c r="DM4401">
        <v>0</v>
      </c>
      <c r="DN4401">
        <v>1</v>
      </c>
      <c r="DO4401">
        <v>0</v>
      </c>
      <c r="DP4401">
        <v>0</v>
      </c>
      <c r="DQ4401">
        <v>0</v>
      </c>
      <c r="DR4401">
        <v>0</v>
      </c>
      <c r="DS4401">
        <v>0</v>
      </c>
    </row>
    <row r="4402" spans="1:123" x14ac:dyDescent="0.3">
      <c r="A4402" t="str">
        <f>"10/04/2022 19:37:23.668"</f>
        <v>10/04/2022 19:37:23.668</v>
      </c>
      <c r="C4402" t="str">
        <f t="shared" si="1627"/>
        <v>FFDFD3C0</v>
      </c>
      <c r="D4402" t="s">
        <v>123</v>
      </c>
      <c r="E4402">
        <v>7</v>
      </c>
      <c r="F4402">
        <v>2007</v>
      </c>
      <c r="G4402" t="s">
        <v>124</v>
      </c>
      <c r="J4402" t="s">
        <v>125</v>
      </c>
      <c r="K4402">
        <v>0</v>
      </c>
      <c r="L4402">
        <v>3</v>
      </c>
      <c r="M4402">
        <v>0</v>
      </c>
      <c r="N4402">
        <v>2</v>
      </c>
      <c r="O4402">
        <v>0</v>
      </c>
      <c r="P4402">
        <v>1</v>
      </c>
      <c r="Q4402">
        <v>0</v>
      </c>
      <c r="S4402" t="str">
        <f t="shared" si="1628"/>
        <v>19:37:23.000</v>
      </c>
      <c r="T4402" t="str">
        <f t="shared" si="1628"/>
        <v>19:37:23.000</v>
      </c>
      <c r="U4402" t="str">
        <f t="shared" si="1609"/>
        <v>AC3944</v>
      </c>
      <c r="V4402">
        <v>0</v>
      </c>
      <c r="W4402">
        <v>0</v>
      </c>
      <c r="X4402">
        <v>2</v>
      </c>
      <c r="Y4402">
        <v>0</v>
      </c>
      <c r="AA4402">
        <v>1</v>
      </c>
      <c r="AB4402">
        <v>8</v>
      </c>
      <c r="AC4402">
        <v>3</v>
      </c>
      <c r="AD4402">
        <v>0</v>
      </c>
      <c r="AE4402">
        <v>9</v>
      </c>
      <c r="AF4402" t="s">
        <v>138</v>
      </c>
      <c r="AG4402">
        <v>0</v>
      </c>
      <c r="AH4402">
        <v>3</v>
      </c>
      <c r="AI4402">
        <v>1</v>
      </c>
      <c r="AJ4402">
        <v>0</v>
      </c>
      <c r="AK4402" t="s">
        <v>938</v>
      </c>
      <c r="AL4402">
        <v>32.737219000000003</v>
      </c>
      <c r="AM4402" t="s">
        <v>1393</v>
      </c>
      <c r="AN4402">
        <v>-116.703537</v>
      </c>
      <c r="AO4402">
        <v>25</v>
      </c>
      <c r="AP4402">
        <v>5000</v>
      </c>
      <c r="AQ4402" t="s">
        <v>129</v>
      </c>
      <c r="AR4402">
        <v>-140</v>
      </c>
      <c r="AS4402">
        <v>-79</v>
      </c>
      <c r="AT4402">
        <v>0</v>
      </c>
      <c r="BB4402">
        <v>1200</v>
      </c>
      <c r="BC4402">
        <v>1</v>
      </c>
      <c r="BD4402" t="str">
        <f t="shared" si="1610"/>
        <v xml:space="preserve">N887QR  </v>
      </c>
      <c r="BE4402">
        <v>1</v>
      </c>
      <c r="BG4402">
        <v>0</v>
      </c>
      <c r="BH4402">
        <v>0</v>
      </c>
      <c r="BI4402">
        <v>0</v>
      </c>
      <c r="BJ4402">
        <v>4675</v>
      </c>
      <c r="BK4402">
        <v>-325</v>
      </c>
      <c r="BL4402" t="s">
        <v>163</v>
      </c>
      <c r="BM4402">
        <v>1</v>
      </c>
      <c r="BN4402">
        <v>1</v>
      </c>
      <c r="BO4402">
        <v>1</v>
      </c>
      <c r="BP4402">
        <v>0</v>
      </c>
      <c r="BS4402">
        <v>0</v>
      </c>
      <c r="BT4402">
        <v>0</v>
      </c>
      <c r="BU4402">
        <v>0</v>
      </c>
      <c r="CE4402" t="str">
        <f t="shared" si="1629"/>
        <v>19:37:23.424</v>
      </c>
      <c r="CF4402">
        <v>423943069</v>
      </c>
      <c r="CS4402">
        <v>0</v>
      </c>
      <c r="CT4402">
        <v>2</v>
      </c>
      <c r="CU4402">
        <v>0</v>
      </c>
      <c r="CV4402">
        <v>2</v>
      </c>
      <c r="CW4402">
        <v>2</v>
      </c>
      <c r="CX4402">
        <v>5</v>
      </c>
      <c r="CY4402">
        <v>7</v>
      </c>
      <c r="CZ4402" t="s">
        <v>131</v>
      </c>
      <c r="DA4402">
        <v>286</v>
      </c>
      <c r="DB4402">
        <v>0</v>
      </c>
      <c r="DC4402" t="s">
        <v>132</v>
      </c>
      <c r="DD4402" t="s">
        <v>133</v>
      </c>
      <c r="DG4402">
        <v>912495</v>
      </c>
      <c r="DI4402">
        <v>1</v>
      </c>
      <c r="DJ4402">
        <v>0</v>
      </c>
      <c r="DK4402">
        <v>1</v>
      </c>
      <c r="DL4402">
        <v>0</v>
      </c>
      <c r="DM4402">
        <v>0</v>
      </c>
      <c r="DN4402">
        <v>1</v>
      </c>
      <c r="DO4402">
        <v>0</v>
      </c>
      <c r="DP4402">
        <v>0</v>
      </c>
      <c r="DQ4402">
        <v>0</v>
      </c>
      <c r="DR4402">
        <v>0</v>
      </c>
      <c r="DS4402">
        <v>0</v>
      </c>
    </row>
    <row r="4403" spans="1:123" x14ac:dyDescent="0.3">
      <c r="A4403" t="str">
        <f>"10/04/2022 19:37:23.668"</f>
        <v>10/04/2022 19:37:23.668</v>
      </c>
      <c r="C4403" t="str">
        <f t="shared" si="1627"/>
        <v>FFDFD3C0</v>
      </c>
      <c r="D4403" t="s">
        <v>141</v>
      </c>
      <c r="E4403">
        <v>4</v>
      </c>
      <c r="H4403">
        <v>4</v>
      </c>
      <c r="I4403" t="s">
        <v>142</v>
      </c>
      <c r="J4403" t="s">
        <v>138</v>
      </c>
      <c r="K4403">
        <v>0</v>
      </c>
      <c r="L4403">
        <v>3</v>
      </c>
      <c r="M4403">
        <v>0</v>
      </c>
      <c r="N4403">
        <v>2</v>
      </c>
      <c r="O4403">
        <v>0</v>
      </c>
      <c r="P4403">
        <v>1</v>
      </c>
      <c r="Q4403">
        <v>0</v>
      </c>
      <c r="S4403" t="str">
        <f t="shared" si="1628"/>
        <v>19:37:23.000</v>
      </c>
      <c r="T4403" t="str">
        <f t="shared" si="1628"/>
        <v>19:37:23.000</v>
      </c>
      <c r="U4403" t="str">
        <f t="shared" si="1609"/>
        <v>AC3944</v>
      </c>
      <c r="V4403">
        <v>0</v>
      </c>
      <c r="W4403">
        <v>0</v>
      </c>
      <c r="X4403">
        <v>2</v>
      </c>
      <c r="Y4403">
        <v>0</v>
      </c>
      <c r="AA4403">
        <v>1</v>
      </c>
      <c r="AB4403">
        <v>8</v>
      </c>
      <c r="AC4403">
        <v>3</v>
      </c>
      <c r="AD4403">
        <v>0</v>
      </c>
      <c r="AE4403">
        <v>9</v>
      </c>
      <c r="AF4403" t="s">
        <v>138</v>
      </c>
      <c r="AG4403">
        <v>0</v>
      </c>
      <c r="AH4403">
        <v>3</v>
      </c>
      <c r="AI4403">
        <v>1</v>
      </c>
      <c r="AJ4403">
        <v>0</v>
      </c>
      <c r="AK4403" t="s">
        <v>938</v>
      </c>
      <c r="AL4403">
        <v>32.737219000000003</v>
      </c>
      <c r="AM4403" t="s">
        <v>1393</v>
      </c>
      <c r="AN4403">
        <v>-116.703537</v>
      </c>
      <c r="AO4403">
        <v>25</v>
      </c>
      <c r="AP4403">
        <v>5000</v>
      </c>
      <c r="AQ4403" t="s">
        <v>129</v>
      </c>
      <c r="AR4403">
        <v>-140</v>
      </c>
      <c r="AS4403">
        <v>-79</v>
      </c>
      <c r="AT4403">
        <v>0</v>
      </c>
      <c r="BB4403">
        <v>1200</v>
      </c>
      <c r="BC4403">
        <v>1</v>
      </c>
      <c r="BD4403" t="str">
        <f t="shared" si="1610"/>
        <v xml:space="preserve">N887QR  </v>
      </c>
      <c r="BE4403">
        <v>1</v>
      </c>
      <c r="BG4403">
        <v>0</v>
      </c>
      <c r="BH4403">
        <v>0</v>
      </c>
      <c r="BI4403">
        <v>0</v>
      </c>
      <c r="BJ4403">
        <v>4675</v>
      </c>
      <c r="BK4403">
        <v>-325</v>
      </c>
      <c r="BL4403" t="s">
        <v>163</v>
      </c>
      <c r="BM4403">
        <v>1</v>
      </c>
      <c r="BN4403">
        <v>1</v>
      </c>
      <c r="BO4403">
        <v>1</v>
      </c>
      <c r="BP4403">
        <v>0</v>
      </c>
      <c r="BS4403">
        <v>0</v>
      </c>
      <c r="BT4403">
        <v>0</v>
      </c>
      <c r="BU4403">
        <v>0</v>
      </c>
      <c r="CE4403" t="str">
        <f t="shared" si="1629"/>
        <v>19:37:23.424</v>
      </c>
      <c r="CF4403">
        <v>423943069</v>
      </c>
      <c r="CS4403">
        <v>0</v>
      </c>
      <c r="CT4403">
        <v>2</v>
      </c>
      <c r="CU4403">
        <v>0</v>
      </c>
      <c r="CV4403">
        <v>2</v>
      </c>
      <c r="CW4403">
        <v>2</v>
      </c>
      <c r="CX4403">
        <v>5</v>
      </c>
      <c r="CY4403">
        <v>7</v>
      </c>
      <c r="CZ4403" t="s">
        <v>131</v>
      </c>
      <c r="DA4403">
        <v>286</v>
      </c>
      <c r="DB4403">
        <v>0</v>
      </c>
      <c r="DC4403" t="s">
        <v>132</v>
      </c>
      <c r="DD4403" t="s">
        <v>133</v>
      </c>
      <c r="DG4403">
        <v>912495</v>
      </c>
      <c r="DI4403">
        <v>1</v>
      </c>
      <c r="DJ4403">
        <v>0</v>
      </c>
      <c r="DK4403">
        <v>1</v>
      </c>
      <c r="DL4403">
        <v>0</v>
      </c>
      <c r="DM4403">
        <v>0</v>
      </c>
      <c r="DN4403">
        <v>1</v>
      </c>
      <c r="DO4403">
        <v>0</v>
      </c>
      <c r="DP4403">
        <v>0</v>
      </c>
      <c r="DQ4403">
        <v>0</v>
      </c>
      <c r="DR4403">
        <v>0</v>
      </c>
      <c r="DS4403">
        <v>0</v>
      </c>
    </row>
    <row r="4404" spans="1:123" x14ac:dyDescent="0.3">
      <c r="A4404" t="str">
        <f>"10/04/2022 19:37:23.683"</f>
        <v>10/04/2022 19:37:23.683</v>
      </c>
      <c r="C4404" t="str">
        <f t="shared" si="1627"/>
        <v>FFDFD3C0</v>
      </c>
      <c r="D4404" t="s">
        <v>147</v>
      </c>
      <c r="E4404">
        <v>3</v>
      </c>
      <c r="H4404">
        <v>166</v>
      </c>
      <c r="I4404" t="s">
        <v>144</v>
      </c>
      <c r="J4404" t="s">
        <v>148</v>
      </c>
      <c r="K4404">
        <v>0</v>
      </c>
      <c r="L4404">
        <v>3</v>
      </c>
      <c r="M4404">
        <v>0</v>
      </c>
      <c r="N4404">
        <v>2</v>
      </c>
      <c r="O4404">
        <v>0</v>
      </c>
      <c r="P4404">
        <v>1</v>
      </c>
      <c r="Q4404">
        <v>0</v>
      </c>
      <c r="S4404" t="str">
        <f t="shared" si="1628"/>
        <v>19:37:23.000</v>
      </c>
      <c r="T4404" t="str">
        <f t="shared" si="1628"/>
        <v>19:37:23.000</v>
      </c>
      <c r="U4404" t="str">
        <f t="shared" si="1609"/>
        <v>AC3944</v>
      </c>
      <c r="V4404">
        <v>0</v>
      </c>
      <c r="W4404">
        <v>0</v>
      </c>
      <c r="X4404">
        <v>2</v>
      </c>
      <c r="Y4404">
        <v>0</v>
      </c>
      <c r="AA4404">
        <v>1</v>
      </c>
      <c r="AB4404">
        <v>8</v>
      </c>
      <c r="AC4404">
        <v>3</v>
      </c>
      <c r="AD4404">
        <v>0</v>
      </c>
      <c r="AE4404">
        <v>9</v>
      </c>
      <c r="AF4404" t="s">
        <v>138</v>
      </c>
      <c r="AG4404">
        <v>0</v>
      </c>
      <c r="AH4404">
        <v>3</v>
      </c>
      <c r="AI4404">
        <v>1</v>
      </c>
      <c r="AJ4404">
        <v>0</v>
      </c>
      <c r="AK4404" t="s">
        <v>938</v>
      </c>
      <c r="AL4404">
        <v>32.737219000000003</v>
      </c>
      <c r="AM4404" t="s">
        <v>1393</v>
      </c>
      <c r="AN4404">
        <v>-116.703537</v>
      </c>
      <c r="AO4404">
        <v>25</v>
      </c>
      <c r="AP4404">
        <v>5000</v>
      </c>
      <c r="AQ4404" t="s">
        <v>129</v>
      </c>
      <c r="AR4404">
        <v>-140</v>
      </c>
      <c r="AS4404">
        <v>-79</v>
      </c>
      <c r="AT4404">
        <v>0</v>
      </c>
      <c r="BB4404">
        <v>1200</v>
      </c>
      <c r="BC4404">
        <v>1</v>
      </c>
      <c r="BD4404" t="str">
        <f t="shared" si="1610"/>
        <v xml:space="preserve">N887QR  </v>
      </c>
      <c r="BE4404">
        <v>1</v>
      </c>
      <c r="BG4404">
        <v>0</v>
      </c>
      <c r="BH4404">
        <v>0</v>
      </c>
      <c r="BI4404">
        <v>0</v>
      </c>
      <c r="BJ4404">
        <v>4675</v>
      </c>
      <c r="BK4404">
        <v>-325</v>
      </c>
      <c r="BL4404" t="s">
        <v>163</v>
      </c>
      <c r="BM4404">
        <v>1</v>
      </c>
      <c r="BN4404">
        <v>1</v>
      </c>
      <c r="BO4404">
        <v>1</v>
      </c>
      <c r="BP4404">
        <v>0</v>
      </c>
      <c r="BS4404">
        <v>0</v>
      </c>
      <c r="BT4404">
        <v>0</v>
      </c>
      <c r="BU4404">
        <v>0</v>
      </c>
      <c r="CE4404" t="str">
        <f t="shared" si="1629"/>
        <v>19:37:23.424</v>
      </c>
      <c r="CF4404">
        <v>423943069</v>
      </c>
      <c r="CS4404">
        <v>0</v>
      </c>
      <c r="CT4404">
        <v>2</v>
      </c>
      <c r="CU4404">
        <v>0</v>
      </c>
      <c r="CV4404">
        <v>2</v>
      </c>
      <c r="CW4404">
        <v>2</v>
      </c>
      <c r="CX4404">
        <v>5</v>
      </c>
      <c r="CY4404">
        <v>7</v>
      </c>
      <c r="CZ4404" t="s">
        <v>131</v>
      </c>
      <c r="DA4404">
        <v>286</v>
      </c>
      <c r="DB4404">
        <v>0</v>
      </c>
      <c r="DC4404" t="s">
        <v>132</v>
      </c>
      <c r="DD4404" t="s">
        <v>133</v>
      </c>
      <c r="DG4404">
        <v>912495</v>
      </c>
      <c r="DI4404">
        <v>1</v>
      </c>
      <c r="DJ4404">
        <v>0</v>
      </c>
      <c r="DK4404">
        <v>1</v>
      </c>
      <c r="DL4404">
        <v>0</v>
      </c>
      <c r="DM4404">
        <v>0</v>
      </c>
      <c r="DN4404">
        <v>1</v>
      </c>
      <c r="DO4404">
        <v>0</v>
      </c>
      <c r="DP4404">
        <v>0</v>
      </c>
      <c r="DQ4404">
        <v>0</v>
      </c>
      <c r="DR4404">
        <v>0</v>
      </c>
      <c r="DS4404">
        <v>0</v>
      </c>
    </row>
    <row r="4405" spans="1:123" x14ac:dyDescent="0.3">
      <c r="A4405" t="str">
        <f>"10/04/2022 19:37:23.699"</f>
        <v>10/04/2022 19:37:23.699</v>
      </c>
      <c r="C4405" t="str">
        <f t="shared" si="1627"/>
        <v>FFDFD3C0</v>
      </c>
      <c r="D4405" t="s">
        <v>134</v>
      </c>
      <c r="E4405">
        <v>15</v>
      </c>
      <c r="J4405" t="s">
        <v>135</v>
      </c>
      <c r="K4405">
        <v>0</v>
      </c>
      <c r="L4405">
        <v>3</v>
      </c>
      <c r="M4405">
        <v>0</v>
      </c>
      <c r="N4405">
        <v>2</v>
      </c>
      <c r="O4405">
        <v>0</v>
      </c>
      <c r="P4405">
        <v>1</v>
      </c>
      <c r="Q4405">
        <v>0</v>
      </c>
      <c r="S4405" t="str">
        <f t="shared" si="1628"/>
        <v>19:37:23.000</v>
      </c>
      <c r="T4405" t="str">
        <f t="shared" si="1628"/>
        <v>19:37:23.000</v>
      </c>
      <c r="U4405" t="str">
        <f t="shared" si="1609"/>
        <v>AC3944</v>
      </c>
      <c r="V4405">
        <v>0</v>
      </c>
      <c r="W4405">
        <v>0</v>
      </c>
      <c r="X4405">
        <v>2</v>
      </c>
      <c r="Y4405">
        <v>0</v>
      </c>
      <c r="AA4405">
        <v>1</v>
      </c>
      <c r="AB4405">
        <v>8</v>
      </c>
      <c r="AC4405">
        <v>3</v>
      </c>
      <c r="AD4405">
        <v>0</v>
      </c>
      <c r="AE4405">
        <v>9</v>
      </c>
      <c r="AF4405" t="s">
        <v>138</v>
      </c>
      <c r="AG4405">
        <v>0</v>
      </c>
      <c r="AH4405">
        <v>3</v>
      </c>
      <c r="AI4405">
        <v>1</v>
      </c>
      <c r="AJ4405">
        <v>0</v>
      </c>
      <c r="AK4405" t="s">
        <v>938</v>
      </c>
      <c r="AL4405">
        <v>32.737219000000003</v>
      </c>
      <c r="AM4405" t="s">
        <v>1393</v>
      </c>
      <c r="AN4405">
        <v>-116.703537</v>
      </c>
      <c r="AO4405">
        <v>25</v>
      </c>
      <c r="AP4405">
        <v>5000</v>
      </c>
      <c r="AQ4405" t="s">
        <v>129</v>
      </c>
      <c r="AR4405">
        <v>-140</v>
      </c>
      <c r="AS4405">
        <v>-79</v>
      </c>
      <c r="AT4405">
        <v>0</v>
      </c>
      <c r="BB4405">
        <v>1200</v>
      </c>
      <c r="BC4405">
        <v>1</v>
      </c>
      <c r="BD4405" t="str">
        <f t="shared" si="1610"/>
        <v xml:space="preserve">N887QR  </v>
      </c>
      <c r="BE4405">
        <v>1</v>
      </c>
      <c r="BG4405">
        <v>0</v>
      </c>
      <c r="BH4405">
        <v>0</v>
      </c>
      <c r="BI4405">
        <v>0</v>
      </c>
      <c r="BJ4405">
        <v>4675</v>
      </c>
      <c r="BK4405">
        <v>-325</v>
      </c>
      <c r="BL4405" t="s">
        <v>163</v>
      </c>
      <c r="BM4405">
        <v>1</v>
      </c>
      <c r="BN4405">
        <v>1</v>
      </c>
      <c r="BO4405">
        <v>1</v>
      </c>
      <c r="BP4405">
        <v>0</v>
      </c>
      <c r="BS4405">
        <v>0</v>
      </c>
      <c r="BT4405">
        <v>0</v>
      </c>
      <c r="BU4405">
        <v>0</v>
      </c>
      <c r="CE4405" t="str">
        <f t="shared" si="1629"/>
        <v>19:37:23.424</v>
      </c>
      <c r="CF4405">
        <v>423943069</v>
      </c>
      <c r="CS4405">
        <v>0</v>
      </c>
      <c r="CT4405">
        <v>2</v>
      </c>
      <c r="CU4405">
        <v>0</v>
      </c>
      <c r="CV4405">
        <v>2</v>
      </c>
      <c r="CW4405">
        <v>2</v>
      </c>
      <c r="CX4405">
        <v>5</v>
      </c>
      <c r="CY4405">
        <v>7</v>
      </c>
      <c r="CZ4405" t="s">
        <v>131</v>
      </c>
      <c r="DA4405">
        <v>286</v>
      </c>
      <c r="DB4405">
        <v>0</v>
      </c>
      <c r="DC4405" t="s">
        <v>132</v>
      </c>
      <c r="DD4405" t="s">
        <v>133</v>
      </c>
      <c r="DG4405">
        <v>912495</v>
      </c>
      <c r="DI4405">
        <v>1</v>
      </c>
      <c r="DJ4405">
        <v>0</v>
      </c>
      <c r="DK4405">
        <v>1</v>
      </c>
      <c r="DL4405">
        <v>0</v>
      </c>
      <c r="DM4405">
        <v>0</v>
      </c>
      <c r="DN4405">
        <v>1</v>
      </c>
      <c r="DO4405">
        <v>0</v>
      </c>
      <c r="DP4405">
        <v>0</v>
      </c>
      <c r="DQ4405">
        <v>0</v>
      </c>
      <c r="DR4405">
        <v>0</v>
      </c>
      <c r="DS4405">
        <v>0</v>
      </c>
    </row>
    <row r="4406" spans="1:123" x14ac:dyDescent="0.3">
      <c r="A4406" t="str">
        <f>"10/04/2022 19:37:23.699"</f>
        <v>10/04/2022 19:37:23.699</v>
      </c>
      <c r="C4406" t="str">
        <f t="shared" si="1627"/>
        <v>FFDFD3C0</v>
      </c>
      <c r="D4406" t="s">
        <v>136</v>
      </c>
      <c r="E4406">
        <v>8</v>
      </c>
      <c r="H4406">
        <v>225</v>
      </c>
      <c r="I4406" t="s">
        <v>137</v>
      </c>
      <c r="J4406" t="s">
        <v>138</v>
      </c>
      <c r="K4406">
        <v>0</v>
      </c>
      <c r="L4406">
        <v>3</v>
      </c>
      <c r="M4406">
        <v>0</v>
      </c>
      <c r="N4406">
        <v>2</v>
      </c>
      <c r="O4406">
        <v>0</v>
      </c>
      <c r="P4406">
        <v>1</v>
      </c>
      <c r="Q4406">
        <v>0</v>
      </c>
      <c r="S4406" t="str">
        <f t="shared" si="1628"/>
        <v>19:37:23.000</v>
      </c>
      <c r="T4406" t="str">
        <f t="shared" si="1628"/>
        <v>19:37:23.000</v>
      </c>
      <c r="U4406" t="str">
        <f t="shared" si="1609"/>
        <v>AC3944</v>
      </c>
      <c r="V4406">
        <v>0</v>
      </c>
      <c r="W4406">
        <v>0</v>
      </c>
      <c r="X4406">
        <v>2</v>
      </c>
      <c r="Y4406">
        <v>0</v>
      </c>
      <c r="AA4406">
        <v>1</v>
      </c>
      <c r="AB4406">
        <v>8</v>
      </c>
      <c r="AC4406">
        <v>3</v>
      </c>
      <c r="AD4406">
        <v>0</v>
      </c>
      <c r="AE4406">
        <v>9</v>
      </c>
      <c r="AF4406" t="s">
        <v>138</v>
      </c>
      <c r="AG4406">
        <v>0</v>
      </c>
      <c r="AH4406">
        <v>3</v>
      </c>
      <c r="AI4406">
        <v>1</v>
      </c>
      <c r="AJ4406">
        <v>0</v>
      </c>
      <c r="AK4406" t="s">
        <v>938</v>
      </c>
      <c r="AL4406">
        <v>32.737219000000003</v>
      </c>
      <c r="AM4406" t="s">
        <v>1393</v>
      </c>
      <c r="AN4406">
        <v>-116.703537</v>
      </c>
      <c r="AO4406">
        <v>25</v>
      </c>
      <c r="AP4406">
        <v>5000</v>
      </c>
      <c r="AQ4406" t="s">
        <v>129</v>
      </c>
      <c r="AR4406">
        <v>-140</v>
      </c>
      <c r="AS4406">
        <v>-79</v>
      </c>
      <c r="AT4406">
        <v>0</v>
      </c>
      <c r="BB4406">
        <v>1200</v>
      </c>
      <c r="BC4406">
        <v>1</v>
      </c>
      <c r="BD4406" t="str">
        <f t="shared" si="1610"/>
        <v xml:space="preserve">N887QR  </v>
      </c>
      <c r="BE4406">
        <v>1</v>
      </c>
      <c r="BG4406">
        <v>0</v>
      </c>
      <c r="BH4406">
        <v>0</v>
      </c>
      <c r="BI4406">
        <v>0</v>
      </c>
      <c r="BJ4406">
        <v>4675</v>
      </c>
      <c r="BK4406">
        <v>-325</v>
      </c>
      <c r="BL4406" t="s">
        <v>163</v>
      </c>
      <c r="BM4406">
        <v>1</v>
      </c>
      <c r="BN4406">
        <v>1</v>
      </c>
      <c r="BO4406">
        <v>1</v>
      </c>
      <c r="BP4406">
        <v>0</v>
      </c>
      <c r="BS4406">
        <v>0</v>
      </c>
      <c r="BT4406">
        <v>0</v>
      </c>
      <c r="BU4406">
        <v>0</v>
      </c>
      <c r="CE4406" t="str">
        <f t="shared" si="1629"/>
        <v>19:37:23.424</v>
      </c>
      <c r="CF4406">
        <v>423943069</v>
      </c>
      <c r="CS4406">
        <v>0</v>
      </c>
      <c r="CT4406">
        <v>2</v>
      </c>
      <c r="CU4406">
        <v>0</v>
      </c>
      <c r="CV4406">
        <v>2</v>
      </c>
      <c r="CW4406">
        <v>2</v>
      </c>
      <c r="CX4406">
        <v>5</v>
      </c>
      <c r="CY4406">
        <v>7</v>
      </c>
      <c r="CZ4406" t="s">
        <v>131</v>
      </c>
      <c r="DA4406">
        <v>286</v>
      </c>
      <c r="DB4406">
        <v>0</v>
      </c>
      <c r="DC4406" t="s">
        <v>132</v>
      </c>
      <c r="DD4406" t="s">
        <v>133</v>
      </c>
      <c r="DG4406">
        <v>912495</v>
      </c>
      <c r="DI4406">
        <v>1</v>
      </c>
      <c r="DJ4406">
        <v>0</v>
      </c>
      <c r="DK4406">
        <v>1</v>
      </c>
      <c r="DL4406">
        <v>0</v>
      </c>
      <c r="DM4406">
        <v>0</v>
      </c>
      <c r="DN4406">
        <v>1</v>
      </c>
      <c r="DO4406">
        <v>0</v>
      </c>
      <c r="DP4406">
        <v>0</v>
      </c>
      <c r="DQ4406">
        <v>0</v>
      </c>
      <c r="DR4406">
        <v>0</v>
      </c>
      <c r="DS4406">
        <v>0</v>
      </c>
    </row>
    <row r="4407" spans="1:123" x14ac:dyDescent="0.3">
      <c r="A4407" t="str">
        <f>"10/04/2022 19:37:23.808"</f>
        <v>10/04/2022 19:37:23.808</v>
      </c>
      <c r="C4407" t="str">
        <f t="shared" si="1627"/>
        <v>FFDFD3C0</v>
      </c>
      <c r="D4407" t="s">
        <v>141</v>
      </c>
      <c r="E4407">
        <v>3</v>
      </c>
      <c r="H4407">
        <v>3</v>
      </c>
      <c r="I4407" t="s">
        <v>146</v>
      </c>
      <c r="J4407" t="s">
        <v>138</v>
      </c>
      <c r="K4407">
        <v>0</v>
      </c>
      <c r="L4407">
        <v>3</v>
      </c>
      <c r="M4407">
        <v>0</v>
      </c>
      <c r="N4407">
        <v>2</v>
      </c>
      <c r="O4407">
        <v>0</v>
      </c>
      <c r="P4407">
        <v>1</v>
      </c>
      <c r="Q4407">
        <v>0</v>
      </c>
      <c r="S4407" t="str">
        <f t="shared" si="1628"/>
        <v>19:37:23.000</v>
      </c>
      <c r="T4407" t="str">
        <f t="shared" si="1628"/>
        <v>19:37:23.000</v>
      </c>
      <c r="U4407" t="str">
        <f t="shared" si="1609"/>
        <v>AC3944</v>
      </c>
      <c r="V4407">
        <v>0</v>
      </c>
      <c r="W4407">
        <v>0</v>
      </c>
      <c r="X4407">
        <v>2</v>
      </c>
      <c r="Y4407">
        <v>0</v>
      </c>
      <c r="AA4407">
        <v>1</v>
      </c>
      <c r="AB4407">
        <v>8</v>
      </c>
      <c r="AC4407">
        <v>3</v>
      </c>
      <c r="AD4407">
        <v>0</v>
      </c>
      <c r="AE4407">
        <v>9</v>
      </c>
      <c r="AF4407" t="s">
        <v>138</v>
      </c>
      <c r="AG4407">
        <v>0</v>
      </c>
      <c r="AH4407">
        <v>3</v>
      </c>
      <c r="AI4407">
        <v>1</v>
      </c>
      <c r="AJ4407">
        <v>0</v>
      </c>
      <c r="AK4407" t="s">
        <v>938</v>
      </c>
      <c r="AL4407">
        <v>32.737219000000003</v>
      </c>
      <c r="AM4407" t="s">
        <v>1393</v>
      </c>
      <c r="AN4407">
        <v>-116.703537</v>
      </c>
      <c r="AO4407">
        <v>25</v>
      </c>
      <c r="AP4407">
        <v>5000</v>
      </c>
      <c r="AQ4407" t="s">
        <v>129</v>
      </c>
      <c r="AR4407">
        <v>-140</v>
      </c>
      <c r="AS4407">
        <v>-79</v>
      </c>
      <c r="AT4407">
        <v>0</v>
      </c>
      <c r="BB4407">
        <v>1200</v>
      </c>
      <c r="BC4407">
        <v>1</v>
      </c>
      <c r="BD4407" t="str">
        <f t="shared" si="1610"/>
        <v xml:space="preserve">N887QR  </v>
      </c>
      <c r="BE4407">
        <v>1</v>
      </c>
      <c r="BG4407">
        <v>0</v>
      </c>
      <c r="BH4407">
        <v>0</v>
      </c>
      <c r="BI4407">
        <v>0</v>
      </c>
      <c r="BJ4407">
        <v>4675</v>
      </c>
      <c r="BK4407">
        <v>-325</v>
      </c>
      <c r="BL4407" t="s">
        <v>163</v>
      </c>
      <c r="BM4407">
        <v>1</v>
      </c>
      <c r="BN4407">
        <v>1</v>
      </c>
      <c r="BO4407">
        <v>1</v>
      </c>
      <c r="BP4407">
        <v>0</v>
      </c>
      <c r="BS4407">
        <v>0</v>
      </c>
      <c r="BT4407">
        <v>0</v>
      </c>
      <c r="BU4407">
        <v>0</v>
      </c>
      <c r="CE4407" t="str">
        <f t="shared" si="1629"/>
        <v>19:37:23.424</v>
      </c>
      <c r="CF4407">
        <v>423943069</v>
      </c>
      <c r="CS4407">
        <v>0</v>
      </c>
      <c r="CT4407">
        <v>2</v>
      </c>
      <c r="CU4407">
        <v>0</v>
      </c>
      <c r="CV4407">
        <v>2</v>
      </c>
      <c r="CW4407">
        <v>2</v>
      </c>
      <c r="CX4407">
        <v>5</v>
      </c>
      <c r="CY4407">
        <v>7</v>
      </c>
      <c r="CZ4407" t="s">
        <v>131</v>
      </c>
      <c r="DA4407">
        <v>286</v>
      </c>
      <c r="DB4407">
        <v>0</v>
      </c>
      <c r="DC4407" t="s">
        <v>132</v>
      </c>
      <c r="DD4407" t="s">
        <v>133</v>
      </c>
      <c r="DG4407">
        <v>912495</v>
      </c>
      <c r="DI4407">
        <v>1</v>
      </c>
      <c r="DJ4407">
        <v>0</v>
      </c>
      <c r="DK4407">
        <v>1</v>
      </c>
      <c r="DL4407">
        <v>0</v>
      </c>
      <c r="DM4407">
        <v>0</v>
      </c>
      <c r="DN4407">
        <v>1</v>
      </c>
      <c r="DO4407">
        <v>0</v>
      </c>
      <c r="DP4407">
        <v>0</v>
      </c>
      <c r="DQ4407">
        <v>0</v>
      </c>
      <c r="DR4407">
        <v>0</v>
      </c>
      <c r="DS4407">
        <v>0</v>
      </c>
    </row>
    <row r="4408" spans="1:123" x14ac:dyDescent="0.3">
      <c r="A4408" t="str">
        <f>"10/04/2022 19:37:24.199"</f>
        <v>10/04/2022 19:37:24.199</v>
      </c>
      <c r="C4408" t="str">
        <f t="shared" si="1627"/>
        <v>FFDFD3C0</v>
      </c>
      <c r="D4408" t="s">
        <v>141</v>
      </c>
      <c r="E4408">
        <v>3</v>
      </c>
      <c r="H4408">
        <v>3</v>
      </c>
      <c r="I4408" t="s">
        <v>146</v>
      </c>
      <c r="J4408" t="s">
        <v>138</v>
      </c>
      <c r="K4408">
        <v>0</v>
      </c>
      <c r="L4408">
        <v>3</v>
      </c>
      <c r="M4408">
        <v>0</v>
      </c>
      <c r="N4408">
        <v>2</v>
      </c>
      <c r="O4408">
        <v>0</v>
      </c>
      <c r="P4408">
        <v>1</v>
      </c>
      <c r="Q4408">
        <v>0</v>
      </c>
      <c r="S4408" t="str">
        <f t="shared" si="1628"/>
        <v>19:37:23.000</v>
      </c>
      <c r="T4408" t="str">
        <f t="shared" si="1628"/>
        <v>19:37:23.000</v>
      </c>
      <c r="U4408" t="str">
        <f t="shared" si="1609"/>
        <v>AC3944</v>
      </c>
      <c r="V4408">
        <v>0</v>
      </c>
      <c r="W4408">
        <v>0</v>
      </c>
      <c r="X4408">
        <v>2</v>
      </c>
      <c r="Y4408">
        <v>0</v>
      </c>
      <c r="AA4408">
        <v>1</v>
      </c>
      <c r="AB4408">
        <v>8</v>
      </c>
      <c r="AC4408">
        <v>3</v>
      </c>
      <c r="AD4408">
        <v>0</v>
      </c>
      <c r="AE4408">
        <v>9</v>
      </c>
      <c r="AF4408" t="s">
        <v>138</v>
      </c>
      <c r="AG4408">
        <v>0</v>
      </c>
      <c r="AH4408">
        <v>3</v>
      </c>
      <c r="AI4408">
        <v>1</v>
      </c>
      <c r="AJ4408">
        <v>0</v>
      </c>
      <c r="AK4408" t="s">
        <v>1203</v>
      </c>
      <c r="AL4408">
        <v>32.736854999999998</v>
      </c>
      <c r="AM4408" t="s">
        <v>1394</v>
      </c>
      <c r="AN4408">
        <v>-116.70430899999999</v>
      </c>
      <c r="AO4408">
        <v>25</v>
      </c>
      <c r="AP4408">
        <v>5000</v>
      </c>
      <c r="AQ4408" t="s">
        <v>129</v>
      </c>
      <c r="AR4408">
        <v>-140</v>
      </c>
      <c r="AS4408">
        <v>-79</v>
      </c>
      <c r="AT4408">
        <v>0</v>
      </c>
      <c r="BB4408">
        <v>1200</v>
      </c>
      <c r="BC4408">
        <v>1</v>
      </c>
      <c r="BD4408" t="str">
        <f t="shared" si="1610"/>
        <v xml:space="preserve">N887QR  </v>
      </c>
      <c r="BE4408">
        <v>1</v>
      </c>
      <c r="BG4408">
        <v>0</v>
      </c>
      <c r="BH4408">
        <v>0</v>
      </c>
      <c r="BI4408">
        <v>0</v>
      </c>
      <c r="BJ4408">
        <v>4675</v>
      </c>
      <c r="BK4408">
        <v>-325</v>
      </c>
      <c r="BL4408" t="s">
        <v>163</v>
      </c>
      <c r="BM4408">
        <v>1</v>
      </c>
      <c r="BN4408">
        <v>1</v>
      </c>
      <c r="BO4408">
        <v>1</v>
      </c>
      <c r="BP4408">
        <v>0</v>
      </c>
      <c r="BS4408">
        <v>0</v>
      </c>
      <c r="BT4408">
        <v>0</v>
      </c>
      <c r="BU4408">
        <v>0</v>
      </c>
      <c r="CE4408" t="str">
        <f t="shared" ref="CE4408:CE4414" si="1630">"19:37:23.792"</f>
        <v>19:37:23.792</v>
      </c>
      <c r="CF4408">
        <v>792194169</v>
      </c>
      <c r="CS4408">
        <v>0</v>
      </c>
      <c r="CT4408">
        <v>2</v>
      </c>
      <c r="CU4408">
        <v>0</v>
      </c>
      <c r="CV4408">
        <v>2</v>
      </c>
      <c r="CW4408">
        <v>2</v>
      </c>
      <c r="CX4408">
        <v>6</v>
      </c>
      <c r="CY4408">
        <v>7</v>
      </c>
      <c r="CZ4408" t="s">
        <v>131</v>
      </c>
      <c r="DA4408">
        <v>286</v>
      </c>
      <c r="DB4408">
        <v>0</v>
      </c>
      <c r="DC4408" t="s">
        <v>132</v>
      </c>
      <c r="DD4408" t="s">
        <v>133</v>
      </c>
      <c r="DG4408">
        <v>912595</v>
      </c>
      <c r="DI4408">
        <v>1</v>
      </c>
      <c r="DJ4408">
        <v>0</v>
      </c>
      <c r="DK4408">
        <v>0</v>
      </c>
      <c r="DL4408">
        <v>0</v>
      </c>
      <c r="DM4408">
        <v>0</v>
      </c>
      <c r="DN4408">
        <v>1</v>
      </c>
      <c r="DO4408">
        <v>0</v>
      </c>
      <c r="DP4408">
        <v>0</v>
      </c>
      <c r="DQ4408">
        <v>0</v>
      </c>
      <c r="DR4408">
        <v>0</v>
      </c>
      <c r="DS4408">
        <v>0</v>
      </c>
    </row>
    <row r="4409" spans="1:123" x14ac:dyDescent="0.3">
      <c r="A4409" t="str">
        <f>"10/04/2022 19:37:24.199"</f>
        <v>10/04/2022 19:37:24.199</v>
      </c>
      <c r="C4409" t="str">
        <f t="shared" si="1627"/>
        <v>FFDFD3C0</v>
      </c>
      <c r="D4409" t="s">
        <v>143</v>
      </c>
      <c r="E4409">
        <v>20</v>
      </c>
      <c r="F4409">
        <v>1020</v>
      </c>
      <c r="G4409" t="s">
        <v>144</v>
      </c>
      <c r="J4409" t="s">
        <v>145</v>
      </c>
      <c r="K4409">
        <v>0</v>
      </c>
      <c r="L4409">
        <v>3</v>
      </c>
      <c r="M4409">
        <v>0</v>
      </c>
      <c r="N4409">
        <v>2</v>
      </c>
      <c r="O4409">
        <v>0</v>
      </c>
      <c r="P4409">
        <v>1</v>
      </c>
      <c r="Q4409">
        <v>0</v>
      </c>
      <c r="S4409" t="str">
        <f t="shared" si="1628"/>
        <v>19:37:23.000</v>
      </c>
      <c r="T4409" t="str">
        <f t="shared" si="1628"/>
        <v>19:37:23.000</v>
      </c>
      <c r="U4409" t="str">
        <f t="shared" si="1609"/>
        <v>AC3944</v>
      </c>
      <c r="V4409">
        <v>0</v>
      </c>
      <c r="W4409">
        <v>0</v>
      </c>
      <c r="X4409">
        <v>2</v>
      </c>
      <c r="Y4409">
        <v>0</v>
      </c>
      <c r="AA4409">
        <v>1</v>
      </c>
      <c r="AB4409">
        <v>8</v>
      </c>
      <c r="AC4409">
        <v>3</v>
      </c>
      <c r="AD4409">
        <v>0</v>
      </c>
      <c r="AE4409">
        <v>9</v>
      </c>
      <c r="AF4409" t="s">
        <v>138</v>
      </c>
      <c r="AG4409">
        <v>0</v>
      </c>
      <c r="AH4409">
        <v>3</v>
      </c>
      <c r="AI4409">
        <v>1</v>
      </c>
      <c r="AJ4409">
        <v>0</v>
      </c>
      <c r="AK4409" t="s">
        <v>1203</v>
      </c>
      <c r="AL4409">
        <v>32.736854999999998</v>
      </c>
      <c r="AM4409" t="s">
        <v>1394</v>
      </c>
      <c r="AN4409">
        <v>-116.70430899999999</v>
      </c>
      <c r="AO4409">
        <v>25</v>
      </c>
      <c r="AP4409">
        <v>5000</v>
      </c>
      <c r="AQ4409" t="s">
        <v>129</v>
      </c>
      <c r="AR4409">
        <v>-140</v>
      </c>
      <c r="AS4409">
        <v>-79</v>
      </c>
      <c r="AT4409">
        <v>0</v>
      </c>
      <c r="BB4409">
        <v>1200</v>
      </c>
      <c r="BC4409">
        <v>1</v>
      </c>
      <c r="BD4409" t="str">
        <f t="shared" si="1610"/>
        <v xml:space="preserve">N887QR  </v>
      </c>
      <c r="BE4409">
        <v>1</v>
      </c>
      <c r="BG4409">
        <v>0</v>
      </c>
      <c r="BH4409">
        <v>0</v>
      </c>
      <c r="BI4409">
        <v>0</v>
      </c>
      <c r="BJ4409">
        <v>4675</v>
      </c>
      <c r="BK4409">
        <v>-325</v>
      </c>
      <c r="BL4409" t="s">
        <v>163</v>
      </c>
      <c r="BM4409">
        <v>1</v>
      </c>
      <c r="BN4409">
        <v>1</v>
      </c>
      <c r="BO4409">
        <v>1</v>
      </c>
      <c r="BP4409">
        <v>0</v>
      </c>
      <c r="BS4409">
        <v>0</v>
      </c>
      <c r="BT4409">
        <v>0</v>
      </c>
      <c r="BU4409">
        <v>0</v>
      </c>
      <c r="CE4409" t="str">
        <f t="shared" si="1630"/>
        <v>19:37:23.792</v>
      </c>
      <c r="CF4409">
        <v>792194169</v>
      </c>
      <c r="CS4409">
        <v>0</v>
      </c>
      <c r="CT4409">
        <v>2</v>
      </c>
      <c r="CU4409">
        <v>0</v>
      </c>
      <c r="CV4409">
        <v>2</v>
      </c>
      <c r="CW4409">
        <v>2</v>
      </c>
      <c r="CX4409">
        <v>6</v>
      </c>
      <c r="CY4409">
        <v>7</v>
      </c>
      <c r="CZ4409" t="s">
        <v>131</v>
      </c>
      <c r="DA4409">
        <v>286</v>
      </c>
      <c r="DB4409">
        <v>0</v>
      </c>
      <c r="DC4409" t="s">
        <v>132</v>
      </c>
      <c r="DD4409" t="s">
        <v>133</v>
      </c>
      <c r="DG4409">
        <v>912595</v>
      </c>
      <c r="DI4409">
        <v>1</v>
      </c>
      <c r="DJ4409">
        <v>0</v>
      </c>
      <c r="DK4409">
        <v>1</v>
      </c>
      <c r="DL4409">
        <v>0</v>
      </c>
      <c r="DM4409">
        <v>0</v>
      </c>
      <c r="DN4409">
        <v>1</v>
      </c>
      <c r="DO4409">
        <v>0</v>
      </c>
      <c r="DP4409">
        <v>0</v>
      </c>
      <c r="DQ4409">
        <v>0</v>
      </c>
      <c r="DR4409">
        <v>0</v>
      </c>
      <c r="DS4409">
        <v>0</v>
      </c>
    </row>
    <row r="4410" spans="1:123" x14ac:dyDescent="0.3">
      <c r="A4410" t="str">
        <f>"10/04/2022 19:37:24.246"</f>
        <v>10/04/2022 19:37:24.246</v>
      </c>
      <c r="C4410" t="str">
        <f t="shared" si="1627"/>
        <v>FFDFD3C0</v>
      </c>
      <c r="D4410" t="s">
        <v>141</v>
      </c>
      <c r="E4410">
        <v>4</v>
      </c>
      <c r="H4410">
        <v>4</v>
      </c>
      <c r="I4410" t="s">
        <v>142</v>
      </c>
      <c r="J4410" t="s">
        <v>138</v>
      </c>
      <c r="K4410">
        <v>0</v>
      </c>
      <c r="L4410">
        <v>3</v>
      </c>
      <c r="M4410">
        <v>0</v>
      </c>
      <c r="N4410">
        <v>2</v>
      </c>
      <c r="O4410">
        <v>0</v>
      </c>
      <c r="P4410">
        <v>1</v>
      </c>
      <c r="Q4410">
        <v>0</v>
      </c>
      <c r="S4410" t="str">
        <f t="shared" si="1628"/>
        <v>19:37:23.000</v>
      </c>
      <c r="T4410" t="str">
        <f t="shared" si="1628"/>
        <v>19:37:23.000</v>
      </c>
      <c r="U4410" t="str">
        <f t="shared" si="1609"/>
        <v>AC3944</v>
      </c>
      <c r="V4410">
        <v>0</v>
      </c>
      <c r="W4410">
        <v>0</v>
      </c>
      <c r="X4410">
        <v>2</v>
      </c>
      <c r="Y4410">
        <v>0</v>
      </c>
      <c r="AA4410">
        <v>1</v>
      </c>
      <c r="AB4410">
        <v>8</v>
      </c>
      <c r="AC4410">
        <v>3</v>
      </c>
      <c r="AD4410">
        <v>0</v>
      </c>
      <c r="AE4410">
        <v>9</v>
      </c>
      <c r="AF4410" t="s">
        <v>138</v>
      </c>
      <c r="AG4410">
        <v>0</v>
      </c>
      <c r="AH4410">
        <v>3</v>
      </c>
      <c r="AI4410">
        <v>1</v>
      </c>
      <c r="AJ4410">
        <v>0</v>
      </c>
      <c r="AK4410" t="s">
        <v>1203</v>
      </c>
      <c r="AL4410">
        <v>32.736854999999998</v>
      </c>
      <c r="AM4410" t="s">
        <v>1394</v>
      </c>
      <c r="AN4410">
        <v>-116.70430899999999</v>
      </c>
      <c r="AO4410">
        <v>25</v>
      </c>
      <c r="AP4410">
        <v>5000</v>
      </c>
      <c r="AQ4410" t="s">
        <v>129</v>
      </c>
      <c r="AR4410">
        <v>-140</v>
      </c>
      <c r="AS4410">
        <v>-79</v>
      </c>
      <c r="AT4410">
        <v>0</v>
      </c>
      <c r="BB4410">
        <v>1200</v>
      </c>
      <c r="BC4410">
        <v>1</v>
      </c>
      <c r="BD4410" t="str">
        <f t="shared" si="1610"/>
        <v xml:space="preserve">N887QR  </v>
      </c>
      <c r="BE4410">
        <v>1</v>
      </c>
      <c r="BG4410">
        <v>0</v>
      </c>
      <c r="BH4410">
        <v>0</v>
      </c>
      <c r="BI4410">
        <v>0</v>
      </c>
      <c r="BJ4410">
        <v>4675</v>
      </c>
      <c r="BK4410">
        <v>-325</v>
      </c>
      <c r="BL4410" t="s">
        <v>163</v>
      </c>
      <c r="BM4410">
        <v>1</v>
      </c>
      <c r="BN4410">
        <v>1</v>
      </c>
      <c r="BO4410">
        <v>1</v>
      </c>
      <c r="BP4410">
        <v>0</v>
      </c>
      <c r="BS4410">
        <v>0</v>
      </c>
      <c r="BT4410">
        <v>0</v>
      </c>
      <c r="BU4410">
        <v>0</v>
      </c>
      <c r="CE4410" t="str">
        <f t="shared" si="1630"/>
        <v>19:37:23.792</v>
      </c>
      <c r="CF4410">
        <v>792194169</v>
      </c>
      <c r="CS4410">
        <v>0</v>
      </c>
      <c r="CT4410">
        <v>2</v>
      </c>
      <c r="CU4410">
        <v>0</v>
      </c>
      <c r="CV4410">
        <v>2</v>
      </c>
      <c r="CW4410">
        <v>2</v>
      </c>
      <c r="CX4410">
        <v>6</v>
      </c>
      <c r="CY4410">
        <v>7</v>
      </c>
      <c r="CZ4410" t="s">
        <v>131</v>
      </c>
      <c r="DA4410">
        <v>286</v>
      </c>
      <c r="DB4410">
        <v>0</v>
      </c>
      <c r="DC4410" t="s">
        <v>132</v>
      </c>
      <c r="DD4410" t="s">
        <v>133</v>
      </c>
      <c r="DG4410">
        <v>912595</v>
      </c>
      <c r="DI4410">
        <v>1</v>
      </c>
      <c r="DJ4410">
        <v>0</v>
      </c>
      <c r="DK4410">
        <v>1</v>
      </c>
      <c r="DL4410">
        <v>0</v>
      </c>
      <c r="DM4410">
        <v>0</v>
      </c>
      <c r="DN4410">
        <v>1</v>
      </c>
      <c r="DO4410">
        <v>0</v>
      </c>
      <c r="DP4410">
        <v>0</v>
      </c>
      <c r="DQ4410">
        <v>0</v>
      </c>
      <c r="DR4410">
        <v>0</v>
      </c>
      <c r="DS4410">
        <v>0</v>
      </c>
    </row>
    <row r="4411" spans="1:123" x14ac:dyDescent="0.3">
      <c r="A4411" t="str">
        <f>"10/04/2022 19:37:24.246"</f>
        <v>10/04/2022 19:37:24.246</v>
      </c>
      <c r="C4411" t="str">
        <f t="shared" si="1627"/>
        <v>FFDFD3C0</v>
      </c>
      <c r="D4411" t="s">
        <v>147</v>
      </c>
      <c r="E4411">
        <v>3</v>
      </c>
      <c r="H4411">
        <v>166</v>
      </c>
      <c r="I4411" t="s">
        <v>144</v>
      </c>
      <c r="J4411" t="s">
        <v>148</v>
      </c>
      <c r="K4411">
        <v>0</v>
      </c>
      <c r="L4411">
        <v>3</v>
      </c>
      <c r="M4411">
        <v>0</v>
      </c>
      <c r="N4411">
        <v>2</v>
      </c>
      <c r="O4411">
        <v>0</v>
      </c>
      <c r="P4411">
        <v>1</v>
      </c>
      <c r="Q4411">
        <v>0</v>
      </c>
      <c r="S4411" t="str">
        <f t="shared" si="1628"/>
        <v>19:37:23.000</v>
      </c>
      <c r="T4411" t="str">
        <f t="shared" si="1628"/>
        <v>19:37:23.000</v>
      </c>
      <c r="U4411" t="str">
        <f t="shared" si="1609"/>
        <v>AC3944</v>
      </c>
      <c r="V4411">
        <v>0</v>
      </c>
      <c r="W4411">
        <v>0</v>
      </c>
      <c r="X4411">
        <v>2</v>
      </c>
      <c r="Y4411">
        <v>0</v>
      </c>
      <c r="AA4411">
        <v>1</v>
      </c>
      <c r="AB4411">
        <v>8</v>
      </c>
      <c r="AC4411">
        <v>3</v>
      </c>
      <c r="AD4411">
        <v>0</v>
      </c>
      <c r="AE4411">
        <v>9</v>
      </c>
      <c r="AF4411" t="s">
        <v>138</v>
      </c>
      <c r="AG4411">
        <v>0</v>
      </c>
      <c r="AH4411">
        <v>3</v>
      </c>
      <c r="AI4411">
        <v>1</v>
      </c>
      <c r="AJ4411">
        <v>0</v>
      </c>
      <c r="AK4411" t="s">
        <v>1203</v>
      </c>
      <c r="AL4411">
        <v>32.736854999999998</v>
      </c>
      <c r="AM4411" t="s">
        <v>1394</v>
      </c>
      <c r="AN4411">
        <v>-116.70430899999999</v>
      </c>
      <c r="AO4411">
        <v>25</v>
      </c>
      <c r="AP4411">
        <v>5000</v>
      </c>
      <c r="AQ4411" t="s">
        <v>129</v>
      </c>
      <c r="AR4411">
        <v>-140</v>
      </c>
      <c r="AS4411">
        <v>-79</v>
      </c>
      <c r="AT4411">
        <v>0</v>
      </c>
      <c r="BB4411">
        <v>1200</v>
      </c>
      <c r="BC4411">
        <v>1</v>
      </c>
      <c r="BD4411" t="str">
        <f t="shared" si="1610"/>
        <v xml:space="preserve">N887QR  </v>
      </c>
      <c r="BE4411">
        <v>1</v>
      </c>
      <c r="BG4411">
        <v>0</v>
      </c>
      <c r="BH4411">
        <v>0</v>
      </c>
      <c r="BI4411">
        <v>0</v>
      </c>
      <c r="BJ4411">
        <v>4675</v>
      </c>
      <c r="BK4411">
        <v>-325</v>
      </c>
      <c r="BL4411" t="s">
        <v>163</v>
      </c>
      <c r="BM4411">
        <v>1</v>
      </c>
      <c r="BN4411">
        <v>1</v>
      </c>
      <c r="BO4411">
        <v>1</v>
      </c>
      <c r="BP4411">
        <v>0</v>
      </c>
      <c r="BS4411">
        <v>0</v>
      </c>
      <c r="BT4411">
        <v>0</v>
      </c>
      <c r="BU4411">
        <v>0</v>
      </c>
      <c r="CE4411" t="str">
        <f t="shared" si="1630"/>
        <v>19:37:23.792</v>
      </c>
      <c r="CF4411">
        <v>792194169</v>
      </c>
      <c r="CS4411">
        <v>0</v>
      </c>
      <c r="CT4411">
        <v>2</v>
      </c>
      <c r="CU4411">
        <v>0</v>
      </c>
      <c r="CV4411">
        <v>2</v>
      </c>
      <c r="CW4411">
        <v>2</v>
      </c>
      <c r="CX4411">
        <v>6</v>
      </c>
      <c r="CY4411">
        <v>7</v>
      </c>
      <c r="CZ4411" t="s">
        <v>131</v>
      </c>
      <c r="DA4411">
        <v>286</v>
      </c>
      <c r="DB4411">
        <v>0</v>
      </c>
      <c r="DC4411" t="s">
        <v>132</v>
      </c>
      <c r="DD4411" t="s">
        <v>133</v>
      </c>
      <c r="DG4411">
        <v>912595</v>
      </c>
      <c r="DI4411">
        <v>1</v>
      </c>
      <c r="DJ4411">
        <v>0</v>
      </c>
      <c r="DK4411">
        <v>1</v>
      </c>
      <c r="DL4411">
        <v>0</v>
      </c>
      <c r="DM4411">
        <v>0</v>
      </c>
      <c r="DN4411">
        <v>1</v>
      </c>
      <c r="DO4411">
        <v>0</v>
      </c>
      <c r="DP4411">
        <v>0</v>
      </c>
      <c r="DQ4411">
        <v>0</v>
      </c>
      <c r="DR4411">
        <v>0</v>
      </c>
      <c r="DS4411">
        <v>0</v>
      </c>
    </row>
    <row r="4412" spans="1:123" x14ac:dyDescent="0.3">
      <c r="A4412" t="str">
        <f>"10/04/2022 19:37:24.262"</f>
        <v>10/04/2022 19:37:24.262</v>
      </c>
      <c r="C4412" t="str">
        <f t="shared" si="1627"/>
        <v>FFDFD3C0</v>
      </c>
      <c r="D4412" t="s">
        <v>136</v>
      </c>
      <c r="E4412">
        <v>8</v>
      </c>
      <c r="H4412">
        <v>225</v>
      </c>
      <c r="I4412" t="s">
        <v>137</v>
      </c>
      <c r="J4412" t="s">
        <v>138</v>
      </c>
      <c r="K4412">
        <v>0</v>
      </c>
      <c r="L4412">
        <v>3</v>
      </c>
      <c r="M4412">
        <v>0</v>
      </c>
      <c r="N4412">
        <v>2</v>
      </c>
      <c r="O4412">
        <v>0</v>
      </c>
      <c r="P4412">
        <v>1</v>
      </c>
      <c r="Q4412">
        <v>0</v>
      </c>
      <c r="S4412" t="str">
        <f t="shared" si="1628"/>
        <v>19:37:23.000</v>
      </c>
      <c r="T4412" t="str">
        <f t="shared" si="1628"/>
        <v>19:37:23.000</v>
      </c>
      <c r="U4412" t="str">
        <f t="shared" si="1609"/>
        <v>AC3944</v>
      </c>
      <c r="V4412">
        <v>0</v>
      </c>
      <c r="W4412">
        <v>0</v>
      </c>
      <c r="X4412">
        <v>2</v>
      </c>
      <c r="Y4412">
        <v>0</v>
      </c>
      <c r="AA4412">
        <v>1</v>
      </c>
      <c r="AB4412">
        <v>8</v>
      </c>
      <c r="AC4412">
        <v>3</v>
      </c>
      <c r="AD4412">
        <v>0</v>
      </c>
      <c r="AE4412">
        <v>9</v>
      </c>
      <c r="AF4412" t="s">
        <v>138</v>
      </c>
      <c r="AG4412">
        <v>0</v>
      </c>
      <c r="AH4412">
        <v>3</v>
      </c>
      <c r="AI4412">
        <v>1</v>
      </c>
      <c r="AJ4412">
        <v>0</v>
      </c>
      <c r="AK4412" t="s">
        <v>1203</v>
      </c>
      <c r="AL4412">
        <v>32.736854999999998</v>
      </c>
      <c r="AM4412" t="s">
        <v>1394</v>
      </c>
      <c r="AN4412">
        <v>-116.70430899999999</v>
      </c>
      <c r="AO4412">
        <v>25</v>
      </c>
      <c r="AP4412">
        <v>5000</v>
      </c>
      <c r="AQ4412" t="s">
        <v>129</v>
      </c>
      <c r="AR4412">
        <v>-140</v>
      </c>
      <c r="AS4412">
        <v>-79</v>
      </c>
      <c r="AT4412">
        <v>0</v>
      </c>
      <c r="BB4412">
        <v>1200</v>
      </c>
      <c r="BC4412">
        <v>1</v>
      </c>
      <c r="BD4412" t="str">
        <f t="shared" si="1610"/>
        <v xml:space="preserve">N887QR  </v>
      </c>
      <c r="BE4412">
        <v>1</v>
      </c>
      <c r="BG4412">
        <v>0</v>
      </c>
      <c r="BH4412">
        <v>0</v>
      </c>
      <c r="BI4412">
        <v>0</v>
      </c>
      <c r="BJ4412">
        <v>4675</v>
      </c>
      <c r="BK4412">
        <v>-325</v>
      </c>
      <c r="BL4412" t="s">
        <v>163</v>
      </c>
      <c r="BM4412">
        <v>1</v>
      </c>
      <c r="BN4412">
        <v>1</v>
      </c>
      <c r="BO4412">
        <v>1</v>
      </c>
      <c r="BP4412">
        <v>0</v>
      </c>
      <c r="BS4412">
        <v>0</v>
      </c>
      <c r="BT4412">
        <v>0</v>
      </c>
      <c r="BU4412">
        <v>0</v>
      </c>
      <c r="CE4412" t="str">
        <f t="shared" si="1630"/>
        <v>19:37:23.792</v>
      </c>
      <c r="CF4412">
        <v>792194169</v>
      </c>
      <c r="CS4412">
        <v>0</v>
      </c>
      <c r="CT4412">
        <v>2</v>
      </c>
      <c r="CU4412">
        <v>0</v>
      </c>
      <c r="CV4412">
        <v>2</v>
      </c>
      <c r="CW4412">
        <v>2</v>
      </c>
      <c r="CX4412">
        <v>6</v>
      </c>
      <c r="CY4412">
        <v>7</v>
      </c>
      <c r="CZ4412" t="s">
        <v>131</v>
      </c>
      <c r="DA4412">
        <v>286</v>
      </c>
      <c r="DB4412">
        <v>0</v>
      </c>
      <c r="DC4412" t="s">
        <v>132</v>
      </c>
      <c r="DD4412" t="s">
        <v>133</v>
      </c>
      <c r="DG4412">
        <v>912595</v>
      </c>
      <c r="DI4412">
        <v>1</v>
      </c>
      <c r="DJ4412">
        <v>0</v>
      </c>
      <c r="DK4412">
        <v>1</v>
      </c>
      <c r="DL4412">
        <v>0</v>
      </c>
      <c r="DM4412">
        <v>0</v>
      </c>
      <c r="DN4412">
        <v>1</v>
      </c>
      <c r="DO4412">
        <v>0</v>
      </c>
      <c r="DP4412">
        <v>0</v>
      </c>
      <c r="DQ4412">
        <v>0</v>
      </c>
      <c r="DR4412">
        <v>0</v>
      </c>
      <c r="DS4412">
        <v>0</v>
      </c>
    </row>
    <row r="4413" spans="1:123" x14ac:dyDescent="0.3">
      <c r="A4413" t="str">
        <f>"10/04/2022 19:37:24.293"</f>
        <v>10/04/2022 19:37:24.293</v>
      </c>
      <c r="C4413" t="str">
        <f t="shared" si="1627"/>
        <v>FFDFD3C0</v>
      </c>
      <c r="D4413" t="s">
        <v>134</v>
      </c>
      <c r="E4413">
        <v>15</v>
      </c>
      <c r="J4413" t="s">
        <v>135</v>
      </c>
      <c r="K4413">
        <v>0</v>
      </c>
      <c r="L4413">
        <v>3</v>
      </c>
      <c r="M4413">
        <v>0</v>
      </c>
      <c r="N4413">
        <v>2</v>
      </c>
      <c r="O4413">
        <v>0</v>
      </c>
      <c r="P4413">
        <v>1</v>
      </c>
      <c r="Q4413">
        <v>0</v>
      </c>
      <c r="S4413" t="str">
        <f t="shared" si="1628"/>
        <v>19:37:23.000</v>
      </c>
      <c r="T4413" t="str">
        <f t="shared" si="1628"/>
        <v>19:37:23.000</v>
      </c>
      <c r="U4413" t="str">
        <f t="shared" si="1609"/>
        <v>AC3944</v>
      </c>
      <c r="V4413">
        <v>0</v>
      </c>
      <c r="W4413">
        <v>0</v>
      </c>
      <c r="X4413">
        <v>2</v>
      </c>
      <c r="Y4413">
        <v>0</v>
      </c>
      <c r="AA4413">
        <v>1</v>
      </c>
      <c r="AB4413">
        <v>8</v>
      </c>
      <c r="AC4413">
        <v>3</v>
      </c>
      <c r="AD4413">
        <v>0</v>
      </c>
      <c r="AE4413">
        <v>9</v>
      </c>
      <c r="AF4413" t="s">
        <v>138</v>
      </c>
      <c r="AG4413">
        <v>0</v>
      </c>
      <c r="AH4413">
        <v>3</v>
      </c>
      <c r="AI4413">
        <v>1</v>
      </c>
      <c r="AJ4413">
        <v>0</v>
      </c>
      <c r="AK4413" t="s">
        <v>1203</v>
      </c>
      <c r="AL4413">
        <v>32.736854999999998</v>
      </c>
      <c r="AM4413" t="s">
        <v>1394</v>
      </c>
      <c r="AN4413">
        <v>-116.70430899999999</v>
      </c>
      <c r="AO4413">
        <v>25</v>
      </c>
      <c r="AP4413">
        <v>5000</v>
      </c>
      <c r="AQ4413" t="s">
        <v>129</v>
      </c>
      <c r="AR4413">
        <v>-140</v>
      </c>
      <c r="AS4413">
        <v>-79</v>
      </c>
      <c r="AT4413">
        <v>0</v>
      </c>
      <c r="BB4413">
        <v>1200</v>
      </c>
      <c r="BC4413">
        <v>1</v>
      </c>
      <c r="BD4413" t="str">
        <f t="shared" si="1610"/>
        <v xml:space="preserve">N887QR  </v>
      </c>
      <c r="BE4413">
        <v>1</v>
      </c>
      <c r="BG4413">
        <v>0</v>
      </c>
      <c r="BH4413">
        <v>0</v>
      </c>
      <c r="BI4413">
        <v>0</v>
      </c>
      <c r="BJ4413">
        <v>4675</v>
      </c>
      <c r="BK4413">
        <v>-325</v>
      </c>
      <c r="BL4413" t="s">
        <v>163</v>
      </c>
      <c r="BM4413">
        <v>1</v>
      </c>
      <c r="BN4413">
        <v>1</v>
      </c>
      <c r="BO4413">
        <v>1</v>
      </c>
      <c r="BP4413">
        <v>0</v>
      </c>
      <c r="BS4413">
        <v>0</v>
      </c>
      <c r="BT4413">
        <v>0</v>
      </c>
      <c r="BU4413">
        <v>0</v>
      </c>
      <c r="CE4413" t="str">
        <f t="shared" si="1630"/>
        <v>19:37:23.792</v>
      </c>
      <c r="CF4413">
        <v>792194169</v>
      </c>
      <c r="CS4413">
        <v>0</v>
      </c>
      <c r="CT4413">
        <v>2</v>
      </c>
      <c r="CU4413">
        <v>0</v>
      </c>
      <c r="CV4413">
        <v>2</v>
      </c>
      <c r="CW4413">
        <v>2</v>
      </c>
      <c r="CX4413">
        <v>6</v>
      </c>
      <c r="CY4413">
        <v>7</v>
      </c>
      <c r="CZ4413" t="s">
        <v>131</v>
      </c>
      <c r="DA4413">
        <v>286</v>
      </c>
      <c r="DB4413">
        <v>0</v>
      </c>
      <c r="DC4413" t="s">
        <v>132</v>
      </c>
      <c r="DD4413" t="s">
        <v>133</v>
      </c>
      <c r="DG4413">
        <v>912595</v>
      </c>
      <c r="DI4413">
        <v>1</v>
      </c>
      <c r="DJ4413">
        <v>0</v>
      </c>
      <c r="DK4413">
        <v>1</v>
      </c>
      <c r="DL4413">
        <v>0</v>
      </c>
      <c r="DM4413">
        <v>0</v>
      </c>
      <c r="DN4413">
        <v>1</v>
      </c>
      <c r="DO4413">
        <v>0</v>
      </c>
      <c r="DP4413">
        <v>0</v>
      </c>
      <c r="DQ4413">
        <v>0</v>
      </c>
      <c r="DR4413">
        <v>0</v>
      </c>
      <c r="DS4413">
        <v>0</v>
      </c>
    </row>
    <row r="4414" spans="1:123" x14ac:dyDescent="0.3">
      <c r="A4414" t="str">
        <f>"10/04/2022 19:37:24.199"</f>
        <v>10/04/2022 19:37:24.199</v>
      </c>
      <c r="C4414" t="str">
        <f t="shared" si="1627"/>
        <v>FFDFD3C0</v>
      </c>
      <c r="D4414" t="s">
        <v>123</v>
      </c>
      <c r="E4414">
        <v>7</v>
      </c>
      <c r="F4414">
        <v>2007</v>
      </c>
      <c r="G4414" t="s">
        <v>124</v>
      </c>
      <c r="J4414" t="s">
        <v>125</v>
      </c>
      <c r="K4414">
        <v>0</v>
      </c>
      <c r="L4414">
        <v>3</v>
      </c>
      <c r="M4414">
        <v>0</v>
      </c>
      <c r="N4414">
        <v>2</v>
      </c>
      <c r="O4414">
        <v>0</v>
      </c>
      <c r="P4414">
        <v>1</v>
      </c>
      <c r="Q4414">
        <v>0</v>
      </c>
      <c r="S4414" t="str">
        <f t="shared" si="1628"/>
        <v>19:37:23.000</v>
      </c>
      <c r="T4414" t="str">
        <f t="shared" si="1628"/>
        <v>19:37:23.000</v>
      </c>
      <c r="U4414" t="str">
        <f t="shared" si="1609"/>
        <v>AC3944</v>
      </c>
      <c r="V4414">
        <v>0</v>
      </c>
      <c r="W4414">
        <v>0</v>
      </c>
      <c r="X4414">
        <v>2</v>
      </c>
      <c r="Y4414">
        <v>0</v>
      </c>
      <c r="AA4414">
        <v>1</v>
      </c>
      <c r="AB4414">
        <v>8</v>
      </c>
      <c r="AC4414">
        <v>3</v>
      </c>
      <c r="AD4414">
        <v>0</v>
      </c>
      <c r="AE4414">
        <v>9</v>
      </c>
      <c r="AF4414" t="s">
        <v>138</v>
      </c>
      <c r="AG4414">
        <v>0</v>
      </c>
      <c r="AH4414">
        <v>3</v>
      </c>
      <c r="AI4414">
        <v>1</v>
      </c>
      <c r="AJ4414">
        <v>0</v>
      </c>
      <c r="AK4414" t="s">
        <v>1203</v>
      </c>
      <c r="AL4414">
        <v>32.736854999999998</v>
      </c>
      <c r="AM4414" t="s">
        <v>1394</v>
      </c>
      <c r="AN4414">
        <v>-116.70430899999999</v>
      </c>
      <c r="AO4414">
        <v>25</v>
      </c>
      <c r="AP4414">
        <v>5000</v>
      </c>
      <c r="AQ4414" t="s">
        <v>129</v>
      </c>
      <c r="AR4414">
        <v>-140</v>
      </c>
      <c r="AS4414">
        <v>-79</v>
      </c>
      <c r="AT4414">
        <v>0</v>
      </c>
      <c r="BB4414">
        <v>1200</v>
      </c>
      <c r="BC4414">
        <v>1</v>
      </c>
      <c r="BD4414" t="str">
        <f t="shared" si="1610"/>
        <v xml:space="preserve">N887QR  </v>
      </c>
      <c r="BE4414">
        <v>1</v>
      </c>
      <c r="BG4414">
        <v>0</v>
      </c>
      <c r="BH4414">
        <v>0</v>
      </c>
      <c r="BI4414">
        <v>0</v>
      </c>
      <c r="BJ4414">
        <v>4675</v>
      </c>
      <c r="BK4414">
        <v>-325</v>
      </c>
      <c r="BL4414" t="s">
        <v>163</v>
      </c>
      <c r="BM4414">
        <v>1</v>
      </c>
      <c r="BN4414">
        <v>1</v>
      </c>
      <c r="BO4414">
        <v>1</v>
      </c>
      <c r="BP4414">
        <v>0</v>
      </c>
      <c r="BS4414">
        <v>0</v>
      </c>
      <c r="BT4414">
        <v>0</v>
      </c>
      <c r="BU4414">
        <v>0</v>
      </c>
      <c r="CE4414" t="str">
        <f t="shared" si="1630"/>
        <v>19:37:23.792</v>
      </c>
      <c r="CF4414">
        <v>792194169</v>
      </c>
      <c r="CS4414">
        <v>0</v>
      </c>
      <c r="CT4414">
        <v>2</v>
      </c>
      <c r="CU4414">
        <v>0</v>
      </c>
      <c r="CV4414">
        <v>2</v>
      </c>
      <c r="CW4414">
        <v>2</v>
      </c>
      <c r="CX4414">
        <v>6</v>
      </c>
      <c r="CY4414">
        <v>7</v>
      </c>
      <c r="CZ4414" t="s">
        <v>131</v>
      </c>
      <c r="DA4414">
        <v>286</v>
      </c>
      <c r="DB4414">
        <v>0</v>
      </c>
      <c r="DC4414" t="s">
        <v>132</v>
      </c>
      <c r="DD4414" t="s">
        <v>133</v>
      </c>
      <c r="DG4414">
        <v>912595</v>
      </c>
      <c r="DI4414">
        <v>1</v>
      </c>
      <c r="DJ4414">
        <v>0</v>
      </c>
      <c r="DK4414">
        <v>1</v>
      </c>
      <c r="DL4414">
        <v>0</v>
      </c>
      <c r="DM4414">
        <v>0</v>
      </c>
      <c r="DN4414">
        <v>1</v>
      </c>
      <c r="DO4414">
        <v>0</v>
      </c>
      <c r="DP4414">
        <v>0</v>
      </c>
      <c r="DQ4414">
        <v>0</v>
      </c>
      <c r="DR4414">
        <v>0</v>
      </c>
      <c r="DS4414">
        <v>0</v>
      </c>
    </row>
    <row r="4415" spans="1:123" x14ac:dyDescent="0.3">
      <c r="A4415" t="str">
        <f>"10/04/2022 19:37:25.669"</f>
        <v>10/04/2022 19:37:25.669</v>
      </c>
      <c r="C4415" t="str">
        <f t="shared" si="1627"/>
        <v>FFDFD3C0</v>
      </c>
      <c r="D4415" t="s">
        <v>147</v>
      </c>
      <c r="E4415">
        <v>3</v>
      </c>
      <c r="H4415">
        <v>166</v>
      </c>
      <c r="I4415" t="s">
        <v>144</v>
      </c>
      <c r="J4415" t="s">
        <v>148</v>
      </c>
      <c r="K4415">
        <v>0</v>
      </c>
      <c r="L4415">
        <v>3</v>
      </c>
      <c r="M4415">
        <v>0</v>
      </c>
      <c r="N4415">
        <v>2</v>
      </c>
      <c r="O4415">
        <v>0</v>
      </c>
      <c r="P4415">
        <v>1</v>
      </c>
      <c r="Q4415">
        <v>0</v>
      </c>
      <c r="S4415" t="str">
        <f t="shared" ref="S4415:T4428" si="1631">"19:37:25.000"</f>
        <v>19:37:25.000</v>
      </c>
      <c r="T4415" t="str">
        <f t="shared" si="1631"/>
        <v>19:37:25.000</v>
      </c>
      <c r="U4415" t="str">
        <f t="shared" si="1609"/>
        <v>AC3944</v>
      </c>
      <c r="V4415">
        <v>0</v>
      </c>
      <c r="W4415">
        <v>0</v>
      </c>
      <c r="X4415">
        <v>2</v>
      </c>
      <c r="Y4415">
        <v>0</v>
      </c>
      <c r="AA4415">
        <v>1</v>
      </c>
      <c r="AB4415">
        <v>8</v>
      </c>
      <c r="AC4415">
        <v>3</v>
      </c>
      <c r="AD4415">
        <v>0</v>
      </c>
      <c r="AE4415">
        <v>9</v>
      </c>
      <c r="AF4415" t="s">
        <v>138</v>
      </c>
      <c r="AG4415">
        <v>0</v>
      </c>
      <c r="AH4415">
        <v>3</v>
      </c>
      <c r="AI4415">
        <v>1</v>
      </c>
      <c r="AJ4415">
        <v>0</v>
      </c>
      <c r="AK4415" t="s">
        <v>1395</v>
      </c>
      <c r="AL4415">
        <v>32.736490000000003</v>
      </c>
      <c r="AM4415" t="s">
        <v>1396</v>
      </c>
      <c r="AN4415">
        <v>-116.70508100000001</v>
      </c>
      <c r="AO4415">
        <v>25</v>
      </c>
      <c r="AP4415">
        <v>5000</v>
      </c>
      <c r="AQ4415" t="s">
        <v>129</v>
      </c>
      <c r="AR4415">
        <v>-142</v>
      </c>
      <c r="AS4415">
        <v>-80</v>
      </c>
      <c r="AT4415">
        <v>-128</v>
      </c>
      <c r="BB4415">
        <v>1200</v>
      </c>
      <c r="BC4415">
        <v>1</v>
      </c>
      <c r="BD4415" t="str">
        <f t="shared" si="1610"/>
        <v xml:space="preserve">N887QR  </v>
      </c>
      <c r="BE4415">
        <v>1</v>
      </c>
      <c r="BG4415">
        <v>0</v>
      </c>
      <c r="BH4415">
        <v>0</v>
      </c>
      <c r="BI4415">
        <v>0</v>
      </c>
      <c r="BJ4415">
        <v>4650</v>
      </c>
      <c r="BK4415">
        <v>-350</v>
      </c>
      <c r="BL4415" t="s">
        <v>163</v>
      </c>
      <c r="BM4415">
        <v>1</v>
      </c>
      <c r="BN4415">
        <v>1</v>
      </c>
      <c r="BO4415">
        <v>1</v>
      </c>
      <c r="BP4415">
        <v>0</v>
      </c>
      <c r="BS4415">
        <v>0</v>
      </c>
      <c r="BT4415">
        <v>0</v>
      </c>
      <c r="BU4415">
        <v>0</v>
      </c>
      <c r="CE4415" t="str">
        <f t="shared" ref="CE4415:CE4421" si="1632">"19:37:25.472"</f>
        <v>19:37:25.472</v>
      </c>
      <c r="CF4415">
        <v>471949108</v>
      </c>
      <c r="CS4415">
        <v>0</v>
      </c>
      <c r="CT4415">
        <v>2</v>
      </c>
      <c r="CU4415">
        <v>0</v>
      </c>
      <c r="CV4415">
        <v>2</v>
      </c>
      <c r="CW4415">
        <v>0</v>
      </c>
      <c r="CX4415">
        <v>6</v>
      </c>
      <c r="CY4415">
        <v>7</v>
      </c>
      <c r="CZ4415" t="s">
        <v>131</v>
      </c>
      <c r="DA4415">
        <v>286</v>
      </c>
      <c r="DB4415">
        <v>0</v>
      </c>
      <c r="DC4415" t="s">
        <v>132</v>
      </c>
      <c r="DD4415" t="s">
        <v>133</v>
      </c>
      <c r="DG4415">
        <v>912995</v>
      </c>
      <c r="DI4415">
        <v>1</v>
      </c>
      <c r="DJ4415">
        <v>0</v>
      </c>
      <c r="DK4415">
        <v>0</v>
      </c>
      <c r="DL4415">
        <v>0</v>
      </c>
      <c r="DM4415">
        <v>0</v>
      </c>
      <c r="DN4415">
        <v>1</v>
      </c>
      <c r="DO4415">
        <v>0</v>
      </c>
      <c r="DP4415">
        <v>0</v>
      </c>
      <c r="DQ4415">
        <v>0</v>
      </c>
      <c r="DR4415">
        <v>0</v>
      </c>
      <c r="DS4415">
        <v>0</v>
      </c>
    </row>
    <row r="4416" spans="1:123" x14ac:dyDescent="0.3">
      <c r="A4416" t="str">
        <f>"10/04/2022 19:37:25.669"</f>
        <v>10/04/2022 19:37:25.669</v>
      </c>
      <c r="C4416" t="str">
        <f t="shared" si="1627"/>
        <v>FFDFD3C0</v>
      </c>
      <c r="D4416" t="s">
        <v>136</v>
      </c>
      <c r="E4416">
        <v>8</v>
      </c>
      <c r="H4416">
        <v>225</v>
      </c>
      <c r="I4416" t="s">
        <v>137</v>
      </c>
      <c r="J4416" t="s">
        <v>138</v>
      </c>
      <c r="K4416">
        <v>0</v>
      </c>
      <c r="L4416">
        <v>3</v>
      </c>
      <c r="M4416">
        <v>0</v>
      </c>
      <c r="N4416">
        <v>2</v>
      </c>
      <c r="O4416">
        <v>0</v>
      </c>
      <c r="P4416">
        <v>1</v>
      </c>
      <c r="Q4416">
        <v>0</v>
      </c>
      <c r="S4416" t="str">
        <f t="shared" si="1631"/>
        <v>19:37:25.000</v>
      </c>
      <c r="T4416" t="str">
        <f t="shared" si="1631"/>
        <v>19:37:25.000</v>
      </c>
      <c r="U4416" t="str">
        <f t="shared" si="1609"/>
        <v>AC3944</v>
      </c>
      <c r="V4416">
        <v>0</v>
      </c>
      <c r="W4416">
        <v>0</v>
      </c>
      <c r="X4416">
        <v>2</v>
      </c>
      <c r="Y4416">
        <v>0</v>
      </c>
      <c r="AA4416">
        <v>1</v>
      </c>
      <c r="AB4416">
        <v>8</v>
      </c>
      <c r="AC4416">
        <v>3</v>
      </c>
      <c r="AD4416">
        <v>0</v>
      </c>
      <c r="AE4416">
        <v>9</v>
      </c>
      <c r="AF4416" t="s">
        <v>138</v>
      </c>
      <c r="AG4416">
        <v>0</v>
      </c>
      <c r="AH4416">
        <v>3</v>
      </c>
      <c r="AI4416">
        <v>1</v>
      </c>
      <c r="AJ4416">
        <v>0</v>
      </c>
      <c r="AK4416" t="s">
        <v>1395</v>
      </c>
      <c r="AL4416">
        <v>32.736490000000003</v>
      </c>
      <c r="AM4416" t="s">
        <v>1396</v>
      </c>
      <c r="AN4416">
        <v>-116.70508100000001</v>
      </c>
      <c r="AO4416">
        <v>25</v>
      </c>
      <c r="AP4416">
        <v>5000</v>
      </c>
      <c r="AQ4416" t="s">
        <v>129</v>
      </c>
      <c r="AR4416">
        <v>-142</v>
      </c>
      <c r="AS4416">
        <v>-80</v>
      </c>
      <c r="AT4416">
        <v>-128</v>
      </c>
      <c r="BB4416">
        <v>1200</v>
      </c>
      <c r="BC4416">
        <v>1</v>
      </c>
      <c r="BD4416" t="str">
        <f t="shared" si="1610"/>
        <v xml:space="preserve">N887QR  </v>
      </c>
      <c r="BE4416">
        <v>1</v>
      </c>
      <c r="BG4416">
        <v>0</v>
      </c>
      <c r="BH4416">
        <v>0</v>
      </c>
      <c r="BI4416">
        <v>0</v>
      </c>
      <c r="BJ4416">
        <v>4650</v>
      </c>
      <c r="BK4416">
        <v>-350</v>
      </c>
      <c r="BL4416" t="s">
        <v>163</v>
      </c>
      <c r="BM4416">
        <v>1</v>
      </c>
      <c r="BN4416">
        <v>1</v>
      </c>
      <c r="BO4416">
        <v>1</v>
      </c>
      <c r="BP4416">
        <v>0</v>
      </c>
      <c r="BS4416">
        <v>0</v>
      </c>
      <c r="BT4416">
        <v>0</v>
      </c>
      <c r="BU4416">
        <v>0</v>
      </c>
      <c r="CE4416" t="str">
        <f t="shared" si="1632"/>
        <v>19:37:25.472</v>
      </c>
      <c r="CF4416">
        <v>471949108</v>
      </c>
      <c r="CS4416">
        <v>0</v>
      </c>
      <c r="CT4416">
        <v>2</v>
      </c>
      <c r="CU4416">
        <v>0</v>
      </c>
      <c r="CV4416">
        <v>2</v>
      </c>
      <c r="CW4416">
        <v>0</v>
      </c>
      <c r="CX4416">
        <v>6</v>
      </c>
      <c r="CY4416">
        <v>7</v>
      </c>
      <c r="CZ4416" t="s">
        <v>131</v>
      </c>
      <c r="DA4416">
        <v>286</v>
      </c>
      <c r="DB4416">
        <v>0</v>
      </c>
      <c r="DC4416" t="s">
        <v>132</v>
      </c>
      <c r="DD4416" t="s">
        <v>133</v>
      </c>
      <c r="DG4416">
        <v>912995</v>
      </c>
      <c r="DI4416">
        <v>1</v>
      </c>
      <c r="DJ4416">
        <v>0</v>
      </c>
      <c r="DK4416">
        <v>1</v>
      </c>
      <c r="DL4416">
        <v>0</v>
      </c>
      <c r="DM4416">
        <v>0</v>
      </c>
      <c r="DN4416">
        <v>1</v>
      </c>
      <c r="DO4416">
        <v>0</v>
      </c>
      <c r="DP4416">
        <v>0</v>
      </c>
      <c r="DQ4416">
        <v>0</v>
      </c>
      <c r="DR4416">
        <v>0</v>
      </c>
      <c r="DS4416">
        <v>0</v>
      </c>
    </row>
    <row r="4417" spans="1:123" x14ac:dyDescent="0.3">
      <c r="A4417" t="str">
        <f>"10/04/2022 19:37:25.669"</f>
        <v>10/04/2022 19:37:25.669</v>
      </c>
      <c r="C4417" t="str">
        <f t="shared" si="1627"/>
        <v>FFDFD3C0</v>
      </c>
      <c r="D4417" t="s">
        <v>134</v>
      </c>
      <c r="E4417">
        <v>15</v>
      </c>
      <c r="J4417" t="s">
        <v>135</v>
      </c>
      <c r="K4417">
        <v>0</v>
      </c>
      <c r="L4417">
        <v>3</v>
      </c>
      <c r="M4417">
        <v>0</v>
      </c>
      <c r="N4417">
        <v>2</v>
      </c>
      <c r="O4417">
        <v>0</v>
      </c>
      <c r="P4417">
        <v>1</v>
      </c>
      <c r="Q4417">
        <v>0</v>
      </c>
      <c r="S4417" t="str">
        <f t="shared" si="1631"/>
        <v>19:37:25.000</v>
      </c>
      <c r="T4417" t="str">
        <f t="shared" si="1631"/>
        <v>19:37:25.000</v>
      </c>
      <c r="U4417" t="str">
        <f t="shared" si="1609"/>
        <v>AC3944</v>
      </c>
      <c r="V4417">
        <v>0</v>
      </c>
      <c r="W4417">
        <v>0</v>
      </c>
      <c r="X4417">
        <v>2</v>
      </c>
      <c r="Y4417">
        <v>0</v>
      </c>
      <c r="AA4417">
        <v>1</v>
      </c>
      <c r="AB4417">
        <v>8</v>
      </c>
      <c r="AC4417">
        <v>3</v>
      </c>
      <c r="AD4417">
        <v>0</v>
      </c>
      <c r="AE4417">
        <v>9</v>
      </c>
      <c r="AF4417" t="s">
        <v>138</v>
      </c>
      <c r="AG4417">
        <v>0</v>
      </c>
      <c r="AH4417">
        <v>3</v>
      </c>
      <c r="AI4417">
        <v>1</v>
      </c>
      <c r="AJ4417">
        <v>0</v>
      </c>
      <c r="AK4417" t="s">
        <v>1395</v>
      </c>
      <c r="AL4417">
        <v>32.736490000000003</v>
      </c>
      <c r="AM4417" t="s">
        <v>1396</v>
      </c>
      <c r="AN4417">
        <v>-116.70508100000001</v>
      </c>
      <c r="AO4417">
        <v>25</v>
      </c>
      <c r="AP4417">
        <v>5000</v>
      </c>
      <c r="AQ4417" t="s">
        <v>129</v>
      </c>
      <c r="AR4417">
        <v>-142</v>
      </c>
      <c r="AS4417">
        <v>-80</v>
      </c>
      <c r="AT4417">
        <v>-128</v>
      </c>
      <c r="BB4417">
        <v>1200</v>
      </c>
      <c r="BC4417">
        <v>1</v>
      </c>
      <c r="BD4417" t="str">
        <f t="shared" si="1610"/>
        <v xml:space="preserve">N887QR  </v>
      </c>
      <c r="BE4417">
        <v>1</v>
      </c>
      <c r="BG4417">
        <v>0</v>
      </c>
      <c r="BH4417">
        <v>0</v>
      </c>
      <c r="BI4417">
        <v>0</v>
      </c>
      <c r="BJ4417">
        <v>4650</v>
      </c>
      <c r="BK4417">
        <v>-350</v>
      </c>
      <c r="BL4417" t="s">
        <v>163</v>
      </c>
      <c r="BM4417">
        <v>1</v>
      </c>
      <c r="BN4417">
        <v>1</v>
      </c>
      <c r="BO4417">
        <v>1</v>
      </c>
      <c r="BP4417">
        <v>0</v>
      </c>
      <c r="BS4417">
        <v>0</v>
      </c>
      <c r="BT4417">
        <v>0</v>
      </c>
      <c r="BU4417">
        <v>0</v>
      </c>
      <c r="CE4417" t="str">
        <f t="shared" si="1632"/>
        <v>19:37:25.472</v>
      </c>
      <c r="CF4417">
        <v>471949108</v>
      </c>
      <c r="CS4417">
        <v>0</v>
      </c>
      <c r="CT4417">
        <v>2</v>
      </c>
      <c r="CU4417">
        <v>0</v>
      </c>
      <c r="CV4417">
        <v>2</v>
      </c>
      <c r="CW4417">
        <v>0</v>
      </c>
      <c r="CX4417">
        <v>6</v>
      </c>
      <c r="CY4417">
        <v>7</v>
      </c>
      <c r="CZ4417" t="s">
        <v>131</v>
      </c>
      <c r="DA4417">
        <v>286</v>
      </c>
      <c r="DB4417">
        <v>0</v>
      </c>
      <c r="DC4417" t="s">
        <v>132</v>
      </c>
      <c r="DD4417" t="s">
        <v>133</v>
      </c>
      <c r="DG4417">
        <v>912995</v>
      </c>
      <c r="DI4417">
        <v>1</v>
      </c>
      <c r="DJ4417">
        <v>0</v>
      </c>
      <c r="DK4417">
        <v>1</v>
      </c>
      <c r="DL4417">
        <v>0</v>
      </c>
      <c r="DM4417">
        <v>0</v>
      </c>
      <c r="DN4417">
        <v>1</v>
      </c>
      <c r="DO4417">
        <v>0</v>
      </c>
      <c r="DP4417">
        <v>0</v>
      </c>
      <c r="DQ4417">
        <v>0</v>
      </c>
      <c r="DR4417">
        <v>0</v>
      </c>
      <c r="DS4417">
        <v>0</v>
      </c>
    </row>
    <row r="4418" spans="1:123" x14ac:dyDescent="0.3">
      <c r="A4418" t="str">
        <f>"10/04/2022 19:37:25.669"</f>
        <v>10/04/2022 19:37:25.669</v>
      </c>
      <c r="C4418" t="str">
        <f t="shared" si="1627"/>
        <v>FFDFD3C0</v>
      </c>
      <c r="D4418" t="s">
        <v>141</v>
      </c>
      <c r="E4418">
        <v>3</v>
      </c>
      <c r="H4418">
        <v>3</v>
      </c>
      <c r="I4418" t="s">
        <v>146</v>
      </c>
      <c r="J4418" t="s">
        <v>138</v>
      </c>
      <c r="K4418">
        <v>0</v>
      </c>
      <c r="L4418">
        <v>3</v>
      </c>
      <c r="M4418">
        <v>0</v>
      </c>
      <c r="N4418">
        <v>2</v>
      </c>
      <c r="O4418">
        <v>0</v>
      </c>
      <c r="P4418">
        <v>1</v>
      </c>
      <c r="Q4418">
        <v>0</v>
      </c>
      <c r="S4418" t="str">
        <f t="shared" si="1631"/>
        <v>19:37:25.000</v>
      </c>
      <c r="T4418" t="str">
        <f t="shared" si="1631"/>
        <v>19:37:25.000</v>
      </c>
      <c r="U4418" t="str">
        <f t="shared" ref="U4418:U4481" si="1633">"AC3944"</f>
        <v>AC3944</v>
      </c>
      <c r="V4418">
        <v>0</v>
      </c>
      <c r="W4418">
        <v>0</v>
      </c>
      <c r="X4418">
        <v>2</v>
      </c>
      <c r="Y4418">
        <v>0</v>
      </c>
      <c r="AA4418">
        <v>1</v>
      </c>
      <c r="AB4418">
        <v>8</v>
      </c>
      <c r="AC4418">
        <v>3</v>
      </c>
      <c r="AD4418">
        <v>0</v>
      </c>
      <c r="AE4418">
        <v>9</v>
      </c>
      <c r="AF4418" t="s">
        <v>138</v>
      </c>
      <c r="AG4418">
        <v>0</v>
      </c>
      <c r="AH4418">
        <v>3</v>
      </c>
      <c r="AI4418">
        <v>1</v>
      </c>
      <c r="AJ4418">
        <v>0</v>
      </c>
      <c r="AK4418" t="s">
        <v>1395</v>
      </c>
      <c r="AL4418">
        <v>32.736490000000003</v>
      </c>
      <c r="AM4418" t="s">
        <v>1396</v>
      </c>
      <c r="AN4418">
        <v>-116.70508100000001</v>
      </c>
      <c r="AO4418">
        <v>25</v>
      </c>
      <c r="AP4418">
        <v>5000</v>
      </c>
      <c r="AQ4418" t="s">
        <v>129</v>
      </c>
      <c r="AR4418">
        <v>-142</v>
      </c>
      <c r="AS4418">
        <v>-80</v>
      </c>
      <c r="AT4418">
        <v>-128</v>
      </c>
      <c r="BB4418">
        <v>1200</v>
      </c>
      <c r="BC4418">
        <v>1</v>
      </c>
      <c r="BD4418" t="str">
        <f t="shared" ref="BD4418:BD4481" si="1634">"N887QR  "</f>
        <v xml:space="preserve">N887QR  </v>
      </c>
      <c r="BE4418">
        <v>1</v>
      </c>
      <c r="BG4418">
        <v>0</v>
      </c>
      <c r="BH4418">
        <v>0</v>
      </c>
      <c r="BI4418">
        <v>0</v>
      </c>
      <c r="BJ4418">
        <v>4650</v>
      </c>
      <c r="BK4418">
        <v>-350</v>
      </c>
      <c r="BL4418" t="s">
        <v>163</v>
      </c>
      <c r="BM4418">
        <v>1</v>
      </c>
      <c r="BN4418">
        <v>1</v>
      </c>
      <c r="BO4418">
        <v>1</v>
      </c>
      <c r="BP4418">
        <v>0</v>
      </c>
      <c r="BS4418">
        <v>0</v>
      </c>
      <c r="BT4418">
        <v>0</v>
      </c>
      <c r="BU4418">
        <v>0</v>
      </c>
      <c r="CE4418" t="str">
        <f t="shared" si="1632"/>
        <v>19:37:25.472</v>
      </c>
      <c r="CF4418">
        <v>471949108</v>
      </c>
      <c r="CS4418">
        <v>0</v>
      </c>
      <c r="CT4418">
        <v>2</v>
      </c>
      <c r="CU4418">
        <v>0</v>
      </c>
      <c r="CV4418">
        <v>2</v>
      </c>
      <c r="CW4418">
        <v>0</v>
      </c>
      <c r="CX4418">
        <v>6</v>
      </c>
      <c r="CY4418">
        <v>7</v>
      </c>
      <c r="CZ4418" t="s">
        <v>131</v>
      </c>
      <c r="DA4418">
        <v>286</v>
      </c>
      <c r="DB4418">
        <v>0</v>
      </c>
      <c r="DC4418" t="s">
        <v>132</v>
      </c>
      <c r="DD4418" t="s">
        <v>133</v>
      </c>
      <c r="DG4418">
        <v>912995</v>
      </c>
      <c r="DI4418">
        <v>1</v>
      </c>
      <c r="DJ4418">
        <v>0</v>
      </c>
      <c r="DK4418">
        <v>1</v>
      </c>
      <c r="DL4418">
        <v>0</v>
      </c>
      <c r="DM4418">
        <v>0</v>
      </c>
      <c r="DN4418">
        <v>1</v>
      </c>
      <c r="DO4418">
        <v>0</v>
      </c>
      <c r="DP4418">
        <v>0</v>
      </c>
      <c r="DQ4418">
        <v>0</v>
      </c>
      <c r="DR4418">
        <v>0</v>
      </c>
      <c r="DS4418">
        <v>0</v>
      </c>
    </row>
    <row r="4419" spans="1:123" x14ac:dyDescent="0.3">
      <c r="A4419" t="str">
        <f>"10/04/2022 19:37:25.747"</f>
        <v>10/04/2022 19:37:25.747</v>
      </c>
      <c r="C4419" t="str">
        <f t="shared" si="1627"/>
        <v>FFDFD3C0</v>
      </c>
      <c r="D4419" t="s">
        <v>143</v>
      </c>
      <c r="E4419">
        <v>20</v>
      </c>
      <c r="F4419">
        <v>1020</v>
      </c>
      <c r="G4419" t="s">
        <v>144</v>
      </c>
      <c r="J4419" t="s">
        <v>145</v>
      </c>
      <c r="K4419">
        <v>0</v>
      </c>
      <c r="L4419">
        <v>3</v>
      </c>
      <c r="M4419">
        <v>0</v>
      </c>
      <c r="N4419">
        <v>2</v>
      </c>
      <c r="O4419">
        <v>0</v>
      </c>
      <c r="P4419">
        <v>1</v>
      </c>
      <c r="Q4419">
        <v>0</v>
      </c>
      <c r="S4419" t="str">
        <f t="shared" si="1631"/>
        <v>19:37:25.000</v>
      </c>
      <c r="T4419" t="str">
        <f t="shared" si="1631"/>
        <v>19:37:25.000</v>
      </c>
      <c r="U4419" t="str">
        <f t="shared" si="1633"/>
        <v>AC3944</v>
      </c>
      <c r="V4419">
        <v>0</v>
      </c>
      <c r="W4419">
        <v>0</v>
      </c>
      <c r="X4419">
        <v>2</v>
      </c>
      <c r="Y4419">
        <v>0</v>
      </c>
      <c r="AA4419">
        <v>1</v>
      </c>
      <c r="AB4419">
        <v>8</v>
      </c>
      <c r="AC4419">
        <v>3</v>
      </c>
      <c r="AD4419">
        <v>0</v>
      </c>
      <c r="AE4419">
        <v>9</v>
      </c>
      <c r="AF4419" t="s">
        <v>138</v>
      </c>
      <c r="AG4419">
        <v>0</v>
      </c>
      <c r="AH4419">
        <v>3</v>
      </c>
      <c r="AI4419">
        <v>1</v>
      </c>
      <c r="AJ4419">
        <v>0</v>
      </c>
      <c r="AK4419" t="s">
        <v>1395</v>
      </c>
      <c r="AL4419">
        <v>32.736490000000003</v>
      </c>
      <c r="AM4419" t="s">
        <v>1396</v>
      </c>
      <c r="AN4419">
        <v>-116.70508100000001</v>
      </c>
      <c r="AO4419">
        <v>25</v>
      </c>
      <c r="AP4419">
        <v>5000</v>
      </c>
      <c r="AQ4419" t="s">
        <v>129</v>
      </c>
      <c r="AR4419">
        <v>-142</v>
      </c>
      <c r="AS4419">
        <v>-80</v>
      </c>
      <c r="AT4419">
        <v>-128</v>
      </c>
      <c r="BB4419">
        <v>1200</v>
      </c>
      <c r="BC4419">
        <v>1</v>
      </c>
      <c r="BD4419" t="str">
        <f t="shared" si="1634"/>
        <v xml:space="preserve">N887QR  </v>
      </c>
      <c r="BE4419">
        <v>1</v>
      </c>
      <c r="BG4419">
        <v>0</v>
      </c>
      <c r="BH4419">
        <v>0</v>
      </c>
      <c r="BI4419">
        <v>0</v>
      </c>
      <c r="BJ4419">
        <v>4650</v>
      </c>
      <c r="BK4419">
        <v>-350</v>
      </c>
      <c r="BL4419" t="s">
        <v>163</v>
      </c>
      <c r="BM4419">
        <v>1</v>
      </c>
      <c r="BN4419">
        <v>1</v>
      </c>
      <c r="BO4419">
        <v>1</v>
      </c>
      <c r="BP4419">
        <v>0</v>
      </c>
      <c r="BS4419">
        <v>0</v>
      </c>
      <c r="BT4419">
        <v>0</v>
      </c>
      <c r="BU4419">
        <v>0</v>
      </c>
      <c r="CE4419" t="str">
        <f t="shared" si="1632"/>
        <v>19:37:25.472</v>
      </c>
      <c r="CF4419">
        <v>471949108</v>
      </c>
      <c r="CS4419">
        <v>0</v>
      </c>
      <c r="CT4419">
        <v>2</v>
      </c>
      <c r="CU4419">
        <v>0</v>
      </c>
      <c r="CV4419">
        <v>2</v>
      </c>
      <c r="CW4419">
        <v>0</v>
      </c>
      <c r="CX4419">
        <v>6</v>
      </c>
      <c r="CY4419">
        <v>7</v>
      </c>
      <c r="CZ4419" t="s">
        <v>131</v>
      </c>
      <c r="DA4419">
        <v>286</v>
      </c>
      <c r="DB4419">
        <v>0</v>
      </c>
      <c r="DC4419" t="s">
        <v>132</v>
      </c>
      <c r="DD4419" t="s">
        <v>133</v>
      </c>
      <c r="DG4419">
        <v>912995</v>
      </c>
      <c r="DI4419">
        <v>1</v>
      </c>
      <c r="DJ4419">
        <v>0</v>
      </c>
      <c r="DK4419">
        <v>1</v>
      </c>
      <c r="DL4419">
        <v>0</v>
      </c>
      <c r="DM4419">
        <v>0</v>
      </c>
      <c r="DN4419">
        <v>1</v>
      </c>
      <c r="DO4419">
        <v>0</v>
      </c>
      <c r="DP4419">
        <v>0</v>
      </c>
      <c r="DQ4419">
        <v>0</v>
      </c>
      <c r="DR4419">
        <v>0</v>
      </c>
      <c r="DS4419">
        <v>0</v>
      </c>
    </row>
    <row r="4420" spans="1:123" x14ac:dyDescent="0.3">
      <c r="A4420" t="str">
        <f>"10/04/2022 19:37:25.747"</f>
        <v>10/04/2022 19:37:25.747</v>
      </c>
      <c r="C4420" t="str">
        <f t="shared" si="1627"/>
        <v>FFDFD3C0</v>
      </c>
      <c r="D4420" t="s">
        <v>123</v>
      </c>
      <c r="E4420">
        <v>7</v>
      </c>
      <c r="F4420">
        <v>2007</v>
      </c>
      <c r="G4420" t="s">
        <v>124</v>
      </c>
      <c r="J4420" t="s">
        <v>125</v>
      </c>
      <c r="K4420">
        <v>0</v>
      </c>
      <c r="L4420">
        <v>3</v>
      </c>
      <c r="M4420">
        <v>0</v>
      </c>
      <c r="N4420">
        <v>2</v>
      </c>
      <c r="O4420">
        <v>0</v>
      </c>
      <c r="P4420">
        <v>1</v>
      </c>
      <c r="Q4420">
        <v>0</v>
      </c>
      <c r="S4420" t="str">
        <f t="shared" si="1631"/>
        <v>19:37:25.000</v>
      </c>
      <c r="T4420" t="str">
        <f t="shared" si="1631"/>
        <v>19:37:25.000</v>
      </c>
      <c r="U4420" t="str">
        <f t="shared" si="1633"/>
        <v>AC3944</v>
      </c>
      <c r="V4420">
        <v>0</v>
      </c>
      <c r="W4420">
        <v>0</v>
      </c>
      <c r="X4420">
        <v>2</v>
      </c>
      <c r="Y4420">
        <v>0</v>
      </c>
      <c r="AA4420">
        <v>1</v>
      </c>
      <c r="AB4420">
        <v>8</v>
      </c>
      <c r="AC4420">
        <v>3</v>
      </c>
      <c r="AD4420">
        <v>0</v>
      </c>
      <c r="AE4420">
        <v>9</v>
      </c>
      <c r="AF4420" t="s">
        <v>138</v>
      </c>
      <c r="AG4420">
        <v>0</v>
      </c>
      <c r="AH4420">
        <v>3</v>
      </c>
      <c r="AI4420">
        <v>1</v>
      </c>
      <c r="AJ4420">
        <v>0</v>
      </c>
      <c r="AK4420" t="s">
        <v>1395</v>
      </c>
      <c r="AL4420">
        <v>32.736490000000003</v>
      </c>
      <c r="AM4420" t="s">
        <v>1396</v>
      </c>
      <c r="AN4420">
        <v>-116.70508100000001</v>
      </c>
      <c r="AO4420">
        <v>25</v>
      </c>
      <c r="AP4420">
        <v>5000</v>
      </c>
      <c r="AQ4420" t="s">
        <v>129</v>
      </c>
      <c r="AR4420">
        <v>-142</v>
      </c>
      <c r="AS4420">
        <v>-80</v>
      </c>
      <c r="AT4420">
        <v>-128</v>
      </c>
      <c r="BB4420">
        <v>1200</v>
      </c>
      <c r="BC4420">
        <v>1</v>
      </c>
      <c r="BD4420" t="str">
        <f t="shared" si="1634"/>
        <v xml:space="preserve">N887QR  </v>
      </c>
      <c r="BE4420">
        <v>1</v>
      </c>
      <c r="BG4420">
        <v>0</v>
      </c>
      <c r="BH4420">
        <v>0</v>
      </c>
      <c r="BI4420">
        <v>0</v>
      </c>
      <c r="BJ4420">
        <v>4650</v>
      </c>
      <c r="BK4420">
        <v>-350</v>
      </c>
      <c r="BL4420" t="s">
        <v>163</v>
      </c>
      <c r="BM4420">
        <v>1</v>
      </c>
      <c r="BN4420">
        <v>1</v>
      </c>
      <c r="BO4420">
        <v>1</v>
      </c>
      <c r="BP4420">
        <v>0</v>
      </c>
      <c r="BS4420">
        <v>0</v>
      </c>
      <c r="BT4420">
        <v>0</v>
      </c>
      <c r="BU4420">
        <v>0</v>
      </c>
      <c r="CE4420" t="str">
        <f t="shared" si="1632"/>
        <v>19:37:25.472</v>
      </c>
      <c r="CF4420">
        <v>471949108</v>
      </c>
      <c r="CS4420">
        <v>0</v>
      </c>
      <c r="CT4420">
        <v>2</v>
      </c>
      <c r="CU4420">
        <v>0</v>
      </c>
      <c r="CV4420">
        <v>2</v>
      </c>
      <c r="CW4420">
        <v>0</v>
      </c>
      <c r="CX4420">
        <v>6</v>
      </c>
      <c r="CY4420">
        <v>7</v>
      </c>
      <c r="CZ4420" t="s">
        <v>131</v>
      </c>
      <c r="DA4420">
        <v>286</v>
      </c>
      <c r="DB4420">
        <v>0</v>
      </c>
      <c r="DC4420" t="s">
        <v>132</v>
      </c>
      <c r="DD4420" t="s">
        <v>133</v>
      </c>
      <c r="DG4420">
        <v>912995</v>
      </c>
      <c r="DI4420">
        <v>1</v>
      </c>
      <c r="DJ4420">
        <v>0</v>
      </c>
      <c r="DK4420">
        <v>1</v>
      </c>
      <c r="DL4420">
        <v>0</v>
      </c>
      <c r="DM4420">
        <v>0</v>
      </c>
      <c r="DN4420">
        <v>1</v>
      </c>
      <c r="DO4420">
        <v>0</v>
      </c>
      <c r="DP4420">
        <v>0</v>
      </c>
      <c r="DQ4420">
        <v>0</v>
      </c>
      <c r="DR4420">
        <v>0</v>
      </c>
      <c r="DS4420">
        <v>0</v>
      </c>
    </row>
    <row r="4421" spans="1:123" x14ac:dyDescent="0.3">
      <c r="A4421" t="str">
        <f>"10/04/2022 19:37:25.747"</f>
        <v>10/04/2022 19:37:25.747</v>
      </c>
      <c r="C4421" t="str">
        <f t="shared" si="1627"/>
        <v>FFDFD3C0</v>
      </c>
      <c r="D4421" t="s">
        <v>141</v>
      </c>
      <c r="E4421">
        <v>4</v>
      </c>
      <c r="H4421">
        <v>4</v>
      </c>
      <c r="I4421" t="s">
        <v>142</v>
      </c>
      <c r="J4421" t="s">
        <v>138</v>
      </c>
      <c r="K4421">
        <v>0</v>
      </c>
      <c r="L4421">
        <v>3</v>
      </c>
      <c r="M4421">
        <v>0</v>
      </c>
      <c r="N4421">
        <v>2</v>
      </c>
      <c r="O4421">
        <v>0</v>
      </c>
      <c r="P4421">
        <v>1</v>
      </c>
      <c r="Q4421">
        <v>0</v>
      </c>
      <c r="S4421" t="str">
        <f t="shared" si="1631"/>
        <v>19:37:25.000</v>
      </c>
      <c r="T4421" t="str">
        <f t="shared" si="1631"/>
        <v>19:37:25.000</v>
      </c>
      <c r="U4421" t="str">
        <f t="shared" si="1633"/>
        <v>AC3944</v>
      </c>
      <c r="V4421">
        <v>0</v>
      </c>
      <c r="W4421">
        <v>0</v>
      </c>
      <c r="X4421">
        <v>2</v>
      </c>
      <c r="Y4421">
        <v>0</v>
      </c>
      <c r="AA4421">
        <v>1</v>
      </c>
      <c r="AB4421">
        <v>8</v>
      </c>
      <c r="AC4421">
        <v>3</v>
      </c>
      <c r="AD4421">
        <v>0</v>
      </c>
      <c r="AE4421">
        <v>9</v>
      </c>
      <c r="AF4421" t="s">
        <v>138</v>
      </c>
      <c r="AG4421">
        <v>0</v>
      </c>
      <c r="AH4421">
        <v>3</v>
      </c>
      <c r="AI4421">
        <v>1</v>
      </c>
      <c r="AJ4421">
        <v>0</v>
      </c>
      <c r="AK4421" t="s">
        <v>1395</v>
      </c>
      <c r="AL4421">
        <v>32.736490000000003</v>
      </c>
      <c r="AM4421" t="s">
        <v>1396</v>
      </c>
      <c r="AN4421">
        <v>-116.70508100000001</v>
      </c>
      <c r="AO4421">
        <v>25</v>
      </c>
      <c r="AP4421">
        <v>5000</v>
      </c>
      <c r="AQ4421" t="s">
        <v>129</v>
      </c>
      <c r="AR4421">
        <v>-142</v>
      </c>
      <c r="AS4421">
        <v>-80</v>
      </c>
      <c r="AT4421">
        <v>-128</v>
      </c>
      <c r="BB4421">
        <v>1200</v>
      </c>
      <c r="BC4421">
        <v>1</v>
      </c>
      <c r="BD4421" t="str">
        <f t="shared" si="1634"/>
        <v xml:space="preserve">N887QR  </v>
      </c>
      <c r="BE4421">
        <v>1</v>
      </c>
      <c r="BG4421">
        <v>0</v>
      </c>
      <c r="BH4421">
        <v>0</v>
      </c>
      <c r="BI4421">
        <v>0</v>
      </c>
      <c r="BJ4421">
        <v>4650</v>
      </c>
      <c r="BK4421">
        <v>-350</v>
      </c>
      <c r="BL4421" t="s">
        <v>163</v>
      </c>
      <c r="BM4421">
        <v>1</v>
      </c>
      <c r="BN4421">
        <v>1</v>
      </c>
      <c r="BO4421">
        <v>1</v>
      </c>
      <c r="BP4421">
        <v>0</v>
      </c>
      <c r="BS4421">
        <v>0</v>
      </c>
      <c r="BT4421">
        <v>0</v>
      </c>
      <c r="BU4421">
        <v>0</v>
      </c>
      <c r="CE4421" t="str">
        <f t="shared" si="1632"/>
        <v>19:37:25.472</v>
      </c>
      <c r="CF4421">
        <v>471949108</v>
      </c>
      <c r="CS4421">
        <v>0</v>
      </c>
      <c r="CT4421">
        <v>2</v>
      </c>
      <c r="CU4421">
        <v>0</v>
      </c>
      <c r="CV4421">
        <v>2</v>
      </c>
      <c r="CW4421">
        <v>0</v>
      </c>
      <c r="CX4421">
        <v>6</v>
      </c>
      <c r="CY4421">
        <v>7</v>
      </c>
      <c r="CZ4421" t="s">
        <v>131</v>
      </c>
      <c r="DA4421">
        <v>286</v>
      </c>
      <c r="DB4421">
        <v>0</v>
      </c>
      <c r="DC4421" t="s">
        <v>132</v>
      </c>
      <c r="DD4421" t="s">
        <v>133</v>
      </c>
      <c r="DG4421">
        <v>912995</v>
      </c>
      <c r="DI4421">
        <v>1</v>
      </c>
      <c r="DJ4421">
        <v>0</v>
      </c>
      <c r="DK4421">
        <v>0</v>
      </c>
      <c r="DL4421">
        <v>0</v>
      </c>
      <c r="DM4421">
        <v>0</v>
      </c>
      <c r="DN4421">
        <v>1</v>
      </c>
      <c r="DO4421">
        <v>0</v>
      </c>
      <c r="DP4421">
        <v>0</v>
      </c>
      <c r="DQ4421">
        <v>0</v>
      </c>
      <c r="DR4421">
        <v>0</v>
      </c>
      <c r="DS4421">
        <v>0</v>
      </c>
    </row>
    <row r="4422" spans="1:123" x14ac:dyDescent="0.3">
      <c r="A4422" t="str">
        <f>"10/04/2022 19:37:26.200"</f>
        <v>10/04/2022 19:37:26.200</v>
      </c>
      <c r="C4422" t="str">
        <f t="shared" si="1627"/>
        <v>FFDFD3C0</v>
      </c>
      <c r="D4422" t="s">
        <v>136</v>
      </c>
      <c r="E4422">
        <v>8</v>
      </c>
      <c r="H4422">
        <v>225</v>
      </c>
      <c r="I4422" t="s">
        <v>137</v>
      </c>
      <c r="J4422" t="s">
        <v>138</v>
      </c>
      <c r="K4422">
        <v>0</v>
      </c>
      <c r="L4422">
        <v>3</v>
      </c>
      <c r="M4422">
        <v>0</v>
      </c>
      <c r="N4422">
        <v>2</v>
      </c>
      <c r="O4422">
        <v>0</v>
      </c>
      <c r="P4422">
        <v>1</v>
      </c>
      <c r="Q4422">
        <v>0</v>
      </c>
      <c r="S4422" t="str">
        <f t="shared" si="1631"/>
        <v>19:37:25.000</v>
      </c>
      <c r="T4422" t="str">
        <f t="shared" si="1631"/>
        <v>19:37:25.000</v>
      </c>
      <c r="U4422" t="str">
        <f t="shared" si="1633"/>
        <v>AC3944</v>
      </c>
      <c r="V4422">
        <v>0</v>
      </c>
      <c r="W4422">
        <v>0</v>
      </c>
      <c r="X4422">
        <v>2</v>
      </c>
      <c r="Y4422">
        <v>0</v>
      </c>
      <c r="AA4422">
        <v>1</v>
      </c>
      <c r="AB4422">
        <v>8</v>
      </c>
      <c r="AC4422">
        <v>3</v>
      </c>
      <c r="AD4422">
        <v>0</v>
      </c>
      <c r="AE4422">
        <v>9</v>
      </c>
      <c r="AF4422" t="s">
        <v>138</v>
      </c>
      <c r="AG4422">
        <v>0</v>
      </c>
      <c r="AH4422">
        <v>3</v>
      </c>
      <c r="AI4422">
        <v>1</v>
      </c>
      <c r="AJ4422">
        <v>0</v>
      </c>
      <c r="AK4422" t="s">
        <v>1397</v>
      </c>
      <c r="AL4422">
        <v>32.736103999999997</v>
      </c>
      <c r="AM4422" t="s">
        <v>1398</v>
      </c>
      <c r="AN4422">
        <v>-116.70587500000001</v>
      </c>
      <c r="AO4422">
        <v>25</v>
      </c>
      <c r="AP4422">
        <v>5000</v>
      </c>
      <c r="AQ4422" t="s">
        <v>129</v>
      </c>
      <c r="AR4422">
        <v>-142</v>
      </c>
      <c r="AS4422">
        <v>-80</v>
      </c>
      <c r="AT4422">
        <v>-128</v>
      </c>
      <c r="BB4422">
        <v>1200</v>
      </c>
      <c r="BC4422">
        <v>1</v>
      </c>
      <c r="BD4422" t="str">
        <f t="shared" si="1634"/>
        <v xml:space="preserve">N887QR  </v>
      </c>
      <c r="BE4422">
        <v>1</v>
      </c>
      <c r="BG4422">
        <v>0</v>
      </c>
      <c r="BH4422">
        <v>0</v>
      </c>
      <c r="BI4422">
        <v>0</v>
      </c>
      <c r="BJ4422">
        <v>4650</v>
      </c>
      <c r="BK4422">
        <v>-350</v>
      </c>
      <c r="BL4422" t="s">
        <v>163</v>
      </c>
      <c r="BM4422">
        <v>1</v>
      </c>
      <c r="BN4422">
        <v>1</v>
      </c>
      <c r="BO4422">
        <v>1</v>
      </c>
      <c r="BP4422">
        <v>0</v>
      </c>
      <c r="BS4422">
        <v>0</v>
      </c>
      <c r="BT4422">
        <v>0</v>
      </c>
      <c r="BU4422">
        <v>0</v>
      </c>
      <c r="CE4422" t="str">
        <f t="shared" ref="CE4422:CE4428" si="1635">"19:37:25.822"</f>
        <v>19:37:25.822</v>
      </c>
      <c r="CF4422">
        <v>821950158</v>
      </c>
      <c r="CS4422">
        <v>0</v>
      </c>
      <c r="CT4422">
        <v>2</v>
      </c>
      <c r="CU4422">
        <v>0</v>
      </c>
      <c r="CV4422">
        <v>2</v>
      </c>
      <c r="CW4422">
        <v>0</v>
      </c>
      <c r="CX4422">
        <v>6</v>
      </c>
      <c r="CY4422">
        <v>7</v>
      </c>
      <c r="CZ4422" t="s">
        <v>131</v>
      </c>
      <c r="DA4422">
        <v>286</v>
      </c>
      <c r="DB4422">
        <v>0</v>
      </c>
      <c r="DC4422" t="s">
        <v>132</v>
      </c>
      <c r="DD4422" t="s">
        <v>133</v>
      </c>
      <c r="DG4422">
        <v>913084</v>
      </c>
      <c r="DI4422">
        <v>1</v>
      </c>
      <c r="DJ4422">
        <v>0</v>
      </c>
      <c r="DK4422">
        <v>0</v>
      </c>
      <c r="DL4422">
        <v>0</v>
      </c>
      <c r="DM4422">
        <v>0</v>
      </c>
      <c r="DN4422">
        <v>1</v>
      </c>
      <c r="DO4422">
        <v>0</v>
      </c>
      <c r="DP4422">
        <v>0</v>
      </c>
      <c r="DQ4422">
        <v>0</v>
      </c>
      <c r="DR4422">
        <v>0</v>
      </c>
      <c r="DS4422">
        <v>0</v>
      </c>
    </row>
    <row r="4423" spans="1:123" x14ac:dyDescent="0.3">
      <c r="A4423" t="str">
        <f>"10/04/2022 19:37:26.200"</f>
        <v>10/04/2022 19:37:26.200</v>
      </c>
      <c r="C4423" t="str">
        <f t="shared" si="1627"/>
        <v>FFDFD3C0</v>
      </c>
      <c r="D4423" t="s">
        <v>134</v>
      </c>
      <c r="E4423">
        <v>15</v>
      </c>
      <c r="J4423" t="s">
        <v>135</v>
      </c>
      <c r="K4423">
        <v>0</v>
      </c>
      <c r="L4423">
        <v>3</v>
      </c>
      <c r="M4423">
        <v>0</v>
      </c>
      <c r="N4423">
        <v>2</v>
      </c>
      <c r="O4423">
        <v>0</v>
      </c>
      <c r="P4423">
        <v>1</v>
      </c>
      <c r="Q4423">
        <v>0</v>
      </c>
      <c r="S4423" t="str">
        <f t="shared" si="1631"/>
        <v>19:37:25.000</v>
      </c>
      <c r="T4423" t="str">
        <f t="shared" si="1631"/>
        <v>19:37:25.000</v>
      </c>
      <c r="U4423" t="str">
        <f t="shared" si="1633"/>
        <v>AC3944</v>
      </c>
      <c r="V4423">
        <v>0</v>
      </c>
      <c r="W4423">
        <v>0</v>
      </c>
      <c r="X4423">
        <v>2</v>
      </c>
      <c r="Y4423">
        <v>0</v>
      </c>
      <c r="AA4423">
        <v>1</v>
      </c>
      <c r="AB4423">
        <v>8</v>
      </c>
      <c r="AC4423">
        <v>3</v>
      </c>
      <c r="AD4423">
        <v>0</v>
      </c>
      <c r="AE4423">
        <v>9</v>
      </c>
      <c r="AF4423" t="s">
        <v>138</v>
      </c>
      <c r="AG4423">
        <v>0</v>
      </c>
      <c r="AH4423">
        <v>3</v>
      </c>
      <c r="AI4423">
        <v>1</v>
      </c>
      <c r="AJ4423">
        <v>0</v>
      </c>
      <c r="AK4423" t="s">
        <v>1397</v>
      </c>
      <c r="AL4423">
        <v>32.736103999999997</v>
      </c>
      <c r="AM4423" t="s">
        <v>1398</v>
      </c>
      <c r="AN4423">
        <v>-116.70587500000001</v>
      </c>
      <c r="AO4423">
        <v>25</v>
      </c>
      <c r="AP4423">
        <v>5000</v>
      </c>
      <c r="AQ4423" t="s">
        <v>129</v>
      </c>
      <c r="AR4423">
        <v>-142</v>
      </c>
      <c r="AS4423">
        <v>-80</v>
      </c>
      <c r="AT4423">
        <v>-128</v>
      </c>
      <c r="BB4423">
        <v>1200</v>
      </c>
      <c r="BC4423">
        <v>1</v>
      </c>
      <c r="BD4423" t="str">
        <f t="shared" si="1634"/>
        <v xml:space="preserve">N887QR  </v>
      </c>
      <c r="BE4423">
        <v>1</v>
      </c>
      <c r="BG4423">
        <v>0</v>
      </c>
      <c r="BH4423">
        <v>0</v>
      </c>
      <c r="BI4423">
        <v>0</v>
      </c>
      <c r="BJ4423">
        <v>4650</v>
      </c>
      <c r="BK4423">
        <v>-350</v>
      </c>
      <c r="BL4423" t="s">
        <v>163</v>
      </c>
      <c r="BM4423">
        <v>1</v>
      </c>
      <c r="BN4423">
        <v>1</v>
      </c>
      <c r="BO4423">
        <v>1</v>
      </c>
      <c r="BP4423">
        <v>0</v>
      </c>
      <c r="BS4423">
        <v>0</v>
      </c>
      <c r="BT4423">
        <v>0</v>
      </c>
      <c r="BU4423">
        <v>0</v>
      </c>
      <c r="CE4423" t="str">
        <f t="shared" si="1635"/>
        <v>19:37:25.822</v>
      </c>
      <c r="CF4423">
        <v>821950158</v>
      </c>
      <c r="CS4423">
        <v>0</v>
      </c>
      <c r="CT4423">
        <v>2</v>
      </c>
      <c r="CU4423">
        <v>0</v>
      </c>
      <c r="CV4423">
        <v>2</v>
      </c>
      <c r="CW4423">
        <v>0</v>
      </c>
      <c r="CX4423">
        <v>6</v>
      </c>
      <c r="CY4423">
        <v>7</v>
      </c>
      <c r="CZ4423" t="s">
        <v>131</v>
      </c>
      <c r="DA4423">
        <v>286</v>
      </c>
      <c r="DB4423">
        <v>0</v>
      </c>
      <c r="DC4423" t="s">
        <v>132</v>
      </c>
      <c r="DD4423" t="s">
        <v>133</v>
      </c>
      <c r="DG4423">
        <v>913084</v>
      </c>
      <c r="DI4423">
        <v>1</v>
      </c>
      <c r="DJ4423">
        <v>0</v>
      </c>
      <c r="DK4423">
        <v>1</v>
      </c>
      <c r="DL4423">
        <v>0</v>
      </c>
      <c r="DM4423">
        <v>0</v>
      </c>
      <c r="DN4423">
        <v>1</v>
      </c>
      <c r="DO4423">
        <v>0</v>
      </c>
      <c r="DP4423">
        <v>0</v>
      </c>
      <c r="DQ4423">
        <v>0</v>
      </c>
      <c r="DR4423">
        <v>0</v>
      </c>
      <c r="DS4423">
        <v>0</v>
      </c>
    </row>
    <row r="4424" spans="1:123" x14ac:dyDescent="0.3">
      <c r="A4424" t="str">
        <f>"10/04/2022 19:37:26.200"</f>
        <v>10/04/2022 19:37:26.200</v>
      </c>
      <c r="C4424" t="str">
        <f t="shared" si="1627"/>
        <v>FFDFD3C0</v>
      </c>
      <c r="D4424" t="s">
        <v>141</v>
      </c>
      <c r="E4424">
        <v>3</v>
      </c>
      <c r="H4424">
        <v>3</v>
      </c>
      <c r="I4424" t="s">
        <v>146</v>
      </c>
      <c r="J4424" t="s">
        <v>138</v>
      </c>
      <c r="K4424">
        <v>0</v>
      </c>
      <c r="L4424">
        <v>3</v>
      </c>
      <c r="M4424">
        <v>0</v>
      </c>
      <c r="N4424">
        <v>2</v>
      </c>
      <c r="O4424">
        <v>0</v>
      </c>
      <c r="P4424">
        <v>1</v>
      </c>
      <c r="Q4424">
        <v>0</v>
      </c>
      <c r="S4424" t="str">
        <f t="shared" si="1631"/>
        <v>19:37:25.000</v>
      </c>
      <c r="T4424" t="str">
        <f t="shared" si="1631"/>
        <v>19:37:25.000</v>
      </c>
      <c r="U4424" t="str">
        <f t="shared" si="1633"/>
        <v>AC3944</v>
      </c>
      <c r="V4424">
        <v>0</v>
      </c>
      <c r="W4424">
        <v>0</v>
      </c>
      <c r="X4424">
        <v>2</v>
      </c>
      <c r="Y4424">
        <v>0</v>
      </c>
      <c r="AA4424">
        <v>1</v>
      </c>
      <c r="AB4424">
        <v>8</v>
      </c>
      <c r="AC4424">
        <v>3</v>
      </c>
      <c r="AD4424">
        <v>0</v>
      </c>
      <c r="AE4424">
        <v>9</v>
      </c>
      <c r="AF4424" t="s">
        <v>138</v>
      </c>
      <c r="AG4424">
        <v>0</v>
      </c>
      <c r="AH4424">
        <v>3</v>
      </c>
      <c r="AI4424">
        <v>1</v>
      </c>
      <c r="AJ4424">
        <v>0</v>
      </c>
      <c r="AK4424" t="s">
        <v>1397</v>
      </c>
      <c r="AL4424">
        <v>32.736103999999997</v>
      </c>
      <c r="AM4424" t="s">
        <v>1398</v>
      </c>
      <c r="AN4424">
        <v>-116.70587500000001</v>
      </c>
      <c r="AO4424">
        <v>25</v>
      </c>
      <c r="AP4424">
        <v>5000</v>
      </c>
      <c r="AQ4424" t="s">
        <v>129</v>
      </c>
      <c r="AR4424">
        <v>-142</v>
      </c>
      <c r="AS4424">
        <v>-80</v>
      </c>
      <c r="AT4424">
        <v>-128</v>
      </c>
      <c r="BB4424">
        <v>1200</v>
      </c>
      <c r="BC4424">
        <v>1</v>
      </c>
      <c r="BD4424" t="str">
        <f t="shared" si="1634"/>
        <v xml:space="preserve">N887QR  </v>
      </c>
      <c r="BE4424">
        <v>1</v>
      </c>
      <c r="BG4424">
        <v>0</v>
      </c>
      <c r="BH4424">
        <v>0</v>
      </c>
      <c r="BI4424">
        <v>0</v>
      </c>
      <c r="BJ4424">
        <v>4650</v>
      </c>
      <c r="BK4424">
        <v>-350</v>
      </c>
      <c r="BL4424" t="s">
        <v>163</v>
      </c>
      <c r="BM4424">
        <v>1</v>
      </c>
      <c r="BN4424">
        <v>1</v>
      </c>
      <c r="BO4424">
        <v>1</v>
      </c>
      <c r="BP4424">
        <v>0</v>
      </c>
      <c r="BS4424">
        <v>0</v>
      </c>
      <c r="BT4424">
        <v>0</v>
      </c>
      <c r="BU4424">
        <v>0</v>
      </c>
      <c r="CE4424" t="str">
        <f t="shared" si="1635"/>
        <v>19:37:25.822</v>
      </c>
      <c r="CF4424">
        <v>821950158</v>
      </c>
      <c r="CS4424">
        <v>0</v>
      </c>
      <c r="CT4424">
        <v>2</v>
      </c>
      <c r="CU4424">
        <v>0</v>
      </c>
      <c r="CV4424">
        <v>2</v>
      </c>
      <c r="CW4424">
        <v>0</v>
      </c>
      <c r="CX4424">
        <v>6</v>
      </c>
      <c r="CY4424">
        <v>7</v>
      </c>
      <c r="CZ4424" t="s">
        <v>131</v>
      </c>
      <c r="DA4424">
        <v>286</v>
      </c>
      <c r="DB4424">
        <v>0</v>
      </c>
      <c r="DC4424" t="s">
        <v>132</v>
      </c>
      <c r="DD4424" t="s">
        <v>133</v>
      </c>
      <c r="DG4424">
        <v>913084</v>
      </c>
      <c r="DI4424">
        <v>1</v>
      </c>
      <c r="DJ4424">
        <v>0</v>
      </c>
      <c r="DK4424">
        <v>1</v>
      </c>
      <c r="DL4424">
        <v>0</v>
      </c>
      <c r="DM4424">
        <v>0</v>
      </c>
      <c r="DN4424">
        <v>1</v>
      </c>
      <c r="DO4424">
        <v>0</v>
      </c>
      <c r="DP4424">
        <v>0</v>
      </c>
      <c r="DQ4424">
        <v>0</v>
      </c>
      <c r="DR4424">
        <v>0</v>
      </c>
      <c r="DS4424">
        <v>0</v>
      </c>
    </row>
    <row r="4425" spans="1:123" x14ac:dyDescent="0.3">
      <c r="A4425" t="str">
        <f>"10/04/2022 19:37:26.216"</f>
        <v>10/04/2022 19:37:26.216</v>
      </c>
      <c r="C4425" t="str">
        <f t="shared" si="1627"/>
        <v>FFDFD3C0</v>
      </c>
      <c r="D4425" t="s">
        <v>123</v>
      </c>
      <c r="E4425">
        <v>7</v>
      </c>
      <c r="F4425">
        <v>2007</v>
      </c>
      <c r="G4425" t="s">
        <v>124</v>
      </c>
      <c r="J4425" t="s">
        <v>125</v>
      </c>
      <c r="K4425">
        <v>0</v>
      </c>
      <c r="L4425">
        <v>3</v>
      </c>
      <c r="M4425">
        <v>0</v>
      </c>
      <c r="N4425">
        <v>2</v>
      </c>
      <c r="O4425">
        <v>0</v>
      </c>
      <c r="P4425">
        <v>1</v>
      </c>
      <c r="Q4425">
        <v>0</v>
      </c>
      <c r="S4425" t="str">
        <f t="shared" si="1631"/>
        <v>19:37:25.000</v>
      </c>
      <c r="T4425" t="str">
        <f t="shared" si="1631"/>
        <v>19:37:25.000</v>
      </c>
      <c r="U4425" t="str">
        <f t="shared" si="1633"/>
        <v>AC3944</v>
      </c>
      <c r="V4425">
        <v>0</v>
      </c>
      <c r="W4425">
        <v>0</v>
      </c>
      <c r="X4425">
        <v>2</v>
      </c>
      <c r="Y4425">
        <v>0</v>
      </c>
      <c r="AA4425">
        <v>1</v>
      </c>
      <c r="AB4425">
        <v>8</v>
      </c>
      <c r="AC4425">
        <v>3</v>
      </c>
      <c r="AD4425">
        <v>0</v>
      </c>
      <c r="AE4425">
        <v>9</v>
      </c>
      <c r="AF4425" t="s">
        <v>138</v>
      </c>
      <c r="AG4425">
        <v>0</v>
      </c>
      <c r="AH4425">
        <v>3</v>
      </c>
      <c r="AI4425">
        <v>1</v>
      </c>
      <c r="AJ4425">
        <v>0</v>
      </c>
      <c r="AK4425" t="s">
        <v>1397</v>
      </c>
      <c r="AL4425">
        <v>32.736103999999997</v>
      </c>
      <c r="AM4425" t="s">
        <v>1398</v>
      </c>
      <c r="AN4425">
        <v>-116.70587500000001</v>
      </c>
      <c r="AO4425">
        <v>25</v>
      </c>
      <c r="AP4425">
        <v>5000</v>
      </c>
      <c r="AQ4425" t="s">
        <v>129</v>
      </c>
      <c r="AR4425">
        <v>-142</v>
      </c>
      <c r="AS4425">
        <v>-80</v>
      </c>
      <c r="AT4425">
        <v>-128</v>
      </c>
      <c r="BB4425">
        <v>1200</v>
      </c>
      <c r="BC4425">
        <v>1</v>
      </c>
      <c r="BD4425" t="str">
        <f t="shared" si="1634"/>
        <v xml:space="preserve">N887QR  </v>
      </c>
      <c r="BE4425">
        <v>1</v>
      </c>
      <c r="BG4425">
        <v>0</v>
      </c>
      <c r="BH4425">
        <v>0</v>
      </c>
      <c r="BI4425">
        <v>0</v>
      </c>
      <c r="BJ4425">
        <v>4650</v>
      </c>
      <c r="BK4425">
        <v>-350</v>
      </c>
      <c r="BL4425" t="s">
        <v>163</v>
      </c>
      <c r="BM4425">
        <v>1</v>
      </c>
      <c r="BN4425">
        <v>1</v>
      </c>
      <c r="BO4425">
        <v>1</v>
      </c>
      <c r="BP4425">
        <v>0</v>
      </c>
      <c r="BS4425">
        <v>0</v>
      </c>
      <c r="BT4425">
        <v>0</v>
      </c>
      <c r="BU4425">
        <v>0</v>
      </c>
      <c r="CE4425" t="str">
        <f t="shared" si="1635"/>
        <v>19:37:25.822</v>
      </c>
      <c r="CF4425">
        <v>821950158</v>
      </c>
      <c r="CS4425">
        <v>0</v>
      </c>
      <c r="CT4425">
        <v>2</v>
      </c>
      <c r="CU4425">
        <v>0</v>
      </c>
      <c r="CV4425">
        <v>2</v>
      </c>
      <c r="CW4425">
        <v>0</v>
      </c>
      <c r="CX4425">
        <v>6</v>
      </c>
      <c r="CY4425">
        <v>7</v>
      </c>
      <c r="CZ4425" t="s">
        <v>131</v>
      </c>
      <c r="DA4425">
        <v>286</v>
      </c>
      <c r="DB4425">
        <v>0</v>
      </c>
      <c r="DC4425" t="s">
        <v>132</v>
      </c>
      <c r="DD4425" t="s">
        <v>133</v>
      </c>
      <c r="DG4425">
        <v>913084</v>
      </c>
      <c r="DI4425">
        <v>1</v>
      </c>
      <c r="DJ4425">
        <v>0</v>
      </c>
      <c r="DK4425">
        <v>1</v>
      </c>
      <c r="DL4425">
        <v>0</v>
      </c>
      <c r="DM4425">
        <v>0</v>
      </c>
      <c r="DN4425">
        <v>1</v>
      </c>
      <c r="DO4425">
        <v>0</v>
      </c>
      <c r="DP4425">
        <v>0</v>
      </c>
      <c r="DQ4425">
        <v>0</v>
      </c>
      <c r="DR4425">
        <v>0</v>
      </c>
      <c r="DS4425">
        <v>0</v>
      </c>
    </row>
    <row r="4426" spans="1:123" x14ac:dyDescent="0.3">
      <c r="A4426" t="str">
        <f>"10/04/2022 19:37:26.216"</f>
        <v>10/04/2022 19:37:26.216</v>
      </c>
      <c r="C4426" t="str">
        <f t="shared" si="1627"/>
        <v>FFDFD3C0</v>
      </c>
      <c r="D4426" t="s">
        <v>141</v>
      </c>
      <c r="E4426">
        <v>4</v>
      </c>
      <c r="H4426">
        <v>4</v>
      </c>
      <c r="I4426" t="s">
        <v>142</v>
      </c>
      <c r="J4426" t="s">
        <v>138</v>
      </c>
      <c r="K4426">
        <v>0</v>
      </c>
      <c r="L4426">
        <v>3</v>
      </c>
      <c r="M4426">
        <v>0</v>
      </c>
      <c r="N4426">
        <v>2</v>
      </c>
      <c r="O4426">
        <v>0</v>
      </c>
      <c r="P4426">
        <v>1</v>
      </c>
      <c r="Q4426">
        <v>0</v>
      </c>
      <c r="S4426" t="str">
        <f t="shared" si="1631"/>
        <v>19:37:25.000</v>
      </c>
      <c r="T4426" t="str">
        <f t="shared" si="1631"/>
        <v>19:37:25.000</v>
      </c>
      <c r="U4426" t="str">
        <f t="shared" si="1633"/>
        <v>AC3944</v>
      </c>
      <c r="V4426">
        <v>0</v>
      </c>
      <c r="W4426">
        <v>0</v>
      </c>
      <c r="X4426">
        <v>2</v>
      </c>
      <c r="Y4426">
        <v>0</v>
      </c>
      <c r="AA4426">
        <v>1</v>
      </c>
      <c r="AB4426">
        <v>8</v>
      </c>
      <c r="AC4426">
        <v>3</v>
      </c>
      <c r="AD4426">
        <v>0</v>
      </c>
      <c r="AE4426">
        <v>9</v>
      </c>
      <c r="AF4426" t="s">
        <v>138</v>
      </c>
      <c r="AG4426">
        <v>0</v>
      </c>
      <c r="AH4426">
        <v>3</v>
      </c>
      <c r="AI4426">
        <v>1</v>
      </c>
      <c r="AJ4426">
        <v>0</v>
      </c>
      <c r="AK4426" t="s">
        <v>1397</v>
      </c>
      <c r="AL4426">
        <v>32.736103999999997</v>
      </c>
      <c r="AM4426" t="s">
        <v>1398</v>
      </c>
      <c r="AN4426">
        <v>-116.70587500000001</v>
      </c>
      <c r="AO4426">
        <v>25</v>
      </c>
      <c r="AP4426">
        <v>5000</v>
      </c>
      <c r="AQ4426" t="s">
        <v>129</v>
      </c>
      <c r="AR4426">
        <v>-142</v>
      </c>
      <c r="AS4426">
        <v>-80</v>
      </c>
      <c r="AT4426">
        <v>-128</v>
      </c>
      <c r="BB4426">
        <v>1200</v>
      </c>
      <c r="BC4426">
        <v>1</v>
      </c>
      <c r="BD4426" t="str">
        <f t="shared" si="1634"/>
        <v xml:space="preserve">N887QR  </v>
      </c>
      <c r="BE4426">
        <v>1</v>
      </c>
      <c r="BG4426">
        <v>0</v>
      </c>
      <c r="BH4426">
        <v>0</v>
      </c>
      <c r="BI4426">
        <v>0</v>
      </c>
      <c r="BJ4426">
        <v>4650</v>
      </c>
      <c r="BK4426">
        <v>-350</v>
      </c>
      <c r="BL4426" t="s">
        <v>163</v>
      </c>
      <c r="BM4426">
        <v>1</v>
      </c>
      <c r="BN4426">
        <v>1</v>
      </c>
      <c r="BO4426">
        <v>1</v>
      </c>
      <c r="BP4426">
        <v>0</v>
      </c>
      <c r="BS4426">
        <v>0</v>
      </c>
      <c r="BT4426">
        <v>0</v>
      </c>
      <c r="BU4426">
        <v>0</v>
      </c>
      <c r="CE4426" t="str">
        <f t="shared" si="1635"/>
        <v>19:37:25.822</v>
      </c>
      <c r="CF4426">
        <v>821950158</v>
      </c>
      <c r="CS4426">
        <v>0</v>
      </c>
      <c r="CT4426">
        <v>2</v>
      </c>
      <c r="CU4426">
        <v>0</v>
      </c>
      <c r="CV4426">
        <v>2</v>
      </c>
      <c r="CW4426">
        <v>0</v>
      </c>
      <c r="CX4426">
        <v>6</v>
      </c>
      <c r="CY4426">
        <v>7</v>
      </c>
      <c r="CZ4426" t="s">
        <v>131</v>
      </c>
      <c r="DA4426">
        <v>286</v>
      </c>
      <c r="DB4426">
        <v>0</v>
      </c>
      <c r="DC4426" t="s">
        <v>132</v>
      </c>
      <c r="DD4426" t="s">
        <v>133</v>
      </c>
      <c r="DG4426">
        <v>913084</v>
      </c>
      <c r="DI4426">
        <v>1</v>
      </c>
      <c r="DJ4426">
        <v>0</v>
      </c>
      <c r="DK4426">
        <v>1</v>
      </c>
      <c r="DL4426">
        <v>0</v>
      </c>
      <c r="DM4426">
        <v>0</v>
      </c>
      <c r="DN4426">
        <v>1</v>
      </c>
      <c r="DO4426">
        <v>0</v>
      </c>
      <c r="DP4426">
        <v>0</v>
      </c>
      <c r="DQ4426">
        <v>0</v>
      </c>
      <c r="DR4426">
        <v>0</v>
      </c>
      <c r="DS4426">
        <v>0</v>
      </c>
    </row>
    <row r="4427" spans="1:123" x14ac:dyDescent="0.3">
      <c r="A4427" t="str">
        <f>"10/04/2022 19:37:26.216"</f>
        <v>10/04/2022 19:37:26.216</v>
      </c>
      <c r="C4427" t="str">
        <f t="shared" si="1627"/>
        <v>FFDFD3C0</v>
      </c>
      <c r="D4427" t="s">
        <v>147</v>
      </c>
      <c r="E4427">
        <v>3</v>
      </c>
      <c r="H4427">
        <v>166</v>
      </c>
      <c r="I4427" t="s">
        <v>144</v>
      </c>
      <c r="J4427" t="s">
        <v>148</v>
      </c>
      <c r="K4427">
        <v>0</v>
      </c>
      <c r="L4427">
        <v>3</v>
      </c>
      <c r="M4427">
        <v>0</v>
      </c>
      <c r="N4427">
        <v>2</v>
      </c>
      <c r="O4427">
        <v>0</v>
      </c>
      <c r="P4427">
        <v>1</v>
      </c>
      <c r="Q4427">
        <v>0</v>
      </c>
      <c r="S4427" t="str">
        <f t="shared" si="1631"/>
        <v>19:37:25.000</v>
      </c>
      <c r="T4427" t="str">
        <f t="shared" si="1631"/>
        <v>19:37:25.000</v>
      </c>
      <c r="U4427" t="str">
        <f t="shared" si="1633"/>
        <v>AC3944</v>
      </c>
      <c r="V4427">
        <v>0</v>
      </c>
      <c r="W4427">
        <v>0</v>
      </c>
      <c r="X4427">
        <v>2</v>
      </c>
      <c r="Y4427">
        <v>0</v>
      </c>
      <c r="AA4427">
        <v>1</v>
      </c>
      <c r="AB4427">
        <v>8</v>
      </c>
      <c r="AC4427">
        <v>3</v>
      </c>
      <c r="AD4427">
        <v>0</v>
      </c>
      <c r="AE4427">
        <v>9</v>
      </c>
      <c r="AF4427" t="s">
        <v>138</v>
      </c>
      <c r="AG4427">
        <v>0</v>
      </c>
      <c r="AH4427">
        <v>3</v>
      </c>
      <c r="AI4427">
        <v>1</v>
      </c>
      <c r="AJ4427">
        <v>0</v>
      </c>
      <c r="AK4427" t="s">
        <v>1397</v>
      </c>
      <c r="AL4427">
        <v>32.736103999999997</v>
      </c>
      <c r="AM4427" t="s">
        <v>1398</v>
      </c>
      <c r="AN4427">
        <v>-116.70587500000001</v>
      </c>
      <c r="AO4427">
        <v>25</v>
      </c>
      <c r="AP4427">
        <v>5000</v>
      </c>
      <c r="AQ4427" t="s">
        <v>129</v>
      </c>
      <c r="AR4427">
        <v>-142</v>
      </c>
      <c r="AS4427">
        <v>-80</v>
      </c>
      <c r="AT4427">
        <v>-128</v>
      </c>
      <c r="BB4427">
        <v>1200</v>
      </c>
      <c r="BC4427">
        <v>1</v>
      </c>
      <c r="BD4427" t="str">
        <f t="shared" si="1634"/>
        <v xml:space="preserve">N887QR  </v>
      </c>
      <c r="BE4427">
        <v>1</v>
      </c>
      <c r="BG4427">
        <v>0</v>
      </c>
      <c r="BH4427">
        <v>0</v>
      </c>
      <c r="BI4427">
        <v>0</v>
      </c>
      <c r="BJ4427">
        <v>4650</v>
      </c>
      <c r="BK4427">
        <v>-350</v>
      </c>
      <c r="BL4427" t="s">
        <v>163</v>
      </c>
      <c r="BM4427">
        <v>1</v>
      </c>
      <c r="BN4427">
        <v>1</v>
      </c>
      <c r="BO4427">
        <v>1</v>
      </c>
      <c r="BP4427">
        <v>0</v>
      </c>
      <c r="BS4427">
        <v>0</v>
      </c>
      <c r="BT4427">
        <v>0</v>
      </c>
      <c r="BU4427">
        <v>0</v>
      </c>
      <c r="CE4427" t="str">
        <f t="shared" si="1635"/>
        <v>19:37:25.822</v>
      </c>
      <c r="CF4427">
        <v>821950158</v>
      </c>
      <c r="CS4427">
        <v>0</v>
      </c>
      <c r="CT4427">
        <v>2</v>
      </c>
      <c r="CU4427">
        <v>0</v>
      </c>
      <c r="CV4427">
        <v>2</v>
      </c>
      <c r="CW4427">
        <v>0</v>
      </c>
      <c r="CX4427">
        <v>6</v>
      </c>
      <c r="CY4427">
        <v>7</v>
      </c>
      <c r="CZ4427" t="s">
        <v>131</v>
      </c>
      <c r="DA4427">
        <v>286</v>
      </c>
      <c r="DB4427">
        <v>0</v>
      </c>
      <c r="DC4427" t="s">
        <v>132</v>
      </c>
      <c r="DD4427" t="s">
        <v>133</v>
      </c>
      <c r="DG4427">
        <v>913084</v>
      </c>
      <c r="DI4427">
        <v>1</v>
      </c>
      <c r="DJ4427">
        <v>0</v>
      </c>
      <c r="DK4427">
        <v>1</v>
      </c>
      <c r="DL4427">
        <v>0</v>
      </c>
      <c r="DM4427">
        <v>0</v>
      </c>
      <c r="DN4427">
        <v>1</v>
      </c>
      <c r="DO4427">
        <v>0</v>
      </c>
      <c r="DP4427">
        <v>0</v>
      </c>
      <c r="DQ4427">
        <v>0</v>
      </c>
      <c r="DR4427">
        <v>0</v>
      </c>
      <c r="DS4427">
        <v>0</v>
      </c>
    </row>
    <row r="4428" spans="1:123" x14ac:dyDescent="0.3">
      <c r="A4428" t="str">
        <f>"10/04/2022 19:37:26.216"</f>
        <v>10/04/2022 19:37:26.216</v>
      </c>
      <c r="C4428" t="str">
        <f t="shared" si="1627"/>
        <v>FFDFD3C0</v>
      </c>
      <c r="D4428" t="s">
        <v>143</v>
      </c>
      <c r="E4428">
        <v>20</v>
      </c>
      <c r="F4428">
        <v>1020</v>
      </c>
      <c r="G4428" t="s">
        <v>144</v>
      </c>
      <c r="J4428" t="s">
        <v>145</v>
      </c>
      <c r="K4428">
        <v>0</v>
      </c>
      <c r="L4428">
        <v>3</v>
      </c>
      <c r="M4428">
        <v>0</v>
      </c>
      <c r="N4428">
        <v>2</v>
      </c>
      <c r="O4428">
        <v>0</v>
      </c>
      <c r="P4428">
        <v>1</v>
      </c>
      <c r="Q4428">
        <v>0</v>
      </c>
      <c r="S4428" t="str">
        <f t="shared" si="1631"/>
        <v>19:37:25.000</v>
      </c>
      <c r="T4428" t="str">
        <f t="shared" si="1631"/>
        <v>19:37:25.000</v>
      </c>
      <c r="U4428" t="str">
        <f t="shared" si="1633"/>
        <v>AC3944</v>
      </c>
      <c r="V4428">
        <v>0</v>
      </c>
      <c r="W4428">
        <v>0</v>
      </c>
      <c r="X4428">
        <v>2</v>
      </c>
      <c r="Y4428">
        <v>0</v>
      </c>
      <c r="AA4428">
        <v>1</v>
      </c>
      <c r="AB4428">
        <v>8</v>
      </c>
      <c r="AC4428">
        <v>3</v>
      </c>
      <c r="AD4428">
        <v>0</v>
      </c>
      <c r="AE4428">
        <v>9</v>
      </c>
      <c r="AF4428" t="s">
        <v>138</v>
      </c>
      <c r="AG4428">
        <v>0</v>
      </c>
      <c r="AH4428">
        <v>3</v>
      </c>
      <c r="AI4428">
        <v>1</v>
      </c>
      <c r="AJ4428">
        <v>0</v>
      </c>
      <c r="AK4428" t="s">
        <v>1397</v>
      </c>
      <c r="AL4428">
        <v>32.736103999999997</v>
      </c>
      <c r="AM4428" t="s">
        <v>1398</v>
      </c>
      <c r="AN4428">
        <v>-116.70587500000001</v>
      </c>
      <c r="AO4428">
        <v>25</v>
      </c>
      <c r="AP4428">
        <v>5000</v>
      </c>
      <c r="AQ4428" t="s">
        <v>129</v>
      </c>
      <c r="AR4428">
        <v>-142</v>
      </c>
      <c r="AS4428">
        <v>-80</v>
      </c>
      <c r="AT4428">
        <v>-128</v>
      </c>
      <c r="BB4428">
        <v>1200</v>
      </c>
      <c r="BC4428">
        <v>1</v>
      </c>
      <c r="BD4428" t="str">
        <f t="shared" si="1634"/>
        <v xml:space="preserve">N887QR  </v>
      </c>
      <c r="BE4428">
        <v>1</v>
      </c>
      <c r="BG4428">
        <v>0</v>
      </c>
      <c r="BH4428">
        <v>0</v>
      </c>
      <c r="BI4428">
        <v>0</v>
      </c>
      <c r="BJ4428">
        <v>4650</v>
      </c>
      <c r="BK4428">
        <v>-350</v>
      </c>
      <c r="BL4428" t="s">
        <v>163</v>
      </c>
      <c r="BM4428">
        <v>1</v>
      </c>
      <c r="BN4428">
        <v>1</v>
      </c>
      <c r="BO4428">
        <v>1</v>
      </c>
      <c r="BP4428">
        <v>0</v>
      </c>
      <c r="BS4428">
        <v>0</v>
      </c>
      <c r="BT4428">
        <v>0</v>
      </c>
      <c r="BU4428">
        <v>0</v>
      </c>
      <c r="CE4428" t="str">
        <f t="shared" si="1635"/>
        <v>19:37:25.822</v>
      </c>
      <c r="CF4428">
        <v>821950158</v>
      </c>
      <c r="CS4428">
        <v>0</v>
      </c>
      <c r="CT4428">
        <v>2</v>
      </c>
      <c r="CU4428">
        <v>0</v>
      </c>
      <c r="CV4428">
        <v>2</v>
      </c>
      <c r="CW4428">
        <v>0</v>
      </c>
      <c r="CX4428">
        <v>6</v>
      </c>
      <c r="CY4428">
        <v>7</v>
      </c>
      <c r="CZ4428" t="s">
        <v>131</v>
      </c>
      <c r="DA4428">
        <v>286</v>
      </c>
      <c r="DB4428">
        <v>0</v>
      </c>
      <c r="DC4428" t="s">
        <v>132</v>
      </c>
      <c r="DD4428" t="s">
        <v>133</v>
      </c>
      <c r="DG4428">
        <v>913084</v>
      </c>
      <c r="DI4428">
        <v>1</v>
      </c>
      <c r="DJ4428">
        <v>0</v>
      </c>
      <c r="DK4428">
        <v>1</v>
      </c>
      <c r="DL4428">
        <v>0</v>
      </c>
      <c r="DM4428">
        <v>0</v>
      </c>
      <c r="DN4428">
        <v>1</v>
      </c>
      <c r="DO4428">
        <v>0</v>
      </c>
      <c r="DP4428">
        <v>0</v>
      </c>
      <c r="DQ4428">
        <v>0</v>
      </c>
      <c r="DR4428">
        <v>0</v>
      </c>
      <c r="DS4428">
        <v>0</v>
      </c>
    </row>
    <row r="4429" spans="1:123" x14ac:dyDescent="0.3">
      <c r="A4429" t="str">
        <f t="shared" ref="A4429:A4435" si="1636">"10/04/2022 19:37:27.510"</f>
        <v>10/04/2022 19:37:27.510</v>
      </c>
      <c r="C4429" t="str">
        <f t="shared" si="1627"/>
        <v>FFDFD3C0</v>
      </c>
      <c r="D4429" t="s">
        <v>141</v>
      </c>
      <c r="E4429">
        <v>4</v>
      </c>
      <c r="H4429">
        <v>4</v>
      </c>
      <c r="I4429" t="s">
        <v>142</v>
      </c>
      <c r="J4429" t="s">
        <v>138</v>
      </c>
      <c r="K4429">
        <v>0</v>
      </c>
      <c r="L4429">
        <v>3</v>
      </c>
      <c r="M4429">
        <v>0</v>
      </c>
      <c r="N4429">
        <v>2</v>
      </c>
      <c r="O4429">
        <v>0</v>
      </c>
      <c r="P4429">
        <v>1</v>
      </c>
      <c r="Q4429">
        <v>0</v>
      </c>
      <c r="S4429" t="str">
        <f t="shared" ref="S4429:T4435" si="1637">"19:37:27.000"</f>
        <v>19:37:27.000</v>
      </c>
      <c r="T4429" t="str">
        <f t="shared" si="1637"/>
        <v>19:37:27.000</v>
      </c>
      <c r="U4429" t="str">
        <f t="shared" si="1633"/>
        <v>AC3944</v>
      </c>
      <c r="V4429">
        <v>0</v>
      </c>
      <c r="W4429">
        <v>0</v>
      </c>
      <c r="X4429">
        <v>2</v>
      </c>
      <c r="Y4429">
        <v>0</v>
      </c>
      <c r="AA4429">
        <v>1</v>
      </c>
      <c r="AB4429">
        <v>8</v>
      </c>
      <c r="AC4429">
        <v>3</v>
      </c>
      <c r="AD4429">
        <v>0</v>
      </c>
      <c r="AE4429">
        <v>9</v>
      </c>
      <c r="AF4429" t="s">
        <v>138</v>
      </c>
      <c r="AG4429">
        <v>0</v>
      </c>
      <c r="AH4429">
        <v>3</v>
      </c>
      <c r="AI4429">
        <v>1</v>
      </c>
      <c r="AJ4429">
        <v>0</v>
      </c>
      <c r="AK4429" t="s">
        <v>1399</v>
      </c>
      <c r="AL4429">
        <v>32.735739000000002</v>
      </c>
      <c r="AM4429" t="s">
        <v>1400</v>
      </c>
      <c r="AN4429">
        <v>-116.706648</v>
      </c>
      <c r="AO4429">
        <v>25</v>
      </c>
      <c r="AP4429">
        <v>5000</v>
      </c>
      <c r="AQ4429" t="s">
        <v>129</v>
      </c>
      <c r="AR4429">
        <v>-144</v>
      </c>
      <c r="AS4429">
        <v>-79</v>
      </c>
      <c r="AT4429">
        <v>-192</v>
      </c>
      <c r="BB4429">
        <v>1200</v>
      </c>
      <c r="BC4429">
        <v>1</v>
      </c>
      <c r="BD4429" t="str">
        <f t="shared" si="1634"/>
        <v xml:space="preserve">N887QR  </v>
      </c>
      <c r="BE4429">
        <v>1</v>
      </c>
      <c r="BG4429">
        <v>0</v>
      </c>
      <c r="BH4429">
        <v>0</v>
      </c>
      <c r="BI4429">
        <v>0</v>
      </c>
      <c r="BJ4429">
        <v>4650</v>
      </c>
      <c r="BK4429">
        <v>-350</v>
      </c>
      <c r="BL4429" t="s">
        <v>163</v>
      </c>
      <c r="BM4429">
        <v>1</v>
      </c>
      <c r="BN4429">
        <v>1</v>
      </c>
      <c r="BO4429">
        <v>1</v>
      </c>
      <c r="BP4429">
        <v>0</v>
      </c>
      <c r="BS4429">
        <v>0</v>
      </c>
      <c r="BT4429">
        <v>0</v>
      </c>
      <c r="BU4429">
        <v>0</v>
      </c>
      <c r="CE4429" t="str">
        <f t="shared" ref="CE4429:CE4435" si="1638">"19:37:27.293"</f>
        <v>19:37:27.293</v>
      </c>
      <c r="CF4429">
        <v>292954509</v>
      </c>
      <c r="CS4429">
        <v>0</v>
      </c>
      <c r="CT4429">
        <v>2</v>
      </c>
      <c r="CU4429">
        <v>0</v>
      </c>
      <c r="CV4429">
        <v>2</v>
      </c>
      <c r="CW4429">
        <v>0</v>
      </c>
      <c r="CX4429">
        <v>6</v>
      </c>
      <c r="CY4429">
        <v>7</v>
      </c>
      <c r="CZ4429" t="s">
        <v>131</v>
      </c>
      <c r="DA4429">
        <v>286</v>
      </c>
      <c r="DB4429">
        <v>0</v>
      </c>
      <c r="DC4429" t="s">
        <v>132</v>
      </c>
      <c r="DD4429" t="s">
        <v>133</v>
      </c>
      <c r="DG4429">
        <v>913397</v>
      </c>
      <c r="DI4429">
        <v>1</v>
      </c>
      <c r="DJ4429">
        <v>0</v>
      </c>
      <c r="DK4429">
        <v>0</v>
      </c>
      <c r="DL4429">
        <v>0</v>
      </c>
      <c r="DM4429">
        <v>0</v>
      </c>
      <c r="DN4429">
        <v>1</v>
      </c>
      <c r="DO4429">
        <v>0</v>
      </c>
      <c r="DP4429">
        <v>0</v>
      </c>
      <c r="DQ4429">
        <v>0</v>
      </c>
      <c r="DR4429">
        <v>0</v>
      </c>
      <c r="DS4429">
        <v>0</v>
      </c>
    </row>
    <row r="4430" spans="1:123" x14ac:dyDescent="0.3">
      <c r="A4430" t="str">
        <f t="shared" si="1636"/>
        <v>10/04/2022 19:37:27.510</v>
      </c>
      <c r="C4430" t="str">
        <f t="shared" si="1627"/>
        <v>FFDFD3C0</v>
      </c>
      <c r="D4430" t="s">
        <v>147</v>
      </c>
      <c r="E4430">
        <v>3</v>
      </c>
      <c r="H4430">
        <v>166</v>
      </c>
      <c r="I4430" t="s">
        <v>144</v>
      </c>
      <c r="J4430" t="s">
        <v>148</v>
      </c>
      <c r="K4430">
        <v>0</v>
      </c>
      <c r="L4430">
        <v>3</v>
      </c>
      <c r="M4430">
        <v>0</v>
      </c>
      <c r="N4430">
        <v>2</v>
      </c>
      <c r="O4430">
        <v>0</v>
      </c>
      <c r="P4430">
        <v>1</v>
      </c>
      <c r="Q4430">
        <v>0</v>
      </c>
      <c r="S4430" t="str">
        <f t="shared" si="1637"/>
        <v>19:37:27.000</v>
      </c>
      <c r="T4430" t="str">
        <f t="shared" si="1637"/>
        <v>19:37:27.000</v>
      </c>
      <c r="U4430" t="str">
        <f t="shared" si="1633"/>
        <v>AC3944</v>
      </c>
      <c r="V4430">
        <v>0</v>
      </c>
      <c r="W4430">
        <v>0</v>
      </c>
      <c r="X4430">
        <v>2</v>
      </c>
      <c r="Y4430">
        <v>0</v>
      </c>
      <c r="AA4430">
        <v>1</v>
      </c>
      <c r="AB4430">
        <v>8</v>
      </c>
      <c r="AC4430">
        <v>3</v>
      </c>
      <c r="AD4430">
        <v>0</v>
      </c>
      <c r="AE4430">
        <v>9</v>
      </c>
      <c r="AF4430" t="s">
        <v>138</v>
      </c>
      <c r="AG4430">
        <v>0</v>
      </c>
      <c r="AH4430">
        <v>3</v>
      </c>
      <c r="AI4430">
        <v>1</v>
      </c>
      <c r="AJ4430">
        <v>0</v>
      </c>
      <c r="AK4430" t="s">
        <v>1399</v>
      </c>
      <c r="AL4430">
        <v>32.735739000000002</v>
      </c>
      <c r="AM4430" t="s">
        <v>1400</v>
      </c>
      <c r="AN4430">
        <v>-116.706648</v>
      </c>
      <c r="AO4430">
        <v>25</v>
      </c>
      <c r="AP4430">
        <v>5000</v>
      </c>
      <c r="AQ4430" t="s">
        <v>129</v>
      </c>
      <c r="AR4430">
        <v>-144</v>
      </c>
      <c r="AS4430">
        <v>-79</v>
      </c>
      <c r="AT4430">
        <v>-192</v>
      </c>
      <c r="BB4430">
        <v>1200</v>
      </c>
      <c r="BC4430">
        <v>1</v>
      </c>
      <c r="BD4430" t="str">
        <f t="shared" si="1634"/>
        <v xml:space="preserve">N887QR  </v>
      </c>
      <c r="BE4430">
        <v>1</v>
      </c>
      <c r="BG4430">
        <v>0</v>
      </c>
      <c r="BH4430">
        <v>0</v>
      </c>
      <c r="BI4430">
        <v>0</v>
      </c>
      <c r="BJ4430">
        <v>4650</v>
      </c>
      <c r="BK4430">
        <v>-350</v>
      </c>
      <c r="BL4430" t="s">
        <v>163</v>
      </c>
      <c r="BM4430">
        <v>1</v>
      </c>
      <c r="BN4430">
        <v>1</v>
      </c>
      <c r="BO4430">
        <v>1</v>
      </c>
      <c r="BP4430">
        <v>0</v>
      </c>
      <c r="BS4430">
        <v>0</v>
      </c>
      <c r="BT4430">
        <v>0</v>
      </c>
      <c r="BU4430">
        <v>0</v>
      </c>
      <c r="CE4430" t="str">
        <f t="shared" si="1638"/>
        <v>19:37:27.293</v>
      </c>
      <c r="CF4430">
        <v>292954509</v>
      </c>
      <c r="CS4430">
        <v>0</v>
      </c>
      <c r="CT4430">
        <v>2</v>
      </c>
      <c r="CU4430">
        <v>0</v>
      </c>
      <c r="CV4430">
        <v>2</v>
      </c>
      <c r="CW4430">
        <v>0</v>
      </c>
      <c r="CX4430">
        <v>6</v>
      </c>
      <c r="CY4430">
        <v>7</v>
      </c>
      <c r="CZ4430" t="s">
        <v>131</v>
      </c>
      <c r="DA4430">
        <v>286</v>
      </c>
      <c r="DB4430">
        <v>0</v>
      </c>
      <c r="DC4430" t="s">
        <v>132</v>
      </c>
      <c r="DD4430" t="s">
        <v>133</v>
      </c>
      <c r="DG4430">
        <v>913397</v>
      </c>
      <c r="DI4430">
        <v>1</v>
      </c>
      <c r="DJ4430">
        <v>0</v>
      </c>
      <c r="DK4430">
        <v>1</v>
      </c>
      <c r="DL4430">
        <v>0</v>
      </c>
      <c r="DM4430">
        <v>0</v>
      </c>
      <c r="DN4430">
        <v>1</v>
      </c>
      <c r="DO4430">
        <v>0</v>
      </c>
      <c r="DP4430">
        <v>0</v>
      </c>
      <c r="DQ4430">
        <v>0</v>
      </c>
      <c r="DR4430">
        <v>0</v>
      </c>
      <c r="DS4430">
        <v>0</v>
      </c>
    </row>
    <row r="4431" spans="1:123" x14ac:dyDescent="0.3">
      <c r="A4431" t="str">
        <f t="shared" si="1636"/>
        <v>10/04/2022 19:37:27.510</v>
      </c>
      <c r="C4431" t="str">
        <f t="shared" si="1627"/>
        <v>FFDFD3C0</v>
      </c>
      <c r="D4431" t="s">
        <v>136</v>
      </c>
      <c r="E4431">
        <v>8</v>
      </c>
      <c r="H4431">
        <v>225</v>
      </c>
      <c r="I4431" t="s">
        <v>137</v>
      </c>
      <c r="J4431" t="s">
        <v>138</v>
      </c>
      <c r="K4431">
        <v>0</v>
      </c>
      <c r="L4431">
        <v>3</v>
      </c>
      <c r="M4431">
        <v>0</v>
      </c>
      <c r="N4431">
        <v>2</v>
      </c>
      <c r="O4431">
        <v>0</v>
      </c>
      <c r="P4431">
        <v>1</v>
      </c>
      <c r="Q4431">
        <v>0</v>
      </c>
      <c r="S4431" t="str">
        <f t="shared" si="1637"/>
        <v>19:37:27.000</v>
      </c>
      <c r="T4431" t="str">
        <f t="shared" si="1637"/>
        <v>19:37:27.000</v>
      </c>
      <c r="U4431" t="str">
        <f t="shared" si="1633"/>
        <v>AC3944</v>
      </c>
      <c r="V4431">
        <v>0</v>
      </c>
      <c r="W4431">
        <v>0</v>
      </c>
      <c r="X4431">
        <v>2</v>
      </c>
      <c r="Y4431">
        <v>0</v>
      </c>
      <c r="AA4431">
        <v>1</v>
      </c>
      <c r="AB4431">
        <v>8</v>
      </c>
      <c r="AC4431">
        <v>3</v>
      </c>
      <c r="AD4431">
        <v>0</v>
      </c>
      <c r="AE4431">
        <v>9</v>
      </c>
      <c r="AF4431" t="s">
        <v>138</v>
      </c>
      <c r="AG4431">
        <v>0</v>
      </c>
      <c r="AH4431">
        <v>3</v>
      </c>
      <c r="AI4431">
        <v>1</v>
      </c>
      <c r="AJ4431">
        <v>0</v>
      </c>
      <c r="AK4431" t="s">
        <v>1399</v>
      </c>
      <c r="AL4431">
        <v>32.735739000000002</v>
      </c>
      <c r="AM4431" t="s">
        <v>1400</v>
      </c>
      <c r="AN4431">
        <v>-116.706648</v>
      </c>
      <c r="AO4431">
        <v>25</v>
      </c>
      <c r="AP4431">
        <v>5000</v>
      </c>
      <c r="AQ4431" t="s">
        <v>129</v>
      </c>
      <c r="AR4431">
        <v>-144</v>
      </c>
      <c r="AS4431">
        <v>-79</v>
      </c>
      <c r="AT4431">
        <v>-192</v>
      </c>
      <c r="BB4431">
        <v>1200</v>
      </c>
      <c r="BC4431">
        <v>1</v>
      </c>
      <c r="BD4431" t="str">
        <f t="shared" si="1634"/>
        <v xml:space="preserve">N887QR  </v>
      </c>
      <c r="BE4431">
        <v>1</v>
      </c>
      <c r="BG4431">
        <v>0</v>
      </c>
      <c r="BH4431">
        <v>0</v>
      </c>
      <c r="BI4431">
        <v>0</v>
      </c>
      <c r="BJ4431">
        <v>4650</v>
      </c>
      <c r="BK4431">
        <v>-350</v>
      </c>
      <c r="BL4431" t="s">
        <v>163</v>
      </c>
      <c r="BM4431">
        <v>1</v>
      </c>
      <c r="BN4431">
        <v>1</v>
      </c>
      <c r="BO4431">
        <v>1</v>
      </c>
      <c r="BP4431">
        <v>0</v>
      </c>
      <c r="BS4431">
        <v>0</v>
      </c>
      <c r="BT4431">
        <v>0</v>
      </c>
      <c r="BU4431">
        <v>0</v>
      </c>
      <c r="CE4431" t="str">
        <f t="shared" si="1638"/>
        <v>19:37:27.293</v>
      </c>
      <c r="CF4431">
        <v>292954509</v>
      </c>
      <c r="CS4431">
        <v>0</v>
      </c>
      <c r="CT4431">
        <v>2</v>
      </c>
      <c r="CU4431">
        <v>0</v>
      </c>
      <c r="CV4431">
        <v>2</v>
      </c>
      <c r="CW4431">
        <v>0</v>
      </c>
      <c r="CX4431">
        <v>6</v>
      </c>
      <c r="CY4431">
        <v>7</v>
      </c>
      <c r="CZ4431" t="s">
        <v>131</v>
      </c>
      <c r="DA4431">
        <v>286</v>
      </c>
      <c r="DB4431">
        <v>0</v>
      </c>
      <c r="DC4431" t="s">
        <v>132</v>
      </c>
      <c r="DD4431" t="s">
        <v>133</v>
      </c>
      <c r="DG4431">
        <v>913397</v>
      </c>
      <c r="DI4431">
        <v>1</v>
      </c>
      <c r="DJ4431">
        <v>0</v>
      </c>
      <c r="DK4431">
        <v>1</v>
      </c>
      <c r="DL4431">
        <v>0</v>
      </c>
      <c r="DM4431">
        <v>0</v>
      </c>
      <c r="DN4431">
        <v>1</v>
      </c>
      <c r="DO4431">
        <v>0</v>
      </c>
      <c r="DP4431">
        <v>0</v>
      </c>
      <c r="DQ4431">
        <v>0</v>
      </c>
      <c r="DR4431">
        <v>0</v>
      </c>
      <c r="DS4431">
        <v>0</v>
      </c>
    </row>
    <row r="4432" spans="1:123" x14ac:dyDescent="0.3">
      <c r="A4432" t="str">
        <f t="shared" si="1636"/>
        <v>10/04/2022 19:37:27.510</v>
      </c>
      <c r="C4432" t="str">
        <f t="shared" si="1627"/>
        <v>FFDFD3C0</v>
      </c>
      <c r="D4432" t="s">
        <v>134</v>
      </c>
      <c r="E4432">
        <v>15</v>
      </c>
      <c r="J4432" t="s">
        <v>135</v>
      </c>
      <c r="K4432">
        <v>0</v>
      </c>
      <c r="L4432">
        <v>3</v>
      </c>
      <c r="M4432">
        <v>0</v>
      </c>
      <c r="N4432">
        <v>2</v>
      </c>
      <c r="O4432">
        <v>0</v>
      </c>
      <c r="P4432">
        <v>1</v>
      </c>
      <c r="Q4432">
        <v>0</v>
      </c>
      <c r="S4432" t="str">
        <f t="shared" si="1637"/>
        <v>19:37:27.000</v>
      </c>
      <c r="T4432" t="str">
        <f t="shared" si="1637"/>
        <v>19:37:27.000</v>
      </c>
      <c r="U4432" t="str">
        <f t="shared" si="1633"/>
        <v>AC3944</v>
      </c>
      <c r="V4432">
        <v>0</v>
      </c>
      <c r="W4432">
        <v>0</v>
      </c>
      <c r="X4432">
        <v>2</v>
      </c>
      <c r="Y4432">
        <v>0</v>
      </c>
      <c r="AA4432">
        <v>1</v>
      </c>
      <c r="AB4432">
        <v>8</v>
      </c>
      <c r="AC4432">
        <v>3</v>
      </c>
      <c r="AD4432">
        <v>0</v>
      </c>
      <c r="AE4432">
        <v>9</v>
      </c>
      <c r="AF4432" t="s">
        <v>138</v>
      </c>
      <c r="AG4432">
        <v>0</v>
      </c>
      <c r="AH4432">
        <v>3</v>
      </c>
      <c r="AI4432">
        <v>1</v>
      </c>
      <c r="AJ4432">
        <v>0</v>
      </c>
      <c r="AK4432" t="s">
        <v>1399</v>
      </c>
      <c r="AL4432">
        <v>32.735739000000002</v>
      </c>
      <c r="AM4432" t="s">
        <v>1400</v>
      </c>
      <c r="AN4432">
        <v>-116.706648</v>
      </c>
      <c r="AO4432">
        <v>25</v>
      </c>
      <c r="AP4432">
        <v>5000</v>
      </c>
      <c r="AQ4432" t="s">
        <v>129</v>
      </c>
      <c r="AR4432">
        <v>-144</v>
      </c>
      <c r="AS4432">
        <v>-79</v>
      </c>
      <c r="AT4432">
        <v>-192</v>
      </c>
      <c r="BB4432">
        <v>1200</v>
      </c>
      <c r="BC4432">
        <v>1</v>
      </c>
      <c r="BD4432" t="str">
        <f t="shared" si="1634"/>
        <v xml:space="preserve">N887QR  </v>
      </c>
      <c r="BE4432">
        <v>1</v>
      </c>
      <c r="BG4432">
        <v>0</v>
      </c>
      <c r="BH4432">
        <v>0</v>
      </c>
      <c r="BI4432">
        <v>0</v>
      </c>
      <c r="BJ4432">
        <v>4650</v>
      </c>
      <c r="BK4432">
        <v>-350</v>
      </c>
      <c r="BL4432" t="s">
        <v>163</v>
      </c>
      <c r="BM4432">
        <v>1</v>
      </c>
      <c r="BN4432">
        <v>1</v>
      </c>
      <c r="BO4432">
        <v>1</v>
      </c>
      <c r="BP4432">
        <v>0</v>
      </c>
      <c r="BS4432">
        <v>0</v>
      </c>
      <c r="BT4432">
        <v>0</v>
      </c>
      <c r="BU4432">
        <v>0</v>
      </c>
      <c r="CE4432" t="str">
        <f t="shared" si="1638"/>
        <v>19:37:27.293</v>
      </c>
      <c r="CF4432">
        <v>292954509</v>
      </c>
      <c r="CS4432">
        <v>0</v>
      </c>
      <c r="CT4432">
        <v>2</v>
      </c>
      <c r="CU4432">
        <v>0</v>
      </c>
      <c r="CV4432">
        <v>2</v>
      </c>
      <c r="CW4432">
        <v>0</v>
      </c>
      <c r="CX4432">
        <v>6</v>
      </c>
      <c r="CY4432">
        <v>7</v>
      </c>
      <c r="CZ4432" t="s">
        <v>131</v>
      </c>
      <c r="DA4432">
        <v>286</v>
      </c>
      <c r="DB4432">
        <v>0</v>
      </c>
      <c r="DC4432" t="s">
        <v>132</v>
      </c>
      <c r="DD4432" t="s">
        <v>133</v>
      </c>
      <c r="DG4432">
        <v>913397</v>
      </c>
      <c r="DI4432">
        <v>1</v>
      </c>
      <c r="DJ4432">
        <v>0</v>
      </c>
      <c r="DK4432">
        <v>1</v>
      </c>
      <c r="DL4432">
        <v>0</v>
      </c>
      <c r="DM4432">
        <v>0</v>
      </c>
      <c r="DN4432">
        <v>1</v>
      </c>
      <c r="DO4432">
        <v>0</v>
      </c>
      <c r="DP4432">
        <v>0</v>
      </c>
      <c r="DQ4432">
        <v>0</v>
      </c>
      <c r="DR4432">
        <v>0</v>
      </c>
      <c r="DS4432">
        <v>0</v>
      </c>
    </row>
    <row r="4433" spans="1:123" x14ac:dyDescent="0.3">
      <c r="A4433" t="str">
        <f t="shared" si="1636"/>
        <v>10/04/2022 19:37:27.510</v>
      </c>
      <c r="C4433" t="str">
        <f t="shared" si="1627"/>
        <v>FFDFD3C0</v>
      </c>
      <c r="D4433" t="s">
        <v>141</v>
      </c>
      <c r="E4433">
        <v>3</v>
      </c>
      <c r="H4433">
        <v>3</v>
      </c>
      <c r="I4433" t="s">
        <v>146</v>
      </c>
      <c r="J4433" t="s">
        <v>138</v>
      </c>
      <c r="K4433">
        <v>0</v>
      </c>
      <c r="L4433">
        <v>3</v>
      </c>
      <c r="M4433">
        <v>0</v>
      </c>
      <c r="N4433">
        <v>2</v>
      </c>
      <c r="O4433">
        <v>0</v>
      </c>
      <c r="P4433">
        <v>1</v>
      </c>
      <c r="Q4433">
        <v>0</v>
      </c>
      <c r="S4433" t="str">
        <f t="shared" si="1637"/>
        <v>19:37:27.000</v>
      </c>
      <c r="T4433" t="str">
        <f t="shared" si="1637"/>
        <v>19:37:27.000</v>
      </c>
      <c r="U4433" t="str">
        <f t="shared" si="1633"/>
        <v>AC3944</v>
      </c>
      <c r="V4433">
        <v>0</v>
      </c>
      <c r="W4433">
        <v>0</v>
      </c>
      <c r="X4433">
        <v>2</v>
      </c>
      <c r="Y4433">
        <v>0</v>
      </c>
      <c r="AA4433">
        <v>1</v>
      </c>
      <c r="AB4433">
        <v>8</v>
      </c>
      <c r="AC4433">
        <v>3</v>
      </c>
      <c r="AD4433">
        <v>0</v>
      </c>
      <c r="AE4433">
        <v>9</v>
      </c>
      <c r="AF4433" t="s">
        <v>138</v>
      </c>
      <c r="AG4433">
        <v>0</v>
      </c>
      <c r="AH4433">
        <v>3</v>
      </c>
      <c r="AI4433">
        <v>1</v>
      </c>
      <c r="AJ4433">
        <v>0</v>
      </c>
      <c r="AK4433" t="s">
        <v>1399</v>
      </c>
      <c r="AL4433">
        <v>32.735739000000002</v>
      </c>
      <c r="AM4433" t="s">
        <v>1400</v>
      </c>
      <c r="AN4433">
        <v>-116.706648</v>
      </c>
      <c r="AO4433">
        <v>25</v>
      </c>
      <c r="AP4433">
        <v>5000</v>
      </c>
      <c r="AQ4433" t="s">
        <v>129</v>
      </c>
      <c r="AR4433">
        <v>-144</v>
      </c>
      <c r="AS4433">
        <v>-79</v>
      </c>
      <c r="AT4433">
        <v>-192</v>
      </c>
      <c r="BB4433">
        <v>1200</v>
      </c>
      <c r="BC4433">
        <v>1</v>
      </c>
      <c r="BD4433" t="str">
        <f t="shared" si="1634"/>
        <v xml:space="preserve">N887QR  </v>
      </c>
      <c r="BE4433">
        <v>1</v>
      </c>
      <c r="BG4433">
        <v>0</v>
      </c>
      <c r="BH4433">
        <v>0</v>
      </c>
      <c r="BI4433">
        <v>0</v>
      </c>
      <c r="BJ4433">
        <v>4650</v>
      </c>
      <c r="BK4433">
        <v>-350</v>
      </c>
      <c r="BL4433" t="s">
        <v>163</v>
      </c>
      <c r="BM4433">
        <v>1</v>
      </c>
      <c r="BN4433">
        <v>1</v>
      </c>
      <c r="BO4433">
        <v>1</v>
      </c>
      <c r="BP4433">
        <v>0</v>
      </c>
      <c r="BS4433">
        <v>0</v>
      </c>
      <c r="BT4433">
        <v>0</v>
      </c>
      <c r="BU4433">
        <v>0</v>
      </c>
      <c r="CE4433" t="str">
        <f t="shared" si="1638"/>
        <v>19:37:27.293</v>
      </c>
      <c r="CF4433">
        <v>292954509</v>
      </c>
      <c r="CS4433">
        <v>0</v>
      </c>
      <c r="CT4433">
        <v>2</v>
      </c>
      <c r="CU4433">
        <v>0</v>
      </c>
      <c r="CV4433">
        <v>2</v>
      </c>
      <c r="CW4433">
        <v>0</v>
      </c>
      <c r="CX4433">
        <v>6</v>
      </c>
      <c r="CY4433">
        <v>7</v>
      </c>
      <c r="CZ4433" t="s">
        <v>131</v>
      </c>
      <c r="DA4433">
        <v>286</v>
      </c>
      <c r="DB4433">
        <v>0</v>
      </c>
      <c r="DC4433" t="s">
        <v>132</v>
      </c>
      <c r="DD4433" t="s">
        <v>133</v>
      </c>
      <c r="DG4433">
        <v>913397</v>
      </c>
      <c r="DI4433">
        <v>1</v>
      </c>
      <c r="DJ4433">
        <v>0</v>
      </c>
      <c r="DK4433">
        <v>1</v>
      </c>
      <c r="DL4433">
        <v>0</v>
      </c>
      <c r="DM4433">
        <v>0</v>
      </c>
      <c r="DN4433">
        <v>1</v>
      </c>
      <c r="DO4433">
        <v>0</v>
      </c>
      <c r="DP4433">
        <v>0</v>
      </c>
      <c r="DQ4433">
        <v>0</v>
      </c>
      <c r="DR4433">
        <v>0</v>
      </c>
      <c r="DS4433">
        <v>0</v>
      </c>
    </row>
    <row r="4434" spans="1:123" x14ac:dyDescent="0.3">
      <c r="A4434" t="str">
        <f t="shared" si="1636"/>
        <v>10/04/2022 19:37:27.510</v>
      </c>
      <c r="C4434" t="str">
        <f t="shared" si="1627"/>
        <v>FFDFD3C0</v>
      </c>
      <c r="D4434" t="s">
        <v>143</v>
      </c>
      <c r="E4434">
        <v>20</v>
      </c>
      <c r="F4434">
        <v>1020</v>
      </c>
      <c r="G4434" t="s">
        <v>144</v>
      </c>
      <c r="J4434" t="s">
        <v>145</v>
      </c>
      <c r="K4434">
        <v>0</v>
      </c>
      <c r="L4434">
        <v>3</v>
      </c>
      <c r="M4434">
        <v>0</v>
      </c>
      <c r="N4434">
        <v>2</v>
      </c>
      <c r="O4434">
        <v>0</v>
      </c>
      <c r="P4434">
        <v>1</v>
      </c>
      <c r="Q4434">
        <v>0</v>
      </c>
      <c r="S4434" t="str">
        <f t="shared" si="1637"/>
        <v>19:37:27.000</v>
      </c>
      <c r="T4434" t="str">
        <f t="shared" si="1637"/>
        <v>19:37:27.000</v>
      </c>
      <c r="U4434" t="str">
        <f t="shared" si="1633"/>
        <v>AC3944</v>
      </c>
      <c r="V4434">
        <v>0</v>
      </c>
      <c r="W4434">
        <v>0</v>
      </c>
      <c r="X4434">
        <v>2</v>
      </c>
      <c r="Y4434">
        <v>0</v>
      </c>
      <c r="AA4434">
        <v>1</v>
      </c>
      <c r="AB4434">
        <v>8</v>
      </c>
      <c r="AC4434">
        <v>3</v>
      </c>
      <c r="AD4434">
        <v>0</v>
      </c>
      <c r="AE4434">
        <v>9</v>
      </c>
      <c r="AF4434" t="s">
        <v>138</v>
      </c>
      <c r="AG4434">
        <v>0</v>
      </c>
      <c r="AH4434">
        <v>3</v>
      </c>
      <c r="AI4434">
        <v>1</v>
      </c>
      <c r="AJ4434">
        <v>0</v>
      </c>
      <c r="AK4434" t="s">
        <v>1399</v>
      </c>
      <c r="AL4434">
        <v>32.735739000000002</v>
      </c>
      <c r="AM4434" t="s">
        <v>1400</v>
      </c>
      <c r="AN4434">
        <v>-116.706648</v>
      </c>
      <c r="AO4434">
        <v>25</v>
      </c>
      <c r="AP4434">
        <v>5000</v>
      </c>
      <c r="AQ4434" t="s">
        <v>129</v>
      </c>
      <c r="AR4434">
        <v>-144</v>
      </c>
      <c r="AS4434">
        <v>-79</v>
      </c>
      <c r="AT4434">
        <v>-192</v>
      </c>
      <c r="BB4434">
        <v>1200</v>
      </c>
      <c r="BC4434">
        <v>1</v>
      </c>
      <c r="BD4434" t="str">
        <f t="shared" si="1634"/>
        <v xml:space="preserve">N887QR  </v>
      </c>
      <c r="BE4434">
        <v>1</v>
      </c>
      <c r="BG4434">
        <v>0</v>
      </c>
      <c r="BH4434">
        <v>0</v>
      </c>
      <c r="BI4434">
        <v>0</v>
      </c>
      <c r="BJ4434">
        <v>4650</v>
      </c>
      <c r="BK4434">
        <v>-350</v>
      </c>
      <c r="BL4434" t="s">
        <v>163</v>
      </c>
      <c r="BM4434">
        <v>1</v>
      </c>
      <c r="BN4434">
        <v>1</v>
      </c>
      <c r="BO4434">
        <v>1</v>
      </c>
      <c r="BP4434">
        <v>0</v>
      </c>
      <c r="BS4434">
        <v>0</v>
      </c>
      <c r="BT4434">
        <v>0</v>
      </c>
      <c r="BU4434">
        <v>0</v>
      </c>
      <c r="CE4434" t="str">
        <f t="shared" si="1638"/>
        <v>19:37:27.293</v>
      </c>
      <c r="CF4434">
        <v>292954509</v>
      </c>
      <c r="CS4434">
        <v>0</v>
      </c>
      <c r="CT4434">
        <v>2</v>
      </c>
      <c r="CU4434">
        <v>0</v>
      </c>
      <c r="CV4434">
        <v>2</v>
      </c>
      <c r="CW4434">
        <v>0</v>
      </c>
      <c r="CX4434">
        <v>6</v>
      </c>
      <c r="CY4434">
        <v>7</v>
      </c>
      <c r="CZ4434" t="s">
        <v>131</v>
      </c>
      <c r="DA4434">
        <v>286</v>
      </c>
      <c r="DB4434">
        <v>0</v>
      </c>
      <c r="DC4434" t="s">
        <v>132</v>
      </c>
      <c r="DD4434" t="s">
        <v>133</v>
      </c>
      <c r="DG4434">
        <v>913397</v>
      </c>
      <c r="DI4434">
        <v>1</v>
      </c>
      <c r="DJ4434">
        <v>0</v>
      </c>
      <c r="DK4434">
        <v>1</v>
      </c>
      <c r="DL4434">
        <v>0</v>
      </c>
      <c r="DM4434">
        <v>0</v>
      </c>
      <c r="DN4434">
        <v>1</v>
      </c>
      <c r="DO4434">
        <v>0</v>
      </c>
      <c r="DP4434">
        <v>0</v>
      </c>
      <c r="DQ4434">
        <v>0</v>
      </c>
      <c r="DR4434">
        <v>0</v>
      </c>
      <c r="DS4434">
        <v>0</v>
      </c>
    </row>
    <row r="4435" spans="1:123" x14ac:dyDescent="0.3">
      <c r="A4435" t="str">
        <f t="shared" si="1636"/>
        <v>10/04/2022 19:37:27.510</v>
      </c>
      <c r="C4435" t="str">
        <f t="shared" si="1627"/>
        <v>FFDFD3C0</v>
      </c>
      <c r="D4435" t="s">
        <v>123</v>
      </c>
      <c r="E4435">
        <v>7</v>
      </c>
      <c r="F4435">
        <v>2007</v>
      </c>
      <c r="G4435" t="s">
        <v>124</v>
      </c>
      <c r="J4435" t="s">
        <v>125</v>
      </c>
      <c r="K4435">
        <v>0</v>
      </c>
      <c r="L4435">
        <v>3</v>
      </c>
      <c r="M4435">
        <v>0</v>
      </c>
      <c r="N4435">
        <v>2</v>
      </c>
      <c r="O4435">
        <v>0</v>
      </c>
      <c r="P4435">
        <v>1</v>
      </c>
      <c r="Q4435">
        <v>0</v>
      </c>
      <c r="S4435" t="str">
        <f t="shared" si="1637"/>
        <v>19:37:27.000</v>
      </c>
      <c r="T4435" t="str">
        <f t="shared" si="1637"/>
        <v>19:37:27.000</v>
      </c>
      <c r="U4435" t="str">
        <f t="shared" si="1633"/>
        <v>AC3944</v>
      </c>
      <c r="V4435">
        <v>0</v>
      </c>
      <c r="W4435">
        <v>0</v>
      </c>
      <c r="X4435">
        <v>2</v>
      </c>
      <c r="Y4435">
        <v>0</v>
      </c>
      <c r="AA4435">
        <v>1</v>
      </c>
      <c r="AB4435">
        <v>8</v>
      </c>
      <c r="AC4435">
        <v>3</v>
      </c>
      <c r="AD4435">
        <v>0</v>
      </c>
      <c r="AE4435">
        <v>9</v>
      </c>
      <c r="AF4435" t="s">
        <v>138</v>
      </c>
      <c r="AG4435">
        <v>0</v>
      </c>
      <c r="AH4435">
        <v>3</v>
      </c>
      <c r="AI4435">
        <v>1</v>
      </c>
      <c r="AJ4435">
        <v>0</v>
      </c>
      <c r="AK4435" t="s">
        <v>1399</v>
      </c>
      <c r="AL4435">
        <v>32.735739000000002</v>
      </c>
      <c r="AM4435" t="s">
        <v>1400</v>
      </c>
      <c r="AN4435">
        <v>-116.706648</v>
      </c>
      <c r="AO4435">
        <v>25</v>
      </c>
      <c r="AP4435">
        <v>5000</v>
      </c>
      <c r="AQ4435" t="s">
        <v>129</v>
      </c>
      <c r="AR4435">
        <v>-144</v>
      </c>
      <c r="AS4435">
        <v>-79</v>
      </c>
      <c r="AT4435">
        <v>-192</v>
      </c>
      <c r="BB4435">
        <v>1200</v>
      </c>
      <c r="BC4435">
        <v>1</v>
      </c>
      <c r="BD4435" t="str">
        <f t="shared" si="1634"/>
        <v xml:space="preserve">N887QR  </v>
      </c>
      <c r="BE4435">
        <v>1</v>
      </c>
      <c r="BG4435">
        <v>0</v>
      </c>
      <c r="BH4435">
        <v>0</v>
      </c>
      <c r="BI4435">
        <v>0</v>
      </c>
      <c r="BJ4435">
        <v>4650</v>
      </c>
      <c r="BK4435">
        <v>-350</v>
      </c>
      <c r="BL4435" t="s">
        <v>163</v>
      </c>
      <c r="BM4435">
        <v>1</v>
      </c>
      <c r="BN4435">
        <v>1</v>
      </c>
      <c r="BO4435">
        <v>1</v>
      </c>
      <c r="BP4435">
        <v>0</v>
      </c>
      <c r="BS4435">
        <v>0</v>
      </c>
      <c r="BT4435">
        <v>0</v>
      </c>
      <c r="BU4435">
        <v>0</v>
      </c>
      <c r="CE4435" t="str">
        <f t="shared" si="1638"/>
        <v>19:37:27.293</v>
      </c>
      <c r="CF4435">
        <v>292954509</v>
      </c>
      <c r="CS4435">
        <v>0</v>
      </c>
      <c r="CT4435">
        <v>2</v>
      </c>
      <c r="CU4435">
        <v>0</v>
      </c>
      <c r="CV4435">
        <v>2</v>
      </c>
      <c r="CW4435">
        <v>0</v>
      </c>
      <c r="CX4435">
        <v>6</v>
      </c>
      <c r="CY4435">
        <v>7</v>
      </c>
      <c r="CZ4435" t="s">
        <v>131</v>
      </c>
      <c r="DA4435">
        <v>286</v>
      </c>
      <c r="DB4435">
        <v>0</v>
      </c>
      <c r="DC4435" t="s">
        <v>132</v>
      </c>
      <c r="DD4435" t="s">
        <v>133</v>
      </c>
      <c r="DG4435">
        <v>913397</v>
      </c>
      <c r="DI4435">
        <v>1</v>
      </c>
      <c r="DJ4435">
        <v>0</v>
      </c>
      <c r="DK4435">
        <v>1</v>
      </c>
      <c r="DL4435">
        <v>0</v>
      </c>
      <c r="DM4435">
        <v>0</v>
      </c>
      <c r="DN4435">
        <v>1</v>
      </c>
      <c r="DO4435">
        <v>0</v>
      </c>
      <c r="DP4435">
        <v>0</v>
      </c>
      <c r="DQ4435">
        <v>0</v>
      </c>
      <c r="DR4435">
        <v>0</v>
      </c>
      <c r="DS4435">
        <v>0</v>
      </c>
    </row>
    <row r="4436" spans="1:123" x14ac:dyDescent="0.3">
      <c r="A4436" t="str">
        <f>"10/04/2022 19:37:28.713"</f>
        <v>10/04/2022 19:37:28.713</v>
      </c>
      <c r="C4436" t="str">
        <f t="shared" si="1627"/>
        <v>FFDFD3C0</v>
      </c>
      <c r="D4436" t="s">
        <v>136</v>
      </c>
      <c r="E4436">
        <v>8</v>
      </c>
      <c r="H4436">
        <v>225</v>
      </c>
      <c r="I4436" t="s">
        <v>137</v>
      </c>
      <c r="J4436" t="s">
        <v>138</v>
      </c>
      <c r="K4436">
        <v>0</v>
      </c>
      <c r="L4436">
        <v>3</v>
      </c>
      <c r="M4436">
        <v>0</v>
      </c>
      <c r="N4436">
        <v>2</v>
      </c>
      <c r="O4436">
        <v>0</v>
      </c>
      <c r="P4436">
        <v>1</v>
      </c>
      <c r="Q4436">
        <v>0</v>
      </c>
      <c r="S4436" t="str">
        <f t="shared" ref="S4436:T4448" si="1639">"19:37:28.000"</f>
        <v>19:37:28.000</v>
      </c>
      <c r="T4436" t="str">
        <f t="shared" si="1639"/>
        <v>19:37:28.000</v>
      </c>
      <c r="U4436" t="str">
        <f t="shared" si="1633"/>
        <v>AC3944</v>
      </c>
      <c r="V4436">
        <v>0</v>
      </c>
      <c r="W4436">
        <v>0</v>
      </c>
      <c r="X4436">
        <v>2</v>
      </c>
      <c r="Y4436">
        <v>0</v>
      </c>
      <c r="AA4436">
        <v>1</v>
      </c>
      <c r="AB4436">
        <v>8</v>
      </c>
      <c r="AC4436">
        <v>3</v>
      </c>
      <c r="AD4436">
        <v>0</v>
      </c>
      <c r="AE4436">
        <v>9</v>
      </c>
      <c r="AF4436" t="s">
        <v>138</v>
      </c>
      <c r="AG4436">
        <v>0</v>
      </c>
      <c r="AH4436">
        <v>3</v>
      </c>
      <c r="AI4436">
        <v>1</v>
      </c>
      <c r="AJ4436">
        <v>0</v>
      </c>
      <c r="AK4436" t="s">
        <v>1401</v>
      </c>
      <c r="AL4436">
        <v>32.735438000000002</v>
      </c>
      <c r="AM4436" t="s">
        <v>1402</v>
      </c>
      <c r="AN4436">
        <v>-116.70726999999999</v>
      </c>
      <c r="AO4436">
        <v>25</v>
      </c>
      <c r="AP4436">
        <v>4900</v>
      </c>
      <c r="AQ4436" t="s">
        <v>129</v>
      </c>
      <c r="AR4436">
        <v>-145</v>
      </c>
      <c r="AS4436">
        <v>-79</v>
      </c>
      <c r="AT4436">
        <v>-320</v>
      </c>
      <c r="BB4436">
        <v>1200</v>
      </c>
      <c r="BC4436">
        <v>1</v>
      </c>
      <c r="BD4436" t="str">
        <f t="shared" si="1634"/>
        <v xml:space="preserve">N887QR  </v>
      </c>
      <c r="BE4436">
        <v>1</v>
      </c>
      <c r="BG4436">
        <v>0</v>
      </c>
      <c r="BH4436">
        <v>0</v>
      </c>
      <c r="BI4436">
        <v>0</v>
      </c>
      <c r="BJ4436">
        <v>4625</v>
      </c>
      <c r="BK4436">
        <v>-275</v>
      </c>
      <c r="BL4436" t="s">
        <v>163</v>
      </c>
      <c r="BM4436">
        <v>1</v>
      </c>
      <c r="BN4436">
        <v>1</v>
      </c>
      <c r="BO4436">
        <v>1</v>
      </c>
      <c r="BP4436">
        <v>0</v>
      </c>
      <c r="BS4436">
        <v>0</v>
      </c>
      <c r="BT4436">
        <v>0</v>
      </c>
      <c r="BU4436">
        <v>0</v>
      </c>
      <c r="CE4436" t="str">
        <f t="shared" ref="CE4436:CE4442" si="1640">"19:37:28.427"</f>
        <v>19:37:28.427</v>
      </c>
      <c r="CF4436">
        <v>426707832</v>
      </c>
      <c r="CS4436">
        <v>0</v>
      </c>
      <c r="CT4436">
        <v>2</v>
      </c>
      <c r="CU4436">
        <v>0</v>
      </c>
      <c r="CV4436">
        <v>2</v>
      </c>
      <c r="CW4436">
        <v>0</v>
      </c>
      <c r="CX4436">
        <v>6</v>
      </c>
      <c r="CY4436">
        <v>7</v>
      </c>
      <c r="CZ4436" t="s">
        <v>131</v>
      </c>
      <c r="DA4436">
        <v>286</v>
      </c>
      <c r="DB4436">
        <v>0</v>
      </c>
      <c r="DC4436" t="s">
        <v>132</v>
      </c>
      <c r="DD4436" t="s">
        <v>133</v>
      </c>
      <c r="DG4436">
        <v>913669</v>
      </c>
      <c r="DI4436">
        <v>1</v>
      </c>
      <c r="DJ4436">
        <v>0</v>
      </c>
      <c r="DK4436">
        <v>0</v>
      </c>
      <c r="DL4436">
        <v>0</v>
      </c>
      <c r="DM4436">
        <v>0</v>
      </c>
      <c r="DN4436">
        <v>1</v>
      </c>
      <c r="DO4436">
        <v>0</v>
      </c>
      <c r="DP4436">
        <v>0</v>
      </c>
      <c r="DQ4436">
        <v>0</v>
      </c>
      <c r="DR4436">
        <v>0</v>
      </c>
      <c r="DS4436">
        <v>0</v>
      </c>
    </row>
    <row r="4437" spans="1:123" x14ac:dyDescent="0.3">
      <c r="A4437" t="str">
        <f>"10/04/2022 19:37:28.713"</f>
        <v>10/04/2022 19:37:28.713</v>
      </c>
      <c r="C4437" t="str">
        <f t="shared" si="1627"/>
        <v>FFDFD3C0</v>
      </c>
      <c r="D4437" t="s">
        <v>134</v>
      </c>
      <c r="E4437">
        <v>15</v>
      </c>
      <c r="J4437" t="s">
        <v>135</v>
      </c>
      <c r="K4437">
        <v>0</v>
      </c>
      <c r="L4437">
        <v>3</v>
      </c>
      <c r="M4437">
        <v>0</v>
      </c>
      <c r="N4437">
        <v>2</v>
      </c>
      <c r="O4437">
        <v>0</v>
      </c>
      <c r="P4437">
        <v>1</v>
      </c>
      <c r="Q4437">
        <v>0</v>
      </c>
      <c r="S4437" t="str">
        <f t="shared" si="1639"/>
        <v>19:37:28.000</v>
      </c>
      <c r="T4437" t="str">
        <f t="shared" si="1639"/>
        <v>19:37:28.000</v>
      </c>
      <c r="U4437" t="str">
        <f t="shared" si="1633"/>
        <v>AC3944</v>
      </c>
      <c r="V4437">
        <v>0</v>
      </c>
      <c r="W4437">
        <v>0</v>
      </c>
      <c r="X4437">
        <v>2</v>
      </c>
      <c r="Y4437">
        <v>0</v>
      </c>
      <c r="AA4437">
        <v>1</v>
      </c>
      <c r="AB4437">
        <v>8</v>
      </c>
      <c r="AC4437">
        <v>3</v>
      </c>
      <c r="AD4437">
        <v>0</v>
      </c>
      <c r="AE4437">
        <v>9</v>
      </c>
      <c r="AF4437" t="s">
        <v>138</v>
      </c>
      <c r="AG4437">
        <v>0</v>
      </c>
      <c r="AH4437">
        <v>3</v>
      </c>
      <c r="AI4437">
        <v>1</v>
      </c>
      <c r="AJ4437">
        <v>0</v>
      </c>
      <c r="AK4437" t="s">
        <v>1401</v>
      </c>
      <c r="AL4437">
        <v>32.735438000000002</v>
      </c>
      <c r="AM4437" t="s">
        <v>1402</v>
      </c>
      <c r="AN4437">
        <v>-116.70726999999999</v>
      </c>
      <c r="AO4437">
        <v>25</v>
      </c>
      <c r="AP4437">
        <v>4900</v>
      </c>
      <c r="AQ4437" t="s">
        <v>129</v>
      </c>
      <c r="AR4437">
        <v>-145</v>
      </c>
      <c r="AS4437">
        <v>-79</v>
      </c>
      <c r="AT4437">
        <v>-320</v>
      </c>
      <c r="BB4437">
        <v>1200</v>
      </c>
      <c r="BC4437">
        <v>1</v>
      </c>
      <c r="BD4437" t="str">
        <f t="shared" si="1634"/>
        <v xml:space="preserve">N887QR  </v>
      </c>
      <c r="BE4437">
        <v>1</v>
      </c>
      <c r="BG4437">
        <v>0</v>
      </c>
      <c r="BH4437">
        <v>0</v>
      </c>
      <c r="BI4437">
        <v>0</v>
      </c>
      <c r="BJ4437">
        <v>4625</v>
      </c>
      <c r="BK4437">
        <v>-275</v>
      </c>
      <c r="BL4437" t="s">
        <v>163</v>
      </c>
      <c r="BM4437">
        <v>1</v>
      </c>
      <c r="BN4437">
        <v>1</v>
      </c>
      <c r="BO4437">
        <v>1</v>
      </c>
      <c r="BP4437">
        <v>0</v>
      </c>
      <c r="BS4437">
        <v>0</v>
      </c>
      <c r="BT4437">
        <v>0</v>
      </c>
      <c r="BU4437">
        <v>0</v>
      </c>
      <c r="CE4437" t="str">
        <f t="shared" si="1640"/>
        <v>19:37:28.427</v>
      </c>
      <c r="CF4437">
        <v>426707832</v>
      </c>
      <c r="CS4437">
        <v>0</v>
      </c>
      <c r="CT4437">
        <v>2</v>
      </c>
      <c r="CU4437">
        <v>0</v>
      </c>
      <c r="CV4437">
        <v>2</v>
      </c>
      <c r="CW4437">
        <v>0</v>
      </c>
      <c r="CX4437">
        <v>6</v>
      </c>
      <c r="CY4437">
        <v>7</v>
      </c>
      <c r="CZ4437" t="s">
        <v>131</v>
      </c>
      <c r="DA4437">
        <v>286</v>
      </c>
      <c r="DB4437">
        <v>0</v>
      </c>
      <c r="DC4437" t="s">
        <v>132</v>
      </c>
      <c r="DD4437" t="s">
        <v>133</v>
      </c>
      <c r="DG4437">
        <v>913669</v>
      </c>
      <c r="DI4437">
        <v>1</v>
      </c>
      <c r="DJ4437">
        <v>0</v>
      </c>
      <c r="DK4437">
        <v>1</v>
      </c>
      <c r="DL4437">
        <v>0</v>
      </c>
      <c r="DM4437">
        <v>0</v>
      </c>
      <c r="DN4437">
        <v>1</v>
      </c>
      <c r="DO4437">
        <v>0</v>
      </c>
      <c r="DP4437">
        <v>0</v>
      </c>
      <c r="DQ4437">
        <v>0</v>
      </c>
      <c r="DR4437">
        <v>0</v>
      </c>
      <c r="DS4437">
        <v>0</v>
      </c>
    </row>
    <row r="4438" spans="1:123" x14ac:dyDescent="0.3">
      <c r="A4438" t="str">
        <f>"10/04/2022 19:37:28.729"</f>
        <v>10/04/2022 19:37:28.729</v>
      </c>
      <c r="C4438" t="str">
        <f t="shared" si="1627"/>
        <v>FFDFD3C0</v>
      </c>
      <c r="D4438" t="s">
        <v>143</v>
      </c>
      <c r="E4438">
        <v>20</v>
      </c>
      <c r="F4438">
        <v>1020</v>
      </c>
      <c r="G4438" t="s">
        <v>144</v>
      </c>
      <c r="J4438" t="s">
        <v>145</v>
      </c>
      <c r="K4438">
        <v>0</v>
      </c>
      <c r="L4438">
        <v>3</v>
      </c>
      <c r="M4438">
        <v>0</v>
      </c>
      <c r="N4438">
        <v>2</v>
      </c>
      <c r="O4438">
        <v>0</v>
      </c>
      <c r="P4438">
        <v>1</v>
      </c>
      <c r="Q4438">
        <v>0</v>
      </c>
      <c r="S4438" t="str">
        <f t="shared" si="1639"/>
        <v>19:37:28.000</v>
      </c>
      <c r="T4438" t="str">
        <f t="shared" si="1639"/>
        <v>19:37:28.000</v>
      </c>
      <c r="U4438" t="str">
        <f t="shared" si="1633"/>
        <v>AC3944</v>
      </c>
      <c r="V4438">
        <v>0</v>
      </c>
      <c r="W4438">
        <v>0</v>
      </c>
      <c r="X4438">
        <v>2</v>
      </c>
      <c r="Y4438">
        <v>0</v>
      </c>
      <c r="AA4438">
        <v>1</v>
      </c>
      <c r="AB4438">
        <v>8</v>
      </c>
      <c r="AC4438">
        <v>3</v>
      </c>
      <c r="AD4438">
        <v>0</v>
      </c>
      <c r="AE4438">
        <v>9</v>
      </c>
      <c r="AF4438" t="s">
        <v>138</v>
      </c>
      <c r="AG4438">
        <v>0</v>
      </c>
      <c r="AH4438">
        <v>3</v>
      </c>
      <c r="AI4438">
        <v>1</v>
      </c>
      <c r="AJ4438">
        <v>0</v>
      </c>
      <c r="AK4438" t="s">
        <v>1401</v>
      </c>
      <c r="AL4438">
        <v>32.735438000000002</v>
      </c>
      <c r="AM4438" t="s">
        <v>1402</v>
      </c>
      <c r="AN4438">
        <v>-116.70726999999999</v>
      </c>
      <c r="AO4438">
        <v>25</v>
      </c>
      <c r="AP4438">
        <v>4900</v>
      </c>
      <c r="AQ4438" t="s">
        <v>129</v>
      </c>
      <c r="AR4438">
        <v>-145</v>
      </c>
      <c r="AS4438">
        <v>-79</v>
      </c>
      <c r="AT4438">
        <v>-320</v>
      </c>
      <c r="BB4438">
        <v>1200</v>
      </c>
      <c r="BC4438">
        <v>1</v>
      </c>
      <c r="BD4438" t="str">
        <f t="shared" si="1634"/>
        <v xml:space="preserve">N887QR  </v>
      </c>
      <c r="BE4438">
        <v>1</v>
      </c>
      <c r="BG4438">
        <v>0</v>
      </c>
      <c r="BH4438">
        <v>0</v>
      </c>
      <c r="BI4438">
        <v>0</v>
      </c>
      <c r="BJ4438">
        <v>4625</v>
      </c>
      <c r="BK4438">
        <v>-275</v>
      </c>
      <c r="BL4438" t="s">
        <v>163</v>
      </c>
      <c r="BM4438">
        <v>1</v>
      </c>
      <c r="BN4438">
        <v>1</v>
      </c>
      <c r="BO4438">
        <v>1</v>
      </c>
      <c r="BP4438">
        <v>0</v>
      </c>
      <c r="BS4438">
        <v>0</v>
      </c>
      <c r="BT4438">
        <v>0</v>
      </c>
      <c r="BU4438">
        <v>0</v>
      </c>
      <c r="CE4438" t="str">
        <f t="shared" si="1640"/>
        <v>19:37:28.427</v>
      </c>
      <c r="CF4438">
        <v>426707832</v>
      </c>
      <c r="CS4438">
        <v>0</v>
      </c>
      <c r="CT4438">
        <v>2</v>
      </c>
      <c r="CU4438">
        <v>0</v>
      </c>
      <c r="CV4438">
        <v>2</v>
      </c>
      <c r="CW4438">
        <v>0</v>
      </c>
      <c r="CX4438">
        <v>6</v>
      </c>
      <c r="CY4438">
        <v>7</v>
      </c>
      <c r="CZ4438" t="s">
        <v>131</v>
      </c>
      <c r="DA4438">
        <v>286</v>
      </c>
      <c r="DB4438">
        <v>0</v>
      </c>
      <c r="DC4438" t="s">
        <v>132</v>
      </c>
      <c r="DD4438" t="s">
        <v>133</v>
      </c>
      <c r="DG4438">
        <v>913669</v>
      </c>
      <c r="DI4438">
        <v>1</v>
      </c>
      <c r="DJ4438">
        <v>0</v>
      </c>
      <c r="DK4438">
        <v>1</v>
      </c>
      <c r="DL4438">
        <v>0</v>
      </c>
      <c r="DM4438">
        <v>0</v>
      </c>
      <c r="DN4438">
        <v>1</v>
      </c>
      <c r="DO4438">
        <v>0</v>
      </c>
      <c r="DP4438">
        <v>0</v>
      </c>
      <c r="DQ4438">
        <v>0</v>
      </c>
      <c r="DR4438">
        <v>0</v>
      </c>
      <c r="DS4438">
        <v>0</v>
      </c>
    </row>
    <row r="4439" spans="1:123" x14ac:dyDescent="0.3">
      <c r="A4439" t="str">
        <f>"10/04/2022 19:37:28.729"</f>
        <v>10/04/2022 19:37:28.729</v>
      </c>
      <c r="C4439" t="str">
        <f t="shared" si="1627"/>
        <v>FFDFD3C0</v>
      </c>
      <c r="D4439" t="s">
        <v>141</v>
      </c>
      <c r="E4439">
        <v>3</v>
      </c>
      <c r="H4439">
        <v>3</v>
      </c>
      <c r="I4439" t="s">
        <v>146</v>
      </c>
      <c r="J4439" t="s">
        <v>138</v>
      </c>
      <c r="K4439">
        <v>0</v>
      </c>
      <c r="L4439">
        <v>3</v>
      </c>
      <c r="M4439">
        <v>0</v>
      </c>
      <c r="N4439">
        <v>2</v>
      </c>
      <c r="O4439">
        <v>0</v>
      </c>
      <c r="P4439">
        <v>1</v>
      </c>
      <c r="Q4439">
        <v>0</v>
      </c>
      <c r="S4439" t="str">
        <f t="shared" si="1639"/>
        <v>19:37:28.000</v>
      </c>
      <c r="T4439" t="str">
        <f t="shared" si="1639"/>
        <v>19:37:28.000</v>
      </c>
      <c r="U4439" t="str">
        <f t="shared" si="1633"/>
        <v>AC3944</v>
      </c>
      <c r="V4439">
        <v>0</v>
      </c>
      <c r="W4439">
        <v>0</v>
      </c>
      <c r="X4439">
        <v>2</v>
      </c>
      <c r="Y4439">
        <v>0</v>
      </c>
      <c r="AA4439">
        <v>1</v>
      </c>
      <c r="AB4439">
        <v>8</v>
      </c>
      <c r="AC4439">
        <v>3</v>
      </c>
      <c r="AD4439">
        <v>0</v>
      </c>
      <c r="AE4439">
        <v>9</v>
      </c>
      <c r="AF4439" t="s">
        <v>138</v>
      </c>
      <c r="AG4439">
        <v>0</v>
      </c>
      <c r="AH4439">
        <v>3</v>
      </c>
      <c r="AI4439">
        <v>1</v>
      </c>
      <c r="AJ4439">
        <v>0</v>
      </c>
      <c r="AK4439" t="s">
        <v>1401</v>
      </c>
      <c r="AL4439">
        <v>32.735438000000002</v>
      </c>
      <c r="AM4439" t="s">
        <v>1402</v>
      </c>
      <c r="AN4439">
        <v>-116.70726999999999</v>
      </c>
      <c r="AO4439">
        <v>25</v>
      </c>
      <c r="AP4439">
        <v>4900</v>
      </c>
      <c r="AQ4439" t="s">
        <v>129</v>
      </c>
      <c r="AR4439">
        <v>-145</v>
      </c>
      <c r="AS4439">
        <v>-79</v>
      </c>
      <c r="AT4439">
        <v>-320</v>
      </c>
      <c r="BB4439">
        <v>1200</v>
      </c>
      <c r="BC4439">
        <v>1</v>
      </c>
      <c r="BD4439" t="str">
        <f t="shared" si="1634"/>
        <v xml:space="preserve">N887QR  </v>
      </c>
      <c r="BE4439">
        <v>1</v>
      </c>
      <c r="BG4439">
        <v>0</v>
      </c>
      <c r="BH4439">
        <v>0</v>
      </c>
      <c r="BI4439">
        <v>0</v>
      </c>
      <c r="BJ4439">
        <v>4625</v>
      </c>
      <c r="BK4439">
        <v>-275</v>
      </c>
      <c r="BL4439" t="s">
        <v>163</v>
      </c>
      <c r="BM4439">
        <v>1</v>
      </c>
      <c r="BN4439">
        <v>1</v>
      </c>
      <c r="BO4439">
        <v>1</v>
      </c>
      <c r="BP4439">
        <v>0</v>
      </c>
      <c r="BS4439">
        <v>0</v>
      </c>
      <c r="BT4439">
        <v>0</v>
      </c>
      <c r="BU4439">
        <v>0</v>
      </c>
      <c r="CE4439" t="str">
        <f t="shared" si="1640"/>
        <v>19:37:28.427</v>
      </c>
      <c r="CF4439">
        <v>426707832</v>
      </c>
      <c r="CS4439">
        <v>0</v>
      </c>
      <c r="CT4439">
        <v>2</v>
      </c>
      <c r="CU4439">
        <v>0</v>
      </c>
      <c r="CV4439">
        <v>2</v>
      </c>
      <c r="CW4439">
        <v>0</v>
      </c>
      <c r="CX4439">
        <v>6</v>
      </c>
      <c r="CY4439">
        <v>7</v>
      </c>
      <c r="CZ4439" t="s">
        <v>131</v>
      </c>
      <c r="DA4439">
        <v>286</v>
      </c>
      <c r="DB4439">
        <v>0</v>
      </c>
      <c r="DC4439" t="s">
        <v>132</v>
      </c>
      <c r="DD4439" t="s">
        <v>133</v>
      </c>
      <c r="DG4439">
        <v>913669</v>
      </c>
      <c r="DI4439">
        <v>1</v>
      </c>
      <c r="DJ4439">
        <v>0</v>
      </c>
      <c r="DK4439">
        <v>1</v>
      </c>
      <c r="DL4439">
        <v>0</v>
      </c>
      <c r="DM4439">
        <v>0</v>
      </c>
      <c r="DN4439">
        <v>1</v>
      </c>
      <c r="DO4439">
        <v>0</v>
      </c>
      <c r="DP4439">
        <v>0</v>
      </c>
      <c r="DQ4439">
        <v>0</v>
      </c>
      <c r="DR4439">
        <v>0</v>
      </c>
      <c r="DS4439">
        <v>0</v>
      </c>
    </row>
    <row r="4440" spans="1:123" x14ac:dyDescent="0.3">
      <c r="A4440" t="str">
        <f>"10/04/2022 19:37:28.729"</f>
        <v>10/04/2022 19:37:28.729</v>
      </c>
      <c r="C4440" t="str">
        <f t="shared" si="1627"/>
        <v>FFDFD3C0</v>
      </c>
      <c r="D4440" t="s">
        <v>123</v>
      </c>
      <c r="E4440">
        <v>7</v>
      </c>
      <c r="F4440">
        <v>2007</v>
      </c>
      <c r="G4440" t="s">
        <v>124</v>
      </c>
      <c r="J4440" t="s">
        <v>125</v>
      </c>
      <c r="K4440">
        <v>0</v>
      </c>
      <c r="L4440">
        <v>3</v>
      </c>
      <c r="M4440">
        <v>0</v>
      </c>
      <c r="N4440">
        <v>2</v>
      </c>
      <c r="O4440">
        <v>0</v>
      </c>
      <c r="P4440">
        <v>1</v>
      </c>
      <c r="Q4440">
        <v>0</v>
      </c>
      <c r="S4440" t="str">
        <f t="shared" si="1639"/>
        <v>19:37:28.000</v>
      </c>
      <c r="T4440" t="str">
        <f t="shared" si="1639"/>
        <v>19:37:28.000</v>
      </c>
      <c r="U4440" t="str">
        <f t="shared" si="1633"/>
        <v>AC3944</v>
      </c>
      <c r="V4440">
        <v>0</v>
      </c>
      <c r="W4440">
        <v>0</v>
      </c>
      <c r="X4440">
        <v>2</v>
      </c>
      <c r="Y4440">
        <v>0</v>
      </c>
      <c r="AA4440">
        <v>1</v>
      </c>
      <c r="AB4440">
        <v>8</v>
      </c>
      <c r="AC4440">
        <v>3</v>
      </c>
      <c r="AD4440">
        <v>0</v>
      </c>
      <c r="AE4440">
        <v>9</v>
      </c>
      <c r="AF4440" t="s">
        <v>138</v>
      </c>
      <c r="AG4440">
        <v>0</v>
      </c>
      <c r="AH4440">
        <v>3</v>
      </c>
      <c r="AI4440">
        <v>1</v>
      </c>
      <c r="AJ4440">
        <v>0</v>
      </c>
      <c r="AK4440" t="s">
        <v>1401</v>
      </c>
      <c r="AL4440">
        <v>32.735438000000002</v>
      </c>
      <c r="AM4440" t="s">
        <v>1402</v>
      </c>
      <c r="AN4440">
        <v>-116.70726999999999</v>
      </c>
      <c r="AO4440">
        <v>25</v>
      </c>
      <c r="AP4440">
        <v>4900</v>
      </c>
      <c r="AQ4440" t="s">
        <v>129</v>
      </c>
      <c r="AR4440">
        <v>-145</v>
      </c>
      <c r="AS4440">
        <v>-79</v>
      </c>
      <c r="AT4440">
        <v>-320</v>
      </c>
      <c r="BB4440">
        <v>1200</v>
      </c>
      <c r="BC4440">
        <v>1</v>
      </c>
      <c r="BD4440" t="str">
        <f t="shared" si="1634"/>
        <v xml:space="preserve">N887QR  </v>
      </c>
      <c r="BE4440">
        <v>1</v>
      </c>
      <c r="BG4440">
        <v>0</v>
      </c>
      <c r="BH4440">
        <v>0</v>
      </c>
      <c r="BI4440">
        <v>0</v>
      </c>
      <c r="BJ4440">
        <v>4625</v>
      </c>
      <c r="BK4440">
        <v>-275</v>
      </c>
      <c r="BL4440" t="s">
        <v>163</v>
      </c>
      <c r="BM4440">
        <v>1</v>
      </c>
      <c r="BN4440">
        <v>1</v>
      </c>
      <c r="BO4440">
        <v>1</v>
      </c>
      <c r="BP4440">
        <v>0</v>
      </c>
      <c r="BS4440">
        <v>0</v>
      </c>
      <c r="BT4440">
        <v>0</v>
      </c>
      <c r="BU4440">
        <v>0</v>
      </c>
      <c r="CE4440" t="str">
        <f t="shared" si="1640"/>
        <v>19:37:28.427</v>
      </c>
      <c r="CF4440">
        <v>426707832</v>
      </c>
      <c r="CS4440">
        <v>0</v>
      </c>
      <c r="CT4440">
        <v>2</v>
      </c>
      <c r="CU4440">
        <v>0</v>
      </c>
      <c r="CV4440">
        <v>2</v>
      </c>
      <c r="CW4440">
        <v>0</v>
      </c>
      <c r="CX4440">
        <v>6</v>
      </c>
      <c r="CY4440">
        <v>7</v>
      </c>
      <c r="CZ4440" t="s">
        <v>131</v>
      </c>
      <c r="DA4440">
        <v>286</v>
      </c>
      <c r="DB4440">
        <v>0</v>
      </c>
      <c r="DC4440" t="s">
        <v>132</v>
      </c>
      <c r="DD4440" t="s">
        <v>133</v>
      </c>
      <c r="DG4440">
        <v>913669</v>
      </c>
      <c r="DI4440">
        <v>1</v>
      </c>
      <c r="DJ4440">
        <v>0</v>
      </c>
      <c r="DK4440">
        <v>1</v>
      </c>
      <c r="DL4440">
        <v>0</v>
      </c>
      <c r="DM4440">
        <v>0</v>
      </c>
      <c r="DN4440">
        <v>1</v>
      </c>
      <c r="DO4440">
        <v>0</v>
      </c>
      <c r="DP4440">
        <v>0</v>
      </c>
      <c r="DQ4440">
        <v>0</v>
      </c>
      <c r="DR4440">
        <v>0</v>
      </c>
      <c r="DS4440">
        <v>0</v>
      </c>
    </row>
    <row r="4441" spans="1:123" x14ac:dyDescent="0.3">
      <c r="A4441" t="str">
        <f>"10/04/2022 19:37:28.729"</f>
        <v>10/04/2022 19:37:28.729</v>
      </c>
      <c r="C4441" t="str">
        <f t="shared" si="1627"/>
        <v>FFDFD3C0</v>
      </c>
      <c r="D4441" t="s">
        <v>141</v>
      </c>
      <c r="E4441">
        <v>4</v>
      </c>
      <c r="H4441">
        <v>4</v>
      </c>
      <c r="I4441" t="s">
        <v>142</v>
      </c>
      <c r="J4441" t="s">
        <v>138</v>
      </c>
      <c r="K4441">
        <v>0</v>
      </c>
      <c r="L4441">
        <v>3</v>
      </c>
      <c r="M4441">
        <v>0</v>
      </c>
      <c r="N4441">
        <v>2</v>
      </c>
      <c r="O4441">
        <v>0</v>
      </c>
      <c r="P4441">
        <v>1</v>
      </c>
      <c r="Q4441">
        <v>0</v>
      </c>
      <c r="S4441" t="str">
        <f t="shared" si="1639"/>
        <v>19:37:28.000</v>
      </c>
      <c r="T4441" t="str">
        <f t="shared" si="1639"/>
        <v>19:37:28.000</v>
      </c>
      <c r="U4441" t="str">
        <f t="shared" si="1633"/>
        <v>AC3944</v>
      </c>
      <c r="V4441">
        <v>0</v>
      </c>
      <c r="W4441">
        <v>0</v>
      </c>
      <c r="X4441">
        <v>2</v>
      </c>
      <c r="Y4441">
        <v>0</v>
      </c>
      <c r="AA4441">
        <v>1</v>
      </c>
      <c r="AB4441">
        <v>8</v>
      </c>
      <c r="AC4441">
        <v>3</v>
      </c>
      <c r="AD4441">
        <v>0</v>
      </c>
      <c r="AE4441">
        <v>9</v>
      </c>
      <c r="AF4441" t="s">
        <v>138</v>
      </c>
      <c r="AG4441">
        <v>0</v>
      </c>
      <c r="AH4441">
        <v>3</v>
      </c>
      <c r="AI4441">
        <v>1</v>
      </c>
      <c r="AJ4441">
        <v>0</v>
      </c>
      <c r="AK4441" t="s">
        <v>1401</v>
      </c>
      <c r="AL4441">
        <v>32.735438000000002</v>
      </c>
      <c r="AM4441" t="s">
        <v>1402</v>
      </c>
      <c r="AN4441">
        <v>-116.70726999999999</v>
      </c>
      <c r="AO4441">
        <v>25</v>
      </c>
      <c r="AP4441">
        <v>4900</v>
      </c>
      <c r="AQ4441" t="s">
        <v>129</v>
      </c>
      <c r="AR4441">
        <v>-145</v>
      </c>
      <c r="AS4441">
        <v>-79</v>
      </c>
      <c r="AT4441">
        <v>-320</v>
      </c>
      <c r="BB4441">
        <v>1200</v>
      </c>
      <c r="BC4441">
        <v>1</v>
      </c>
      <c r="BD4441" t="str">
        <f t="shared" si="1634"/>
        <v xml:space="preserve">N887QR  </v>
      </c>
      <c r="BE4441">
        <v>1</v>
      </c>
      <c r="BG4441">
        <v>0</v>
      </c>
      <c r="BH4441">
        <v>0</v>
      </c>
      <c r="BI4441">
        <v>0</v>
      </c>
      <c r="BJ4441">
        <v>4625</v>
      </c>
      <c r="BK4441">
        <v>-275</v>
      </c>
      <c r="BL4441" t="s">
        <v>163</v>
      </c>
      <c r="BM4441">
        <v>1</v>
      </c>
      <c r="BN4441">
        <v>1</v>
      </c>
      <c r="BO4441">
        <v>1</v>
      </c>
      <c r="BP4441">
        <v>0</v>
      </c>
      <c r="BS4441">
        <v>0</v>
      </c>
      <c r="BT4441">
        <v>0</v>
      </c>
      <c r="BU4441">
        <v>0</v>
      </c>
      <c r="CE4441" t="str">
        <f t="shared" si="1640"/>
        <v>19:37:28.427</v>
      </c>
      <c r="CF4441">
        <v>426707832</v>
      </c>
      <c r="CS4441">
        <v>0</v>
      </c>
      <c r="CT4441">
        <v>2</v>
      </c>
      <c r="CU4441">
        <v>0</v>
      </c>
      <c r="CV4441">
        <v>2</v>
      </c>
      <c r="CW4441">
        <v>0</v>
      </c>
      <c r="CX4441">
        <v>6</v>
      </c>
      <c r="CY4441">
        <v>7</v>
      </c>
      <c r="CZ4441" t="s">
        <v>131</v>
      </c>
      <c r="DA4441">
        <v>286</v>
      </c>
      <c r="DB4441">
        <v>0</v>
      </c>
      <c r="DC4441" t="s">
        <v>132</v>
      </c>
      <c r="DD4441" t="s">
        <v>133</v>
      </c>
      <c r="DG4441">
        <v>913669</v>
      </c>
      <c r="DI4441">
        <v>1</v>
      </c>
      <c r="DJ4441">
        <v>0</v>
      </c>
      <c r="DK4441">
        <v>1</v>
      </c>
      <c r="DL4441">
        <v>0</v>
      </c>
      <c r="DM4441">
        <v>0</v>
      </c>
      <c r="DN4441">
        <v>1</v>
      </c>
      <c r="DO4441">
        <v>0</v>
      </c>
      <c r="DP4441">
        <v>0</v>
      </c>
      <c r="DQ4441">
        <v>0</v>
      </c>
      <c r="DR4441">
        <v>0</v>
      </c>
      <c r="DS4441">
        <v>0</v>
      </c>
    </row>
    <row r="4442" spans="1:123" x14ac:dyDescent="0.3">
      <c r="A4442" t="str">
        <f>"10/04/2022 19:37:28.729"</f>
        <v>10/04/2022 19:37:28.729</v>
      </c>
      <c r="C4442" t="str">
        <f t="shared" si="1627"/>
        <v>FFDFD3C0</v>
      </c>
      <c r="D4442" t="s">
        <v>147</v>
      </c>
      <c r="E4442">
        <v>3</v>
      </c>
      <c r="H4442">
        <v>166</v>
      </c>
      <c r="I4442" t="s">
        <v>144</v>
      </c>
      <c r="J4442" t="s">
        <v>148</v>
      </c>
      <c r="K4442">
        <v>0</v>
      </c>
      <c r="L4442">
        <v>3</v>
      </c>
      <c r="M4442">
        <v>0</v>
      </c>
      <c r="N4442">
        <v>2</v>
      </c>
      <c r="O4442">
        <v>0</v>
      </c>
      <c r="P4442">
        <v>1</v>
      </c>
      <c r="Q4442">
        <v>0</v>
      </c>
      <c r="S4442" t="str">
        <f t="shared" si="1639"/>
        <v>19:37:28.000</v>
      </c>
      <c r="T4442" t="str">
        <f t="shared" si="1639"/>
        <v>19:37:28.000</v>
      </c>
      <c r="U4442" t="str">
        <f t="shared" si="1633"/>
        <v>AC3944</v>
      </c>
      <c r="V4442">
        <v>0</v>
      </c>
      <c r="W4442">
        <v>0</v>
      </c>
      <c r="X4442">
        <v>2</v>
      </c>
      <c r="Y4442">
        <v>0</v>
      </c>
      <c r="AA4442">
        <v>1</v>
      </c>
      <c r="AB4442">
        <v>8</v>
      </c>
      <c r="AC4442">
        <v>3</v>
      </c>
      <c r="AD4442">
        <v>0</v>
      </c>
      <c r="AE4442">
        <v>9</v>
      </c>
      <c r="AF4442" t="s">
        <v>138</v>
      </c>
      <c r="AG4442">
        <v>0</v>
      </c>
      <c r="AH4442">
        <v>3</v>
      </c>
      <c r="AI4442">
        <v>1</v>
      </c>
      <c r="AJ4442">
        <v>0</v>
      </c>
      <c r="AK4442" t="s">
        <v>1401</v>
      </c>
      <c r="AL4442">
        <v>32.735438000000002</v>
      </c>
      <c r="AM4442" t="s">
        <v>1402</v>
      </c>
      <c r="AN4442">
        <v>-116.70726999999999</v>
      </c>
      <c r="AO4442">
        <v>25</v>
      </c>
      <c r="AP4442">
        <v>4900</v>
      </c>
      <c r="AQ4442" t="s">
        <v>129</v>
      </c>
      <c r="AR4442">
        <v>-145</v>
      </c>
      <c r="AS4442">
        <v>-79</v>
      </c>
      <c r="AT4442">
        <v>-320</v>
      </c>
      <c r="BB4442">
        <v>1200</v>
      </c>
      <c r="BC4442">
        <v>1</v>
      </c>
      <c r="BD4442" t="str">
        <f t="shared" si="1634"/>
        <v xml:space="preserve">N887QR  </v>
      </c>
      <c r="BE4442">
        <v>1</v>
      </c>
      <c r="BG4442">
        <v>0</v>
      </c>
      <c r="BH4442">
        <v>0</v>
      </c>
      <c r="BI4442">
        <v>0</v>
      </c>
      <c r="BJ4442">
        <v>4625</v>
      </c>
      <c r="BK4442">
        <v>-275</v>
      </c>
      <c r="BL4442" t="s">
        <v>163</v>
      </c>
      <c r="BM4442">
        <v>1</v>
      </c>
      <c r="BN4442">
        <v>1</v>
      </c>
      <c r="BO4442">
        <v>1</v>
      </c>
      <c r="BP4442">
        <v>0</v>
      </c>
      <c r="BS4442">
        <v>0</v>
      </c>
      <c r="BT4442">
        <v>0</v>
      </c>
      <c r="BU4442">
        <v>0</v>
      </c>
      <c r="CE4442" t="str">
        <f t="shared" si="1640"/>
        <v>19:37:28.427</v>
      </c>
      <c r="CF4442">
        <v>426707832</v>
      </c>
      <c r="CS4442">
        <v>0</v>
      </c>
      <c r="CT4442">
        <v>2</v>
      </c>
      <c r="CU4442">
        <v>0</v>
      </c>
      <c r="CV4442">
        <v>2</v>
      </c>
      <c r="CW4442">
        <v>0</v>
      </c>
      <c r="CX4442">
        <v>6</v>
      </c>
      <c r="CY4442">
        <v>7</v>
      </c>
      <c r="CZ4442" t="s">
        <v>131</v>
      </c>
      <c r="DA4442">
        <v>286</v>
      </c>
      <c r="DB4442">
        <v>0</v>
      </c>
      <c r="DC4442" t="s">
        <v>132</v>
      </c>
      <c r="DD4442" t="s">
        <v>133</v>
      </c>
      <c r="DG4442">
        <v>913669</v>
      </c>
      <c r="DI4442">
        <v>1</v>
      </c>
      <c r="DJ4442">
        <v>0</v>
      </c>
      <c r="DK4442">
        <v>0</v>
      </c>
      <c r="DL4442">
        <v>0</v>
      </c>
      <c r="DM4442">
        <v>0</v>
      </c>
      <c r="DN4442">
        <v>1</v>
      </c>
      <c r="DO4442">
        <v>0</v>
      </c>
      <c r="DP4442">
        <v>0</v>
      </c>
      <c r="DQ4442">
        <v>0</v>
      </c>
      <c r="DR4442">
        <v>0</v>
      </c>
      <c r="DS4442">
        <v>0</v>
      </c>
    </row>
    <row r="4443" spans="1:123" x14ac:dyDescent="0.3">
      <c r="A4443" t="str">
        <f t="shared" ref="A4443:A4448" si="1641">"10/04/2022 19:37:29.276"</f>
        <v>10/04/2022 19:37:29.276</v>
      </c>
      <c r="C4443" t="str">
        <f t="shared" si="1627"/>
        <v>FFDFD3C0</v>
      </c>
      <c r="D4443" t="s">
        <v>136</v>
      </c>
      <c r="E4443">
        <v>8</v>
      </c>
      <c r="H4443">
        <v>225</v>
      </c>
      <c r="I4443" t="s">
        <v>137</v>
      </c>
      <c r="J4443" t="s">
        <v>138</v>
      </c>
      <c r="K4443">
        <v>0</v>
      </c>
      <c r="L4443">
        <v>3</v>
      </c>
      <c r="M4443">
        <v>0</v>
      </c>
      <c r="N4443">
        <v>2</v>
      </c>
      <c r="O4443">
        <v>0</v>
      </c>
      <c r="P4443">
        <v>1</v>
      </c>
      <c r="Q4443">
        <v>0</v>
      </c>
      <c r="S4443" t="str">
        <f t="shared" si="1639"/>
        <v>19:37:28.000</v>
      </c>
      <c r="T4443" t="str">
        <f t="shared" si="1639"/>
        <v>19:37:28.000</v>
      </c>
      <c r="U4443" t="str">
        <f t="shared" si="1633"/>
        <v>AC3944</v>
      </c>
      <c r="V4443">
        <v>0</v>
      </c>
      <c r="W4443">
        <v>0</v>
      </c>
      <c r="X4443">
        <v>2</v>
      </c>
      <c r="Y4443">
        <v>0</v>
      </c>
      <c r="AA4443">
        <v>1</v>
      </c>
      <c r="AB4443">
        <v>8</v>
      </c>
      <c r="AC4443">
        <v>3</v>
      </c>
      <c r="AD4443">
        <v>0</v>
      </c>
      <c r="AE4443">
        <v>9</v>
      </c>
      <c r="AF4443" t="s">
        <v>138</v>
      </c>
      <c r="AG4443">
        <v>0</v>
      </c>
      <c r="AH4443">
        <v>3</v>
      </c>
      <c r="AI4443">
        <v>1</v>
      </c>
      <c r="AJ4443">
        <v>0</v>
      </c>
      <c r="AK4443" t="s">
        <v>946</v>
      </c>
      <c r="AL4443">
        <v>32.735073999999997</v>
      </c>
      <c r="AM4443" t="s">
        <v>1403</v>
      </c>
      <c r="AN4443">
        <v>-116.70808599999999</v>
      </c>
      <c r="AO4443">
        <v>25</v>
      </c>
      <c r="AP4443">
        <v>4900</v>
      </c>
      <c r="AQ4443" t="s">
        <v>129</v>
      </c>
      <c r="AR4443">
        <v>-146</v>
      </c>
      <c r="AS4443">
        <v>-78</v>
      </c>
      <c r="AT4443">
        <v>-320</v>
      </c>
      <c r="BB4443">
        <v>1200</v>
      </c>
      <c r="BC4443">
        <v>1</v>
      </c>
      <c r="BD4443" t="str">
        <f t="shared" si="1634"/>
        <v xml:space="preserve">N887QR  </v>
      </c>
      <c r="BE4443">
        <v>1</v>
      </c>
      <c r="BG4443">
        <v>0</v>
      </c>
      <c r="BH4443">
        <v>0</v>
      </c>
      <c r="BI4443">
        <v>0</v>
      </c>
      <c r="BJ4443">
        <v>4625</v>
      </c>
      <c r="BK4443">
        <v>-275</v>
      </c>
      <c r="BL4443" t="s">
        <v>163</v>
      </c>
      <c r="BM4443">
        <v>1</v>
      </c>
      <c r="BN4443">
        <v>1</v>
      </c>
      <c r="BO4443">
        <v>1</v>
      </c>
      <c r="BP4443">
        <v>0</v>
      </c>
      <c r="BS4443">
        <v>0</v>
      </c>
      <c r="BT4443">
        <v>0</v>
      </c>
      <c r="BU4443">
        <v>0</v>
      </c>
      <c r="CE4443" t="str">
        <f t="shared" ref="CE4443:CE4448" si="1642">"19:37:28.890"</f>
        <v>19:37:28.890</v>
      </c>
      <c r="CF4443">
        <v>889959220</v>
      </c>
      <c r="CS4443">
        <v>0</v>
      </c>
      <c r="CT4443">
        <v>2</v>
      </c>
      <c r="CU4443">
        <v>0</v>
      </c>
      <c r="CV4443">
        <v>2</v>
      </c>
      <c r="CW4443">
        <v>0</v>
      </c>
      <c r="CX4443">
        <v>6</v>
      </c>
      <c r="CY4443">
        <v>7</v>
      </c>
      <c r="CZ4443" t="s">
        <v>131</v>
      </c>
      <c r="DA4443">
        <v>286</v>
      </c>
      <c r="DB4443">
        <v>0</v>
      </c>
      <c r="DC4443" t="s">
        <v>132</v>
      </c>
      <c r="DD4443" t="s">
        <v>133</v>
      </c>
      <c r="DG4443">
        <v>913810</v>
      </c>
      <c r="DI4443">
        <v>1</v>
      </c>
      <c r="DJ4443">
        <v>0</v>
      </c>
      <c r="DK4443">
        <v>0</v>
      </c>
      <c r="DL4443">
        <v>0</v>
      </c>
      <c r="DM4443">
        <v>0</v>
      </c>
      <c r="DN4443">
        <v>1</v>
      </c>
      <c r="DO4443">
        <v>0</v>
      </c>
      <c r="DP4443">
        <v>0</v>
      </c>
      <c r="DQ4443">
        <v>0</v>
      </c>
      <c r="DR4443">
        <v>0</v>
      </c>
      <c r="DS4443">
        <v>0</v>
      </c>
    </row>
    <row r="4444" spans="1:123" x14ac:dyDescent="0.3">
      <c r="A4444" t="str">
        <f t="shared" si="1641"/>
        <v>10/04/2022 19:37:29.276</v>
      </c>
      <c r="C4444" t="str">
        <f t="shared" si="1627"/>
        <v>FFDFD3C0</v>
      </c>
      <c r="D4444" t="s">
        <v>143</v>
      </c>
      <c r="E4444">
        <v>20</v>
      </c>
      <c r="F4444">
        <v>1020</v>
      </c>
      <c r="G4444" t="s">
        <v>144</v>
      </c>
      <c r="J4444" t="s">
        <v>145</v>
      </c>
      <c r="K4444">
        <v>0</v>
      </c>
      <c r="L4444">
        <v>3</v>
      </c>
      <c r="M4444">
        <v>0</v>
      </c>
      <c r="N4444">
        <v>2</v>
      </c>
      <c r="O4444">
        <v>0</v>
      </c>
      <c r="P4444">
        <v>1</v>
      </c>
      <c r="Q4444">
        <v>0</v>
      </c>
      <c r="S4444" t="str">
        <f t="shared" si="1639"/>
        <v>19:37:28.000</v>
      </c>
      <c r="T4444" t="str">
        <f t="shared" si="1639"/>
        <v>19:37:28.000</v>
      </c>
      <c r="U4444" t="str">
        <f t="shared" si="1633"/>
        <v>AC3944</v>
      </c>
      <c r="V4444">
        <v>0</v>
      </c>
      <c r="W4444">
        <v>0</v>
      </c>
      <c r="X4444">
        <v>2</v>
      </c>
      <c r="Y4444">
        <v>0</v>
      </c>
      <c r="AA4444">
        <v>1</v>
      </c>
      <c r="AB4444">
        <v>8</v>
      </c>
      <c r="AC4444">
        <v>3</v>
      </c>
      <c r="AD4444">
        <v>0</v>
      </c>
      <c r="AE4444">
        <v>9</v>
      </c>
      <c r="AF4444" t="s">
        <v>138</v>
      </c>
      <c r="AG4444">
        <v>0</v>
      </c>
      <c r="AH4444">
        <v>3</v>
      </c>
      <c r="AI4444">
        <v>1</v>
      </c>
      <c r="AJ4444">
        <v>0</v>
      </c>
      <c r="AK4444" t="s">
        <v>946</v>
      </c>
      <c r="AL4444">
        <v>32.735073999999997</v>
      </c>
      <c r="AM4444" t="s">
        <v>1403</v>
      </c>
      <c r="AN4444">
        <v>-116.70808599999999</v>
      </c>
      <c r="AO4444">
        <v>25</v>
      </c>
      <c r="AP4444">
        <v>4900</v>
      </c>
      <c r="AQ4444" t="s">
        <v>129</v>
      </c>
      <c r="AR4444">
        <v>-146</v>
      </c>
      <c r="AS4444">
        <v>-78</v>
      </c>
      <c r="AT4444">
        <v>-320</v>
      </c>
      <c r="BB4444">
        <v>1200</v>
      </c>
      <c r="BC4444">
        <v>1</v>
      </c>
      <c r="BD4444" t="str">
        <f t="shared" si="1634"/>
        <v xml:space="preserve">N887QR  </v>
      </c>
      <c r="BE4444">
        <v>1</v>
      </c>
      <c r="BG4444">
        <v>0</v>
      </c>
      <c r="BH4444">
        <v>0</v>
      </c>
      <c r="BI4444">
        <v>0</v>
      </c>
      <c r="BJ4444">
        <v>4625</v>
      </c>
      <c r="BK4444">
        <v>-275</v>
      </c>
      <c r="BL4444" t="s">
        <v>163</v>
      </c>
      <c r="BM4444">
        <v>1</v>
      </c>
      <c r="BN4444">
        <v>1</v>
      </c>
      <c r="BO4444">
        <v>1</v>
      </c>
      <c r="BP4444">
        <v>0</v>
      </c>
      <c r="BS4444">
        <v>0</v>
      </c>
      <c r="BT4444">
        <v>0</v>
      </c>
      <c r="BU4444">
        <v>0</v>
      </c>
      <c r="CE4444" t="str">
        <f t="shared" si="1642"/>
        <v>19:37:28.890</v>
      </c>
      <c r="CF4444">
        <v>889959220</v>
      </c>
      <c r="CS4444">
        <v>0</v>
      </c>
      <c r="CT4444">
        <v>2</v>
      </c>
      <c r="CU4444">
        <v>0</v>
      </c>
      <c r="CV4444">
        <v>2</v>
      </c>
      <c r="CW4444">
        <v>0</v>
      </c>
      <c r="CX4444">
        <v>6</v>
      </c>
      <c r="CY4444">
        <v>7</v>
      </c>
      <c r="CZ4444" t="s">
        <v>131</v>
      </c>
      <c r="DA4444">
        <v>286</v>
      </c>
      <c r="DB4444">
        <v>0</v>
      </c>
      <c r="DC4444" t="s">
        <v>132</v>
      </c>
      <c r="DD4444" t="s">
        <v>133</v>
      </c>
      <c r="DG4444">
        <v>913810</v>
      </c>
      <c r="DI4444">
        <v>1</v>
      </c>
      <c r="DJ4444">
        <v>0</v>
      </c>
      <c r="DK4444">
        <v>0</v>
      </c>
      <c r="DL4444">
        <v>0</v>
      </c>
      <c r="DM4444">
        <v>0</v>
      </c>
      <c r="DN4444">
        <v>1</v>
      </c>
      <c r="DO4444">
        <v>0</v>
      </c>
      <c r="DP4444">
        <v>0</v>
      </c>
      <c r="DQ4444">
        <v>0</v>
      </c>
      <c r="DR4444">
        <v>0</v>
      </c>
      <c r="DS4444">
        <v>0</v>
      </c>
    </row>
    <row r="4445" spans="1:123" x14ac:dyDescent="0.3">
      <c r="A4445" t="str">
        <f t="shared" si="1641"/>
        <v>10/04/2022 19:37:29.276</v>
      </c>
      <c r="C4445" t="str">
        <f t="shared" si="1627"/>
        <v>FFDFD3C0</v>
      </c>
      <c r="D4445" t="s">
        <v>141</v>
      </c>
      <c r="E4445">
        <v>3</v>
      </c>
      <c r="H4445">
        <v>3</v>
      </c>
      <c r="I4445" t="s">
        <v>146</v>
      </c>
      <c r="J4445" t="s">
        <v>138</v>
      </c>
      <c r="K4445">
        <v>0</v>
      </c>
      <c r="L4445">
        <v>3</v>
      </c>
      <c r="M4445">
        <v>0</v>
      </c>
      <c r="N4445">
        <v>2</v>
      </c>
      <c r="O4445">
        <v>0</v>
      </c>
      <c r="P4445">
        <v>1</v>
      </c>
      <c r="Q4445">
        <v>0</v>
      </c>
      <c r="S4445" t="str">
        <f t="shared" si="1639"/>
        <v>19:37:28.000</v>
      </c>
      <c r="T4445" t="str">
        <f t="shared" si="1639"/>
        <v>19:37:28.000</v>
      </c>
      <c r="U4445" t="str">
        <f t="shared" si="1633"/>
        <v>AC3944</v>
      </c>
      <c r="V4445">
        <v>0</v>
      </c>
      <c r="W4445">
        <v>0</v>
      </c>
      <c r="X4445">
        <v>2</v>
      </c>
      <c r="Y4445">
        <v>0</v>
      </c>
      <c r="AA4445">
        <v>1</v>
      </c>
      <c r="AB4445">
        <v>8</v>
      </c>
      <c r="AC4445">
        <v>3</v>
      </c>
      <c r="AD4445">
        <v>0</v>
      </c>
      <c r="AE4445">
        <v>9</v>
      </c>
      <c r="AF4445" t="s">
        <v>138</v>
      </c>
      <c r="AG4445">
        <v>0</v>
      </c>
      <c r="AH4445">
        <v>3</v>
      </c>
      <c r="AI4445">
        <v>1</v>
      </c>
      <c r="AJ4445">
        <v>0</v>
      </c>
      <c r="AK4445" t="s">
        <v>946</v>
      </c>
      <c r="AL4445">
        <v>32.735073999999997</v>
      </c>
      <c r="AM4445" t="s">
        <v>1403</v>
      </c>
      <c r="AN4445">
        <v>-116.70808599999999</v>
      </c>
      <c r="AO4445">
        <v>25</v>
      </c>
      <c r="AP4445">
        <v>4900</v>
      </c>
      <c r="AQ4445" t="s">
        <v>129</v>
      </c>
      <c r="AR4445">
        <v>-146</v>
      </c>
      <c r="AS4445">
        <v>-78</v>
      </c>
      <c r="AT4445">
        <v>-320</v>
      </c>
      <c r="BB4445">
        <v>1200</v>
      </c>
      <c r="BC4445">
        <v>1</v>
      </c>
      <c r="BD4445" t="str">
        <f t="shared" si="1634"/>
        <v xml:space="preserve">N887QR  </v>
      </c>
      <c r="BE4445">
        <v>1</v>
      </c>
      <c r="BG4445">
        <v>0</v>
      </c>
      <c r="BH4445">
        <v>0</v>
      </c>
      <c r="BI4445">
        <v>0</v>
      </c>
      <c r="BJ4445">
        <v>4625</v>
      </c>
      <c r="BK4445">
        <v>-275</v>
      </c>
      <c r="BL4445" t="s">
        <v>163</v>
      </c>
      <c r="BM4445">
        <v>1</v>
      </c>
      <c r="BN4445">
        <v>1</v>
      </c>
      <c r="BO4445">
        <v>1</v>
      </c>
      <c r="BP4445">
        <v>0</v>
      </c>
      <c r="BS4445">
        <v>0</v>
      </c>
      <c r="BT4445">
        <v>0</v>
      </c>
      <c r="BU4445">
        <v>0</v>
      </c>
      <c r="CE4445" t="str">
        <f t="shared" si="1642"/>
        <v>19:37:28.890</v>
      </c>
      <c r="CF4445">
        <v>889959220</v>
      </c>
      <c r="CS4445">
        <v>0</v>
      </c>
      <c r="CT4445">
        <v>2</v>
      </c>
      <c r="CU4445">
        <v>0</v>
      </c>
      <c r="CV4445">
        <v>2</v>
      </c>
      <c r="CW4445">
        <v>0</v>
      </c>
      <c r="CX4445">
        <v>6</v>
      </c>
      <c r="CY4445">
        <v>7</v>
      </c>
      <c r="CZ4445" t="s">
        <v>131</v>
      </c>
      <c r="DA4445">
        <v>286</v>
      </c>
      <c r="DB4445">
        <v>0</v>
      </c>
      <c r="DC4445" t="s">
        <v>132</v>
      </c>
      <c r="DD4445" t="s">
        <v>133</v>
      </c>
      <c r="DG4445">
        <v>913810</v>
      </c>
      <c r="DI4445">
        <v>1</v>
      </c>
      <c r="DJ4445">
        <v>0</v>
      </c>
      <c r="DK4445">
        <v>1</v>
      </c>
      <c r="DL4445">
        <v>0</v>
      </c>
      <c r="DM4445">
        <v>0</v>
      </c>
      <c r="DN4445">
        <v>1</v>
      </c>
      <c r="DO4445">
        <v>0</v>
      </c>
      <c r="DP4445">
        <v>0</v>
      </c>
      <c r="DQ4445">
        <v>0</v>
      </c>
      <c r="DR4445">
        <v>0</v>
      </c>
      <c r="DS4445">
        <v>0</v>
      </c>
    </row>
    <row r="4446" spans="1:123" x14ac:dyDescent="0.3">
      <c r="A4446" t="str">
        <f t="shared" si="1641"/>
        <v>10/04/2022 19:37:29.276</v>
      </c>
      <c r="C4446" t="str">
        <f t="shared" si="1627"/>
        <v>FFDFD3C0</v>
      </c>
      <c r="D4446" t="s">
        <v>134</v>
      </c>
      <c r="E4446">
        <v>15</v>
      </c>
      <c r="J4446" t="s">
        <v>135</v>
      </c>
      <c r="K4446">
        <v>0</v>
      </c>
      <c r="L4446">
        <v>3</v>
      </c>
      <c r="M4446">
        <v>0</v>
      </c>
      <c r="N4446">
        <v>2</v>
      </c>
      <c r="O4446">
        <v>0</v>
      </c>
      <c r="P4446">
        <v>1</v>
      </c>
      <c r="Q4446">
        <v>0</v>
      </c>
      <c r="S4446" t="str">
        <f t="shared" si="1639"/>
        <v>19:37:28.000</v>
      </c>
      <c r="T4446" t="str">
        <f t="shared" si="1639"/>
        <v>19:37:28.000</v>
      </c>
      <c r="U4446" t="str">
        <f t="shared" si="1633"/>
        <v>AC3944</v>
      </c>
      <c r="V4446">
        <v>0</v>
      </c>
      <c r="W4446">
        <v>0</v>
      </c>
      <c r="X4446">
        <v>2</v>
      </c>
      <c r="Y4446">
        <v>0</v>
      </c>
      <c r="AA4446">
        <v>1</v>
      </c>
      <c r="AB4446">
        <v>8</v>
      </c>
      <c r="AC4446">
        <v>3</v>
      </c>
      <c r="AD4446">
        <v>0</v>
      </c>
      <c r="AE4446">
        <v>9</v>
      </c>
      <c r="AF4446" t="s">
        <v>138</v>
      </c>
      <c r="AG4446">
        <v>0</v>
      </c>
      <c r="AH4446">
        <v>3</v>
      </c>
      <c r="AI4446">
        <v>1</v>
      </c>
      <c r="AJ4446">
        <v>0</v>
      </c>
      <c r="AK4446" t="s">
        <v>946</v>
      </c>
      <c r="AL4446">
        <v>32.735073999999997</v>
      </c>
      <c r="AM4446" t="s">
        <v>1403</v>
      </c>
      <c r="AN4446">
        <v>-116.70808599999999</v>
      </c>
      <c r="AO4446">
        <v>25</v>
      </c>
      <c r="AP4446">
        <v>4900</v>
      </c>
      <c r="AQ4446" t="s">
        <v>129</v>
      </c>
      <c r="AR4446">
        <v>-146</v>
      </c>
      <c r="AS4446">
        <v>-78</v>
      </c>
      <c r="AT4446">
        <v>-320</v>
      </c>
      <c r="BB4446">
        <v>1200</v>
      </c>
      <c r="BC4446">
        <v>1</v>
      </c>
      <c r="BD4446" t="str">
        <f t="shared" si="1634"/>
        <v xml:space="preserve">N887QR  </v>
      </c>
      <c r="BE4446">
        <v>1</v>
      </c>
      <c r="BG4446">
        <v>0</v>
      </c>
      <c r="BH4446">
        <v>0</v>
      </c>
      <c r="BI4446">
        <v>0</v>
      </c>
      <c r="BJ4446">
        <v>4625</v>
      </c>
      <c r="BK4446">
        <v>-275</v>
      </c>
      <c r="BL4446" t="s">
        <v>163</v>
      </c>
      <c r="BM4446">
        <v>1</v>
      </c>
      <c r="BN4446">
        <v>1</v>
      </c>
      <c r="BO4446">
        <v>1</v>
      </c>
      <c r="BP4446">
        <v>0</v>
      </c>
      <c r="BS4446">
        <v>0</v>
      </c>
      <c r="BT4446">
        <v>0</v>
      </c>
      <c r="BU4446">
        <v>0</v>
      </c>
      <c r="CE4446" t="str">
        <f t="shared" si="1642"/>
        <v>19:37:28.890</v>
      </c>
      <c r="CF4446">
        <v>889959220</v>
      </c>
      <c r="CS4446">
        <v>0</v>
      </c>
      <c r="CT4446">
        <v>2</v>
      </c>
      <c r="CU4446">
        <v>0</v>
      </c>
      <c r="CV4446">
        <v>2</v>
      </c>
      <c r="CW4446">
        <v>0</v>
      </c>
      <c r="CX4446">
        <v>6</v>
      </c>
      <c r="CY4446">
        <v>7</v>
      </c>
      <c r="CZ4446" t="s">
        <v>131</v>
      </c>
      <c r="DA4446">
        <v>286</v>
      </c>
      <c r="DB4446">
        <v>0</v>
      </c>
      <c r="DC4446" t="s">
        <v>132</v>
      </c>
      <c r="DD4446" t="s">
        <v>133</v>
      </c>
      <c r="DG4446">
        <v>913810</v>
      </c>
      <c r="DI4446">
        <v>1</v>
      </c>
      <c r="DJ4446">
        <v>0</v>
      </c>
      <c r="DK4446">
        <v>1</v>
      </c>
      <c r="DL4446">
        <v>0</v>
      </c>
      <c r="DM4446">
        <v>0</v>
      </c>
      <c r="DN4446">
        <v>1</v>
      </c>
      <c r="DO4446">
        <v>0</v>
      </c>
      <c r="DP4446">
        <v>0</v>
      </c>
      <c r="DQ4446">
        <v>0</v>
      </c>
      <c r="DR4446">
        <v>0</v>
      </c>
      <c r="DS4446">
        <v>0</v>
      </c>
    </row>
    <row r="4447" spans="1:123" x14ac:dyDescent="0.3">
      <c r="A4447" t="str">
        <f t="shared" si="1641"/>
        <v>10/04/2022 19:37:29.276</v>
      </c>
      <c r="C4447" t="str">
        <f t="shared" si="1627"/>
        <v>FFDFD3C0</v>
      </c>
      <c r="D4447" t="s">
        <v>123</v>
      </c>
      <c r="E4447">
        <v>7</v>
      </c>
      <c r="F4447">
        <v>2007</v>
      </c>
      <c r="G4447" t="s">
        <v>124</v>
      </c>
      <c r="J4447" t="s">
        <v>125</v>
      </c>
      <c r="K4447">
        <v>0</v>
      </c>
      <c r="L4447">
        <v>3</v>
      </c>
      <c r="M4447">
        <v>0</v>
      </c>
      <c r="N4447">
        <v>2</v>
      </c>
      <c r="O4447">
        <v>0</v>
      </c>
      <c r="P4447">
        <v>1</v>
      </c>
      <c r="Q4447">
        <v>0</v>
      </c>
      <c r="S4447" t="str">
        <f t="shared" si="1639"/>
        <v>19:37:28.000</v>
      </c>
      <c r="T4447" t="str">
        <f t="shared" si="1639"/>
        <v>19:37:28.000</v>
      </c>
      <c r="U4447" t="str">
        <f t="shared" si="1633"/>
        <v>AC3944</v>
      </c>
      <c r="V4447">
        <v>0</v>
      </c>
      <c r="W4447">
        <v>0</v>
      </c>
      <c r="X4447">
        <v>2</v>
      </c>
      <c r="Y4447">
        <v>0</v>
      </c>
      <c r="AA4447">
        <v>1</v>
      </c>
      <c r="AB4447">
        <v>8</v>
      </c>
      <c r="AC4447">
        <v>3</v>
      </c>
      <c r="AD4447">
        <v>0</v>
      </c>
      <c r="AE4447">
        <v>9</v>
      </c>
      <c r="AF4447" t="s">
        <v>138</v>
      </c>
      <c r="AG4447">
        <v>0</v>
      </c>
      <c r="AH4447">
        <v>3</v>
      </c>
      <c r="AI4447">
        <v>1</v>
      </c>
      <c r="AJ4447">
        <v>0</v>
      </c>
      <c r="AK4447" t="s">
        <v>946</v>
      </c>
      <c r="AL4447">
        <v>32.735073999999997</v>
      </c>
      <c r="AM4447" t="s">
        <v>1403</v>
      </c>
      <c r="AN4447">
        <v>-116.70808599999999</v>
      </c>
      <c r="AO4447">
        <v>25</v>
      </c>
      <c r="AP4447">
        <v>4900</v>
      </c>
      <c r="AQ4447" t="s">
        <v>129</v>
      </c>
      <c r="AR4447">
        <v>-146</v>
      </c>
      <c r="AS4447">
        <v>-78</v>
      </c>
      <c r="AT4447">
        <v>-320</v>
      </c>
      <c r="BB4447">
        <v>1200</v>
      </c>
      <c r="BC4447">
        <v>1</v>
      </c>
      <c r="BD4447" t="str">
        <f t="shared" si="1634"/>
        <v xml:space="preserve">N887QR  </v>
      </c>
      <c r="BE4447">
        <v>1</v>
      </c>
      <c r="BG4447">
        <v>0</v>
      </c>
      <c r="BH4447">
        <v>0</v>
      </c>
      <c r="BI4447">
        <v>0</v>
      </c>
      <c r="BJ4447">
        <v>4625</v>
      </c>
      <c r="BK4447">
        <v>-275</v>
      </c>
      <c r="BL4447" t="s">
        <v>163</v>
      </c>
      <c r="BM4447">
        <v>1</v>
      </c>
      <c r="BN4447">
        <v>1</v>
      </c>
      <c r="BO4447">
        <v>1</v>
      </c>
      <c r="BP4447">
        <v>0</v>
      </c>
      <c r="BS4447">
        <v>0</v>
      </c>
      <c r="BT4447">
        <v>0</v>
      </c>
      <c r="BU4447">
        <v>0</v>
      </c>
      <c r="CE4447" t="str">
        <f t="shared" si="1642"/>
        <v>19:37:28.890</v>
      </c>
      <c r="CF4447">
        <v>889959220</v>
      </c>
      <c r="CS4447">
        <v>0</v>
      </c>
      <c r="CT4447">
        <v>2</v>
      </c>
      <c r="CU4447">
        <v>0</v>
      </c>
      <c r="CV4447">
        <v>2</v>
      </c>
      <c r="CW4447">
        <v>0</v>
      </c>
      <c r="CX4447">
        <v>6</v>
      </c>
      <c r="CY4447">
        <v>7</v>
      </c>
      <c r="CZ4447" t="s">
        <v>131</v>
      </c>
      <c r="DA4447">
        <v>286</v>
      </c>
      <c r="DB4447">
        <v>0</v>
      </c>
      <c r="DC4447" t="s">
        <v>132</v>
      </c>
      <c r="DD4447" t="s">
        <v>133</v>
      </c>
      <c r="DG4447">
        <v>913810</v>
      </c>
      <c r="DI4447">
        <v>1</v>
      </c>
      <c r="DJ4447">
        <v>0</v>
      </c>
      <c r="DK4447">
        <v>1</v>
      </c>
      <c r="DL4447">
        <v>0</v>
      </c>
      <c r="DM4447">
        <v>0</v>
      </c>
      <c r="DN4447">
        <v>1</v>
      </c>
      <c r="DO4447">
        <v>0</v>
      </c>
      <c r="DP4447">
        <v>0</v>
      </c>
      <c r="DQ4447">
        <v>0</v>
      </c>
      <c r="DR4447">
        <v>0</v>
      </c>
      <c r="DS4447">
        <v>0</v>
      </c>
    </row>
    <row r="4448" spans="1:123" x14ac:dyDescent="0.3">
      <c r="A4448" t="str">
        <f t="shared" si="1641"/>
        <v>10/04/2022 19:37:29.276</v>
      </c>
      <c r="C4448" t="str">
        <f t="shared" si="1627"/>
        <v>FFDFD3C0</v>
      </c>
      <c r="D4448" t="s">
        <v>147</v>
      </c>
      <c r="E4448">
        <v>3</v>
      </c>
      <c r="H4448">
        <v>166</v>
      </c>
      <c r="I4448" t="s">
        <v>144</v>
      </c>
      <c r="J4448" t="s">
        <v>148</v>
      </c>
      <c r="K4448">
        <v>0</v>
      </c>
      <c r="L4448">
        <v>3</v>
      </c>
      <c r="M4448">
        <v>0</v>
      </c>
      <c r="N4448">
        <v>2</v>
      </c>
      <c r="O4448">
        <v>0</v>
      </c>
      <c r="P4448">
        <v>1</v>
      </c>
      <c r="Q4448">
        <v>0</v>
      </c>
      <c r="S4448" t="str">
        <f t="shared" si="1639"/>
        <v>19:37:28.000</v>
      </c>
      <c r="T4448" t="str">
        <f t="shared" si="1639"/>
        <v>19:37:28.000</v>
      </c>
      <c r="U4448" t="str">
        <f t="shared" si="1633"/>
        <v>AC3944</v>
      </c>
      <c r="V4448">
        <v>0</v>
      </c>
      <c r="W4448">
        <v>0</v>
      </c>
      <c r="X4448">
        <v>2</v>
      </c>
      <c r="Y4448">
        <v>0</v>
      </c>
      <c r="AA4448">
        <v>1</v>
      </c>
      <c r="AB4448">
        <v>8</v>
      </c>
      <c r="AC4448">
        <v>3</v>
      </c>
      <c r="AD4448">
        <v>0</v>
      </c>
      <c r="AE4448">
        <v>9</v>
      </c>
      <c r="AF4448" t="s">
        <v>138</v>
      </c>
      <c r="AG4448">
        <v>0</v>
      </c>
      <c r="AH4448">
        <v>3</v>
      </c>
      <c r="AI4448">
        <v>1</v>
      </c>
      <c r="AJ4448">
        <v>0</v>
      </c>
      <c r="AK4448" t="s">
        <v>946</v>
      </c>
      <c r="AL4448">
        <v>32.735073999999997</v>
      </c>
      <c r="AM4448" t="s">
        <v>1403</v>
      </c>
      <c r="AN4448">
        <v>-116.70808599999999</v>
      </c>
      <c r="AO4448">
        <v>25</v>
      </c>
      <c r="AP4448">
        <v>4900</v>
      </c>
      <c r="AQ4448" t="s">
        <v>129</v>
      </c>
      <c r="AR4448">
        <v>-146</v>
      </c>
      <c r="AS4448">
        <v>-78</v>
      </c>
      <c r="AT4448">
        <v>-320</v>
      </c>
      <c r="BB4448">
        <v>1200</v>
      </c>
      <c r="BC4448">
        <v>1</v>
      </c>
      <c r="BD4448" t="str">
        <f t="shared" si="1634"/>
        <v xml:space="preserve">N887QR  </v>
      </c>
      <c r="BE4448">
        <v>1</v>
      </c>
      <c r="BG4448">
        <v>0</v>
      </c>
      <c r="BH4448">
        <v>0</v>
      </c>
      <c r="BI4448">
        <v>0</v>
      </c>
      <c r="BJ4448">
        <v>4625</v>
      </c>
      <c r="BK4448">
        <v>-275</v>
      </c>
      <c r="BL4448" t="s">
        <v>163</v>
      </c>
      <c r="BM4448">
        <v>1</v>
      </c>
      <c r="BN4448">
        <v>1</v>
      </c>
      <c r="BO4448">
        <v>1</v>
      </c>
      <c r="BP4448">
        <v>0</v>
      </c>
      <c r="BS4448">
        <v>0</v>
      </c>
      <c r="BT4448">
        <v>0</v>
      </c>
      <c r="BU4448">
        <v>0</v>
      </c>
      <c r="CE4448" t="str">
        <f t="shared" si="1642"/>
        <v>19:37:28.890</v>
      </c>
      <c r="CF4448">
        <v>889959220</v>
      </c>
      <c r="CS4448">
        <v>0</v>
      </c>
      <c r="CT4448">
        <v>2</v>
      </c>
      <c r="CU4448">
        <v>0</v>
      </c>
      <c r="CV4448">
        <v>2</v>
      </c>
      <c r="CW4448">
        <v>0</v>
      </c>
      <c r="CX4448">
        <v>6</v>
      </c>
      <c r="CY4448">
        <v>7</v>
      </c>
      <c r="CZ4448" t="s">
        <v>131</v>
      </c>
      <c r="DA4448">
        <v>286</v>
      </c>
      <c r="DB4448">
        <v>0</v>
      </c>
      <c r="DC4448" t="s">
        <v>132</v>
      </c>
      <c r="DD4448" t="s">
        <v>133</v>
      </c>
      <c r="DG4448">
        <v>913810</v>
      </c>
      <c r="DI4448">
        <v>1</v>
      </c>
      <c r="DJ4448">
        <v>0</v>
      </c>
      <c r="DK4448">
        <v>1</v>
      </c>
      <c r="DL4448">
        <v>0</v>
      </c>
      <c r="DM4448">
        <v>0</v>
      </c>
      <c r="DN4448">
        <v>1</v>
      </c>
      <c r="DO4448">
        <v>0</v>
      </c>
      <c r="DP4448">
        <v>0</v>
      </c>
      <c r="DQ4448">
        <v>0</v>
      </c>
      <c r="DR4448">
        <v>0</v>
      </c>
      <c r="DS4448">
        <v>0</v>
      </c>
    </row>
    <row r="4449" spans="1:123" x14ac:dyDescent="0.3">
      <c r="A4449" t="str">
        <f>"10/04/2022 19:37:30.260"</f>
        <v>10/04/2022 19:37:30.260</v>
      </c>
      <c r="C4449" t="str">
        <f t="shared" si="1627"/>
        <v>FFDFD3C0</v>
      </c>
      <c r="D4449" t="s">
        <v>123</v>
      </c>
      <c r="E4449">
        <v>7</v>
      </c>
      <c r="F4449">
        <v>2007</v>
      </c>
      <c r="G4449" t="s">
        <v>124</v>
      </c>
      <c r="J4449" t="s">
        <v>125</v>
      </c>
      <c r="K4449">
        <v>0</v>
      </c>
      <c r="L4449">
        <v>3</v>
      </c>
      <c r="M4449">
        <v>0</v>
      </c>
      <c r="N4449">
        <v>2</v>
      </c>
      <c r="O4449">
        <v>0</v>
      </c>
      <c r="P4449">
        <v>1</v>
      </c>
      <c r="Q4449">
        <v>0</v>
      </c>
      <c r="S4449" t="str">
        <f t="shared" ref="S4449:T4455" si="1643">"19:37:30.000"</f>
        <v>19:37:30.000</v>
      </c>
      <c r="T4449" t="str">
        <f t="shared" si="1643"/>
        <v>19:37:30.000</v>
      </c>
      <c r="U4449" t="str">
        <f t="shared" si="1633"/>
        <v>AC3944</v>
      </c>
      <c r="V4449">
        <v>0</v>
      </c>
      <c r="W4449">
        <v>0</v>
      </c>
      <c r="X4449">
        <v>2</v>
      </c>
      <c r="Y4449">
        <v>0</v>
      </c>
      <c r="AA4449">
        <v>1</v>
      </c>
      <c r="AB4449">
        <v>8</v>
      </c>
      <c r="AC4449">
        <v>3</v>
      </c>
      <c r="AD4449">
        <v>0</v>
      </c>
      <c r="AE4449">
        <v>9</v>
      </c>
      <c r="AF4449" t="s">
        <v>138</v>
      </c>
      <c r="AG4449">
        <v>0</v>
      </c>
      <c r="AH4449">
        <v>3</v>
      </c>
      <c r="AI4449">
        <v>1</v>
      </c>
      <c r="AJ4449">
        <v>0</v>
      </c>
      <c r="AK4449" t="s">
        <v>948</v>
      </c>
      <c r="AL4449">
        <v>32.734644000000003</v>
      </c>
      <c r="AM4449" t="s">
        <v>1404</v>
      </c>
      <c r="AN4449">
        <v>-116.709051</v>
      </c>
      <c r="AO4449">
        <v>25</v>
      </c>
      <c r="AP4449">
        <v>4900</v>
      </c>
      <c r="AQ4449" t="s">
        <v>129</v>
      </c>
      <c r="AR4449">
        <v>-147</v>
      </c>
      <c r="AS4449">
        <v>-78</v>
      </c>
      <c r="AT4449">
        <v>-320</v>
      </c>
      <c r="BB4449">
        <v>1200</v>
      </c>
      <c r="BC4449">
        <v>1</v>
      </c>
      <c r="BD4449" t="str">
        <f t="shared" si="1634"/>
        <v xml:space="preserve">N887QR  </v>
      </c>
      <c r="BE4449">
        <v>1</v>
      </c>
      <c r="BG4449">
        <v>0</v>
      </c>
      <c r="BH4449">
        <v>0</v>
      </c>
      <c r="BI4449">
        <v>0</v>
      </c>
      <c r="BJ4449">
        <v>4625</v>
      </c>
      <c r="BK4449">
        <v>-275</v>
      </c>
      <c r="BL4449" t="s">
        <v>163</v>
      </c>
      <c r="BM4449">
        <v>1</v>
      </c>
      <c r="BN4449">
        <v>1</v>
      </c>
      <c r="BO4449">
        <v>1</v>
      </c>
      <c r="BP4449">
        <v>0</v>
      </c>
      <c r="BS4449">
        <v>0</v>
      </c>
      <c r="BT4449">
        <v>0</v>
      </c>
      <c r="BU4449">
        <v>0</v>
      </c>
      <c r="CE4449" t="str">
        <f t="shared" ref="CE4449:CE4455" si="1644">"19:37:30.003"</f>
        <v>19:37:30.003</v>
      </c>
      <c r="CF4449">
        <v>2962473</v>
      </c>
      <c r="CS4449">
        <v>0</v>
      </c>
      <c r="CT4449">
        <v>2</v>
      </c>
      <c r="CU4449">
        <v>0</v>
      </c>
      <c r="CV4449">
        <v>2</v>
      </c>
      <c r="CW4449">
        <v>2</v>
      </c>
      <c r="CX4449">
        <v>6</v>
      </c>
      <c r="CY4449">
        <v>7</v>
      </c>
      <c r="CZ4449" t="s">
        <v>131</v>
      </c>
      <c r="DA4449">
        <v>286</v>
      </c>
      <c r="DB4449">
        <v>0</v>
      </c>
      <c r="DC4449" t="s">
        <v>132</v>
      </c>
      <c r="DD4449" t="s">
        <v>133</v>
      </c>
      <c r="DG4449">
        <v>914060</v>
      </c>
      <c r="DI4449">
        <v>1</v>
      </c>
      <c r="DJ4449">
        <v>0</v>
      </c>
      <c r="DK4449">
        <v>0</v>
      </c>
      <c r="DL4449">
        <v>0</v>
      </c>
      <c r="DM4449">
        <v>0</v>
      </c>
      <c r="DN4449">
        <v>1</v>
      </c>
      <c r="DO4449">
        <v>0</v>
      </c>
      <c r="DP4449">
        <v>0</v>
      </c>
      <c r="DQ4449">
        <v>0</v>
      </c>
      <c r="DR4449">
        <v>0</v>
      </c>
      <c r="DS4449">
        <v>0</v>
      </c>
    </row>
    <row r="4450" spans="1:123" x14ac:dyDescent="0.3">
      <c r="A4450" t="str">
        <f>"10/04/2022 19:37:30.260"</f>
        <v>10/04/2022 19:37:30.260</v>
      </c>
      <c r="C4450" t="str">
        <f t="shared" si="1627"/>
        <v>FFDFD3C0</v>
      </c>
      <c r="D4450" t="s">
        <v>141</v>
      </c>
      <c r="E4450">
        <v>4</v>
      </c>
      <c r="H4450">
        <v>4</v>
      </c>
      <c r="I4450" t="s">
        <v>142</v>
      </c>
      <c r="J4450" t="s">
        <v>138</v>
      </c>
      <c r="K4450">
        <v>0</v>
      </c>
      <c r="L4450">
        <v>3</v>
      </c>
      <c r="M4450">
        <v>0</v>
      </c>
      <c r="N4450">
        <v>2</v>
      </c>
      <c r="O4450">
        <v>0</v>
      </c>
      <c r="P4450">
        <v>1</v>
      </c>
      <c r="Q4450">
        <v>0</v>
      </c>
      <c r="S4450" t="str">
        <f t="shared" si="1643"/>
        <v>19:37:30.000</v>
      </c>
      <c r="T4450" t="str">
        <f t="shared" si="1643"/>
        <v>19:37:30.000</v>
      </c>
      <c r="U4450" t="str">
        <f t="shared" si="1633"/>
        <v>AC3944</v>
      </c>
      <c r="V4450">
        <v>0</v>
      </c>
      <c r="W4450">
        <v>0</v>
      </c>
      <c r="X4450">
        <v>2</v>
      </c>
      <c r="Y4450">
        <v>0</v>
      </c>
      <c r="AA4450">
        <v>1</v>
      </c>
      <c r="AB4450">
        <v>8</v>
      </c>
      <c r="AC4450">
        <v>3</v>
      </c>
      <c r="AD4450">
        <v>0</v>
      </c>
      <c r="AE4450">
        <v>9</v>
      </c>
      <c r="AF4450" t="s">
        <v>138</v>
      </c>
      <c r="AG4450">
        <v>0</v>
      </c>
      <c r="AH4450">
        <v>3</v>
      </c>
      <c r="AI4450">
        <v>1</v>
      </c>
      <c r="AJ4450">
        <v>0</v>
      </c>
      <c r="AK4450" t="s">
        <v>948</v>
      </c>
      <c r="AL4450">
        <v>32.734644000000003</v>
      </c>
      <c r="AM4450" t="s">
        <v>1404</v>
      </c>
      <c r="AN4450">
        <v>-116.709051</v>
      </c>
      <c r="AO4450">
        <v>25</v>
      </c>
      <c r="AP4450">
        <v>4900</v>
      </c>
      <c r="AQ4450" t="s">
        <v>129</v>
      </c>
      <c r="AR4450">
        <v>-147</v>
      </c>
      <c r="AS4450">
        <v>-78</v>
      </c>
      <c r="AT4450">
        <v>-320</v>
      </c>
      <c r="BB4450">
        <v>1200</v>
      </c>
      <c r="BC4450">
        <v>1</v>
      </c>
      <c r="BD4450" t="str">
        <f t="shared" si="1634"/>
        <v xml:space="preserve">N887QR  </v>
      </c>
      <c r="BE4450">
        <v>1</v>
      </c>
      <c r="BG4450">
        <v>0</v>
      </c>
      <c r="BH4450">
        <v>0</v>
      </c>
      <c r="BI4450">
        <v>0</v>
      </c>
      <c r="BJ4450">
        <v>4625</v>
      </c>
      <c r="BK4450">
        <v>-275</v>
      </c>
      <c r="BL4450" t="s">
        <v>163</v>
      </c>
      <c r="BM4450">
        <v>1</v>
      </c>
      <c r="BN4450">
        <v>1</v>
      </c>
      <c r="BO4450">
        <v>1</v>
      </c>
      <c r="BP4450">
        <v>0</v>
      </c>
      <c r="BS4450">
        <v>0</v>
      </c>
      <c r="BT4450">
        <v>0</v>
      </c>
      <c r="BU4450">
        <v>0</v>
      </c>
      <c r="CE4450" t="str">
        <f t="shared" si="1644"/>
        <v>19:37:30.003</v>
      </c>
      <c r="CF4450">
        <v>2962473</v>
      </c>
      <c r="CS4450">
        <v>0</v>
      </c>
      <c r="CT4450">
        <v>2</v>
      </c>
      <c r="CU4450">
        <v>0</v>
      </c>
      <c r="CV4450">
        <v>2</v>
      </c>
      <c r="CW4450">
        <v>2</v>
      </c>
      <c r="CX4450">
        <v>6</v>
      </c>
      <c r="CY4450">
        <v>7</v>
      </c>
      <c r="CZ4450" t="s">
        <v>131</v>
      </c>
      <c r="DA4450">
        <v>286</v>
      </c>
      <c r="DB4450">
        <v>0</v>
      </c>
      <c r="DC4450" t="s">
        <v>132</v>
      </c>
      <c r="DD4450" t="s">
        <v>133</v>
      </c>
      <c r="DG4450">
        <v>914060</v>
      </c>
      <c r="DI4450">
        <v>1</v>
      </c>
      <c r="DJ4450">
        <v>0</v>
      </c>
      <c r="DK4450">
        <v>1</v>
      </c>
      <c r="DL4450">
        <v>0</v>
      </c>
      <c r="DM4450">
        <v>0</v>
      </c>
      <c r="DN4450">
        <v>1</v>
      </c>
      <c r="DO4450">
        <v>0</v>
      </c>
      <c r="DP4450">
        <v>0</v>
      </c>
      <c r="DQ4450">
        <v>0</v>
      </c>
      <c r="DR4450">
        <v>0</v>
      </c>
      <c r="DS4450">
        <v>0</v>
      </c>
    </row>
    <row r="4451" spans="1:123" x14ac:dyDescent="0.3">
      <c r="A4451" t="str">
        <f>"10/04/2022 19:37:30.260"</f>
        <v>10/04/2022 19:37:30.260</v>
      </c>
      <c r="C4451" t="str">
        <f t="shared" si="1627"/>
        <v>FFDFD3C0</v>
      </c>
      <c r="D4451" t="s">
        <v>141</v>
      </c>
      <c r="E4451">
        <v>3</v>
      </c>
      <c r="H4451">
        <v>3</v>
      </c>
      <c r="I4451" t="s">
        <v>146</v>
      </c>
      <c r="J4451" t="s">
        <v>138</v>
      </c>
      <c r="K4451">
        <v>0</v>
      </c>
      <c r="L4451">
        <v>3</v>
      </c>
      <c r="M4451">
        <v>0</v>
      </c>
      <c r="N4451">
        <v>2</v>
      </c>
      <c r="O4451">
        <v>0</v>
      </c>
      <c r="P4451">
        <v>1</v>
      </c>
      <c r="Q4451">
        <v>0</v>
      </c>
      <c r="S4451" t="str">
        <f t="shared" si="1643"/>
        <v>19:37:30.000</v>
      </c>
      <c r="T4451" t="str">
        <f t="shared" si="1643"/>
        <v>19:37:30.000</v>
      </c>
      <c r="U4451" t="str">
        <f t="shared" si="1633"/>
        <v>AC3944</v>
      </c>
      <c r="V4451">
        <v>0</v>
      </c>
      <c r="W4451">
        <v>0</v>
      </c>
      <c r="X4451">
        <v>2</v>
      </c>
      <c r="Y4451">
        <v>0</v>
      </c>
      <c r="AA4451">
        <v>1</v>
      </c>
      <c r="AB4451">
        <v>8</v>
      </c>
      <c r="AC4451">
        <v>3</v>
      </c>
      <c r="AD4451">
        <v>0</v>
      </c>
      <c r="AE4451">
        <v>9</v>
      </c>
      <c r="AF4451" t="s">
        <v>138</v>
      </c>
      <c r="AG4451">
        <v>0</v>
      </c>
      <c r="AH4451">
        <v>3</v>
      </c>
      <c r="AI4451">
        <v>1</v>
      </c>
      <c r="AJ4451">
        <v>0</v>
      </c>
      <c r="AK4451" t="s">
        <v>948</v>
      </c>
      <c r="AL4451">
        <v>32.734644000000003</v>
      </c>
      <c r="AM4451" t="s">
        <v>1404</v>
      </c>
      <c r="AN4451">
        <v>-116.709051</v>
      </c>
      <c r="AO4451">
        <v>25</v>
      </c>
      <c r="AP4451">
        <v>4900</v>
      </c>
      <c r="AQ4451" t="s">
        <v>129</v>
      </c>
      <c r="AR4451">
        <v>-147</v>
      </c>
      <c r="AS4451">
        <v>-78</v>
      </c>
      <c r="AT4451">
        <v>-320</v>
      </c>
      <c r="BB4451">
        <v>1200</v>
      </c>
      <c r="BC4451">
        <v>1</v>
      </c>
      <c r="BD4451" t="str">
        <f t="shared" si="1634"/>
        <v xml:space="preserve">N887QR  </v>
      </c>
      <c r="BE4451">
        <v>1</v>
      </c>
      <c r="BG4451">
        <v>0</v>
      </c>
      <c r="BH4451">
        <v>0</v>
      </c>
      <c r="BI4451">
        <v>0</v>
      </c>
      <c r="BJ4451">
        <v>4625</v>
      </c>
      <c r="BK4451">
        <v>-275</v>
      </c>
      <c r="BL4451" t="s">
        <v>163</v>
      </c>
      <c r="BM4451">
        <v>1</v>
      </c>
      <c r="BN4451">
        <v>1</v>
      </c>
      <c r="BO4451">
        <v>1</v>
      </c>
      <c r="BP4451">
        <v>0</v>
      </c>
      <c r="BS4451">
        <v>0</v>
      </c>
      <c r="BT4451">
        <v>0</v>
      </c>
      <c r="BU4451">
        <v>0</v>
      </c>
      <c r="CE4451" t="str">
        <f t="shared" si="1644"/>
        <v>19:37:30.003</v>
      </c>
      <c r="CF4451">
        <v>2962473</v>
      </c>
      <c r="CS4451">
        <v>0</v>
      </c>
      <c r="CT4451">
        <v>2</v>
      </c>
      <c r="CU4451">
        <v>0</v>
      </c>
      <c r="CV4451">
        <v>2</v>
      </c>
      <c r="CW4451">
        <v>2</v>
      </c>
      <c r="CX4451">
        <v>6</v>
      </c>
      <c r="CY4451">
        <v>7</v>
      </c>
      <c r="CZ4451" t="s">
        <v>131</v>
      </c>
      <c r="DA4451">
        <v>286</v>
      </c>
      <c r="DB4451">
        <v>0</v>
      </c>
      <c r="DC4451" t="s">
        <v>132</v>
      </c>
      <c r="DD4451" t="s">
        <v>133</v>
      </c>
      <c r="DG4451">
        <v>914060</v>
      </c>
      <c r="DI4451">
        <v>1</v>
      </c>
      <c r="DJ4451">
        <v>0</v>
      </c>
      <c r="DK4451">
        <v>1</v>
      </c>
      <c r="DL4451">
        <v>0</v>
      </c>
      <c r="DM4451">
        <v>0</v>
      </c>
      <c r="DN4451">
        <v>1</v>
      </c>
      <c r="DO4451">
        <v>0</v>
      </c>
      <c r="DP4451">
        <v>0</v>
      </c>
      <c r="DQ4451">
        <v>0</v>
      </c>
      <c r="DR4451">
        <v>0</v>
      </c>
      <c r="DS4451">
        <v>0</v>
      </c>
    </row>
    <row r="4452" spans="1:123" x14ac:dyDescent="0.3">
      <c r="A4452" t="str">
        <f>"10/04/2022 19:37:30.260"</f>
        <v>10/04/2022 19:37:30.260</v>
      </c>
      <c r="C4452" t="str">
        <f t="shared" si="1627"/>
        <v>FFDFD3C0</v>
      </c>
      <c r="D4452" t="s">
        <v>147</v>
      </c>
      <c r="E4452">
        <v>3</v>
      </c>
      <c r="H4452">
        <v>166</v>
      </c>
      <c r="I4452" t="s">
        <v>144</v>
      </c>
      <c r="J4452" t="s">
        <v>148</v>
      </c>
      <c r="K4452">
        <v>0</v>
      </c>
      <c r="L4452">
        <v>3</v>
      </c>
      <c r="M4452">
        <v>0</v>
      </c>
      <c r="N4452">
        <v>2</v>
      </c>
      <c r="O4452">
        <v>0</v>
      </c>
      <c r="P4452">
        <v>1</v>
      </c>
      <c r="Q4452">
        <v>0</v>
      </c>
      <c r="S4452" t="str">
        <f t="shared" si="1643"/>
        <v>19:37:30.000</v>
      </c>
      <c r="T4452" t="str">
        <f t="shared" si="1643"/>
        <v>19:37:30.000</v>
      </c>
      <c r="U4452" t="str">
        <f t="shared" si="1633"/>
        <v>AC3944</v>
      </c>
      <c r="V4452">
        <v>0</v>
      </c>
      <c r="W4452">
        <v>0</v>
      </c>
      <c r="X4452">
        <v>2</v>
      </c>
      <c r="Y4452">
        <v>0</v>
      </c>
      <c r="AA4452">
        <v>1</v>
      </c>
      <c r="AB4452">
        <v>8</v>
      </c>
      <c r="AC4452">
        <v>3</v>
      </c>
      <c r="AD4452">
        <v>0</v>
      </c>
      <c r="AE4452">
        <v>9</v>
      </c>
      <c r="AF4452" t="s">
        <v>138</v>
      </c>
      <c r="AG4452">
        <v>0</v>
      </c>
      <c r="AH4452">
        <v>3</v>
      </c>
      <c r="AI4452">
        <v>1</v>
      </c>
      <c r="AJ4452">
        <v>0</v>
      </c>
      <c r="AK4452" t="s">
        <v>948</v>
      </c>
      <c r="AL4452">
        <v>32.734644000000003</v>
      </c>
      <c r="AM4452" t="s">
        <v>1404</v>
      </c>
      <c r="AN4452">
        <v>-116.709051</v>
      </c>
      <c r="AO4452">
        <v>25</v>
      </c>
      <c r="AP4452">
        <v>4900</v>
      </c>
      <c r="AQ4452" t="s">
        <v>129</v>
      </c>
      <c r="AR4452">
        <v>-147</v>
      </c>
      <c r="AS4452">
        <v>-78</v>
      </c>
      <c r="AT4452">
        <v>-320</v>
      </c>
      <c r="BB4452">
        <v>1200</v>
      </c>
      <c r="BC4452">
        <v>1</v>
      </c>
      <c r="BD4452" t="str">
        <f t="shared" si="1634"/>
        <v xml:space="preserve">N887QR  </v>
      </c>
      <c r="BE4452">
        <v>1</v>
      </c>
      <c r="BG4452">
        <v>0</v>
      </c>
      <c r="BH4452">
        <v>0</v>
      </c>
      <c r="BI4452">
        <v>0</v>
      </c>
      <c r="BJ4452">
        <v>4625</v>
      </c>
      <c r="BK4452">
        <v>-275</v>
      </c>
      <c r="BL4452" t="s">
        <v>163</v>
      </c>
      <c r="BM4452">
        <v>1</v>
      </c>
      <c r="BN4452">
        <v>1</v>
      </c>
      <c r="BO4452">
        <v>1</v>
      </c>
      <c r="BP4452">
        <v>0</v>
      </c>
      <c r="BS4452">
        <v>0</v>
      </c>
      <c r="BT4452">
        <v>0</v>
      </c>
      <c r="BU4452">
        <v>0</v>
      </c>
      <c r="CE4452" t="str">
        <f t="shared" si="1644"/>
        <v>19:37:30.003</v>
      </c>
      <c r="CF4452">
        <v>2962473</v>
      </c>
      <c r="CS4452">
        <v>0</v>
      </c>
      <c r="CT4452">
        <v>2</v>
      </c>
      <c r="CU4452">
        <v>0</v>
      </c>
      <c r="CV4452">
        <v>2</v>
      </c>
      <c r="CW4452">
        <v>2</v>
      </c>
      <c r="CX4452">
        <v>6</v>
      </c>
      <c r="CY4452">
        <v>7</v>
      </c>
      <c r="CZ4452" t="s">
        <v>131</v>
      </c>
      <c r="DA4452">
        <v>286</v>
      </c>
      <c r="DB4452">
        <v>0</v>
      </c>
      <c r="DC4452" t="s">
        <v>132</v>
      </c>
      <c r="DD4452" t="s">
        <v>133</v>
      </c>
      <c r="DG4452">
        <v>914060</v>
      </c>
      <c r="DI4452">
        <v>1</v>
      </c>
      <c r="DJ4452">
        <v>0</v>
      </c>
      <c r="DK4452">
        <v>1</v>
      </c>
      <c r="DL4452">
        <v>0</v>
      </c>
      <c r="DM4452">
        <v>0</v>
      </c>
      <c r="DN4452">
        <v>1</v>
      </c>
      <c r="DO4452">
        <v>0</v>
      </c>
      <c r="DP4452">
        <v>0</v>
      </c>
      <c r="DQ4452">
        <v>0</v>
      </c>
      <c r="DR4452">
        <v>0</v>
      </c>
      <c r="DS4452">
        <v>0</v>
      </c>
    </row>
    <row r="4453" spans="1:123" x14ac:dyDescent="0.3">
      <c r="A4453" t="str">
        <f>"10/04/2022 19:37:30.260"</f>
        <v>10/04/2022 19:37:30.260</v>
      </c>
      <c r="C4453" t="str">
        <f t="shared" si="1627"/>
        <v>FFDFD3C0</v>
      </c>
      <c r="D4453" t="s">
        <v>136</v>
      </c>
      <c r="E4453">
        <v>8</v>
      </c>
      <c r="H4453">
        <v>225</v>
      </c>
      <c r="I4453" t="s">
        <v>137</v>
      </c>
      <c r="J4453" t="s">
        <v>138</v>
      </c>
      <c r="K4453">
        <v>0</v>
      </c>
      <c r="L4453">
        <v>3</v>
      </c>
      <c r="M4453">
        <v>0</v>
      </c>
      <c r="N4453">
        <v>2</v>
      </c>
      <c r="O4453">
        <v>0</v>
      </c>
      <c r="P4453">
        <v>1</v>
      </c>
      <c r="Q4453">
        <v>0</v>
      </c>
      <c r="S4453" t="str">
        <f t="shared" si="1643"/>
        <v>19:37:30.000</v>
      </c>
      <c r="T4453" t="str">
        <f t="shared" si="1643"/>
        <v>19:37:30.000</v>
      </c>
      <c r="U4453" t="str">
        <f t="shared" si="1633"/>
        <v>AC3944</v>
      </c>
      <c r="V4453">
        <v>0</v>
      </c>
      <c r="W4453">
        <v>0</v>
      </c>
      <c r="X4453">
        <v>2</v>
      </c>
      <c r="Y4453">
        <v>0</v>
      </c>
      <c r="AA4453">
        <v>1</v>
      </c>
      <c r="AB4453">
        <v>8</v>
      </c>
      <c r="AC4453">
        <v>3</v>
      </c>
      <c r="AD4453">
        <v>0</v>
      </c>
      <c r="AE4453">
        <v>9</v>
      </c>
      <c r="AF4453" t="s">
        <v>138</v>
      </c>
      <c r="AG4453">
        <v>0</v>
      </c>
      <c r="AH4453">
        <v>3</v>
      </c>
      <c r="AI4453">
        <v>1</v>
      </c>
      <c r="AJ4453">
        <v>0</v>
      </c>
      <c r="AK4453" t="s">
        <v>948</v>
      </c>
      <c r="AL4453">
        <v>32.734644000000003</v>
      </c>
      <c r="AM4453" t="s">
        <v>1404</v>
      </c>
      <c r="AN4453">
        <v>-116.709051</v>
      </c>
      <c r="AO4453">
        <v>25</v>
      </c>
      <c r="AP4453">
        <v>4900</v>
      </c>
      <c r="AQ4453" t="s">
        <v>129</v>
      </c>
      <c r="AR4453">
        <v>-147</v>
      </c>
      <c r="AS4453">
        <v>-78</v>
      </c>
      <c r="AT4453">
        <v>-320</v>
      </c>
      <c r="BB4453">
        <v>1200</v>
      </c>
      <c r="BC4453">
        <v>1</v>
      </c>
      <c r="BD4453" t="str">
        <f t="shared" si="1634"/>
        <v xml:space="preserve">N887QR  </v>
      </c>
      <c r="BE4453">
        <v>1</v>
      </c>
      <c r="BG4453">
        <v>0</v>
      </c>
      <c r="BH4453">
        <v>0</v>
      </c>
      <c r="BI4453">
        <v>0</v>
      </c>
      <c r="BJ4453">
        <v>4625</v>
      </c>
      <c r="BK4453">
        <v>-275</v>
      </c>
      <c r="BL4453" t="s">
        <v>163</v>
      </c>
      <c r="BM4453">
        <v>1</v>
      </c>
      <c r="BN4453">
        <v>1</v>
      </c>
      <c r="BO4453">
        <v>1</v>
      </c>
      <c r="BP4453">
        <v>0</v>
      </c>
      <c r="BS4453">
        <v>0</v>
      </c>
      <c r="BT4453">
        <v>0</v>
      </c>
      <c r="BU4453">
        <v>0</v>
      </c>
      <c r="CE4453" t="str">
        <f t="shared" si="1644"/>
        <v>19:37:30.003</v>
      </c>
      <c r="CF4453">
        <v>2962473</v>
      </c>
      <c r="CS4453">
        <v>0</v>
      </c>
      <c r="CT4453">
        <v>2</v>
      </c>
      <c r="CU4453">
        <v>0</v>
      </c>
      <c r="CV4453">
        <v>2</v>
      </c>
      <c r="CW4453">
        <v>2</v>
      </c>
      <c r="CX4453">
        <v>6</v>
      </c>
      <c r="CY4453">
        <v>7</v>
      </c>
      <c r="CZ4453" t="s">
        <v>131</v>
      </c>
      <c r="DA4453">
        <v>286</v>
      </c>
      <c r="DB4453">
        <v>0</v>
      </c>
      <c r="DC4453" t="s">
        <v>132</v>
      </c>
      <c r="DD4453" t="s">
        <v>133</v>
      </c>
      <c r="DG4453">
        <v>914060</v>
      </c>
      <c r="DI4453">
        <v>1</v>
      </c>
      <c r="DJ4453">
        <v>0</v>
      </c>
      <c r="DK4453">
        <v>1</v>
      </c>
      <c r="DL4453">
        <v>0</v>
      </c>
      <c r="DM4453">
        <v>0</v>
      </c>
      <c r="DN4453">
        <v>1</v>
      </c>
      <c r="DO4453">
        <v>0</v>
      </c>
      <c r="DP4453">
        <v>0</v>
      </c>
      <c r="DQ4453">
        <v>0</v>
      </c>
      <c r="DR4453">
        <v>0</v>
      </c>
      <c r="DS4453">
        <v>0</v>
      </c>
    </row>
    <row r="4454" spans="1:123" x14ac:dyDescent="0.3">
      <c r="A4454" t="str">
        <f>"10/04/2022 19:37:30.307"</f>
        <v>10/04/2022 19:37:30.307</v>
      </c>
      <c r="C4454" t="str">
        <f t="shared" si="1627"/>
        <v>FFDFD3C0</v>
      </c>
      <c r="D4454" t="s">
        <v>143</v>
      </c>
      <c r="E4454">
        <v>20</v>
      </c>
      <c r="F4454">
        <v>1020</v>
      </c>
      <c r="G4454" t="s">
        <v>144</v>
      </c>
      <c r="J4454" t="s">
        <v>145</v>
      </c>
      <c r="K4454">
        <v>0</v>
      </c>
      <c r="L4454">
        <v>3</v>
      </c>
      <c r="M4454">
        <v>0</v>
      </c>
      <c r="N4454">
        <v>2</v>
      </c>
      <c r="O4454">
        <v>0</v>
      </c>
      <c r="P4454">
        <v>1</v>
      </c>
      <c r="Q4454">
        <v>0</v>
      </c>
      <c r="S4454" t="str">
        <f t="shared" si="1643"/>
        <v>19:37:30.000</v>
      </c>
      <c r="T4454" t="str">
        <f t="shared" si="1643"/>
        <v>19:37:30.000</v>
      </c>
      <c r="U4454" t="str">
        <f t="shared" si="1633"/>
        <v>AC3944</v>
      </c>
      <c r="V4454">
        <v>0</v>
      </c>
      <c r="W4454">
        <v>0</v>
      </c>
      <c r="X4454">
        <v>2</v>
      </c>
      <c r="Y4454">
        <v>0</v>
      </c>
      <c r="AA4454">
        <v>1</v>
      </c>
      <c r="AB4454">
        <v>8</v>
      </c>
      <c r="AC4454">
        <v>3</v>
      </c>
      <c r="AD4454">
        <v>0</v>
      </c>
      <c r="AE4454">
        <v>9</v>
      </c>
      <c r="AF4454" t="s">
        <v>138</v>
      </c>
      <c r="AG4454">
        <v>0</v>
      </c>
      <c r="AH4454">
        <v>3</v>
      </c>
      <c r="AI4454">
        <v>1</v>
      </c>
      <c r="AJ4454">
        <v>0</v>
      </c>
      <c r="AK4454" t="s">
        <v>948</v>
      </c>
      <c r="AL4454">
        <v>32.734644000000003</v>
      </c>
      <c r="AM4454" t="s">
        <v>1404</v>
      </c>
      <c r="AN4454">
        <v>-116.709051</v>
      </c>
      <c r="AO4454">
        <v>25</v>
      </c>
      <c r="AP4454">
        <v>4900</v>
      </c>
      <c r="AQ4454" t="s">
        <v>129</v>
      </c>
      <c r="AR4454">
        <v>-147</v>
      </c>
      <c r="AS4454">
        <v>-78</v>
      </c>
      <c r="AT4454">
        <v>-320</v>
      </c>
      <c r="BB4454">
        <v>1200</v>
      </c>
      <c r="BC4454">
        <v>1</v>
      </c>
      <c r="BD4454" t="str">
        <f t="shared" si="1634"/>
        <v xml:space="preserve">N887QR  </v>
      </c>
      <c r="BE4454">
        <v>1</v>
      </c>
      <c r="BG4454">
        <v>0</v>
      </c>
      <c r="BH4454">
        <v>0</v>
      </c>
      <c r="BI4454">
        <v>0</v>
      </c>
      <c r="BJ4454">
        <v>4625</v>
      </c>
      <c r="BK4454">
        <v>-275</v>
      </c>
      <c r="BL4454" t="s">
        <v>163</v>
      </c>
      <c r="BM4454">
        <v>1</v>
      </c>
      <c r="BN4454">
        <v>1</v>
      </c>
      <c r="BO4454">
        <v>1</v>
      </c>
      <c r="BP4454">
        <v>0</v>
      </c>
      <c r="BS4454">
        <v>0</v>
      </c>
      <c r="BT4454">
        <v>0</v>
      </c>
      <c r="BU4454">
        <v>0</v>
      </c>
      <c r="CE4454" t="str">
        <f t="shared" si="1644"/>
        <v>19:37:30.003</v>
      </c>
      <c r="CF4454">
        <v>2962473</v>
      </c>
      <c r="CS4454">
        <v>0</v>
      </c>
      <c r="CT4454">
        <v>2</v>
      </c>
      <c r="CU4454">
        <v>0</v>
      </c>
      <c r="CV4454">
        <v>2</v>
      </c>
      <c r="CW4454">
        <v>2</v>
      </c>
      <c r="CX4454">
        <v>6</v>
      </c>
      <c r="CY4454">
        <v>7</v>
      </c>
      <c r="CZ4454" t="s">
        <v>131</v>
      </c>
      <c r="DA4454">
        <v>286</v>
      </c>
      <c r="DB4454">
        <v>0</v>
      </c>
      <c r="DC4454" t="s">
        <v>132</v>
      </c>
      <c r="DD4454" t="s">
        <v>133</v>
      </c>
      <c r="DG4454">
        <v>914060</v>
      </c>
      <c r="DI4454">
        <v>1</v>
      </c>
      <c r="DJ4454">
        <v>0</v>
      </c>
      <c r="DK4454">
        <v>1</v>
      </c>
      <c r="DL4454">
        <v>0</v>
      </c>
      <c r="DM4454">
        <v>0</v>
      </c>
      <c r="DN4454">
        <v>1</v>
      </c>
      <c r="DO4454">
        <v>0</v>
      </c>
      <c r="DP4454">
        <v>0</v>
      </c>
      <c r="DQ4454">
        <v>0</v>
      </c>
      <c r="DR4454">
        <v>0</v>
      </c>
      <c r="DS4454">
        <v>0</v>
      </c>
    </row>
    <row r="4455" spans="1:123" x14ac:dyDescent="0.3">
      <c r="A4455" t="str">
        <f>"10/04/2022 19:37:30.307"</f>
        <v>10/04/2022 19:37:30.307</v>
      </c>
      <c r="C4455" t="str">
        <f t="shared" si="1627"/>
        <v>FFDFD3C0</v>
      </c>
      <c r="D4455" t="s">
        <v>134</v>
      </c>
      <c r="E4455">
        <v>15</v>
      </c>
      <c r="J4455" t="s">
        <v>135</v>
      </c>
      <c r="K4455">
        <v>0</v>
      </c>
      <c r="L4455">
        <v>3</v>
      </c>
      <c r="M4455">
        <v>0</v>
      </c>
      <c r="N4455">
        <v>2</v>
      </c>
      <c r="O4455">
        <v>0</v>
      </c>
      <c r="P4455">
        <v>1</v>
      </c>
      <c r="Q4455">
        <v>0</v>
      </c>
      <c r="S4455" t="str">
        <f t="shared" si="1643"/>
        <v>19:37:30.000</v>
      </c>
      <c r="T4455" t="str">
        <f t="shared" si="1643"/>
        <v>19:37:30.000</v>
      </c>
      <c r="U4455" t="str">
        <f t="shared" si="1633"/>
        <v>AC3944</v>
      </c>
      <c r="V4455">
        <v>0</v>
      </c>
      <c r="W4455">
        <v>0</v>
      </c>
      <c r="X4455">
        <v>2</v>
      </c>
      <c r="Y4455">
        <v>0</v>
      </c>
      <c r="AA4455">
        <v>1</v>
      </c>
      <c r="AB4455">
        <v>8</v>
      </c>
      <c r="AC4455">
        <v>3</v>
      </c>
      <c r="AD4455">
        <v>0</v>
      </c>
      <c r="AE4455">
        <v>9</v>
      </c>
      <c r="AF4455" t="s">
        <v>138</v>
      </c>
      <c r="AG4455">
        <v>0</v>
      </c>
      <c r="AH4455">
        <v>3</v>
      </c>
      <c r="AI4455">
        <v>1</v>
      </c>
      <c r="AJ4455">
        <v>0</v>
      </c>
      <c r="AK4455" t="s">
        <v>948</v>
      </c>
      <c r="AL4455">
        <v>32.734644000000003</v>
      </c>
      <c r="AM4455" t="s">
        <v>1404</v>
      </c>
      <c r="AN4455">
        <v>-116.709051</v>
      </c>
      <c r="AO4455">
        <v>25</v>
      </c>
      <c r="AP4455">
        <v>4900</v>
      </c>
      <c r="AQ4455" t="s">
        <v>129</v>
      </c>
      <c r="AR4455">
        <v>-147</v>
      </c>
      <c r="AS4455">
        <v>-78</v>
      </c>
      <c r="AT4455">
        <v>-320</v>
      </c>
      <c r="BB4455">
        <v>1200</v>
      </c>
      <c r="BC4455">
        <v>1</v>
      </c>
      <c r="BD4455" t="str">
        <f t="shared" si="1634"/>
        <v xml:space="preserve">N887QR  </v>
      </c>
      <c r="BE4455">
        <v>1</v>
      </c>
      <c r="BG4455">
        <v>0</v>
      </c>
      <c r="BH4455">
        <v>0</v>
      </c>
      <c r="BI4455">
        <v>0</v>
      </c>
      <c r="BJ4455">
        <v>4625</v>
      </c>
      <c r="BK4455">
        <v>-275</v>
      </c>
      <c r="BL4455" t="s">
        <v>163</v>
      </c>
      <c r="BM4455">
        <v>1</v>
      </c>
      <c r="BN4455">
        <v>1</v>
      </c>
      <c r="BO4455">
        <v>1</v>
      </c>
      <c r="BP4455">
        <v>0</v>
      </c>
      <c r="BS4455">
        <v>0</v>
      </c>
      <c r="BT4455">
        <v>0</v>
      </c>
      <c r="BU4455">
        <v>0</v>
      </c>
      <c r="CE4455" t="str">
        <f t="shared" si="1644"/>
        <v>19:37:30.003</v>
      </c>
      <c r="CF4455">
        <v>2962473</v>
      </c>
      <c r="CS4455">
        <v>0</v>
      </c>
      <c r="CT4455">
        <v>2</v>
      </c>
      <c r="CU4455">
        <v>0</v>
      </c>
      <c r="CV4455">
        <v>2</v>
      </c>
      <c r="CW4455">
        <v>2</v>
      </c>
      <c r="CX4455">
        <v>6</v>
      </c>
      <c r="CY4455">
        <v>7</v>
      </c>
      <c r="CZ4455" t="s">
        <v>131</v>
      </c>
      <c r="DA4455">
        <v>286</v>
      </c>
      <c r="DB4455">
        <v>0</v>
      </c>
      <c r="DC4455" t="s">
        <v>132</v>
      </c>
      <c r="DD4455" t="s">
        <v>133</v>
      </c>
      <c r="DG4455">
        <v>914060</v>
      </c>
      <c r="DI4455">
        <v>1</v>
      </c>
      <c r="DJ4455">
        <v>0</v>
      </c>
      <c r="DK4455">
        <v>1</v>
      </c>
      <c r="DL4455">
        <v>0</v>
      </c>
      <c r="DM4455">
        <v>0</v>
      </c>
      <c r="DN4455">
        <v>1</v>
      </c>
      <c r="DO4455">
        <v>0</v>
      </c>
      <c r="DP4455">
        <v>0</v>
      </c>
      <c r="DQ4455">
        <v>0</v>
      </c>
      <c r="DR4455">
        <v>0</v>
      </c>
      <c r="DS4455">
        <v>0</v>
      </c>
    </row>
    <row r="4456" spans="1:123" x14ac:dyDescent="0.3">
      <c r="A4456" t="str">
        <f t="shared" ref="A4456:A4461" si="1645">"10/04/2022 19:37:31.746"</f>
        <v>10/04/2022 19:37:31.746</v>
      </c>
      <c r="C4456" t="str">
        <f t="shared" si="1627"/>
        <v>FFDFD3C0</v>
      </c>
      <c r="D4456" t="s">
        <v>143</v>
      </c>
      <c r="E4456">
        <v>20</v>
      </c>
      <c r="F4456">
        <v>1020</v>
      </c>
      <c r="G4456" t="s">
        <v>144</v>
      </c>
      <c r="J4456" t="s">
        <v>145</v>
      </c>
      <c r="K4456">
        <v>0</v>
      </c>
      <c r="L4456">
        <v>3</v>
      </c>
      <c r="M4456">
        <v>0</v>
      </c>
      <c r="N4456">
        <v>2</v>
      </c>
      <c r="O4456">
        <v>0</v>
      </c>
      <c r="P4456">
        <v>1</v>
      </c>
      <c r="Q4456">
        <v>0</v>
      </c>
      <c r="S4456" t="str">
        <f t="shared" ref="S4456:T4469" si="1646">"19:37:31.000"</f>
        <v>19:37:31.000</v>
      </c>
      <c r="T4456" t="str">
        <f t="shared" si="1646"/>
        <v>19:37:31.000</v>
      </c>
      <c r="U4456" t="str">
        <f t="shared" si="1633"/>
        <v>AC3944</v>
      </c>
      <c r="V4456">
        <v>0</v>
      </c>
      <c r="W4456">
        <v>0</v>
      </c>
      <c r="X4456">
        <v>2</v>
      </c>
      <c r="Y4456">
        <v>0</v>
      </c>
      <c r="AA4456">
        <v>1</v>
      </c>
      <c r="AB4456">
        <v>8</v>
      </c>
      <c r="AC4456">
        <v>3</v>
      </c>
      <c r="AD4456">
        <v>0</v>
      </c>
      <c r="AE4456">
        <v>9</v>
      </c>
      <c r="AF4456" t="s">
        <v>138</v>
      </c>
      <c r="AG4456">
        <v>0</v>
      </c>
      <c r="AH4456">
        <v>3</v>
      </c>
      <c r="AI4456">
        <v>1</v>
      </c>
      <c r="AJ4456">
        <v>0</v>
      </c>
      <c r="AK4456" t="s">
        <v>950</v>
      </c>
      <c r="AL4456">
        <v>32.734279999999998</v>
      </c>
      <c r="AM4456" t="s">
        <v>1405</v>
      </c>
      <c r="AN4456">
        <v>-116.709867</v>
      </c>
      <c r="AO4456">
        <v>25</v>
      </c>
      <c r="AP4456">
        <v>4900</v>
      </c>
      <c r="AQ4456" t="s">
        <v>129</v>
      </c>
      <c r="AR4456">
        <v>-149</v>
      </c>
      <c r="AS4456">
        <v>-78</v>
      </c>
      <c r="AT4456">
        <v>-384</v>
      </c>
      <c r="BB4456">
        <v>1200</v>
      </c>
      <c r="BC4456">
        <v>1</v>
      </c>
      <c r="BD4456" t="str">
        <f t="shared" si="1634"/>
        <v xml:space="preserve">N887QR  </v>
      </c>
      <c r="BE4456">
        <v>1</v>
      </c>
      <c r="BG4456">
        <v>0</v>
      </c>
      <c r="BH4456">
        <v>0</v>
      </c>
      <c r="BI4456">
        <v>0</v>
      </c>
      <c r="BJ4456">
        <v>4625</v>
      </c>
      <c r="BK4456">
        <v>-275</v>
      </c>
      <c r="BL4456" t="s">
        <v>163</v>
      </c>
      <c r="BM4456">
        <v>1</v>
      </c>
      <c r="BN4456">
        <v>1</v>
      </c>
      <c r="BO4456">
        <v>1</v>
      </c>
      <c r="BP4456">
        <v>0</v>
      </c>
      <c r="BS4456">
        <v>0</v>
      </c>
      <c r="BT4456">
        <v>0</v>
      </c>
      <c r="BU4456">
        <v>0</v>
      </c>
      <c r="CE4456" t="str">
        <f t="shared" ref="CE4456:CE4462" si="1647">"19:37:31.457"</f>
        <v>19:37:31.457</v>
      </c>
      <c r="CF4456">
        <v>456966793</v>
      </c>
      <c r="CS4456">
        <v>0</v>
      </c>
      <c r="CT4456">
        <v>2</v>
      </c>
      <c r="CU4456">
        <v>0</v>
      </c>
      <c r="CV4456">
        <v>2</v>
      </c>
      <c r="CW4456">
        <v>0</v>
      </c>
      <c r="CX4456">
        <v>6</v>
      </c>
      <c r="CY4456">
        <v>7</v>
      </c>
      <c r="CZ4456" t="s">
        <v>131</v>
      </c>
      <c r="DA4456">
        <v>286</v>
      </c>
      <c r="DB4456">
        <v>0</v>
      </c>
      <c r="DC4456" t="s">
        <v>132</v>
      </c>
      <c r="DD4456" t="s">
        <v>133</v>
      </c>
      <c r="DG4456">
        <v>914370</v>
      </c>
      <c r="DI4456">
        <v>1</v>
      </c>
      <c r="DJ4456">
        <v>0</v>
      </c>
      <c r="DK4456">
        <v>0</v>
      </c>
      <c r="DL4456">
        <v>0</v>
      </c>
      <c r="DM4456">
        <v>0</v>
      </c>
      <c r="DN4456">
        <v>1</v>
      </c>
      <c r="DO4456">
        <v>0</v>
      </c>
      <c r="DP4456">
        <v>0</v>
      </c>
      <c r="DQ4456">
        <v>0</v>
      </c>
      <c r="DR4456">
        <v>0</v>
      </c>
      <c r="DS4456">
        <v>0</v>
      </c>
    </row>
    <row r="4457" spans="1:123" x14ac:dyDescent="0.3">
      <c r="A4457" t="str">
        <f t="shared" si="1645"/>
        <v>10/04/2022 19:37:31.746</v>
      </c>
      <c r="C4457" t="str">
        <f t="shared" si="1627"/>
        <v>FFDFD3C0</v>
      </c>
      <c r="D4457" t="s">
        <v>134</v>
      </c>
      <c r="E4457">
        <v>15</v>
      </c>
      <c r="J4457" t="s">
        <v>135</v>
      </c>
      <c r="K4457">
        <v>0</v>
      </c>
      <c r="L4457">
        <v>3</v>
      </c>
      <c r="M4457">
        <v>0</v>
      </c>
      <c r="N4457">
        <v>2</v>
      </c>
      <c r="O4457">
        <v>0</v>
      </c>
      <c r="P4457">
        <v>1</v>
      </c>
      <c r="Q4457">
        <v>0</v>
      </c>
      <c r="S4457" t="str">
        <f t="shared" si="1646"/>
        <v>19:37:31.000</v>
      </c>
      <c r="T4457" t="str">
        <f t="shared" si="1646"/>
        <v>19:37:31.000</v>
      </c>
      <c r="U4457" t="str">
        <f t="shared" si="1633"/>
        <v>AC3944</v>
      </c>
      <c r="V4457">
        <v>0</v>
      </c>
      <c r="W4457">
        <v>0</v>
      </c>
      <c r="X4457">
        <v>2</v>
      </c>
      <c r="Y4457">
        <v>0</v>
      </c>
      <c r="AA4457">
        <v>1</v>
      </c>
      <c r="AB4457">
        <v>8</v>
      </c>
      <c r="AC4457">
        <v>3</v>
      </c>
      <c r="AD4457">
        <v>0</v>
      </c>
      <c r="AE4457">
        <v>9</v>
      </c>
      <c r="AF4457" t="s">
        <v>138</v>
      </c>
      <c r="AG4457">
        <v>0</v>
      </c>
      <c r="AH4457">
        <v>3</v>
      </c>
      <c r="AI4457">
        <v>1</v>
      </c>
      <c r="AJ4457">
        <v>0</v>
      </c>
      <c r="AK4457" t="s">
        <v>950</v>
      </c>
      <c r="AL4457">
        <v>32.734279999999998</v>
      </c>
      <c r="AM4457" t="s">
        <v>1405</v>
      </c>
      <c r="AN4457">
        <v>-116.709867</v>
      </c>
      <c r="AO4457">
        <v>25</v>
      </c>
      <c r="AP4457">
        <v>4900</v>
      </c>
      <c r="AQ4457" t="s">
        <v>129</v>
      </c>
      <c r="AR4457">
        <v>-149</v>
      </c>
      <c r="AS4457">
        <v>-78</v>
      </c>
      <c r="AT4457">
        <v>-384</v>
      </c>
      <c r="BB4457">
        <v>1200</v>
      </c>
      <c r="BC4457">
        <v>1</v>
      </c>
      <c r="BD4457" t="str">
        <f t="shared" si="1634"/>
        <v xml:space="preserve">N887QR  </v>
      </c>
      <c r="BE4457">
        <v>1</v>
      </c>
      <c r="BG4457">
        <v>0</v>
      </c>
      <c r="BH4457">
        <v>0</v>
      </c>
      <c r="BI4457">
        <v>0</v>
      </c>
      <c r="BJ4457">
        <v>4625</v>
      </c>
      <c r="BK4457">
        <v>-275</v>
      </c>
      <c r="BL4457" t="s">
        <v>163</v>
      </c>
      <c r="BM4457">
        <v>1</v>
      </c>
      <c r="BN4457">
        <v>1</v>
      </c>
      <c r="BO4457">
        <v>1</v>
      </c>
      <c r="BP4457">
        <v>0</v>
      </c>
      <c r="BS4457">
        <v>0</v>
      </c>
      <c r="BT4457">
        <v>0</v>
      </c>
      <c r="BU4457">
        <v>0</v>
      </c>
      <c r="CE4457" t="str">
        <f t="shared" si="1647"/>
        <v>19:37:31.457</v>
      </c>
      <c r="CF4457">
        <v>456966793</v>
      </c>
      <c r="CS4457">
        <v>0</v>
      </c>
      <c r="CT4457">
        <v>2</v>
      </c>
      <c r="CU4457">
        <v>0</v>
      </c>
      <c r="CV4457">
        <v>2</v>
      </c>
      <c r="CW4457">
        <v>0</v>
      </c>
      <c r="CX4457">
        <v>6</v>
      </c>
      <c r="CY4457">
        <v>7</v>
      </c>
      <c r="CZ4457" t="s">
        <v>131</v>
      </c>
      <c r="DA4457">
        <v>286</v>
      </c>
      <c r="DB4457">
        <v>0</v>
      </c>
      <c r="DC4457" t="s">
        <v>132</v>
      </c>
      <c r="DD4457" t="s">
        <v>133</v>
      </c>
      <c r="DG4457">
        <v>914370</v>
      </c>
      <c r="DI4457">
        <v>1</v>
      </c>
      <c r="DJ4457">
        <v>0</v>
      </c>
      <c r="DK4457">
        <v>1</v>
      </c>
      <c r="DL4457">
        <v>0</v>
      </c>
      <c r="DM4457">
        <v>0</v>
      </c>
      <c r="DN4457">
        <v>1</v>
      </c>
      <c r="DO4457">
        <v>0</v>
      </c>
      <c r="DP4457">
        <v>0</v>
      </c>
      <c r="DQ4457">
        <v>0</v>
      </c>
      <c r="DR4457">
        <v>0</v>
      </c>
      <c r="DS4457">
        <v>0</v>
      </c>
    </row>
    <row r="4458" spans="1:123" x14ac:dyDescent="0.3">
      <c r="A4458" t="str">
        <f t="shared" si="1645"/>
        <v>10/04/2022 19:37:31.746</v>
      </c>
      <c r="C4458" t="str">
        <f t="shared" si="1627"/>
        <v>FFDFD3C0</v>
      </c>
      <c r="D4458" t="s">
        <v>123</v>
      </c>
      <c r="E4458">
        <v>7</v>
      </c>
      <c r="F4458">
        <v>2007</v>
      </c>
      <c r="G4458" t="s">
        <v>124</v>
      </c>
      <c r="J4458" t="s">
        <v>125</v>
      </c>
      <c r="K4458">
        <v>0</v>
      </c>
      <c r="L4458">
        <v>3</v>
      </c>
      <c r="M4458">
        <v>0</v>
      </c>
      <c r="N4458">
        <v>2</v>
      </c>
      <c r="O4458">
        <v>0</v>
      </c>
      <c r="P4458">
        <v>1</v>
      </c>
      <c r="Q4458">
        <v>0</v>
      </c>
      <c r="S4458" t="str">
        <f t="shared" si="1646"/>
        <v>19:37:31.000</v>
      </c>
      <c r="T4458" t="str">
        <f t="shared" si="1646"/>
        <v>19:37:31.000</v>
      </c>
      <c r="U4458" t="str">
        <f t="shared" si="1633"/>
        <v>AC3944</v>
      </c>
      <c r="V4458">
        <v>0</v>
      </c>
      <c r="W4458">
        <v>0</v>
      </c>
      <c r="X4458">
        <v>2</v>
      </c>
      <c r="Y4458">
        <v>0</v>
      </c>
      <c r="AA4458">
        <v>1</v>
      </c>
      <c r="AB4458">
        <v>8</v>
      </c>
      <c r="AC4458">
        <v>3</v>
      </c>
      <c r="AD4458">
        <v>0</v>
      </c>
      <c r="AE4458">
        <v>9</v>
      </c>
      <c r="AF4458" t="s">
        <v>138</v>
      </c>
      <c r="AG4458">
        <v>0</v>
      </c>
      <c r="AH4458">
        <v>3</v>
      </c>
      <c r="AI4458">
        <v>1</v>
      </c>
      <c r="AJ4458">
        <v>0</v>
      </c>
      <c r="AK4458" t="s">
        <v>950</v>
      </c>
      <c r="AL4458">
        <v>32.734279999999998</v>
      </c>
      <c r="AM4458" t="s">
        <v>1405</v>
      </c>
      <c r="AN4458">
        <v>-116.709867</v>
      </c>
      <c r="AO4458">
        <v>25</v>
      </c>
      <c r="AP4458">
        <v>4900</v>
      </c>
      <c r="AQ4458" t="s">
        <v>129</v>
      </c>
      <c r="AR4458">
        <v>-149</v>
      </c>
      <c r="AS4458">
        <v>-78</v>
      </c>
      <c r="AT4458">
        <v>-384</v>
      </c>
      <c r="BB4458">
        <v>1200</v>
      </c>
      <c r="BC4458">
        <v>1</v>
      </c>
      <c r="BD4458" t="str">
        <f t="shared" si="1634"/>
        <v xml:space="preserve">N887QR  </v>
      </c>
      <c r="BE4458">
        <v>1</v>
      </c>
      <c r="BG4458">
        <v>0</v>
      </c>
      <c r="BH4458">
        <v>0</v>
      </c>
      <c r="BI4458">
        <v>0</v>
      </c>
      <c r="BJ4458">
        <v>4625</v>
      </c>
      <c r="BK4458">
        <v>-275</v>
      </c>
      <c r="BL4458" t="s">
        <v>163</v>
      </c>
      <c r="BM4458">
        <v>1</v>
      </c>
      <c r="BN4458">
        <v>1</v>
      </c>
      <c r="BO4458">
        <v>1</v>
      </c>
      <c r="BP4458">
        <v>0</v>
      </c>
      <c r="BS4458">
        <v>0</v>
      </c>
      <c r="BT4458">
        <v>0</v>
      </c>
      <c r="BU4458">
        <v>0</v>
      </c>
      <c r="CE4458" t="str">
        <f t="shared" si="1647"/>
        <v>19:37:31.457</v>
      </c>
      <c r="CF4458">
        <v>456966793</v>
      </c>
      <c r="CS4458">
        <v>0</v>
      </c>
      <c r="CT4458">
        <v>2</v>
      </c>
      <c r="CU4458">
        <v>0</v>
      </c>
      <c r="CV4458">
        <v>2</v>
      </c>
      <c r="CW4458">
        <v>0</v>
      </c>
      <c r="CX4458">
        <v>6</v>
      </c>
      <c r="CY4458">
        <v>7</v>
      </c>
      <c r="CZ4458" t="s">
        <v>131</v>
      </c>
      <c r="DA4458">
        <v>286</v>
      </c>
      <c r="DB4458">
        <v>0</v>
      </c>
      <c r="DC4458" t="s">
        <v>132</v>
      </c>
      <c r="DD4458" t="s">
        <v>133</v>
      </c>
      <c r="DG4458">
        <v>914370</v>
      </c>
      <c r="DI4458">
        <v>1</v>
      </c>
      <c r="DJ4458">
        <v>0</v>
      </c>
      <c r="DK4458">
        <v>1</v>
      </c>
      <c r="DL4458">
        <v>0</v>
      </c>
      <c r="DM4458">
        <v>0</v>
      </c>
      <c r="DN4458">
        <v>1</v>
      </c>
      <c r="DO4458">
        <v>0</v>
      </c>
      <c r="DP4458">
        <v>0</v>
      </c>
      <c r="DQ4458">
        <v>0</v>
      </c>
      <c r="DR4458">
        <v>0</v>
      </c>
      <c r="DS4458">
        <v>0</v>
      </c>
    </row>
    <row r="4459" spans="1:123" x14ac:dyDescent="0.3">
      <c r="A4459" t="str">
        <f t="shared" si="1645"/>
        <v>10/04/2022 19:37:31.746</v>
      </c>
      <c r="C4459" t="str">
        <f t="shared" ref="C4459:C4522" si="1648">"FFDFD3C0"</f>
        <v>FFDFD3C0</v>
      </c>
      <c r="D4459" t="s">
        <v>141</v>
      </c>
      <c r="E4459">
        <v>4</v>
      </c>
      <c r="H4459">
        <v>4</v>
      </c>
      <c r="I4459" t="s">
        <v>142</v>
      </c>
      <c r="J4459" t="s">
        <v>138</v>
      </c>
      <c r="K4459">
        <v>0</v>
      </c>
      <c r="L4459">
        <v>3</v>
      </c>
      <c r="M4459">
        <v>0</v>
      </c>
      <c r="N4459">
        <v>2</v>
      </c>
      <c r="O4459">
        <v>0</v>
      </c>
      <c r="P4459">
        <v>1</v>
      </c>
      <c r="Q4459">
        <v>0</v>
      </c>
      <c r="S4459" t="str">
        <f t="shared" si="1646"/>
        <v>19:37:31.000</v>
      </c>
      <c r="T4459" t="str">
        <f t="shared" si="1646"/>
        <v>19:37:31.000</v>
      </c>
      <c r="U4459" t="str">
        <f t="shared" si="1633"/>
        <v>AC3944</v>
      </c>
      <c r="V4459">
        <v>0</v>
      </c>
      <c r="W4459">
        <v>0</v>
      </c>
      <c r="X4459">
        <v>2</v>
      </c>
      <c r="Y4459">
        <v>0</v>
      </c>
      <c r="AA4459">
        <v>1</v>
      </c>
      <c r="AB4459">
        <v>8</v>
      </c>
      <c r="AC4459">
        <v>3</v>
      </c>
      <c r="AD4459">
        <v>0</v>
      </c>
      <c r="AE4459">
        <v>9</v>
      </c>
      <c r="AF4459" t="s">
        <v>138</v>
      </c>
      <c r="AG4459">
        <v>0</v>
      </c>
      <c r="AH4459">
        <v>3</v>
      </c>
      <c r="AI4459">
        <v>1</v>
      </c>
      <c r="AJ4459">
        <v>0</v>
      </c>
      <c r="AK4459" t="s">
        <v>950</v>
      </c>
      <c r="AL4459">
        <v>32.734279999999998</v>
      </c>
      <c r="AM4459" t="s">
        <v>1405</v>
      </c>
      <c r="AN4459">
        <v>-116.709867</v>
      </c>
      <c r="AO4459">
        <v>25</v>
      </c>
      <c r="AP4459">
        <v>4900</v>
      </c>
      <c r="AQ4459" t="s">
        <v>129</v>
      </c>
      <c r="AR4459">
        <v>-149</v>
      </c>
      <c r="AS4459">
        <v>-78</v>
      </c>
      <c r="AT4459">
        <v>-384</v>
      </c>
      <c r="BB4459">
        <v>1200</v>
      </c>
      <c r="BC4459">
        <v>1</v>
      </c>
      <c r="BD4459" t="str">
        <f t="shared" si="1634"/>
        <v xml:space="preserve">N887QR  </v>
      </c>
      <c r="BE4459">
        <v>1</v>
      </c>
      <c r="BG4459">
        <v>0</v>
      </c>
      <c r="BH4459">
        <v>0</v>
      </c>
      <c r="BI4459">
        <v>0</v>
      </c>
      <c r="BJ4459">
        <v>4625</v>
      </c>
      <c r="BK4459">
        <v>-275</v>
      </c>
      <c r="BL4459" t="s">
        <v>163</v>
      </c>
      <c r="BM4459">
        <v>1</v>
      </c>
      <c r="BN4459">
        <v>1</v>
      </c>
      <c r="BO4459">
        <v>1</v>
      </c>
      <c r="BP4459">
        <v>0</v>
      </c>
      <c r="BS4459">
        <v>0</v>
      </c>
      <c r="BT4459">
        <v>0</v>
      </c>
      <c r="BU4459">
        <v>0</v>
      </c>
      <c r="CE4459" t="str">
        <f t="shared" si="1647"/>
        <v>19:37:31.457</v>
      </c>
      <c r="CF4459">
        <v>456966793</v>
      </c>
      <c r="CS4459">
        <v>0</v>
      </c>
      <c r="CT4459">
        <v>2</v>
      </c>
      <c r="CU4459">
        <v>0</v>
      </c>
      <c r="CV4459">
        <v>2</v>
      </c>
      <c r="CW4459">
        <v>0</v>
      </c>
      <c r="CX4459">
        <v>6</v>
      </c>
      <c r="CY4459">
        <v>7</v>
      </c>
      <c r="CZ4459" t="s">
        <v>131</v>
      </c>
      <c r="DA4459">
        <v>286</v>
      </c>
      <c r="DB4459">
        <v>0</v>
      </c>
      <c r="DC4459" t="s">
        <v>132</v>
      </c>
      <c r="DD4459" t="s">
        <v>133</v>
      </c>
      <c r="DG4459">
        <v>914370</v>
      </c>
      <c r="DI4459">
        <v>1</v>
      </c>
      <c r="DJ4459">
        <v>0</v>
      </c>
      <c r="DK4459">
        <v>1</v>
      </c>
      <c r="DL4459">
        <v>0</v>
      </c>
      <c r="DM4459">
        <v>0</v>
      </c>
      <c r="DN4459">
        <v>1</v>
      </c>
      <c r="DO4459">
        <v>0</v>
      </c>
      <c r="DP4459">
        <v>0</v>
      </c>
      <c r="DQ4459">
        <v>0</v>
      </c>
      <c r="DR4459">
        <v>0</v>
      </c>
      <c r="DS4459">
        <v>0</v>
      </c>
    </row>
    <row r="4460" spans="1:123" x14ac:dyDescent="0.3">
      <c r="A4460" t="str">
        <f t="shared" si="1645"/>
        <v>10/04/2022 19:37:31.746</v>
      </c>
      <c r="C4460" t="str">
        <f t="shared" si="1648"/>
        <v>FFDFD3C0</v>
      </c>
      <c r="D4460" t="s">
        <v>141</v>
      </c>
      <c r="E4460">
        <v>3</v>
      </c>
      <c r="H4460">
        <v>3</v>
      </c>
      <c r="I4460" t="s">
        <v>146</v>
      </c>
      <c r="J4460" t="s">
        <v>138</v>
      </c>
      <c r="K4460">
        <v>0</v>
      </c>
      <c r="L4460">
        <v>3</v>
      </c>
      <c r="M4460">
        <v>0</v>
      </c>
      <c r="N4460">
        <v>2</v>
      </c>
      <c r="O4460">
        <v>0</v>
      </c>
      <c r="P4460">
        <v>1</v>
      </c>
      <c r="Q4460">
        <v>0</v>
      </c>
      <c r="S4460" t="str">
        <f t="shared" si="1646"/>
        <v>19:37:31.000</v>
      </c>
      <c r="T4460" t="str">
        <f t="shared" si="1646"/>
        <v>19:37:31.000</v>
      </c>
      <c r="U4460" t="str">
        <f t="shared" si="1633"/>
        <v>AC3944</v>
      </c>
      <c r="V4460">
        <v>0</v>
      </c>
      <c r="W4460">
        <v>0</v>
      </c>
      <c r="X4460">
        <v>2</v>
      </c>
      <c r="Y4460">
        <v>0</v>
      </c>
      <c r="AA4460">
        <v>1</v>
      </c>
      <c r="AB4460">
        <v>8</v>
      </c>
      <c r="AC4460">
        <v>3</v>
      </c>
      <c r="AD4460">
        <v>0</v>
      </c>
      <c r="AE4460">
        <v>9</v>
      </c>
      <c r="AF4460" t="s">
        <v>138</v>
      </c>
      <c r="AG4460">
        <v>0</v>
      </c>
      <c r="AH4460">
        <v>3</v>
      </c>
      <c r="AI4460">
        <v>1</v>
      </c>
      <c r="AJ4460">
        <v>0</v>
      </c>
      <c r="AK4460" t="s">
        <v>950</v>
      </c>
      <c r="AL4460">
        <v>32.734279999999998</v>
      </c>
      <c r="AM4460" t="s">
        <v>1405</v>
      </c>
      <c r="AN4460">
        <v>-116.709867</v>
      </c>
      <c r="AO4460">
        <v>25</v>
      </c>
      <c r="AP4460">
        <v>4900</v>
      </c>
      <c r="AQ4460" t="s">
        <v>129</v>
      </c>
      <c r="AR4460">
        <v>-149</v>
      </c>
      <c r="AS4460">
        <v>-78</v>
      </c>
      <c r="AT4460">
        <v>-384</v>
      </c>
      <c r="BB4460">
        <v>1200</v>
      </c>
      <c r="BC4460">
        <v>1</v>
      </c>
      <c r="BD4460" t="str">
        <f t="shared" si="1634"/>
        <v xml:space="preserve">N887QR  </v>
      </c>
      <c r="BE4460">
        <v>1</v>
      </c>
      <c r="BG4460">
        <v>0</v>
      </c>
      <c r="BH4460">
        <v>0</v>
      </c>
      <c r="BI4460">
        <v>0</v>
      </c>
      <c r="BJ4460">
        <v>4625</v>
      </c>
      <c r="BK4460">
        <v>-275</v>
      </c>
      <c r="BL4460" t="s">
        <v>163</v>
      </c>
      <c r="BM4460">
        <v>1</v>
      </c>
      <c r="BN4460">
        <v>1</v>
      </c>
      <c r="BO4460">
        <v>1</v>
      </c>
      <c r="BP4460">
        <v>0</v>
      </c>
      <c r="BS4460">
        <v>0</v>
      </c>
      <c r="BT4460">
        <v>0</v>
      </c>
      <c r="BU4460">
        <v>0</v>
      </c>
      <c r="CE4460" t="str">
        <f t="shared" si="1647"/>
        <v>19:37:31.457</v>
      </c>
      <c r="CF4460">
        <v>456966793</v>
      </c>
      <c r="CS4460">
        <v>0</v>
      </c>
      <c r="CT4460">
        <v>2</v>
      </c>
      <c r="CU4460">
        <v>0</v>
      </c>
      <c r="CV4460">
        <v>2</v>
      </c>
      <c r="CW4460">
        <v>0</v>
      </c>
      <c r="CX4460">
        <v>6</v>
      </c>
      <c r="CY4460">
        <v>7</v>
      </c>
      <c r="CZ4460" t="s">
        <v>131</v>
      </c>
      <c r="DA4460">
        <v>286</v>
      </c>
      <c r="DB4460">
        <v>0</v>
      </c>
      <c r="DC4460" t="s">
        <v>132</v>
      </c>
      <c r="DD4460" t="s">
        <v>133</v>
      </c>
      <c r="DG4460">
        <v>914370</v>
      </c>
      <c r="DI4460">
        <v>1</v>
      </c>
      <c r="DJ4460">
        <v>0</v>
      </c>
      <c r="DK4460">
        <v>1</v>
      </c>
      <c r="DL4460">
        <v>0</v>
      </c>
      <c r="DM4460">
        <v>0</v>
      </c>
      <c r="DN4460">
        <v>1</v>
      </c>
      <c r="DO4460">
        <v>0</v>
      </c>
      <c r="DP4460">
        <v>0</v>
      </c>
      <c r="DQ4460">
        <v>0</v>
      </c>
      <c r="DR4460">
        <v>0</v>
      </c>
      <c r="DS4460">
        <v>0</v>
      </c>
    </row>
    <row r="4461" spans="1:123" x14ac:dyDescent="0.3">
      <c r="A4461" t="str">
        <f t="shared" si="1645"/>
        <v>10/04/2022 19:37:31.746</v>
      </c>
      <c r="C4461" t="str">
        <f t="shared" si="1648"/>
        <v>FFDFD3C0</v>
      </c>
      <c r="D4461" t="s">
        <v>147</v>
      </c>
      <c r="E4461">
        <v>3</v>
      </c>
      <c r="H4461">
        <v>166</v>
      </c>
      <c r="I4461" t="s">
        <v>144</v>
      </c>
      <c r="J4461" t="s">
        <v>148</v>
      </c>
      <c r="K4461">
        <v>0</v>
      </c>
      <c r="L4461">
        <v>3</v>
      </c>
      <c r="M4461">
        <v>0</v>
      </c>
      <c r="N4461">
        <v>2</v>
      </c>
      <c r="O4461">
        <v>0</v>
      </c>
      <c r="P4461">
        <v>1</v>
      </c>
      <c r="Q4461">
        <v>0</v>
      </c>
      <c r="S4461" t="str">
        <f t="shared" si="1646"/>
        <v>19:37:31.000</v>
      </c>
      <c r="T4461" t="str">
        <f t="shared" si="1646"/>
        <v>19:37:31.000</v>
      </c>
      <c r="U4461" t="str">
        <f t="shared" si="1633"/>
        <v>AC3944</v>
      </c>
      <c r="V4461">
        <v>0</v>
      </c>
      <c r="W4461">
        <v>0</v>
      </c>
      <c r="X4461">
        <v>2</v>
      </c>
      <c r="Y4461">
        <v>0</v>
      </c>
      <c r="AA4461">
        <v>1</v>
      </c>
      <c r="AB4461">
        <v>8</v>
      </c>
      <c r="AC4461">
        <v>3</v>
      </c>
      <c r="AD4461">
        <v>0</v>
      </c>
      <c r="AE4461">
        <v>9</v>
      </c>
      <c r="AF4461" t="s">
        <v>138</v>
      </c>
      <c r="AG4461">
        <v>0</v>
      </c>
      <c r="AH4461">
        <v>3</v>
      </c>
      <c r="AI4461">
        <v>1</v>
      </c>
      <c r="AJ4461">
        <v>0</v>
      </c>
      <c r="AK4461" t="s">
        <v>950</v>
      </c>
      <c r="AL4461">
        <v>32.734279999999998</v>
      </c>
      <c r="AM4461" t="s">
        <v>1405</v>
      </c>
      <c r="AN4461">
        <v>-116.709867</v>
      </c>
      <c r="AO4461">
        <v>25</v>
      </c>
      <c r="AP4461">
        <v>4900</v>
      </c>
      <c r="AQ4461" t="s">
        <v>129</v>
      </c>
      <c r="AR4461">
        <v>-149</v>
      </c>
      <c r="AS4461">
        <v>-78</v>
      </c>
      <c r="AT4461">
        <v>-384</v>
      </c>
      <c r="BB4461">
        <v>1200</v>
      </c>
      <c r="BC4461">
        <v>1</v>
      </c>
      <c r="BD4461" t="str">
        <f t="shared" si="1634"/>
        <v xml:space="preserve">N887QR  </v>
      </c>
      <c r="BE4461">
        <v>1</v>
      </c>
      <c r="BG4461">
        <v>0</v>
      </c>
      <c r="BH4461">
        <v>0</v>
      </c>
      <c r="BI4461">
        <v>0</v>
      </c>
      <c r="BJ4461">
        <v>4625</v>
      </c>
      <c r="BK4461">
        <v>-275</v>
      </c>
      <c r="BL4461" t="s">
        <v>163</v>
      </c>
      <c r="BM4461">
        <v>1</v>
      </c>
      <c r="BN4461">
        <v>1</v>
      </c>
      <c r="BO4461">
        <v>1</v>
      </c>
      <c r="BP4461">
        <v>0</v>
      </c>
      <c r="BS4461">
        <v>0</v>
      </c>
      <c r="BT4461">
        <v>0</v>
      </c>
      <c r="BU4461">
        <v>0</v>
      </c>
      <c r="CE4461" t="str">
        <f t="shared" si="1647"/>
        <v>19:37:31.457</v>
      </c>
      <c r="CF4461">
        <v>456966793</v>
      </c>
      <c r="CS4461">
        <v>0</v>
      </c>
      <c r="CT4461">
        <v>2</v>
      </c>
      <c r="CU4461">
        <v>0</v>
      </c>
      <c r="CV4461">
        <v>2</v>
      </c>
      <c r="CW4461">
        <v>0</v>
      </c>
      <c r="CX4461">
        <v>6</v>
      </c>
      <c r="CY4461">
        <v>7</v>
      </c>
      <c r="CZ4461" t="s">
        <v>131</v>
      </c>
      <c r="DA4461">
        <v>286</v>
      </c>
      <c r="DB4461">
        <v>0</v>
      </c>
      <c r="DC4461" t="s">
        <v>132</v>
      </c>
      <c r="DD4461" t="s">
        <v>133</v>
      </c>
      <c r="DG4461">
        <v>914370</v>
      </c>
      <c r="DI4461">
        <v>1</v>
      </c>
      <c r="DJ4461">
        <v>0</v>
      </c>
      <c r="DK4461">
        <v>1</v>
      </c>
      <c r="DL4461">
        <v>0</v>
      </c>
      <c r="DM4461">
        <v>0</v>
      </c>
      <c r="DN4461">
        <v>1</v>
      </c>
      <c r="DO4461">
        <v>0</v>
      </c>
      <c r="DP4461">
        <v>0</v>
      </c>
      <c r="DQ4461">
        <v>0</v>
      </c>
      <c r="DR4461">
        <v>0</v>
      </c>
      <c r="DS4461">
        <v>0</v>
      </c>
    </row>
    <row r="4462" spans="1:123" x14ac:dyDescent="0.3">
      <c r="A4462" t="str">
        <f>"10/04/2022 19:37:31.761"</f>
        <v>10/04/2022 19:37:31.761</v>
      </c>
      <c r="C4462" t="str">
        <f t="shared" si="1648"/>
        <v>FFDFD3C0</v>
      </c>
      <c r="D4462" t="s">
        <v>136</v>
      </c>
      <c r="E4462">
        <v>8</v>
      </c>
      <c r="H4462">
        <v>225</v>
      </c>
      <c r="I4462" t="s">
        <v>137</v>
      </c>
      <c r="J4462" t="s">
        <v>138</v>
      </c>
      <c r="K4462">
        <v>0</v>
      </c>
      <c r="L4462">
        <v>3</v>
      </c>
      <c r="M4462">
        <v>0</v>
      </c>
      <c r="N4462">
        <v>2</v>
      </c>
      <c r="O4462">
        <v>0</v>
      </c>
      <c r="P4462">
        <v>1</v>
      </c>
      <c r="Q4462">
        <v>0</v>
      </c>
      <c r="S4462" t="str">
        <f t="shared" si="1646"/>
        <v>19:37:31.000</v>
      </c>
      <c r="T4462" t="str">
        <f t="shared" si="1646"/>
        <v>19:37:31.000</v>
      </c>
      <c r="U4462" t="str">
        <f t="shared" si="1633"/>
        <v>AC3944</v>
      </c>
      <c r="V4462">
        <v>0</v>
      </c>
      <c r="W4462">
        <v>0</v>
      </c>
      <c r="X4462">
        <v>2</v>
      </c>
      <c r="Y4462">
        <v>0</v>
      </c>
      <c r="AA4462">
        <v>1</v>
      </c>
      <c r="AB4462">
        <v>8</v>
      </c>
      <c r="AC4462">
        <v>3</v>
      </c>
      <c r="AD4462">
        <v>0</v>
      </c>
      <c r="AE4462">
        <v>9</v>
      </c>
      <c r="AF4462" t="s">
        <v>138</v>
      </c>
      <c r="AG4462">
        <v>0</v>
      </c>
      <c r="AH4462">
        <v>3</v>
      </c>
      <c r="AI4462">
        <v>1</v>
      </c>
      <c r="AJ4462">
        <v>0</v>
      </c>
      <c r="AK4462" t="s">
        <v>950</v>
      </c>
      <c r="AL4462">
        <v>32.734279999999998</v>
      </c>
      <c r="AM4462" t="s">
        <v>1405</v>
      </c>
      <c r="AN4462">
        <v>-116.709867</v>
      </c>
      <c r="AO4462">
        <v>25</v>
      </c>
      <c r="AP4462">
        <v>4900</v>
      </c>
      <c r="AQ4462" t="s">
        <v>129</v>
      </c>
      <c r="AR4462">
        <v>-149</v>
      </c>
      <c r="AS4462">
        <v>-78</v>
      </c>
      <c r="AT4462">
        <v>-384</v>
      </c>
      <c r="BB4462">
        <v>1200</v>
      </c>
      <c r="BC4462">
        <v>1</v>
      </c>
      <c r="BD4462" t="str">
        <f t="shared" si="1634"/>
        <v xml:space="preserve">N887QR  </v>
      </c>
      <c r="BE4462">
        <v>1</v>
      </c>
      <c r="BG4462">
        <v>0</v>
      </c>
      <c r="BH4462">
        <v>0</v>
      </c>
      <c r="BI4462">
        <v>0</v>
      </c>
      <c r="BJ4462">
        <v>4625</v>
      </c>
      <c r="BK4462">
        <v>-275</v>
      </c>
      <c r="BL4462" t="s">
        <v>163</v>
      </c>
      <c r="BM4462">
        <v>1</v>
      </c>
      <c r="BN4462">
        <v>1</v>
      </c>
      <c r="BO4462">
        <v>1</v>
      </c>
      <c r="BP4462">
        <v>0</v>
      </c>
      <c r="BS4462">
        <v>0</v>
      </c>
      <c r="BT4462">
        <v>0</v>
      </c>
      <c r="BU4462">
        <v>0</v>
      </c>
      <c r="CE4462" t="str">
        <f t="shared" si="1647"/>
        <v>19:37:31.457</v>
      </c>
      <c r="CF4462">
        <v>456966793</v>
      </c>
      <c r="CS4462">
        <v>0</v>
      </c>
      <c r="CT4462">
        <v>2</v>
      </c>
      <c r="CU4462">
        <v>0</v>
      </c>
      <c r="CV4462">
        <v>2</v>
      </c>
      <c r="CW4462">
        <v>0</v>
      </c>
      <c r="CX4462">
        <v>6</v>
      </c>
      <c r="CY4462">
        <v>7</v>
      </c>
      <c r="CZ4462" t="s">
        <v>131</v>
      </c>
      <c r="DA4462">
        <v>286</v>
      </c>
      <c r="DB4462">
        <v>0</v>
      </c>
      <c r="DC4462" t="s">
        <v>132</v>
      </c>
      <c r="DD4462" t="s">
        <v>133</v>
      </c>
      <c r="DG4462">
        <v>914370</v>
      </c>
      <c r="DI4462">
        <v>1</v>
      </c>
      <c r="DJ4462">
        <v>0</v>
      </c>
      <c r="DK4462">
        <v>1</v>
      </c>
      <c r="DL4462">
        <v>0</v>
      </c>
      <c r="DM4462">
        <v>0</v>
      </c>
      <c r="DN4462">
        <v>1</v>
      </c>
      <c r="DO4462">
        <v>0</v>
      </c>
      <c r="DP4462">
        <v>0</v>
      </c>
      <c r="DQ4462">
        <v>0</v>
      </c>
      <c r="DR4462">
        <v>0</v>
      </c>
      <c r="DS4462">
        <v>0</v>
      </c>
    </row>
    <row r="4463" spans="1:123" x14ac:dyDescent="0.3">
      <c r="A4463" t="str">
        <f>"10/04/2022 19:37:31.996"</f>
        <v>10/04/2022 19:37:31.996</v>
      </c>
      <c r="C4463" t="str">
        <f t="shared" si="1648"/>
        <v>FFDFD3C0</v>
      </c>
      <c r="D4463" t="s">
        <v>136</v>
      </c>
      <c r="E4463">
        <v>8</v>
      </c>
      <c r="H4463">
        <v>225</v>
      </c>
      <c r="I4463" t="s">
        <v>137</v>
      </c>
      <c r="J4463" t="s">
        <v>138</v>
      </c>
      <c r="K4463">
        <v>0</v>
      </c>
      <c r="L4463">
        <v>3</v>
      </c>
      <c r="M4463">
        <v>0</v>
      </c>
      <c r="N4463">
        <v>2</v>
      </c>
      <c r="O4463">
        <v>0</v>
      </c>
      <c r="P4463">
        <v>1</v>
      </c>
      <c r="Q4463">
        <v>0</v>
      </c>
      <c r="S4463" t="str">
        <f t="shared" si="1646"/>
        <v>19:37:31.000</v>
      </c>
      <c r="T4463" t="str">
        <f t="shared" si="1646"/>
        <v>19:37:31.000</v>
      </c>
      <c r="U4463" t="str">
        <f t="shared" si="1633"/>
        <v>AC3944</v>
      </c>
      <c r="V4463">
        <v>0</v>
      </c>
      <c r="W4463">
        <v>0</v>
      </c>
      <c r="X4463">
        <v>2</v>
      </c>
      <c r="Y4463">
        <v>0</v>
      </c>
      <c r="AA4463">
        <v>1</v>
      </c>
      <c r="AB4463">
        <v>8</v>
      </c>
      <c r="AC4463">
        <v>3</v>
      </c>
      <c r="AD4463">
        <v>0</v>
      </c>
      <c r="AE4463">
        <v>9</v>
      </c>
      <c r="AF4463" t="s">
        <v>138</v>
      </c>
      <c r="AG4463">
        <v>0</v>
      </c>
      <c r="AH4463">
        <v>3</v>
      </c>
      <c r="AI4463">
        <v>1</v>
      </c>
      <c r="AJ4463">
        <v>0</v>
      </c>
      <c r="AK4463" t="s">
        <v>1406</v>
      </c>
      <c r="AL4463">
        <v>32.733915000000003</v>
      </c>
      <c r="AM4463" t="s">
        <v>1407</v>
      </c>
      <c r="AN4463">
        <v>-116.71068200000001</v>
      </c>
      <c r="AO4463">
        <v>25</v>
      </c>
      <c r="AP4463">
        <v>4900</v>
      </c>
      <c r="AQ4463" t="s">
        <v>129</v>
      </c>
      <c r="AR4463">
        <v>-149</v>
      </c>
      <c r="AS4463">
        <v>-78</v>
      </c>
      <c r="AT4463">
        <v>-384</v>
      </c>
      <c r="BB4463">
        <v>1200</v>
      </c>
      <c r="BC4463">
        <v>1</v>
      </c>
      <c r="BD4463" t="str">
        <f t="shared" si="1634"/>
        <v xml:space="preserve">N887QR  </v>
      </c>
      <c r="BE4463">
        <v>1</v>
      </c>
      <c r="BG4463">
        <v>0</v>
      </c>
      <c r="BH4463">
        <v>0</v>
      </c>
      <c r="BI4463">
        <v>0</v>
      </c>
      <c r="BJ4463">
        <v>4625</v>
      </c>
      <c r="BK4463">
        <v>-275</v>
      </c>
      <c r="BL4463" t="s">
        <v>163</v>
      </c>
      <c r="BM4463">
        <v>1</v>
      </c>
      <c r="BN4463">
        <v>1</v>
      </c>
      <c r="BO4463">
        <v>1</v>
      </c>
      <c r="BP4463">
        <v>0</v>
      </c>
      <c r="BS4463">
        <v>0</v>
      </c>
      <c r="BT4463">
        <v>0</v>
      </c>
      <c r="BU4463">
        <v>0</v>
      </c>
      <c r="CE4463" t="str">
        <f t="shared" ref="CE4463:CE4469" si="1649">"19:37:31.751"</f>
        <v>19:37:31.751</v>
      </c>
      <c r="CF4463">
        <v>750967645</v>
      </c>
      <c r="CS4463">
        <v>0</v>
      </c>
      <c r="CT4463">
        <v>2</v>
      </c>
      <c r="CU4463">
        <v>0</v>
      </c>
      <c r="CV4463">
        <v>2</v>
      </c>
      <c r="CW4463">
        <v>0</v>
      </c>
      <c r="CX4463">
        <v>6</v>
      </c>
      <c r="CY4463">
        <v>7</v>
      </c>
      <c r="CZ4463" t="s">
        <v>131</v>
      </c>
      <c r="DA4463">
        <v>286</v>
      </c>
      <c r="DB4463">
        <v>0</v>
      </c>
      <c r="DC4463" t="s">
        <v>132</v>
      </c>
      <c r="DD4463" t="s">
        <v>133</v>
      </c>
      <c r="DG4463">
        <v>914430</v>
      </c>
      <c r="DI4463">
        <v>1</v>
      </c>
      <c r="DJ4463">
        <v>0</v>
      </c>
      <c r="DK4463">
        <v>0</v>
      </c>
      <c r="DL4463">
        <v>0</v>
      </c>
      <c r="DM4463">
        <v>0</v>
      </c>
      <c r="DN4463">
        <v>1</v>
      </c>
      <c r="DO4463">
        <v>0</v>
      </c>
      <c r="DP4463">
        <v>0</v>
      </c>
      <c r="DQ4463">
        <v>0</v>
      </c>
      <c r="DR4463">
        <v>0</v>
      </c>
      <c r="DS4463">
        <v>0</v>
      </c>
    </row>
    <row r="4464" spans="1:123" x14ac:dyDescent="0.3">
      <c r="A4464" t="str">
        <f>"10/04/2022 19:37:31.996"</f>
        <v>10/04/2022 19:37:31.996</v>
      </c>
      <c r="C4464" t="str">
        <f t="shared" si="1648"/>
        <v>FFDFD3C0</v>
      </c>
      <c r="D4464" t="s">
        <v>143</v>
      </c>
      <c r="E4464">
        <v>20</v>
      </c>
      <c r="F4464">
        <v>1020</v>
      </c>
      <c r="G4464" t="s">
        <v>144</v>
      </c>
      <c r="J4464" t="s">
        <v>145</v>
      </c>
      <c r="K4464">
        <v>0</v>
      </c>
      <c r="L4464">
        <v>3</v>
      </c>
      <c r="M4464">
        <v>0</v>
      </c>
      <c r="N4464">
        <v>2</v>
      </c>
      <c r="O4464">
        <v>0</v>
      </c>
      <c r="P4464">
        <v>1</v>
      </c>
      <c r="Q4464">
        <v>0</v>
      </c>
      <c r="S4464" t="str">
        <f t="shared" si="1646"/>
        <v>19:37:31.000</v>
      </c>
      <c r="T4464" t="str">
        <f t="shared" si="1646"/>
        <v>19:37:31.000</v>
      </c>
      <c r="U4464" t="str">
        <f t="shared" si="1633"/>
        <v>AC3944</v>
      </c>
      <c r="V4464">
        <v>0</v>
      </c>
      <c r="W4464">
        <v>0</v>
      </c>
      <c r="X4464">
        <v>2</v>
      </c>
      <c r="Y4464">
        <v>0</v>
      </c>
      <c r="AA4464">
        <v>1</v>
      </c>
      <c r="AB4464">
        <v>8</v>
      </c>
      <c r="AC4464">
        <v>3</v>
      </c>
      <c r="AD4464">
        <v>0</v>
      </c>
      <c r="AE4464">
        <v>9</v>
      </c>
      <c r="AF4464" t="s">
        <v>138</v>
      </c>
      <c r="AG4464">
        <v>0</v>
      </c>
      <c r="AH4464">
        <v>3</v>
      </c>
      <c r="AI4464">
        <v>1</v>
      </c>
      <c r="AJ4464">
        <v>0</v>
      </c>
      <c r="AK4464" t="s">
        <v>1406</v>
      </c>
      <c r="AL4464">
        <v>32.733915000000003</v>
      </c>
      <c r="AM4464" t="s">
        <v>1407</v>
      </c>
      <c r="AN4464">
        <v>-116.71068200000001</v>
      </c>
      <c r="AO4464">
        <v>25</v>
      </c>
      <c r="AP4464">
        <v>4900</v>
      </c>
      <c r="AQ4464" t="s">
        <v>129</v>
      </c>
      <c r="AR4464">
        <v>-149</v>
      </c>
      <c r="AS4464">
        <v>-78</v>
      </c>
      <c r="AT4464">
        <v>-384</v>
      </c>
      <c r="BB4464">
        <v>1200</v>
      </c>
      <c r="BC4464">
        <v>1</v>
      </c>
      <c r="BD4464" t="str">
        <f t="shared" si="1634"/>
        <v xml:space="preserve">N887QR  </v>
      </c>
      <c r="BE4464">
        <v>1</v>
      </c>
      <c r="BG4464">
        <v>0</v>
      </c>
      <c r="BH4464">
        <v>0</v>
      </c>
      <c r="BI4464">
        <v>0</v>
      </c>
      <c r="BJ4464">
        <v>4625</v>
      </c>
      <c r="BK4464">
        <v>-275</v>
      </c>
      <c r="BL4464" t="s">
        <v>163</v>
      </c>
      <c r="BM4464">
        <v>1</v>
      </c>
      <c r="BN4464">
        <v>1</v>
      </c>
      <c r="BO4464">
        <v>1</v>
      </c>
      <c r="BP4464">
        <v>0</v>
      </c>
      <c r="BS4464">
        <v>0</v>
      </c>
      <c r="BT4464">
        <v>0</v>
      </c>
      <c r="BU4464">
        <v>0</v>
      </c>
      <c r="CE4464" t="str">
        <f t="shared" si="1649"/>
        <v>19:37:31.751</v>
      </c>
      <c r="CF4464">
        <v>750967645</v>
      </c>
      <c r="CS4464">
        <v>0</v>
      </c>
      <c r="CT4464">
        <v>2</v>
      </c>
      <c r="CU4464">
        <v>0</v>
      </c>
      <c r="CV4464">
        <v>2</v>
      </c>
      <c r="CW4464">
        <v>0</v>
      </c>
      <c r="CX4464">
        <v>6</v>
      </c>
      <c r="CY4464">
        <v>7</v>
      </c>
      <c r="CZ4464" t="s">
        <v>131</v>
      </c>
      <c r="DA4464">
        <v>286</v>
      </c>
      <c r="DB4464">
        <v>0</v>
      </c>
      <c r="DC4464" t="s">
        <v>132</v>
      </c>
      <c r="DD4464" t="s">
        <v>133</v>
      </c>
      <c r="DG4464">
        <v>914430</v>
      </c>
      <c r="DI4464">
        <v>1</v>
      </c>
      <c r="DJ4464">
        <v>0</v>
      </c>
      <c r="DK4464">
        <v>1</v>
      </c>
      <c r="DL4464">
        <v>0</v>
      </c>
      <c r="DM4464">
        <v>0</v>
      </c>
      <c r="DN4464">
        <v>1</v>
      </c>
      <c r="DO4464">
        <v>0</v>
      </c>
      <c r="DP4464">
        <v>0</v>
      </c>
      <c r="DQ4464">
        <v>0</v>
      </c>
      <c r="DR4464">
        <v>0</v>
      </c>
      <c r="DS4464">
        <v>0</v>
      </c>
    </row>
    <row r="4465" spans="1:123" x14ac:dyDescent="0.3">
      <c r="A4465" t="str">
        <f>"10/04/2022 19:37:31.996"</f>
        <v>10/04/2022 19:37:31.996</v>
      </c>
      <c r="C4465" t="str">
        <f t="shared" si="1648"/>
        <v>FFDFD3C0</v>
      </c>
      <c r="D4465" t="s">
        <v>123</v>
      </c>
      <c r="E4465">
        <v>7</v>
      </c>
      <c r="F4465">
        <v>2007</v>
      </c>
      <c r="G4465" t="s">
        <v>124</v>
      </c>
      <c r="J4465" t="s">
        <v>125</v>
      </c>
      <c r="K4465">
        <v>0</v>
      </c>
      <c r="L4465">
        <v>3</v>
      </c>
      <c r="M4465">
        <v>0</v>
      </c>
      <c r="N4465">
        <v>2</v>
      </c>
      <c r="O4465">
        <v>0</v>
      </c>
      <c r="P4465">
        <v>1</v>
      </c>
      <c r="Q4465">
        <v>0</v>
      </c>
      <c r="S4465" t="str">
        <f t="shared" si="1646"/>
        <v>19:37:31.000</v>
      </c>
      <c r="T4465" t="str">
        <f t="shared" si="1646"/>
        <v>19:37:31.000</v>
      </c>
      <c r="U4465" t="str">
        <f t="shared" si="1633"/>
        <v>AC3944</v>
      </c>
      <c r="V4465">
        <v>0</v>
      </c>
      <c r="W4465">
        <v>0</v>
      </c>
      <c r="X4465">
        <v>2</v>
      </c>
      <c r="Y4465">
        <v>0</v>
      </c>
      <c r="AA4465">
        <v>1</v>
      </c>
      <c r="AB4465">
        <v>8</v>
      </c>
      <c r="AC4465">
        <v>3</v>
      </c>
      <c r="AD4465">
        <v>0</v>
      </c>
      <c r="AE4465">
        <v>9</v>
      </c>
      <c r="AF4465" t="s">
        <v>138</v>
      </c>
      <c r="AG4465">
        <v>0</v>
      </c>
      <c r="AH4465">
        <v>3</v>
      </c>
      <c r="AI4465">
        <v>1</v>
      </c>
      <c r="AJ4465">
        <v>0</v>
      </c>
      <c r="AK4465" t="s">
        <v>1406</v>
      </c>
      <c r="AL4465">
        <v>32.733915000000003</v>
      </c>
      <c r="AM4465" t="s">
        <v>1407</v>
      </c>
      <c r="AN4465">
        <v>-116.71068200000001</v>
      </c>
      <c r="AO4465">
        <v>25</v>
      </c>
      <c r="AP4465">
        <v>4900</v>
      </c>
      <c r="AQ4465" t="s">
        <v>129</v>
      </c>
      <c r="AR4465">
        <v>-149</v>
      </c>
      <c r="AS4465">
        <v>-78</v>
      </c>
      <c r="AT4465">
        <v>-384</v>
      </c>
      <c r="BB4465">
        <v>1200</v>
      </c>
      <c r="BC4465">
        <v>1</v>
      </c>
      <c r="BD4465" t="str">
        <f t="shared" si="1634"/>
        <v xml:space="preserve">N887QR  </v>
      </c>
      <c r="BE4465">
        <v>1</v>
      </c>
      <c r="BG4465">
        <v>0</v>
      </c>
      <c r="BH4465">
        <v>0</v>
      </c>
      <c r="BI4465">
        <v>0</v>
      </c>
      <c r="BJ4465">
        <v>4625</v>
      </c>
      <c r="BK4465">
        <v>-275</v>
      </c>
      <c r="BL4465" t="s">
        <v>163</v>
      </c>
      <c r="BM4465">
        <v>1</v>
      </c>
      <c r="BN4465">
        <v>1</v>
      </c>
      <c r="BO4465">
        <v>1</v>
      </c>
      <c r="BP4465">
        <v>0</v>
      </c>
      <c r="BS4465">
        <v>0</v>
      </c>
      <c r="BT4465">
        <v>0</v>
      </c>
      <c r="BU4465">
        <v>0</v>
      </c>
      <c r="CE4465" t="str">
        <f t="shared" si="1649"/>
        <v>19:37:31.751</v>
      </c>
      <c r="CF4465">
        <v>750967645</v>
      </c>
      <c r="CS4465">
        <v>0</v>
      </c>
      <c r="CT4465">
        <v>2</v>
      </c>
      <c r="CU4465">
        <v>0</v>
      </c>
      <c r="CV4465">
        <v>2</v>
      </c>
      <c r="CW4465">
        <v>0</v>
      </c>
      <c r="CX4465">
        <v>6</v>
      </c>
      <c r="CY4465">
        <v>7</v>
      </c>
      <c r="CZ4465" t="s">
        <v>131</v>
      </c>
      <c r="DA4465">
        <v>286</v>
      </c>
      <c r="DB4465">
        <v>0</v>
      </c>
      <c r="DC4465" t="s">
        <v>132</v>
      </c>
      <c r="DD4465" t="s">
        <v>133</v>
      </c>
      <c r="DG4465">
        <v>914430</v>
      </c>
      <c r="DI4465">
        <v>1</v>
      </c>
      <c r="DJ4465">
        <v>0</v>
      </c>
      <c r="DK4465">
        <v>1</v>
      </c>
      <c r="DL4465">
        <v>0</v>
      </c>
      <c r="DM4465">
        <v>0</v>
      </c>
      <c r="DN4465">
        <v>1</v>
      </c>
      <c r="DO4465">
        <v>0</v>
      </c>
      <c r="DP4465">
        <v>0</v>
      </c>
      <c r="DQ4465">
        <v>0</v>
      </c>
      <c r="DR4465">
        <v>0</v>
      </c>
      <c r="DS4465">
        <v>0</v>
      </c>
    </row>
    <row r="4466" spans="1:123" x14ac:dyDescent="0.3">
      <c r="A4466" t="str">
        <f>"10/04/2022 19:37:31.996"</f>
        <v>10/04/2022 19:37:31.996</v>
      </c>
      <c r="C4466" t="str">
        <f t="shared" si="1648"/>
        <v>FFDFD3C0</v>
      </c>
      <c r="D4466" t="s">
        <v>134</v>
      </c>
      <c r="E4466">
        <v>15</v>
      </c>
      <c r="J4466" t="s">
        <v>135</v>
      </c>
      <c r="K4466">
        <v>0</v>
      </c>
      <c r="L4466">
        <v>3</v>
      </c>
      <c r="M4466">
        <v>0</v>
      </c>
      <c r="N4466">
        <v>2</v>
      </c>
      <c r="O4466">
        <v>0</v>
      </c>
      <c r="P4466">
        <v>1</v>
      </c>
      <c r="Q4466">
        <v>0</v>
      </c>
      <c r="S4466" t="str">
        <f t="shared" si="1646"/>
        <v>19:37:31.000</v>
      </c>
      <c r="T4466" t="str">
        <f t="shared" si="1646"/>
        <v>19:37:31.000</v>
      </c>
      <c r="U4466" t="str">
        <f t="shared" si="1633"/>
        <v>AC3944</v>
      </c>
      <c r="V4466">
        <v>0</v>
      </c>
      <c r="W4466">
        <v>0</v>
      </c>
      <c r="X4466">
        <v>2</v>
      </c>
      <c r="Y4466">
        <v>0</v>
      </c>
      <c r="AA4466">
        <v>1</v>
      </c>
      <c r="AB4466">
        <v>8</v>
      </c>
      <c r="AC4466">
        <v>3</v>
      </c>
      <c r="AD4466">
        <v>0</v>
      </c>
      <c r="AE4466">
        <v>9</v>
      </c>
      <c r="AF4466" t="s">
        <v>138</v>
      </c>
      <c r="AG4466">
        <v>0</v>
      </c>
      <c r="AH4466">
        <v>3</v>
      </c>
      <c r="AI4466">
        <v>1</v>
      </c>
      <c r="AJ4466">
        <v>0</v>
      </c>
      <c r="AK4466" t="s">
        <v>1406</v>
      </c>
      <c r="AL4466">
        <v>32.733915000000003</v>
      </c>
      <c r="AM4466" t="s">
        <v>1407</v>
      </c>
      <c r="AN4466">
        <v>-116.71068200000001</v>
      </c>
      <c r="AO4466">
        <v>25</v>
      </c>
      <c r="AP4466">
        <v>4900</v>
      </c>
      <c r="AQ4466" t="s">
        <v>129</v>
      </c>
      <c r="AR4466">
        <v>-149</v>
      </c>
      <c r="AS4466">
        <v>-78</v>
      </c>
      <c r="AT4466">
        <v>-384</v>
      </c>
      <c r="BB4466">
        <v>1200</v>
      </c>
      <c r="BC4466">
        <v>1</v>
      </c>
      <c r="BD4466" t="str">
        <f t="shared" si="1634"/>
        <v xml:space="preserve">N887QR  </v>
      </c>
      <c r="BE4466">
        <v>1</v>
      </c>
      <c r="BG4466">
        <v>0</v>
      </c>
      <c r="BH4466">
        <v>0</v>
      </c>
      <c r="BI4466">
        <v>0</v>
      </c>
      <c r="BJ4466">
        <v>4625</v>
      </c>
      <c r="BK4466">
        <v>-275</v>
      </c>
      <c r="BL4466" t="s">
        <v>163</v>
      </c>
      <c r="BM4466">
        <v>1</v>
      </c>
      <c r="BN4466">
        <v>1</v>
      </c>
      <c r="BO4466">
        <v>1</v>
      </c>
      <c r="BP4466">
        <v>0</v>
      </c>
      <c r="BS4466">
        <v>0</v>
      </c>
      <c r="BT4466">
        <v>0</v>
      </c>
      <c r="BU4466">
        <v>0</v>
      </c>
      <c r="CE4466" t="str">
        <f t="shared" si="1649"/>
        <v>19:37:31.751</v>
      </c>
      <c r="CF4466">
        <v>750967645</v>
      </c>
      <c r="CS4466">
        <v>0</v>
      </c>
      <c r="CT4466">
        <v>2</v>
      </c>
      <c r="CU4466">
        <v>0</v>
      </c>
      <c r="CV4466">
        <v>2</v>
      </c>
      <c r="CW4466">
        <v>0</v>
      </c>
      <c r="CX4466">
        <v>6</v>
      </c>
      <c r="CY4466">
        <v>7</v>
      </c>
      <c r="CZ4466" t="s">
        <v>131</v>
      </c>
      <c r="DA4466">
        <v>286</v>
      </c>
      <c r="DB4466">
        <v>0</v>
      </c>
      <c r="DC4466" t="s">
        <v>132</v>
      </c>
      <c r="DD4466" t="s">
        <v>133</v>
      </c>
      <c r="DG4466">
        <v>914430</v>
      </c>
      <c r="DI4466">
        <v>1</v>
      </c>
      <c r="DJ4466">
        <v>0</v>
      </c>
      <c r="DK4466">
        <v>1</v>
      </c>
      <c r="DL4466">
        <v>0</v>
      </c>
      <c r="DM4466">
        <v>0</v>
      </c>
      <c r="DN4466">
        <v>1</v>
      </c>
      <c r="DO4466">
        <v>0</v>
      </c>
      <c r="DP4466">
        <v>0</v>
      </c>
      <c r="DQ4466">
        <v>0</v>
      </c>
      <c r="DR4466">
        <v>0</v>
      </c>
      <c r="DS4466">
        <v>0</v>
      </c>
    </row>
    <row r="4467" spans="1:123" x14ac:dyDescent="0.3">
      <c r="A4467" t="str">
        <f>"10/04/2022 19:37:31.996"</f>
        <v>10/04/2022 19:37:31.996</v>
      </c>
      <c r="C4467" t="str">
        <f t="shared" si="1648"/>
        <v>FFDFD3C0</v>
      </c>
      <c r="D4467" t="s">
        <v>141</v>
      </c>
      <c r="E4467">
        <v>4</v>
      </c>
      <c r="H4467">
        <v>4</v>
      </c>
      <c r="I4467" t="s">
        <v>142</v>
      </c>
      <c r="J4467" t="s">
        <v>138</v>
      </c>
      <c r="K4467">
        <v>0</v>
      </c>
      <c r="L4467">
        <v>3</v>
      </c>
      <c r="M4467">
        <v>0</v>
      </c>
      <c r="N4467">
        <v>2</v>
      </c>
      <c r="O4467">
        <v>0</v>
      </c>
      <c r="P4467">
        <v>1</v>
      </c>
      <c r="Q4467">
        <v>0</v>
      </c>
      <c r="S4467" t="str">
        <f t="shared" si="1646"/>
        <v>19:37:31.000</v>
      </c>
      <c r="T4467" t="str">
        <f t="shared" si="1646"/>
        <v>19:37:31.000</v>
      </c>
      <c r="U4467" t="str">
        <f t="shared" si="1633"/>
        <v>AC3944</v>
      </c>
      <c r="V4467">
        <v>0</v>
      </c>
      <c r="W4467">
        <v>0</v>
      </c>
      <c r="X4467">
        <v>2</v>
      </c>
      <c r="Y4467">
        <v>0</v>
      </c>
      <c r="AA4467">
        <v>1</v>
      </c>
      <c r="AB4467">
        <v>8</v>
      </c>
      <c r="AC4467">
        <v>3</v>
      </c>
      <c r="AD4467">
        <v>0</v>
      </c>
      <c r="AE4467">
        <v>9</v>
      </c>
      <c r="AF4467" t="s">
        <v>138</v>
      </c>
      <c r="AG4467">
        <v>0</v>
      </c>
      <c r="AH4467">
        <v>3</v>
      </c>
      <c r="AI4467">
        <v>1</v>
      </c>
      <c r="AJ4467">
        <v>0</v>
      </c>
      <c r="AK4467" t="s">
        <v>1406</v>
      </c>
      <c r="AL4467">
        <v>32.733915000000003</v>
      </c>
      <c r="AM4467" t="s">
        <v>1407</v>
      </c>
      <c r="AN4467">
        <v>-116.71068200000001</v>
      </c>
      <c r="AO4467">
        <v>25</v>
      </c>
      <c r="AP4467">
        <v>4900</v>
      </c>
      <c r="AQ4467" t="s">
        <v>129</v>
      </c>
      <c r="AR4467">
        <v>-149</v>
      </c>
      <c r="AS4467">
        <v>-78</v>
      </c>
      <c r="AT4467">
        <v>-384</v>
      </c>
      <c r="BB4467">
        <v>1200</v>
      </c>
      <c r="BC4467">
        <v>1</v>
      </c>
      <c r="BD4467" t="str">
        <f t="shared" si="1634"/>
        <v xml:space="preserve">N887QR  </v>
      </c>
      <c r="BE4467">
        <v>1</v>
      </c>
      <c r="BG4467">
        <v>0</v>
      </c>
      <c r="BH4467">
        <v>0</v>
      </c>
      <c r="BI4467">
        <v>0</v>
      </c>
      <c r="BJ4467">
        <v>4625</v>
      </c>
      <c r="BK4467">
        <v>-275</v>
      </c>
      <c r="BL4467" t="s">
        <v>163</v>
      </c>
      <c r="BM4467">
        <v>1</v>
      </c>
      <c r="BN4467">
        <v>1</v>
      </c>
      <c r="BO4467">
        <v>1</v>
      </c>
      <c r="BP4467">
        <v>0</v>
      </c>
      <c r="BS4467">
        <v>0</v>
      </c>
      <c r="BT4467">
        <v>0</v>
      </c>
      <c r="BU4467">
        <v>0</v>
      </c>
      <c r="CE4467" t="str">
        <f t="shared" si="1649"/>
        <v>19:37:31.751</v>
      </c>
      <c r="CF4467">
        <v>750967645</v>
      </c>
      <c r="CS4467">
        <v>0</v>
      </c>
      <c r="CT4467">
        <v>2</v>
      </c>
      <c r="CU4467">
        <v>0</v>
      </c>
      <c r="CV4467">
        <v>2</v>
      </c>
      <c r="CW4467">
        <v>0</v>
      </c>
      <c r="CX4467">
        <v>6</v>
      </c>
      <c r="CY4467">
        <v>7</v>
      </c>
      <c r="CZ4467" t="s">
        <v>131</v>
      </c>
      <c r="DA4467">
        <v>286</v>
      </c>
      <c r="DB4467">
        <v>0</v>
      </c>
      <c r="DC4467" t="s">
        <v>132</v>
      </c>
      <c r="DD4467" t="s">
        <v>133</v>
      </c>
      <c r="DG4467">
        <v>914430</v>
      </c>
      <c r="DI4467">
        <v>1</v>
      </c>
      <c r="DJ4467">
        <v>0</v>
      </c>
      <c r="DK4467">
        <v>1</v>
      </c>
      <c r="DL4467">
        <v>0</v>
      </c>
      <c r="DM4467">
        <v>0</v>
      </c>
      <c r="DN4467">
        <v>1</v>
      </c>
      <c r="DO4467">
        <v>0</v>
      </c>
      <c r="DP4467">
        <v>0</v>
      </c>
      <c r="DQ4467">
        <v>0</v>
      </c>
      <c r="DR4467">
        <v>0</v>
      </c>
      <c r="DS4467">
        <v>0</v>
      </c>
    </row>
    <row r="4468" spans="1:123" x14ac:dyDescent="0.3">
      <c r="A4468" t="str">
        <f>"10/04/2022 19:37:32.011"</f>
        <v>10/04/2022 19:37:32.011</v>
      </c>
      <c r="C4468" t="str">
        <f t="shared" si="1648"/>
        <v>FFDFD3C0</v>
      </c>
      <c r="D4468" t="s">
        <v>141</v>
      </c>
      <c r="E4468">
        <v>3</v>
      </c>
      <c r="H4468">
        <v>3</v>
      </c>
      <c r="I4468" t="s">
        <v>146</v>
      </c>
      <c r="J4468" t="s">
        <v>138</v>
      </c>
      <c r="K4468">
        <v>0</v>
      </c>
      <c r="L4468">
        <v>3</v>
      </c>
      <c r="M4468">
        <v>0</v>
      </c>
      <c r="N4468">
        <v>2</v>
      </c>
      <c r="O4468">
        <v>0</v>
      </c>
      <c r="P4468">
        <v>1</v>
      </c>
      <c r="Q4468">
        <v>0</v>
      </c>
      <c r="S4468" t="str">
        <f t="shared" si="1646"/>
        <v>19:37:31.000</v>
      </c>
      <c r="T4468" t="str">
        <f t="shared" si="1646"/>
        <v>19:37:31.000</v>
      </c>
      <c r="U4468" t="str">
        <f t="shared" si="1633"/>
        <v>AC3944</v>
      </c>
      <c r="V4468">
        <v>0</v>
      </c>
      <c r="W4468">
        <v>0</v>
      </c>
      <c r="X4468">
        <v>2</v>
      </c>
      <c r="Y4468">
        <v>0</v>
      </c>
      <c r="AA4468">
        <v>1</v>
      </c>
      <c r="AB4468">
        <v>8</v>
      </c>
      <c r="AC4468">
        <v>3</v>
      </c>
      <c r="AD4468">
        <v>0</v>
      </c>
      <c r="AE4468">
        <v>9</v>
      </c>
      <c r="AF4468" t="s">
        <v>138</v>
      </c>
      <c r="AG4468">
        <v>0</v>
      </c>
      <c r="AH4468">
        <v>3</v>
      </c>
      <c r="AI4468">
        <v>1</v>
      </c>
      <c r="AJ4468">
        <v>0</v>
      </c>
      <c r="AK4468" t="s">
        <v>1406</v>
      </c>
      <c r="AL4468">
        <v>32.733915000000003</v>
      </c>
      <c r="AM4468" t="s">
        <v>1407</v>
      </c>
      <c r="AN4468">
        <v>-116.71068200000001</v>
      </c>
      <c r="AO4468">
        <v>25</v>
      </c>
      <c r="AP4468">
        <v>4900</v>
      </c>
      <c r="AQ4468" t="s">
        <v>129</v>
      </c>
      <c r="AR4468">
        <v>-149</v>
      </c>
      <c r="AS4468">
        <v>-78</v>
      </c>
      <c r="AT4468">
        <v>-384</v>
      </c>
      <c r="BB4468">
        <v>1200</v>
      </c>
      <c r="BC4468">
        <v>1</v>
      </c>
      <c r="BD4468" t="str">
        <f t="shared" si="1634"/>
        <v xml:space="preserve">N887QR  </v>
      </c>
      <c r="BE4468">
        <v>1</v>
      </c>
      <c r="BG4468">
        <v>0</v>
      </c>
      <c r="BH4468">
        <v>0</v>
      </c>
      <c r="BI4468">
        <v>0</v>
      </c>
      <c r="BJ4468">
        <v>4625</v>
      </c>
      <c r="BK4468">
        <v>-275</v>
      </c>
      <c r="BL4468" t="s">
        <v>163</v>
      </c>
      <c r="BM4468">
        <v>1</v>
      </c>
      <c r="BN4468">
        <v>1</v>
      </c>
      <c r="BO4468">
        <v>1</v>
      </c>
      <c r="BP4468">
        <v>0</v>
      </c>
      <c r="BS4468">
        <v>0</v>
      </c>
      <c r="BT4468">
        <v>0</v>
      </c>
      <c r="BU4468">
        <v>0</v>
      </c>
      <c r="CE4468" t="str">
        <f t="shared" si="1649"/>
        <v>19:37:31.751</v>
      </c>
      <c r="CF4468">
        <v>750967645</v>
      </c>
      <c r="CS4468">
        <v>0</v>
      </c>
      <c r="CT4468">
        <v>2</v>
      </c>
      <c r="CU4468">
        <v>0</v>
      </c>
      <c r="CV4468">
        <v>2</v>
      </c>
      <c r="CW4468">
        <v>0</v>
      </c>
      <c r="CX4468">
        <v>6</v>
      </c>
      <c r="CY4468">
        <v>7</v>
      </c>
      <c r="CZ4468" t="s">
        <v>131</v>
      </c>
      <c r="DA4468">
        <v>286</v>
      </c>
      <c r="DB4468">
        <v>0</v>
      </c>
      <c r="DC4468" t="s">
        <v>132</v>
      </c>
      <c r="DD4468" t="s">
        <v>133</v>
      </c>
      <c r="DG4468">
        <v>914430</v>
      </c>
      <c r="DI4468">
        <v>1</v>
      </c>
      <c r="DJ4468">
        <v>0</v>
      </c>
      <c r="DK4468">
        <v>1</v>
      </c>
      <c r="DL4468">
        <v>0</v>
      </c>
      <c r="DM4468">
        <v>0</v>
      </c>
      <c r="DN4468">
        <v>1</v>
      </c>
      <c r="DO4468">
        <v>0</v>
      </c>
      <c r="DP4468">
        <v>0</v>
      </c>
      <c r="DQ4468">
        <v>0</v>
      </c>
      <c r="DR4468">
        <v>0</v>
      </c>
      <c r="DS4468">
        <v>0</v>
      </c>
    </row>
    <row r="4469" spans="1:123" x14ac:dyDescent="0.3">
      <c r="A4469" t="str">
        <f>"10/04/2022 19:37:32.011"</f>
        <v>10/04/2022 19:37:32.011</v>
      </c>
      <c r="C4469" t="str">
        <f t="shared" si="1648"/>
        <v>FFDFD3C0</v>
      </c>
      <c r="D4469" t="s">
        <v>147</v>
      </c>
      <c r="E4469">
        <v>3</v>
      </c>
      <c r="H4469">
        <v>166</v>
      </c>
      <c r="I4469" t="s">
        <v>144</v>
      </c>
      <c r="J4469" t="s">
        <v>148</v>
      </c>
      <c r="K4469">
        <v>0</v>
      </c>
      <c r="L4469">
        <v>3</v>
      </c>
      <c r="M4469">
        <v>0</v>
      </c>
      <c r="N4469">
        <v>2</v>
      </c>
      <c r="O4469">
        <v>0</v>
      </c>
      <c r="P4469">
        <v>1</v>
      </c>
      <c r="Q4469">
        <v>0</v>
      </c>
      <c r="S4469" t="str">
        <f t="shared" si="1646"/>
        <v>19:37:31.000</v>
      </c>
      <c r="T4469" t="str">
        <f t="shared" si="1646"/>
        <v>19:37:31.000</v>
      </c>
      <c r="U4469" t="str">
        <f t="shared" si="1633"/>
        <v>AC3944</v>
      </c>
      <c r="V4469">
        <v>0</v>
      </c>
      <c r="W4469">
        <v>0</v>
      </c>
      <c r="X4469">
        <v>2</v>
      </c>
      <c r="Y4469">
        <v>0</v>
      </c>
      <c r="AA4469">
        <v>1</v>
      </c>
      <c r="AB4469">
        <v>8</v>
      </c>
      <c r="AC4469">
        <v>3</v>
      </c>
      <c r="AD4469">
        <v>0</v>
      </c>
      <c r="AE4469">
        <v>9</v>
      </c>
      <c r="AF4469" t="s">
        <v>138</v>
      </c>
      <c r="AG4469">
        <v>0</v>
      </c>
      <c r="AH4469">
        <v>3</v>
      </c>
      <c r="AI4469">
        <v>1</v>
      </c>
      <c r="AJ4469">
        <v>0</v>
      </c>
      <c r="AK4469" t="s">
        <v>1406</v>
      </c>
      <c r="AL4469">
        <v>32.733915000000003</v>
      </c>
      <c r="AM4469" t="s">
        <v>1407</v>
      </c>
      <c r="AN4469">
        <v>-116.71068200000001</v>
      </c>
      <c r="AO4469">
        <v>25</v>
      </c>
      <c r="AP4469">
        <v>4900</v>
      </c>
      <c r="AQ4469" t="s">
        <v>129</v>
      </c>
      <c r="AR4469">
        <v>-149</v>
      </c>
      <c r="AS4469">
        <v>-78</v>
      </c>
      <c r="AT4469">
        <v>-384</v>
      </c>
      <c r="BB4469">
        <v>1200</v>
      </c>
      <c r="BC4469">
        <v>1</v>
      </c>
      <c r="BD4469" t="str">
        <f t="shared" si="1634"/>
        <v xml:space="preserve">N887QR  </v>
      </c>
      <c r="BE4469">
        <v>1</v>
      </c>
      <c r="BG4469">
        <v>0</v>
      </c>
      <c r="BH4469">
        <v>0</v>
      </c>
      <c r="BI4469">
        <v>0</v>
      </c>
      <c r="BJ4469">
        <v>4625</v>
      </c>
      <c r="BK4469">
        <v>-275</v>
      </c>
      <c r="BL4469" t="s">
        <v>163</v>
      </c>
      <c r="BM4469">
        <v>1</v>
      </c>
      <c r="BN4469">
        <v>1</v>
      </c>
      <c r="BO4469">
        <v>1</v>
      </c>
      <c r="BP4469">
        <v>0</v>
      </c>
      <c r="BS4469">
        <v>0</v>
      </c>
      <c r="BT4469">
        <v>0</v>
      </c>
      <c r="BU4469">
        <v>0</v>
      </c>
      <c r="CE4469" t="str">
        <f t="shared" si="1649"/>
        <v>19:37:31.751</v>
      </c>
      <c r="CF4469">
        <v>750967645</v>
      </c>
      <c r="CS4469">
        <v>0</v>
      </c>
      <c r="CT4469">
        <v>2</v>
      </c>
      <c r="CU4469">
        <v>0</v>
      </c>
      <c r="CV4469">
        <v>2</v>
      </c>
      <c r="CW4469">
        <v>0</v>
      </c>
      <c r="CX4469">
        <v>6</v>
      </c>
      <c r="CY4469">
        <v>7</v>
      </c>
      <c r="CZ4469" t="s">
        <v>131</v>
      </c>
      <c r="DA4469">
        <v>286</v>
      </c>
      <c r="DB4469">
        <v>0</v>
      </c>
      <c r="DC4469" t="s">
        <v>132</v>
      </c>
      <c r="DD4469" t="s">
        <v>133</v>
      </c>
      <c r="DG4469">
        <v>914430</v>
      </c>
      <c r="DI4469">
        <v>1</v>
      </c>
      <c r="DJ4469">
        <v>0</v>
      </c>
      <c r="DK4469">
        <v>1</v>
      </c>
      <c r="DL4469">
        <v>0</v>
      </c>
      <c r="DM4469">
        <v>0</v>
      </c>
      <c r="DN4469">
        <v>1</v>
      </c>
      <c r="DO4469">
        <v>0</v>
      </c>
      <c r="DP4469">
        <v>0</v>
      </c>
      <c r="DQ4469">
        <v>0</v>
      </c>
      <c r="DR4469">
        <v>0</v>
      </c>
      <c r="DS4469">
        <v>0</v>
      </c>
    </row>
    <row r="4470" spans="1:123" x14ac:dyDescent="0.3">
      <c r="A4470" t="str">
        <f>"10/04/2022 19:37:34.277"</f>
        <v>10/04/2022 19:37:34.277</v>
      </c>
      <c r="C4470" t="str">
        <f t="shared" si="1648"/>
        <v>FFDFD3C0</v>
      </c>
      <c r="D4470" t="s">
        <v>147</v>
      </c>
      <c r="E4470">
        <v>3</v>
      </c>
      <c r="H4470">
        <v>166</v>
      </c>
      <c r="I4470" t="s">
        <v>144</v>
      </c>
      <c r="J4470" t="s">
        <v>148</v>
      </c>
      <c r="K4470">
        <v>0</v>
      </c>
      <c r="L4470">
        <v>3</v>
      </c>
      <c r="M4470">
        <v>0</v>
      </c>
      <c r="N4470">
        <v>2</v>
      </c>
      <c r="O4470">
        <v>0</v>
      </c>
      <c r="P4470">
        <v>1</v>
      </c>
      <c r="Q4470">
        <v>0</v>
      </c>
      <c r="S4470" t="str">
        <f t="shared" ref="S4470:T4476" si="1650">"19:37:33.000"</f>
        <v>19:37:33.000</v>
      </c>
      <c r="T4470" t="str">
        <f t="shared" si="1650"/>
        <v>19:37:33.000</v>
      </c>
      <c r="U4470" t="str">
        <f t="shared" si="1633"/>
        <v>AC3944</v>
      </c>
      <c r="V4470">
        <v>0</v>
      </c>
      <c r="W4470">
        <v>0</v>
      </c>
      <c r="X4470">
        <v>2</v>
      </c>
      <c r="Y4470">
        <v>0</v>
      </c>
      <c r="AA4470">
        <v>1</v>
      </c>
      <c r="AB4470">
        <v>8</v>
      </c>
      <c r="AC4470">
        <v>3</v>
      </c>
      <c r="AD4470">
        <v>0</v>
      </c>
      <c r="AE4470">
        <v>9</v>
      </c>
      <c r="AF4470" t="s">
        <v>138</v>
      </c>
      <c r="AG4470">
        <v>0</v>
      </c>
      <c r="AH4470">
        <v>3</v>
      </c>
      <c r="AI4470">
        <v>1</v>
      </c>
      <c r="AJ4470">
        <v>0</v>
      </c>
      <c r="AK4470" t="s">
        <v>1408</v>
      </c>
      <c r="AL4470">
        <v>32.733184999999999</v>
      </c>
      <c r="AM4470" t="s">
        <v>1409</v>
      </c>
      <c r="AN4470">
        <v>-116.71231299999999</v>
      </c>
      <c r="AO4470">
        <v>25</v>
      </c>
      <c r="AP4470">
        <v>4900</v>
      </c>
      <c r="AQ4470" t="s">
        <v>129</v>
      </c>
      <c r="AR4470">
        <v>-150</v>
      </c>
      <c r="AS4470">
        <v>-79</v>
      </c>
      <c r="AT4470">
        <v>-384</v>
      </c>
      <c r="BB4470">
        <v>1200</v>
      </c>
      <c r="BC4470">
        <v>1</v>
      </c>
      <c r="BD4470" t="str">
        <f t="shared" si="1634"/>
        <v xml:space="preserve">N887QR  </v>
      </c>
      <c r="BE4470">
        <v>1</v>
      </c>
      <c r="BG4470">
        <v>0</v>
      </c>
      <c r="BH4470">
        <v>0</v>
      </c>
      <c r="BI4470">
        <v>0</v>
      </c>
      <c r="BJ4470">
        <v>4625</v>
      </c>
      <c r="BK4470">
        <v>-275</v>
      </c>
      <c r="BL4470" t="s">
        <v>163</v>
      </c>
      <c r="BM4470">
        <v>1</v>
      </c>
      <c r="BN4470">
        <v>1</v>
      </c>
      <c r="BO4470">
        <v>1</v>
      </c>
      <c r="BP4470">
        <v>0</v>
      </c>
      <c r="BS4470">
        <v>0</v>
      </c>
      <c r="BT4470">
        <v>0</v>
      </c>
      <c r="BU4470">
        <v>0</v>
      </c>
      <c r="CE4470" t="str">
        <f t="shared" ref="CE4470:CE4476" si="1651">"19:37:33.871"</f>
        <v>19:37:33.871</v>
      </c>
      <c r="CF4470">
        <v>871473897</v>
      </c>
      <c r="CS4470">
        <v>0</v>
      </c>
      <c r="CT4470">
        <v>2</v>
      </c>
      <c r="CU4470">
        <v>0</v>
      </c>
      <c r="CV4470">
        <v>2</v>
      </c>
      <c r="CW4470">
        <v>0</v>
      </c>
      <c r="CX4470">
        <v>6</v>
      </c>
      <c r="CY4470">
        <v>7</v>
      </c>
      <c r="CZ4470" t="s">
        <v>131</v>
      </c>
      <c r="DA4470">
        <v>286</v>
      </c>
      <c r="DB4470">
        <v>0</v>
      </c>
      <c r="DC4470" t="s">
        <v>132</v>
      </c>
      <c r="DD4470" t="s">
        <v>133</v>
      </c>
      <c r="DG4470">
        <v>914910</v>
      </c>
      <c r="DI4470">
        <v>1</v>
      </c>
      <c r="DJ4470">
        <v>0</v>
      </c>
      <c r="DK4470">
        <v>0</v>
      </c>
      <c r="DL4470">
        <v>0</v>
      </c>
      <c r="DM4470">
        <v>0</v>
      </c>
      <c r="DN4470">
        <v>1</v>
      </c>
      <c r="DO4470">
        <v>0</v>
      </c>
      <c r="DP4470">
        <v>0</v>
      </c>
      <c r="DQ4470">
        <v>0</v>
      </c>
      <c r="DR4470">
        <v>0</v>
      </c>
      <c r="DS4470">
        <v>0</v>
      </c>
    </row>
    <row r="4471" spans="1:123" x14ac:dyDescent="0.3">
      <c r="A4471" t="str">
        <f t="shared" ref="A4471:A4476" si="1652">"10/04/2022 19:37:34.324"</f>
        <v>10/04/2022 19:37:34.324</v>
      </c>
      <c r="C4471" t="str">
        <f t="shared" si="1648"/>
        <v>FFDFD3C0</v>
      </c>
      <c r="D4471" t="s">
        <v>143</v>
      </c>
      <c r="E4471">
        <v>20</v>
      </c>
      <c r="F4471">
        <v>1020</v>
      </c>
      <c r="G4471" t="s">
        <v>144</v>
      </c>
      <c r="J4471" t="s">
        <v>145</v>
      </c>
      <c r="K4471">
        <v>0</v>
      </c>
      <c r="L4471">
        <v>3</v>
      </c>
      <c r="M4471">
        <v>0</v>
      </c>
      <c r="N4471">
        <v>2</v>
      </c>
      <c r="O4471">
        <v>0</v>
      </c>
      <c r="P4471">
        <v>1</v>
      </c>
      <c r="Q4471">
        <v>0</v>
      </c>
      <c r="S4471" t="str">
        <f t="shared" si="1650"/>
        <v>19:37:33.000</v>
      </c>
      <c r="T4471" t="str">
        <f t="shared" si="1650"/>
        <v>19:37:33.000</v>
      </c>
      <c r="U4471" t="str">
        <f t="shared" si="1633"/>
        <v>AC3944</v>
      </c>
      <c r="V4471">
        <v>0</v>
      </c>
      <c r="W4471">
        <v>0</v>
      </c>
      <c r="X4471">
        <v>2</v>
      </c>
      <c r="Y4471">
        <v>0</v>
      </c>
      <c r="AA4471">
        <v>1</v>
      </c>
      <c r="AB4471">
        <v>8</v>
      </c>
      <c r="AC4471">
        <v>3</v>
      </c>
      <c r="AD4471">
        <v>0</v>
      </c>
      <c r="AE4471">
        <v>9</v>
      </c>
      <c r="AF4471" t="s">
        <v>138</v>
      </c>
      <c r="AG4471">
        <v>0</v>
      </c>
      <c r="AH4471">
        <v>3</v>
      </c>
      <c r="AI4471">
        <v>1</v>
      </c>
      <c r="AJ4471">
        <v>0</v>
      </c>
      <c r="AK4471" t="s">
        <v>1408</v>
      </c>
      <c r="AL4471">
        <v>32.733184999999999</v>
      </c>
      <c r="AM4471" t="s">
        <v>1409</v>
      </c>
      <c r="AN4471">
        <v>-116.71231299999999</v>
      </c>
      <c r="AO4471">
        <v>25</v>
      </c>
      <c r="AP4471">
        <v>4900</v>
      </c>
      <c r="AQ4471" t="s">
        <v>129</v>
      </c>
      <c r="AR4471">
        <v>-150</v>
      </c>
      <c r="AS4471">
        <v>-79</v>
      </c>
      <c r="AT4471">
        <v>-384</v>
      </c>
      <c r="BB4471">
        <v>1200</v>
      </c>
      <c r="BC4471">
        <v>1</v>
      </c>
      <c r="BD4471" t="str">
        <f t="shared" si="1634"/>
        <v xml:space="preserve">N887QR  </v>
      </c>
      <c r="BE4471">
        <v>1</v>
      </c>
      <c r="BG4471">
        <v>0</v>
      </c>
      <c r="BH4471">
        <v>0</v>
      </c>
      <c r="BI4471">
        <v>0</v>
      </c>
      <c r="BJ4471">
        <v>4625</v>
      </c>
      <c r="BK4471">
        <v>-275</v>
      </c>
      <c r="BL4471" t="s">
        <v>163</v>
      </c>
      <c r="BM4471">
        <v>1</v>
      </c>
      <c r="BN4471">
        <v>1</v>
      </c>
      <c r="BO4471">
        <v>1</v>
      </c>
      <c r="BP4471">
        <v>0</v>
      </c>
      <c r="BS4471">
        <v>0</v>
      </c>
      <c r="BT4471">
        <v>0</v>
      </c>
      <c r="BU4471">
        <v>0</v>
      </c>
      <c r="CE4471" t="str">
        <f t="shared" si="1651"/>
        <v>19:37:33.871</v>
      </c>
      <c r="CF4471">
        <v>871473897</v>
      </c>
      <c r="CS4471">
        <v>0</v>
      </c>
      <c r="CT4471">
        <v>2</v>
      </c>
      <c r="CU4471">
        <v>0</v>
      </c>
      <c r="CV4471">
        <v>2</v>
      </c>
      <c r="CW4471">
        <v>0</v>
      </c>
      <c r="CX4471">
        <v>6</v>
      </c>
      <c r="CY4471">
        <v>7</v>
      </c>
      <c r="CZ4471" t="s">
        <v>131</v>
      </c>
      <c r="DA4471">
        <v>286</v>
      </c>
      <c r="DB4471">
        <v>0</v>
      </c>
      <c r="DC4471" t="s">
        <v>132</v>
      </c>
      <c r="DD4471" t="s">
        <v>133</v>
      </c>
      <c r="DG4471">
        <v>914910</v>
      </c>
      <c r="DI4471">
        <v>1</v>
      </c>
      <c r="DJ4471">
        <v>0</v>
      </c>
      <c r="DK4471">
        <v>1</v>
      </c>
      <c r="DL4471">
        <v>0</v>
      </c>
      <c r="DM4471">
        <v>0</v>
      </c>
      <c r="DN4471">
        <v>1</v>
      </c>
      <c r="DO4471">
        <v>0</v>
      </c>
      <c r="DP4471">
        <v>0</v>
      </c>
      <c r="DQ4471">
        <v>0</v>
      </c>
      <c r="DR4471">
        <v>0</v>
      </c>
      <c r="DS4471">
        <v>0</v>
      </c>
    </row>
    <row r="4472" spans="1:123" x14ac:dyDescent="0.3">
      <c r="A4472" t="str">
        <f t="shared" si="1652"/>
        <v>10/04/2022 19:37:34.324</v>
      </c>
      <c r="C4472" t="str">
        <f t="shared" si="1648"/>
        <v>FFDFD3C0</v>
      </c>
      <c r="D4472" t="s">
        <v>136</v>
      </c>
      <c r="E4472">
        <v>8</v>
      </c>
      <c r="H4472">
        <v>225</v>
      </c>
      <c r="I4472" t="s">
        <v>137</v>
      </c>
      <c r="J4472" t="s">
        <v>138</v>
      </c>
      <c r="K4472">
        <v>0</v>
      </c>
      <c r="L4472">
        <v>3</v>
      </c>
      <c r="M4472">
        <v>0</v>
      </c>
      <c r="N4472">
        <v>2</v>
      </c>
      <c r="O4472">
        <v>0</v>
      </c>
      <c r="P4472">
        <v>1</v>
      </c>
      <c r="Q4472">
        <v>0</v>
      </c>
      <c r="S4472" t="str">
        <f t="shared" si="1650"/>
        <v>19:37:33.000</v>
      </c>
      <c r="T4472" t="str">
        <f t="shared" si="1650"/>
        <v>19:37:33.000</v>
      </c>
      <c r="U4472" t="str">
        <f t="shared" si="1633"/>
        <v>AC3944</v>
      </c>
      <c r="V4472">
        <v>0</v>
      </c>
      <c r="W4472">
        <v>0</v>
      </c>
      <c r="X4472">
        <v>2</v>
      </c>
      <c r="Y4472">
        <v>0</v>
      </c>
      <c r="AA4472">
        <v>1</v>
      </c>
      <c r="AB4472">
        <v>8</v>
      </c>
      <c r="AC4472">
        <v>3</v>
      </c>
      <c r="AD4472">
        <v>0</v>
      </c>
      <c r="AE4472">
        <v>9</v>
      </c>
      <c r="AF4472" t="s">
        <v>138</v>
      </c>
      <c r="AG4472">
        <v>0</v>
      </c>
      <c r="AH4472">
        <v>3</v>
      </c>
      <c r="AI4472">
        <v>1</v>
      </c>
      <c r="AJ4472">
        <v>0</v>
      </c>
      <c r="AK4472" t="s">
        <v>1408</v>
      </c>
      <c r="AL4472">
        <v>32.733184999999999</v>
      </c>
      <c r="AM4472" t="s">
        <v>1409</v>
      </c>
      <c r="AN4472">
        <v>-116.71231299999999</v>
      </c>
      <c r="AO4472">
        <v>25</v>
      </c>
      <c r="AP4472">
        <v>4900</v>
      </c>
      <c r="AQ4472" t="s">
        <v>129</v>
      </c>
      <c r="AR4472">
        <v>-150</v>
      </c>
      <c r="AS4472">
        <v>-79</v>
      </c>
      <c r="AT4472">
        <v>-384</v>
      </c>
      <c r="BB4472">
        <v>1200</v>
      </c>
      <c r="BC4472">
        <v>1</v>
      </c>
      <c r="BD4472" t="str">
        <f t="shared" si="1634"/>
        <v xml:space="preserve">N887QR  </v>
      </c>
      <c r="BE4472">
        <v>1</v>
      </c>
      <c r="BG4472">
        <v>0</v>
      </c>
      <c r="BH4472">
        <v>0</v>
      </c>
      <c r="BI4472">
        <v>0</v>
      </c>
      <c r="BJ4472">
        <v>4625</v>
      </c>
      <c r="BK4472">
        <v>-275</v>
      </c>
      <c r="BL4472" t="s">
        <v>163</v>
      </c>
      <c r="BM4472">
        <v>1</v>
      </c>
      <c r="BN4472">
        <v>1</v>
      </c>
      <c r="BO4472">
        <v>1</v>
      </c>
      <c r="BP4472">
        <v>0</v>
      </c>
      <c r="BS4472">
        <v>0</v>
      </c>
      <c r="BT4472">
        <v>0</v>
      </c>
      <c r="BU4472">
        <v>0</v>
      </c>
      <c r="CE4472" t="str">
        <f t="shared" si="1651"/>
        <v>19:37:33.871</v>
      </c>
      <c r="CF4472">
        <v>871473897</v>
      </c>
      <c r="CS4472">
        <v>0</v>
      </c>
      <c r="CT4472">
        <v>2</v>
      </c>
      <c r="CU4472">
        <v>0</v>
      </c>
      <c r="CV4472">
        <v>2</v>
      </c>
      <c r="CW4472">
        <v>0</v>
      </c>
      <c r="CX4472">
        <v>6</v>
      </c>
      <c r="CY4472">
        <v>7</v>
      </c>
      <c r="CZ4472" t="s">
        <v>131</v>
      </c>
      <c r="DA4472">
        <v>286</v>
      </c>
      <c r="DB4472">
        <v>0</v>
      </c>
      <c r="DC4472" t="s">
        <v>132</v>
      </c>
      <c r="DD4472" t="s">
        <v>133</v>
      </c>
      <c r="DG4472">
        <v>914910</v>
      </c>
      <c r="DI4472">
        <v>1</v>
      </c>
      <c r="DJ4472">
        <v>0</v>
      </c>
      <c r="DK4472">
        <v>1</v>
      </c>
      <c r="DL4472">
        <v>0</v>
      </c>
      <c r="DM4472">
        <v>0</v>
      </c>
      <c r="DN4472">
        <v>1</v>
      </c>
      <c r="DO4472">
        <v>0</v>
      </c>
      <c r="DP4472">
        <v>0</v>
      </c>
      <c r="DQ4472">
        <v>0</v>
      </c>
      <c r="DR4472">
        <v>0</v>
      </c>
      <c r="DS4472">
        <v>0</v>
      </c>
    </row>
    <row r="4473" spans="1:123" x14ac:dyDescent="0.3">
      <c r="A4473" t="str">
        <f t="shared" si="1652"/>
        <v>10/04/2022 19:37:34.324</v>
      </c>
      <c r="C4473" t="str">
        <f t="shared" si="1648"/>
        <v>FFDFD3C0</v>
      </c>
      <c r="D4473" t="s">
        <v>123</v>
      </c>
      <c r="E4473">
        <v>7</v>
      </c>
      <c r="F4473">
        <v>2007</v>
      </c>
      <c r="G4473" t="s">
        <v>124</v>
      </c>
      <c r="J4473" t="s">
        <v>125</v>
      </c>
      <c r="K4473">
        <v>0</v>
      </c>
      <c r="L4473">
        <v>3</v>
      </c>
      <c r="M4473">
        <v>0</v>
      </c>
      <c r="N4473">
        <v>2</v>
      </c>
      <c r="O4473">
        <v>0</v>
      </c>
      <c r="P4473">
        <v>1</v>
      </c>
      <c r="Q4473">
        <v>0</v>
      </c>
      <c r="S4473" t="str">
        <f t="shared" si="1650"/>
        <v>19:37:33.000</v>
      </c>
      <c r="T4473" t="str">
        <f t="shared" si="1650"/>
        <v>19:37:33.000</v>
      </c>
      <c r="U4473" t="str">
        <f t="shared" si="1633"/>
        <v>AC3944</v>
      </c>
      <c r="V4473">
        <v>0</v>
      </c>
      <c r="W4473">
        <v>0</v>
      </c>
      <c r="X4473">
        <v>2</v>
      </c>
      <c r="Y4473">
        <v>0</v>
      </c>
      <c r="AA4473">
        <v>1</v>
      </c>
      <c r="AB4473">
        <v>8</v>
      </c>
      <c r="AC4473">
        <v>3</v>
      </c>
      <c r="AD4473">
        <v>0</v>
      </c>
      <c r="AE4473">
        <v>9</v>
      </c>
      <c r="AF4473" t="s">
        <v>138</v>
      </c>
      <c r="AG4473">
        <v>0</v>
      </c>
      <c r="AH4473">
        <v>3</v>
      </c>
      <c r="AI4473">
        <v>1</v>
      </c>
      <c r="AJ4473">
        <v>0</v>
      </c>
      <c r="AK4473" t="s">
        <v>1408</v>
      </c>
      <c r="AL4473">
        <v>32.733184999999999</v>
      </c>
      <c r="AM4473" t="s">
        <v>1409</v>
      </c>
      <c r="AN4473">
        <v>-116.71231299999999</v>
      </c>
      <c r="AO4473">
        <v>25</v>
      </c>
      <c r="AP4473">
        <v>4900</v>
      </c>
      <c r="AQ4473" t="s">
        <v>129</v>
      </c>
      <c r="AR4473">
        <v>-150</v>
      </c>
      <c r="AS4473">
        <v>-79</v>
      </c>
      <c r="AT4473">
        <v>-384</v>
      </c>
      <c r="BB4473">
        <v>1200</v>
      </c>
      <c r="BC4473">
        <v>1</v>
      </c>
      <c r="BD4473" t="str">
        <f t="shared" si="1634"/>
        <v xml:space="preserve">N887QR  </v>
      </c>
      <c r="BE4473">
        <v>1</v>
      </c>
      <c r="BG4473">
        <v>0</v>
      </c>
      <c r="BH4473">
        <v>0</v>
      </c>
      <c r="BI4473">
        <v>0</v>
      </c>
      <c r="BJ4473">
        <v>4625</v>
      </c>
      <c r="BK4473">
        <v>-275</v>
      </c>
      <c r="BL4473" t="s">
        <v>163</v>
      </c>
      <c r="BM4473">
        <v>1</v>
      </c>
      <c r="BN4473">
        <v>1</v>
      </c>
      <c r="BO4473">
        <v>1</v>
      </c>
      <c r="BP4473">
        <v>0</v>
      </c>
      <c r="BS4473">
        <v>0</v>
      </c>
      <c r="BT4473">
        <v>0</v>
      </c>
      <c r="BU4473">
        <v>0</v>
      </c>
      <c r="CE4473" t="str">
        <f t="shared" si="1651"/>
        <v>19:37:33.871</v>
      </c>
      <c r="CF4473">
        <v>871473897</v>
      </c>
      <c r="CS4473">
        <v>0</v>
      </c>
      <c r="CT4473">
        <v>2</v>
      </c>
      <c r="CU4473">
        <v>0</v>
      </c>
      <c r="CV4473">
        <v>2</v>
      </c>
      <c r="CW4473">
        <v>0</v>
      </c>
      <c r="CX4473">
        <v>6</v>
      </c>
      <c r="CY4473">
        <v>7</v>
      </c>
      <c r="CZ4473" t="s">
        <v>131</v>
      </c>
      <c r="DA4473">
        <v>286</v>
      </c>
      <c r="DB4473">
        <v>0</v>
      </c>
      <c r="DC4473" t="s">
        <v>132</v>
      </c>
      <c r="DD4473" t="s">
        <v>133</v>
      </c>
      <c r="DG4473">
        <v>914910</v>
      </c>
      <c r="DI4473">
        <v>1</v>
      </c>
      <c r="DJ4473">
        <v>0</v>
      </c>
      <c r="DK4473">
        <v>1</v>
      </c>
      <c r="DL4473">
        <v>0</v>
      </c>
      <c r="DM4473">
        <v>0</v>
      </c>
      <c r="DN4473">
        <v>1</v>
      </c>
      <c r="DO4473">
        <v>0</v>
      </c>
      <c r="DP4473">
        <v>0</v>
      </c>
      <c r="DQ4473">
        <v>0</v>
      </c>
      <c r="DR4473">
        <v>0</v>
      </c>
      <c r="DS4473">
        <v>0</v>
      </c>
    </row>
    <row r="4474" spans="1:123" x14ac:dyDescent="0.3">
      <c r="A4474" t="str">
        <f t="shared" si="1652"/>
        <v>10/04/2022 19:37:34.324</v>
      </c>
      <c r="C4474" t="str">
        <f t="shared" si="1648"/>
        <v>FFDFD3C0</v>
      </c>
      <c r="D4474" t="s">
        <v>141</v>
      </c>
      <c r="E4474">
        <v>4</v>
      </c>
      <c r="H4474">
        <v>4</v>
      </c>
      <c r="I4474" t="s">
        <v>142</v>
      </c>
      <c r="J4474" t="s">
        <v>138</v>
      </c>
      <c r="K4474">
        <v>0</v>
      </c>
      <c r="L4474">
        <v>3</v>
      </c>
      <c r="M4474">
        <v>0</v>
      </c>
      <c r="N4474">
        <v>2</v>
      </c>
      <c r="O4474">
        <v>0</v>
      </c>
      <c r="P4474">
        <v>1</v>
      </c>
      <c r="Q4474">
        <v>0</v>
      </c>
      <c r="S4474" t="str">
        <f t="shared" si="1650"/>
        <v>19:37:33.000</v>
      </c>
      <c r="T4474" t="str">
        <f t="shared" si="1650"/>
        <v>19:37:33.000</v>
      </c>
      <c r="U4474" t="str">
        <f t="shared" si="1633"/>
        <v>AC3944</v>
      </c>
      <c r="V4474">
        <v>0</v>
      </c>
      <c r="W4474">
        <v>0</v>
      </c>
      <c r="X4474">
        <v>2</v>
      </c>
      <c r="Y4474">
        <v>0</v>
      </c>
      <c r="AA4474">
        <v>1</v>
      </c>
      <c r="AB4474">
        <v>8</v>
      </c>
      <c r="AC4474">
        <v>3</v>
      </c>
      <c r="AD4474">
        <v>0</v>
      </c>
      <c r="AE4474">
        <v>9</v>
      </c>
      <c r="AF4474" t="s">
        <v>138</v>
      </c>
      <c r="AG4474">
        <v>0</v>
      </c>
      <c r="AH4474">
        <v>3</v>
      </c>
      <c r="AI4474">
        <v>1</v>
      </c>
      <c r="AJ4474">
        <v>0</v>
      </c>
      <c r="AK4474" t="s">
        <v>1408</v>
      </c>
      <c r="AL4474">
        <v>32.733184999999999</v>
      </c>
      <c r="AM4474" t="s">
        <v>1409</v>
      </c>
      <c r="AN4474">
        <v>-116.71231299999999</v>
      </c>
      <c r="AO4474">
        <v>25</v>
      </c>
      <c r="AP4474">
        <v>4900</v>
      </c>
      <c r="AQ4474" t="s">
        <v>129</v>
      </c>
      <c r="AR4474">
        <v>-150</v>
      </c>
      <c r="AS4474">
        <v>-79</v>
      </c>
      <c r="AT4474">
        <v>-384</v>
      </c>
      <c r="BB4474">
        <v>1200</v>
      </c>
      <c r="BC4474">
        <v>1</v>
      </c>
      <c r="BD4474" t="str">
        <f t="shared" si="1634"/>
        <v xml:space="preserve">N887QR  </v>
      </c>
      <c r="BE4474">
        <v>1</v>
      </c>
      <c r="BG4474">
        <v>0</v>
      </c>
      <c r="BH4474">
        <v>0</v>
      </c>
      <c r="BI4474">
        <v>0</v>
      </c>
      <c r="BJ4474">
        <v>4625</v>
      </c>
      <c r="BK4474">
        <v>-275</v>
      </c>
      <c r="BL4474" t="s">
        <v>163</v>
      </c>
      <c r="BM4474">
        <v>1</v>
      </c>
      <c r="BN4474">
        <v>1</v>
      </c>
      <c r="BO4474">
        <v>1</v>
      </c>
      <c r="BP4474">
        <v>0</v>
      </c>
      <c r="BS4474">
        <v>0</v>
      </c>
      <c r="BT4474">
        <v>0</v>
      </c>
      <c r="BU4474">
        <v>0</v>
      </c>
      <c r="CE4474" t="str">
        <f t="shared" si="1651"/>
        <v>19:37:33.871</v>
      </c>
      <c r="CF4474">
        <v>871473897</v>
      </c>
      <c r="CS4474">
        <v>0</v>
      </c>
      <c r="CT4474">
        <v>2</v>
      </c>
      <c r="CU4474">
        <v>0</v>
      </c>
      <c r="CV4474">
        <v>2</v>
      </c>
      <c r="CW4474">
        <v>0</v>
      </c>
      <c r="CX4474">
        <v>6</v>
      </c>
      <c r="CY4474">
        <v>7</v>
      </c>
      <c r="CZ4474" t="s">
        <v>131</v>
      </c>
      <c r="DA4474">
        <v>286</v>
      </c>
      <c r="DB4474">
        <v>0</v>
      </c>
      <c r="DC4474" t="s">
        <v>132</v>
      </c>
      <c r="DD4474" t="s">
        <v>133</v>
      </c>
      <c r="DG4474">
        <v>914910</v>
      </c>
      <c r="DI4474">
        <v>1</v>
      </c>
      <c r="DJ4474">
        <v>0</v>
      </c>
      <c r="DK4474">
        <v>1</v>
      </c>
      <c r="DL4474">
        <v>0</v>
      </c>
      <c r="DM4474">
        <v>0</v>
      </c>
      <c r="DN4474">
        <v>1</v>
      </c>
      <c r="DO4474">
        <v>0</v>
      </c>
      <c r="DP4474">
        <v>0</v>
      </c>
      <c r="DQ4474">
        <v>0</v>
      </c>
      <c r="DR4474">
        <v>0</v>
      </c>
      <c r="DS4474">
        <v>0</v>
      </c>
    </row>
    <row r="4475" spans="1:123" x14ac:dyDescent="0.3">
      <c r="A4475" t="str">
        <f t="shared" si="1652"/>
        <v>10/04/2022 19:37:34.324</v>
      </c>
      <c r="C4475" t="str">
        <f t="shared" si="1648"/>
        <v>FFDFD3C0</v>
      </c>
      <c r="D4475" t="s">
        <v>141</v>
      </c>
      <c r="E4475">
        <v>3</v>
      </c>
      <c r="H4475">
        <v>3</v>
      </c>
      <c r="I4475" t="s">
        <v>146</v>
      </c>
      <c r="J4475" t="s">
        <v>138</v>
      </c>
      <c r="K4475">
        <v>0</v>
      </c>
      <c r="L4475">
        <v>3</v>
      </c>
      <c r="M4475">
        <v>0</v>
      </c>
      <c r="N4475">
        <v>2</v>
      </c>
      <c r="O4475">
        <v>0</v>
      </c>
      <c r="P4475">
        <v>1</v>
      </c>
      <c r="Q4475">
        <v>0</v>
      </c>
      <c r="S4475" t="str">
        <f t="shared" si="1650"/>
        <v>19:37:33.000</v>
      </c>
      <c r="T4475" t="str">
        <f t="shared" si="1650"/>
        <v>19:37:33.000</v>
      </c>
      <c r="U4475" t="str">
        <f t="shared" si="1633"/>
        <v>AC3944</v>
      </c>
      <c r="V4475">
        <v>0</v>
      </c>
      <c r="W4475">
        <v>0</v>
      </c>
      <c r="X4475">
        <v>2</v>
      </c>
      <c r="Y4475">
        <v>0</v>
      </c>
      <c r="AA4475">
        <v>1</v>
      </c>
      <c r="AB4475">
        <v>8</v>
      </c>
      <c r="AC4475">
        <v>3</v>
      </c>
      <c r="AD4475">
        <v>0</v>
      </c>
      <c r="AE4475">
        <v>9</v>
      </c>
      <c r="AF4475" t="s">
        <v>138</v>
      </c>
      <c r="AG4475">
        <v>0</v>
      </c>
      <c r="AH4475">
        <v>3</v>
      </c>
      <c r="AI4475">
        <v>1</v>
      </c>
      <c r="AJ4475">
        <v>0</v>
      </c>
      <c r="AK4475" t="s">
        <v>1408</v>
      </c>
      <c r="AL4475">
        <v>32.733184999999999</v>
      </c>
      <c r="AM4475" t="s">
        <v>1409</v>
      </c>
      <c r="AN4475">
        <v>-116.71231299999999</v>
      </c>
      <c r="AO4475">
        <v>25</v>
      </c>
      <c r="AP4475">
        <v>4900</v>
      </c>
      <c r="AQ4475" t="s">
        <v>129</v>
      </c>
      <c r="AR4475">
        <v>-150</v>
      </c>
      <c r="AS4475">
        <v>-79</v>
      </c>
      <c r="AT4475">
        <v>-384</v>
      </c>
      <c r="BB4475">
        <v>1200</v>
      </c>
      <c r="BC4475">
        <v>1</v>
      </c>
      <c r="BD4475" t="str">
        <f t="shared" si="1634"/>
        <v xml:space="preserve">N887QR  </v>
      </c>
      <c r="BE4475">
        <v>1</v>
      </c>
      <c r="BG4475">
        <v>0</v>
      </c>
      <c r="BH4475">
        <v>0</v>
      </c>
      <c r="BI4475">
        <v>0</v>
      </c>
      <c r="BJ4475">
        <v>4625</v>
      </c>
      <c r="BK4475">
        <v>-275</v>
      </c>
      <c r="BL4475" t="s">
        <v>163</v>
      </c>
      <c r="BM4475">
        <v>1</v>
      </c>
      <c r="BN4475">
        <v>1</v>
      </c>
      <c r="BO4475">
        <v>1</v>
      </c>
      <c r="BP4475">
        <v>0</v>
      </c>
      <c r="BS4475">
        <v>0</v>
      </c>
      <c r="BT4475">
        <v>0</v>
      </c>
      <c r="BU4475">
        <v>0</v>
      </c>
      <c r="CE4475" t="str">
        <f t="shared" si="1651"/>
        <v>19:37:33.871</v>
      </c>
      <c r="CF4475">
        <v>871473897</v>
      </c>
      <c r="CS4475">
        <v>0</v>
      </c>
      <c r="CT4475">
        <v>2</v>
      </c>
      <c r="CU4475">
        <v>0</v>
      </c>
      <c r="CV4475">
        <v>2</v>
      </c>
      <c r="CW4475">
        <v>0</v>
      </c>
      <c r="CX4475">
        <v>6</v>
      </c>
      <c r="CY4475">
        <v>7</v>
      </c>
      <c r="CZ4475" t="s">
        <v>131</v>
      </c>
      <c r="DA4475">
        <v>286</v>
      </c>
      <c r="DB4475">
        <v>0</v>
      </c>
      <c r="DC4475" t="s">
        <v>132</v>
      </c>
      <c r="DD4475" t="s">
        <v>133</v>
      </c>
      <c r="DG4475">
        <v>914910</v>
      </c>
      <c r="DI4475">
        <v>1</v>
      </c>
      <c r="DJ4475">
        <v>0</v>
      </c>
      <c r="DK4475">
        <v>0</v>
      </c>
      <c r="DL4475">
        <v>0</v>
      </c>
      <c r="DM4475">
        <v>0</v>
      </c>
      <c r="DN4475">
        <v>1</v>
      </c>
      <c r="DO4475">
        <v>0</v>
      </c>
      <c r="DP4475">
        <v>0</v>
      </c>
      <c r="DQ4475">
        <v>0</v>
      </c>
      <c r="DR4475">
        <v>0</v>
      </c>
      <c r="DS4475">
        <v>0</v>
      </c>
    </row>
    <row r="4476" spans="1:123" x14ac:dyDescent="0.3">
      <c r="A4476" t="str">
        <f t="shared" si="1652"/>
        <v>10/04/2022 19:37:34.324</v>
      </c>
      <c r="C4476" t="str">
        <f t="shared" si="1648"/>
        <v>FFDFD3C0</v>
      </c>
      <c r="D4476" t="s">
        <v>134</v>
      </c>
      <c r="E4476">
        <v>15</v>
      </c>
      <c r="J4476" t="s">
        <v>135</v>
      </c>
      <c r="K4476">
        <v>0</v>
      </c>
      <c r="L4476">
        <v>3</v>
      </c>
      <c r="M4476">
        <v>0</v>
      </c>
      <c r="N4476">
        <v>2</v>
      </c>
      <c r="O4476">
        <v>0</v>
      </c>
      <c r="P4476">
        <v>1</v>
      </c>
      <c r="Q4476">
        <v>0</v>
      </c>
      <c r="S4476" t="str">
        <f t="shared" si="1650"/>
        <v>19:37:33.000</v>
      </c>
      <c r="T4476" t="str">
        <f t="shared" si="1650"/>
        <v>19:37:33.000</v>
      </c>
      <c r="U4476" t="str">
        <f t="shared" si="1633"/>
        <v>AC3944</v>
      </c>
      <c r="V4476">
        <v>0</v>
      </c>
      <c r="W4476">
        <v>0</v>
      </c>
      <c r="X4476">
        <v>2</v>
      </c>
      <c r="Y4476">
        <v>0</v>
      </c>
      <c r="AA4476">
        <v>1</v>
      </c>
      <c r="AB4476">
        <v>8</v>
      </c>
      <c r="AC4476">
        <v>3</v>
      </c>
      <c r="AD4476">
        <v>0</v>
      </c>
      <c r="AE4476">
        <v>9</v>
      </c>
      <c r="AF4476" t="s">
        <v>138</v>
      </c>
      <c r="AG4476">
        <v>0</v>
      </c>
      <c r="AH4476">
        <v>3</v>
      </c>
      <c r="AI4476">
        <v>1</v>
      </c>
      <c r="AJ4476">
        <v>0</v>
      </c>
      <c r="AK4476" t="s">
        <v>1408</v>
      </c>
      <c r="AL4476">
        <v>32.733184999999999</v>
      </c>
      <c r="AM4476" t="s">
        <v>1409</v>
      </c>
      <c r="AN4476">
        <v>-116.71231299999999</v>
      </c>
      <c r="AO4476">
        <v>25</v>
      </c>
      <c r="AP4476">
        <v>4900</v>
      </c>
      <c r="AQ4476" t="s">
        <v>129</v>
      </c>
      <c r="AR4476">
        <v>-150</v>
      </c>
      <c r="AS4476">
        <v>-79</v>
      </c>
      <c r="AT4476">
        <v>-384</v>
      </c>
      <c r="BB4476">
        <v>1200</v>
      </c>
      <c r="BC4476">
        <v>1</v>
      </c>
      <c r="BD4476" t="str">
        <f t="shared" si="1634"/>
        <v xml:space="preserve">N887QR  </v>
      </c>
      <c r="BE4476">
        <v>1</v>
      </c>
      <c r="BG4476">
        <v>0</v>
      </c>
      <c r="BH4476">
        <v>0</v>
      </c>
      <c r="BI4476">
        <v>0</v>
      </c>
      <c r="BJ4476">
        <v>4625</v>
      </c>
      <c r="BK4476">
        <v>-275</v>
      </c>
      <c r="BL4476" t="s">
        <v>163</v>
      </c>
      <c r="BM4476">
        <v>1</v>
      </c>
      <c r="BN4476">
        <v>1</v>
      </c>
      <c r="BO4476">
        <v>1</v>
      </c>
      <c r="BP4476">
        <v>0</v>
      </c>
      <c r="BS4476">
        <v>0</v>
      </c>
      <c r="BT4476">
        <v>0</v>
      </c>
      <c r="BU4476">
        <v>0</v>
      </c>
      <c r="CE4476" t="str">
        <f t="shared" si="1651"/>
        <v>19:37:33.871</v>
      </c>
      <c r="CF4476">
        <v>871473897</v>
      </c>
      <c r="CS4476">
        <v>0</v>
      </c>
      <c r="CT4476">
        <v>2</v>
      </c>
      <c r="CU4476">
        <v>0</v>
      </c>
      <c r="CV4476">
        <v>2</v>
      </c>
      <c r="CW4476">
        <v>0</v>
      </c>
      <c r="CX4476">
        <v>6</v>
      </c>
      <c r="CY4476">
        <v>7</v>
      </c>
      <c r="CZ4476" t="s">
        <v>131</v>
      </c>
      <c r="DA4476">
        <v>286</v>
      </c>
      <c r="DB4476">
        <v>0</v>
      </c>
      <c r="DC4476" t="s">
        <v>132</v>
      </c>
      <c r="DD4476" t="s">
        <v>133</v>
      </c>
      <c r="DG4476">
        <v>914910</v>
      </c>
      <c r="DI4476">
        <v>1</v>
      </c>
      <c r="DJ4476">
        <v>0</v>
      </c>
      <c r="DK4476">
        <v>1</v>
      </c>
      <c r="DL4476">
        <v>0</v>
      </c>
      <c r="DM4476">
        <v>0</v>
      </c>
      <c r="DN4476">
        <v>1</v>
      </c>
      <c r="DO4476">
        <v>0</v>
      </c>
      <c r="DP4476">
        <v>0</v>
      </c>
      <c r="DQ4476">
        <v>0</v>
      </c>
      <c r="DR4476">
        <v>0</v>
      </c>
      <c r="DS4476">
        <v>0</v>
      </c>
    </row>
    <row r="4477" spans="1:123" x14ac:dyDescent="0.3">
      <c r="A4477" t="str">
        <f t="shared" ref="A4477:A4482" si="1653">"10/04/2022 19:37:35.293"</f>
        <v>10/04/2022 19:37:35.293</v>
      </c>
      <c r="C4477" t="str">
        <f t="shared" si="1648"/>
        <v>FFDFD3C0</v>
      </c>
      <c r="D4477" t="s">
        <v>143</v>
      </c>
      <c r="E4477">
        <v>20</v>
      </c>
      <c r="F4477">
        <v>1020</v>
      </c>
      <c r="G4477" t="s">
        <v>144</v>
      </c>
      <c r="J4477" t="s">
        <v>145</v>
      </c>
      <c r="K4477">
        <v>0</v>
      </c>
      <c r="L4477">
        <v>3</v>
      </c>
      <c r="M4477">
        <v>0</v>
      </c>
      <c r="N4477">
        <v>2</v>
      </c>
      <c r="O4477">
        <v>0</v>
      </c>
      <c r="P4477">
        <v>1</v>
      </c>
      <c r="Q4477">
        <v>0</v>
      </c>
      <c r="S4477" t="str">
        <f t="shared" ref="S4477:T4483" si="1654">"19:37:34.000"</f>
        <v>19:37:34.000</v>
      </c>
      <c r="T4477" t="str">
        <f t="shared" si="1654"/>
        <v>19:37:34.000</v>
      </c>
      <c r="U4477" t="str">
        <f t="shared" si="1633"/>
        <v>AC3944</v>
      </c>
      <c r="V4477">
        <v>0</v>
      </c>
      <c r="W4477">
        <v>0</v>
      </c>
      <c r="X4477">
        <v>2</v>
      </c>
      <c r="Y4477">
        <v>0</v>
      </c>
      <c r="AA4477">
        <v>1</v>
      </c>
      <c r="AB4477">
        <v>8</v>
      </c>
      <c r="AC4477">
        <v>3</v>
      </c>
      <c r="AD4477">
        <v>0</v>
      </c>
      <c r="AE4477">
        <v>9</v>
      </c>
      <c r="AF4477" t="s">
        <v>138</v>
      </c>
      <c r="AG4477">
        <v>0</v>
      </c>
      <c r="AH4477">
        <v>3</v>
      </c>
      <c r="AI4477">
        <v>1</v>
      </c>
      <c r="AJ4477">
        <v>0</v>
      </c>
      <c r="AK4477" t="s">
        <v>1410</v>
      </c>
      <c r="AL4477">
        <v>32.732821000000001</v>
      </c>
      <c r="AM4477" t="s">
        <v>1411</v>
      </c>
      <c r="AN4477">
        <v>-116.71315</v>
      </c>
      <c r="AO4477">
        <v>25</v>
      </c>
      <c r="AP4477">
        <v>4900</v>
      </c>
      <c r="AQ4477" t="s">
        <v>129</v>
      </c>
      <c r="AR4477">
        <v>-150</v>
      </c>
      <c r="AS4477">
        <v>-80</v>
      </c>
      <c r="AT4477">
        <v>-512</v>
      </c>
      <c r="BB4477">
        <v>1200</v>
      </c>
      <c r="BC4477">
        <v>1</v>
      </c>
      <c r="BD4477" t="str">
        <f t="shared" si="1634"/>
        <v xml:space="preserve">N887QR  </v>
      </c>
      <c r="BE4477">
        <v>1</v>
      </c>
      <c r="BG4477">
        <v>0</v>
      </c>
      <c r="BH4477">
        <v>0</v>
      </c>
      <c r="BI4477">
        <v>0</v>
      </c>
      <c r="BJ4477">
        <v>4575</v>
      </c>
      <c r="BK4477">
        <v>-325</v>
      </c>
      <c r="BL4477" t="s">
        <v>163</v>
      </c>
      <c r="BM4477">
        <v>1</v>
      </c>
      <c r="BN4477">
        <v>1</v>
      </c>
      <c r="BO4477">
        <v>1</v>
      </c>
      <c r="BP4477">
        <v>0</v>
      </c>
      <c r="BS4477">
        <v>0</v>
      </c>
      <c r="BT4477">
        <v>0</v>
      </c>
      <c r="BU4477">
        <v>0</v>
      </c>
      <c r="CE4477" t="str">
        <f t="shared" ref="CE4477:CE4483" si="1655">"19:37:34.908"</f>
        <v>19:37:34.908</v>
      </c>
      <c r="CF4477">
        <v>908476936</v>
      </c>
      <c r="CS4477">
        <v>0</v>
      </c>
      <c r="CT4477">
        <v>2</v>
      </c>
      <c r="CU4477">
        <v>0</v>
      </c>
      <c r="CV4477">
        <v>2</v>
      </c>
      <c r="CW4477">
        <v>0</v>
      </c>
      <c r="CX4477">
        <v>6</v>
      </c>
      <c r="CY4477">
        <v>7</v>
      </c>
      <c r="CZ4477" t="s">
        <v>131</v>
      </c>
      <c r="DA4477">
        <v>286</v>
      </c>
      <c r="DB4477">
        <v>0</v>
      </c>
      <c r="DC4477" t="s">
        <v>132</v>
      </c>
      <c r="DD4477" t="s">
        <v>133</v>
      </c>
      <c r="DG4477">
        <v>915140</v>
      </c>
      <c r="DI4477">
        <v>1</v>
      </c>
      <c r="DJ4477">
        <v>0</v>
      </c>
      <c r="DK4477">
        <v>0</v>
      </c>
      <c r="DL4477">
        <v>0</v>
      </c>
      <c r="DM4477">
        <v>0</v>
      </c>
      <c r="DN4477">
        <v>1</v>
      </c>
      <c r="DO4477">
        <v>0</v>
      </c>
      <c r="DP4477">
        <v>0</v>
      </c>
      <c r="DQ4477">
        <v>0</v>
      </c>
      <c r="DR4477">
        <v>0</v>
      </c>
      <c r="DS4477">
        <v>0</v>
      </c>
    </row>
    <row r="4478" spans="1:123" x14ac:dyDescent="0.3">
      <c r="A4478" t="str">
        <f t="shared" si="1653"/>
        <v>10/04/2022 19:37:35.293</v>
      </c>
      <c r="C4478" t="str">
        <f t="shared" si="1648"/>
        <v>FFDFD3C0</v>
      </c>
      <c r="D4478" t="s">
        <v>136</v>
      </c>
      <c r="E4478">
        <v>8</v>
      </c>
      <c r="H4478">
        <v>225</v>
      </c>
      <c r="I4478" t="s">
        <v>137</v>
      </c>
      <c r="J4478" t="s">
        <v>138</v>
      </c>
      <c r="K4478">
        <v>0</v>
      </c>
      <c r="L4478">
        <v>3</v>
      </c>
      <c r="M4478">
        <v>0</v>
      </c>
      <c r="N4478">
        <v>2</v>
      </c>
      <c r="O4478">
        <v>0</v>
      </c>
      <c r="P4478">
        <v>1</v>
      </c>
      <c r="Q4478">
        <v>0</v>
      </c>
      <c r="S4478" t="str">
        <f t="shared" si="1654"/>
        <v>19:37:34.000</v>
      </c>
      <c r="T4478" t="str">
        <f t="shared" si="1654"/>
        <v>19:37:34.000</v>
      </c>
      <c r="U4478" t="str">
        <f t="shared" si="1633"/>
        <v>AC3944</v>
      </c>
      <c r="V4478">
        <v>0</v>
      </c>
      <c r="W4478">
        <v>0</v>
      </c>
      <c r="X4478">
        <v>2</v>
      </c>
      <c r="Y4478">
        <v>0</v>
      </c>
      <c r="AA4478">
        <v>1</v>
      </c>
      <c r="AB4478">
        <v>8</v>
      </c>
      <c r="AC4478">
        <v>3</v>
      </c>
      <c r="AD4478">
        <v>0</v>
      </c>
      <c r="AE4478">
        <v>9</v>
      </c>
      <c r="AF4478" t="s">
        <v>138</v>
      </c>
      <c r="AG4478">
        <v>0</v>
      </c>
      <c r="AH4478">
        <v>3</v>
      </c>
      <c r="AI4478">
        <v>1</v>
      </c>
      <c r="AJ4478">
        <v>0</v>
      </c>
      <c r="AK4478" t="s">
        <v>1410</v>
      </c>
      <c r="AL4478">
        <v>32.732821000000001</v>
      </c>
      <c r="AM4478" t="s">
        <v>1411</v>
      </c>
      <c r="AN4478">
        <v>-116.71315</v>
      </c>
      <c r="AO4478">
        <v>25</v>
      </c>
      <c r="AP4478">
        <v>4900</v>
      </c>
      <c r="AQ4478" t="s">
        <v>129</v>
      </c>
      <c r="AR4478">
        <v>-150</v>
      </c>
      <c r="AS4478">
        <v>-80</v>
      </c>
      <c r="AT4478">
        <v>-512</v>
      </c>
      <c r="BB4478">
        <v>1200</v>
      </c>
      <c r="BC4478">
        <v>1</v>
      </c>
      <c r="BD4478" t="str">
        <f t="shared" si="1634"/>
        <v xml:space="preserve">N887QR  </v>
      </c>
      <c r="BE4478">
        <v>1</v>
      </c>
      <c r="BG4478">
        <v>0</v>
      </c>
      <c r="BH4478">
        <v>0</v>
      </c>
      <c r="BI4478">
        <v>0</v>
      </c>
      <c r="BJ4478">
        <v>4575</v>
      </c>
      <c r="BK4478">
        <v>-325</v>
      </c>
      <c r="BL4478" t="s">
        <v>163</v>
      </c>
      <c r="BM4478">
        <v>1</v>
      </c>
      <c r="BN4478">
        <v>1</v>
      </c>
      <c r="BO4478">
        <v>1</v>
      </c>
      <c r="BP4478">
        <v>0</v>
      </c>
      <c r="BS4478">
        <v>0</v>
      </c>
      <c r="BT4478">
        <v>0</v>
      </c>
      <c r="BU4478">
        <v>0</v>
      </c>
      <c r="CE4478" t="str">
        <f t="shared" si="1655"/>
        <v>19:37:34.908</v>
      </c>
      <c r="CF4478">
        <v>908476936</v>
      </c>
      <c r="CS4478">
        <v>0</v>
      </c>
      <c r="CT4478">
        <v>2</v>
      </c>
      <c r="CU4478">
        <v>0</v>
      </c>
      <c r="CV4478">
        <v>2</v>
      </c>
      <c r="CW4478">
        <v>0</v>
      </c>
      <c r="CX4478">
        <v>6</v>
      </c>
      <c r="CY4478">
        <v>7</v>
      </c>
      <c r="CZ4478" t="s">
        <v>131</v>
      </c>
      <c r="DA4478">
        <v>286</v>
      </c>
      <c r="DB4478">
        <v>0</v>
      </c>
      <c r="DC4478" t="s">
        <v>132</v>
      </c>
      <c r="DD4478" t="s">
        <v>133</v>
      </c>
      <c r="DG4478">
        <v>915140</v>
      </c>
      <c r="DI4478">
        <v>1</v>
      </c>
      <c r="DJ4478">
        <v>0</v>
      </c>
      <c r="DK4478">
        <v>1</v>
      </c>
      <c r="DL4478">
        <v>0</v>
      </c>
      <c r="DM4478">
        <v>0</v>
      </c>
      <c r="DN4478">
        <v>1</v>
      </c>
      <c r="DO4478">
        <v>0</v>
      </c>
      <c r="DP4478">
        <v>0</v>
      </c>
      <c r="DQ4478">
        <v>0</v>
      </c>
      <c r="DR4478">
        <v>0</v>
      </c>
      <c r="DS4478">
        <v>0</v>
      </c>
    </row>
    <row r="4479" spans="1:123" x14ac:dyDescent="0.3">
      <c r="A4479" t="str">
        <f t="shared" si="1653"/>
        <v>10/04/2022 19:37:35.293</v>
      </c>
      <c r="C4479" t="str">
        <f t="shared" si="1648"/>
        <v>FFDFD3C0</v>
      </c>
      <c r="D4479" t="s">
        <v>123</v>
      </c>
      <c r="E4479">
        <v>7</v>
      </c>
      <c r="F4479">
        <v>2007</v>
      </c>
      <c r="G4479" t="s">
        <v>124</v>
      </c>
      <c r="J4479" t="s">
        <v>125</v>
      </c>
      <c r="K4479">
        <v>0</v>
      </c>
      <c r="L4479">
        <v>3</v>
      </c>
      <c r="M4479">
        <v>0</v>
      </c>
      <c r="N4479">
        <v>2</v>
      </c>
      <c r="O4479">
        <v>0</v>
      </c>
      <c r="P4479">
        <v>1</v>
      </c>
      <c r="Q4479">
        <v>0</v>
      </c>
      <c r="S4479" t="str">
        <f t="shared" si="1654"/>
        <v>19:37:34.000</v>
      </c>
      <c r="T4479" t="str">
        <f t="shared" si="1654"/>
        <v>19:37:34.000</v>
      </c>
      <c r="U4479" t="str">
        <f t="shared" si="1633"/>
        <v>AC3944</v>
      </c>
      <c r="V4479">
        <v>0</v>
      </c>
      <c r="W4479">
        <v>0</v>
      </c>
      <c r="X4479">
        <v>2</v>
      </c>
      <c r="Y4479">
        <v>0</v>
      </c>
      <c r="AA4479">
        <v>1</v>
      </c>
      <c r="AB4479">
        <v>8</v>
      </c>
      <c r="AC4479">
        <v>3</v>
      </c>
      <c r="AD4479">
        <v>0</v>
      </c>
      <c r="AE4479">
        <v>9</v>
      </c>
      <c r="AF4479" t="s">
        <v>138</v>
      </c>
      <c r="AG4479">
        <v>0</v>
      </c>
      <c r="AH4479">
        <v>3</v>
      </c>
      <c r="AI4479">
        <v>1</v>
      </c>
      <c r="AJ4479">
        <v>0</v>
      </c>
      <c r="AK4479" t="s">
        <v>1410</v>
      </c>
      <c r="AL4479">
        <v>32.732821000000001</v>
      </c>
      <c r="AM4479" t="s">
        <v>1411</v>
      </c>
      <c r="AN4479">
        <v>-116.71315</v>
      </c>
      <c r="AO4479">
        <v>25</v>
      </c>
      <c r="AP4479">
        <v>4900</v>
      </c>
      <c r="AQ4479" t="s">
        <v>129</v>
      </c>
      <c r="AR4479">
        <v>-150</v>
      </c>
      <c r="AS4479">
        <v>-80</v>
      </c>
      <c r="AT4479">
        <v>-512</v>
      </c>
      <c r="BB4479">
        <v>1200</v>
      </c>
      <c r="BC4479">
        <v>1</v>
      </c>
      <c r="BD4479" t="str">
        <f t="shared" si="1634"/>
        <v xml:space="preserve">N887QR  </v>
      </c>
      <c r="BE4479">
        <v>1</v>
      </c>
      <c r="BG4479">
        <v>0</v>
      </c>
      <c r="BH4479">
        <v>0</v>
      </c>
      <c r="BI4479">
        <v>0</v>
      </c>
      <c r="BJ4479">
        <v>4575</v>
      </c>
      <c r="BK4479">
        <v>-325</v>
      </c>
      <c r="BL4479" t="s">
        <v>163</v>
      </c>
      <c r="BM4479">
        <v>1</v>
      </c>
      <c r="BN4479">
        <v>1</v>
      </c>
      <c r="BO4479">
        <v>1</v>
      </c>
      <c r="BP4479">
        <v>0</v>
      </c>
      <c r="BS4479">
        <v>0</v>
      </c>
      <c r="BT4479">
        <v>0</v>
      </c>
      <c r="BU4479">
        <v>0</v>
      </c>
      <c r="CE4479" t="str">
        <f t="shared" si="1655"/>
        <v>19:37:34.908</v>
      </c>
      <c r="CF4479">
        <v>908476936</v>
      </c>
      <c r="CS4479">
        <v>0</v>
      </c>
      <c r="CT4479">
        <v>2</v>
      </c>
      <c r="CU4479">
        <v>0</v>
      </c>
      <c r="CV4479">
        <v>2</v>
      </c>
      <c r="CW4479">
        <v>0</v>
      </c>
      <c r="CX4479">
        <v>6</v>
      </c>
      <c r="CY4479">
        <v>7</v>
      </c>
      <c r="CZ4479" t="s">
        <v>131</v>
      </c>
      <c r="DA4479">
        <v>286</v>
      </c>
      <c r="DB4479">
        <v>0</v>
      </c>
      <c r="DC4479" t="s">
        <v>132</v>
      </c>
      <c r="DD4479" t="s">
        <v>133</v>
      </c>
      <c r="DG4479">
        <v>915140</v>
      </c>
      <c r="DI4479">
        <v>1</v>
      </c>
      <c r="DJ4479">
        <v>0</v>
      </c>
      <c r="DK4479">
        <v>1</v>
      </c>
      <c r="DL4479">
        <v>0</v>
      </c>
      <c r="DM4479">
        <v>0</v>
      </c>
      <c r="DN4479">
        <v>1</v>
      </c>
      <c r="DO4479">
        <v>0</v>
      </c>
      <c r="DP4479">
        <v>0</v>
      </c>
      <c r="DQ4479">
        <v>0</v>
      </c>
      <c r="DR4479">
        <v>0</v>
      </c>
      <c r="DS4479">
        <v>0</v>
      </c>
    </row>
    <row r="4480" spans="1:123" x14ac:dyDescent="0.3">
      <c r="A4480" t="str">
        <f t="shared" si="1653"/>
        <v>10/04/2022 19:37:35.293</v>
      </c>
      <c r="C4480" t="str">
        <f t="shared" si="1648"/>
        <v>FFDFD3C0</v>
      </c>
      <c r="D4480" t="s">
        <v>141</v>
      </c>
      <c r="E4480">
        <v>4</v>
      </c>
      <c r="H4480">
        <v>4</v>
      </c>
      <c r="I4480" t="s">
        <v>142</v>
      </c>
      <c r="J4480" t="s">
        <v>138</v>
      </c>
      <c r="K4480">
        <v>0</v>
      </c>
      <c r="L4480">
        <v>3</v>
      </c>
      <c r="M4480">
        <v>0</v>
      </c>
      <c r="N4480">
        <v>2</v>
      </c>
      <c r="O4480">
        <v>0</v>
      </c>
      <c r="P4480">
        <v>1</v>
      </c>
      <c r="Q4480">
        <v>0</v>
      </c>
      <c r="S4480" t="str">
        <f t="shared" si="1654"/>
        <v>19:37:34.000</v>
      </c>
      <c r="T4480" t="str">
        <f t="shared" si="1654"/>
        <v>19:37:34.000</v>
      </c>
      <c r="U4480" t="str">
        <f t="shared" si="1633"/>
        <v>AC3944</v>
      </c>
      <c r="V4480">
        <v>0</v>
      </c>
      <c r="W4480">
        <v>0</v>
      </c>
      <c r="X4480">
        <v>2</v>
      </c>
      <c r="Y4480">
        <v>0</v>
      </c>
      <c r="AA4480">
        <v>1</v>
      </c>
      <c r="AB4480">
        <v>8</v>
      </c>
      <c r="AC4480">
        <v>3</v>
      </c>
      <c r="AD4480">
        <v>0</v>
      </c>
      <c r="AE4480">
        <v>9</v>
      </c>
      <c r="AF4480" t="s">
        <v>138</v>
      </c>
      <c r="AG4480">
        <v>0</v>
      </c>
      <c r="AH4480">
        <v>3</v>
      </c>
      <c r="AI4480">
        <v>1</v>
      </c>
      <c r="AJ4480">
        <v>0</v>
      </c>
      <c r="AK4480" t="s">
        <v>1410</v>
      </c>
      <c r="AL4480">
        <v>32.732821000000001</v>
      </c>
      <c r="AM4480" t="s">
        <v>1411</v>
      </c>
      <c r="AN4480">
        <v>-116.71315</v>
      </c>
      <c r="AO4480">
        <v>25</v>
      </c>
      <c r="AP4480">
        <v>4900</v>
      </c>
      <c r="AQ4480" t="s">
        <v>129</v>
      </c>
      <c r="AR4480">
        <v>-150</v>
      </c>
      <c r="AS4480">
        <v>-80</v>
      </c>
      <c r="AT4480">
        <v>-512</v>
      </c>
      <c r="BB4480">
        <v>1200</v>
      </c>
      <c r="BC4480">
        <v>1</v>
      </c>
      <c r="BD4480" t="str">
        <f t="shared" si="1634"/>
        <v xml:space="preserve">N887QR  </v>
      </c>
      <c r="BE4480">
        <v>1</v>
      </c>
      <c r="BG4480">
        <v>0</v>
      </c>
      <c r="BH4480">
        <v>0</v>
      </c>
      <c r="BI4480">
        <v>0</v>
      </c>
      <c r="BJ4480">
        <v>4575</v>
      </c>
      <c r="BK4480">
        <v>-325</v>
      </c>
      <c r="BL4480" t="s">
        <v>163</v>
      </c>
      <c r="BM4480">
        <v>1</v>
      </c>
      <c r="BN4480">
        <v>1</v>
      </c>
      <c r="BO4480">
        <v>1</v>
      </c>
      <c r="BP4480">
        <v>0</v>
      </c>
      <c r="BS4480">
        <v>0</v>
      </c>
      <c r="BT4480">
        <v>0</v>
      </c>
      <c r="BU4480">
        <v>0</v>
      </c>
      <c r="CE4480" t="str">
        <f t="shared" si="1655"/>
        <v>19:37:34.908</v>
      </c>
      <c r="CF4480">
        <v>908476936</v>
      </c>
      <c r="CS4480">
        <v>0</v>
      </c>
      <c r="CT4480">
        <v>2</v>
      </c>
      <c r="CU4480">
        <v>0</v>
      </c>
      <c r="CV4480">
        <v>2</v>
      </c>
      <c r="CW4480">
        <v>0</v>
      </c>
      <c r="CX4480">
        <v>6</v>
      </c>
      <c r="CY4480">
        <v>7</v>
      </c>
      <c r="CZ4480" t="s">
        <v>131</v>
      </c>
      <c r="DA4480">
        <v>286</v>
      </c>
      <c r="DB4480">
        <v>0</v>
      </c>
      <c r="DC4480" t="s">
        <v>132</v>
      </c>
      <c r="DD4480" t="s">
        <v>133</v>
      </c>
      <c r="DG4480">
        <v>915140</v>
      </c>
      <c r="DI4480">
        <v>1</v>
      </c>
      <c r="DJ4480">
        <v>0</v>
      </c>
      <c r="DK4480">
        <v>1</v>
      </c>
      <c r="DL4480">
        <v>0</v>
      </c>
      <c r="DM4480">
        <v>0</v>
      </c>
      <c r="DN4480">
        <v>1</v>
      </c>
      <c r="DO4480">
        <v>0</v>
      </c>
      <c r="DP4480">
        <v>0</v>
      </c>
      <c r="DQ4480">
        <v>0</v>
      </c>
      <c r="DR4480">
        <v>0</v>
      </c>
      <c r="DS4480">
        <v>0</v>
      </c>
    </row>
    <row r="4481" spans="1:123" x14ac:dyDescent="0.3">
      <c r="A4481" t="str">
        <f t="shared" si="1653"/>
        <v>10/04/2022 19:37:35.293</v>
      </c>
      <c r="C4481" t="str">
        <f t="shared" si="1648"/>
        <v>FFDFD3C0</v>
      </c>
      <c r="D4481" t="s">
        <v>141</v>
      </c>
      <c r="E4481">
        <v>3</v>
      </c>
      <c r="H4481">
        <v>3</v>
      </c>
      <c r="I4481" t="s">
        <v>146</v>
      </c>
      <c r="J4481" t="s">
        <v>138</v>
      </c>
      <c r="K4481">
        <v>0</v>
      </c>
      <c r="L4481">
        <v>3</v>
      </c>
      <c r="M4481">
        <v>0</v>
      </c>
      <c r="N4481">
        <v>2</v>
      </c>
      <c r="O4481">
        <v>0</v>
      </c>
      <c r="P4481">
        <v>1</v>
      </c>
      <c r="Q4481">
        <v>0</v>
      </c>
      <c r="S4481" t="str">
        <f t="shared" si="1654"/>
        <v>19:37:34.000</v>
      </c>
      <c r="T4481" t="str">
        <f t="shared" si="1654"/>
        <v>19:37:34.000</v>
      </c>
      <c r="U4481" t="str">
        <f t="shared" si="1633"/>
        <v>AC3944</v>
      </c>
      <c r="V4481">
        <v>0</v>
      </c>
      <c r="W4481">
        <v>0</v>
      </c>
      <c r="X4481">
        <v>2</v>
      </c>
      <c r="Y4481">
        <v>0</v>
      </c>
      <c r="AA4481">
        <v>1</v>
      </c>
      <c r="AB4481">
        <v>8</v>
      </c>
      <c r="AC4481">
        <v>3</v>
      </c>
      <c r="AD4481">
        <v>0</v>
      </c>
      <c r="AE4481">
        <v>9</v>
      </c>
      <c r="AF4481" t="s">
        <v>138</v>
      </c>
      <c r="AG4481">
        <v>0</v>
      </c>
      <c r="AH4481">
        <v>3</v>
      </c>
      <c r="AI4481">
        <v>1</v>
      </c>
      <c r="AJ4481">
        <v>0</v>
      </c>
      <c r="AK4481" t="s">
        <v>1410</v>
      </c>
      <c r="AL4481">
        <v>32.732821000000001</v>
      </c>
      <c r="AM4481" t="s">
        <v>1411</v>
      </c>
      <c r="AN4481">
        <v>-116.71315</v>
      </c>
      <c r="AO4481">
        <v>25</v>
      </c>
      <c r="AP4481">
        <v>4900</v>
      </c>
      <c r="AQ4481" t="s">
        <v>129</v>
      </c>
      <c r="AR4481">
        <v>-150</v>
      </c>
      <c r="AS4481">
        <v>-80</v>
      </c>
      <c r="AT4481">
        <v>-512</v>
      </c>
      <c r="BB4481">
        <v>1200</v>
      </c>
      <c r="BC4481">
        <v>1</v>
      </c>
      <c r="BD4481" t="str">
        <f t="shared" si="1634"/>
        <v xml:space="preserve">N887QR  </v>
      </c>
      <c r="BE4481">
        <v>1</v>
      </c>
      <c r="BG4481">
        <v>0</v>
      </c>
      <c r="BH4481">
        <v>0</v>
      </c>
      <c r="BI4481">
        <v>0</v>
      </c>
      <c r="BJ4481">
        <v>4575</v>
      </c>
      <c r="BK4481">
        <v>-325</v>
      </c>
      <c r="BL4481" t="s">
        <v>163</v>
      </c>
      <c r="BM4481">
        <v>1</v>
      </c>
      <c r="BN4481">
        <v>1</v>
      </c>
      <c r="BO4481">
        <v>1</v>
      </c>
      <c r="BP4481">
        <v>0</v>
      </c>
      <c r="BS4481">
        <v>0</v>
      </c>
      <c r="BT4481">
        <v>0</v>
      </c>
      <c r="BU4481">
        <v>0</v>
      </c>
      <c r="CE4481" t="str">
        <f t="shared" si="1655"/>
        <v>19:37:34.908</v>
      </c>
      <c r="CF4481">
        <v>908476936</v>
      </c>
      <c r="CS4481">
        <v>0</v>
      </c>
      <c r="CT4481">
        <v>2</v>
      </c>
      <c r="CU4481">
        <v>0</v>
      </c>
      <c r="CV4481">
        <v>2</v>
      </c>
      <c r="CW4481">
        <v>0</v>
      </c>
      <c r="CX4481">
        <v>6</v>
      </c>
      <c r="CY4481">
        <v>7</v>
      </c>
      <c r="CZ4481" t="s">
        <v>131</v>
      </c>
      <c r="DA4481">
        <v>286</v>
      </c>
      <c r="DB4481">
        <v>0</v>
      </c>
      <c r="DC4481" t="s">
        <v>132</v>
      </c>
      <c r="DD4481" t="s">
        <v>133</v>
      </c>
      <c r="DG4481">
        <v>915140</v>
      </c>
      <c r="DI4481">
        <v>1</v>
      </c>
      <c r="DJ4481">
        <v>0</v>
      </c>
      <c r="DK4481">
        <v>1</v>
      </c>
      <c r="DL4481">
        <v>0</v>
      </c>
      <c r="DM4481">
        <v>0</v>
      </c>
      <c r="DN4481">
        <v>1</v>
      </c>
      <c r="DO4481">
        <v>0</v>
      </c>
      <c r="DP4481">
        <v>0</v>
      </c>
      <c r="DQ4481">
        <v>0</v>
      </c>
      <c r="DR4481">
        <v>0</v>
      </c>
      <c r="DS4481">
        <v>0</v>
      </c>
    </row>
    <row r="4482" spans="1:123" x14ac:dyDescent="0.3">
      <c r="A4482" t="str">
        <f t="shared" si="1653"/>
        <v>10/04/2022 19:37:35.293</v>
      </c>
      <c r="C4482" t="str">
        <f t="shared" si="1648"/>
        <v>FFDFD3C0</v>
      </c>
      <c r="D4482" t="s">
        <v>134</v>
      </c>
      <c r="E4482">
        <v>15</v>
      </c>
      <c r="J4482" t="s">
        <v>135</v>
      </c>
      <c r="K4482">
        <v>0</v>
      </c>
      <c r="L4482">
        <v>3</v>
      </c>
      <c r="M4482">
        <v>0</v>
      </c>
      <c r="N4482">
        <v>2</v>
      </c>
      <c r="O4482">
        <v>0</v>
      </c>
      <c r="P4482">
        <v>1</v>
      </c>
      <c r="Q4482">
        <v>0</v>
      </c>
      <c r="S4482" t="str">
        <f t="shared" si="1654"/>
        <v>19:37:34.000</v>
      </c>
      <c r="T4482" t="str">
        <f t="shared" si="1654"/>
        <v>19:37:34.000</v>
      </c>
      <c r="U4482" t="str">
        <f t="shared" ref="U4482:U4545" si="1656">"AC3944"</f>
        <v>AC3944</v>
      </c>
      <c r="V4482">
        <v>0</v>
      </c>
      <c r="W4482">
        <v>0</v>
      </c>
      <c r="X4482">
        <v>2</v>
      </c>
      <c r="Y4482">
        <v>0</v>
      </c>
      <c r="AA4482">
        <v>1</v>
      </c>
      <c r="AB4482">
        <v>8</v>
      </c>
      <c r="AC4482">
        <v>3</v>
      </c>
      <c r="AD4482">
        <v>0</v>
      </c>
      <c r="AE4482">
        <v>9</v>
      </c>
      <c r="AF4482" t="s">
        <v>138</v>
      </c>
      <c r="AG4482">
        <v>0</v>
      </c>
      <c r="AH4482">
        <v>3</v>
      </c>
      <c r="AI4482">
        <v>1</v>
      </c>
      <c r="AJ4482">
        <v>0</v>
      </c>
      <c r="AK4482" t="s">
        <v>1410</v>
      </c>
      <c r="AL4482">
        <v>32.732821000000001</v>
      </c>
      <c r="AM4482" t="s">
        <v>1411</v>
      </c>
      <c r="AN4482">
        <v>-116.71315</v>
      </c>
      <c r="AO4482">
        <v>25</v>
      </c>
      <c r="AP4482">
        <v>4900</v>
      </c>
      <c r="AQ4482" t="s">
        <v>129</v>
      </c>
      <c r="AR4482">
        <v>-150</v>
      </c>
      <c r="AS4482">
        <v>-80</v>
      </c>
      <c r="AT4482">
        <v>-512</v>
      </c>
      <c r="BB4482">
        <v>1200</v>
      </c>
      <c r="BC4482">
        <v>1</v>
      </c>
      <c r="BD4482" t="str">
        <f t="shared" ref="BD4482:BD4545" si="1657">"N887QR  "</f>
        <v xml:space="preserve">N887QR  </v>
      </c>
      <c r="BE4482">
        <v>1</v>
      </c>
      <c r="BG4482">
        <v>0</v>
      </c>
      <c r="BH4482">
        <v>0</v>
      </c>
      <c r="BI4482">
        <v>0</v>
      </c>
      <c r="BJ4482">
        <v>4575</v>
      </c>
      <c r="BK4482">
        <v>-325</v>
      </c>
      <c r="BL4482" t="s">
        <v>163</v>
      </c>
      <c r="BM4482">
        <v>1</v>
      </c>
      <c r="BN4482">
        <v>1</v>
      </c>
      <c r="BO4482">
        <v>1</v>
      </c>
      <c r="BP4482">
        <v>0</v>
      </c>
      <c r="BS4482">
        <v>0</v>
      </c>
      <c r="BT4482">
        <v>0</v>
      </c>
      <c r="BU4482">
        <v>0</v>
      </c>
      <c r="CE4482" t="str">
        <f t="shared" si="1655"/>
        <v>19:37:34.908</v>
      </c>
      <c r="CF4482">
        <v>908476936</v>
      </c>
      <c r="CS4482">
        <v>0</v>
      </c>
      <c r="CT4482">
        <v>2</v>
      </c>
      <c r="CU4482">
        <v>0</v>
      </c>
      <c r="CV4482">
        <v>2</v>
      </c>
      <c r="CW4482">
        <v>0</v>
      </c>
      <c r="CX4482">
        <v>6</v>
      </c>
      <c r="CY4482">
        <v>7</v>
      </c>
      <c r="CZ4482" t="s">
        <v>131</v>
      </c>
      <c r="DA4482">
        <v>286</v>
      </c>
      <c r="DB4482">
        <v>0</v>
      </c>
      <c r="DC4482" t="s">
        <v>132</v>
      </c>
      <c r="DD4482" t="s">
        <v>133</v>
      </c>
      <c r="DG4482">
        <v>915140</v>
      </c>
      <c r="DI4482">
        <v>1</v>
      </c>
      <c r="DJ4482">
        <v>0</v>
      </c>
      <c r="DK4482">
        <v>1</v>
      </c>
      <c r="DL4482">
        <v>0</v>
      </c>
      <c r="DM4482">
        <v>0</v>
      </c>
      <c r="DN4482">
        <v>1</v>
      </c>
      <c r="DO4482">
        <v>0</v>
      </c>
      <c r="DP4482">
        <v>0</v>
      </c>
      <c r="DQ4482">
        <v>0</v>
      </c>
      <c r="DR4482">
        <v>0</v>
      </c>
      <c r="DS4482">
        <v>0</v>
      </c>
    </row>
    <row r="4483" spans="1:123" x14ac:dyDescent="0.3">
      <c r="A4483" t="str">
        <f>"10/04/2022 19:37:35.340"</f>
        <v>10/04/2022 19:37:35.340</v>
      </c>
      <c r="C4483" t="str">
        <f t="shared" si="1648"/>
        <v>FFDFD3C0</v>
      </c>
      <c r="D4483" t="s">
        <v>147</v>
      </c>
      <c r="E4483">
        <v>3</v>
      </c>
      <c r="H4483">
        <v>166</v>
      </c>
      <c r="I4483" t="s">
        <v>144</v>
      </c>
      <c r="J4483" t="s">
        <v>148</v>
      </c>
      <c r="K4483">
        <v>0</v>
      </c>
      <c r="L4483">
        <v>3</v>
      </c>
      <c r="M4483">
        <v>0</v>
      </c>
      <c r="N4483">
        <v>2</v>
      </c>
      <c r="O4483">
        <v>0</v>
      </c>
      <c r="P4483">
        <v>1</v>
      </c>
      <c r="Q4483">
        <v>0</v>
      </c>
      <c r="S4483" t="str">
        <f t="shared" si="1654"/>
        <v>19:37:34.000</v>
      </c>
      <c r="T4483" t="str">
        <f t="shared" si="1654"/>
        <v>19:37:34.000</v>
      </c>
      <c r="U4483" t="str">
        <f t="shared" si="1656"/>
        <v>AC3944</v>
      </c>
      <c r="V4483">
        <v>0</v>
      </c>
      <c r="W4483">
        <v>0</v>
      </c>
      <c r="X4483">
        <v>2</v>
      </c>
      <c r="Y4483">
        <v>0</v>
      </c>
      <c r="AA4483">
        <v>1</v>
      </c>
      <c r="AB4483">
        <v>8</v>
      </c>
      <c r="AC4483">
        <v>3</v>
      </c>
      <c r="AD4483">
        <v>0</v>
      </c>
      <c r="AE4483">
        <v>9</v>
      </c>
      <c r="AF4483" t="s">
        <v>138</v>
      </c>
      <c r="AG4483">
        <v>0</v>
      </c>
      <c r="AH4483">
        <v>3</v>
      </c>
      <c r="AI4483">
        <v>1</v>
      </c>
      <c r="AJ4483">
        <v>0</v>
      </c>
      <c r="AK4483" t="s">
        <v>1410</v>
      </c>
      <c r="AL4483">
        <v>32.732821000000001</v>
      </c>
      <c r="AM4483" t="s">
        <v>1411</v>
      </c>
      <c r="AN4483">
        <v>-116.71315</v>
      </c>
      <c r="AO4483">
        <v>25</v>
      </c>
      <c r="AP4483">
        <v>4900</v>
      </c>
      <c r="AQ4483" t="s">
        <v>129</v>
      </c>
      <c r="AR4483">
        <v>-150</v>
      </c>
      <c r="AS4483">
        <v>-80</v>
      </c>
      <c r="AT4483">
        <v>-512</v>
      </c>
      <c r="BB4483">
        <v>1200</v>
      </c>
      <c r="BC4483">
        <v>1</v>
      </c>
      <c r="BD4483" t="str">
        <f t="shared" si="1657"/>
        <v xml:space="preserve">N887QR  </v>
      </c>
      <c r="BE4483">
        <v>1</v>
      </c>
      <c r="BG4483">
        <v>0</v>
      </c>
      <c r="BH4483">
        <v>0</v>
      </c>
      <c r="BI4483">
        <v>0</v>
      </c>
      <c r="BJ4483">
        <v>4575</v>
      </c>
      <c r="BK4483">
        <v>-325</v>
      </c>
      <c r="BL4483" t="s">
        <v>163</v>
      </c>
      <c r="BM4483">
        <v>1</v>
      </c>
      <c r="BN4483">
        <v>1</v>
      </c>
      <c r="BO4483">
        <v>1</v>
      </c>
      <c r="BP4483">
        <v>0</v>
      </c>
      <c r="BS4483">
        <v>0</v>
      </c>
      <c r="BT4483">
        <v>0</v>
      </c>
      <c r="BU4483">
        <v>0</v>
      </c>
      <c r="CE4483" t="str">
        <f t="shared" si="1655"/>
        <v>19:37:34.908</v>
      </c>
      <c r="CF4483">
        <v>908476936</v>
      </c>
      <c r="CS4483">
        <v>0</v>
      </c>
      <c r="CT4483">
        <v>2</v>
      </c>
      <c r="CU4483">
        <v>0</v>
      </c>
      <c r="CV4483">
        <v>2</v>
      </c>
      <c r="CW4483">
        <v>0</v>
      </c>
      <c r="CX4483">
        <v>6</v>
      </c>
      <c r="CY4483">
        <v>7</v>
      </c>
      <c r="CZ4483" t="s">
        <v>131</v>
      </c>
      <c r="DA4483">
        <v>286</v>
      </c>
      <c r="DB4483">
        <v>0</v>
      </c>
      <c r="DC4483" t="s">
        <v>132</v>
      </c>
      <c r="DD4483" t="s">
        <v>133</v>
      </c>
      <c r="DG4483">
        <v>915140</v>
      </c>
      <c r="DI4483">
        <v>1</v>
      </c>
      <c r="DJ4483">
        <v>0</v>
      </c>
      <c r="DK4483">
        <v>1</v>
      </c>
      <c r="DL4483">
        <v>0</v>
      </c>
      <c r="DM4483">
        <v>0</v>
      </c>
      <c r="DN4483">
        <v>1</v>
      </c>
      <c r="DO4483">
        <v>0</v>
      </c>
      <c r="DP4483">
        <v>0</v>
      </c>
      <c r="DQ4483">
        <v>0</v>
      </c>
      <c r="DR4483">
        <v>0</v>
      </c>
      <c r="DS4483">
        <v>0</v>
      </c>
    </row>
    <row r="4484" spans="1:123" x14ac:dyDescent="0.3">
      <c r="A4484" t="str">
        <f>"10/04/2022 19:37:36.729"</f>
        <v>10/04/2022 19:37:36.729</v>
      </c>
      <c r="C4484" t="str">
        <f t="shared" si="1648"/>
        <v>FFDFD3C0</v>
      </c>
      <c r="D4484" t="s">
        <v>136</v>
      </c>
      <c r="E4484">
        <v>8</v>
      </c>
      <c r="H4484">
        <v>225</v>
      </c>
      <c r="I4484" t="s">
        <v>137</v>
      </c>
      <c r="J4484" t="s">
        <v>138</v>
      </c>
      <c r="K4484">
        <v>0</v>
      </c>
      <c r="L4484">
        <v>3</v>
      </c>
      <c r="M4484">
        <v>0</v>
      </c>
      <c r="N4484">
        <v>2</v>
      </c>
      <c r="O4484">
        <v>0</v>
      </c>
      <c r="P4484">
        <v>1</v>
      </c>
      <c r="Q4484">
        <v>0</v>
      </c>
      <c r="S4484" t="str">
        <f t="shared" ref="S4484:T4497" si="1658">"19:37:36.000"</f>
        <v>19:37:36.000</v>
      </c>
      <c r="T4484" t="str">
        <f t="shared" si="1658"/>
        <v>19:37:36.000</v>
      </c>
      <c r="U4484" t="str">
        <f t="shared" si="1656"/>
        <v>AC3944</v>
      </c>
      <c r="V4484">
        <v>0</v>
      </c>
      <c r="W4484">
        <v>0</v>
      </c>
      <c r="X4484">
        <v>2</v>
      </c>
      <c r="Y4484">
        <v>0</v>
      </c>
      <c r="AA4484">
        <v>1</v>
      </c>
      <c r="AB4484">
        <v>8</v>
      </c>
      <c r="AC4484">
        <v>3</v>
      </c>
      <c r="AD4484">
        <v>0</v>
      </c>
      <c r="AE4484">
        <v>9</v>
      </c>
      <c r="AF4484" t="s">
        <v>138</v>
      </c>
      <c r="AG4484">
        <v>0</v>
      </c>
      <c r="AH4484">
        <v>3</v>
      </c>
      <c r="AI4484">
        <v>1</v>
      </c>
      <c r="AJ4484">
        <v>0</v>
      </c>
      <c r="AK4484" t="s">
        <v>1412</v>
      </c>
      <c r="AL4484">
        <v>32.732520000000001</v>
      </c>
      <c r="AM4484" t="s">
        <v>1413</v>
      </c>
      <c r="AN4484">
        <v>-116.713815</v>
      </c>
      <c r="AO4484">
        <v>25</v>
      </c>
      <c r="AP4484">
        <v>4900</v>
      </c>
      <c r="AQ4484" t="s">
        <v>129</v>
      </c>
      <c r="AR4484">
        <v>-151</v>
      </c>
      <c r="AS4484">
        <v>-82</v>
      </c>
      <c r="AT4484">
        <v>-640</v>
      </c>
      <c r="BB4484">
        <v>1200</v>
      </c>
      <c r="BC4484">
        <v>1</v>
      </c>
      <c r="BD4484" t="str">
        <f t="shared" si="1657"/>
        <v xml:space="preserve">N887QR  </v>
      </c>
      <c r="BE4484">
        <v>1</v>
      </c>
      <c r="BG4484">
        <v>0</v>
      </c>
      <c r="BH4484">
        <v>0</v>
      </c>
      <c r="BI4484">
        <v>0</v>
      </c>
      <c r="BJ4484">
        <v>4550</v>
      </c>
      <c r="BK4484">
        <v>-350</v>
      </c>
      <c r="BL4484" t="s">
        <v>163</v>
      </c>
      <c r="BM4484">
        <v>1</v>
      </c>
      <c r="BN4484">
        <v>1</v>
      </c>
      <c r="BO4484">
        <v>1</v>
      </c>
      <c r="BP4484">
        <v>0</v>
      </c>
      <c r="BS4484">
        <v>0</v>
      </c>
      <c r="BT4484">
        <v>0</v>
      </c>
      <c r="BU4484">
        <v>0</v>
      </c>
      <c r="CE4484" t="str">
        <f t="shared" ref="CE4484:CE4490" si="1659">"19:37:36.366"</f>
        <v>19:37:36.366</v>
      </c>
      <c r="CF4484">
        <v>365981235</v>
      </c>
      <c r="CS4484">
        <v>0</v>
      </c>
      <c r="CT4484">
        <v>2</v>
      </c>
      <c r="CU4484">
        <v>0</v>
      </c>
      <c r="CV4484">
        <v>2</v>
      </c>
      <c r="CW4484">
        <v>0</v>
      </c>
      <c r="CX4484">
        <v>6</v>
      </c>
      <c r="CY4484">
        <v>7</v>
      </c>
      <c r="CZ4484" t="s">
        <v>131</v>
      </c>
      <c r="DA4484">
        <v>286</v>
      </c>
      <c r="DB4484">
        <v>0</v>
      </c>
      <c r="DC4484" t="s">
        <v>132</v>
      </c>
      <c r="DD4484" t="s">
        <v>133</v>
      </c>
      <c r="DG4484">
        <v>915464</v>
      </c>
      <c r="DI4484">
        <v>1</v>
      </c>
      <c r="DJ4484">
        <v>0</v>
      </c>
      <c r="DK4484">
        <v>0</v>
      </c>
      <c r="DL4484">
        <v>0</v>
      </c>
      <c r="DM4484">
        <v>0</v>
      </c>
      <c r="DN4484">
        <v>1</v>
      </c>
      <c r="DO4484">
        <v>0</v>
      </c>
      <c r="DP4484">
        <v>0</v>
      </c>
      <c r="DQ4484">
        <v>0</v>
      </c>
      <c r="DR4484">
        <v>0</v>
      </c>
      <c r="DS4484">
        <v>0</v>
      </c>
    </row>
    <row r="4485" spans="1:123" x14ac:dyDescent="0.3">
      <c r="A4485" t="str">
        <f>"10/04/2022 19:37:36.729"</f>
        <v>10/04/2022 19:37:36.729</v>
      </c>
      <c r="C4485" t="str">
        <f t="shared" si="1648"/>
        <v>FFDFD3C0</v>
      </c>
      <c r="D4485" t="s">
        <v>123</v>
      </c>
      <c r="E4485">
        <v>7</v>
      </c>
      <c r="F4485">
        <v>2007</v>
      </c>
      <c r="G4485" t="s">
        <v>124</v>
      </c>
      <c r="J4485" t="s">
        <v>125</v>
      </c>
      <c r="K4485">
        <v>0</v>
      </c>
      <c r="L4485">
        <v>3</v>
      </c>
      <c r="M4485">
        <v>0</v>
      </c>
      <c r="N4485">
        <v>2</v>
      </c>
      <c r="O4485">
        <v>0</v>
      </c>
      <c r="P4485">
        <v>1</v>
      </c>
      <c r="Q4485">
        <v>0</v>
      </c>
      <c r="S4485" t="str">
        <f t="shared" si="1658"/>
        <v>19:37:36.000</v>
      </c>
      <c r="T4485" t="str">
        <f t="shared" si="1658"/>
        <v>19:37:36.000</v>
      </c>
      <c r="U4485" t="str">
        <f t="shared" si="1656"/>
        <v>AC3944</v>
      </c>
      <c r="V4485">
        <v>0</v>
      </c>
      <c r="W4485">
        <v>0</v>
      </c>
      <c r="X4485">
        <v>2</v>
      </c>
      <c r="Y4485">
        <v>0</v>
      </c>
      <c r="AA4485">
        <v>1</v>
      </c>
      <c r="AB4485">
        <v>8</v>
      </c>
      <c r="AC4485">
        <v>3</v>
      </c>
      <c r="AD4485">
        <v>0</v>
      </c>
      <c r="AE4485">
        <v>9</v>
      </c>
      <c r="AF4485" t="s">
        <v>138</v>
      </c>
      <c r="AG4485">
        <v>0</v>
      </c>
      <c r="AH4485">
        <v>3</v>
      </c>
      <c r="AI4485">
        <v>1</v>
      </c>
      <c r="AJ4485">
        <v>0</v>
      </c>
      <c r="AK4485" t="s">
        <v>1412</v>
      </c>
      <c r="AL4485">
        <v>32.732520000000001</v>
      </c>
      <c r="AM4485" t="s">
        <v>1413</v>
      </c>
      <c r="AN4485">
        <v>-116.713815</v>
      </c>
      <c r="AO4485">
        <v>25</v>
      </c>
      <c r="AP4485">
        <v>4900</v>
      </c>
      <c r="AQ4485" t="s">
        <v>129</v>
      </c>
      <c r="AR4485">
        <v>-151</v>
      </c>
      <c r="AS4485">
        <v>-82</v>
      </c>
      <c r="AT4485">
        <v>-640</v>
      </c>
      <c r="BB4485">
        <v>1200</v>
      </c>
      <c r="BC4485">
        <v>1</v>
      </c>
      <c r="BD4485" t="str">
        <f t="shared" si="1657"/>
        <v xml:space="preserve">N887QR  </v>
      </c>
      <c r="BE4485">
        <v>1</v>
      </c>
      <c r="BG4485">
        <v>0</v>
      </c>
      <c r="BH4485">
        <v>0</v>
      </c>
      <c r="BI4485">
        <v>0</v>
      </c>
      <c r="BJ4485">
        <v>4550</v>
      </c>
      <c r="BK4485">
        <v>-350</v>
      </c>
      <c r="BL4485" t="s">
        <v>163</v>
      </c>
      <c r="BM4485">
        <v>1</v>
      </c>
      <c r="BN4485">
        <v>1</v>
      </c>
      <c r="BO4485">
        <v>1</v>
      </c>
      <c r="BP4485">
        <v>0</v>
      </c>
      <c r="BS4485">
        <v>0</v>
      </c>
      <c r="BT4485">
        <v>0</v>
      </c>
      <c r="BU4485">
        <v>0</v>
      </c>
      <c r="CE4485" t="str">
        <f t="shared" si="1659"/>
        <v>19:37:36.366</v>
      </c>
      <c r="CF4485">
        <v>365981235</v>
      </c>
      <c r="CS4485">
        <v>0</v>
      </c>
      <c r="CT4485">
        <v>2</v>
      </c>
      <c r="CU4485">
        <v>0</v>
      </c>
      <c r="CV4485">
        <v>2</v>
      </c>
      <c r="CW4485">
        <v>0</v>
      </c>
      <c r="CX4485">
        <v>6</v>
      </c>
      <c r="CY4485">
        <v>7</v>
      </c>
      <c r="CZ4485" t="s">
        <v>131</v>
      </c>
      <c r="DA4485">
        <v>286</v>
      </c>
      <c r="DB4485">
        <v>0</v>
      </c>
      <c r="DC4485" t="s">
        <v>132</v>
      </c>
      <c r="DD4485" t="s">
        <v>133</v>
      </c>
      <c r="DG4485">
        <v>915464</v>
      </c>
      <c r="DI4485">
        <v>1</v>
      </c>
      <c r="DJ4485">
        <v>0</v>
      </c>
      <c r="DK4485">
        <v>1</v>
      </c>
      <c r="DL4485">
        <v>0</v>
      </c>
      <c r="DM4485">
        <v>0</v>
      </c>
      <c r="DN4485">
        <v>1</v>
      </c>
      <c r="DO4485">
        <v>0</v>
      </c>
      <c r="DP4485">
        <v>0</v>
      </c>
      <c r="DQ4485">
        <v>0</v>
      </c>
      <c r="DR4485">
        <v>0</v>
      </c>
      <c r="DS4485">
        <v>0</v>
      </c>
    </row>
    <row r="4486" spans="1:123" x14ac:dyDescent="0.3">
      <c r="A4486" t="str">
        <f>"10/04/2022 19:37:36.729"</f>
        <v>10/04/2022 19:37:36.729</v>
      </c>
      <c r="C4486" t="str">
        <f t="shared" si="1648"/>
        <v>FFDFD3C0</v>
      </c>
      <c r="D4486" t="s">
        <v>141</v>
      </c>
      <c r="E4486">
        <v>4</v>
      </c>
      <c r="H4486">
        <v>4</v>
      </c>
      <c r="I4486" t="s">
        <v>142</v>
      </c>
      <c r="J4486" t="s">
        <v>138</v>
      </c>
      <c r="K4486">
        <v>0</v>
      </c>
      <c r="L4486">
        <v>3</v>
      </c>
      <c r="M4486">
        <v>0</v>
      </c>
      <c r="N4486">
        <v>2</v>
      </c>
      <c r="O4486">
        <v>0</v>
      </c>
      <c r="P4486">
        <v>1</v>
      </c>
      <c r="Q4486">
        <v>0</v>
      </c>
      <c r="S4486" t="str">
        <f t="shared" si="1658"/>
        <v>19:37:36.000</v>
      </c>
      <c r="T4486" t="str">
        <f t="shared" si="1658"/>
        <v>19:37:36.000</v>
      </c>
      <c r="U4486" t="str">
        <f t="shared" si="1656"/>
        <v>AC3944</v>
      </c>
      <c r="V4486">
        <v>0</v>
      </c>
      <c r="W4486">
        <v>0</v>
      </c>
      <c r="X4486">
        <v>2</v>
      </c>
      <c r="Y4486">
        <v>0</v>
      </c>
      <c r="AA4486">
        <v>1</v>
      </c>
      <c r="AB4486">
        <v>8</v>
      </c>
      <c r="AC4486">
        <v>3</v>
      </c>
      <c r="AD4486">
        <v>0</v>
      </c>
      <c r="AE4486">
        <v>9</v>
      </c>
      <c r="AF4486" t="s">
        <v>138</v>
      </c>
      <c r="AG4486">
        <v>0</v>
      </c>
      <c r="AH4486">
        <v>3</v>
      </c>
      <c r="AI4486">
        <v>1</v>
      </c>
      <c r="AJ4486">
        <v>0</v>
      </c>
      <c r="AK4486" t="s">
        <v>1412</v>
      </c>
      <c r="AL4486">
        <v>32.732520000000001</v>
      </c>
      <c r="AM4486" t="s">
        <v>1413</v>
      </c>
      <c r="AN4486">
        <v>-116.713815</v>
      </c>
      <c r="AO4486">
        <v>25</v>
      </c>
      <c r="AP4486">
        <v>4900</v>
      </c>
      <c r="AQ4486" t="s">
        <v>129</v>
      </c>
      <c r="AR4486">
        <v>-151</v>
      </c>
      <c r="AS4486">
        <v>-82</v>
      </c>
      <c r="AT4486">
        <v>-640</v>
      </c>
      <c r="BB4486">
        <v>1200</v>
      </c>
      <c r="BC4486">
        <v>1</v>
      </c>
      <c r="BD4486" t="str">
        <f t="shared" si="1657"/>
        <v xml:space="preserve">N887QR  </v>
      </c>
      <c r="BE4486">
        <v>1</v>
      </c>
      <c r="BG4486">
        <v>0</v>
      </c>
      <c r="BH4486">
        <v>0</v>
      </c>
      <c r="BI4486">
        <v>0</v>
      </c>
      <c r="BJ4486">
        <v>4550</v>
      </c>
      <c r="BK4486">
        <v>-350</v>
      </c>
      <c r="BL4486" t="s">
        <v>163</v>
      </c>
      <c r="BM4486">
        <v>1</v>
      </c>
      <c r="BN4486">
        <v>1</v>
      </c>
      <c r="BO4486">
        <v>1</v>
      </c>
      <c r="BP4486">
        <v>0</v>
      </c>
      <c r="BS4486">
        <v>0</v>
      </c>
      <c r="BT4486">
        <v>0</v>
      </c>
      <c r="BU4486">
        <v>0</v>
      </c>
      <c r="CE4486" t="str">
        <f t="shared" si="1659"/>
        <v>19:37:36.366</v>
      </c>
      <c r="CF4486">
        <v>365981235</v>
      </c>
      <c r="CS4486">
        <v>0</v>
      </c>
      <c r="CT4486">
        <v>2</v>
      </c>
      <c r="CU4486">
        <v>0</v>
      </c>
      <c r="CV4486">
        <v>2</v>
      </c>
      <c r="CW4486">
        <v>0</v>
      </c>
      <c r="CX4486">
        <v>6</v>
      </c>
      <c r="CY4486">
        <v>7</v>
      </c>
      <c r="CZ4486" t="s">
        <v>131</v>
      </c>
      <c r="DA4486">
        <v>286</v>
      </c>
      <c r="DB4486">
        <v>0</v>
      </c>
      <c r="DC4486" t="s">
        <v>132</v>
      </c>
      <c r="DD4486" t="s">
        <v>133</v>
      </c>
      <c r="DG4486">
        <v>915464</v>
      </c>
      <c r="DI4486">
        <v>1</v>
      </c>
      <c r="DJ4486">
        <v>0</v>
      </c>
      <c r="DK4486">
        <v>1</v>
      </c>
      <c r="DL4486">
        <v>0</v>
      </c>
      <c r="DM4486">
        <v>0</v>
      </c>
      <c r="DN4486">
        <v>1</v>
      </c>
      <c r="DO4486">
        <v>0</v>
      </c>
      <c r="DP4486">
        <v>0</v>
      </c>
      <c r="DQ4486">
        <v>0</v>
      </c>
      <c r="DR4486">
        <v>0</v>
      </c>
      <c r="DS4486">
        <v>0</v>
      </c>
    </row>
    <row r="4487" spans="1:123" x14ac:dyDescent="0.3">
      <c r="A4487" t="str">
        <f>"10/04/2022 19:37:36.745"</f>
        <v>10/04/2022 19:37:36.745</v>
      </c>
      <c r="C4487" t="str">
        <f t="shared" si="1648"/>
        <v>FFDFD3C0</v>
      </c>
      <c r="D4487" t="s">
        <v>141</v>
      </c>
      <c r="E4487">
        <v>3</v>
      </c>
      <c r="H4487">
        <v>3</v>
      </c>
      <c r="I4487" t="s">
        <v>146</v>
      </c>
      <c r="J4487" t="s">
        <v>138</v>
      </c>
      <c r="K4487">
        <v>0</v>
      </c>
      <c r="L4487">
        <v>3</v>
      </c>
      <c r="M4487">
        <v>0</v>
      </c>
      <c r="N4487">
        <v>2</v>
      </c>
      <c r="O4487">
        <v>0</v>
      </c>
      <c r="P4487">
        <v>1</v>
      </c>
      <c r="Q4487">
        <v>0</v>
      </c>
      <c r="S4487" t="str">
        <f t="shared" si="1658"/>
        <v>19:37:36.000</v>
      </c>
      <c r="T4487" t="str">
        <f t="shared" si="1658"/>
        <v>19:37:36.000</v>
      </c>
      <c r="U4487" t="str">
        <f t="shared" si="1656"/>
        <v>AC3944</v>
      </c>
      <c r="V4487">
        <v>0</v>
      </c>
      <c r="W4487">
        <v>0</v>
      </c>
      <c r="X4487">
        <v>2</v>
      </c>
      <c r="Y4487">
        <v>0</v>
      </c>
      <c r="AA4487">
        <v>1</v>
      </c>
      <c r="AB4487">
        <v>8</v>
      </c>
      <c r="AC4487">
        <v>3</v>
      </c>
      <c r="AD4487">
        <v>0</v>
      </c>
      <c r="AE4487">
        <v>9</v>
      </c>
      <c r="AF4487" t="s">
        <v>138</v>
      </c>
      <c r="AG4487">
        <v>0</v>
      </c>
      <c r="AH4487">
        <v>3</v>
      </c>
      <c r="AI4487">
        <v>1</v>
      </c>
      <c r="AJ4487">
        <v>0</v>
      </c>
      <c r="AK4487" t="s">
        <v>1412</v>
      </c>
      <c r="AL4487">
        <v>32.732520000000001</v>
      </c>
      <c r="AM4487" t="s">
        <v>1413</v>
      </c>
      <c r="AN4487">
        <v>-116.713815</v>
      </c>
      <c r="AO4487">
        <v>25</v>
      </c>
      <c r="AP4487">
        <v>4900</v>
      </c>
      <c r="AQ4487" t="s">
        <v>129</v>
      </c>
      <c r="AR4487">
        <v>-151</v>
      </c>
      <c r="AS4487">
        <v>-82</v>
      </c>
      <c r="AT4487">
        <v>-640</v>
      </c>
      <c r="BB4487">
        <v>1200</v>
      </c>
      <c r="BC4487">
        <v>1</v>
      </c>
      <c r="BD4487" t="str">
        <f t="shared" si="1657"/>
        <v xml:space="preserve">N887QR  </v>
      </c>
      <c r="BE4487">
        <v>1</v>
      </c>
      <c r="BG4487">
        <v>0</v>
      </c>
      <c r="BH4487">
        <v>0</v>
      </c>
      <c r="BI4487">
        <v>0</v>
      </c>
      <c r="BJ4487">
        <v>4550</v>
      </c>
      <c r="BK4487">
        <v>-350</v>
      </c>
      <c r="BL4487" t="s">
        <v>163</v>
      </c>
      <c r="BM4487">
        <v>1</v>
      </c>
      <c r="BN4487">
        <v>1</v>
      </c>
      <c r="BO4487">
        <v>1</v>
      </c>
      <c r="BP4487">
        <v>0</v>
      </c>
      <c r="BS4487">
        <v>0</v>
      </c>
      <c r="BT4487">
        <v>0</v>
      </c>
      <c r="BU4487">
        <v>0</v>
      </c>
      <c r="CE4487" t="str">
        <f t="shared" si="1659"/>
        <v>19:37:36.366</v>
      </c>
      <c r="CF4487">
        <v>365981235</v>
      </c>
      <c r="CS4487">
        <v>0</v>
      </c>
      <c r="CT4487">
        <v>2</v>
      </c>
      <c r="CU4487">
        <v>0</v>
      </c>
      <c r="CV4487">
        <v>2</v>
      </c>
      <c r="CW4487">
        <v>0</v>
      </c>
      <c r="CX4487">
        <v>6</v>
      </c>
      <c r="CY4487">
        <v>7</v>
      </c>
      <c r="CZ4487" t="s">
        <v>131</v>
      </c>
      <c r="DA4487">
        <v>286</v>
      </c>
      <c r="DB4487">
        <v>0</v>
      </c>
      <c r="DC4487" t="s">
        <v>132</v>
      </c>
      <c r="DD4487" t="s">
        <v>133</v>
      </c>
      <c r="DG4487">
        <v>915464</v>
      </c>
      <c r="DI4487">
        <v>1</v>
      </c>
      <c r="DJ4487">
        <v>0</v>
      </c>
      <c r="DK4487">
        <v>1</v>
      </c>
      <c r="DL4487">
        <v>0</v>
      </c>
      <c r="DM4487">
        <v>0</v>
      </c>
      <c r="DN4487">
        <v>1</v>
      </c>
      <c r="DO4487">
        <v>0</v>
      </c>
      <c r="DP4487">
        <v>0</v>
      </c>
      <c r="DQ4487">
        <v>0</v>
      </c>
      <c r="DR4487">
        <v>0</v>
      </c>
      <c r="DS4487">
        <v>0</v>
      </c>
    </row>
    <row r="4488" spans="1:123" x14ac:dyDescent="0.3">
      <c r="A4488" t="str">
        <f>"10/04/2022 19:37:36.745"</f>
        <v>10/04/2022 19:37:36.745</v>
      </c>
      <c r="C4488" t="str">
        <f t="shared" si="1648"/>
        <v>FFDFD3C0</v>
      </c>
      <c r="D4488" t="s">
        <v>134</v>
      </c>
      <c r="E4488">
        <v>15</v>
      </c>
      <c r="J4488" t="s">
        <v>135</v>
      </c>
      <c r="K4488">
        <v>0</v>
      </c>
      <c r="L4488">
        <v>3</v>
      </c>
      <c r="M4488">
        <v>0</v>
      </c>
      <c r="N4488">
        <v>2</v>
      </c>
      <c r="O4488">
        <v>0</v>
      </c>
      <c r="P4488">
        <v>1</v>
      </c>
      <c r="Q4488">
        <v>0</v>
      </c>
      <c r="S4488" t="str">
        <f t="shared" si="1658"/>
        <v>19:37:36.000</v>
      </c>
      <c r="T4488" t="str">
        <f t="shared" si="1658"/>
        <v>19:37:36.000</v>
      </c>
      <c r="U4488" t="str">
        <f t="shared" si="1656"/>
        <v>AC3944</v>
      </c>
      <c r="V4488">
        <v>0</v>
      </c>
      <c r="W4488">
        <v>0</v>
      </c>
      <c r="X4488">
        <v>2</v>
      </c>
      <c r="Y4488">
        <v>0</v>
      </c>
      <c r="AA4488">
        <v>1</v>
      </c>
      <c r="AB4488">
        <v>8</v>
      </c>
      <c r="AC4488">
        <v>3</v>
      </c>
      <c r="AD4488">
        <v>0</v>
      </c>
      <c r="AE4488">
        <v>9</v>
      </c>
      <c r="AF4488" t="s">
        <v>138</v>
      </c>
      <c r="AG4488">
        <v>0</v>
      </c>
      <c r="AH4488">
        <v>3</v>
      </c>
      <c r="AI4488">
        <v>1</v>
      </c>
      <c r="AJ4488">
        <v>0</v>
      </c>
      <c r="AK4488" t="s">
        <v>1412</v>
      </c>
      <c r="AL4488">
        <v>32.732520000000001</v>
      </c>
      <c r="AM4488" t="s">
        <v>1413</v>
      </c>
      <c r="AN4488">
        <v>-116.713815</v>
      </c>
      <c r="AO4488">
        <v>25</v>
      </c>
      <c r="AP4488">
        <v>4900</v>
      </c>
      <c r="AQ4488" t="s">
        <v>129</v>
      </c>
      <c r="AR4488">
        <v>-151</v>
      </c>
      <c r="AS4488">
        <v>-82</v>
      </c>
      <c r="AT4488">
        <v>-640</v>
      </c>
      <c r="BB4488">
        <v>1200</v>
      </c>
      <c r="BC4488">
        <v>1</v>
      </c>
      <c r="BD4488" t="str">
        <f t="shared" si="1657"/>
        <v xml:space="preserve">N887QR  </v>
      </c>
      <c r="BE4488">
        <v>1</v>
      </c>
      <c r="BG4488">
        <v>0</v>
      </c>
      <c r="BH4488">
        <v>0</v>
      </c>
      <c r="BI4488">
        <v>0</v>
      </c>
      <c r="BJ4488">
        <v>4550</v>
      </c>
      <c r="BK4488">
        <v>-350</v>
      </c>
      <c r="BL4488" t="s">
        <v>163</v>
      </c>
      <c r="BM4488">
        <v>1</v>
      </c>
      <c r="BN4488">
        <v>1</v>
      </c>
      <c r="BO4488">
        <v>1</v>
      </c>
      <c r="BP4488">
        <v>0</v>
      </c>
      <c r="BS4488">
        <v>0</v>
      </c>
      <c r="BT4488">
        <v>0</v>
      </c>
      <c r="BU4488">
        <v>0</v>
      </c>
      <c r="CE4488" t="str">
        <f t="shared" si="1659"/>
        <v>19:37:36.366</v>
      </c>
      <c r="CF4488">
        <v>365981235</v>
      </c>
      <c r="CS4488">
        <v>0</v>
      </c>
      <c r="CT4488">
        <v>2</v>
      </c>
      <c r="CU4488">
        <v>0</v>
      </c>
      <c r="CV4488">
        <v>2</v>
      </c>
      <c r="CW4488">
        <v>0</v>
      </c>
      <c r="CX4488">
        <v>6</v>
      </c>
      <c r="CY4488">
        <v>7</v>
      </c>
      <c r="CZ4488" t="s">
        <v>131</v>
      </c>
      <c r="DA4488">
        <v>286</v>
      </c>
      <c r="DB4488">
        <v>0</v>
      </c>
      <c r="DC4488" t="s">
        <v>132</v>
      </c>
      <c r="DD4488" t="s">
        <v>133</v>
      </c>
      <c r="DG4488">
        <v>915464</v>
      </c>
      <c r="DI4488">
        <v>1</v>
      </c>
      <c r="DJ4488">
        <v>0</v>
      </c>
      <c r="DK4488">
        <v>1</v>
      </c>
      <c r="DL4488">
        <v>0</v>
      </c>
      <c r="DM4488">
        <v>0</v>
      </c>
      <c r="DN4488">
        <v>1</v>
      </c>
      <c r="DO4488">
        <v>0</v>
      </c>
      <c r="DP4488">
        <v>0</v>
      </c>
      <c r="DQ4488">
        <v>0</v>
      </c>
      <c r="DR4488">
        <v>0</v>
      </c>
      <c r="DS4488">
        <v>0</v>
      </c>
    </row>
    <row r="4489" spans="1:123" x14ac:dyDescent="0.3">
      <c r="A4489" t="str">
        <f>"10/04/2022 19:37:36.745"</f>
        <v>10/04/2022 19:37:36.745</v>
      </c>
      <c r="C4489" t="str">
        <f t="shared" si="1648"/>
        <v>FFDFD3C0</v>
      </c>
      <c r="D4489" t="s">
        <v>147</v>
      </c>
      <c r="E4489">
        <v>3</v>
      </c>
      <c r="H4489">
        <v>166</v>
      </c>
      <c r="I4489" t="s">
        <v>144</v>
      </c>
      <c r="J4489" t="s">
        <v>148</v>
      </c>
      <c r="K4489">
        <v>0</v>
      </c>
      <c r="L4489">
        <v>3</v>
      </c>
      <c r="M4489">
        <v>0</v>
      </c>
      <c r="N4489">
        <v>2</v>
      </c>
      <c r="O4489">
        <v>0</v>
      </c>
      <c r="P4489">
        <v>1</v>
      </c>
      <c r="Q4489">
        <v>0</v>
      </c>
      <c r="S4489" t="str">
        <f t="shared" si="1658"/>
        <v>19:37:36.000</v>
      </c>
      <c r="T4489" t="str">
        <f t="shared" si="1658"/>
        <v>19:37:36.000</v>
      </c>
      <c r="U4489" t="str">
        <f t="shared" si="1656"/>
        <v>AC3944</v>
      </c>
      <c r="V4489">
        <v>0</v>
      </c>
      <c r="W4489">
        <v>0</v>
      </c>
      <c r="X4489">
        <v>2</v>
      </c>
      <c r="Y4489">
        <v>0</v>
      </c>
      <c r="AA4489">
        <v>1</v>
      </c>
      <c r="AB4489">
        <v>8</v>
      </c>
      <c r="AC4489">
        <v>3</v>
      </c>
      <c r="AD4489">
        <v>0</v>
      </c>
      <c r="AE4489">
        <v>9</v>
      </c>
      <c r="AF4489" t="s">
        <v>138</v>
      </c>
      <c r="AG4489">
        <v>0</v>
      </c>
      <c r="AH4489">
        <v>3</v>
      </c>
      <c r="AI4489">
        <v>1</v>
      </c>
      <c r="AJ4489">
        <v>0</v>
      </c>
      <c r="AK4489" t="s">
        <v>1412</v>
      </c>
      <c r="AL4489">
        <v>32.732520000000001</v>
      </c>
      <c r="AM4489" t="s">
        <v>1413</v>
      </c>
      <c r="AN4489">
        <v>-116.713815</v>
      </c>
      <c r="AO4489">
        <v>25</v>
      </c>
      <c r="AP4489">
        <v>4900</v>
      </c>
      <c r="AQ4489" t="s">
        <v>129</v>
      </c>
      <c r="AR4489">
        <v>-151</v>
      </c>
      <c r="AS4489">
        <v>-82</v>
      </c>
      <c r="AT4489">
        <v>-640</v>
      </c>
      <c r="BB4489">
        <v>1200</v>
      </c>
      <c r="BC4489">
        <v>1</v>
      </c>
      <c r="BD4489" t="str">
        <f t="shared" si="1657"/>
        <v xml:space="preserve">N887QR  </v>
      </c>
      <c r="BE4489">
        <v>1</v>
      </c>
      <c r="BG4489">
        <v>0</v>
      </c>
      <c r="BH4489">
        <v>0</v>
      </c>
      <c r="BI4489">
        <v>0</v>
      </c>
      <c r="BJ4489">
        <v>4550</v>
      </c>
      <c r="BK4489">
        <v>-350</v>
      </c>
      <c r="BL4489" t="s">
        <v>163</v>
      </c>
      <c r="BM4489">
        <v>1</v>
      </c>
      <c r="BN4489">
        <v>1</v>
      </c>
      <c r="BO4489">
        <v>1</v>
      </c>
      <c r="BP4489">
        <v>0</v>
      </c>
      <c r="BS4489">
        <v>0</v>
      </c>
      <c r="BT4489">
        <v>0</v>
      </c>
      <c r="BU4489">
        <v>0</v>
      </c>
      <c r="CE4489" t="str">
        <f t="shared" si="1659"/>
        <v>19:37:36.366</v>
      </c>
      <c r="CF4489">
        <v>365981235</v>
      </c>
      <c r="CS4489">
        <v>0</v>
      </c>
      <c r="CT4489">
        <v>2</v>
      </c>
      <c r="CU4489">
        <v>0</v>
      </c>
      <c r="CV4489">
        <v>2</v>
      </c>
      <c r="CW4489">
        <v>0</v>
      </c>
      <c r="CX4489">
        <v>6</v>
      </c>
      <c r="CY4489">
        <v>7</v>
      </c>
      <c r="CZ4489" t="s">
        <v>131</v>
      </c>
      <c r="DA4489">
        <v>286</v>
      </c>
      <c r="DB4489">
        <v>0</v>
      </c>
      <c r="DC4489" t="s">
        <v>132</v>
      </c>
      <c r="DD4489" t="s">
        <v>133</v>
      </c>
      <c r="DG4489">
        <v>915464</v>
      </c>
      <c r="DI4489">
        <v>1</v>
      </c>
      <c r="DJ4489">
        <v>0</v>
      </c>
      <c r="DK4489">
        <v>1</v>
      </c>
      <c r="DL4489">
        <v>0</v>
      </c>
      <c r="DM4489">
        <v>0</v>
      </c>
      <c r="DN4489">
        <v>1</v>
      </c>
      <c r="DO4489">
        <v>0</v>
      </c>
      <c r="DP4489">
        <v>0</v>
      </c>
      <c r="DQ4489">
        <v>0</v>
      </c>
      <c r="DR4489">
        <v>0</v>
      </c>
      <c r="DS4489">
        <v>0</v>
      </c>
    </row>
    <row r="4490" spans="1:123" x14ac:dyDescent="0.3">
      <c r="A4490" t="str">
        <f>"10/04/2022 19:37:36.745"</f>
        <v>10/04/2022 19:37:36.745</v>
      </c>
      <c r="C4490" t="str">
        <f t="shared" si="1648"/>
        <v>FFDFD3C0</v>
      </c>
      <c r="D4490" t="s">
        <v>143</v>
      </c>
      <c r="E4490">
        <v>20</v>
      </c>
      <c r="F4490">
        <v>1020</v>
      </c>
      <c r="G4490" t="s">
        <v>144</v>
      </c>
      <c r="J4490" t="s">
        <v>145</v>
      </c>
      <c r="K4490">
        <v>0</v>
      </c>
      <c r="L4490">
        <v>3</v>
      </c>
      <c r="M4490">
        <v>0</v>
      </c>
      <c r="N4490">
        <v>2</v>
      </c>
      <c r="O4490">
        <v>0</v>
      </c>
      <c r="P4490">
        <v>1</v>
      </c>
      <c r="Q4490">
        <v>0</v>
      </c>
      <c r="S4490" t="str">
        <f t="shared" si="1658"/>
        <v>19:37:36.000</v>
      </c>
      <c r="T4490" t="str">
        <f t="shared" si="1658"/>
        <v>19:37:36.000</v>
      </c>
      <c r="U4490" t="str">
        <f t="shared" si="1656"/>
        <v>AC3944</v>
      </c>
      <c r="V4490">
        <v>0</v>
      </c>
      <c r="W4490">
        <v>0</v>
      </c>
      <c r="X4490">
        <v>2</v>
      </c>
      <c r="Y4490">
        <v>0</v>
      </c>
      <c r="AA4490">
        <v>1</v>
      </c>
      <c r="AB4490">
        <v>8</v>
      </c>
      <c r="AC4490">
        <v>3</v>
      </c>
      <c r="AD4490">
        <v>0</v>
      </c>
      <c r="AE4490">
        <v>9</v>
      </c>
      <c r="AF4490" t="s">
        <v>138</v>
      </c>
      <c r="AG4490">
        <v>0</v>
      </c>
      <c r="AH4490">
        <v>3</v>
      </c>
      <c r="AI4490">
        <v>1</v>
      </c>
      <c r="AJ4490">
        <v>0</v>
      </c>
      <c r="AK4490" t="s">
        <v>1412</v>
      </c>
      <c r="AL4490">
        <v>32.732520000000001</v>
      </c>
      <c r="AM4490" t="s">
        <v>1413</v>
      </c>
      <c r="AN4490">
        <v>-116.713815</v>
      </c>
      <c r="AO4490">
        <v>25</v>
      </c>
      <c r="AP4490">
        <v>4900</v>
      </c>
      <c r="AQ4490" t="s">
        <v>129</v>
      </c>
      <c r="AR4490">
        <v>-151</v>
      </c>
      <c r="AS4490">
        <v>-82</v>
      </c>
      <c r="AT4490">
        <v>-640</v>
      </c>
      <c r="BB4490">
        <v>1200</v>
      </c>
      <c r="BC4490">
        <v>1</v>
      </c>
      <c r="BD4490" t="str">
        <f t="shared" si="1657"/>
        <v xml:space="preserve">N887QR  </v>
      </c>
      <c r="BE4490">
        <v>1</v>
      </c>
      <c r="BG4490">
        <v>0</v>
      </c>
      <c r="BH4490">
        <v>0</v>
      </c>
      <c r="BI4490">
        <v>0</v>
      </c>
      <c r="BJ4490">
        <v>4550</v>
      </c>
      <c r="BK4490">
        <v>-350</v>
      </c>
      <c r="BL4490" t="s">
        <v>163</v>
      </c>
      <c r="BM4490">
        <v>1</v>
      </c>
      <c r="BN4490">
        <v>1</v>
      </c>
      <c r="BO4490">
        <v>1</v>
      </c>
      <c r="BP4490">
        <v>0</v>
      </c>
      <c r="BS4490">
        <v>0</v>
      </c>
      <c r="BT4490">
        <v>0</v>
      </c>
      <c r="BU4490">
        <v>0</v>
      </c>
      <c r="CE4490" t="str">
        <f t="shared" si="1659"/>
        <v>19:37:36.366</v>
      </c>
      <c r="CF4490">
        <v>365981235</v>
      </c>
      <c r="CS4490">
        <v>0</v>
      </c>
      <c r="CT4490">
        <v>2</v>
      </c>
      <c r="CU4490">
        <v>0</v>
      </c>
      <c r="CV4490">
        <v>2</v>
      </c>
      <c r="CW4490">
        <v>0</v>
      </c>
      <c r="CX4490">
        <v>6</v>
      </c>
      <c r="CY4490">
        <v>7</v>
      </c>
      <c r="CZ4490" t="s">
        <v>131</v>
      </c>
      <c r="DA4490">
        <v>286</v>
      </c>
      <c r="DB4490">
        <v>0</v>
      </c>
      <c r="DC4490" t="s">
        <v>132</v>
      </c>
      <c r="DD4490" t="s">
        <v>133</v>
      </c>
      <c r="DG4490">
        <v>915464</v>
      </c>
      <c r="DI4490">
        <v>1</v>
      </c>
      <c r="DJ4490">
        <v>0</v>
      </c>
      <c r="DK4490">
        <v>1</v>
      </c>
      <c r="DL4490">
        <v>0</v>
      </c>
      <c r="DM4490">
        <v>0</v>
      </c>
      <c r="DN4490">
        <v>1</v>
      </c>
      <c r="DO4490">
        <v>0</v>
      </c>
      <c r="DP4490">
        <v>0</v>
      </c>
      <c r="DQ4490">
        <v>0</v>
      </c>
      <c r="DR4490">
        <v>0</v>
      </c>
      <c r="DS4490">
        <v>0</v>
      </c>
    </row>
    <row r="4491" spans="1:123" x14ac:dyDescent="0.3">
      <c r="A4491" t="str">
        <f t="shared" ref="A4491:A4497" si="1660">"10/04/2022 19:37:37.323"</f>
        <v>10/04/2022 19:37:37.323</v>
      </c>
      <c r="C4491" t="str">
        <f t="shared" si="1648"/>
        <v>FFDFD3C0</v>
      </c>
      <c r="D4491" t="s">
        <v>141</v>
      </c>
      <c r="E4491">
        <v>3</v>
      </c>
      <c r="H4491">
        <v>3</v>
      </c>
      <c r="I4491" t="s">
        <v>146</v>
      </c>
      <c r="J4491" t="s">
        <v>138</v>
      </c>
      <c r="K4491">
        <v>0</v>
      </c>
      <c r="L4491">
        <v>3</v>
      </c>
      <c r="M4491">
        <v>0</v>
      </c>
      <c r="N4491">
        <v>2</v>
      </c>
      <c r="O4491">
        <v>0</v>
      </c>
      <c r="P4491">
        <v>1</v>
      </c>
      <c r="Q4491">
        <v>0</v>
      </c>
      <c r="S4491" t="str">
        <f t="shared" si="1658"/>
        <v>19:37:36.000</v>
      </c>
      <c r="T4491" t="str">
        <f t="shared" si="1658"/>
        <v>19:37:36.000</v>
      </c>
      <c r="U4491" t="str">
        <f t="shared" si="1656"/>
        <v>AC3944</v>
      </c>
      <c r="V4491">
        <v>0</v>
      </c>
      <c r="W4491">
        <v>0</v>
      </c>
      <c r="X4491">
        <v>2</v>
      </c>
      <c r="Y4491">
        <v>0</v>
      </c>
      <c r="AA4491">
        <v>1</v>
      </c>
      <c r="AB4491">
        <v>8</v>
      </c>
      <c r="AC4491">
        <v>3</v>
      </c>
      <c r="AD4491">
        <v>0</v>
      </c>
      <c r="AE4491">
        <v>9</v>
      </c>
      <c r="AF4491" t="s">
        <v>138</v>
      </c>
      <c r="AG4491">
        <v>0</v>
      </c>
      <c r="AH4491">
        <v>3</v>
      </c>
      <c r="AI4491">
        <v>1</v>
      </c>
      <c r="AJ4491">
        <v>0</v>
      </c>
      <c r="AK4491" t="s">
        <v>1414</v>
      </c>
      <c r="AL4491">
        <v>32.732134000000002</v>
      </c>
      <c r="AM4491" t="s">
        <v>1415</v>
      </c>
      <c r="AN4491">
        <v>-116.71463</v>
      </c>
      <c r="AO4491">
        <v>25</v>
      </c>
      <c r="AP4491">
        <v>4900</v>
      </c>
      <c r="AQ4491" t="s">
        <v>129</v>
      </c>
      <c r="AR4491">
        <v>-151</v>
      </c>
      <c r="AS4491">
        <v>-82</v>
      </c>
      <c r="AT4491">
        <v>-640</v>
      </c>
      <c r="BB4491">
        <v>1200</v>
      </c>
      <c r="BC4491">
        <v>1</v>
      </c>
      <c r="BD4491" t="str">
        <f t="shared" si="1657"/>
        <v xml:space="preserve">N887QR  </v>
      </c>
      <c r="BE4491">
        <v>1</v>
      </c>
      <c r="BG4491">
        <v>0</v>
      </c>
      <c r="BH4491">
        <v>0</v>
      </c>
      <c r="BI4491">
        <v>0</v>
      </c>
      <c r="BJ4491">
        <v>4550</v>
      </c>
      <c r="BK4491">
        <v>-350</v>
      </c>
      <c r="BL4491" t="s">
        <v>163</v>
      </c>
      <c r="BM4491">
        <v>1</v>
      </c>
      <c r="BN4491">
        <v>1</v>
      </c>
      <c r="BO4491">
        <v>1</v>
      </c>
      <c r="BP4491">
        <v>0</v>
      </c>
      <c r="BS4491">
        <v>0</v>
      </c>
      <c r="BT4491">
        <v>0</v>
      </c>
      <c r="BU4491">
        <v>0</v>
      </c>
      <c r="CE4491" t="str">
        <f t="shared" ref="CE4491:CE4497" si="1661">"19:37:36.995"</f>
        <v>19:37:36.995</v>
      </c>
      <c r="CF4491">
        <v>994983094</v>
      </c>
      <c r="CS4491">
        <v>0</v>
      </c>
      <c r="CT4491">
        <v>2</v>
      </c>
      <c r="CU4491">
        <v>0</v>
      </c>
      <c r="CV4491">
        <v>2</v>
      </c>
      <c r="CW4491">
        <v>0</v>
      </c>
      <c r="CX4491">
        <v>6</v>
      </c>
      <c r="CY4491">
        <v>7</v>
      </c>
      <c r="CZ4491" t="s">
        <v>131</v>
      </c>
      <c r="DA4491">
        <v>286</v>
      </c>
      <c r="DB4491">
        <v>0</v>
      </c>
      <c r="DC4491" t="s">
        <v>132</v>
      </c>
      <c r="DD4491" t="s">
        <v>133</v>
      </c>
      <c r="DG4491">
        <v>915628</v>
      </c>
      <c r="DI4491">
        <v>1</v>
      </c>
      <c r="DJ4491">
        <v>0</v>
      </c>
      <c r="DK4491">
        <v>0</v>
      </c>
      <c r="DL4491">
        <v>0</v>
      </c>
      <c r="DM4491">
        <v>0</v>
      </c>
      <c r="DN4491">
        <v>1</v>
      </c>
      <c r="DO4491">
        <v>0</v>
      </c>
      <c r="DP4491">
        <v>0</v>
      </c>
      <c r="DQ4491">
        <v>0</v>
      </c>
      <c r="DR4491">
        <v>0</v>
      </c>
      <c r="DS4491">
        <v>0</v>
      </c>
    </row>
    <row r="4492" spans="1:123" x14ac:dyDescent="0.3">
      <c r="A4492" t="str">
        <f t="shared" si="1660"/>
        <v>10/04/2022 19:37:37.323</v>
      </c>
      <c r="C4492" t="str">
        <f t="shared" si="1648"/>
        <v>FFDFD3C0</v>
      </c>
      <c r="D4492" t="s">
        <v>134</v>
      </c>
      <c r="E4492">
        <v>15</v>
      </c>
      <c r="J4492" t="s">
        <v>135</v>
      </c>
      <c r="K4492">
        <v>0</v>
      </c>
      <c r="L4492">
        <v>3</v>
      </c>
      <c r="M4492">
        <v>0</v>
      </c>
      <c r="N4492">
        <v>2</v>
      </c>
      <c r="O4492">
        <v>0</v>
      </c>
      <c r="P4492">
        <v>1</v>
      </c>
      <c r="Q4492">
        <v>0</v>
      </c>
      <c r="S4492" t="str">
        <f t="shared" si="1658"/>
        <v>19:37:36.000</v>
      </c>
      <c r="T4492" t="str">
        <f t="shared" si="1658"/>
        <v>19:37:36.000</v>
      </c>
      <c r="U4492" t="str">
        <f t="shared" si="1656"/>
        <v>AC3944</v>
      </c>
      <c r="V4492">
        <v>0</v>
      </c>
      <c r="W4492">
        <v>0</v>
      </c>
      <c r="X4492">
        <v>2</v>
      </c>
      <c r="Y4492">
        <v>0</v>
      </c>
      <c r="AA4492">
        <v>1</v>
      </c>
      <c r="AB4492">
        <v>8</v>
      </c>
      <c r="AC4492">
        <v>3</v>
      </c>
      <c r="AD4492">
        <v>0</v>
      </c>
      <c r="AE4492">
        <v>9</v>
      </c>
      <c r="AF4492" t="s">
        <v>138</v>
      </c>
      <c r="AG4492">
        <v>0</v>
      </c>
      <c r="AH4492">
        <v>3</v>
      </c>
      <c r="AI4492">
        <v>1</v>
      </c>
      <c r="AJ4492">
        <v>0</v>
      </c>
      <c r="AK4492" t="s">
        <v>1414</v>
      </c>
      <c r="AL4492">
        <v>32.732134000000002</v>
      </c>
      <c r="AM4492" t="s">
        <v>1415</v>
      </c>
      <c r="AN4492">
        <v>-116.71463</v>
      </c>
      <c r="AO4492">
        <v>25</v>
      </c>
      <c r="AP4492">
        <v>4900</v>
      </c>
      <c r="AQ4492" t="s">
        <v>129</v>
      </c>
      <c r="AR4492">
        <v>-151</v>
      </c>
      <c r="AS4492">
        <v>-82</v>
      </c>
      <c r="AT4492">
        <v>-640</v>
      </c>
      <c r="BB4492">
        <v>1200</v>
      </c>
      <c r="BC4492">
        <v>1</v>
      </c>
      <c r="BD4492" t="str">
        <f t="shared" si="1657"/>
        <v xml:space="preserve">N887QR  </v>
      </c>
      <c r="BE4492">
        <v>1</v>
      </c>
      <c r="BG4492">
        <v>0</v>
      </c>
      <c r="BH4492">
        <v>0</v>
      </c>
      <c r="BI4492">
        <v>0</v>
      </c>
      <c r="BJ4492">
        <v>4550</v>
      </c>
      <c r="BK4492">
        <v>-350</v>
      </c>
      <c r="BL4492" t="s">
        <v>163</v>
      </c>
      <c r="BM4492">
        <v>1</v>
      </c>
      <c r="BN4492">
        <v>1</v>
      </c>
      <c r="BO4492">
        <v>1</v>
      </c>
      <c r="BP4492">
        <v>0</v>
      </c>
      <c r="BS4492">
        <v>0</v>
      </c>
      <c r="BT4492">
        <v>0</v>
      </c>
      <c r="BU4492">
        <v>0</v>
      </c>
      <c r="CE4492" t="str">
        <f t="shared" si="1661"/>
        <v>19:37:36.995</v>
      </c>
      <c r="CF4492">
        <v>994983094</v>
      </c>
      <c r="CS4492">
        <v>0</v>
      </c>
      <c r="CT4492">
        <v>2</v>
      </c>
      <c r="CU4492">
        <v>0</v>
      </c>
      <c r="CV4492">
        <v>2</v>
      </c>
      <c r="CW4492">
        <v>0</v>
      </c>
      <c r="CX4492">
        <v>6</v>
      </c>
      <c r="CY4492">
        <v>7</v>
      </c>
      <c r="CZ4492" t="s">
        <v>131</v>
      </c>
      <c r="DA4492">
        <v>286</v>
      </c>
      <c r="DB4492">
        <v>0</v>
      </c>
      <c r="DC4492" t="s">
        <v>132</v>
      </c>
      <c r="DD4492" t="s">
        <v>133</v>
      </c>
      <c r="DG4492">
        <v>915628</v>
      </c>
      <c r="DI4492">
        <v>1</v>
      </c>
      <c r="DJ4492">
        <v>0</v>
      </c>
      <c r="DK4492">
        <v>1</v>
      </c>
      <c r="DL4492">
        <v>0</v>
      </c>
      <c r="DM4492">
        <v>0</v>
      </c>
      <c r="DN4492">
        <v>1</v>
      </c>
      <c r="DO4492">
        <v>0</v>
      </c>
      <c r="DP4492">
        <v>0</v>
      </c>
      <c r="DQ4492">
        <v>0</v>
      </c>
      <c r="DR4492">
        <v>0</v>
      </c>
      <c r="DS4492">
        <v>0</v>
      </c>
    </row>
    <row r="4493" spans="1:123" x14ac:dyDescent="0.3">
      <c r="A4493" t="str">
        <f t="shared" si="1660"/>
        <v>10/04/2022 19:37:37.323</v>
      </c>
      <c r="C4493" t="str">
        <f t="shared" si="1648"/>
        <v>FFDFD3C0</v>
      </c>
      <c r="D4493" t="s">
        <v>147</v>
      </c>
      <c r="E4493">
        <v>3</v>
      </c>
      <c r="H4493">
        <v>166</v>
      </c>
      <c r="I4493" t="s">
        <v>144</v>
      </c>
      <c r="J4493" t="s">
        <v>148</v>
      </c>
      <c r="K4493">
        <v>0</v>
      </c>
      <c r="L4493">
        <v>3</v>
      </c>
      <c r="M4493">
        <v>0</v>
      </c>
      <c r="N4493">
        <v>2</v>
      </c>
      <c r="O4493">
        <v>0</v>
      </c>
      <c r="P4493">
        <v>1</v>
      </c>
      <c r="Q4493">
        <v>0</v>
      </c>
      <c r="S4493" t="str">
        <f t="shared" si="1658"/>
        <v>19:37:36.000</v>
      </c>
      <c r="T4493" t="str">
        <f t="shared" si="1658"/>
        <v>19:37:36.000</v>
      </c>
      <c r="U4493" t="str">
        <f t="shared" si="1656"/>
        <v>AC3944</v>
      </c>
      <c r="V4493">
        <v>0</v>
      </c>
      <c r="W4493">
        <v>0</v>
      </c>
      <c r="X4493">
        <v>2</v>
      </c>
      <c r="Y4493">
        <v>0</v>
      </c>
      <c r="AA4493">
        <v>1</v>
      </c>
      <c r="AB4493">
        <v>8</v>
      </c>
      <c r="AC4493">
        <v>3</v>
      </c>
      <c r="AD4493">
        <v>0</v>
      </c>
      <c r="AE4493">
        <v>9</v>
      </c>
      <c r="AF4493" t="s">
        <v>138</v>
      </c>
      <c r="AG4493">
        <v>0</v>
      </c>
      <c r="AH4493">
        <v>3</v>
      </c>
      <c r="AI4493">
        <v>1</v>
      </c>
      <c r="AJ4493">
        <v>0</v>
      </c>
      <c r="AK4493" t="s">
        <v>1414</v>
      </c>
      <c r="AL4493">
        <v>32.732134000000002</v>
      </c>
      <c r="AM4493" t="s">
        <v>1415</v>
      </c>
      <c r="AN4493">
        <v>-116.71463</v>
      </c>
      <c r="AO4493">
        <v>25</v>
      </c>
      <c r="AP4493">
        <v>4900</v>
      </c>
      <c r="AQ4493" t="s">
        <v>129</v>
      </c>
      <c r="AR4493">
        <v>-151</v>
      </c>
      <c r="AS4493">
        <v>-82</v>
      </c>
      <c r="AT4493">
        <v>-640</v>
      </c>
      <c r="BB4493">
        <v>1200</v>
      </c>
      <c r="BC4493">
        <v>1</v>
      </c>
      <c r="BD4493" t="str">
        <f t="shared" si="1657"/>
        <v xml:space="preserve">N887QR  </v>
      </c>
      <c r="BE4493">
        <v>1</v>
      </c>
      <c r="BG4493">
        <v>0</v>
      </c>
      <c r="BH4493">
        <v>0</v>
      </c>
      <c r="BI4493">
        <v>0</v>
      </c>
      <c r="BJ4493">
        <v>4550</v>
      </c>
      <c r="BK4493">
        <v>-350</v>
      </c>
      <c r="BL4493" t="s">
        <v>163</v>
      </c>
      <c r="BM4493">
        <v>1</v>
      </c>
      <c r="BN4493">
        <v>1</v>
      </c>
      <c r="BO4493">
        <v>1</v>
      </c>
      <c r="BP4493">
        <v>0</v>
      </c>
      <c r="BS4493">
        <v>0</v>
      </c>
      <c r="BT4493">
        <v>0</v>
      </c>
      <c r="BU4493">
        <v>0</v>
      </c>
      <c r="CE4493" t="str">
        <f t="shared" si="1661"/>
        <v>19:37:36.995</v>
      </c>
      <c r="CF4493">
        <v>994983094</v>
      </c>
      <c r="CS4493">
        <v>0</v>
      </c>
      <c r="CT4493">
        <v>2</v>
      </c>
      <c r="CU4493">
        <v>0</v>
      </c>
      <c r="CV4493">
        <v>2</v>
      </c>
      <c r="CW4493">
        <v>0</v>
      </c>
      <c r="CX4493">
        <v>6</v>
      </c>
      <c r="CY4493">
        <v>7</v>
      </c>
      <c r="CZ4493" t="s">
        <v>131</v>
      </c>
      <c r="DA4493">
        <v>286</v>
      </c>
      <c r="DB4493">
        <v>0</v>
      </c>
      <c r="DC4493" t="s">
        <v>132</v>
      </c>
      <c r="DD4493" t="s">
        <v>133</v>
      </c>
      <c r="DG4493">
        <v>915628</v>
      </c>
      <c r="DI4493">
        <v>1</v>
      </c>
      <c r="DJ4493">
        <v>0</v>
      </c>
      <c r="DK4493">
        <v>1</v>
      </c>
      <c r="DL4493">
        <v>0</v>
      </c>
      <c r="DM4493">
        <v>0</v>
      </c>
      <c r="DN4493">
        <v>1</v>
      </c>
      <c r="DO4493">
        <v>0</v>
      </c>
      <c r="DP4493">
        <v>0</v>
      </c>
      <c r="DQ4493">
        <v>0</v>
      </c>
      <c r="DR4493">
        <v>0</v>
      </c>
      <c r="DS4493">
        <v>0</v>
      </c>
    </row>
    <row r="4494" spans="1:123" x14ac:dyDescent="0.3">
      <c r="A4494" t="str">
        <f t="shared" si="1660"/>
        <v>10/04/2022 19:37:37.323</v>
      </c>
      <c r="C4494" t="str">
        <f t="shared" si="1648"/>
        <v>FFDFD3C0</v>
      </c>
      <c r="D4494" t="s">
        <v>143</v>
      </c>
      <c r="E4494">
        <v>20</v>
      </c>
      <c r="F4494">
        <v>1020</v>
      </c>
      <c r="G4494" t="s">
        <v>144</v>
      </c>
      <c r="J4494" t="s">
        <v>145</v>
      </c>
      <c r="K4494">
        <v>0</v>
      </c>
      <c r="L4494">
        <v>3</v>
      </c>
      <c r="M4494">
        <v>0</v>
      </c>
      <c r="N4494">
        <v>2</v>
      </c>
      <c r="O4494">
        <v>0</v>
      </c>
      <c r="P4494">
        <v>1</v>
      </c>
      <c r="Q4494">
        <v>0</v>
      </c>
      <c r="S4494" t="str">
        <f t="shared" si="1658"/>
        <v>19:37:36.000</v>
      </c>
      <c r="T4494" t="str">
        <f t="shared" si="1658"/>
        <v>19:37:36.000</v>
      </c>
      <c r="U4494" t="str">
        <f t="shared" si="1656"/>
        <v>AC3944</v>
      </c>
      <c r="V4494">
        <v>0</v>
      </c>
      <c r="W4494">
        <v>0</v>
      </c>
      <c r="X4494">
        <v>2</v>
      </c>
      <c r="Y4494">
        <v>0</v>
      </c>
      <c r="AA4494">
        <v>1</v>
      </c>
      <c r="AB4494">
        <v>8</v>
      </c>
      <c r="AC4494">
        <v>3</v>
      </c>
      <c r="AD4494">
        <v>0</v>
      </c>
      <c r="AE4494">
        <v>9</v>
      </c>
      <c r="AF4494" t="s">
        <v>138</v>
      </c>
      <c r="AG4494">
        <v>0</v>
      </c>
      <c r="AH4494">
        <v>3</v>
      </c>
      <c r="AI4494">
        <v>1</v>
      </c>
      <c r="AJ4494">
        <v>0</v>
      </c>
      <c r="AK4494" t="s">
        <v>1414</v>
      </c>
      <c r="AL4494">
        <v>32.732134000000002</v>
      </c>
      <c r="AM4494" t="s">
        <v>1415</v>
      </c>
      <c r="AN4494">
        <v>-116.71463</v>
      </c>
      <c r="AO4494">
        <v>25</v>
      </c>
      <c r="AP4494">
        <v>4900</v>
      </c>
      <c r="AQ4494" t="s">
        <v>129</v>
      </c>
      <c r="AR4494">
        <v>-151</v>
      </c>
      <c r="AS4494">
        <v>-82</v>
      </c>
      <c r="AT4494">
        <v>-640</v>
      </c>
      <c r="BB4494">
        <v>1200</v>
      </c>
      <c r="BC4494">
        <v>1</v>
      </c>
      <c r="BD4494" t="str">
        <f t="shared" si="1657"/>
        <v xml:space="preserve">N887QR  </v>
      </c>
      <c r="BE4494">
        <v>1</v>
      </c>
      <c r="BG4494">
        <v>0</v>
      </c>
      <c r="BH4494">
        <v>0</v>
      </c>
      <c r="BI4494">
        <v>0</v>
      </c>
      <c r="BJ4494">
        <v>4550</v>
      </c>
      <c r="BK4494">
        <v>-350</v>
      </c>
      <c r="BL4494" t="s">
        <v>163</v>
      </c>
      <c r="BM4494">
        <v>1</v>
      </c>
      <c r="BN4494">
        <v>1</v>
      </c>
      <c r="BO4494">
        <v>1</v>
      </c>
      <c r="BP4494">
        <v>0</v>
      </c>
      <c r="BS4494">
        <v>0</v>
      </c>
      <c r="BT4494">
        <v>0</v>
      </c>
      <c r="BU4494">
        <v>0</v>
      </c>
      <c r="CE4494" t="str">
        <f t="shared" si="1661"/>
        <v>19:37:36.995</v>
      </c>
      <c r="CF4494">
        <v>994983094</v>
      </c>
      <c r="CS4494">
        <v>0</v>
      </c>
      <c r="CT4494">
        <v>2</v>
      </c>
      <c r="CU4494">
        <v>0</v>
      </c>
      <c r="CV4494">
        <v>2</v>
      </c>
      <c r="CW4494">
        <v>0</v>
      </c>
      <c r="CX4494">
        <v>6</v>
      </c>
      <c r="CY4494">
        <v>7</v>
      </c>
      <c r="CZ4494" t="s">
        <v>131</v>
      </c>
      <c r="DA4494">
        <v>286</v>
      </c>
      <c r="DB4494">
        <v>0</v>
      </c>
      <c r="DC4494" t="s">
        <v>132</v>
      </c>
      <c r="DD4494" t="s">
        <v>133</v>
      </c>
      <c r="DG4494">
        <v>915628</v>
      </c>
      <c r="DI4494">
        <v>1</v>
      </c>
      <c r="DJ4494">
        <v>0</v>
      </c>
      <c r="DK4494">
        <v>1</v>
      </c>
      <c r="DL4494">
        <v>0</v>
      </c>
      <c r="DM4494">
        <v>0</v>
      </c>
      <c r="DN4494">
        <v>1</v>
      </c>
      <c r="DO4494">
        <v>0</v>
      </c>
      <c r="DP4494">
        <v>0</v>
      </c>
      <c r="DQ4494">
        <v>0</v>
      </c>
      <c r="DR4494">
        <v>0</v>
      </c>
      <c r="DS4494">
        <v>0</v>
      </c>
    </row>
    <row r="4495" spans="1:123" x14ac:dyDescent="0.3">
      <c r="A4495" t="str">
        <f t="shared" si="1660"/>
        <v>10/04/2022 19:37:37.323</v>
      </c>
      <c r="C4495" t="str">
        <f t="shared" si="1648"/>
        <v>FFDFD3C0</v>
      </c>
      <c r="D4495" t="s">
        <v>123</v>
      </c>
      <c r="E4495">
        <v>7</v>
      </c>
      <c r="F4495">
        <v>2007</v>
      </c>
      <c r="G4495" t="s">
        <v>124</v>
      </c>
      <c r="J4495" t="s">
        <v>125</v>
      </c>
      <c r="K4495">
        <v>0</v>
      </c>
      <c r="L4495">
        <v>3</v>
      </c>
      <c r="M4495">
        <v>0</v>
      </c>
      <c r="N4495">
        <v>2</v>
      </c>
      <c r="O4495">
        <v>0</v>
      </c>
      <c r="P4495">
        <v>1</v>
      </c>
      <c r="Q4495">
        <v>0</v>
      </c>
      <c r="S4495" t="str">
        <f t="shared" si="1658"/>
        <v>19:37:36.000</v>
      </c>
      <c r="T4495" t="str">
        <f t="shared" si="1658"/>
        <v>19:37:36.000</v>
      </c>
      <c r="U4495" t="str">
        <f t="shared" si="1656"/>
        <v>AC3944</v>
      </c>
      <c r="V4495">
        <v>0</v>
      </c>
      <c r="W4495">
        <v>0</v>
      </c>
      <c r="X4495">
        <v>2</v>
      </c>
      <c r="Y4495">
        <v>0</v>
      </c>
      <c r="AA4495">
        <v>1</v>
      </c>
      <c r="AB4495">
        <v>8</v>
      </c>
      <c r="AC4495">
        <v>3</v>
      </c>
      <c r="AD4495">
        <v>0</v>
      </c>
      <c r="AE4495">
        <v>9</v>
      </c>
      <c r="AF4495" t="s">
        <v>138</v>
      </c>
      <c r="AG4495">
        <v>0</v>
      </c>
      <c r="AH4495">
        <v>3</v>
      </c>
      <c r="AI4495">
        <v>1</v>
      </c>
      <c r="AJ4495">
        <v>0</v>
      </c>
      <c r="AK4495" t="s">
        <v>1414</v>
      </c>
      <c r="AL4495">
        <v>32.732134000000002</v>
      </c>
      <c r="AM4495" t="s">
        <v>1415</v>
      </c>
      <c r="AN4495">
        <v>-116.71463</v>
      </c>
      <c r="AO4495">
        <v>25</v>
      </c>
      <c r="AP4495">
        <v>4900</v>
      </c>
      <c r="AQ4495" t="s">
        <v>129</v>
      </c>
      <c r="AR4495">
        <v>-151</v>
      </c>
      <c r="AS4495">
        <v>-82</v>
      </c>
      <c r="AT4495">
        <v>-640</v>
      </c>
      <c r="BB4495">
        <v>1200</v>
      </c>
      <c r="BC4495">
        <v>1</v>
      </c>
      <c r="BD4495" t="str">
        <f t="shared" si="1657"/>
        <v xml:space="preserve">N887QR  </v>
      </c>
      <c r="BE4495">
        <v>1</v>
      </c>
      <c r="BG4495">
        <v>0</v>
      </c>
      <c r="BH4495">
        <v>0</v>
      </c>
      <c r="BI4495">
        <v>0</v>
      </c>
      <c r="BJ4495">
        <v>4550</v>
      </c>
      <c r="BK4495">
        <v>-350</v>
      </c>
      <c r="BL4495" t="s">
        <v>163</v>
      </c>
      <c r="BM4495">
        <v>1</v>
      </c>
      <c r="BN4495">
        <v>1</v>
      </c>
      <c r="BO4495">
        <v>1</v>
      </c>
      <c r="BP4495">
        <v>0</v>
      </c>
      <c r="BS4495">
        <v>0</v>
      </c>
      <c r="BT4495">
        <v>0</v>
      </c>
      <c r="BU4495">
        <v>0</v>
      </c>
      <c r="CE4495" t="str">
        <f t="shared" si="1661"/>
        <v>19:37:36.995</v>
      </c>
      <c r="CF4495">
        <v>994983094</v>
      </c>
      <c r="CS4495">
        <v>0</v>
      </c>
      <c r="CT4495">
        <v>2</v>
      </c>
      <c r="CU4495">
        <v>0</v>
      </c>
      <c r="CV4495">
        <v>2</v>
      </c>
      <c r="CW4495">
        <v>0</v>
      </c>
      <c r="CX4495">
        <v>6</v>
      </c>
      <c r="CY4495">
        <v>7</v>
      </c>
      <c r="CZ4495" t="s">
        <v>131</v>
      </c>
      <c r="DA4495">
        <v>286</v>
      </c>
      <c r="DB4495">
        <v>0</v>
      </c>
      <c r="DC4495" t="s">
        <v>132</v>
      </c>
      <c r="DD4495" t="s">
        <v>133</v>
      </c>
      <c r="DG4495">
        <v>915628</v>
      </c>
      <c r="DI4495">
        <v>1</v>
      </c>
      <c r="DJ4495">
        <v>0</v>
      </c>
      <c r="DK4495">
        <v>1</v>
      </c>
      <c r="DL4495">
        <v>0</v>
      </c>
      <c r="DM4495">
        <v>0</v>
      </c>
      <c r="DN4495">
        <v>1</v>
      </c>
      <c r="DO4495">
        <v>0</v>
      </c>
      <c r="DP4495">
        <v>0</v>
      </c>
      <c r="DQ4495">
        <v>0</v>
      </c>
      <c r="DR4495">
        <v>0</v>
      </c>
      <c r="DS4495">
        <v>0</v>
      </c>
    </row>
    <row r="4496" spans="1:123" x14ac:dyDescent="0.3">
      <c r="A4496" t="str">
        <f t="shared" si="1660"/>
        <v>10/04/2022 19:37:37.323</v>
      </c>
      <c r="C4496" t="str">
        <f t="shared" si="1648"/>
        <v>FFDFD3C0</v>
      </c>
      <c r="D4496" t="s">
        <v>136</v>
      </c>
      <c r="E4496">
        <v>8</v>
      </c>
      <c r="H4496">
        <v>225</v>
      </c>
      <c r="I4496" t="s">
        <v>137</v>
      </c>
      <c r="J4496" t="s">
        <v>138</v>
      </c>
      <c r="K4496">
        <v>0</v>
      </c>
      <c r="L4496">
        <v>3</v>
      </c>
      <c r="M4496">
        <v>0</v>
      </c>
      <c r="N4496">
        <v>2</v>
      </c>
      <c r="O4496">
        <v>0</v>
      </c>
      <c r="P4496">
        <v>1</v>
      </c>
      <c r="Q4496">
        <v>0</v>
      </c>
      <c r="S4496" t="str">
        <f t="shared" si="1658"/>
        <v>19:37:36.000</v>
      </c>
      <c r="T4496" t="str">
        <f t="shared" si="1658"/>
        <v>19:37:36.000</v>
      </c>
      <c r="U4496" t="str">
        <f t="shared" si="1656"/>
        <v>AC3944</v>
      </c>
      <c r="V4496">
        <v>0</v>
      </c>
      <c r="W4496">
        <v>0</v>
      </c>
      <c r="X4496">
        <v>2</v>
      </c>
      <c r="Y4496">
        <v>0</v>
      </c>
      <c r="AA4496">
        <v>1</v>
      </c>
      <c r="AB4496">
        <v>8</v>
      </c>
      <c r="AC4496">
        <v>3</v>
      </c>
      <c r="AD4496">
        <v>0</v>
      </c>
      <c r="AE4496">
        <v>9</v>
      </c>
      <c r="AF4496" t="s">
        <v>138</v>
      </c>
      <c r="AG4496">
        <v>0</v>
      </c>
      <c r="AH4496">
        <v>3</v>
      </c>
      <c r="AI4496">
        <v>1</v>
      </c>
      <c r="AJ4496">
        <v>0</v>
      </c>
      <c r="AK4496" t="s">
        <v>1414</v>
      </c>
      <c r="AL4496">
        <v>32.732134000000002</v>
      </c>
      <c r="AM4496" t="s">
        <v>1415</v>
      </c>
      <c r="AN4496">
        <v>-116.71463</v>
      </c>
      <c r="AO4496">
        <v>25</v>
      </c>
      <c r="AP4496">
        <v>4900</v>
      </c>
      <c r="AQ4496" t="s">
        <v>129</v>
      </c>
      <c r="AR4496">
        <v>-151</v>
      </c>
      <c r="AS4496">
        <v>-82</v>
      </c>
      <c r="AT4496">
        <v>-640</v>
      </c>
      <c r="BB4496">
        <v>1200</v>
      </c>
      <c r="BC4496">
        <v>1</v>
      </c>
      <c r="BD4496" t="str">
        <f t="shared" si="1657"/>
        <v xml:space="preserve">N887QR  </v>
      </c>
      <c r="BE4496">
        <v>1</v>
      </c>
      <c r="BG4496">
        <v>0</v>
      </c>
      <c r="BH4496">
        <v>0</v>
      </c>
      <c r="BI4496">
        <v>0</v>
      </c>
      <c r="BJ4496">
        <v>4550</v>
      </c>
      <c r="BK4496">
        <v>-350</v>
      </c>
      <c r="BL4496" t="s">
        <v>163</v>
      </c>
      <c r="BM4496">
        <v>1</v>
      </c>
      <c r="BN4496">
        <v>1</v>
      </c>
      <c r="BO4496">
        <v>1</v>
      </c>
      <c r="BP4496">
        <v>0</v>
      </c>
      <c r="BS4496">
        <v>0</v>
      </c>
      <c r="BT4496">
        <v>0</v>
      </c>
      <c r="BU4496">
        <v>0</v>
      </c>
      <c r="CE4496" t="str">
        <f t="shared" si="1661"/>
        <v>19:37:36.995</v>
      </c>
      <c r="CF4496">
        <v>994983094</v>
      </c>
      <c r="CS4496">
        <v>0</v>
      </c>
      <c r="CT4496">
        <v>2</v>
      </c>
      <c r="CU4496">
        <v>0</v>
      </c>
      <c r="CV4496">
        <v>2</v>
      </c>
      <c r="CW4496">
        <v>0</v>
      </c>
      <c r="CX4496">
        <v>6</v>
      </c>
      <c r="CY4496">
        <v>7</v>
      </c>
      <c r="CZ4496" t="s">
        <v>131</v>
      </c>
      <c r="DA4496">
        <v>286</v>
      </c>
      <c r="DB4496">
        <v>0</v>
      </c>
      <c r="DC4496" t="s">
        <v>132</v>
      </c>
      <c r="DD4496" t="s">
        <v>133</v>
      </c>
      <c r="DG4496">
        <v>915628</v>
      </c>
      <c r="DI4496">
        <v>1</v>
      </c>
      <c r="DJ4496">
        <v>0</v>
      </c>
      <c r="DK4496">
        <v>1</v>
      </c>
      <c r="DL4496">
        <v>0</v>
      </c>
      <c r="DM4496">
        <v>0</v>
      </c>
      <c r="DN4496">
        <v>1</v>
      </c>
      <c r="DO4496">
        <v>0</v>
      </c>
      <c r="DP4496">
        <v>0</v>
      </c>
      <c r="DQ4496">
        <v>0</v>
      </c>
      <c r="DR4496">
        <v>0</v>
      </c>
      <c r="DS4496">
        <v>0</v>
      </c>
    </row>
    <row r="4497" spans="1:123" x14ac:dyDescent="0.3">
      <c r="A4497" t="str">
        <f t="shared" si="1660"/>
        <v>10/04/2022 19:37:37.323</v>
      </c>
      <c r="C4497" t="str">
        <f t="shared" si="1648"/>
        <v>FFDFD3C0</v>
      </c>
      <c r="D4497" t="s">
        <v>141</v>
      </c>
      <c r="E4497">
        <v>4</v>
      </c>
      <c r="H4497">
        <v>4</v>
      </c>
      <c r="I4497" t="s">
        <v>142</v>
      </c>
      <c r="J4497" t="s">
        <v>138</v>
      </c>
      <c r="K4497">
        <v>0</v>
      </c>
      <c r="L4497">
        <v>3</v>
      </c>
      <c r="M4497">
        <v>0</v>
      </c>
      <c r="N4497">
        <v>2</v>
      </c>
      <c r="O4497">
        <v>0</v>
      </c>
      <c r="P4497">
        <v>1</v>
      </c>
      <c r="Q4497">
        <v>0</v>
      </c>
      <c r="S4497" t="str">
        <f t="shared" si="1658"/>
        <v>19:37:36.000</v>
      </c>
      <c r="T4497" t="str">
        <f t="shared" si="1658"/>
        <v>19:37:36.000</v>
      </c>
      <c r="U4497" t="str">
        <f t="shared" si="1656"/>
        <v>AC3944</v>
      </c>
      <c r="V4497">
        <v>0</v>
      </c>
      <c r="W4497">
        <v>0</v>
      </c>
      <c r="X4497">
        <v>2</v>
      </c>
      <c r="Y4497">
        <v>0</v>
      </c>
      <c r="AA4497">
        <v>1</v>
      </c>
      <c r="AB4497">
        <v>8</v>
      </c>
      <c r="AC4497">
        <v>3</v>
      </c>
      <c r="AD4497">
        <v>0</v>
      </c>
      <c r="AE4497">
        <v>9</v>
      </c>
      <c r="AF4497" t="s">
        <v>138</v>
      </c>
      <c r="AG4497">
        <v>0</v>
      </c>
      <c r="AH4497">
        <v>3</v>
      </c>
      <c r="AI4497">
        <v>1</v>
      </c>
      <c r="AJ4497">
        <v>0</v>
      </c>
      <c r="AK4497" t="s">
        <v>1414</v>
      </c>
      <c r="AL4497">
        <v>32.732134000000002</v>
      </c>
      <c r="AM4497" t="s">
        <v>1415</v>
      </c>
      <c r="AN4497">
        <v>-116.71463</v>
      </c>
      <c r="AO4497">
        <v>25</v>
      </c>
      <c r="AP4497">
        <v>4900</v>
      </c>
      <c r="AQ4497" t="s">
        <v>129</v>
      </c>
      <c r="AR4497">
        <v>-151</v>
      </c>
      <c r="AS4497">
        <v>-82</v>
      </c>
      <c r="AT4497">
        <v>-640</v>
      </c>
      <c r="BB4497">
        <v>1200</v>
      </c>
      <c r="BC4497">
        <v>1</v>
      </c>
      <c r="BD4497" t="str">
        <f t="shared" si="1657"/>
        <v xml:space="preserve">N887QR  </v>
      </c>
      <c r="BE4497">
        <v>1</v>
      </c>
      <c r="BG4497">
        <v>0</v>
      </c>
      <c r="BH4497">
        <v>0</v>
      </c>
      <c r="BI4497">
        <v>0</v>
      </c>
      <c r="BJ4497">
        <v>4550</v>
      </c>
      <c r="BK4497">
        <v>-350</v>
      </c>
      <c r="BL4497" t="s">
        <v>163</v>
      </c>
      <c r="BM4497">
        <v>1</v>
      </c>
      <c r="BN4497">
        <v>1</v>
      </c>
      <c r="BO4497">
        <v>1</v>
      </c>
      <c r="BP4497">
        <v>0</v>
      </c>
      <c r="BS4497">
        <v>0</v>
      </c>
      <c r="BT4497">
        <v>0</v>
      </c>
      <c r="BU4497">
        <v>0</v>
      </c>
      <c r="CE4497" t="str">
        <f t="shared" si="1661"/>
        <v>19:37:36.995</v>
      </c>
      <c r="CF4497">
        <v>994983094</v>
      </c>
      <c r="CS4497">
        <v>0</v>
      </c>
      <c r="CT4497">
        <v>2</v>
      </c>
      <c r="CU4497">
        <v>0</v>
      </c>
      <c r="CV4497">
        <v>2</v>
      </c>
      <c r="CW4497">
        <v>0</v>
      </c>
      <c r="CX4497">
        <v>6</v>
      </c>
      <c r="CY4497">
        <v>7</v>
      </c>
      <c r="CZ4497" t="s">
        <v>131</v>
      </c>
      <c r="DA4497">
        <v>286</v>
      </c>
      <c r="DB4497">
        <v>0</v>
      </c>
      <c r="DC4497" t="s">
        <v>132</v>
      </c>
      <c r="DD4497" t="s">
        <v>133</v>
      </c>
      <c r="DG4497">
        <v>915628</v>
      </c>
      <c r="DI4497">
        <v>1</v>
      </c>
      <c r="DJ4497">
        <v>0</v>
      </c>
      <c r="DK4497">
        <v>1</v>
      </c>
      <c r="DL4497">
        <v>0</v>
      </c>
      <c r="DM4497">
        <v>0</v>
      </c>
      <c r="DN4497">
        <v>1</v>
      </c>
      <c r="DO4497">
        <v>0</v>
      </c>
      <c r="DP4497">
        <v>0</v>
      </c>
      <c r="DQ4497">
        <v>0</v>
      </c>
      <c r="DR4497">
        <v>0</v>
      </c>
      <c r="DS4497">
        <v>0</v>
      </c>
    </row>
    <row r="4498" spans="1:123" x14ac:dyDescent="0.3">
      <c r="A4498" t="str">
        <f>"10/04/2022 19:37:38.292"</f>
        <v>10/04/2022 19:37:38.292</v>
      </c>
      <c r="C4498" t="str">
        <f t="shared" si="1648"/>
        <v>FFDFD3C0</v>
      </c>
      <c r="D4498" t="s">
        <v>141</v>
      </c>
      <c r="E4498">
        <v>4</v>
      </c>
      <c r="H4498">
        <v>4</v>
      </c>
      <c r="I4498" t="s">
        <v>142</v>
      </c>
      <c r="J4498" t="s">
        <v>138</v>
      </c>
      <c r="K4498">
        <v>0</v>
      </c>
      <c r="L4498">
        <v>3</v>
      </c>
      <c r="M4498">
        <v>0</v>
      </c>
      <c r="N4498">
        <v>2</v>
      </c>
      <c r="O4498">
        <v>0</v>
      </c>
      <c r="P4498">
        <v>1</v>
      </c>
      <c r="Q4498">
        <v>0</v>
      </c>
      <c r="S4498" t="str">
        <f t="shared" ref="S4498:T4511" si="1662">"19:37:38.000"</f>
        <v>19:37:38.000</v>
      </c>
      <c r="T4498" t="str">
        <f t="shared" si="1662"/>
        <v>19:37:38.000</v>
      </c>
      <c r="U4498" t="str">
        <f t="shared" si="1656"/>
        <v>AC3944</v>
      </c>
      <c r="V4498">
        <v>0</v>
      </c>
      <c r="W4498">
        <v>0</v>
      </c>
      <c r="X4498">
        <v>2</v>
      </c>
      <c r="Y4498">
        <v>0</v>
      </c>
      <c r="AA4498">
        <v>1</v>
      </c>
      <c r="AB4498">
        <v>8</v>
      </c>
      <c r="AC4498">
        <v>3</v>
      </c>
      <c r="AD4498">
        <v>0</v>
      </c>
      <c r="AE4498">
        <v>9</v>
      </c>
      <c r="AF4498" t="s">
        <v>138</v>
      </c>
      <c r="AG4498">
        <v>0</v>
      </c>
      <c r="AH4498">
        <v>3</v>
      </c>
      <c r="AI4498">
        <v>1</v>
      </c>
      <c r="AJ4498">
        <v>0</v>
      </c>
      <c r="AK4498" t="s">
        <v>1416</v>
      </c>
      <c r="AL4498">
        <v>32.731682999999997</v>
      </c>
      <c r="AM4498" t="s">
        <v>1417</v>
      </c>
      <c r="AN4498">
        <v>-116.715639</v>
      </c>
      <c r="AO4498">
        <v>25</v>
      </c>
      <c r="AP4498">
        <v>4900</v>
      </c>
      <c r="AQ4498" t="s">
        <v>129</v>
      </c>
      <c r="AR4498">
        <v>-152</v>
      </c>
      <c r="AS4498">
        <v>-83</v>
      </c>
      <c r="AT4498">
        <v>-640</v>
      </c>
      <c r="BB4498">
        <v>1200</v>
      </c>
      <c r="BC4498">
        <v>1</v>
      </c>
      <c r="BD4498" t="str">
        <f t="shared" si="1657"/>
        <v xml:space="preserve">N887QR  </v>
      </c>
      <c r="BE4498">
        <v>1</v>
      </c>
      <c r="BG4498">
        <v>0</v>
      </c>
      <c r="BH4498">
        <v>0</v>
      </c>
      <c r="BI4498">
        <v>0</v>
      </c>
      <c r="BJ4498">
        <v>4525</v>
      </c>
      <c r="BK4498">
        <v>-375</v>
      </c>
      <c r="BL4498" t="s">
        <v>163</v>
      </c>
      <c r="BM4498">
        <v>1</v>
      </c>
      <c r="BN4498">
        <v>1</v>
      </c>
      <c r="BO4498">
        <v>1</v>
      </c>
      <c r="BP4498">
        <v>0</v>
      </c>
      <c r="BS4498">
        <v>0</v>
      </c>
      <c r="BT4498">
        <v>0</v>
      </c>
      <c r="BU4498">
        <v>0</v>
      </c>
      <c r="CE4498" t="str">
        <f t="shared" ref="CE4498:CE4504" si="1663">"19:37:38.031"</f>
        <v>19:37:38.031</v>
      </c>
      <c r="CF4498">
        <v>31236131</v>
      </c>
      <c r="CS4498">
        <v>0</v>
      </c>
      <c r="CT4498">
        <v>2</v>
      </c>
      <c r="CU4498">
        <v>0</v>
      </c>
      <c r="CV4498">
        <v>2</v>
      </c>
      <c r="CW4498">
        <v>0</v>
      </c>
      <c r="CX4498">
        <v>6</v>
      </c>
      <c r="CY4498">
        <v>7</v>
      </c>
      <c r="CZ4498" t="s">
        <v>131</v>
      </c>
      <c r="DA4498">
        <v>286</v>
      </c>
      <c r="DB4498">
        <v>0</v>
      </c>
      <c r="DC4498" t="s">
        <v>132</v>
      </c>
      <c r="DD4498" t="s">
        <v>133</v>
      </c>
      <c r="DG4498">
        <v>915846</v>
      </c>
      <c r="DI4498">
        <v>1</v>
      </c>
      <c r="DJ4498">
        <v>0</v>
      </c>
      <c r="DK4498">
        <v>0</v>
      </c>
      <c r="DL4498">
        <v>0</v>
      </c>
      <c r="DM4498">
        <v>0</v>
      </c>
      <c r="DN4498">
        <v>1</v>
      </c>
      <c r="DO4498">
        <v>0</v>
      </c>
      <c r="DP4498">
        <v>0</v>
      </c>
      <c r="DQ4498">
        <v>0</v>
      </c>
      <c r="DR4498">
        <v>0</v>
      </c>
      <c r="DS4498">
        <v>0</v>
      </c>
    </row>
    <row r="4499" spans="1:123" x14ac:dyDescent="0.3">
      <c r="A4499" t="str">
        <f>"10/04/2022 19:37:38.292"</f>
        <v>10/04/2022 19:37:38.292</v>
      </c>
      <c r="C4499" t="str">
        <f t="shared" si="1648"/>
        <v>FFDFD3C0</v>
      </c>
      <c r="D4499" t="s">
        <v>136</v>
      </c>
      <c r="E4499">
        <v>8</v>
      </c>
      <c r="H4499">
        <v>225</v>
      </c>
      <c r="I4499" t="s">
        <v>137</v>
      </c>
      <c r="J4499" t="s">
        <v>138</v>
      </c>
      <c r="K4499">
        <v>0</v>
      </c>
      <c r="L4499">
        <v>3</v>
      </c>
      <c r="M4499">
        <v>0</v>
      </c>
      <c r="N4499">
        <v>2</v>
      </c>
      <c r="O4499">
        <v>0</v>
      </c>
      <c r="P4499">
        <v>1</v>
      </c>
      <c r="Q4499">
        <v>0</v>
      </c>
      <c r="S4499" t="str">
        <f t="shared" si="1662"/>
        <v>19:37:38.000</v>
      </c>
      <c r="T4499" t="str">
        <f t="shared" si="1662"/>
        <v>19:37:38.000</v>
      </c>
      <c r="U4499" t="str">
        <f t="shared" si="1656"/>
        <v>AC3944</v>
      </c>
      <c r="V4499">
        <v>0</v>
      </c>
      <c r="W4499">
        <v>0</v>
      </c>
      <c r="X4499">
        <v>2</v>
      </c>
      <c r="Y4499">
        <v>0</v>
      </c>
      <c r="AA4499">
        <v>1</v>
      </c>
      <c r="AB4499">
        <v>8</v>
      </c>
      <c r="AC4499">
        <v>3</v>
      </c>
      <c r="AD4499">
        <v>0</v>
      </c>
      <c r="AE4499">
        <v>9</v>
      </c>
      <c r="AF4499" t="s">
        <v>138</v>
      </c>
      <c r="AG4499">
        <v>0</v>
      </c>
      <c r="AH4499">
        <v>3</v>
      </c>
      <c r="AI4499">
        <v>1</v>
      </c>
      <c r="AJ4499">
        <v>0</v>
      </c>
      <c r="AK4499" t="s">
        <v>1416</v>
      </c>
      <c r="AL4499">
        <v>32.731682999999997</v>
      </c>
      <c r="AM4499" t="s">
        <v>1417</v>
      </c>
      <c r="AN4499">
        <v>-116.715639</v>
      </c>
      <c r="AO4499">
        <v>25</v>
      </c>
      <c r="AP4499">
        <v>4900</v>
      </c>
      <c r="AQ4499" t="s">
        <v>129</v>
      </c>
      <c r="AR4499">
        <v>-152</v>
      </c>
      <c r="AS4499">
        <v>-83</v>
      </c>
      <c r="AT4499">
        <v>-640</v>
      </c>
      <c r="BB4499">
        <v>1200</v>
      </c>
      <c r="BC4499">
        <v>1</v>
      </c>
      <c r="BD4499" t="str">
        <f t="shared" si="1657"/>
        <v xml:space="preserve">N887QR  </v>
      </c>
      <c r="BE4499">
        <v>1</v>
      </c>
      <c r="BG4499">
        <v>0</v>
      </c>
      <c r="BH4499">
        <v>0</v>
      </c>
      <c r="BI4499">
        <v>0</v>
      </c>
      <c r="BJ4499">
        <v>4525</v>
      </c>
      <c r="BK4499">
        <v>-375</v>
      </c>
      <c r="BL4499" t="s">
        <v>163</v>
      </c>
      <c r="BM4499">
        <v>1</v>
      </c>
      <c r="BN4499">
        <v>1</v>
      </c>
      <c r="BO4499">
        <v>1</v>
      </c>
      <c r="BP4499">
        <v>0</v>
      </c>
      <c r="BS4499">
        <v>0</v>
      </c>
      <c r="BT4499">
        <v>0</v>
      </c>
      <c r="BU4499">
        <v>0</v>
      </c>
      <c r="CE4499" t="str">
        <f t="shared" si="1663"/>
        <v>19:37:38.031</v>
      </c>
      <c r="CF4499">
        <v>31236131</v>
      </c>
      <c r="CS4499">
        <v>0</v>
      </c>
      <c r="CT4499">
        <v>2</v>
      </c>
      <c r="CU4499">
        <v>0</v>
      </c>
      <c r="CV4499">
        <v>2</v>
      </c>
      <c r="CW4499">
        <v>0</v>
      </c>
      <c r="CX4499">
        <v>6</v>
      </c>
      <c r="CY4499">
        <v>7</v>
      </c>
      <c r="CZ4499" t="s">
        <v>131</v>
      </c>
      <c r="DA4499">
        <v>286</v>
      </c>
      <c r="DB4499">
        <v>0</v>
      </c>
      <c r="DC4499" t="s">
        <v>132</v>
      </c>
      <c r="DD4499" t="s">
        <v>133</v>
      </c>
      <c r="DG4499">
        <v>915846</v>
      </c>
      <c r="DI4499">
        <v>1</v>
      </c>
      <c r="DJ4499">
        <v>0</v>
      </c>
      <c r="DK4499">
        <v>1</v>
      </c>
      <c r="DL4499">
        <v>0</v>
      </c>
      <c r="DM4499">
        <v>0</v>
      </c>
      <c r="DN4499">
        <v>1</v>
      </c>
      <c r="DO4499">
        <v>0</v>
      </c>
      <c r="DP4499">
        <v>0</v>
      </c>
      <c r="DQ4499">
        <v>0</v>
      </c>
      <c r="DR4499">
        <v>0</v>
      </c>
      <c r="DS4499">
        <v>0</v>
      </c>
    </row>
    <row r="4500" spans="1:123" x14ac:dyDescent="0.3">
      <c r="A4500" t="str">
        <f>"10/04/2022 19:37:38.292"</f>
        <v>10/04/2022 19:37:38.292</v>
      </c>
      <c r="C4500" t="str">
        <f t="shared" si="1648"/>
        <v>FFDFD3C0</v>
      </c>
      <c r="D4500" t="s">
        <v>141</v>
      </c>
      <c r="E4500">
        <v>3</v>
      </c>
      <c r="H4500">
        <v>3</v>
      </c>
      <c r="I4500" t="s">
        <v>146</v>
      </c>
      <c r="J4500" t="s">
        <v>138</v>
      </c>
      <c r="K4500">
        <v>0</v>
      </c>
      <c r="L4500">
        <v>3</v>
      </c>
      <c r="M4500">
        <v>0</v>
      </c>
      <c r="N4500">
        <v>2</v>
      </c>
      <c r="O4500">
        <v>0</v>
      </c>
      <c r="P4500">
        <v>1</v>
      </c>
      <c r="Q4500">
        <v>0</v>
      </c>
      <c r="S4500" t="str">
        <f t="shared" si="1662"/>
        <v>19:37:38.000</v>
      </c>
      <c r="T4500" t="str">
        <f t="shared" si="1662"/>
        <v>19:37:38.000</v>
      </c>
      <c r="U4500" t="str">
        <f t="shared" si="1656"/>
        <v>AC3944</v>
      </c>
      <c r="V4500">
        <v>0</v>
      </c>
      <c r="W4500">
        <v>0</v>
      </c>
      <c r="X4500">
        <v>2</v>
      </c>
      <c r="Y4500">
        <v>0</v>
      </c>
      <c r="AA4500">
        <v>1</v>
      </c>
      <c r="AB4500">
        <v>8</v>
      </c>
      <c r="AC4500">
        <v>3</v>
      </c>
      <c r="AD4500">
        <v>0</v>
      </c>
      <c r="AE4500">
        <v>9</v>
      </c>
      <c r="AF4500" t="s">
        <v>138</v>
      </c>
      <c r="AG4500">
        <v>0</v>
      </c>
      <c r="AH4500">
        <v>3</v>
      </c>
      <c r="AI4500">
        <v>1</v>
      </c>
      <c r="AJ4500">
        <v>0</v>
      </c>
      <c r="AK4500" t="s">
        <v>1416</v>
      </c>
      <c r="AL4500">
        <v>32.731682999999997</v>
      </c>
      <c r="AM4500" t="s">
        <v>1417</v>
      </c>
      <c r="AN4500">
        <v>-116.715639</v>
      </c>
      <c r="AO4500">
        <v>25</v>
      </c>
      <c r="AP4500">
        <v>4900</v>
      </c>
      <c r="AQ4500" t="s">
        <v>129</v>
      </c>
      <c r="AR4500">
        <v>-152</v>
      </c>
      <c r="AS4500">
        <v>-83</v>
      </c>
      <c r="AT4500">
        <v>-640</v>
      </c>
      <c r="BB4500">
        <v>1200</v>
      </c>
      <c r="BC4500">
        <v>1</v>
      </c>
      <c r="BD4500" t="str">
        <f t="shared" si="1657"/>
        <v xml:space="preserve">N887QR  </v>
      </c>
      <c r="BE4500">
        <v>1</v>
      </c>
      <c r="BG4500">
        <v>0</v>
      </c>
      <c r="BH4500">
        <v>0</v>
      </c>
      <c r="BI4500">
        <v>0</v>
      </c>
      <c r="BJ4500">
        <v>4525</v>
      </c>
      <c r="BK4500">
        <v>-375</v>
      </c>
      <c r="BL4500" t="s">
        <v>163</v>
      </c>
      <c r="BM4500">
        <v>1</v>
      </c>
      <c r="BN4500">
        <v>1</v>
      </c>
      <c r="BO4500">
        <v>1</v>
      </c>
      <c r="BP4500">
        <v>0</v>
      </c>
      <c r="BS4500">
        <v>0</v>
      </c>
      <c r="BT4500">
        <v>0</v>
      </c>
      <c r="BU4500">
        <v>0</v>
      </c>
      <c r="CE4500" t="str">
        <f t="shared" si="1663"/>
        <v>19:37:38.031</v>
      </c>
      <c r="CF4500">
        <v>31236131</v>
      </c>
      <c r="CS4500">
        <v>0</v>
      </c>
      <c r="CT4500">
        <v>2</v>
      </c>
      <c r="CU4500">
        <v>0</v>
      </c>
      <c r="CV4500">
        <v>2</v>
      </c>
      <c r="CW4500">
        <v>0</v>
      </c>
      <c r="CX4500">
        <v>6</v>
      </c>
      <c r="CY4500">
        <v>7</v>
      </c>
      <c r="CZ4500" t="s">
        <v>131</v>
      </c>
      <c r="DA4500">
        <v>286</v>
      </c>
      <c r="DB4500">
        <v>0</v>
      </c>
      <c r="DC4500" t="s">
        <v>132</v>
      </c>
      <c r="DD4500" t="s">
        <v>133</v>
      </c>
      <c r="DG4500">
        <v>915846</v>
      </c>
      <c r="DI4500">
        <v>1</v>
      </c>
      <c r="DJ4500">
        <v>0</v>
      </c>
      <c r="DK4500">
        <v>0</v>
      </c>
      <c r="DL4500">
        <v>0</v>
      </c>
      <c r="DM4500">
        <v>0</v>
      </c>
      <c r="DN4500">
        <v>1</v>
      </c>
      <c r="DO4500">
        <v>0</v>
      </c>
      <c r="DP4500">
        <v>0</v>
      </c>
      <c r="DQ4500">
        <v>0</v>
      </c>
      <c r="DR4500">
        <v>0</v>
      </c>
      <c r="DS4500">
        <v>0</v>
      </c>
    </row>
    <row r="4501" spans="1:123" x14ac:dyDescent="0.3">
      <c r="A4501" t="str">
        <f>"10/04/2022 19:37:38.292"</f>
        <v>10/04/2022 19:37:38.292</v>
      </c>
      <c r="C4501" t="str">
        <f t="shared" si="1648"/>
        <v>FFDFD3C0</v>
      </c>
      <c r="D4501" t="s">
        <v>147</v>
      </c>
      <c r="E4501">
        <v>3</v>
      </c>
      <c r="H4501">
        <v>166</v>
      </c>
      <c r="I4501" t="s">
        <v>144</v>
      </c>
      <c r="J4501" t="s">
        <v>148</v>
      </c>
      <c r="K4501">
        <v>0</v>
      </c>
      <c r="L4501">
        <v>3</v>
      </c>
      <c r="M4501">
        <v>0</v>
      </c>
      <c r="N4501">
        <v>2</v>
      </c>
      <c r="O4501">
        <v>0</v>
      </c>
      <c r="P4501">
        <v>1</v>
      </c>
      <c r="Q4501">
        <v>0</v>
      </c>
      <c r="S4501" t="str">
        <f t="shared" si="1662"/>
        <v>19:37:38.000</v>
      </c>
      <c r="T4501" t="str">
        <f t="shared" si="1662"/>
        <v>19:37:38.000</v>
      </c>
      <c r="U4501" t="str">
        <f t="shared" si="1656"/>
        <v>AC3944</v>
      </c>
      <c r="V4501">
        <v>0</v>
      </c>
      <c r="W4501">
        <v>0</v>
      </c>
      <c r="X4501">
        <v>2</v>
      </c>
      <c r="Y4501">
        <v>0</v>
      </c>
      <c r="AA4501">
        <v>1</v>
      </c>
      <c r="AB4501">
        <v>8</v>
      </c>
      <c r="AC4501">
        <v>3</v>
      </c>
      <c r="AD4501">
        <v>0</v>
      </c>
      <c r="AE4501">
        <v>9</v>
      </c>
      <c r="AF4501" t="s">
        <v>138</v>
      </c>
      <c r="AG4501">
        <v>0</v>
      </c>
      <c r="AH4501">
        <v>3</v>
      </c>
      <c r="AI4501">
        <v>1</v>
      </c>
      <c r="AJ4501">
        <v>0</v>
      </c>
      <c r="AK4501" t="s">
        <v>1416</v>
      </c>
      <c r="AL4501">
        <v>32.731682999999997</v>
      </c>
      <c r="AM4501" t="s">
        <v>1417</v>
      </c>
      <c r="AN4501">
        <v>-116.715639</v>
      </c>
      <c r="AO4501">
        <v>25</v>
      </c>
      <c r="AP4501">
        <v>4900</v>
      </c>
      <c r="AQ4501" t="s">
        <v>129</v>
      </c>
      <c r="AR4501">
        <v>-152</v>
      </c>
      <c r="AS4501">
        <v>-83</v>
      </c>
      <c r="AT4501">
        <v>-640</v>
      </c>
      <c r="BB4501">
        <v>1200</v>
      </c>
      <c r="BC4501">
        <v>1</v>
      </c>
      <c r="BD4501" t="str">
        <f t="shared" si="1657"/>
        <v xml:space="preserve">N887QR  </v>
      </c>
      <c r="BE4501">
        <v>1</v>
      </c>
      <c r="BG4501">
        <v>0</v>
      </c>
      <c r="BH4501">
        <v>0</v>
      </c>
      <c r="BI4501">
        <v>0</v>
      </c>
      <c r="BJ4501">
        <v>4525</v>
      </c>
      <c r="BK4501">
        <v>-375</v>
      </c>
      <c r="BL4501" t="s">
        <v>163</v>
      </c>
      <c r="BM4501">
        <v>1</v>
      </c>
      <c r="BN4501">
        <v>1</v>
      </c>
      <c r="BO4501">
        <v>1</v>
      </c>
      <c r="BP4501">
        <v>0</v>
      </c>
      <c r="BS4501">
        <v>0</v>
      </c>
      <c r="BT4501">
        <v>0</v>
      </c>
      <c r="BU4501">
        <v>0</v>
      </c>
      <c r="CE4501" t="str">
        <f t="shared" si="1663"/>
        <v>19:37:38.031</v>
      </c>
      <c r="CF4501">
        <v>31236131</v>
      </c>
      <c r="CS4501">
        <v>0</v>
      </c>
      <c r="CT4501">
        <v>2</v>
      </c>
      <c r="CU4501">
        <v>0</v>
      </c>
      <c r="CV4501">
        <v>2</v>
      </c>
      <c r="CW4501">
        <v>0</v>
      </c>
      <c r="CX4501">
        <v>6</v>
      </c>
      <c r="CY4501">
        <v>7</v>
      </c>
      <c r="CZ4501" t="s">
        <v>131</v>
      </c>
      <c r="DA4501">
        <v>286</v>
      </c>
      <c r="DB4501">
        <v>0</v>
      </c>
      <c r="DC4501" t="s">
        <v>132</v>
      </c>
      <c r="DD4501" t="s">
        <v>133</v>
      </c>
      <c r="DG4501">
        <v>915846</v>
      </c>
      <c r="DI4501">
        <v>1</v>
      </c>
      <c r="DJ4501">
        <v>0</v>
      </c>
      <c r="DK4501">
        <v>1</v>
      </c>
      <c r="DL4501">
        <v>0</v>
      </c>
      <c r="DM4501">
        <v>0</v>
      </c>
      <c r="DN4501">
        <v>1</v>
      </c>
      <c r="DO4501">
        <v>0</v>
      </c>
      <c r="DP4501">
        <v>0</v>
      </c>
      <c r="DQ4501">
        <v>0</v>
      </c>
      <c r="DR4501">
        <v>0</v>
      </c>
      <c r="DS4501">
        <v>0</v>
      </c>
    </row>
    <row r="4502" spans="1:123" x14ac:dyDescent="0.3">
      <c r="A4502" t="str">
        <f>"10/04/2022 19:37:38.402"</f>
        <v>10/04/2022 19:37:38.402</v>
      </c>
      <c r="C4502" t="str">
        <f t="shared" si="1648"/>
        <v>FFDFD3C0</v>
      </c>
      <c r="D4502" t="s">
        <v>134</v>
      </c>
      <c r="E4502">
        <v>15</v>
      </c>
      <c r="J4502" t="s">
        <v>135</v>
      </c>
      <c r="K4502">
        <v>0</v>
      </c>
      <c r="L4502">
        <v>3</v>
      </c>
      <c r="M4502">
        <v>0</v>
      </c>
      <c r="N4502">
        <v>2</v>
      </c>
      <c r="O4502">
        <v>0</v>
      </c>
      <c r="P4502">
        <v>1</v>
      </c>
      <c r="Q4502">
        <v>0</v>
      </c>
      <c r="S4502" t="str">
        <f t="shared" si="1662"/>
        <v>19:37:38.000</v>
      </c>
      <c r="T4502" t="str">
        <f t="shared" si="1662"/>
        <v>19:37:38.000</v>
      </c>
      <c r="U4502" t="str">
        <f t="shared" si="1656"/>
        <v>AC3944</v>
      </c>
      <c r="V4502">
        <v>0</v>
      </c>
      <c r="W4502">
        <v>0</v>
      </c>
      <c r="X4502">
        <v>2</v>
      </c>
      <c r="Y4502">
        <v>0</v>
      </c>
      <c r="AA4502">
        <v>1</v>
      </c>
      <c r="AB4502">
        <v>8</v>
      </c>
      <c r="AC4502">
        <v>3</v>
      </c>
      <c r="AD4502">
        <v>0</v>
      </c>
      <c r="AE4502">
        <v>9</v>
      </c>
      <c r="AF4502" t="s">
        <v>138</v>
      </c>
      <c r="AG4502">
        <v>0</v>
      </c>
      <c r="AH4502">
        <v>3</v>
      </c>
      <c r="AI4502">
        <v>1</v>
      </c>
      <c r="AJ4502">
        <v>0</v>
      </c>
      <c r="AK4502" t="s">
        <v>1416</v>
      </c>
      <c r="AL4502">
        <v>32.731682999999997</v>
      </c>
      <c r="AM4502" t="s">
        <v>1417</v>
      </c>
      <c r="AN4502">
        <v>-116.715639</v>
      </c>
      <c r="AO4502">
        <v>25</v>
      </c>
      <c r="AP4502">
        <v>4900</v>
      </c>
      <c r="AQ4502" t="s">
        <v>129</v>
      </c>
      <c r="AR4502">
        <v>-152</v>
      </c>
      <c r="AS4502">
        <v>-83</v>
      </c>
      <c r="AT4502">
        <v>-640</v>
      </c>
      <c r="BB4502">
        <v>1200</v>
      </c>
      <c r="BC4502">
        <v>1</v>
      </c>
      <c r="BD4502" t="str">
        <f t="shared" si="1657"/>
        <v xml:space="preserve">N887QR  </v>
      </c>
      <c r="BE4502">
        <v>1</v>
      </c>
      <c r="BG4502">
        <v>0</v>
      </c>
      <c r="BH4502">
        <v>0</v>
      </c>
      <c r="BI4502">
        <v>0</v>
      </c>
      <c r="BJ4502">
        <v>4525</v>
      </c>
      <c r="BK4502">
        <v>-375</v>
      </c>
      <c r="BL4502" t="s">
        <v>163</v>
      </c>
      <c r="BM4502">
        <v>1</v>
      </c>
      <c r="BN4502">
        <v>1</v>
      </c>
      <c r="BO4502">
        <v>1</v>
      </c>
      <c r="BP4502">
        <v>0</v>
      </c>
      <c r="BS4502">
        <v>0</v>
      </c>
      <c r="BT4502">
        <v>0</v>
      </c>
      <c r="BU4502">
        <v>0</v>
      </c>
      <c r="CE4502" t="str">
        <f t="shared" si="1663"/>
        <v>19:37:38.031</v>
      </c>
      <c r="CF4502">
        <v>31236131</v>
      </c>
      <c r="CS4502">
        <v>0</v>
      </c>
      <c r="CT4502">
        <v>2</v>
      </c>
      <c r="CU4502">
        <v>0</v>
      </c>
      <c r="CV4502">
        <v>2</v>
      </c>
      <c r="CW4502">
        <v>0</v>
      </c>
      <c r="CX4502">
        <v>6</v>
      </c>
      <c r="CY4502">
        <v>7</v>
      </c>
      <c r="CZ4502" t="s">
        <v>131</v>
      </c>
      <c r="DA4502">
        <v>286</v>
      </c>
      <c r="DB4502">
        <v>0</v>
      </c>
      <c r="DC4502" t="s">
        <v>132</v>
      </c>
      <c r="DD4502" t="s">
        <v>133</v>
      </c>
      <c r="DG4502">
        <v>915846</v>
      </c>
      <c r="DI4502">
        <v>1</v>
      </c>
      <c r="DJ4502">
        <v>0</v>
      </c>
      <c r="DK4502">
        <v>1</v>
      </c>
      <c r="DL4502">
        <v>0</v>
      </c>
      <c r="DM4502">
        <v>0</v>
      </c>
      <c r="DN4502">
        <v>1</v>
      </c>
      <c r="DO4502">
        <v>0</v>
      </c>
      <c r="DP4502">
        <v>0</v>
      </c>
      <c r="DQ4502">
        <v>0</v>
      </c>
      <c r="DR4502">
        <v>0</v>
      </c>
      <c r="DS4502">
        <v>0</v>
      </c>
    </row>
    <row r="4503" spans="1:123" x14ac:dyDescent="0.3">
      <c r="A4503" t="str">
        <f>"10/04/2022 19:37:38.402"</f>
        <v>10/04/2022 19:37:38.402</v>
      </c>
      <c r="C4503" t="str">
        <f t="shared" si="1648"/>
        <v>FFDFD3C0</v>
      </c>
      <c r="D4503" t="s">
        <v>143</v>
      </c>
      <c r="E4503">
        <v>20</v>
      </c>
      <c r="F4503">
        <v>1020</v>
      </c>
      <c r="G4503" t="s">
        <v>144</v>
      </c>
      <c r="J4503" t="s">
        <v>145</v>
      </c>
      <c r="K4503">
        <v>0</v>
      </c>
      <c r="L4503">
        <v>3</v>
      </c>
      <c r="M4503">
        <v>0</v>
      </c>
      <c r="N4503">
        <v>2</v>
      </c>
      <c r="O4503">
        <v>0</v>
      </c>
      <c r="P4503">
        <v>1</v>
      </c>
      <c r="Q4503">
        <v>0</v>
      </c>
      <c r="S4503" t="str">
        <f t="shared" si="1662"/>
        <v>19:37:38.000</v>
      </c>
      <c r="T4503" t="str">
        <f t="shared" si="1662"/>
        <v>19:37:38.000</v>
      </c>
      <c r="U4503" t="str">
        <f t="shared" si="1656"/>
        <v>AC3944</v>
      </c>
      <c r="V4503">
        <v>0</v>
      </c>
      <c r="W4503">
        <v>0</v>
      </c>
      <c r="X4503">
        <v>2</v>
      </c>
      <c r="Y4503">
        <v>0</v>
      </c>
      <c r="AA4503">
        <v>1</v>
      </c>
      <c r="AB4503">
        <v>8</v>
      </c>
      <c r="AC4503">
        <v>3</v>
      </c>
      <c r="AD4503">
        <v>0</v>
      </c>
      <c r="AE4503">
        <v>9</v>
      </c>
      <c r="AF4503" t="s">
        <v>138</v>
      </c>
      <c r="AG4503">
        <v>0</v>
      </c>
      <c r="AH4503">
        <v>3</v>
      </c>
      <c r="AI4503">
        <v>1</v>
      </c>
      <c r="AJ4503">
        <v>0</v>
      </c>
      <c r="AK4503" t="s">
        <v>1416</v>
      </c>
      <c r="AL4503">
        <v>32.731682999999997</v>
      </c>
      <c r="AM4503" t="s">
        <v>1417</v>
      </c>
      <c r="AN4503">
        <v>-116.715639</v>
      </c>
      <c r="AO4503">
        <v>25</v>
      </c>
      <c r="AP4503">
        <v>4900</v>
      </c>
      <c r="AQ4503" t="s">
        <v>129</v>
      </c>
      <c r="AR4503">
        <v>-152</v>
      </c>
      <c r="AS4503">
        <v>-83</v>
      </c>
      <c r="AT4503">
        <v>-640</v>
      </c>
      <c r="BB4503">
        <v>1200</v>
      </c>
      <c r="BC4503">
        <v>1</v>
      </c>
      <c r="BD4503" t="str">
        <f t="shared" si="1657"/>
        <v xml:space="preserve">N887QR  </v>
      </c>
      <c r="BE4503">
        <v>1</v>
      </c>
      <c r="BG4503">
        <v>0</v>
      </c>
      <c r="BH4503">
        <v>0</v>
      </c>
      <c r="BI4503">
        <v>0</v>
      </c>
      <c r="BJ4503">
        <v>4525</v>
      </c>
      <c r="BK4503">
        <v>-375</v>
      </c>
      <c r="BL4503" t="s">
        <v>163</v>
      </c>
      <c r="BM4503">
        <v>1</v>
      </c>
      <c r="BN4503">
        <v>1</v>
      </c>
      <c r="BO4503">
        <v>1</v>
      </c>
      <c r="BP4503">
        <v>0</v>
      </c>
      <c r="BS4503">
        <v>0</v>
      </c>
      <c r="BT4503">
        <v>0</v>
      </c>
      <c r="BU4503">
        <v>0</v>
      </c>
      <c r="CE4503" t="str">
        <f t="shared" si="1663"/>
        <v>19:37:38.031</v>
      </c>
      <c r="CF4503">
        <v>31236131</v>
      </c>
      <c r="CS4503">
        <v>0</v>
      </c>
      <c r="CT4503">
        <v>2</v>
      </c>
      <c r="CU4503">
        <v>0</v>
      </c>
      <c r="CV4503">
        <v>2</v>
      </c>
      <c r="CW4503">
        <v>0</v>
      </c>
      <c r="CX4503">
        <v>6</v>
      </c>
      <c r="CY4503">
        <v>7</v>
      </c>
      <c r="CZ4503" t="s">
        <v>131</v>
      </c>
      <c r="DA4503">
        <v>286</v>
      </c>
      <c r="DB4503">
        <v>0</v>
      </c>
      <c r="DC4503" t="s">
        <v>132</v>
      </c>
      <c r="DD4503" t="s">
        <v>133</v>
      </c>
      <c r="DG4503">
        <v>915846</v>
      </c>
      <c r="DI4503">
        <v>1</v>
      </c>
      <c r="DJ4503">
        <v>0</v>
      </c>
      <c r="DK4503">
        <v>1</v>
      </c>
      <c r="DL4503">
        <v>0</v>
      </c>
      <c r="DM4503">
        <v>0</v>
      </c>
      <c r="DN4503">
        <v>1</v>
      </c>
      <c r="DO4503">
        <v>0</v>
      </c>
      <c r="DP4503">
        <v>0</v>
      </c>
      <c r="DQ4503">
        <v>0</v>
      </c>
      <c r="DR4503">
        <v>0</v>
      </c>
      <c r="DS4503">
        <v>0</v>
      </c>
    </row>
    <row r="4504" spans="1:123" x14ac:dyDescent="0.3">
      <c r="A4504" t="str">
        <f>"10/04/2022 19:37:38.402"</f>
        <v>10/04/2022 19:37:38.402</v>
      </c>
      <c r="C4504" t="str">
        <f t="shared" si="1648"/>
        <v>FFDFD3C0</v>
      </c>
      <c r="D4504" t="s">
        <v>123</v>
      </c>
      <c r="E4504">
        <v>7</v>
      </c>
      <c r="F4504">
        <v>2007</v>
      </c>
      <c r="G4504" t="s">
        <v>124</v>
      </c>
      <c r="J4504" t="s">
        <v>125</v>
      </c>
      <c r="K4504">
        <v>0</v>
      </c>
      <c r="L4504">
        <v>3</v>
      </c>
      <c r="M4504">
        <v>0</v>
      </c>
      <c r="N4504">
        <v>2</v>
      </c>
      <c r="O4504">
        <v>0</v>
      </c>
      <c r="P4504">
        <v>1</v>
      </c>
      <c r="Q4504">
        <v>0</v>
      </c>
      <c r="S4504" t="str">
        <f t="shared" si="1662"/>
        <v>19:37:38.000</v>
      </c>
      <c r="T4504" t="str">
        <f t="shared" si="1662"/>
        <v>19:37:38.000</v>
      </c>
      <c r="U4504" t="str">
        <f t="shared" si="1656"/>
        <v>AC3944</v>
      </c>
      <c r="V4504">
        <v>0</v>
      </c>
      <c r="W4504">
        <v>0</v>
      </c>
      <c r="X4504">
        <v>2</v>
      </c>
      <c r="Y4504">
        <v>0</v>
      </c>
      <c r="AA4504">
        <v>1</v>
      </c>
      <c r="AB4504">
        <v>8</v>
      </c>
      <c r="AC4504">
        <v>3</v>
      </c>
      <c r="AD4504">
        <v>0</v>
      </c>
      <c r="AE4504">
        <v>9</v>
      </c>
      <c r="AF4504" t="s">
        <v>138</v>
      </c>
      <c r="AG4504">
        <v>0</v>
      </c>
      <c r="AH4504">
        <v>3</v>
      </c>
      <c r="AI4504">
        <v>1</v>
      </c>
      <c r="AJ4504">
        <v>0</v>
      </c>
      <c r="AK4504" t="s">
        <v>1416</v>
      </c>
      <c r="AL4504">
        <v>32.731682999999997</v>
      </c>
      <c r="AM4504" t="s">
        <v>1417</v>
      </c>
      <c r="AN4504">
        <v>-116.715639</v>
      </c>
      <c r="AO4504">
        <v>25</v>
      </c>
      <c r="AP4504">
        <v>4900</v>
      </c>
      <c r="AQ4504" t="s">
        <v>129</v>
      </c>
      <c r="AR4504">
        <v>-152</v>
      </c>
      <c r="AS4504">
        <v>-83</v>
      </c>
      <c r="AT4504">
        <v>-640</v>
      </c>
      <c r="BB4504">
        <v>1200</v>
      </c>
      <c r="BC4504">
        <v>1</v>
      </c>
      <c r="BD4504" t="str">
        <f t="shared" si="1657"/>
        <v xml:space="preserve">N887QR  </v>
      </c>
      <c r="BE4504">
        <v>1</v>
      </c>
      <c r="BG4504">
        <v>0</v>
      </c>
      <c r="BH4504">
        <v>0</v>
      </c>
      <c r="BI4504">
        <v>0</v>
      </c>
      <c r="BJ4504">
        <v>4525</v>
      </c>
      <c r="BK4504">
        <v>-375</v>
      </c>
      <c r="BL4504" t="s">
        <v>163</v>
      </c>
      <c r="BM4504">
        <v>1</v>
      </c>
      <c r="BN4504">
        <v>1</v>
      </c>
      <c r="BO4504">
        <v>1</v>
      </c>
      <c r="BP4504">
        <v>0</v>
      </c>
      <c r="BS4504">
        <v>0</v>
      </c>
      <c r="BT4504">
        <v>0</v>
      </c>
      <c r="BU4504">
        <v>0</v>
      </c>
      <c r="CE4504" t="str">
        <f t="shared" si="1663"/>
        <v>19:37:38.031</v>
      </c>
      <c r="CF4504">
        <v>31236131</v>
      </c>
      <c r="CS4504">
        <v>0</v>
      </c>
      <c r="CT4504">
        <v>2</v>
      </c>
      <c r="CU4504">
        <v>0</v>
      </c>
      <c r="CV4504">
        <v>2</v>
      </c>
      <c r="CW4504">
        <v>0</v>
      </c>
      <c r="CX4504">
        <v>6</v>
      </c>
      <c r="CY4504">
        <v>7</v>
      </c>
      <c r="CZ4504" t="s">
        <v>131</v>
      </c>
      <c r="DA4504">
        <v>286</v>
      </c>
      <c r="DB4504">
        <v>0</v>
      </c>
      <c r="DC4504" t="s">
        <v>132</v>
      </c>
      <c r="DD4504" t="s">
        <v>133</v>
      </c>
      <c r="DG4504">
        <v>915846</v>
      </c>
      <c r="DI4504">
        <v>1</v>
      </c>
      <c r="DJ4504">
        <v>0</v>
      </c>
      <c r="DK4504">
        <v>1</v>
      </c>
      <c r="DL4504">
        <v>0</v>
      </c>
      <c r="DM4504">
        <v>0</v>
      </c>
      <c r="DN4504">
        <v>1</v>
      </c>
      <c r="DO4504">
        <v>0</v>
      </c>
      <c r="DP4504">
        <v>0</v>
      </c>
      <c r="DQ4504">
        <v>0</v>
      </c>
      <c r="DR4504">
        <v>0</v>
      </c>
      <c r="DS4504">
        <v>0</v>
      </c>
    </row>
    <row r="4505" spans="1:123" x14ac:dyDescent="0.3">
      <c r="A4505" t="str">
        <f t="shared" ref="A4505:A4511" si="1664">"10/04/2022 19:37:39.214"</f>
        <v>10/04/2022 19:37:39.214</v>
      </c>
      <c r="C4505" t="str">
        <f t="shared" si="1648"/>
        <v>FFDFD3C0</v>
      </c>
      <c r="D4505" t="s">
        <v>141</v>
      </c>
      <c r="E4505">
        <v>3</v>
      </c>
      <c r="H4505">
        <v>3</v>
      </c>
      <c r="I4505" t="s">
        <v>146</v>
      </c>
      <c r="J4505" t="s">
        <v>138</v>
      </c>
      <c r="K4505">
        <v>0</v>
      </c>
      <c r="L4505">
        <v>3</v>
      </c>
      <c r="M4505">
        <v>0</v>
      </c>
      <c r="N4505">
        <v>2</v>
      </c>
      <c r="O4505">
        <v>0</v>
      </c>
      <c r="P4505">
        <v>1</v>
      </c>
      <c r="Q4505">
        <v>0</v>
      </c>
      <c r="S4505" t="str">
        <f t="shared" si="1662"/>
        <v>19:37:38.000</v>
      </c>
      <c r="T4505" t="str">
        <f t="shared" si="1662"/>
        <v>19:37:38.000</v>
      </c>
      <c r="U4505" t="str">
        <f t="shared" si="1656"/>
        <v>AC3944</v>
      </c>
      <c r="V4505">
        <v>0</v>
      </c>
      <c r="W4505">
        <v>0</v>
      </c>
      <c r="X4505">
        <v>2</v>
      </c>
      <c r="Y4505">
        <v>0</v>
      </c>
      <c r="AA4505">
        <v>1</v>
      </c>
      <c r="AB4505">
        <v>8</v>
      </c>
      <c r="AC4505">
        <v>3</v>
      </c>
      <c r="AD4505">
        <v>0</v>
      </c>
      <c r="AE4505">
        <v>9</v>
      </c>
      <c r="AF4505" t="s">
        <v>138</v>
      </c>
      <c r="AG4505">
        <v>0</v>
      </c>
      <c r="AH4505">
        <v>3</v>
      </c>
      <c r="AI4505">
        <v>1</v>
      </c>
      <c r="AJ4505">
        <v>0</v>
      </c>
      <c r="AK4505" t="s">
        <v>1418</v>
      </c>
      <c r="AL4505">
        <v>32.731296999999998</v>
      </c>
      <c r="AM4505" t="s">
        <v>1419</v>
      </c>
      <c r="AN4505">
        <v>-116.716475</v>
      </c>
      <c r="AO4505">
        <v>25</v>
      </c>
      <c r="AP4505">
        <v>4900</v>
      </c>
      <c r="AQ4505" t="s">
        <v>129</v>
      </c>
      <c r="AR4505">
        <v>-152</v>
      </c>
      <c r="AS4505">
        <v>-84</v>
      </c>
      <c r="AT4505">
        <v>-640</v>
      </c>
      <c r="BB4505">
        <v>1200</v>
      </c>
      <c r="BC4505">
        <v>1</v>
      </c>
      <c r="BD4505" t="str">
        <f t="shared" si="1657"/>
        <v xml:space="preserve">N887QR  </v>
      </c>
      <c r="BE4505">
        <v>1</v>
      </c>
      <c r="BG4505">
        <v>0</v>
      </c>
      <c r="BH4505">
        <v>0</v>
      </c>
      <c r="BI4505">
        <v>0</v>
      </c>
      <c r="BJ4505">
        <v>4525</v>
      </c>
      <c r="BK4505">
        <v>-375</v>
      </c>
      <c r="BL4505" t="s">
        <v>163</v>
      </c>
      <c r="BM4505">
        <v>1</v>
      </c>
      <c r="BN4505">
        <v>1</v>
      </c>
      <c r="BO4505">
        <v>1</v>
      </c>
      <c r="BP4505">
        <v>0</v>
      </c>
      <c r="BS4505">
        <v>0</v>
      </c>
      <c r="BT4505">
        <v>0</v>
      </c>
      <c r="BU4505">
        <v>0</v>
      </c>
      <c r="CE4505" t="str">
        <f t="shared" ref="CE4505:CE4511" si="1665">"19:37:38.850"</f>
        <v>19:37:38.850</v>
      </c>
      <c r="CF4505">
        <v>850488550</v>
      </c>
      <c r="CS4505">
        <v>0</v>
      </c>
      <c r="CT4505">
        <v>2</v>
      </c>
      <c r="CU4505">
        <v>0</v>
      </c>
      <c r="CV4505">
        <v>2</v>
      </c>
      <c r="CW4505">
        <v>0</v>
      </c>
      <c r="CX4505">
        <v>6</v>
      </c>
      <c r="CY4505">
        <v>7</v>
      </c>
      <c r="CZ4505" t="s">
        <v>131</v>
      </c>
      <c r="DA4505">
        <v>286</v>
      </c>
      <c r="DB4505">
        <v>0</v>
      </c>
      <c r="DC4505" t="s">
        <v>132</v>
      </c>
      <c r="DD4505" t="s">
        <v>133</v>
      </c>
      <c r="DG4505">
        <v>916033</v>
      </c>
      <c r="DI4505">
        <v>1</v>
      </c>
      <c r="DJ4505">
        <v>0</v>
      </c>
      <c r="DK4505">
        <v>0</v>
      </c>
      <c r="DL4505">
        <v>0</v>
      </c>
      <c r="DM4505">
        <v>0</v>
      </c>
      <c r="DN4505">
        <v>1</v>
      </c>
      <c r="DO4505">
        <v>0</v>
      </c>
      <c r="DP4505">
        <v>0</v>
      </c>
      <c r="DQ4505">
        <v>0</v>
      </c>
      <c r="DR4505">
        <v>0</v>
      </c>
      <c r="DS4505">
        <v>0</v>
      </c>
    </row>
    <row r="4506" spans="1:123" x14ac:dyDescent="0.3">
      <c r="A4506" t="str">
        <f t="shared" si="1664"/>
        <v>10/04/2022 19:37:39.214</v>
      </c>
      <c r="C4506" t="str">
        <f t="shared" si="1648"/>
        <v>FFDFD3C0</v>
      </c>
      <c r="D4506" t="s">
        <v>147</v>
      </c>
      <c r="E4506">
        <v>3</v>
      </c>
      <c r="H4506">
        <v>166</v>
      </c>
      <c r="I4506" t="s">
        <v>144</v>
      </c>
      <c r="J4506" t="s">
        <v>148</v>
      </c>
      <c r="K4506">
        <v>0</v>
      </c>
      <c r="L4506">
        <v>3</v>
      </c>
      <c r="M4506">
        <v>0</v>
      </c>
      <c r="N4506">
        <v>2</v>
      </c>
      <c r="O4506">
        <v>0</v>
      </c>
      <c r="P4506">
        <v>1</v>
      </c>
      <c r="Q4506">
        <v>0</v>
      </c>
      <c r="S4506" t="str">
        <f t="shared" si="1662"/>
        <v>19:37:38.000</v>
      </c>
      <c r="T4506" t="str">
        <f t="shared" si="1662"/>
        <v>19:37:38.000</v>
      </c>
      <c r="U4506" t="str">
        <f t="shared" si="1656"/>
        <v>AC3944</v>
      </c>
      <c r="V4506">
        <v>0</v>
      </c>
      <c r="W4506">
        <v>0</v>
      </c>
      <c r="X4506">
        <v>2</v>
      </c>
      <c r="Y4506">
        <v>0</v>
      </c>
      <c r="AA4506">
        <v>1</v>
      </c>
      <c r="AB4506">
        <v>8</v>
      </c>
      <c r="AC4506">
        <v>3</v>
      </c>
      <c r="AD4506">
        <v>0</v>
      </c>
      <c r="AE4506">
        <v>9</v>
      </c>
      <c r="AF4506" t="s">
        <v>138</v>
      </c>
      <c r="AG4506">
        <v>0</v>
      </c>
      <c r="AH4506">
        <v>3</v>
      </c>
      <c r="AI4506">
        <v>1</v>
      </c>
      <c r="AJ4506">
        <v>0</v>
      </c>
      <c r="AK4506" t="s">
        <v>1418</v>
      </c>
      <c r="AL4506">
        <v>32.731296999999998</v>
      </c>
      <c r="AM4506" t="s">
        <v>1419</v>
      </c>
      <c r="AN4506">
        <v>-116.716475</v>
      </c>
      <c r="AO4506">
        <v>25</v>
      </c>
      <c r="AP4506">
        <v>4900</v>
      </c>
      <c r="AQ4506" t="s">
        <v>129</v>
      </c>
      <c r="AR4506">
        <v>-152</v>
      </c>
      <c r="AS4506">
        <v>-84</v>
      </c>
      <c r="AT4506">
        <v>-640</v>
      </c>
      <c r="BB4506">
        <v>1200</v>
      </c>
      <c r="BC4506">
        <v>1</v>
      </c>
      <c r="BD4506" t="str">
        <f t="shared" si="1657"/>
        <v xml:space="preserve">N887QR  </v>
      </c>
      <c r="BE4506">
        <v>1</v>
      </c>
      <c r="BG4506">
        <v>0</v>
      </c>
      <c r="BH4506">
        <v>0</v>
      </c>
      <c r="BI4506">
        <v>0</v>
      </c>
      <c r="BJ4506">
        <v>4525</v>
      </c>
      <c r="BK4506">
        <v>-375</v>
      </c>
      <c r="BL4506" t="s">
        <v>163</v>
      </c>
      <c r="BM4506">
        <v>1</v>
      </c>
      <c r="BN4506">
        <v>1</v>
      </c>
      <c r="BO4506">
        <v>1</v>
      </c>
      <c r="BP4506">
        <v>0</v>
      </c>
      <c r="BS4506">
        <v>0</v>
      </c>
      <c r="BT4506">
        <v>0</v>
      </c>
      <c r="BU4506">
        <v>0</v>
      </c>
      <c r="CE4506" t="str">
        <f t="shared" si="1665"/>
        <v>19:37:38.850</v>
      </c>
      <c r="CF4506">
        <v>850488550</v>
      </c>
      <c r="CS4506">
        <v>0</v>
      </c>
      <c r="CT4506">
        <v>2</v>
      </c>
      <c r="CU4506">
        <v>0</v>
      </c>
      <c r="CV4506">
        <v>2</v>
      </c>
      <c r="CW4506">
        <v>0</v>
      </c>
      <c r="CX4506">
        <v>6</v>
      </c>
      <c r="CY4506">
        <v>7</v>
      </c>
      <c r="CZ4506" t="s">
        <v>131</v>
      </c>
      <c r="DA4506">
        <v>286</v>
      </c>
      <c r="DB4506">
        <v>0</v>
      </c>
      <c r="DC4506" t="s">
        <v>132</v>
      </c>
      <c r="DD4506" t="s">
        <v>133</v>
      </c>
      <c r="DG4506">
        <v>916033</v>
      </c>
      <c r="DI4506">
        <v>1</v>
      </c>
      <c r="DJ4506">
        <v>0</v>
      </c>
      <c r="DK4506">
        <v>1</v>
      </c>
      <c r="DL4506">
        <v>0</v>
      </c>
      <c r="DM4506">
        <v>0</v>
      </c>
      <c r="DN4506">
        <v>1</v>
      </c>
      <c r="DO4506">
        <v>0</v>
      </c>
      <c r="DP4506">
        <v>0</v>
      </c>
      <c r="DQ4506">
        <v>0</v>
      </c>
      <c r="DR4506">
        <v>0</v>
      </c>
      <c r="DS4506">
        <v>0</v>
      </c>
    </row>
    <row r="4507" spans="1:123" x14ac:dyDescent="0.3">
      <c r="A4507" t="str">
        <f t="shared" si="1664"/>
        <v>10/04/2022 19:37:39.214</v>
      </c>
      <c r="C4507" t="str">
        <f t="shared" si="1648"/>
        <v>FFDFD3C0</v>
      </c>
      <c r="D4507" t="s">
        <v>143</v>
      </c>
      <c r="E4507">
        <v>20</v>
      </c>
      <c r="F4507">
        <v>1020</v>
      </c>
      <c r="G4507" t="s">
        <v>144</v>
      </c>
      <c r="J4507" t="s">
        <v>145</v>
      </c>
      <c r="K4507">
        <v>0</v>
      </c>
      <c r="L4507">
        <v>3</v>
      </c>
      <c r="M4507">
        <v>0</v>
      </c>
      <c r="N4507">
        <v>2</v>
      </c>
      <c r="O4507">
        <v>0</v>
      </c>
      <c r="P4507">
        <v>1</v>
      </c>
      <c r="Q4507">
        <v>0</v>
      </c>
      <c r="S4507" t="str">
        <f t="shared" si="1662"/>
        <v>19:37:38.000</v>
      </c>
      <c r="T4507" t="str">
        <f t="shared" si="1662"/>
        <v>19:37:38.000</v>
      </c>
      <c r="U4507" t="str">
        <f t="shared" si="1656"/>
        <v>AC3944</v>
      </c>
      <c r="V4507">
        <v>0</v>
      </c>
      <c r="W4507">
        <v>0</v>
      </c>
      <c r="X4507">
        <v>2</v>
      </c>
      <c r="Y4507">
        <v>0</v>
      </c>
      <c r="AA4507">
        <v>1</v>
      </c>
      <c r="AB4507">
        <v>8</v>
      </c>
      <c r="AC4507">
        <v>3</v>
      </c>
      <c r="AD4507">
        <v>0</v>
      </c>
      <c r="AE4507">
        <v>9</v>
      </c>
      <c r="AF4507" t="s">
        <v>138</v>
      </c>
      <c r="AG4507">
        <v>0</v>
      </c>
      <c r="AH4507">
        <v>3</v>
      </c>
      <c r="AI4507">
        <v>1</v>
      </c>
      <c r="AJ4507">
        <v>0</v>
      </c>
      <c r="AK4507" t="s">
        <v>1418</v>
      </c>
      <c r="AL4507">
        <v>32.731296999999998</v>
      </c>
      <c r="AM4507" t="s">
        <v>1419</v>
      </c>
      <c r="AN4507">
        <v>-116.716475</v>
      </c>
      <c r="AO4507">
        <v>25</v>
      </c>
      <c r="AP4507">
        <v>4900</v>
      </c>
      <c r="AQ4507" t="s">
        <v>129</v>
      </c>
      <c r="AR4507">
        <v>-152</v>
      </c>
      <c r="AS4507">
        <v>-84</v>
      </c>
      <c r="AT4507">
        <v>-640</v>
      </c>
      <c r="BB4507">
        <v>1200</v>
      </c>
      <c r="BC4507">
        <v>1</v>
      </c>
      <c r="BD4507" t="str">
        <f t="shared" si="1657"/>
        <v xml:space="preserve">N887QR  </v>
      </c>
      <c r="BE4507">
        <v>1</v>
      </c>
      <c r="BG4507">
        <v>0</v>
      </c>
      <c r="BH4507">
        <v>0</v>
      </c>
      <c r="BI4507">
        <v>0</v>
      </c>
      <c r="BJ4507">
        <v>4525</v>
      </c>
      <c r="BK4507">
        <v>-375</v>
      </c>
      <c r="BL4507" t="s">
        <v>163</v>
      </c>
      <c r="BM4507">
        <v>1</v>
      </c>
      <c r="BN4507">
        <v>1</v>
      </c>
      <c r="BO4507">
        <v>1</v>
      </c>
      <c r="BP4507">
        <v>0</v>
      </c>
      <c r="BS4507">
        <v>0</v>
      </c>
      <c r="BT4507">
        <v>0</v>
      </c>
      <c r="BU4507">
        <v>0</v>
      </c>
      <c r="CE4507" t="str">
        <f t="shared" si="1665"/>
        <v>19:37:38.850</v>
      </c>
      <c r="CF4507">
        <v>850488550</v>
      </c>
      <c r="CS4507">
        <v>0</v>
      </c>
      <c r="CT4507">
        <v>2</v>
      </c>
      <c r="CU4507">
        <v>0</v>
      </c>
      <c r="CV4507">
        <v>2</v>
      </c>
      <c r="CW4507">
        <v>0</v>
      </c>
      <c r="CX4507">
        <v>6</v>
      </c>
      <c r="CY4507">
        <v>7</v>
      </c>
      <c r="CZ4507" t="s">
        <v>131</v>
      </c>
      <c r="DA4507">
        <v>286</v>
      </c>
      <c r="DB4507">
        <v>0</v>
      </c>
      <c r="DC4507" t="s">
        <v>132</v>
      </c>
      <c r="DD4507" t="s">
        <v>133</v>
      </c>
      <c r="DG4507">
        <v>916033</v>
      </c>
      <c r="DI4507">
        <v>1</v>
      </c>
      <c r="DJ4507">
        <v>0</v>
      </c>
      <c r="DK4507">
        <v>1</v>
      </c>
      <c r="DL4507">
        <v>0</v>
      </c>
      <c r="DM4507">
        <v>0</v>
      </c>
      <c r="DN4507">
        <v>1</v>
      </c>
      <c r="DO4507">
        <v>0</v>
      </c>
      <c r="DP4507">
        <v>0</v>
      </c>
      <c r="DQ4507">
        <v>0</v>
      </c>
      <c r="DR4507">
        <v>0</v>
      </c>
      <c r="DS4507">
        <v>0</v>
      </c>
    </row>
    <row r="4508" spans="1:123" x14ac:dyDescent="0.3">
      <c r="A4508" t="str">
        <f t="shared" si="1664"/>
        <v>10/04/2022 19:37:39.214</v>
      </c>
      <c r="C4508" t="str">
        <f t="shared" si="1648"/>
        <v>FFDFD3C0</v>
      </c>
      <c r="D4508" t="s">
        <v>134</v>
      </c>
      <c r="E4508">
        <v>15</v>
      </c>
      <c r="J4508" t="s">
        <v>135</v>
      </c>
      <c r="K4508">
        <v>0</v>
      </c>
      <c r="L4508">
        <v>3</v>
      </c>
      <c r="M4508">
        <v>0</v>
      </c>
      <c r="N4508">
        <v>2</v>
      </c>
      <c r="O4508">
        <v>0</v>
      </c>
      <c r="P4508">
        <v>1</v>
      </c>
      <c r="Q4508">
        <v>0</v>
      </c>
      <c r="S4508" t="str">
        <f t="shared" si="1662"/>
        <v>19:37:38.000</v>
      </c>
      <c r="T4508" t="str">
        <f t="shared" si="1662"/>
        <v>19:37:38.000</v>
      </c>
      <c r="U4508" t="str">
        <f t="shared" si="1656"/>
        <v>AC3944</v>
      </c>
      <c r="V4508">
        <v>0</v>
      </c>
      <c r="W4508">
        <v>0</v>
      </c>
      <c r="X4508">
        <v>2</v>
      </c>
      <c r="Y4508">
        <v>0</v>
      </c>
      <c r="AA4508">
        <v>1</v>
      </c>
      <c r="AB4508">
        <v>8</v>
      </c>
      <c r="AC4508">
        <v>3</v>
      </c>
      <c r="AD4508">
        <v>0</v>
      </c>
      <c r="AE4508">
        <v>9</v>
      </c>
      <c r="AF4508" t="s">
        <v>138</v>
      </c>
      <c r="AG4508">
        <v>0</v>
      </c>
      <c r="AH4508">
        <v>3</v>
      </c>
      <c r="AI4508">
        <v>1</v>
      </c>
      <c r="AJ4508">
        <v>0</v>
      </c>
      <c r="AK4508" t="s">
        <v>1418</v>
      </c>
      <c r="AL4508">
        <v>32.731296999999998</v>
      </c>
      <c r="AM4508" t="s">
        <v>1419</v>
      </c>
      <c r="AN4508">
        <v>-116.716475</v>
      </c>
      <c r="AO4508">
        <v>25</v>
      </c>
      <c r="AP4508">
        <v>4900</v>
      </c>
      <c r="AQ4508" t="s">
        <v>129</v>
      </c>
      <c r="AR4508">
        <v>-152</v>
      </c>
      <c r="AS4508">
        <v>-84</v>
      </c>
      <c r="AT4508">
        <v>-640</v>
      </c>
      <c r="BB4508">
        <v>1200</v>
      </c>
      <c r="BC4508">
        <v>1</v>
      </c>
      <c r="BD4508" t="str">
        <f t="shared" si="1657"/>
        <v xml:space="preserve">N887QR  </v>
      </c>
      <c r="BE4508">
        <v>1</v>
      </c>
      <c r="BG4508">
        <v>0</v>
      </c>
      <c r="BH4508">
        <v>0</v>
      </c>
      <c r="BI4508">
        <v>0</v>
      </c>
      <c r="BJ4508">
        <v>4525</v>
      </c>
      <c r="BK4508">
        <v>-375</v>
      </c>
      <c r="BL4508" t="s">
        <v>163</v>
      </c>
      <c r="BM4508">
        <v>1</v>
      </c>
      <c r="BN4508">
        <v>1</v>
      </c>
      <c r="BO4508">
        <v>1</v>
      </c>
      <c r="BP4508">
        <v>0</v>
      </c>
      <c r="BS4508">
        <v>0</v>
      </c>
      <c r="BT4508">
        <v>0</v>
      </c>
      <c r="BU4508">
        <v>0</v>
      </c>
      <c r="CE4508" t="str">
        <f t="shared" si="1665"/>
        <v>19:37:38.850</v>
      </c>
      <c r="CF4508">
        <v>850488550</v>
      </c>
      <c r="CS4508">
        <v>0</v>
      </c>
      <c r="CT4508">
        <v>2</v>
      </c>
      <c r="CU4508">
        <v>0</v>
      </c>
      <c r="CV4508">
        <v>2</v>
      </c>
      <c r="CW4508">
        <v>0</v>
      </c>
      <c r="CX4508">
        <v>6</v>
      </c>
      <c r="CY4508">
        <v>7</v>
      </c>
      <c r="CZ4508" t="s">
        <v>131</v>
      </c>
      <c r="DA4508">
        <v>286</v>
      </c>
      <c r="DB4508">
        <v>0</v>
      </c>
      <c r="DC4508" t="s">
        <v>132</v>
      </c>
      <c r="DD4508" t="s">
        <v>133</v>
      </c>
      <c r="DG4508">
        <v>916033</v>
      </c>
      <c r="DI4508">
        <v>1</v>
      </c>
      <c r="DJ4508">
        <v>0</v>
      </c>
      <c r="DK4508">
        <v>1</v>
      </c>
      <c r="DL4508">
        <v>0</v>
      </c>
      <c r="DM4508">
        <v>0</v>
      </c>
      <c r="DN4508">
        <v>1</v>
      </c>
      <c r="DO4508">
        <v>0</v>
      </c>
      <c r="DP4508">
        <v>0</v>
      </c>
      <c r="DQ4508">
        <v>0</v>
      </c>
      <c r="DR4508">
        <v>0</v>
      </c>
      <c r="DS4508">
        <v>0</v>
      </c>
    </row>
    <row r="4509" spans="1:123" x14ac:dyDescent="0.3">
      <c r="A4509" t="str">
        <f t="shared" si="1664"/>
        <v>10/04/2022 19:37:39.214</v>
      </c>
      <c r="C4509" t="str">
        <f t="shared" si="1648"/>
        <v>FFDFD3C0</v>
      </c>
      <c r="D4509" t="s">
        <v>123</v>
      </c>
      <c r="E4509">
        <v>7</v>
      </c>
      <c r="F4509">
        <v>2007</v>
      </c>
      <c r="G4509" t="s">
        <v>124</v>
      </c>
      <c r="J4509" t="s">
        <v>125</v>
      </c>
      <c r="K4509">
        <v>0</v>
      </c>
      <c r="L4509">
        <v>3</v>
      </c>
      <c r="M4509">
        <v>0</v>
      </c>
      <c r="N4509">
        <v>2</v>
      </c>
      <c r="O4509">
        <v>0</v>
      </c>
      <c r="P4509">
        <v>1</v>
      </c>
      <c r="Q4509">
        <v>0</v>
      </c>
      <c r="S4509" t="str">
        <f t="shared" si="1662"/>
        <v>19:37:38.000</v>
      </c>
      <c r="T4509" t="str">
        <f t="shared" si="1662"/>
        <v>19:37:38.000</v>
      </c>
      <c r="U4509" t="str">
        <f t="shared" si="1656"/>
        <v>AC3944</v>
      </c>
      <c r="V4509">
        <v>0</v>
      </c>
      <c r="W4509">
        <v>0</v>
      </c>
      <c r="X4509">
        <v>2</v>
      </c>
      <c r="Y4509">
        <v>0</v>
      </c>
      <c r="AA4509">
        <v>1</v>
      </c>
      <c r="AB4509">
        <v>8</v>
      </c>
      <c r="AC4509">
        <v>3</v>
      </c>
      <c r="AD4509">
        <v>0</v>
      </c>
      <c r="AE4509">
        <v>9</v>
      </c>
      <c r="AF4509" t="s">
        <v>138</v>
      </c>
      <c r="AG4509">
        <v>0</v>
      </c>
      <c r="AH4509">
        <v>3</v>
      </c>
      <c r="AI4509">
        <v>1</v>
      </c>
      <c r="AJ4509">
        <v>0</v>
      </c>
      <c r="AK4509" t="s">
        <v>1418</v>
      </c>
      <c r="AL4509">
        <v>32.731296999999998</v>
      </c>
      <c r="AM4509" t="s">
        <v>1419</v>
      </c>
      <c r="AN4509">
        <v>-116.716475</v>
      </c>
      <c r="AO4509">
        <v>25</v>
      </c>
      <c r="AP4509">
        <v>4900</v>
      </c>
      <c r="AQ4509" t="s">
        <v>129</v>
      </c>
      <c r="AR4509">
        <v>-152</v>
      </c>
      <c r="AS4509">
        <v>-84</v>
      </c>
      <c r="AT4509">
        <v>-640</v>
      </c>
      <c r="BB4509">
        <v>1200</v>
      </c>
      <c r="BC4509">
        <v>1</v>
      </c>
      <c r="BD4509" t="str">
        <f t="shared" si="1657"/>
        <v xml:space="preserve">N887QR  </v>
      </c>
      <c r="BE4509">
        <v>1</v>
      </c>
      <c r="BG4509">
        <v>0</v>
      </c>
      <c r="BH4509">
        <v>0</v>
      </c>
      <c r="BI4509">
        <v>0</v>
      </c>
      <c r="BJ4509">
        <v>4525</v>
      </c>
      <c r="BK4509">
        <v>-375</v>
      </c>
      <c r="BL4509" t="s">
        <v>163</v>
      </c>
      <c r="BM4509">
        <v>1</v>
      </c>
      <c r="BN4509">
        <v>1</v>
      </c>
      <c r="BO4509">
        <v>1</v>
      </c>
      <c r="BP4509">
        <v>0</v>
      </c>
      <c r="BS4509">
        <v>0</v>
      </c>
      <c r="BT4509">
        <v>0</v>
      </c>
      <c r="BU4509">
        <v>0</v>
      </c>
      <c r="CE4509" t="str">
        <f t="shared" si="1665"/>
        <v>19:37:38.850</v>
      </c>
      <c r="CF4509">
        <v>850488550</v>
      </c>
      <c r="CS4509">
        <v>0</v>
      </c>
      <c r="CT4509">
        <v>2</v>
      </c>
      <c r="CU4509">
        <v>0</v>
      </c>
      <c r="CV4509">
        <v>2</v>
      </c>
      <c r="CW4509">
        <v>0</v>
      </c>
      <c r="CX4509">
        <v>6</v>
      </c>
      <c r="CY4509">
        <v>7</v>
      </c>
      <c r="CZ4509" t="s">
        <v>131</v>
      </c>
      <c r="DA4509">
        <v>286</v>
      </c>
      <c r="DB4509">
        <v>0</v>
      </c>
      <c r="DC4509" t="s">
        <v>132</v>
      </c>
      <c r="DD4509" t="s">
        <v>133</v>
      </c>
      <c r="DG4509">
        <v>916033</v>
      </c>
      <c r="DI4509">
        <v>1</v>
      </c>
      <c r="DJ4509">
        <v>0</v>
      </c>
      <c r="DK4509">
        <v>1</v>
      </c>
      <c r="DL4509">
        <v>0</v>
      </c>
      <c r="DM4509">
        <v>0</v>
      </c>
      <c r="DN4509">
        <v>1</v>
      </c>
      <c r="DO4509">
        <v>0</v>
      </c>
      <c r="DP4509">
        <v>0</v>
      </c>
      <c r="DQ4509">
        <v>0</v>
      </c>
      <c r="DR4509">
        <v>0</v>
      </c>
      <c r="DS4509">
        <v>0</v>
      </c>
    </row>
    <row r="4510" spans="1:123" x14ac:dyDescent="0.3">
      <c r="A4510" t="str">
        <f t="shared" si="1664"/>
        <v>10/04/2022 19:37:39.214</v>
      </c>
      <c r="C4510" t="str">
        <f t="shared" si="1648"/>
        <v>FFDFD3C0</v>
      </c>
      <c r="D4510" t="s">
        <v>141</v>
      </c>
      <c r="E4510">
        <v>4</v>
      </c>
      <c r="H4510">
        <v>4</v>
      </c>
      <c r="I4510" t="s">
        <v>142</v>
      </c>
      <c r="J4510" t="s">
        <v>138</v>
      </c>
      <c r="K4510">
        <v>0</v>
      </c>
      <c r="L4510">
        <v>3</v>
      </c>
      <c r="M4510">
        <v>0</v>
      </c>
      <c r="N4510">
        <v>2</v>
      </c>
      <c r="O4510">
        <v>0</v>
      </c>
      <c r="P4510">
        <v>1</v>
      </c>
      <c r="Q4510">
        <v>0</v>
      </c>
      <c r="S4510" t="str">
        <f t="shared" si="1662"/>
        <v>19:37:38.000</v>
      </c>
      <c r="T4510" t="str">
        <f t="shared" si="1662"/>
        <v>19:37:38.000</v>
      </c>
      <c r="U4510" t="str">
        <f t="shared" si="1656"/>
        <v>AC3944</v>
      </c>
      <c r="V4510">
        <v>0</v>
      </c>
      <c r="W4510">
        <v>0</v>
      </c>
      <c r="X4510">
        <v>2</v>
      </c>
      <c r="Y4510">
        <v>0</v>
      </c>
      <c r="AA4510">
        <v>1</v>
      </c>
      <c r="AB4510">
        <v>8</v>
      </c>
      <c r="AC4510">
        <v>3</v>
      </c>
      <c r="AD4510">
        <v>0</v>
      </c>
      <c r="AE4510">
        <v>9</v>
      </c>
      <c r="AF4510" t="s">
        <v>138</v>
      </c>
      <c r="AG4510">
        <v>0</v>
      </c>
      <c r="AH4510">
        <v>3</v>
      </c>
      <c r="AI4510">
        <v>1</v>
      </c>
      <c r="AJ4510">
        <v>0</v>
      </c>
      <c r="AK4510" t="s">
        <v>1418</v>
      </c>
      <c r="AL4510">
        <v>32.731296999999998</v>
      </c>
      <c r="AM4510" t="s">
        <v>1419</v>
      </c>
      <c r="AN4510">
        <v>-116.716475</v>
      </c>
      <c r="AO4510">
        <v>25</v>
      </c>
      <c r="AP4510">
        <v>4900</v>
      </c>
      <c r="AQ4510" t="s">
        <v>129</v>
      </c>
      <c r="AR4510">
        <v>-152</v>
      </c>
      <c r="AS4510">
        <v>-84</v>
      </c>
      <c r="AT4510">
        <v>-640</v>
      </c>
      <c r="BB4510">
        <v>1200</v>
      </c>
      <c r="BC4510">
        <v>1</v>
      </c>
      <c r="BD4510" t="str">
        <f t="shared" si="1657"/>
        <v xml:space="preserve">N887QR  </v>
      </c>
      <c r="BE4510">
        <v>1</v>
      </c>
      <c r="BG4510">
        <v>0</v>
      </c>
      <c r="BH4510">
        <v>0</v>
      </c>
      <c r="BI4510">
        <v>0</v>
      </c>
      <c r="BJ4510">
        <v>4525</v>
      </c>
      <c r="BK4510">
        <v>-375</v>
      </c>
      <c r="BL4510" t="s">
        <v>163</v>
      </c>
      <c r="BM4510">
        <v>1</v>
      </c>
      <c r="BN4510">
        <v>1</v>
      </c>
      <c r="BO4510">
        <v>1</v>
      </c>
      <c r="BP4510">
        <v>0</v>
      </c>
      <c r="BS4510">
        <v>0</v>
      </c>
      <c r="BT4510">
        <v>0</v>
      </c>
      <c r="BU4510">
        <v>0</v>
      </c>
      <c r="CE4510" t="str">
        <f t="shared" si="1665"/>
        <v>19:37:38.850</v>
      </c>
      <c r="CF4510">
        <v>850488550</v>
      </c>
      <c r="CS4510">
        <v>0</v>
      </c>
      <c r="CT4510">
        <v>2</v>
      </c>
      <c r="CU4510">
        <v>0</v>
      </c>
      <c r="CV4510">
        <v>2</v>
      </c>
      <c r="CW4510">
        <v>0</v>
      </c>
      <c r="CX4510">
        <v>6</v>
      </c>
      <c r="CY4510">
        <v>7</v>
      </c>
      <c r="CZ4510" t="s">
        <v>131</v>
      </c>
      <c r="DA4510">
        <v>286</v>
      </c>
      <c r="DB4510">
        <v>0</v>
      </c>
      <c r="DC4510" t="s">
        <v>132</v>
      </c>
      <c r="DD4510" t="s">
        <v>133</v>
      </c>
      <c r="DG4510">
        <v>916033</v>
      </c>
      <c r="DI4510">
        <v>1</v>
      </c>
      <c r="DJ4510">
        <v>0</v>
      </c>
      <c r="DK4510">
        <v>0</v>
      </c>
      <c r="DL4510">
        <v>0</v>
      </c>
      <c r="DM4510">
        <v>0</v>
      </c>
      <c r="DN4510">
        <v>1</v>
      </c>
      <c r="DO4510">
        <v>0</v>
      </c>
      <c r="DP4510">
        <v>0</v>
      </c>
      <c r="DQ4510">
        <v>0</v>
      </c>
      <c r="DR4510">
        <v>0</v>
      </c>
      <c r="DS4510">
        <v>0</v>
      </c>
    </row>
    <row r="4511" spans="1:123" x14ac:dyDescent="0.3">
      <c r="A4511" t="str">
        <f t="shared" si="1664"/>
        <v>10/04/2022 19:37:39.214</v>
      </c>
      <c r="C4511" t="str">
        <f t="shared" si="1648"/>
        <v>FFDFD3C0</v>
      </c>
      <c r="D4511" t="s">
        <v>136</v>
      </c>
      <c r="E4511">
        <v>8</v>
      </c>
      <c r="H4511">
        <v>225</v>
      </c>
      <c r="I4511" t="s">
        <v>137</v>
      </c>
      <c r="J4511" t="s">
        <v>138</v>
      </c>
      <c r="K4511">
        <v>0</v>
      </c>
      <c r="L4511">
        <v>3</v>
      </c>
      <c r="M4511">
        <v>0</v>
      </c>
      <c r="N4511">
        <v>2</v>
      </c>
      <c r="O4511">
        <v>0</v>
      </c>
      <c r="P4511">
        <v>1</v>
      </c>
      <c r="Q4511">
        <v>0</v>
      </c>
      <c r="S4511" t="str">
        <f t="shared" si="1662"/>
        <v>19:37:38.000</v>
      </c>
      <c r="T4511" t="str">
        <f t="shared" si="1662"/>
        <v>19:37:38.000</v>
      </c>
      <c r="U4511" t="str">
        <f t="shared" si="1656"/>
        <v>AC3944</v>
      </c>
      <c r="V4511">
        <v>0</v>
      </c>
      <c r="W4511">
        <v>0</v>
      </c>
      <c r="X4511">
        <v>2</v>
      </c>
      <c r="Y4511">
        <v>0</v>
      </c>
      <c r="AA4511">
        <v>1</v>
      </c>
      <c r="AB4511">
        <v>8</v>
      </c>
      <c r="AC4511">
        <v>3</v>
      </c>
      <c r="AD4511">
        <v>0</v>
      </c>
      <c r="AE4511">
        <v>9</v>
      </c>
      <c r="AF4511" t="s">
        <v>138</v>
      </c>
      <c r="AG4511">
        <v>0</v>
      </c>
      <c r="AH4511">
        <v>3</v>
      </c>
      <c r="AI4511">
        <v>1</v>
      </c>
      <c r="AJ4511">
        <v>0</v>
      </c>
      <c r="AK4511" t="s">
        <v>1418</v>
      </c>
      <c r="AL4511">
        <v>32.731296999999998</v>
      </c>
      <c r="AM4511" t="s">
        <v>1419</v>
      </c>
      <c r="AN4511">
        <v>-116.716475</v>
      </c>
      <c r="AO4511">
        <v>25</v>
      </c>
      <c r="AP4511">
        <v>4900</v>
      </c>
      <c r="AQ4511" t="s">
        <v>129</v>
      </c>
      <c r="AR4511">
        <v>-152</v>
      </c>
      <c r="AS4511">
        <v>-84</v>
      </c>
      <c r="AT4511">
        <v>-640</v>
      </c>
      <c r="BB4511">
        <v>1200</v>
      </c>
      <c r="BC4511">
        <v>1</v>
      </c>
      <c r="BD4511" t="str">
        <f t="shared" si="1657"/>
        <v xml:space="preserve">N887QR  </v>
      </c>
      <c r="BE4511">
        <v>1</v>
      </c>
      <c r="BG4511">
        <v>0</v>
      </c>
      <c r="BH4511">
        <v>0</v>
      </c>
      <c r="BI4511">
        <v>0</v>
      </c>
      <c r="BJ4511">
        <v>4525</v>
      </c>
      <c r="BK4511">
        <v>-375</v>
      </c>
      <c r="BL4511" t="s">
        <v>163</v>
      </c>
      <c r="BM4511">
        <v>1</v>
      </c>
      <c r="BN4511">
        <v>1</v>
      </c>
      <c r="BO4511">
        <v>1</v>
      </c>
      <c r="BP4511">
        <v>0</v>
      </c>
      <c r="BS4511">
        <v>0</v>
      </c>
      <c r="BT4511">
        <v>0</v>
      </c>
      <c r="BU4511">
        <v>0</v>
      </c>
      <c r="CE4511" t="str">
        <f t="shared" si="1665"/>
        <v>19:37:38.850</v>
      </c>
      <c r="CF4511">
        <v>850488550</v>
      </c>
      <c r="CS4511">
        <v>0</v>
      </c>
      <c r="CT4511">
        <v>2</v>
      </c>
      <c r="CU4511">
        <v>0</v>
      </c>
      <c r="CV4511">
        <v>2</v>
      </c>
      <c r="CW4511">
        <v>0</v>
      </c>
      <c r="CX4511">
        <v>6</v>
      </c>
      <c r="CY4511">
        <v>7</v>
      </c>
      <c r="CZ4511" t="s">
        <v>131</v>
      </c>
      <c r="DA4511">
        <v>286</v>
      </c>
      <c r="DB4511">
        <v>0</v>
      </c>
      <c r="DC4511" t="s">
        <v>132</v>
      </c>
      <c r="DD4511" t="s">
        <v>133</v>
      </c>
      <c r="DG4511">
        <v>916033</v>
      </c>
      <c r="DI4511">
        <v>1</v>
      </c>
      <c r="DJ4511">
        <v>0</v>
      </c>
      <c r="DK4511">
        <v>1</v>
      </c>
      <c r="DL4511">
        <v>0</v>
      </c>
      <c r="DM4511">
        <v>0</v>
      </c>
      <c r="DN4511">
        <v>1</v>
      </c>
      <c r="DO4511">
        <v>0</v>
      </c>
      <c r="DP4511">
        <v>0</v>
      </c>
      <c r="DQ4511">
        <v>0</v>
      </c>
      <c r="DR4511">
        <v>0</v>
      </c>
      <c r="DS4511">
        <v>0</v>
      </c>
    </row>
    <row r="4512" spans="1:123" x14ac:dyDescent="0.3">
      <c r="A4512" t="str">
        <f t="shared" ref="A4512:A4518" si="1666">"10/04/2022 19:37:40.607"</f>
        <v>10/04/2022 19:37:40.607</v>
      </c>
      <c r="C4512" t="str">
        <f t="shared" si="1648"/>
        <v>FFDFD3C0</v>
      </c>
      <c r="D4512" t="s">
        <v>141</v>
      </c>
      <c r="E4512">
        <v>3</v>
      </c>
      <c r="H4512">
        <v>3</v>
      </c>
      <c r="I4512" t="s">
        <v>146</v>
      </c>
      <c r="J4512" t="s">
        <v>138</v>
      </c>
      <c r="K4512">
        <v>0</v>
      </c>
      <c r="L4512">
        <v>3</v>
      </c>
      <c r="M4512">
        <v>0</v>
      </c>
      <c r="N4512">
        <v>2</v>
      </c>
      <c r="O4512">
        <v>0</v>
      </c>
      <c r="P4512">
        <v>1</v>
      </c>
      <c r="Q4512">
        <v>0</v>
      </c>
      <c r="S4512" t="str">
        <f t="shared" ref="S4512:T4518" si="1667">"19:37:40.000"</f>
        <v>19:37:40.000</v>
      </c>
      <c r="T4512" t="str">
        <f t="shared" si="1667"/>
        <v>19:37:40.000</v>
      </c>
      <c r="U4512" t="str">
        <f t="shared" si="1656"/>
        <v>AC3944</v>
      </c>
      <c r="V4512">
        <v>0</v>
      </c>
      <c r="W4512">
        <v>0</v>
      </c>
      <c r="X4512">
        <v>2</v>
      </c>
      <c r="Y4512">
        <v>0</v>
      </c>
      <c r="AA4512">
        <v>1</v>
      </c>
      <c r="AB4512">
        <v>8</v>
      </c>
      <c r="AC4512">
        <v>3</v>
      </c>
      <c r="AD4512">
        <v>0</v>
      </c>
      <c r="AE4512">
        <v>9</v>
      </c>
      <c r="AF4512" t="s">
        <v>138</v>
      </c>
      <c r="AG4512">
        <v>0</v>
      </c>
      <c r="AH4512">
        <v>3</v>
      </c>
      <c r="AI4512">
        <v>1</v>
      </c>
      <c r="AJ4512">
        <v>0</v>
      </c>
      <c r="AK4512" t="s">
        <v>1420</v>
      </c>
      <c r="AL4512">
        <v>32.730888999999998</v>
      </c>
      <c r="AM4512" t="s">
        <v>1421</v>
      </c>
      <c r="AN4512">
        <v>-116.71731200000001</v>
      </c>
      <c r="AO4512">
        <v>25</v>
      </c>
      <c r="AP4512">
        <v>4900</v>
      </c>
      <c r="AQ4512" t="s">
        <v>129</v>
      </c>
      <c r="AR4512">
        <v>-151</v>
      </c>
      <c r="AS4512">
        <v>-87</v>
      </c>
      <c r="AT4512">
        <v>-640</v>
      </c>
      <c r="BB4512">
        <v>1200</v>
      </c>
      <c r="BC4512">
        <v>1</v>
      </c>
      <c r="BD4512" t="str">
        <f t="shared" si="1657"/>
        <v xml:space="preserve">N887QR  </v>
      </c>
      <c r="BE4512">
        <v>1</v>
      </c>
      <c r="BG4512">
        <v>0</v>
      </c>
      <c r="BH4512">
        <v>0</v>
      </c>
      <c r="BI4512">
        <v>0</v>
      </c>
      <c r="BJ4512">
        <v>4525</v>
      </c>
      <c r="BK4512">
        <v>-375</v>
      </c>
      <c r="BL4512" t="s">
        <v>163</v>
      </c>
      <c r="BM4512">
        <v>1</v>
      </c>
      <c r="BN4512">
        <v>1</v>
      </c>
      <c r="BO4512">
        <v>1</v>
      </c>
      <c r="BP4512">
        <v>0</v>
      </c>
      <c r="BS4512">
        <v>0</v>
      </c>
      <c r="BT4512">
        <v>0</v>
      </c>
      <c r="BU4512">
        <v>0</v>
      </c>
      <c r="CE4512" t="str">
        <f t="shared" ref="CE4512:CE4518" si="1668">"19:37:40.267"</f>
        <v>19:37:40.267</v>
      </c>
      <c r="CF4512">
        <v>267242735</v>
      </c>
      <c r="CS4512">
        <v>0</v>
      </c>
      <c r="CT4512">
        <v>2</v>
      </c>
      <c r="CU4512">
        <v>0</v>
      </c>
      <c r="CV4512">
        <v>2</v>
      </c>
      <c r="CW4512">
        <v>0</v>
      </c>
      <c r="CX4512">
        <v>6</v>
      </c>
      <c r="CY4512">
        <v>7</v>
      </c>
      <c r="CZ4512" t="s">
        <v>131</v>
      </c>
      <c r="DA4512">
        <v>286</v>
      </c>
      <c r="DB4512">
        <v>0</v>
      </c>
      <c r="DC4512" t="s">
        <v>132</v>
      </c>
      <c r="DD4512" t="s">
        <v>133</v>
      </c>
      <c r="DG4512">
        <v>916336</v>
      </c>
      <c r="DI4512">
        <v>1</v>
      </c>
      <c r="DJ4512">
        <v>0</v>
      </c>
      <c r="DK4512">
        <v>0</v>
      </c>
      <c r="DL4512">
        <v>0</v>
      </c>
      <c r="DM4512">
        <v>0</v>
      </c>
      <c r="DN4512">
        <v>1</v>
      </c>
      <c r="DO4512">
        <v>0</v>
      </c>
      <c r="DP4512">
        <v>0</v>
      </c>
      <c r="DQ4512">
        <v>0</v>
      </c>
      <c r="DR4512">
        <v>0</v>
      </c>
      <c r="DS4512">
        <v>0</v>
      </c>
    </row>
    <row r="4513" spans="1:123" x14ac:dyDescent="0.3">
      <c r="A4513" t="str">
        <f t="shared" si="1666"/>
        <v>10/04/2022 19:37:40.607</v>
      </c>
      <c r="C4513" t="str">
        <f t="shared" si="1648"/>
        <v>FFDFD3C0</v>
      </c>
      <c r="D4513" t="s">
        <v>143</v>
      </c>
      <c r="E4513">
        <v>20</v>
      </c>
      <c r="F4513">
        <v>1020</v>
      </c>
      <c r="G4513" t="s">
        <v>144</v>
      </c>
      <c r="J4513" t="s">
        <v>145</v>
      </c>
      <c r="K4513">
        <v>0</v>
      </c>
      <c r="L4513">
        <v>3</v>
      </c>
      <c r="M4513">
        <v>0</v>
      </c>
      <c r="N4513">
        <v>2</v>
      </c>
      <c r="O4513">
        <v>0</v>
      </c>
      <c r="P4513">
        <v>1</v>
      </c>
      <c r="Q4513">
        <v>0</v>
      </c>
      <c r="S4513" t="str">
        <f t="shared" si="1667"/>
        <v>19:37:40.000</v>
      </c>
      <c r="T4513" t="str">
        <f t="shared" si="1667"/>
        <v>19:37:40.000</v>
      </c>
      <c r="U4513" t="str">
        <f t="shared" si="1656"/>
        <v>AC3944</v>
      </c>
      <c r="V4513">
        <v>0</v>
      </c>
      <c r="W4513">
        <v>0</v>
      </c>
      <c r="X4513">
        <v>2</v>
      </c>
      <c r="Y4513">
        <v>0</v>
      </c>
      <c r="AA4513">
        <v>1</v>
      </c>
      <c r="AB4513">
        <v>8</v>
      </c>
      <c r="AC4513">
        <v>3</v>
      </c>
      <c r="AD4513">
        <v>0</v>
      </c>
      <c r="AE4513">
        <v>9</v>
      </c>
      <c r="AF4513" t="s">
        <v>138</v>
      </c>
      <c r="AG4513">
        <v>0</v>
      </c>
      <c r="AH4513">
        <v>3</v>
      </c>
      <c r="AI4513">
        <v>1</v>
      </c>
      <c r="AJ4513">
        <v>0</v>
      </c>
      <c r="AK4513" t="s">
        <v>1420</v>
      </c>
      <c r="AL4513">
        <v>32.730888999999998</v>
      </c>
      <c r="AM4513" t="s">
        <v>1421</v>
      </c>
      <c r="AN4513">
        <v>-116.71731200000001</v>
      </c>
      <c r="AO4513">
        <v>25</v>
      </c>
      <c r="AP4513">
        <v>4900</v>
      </c>
      <c r="AQ4513" t="s">
        <v>129</v>
      </c>
      <c r="AR4513">
        <v>-151</v>
      </c>
      <c r="AS4513">
        <v>-87</v>
      </c>
      <c r="AT4513">
        <v>-640</v>
      </c>
      <c r="BB4513">
        <v>1200</v>
      </c>
      <c r="BC4513">
        <v>1</v>
      </c>
      <c r="BD4513" t="str">
        <f t="shared" si="1657"/>
        <v xml:space="preserve">N887QR  </v>
      </c>
      <c r="BE4513">
        <v>1</v>
      </c>
      <c r="BG4513">
        <v>0</v>
      </c>
      <c r="BH4513">
        <v>0</v>
      </c>
      <c r="BI4513">
        <v>0</v>
      </c>
      <c r="BJ4513">
        <v>4525</v>
      </c>
      <c r="BK4513">
        <v>-375</v>
      </c>
      <c r="BL4513" t="s">
        <v>163</v>
      </c>
      <c r="BM4513">
        <v>1</v>
      </c>
      <c r="BN4513">
        <v>1</v>
      </c>
      <c r="BO4513">
        <v>1</v>
      </c>
      <c r="BP4513">
        <v>0</v>
      </c>
      <c r="BS4513">
        <v>0</v>
      </c>
      <c r="BT4513">
        <v>0</v>
      </c>
      <c r="BU4513">
        <v>0</v>
      </c>
      <c r="CE4513" t="str">
        <f t="shared" si="1668"/>
        <v>19:37:40.267</v>
      </c>
      <c r="CF4513">
        <v>267242735</v>
      </c>
      <c r="CS4513">
        <v>0</v>
      </c>
      <c r="CT4513">
        <v>2</v>
      </c>
      <c r="CU4513">
        <v>0</v>
      </c>
      <c r="CV4513">
        <v>2</v>
      </c>
      <c r="CW4513">
        <v>0</v>
      </c>
      <c r="CX4513">
        <v>6</v>
      </c>
      <c r="CY4513">
        <v>7</v>
      </c>
      <c r="CZ4513" t="s">
        <v>131</v>
      </c>
      <c r="DA4513">
        <v>286</v>
      </c>
      <c r="DB4513">
        <v>0</v>
      </c>
      <c r="DC4513" t="s">
        <v>132</v>
      </c>
      <c r="DD4513" t="s">
        <v>133</v>
      </c>
      <c r="DG4513">
        <v>916336</v>
      </c>
      <c r="DI4513">
        <v>1</v>
      </c>
      <c r="DJ4513">
        <v>0</v>
      </c>
      <c r="DK4513">
        <v>1</v>
      </c>
      <c r="DL4513">
        <v>0</v>
      </c>
      <c r="DM4513">
        <v>0</v>
      </c>
      <c r="DN4513">
        <v>1</v>
      </c>
      <c r="DO4513">
        <v>0</v>
      </c>
      <c r="DP4513">
        <v>0</v>
      </c>
      <c r="DQ4513">
        <v>0</v>
      </c>
      <c r="DR4513">
        <v>0</v>
      </c>
      <c r="DS4513">
        <v>0</v>
      </c>
    </row>
    <row r="4514" spans="1:123" x14ac:dyDescent="0.3">
      <c r="A4514" t="str">
        <f t="shared" si="1666"/>
        <v>10/04/2022 19:37:40.607</v>
      </c>
      <c r="C4514" t="str">
        <f t="shared" si="1648"/>
        <v>FFDFD3C0</v>
      </c>
      <c r="D4514" t="s">
        <v>147</v>
      </c>
      <c r="E4514">
        <v>3</v>
      </c>
      <c r="H4514">
        <v>166</v>
      </c>
      <c r="I4514" t="s">
        <v>144</v>
      </c>
      <c r="J4514" t="s">
        <v>148</v>
      </c>
      <c r="K4514">
        <v>0</v>
      </c>
      <c r="L4514">
        <v>3</v>
      </c>
      <c r="M4514">
        <v>0</v>
      </c>
      <c r="N4514">
        <v>2</v>
      </c>
      <c r="O4514">
        <v>0</v>
      </c>
      <c r="P4514">
        <v>1</v>
      </c>
      <c r="Q4514">
        <v>0</v>
      </c>
      <c r="S4514" t="str">
        <f t="shared" si="1667"/>
        <v>19:37:40.000</v>
      </c>
      <c r="T4514" t="str">
        <f t="shared" si="1667"/>
        <v>19:37:40.000</v>
      </c>
      <c r="U4514" t="str">
        <f t="shared" si="1656"/>
        <v>AC3944</v>
      </c>
      <c r="V4514">
        <v>0</v>
      </c>
      <c r="W4514">
        <v>0</v>
      </c>
      <c r="X4514">
        <v>2</v>
      </c>
      <c r="Y4514">
        <v>0</v>
      </c>
      <c r="AA4514">
        <v>1</v>
      </c>
      <c r="AB4514">
        <v>8</v>
      </c>
      <c r="AC4514">
        <v>3</v>
      </c>
      <c r="AD4514">
        <v>0</v>
      </c>
      <c r="AE4514">
        <v>9</v>
      </c>
      <c r="AF4514" t="s">
        <v>138</v>
      </c>
      <c r="AG4514">
        <v>0</v>
      </c>
      <c r="AH4514">
        <v>3</v>
      </c>
      <c r="AI4514">
        <v>1</v>
      </c>
      <c r="AJ4514">
        <v>0</v>
      </c>
      <c r="AK4514" t="s">
        <v>1420</v>
      </c>
      <c r="AL4514">
        <v>32.730888999999998</v>
      </c>
      <c r="AM4514" t="s">
        <v>1421</v>
      </c>
      <c r="AN4514">
        <v>-116.71731200000001</v>
      </c>
      <c r="AO4514">
        <v>25</v>
      </c>
      <c r="AP4514">
        <v>4900</v>
      </c>
      <c r="AQ4514" t="s">
        <v>129</v>
      </c>
      <c r="AR4514">
        <v>-151</v>
      </c>
      <c r="AS4514">
        <v>-87</v>
      </c>
      <c r="AT4514">
        <v>-640</v>
      </c>
      <c r="BB4514">
        <v>1200</v>
      </c>
      <c r="BC4514">
        <v>1</v>
      </c>
      <c r="BD4514" t="str">
        <f t="shared" si="1657"/>
        <v xml:space="preserve">N887QR  </v>
      </c>
      <c r="BE4514">
        <v>1</v>
      </c>
      <c r="BG4514">
        <v>0</v>
      </c>
      <c r="BH4514">
        <v>0</v>
      </c>
      <c r="BI4514">
        <v>0</v>
      </c>
      <c r="BJ4514">
        <v>4525</v>
      </c>
      <c r="BK4514">
        <v>-375</v>
      </c>
      <c r="BL4514" t="s">
        <v>163</v>
      </c>
      <c r="BM4514">
        <v>1</v>
      </c>
      <c r="BN4514">
        <v>1</v>
      </c>
      <c r="BO4514">
        <v>1</v>
      </c>
      <c r="BP4514">
        <v>0</v>
      </c>
      <c r="BS4514">
        <v>0</v>
      </c>
      <c r="BT4514">
        <v>0</v>
      </c>
      <c r="BU4514">
        <v>0</v>
      </c>
      <c r="CE4514" t="str">
        <f t="shared" si="1668"/>
        <v>19:37:40.267</v>
      </c>
      <c r="CF4514">
        <v>267242735</v>
      </c>
      <c r="CS4514">
        <v>0</v>
      </c>
      <c r="CT4514">
        <v>2</v>
      </c>
      <c r="CU4514">
        <v>0</v>
      </c>
      <c r="CV4514">
        <v>2</v>
      </c>
      <c r="CW4514">
        <v>0</v>
      </c>
      <c r="CX4514">
        <v>6</v>
      </c>
      <c r="CY4514">
        <v>7</v>
      </c>
      <c r="CZ4514" t="s">
        <v>131</v>
      </c>
      <c r="DA4514">
        <v>286</v>
      </c>
      <c r="DB4514">
        <v>0</v>
      </c>
      <c r="DC4514" t="s">
        <v>132</v>
      </c>
      <c r="DD4514" t="s">
        <v>133</v>
      </c>
      <c r="DG4514">
        <v>916336</v>
      </c>
      <c r="DI4514">
        <v>1</v>
      </c>
      <c r="DJ4514">
        <v>0</v>
      </c>
      <c r="DK4514">
        <v>1</v>
      </c>
      <c r="DL4514">
        <v>0</v>
      </c>
      <c r="DM4514">
        <v>0</v>
      </c>
      <c r="DN4514">
        <v>1</v>
      </c>
      <c r="DO4514">
        <v>0</v>
      </c>
      <c r="DP4514">
        <v>0</v>
      </c>
      <c r="DQ4514">
        <v>0</v>
      </c>
      <c r="DR4514">
        <v>0</v>
      </c>
      <c r="DS4514">
        <v>0</v>
      </c>
    </row>
    <row r="4515" spans="1:123" x14ac:dyDescent="0.3">
      <c r="A4515" t="str">
        <f t="shared" si="1666"/>
        <v>10/04/2022 19:37:40.607</v>
      </c>
      <c r="C4515" t="str">
        <f t="shared" si="1648"/>
        <v>FFDFD3C0</v>
      </c>
      <c r="D4515" t="s">
        <v>123</v>
      </c>
      <c r="E4515">
        <v>7</v>
      </c>
      <c r="F4515">
        <v>2007</v>
      </c>
      <c r="G4515" t="s">
        <v>124</v>
      </c>
      <c r="J4515" t="s">
        <v>125</v>
      </c>
      <c r="K4515">
        <v>0</v>
      </c>
      <c r="L4515">
        <v>3</v>
      </c>
      <c r="M4515">
        <v>0</v>
      </c>
      <c r="N4515">
        <v>2</v>
      </c>
      <c r="O4515">
        <v>0</v>
      </c>
      <c r="P4515">
        <v>1</v>
      </c>
      <c r="Q4515">
        <v>0</v>
      </c>
      <c r="S4515" t="str">
        <f t="shared" si="1667"/>
        <v>19:37:40.000</v>
      </c>
      <c r="T4515" t="str">
        <f t="shared" si="1667"/>
        <v>19:37:40.000</v>
      </c>
      <c r="U4515" t="str">
        <f t="shared" si="1656"/>
        <v>AC3944</v>
      </c>
      <c r="V4515">
        <v>0</v>
      </c>
      <c r="W4515">
        <v>0</v>
      </c>
      <c r="X4515">
        <v>2</v>
      </c>
      <c r="Y4515">
        <v>0</v>
      </c>
      <c r="AA4515">
        <v>1</v>
      </c>
      <c r="AB4515">
        <v>8</v>
      </c>
      <c r="AC4515">
        <v>3</v>
      </c>
      <c r="AD4515">
        <v>0</v>
      </c>
      <c r="AE4515">
        <v>9</v>
      </c>
      <c r="AF4515" t="s">
        <v>138</v>
      </c>
      <c r="AG4515">
        <v>0</v>
      </c>
      <c r="AH4515">
        <v>3</v>
      </c>
      <c r="AI4515">
        <v>1</v>
      </c>
      <c r="AJ4515">
        <v>0</v>
      </c>
      <c r="AK4515" t="s">
        <v>1420</v>
      </c>
      <c r="AL4515">
        <v>32.730888999999998</v>
      </c>
      <c r="AM4515" t="s">
        <v>1421</v>
      </c>
      <c r="AN4515">
        <v>-116.71731200000001</v>
      </c>
      <c r="AO4515">
        <v>25</v>
      </c>
      <c r="AP4515">
        <v>4900</v>
      </c>
      <c r="AQ4515" t="s">
        <v>129</v>
      </c>
      <c r="AR4515">
        <v>-151</v>
      </c>
      <c r="AS4515">
        <v>-87</v>
      </c>
      <c r="AT4515">
        <v>-640</v>
      </c>
      <c r="BB4515">
        <v>1200</v>
      </c>
      <c r="BC4515">
        <v>1</v>
      </c>
      <c r="BD4515" t="str">
        <f t="shared" si="1657"/>
        <v xml:space="preserve">N887QR  </v>
      </c>
      <c r="BE4515">
        <v>1</v>
      </c>
      <c r="BG4515">
        <v>0</v>
      </c>
      <c r="BH4515">
        <v>0</v>
      </c>
      <c r="BI4515">
        <v>0</v>
      </c>
      <c r="BJ4515">
        <v>4525</v>
      </c>
      <c r="BK4515">
        <v>-375</v>
      </c>
      <c r="BL4515" t="s">
        <v>163</v>
      </c>
      <c r="BM4515">
        <v>1</v>
      </c>
      <c r="BN4515">
        <v>1</v>
      </c>
      <c r="BO4515">
        <v>1</v>
      </c>
      <c r="BP4515">
        <v>0</v>
      </c>
      <c r="BS4515">
        <v>0</v>
      </c>
      <c r="BT4515">
        <v>0</v>
      </c>
      <c r="BU4515">
        <v>0</v>
      </c>
      <c r="CE4515" t="str">
        <f t="shared" si="1668"/>
        <v>19:37:40.267</v>
      </c>
      <c r="CF4515">
        <v>267242735</v>
      </c>
      <c r="CS4515">
        <v>0</v>
      </c>
      <c r="CT4515">
        <v>2</v>
      </c>
      <c r="CU4515">
        <v>0</v>
      </c>
      <c r="CV4515">
        <v>2</v>
      </c>
      <c r="CW4515">
        <v>0</v>
      </c>
      <c r="CX4515">
        <v>6</v>
      </c>
      <c r="CY4515">
        <v>7</v>
      </c>
      <c r="CZ4515" t="s">
        <v>131</v>
      </c>
      <c r="DA4515">
        <v>286</v>
      </c>
      <c r="DB4515">
        <v>0</v>
      </c>
      <c r="DC4515" t="s">
        <v>132</v>
      </c>
      <c r="DD4515" t="s">
        <v>133</v>
      </c>
      <c r="DG4515">
        <v>916336</v>
      </c>
      <c r="DI4515">
        <v>1</v>
      </c>
      <c r="DJ4515">
        <v>0</v>
      </c>
      <c r="DK4515">
        <v>1</v>
      </c>
      <c r="DL4515">
        <v>0</v>
      </c>
      <c r="DM4515">
        <v>0</v>
      </c>
      <c r="DN4515">
        <v>1</v>
      </c>
      <c r="DO4515">
        <v>0</v>
      </c>
      <c r="DP4515">
        <v>0</v>
      </c>
      <c r="DQ4515">
        <v>0</v>
      </c>
      <c r="DR4515">
        <v>0</v>
      </c>
      <c r="DS4515">
        <v>0</v>
      </c>
    </row>
    <row r="4516" spans="1:123" x14ac:dyDescent="0.3">
      <c r="A4516" t="str">
        <f t="shared" si="1666"/>
        <v>10/04/2022 19:37:40.607</v>
      </c>
      <c r="C4516" t="str">
        <f t="shared" si="1648"/>
        <v>FFDFD3C0</v>
      </c>
      <c r="D4516" t="s">
        <v>141</v>
      </c>
      <c r="E4516">
        <v>4</v>
      </c>
      <c r="H4516">
        <v>4</v>
      </c>
      <c r="I4516" t="s">
        <v>142</v>
      </c>
      <c r="J4516" t="s">
        <v>138</v>
      </c>
      <c r="K4516">
        <v>0</v>
      </c>
      <c r="L4516">
        <v>3</v>
      </c>
      <c r="M4516">
        <v>0</v>
      </c>
      <c r="N4516">
        <v>2</v>
      </c>
      <c r="O4516">
        <v>0</v>
      </c>
      <c r="P4516">
        <v>1</v>
      </c>
      <c r="Q4516">
        <v>0</v>
      </c>
      <c r="S4516" t="str">
        <f t="shared" si="1667"/>
        <v>19:37:40.000</v>
      </c>
      <c r="T4516" t="str">
        <f t="shared" si="1667"/>
        <v>19:37:40.000</v>
      </c>
      <c r="U4516" t="str">
        <f t="shared" si="1656"/>
        <v>AC3944</v>
      </c>
      <c r="V4516">
        <v>0</v>
      </c>
      <c r="W4516">
        <v>0</v>
      </c>
      <c r="X4516">
        <v>2</v>
      </c>
      <c r="Y4516">
        <v>0</v>
      </c>
      <c r="AA4516">
        <v>1</v>
      </c>
      <c r="AB4516">
        <v>8</v>
      </c>
      <c r="AC4516">
        <v>3</v>
      </c>
      <c r="AD4516">
        <v>0</v>
      </c>
      <c r="AE4516">
        <v>9</v>
      </c>
      <c r="AF4516" t="s">
        <v>138</v>
      </c>
      <c r="AG4516">
        <v>0</v>
      </c>
      <c r="AH4516">
        <v>3</v>
      </c>
      <c r="AI4516">
        <v>1</v>
      </c>
      <c r="AJ4516">
        <v>0</v>
      </c>
      <c r="AK4516" t="s">
        <v>1420</v>
      </c>
      <c r="AL4516">
        <v>32.730888999999998</v>
      </c>
      <c r="AM4516" t="s">
        <v>1421</v>
      </c>
      <c r="AN4516">
        <v>-116.71731200000001</v>
      </c>
      <c r="AO4516">
        <v>25</v>
      </c>
      <c r="AP4516">
        <v>4900</v>
      </c>
      <c r="AQ4516" t="s">
        <v>129</v>
      </c>
      <c r="AR4516">
        <v>-151</v>
      </c>
      <c r="AS4516">
        <v>-87</v>
      </c>
      <c r="AT4516">
        <v>-640</v>
      </c>
      <c r="BB4516">
        <v>1200</v>
      </c>
      <c r="BC4516">
        <v>1</v>
      </c>
      <c r="BD4516" t="str">
        <f t="shared" si="1657"/>
        <v xml:space="preserve">N887QR  </v>
      </c>
      <c r="BE4516">
        <v>1</v>
      </c>
      <c r="BG4516">
        <v>0</v>
      </c>
      <c r="BH4516">
        <v>0</v>
      </c>
      <c r="BI4516">
        <v>0</v>
      </c>
      <c r="BJ4516">
        <v>4525</v>
      </c>
      <c r="BK4516">
        <v>-375</v>
      </c>
      <c r="BL4516" t="s">
        <v>163</v>
      </c>
      <c r="BM4516">
        <v>1</v>
      </c>
      <c r="BN4516">
        <v>1</v>
      </c>
      <c r="BO4516">
        <v>1</v>
      </c>
      <c r="BP4516">
        <v>0</v>
      </c>
      <c r="BS4516">
        <v>0</v>
      </c>
      <c r="BT4516">
        <v>0</v>
      </c>
      <c r="BU4516">
        <v>0</v>
      </c>
      <c r="CE4516" t="str">
        <f t="shared" si="1668"/>
        <v>19:37:40.267</v>
      </c>
      <c r="CF4516">
        <v>267242735</v>
      </c>
      <c r="CS4516">
        <v>0</v>
      </c>
      <c r="CT4516">
        <v>2</v>
      </c>
      <c r="CU4516">
        <v>0</v>
      </c>
      <c r="CV4516">
        <v>2</v>
      </c>
      <c r="CW4516">
        <v>0</v>
      </c>
      <c r="CX4516">
        <v>6</v>
      </c>
      <c r="CY4516">
        <v>7</v>
      </c>
      <c r="CZ4516" t="s">
        <v>131</v>
      </c>
      <c r="DA4516">
        <v>286</v>
      </c>
      <c r="DB4516">
        <v>0</v>
      </c>
      <c r="DC4516" t="s">
        <v>132</v>
      </c>
      <c r="DD4516" t="s">
        <v>133</v>
      </c>
      <c r="DG4516">
        <v>916336</v>
      </c>
      <c r="DI4516">
        <v>1</v>
      </c>
      <c r="DJ4516">
        <v>0</v>
      </c>
      <c r="DK4516">
        <v>0</v>
      </c>
      <c r="DL4516">
        <v>0</v>
      </c>
      <c r="DM4516">
        <v>0</v>
      </c>
      <c r="DN4516">
        <v>1</v>
      </c>
      <c r="DO4516">
        <v>0</v>
      </c>
      <c r="DP4516">
        <v>0</v>
      </c>
      <c r="DQ4516">
        <v>0</v>
      </c>
      <c r="DR4516">
        <v>0</v>
      </c>
      <c r="DS4516">
        <v>0</v>
      </c>
    </row>
    <row r="4517" spans="1:123" x14ac:dyDescent="0.3">
      <c r="A4517" t="str">
        <f t="shared" si="1666"/>
        <v>10/04/2022 19:37:40.607</v>
      </c>
      <c r="C4517" t="str">
        <f t="shared" si="1648"/>
        <v>FFDFD3C0</v>
      </c>
      <c r="D4517" t="s">
        <v>134</v>
      </c>
      <c r="E4517">
        <v>15</v>
      </c>
      <c r="J4517" t="s">
        <v>135</v>
      </c>
      <c r="K4517">
        <v>0</v>
      </c>
      <c r="L4517">
        <v>3</v>
      </c>
      <c r="M4517">
        <v>0</v>
      </c>
      <c r="N4517">
        <v>2</v>
      </c>
      <c r="O4517">
        <v>0</v>
      </c>
      <c r="P4517">
        <v>1</v>
      </c>
      <c r="Q4517">
        <v>0</v>
      </c>
      <c r="S4517" t="str">
        <f t="shared" si="1667"/>
        <v>19:37:40.000</v>
      </c>
      <c r="T4517" t="str">
        <f t="shared" si="1667"/>
        <v>19:37:40.000</v>
      </c>
      <c r="U4517" t="str">
        <f t="shared" si="1656"/>
        <v>AC3944</v>
      </c>
      <c r="V4517">
        <v>0</v>
      </c>
      <c r="W4517">
        <v>0</v>
      </c>
      <c r="X4517">
        <v>2</v>
      </c>
      <c r="Y4517">
        <v>0</v>
      </c>
      <c r="AA4517">
        <v>1</v>
      </c>
      <c r="AB4517">
        <v>8</v>
      </c>
      <c r="AC4517">
        <v>3</v>
      </c>
      <c r="AD4517">
        <v>0</v>
      </c>
      <c r="AE4517">
        <v>9</v>
      </c>
      <c r="AF4517" t="s">
        <v>138</v>
      </c>
      <c r="AG4517">
        <v>0</v>
      </c>
      <c r="AH4517">
        <v>3</v>
      </c>
      <c r="AI4517">
        <v>1</v>
      </c>
      <c r="AJ4517">
        <v>0</v>
      </c>
      <c r="AK4517" t="s">
        <v>1420</v>
      </c>
      <c r="AL4517">
        <v>32.730888999999998</v>
      </c>
      <c r="AM4517" t="s">
        <v>1421</v>
      </c>
      <c r="AN4517">
        <v>-116.71731200000001</v>
      </c>
      <c r="AO4517">
        <v>25</v>
      </c>
      <c r="AP4517">
        <v>4900</v>
      </c>
      <c r="AQ4517" t="s">
        <v>129</v>
      </c>
      <c r="AR4517">
        <v>-151</v>
      </c>
      <c r="AS4517">
        <v>-87</v>
      </c>
      <c r="AT4517">
        <v>-640</v>
      </c>
      <c r="BB4517">
        <v>1200</v>
      </c>
      <c r="BC4517">
        <v>1</v>
      </c>
      <c r="BD4517" t="str">
        <f t="shared" si="1657"/>
        <v xml:space="preserve">N887QR  </v>
      </c>
      <c r="BE4517">
        <v>1</v>
      </c>
      <c r="BG4517">
        <v>0</v>
      </c>
      <c r="BH4517">
        <v>0</v>
      </c>
      <c r="BI4517">
        <v>0</v>
      </c>
      <c r="BJ4517">
        <v>4525</v>
      </c>
      <c r="BK4517">
        <v>-375</v>
      </c>
      <c r="BL4517" t="s">
        <v>163</v>
      </c>
      <c r="BM4517">
        <v>1</v>
      </c>
      <c r="BN4517">
        <v>1</v>
      </c>
      <c r="BO4517">
        <v>1</v>
      </c>
      <c r="BP4517">
        <v>0</v>
      </c>
      <c r="BS4517">
        <v>0</v>
      </c>
      <c r="BT4517">
        <v>0</v>
      </c>
      <c r="BU4517">
        <v>0</v>
      </c>
      <c r="CE4517" t="str">
        <f t="shared" si="1668"/>
        <v>19:37:40.267</v>
      </c>
      <c r="CF4517">
        <v>267242735</v>
      </c>
      <c r="CS4517">
        <v>0</v>
      </c>
      <c r="CT4517">
        <v>2</v>
      </c>
      <c r="CU4517">
        <v>0</v>
      </c>
      <c r="CV4517">
        <v>2</v>
      </c>
      <c r="CW4517">
        <v>0</v>
      </c>
      <c r="CX4517">
        <v>6</v>
      </c>
      <c r="CY4517">
        <v>7</v>
      </c>
      <c r="CZ4517" t="s">
        <v>131</v>
      </c>
      <c r="DA4517">
        <v>286</v>
      </c>
      <c r="DB4517">
        <v>0</v>
      </c>
      <c r="DC4517" t="s">
        <v>132</v>
      </c>
      <c r="DD4517" t="s">
        <v>133</v>
      </c>
      <c r="DG4517">
        <v>916336</v>
      </c>
      <c r="DI4517">
        <v>1</v>
      </c>
      <c r="DJ4517">
        <v>0</v>
      </c>
      <c r="DK4517">
        <v>1</v>
      </c>
      <c r="DL4517">
        <v>0</v>
      </c>
      <c r="DM4517">
        <v>0</v>
      </c>
      <c r="DN4517">
        <v>1</v>
      </c>
      <c r="DO4517">
        <v>0</v>
      </c>
      <c r="DP4517">
        <v>0</v>
      </c>
      <c r="DQ4517">
        <v>0</v>
      </c>
      <c r="DR4517">
        <v>0</v>
      </c>
      <c r="DS4517">
        <v>0</v>
      </c>
    </row>
    <row r="4518" spans="1:123" x14ac:dyDescent="0.3">
      <c r="A4518" t="str">
        <f t="shared" si="1666"/>
        <v>10/04/2022 19:37:40.607</v>
      </c>
      <c r="C4518" t="str">
        <f t="shared" si="1648"/>
        <v>FFDFD3C0</v>
      </c>
      <c r="D4518" t="s">
        <v>136</v>
      </c>
      <c r="E4518">
        <v>8</v>
      </c>
      <c r="H4518">
        <v>225</v>
      </c>
      <c r="I4518" t="s">
        <v>137</v>
      </c>
      <c r="J4518" t="s">
        <v>138</v>
      </c>
      <c r="K4518">
        <v>0</v>
      </c>
      <c r="L4518">
        <v>3</v>
      </c>
      <c r="M4518">
        <v>0</v>
      </c>
      <c r="N4518">
        <v>2</v>
      </c>
      <c r="O4518">
        <v>0</v>
      </c>
      <c r="P4518">
        <v>1</v>
      </c>
      <c r="Q4518">
        <v>0</v>
      </c>
      <c r="S4518" t="str">
        <f t="shared" si="1667"/>
        <v>19:37:40.000</v>
      </c>
      <c r="T4518" t="str">
        <f t="shared" si="1667"/>
        <v>19:37:40.000</v>
      </c>
      <c r="U4518" t="str">
        <f t="shared" si="1656"/>
        <v>AC3944</v>
      </c>
      <c r="V4518">
        <v>0</v>
      </c>
      <c r="W4518">
        <v>0</v>
      </c>
      <c r="X4518">
        <v>2</v>
      </c>
      <c r="Y4518">
        <v>0</v>
      </c>
      <c r="AA4518">
        <v>1</v>
      </c>
      <c r="AB4518">
        <v>8</v>
      </c>
      <c r="AC4518">
        <v>3</v>
      </c>
      <c r="AD4518">
        <v>0</v>
      </c>
      <c r="AE4518">
        <v>9</v>
      </c>
      <c r="AF4518" t="s">
        <v>138</v>
      </c>
      <c r="AG4518">
        <v>0</v>
      </c>
      <c r="AH4518">
        <v>3</v>
      </c>
      <c r="AI4518">
        <v>1</v>
      </c>
      <c r="AJ4518">
        <v>0</v>
      </c>
      <c r="AK4518" t="s">
        <v>1420</v>
      </c>
      <c r="AL4518">
        <v>32.730888999999998</v>
      </c>
      <c r="AM4518" t="s">
        <v>1421</v>
      </c>
      <c r="AN4518">
        <v>-116.71731200000001</v>
      </c>
      <c r="AO4518">
        <v>25</v>
      </c>
      <c r="AP4518">
        <v>4900</v>
      </c>
      <c r="AQ4518" t="s">
        <v>129</v>
      </c>
      <c r="AR4518">
        <v>-151</v>
      </c>
      <c r="AS4518">
        <v>-87</v>
      </c>
      <c r="AT4518">
        <v>-640</v>
      </c>
      <c r="BB4518">
        <v>1200</v>
      </c>
      <c r="BC4518">
        <v>1</v>
      </c>
      <c r="BD4518" t="str">
        <f t="shared" si="1657"/>
        <v xml:space="preserve">N887QR  </v>
      </c>
      <c r="BE4518">
        <v>1</v>
      </c>
      <c r="BG4518">
        <v>0</v>
      </c>
      <c r="BH4518">
        <v>0</v>
      </c>
      <c r="BI4518">
        <v>0</v>
      </c>
      <c r="BJ4518">
        <v>4525</v>
      </c>
      <c r="BK4518">
        <v>-375</v>
      </c>
      <c r="BL4518" t="s">
        <v>163</v>
      </c>
      <c r="BM4518">
        <v>1</v>
      </c>
      <c r="BN4518">
        <v>1</v>
      </c>
      <c r="BO4518">
        <v>1</v>
      </c>
      <c r="BP4518">
        <v>0</v>
      </c>
      <c r="BS4518">
        <v>0</v>
      </c>
      <c r="BT4518">
        <v>0</v>
      </c>
      <c r="BU4518">
        <v>0</v>
      </c>
      <c r="CE4518" t="str">
        <f t="shared" si="1668"/>
        <v>19:37:40.267</v>
      </c>
      <c r="CF4518">
        <v>267242735</v>
      </c>
      <c r="CS4518">
        <v>0</v>
      </c>
      <c r="CT4518">
        <v>2</v>
      </c>
      <c r="CU4518">
        <v>0</v>
      </c>
      <c r="CV4518">
        <v>2</v>
      </c>
      <c r="CW4518">
        <v>0</v>
      </c>
      <c r="CX4518">
        <v>6</v>
      </c>
      <c r="CY4518">
        <v>7</v>
      </c>
      <c r="CZ4518" t="s">
        <v>131</v>
      </c>
      <c r="DA4518">
        <v>286</v>
      </c>
      <c r="DB4518">
        <v>0</v>
      </c>
      <c r="DC4518" t="s">
        <v>132</v>
      </c>
      <c r="DD4518" t="s">
        <v>133</v>
      </c>
      <c r="DG4518">
        <v>916336</v>
      </c>
      <c r="DI4518">
        <v>1</v>
      </c>
      <c r="DJ4518">
        <v>0</v>
      </c>
      <c r="DK4518">
        <v>1</v>
      </c>
      <c r="DL4518">
        <v>0</v>
      </c>
      <c r="DM4518">
        <v>0</v>
      </c>
      <c r="DN4518">
        <v>1</v>
      </c>
      <c r="DO4518">
        <v>0</v>
      </c>
      <c r="DP4518">
        <v>0</v>
      </c>
      <c r="DQ4518">
        <v>0</v>
      </c>
      <c r="DR4518">
        <v>0</v>
      </c>
      <c r="DS4518">
        <v>0</v>
      </c>
    </row>
    <row r="4519" spans="1:123" x14ac:dyDescent="0.3">
      <c r="A4519" t="str">
        <f>"10/04/2022 19:37:41.542"</f>
        <v>10/04/2022 19:37:41.542</v>
      </c>
      <c r="C4519" t="str">
        <f t="shared" si="1648"/>
        <v>FFDFD3C0</v>
      </c>
      <c r="D4519" t="s">
        <v>147</v>
      </c>
      <c r="E4519">
        <v>3</v>
      </c>
      <c r="H4519">
        <v>166</v>
      </c>
      <c r="I4519" t="s">
        <v>144</v>
      </c>
      <c r="J4519" t="s">
        <v>148</v>
      </c>
      <c r="K4519">
        <v>0</v>
      </c>
      <c r="L4519">
        <v>3</v>
      </c>
      <c r="M4519">
        <v>0</v>
      </c>
      <c r="N4519">
        <v>2</v>
      </c>
      <c r="O4519">
        <v>0</v>
      </c>
      <c r="P4519">
        <v>1</v>
      </c>
      <c r="Q4519">
        <v>0</v>
      </c>
      <c r="S4519" t="str">
        <f t="shared" ref="S4519:T4522" si="1669">"19:37:41.000"</f>
        <v>19:37:41.000</v>
      </c>
      <c r="T4519" t="str">
        <f t="shared" si="1669"/>
        <v>19:37:41.000</v>
      </c>
      <c r="U4519" t="str">
        <f t="shared" si="1656"/>
        <v>AC3944</v>
      </c>
      <c r="V4519">
        <v>0</v>
      </c>
      <c r="W4519">
        <v>0</v>
      </c>
      <c r="X4519">
        <v>2</v>
      </c>
      <c r="Y4519">
        <v>0</v>
      </c>
      <c r="AA4519">
        <v>1</v>
      </c>
      <c r="AB4519">
        <v>8</v>
      </c>
      <c r="AC4519">
        <v>3</v>
      </c>
      <c r="AD4519">
        <v>0</v>
      </c>
      <c r="AE4519">
        <v>9</v>
      </c>
      <c r="AF4519" t="s">
        <v>138</v>
      </c>
      <c r="AG4519">
        <v>0</v>
      </c>
      <c r="AH4519">
        <v>3</v>
      </c>
      <c r="AI4519">
        <v>1</v>
      </c>
      <c r="AJ4519">
        <v>0</v>
      </c>
      <c r="AK4519" t="s">
        <v>1422</v>
      </c>
      <c r="AL4519">
        <v>32.730482000000002</v>
      </c>
      <c r="AM4519" t="s">
        <v>1423</v>
      </c>
      <c r="AN4519">
        <v>-116.718149</v>
      </c>
      <c r="AO4519">
        <v>25</v>
      </c>
      <c r="AP4519">
        <v>4900</v>
      </c>
      <c r="AQ4519" t="s">
        <v>129</v>
      </c>
      <c r="AR4519">
        <v>-151</v>
      </c>
      <c r="AS4519">
        <v>-89</v>
      </c>
      <c r="AT4519">
        <v>-640</v>
      </c>
      <c r="BB4519">
        <v>1200</v>
      </c>
      <c r="BC4519">
        <v>1</v>
      </c>
      <c r="BD4519" t="str">
        <f t="shared" si="1657"/>
        <v xml:space="preserve">N887QR  </v>
      </c>
      <c r="BE4519">
        <v>1</v>
      </c>
      <c r="BG4519">
        <v>0</v>
      </c>
      <c r="BH4519">
        <v>0</v>
      </c>
      <c r="BI4519">
        <v>0</v>
      </c>
      <c r="BJ4519">
        <v>4500</v>
      </c>
      <c r="BK4519">
        <v>-400</v>
      </c>
      <c r="BL4519" t="s">
        <v>163</v>
      </c>
      <c r="BM4519">
        <v>1</v>
      </c>
      <c r="BN4519">
        <v>1</v>
      </c>
      <c r="BO4519">
        <v>1</v>
      </c>
      <c r="BP4519">
        <v>0</v>
      </c>
      <c r="BS4519">
        <v>0</v>
      </c>
      <c r="BT4519">
        <v>0</v>
      </c>
      <c r="BU4519">
        <v>0</v>
      </c>
      <c r="CE4519" t="str">
        <f>"19:37:41.077"</f>
        <v>19:37:41.077</v>
      </c>
      <c r="CF4519">
        <v>76995111</v>
      </c>
      <c r="CS4519">
        <v>0</v>
      </c>
      <c r="CT4519">
        <v>2</v>
      </c>
      <c r="CU4519">
        <v>0</v>
      </c>
      <c r="CV4519">
        <v>2</v>
      </c>
      <c r="CW4519">
        <v>0</v>
      </c>
      <c r="CX4519">
        <v>6</v>
      </c>
      <c r="CY4519">
        <v>7</v>
      </c>
      <c r="CZ4519" t="s">
        <v>131</v>
      </c>
      <c r="DA4519">
        <v>286</v>
      </c>
      <c r="DB4519">
        <v>0</v>
      </c>
      <c r="DC4519" t="s">
        <v>132</v>
      </c>
      <c r="DD4519" t="s">
        <v>133</v>
      </c>
      <c r="DG4519">
        <v>916546</v>
      </c>
      <c r="DI4519">
        <v>1</v>
      </c>
      <c r="DJ4519">
        <v>0</v>
      </c>
      <c r="DK4519">
        <v>0</v>
      </c>
      <c r="DL4519">
        <v>0</v>
      </c>
      <c r="DM4519">
        <v>0</v>
      </c>
      <c r="DN4519">
        <v>1</v>
      </c>
      <c r="DO4519">
        <v>0</v>
      </c>
      <c r="DP4519">
        <v>0</v>
      </c>
      <c r="DQ4519">
        <v>0</v>
      </c>
      <c r="DR4519">
        <v>0</v>
      </c>
      <c r="DS4519">
        <v>0</v>
      </c>
    </row>
    <row r="4520" spans="1:123" x14ac:dyDescent="0.3">
      <c r="A4520" t="str">
        <f>"10/04/2022 19:37:41.542"</f>
        <v>10/04/2022 19:37:41.542</v>
      </c>
      <c r="C4520" t="str">
        <f t="shared" si="1648"/>
        <v>FFDFD3C0</v>
      </c>
      <c r="D4520" t="s">
        <v>143</v>
      </c>
      <c r="E4520">
        <v>20</v>
      </c>
      <c r="F4520">
        <v>1020</v>
      </c>
      <c r="G4520" t="s">
        <v>144</v>
      </c>
      <c r="J4520" t="s">
        <v>145</v>
      </c>
      <c r="K4520">
        <v>0</v>
      </c>
      <c r="L4520">
        <v>3</v>
      </c>
      <c r="M4520">
        <v>0</v>
      </c>
      <c r="N4520">
        <v>2</v>
      </c>
      <c r="O4520">
        <v>0</v>
      </c>
      <c r="P4520">
        <v>1</v>
      </c>
      <c r="Q4520">
        <v>0</v>
      </c>
      <c r="S4520" t="str">
        <f t="shared" si="1669"/>
        <v>19:37:41.000</v>
      </c>
      <c r="T4520" t="str">
        <f t="shared" si="1669"/>
        <v>19:37:41.000</v>
      </c>
      <c r="U4520" t="str">
        <f t="shared" si="1656"/>
        <v>AC3944</v>
      </c>
      <c r="V4520">
        <v>0</v>
      </c>
      <c r="W4520">
        <v>0</v>
      </c>
      <c r="X4520">
        <v>2</v>
      </c>
      <c r="Y4520">
        <v>0</v>
      </c>
      <c r="AA4520">
        <v>1</v>
      </c>
      <c r="AB4520">
        <v>8</v>
      </c>
      <c r="AC4520">
        <v>3</v>
      </c>
      <c r="AD4520">
        <v>0</v>
      </c>
      <c r="AE4520">
        <v>9</v>
      </c>
      <c r="AF4520" t="s">
        <v>138</v>
      </c>
      <c r="AG4520">
        <v>0</v>
      </c>
      <c r="AH4520">
        <v>3</v>
      </c>
      <c r="AI4520">
        <v>1</v>
      </c>
      <c r="AJ4520">
        <v>0</v>
      </c>
      <c r="AK4520" t="s">
        <v>1422</v>
      </c>
      <c r="AL4520">
        <v>32.730482000000002</v>
      </c>
      <c r="AM4520" t="s">
        <v>1423</v>
      </c>
      <c r="AN4520">
        <v>-116.718149</v>
      </c>
      <c r="AO4520">
        <v>25</v>
      </c>
      <c r="AP4520">
        <v>4900</v>
      </c>
      <c r="AQ4520" t="s">
        <v>129</v>
      </c>
      <c r="AR4520">
        <v>-151</v>
      </c>
      <c r="AS4520">
        <v>-89</v>
      </c>
      <c r="AT4520">
        <v>-640</v>
      </c>
      <c r="BB4520">
        <v>1200</v>
      </c>
      <c r="BC4520">
        <v>1</v>
      </c>
      <c r="BD4520" t="str">
        <f t="shared" si="1657"/>
        <v xml:space="preserve">N887QR  </v>
      </c>
      <c r="BE4520">
        <v>1</v>
      </c>
      <c r="BG4520">
        <v>0</v>
      </c>
      <c r="BH4520">
        <v>0</v>
      </c>
      <c r="BI4520">
        <v>0</v>
      </c>
      <c r="BJ4520">
        <v>4500</v>
      </c>
      <c r="BK4520">
        <v>-400</v>
      </c>
      <c r="BL4520" t="s">
        <v>163</v>
      </c>
      <c r="BM4520">
        <v>1</v>
      </c>
      <c r="BN4520">
        <v>1</v>
      </c>
      <c r="BO4520">
        <v>1</v>
      </c>
      <c r="BP4520">
        <v>0</v>
      </c>
      <c r="BS4520">
        <v>0</v>
      </c>
      <c r="BT4520">
        <v>0</v>
      </c>
      <c r="BU4520">
        <v>0</v>
      </c>
      <c r="CE4520" t="str">
        <f>"19:37:41.077"</f>
        <v>19:37:41.077</v>
      </c>
      <c r="CF4520">
        <v>76995111</v>
      </c>
      <c r="CS4520">
        <v>0</v>
      </c>
      <c r="CT4520">
        <v>2</v>
      </c>
      <c r="CU4520">
        <v>0</v>
      </c>
      <c r="CV4520">
        <v>2</v>
      </c>
      <c r="CW4520">
        <v>0</v>
      </c>
      <c r="CX4520">
        <v>6</v>
      </c>
      <c r="CY4520">
        <v>7</v>
      </c>
      <c r="CZ4520" t="s">
        <v>131</v>
      </c>
      <c r="DA4520">
        <v>286</v>
      </c>
      <c r="DB4520">
        <v>0</v>
      </c>
      <c r="DC4520" t="s">
        <v>132</v>
      </c>
      <c r="DD4520" t="s">
        <v>133</v>
      </c>
      <c r="DG4520">
        <v>916546</v>
      </c>
      <c r="DI4520">
        <v>1</v>
      </c>
      <c r="DJ4520">
        <v>0</v>
      </c>
      <c r="DK4520">
        <v>1</v>
      </c>
      <c r="DL4520">
        <v>0</v>
      </c>
      <c r="DM4520">
        <v>0</v>
      </c>
      <c r="DN4520">
        <v>1</v>
      </c>
      <c r="DO4520">
        <v>0</v>
      </c>
      <c r="DP4520">
        <v>0</v>
      </c>
      <c r="DQ4520">
        <v>0</v>
      </c>
      <c r="DR4520">
        <v>0</v>
      </c>
      <c r="DS4520">
        <v>0</v>
      </c>
    </row>
    <row r="4521" spans="1:123" x14ac:dyDescent="0.3">
      <c r="A4521" t="str">
        <f>"10/04/2022 19:37:41.542"</f>
        <v>10/04/2022 19:37:41.542</v>
      </c>
      <c r="C4521" t="str">
        <f t="shared" si="1648"/>
        <v>FFDFD3C0</v>
      </c>
      <c r="D4521" t="s">
        <v>134</v>
      </c>
      <c r="E4521">
        <v>15</v>
      </c>
      <c r="J4521" t="s">
        <v>135</v>
      </c>
      <c r="K4521">
        <v>0</v>
      </c>
      <c r="L4521">
        <v>3</v>
      </c>
      <c r="M4521">
        <v>0</v>
      </c>
      <c r="N4521">
        <v>2</v>
      </c>
      <c r="O4521">
        <v>0</v>
      </c>
      <c r="P4521">
        <v>1</v>
      </c>
      <c r="Q4521">
        <v>0</v>
      </c>
      <c r="S4521" t="str">
        <f t="shared" si="1669"/>
        <v>19:37:41.000</v>
      </c>
      <c r="T4521" t="str">
        <f t="shared" si="1669"/>
        <v>19:37:41.000</v>
      </c>
      <c r="U4521" t="str">
        <f t="shared" si="1656"/>
        <v>AC3944</v>
      </c>
      <c r="V4521">
        <v>0</v>
      </c>
      <c r="W4521">
        <v>0</v>
      </c>
      <c r="X4521">
        <v>2</v>
      </c>
      <c r="Y4521">
        <v>0</v>
      </c>
      <c r="AA4521">
        <v>1</v>
      </c>
      <c r="AB4521">
        <v>8</v>
      </c>
      <c r="AC4521">
        <v>3</v>
      </c>
      <c r="AD4521">
        <v>0</v>
      </c>
      <c r="AE4521">
        <v>9</v>
      </c>
      <c r="AF4521" t="s">
        <v>138</v>
      </c>
      <c r="AG4521">
        <v>0</v>
      </c>
      <c r="AH4521">
        <v>3</v>
      </c>
      <c r="AI4521">
        <v>1</v>
      </c>
      <c r="AJ4521">
        <v>0</v>
      </c>
      <c r="AK4521" t="s">
        <v>1422</v>
      </c>
      <c r="AL4521">
        <v>32.730482000000002</v>
      </c>
      <c r="AM4521" t="s">
        <v>1423</v>
      </c>
      <c r="AN4521">
        <v>-116.718149</v>
      </c>
      <c r="AO4521">
        <v>25</v>
      </c>
      <c r="AP4521">
        <v>4900</v>
      </c>
      <c r="AQ4521" t="s">
        <v>129</v>
      </c>
      <c r="AR4521">
        <v>-151</v>
      </c>
      <c r="AS4521">
        <v>-89</v>
      </c>
      <c r="AT4521">
        <v>-640</v>
      </c>
      <c r="BB4521">
        <v>1200</v>
      </c>
      <c r="BC4521">
        <v>1</v>
      </c>
      <c r="BD4521" t="str">
        <f t="shared" si="1657"/>
        <v xml:space="preserve">N887QR  </v>
      </c>
      <c r="BE4521">
        <v>1</v>
      </c>
      <c r="BG4521">
        <v>0</v>
      </c>
      <c r="BH4521">
        <v>0</v>
      </c>
      <c r="BI4521">
        <v>0</v>
      </c>
      <c r="BJ4521">
        <v>4500</v>
      </c>
      <c r="BK4521">
        <v>-400</v>
      </c>
      <c r="BL4521" t="s">
        <v>163</v>
      </c>
      <c r="BM4521">
        <v>1</v>
      </c>
      <c r="BN4521">
        <v>1</v>
      </c>
      <c r="BO4521">
        <v>1</v>
      </c>
      <c r="BP4521">
        <v>0</v>
      </c>
      <c r="BS4521">
        <v>0</v>
      </c>
      <c r="BT4521">
        <v>0</v>
      </c>
      <c r="BU4521">
        <v>0</v>
      </c>
      <c r="CE4521" t="str">
        <f>"19:37:41.077"</f>
        <v>19:37:41.077</v>
      </c>
      <c r="CF4521">
        <v>76995111</v>
      </c>
      <c r="CS4521">
        <v>0</v>
      </c>
      <c r="CT4521">
        <v>2</v>
      </c>
      <c r="CU4521">
        <v>0</v>
      </c>
      <c r="CV4521">
        <v>2</v>
      </c>
      <c r="CW4521">
        <v>0</v>
      </c>
      <c r="CX4521">
        <v>6</v>
      </c>
      <c r="CY4521">
        <v>7</v>
      </c>
      <c r="CZ4521" t="s">
        <v>131</v>
      </c>
      <c r="DA4521">
        <v>286</v>
      </c>
      <c r="DB4521">
        <v>0</v>
      </c>
      <c r="DC4521" t="s">
        <v>132</v>
      </c>
      <c r="DD4521" t="s">
        <v>133</v>
      </c>
      <c r="DG4521">
        <v>916546</v>
      </c>
      <c r="DI4521">
        <v>1</v>
      </c>
      <c r="DJ4521">
        <v>0</v>
      </c>
      <c r="DK4521">
        <v>1</v>
      </c>
      <c r="DL4521">
        <v>0</v>
      </c>
      <c r="DM4521">
        <v>0</v>
      </c>
      <c r="DN4521">
        <v>1</v>
      </c>
      <c r="DO4521">
        <v>0</v>
      </c>
      <c r="DP4521">
        <v>0</v>
      </c>
      <c r="DQ4521">
        <v>0</v>
      </c>
      <c r="DR4521">
        <v>0</v>
      </c>
      <c r="DS4521">
        <v>0</v>
      </c>
    </row>
    <row r="4522" spans="1:123" x14ac:dyDescent="0.3">
      <c r="A4522" t="str">
        <f>"10/04/2022 19:37:41.542"</f>
        <v>10/04/2022 19:37:41.542</v>
      </c>
      <c r="C4522" t="str">
        <f t="shared" si="1648"/>
        <v>FFDFD3C0</v>
      </c>
      <c r="D4522" t="s">
        <v>136</v>
      </c>
      <c r="E4522">
        <v>8</v>
      </c>
      <c r="H4522">
        <v>225</v>
      </c>
      <c r="I4522" t="s">
        <v>137</v>
      </c>
      <c r="J4522" t="s">
        <v>138</v>
      </c>
      <c r="K4522">
        <v>0</v>
      </c>
      <c r="L4522">
        <v>3</v>
      </c>
      <c r="M4522">
        <v>0</v>
      </c>
      <c r="N4522">
        <v>2</v>
      </c>
      <c r="O4522">
        <v>0</v>
      </c>
      <c r="P4522">
        <v>1</v>
      </c>
      <c r="Q4522">
        <v>0</v>
      </c>
      <c r="S4522" t="str">
        <f t="shared" si="1669"/>
        <v>19:37:41.000</v>
      </c>
      <c r="T4522" t="str">
        <f t="shared" si="1669"/>
        <v>19:37:41.000</v>
      </c>
      <c r="U4522" t="str">
        <f t="shared" si="1656"/>
        <v>AC3944</v>
      </c>
      <c r="V4522">
        <v>0</v>
      </c>
      <c r="W4522">
        <v>0</v>
      </c>
      <c r="X4522">
        <v>2</v>
      </c>
      <c r="Y4522">
        <v>0</v>
      </c>
      <c r="AA4522">
        <v>1</v>
      </c>
      <c r="AB4522">
        <v>8</v>
      </c>
      <c r="AC4522">
        <v>3</v>
      </c>
      <c r="AD4522">
        <v>0</v>
      </c>
      <c r="AE4522">
        <v>9</v>
      </c>
      <c r="AF4522" t="s">
        <v>138</v>
      </c>
      <c r="AG4522">
        <v>0</v>
      </c>
      <c r="AH4522">
        <v>3</v>
      </c>
      <c r="AI4522">
        <v>1</v>
      </c>
      <c r="AJ4522">
        <v>0</v>
      </c>
      <c r="AK4522" t="s">
        <v>1422</v>
      </c>
      <c r="AL4522">
        <v>32.730482000000002</v>
      </c>
      <c r="AM4522" t="s">
        <v>1423</v>
      </c>
      <c r="AN4522">
        <v>-116.718149</v>
      </c>
      <c r="AO4522">
        <v>25</v>
      </c>
      <c r="AP4522">
        <v>4900</v>
      </c>
      <c r="AQ4522" t="s">
        <v>129</v>
      </c>
      <c r="AR4522">
        <v>-151</v>
      </c>
      <c r="AS4522">
        <v>-89</v>
      </c>
      <c r="AT4522">
        <v>-640</v>
      </c>
      <c r="BB4522">
        <v>1200</v>
      </c>
      <c r="BC4522">
        <v>1</v>
      </c>
      <c r="BD4522" t="str">
        <f t="shared" si="1657"/>
        <v xml:space="preserve">N887QR  </v>
      </c>
      <c r="BE4522">
        <v>1</v>
      </c>
      <c r="BG4522">
        <v>0</v>
      </c>
      <c r="BH4522">
        <v>0</v>
      </c>
      <c r="BI4522">
        <v>0</v>
      </c>
      <c r="BJ4522">
        <v>4500</v>
      </c>
      <c r="BK4522">
        <v>-400</v>
      </c>
      <c r="BL4522" t="s">
        <v>163</v>
      </c>
      <c r="BM4522">
        <v>1</v>
      </c>
      <c r="BN4522">
        <v>1</v>
      </c>
      <c r="BO4522">
        <v>1</v>
      </c>
      <c r="BP4522">
        <v>0</v>
      </c>
      <c r="BS4522">
        <v>0</v>
      </c>
      <c r="BT4522">
        <v>0</v>
      </c>
      <c r="BU4522">
        <v>0</v>
      </c>
      <c r="CE4522" t="str">
        <f>"19:37:41.077"</f>
        <v>19:37:41.077</v>
      </c>
      <c r="CF4522">
        <v>76995111</v>
      </c>
      <c r="CS4522">
        <v>0</v>
      </c>
      <c r="CT4522">
        <v>2</v>
      </c>
      <c r="CU4522">
        <v>0</v>
      </c>
      <c r="CV4522">
        <v>2</v>
      </c>
      <c r="CW4522">
        <v>0</v>
      </c>
      <c r="CX4522">
        <v>6</v>
      </c>
      <c r="CY4522">
        <v>7</v>
      </c>
      <c r="CZ4522" t="s">
        <v>131</v>
      </c>
      <c r="DA4522">
        <v>286</v>
      </c>
      <c r="DB4522">
        <v>0</v>
      </c>
      <c r="DC4522" t="s">
        <v>132</v>
      </c>
      <c r="DD4522" t="s">
        <v>133</v>
      </c>
      <c r="DG4522">
        <v>916546</v>
      </c>
      <c r="DI4522">
        <v>1</v>
      </c>
      <c r="DJ4522">
        <v>0</v>
      </c>
      <c r="DK4522">
        <v>1</v>
      </c>
      <c r="DL4522">
        <v>0</v>
      </c>
      <c r="DM4522">
        <v>0</v>
      </c>
      <c r="DN4522">
        <v>1</v>
      </c>
      <c r="DO4522">
        <v>0</v>
      </c>
      <c r="DP4522">
        <v>0</v>
      </c>
      <c r="DQ4522">
        <v>0</v>
      </c>
      <c r="DR4522">
        <v>0</v>
      </c>
      <c r="DS4522">
        <v>0</v>
      </c>
    </row>
    <row r="4523" spans="1:123" x14ac:dyDescent="0.3">
      <c r="A4523" t="str">
        <f t="shared" ref="A4523:A4529" si="1670">"10/04/2022 19:37:42.558"</f>
        <v>10/04/2022 19:37:42.558</v>
      </c>
      <c r="C4523" t="str">
        <f t="shared" ref="C4523:C4586" si="1671">"FFDFD3C0"</f>
        <v>FFDFD3C0</v>
      </c>
      <c r="D4523" t="s">
        <v>143</v>
      </c>
      <c r="E4523">
        <v>20</v>
      </c>
      <c r="F4523">
        <v>1020</v>
      </c>
      <c r="G4523" t="s">
        <v>144</v>
      </c>
      <c r="J4523" t="s">
        <v>145</v>
      </c>
      <c r="K4523">
        <v>0</v>
      </c>
      <c r="L4523">
        <v>3</v>
      </c>
      <c r="M4523">
        <v>0</v>
      </c>
      <c r="N4523">
        <v>2</v>
      </c>
      <c r="O4523">
        <v>0</v>
      </c>
      <c r="P4523">
        <v>1</v>
      </c>
      <c r="Q4523">
        <v>0</v>
      </c>
      <c r="S4523" t="str">
        <f t="shared" ref="S4523:T4529" si="1672">"19:37:42.000"</f>
        <v>19:37:42.000</v>
      </c>
      <c r="T4523" t="str">
        <f t="shared" si="1672"/>
        <v>19:37:42.000</v>
      </c>
      <c r="U4523" t="str">
        <f t="shared" si="1656"/>
        <v>AC3944</v>
      </c>
      <c r="V4523">
        <v>0</v>
      </c>
      <c r="W4523">
        <v>0</v>
      </c>
      <c r="X4523">
        <v>2</v>
      </c>
      <c r="Y4523">
        <v>0</v>
      </c>
      <c r="AA4523">
        <v>1</v>
      </c>
      <c r="AB4523">
        <v>8</v>
      </c>
      <c r="AC4523">
        <v>3</v>
      </c>
      <c r="AD4523">
        <v>0</v>
      </c>
      <c r="AE4523">
        <v>9</v>
      </c>
      <c r="AF4523" t="s">
        <v>138</v>
      </c>
      <c r="AG4523">
        <v>0</v>
      </c>
      <c r="AH4523">
        <v>3</v>
      </c>
      <c r="AI4523">
        <v>1</v>
      </c>
      <c r="AJ4523">
        <v>0</v>
      </c>
      <c r="AK4523" t="s">
        <v>1424</v>
      </c>
      <c r="AL4523">
        <v>32.730074000000002</v>
      </c>
      <c r="AM4523" t="s">
        <v>1425</v>
      </c>
      <c r="AN4523">
        <v>-116.718965</v>
      </c>
      <c r="AO4523">
        <v>25</v>
      </c>
      <c r="AP4523">
        <v>4900</v>
      </c>
      <c r="AQ4523" t="s">
        <v>129</v>
      </c>
      <c r="AR4523">
        <v>-150</v>
      </c>
      <c r="AS4523">
        <v>-92</v>
      </c>
      <c r="AT4523">
        <v>-640</v>
      </c>
      <c r="BB4523">
        <v>1200</v>
      </c>
      <c r="BC4523">
        <v>1</v>
      </c>
      <c r="BD4523" t="str">
        <f t="shared" si="1657"/>
        <v xml:space="preserve">N887QR  </v>
      </c>
      <c r="BE4523">
        <v>1</v>
      </c>
      <c r="BG4523">
        <v>0</v>
      </c>
      <c r="BH4523">
        <v>0</v>
      </c>
      <c r="BI4523">
        <v>0</v>
      </c>
      <c r="BJ4523">
        <v>4500</v>
      </c>
      <c r="BK4523">
        <v>-400</v>
      </c>
      <c r="BL4523" t="s">
        <v>163</v>
      </c>
      <c r="BM4523">
        <v>1</v>
      </c>
      <c r="BN4523">
        <v>1</v>
      </c>
      <c r="BO4523">
        <v>1</v>
      </c>
      <c r="BP4523">
        <v>0</v>
      </c>
      <c r="BS4523">
        <v>0</v>
      </c>
      <c r="BT4523">
        <v>0</v>
      </c>
      <c r="BU4523">
        <v>0</v>
      </c>
      <c r="CE4523" t="str">
        <f t="shared" ref="CE4523:CE4529" si="1673">"19:37:42.298"</f>
        <v>19:37:42.298</v>
      </c>
      <c r="CF4523">
        <v>298498689</v>
      </c>
      <c r="CS4523">
        <v>0</v>
      </c>
      <c r="CT4523">
        <v>2</v>
      </c>
      <c r="CU4523">
        <v>0</v>
      </c>
      <c r="CV4523">
        <v>2</v>
      </c>
      <c r="CW4523">
        <v>3</v>
      </c>
      <c r="CX4523">
        <v>6</v>
      </c>
      <c r="CY4523">
        <v>7</v>
      </c>
      <c r="CZ4523" t="s">
        <v>131</v>
      </c>
      <c r="DA4523">
        <v>286</v>
      </c>
      <c r="DB4523">
        <v>0</v>
      </c>
      <c r="DC4523" t="s">
        <v>132</v>
      </c>
      <c r="DD4523" t="s">
        <v>133</v>
      </c>
      <c r="DG4523">
        <v>916811</v>
      </c>
      <c r="DI4523">
        <v>1</v>
      </c>
      <c r="DJ4523">
        <v>0</v>
      </c>
      <c r="DK4523">
        <v>0</v>
      </c>
      <c r="DL4523">
        <v>0</v>
      </c>
      <c r="DM4523">
        <v>0</v>
      </c>
      <c r="DN4523">
        <v>1</v>
      </c>
      <c r="DO4523">
        <v>0</v>
      </c>
      <c r="DP4523">
        <v>0</v>
      </c>
      <c r="DQ4523">
        <v>0</v>
      </c>
      <c r="DR4523">
        <v>0</v>
      </c>
      <c r="DS4523">
        <v>0</v>
      </c>
    </row>
    <row r="4524" spans="1:123" x14ac:dyDescent="0.3">
      <c r="A4524" t="str">
        <f t="shared" si="1670"/>
        <v>10/04/2022 19:37:42.558</v>
      </c>
      <c r="C4524" t="str">
        <f t="shared" si="1671"/>
        <v>FFDFD3C0</v>
      </c>
      <c r="D4524" t="s">
        <v>141</v>
      </c>
      <c r="E4524">
        <v>3</v>
      </c>
      <c r="H4524">
        <v>3</v>
      </c>
      <c r="I4524" t="s">
        <v>146</v>
      </c>
      <c r="J4524" t="s">
        <v>138</v>
      </c>
      <c r="K4524">
        <v>0</v>
      </c>
      <c r="L4524">
        <v>3</v>
      </c>
      <c r="M4524">
        <v>0</v>
      </c>
      <c r="N4524">
        <v>2</v>
      </c>
      <c r="O4524">
        <v>0</v>
      </c>
      <c r="P4524">
        <v>1</v>
      </c>
      <c r="Q4524">
        <v>0</v>
      </c>
      <c r="S4524" t="str">
        <f t="shared" si="1672"/>
        <v>19:37:42.000</v>
      </c>
      <c r="T4524" t="str">
        <f t="shared" si="1672"/>
        <v>19:37:42.000</v>
      </c>
      <c r="U4524" t="str">
        <f t="shared" si="1656"/>
        <v>AC3944</v>
      </c>
      <c r="V4524">
        <v>0</v>
      </c>
      <c r="W4524">
        <v>0</v>
      </c>
      <c r="X4524">
        <v>2</v>
      </c>
      <c r="Y4524">
        <v>0</v>
      </c>
      <c r="AA4524">
        <v>1</v>
      </c>
      <c r="AB4524">
        <v>8</v>
      </c>
      <c r="AC4524">
        <v>3</v>
      </c>
      <c r="AD4524">
        <v>0</v>
      </c>
      <c r="AE4524">
        <v>9</v>
      </c>
      <c r="AF4524" t="s">
        <v>138</v>
      </c>
      <c r="AG4524">
        <v>0</v>
      </c>
      <c r="AH4524">
        <v>3</v>
      </c>
      <c r="AI4524">
        <v>1</v>
      </c>
      <c r="AJ4524">
        <v>0</v>
      </c>
      <c r="AK4524" t="s">
        <v>1424</v>
      </c>
      <c r="AL4524">
        <v>32.730074000000002</v>
      </c>
      <c r="AM4524" t="s">
        <v>1425</v>
      </c>
      <c r="AN4524">
        <v>-116.718965</v>
      </c>
      <c r="AO4524">
        <v>25</v>
      </c>
      <c r="AP4524">
        <v>4900</v>
      </c>
      <c r="AQ4524" t="s">
        <v>129</v>
      </c>
      <c r="AR4524">
        <v>-150</v>
      </c>
      <c r="AS4524">
        <v>-92</v>
      </c>
      <c r="AT4524">
        <v>-640</v>
      </c>
      <c r="BB4524">
        <v>1200</v>
      </c>
      <c r="BC4524">
        <v>1</v>
      </c>
      <c r="BD4524" t="str">
        <f t="shared" si="1657"/>
        <v xml:space="preserve">N887QR  </v>
      </c>
      <c r="BE4524">
        <v>1</v>
      </c>
      <c r="BG4524">
        <v>0</v>
      </c>
      <c r="BH4524">
        <v>0</v>
      </c>
      <c r="BI4524">
        <v>0</v>
      </c>
      <c r="BJ4524">
        <v>4500</v>
      </c>
      <c r="BK4524">
        <v>-400</v>
      </c>
      <c r="BL4524" t="s">
        <v>163</v>
      </c>
      <c r="BM4524">
        <v>1</v>
      </c>
      <c r="BN4524">
        <v>1</v>
      </c>
      <c r="BO4524">
        <v>1</v>
      </c>
      <c r="BP4524">
        <v>0</v>
      </c>
      <c r="BS4524">
        <v>0</v>
      </c>
      <c r="BT4524">
        <v>0</v>
      </c>
      <c r="BU4524">
        <v>0</v>
      </c>
      <c r="CE4524" t="str">
        <f t="shared" si="1673"/>
        <v>19:37:42.298</v>
      </c>
      <c r="CF4524">
        <v>298498689</v>
      </c>
      <c r="CS4524">
        <v>0</v>
      </c>
      <c r="CT4524">
        <v>2</v>
      </c>
      <c r="CU4524">
        <v>0</v>
      </c>
      <c r="CV4524">
        <v>2</v>
      </c>
      <c r="CW4524">
        <v>3</v>
      </c>
      <c r="CX4524">
        <v>6</v>
      </c>
      <c r="CY4524">
        <v>7</v>
      </c>
      <c r="CZ4524" t="s">
        <v>131</v>
      </c>
      <c r="DA4524">
        <v>286</v>
      </c>
      <c r="DB4524">
        <v>0</v>
      </c>
      <c r="DC4524" t="s">
        <v>132</v>
      </c>
      <c r="DD4524" t="s">
        <v>133</v>
      </c>
      <c r="DG4524">
        <v>916811</v>
      </c>
      <c r="DI4524">
        <v>1</v>
      </c>
      <c r="DJ4524">
        <v>0</v>
      </c>
      <c r="DK4524">
        <v>1</v>
      </c>
      <c r="DL4524">
        <v>0</v>
      </c>
      <c r="DM4524">
        <v>0</v>
      </c>
      <c r="DN4524">
        <v>1</v>
      </c>
      <c r="DO4524">
        <v>0</v>
      </c>
      <c r="DP4524">
        <v>0</v>
      </c>
      <c r="DQ4524">
        <v>0</v>
      </c>
      <c r="DR4524">
        <v>0</v>
      </c>
      <c r="DS4524">
        <v>0</v>
      </c>
    </row>
    <row r="4525" spans="1:123" x14ac:dyDescent="0.3">
      <c r="A4525" t="str">
        <f t="shared" si="1670"/>
        <v>10/04/2022 19:37:42.558</v>
      </c>
      <c r="C4525" t="str">
        <f t="shared" si="1671"/>
        <v>FFDFD3C0</v>
      </c>
      <c r="D4525" t="s">
        <v>141</v>
      </c>
      <c r="E4525">
        <v>4</v>
      </c>
      <c r="H4525">
        <v>4</v>
      </c>
      <c r="I4525" t="s">
        <v>142</v>
      </c>
      <c r="J4525" t="s">
        <v>138</v>
      </c>
      <c r="K4525">
        <v>0</v>
      </c>
      <c r="L4525">
        <v>3</v>
      </c>
      <c r="M4525">
        <v>0</v>
      </c>
      <c r="N4525">
        <v>2</v>
      </c>
      <c r="O4525">
        <v>0</v>
      </c>
      <c r="P4525">
        <v>1</v>
      </c>
      <c r="Q4525">
        <v>0</v>
      </c>
      <c r="S4525" t="str">
        <f t="shared" si="1672"/>
        <v>19:37:42.000</v>
      </c>
      <c r="T4525" t="str">
        <f t="shared" si="1672"/>
        <v>19:37:42.000</v>
      </c>
      <c r="U4525" t="str">
        <f t="shared" si="1656"/>
        <v>AC3944</v>
      </c>
      <c r="V4525">
        <v>0</v>
      </c>
      <c r="W4525">
        <v>0</v>
      </c>
      <c r="X4525">
        <v>2</v>
      </c>
      <c r="Y4525">
        <v>0</v>
      </c>
      <c r="AA4525">
        <v>1</v>
      </c>
      <c r="AB4525">
        <v>8</v>
      </c>
      <c r="AC4525">
        <v>3</v>
      </c>
      <c r="AD4525">
        <v>0</v>
      </c>
      <c r="AE4525">
        <v>9</v>
      </c>
      <c r="AF4525" t="s">
        <v>138</v>
      </c>
      <c r="AG4525">
        <v>0</v>
      </c>
      <c r="AH4525">
        <v>3</v>
      </c>
      <c r="AI4525">
        <v>1</v>
      </c>
      <c r="AJ4525">
        <v>0</v>
      </c>
      <c r="AK4525" t="s">
        <v>1424</v>
      </c>
      <c r="AL4525">
        <v>32.730074000000002</v>
      </c>
      <c r="AM4525" t="s">
        <v>1425</v>
      </c>
      <c r="AN4525">
        <v>-116.718965</v>
      </c>
      <c r="AO4525">
        <v>25</v>
      </c>
      <c r="AP4525">
        <v>4900</v>
      </c>
      <c r="AQ4525" t="s">
        <v>129</v>
      </c>
      <c r="AR4525">
        <v>-150</v>
      </c>
      <c r="AS4525">
        <v>-92</v>
      </c>
      <c r="AT4525">
        <v>-640</v>
      </c>
      <c r="BB4525">
        <v>1200</v>
      </c>
      <c r="BC4525">
        <v>1</v>
      </c>
      <c r="BD4525" t="str">
        <f t="shared" si="1657"/>
        <v xml:space="preserve">N887QR  </v>
      </c>
      <c r="BE4525">
        <v>1</v>
      </c>
      <c r="BG4525">
        <v>0</v>
      </c>
      <c r="BH4525">
        <v>0</v>
      </c>
      <c r="BI4525">
        <v>0</v>
      </c>
      <c r="BJ4525">
        <v>4500</v>
      </c>
      <c r="BK4525">
        <v>-400</v>
      </c>
      <c r="BL4525" t="s">
        <v>163</v>
      </c>
      <c r="BM4525">
        <v>1</v>
      </c>
      <c r="BN4525">
        <v>1</v>
      </c>
      <c r="BO4525">
        <v>1</v>
      </c>
      <c r="BP4525">
        <v>0</v>
      </c>
      <c r="BS4525">
        <v>0</v>
      </c>
      <c r="BT4525">
        <v>0</v>
      </c>
      <c r="BU4525">
        <v>0</v>
      </c>
      <c r="CE4525" t="str">
        <f t="shared" si="1673"/>
        <v>19:37:42.298</v>
      </c>
      <c r="CF4525">
        <v>298498689</v>
      </c>
      <c r="CS4525">
        <v>0</v>
      </c>
      <c r="CT4525">
        <v>2</v>
      </c>
      <c r="CU4525">
        <v>0</v>
      </c>
      <c r="CV4525">
        <v>2</v>
      </c>
      <c r="CW4525">
        <v>3</v>
      </c>
      <c r="CX4525">
        <v>6</v>
      </c>
      <c r="CY4525">
        <v>7</v>
      </c>
      <c r="CZ4525" t="s">
        <v>131</v>
      </c>
      <c r="DA4525">
        <v>286</v>
      </c>
      <c r="DB4525">
        <v>0</v>
      </c>
      <c r="DC4525" t="s">
        <v>132</v>
      </c>
      <c r="DD4525" t="s">
        <v>133</v>
      </c>
      <c r="DG4525">
        <v>916811</v>
      </c>
      <c r="DI4525">
        <v>1</v>
      </c>
      <c r="DJ4525">
        <v>0</v>
      </c>
      <c r="DK4525">
        <v>1</v>
      </c>
      <c r="DL4525">
        <v>0</v>
      </c>
      <c r="DM4525">
        <v>0</v>
      </c>
      <c r="DN4525">
        <v>1</v>
      </c>
      <c r="DO4525">
        <v>0</v>
      </c>
      <c r="DP4525">
        <v>0</v>
      </c>
      <c r="DQ4525">
        <v>0</v>
      </c>
      <c r="DR4525">
        <v>0</v>
      </c>
      <c r="DS4525">
        <v>0</v>
      </c>
    </row>
    <row r="4526" spans="1:123" x14ac:dyDescent="0.3">
      <c r="A4526" t="str">
        <f t="shared" si="1670"/>
        <v>10/04/2022 19:37:42.558</v>
      </c>
      <c r="C4526" t="str">
        <f t="shared" si="1671"/>
        <v>FFDFD3C0</v>
      </c>
      <c r="D4526" t="s">
        <v>123</v>
      </c>
      <c r="E4526">
        <v>7</v>
      </c>
      <c r="F4526">
        <v>2007</v>
      </c>
      <c r="G4526" t="s">
        <v>124</v>
      </c>
      <c r="J4526" t="s">
        <v>125</v>
      </c>
      <c r="K4526">
        <v>0</v>
      </c>
      <c r="L4526">
        <v>3</v>
      </c>
      <c r="M4526">
        <v>0</v>
      </c>
      <c r="N4526">
        <v>2</v>
      </c>
      <c r="O4526">
        <v>0</v>
      </c>
      <c r="P4526">
        <v>1</v>
      </c>
      <c r="Q4526">
        <v>0</v>
      </c>
      <c r="S4526" t="str">
        <f t="shared" si="1672"/>
        <v>19:37:42.000</v>
      </c>
      <c r="T4526" t="str">
        <f t="shared" si="1672"/>
        <v>19:37:42.000</v>
      </c>
      <c r="U4526" t="str">
        <f t="shared" si="1656"/>
        <v>AC3944</v>
      </c>
      <c r="V4526">
        <v>0</v>
      </c>
      <c r="W4526">
        <v>0</v>
      </c>
      <c r="X4526">
        <v>2</v>
      </c>
      <c r="Y4526">
        <v>0</v>
      </c>
      <c r="AA4526">
        <v>1</v>
      </c>
      <c r="AB4526">
        <v>8</v>
      </c>
      <c r="AC4526">
        <v>3</v>
      </c>
      <c r="AD4526">
        <v>0</v>
      </c>
      <c r="AE4526">
        <v>9</v>
      </c>
      <c r="AF4526" t="s">
        <v>138</v>
      </c>
      <c r="AG4526">
        <v>0</v>
      </c>
      <c r="AH4526">
        <v>3</v>
      </c>
      <c r="AI4526">
        <v>1</v>
      </c>
      <c r="AJ4526">
        <v>0</v>
      </c>
      <c r="AK4526" t="s">
        <v>1424</v>
      </c>
      <c r="AL4526">
        <v>32.730074000000002</v>
      </c>
      <c r="AM4526" t="s">
        <v>1425</v>
      </c>
      <c r="AN4526">
        <v>-116.718965</v>
      </c>
      <c r="AO4526">
        <v>25</v>
      </c>
      <c r="AP4526">
        <v>4900</v>
      </c>
      <c r="AQ4526" t="s">
        <v>129</v>
      </c>
      <c r="AR4526">
        <v>-150</v>
      </c>
      <c r="AS4526">
        <v>-92</v>
      </c>
      <c r="AT4526">
        <v>-640</v>
      </c>
      <c r="BB4526">
        <v>1200</v>
      </c>
      <c r="BC4526">
        <v>1</v>
      </c>
      <c r="BD4526" t="str">
        <f t="shared" si="1657"/>
        <v xml:space="preserve">N887QR  </v>
      </c>
      <c r="BE4526">
        <v>1</v>
      </c>
      <c r="BG4526">
        <v>0</v>
      </c>
      <c r="BH4526">
        <v>0</v>
      </c>
      <c r="BI4526">
        <v>0</v>
      </c>
      <c r="BJ4526">
        <v>4500</v>
      </c>
      <c r="BK4526">
        <v>-400</v>
      </c>
      <c r="BL4526" t="s">
        <v>163</v>
      </c>
      <c r="BM4526">
        <v>1</v>
      </c>
      <c r="BN4526">
        <v>1</v>
      </c>
      <c r="BO4526">
        <v>1</v>
      </c>
      <c r="BP4526">
        <v>0</v>
      </c>
      <c r="BS4526">
        <v>0</v>
      </c>
      <c r="BT4526">
        <v>0</v>
      </c>
      <c r="BU4526">
        <v>0</v>
      </c>
      <c r="CE4526" t="str">
        <f t="shared" si="1673"/>
        <v>19:37:42.298</v>
      </c>
      <c r="CF4526">
        <v>298498689</v>
      </c>
      <c r="CS4526">
        <v>0</v>
      </c>
      <c r="CT4526">
        <v>2</v>
      </c>
      <c r="CU4526">
        <v>0</v>
      </c>
      <c r="CV4526">
        <v>2</v>
      </c>
      <c r="CW4526">
        <v>3</v>
      </c>
      <c r="CX4526">
        <v>6</v>
      </c>
      <c r="CY4526">
        <v>7</v>
      </c>
      <c r="CZ4526" t="s">
        <v>131</v>
      </c>
      <c r="DA4526">
        <v>286</v>
      </c>
      <c r="DB4526">
        <v>0</v>
      </c>
      <c r="DC4526" t="s">
        <v>132</v>
      </c>
      <c r="DD4526" t="s">
        <v>133</v>
      </c>
      <c r="DG4526">
        <v>916811</v>
      </c>
      <c r="DI4526">
        <v>1</v>
      </c>
      <c r="DJ4526">
        <v>0</v>
      </c>
      <c r="DK4526">
        <v>1</v>
      </c>
      <c r="DL4526">
        <v>0</v>
      </c>
      <c r="DM4526">
        <v>0</v>
      </c>
      <c r="DN4526">
        <v>1</v>
      </c>
      <c r="DO4526">
        <v>0</v>
      </c>
      <c r="DP4526">
        <v>0</v>
      </c>
      <c r="DQ4526">
        <v>0</v>
      </c>
      <c r="DR4526">
        <v>0</v>
      </c>
      <c r="DS4526">
        <v>0</v>
      </c>
    </row>
    <row r="4527" spans="1:123" x14ac:dyDescent="0.3">
      <c r="A4527" t="str">
        <f t="shared" si="1670"/>
        <v>10/04/2022 19:37:42.558</v>
      </c>
      <c r="C4527" t="str">
        <f t="shared" si="1671"/>
        <v>FFDFD3C0</v>
      </c>
      <c r="D4527" t="s">
        <v>134</v>
      </c>
      <c r="E4527">
        <v>15</v>
      </c>
      <c r="J4527" t="s">
        <v>135</v>
      </c>
      <c r="K4527">
        <v>0</v>
      </c>
      <c r="L4527">
        <v>3</v>
      </c>
      <c r="M4527">
        <v>0</v>
      </c>
      <c r="N4527">
        <v>2</v>
      </c>
      <c r="O4527">
        <v>0</v>
      </c>
      <c r="P4527">
        <v>1</v>
      </c>
      <c r="Q4527">
        <v>0</v>
      </c>
      <c r="S4527" t="str">
        <f t="shared" si="1672"/>
        <v>19:37:42.000</v>
      </c>
      <c r="T4527" t="str">
        <f t="shared" si="1672"/>
        <v>19:37:42.000</v>
      </c>
      <c r="U4527" t="str">
        <f t="shared" si="1656"/>
        <v>AC3944</v>
      </c>
      <c r="V4527">
        <v>0</v>
      </c>
      <c r="W4527">
        <v>0</v>
      </c>
      <c r="X4527">
        <v>2</v>
      </c>
      <c r="Y4527">
        <v>0</v>
      </c>
      <c r="AA4527">
        <v>1</v>
      </c>
      <c r="AB4527">
        <v>8</v>
      </c>
      <c r="AC4527">
        <v>3</v>
      </c>
      <c r="AD4527">
        <v>0</v>
      </c>
      <c r="AE4527">
        <v>9</v>
      </c>
      <c r="AF4527" t="s">
        <v>138</v>
      </c>
      <c r="AG4527">
        <v>0</v>
      </c>
      <c r="AH4527">
        <v>3</v>
      </c>
      <c r="AI4527">
        <v>1</v>
      </c>
      <c r="AJ4527">
        <v>0</v>
      </c>
      <c r="AK4527" t="s">
        <v>1424</v>
      </c>
      <c r="AL4527">
        <v>32.730074000000002</v>
      </c>
      <c r="AM4527" t="s">
        <v>1425</v>
      </c>
      <c r="AN4527">
        <v>-116.718965</v>
      </c>
      <c r="AO4527">
        <v>25</v>
      </c>
      <c r="AP4527">
        <v>4900</v>
      </c>
      <c r="AQ4527" t="s">
        <v>129</v>
      </c>
      <c r="AR4527">
        <v>-150</v>
      </c>
      <c r="AS4527">
        <v>-92</v>
      </c>
      <c r="AT4527">
        <v>-640</v>
      </c>
      <c r="BB4527">
        <v>1200</v>
      </c>
      <c r="BC4527">
        <v>1</v>
      </c>
      <c r="BD4527" t="str">
        <f t="shared" si="1657"/>
        <v xml:space="preserve">N887QR  </v>
      </c>
      <c r="BE4527">
        <v>1</v>
      </c>
      <c r="BG4527">
        <v>0</v>
      </c>
      <c r="BH4527">
        <v>0</v>
      </c>
      <c r="BI4527">
        <v>0</v>
      </c>
      <c r="BJ4527">
        <v>4500</v>
      </c>
      <c r="BK4527">
        <v>-400</v>
      </c>
      <c r="BL4527" t="s">
        <v>163</v>
      </c>
      <c r="BM4527">
        <v>1</v>
      </c>
      <c r="BN4527">
        <v>1</v>
      </c>
      <c r="BO4527">
        <v>1</v>
      </c>
      <c r="BP4527">
        <v>0</v>
      </c>
      <c r="BS4527">
        <v>0</v>
      </c>
      <c r="BT4527">
        <v>0</v>
      </c>
      <c r="BU4527">
        <v>0</v>
      </c>
      <c r="CE4527" t="str">
        <f t="shared" si="1673"/>
        <v>19:37:42.298</v>
      </c>
      <c r="CF4527">
        <v>298498689</v>
      </c>
      <c r="CS4527">
        <v>0</v>
      </c>
      <c r="CT4527">
        <v>2</v>
      </c>
      <c r="CU4527">
        <v>0</v>
      </c>
      <c r="CV4527">
        <v>2</v>
      </c>
      <c r="CW4527">
        <v>3</v>
      </c>
      <c r="CX4527">
        <v>6</v>
      </c>
      <c r="CY4527">
        <v>7</v>
      </c>
      <c r="CZ4527" t="s">
        <v>131</v>
      </c>
      <c r="DA4527">
        <v>286</v>
      </c>
      <c r="DB4527">
        <v>0</v>
      </c>
      <c r="DC4527" t="s">
        <v>132</v>
      </c>
      <c r="DD4527" t="s">
        <v>133</v>
      </c>
      <c r="DG4527">
        <v>916811</v>
      </c>
      <c r="DI4527">
        <v>1</v>
      </c>
      <c r="DJ4527">
        <v>0</v>
      </c>
      <c r="DK4527">
        <v>1</v>
      </c>
      <c r="DL4527">
        <v>0</v>
      </c>
      <c r="DM4527">
        <v>0</v>
      </c>
      <c r="DN4527">
        <v>1</v>
      </c>
      <c r="DO4527">
        <v>0</v>
      </c>
      <c r="DP4527">
        <v>0</v>
      </c>
      <c r="DQ4527">
        <v>0</v>
      </c>
      <c r="DR4527">
        <v>0</v>
      </c>
      <c r="DS4527">
        <v>0</v>
      </c>
    </row>
    <row r="4528" spans="1:123" x14ac:dyDescent="0.3">
      <c r="A4528" t="str">
        <f t="shared" si="1670"/>
        <v>10/04/2022 19:37:42.558</v>
      </c>
      <c r="C4528" t="str">
        <f t="shared" si="1671"/>
        <v>FFDFD3C0</v>
      </c>
      <c r="D4528" t="s">
        <v>136</v>
      </c>
      <c r="E4528">
        <v>8</v>
      </c>
      <c r="H4528">
        <v>225</v>
      </c>
      <c r="I4528" t="s">
        <v>137</v>
      </c>
      <c r="J4528" t="s">
        <v>138</v>
      </c>
      <c r="K4528">
        <v>0</v>
      </c>
      <c r="L4528">
        <v>3</v>
      </c>
      <c r="M4528">
        <v>0</v>
      </c>
      <c r="N4528">
        <v>2</v>
      </c>
      <c r="O4528">
        <v>0</v>
      </c>
      <c r="P4528">
        <v>1</v>
      </c>
      <c r="Q4528">
        <v>0</v>
      </c>
      <c r="S4528" t="str">
        <f t="shared" si="1672"/>
        <v>19:37:42.000</v>
      </c>
      <c r="T4528" t="str">
        <f t="shared" si="1672"/>
        <v>19:37:42.000</v>
      </c>
      <c r="U4528" t="str">
        <f t="shared" si="1656"/>
        <v>AC3944</v>
      </c>
      <c r="V4528">
        <v>0</v>
      </c>
      <c r="W4528">
        <v>0</v>
      </c>
      <c r="X4528">
        <v>2</v>
      </c>
      <c r="Y4528">
        <v>0</v>
      </c>
      <c r="AA4528">
        <v>1</v>
      </c>
      <c r="AB4528">
        <v>8</v>
      </c>
      <c r="AC4528">
        <v>3</v>
      </c>
      <c r="AD4528">
        <v>0</v>
      </c>
      <c r="AE4528">
        <v>9</v>
      </c>
      <c r="AF4528" t="s">
        <v>138</v>
      </c>
      <c r="AG4528">
        <v>0</v>
      </c>
      <c r="AH4528">
        <v>3</v>
      </c>
      <c r="AI4528">
        <v>1</v>
      </c>
      <c r="AJ4528">
        <v>0</v>
      </c>
      <c r="AK4528" t="s">
        <v>1424</v>
      </c>
      <c r="AL4528">
        <v>32.730074000000002</v>
      </c>
      <c r="AM4528" t="s">
        <v>1425</v>
      </c>
      <c r="AN4528">
        <v>-116.718965</v>
      </c>
      <c r="AO4528">
        <v>25</v>
      </c>
      <c r="AP4528">
        <v>4900</v>
      </c>
      <c r="AQ4528" t="s">
        <v>129</v>
      </c>
      <c r="AR4528">
        <v>-150</v>
      </c>
      <c r="AS4528">
        <v>-92</v>
      </c>
      <c r="AT4528">
        <v>-640</v>
      </c>
      <c r="BB4528">
        <v>1200</v>
      </c>
      <c r="BC4528">
        <v>1</v>
      </c>
      <c r="BD4528" t="str">
        <f t="shared" si="1657"/>
        <v xml:space="preserve">N887QR  </v>
      </c>
      <c r="BE4528">
        <v>1</v>
      </c>
      <c r="BG4528">
        <v>0</v>
      </c>
      <c r="BH4528">
        <v>0</v>
      </c>
      <c r="BI4528">
        <v>0</v>
      </c>
      <c r="BJ4528">
        <v>4500</v>
      </c>
      <c r="BK4528">
        <v>-400</v>
      </c>
      <c r="BL4528" t="s">
        <v>163</v>
      </c>
      <c r="BM4528">
        <v>1</v>
      </c>
      <c r="BN4528">
        <v>1</v>
      </c>
      <c r="BO4528">
        <v>1</v>
      </c>
      <c r="BP4528">
        <v>0</v>
      </c>
      <c r="BS4528">
        <v>0</v>
      </c>
      <c r="BT4528">
        <v>0</v>
      </c>
      <c r="BU4528">
        <v>0</v>
      </c>
      <c r="CE4528" t="str">
        <f t="shared" si="1673"/>
        <v>19:37:42.298</v>
      </c>
      <c r="CF4528">
        <v>298498689</v>
      </c>
      <c r="CS4528">
        <v>0</v>
      </c>
      <c r="CT4528">
        <v>2</v>
      </c>
      <c r="CU4528">
        <v>0</v>
      </c>
      <c r="CV4528">
        <v>2</v>
      </c>
      <c r="CW4528">
        <v>3</v>
      </c>
      <c r="CX4528">
        <v>6</v>
      </c>
      <c r="CY4528">
        <v>7</v>
      </c>
      <c r="CZ4528" t="s">
        <v>131</v>
      </c>
      <c r="DA4528">
        <v>286</v>
      </c>
      <c r="DB4528">
        <v>0</v>
      </c>
      <c r="DC4528" t="s">
        <v>132</v>
      </c>
      <c r="DD4528" t="s">
        <v>133</v>
      </c>
      <c r="DG4528">
        <v>916811</v>
      </c>
      <c r="DI4528">
        <v>1</v>
      </c>
      <c r="DJ4528">
        <v>0</v>
      </c>
      <c r="DK4528">
        <v>1</v>
      </c>
      <c r="DL4528">
        <v>0</v>
      </c>
      <c r="DM4528">
        <v>0</v>
      </c>
      <c r="DN4528">
        <v>1</v>
      </c>
      <c r="DO4528">
        <v>0</v>
      </c>
      <c r="DP4528">
        <v>0</v>
      </c>
      <c r="DQ4528">
        <v>0</v>
      </c>
      <c r="DR4528">
        <v>0</v>
      </c>
      <c r="DS4528">
        <v>0</v>
      </c>
    </row>
    <row r="4529" spans="1:123" x14ac:dyDescent="0.3">
      <c r="A4529" t="str">
        <f t="shared" si="1670"/>
        <v>10/04/2022 19:37:42.558</v>
      </c>
      <c r="C4529" t="str">
        <f t="shared" si="1671"/>
        <v>FFDFD3C0</v>
      </c>
      <c r="D4529" t="s">
        <v>147</v>
      </c>
      <c r="E4529">
        <v>3</v>
      </c>
      <c r="H4529">
        <v>166</v>
      </c>
      <c r="I4529" t="s">
        <v>144</v>
      </c>
      <c r="J4529" t="s">
        <v>148</v>
      </c>
      <c r="K4529">
        <v>0</v>
      </c>
      <c r="L4529">
        <v>3</v>
      </c>
      <c r="M4529">
        <v>0</v>
      </c>
      <c r="N4529">
        <v>2</v>
      </c>
      <c r="O4529">
        <v>0</v>
      </c>
      <c r="P4529">
        <v>1</v>
      </c>
      <c r="Q4529">
        <v>0</v>
      </c>
      <c r="S4529" t="str">
        <f t="shared" si="1672"/>
        <v>19:37:42.000</v>
      </c>
      <c r="T4529" t="str">
        <f t="shared" si="1672"/>
        <v>19:37:42.000</v>
      </c>
      <c r="U4529" t="str">
        <f t="shared" si="1656"/>
        <v>AC3944</v>
      </c>
      <c r="V4529">
        <v>0</v>
      </c>
      <c r="W4529">
        <v>0</v>
      </c>
      <c r="X4529">
        <v>2</v>
      </c>
      <c r="Y4529">
        <v>0</v>
      </c>
      <c r="AA4529">
        <v>1</v>
      </c>
      <c r="AB4529">
        <v>8</v>
      </c>
      <c r="AC4529">
        <v>3</v>
      </c>
      <c r="AD4529">
        <v>0</v>
      </c>
      <c r="AE4529">
        <v>9</v>
      </c>
      <c r="AF4529" t="s">
        <v>138</v>
      </c>
      <c r="AG4529">
        <v>0</v>
      </c>
      <c r="AH4529">
        <v>3</v>
      </c>
      <c r="AI4529">
        <v>1</v>
      </c>
      <c r="AJ4529">
        <v>0</v>
      </c>
      <c r="AK4529" t="s">
        <v>1424</v>
      </c>
      <c r="AL4529">
        <v>32.730074000000002</v>
      </c>
      <c r="AM4529" t="s">
        <v>1425</v>
      </c>
      <c r="AN4529">
        <v>-116.718965</v>
      </c>
      <c r="AO4529">
        <v>25</v>
      </c>
      <c r="AP4529">
        <v>4900</v>
      </c>
      <c r="AQ4529" t="s">
        <v>129</v>
      </c>
      <c r="AR4529">
        <v>-150</v>
      </c>
      <c r="AS4529">
        <v>-92</v>
      </c>
      <c r="AT4529">
        <v>-640</v>
      </c>
      <c r="BB4529">
        <v>1200</v>
      </c>
      <c r="BC4529">
        <v>1</v>
      </c>
      <c r="BD4529" t="str">
        <f t="shared" si="1657"/>
        <v xml:space="preserve">N887QR  </v>
      </c>
      <c r="BE4529">
        <v>1</v>
      </c>
      <c r="BG4529">
        <v>0</v>
      </c>
      <c r="BH4529">
        <v>0</v>
      </c>
      <c r="BI4529">
        <v>0</v>
      </c>
      <c r="BJ4529">
        <v>4500</v>
      </c>
      <c r="BK4529">
        <v>-400</v>
      </c>
      <c r="BL4529" t="s">
        <v>163</v>
      </c>
      <c r="BM4529">
        <v>1</v>
      </c>
      <c r="BN4529">
        <v>1</v>
      </c>
      <c r="BO4529">
        <v>1</v>
      </c>
      <c r="BP4529">
        <v>0</v>
      </c>
      <c r="BS4529">
        <v>0</v>
      </c>
      <c r="BT4529">
        <v>0</v>
      </c>
      <c r="BU4529">
        <v>0</v>
      </c>
      <c r="CE4529" t="str">
        <f t="shared" si="1673"/>
        <v>19:37:42.298</v>
      </c>
      <c r="CF4529">
        <v>298498689</v>
      </c>
      <c r="CS4529">
        <v>0</v>
      </c>
      <c r="CT4529">
        <v>2</v>
      </c>
      <c r="CU4529">
        <v>0</v>
      </c>
      <c r="CV4529">
        <v>2</v>
      </c>
      <c r="CW4529">
        <v>3</v>
      </c>
      <c r="CX4529">
        <v>6</v>
      </c>
      <c r="CY4529">
        <v>7</v>
      </c>
      <c r="CZ4529" t="s">
        <v>131</v>
      </c>
      <c r="DA4529">
        <v>286</v>
      </c>
      <c r="DB4529">
        <v>0</v>
      </c>
      <c r="DC4529" t="s">
        <v>132</v>
      </c>
      <c r="DD4529" t="s">
        <v>133</v>
      </c>
      <c r="DG4529">
        <v>916811</v>
      </c>
      <c r="DI4529">
        <v>1</v>
      </c>
      <c r="DJ4529">
        <v>0</v>
      </c>
      <c r="DK4529">
        <v>1</v>
      </c>
      <c r="DL4529">
        <v>0</v>
      </c>
      <c r="DM4529">
        <v>0</v>
      </c>
      <c r="DN4529">
        <v>1</v>
      </c>
      <c r="DO4529">
        <v>0</v>
      </c>
      <c r="DP4529">
        <v>0</v>
      </c>
      <c r="DQ4529">
        <v>0</v>
      </c>
      <c r="DR4529">
        <v>0</v>
      </c>
      <c r="DS4529">
        <v>0</v>
      </c>
    </row>
    <row r="4530" spans="1:123" x14ac:dyDescent="0.3">
      <c r="A4530" t="str">
        <f>"10/04/2022 19:37:43.527"</f>
        <v>10/04/2022 19:37:43.527</v>
      </c>
      <c r="C4530" t="str">
        <f t="shared" si="1671"/>
        <v>FFDFD3C0</v>
      </c>
      <c r="D4530" t="s">
        <v>136</v>
      </c>
      <c r="E4530">
        <v>8</v>
      </c>
      <c r="H4530">
        <v>225</v>
      </c>
      <c r="I4530" t="s">
        <v>137</v>
      </c>
      <c r="J4530" t="s">
        <v>138</v>
      </c>
      <c r="K4530">
        <v>0</v>
      </c>
      <c r="L4530">
        <v>3</v>
      </c>
      <c r="M4530">
        <v>0</v>
      </c>
      <c r="N4530">
        <v>2</v>
      </c>
      <c r="O4530">
        <v>0</v>
      </c>
      <c r="P4530">
        <v>1</v>
      </c>
      <c r="Q4530">
        <v>0</v>
      </c>
      <c r="S4530" t="str">
        <f t="shared" ref="S4530:T4536" si="1674">"19:37:43.000"</f>
        <v>19:37:43.000</v>
      </c>
      <c r="T4530" t="str">
        <f t="shared" si="1674"/>
        <v>19:37:43.000</v>
      </c>
      <c r="U4530" t="str">
        <f t="shared" si="1656"/>
        <v>AC3944</v>
      </c>
      <c r="V4530">
        <v>0</v>
      </c>
      <c r="W4530">
        <v>0</v>
      </c>
      <c r="X4530">
        <v>2</v>
      </c>
      <c r="Y4530">
        <v>0</v>
      </c>
      <c r="AA4530">
        <v>1</v>
      </c>
      <c r="AB4530">
        <v>8</v>
      </c>
      <c r="AC4530">
        <v>3</v>
      </c>
      <c r="AD4530">
        <v>0</v>
      </c>
      <c r="AE4530">
        <v>9</v>
      </c>
      <c r="AF4530" t="s">
        <v>138</v>
      </c>
      <c r="AG4530">
        <v>0</v>
      </c>
      <c r="AH4530">
        <v>3</v>
      </c>
      <c r="AI4530">
        <v>1</v>
      </c>
      <c r="AJ4530">
        <v>0</v>
      </c>
      <c r="AK4530" t="s">
        <v>1426</v>
      </c>
      <c r="AL4530">
        <v>32.729644999999998</v>
      </c>
      <c r="AM4530" t="s">
        <v>1427</v>
      </c>
      <c r="AN4530">
        <v>-116.719801</v>
      </c>
      <c r="AO4530">
        <v>25</v>
      </c>
      <c r="AP4530">
        <v>4800</v>
      </c>
      <c r="AQ4530" t="s">
        <v>129</v>
      </c>
      <c r="AR4530">
        <v>-150</v>
      </c>
      <c r="AS4530">
        <v>-94</v>
      </c>
      <c r="AT4530">
        <v>-640</v>
      </c>
      <c r="BB4530">
        <v>1200</v>
      </c>
      <c r="BC4530">
        <v>1</v>
      </c>
      <c r="BD4530" t="str">
        <f t="shared" si="1657"/>
        <v xml:space="preserve">N887QR  </v>
      </c>
      <c r="BE4530">
        <v>1</v>
      </c>
      <c r="BG4530">
        <v>0</v>
      </c>
      <c r="BH4530">
        <v>0</v>
      </c>
      <c r="BI4530">
        <v>0</v>
      </c>
      <c r="BJ4530">
        <v>4475</v>
      </c>
      <c r="BK4530">
        <v>-325</v>
      </c>
      <c r="BL4530" t="s">
        <v>163</v>
      </c>
      <c r="BM4530">
        <v>1</v>
      </c>
      <c r="BN4530">
        <v>1</v>
      </c>
      <c r="BO4530">
        <v>1</v>
      </c>
      <c r="BP4530">
        <v>0</v>
      </c>
      <c r="BS4530">
        <v>0</v>
      </c>
      <c r="BT4530">
        <v>0</v>
      </c>
      <c r="BU4530">
        <v>0</v>
      </c>
      <c r="CE4530" t="str">
        <f t="shared" ref="CE4530:CE4536" si="1675">"19:37:43.299"</f>
        <v>19:37:43.299</v>
      </c>
      <c r="CF4530">
        <v>298501629</v>
      </c>
      <c r="CS4530">
        <v>0</v>
      </c>
      <c r="CT4530">
        <v>2</v>
      </c>
      <c r="CU4530">
        <v>0</v>
      </c>
      <c r="CV4530">
        <v>2</v>
      </c>
      <c r="CW4530">
        <v>0</v>
      </c>
      <c r="CX4530">
        <v>6</v>
      </c>
      <c r="CY4530">
        <v>7</v>
      </c>
      <c r="CZ4530" t="s">
        <v>131</v>
      </c>
      <c r="DA4530">
        <v>286</v>
      </c>
      <c r="DB4530">
        <v>0</v>
      </c>
      <c r="DC4530" t="s">
        <v>132</v>
      </c>
      <c r="DD4530" t="s">
        <v>133</v>
      </c>
      <c r="DG4530">
        <v>917026</v>
      </c>
      <c r="DI4530">
        <v>1</v>
      </c>
      <c r="DJ4530">
        <v>0</v>
      </c>
      <c r="DK4530">
        <v>0</v>
      </c>
      <c r="DL4530">
        <v>0</v>
      </c>
      <c r="DM4530">
        <v>0</v>
      </c>
      <c r="DN4530">
        <v>1</v>
      </c>
      <c r="DO4530">
        <v>0</v>
      </c>
      <c r="DP4530">
        <v>0</v>
      </c>
      <c r="DQ4530">
        <v>0</v>
      </c>
      <c r="DR4530">
        <v>0</v>
      </c>
      <c r="DS4530">
        <v>0</v>
      </c>
    </row>
    <row r="4531" spans="1:123" x14ac:dyDescent="0.3">
      <c r="A4531" t="str">
        <f>"10/04/2022 19:37:43.527"</f>
        <v>10/04/2022 19:37:43.527</v>
      </c>
      <c r="C4531" t="str">
        <f t="shared" si="1671"/>
        <v>FFDFD3C0</v>
      </c>
      <c r="D4531" t="s">
        <v>134</v>
      </c>
      <c r="E4531">
        <v>15</v>
      </c>
      <c r="J4531" t="s">
        <v>135</v>
      </c>
      <c r="K4531">
        <v>0</v>
      </c>
      <c r="L4531">
        <v>3</v>
      </c>
      <c r="M4531">
        <v>0</v>
      </c>
      <c r="N4531">
        <v>2</v>
      </c>
      <c r="O4531">
        <v>0</v>
      </c>
      <c r="P4531">
        <v>1</v>
      </c>
      <c r="Q4531">
        <v>0</v>
      </c>
      <c r="S4531" t="str">
        <f t="shared" si="1674"/>
        <v>19:37:43.000</v>
      </c>
      <c r="T4531" t="str">
        <f t="shared" si="1674"/>
        <v>19:37:43.000</v>
      </c>
      <c r="U4531" t="str">
        <f t="shared" si="1656"/>
        <v>AC3944</v>
      </c>
      <c r="V4531">
        <v>0</v>
      </c>
      <c r="W4531">
        <v>0</v>
      </c>
      <c r="X4531">
        <v>2</v>
      </c>
      <c r="Y4531">
        <v>0</v>
      </c>
      <c r="AA4531">
        <v>1</v>
      </c>
      <c r="AB4531">
        <v>8</v>
      </c>
      <c r="AC4531">
        <v>3</v>
      </c>
      <c r="AD4531">
        <v>0</v>
      </c>
      <c r="AE4531">
        <v>9</v>
      </c>
      <c r="AF4531" t="s">
        <v>138</v>
      </c>
      <c r="AG4531">
        <v>0</v>
      </c>
      <c r="AH4531">
        <v>3</v>
      </c>
      <c r="AI4531">
        <v>1</v>
      </c>
      <c r="AJ4531">
        <v>0</v>
      </c>
      <c r="AK4531" t="s">
        <v>1426</v>
      </c>
      <c r="AL4531">
        <v>32.729644999999998</v>
      </c>
      <c r="AM4531" t="s">
        <v>1427</v>
      </c>
      <c r="AN4531">
        <v>-116.719801</v>
      </c>
      <c r="AO4531">
        <v>25</v>
      </c>
      <c r="AP4531">
        <v>4800</v>
      </c>
      <c r="AQ4531" t="s">
        <v>129</v>
      </c>
      <c r="AR4531">
        <v>-150</v>
      </c>
      <c r="AS4531">
        <v>-94</v>
      </c>
      <c r="AT4531">
        <v>-640</v>
      </c>
      <c r="BB4531">
        <v>1200</v>
      </c>
      <c r="BC4531">
        <v>1</v>
      </c>
      <c r="BD4531" t="str">
        <f t="shared" si="1657"/>
        <v xml:space="preserve">N887QR  </v>
      </c>
      <c r="BE4531">
        <v>1</v>
      </c>
      <c r="BG4531">
        <v>0</v>
      </c>
      <c r="BH4531">
        <v>0</v>
      </c>
      <c r="BI4531">
        <v>0</v>
      </c>
      <c r="BJ4531">
        <v>4475</v>
      </c>
      <c r="BK4531">
        <v>-325</v>
      </c>
      <c r="BL4531" t="s">
        <v>163</v>
      </c>
      <c r="BM4531">
        <v>1</v>
      </c>
      <c r="BN4531">
        <v>1</v>
      </c>
      <c r="BO4531">
        <v>1</v>
      </c>
      <c r="BP4531">
        <v>0</v>
      </c>
      <c r="BS4531">
        <v>0</v>
      </c>
      <c r="BT4531">
        <v>0</v>
      </c>
      <c r="BU4531">
        <v>0</v>
      </c>
      <c r="CE4531" t="str">
        <f t="shared" si="1675"/>
        <v>19:37:43.299</v>
      </c>
      <c r="CF4531">
        <v>298501629</v>
      </c>
      <c r="CS4531">
        <v>0</v>
      </c>
      <c r="CT4531">
        <v>2</v>
      </c>
      <c r="CU4531">
        <v>0</v>
      </c>
      <c r="CV4531">
        <v>2</v>
      </c>
      <c r="CW4531">
        <v>0</v>
      </c>
      <c r="CX4531">
        <v>6</v>
      </c>
      <c r="CY4531">
        <v>7</v>
      </c>
      <c r="CZ4531" t="s">
        <v>131</v>
      </c>
      <c r="DA4531">
        <v>286</v>
      </c>
      <c r="DB4531">
        <v>0</v>
      </c>
      <c r="DC4531" t="s">
        <v>132</v>
      </c>
      <c r="DD4531" t="s">
        <v>133</v>
      </c>
      <c r="DG4531">
        <v>917026</v>
      </c>
      <c r="DI4531">
        <v>1</v>
      </c>
      <c r="DJ4531">
        <v>0</v>
      </c>
      <c r="DK4531">
        <v>1</v>
      </c>
      <c r="DL4531">
        <v>0</v>
      </c>
      <c r="DM4531">
        <v>0</v>
      </c>
      <c r="DN4531">
        <v>1</v>
      </c>
      <c r="DO4531">
        <v>0</v>
      </c>
      <c r="DP4531">
        <v>0</v>
      </c>
      <c r="DQ4531">
        <v>0</v>
      </c>
      <c r="DR4531">
        <v>0</v>
      </c>
      <c r="DS4531">
        <v>0</v>
      </c>
    </row>
    <row r="4532" spans="1:123" x14ac:dyDescent="0.3">
      <c r="A4532" t="str">
        <f>"10/04/2022 19:37:43.574"</f>
        <v>10/04/2022 19:37:43.574</v>
      </c>
      <c r="C4532" t="str">
        <f t="shared" si="1671"/>
        <v>FFDFD3C0</v>
      </c>
      <c r="D4532" t="s">
        <v>143</v>
      </c>
      <c r="E4532">
        <v>20</v>
      </c>
      <c r="F4532">
        <v>1020</v>
      </c>
      <c r="G4532" t="s">
        <v>144</v>
      </c>
      <c r="J4532" t="s">
        <v>145</v>
      </c>
      <c r="K4532">
        <v>0</v>
      </c>
      <c r="L4532">
        <v>3</v>
      </c>
      <c r="M4532">
        <v>0</v>
      </c>
      <c r="N4532">
        <v>2</v>
      </c>
      <c r="O4532">
        <v>0</v>
      </c>
      <c r="P4532">
        <v>1</v>
      </c>
      <c r="Q4532">
        <v>0</v>
      </c>
      <c r="S4532" t="str">
        <f t="shared" si="1674"/>
        <v>19:37:43.000</v>
      </c>
      <c r="T4532" t="str">
        <f t="shared" si="1674"/>
        <v>19:37:43.000</v>
      </c>
      <c r="U4532" t="str">
        <f t="shared" si="1656"/>
        <v>AC3944</v>
      </c>
      <c r="V4532">
        <v>0</v>
      </c>
      <c r="W4532">
        <v>0</v>
      </c>
      <c r="X4532">
        <v>2</v>
      </c>
      <c r="Y4532">
        <v>0</v>
      </c>
      <c r="AA4532">
        <v>1</v>
      </c>
      <c r="AB4532">
        <v>8</v>
      </c>
      <c r="AC4532">
        <v>3</v>
      </c>
      <c r="AD4532">
        <v>0</v>
      </c>
      <c r="AE4532">
        <v>9</v>
      </c>
      <c r="AF4532" t="s">
        <v>138</v>
      </c>
      <c r="AG4532">
        <v>0</v>
      </c>
      <c r="AH4532">
        <v>3</v>
      </c>
      <c r="AI4532">
        <v>1</v>
      </c>
      <c r="AJ4532">
        <v>0</v>
      </c>
      <c r="AK4532" t="s">
        <v>1426</v>
      </c>
      <c r="AL4532">
        <v>32.729644999999998</v>
      </c>
      <c r="AM4532" t="s">
        <v>1427</v>
      </c>
      <c r="AN4532">
        <v>-116.719801</v>
      </c>
      <c r="AO4532">
        <v>25</v>
      </c>
      <c r="AP4532">
        <v>4800</v>
      </c>
      <c r="AQ4532" t="s">
        <v>129</v>
      </c>
      <c r="AR4532">
        <v>-150</v>
      </c>
      <c r="AS4532">
        <v>-94</v>
      </c>
      <c r="AT4532">
        <v>-640</v>
      </c>
      <c r="BB4532">
        <v>1200</v>
      </c>
      <c r="BC4532">
        <v>1</v>
      </c>
      <c r="BD4532" t="str">
        <f t="shared" si="1657"/>
        <v xml:space="preserve">N887QR  </v>
      </c>
      <c r="BE4532">
        <v>1</v>
      </c>
      <c r="BG4532">
        <v>0</v>
      </c>
      <c r="BH4532">
        <v>0</v>
      </c>
      <c r="BI4532">
        <v>0</v>
      </c>
      <c r="BJ4532">
        <v>4475</v>
      </c>
      <c r="BK4532">
        <v>-325</v>
      </c>
      <c r="BL4532" t="s">
        <v>163</v>
      </c>
      <c r="BM4532">
        <v>1</v>
      </c>
      <c r="BN4532">
        <v>1</v>
      </c>
      <c r="BO4532">
        <v>1</v>
      </c>
      <c r="BP4532">
        <v>0</v>
      </c>
      <c r="BS4532">
        <v>0</v>
      </c>
      <c r="BT4532">
        <v>0</v>
      </c>
      <c r="BU4532">
        <v>0</v>
      </c>
      <c r="CE4532" t="str">
        <f t="shared" si="1675"/>
        <v>19:37:43.299</v>
      </c>
      <c r="CF4532">
        <v>298501629</v>
      </c>
      <c r="CS4532">
        <v>0</v>
      </c>
      <c r="CT4532">
        <v>2</v>
      </c>
      <c r="CU4532">
        <v>0</v>
      </c>
      <c r="CV4532">
        <v>2</v>
      </c>
      <c r="CW4532">
        <v>0</v>
      </c>
      <c r="CX4532">
        <v>6</v>
      </c>
      <c r="CY4532">
        <v>7</v>
      </c>
      <c r="CZ4532" t="s">
        <v>131</v>
      </c>
      <c r="DA4532">
        <v>286</v>
      </c>
      <c r="DB4532">
        <v>0</v>
      </c>
      <c r="DC4532" t="s">
        <v>132</v>
      </c>
      <c r="DD4532" t="s">
        <v>133</v>
      </c>
      <c r="DG4532">
        <v>917026</v>
      </c>
      <c r="DI4532">
        <v>1</v>
      </c>
      <c r="DJ4532">
        <v>0</v>
      </c>
      <c r="DK4532">
        <v>1</v>
      </c>
      <c r="DL4532">
        <v>0</v>
      </c>
      <c r="DM4532">
        <v>0</v>
      </c>
      <c r="DN4532">
        <v>1</v>
      </c>
      <c r="DO4532">
        <v>0</v>
      </c>
      <c r="DP4532">
        <v>0</v>
      </c>
      <c r="DQ4532">
        <v>0</v>
      </c>
      <c r="DR4532">
        <v>0</v>
      </c>
      <c r="DS4532">
        <v>0</v>
      </c>
    </row>
    <row r="4533" spans="1:123" x14ac:dyDescent="0.3">
      <c r="A4533" t="str">
        <f>"10/04/2022 19:37:43.636"</f>
        <v>10/04/2022 19:37:43.636</v>
      </c>
      <c r="C4533" t="str">
        <f t="shared" si="1671"/>
        <v>FFDFD3C0</v>
      </c>
      <c r="D4533" t="s">
        <v>123</v>
      </c>
      <c r="E4533">
        <v>7</v>
      </c>
      <c r="F4533">
        <v>2007</v>
      </c>
      <c r="G4533" t="s">
        <v>124</v>
      </c>
      <c r="J4533" t="s">
        <v>125</v>
      </c>
      <c r="K4533">
        <v>0</v>
      </c>
      <c r="L4533">
        <v>3</v>
      </c>
      <c r="M4533">
        <v>0</v>
      </c>
      <c r="N4533">
        <v>2</v>
      </c>
      <c r="O4533">
        <v>0</v>
      </c>
      <c r="P4533">
        <v>1</v>
      </c>
      <c r="Q4533">
        <v>0</v>
      </c>
      <c r="S4533" t="str">
        <f t="shared" si="1674"/>
        <v>19:37:43.000</v>
      </c>
      <c r="T4533" t="str">
        <f t="shared" si="1674"/>
        <v>19:37:43.000</v>
      </c>
      <c r="U4533" t="str">
        <f t="shared" si="1656"/>
        <v>AC3944</v>
      </c>
      <c r="V4533">
        <v>0</v>
      </c>
      <c r="W4533">
        <v>0</v>
      </c>
      <c r="X4533">
        <v>2</v>
      </c>
      <c r="Y4533">
        <v>0</v>
      </c>
      <c r="AA4533">
        <v>1</v>
      </c>
      <c r="AB4533">
        <v>8</v>
      </c>
      <c r="AC4533">
        <v>3</v>
      </c>
      <c r="AD4533">
        <v>0</v>
      </c>
      <c r="AE4533">
        <v>9</v>
      </c>
      <c r="AF4533" t="s">
        <v>138</v>
      </c>
      <c r="AG4533">
        <v>0</v>
      </c>
      <c r="AH4533">
        <v>3</v>
      </c>
      <c r="AI4533">
        <v>1</v>
      </c>
      <c r="AJ4533">
        <v>0</v>
      </c>
      <c r="AK4533" t="s">
        <v>1426</v>
      </c>
      <c r="AL4533">
        <v>32.729644999999998</v>
      </c>
      <c r="AM4533" t="s">
        <v>1427</v>
      </c>
      <c r="AN4533">
        <v>-116.719801</v>
      </c>
      <c r="AO4533">
        <v>25</v>
      </c>
      <c r="AP4533">
        <v>4800</v>
      </c>
      <c r="AQ4533" t="s">
        <v>129</v>
      </c>
      <c r="AR4533">
        <v>-150</v>
      </c>
      <c r="AS4533">
        <v>-94</v>
      </c>
      <c r="AT4533">
        <v>-640</v>
      </c>
      <c r="BB4533">
        <v>1200</v>
      </c>
      <c r="BC4533">
        <v>1</v>
      </c>
      <c r="BD4533" t="str">
        <f t="shared" si="1657"/>
        <v xml:space="preserve">N887QR  </v>
      </c>
      <c r="BE4533">
        <v>1</v>
      </c>
      <c r="BG4533">
        <v>0</v>
      </c>
      <c r="BH4533">
        <v>0</v>
      </c>
      <c r="BI4533">
        <v>0</v>
      </c>
      <c r="BJ4533">
        <v>4475</v>
      </c>
      <c r="BK4533">
        <v>-325</v>
      </c>
      <c r="BL4533" t="s">
        <v>163</v>
      </c>
      <c r="BM4533">
        <v>1</v>
      </c>
      <c r="BN4533">
        <v>1</v>
      </c>
      <c r="BO4533">
        <v>1</v>
      </c>
      <c r="BP4533">
        <v>0</v>
      </c>
      <c r="BS4533">
        <v>0</v>
      </c>
      <c r="BT4533">
        <v>0</v>
      </c>
      <c r="BU4533">
        <v>0</v>
      </c>
      <c r="CE4533" t="str">
        <f t="shared" si="1675"/>
        <v>19:37:43.299</v>
      </c>
      <c r="CF4533">
        <v>298501629</v>
      </c>
      <c r="CS4533">
        <v>0</v>
      </c>
      <c r="CT4533">
        <v>2</v>
      </c>
      <c r="CU4533">
        <v>0</v>
      </c>
      <c r="CV4533">
        <v>2</v>
      </c>
      <c r="CW4533">
        <v>0</v>
      </c>
      <c r="CX4533">
        <v>6</v>
      </c>
      <c r="CY4533">
        <v>7</v>
      </c>
      <c r="CZ4533" t="s">
        <v>131</v>
      </c>
      <c r="DA4533">
        <v>286</v>
      </c>
      <c r="DB4533">
        <v>0</v>
      </c>
      <c r="DC4533" t="s">
        <v>132</v>
      </c>
      <c r="DD4533" t="s">
        <v>133</v>
      </c>
      <c r="DG4533">
        <v>917026</v>
      </c>
      <c r="DI4533">
        <v>1</v>
      </c>
      <c r="DJ4533">
        <v>0</v>
      </c>
      <c r="DK4533">
        <v>1</v>
      </c>
      <c r="DL4533">
        <v>0</v>
      </c>
      <c r="DM4533">
        <v>0</v>
      </c>
      <c r="DN4533">
        <v>1</v>
      </c>
      <c r="DO4533">
        <v>0</v>
      </c>
      <c r="DP4533">
        <v>0</v>
      </c>
      <c r="DQ4533">
        <v>0</v>
      </c>
      <c r="DR4533">
        <v>0</v>
      </c>
      <c r="DS4533">
        <v>0</v>
      </c>
    </row>
    <row r="4534" spans="1:123" x14ac:dyDescent="0.3">
      <c r="A4534" t="str">
        <f>"10/04/2022 19:37:43.636"</f>
        <v>10/04/2022 19:37:43.636</v>
      </c>
      <c r="C4534" t="str">
        <f t="shared" si="1671"/>
        <v>FFDFD3C0</v>
      </c>
      <c r="D4534" t="s">
        <v>147</v>
      </c>
      <c r="E4534">
        <v>3</v>
      </c>
      <c r="H4534">
        <v>166</v>
      </c>
      <c r="I4534" t="s">
        <v>144</v>
      </c>
      <c r="J4534" t="s">
        <v>148</v>
      </c>
      <c r="K4534">
        <v>0</v>
      </c>
      <c r="L4534">
        <v>3</v>
      </c>
      <c r="M4534">
        <v>0</v>
      </c>
      <c r="N4534">
        <v>2</v>
      </c>
      <c r="O4534">
        <v>0</v>
      </c>
      <c r="P4534">
        <v>1</v>
      </c>
      <c r="Q4534">
        <v>0</v>
      </c>
      <c r="S4534" t="str">
        <f t="shared" si="1674"/>
        <v>19:37:43.000</v>
      </c>
      <c r="T4534" t="str">
        <f t="shared" si="1674"/>
        <v>19:37:43.000</v>
      </c>
      <c r="U4534" t="str">
        <f t="shared" si="1656"/>
        <v>AC3944</v>
      </c>
      <c r="V4534">
        <v>0</v>
      </c>
      <c r="W4534">
        <v>0</v>
      </c>
      <c r="X4534">
        <v>2</v>
      </c>
      <c r="Y4534">
        <v>0</v>
      </c>
      <c r="AA4534">
        <v>1</v>
      </c>
      <c r="AB4534">
        <v>8</v>
      </c>
      <c r="AC4534">
        <v>3</v>
      </c>
      <c r="AD4534">
        <v>0</v>
      </c>
      <c r="AE4534">
        <v>9</v>
      </c>
      <c r="AF4534" t="s">
        <v>138</v>
      </c>
      <c r="AG4534">
        <v>0</v>
      </c>
      <c r="AH4534">
        <v>3</v>
      </c>
      <c r="AI4534">
        <v>1</v>
      </c>
      <c r="AJ4534">
        <v>0</v>
      </c>
      <c r="AK4534" t="s">
        <v>1426</v>
      </c>
      <c r="AL4534">
        <v>32.729644999999998</v>
      </c>
      <c r="AM4534" t="s">
        <v>1427</v>
      </c>
      <c r="AN4534">
        <v>-116.719801</v>
      </c>
      <c r="AO4534">
        <v>25</v>
      </c>
      <c r="AP4534">
        <v>4800</v>
      </c>
      <c r="AQ4534" t="s">
        <v>129</v>
      </c>
      <c r="AR4534">
        <v>-150</v>
      </c>
      <c r="AS4534">
        <v>-94</v>
      </c>
      <c r="AT4534">
        <v>-640</v>
      </c>
      <c r="BB4534">
        <v>1200</v>
      </c>
      <c r="BC4534">
        <v>1</v>
      </c>
      <c r="BD4534" t="str">
        <f t="shared" si="1657"/>
        <v xml:space="preserve">N887QR  </v>
      </c>
      <c r="BE4534">
        <v>1</v>
      </c>
      <c r="BG4534">
        <v>0</v>
      </c>
      <c r="BH4534">
        <v>0</v>
      </c>
      <c r="BI4534">
        <v>0</v>
      </c>
      <c r="BJ4534">
        <v>4475</v>
      </c>
      <c r="BK4534">
        <v>-325</v>
      </c>
      <c r="BL4534" t="s">
        <v>163</v>
      </c>
      <c r="BM4534">
        <v>1</v>
      </c>
      <c r="BN4534">
        <v>1</v>
      </c>
      <c r="BO4534">
        <v>1</v>
      </c>
      <c r="BP4534">
        <v>0</v>
      </c>
      <c r="BS4534">
        <v>0</v>
      </c>
      <c r="BT4534">
        <v>0</v>
      </c>
      <c r="BU4534">
        <v>0</v>
      </c>
      <c r="CE4534" t="str">
        <f t="shared" si="1675"/>
        <v>19:37:43.299</v>
      </c>
      <c r="CF4534">
        <v>298501629</v>
      </c>
      <c r="CS4534">
        <v>0</v>
      </c>
      <c r="CT4534">
        <v>2</v>
      </c>
      <c r="CU4534">
        <v>0</v>
      </c>
      <c r="CV4534">
        <v>2</v>
      </c>
      <c r="CW4534">
        <v>0</v>
      </c>
      <c r="CX4534">
        <v>6</v>
      </c>
      <c r="CY4534">
        <v>7</v>
      </c>
      <c r="CZ4534" t="s">
        <v>131</v>
      </c>
      <c r="DA4534">
        <v>286</v>
      </c>
      <c r="DB4534">
        <v>0</v>
      </c>
      <c r="DC4534" t="s">
        <v>132</v>
      </c>
      <c r="DD4534" t="s">
        <v>133</v>
      </c>
      <c r="DG4534">
        <v>917026</v>
      </c>
      <c r="DI4534">
        <v>1</v>
      </c>
      <c r="DJ4534">
        <v>0</v>
      </c>
      <c r="DK4534">
        <v>1</v>
      </c>
      <c r="DL4534">
        <v>0</v>
      </c>
      <c r="DM4534">
        <v>0</v>
      </c>
      <c r="DN4534">
        <v>1</v>
      </c>
      <c r="DO4534">
        <v>0</v>
      </c>
      <c r="DP4534">
        <v>0</v>
      </c>
      <c r="DQ4534">
        <v>0</v>
      </c>
      <c r="DR4534">
        <v>0</v>
      </c>
      <c r="DS4534">
        <v>0</v>
      </c>
    </row>
    <row r="4535" spans="1:123" x14ac:dyDescent="0.3">
      <c r="A4535" t="str">
        <f>"10/04/2022 19:37:43.636"</f>
        <v>10/04/2022 19:37:43.636</v>
      </c>
      <c r="C4535" t="str">
        <f t="shared" si="1671"/>
        <v>FFDFD3C0</v>
      </c>
      <c r="D4535" t="s">
        <v>141</v>
      </c>
      <c r="E4535">
        <v>4</v>
      </c>
      <c r="H4535">
        <v>4</v>
      </c>
      <c r="I4535" t="s">
        <v>142</v>
      </c>
      <c r="J4535" t="s">
        <v>138</v>
      </c>
      <c r="K4535">
        <v>0</v>
      </c>
      <c r="L4535">
        <v>3</v>
      </c>
      <c r="M4535">
        <v>0</v>
      </c>
      <c r="N4535">
        <v>2</v>
      </c>
      <c r="O4535">
        <v>0</v>
      </c>
      <c r="P4535">
        <v>1</v>
      </c>
      <c r="Q4535">
        <v>0</v>
      </c>
      <c r="S4535" t="str">
        <f t="shared" si="1674"/>
        <v>19:37:43.000</v>
      </c>
      <c r="T4535" t="str">
        <f t="shared" si="1674"/>
        <v>19:37:43.000</v>
      </c>
      <c r="U4535" t="str">
        <f t="shared" si="1656"/>
        <v>AC3944</v>
      </c>
      <c r="V4535">
        <v>0</v>
      </c>
      <c r="W4535">
        <v>0</v>
      </c>
      <c r="X4535">
        <v>2</v>
      </c>
      <c r="Y4535">
        <v>0</v>
      </c>
      <c r="AA4535">
        <v>1</v>
      </c>
      <c r="AB4535">
        <v>8</v>
      </c>
      <c r="AC4535">
        <v>3</v>
      </c>
      <c r="AD4535">
        <v>0</v>
      </c>
      <c r="AE4535">
        <v>9</v>
      </c>
      <c r="AF4535" t="s">
        <v>138</v>
      </c>
      <c r="AG4535">
        <v>0</v>
      </c>
      <c r="AH4535">
        <v>3</v>
      </c>
      <c r="AI4535">
        <v>1</v>
      </c>
      <c r="AJ4535">
        <v>0</v>
      </c>
      <c r="AK4535" t="s">
        <v>1426</v>
      </c>
      <c r="AL4535">
        <v>32.729644999999998</v>
      </c>
      <c r="AM4535" t="s">
        <v>1427</v>
      </c>
      <c r="AN4535">
        <v>-116.719801</v>
      </c>
      <c r="AO4535">
        <v>25</v>
      </c>
      <c r="AP4535">
        <v>4800</v>
      </c>
      <c r="AQ4535" t="s">
        <v>129</v>
      </c>
      <c r="AR4535">
        <v>-150</v>
      </c>
      <c r="AS4535">
        <v>-94</v>
      </c>
      <c r="AT4535">
        <v>-640</v>
      </c>
      <c r="BB4535">
        <v>1200</v>
      </c>
      <c r="BC4535">
        <v>1</v>
      </c>
      <c r="BD4535" t="str">
        <f t="shared" si="1657"/>
        <v xml:space="preserve">N887QR  </v>
      </c>
      <c r="BE4535">
        <v>1</v>
      </c>
      <c r="BG4535">
        <v>0</v>
      </c>
      <c r="BH4535">
        <v>0</v>
      </c>
      <c r="BI4535">
        <v>0</v>
      </c>
      <c r="BJ4535">
        <v>4475</v>
      </c>
      <c r="BK4535">
        <v>-325</v>
      </c>
      <c r="BL4535" t="s">
        <v>163</v>
      </c>
      <c r="BM4535">
        <v>1</v>
      </c>
      <c r="BN4535">
        <v>1</v>
      </c>
      <c r="BO4535">
        <v>1</v>
      </c>
      <c r="BP4535">
        <v>0</v>
      </c>
      <c r="BS4535">
        <v>0</v>
      </c>
      <c r="BT4535">
        <v>0</v>
      </c>
      <c r="BU4535">
        <v>0</v>
      </c>
      <c r="CE4535" t="str">
        <f t="shared" si="1675"/>
        <v>19:37:43.299</v>
      </c>
      <c r="CF4535">
        <v>298501629</v>
      </c>
      <c r="CS4535">
        <v>0</v>
      </c>
      <c r="CT4535">
        <v>2</v>
      </c>
      <c r="CU4535">
        <v>0</v>
      </c>
      <c r="CV4535">
        <v>2</v>
      </c>
      <c r="CW4535">
        <v>0</v>
      </c>
      <c r="CX4535">
        <v>6</v>
      </c>
      <c r="CY4535">
        <v>7</v>
      </c>
      <c r="CZ4535" t="s">
        <v>131</v>
      </c>
      <c r="DA4535">
        <v>286</v>
      </c>
      <c r="DB4535">
        <v>0</v>
      </c>
      <c r="DC4535" t="s">
        <v>132</v>
      </c>
      <c r="DD4535" t="s">
        <v>133</v>
      </c>
      <c r="DG4535">
        <v>917026</v>
      </c>
      <c r="DI4535">
        <v>1</v>
      </c>
      <c r="DJ4535">
        <v>0</v>
      </c>
      <c r="DK4535">
        <v>1</v>
      </c>
      <c r="DL4535">
        <v>0</v>
      </c>
      <c r="DM4535">
        <v>0</v>
      </c>
      <c r="DN4535">
        <v>1</v>
      </c>
      <c r="DO4535">
        <v>0</v>
      </c>
      <c r="DP4535">
        <v>0</v>
      </c>
      <c r="DQ4535">
        <v>0</v>
      </c>
      <c r="DR4535">
        <v>0</v>
      </c>
      <c r="DS4535">
        <v>0</v>
      </c>
    </row>
    <row r="4536" spans="1:123" x14ac:dyDescent="0.3">
      <c r="A4536" t="str">
        <f>"10/04/2022 19:37:43.636"</f>
        <v>10/04/2022 19:37:43.636</v>
      </c>
      <c r="C4536" t="str">
        <f t="shared" si="1671"/>
        <v>FFDFD3C0</v>
      </c>
      <c r="D4536" t="s">
        <v>141</v>
      </c>
      <c r="E4536">
        <v>3</v>
      </c>
      <c r="H4536">
        <v>3</v>
      </c>
      <c r="I4536" t="s">
        <v>146</v>
      </c>
      <c r="J4536" t="s">
        <v>138</v>
      </c>
      <c r="K4536">
        <v>0</v>
      </c>
      <c r="L4536">
        <v>3</v>
      </c>
      <c r="M4536">
        <v>0</v>
      </c>
      <c r="N4536">
        <v>2</v>
      </c>
      <c r="O4536">
        <v>0</v>
      </c>
      <c r="P4536">
        <v>1</v>
      </c>
      <c r="Q4536">
        <v>0</v>
      </c>
      <c r="S4536" t="str">
        <f t="shared" si="1674"/>
        <v>19:37:43.000</v>
      </c>
      <c r="T4536" t="str">
        <f t="shared" si="1674"/>
        <v>19:37:43.000</v>
      </c>
      <c r="U4536" t="str">
        <f t="shared" si="1656"/>
        <v>AC3944</v>
      </c>
      <c r="V4536">
        <v>0</v>
      </c>
      <c r="W4536">
        <v>0</v>
      </c>
      <c r="X4536">
        <v>2</v>
      </c>
      <c r="Y4536">
        <v>0</v>
      </c>
      <c r="AA4536">
        <v>1</v>
      </c>
      <c r="AB4536">
        <v>8</v>
      </c>
      <c r="AC4536">
        <v>3</v>
      </c>
      <c r="AD4536">
        <v>0</v>
      </c>
      <c r="AE4536">
        <v>9</v>
      </c>
      <c r="AF4536" t="s">
        <v>138</v>
      </c>
      <c r="AG4536">
        <v>0</v>
      </c>
      <c r="AH4536">
        <v>3</v>
      </c>
      <c r="AI4536">
        <v>1</v>
      </c>
      <c r="AJ4536">
        <v>0</v>
      </c>
      <c r="AK4536" t="s">
        <v>1426</v>
      </c>
      <c r="AL4536">
        <v>32.729644999999998</v>
      </c>
      <c r="AM4536" t="s">
        <v>1427</v>
      </c>
      <c r="AN4536">
        <v>-116.719801</v>
      </c>
      <c r="AO4536">
        <v>25</v>
      </c>
      <c r="AP4536">
        <v>4800</v>
      </c>
      <c r="AQ4536" t="s">
        <v>129</v>
      </c>
      <c r="AR4536">
        <v>-150</v>
      </c>
      <c r="AS4536">
        <v>-94</v>
      </c>
      <c r="AT4536">
        <v>-640</v>
      </c>
      <c r="BB4536">
        <v>1200</v>
      </c>
      <c r="BC4536">
        <v>1</v>
      </c>
      <c r="BD4536" t="str">
        <f t="shared" si="1657"/>
        <v xml:space="preserve">N887QR  </v>
      </c>
      <c r="BE4536">
        <v>1</v>
      </c>
      <c r="BG4536">
        <v>0</v>
      </c>
      <c r="BH4536">
        <v>0</v>
      </c>
      <c r="BI4536">
        <v>0</v>
      </c>
      <c r="BJ4536">
        <v>4475</v>
      </c>
      <c r="BK4536">
        <v>-325</v>
      </c>
      <c r="BL4536" t="s">
        <v>163</v>
      </c>
      <c r="BM4536">
        <v>1</v>
      </c>
      <c r="BN4536">
        <v>1</v>
      </c>
      <c r="BO4536">
        <v>1</v>
      </c>
      <c r="BP4536">
        <v>0</v>
      </c>
      <c r="BS4536">
        <v>0</v>
      </c>
      <c r="BT4536">
        <v>0</v>
      </c>
      <c r="BU4536">
        <v>0</v>
      </c>
      <c r="CE4536" t="str">
        <f t="shared" si="1675"/>
        <v>19:37:43.299</v>
      </c>
      <c r="CF4536">
        <v>298501629</v>
      </c>
      <c r="CS4536">
        <v>0</v>
      </c>
      <c r="CT4536">
        <v>2</v>
      </c>
      <c r="CU4536">
        <v>0</v>
      </c>
      <c r="CV4536">
        <v>2</v>
      </c>
      <c r="CW4536">
        <v>0</v>
      </c>
      <c r="CX4536">
        <v>6</v>
      </c>
      <c r="CY4536">
        <v>7</v>
      </c>
      <c r="CZ4536" t="s">
        <v>131</v>
      </c>
      <c r="DA4536">
        <v>286</v>
      </c>
      <c r="DB4536">
        <v>0</v>
      </c>
      <c r="DC4536" t="s">
        <v>132</v>
      </c>
      <c r="DD4536" t="s">
        <v>133</v>
      </c>
      <c r="DG4536">
        <v>917026</v>
      </c>
      <c r="DI4536">
        <v>1</v>
      </c>
      <c r="DJ4536">
        <v>0</v>
      </c>
      <c r="DK4536">
        <v>0</v>
      </c>
      <c r="DL4536">
        <v>0</v>
      </c>
      <c r="DM4536">
        <v>0</v>
      </c>
      <c r="DN4536">
        <v>1</v>
      </c>
      <c r="DO4536">
        <v>0</v>
      </c>
      <c r="DP4536">
        <v>0</v>
      </c>
      <c r="DQ4536">
        <v>0</v>
      </c>
      <c r="DR4536">
        <v>0</v>
      </c>
      <c r="DS4536">
        <v>0</v>
      </c>
    </row>
    <row r="4537" spans="1:123" x14ac:dyDescent="0.3">
      <c r="A4537" t="str">
        <f>"10/04/2022 19:37:44.277"</f>
        <v>10/04/2022 19:37:44.277</v>
      </c>
      <c r="C4537" t="str">
        <f t="shared" si="1671"/>
        <v>FFDFD3C0</v>
      </c>
      <c r="D4537" t="s">
        <v>134</v>
      </c>
      <c r="E4537">
        <v>15</v>
      </c>
      <c r="J4537" t="s">
        <v>135</v>
      </c>
      <c r="K4537">
        <v>0</v>
      </c>
      <c r="L4537">
        <v>3</v>
      </c>
      <c r="M4537">
        <v>0</v>
      </c>
      <c r="N4537">
        <v>2</v>
      </c>
      <c r="O4537">
        <v>0</v>
      </c>
      <c r="P4537">
        <v>1</v>
      </c>
      <c r="Q4537">
        <v>0</v>
      </c>
      <c r="S4537" t="str">
        <f t="shared" ref="S4537:T4543" si="1676">"19:37:44.000"</f>
        <v>19:37:44.000</v>
      </c>
      <c r="T4537" t="str">
        <f t="shared" si="1676"/>
        <v>19:37:44.000</v>
      </c>
      <c r="U4537" t="str">
        <f t="shared" si="1656"/>
        <v>AC3944</v>
      </c>
      <c r="V4537">
        <v>0</v>
      </c>
      <c r="W4537">
        <v>0</v>
      </c>
      <c r="X4537">
        <v>2</v>
      </c>
      <c r="Y4537">
        <v>0</v>
      </c>
      <c r="AA4537">
        <v>1</v>
      </c>
      <c r="AB4537">
        <v>8</v>
      </c>
      <c r="AC4537">
        <v>3</v>
      </c>
      <c r="AD4537">
        <v>0</v>
      </c>
      <c r="AE4537">
        <v>9</v>
      </c>
      <c r="AF4537" t="s">
        <v>138</v>
      </c>
      <c r="AG4537">
        <v>0</v>
      </c>
      <c r="AH4537">
        <v>3</v>
      </c>
      <c r="AI4537">
        <v>1</v>
      </c>
      <c r="AJ4537">
        <v>0</v>
      </c>
      <c r="AK4537" t="s">
        <v>1428</v>
      </c>
      <c r="AL4537">
        <v>32.729301</v>
      </c>
      <c r="AM4537" t="s">
        <v>1429</v>
      </c>
      <c r="AN4537">
        <v>-116.720467</v>
      </c>
      <c r="AO4537">
        <v>25</v>
      </c>
      <c r="AP4537">
        <v>4800</v>
      </c>
      <c r="AQ4537" t="s">
        <v>129</v>
      </c>
      <c r="AR4537">
        <v>-150</v>
      </c>
      <c r="AS4537">
        <v>-95</v>
      </c>
      <c r="AT4537">
        <v>-640</v>
      </c>
      <c r="BB4537">
        <v>1200</v>
      </c>
      <c r="BC4537">
        <v>1</v>
      </c>
      <c r="BD4537" t="str">
        <f t="shared" si="1657"/>
        <v xml:space="preserve">N887QR  </v>
      </c>
      <c r="BE4537">
        <v>1</v>
      </c>
      <c r="BG4537">
        <v>0</v>
      </c>
      <c r="BH4537">
        <v>0</v>
      </c>
      <c r="BI4537">
        <v>0</v>
      </c>
      <c r="BJ4537">
        <v>4450</v>
      </c>
      <c r="BK4537">
        <v>-350</v>
      </c>
      <c r="BL4537" t="s">
        <v>163</v>
      </c>
      <c r="BM4537">
        <v>1</v>
      </c>
      <c r="BN4537">
        <v>1</v>
      </c>
      <c r="BO4537">
        <v>1</v>
      </c>
      <c r="BP4537">
        <v>0</v>
      </c>
      <c r="BS4537">
        <v>0</v>
      </c>
      <c r="BT4537">
        <v>0</v>
      </c>
      <c r="BU4537">
        <v>0</v>
      </c>
      <c r="CE4537" t="str">
        <f t="shared" ref="CE4537:CE4543" si="1677">"19:37:44.103"</f>
        <v>19:37:44.103</v>
      </c>
      <c r="CF4537">
        <v>102503956</v>
      </c>
      <c r="CS4537">
        <v>0</v>
      </c>
      <c r="CT4537">
        <v>2</v>
      </c>
      <c r="CU4537">
        <v>0</v>
      </c>
      <c r="CV4537">
        <v>2</v>
      </c>
      <c r="CW4537">
        <v>0</v>
      </c>
      <c r="CX4537">
        <v>6</v>
      </c>
      <c r="CY4537">
        <v>7</v>
      </c>
      <c r="CZ4537" t="s">
        <v>131</v>
      </c>
      <c r="DA4537">
        <v>286</v>
      </c>
      <c r="DB4537">
        <v>0</v>
      </c>
      <c r="DC4537" t="s">
        <v>132</v>
      </c>
      <c r="DD4537" t="s">
        <v>133</v>
      </c>
      <c r="DG4537">
        <v>917194</v>
      </c>
      <c r="DI4537">
        <v>1</v>
      </c>
      <c r="DJ4537">
        <v>0</v>
      </c>
      <c r="DK4537">
        <v>0</v>
      </c>
      <c r="DL4537">
        <v>0</v>
      </c>
      <c r="DM4537">
        <v>0</v>
      </c>
      <c r="DN4537">
        <v>1</v>
      </c>
      <c r="DO4537">
        <v>0</v>
      </c>
      <c r="DP4537">
        <v>0</v>
      </c>
      <c r="DQ4537">
        <v>0</v>
      </c>
      <c r="DR4537">
        <v>0</v>
      </c>
      <c r="DS4537">
        <v>0</v>
      </c>
    </row>
    <row r="4538" spans="1:123" x14ac:dyDescent="0.3">
      <c r="A4538" t="str">
        <f>"10/04/2022 19:37:44.418"</f>
        <v>10/04/2022 19:37:44.418</v>
      </c>
      <c r="C4538" t="str">
        <f t="shared" si="1671"/>
        <v>FFDFD3C0</v>
      </c>
      <c r="D4538" t="s">
        <v>143</v>
      </c>
      <c r="E4538">
        <v>20</v>
      </c>
      <c r="F4538">
        <v>1020</v>
      </c>
      <c r="G4538" t="s">
        <v>144</v>
      </c>
      <c r="J4538" t="s">
        <v>145</v>
      </c>
      <c r="K4538">
        <v>0</v>
      </c>
      <c r="L4538">
        <v>3</v>
      </c>
      <c r="M4538">
        <v>0</v>
      </c>
      <c r="N4538">
        <v>2</v>
      </c>
      <c r="O4538">
        <v>0</v>
      </c>
      <c r="P4538">
        <v>1</v>
      </c>
      <c r="Q4538">
        <v>0</v>
      </c>
      <c r="S4538" t="str">
        <f t="shared" si="1676"/>
        <v>19:37:44.000</v>
      </c>
      <c r="T4538" t="str">
        <f t="shared" si="1676"/>
        <v>19:37:44.000</v>
      </c>
      <c r="U4538" t="str">
        <f t="shared" si="1656"/>
        <v>AC3944</v>
      </c>
      <c r="V4538">
        <v>0</v>
      </c>
      <c r="W4538">
        <v>0</v>
      </c>
      <c r="X4538">
        <v>2</v>
      </c>
      <c r="Y4538">
        <v>0</v>
      </c>
      <c r="AA4538">
        <v>1</v>
      </c>
      <c r="AB4538">
        <v>8</v>
      </c>
      <c r="AC4538">
        <v>3</v>
      </c>
      <c r="AD4538">
        <v>0</v>
      </c>
      <c r="AE4538">
        <v>9</v>
      </c>
      <c r="AF4538" t="s">
        <v>138</v>
      </c>
      <c r="AG4538">
        <v>0</v>
      </c>
      <c r="AH4538">
        <v>3</v>
      </c>
      <c r="AI4538">
        <v>1</v>
      </c>
      <c r="AJ4538">
        <v>0</v>
      </c>
      <c r="AK4538" t="s">
        <v>1428</v>
      </c>
      <c r="AL4538">
        <v>32.729301</v>
      </c>
      <c r="AM4538" t="s">
        <v>1429</v>
      </c>
      <c r="AN4538">
        <v>-116.720467</v>
      </c>
      <c r="AO4538">
        <v>25</v>
      </c>
      <c r="AP4538">
        <v>4800</v>
      </c>
      <c r="AQ4538" t="s">
        <v>129</v>
      </c>
      <c r="AR4538">
        <v>-150</v>
      </c>
      <c r="AS4538">
        <v>-95</v>
      </c>
      <c r="AT4538">
        <v>-640</v>
      </c>
      <c r="BB4538">
        <v>1200</v>
      </c>
      <c r="BC4538">
        <v>1</v>
      </c>
      <c r="BD4538" t="str">
        <f t="shared" si="1657"/>
        <v xml:space="preserve">N887QR  </v>
      </c>
      <c r="BE4538">
        <v>1</v>
      </c>
      <c r="BG4538">
        <v>0</v>
      </c>
      <c r="BH4538">
        <v>0</v>
      </c>
      <c r="BI4538">
        <v>0</v>
      </c>
      <c r="BJ4538">
        <v>4450</v>
      </c>
      <c r="BK4538">
        <v>-350</v>
      </c>
      <c r="BL4538" t="s">
        <v>163</v>
      </c>
      <c r="BM4538">
        <v>1</v>
      </c>
      <c r="BN4538">
        <v>1</v>
      </c>
      <c r="BO4538">
        <v>1</v>
      </c>
      <c r="BP4538">
        <v>0</v>
      </c>
      <c r="BS4538">
        <v>0</v>
      </c>
      <c r="BT4538">
        <v>0</v>
      </c>
      <c r="BU4538">
        <v>0</v>
      </c>
      <c r="CE4538" t="str">
        <f t="shared" si="1677"/>
        <v>19:37:44.103</v>
      </c>
      <c r="CF4538">
        <v>102503956</v>
      </c>
      <c r="CS4538">
        <v>0</v>
      </c>
      <c r="CT4538">
        <v>2</v>
      </c>
      <c r="CU4538">
        <v>0</v>
      </c>
      <c r="CV4538">
        <v>2</v>
      </c>
      <c r="CW4538">
        <v>0</v>
      </c>
      <c r="CX4538">
        <v>6</v>
      </c>
      <c r="CY4538">
        <v>7</v>
      </c>
      <c r="CZ4538" t="s">
        <v>131</v>
      </c>
      <c r="DA4538">
        <v>286</v>
      </c>
      <c r="DB4538">
        <v>0</v>
      </c>
      <c r="DC4538" t="s">
        <v>132</v>
      </c>
      <c r="DD4538" t="s">
        <v>133</v>
      </c>
      <c r="DG4538">
        <v>917194</v>
      </c>
      <c r="DI4538">
        <v>1</v>
      </c>
      <c r="DJ4538">
        <v>0</v>
      </c>
      <c r="DK4538">
        <v>1</v>
      </c>
      <c r="DL4538">
        <v>0</v>
      </c>
      <c r="DM4538">
        <v>0</v>
      </c>
      <c r="DN4538">
        <v>1</v>
      </c>
      <c r="DO4538">
        <v>0</v>
      </c>
      <c r="DP4538">
        <v>0</v>
      </c>
      <c r="DQ4538">
        <v>0</v>
      </c>
      <c r="DR4538">
        <v>0</v>
      </c>
      <c r="DS4538">
        <v>0</v>
      </c>
    </row>
    <row r="4539" spans="1:123" x14ac:dyDescent="0.3">
      <c r="A4539" t="str">
        <f>"10/04/2022 19:37:44.418"</f>
        <v>10/04/2022 19:37:44.418</v>
      </c>
      <c r="C4539" t="str">
        <f t="shared" si="1671"/>
        <v>FFDFD3C0</v>
      </c>
      <c r="D4539" t="s">
        <v>141</v>
      </c>
      <c r="E4539">
        <v>3</v>
      </c>
      <c r="H4539">
        <v>3</v>
      </c>
      <c r="I4539" t="s">
        <v>146</v>
      </c>
      <c r="J4539" t="s">
        <v>138</v>
      </c>
      <c r="K4539">
        <v>0</v>
      </c>
      <c r="L4539">
        <v>3</v>
      </c>
      <c r="M4539">
        <v>0</v>
      </c>
      <c r="N4539">
        <v>2</v>
      </c>
      <c r="O4539">
        <v>0</v>
      </c>
      <c r="P4539">
        <v>1</v>
      </c>
      <c r="Q4539">
        <v>0</v>
      </c>
      <c r="S4539" t="str">
        <f t="shared" si="1676"/>
        <v>19:37:44.000</v>
      </c>
      <c r="T4539" t="str">
        <f t="shared" si="1676"/>
        <v>19:37:44.000</v>
      </c>
      <c r="U4539" t="str">
        <f t="shared" si="1656"/>
        <v>AC3944</v>
      </c>
      <c r="V4539">
        <v>0</v>
      </c>
      <c r="W4539">
        <v>0</v>
      </c>
      <c r="X4539">
        <v>2</v>
      </c>
      <c r="Y4539">
        <v>0</v>
      </c>
      <c r="AA4539">
        <v>1</v>
      </c>
      <c r="AB4539">
        <v>8</v>
      </c>
      <c r="AC4539">
        <v>3</v>
      </c>
      <c r="AD4539">
        <v>0</v>
      </c>
      <c r="AE4539">
        <v>9</v>
      </c>
      <c r="AF4539" t="s">
        <v>138</v>
      </c>
      <c r="AG4539">
        <v>0</v>
      </c>
      <c r="AH4539">
        <v>3</v>
      </c>
      <c r="AI4539">
        <v>1</v>
      </c>
      <c r="AJ4539">
        <v>0</v>
      </c>
      <c r="AK4539" t="s">
        <v>1428</v>
      </c>
      <c r="AL4539">
        <v>32.729301</v>
      </c>
      <c r="AM4539" t="s">
        <v>1429</v>
      </c>
      <c r="AN4539">
        <v>-116.720467</v>
      </c>
      <c r="AO4539">
        <v>25</v>
      </c>
      <c r="AP4539">
        <v>4800</v>
      </c>
      <c r="AQ4539" t="s">
        <v>129</v>
      </c>
      <c r="AR4539">
        <v>-150</v>
      </c>
      <c r="AS4539">
        <v>-95</v>
      </c>
      <c r="AT4539">
        <v>-640</v>
      </c>
      <c r="BB4539">
        <v>1200</v>
      </c>
      <c r="BC4539">
        <v>1</v>
      </c>
      <c r="BD4539" t="str">
        <f t="shared" si="1657"/>
        <v xml:space="preserve">N887QR  </v>
      </c>
      <c r="BE4539">
        <v>1</v>
      </c>
      <c r="BG4539">
        <v>0</v>
      </c>
      <c r="BH4539">
        <v>0</v>
      </c>
      <c r="BI4539">
        <v>0</v>
      </c>
      <c r="BJ4539">
        <v>4450</v>
      </c>
      <c r="BK4539">
        <v>-350</v>
      </c>
      <c r="BL4539" t="s">
        <v>163</v>
      </c>
      <c r="BM4539">
        <v>1</v>
      </c>
      <c r="BN4539">
        <v>1</v>
      </c>
      <c r="BO4539">
        <v>1</v>
      </c>
      <c r="BP4539">
        <v>0</v>
      </c>
      <c r="BS4539">
        <v>0</v>
      </c>
      <c r="BT4539">
        <v>0</v>
      </c>
      <c r="BU4539">
        <v>0</v>
      </c>
      <c r="CE4539" t="str">
        <f t="shared" si="1677"/>
        <v>19:37:44.103</v>
      </c>
      <c r="CF4539">
        <v>102503956</v>
      </c>
      <c r="CS4539">
        <v>0</v>
      </c>
      <c r="CT4539">
        <v>2</v>
      </c>
      <c r="CU4539">
        <v>0</v>
      </c>
      <c r="CV4539">
        <v>2</v>
      </c>
      <c r="CW4539">
        <v>0</v>
      </c>
      <c r="CX4539">
        <v>6</v>
      </c>
      <c r="CY4539">
        <v>7</v>
      </c>
      <c r="CZ4539" t="s">
        <v>131</v>
      </c>
      <c r="DA4539">
        <v>286</v>
      </c>
      <c r="DB4539">
        <v>0</v>
      </c>
      <c r="DC4539" t="s">
        <v>132</v>
      </c>
      <c r="DD4539" t="s">
        <v>133</v>
      </c>
      <c r="DG4539">
        <v>917194</v>
      </c>
      <c r="DI4539">
        <v>1</v>
      </c>
      <c r="DJ4539">
        <v>0</v>
      </c>
      <c r="DK4539">
        <v>1</v>
      </c>
      <c r="DL4539">
        <v>0</v>
      </c>
      <c r="DM4539">
        <v>0</v>
      </c>
      <c r="DN4539">
        <v>1</v>
      </c>
      <c r="DO4539">
        <v>0</v>
      </c>
      <c r="DP4539">
        <v>0</v>
      </c>
      <c r="DQ4539">
        <v>0</v>
      </c>
      <c r="DR4539">
        <v>0</v>
      </c>
      <c r="DS4539">
        <v>0</v>
      </c>
    </row>
    <row r="4540" spans="1:123" x14ac:dyDescent="0.3">
      <c r="A4540" t="str">
        <f>"10/04/2022 19:37:44.418"</f>
        <v>10/04/2022 19:37:44.418</v>
      </c>
      <c r="C4540" t="str">
        <f t="shared" si="1671"/>
        <v>FFDFD3C0</v>
      </c>
      <c r="D4540" t="s">
        <v>123</v>
      </c>
      <c r="E4540">
        <v>7</v>
      </c>
      <c r="F4540">
        <v>2007</v>
      </c>
      <c r="G4540" t="s">
        <v>124</v>
      </c>
      <c r="J4540" t="s">
        <v>125</v>
      </c>
      <c r="K4540">
        <v>0</v>
      </c>
      <c r="L4540">
        <v>3</v>
      </c>
      <c r="M4540">
        <v>0</v>
      </c>
      <c r="N4540">
        <v>2</v>
      </c>
      <c r="O4540">
        <v>0</v>
      </c>
      <c r="P4540">
        <v>1</v>
      </c>
      <c r="Q4540">
        <v>0</v>
      </c>
      <c r="S4540" t="str">
        <f t="shared" si="1676"/>
        <v>19:37:44.000</v>
      </c>
      <c r="T4540" t="str">
        <f t="shared" si="1676"/>
        <v>19:37:44.000</v>
      </c>
      <c r="U4540" t="str">
        <f t="shared" si="1656"/>
        <v>AC3944</v>
      </c>
      <c r="V4540">
        <v>0</v>
      </c>
      <c r="W4540">
        <v>0</v>
      </c>
      <c r="X4540">
        <v>2</v>
      </c>
      <c r="Y4540">
        <v>0</v>
      </c>
      <c r="AA4540">
        <v>1</v>
      </c>
      <c r="AB4540">
        <v>8</v>
      </c>
      <c r="AC4540">
        <v>3</v>
      </c>
      <c r="AD4540">
        <v>0</v>
      </c>
      <c r="AE4540">
        <v>9</v>
      </c>
      <c r="AF4540" t="s">
        <v>138</v>
      </c>
      <c r="AG4540">
        <v>0</v>
      </c>
      <c r="AH4540">
        <v>3</v>
      </c>
      <c r="AI4540">
        <v>1</v>
      </c>
      <c r="AJ4540">
        <v>0</v>
      </c>
      <c r="AK4540" t="s">
        <v>1428</v>
      </c>
      <c r="AL4540">
        <v>32.729301</v>
      </c>
      <c r="AM4540" t="s">
        <v>1429</v>
      </c>
      <c r="AN4540">
        <v>-116.720467</v>
      </c>
      <c r="AO4540">
        <v>25</v>
      </c>
      <c r="AP4540">
        <v>4800</v>
      </c>
      <c r="AQ4540" t="s">
        <v>129</v>
      </c>
      <c r="AR4540">
        <v>-150</v>
      </c>
      <c r="AS4540">
        <v>-95</v>
      </c>
      <c r="AT4540">
        <v>-640</v>
      </c>
      <c r="BB4540">
        <v>1200</v>
      </c>
      <c r="BC4540">
        <v>1</v>
      </c>
      <c r="BD4540" t="str">
        <f t="shared" si="1657"/>
        <v xml:space="preserve">N887QR  </v>
      </c>
      <c r="BE4540">
        <v>1</v>
      </c>
      <c r="BG4540">
        <v>0</v>
      </c>
      <c r="BH4540">
        <v>0</v>
      </c>
      <c r="BI4540">
        <v>0</v>
      </c>
      <c r="BJ4540">
        <v>4450</v>
      </c>
      <c r="BK4540">
        <v>-350</v>
      </c>
      <c r="BL4540" t="s">
        <v>163</v>
      </c>
      <c r="BM4540">
        <v>1</v>
      </c>
      <c r="BN4540">
        <v>1</v>
      </c>
      <c r="BO4540">
        <v>1</v>
      </c>
      <c r="BP4540">
        <v>0</v>
      </c>
      <c r="BS4540">
        <v>0</v>
      </c>
      <c r="BT4540">
        <v>0</v>
      </c>
      <c r="BU4540">
        <v>0</v>
      </c>
      <c r="CE4540" t="str">
        <f t="shared" si="1677"/>
        <v>19:37:44.103</v>
      </c>
      <c r="CF4540">
        <v>102503956</v>
      </c>
      <c r="CS4540">
        <v>0</v>
      </c>
      <c r="CT4540">
        <v>2</v>
      </c>
      <c r="CU4540">
        <v>0</v>
      </c>
      <c r="CV4540">
        <v>2</v>
      </c>
      <c r="CW4540">
        <v>0</v>
      </c>
      <c r="CX4540">
        <v>6</v>
      </c>
      <c r="CY4540">
        <v>7</v>
      </c>
      <c r="CZ4540" t="s">
        <v>131</v>
      </c>
      <c r="DA4540">
        <v>286</v>
      </c>
      <c r="DB4540">
        <v>0</v>
      </c>
      <c r="DC4540" t="s">
        <v>132</v>
      </c>
      <c r="DD4540" t="s">
        <v>133</v>
      </c>
      <c r="DG4540">
        <v>917194</v>
      </c>
      <c r="DI4540">
        <v>1</v>
      </c>
      <c r="DJ4540">
        <v>0</v>
      </c>
      <c r="DK4540">
        <v>1</v>
      </c>
      <c r="DL4540">
        <v>0</v>
      </c>
      <c r="DM4540">
        <v>0</v>
      </c>
      <c r="DN4540">
        <v>1</v>
      </c>
      <c r="DO4540">
        <v>0</v>
      </c>
      <c r="DP4540">
        <v>0</v>
      </c>
      <c r="DQ4540">
        <v>0</v>
      </c>
      <c r="DR4540">
        <v>0</v>
      </c>
      <c r="DS4540">
        <v>0</v>
      </c>
    </row>
    <row r="4541" spans="1:123" x14ac:dyDescent="0.3">
      <c r="A4541" t="str">
        <f>"10/04/2022 19:37:44.418"</f>
        <v>10/04/2022 19:37:44.418</v>
      </c>
      <c r="C4541" t="str">
        <f t="shared" si="1671"/>
        <v>FFDFD3C0</v>
      </c>
      <c r="D4541" t="s">
        <v>141</v>
      </c>
      <c r="E4541">
        <v>4</v>
      </c>
      <c r="H4541">
        <v>4</v>
      </c>
      <c r="I4541" t="s">
        <v>142</v>
      </c>
      <c r="J4541" t="s">
        <v>138</v>
      </c>
      <c r="K4541">
        <v>0</v>
      </c>
      <c r="L4541">
        <v>3</v>
      </c>
      <c r="M4541">
        <v>0</v>
      </c>
      <c r="N4541">
        <v>2</v>
      </c>
      <c r="O4541">
        <v>0</v>
      </c>
      <c r="P4541">
        <v>1</v>
      </c>
      <c r="Q4541">
        <v>0</v>
      </c>
      <c r="S4541" t="str">
        <f t="shared" si="1676"/>
        <v>19:37:44.000</v>
      </c>
      <c r="T4541" t="str">
        <f t="shared" si="1676"/>
        <v>19:37:44.000</v>
      </c>
      <c r="U4541" t="str">
        <f t="shared" si="1656"/>
        <v>AC3944</v>
      </c>
      <c r="V4541">
        <v>0</v>
      </c>
      <c r="W4541">
        <v>0</v>
      </c>
      <c r="X4541">
        <v>2</v>
      </c>
      <c r="Y4541">
        <v>0</v>
      </c>
      <c r="AA4541">
        <v>1</v>
      </c>
      <c r="AB4541">
        <v>8</v>
      </c>
      <c r="AC4541">
        <v>3</v>
      </c>
      <c r="AD4541">
        <v>0</v>
      </c>
      <c r="AE4541">
        <v>9</v>
      </c>
      <c r="AF4541" t="s">
        <v>138</v>
      </c>
      <c r="AG4541">
        <v>0</v>
      </c>
      <c r="AH4541">
        <v>3</v>
      </c>
      <c r="AI4541">
        <v>1</v>
      </c>
      <c r="AJ4541">
        <v>0</v>
      </c>
      <c r="AK4541" t="s">
        <v>1428</v>
      </c>
      <c r="AL4541">
        <v>32.729301</v>
      </c>
      <c r="AM4541" t="s">
        <v>1429</v>
      </c>
      <c r="AN4541">
        <v>-116.720467</v>
      </c>
      <c r="AO4541">
        <v>25</v>
      </c>
      <c r="AP4541">
        <v>4800</v>
      </c>
      <c r="AQ4541" t="s">
        <v>129</v>
      </c>
      <c r="AR4541">
        <v>-150</v>
      </c>
      <c r="AS4541">
        <v>-95</v>
      </c>
      <c r="AT4541">
        <v>-640</v>
      </c>
      <c r="BB4541">
        <v>1200</v>
      </c>
      <c r="BC4541">
        <v>1</v>
      </c>
      <c r="BD4541" t="str">
        <f t="shared" si="1657"/>
        <v xml:space="preserve">N887QR  </v>
      </c>
      <c r="BE4541">
        <v>1</v>
      </c>
      <c r="BG4541">
        <v>0</v>
      </c>
      <c r="BH4541">
        <v>0</v>
      </c>
      <c r="BI4541">
        <v>0</v>
      </c>
      <c r="BJ4541">
        <v>4450</v>
      </c>
      <c r="BK4541">
        <v>-350</v>
      </c>
      <c r="BL4541" t="s">
        <v>163</v>
      </c>
      <c r="BM4541">
        <v>1</v>
      </c>
      <c r="BN4541">
        <v>1</v>
      </c>
      <c r="BO4541">
        <v>1</v>
      </c>
      <c r="BP4541">
        <v>0</v>
      </c>
      <c r="BS4541">
        <v>0</v>
      </c>
      <c r="BT4541">
        <v>0</v>
      </c>
      <c r="BU4541">
        <v>0</v>
      </c>
      <c r="CE4541" t="str">
        <f t="shared" si="1677"/>
        <v>19:37:44.103</v>
      </c>
      <c r="CF4541">
        <v>102503956</v>
      </c>
      <c r="CS4541">
        <v>0</v>
      </c>
      <c r="CT4541">
        <v>2</v>
      </c>
      <c r="CU4541">
        <v>0</v>
      </c>
      <c r="CV4541">
        <v>2</v>
      </c>
      <c r="CW4541">
        <v>0</v>
      </c>
      <c r="CX4541">
        <v>6</v>
      </c>
      <c r="CY4541">
        <v>7</v>
      </c>
      <c r="CZ4541" t="s">
        <v>131</v>
      </c>
      <c r="DA4541">
        <v>286</v>
      </c>
      <c r="DB4541">
        <v>0</v>
      </c>
      <c r="DC4541" t="s">
        <v>132</v>
      </c>
      <c r="DD4541" t="s">
        <v>133</v>
      </c>
      <c r="DG4541">
        <v>917194</v>
      </c>
      <c r="DI4541">
        <v>1</v>
      </c>
      <c r="DJ4541">
        <v>0</v>
      </c>
      <c r="DK4541">
        <v>1</v>
      </c>
      <c r="DL4541">
        <v>0</v>
      </c>
      <c r="DM4541">
        <v>0</v>
      </c>
      <c r="DN4541">
        <v>1</v>
      </c>
      <c r="DO4541">
        <v>0</v>
      </c>
      <c r="DP4541">
        <v>0</v>
      </c>
      <c r="DQ4541">
        <v>0</v>
      </c>
      <c r="DR4541">
        <v>0</v>
      </c>
      <c r="DS4541">
        <v>0</v>
      </c>
    </row>
    <row r="4542" spans="1:123" x14ac:dyDescent="0.3">
      <c r="A4542" t="str">
        <f>"10/04/2022 19:37:44.418"</f>
        <v>10/04/2022 19:37:44.418</v>
      </c>
      <c r="C4542" t="str">
        <f t="shared" si="1671"/>
        <v>FFDFD3C0</v>
      </c>
      <c r="D4542" t="s">
        <v>147</v>
      </c>
      <c r="E4542">
        <v>3</v>
      </c>
      <c r="H4542">
        <v>166</v>
      </c>
      <c r="I4542" t="s">
        <v>144</v>
      </c>
      <c r="J4542" t="s">
        <v>148</v>
      </c>
      <c r="K4542">
        <v>0</v>
      </c>
      <c r="L4542">
        <v>3</v>
      </c>
      <c r="M4542">
        <v>0</v>
      </c>
      <c r="N4542">
        <v>2</v>
      </c>
      <c r="O4542">
        <v>0</v>
      </c>
      <c r="P4542">
        <v>1</v>
      </c>
      <c r="Q4542">
        <v>0</v>
      </c>
      <c r="S4542" t="str">
        <f t="shared" si="1676"/>
        <v>19:37:44.000</v>
      </c>
      <c r="T4542" t="str">
        <f t="shared" si="1676"/>
        <v>19:37:44.000</v>
      </c>
      <c r="U4542" t="str">
        <f t="shared" si="1656"/>
        <v>AC3944</v>
      </c>
      <c r="V4542">
        <v>0</v>
      </c>
      <c r="W4542">
        <v>0</v>
      </c>
      <c r="X4542">
        <v>2</v>
      </c>
      <c r="Y4542">
        <v>0</v>
      </c>
      <c r="AA4542">
        <v>1</v>
      </c>
      <c r="AB4542">
        <v>8</v>
      </c>
      <c r="AC4542">
        <v>3</v>
      </c>
      <c r="AD4542">
        <v>0</v>
      </c>
      <c r="AE4542">
        <v>9</v>
      </c>
      <c r="AF4542" t="s">
        <v>138</v>
      </c>
      <c r="AG4542">
        <v>0</v>
      </c>
      <c r="AH4542">
        <v>3</v>
      </c>
      <c r="AI4542">
        <v>1</v>
      </c>
      <c r="AJ4542">
        <v>0</v>
      </c>
      <c r="AK4542" t="s">
        <v>1428</v>
      </c>
      <c r="AL4542">
        <v>32.729301</v>
      </c>
      <c r="AM4542" t="s">
        <v>1429</v>
      </c>
      <c r="AN4542">
        <v>-116.720467</v>
      </c>
      <c r="AO4542">
        <v>25</v>
      </c>
      <c r="AP4542">
        <v>4800</v>
      </c>
      <c r="AQ4542" t="s">
        <v>129</v>
      </c>
      <c r="AR4542">
        <v>-150</v>
      </c>
      <c r="AS4542">
        <v>-95</v>
      </c>
      <c r="AT4542">
        <v>-640</v>
      </c>
      <c r="BB4542">
        <v>1200</v>
      </c>
      <c r="BC4542">
        <v>1</v>
      </c>
      <c r="BD4542" t="str">
        <f t="shared" si="1657"/>
        <v xml:space="preserve">N887QR  </v>
      </c>
      <c r="BE4542">
        <v>1</v>
      </c>
      <c r="BG4542">
        <v>0</v>
      </c>
      <c r="BH4542">
        <v>0</v>
      </c>
      <c r="BI4542">
        <v>0</v>
      </c>
      <c r="BJ4542">
        <v>4450</v>
      </c>
      <c r="BK4542">
        <v>-350</v>
      </c>
      <c r="BL4542" t="s">
        <v>163</v>
      </c>
      <c r="BM4542">
        <v>1</v>
      </c>
      <c r="BN4542">
        <v>1</v>
      </c>
      <c r="BO4542">
        <v>1</v>
      </c>
      <c r="BP4542">
        <v>0</v>
      </c>
      <c r="BS4542">
        <v>0</v>
      </c>
      <c r="BT4542">
        <v>0</v>
      </c>
      <c r="BU4542">
        <v>0</v>
      </c>
      <c r="CE4542" t="str">
        <f t="shared" si="1677"/>
        <v>19:37:44.103</v>
      </c>
      <c r="CF4542">
        <v>102503956</v>
      </c>
      <c r="CS4542">
        <v>0</v>
      </c>
      <c r="CT4542">
        <v>2</v>
      </c>
      <c r="CU4542">
        <v>0</v>
      </c>
      <c r="CV4542">
        <v>2</v>
      </c>
      <c r="CW4542">
        <v>0</v>
      </c>
      <c r="CX4542">
        <v>6</v>
      </c>
      <c r="CY4542">
        <v>7</v>
      </c>
      <c r="CZ4542" t="s">
        <v>131</v>
      </c>
      <c r="DA4542">
        <v>286</v>
      </c>
      <c r="DB4542">
        <v>0</v>
      </c>
      <c r="DC4542" t="s">
        <v>132</v>
      </c>
      <c r="DD4542" t="s">
        <v>133</v>
      </c>
      <c r="DG4542">
        <v>917194</v>
      </c>
      <c r="DI4542">
        <v>1</v>
      </c>
      <c r="DJ4542">
        <v>0</v>
      </c>
      <c r="DK4542">
        <v>1</v>
      </c>
      <c r="DL4542">
        <v>0</v>
      </c>
      <c r="DM4542">
        <v>0</v>
      </c>
      <c r="DN4542">
        <v>1</v>
      </c>
      <c r="DO4542">
        <v>0</v>
      </c>
      <c r="DP4542">
        <v>0</v>
      </c>
      <c r="DQ4542">
        <v>0</v>
      </c>
      <c r="DR4542">
        <v>0</v>
      </c>
      <c r="DS4542">
        <v>0</v>
      </c>
    </row>
    <row r="4543" spans="1:123" x14ac:dyDescent="0.3">
      <c r="A4543" t="str">
        <f>"10/04/2022 19:37:44.465"</f>
        <v>10/04/2022 19:37:44.465</v>
      </c>
      <c r="C4543" t="str">
        <f t="shared" si="1671"/>
        <v>FFDFD3C0</v>
      </c>
      <c r="D4543" t="s">
        <v>136</v>
      </c>
      <c r="E4543">
        <v>8</v>
      </c>
      <c r="H4543">
        <v>225</v>
      </c>
      <c r="I4543" t="s">
        <v>137</v>
      </c>
      <c r="J4543" t="s">
        <v>138</v>
      </c>
      <c r="K4543">
        <v>0</v>
      </c>
      <c r="L4543">
        <v>3</v>
      </c>
      <c r="M4543">
        <v>0</v>
      </c>
      <c r="N4543">
        <v>2</v>
      </c>
      <c r="O4543">
        <v>0</v>
      </c>
      <c r="P4543">
        <v>1</v>
      </c>
      <c r="Q4543">
        <v>0</v>
      </c>
      <c r="S4543" t="str">
        <f t="shared" si="1676"/>
        <v>19:37:44.000</v>
      </c>
      <c r="T4543" t="str">
        <f t="shared" si="1676"/>
        <v>19:37:44.000</v>
      </c>
      <c r="U4543" t="str">
        <f t="shared" si="1656"/>
        <v>AC3944</v>
      </c>
      <c r="V4543">
        <v>0</v>
      </c>
      <c r="W4543">
        <v>0</v>
      </c>
      <c r="X4543">
        <v>2</v>
      </c>
      <c r="Y4543">
        <v>0</v>
      </c>
      <c r="AA4543">
        <v>1</v>
      </c>
      <c r="AB4543">
        <v>8</v>
      </c>
      <c r="AC4543">
        <v>3</v>
      </c>
      <c r="AD4543">
        <v>0</v>
      </c>
      <c r="AE4543">
        <v>9</v>
      </c>
      <c r="AF4543" t="s">
        <v>138</v>
      </c>
      <c r="AG4543">
        <v>0</v>
      </c>
      <c r="AH4543">
        <v>3</v>
      </c>
      <c r="AI4543">
        <v>1</v>
      </c>
      <c r="AJ4543">
        <v>0</v>
      </c>
      <c r="AK4543" t="s">
        <v>1428</v>
      </c>
      <c r="AL4543">
        <v>32.729301</v>
      </c>
      <c r="AM4543" t="s">
        <v>1429</v>
      </c>
      <c r="AN4543">
        <v>-116.720467</v>
      </c>
      <c r="AO4543">
        <v>25</v>
      </c>
      <c r="AP4543">
        <v>4800</v>
      </c>
      <c r="AQ4543" t="s">
        <v>129</v>
      </c>
      <c r="AR4543">
        <v>-150</v>
      </c>
      <c r="AS4543">
        <v>-95</v>
      </c>
      <c r="AT4543">
        <v>-640</v>
      </c>
      <c r="BB4543">
        <v>1200</v>
      </c>
      <c r="BC4543">
        <v>1</v>
      </c>
      <c r="BD4543" t="str">
        <f t="shared" si="1657"/>
        <v xml:space="preserve">N887QR  </v>
      </c>
      <c r="BE4543">
        <v>1</v>
      </c>
      <c r="BG4543">
        <v>0</v>
      </c>
      <c r="BH4543">
        <v>0</v>
      </c>
      <c r="BI4543">
        <v>0</v>
      </c>
      <c r="BJ4543">
        <v>4450</v>
      </c>
      <c r="BK4543">
        <v>-350</v>
      </c>
      <c r="BL4543" t="s">
        <v>163</v>
      </c>
      <c r="BM4543">
        <v>1</v>
      </c>
      <c r="BN4543">
        <v>1</v>
      </c>
      <c r="BO4543">
        <v>1</v>
      </c>
      <c r="BP4543">
        <v>0</v>
      </c>
      <c r="BS4543">
        <v>0</v>
      </c>
      <c r="BT4543">
        <v>0</v>
      </c>
      <c r="BU4543">
        <v>0</v>
      </c>
      <c r="CE4543" t="str">
        <f t="shared" si="1677"/>
        <v>19:37:44.103</v>
      </c>
      <c r="CF4543">
        <v>102503956</v>
      </c>
      <c r="CS4543">
        <v>0</v>
      </c>
      <c r="CT4543">
        <v>2</v>
      </c>
      <c r="CU4543">
        <v>0</v>
      </c>
      <c r="CV4543">
        <v>2</v>
      </c>
      <c r="CW4543">
        <v>0</v>
      </c>
      <c r="CX4543">
        <v>6</v>
      </c>
      <c r="CY4543">
        <v>7</v>
      </c>
      <c r="CZ4543" t="s">
        <v>131</v>
      </c>
      <c r="DA4543">
        <v>286</v>
      </c>
      <c r="DB4543">
        <v>0</v>
      </c>
      <c r="DC4543" t="s">
        <v>132</v>
      </c>
      <c r="DD4543" t="s">
        <v>133</v>
      </c>
      <c r="DG4543">
        <v>917194</v>
      </c>
      <c r="DI4543">
        <v>1</v>
      </c>
      <c r="DJ4543">
        <v>0</v>
      </c>
      <c r="DK4543">
        <v>1</v>
      </c>
      <c r="DL4543">
        <v>0</v>
      </c>
      <c r="DM4543">
        <v>0</v>
      </c>
      <c r="DN4543">
        <v>1</v>
      </c>
      <c r="DO4543">
        <v>0</v>
      </c>
      <c r="DP4543">
        <v>0</v>
      </c>
      <c r="DQ4543">
        <v>0</v>
      </c>
      <c r="DR4543">
        <v>0</v>
      </c>
      <c r="DS4543">
        <v>0</v>
      </c>
    </row>
    <row r="4544" spans="1:123" x14ac:dyDescent="0.3">
      <c r="A4544" t="str">
        <f>"10/04/2022 19:37:45.450"</f>
        <v>10/04/2022 19:37:45.450</v>
      </c>
      <c r="C4544" t="str">
        <f t="shared" si="1671"/>
        <v>FFDFD3C0</v>
      </c>
      <c r="D4544" t="s">
        <v>143</v>
      </c>
      <c r="E4544">
        <v>20</v>
      </c>
      <c r="F4544">
        <v>1020</v>
      </c>
      <c r="G4544" t="s">
        <v>144</v>
      </c>
      <c r="J4544" t="s">
        <v>145</v>
      </c>
      <c r="K4544">
        <v>0</v>
      </c>
      <c r="L4544">
        <v>3</v>
      </c>
      <c r="M4544">
        <v>0</v>
      </c>
      <c r="N4544">
        <v>2</v>
      </c>
      <c r="O4544">
        <v>0</v>
      </c>
      <c r="P4544">
        <v>1</v>
      </c>
      <c r="Q4544">
        <v>0</v>
      </c>
      <c r="S4544" t="str">
        <f t="shared" ref="S4544:T4550" si="1678">"19:37:45.000"</f>
        <v>19:37:45.000</v>
      </c>
      <c r="T4544" t="str">
        <f t="shared" si="1678"/>
        <v>19:37:45.000</v>
      </c>
      <c r="U4544" t="str">
        <f t="shared" si="1656"/>
        <v>AC3944</v>
      </c>
      <c r="V4544">
        <v>0</v>
      </c>
      <c r="W4544">
        <v>0</v>
      </c>
      <c r="X4544">
        <v>2</v>
      </c>
      <c r="Y4544">
        <v>0</v>
      </c>
      <c r="AA4544">
        <v>1</v>
      </c>
      <c r="AB4544">
        <v>8</v>
      </c>
      <c r="AC4544">
        <v>3</v>
      </c>
      <c r="AD4544">
        <v>0</v>
      </c>
      <c r="AE4544">
        <v>9</v>
      </c>
      <c r="AF4544" t="s">
        <v>138</v>
      </c>
      <c r="AG4544">
        <v>0</v>
      </c>
      <c r="AH4544">
        <v>3</v>
      </c>
      <c r="AI4544">
        <v>1</v>
      </c>
      <c r="AJ4544">
        <v>0</v>
      </c>
      <c r="AK4544" t="s">
        <v>1430</v>
      </c>
      <c r="AL4544">
        <v>32.728850999999999</v>
      </c>
      <c r="AM4544" t="s">
        <v>1431</v>
      </c>
      <c r="AN4544">
        <v>-116.721282</v>
      </c>
      <c r="AO4544">
        <v>25</v>
      </c>
      <c r="AP4544">
        <v>4800</v>
      </c>
      <c r="AQ4544" t="s">
        <v>129</v>
      </c>
      <c r="AR4544">
        <v>-150</v>
      </c>
      <c r="AS4544">
        <v>-96</v>
      </c>
      <c r="AT4544">
        <v>-704</v>
      </c>
      <c r="BB4544">
        <v>1200</v>
      </c>
      <c r="BC4544">
        <v>1</v>
      </c>
      <c r="BD4544" t="str">
        <f t="shared" si="1657"/>
        <v xml:space="preserve">N887QR  </v>
      </c>
      <c r="BE4544">
        <v>1</v>
      </c>
      <c r="BG4544">
        <v>0</v>
      </c>
      <c r="BH4544">
        <v>0</v>
      </c>
      <c r="BI4544">
        <v>0</v>
      </c>
      <c r="BJ4544">
        <v>4450</v>
      </c>
      <c r="BK4544">
        <v>-350</v>
      </c>
      <c r="BL4544" t="s">
        <v>163</v>
      </c>
      <c r="BM4544">
        <v>1</v>
      </c>
      <c r="BN4544">
        <v>1</v>
      </c>
      <c r="BO4544">
        <v>1</v>
      </c>
      <c r="BP4544">
        <v>0</v>
      </c>
      <c r="BS4544">
        <v>0</v>
      </c>
      <c r="BT4544">
        <v>0</v>
      </c>
      <c r="BU4544">
        <v>0</v>
      </c>
      <c r="CE4544" t="str">
        <f t="shared" ref="CE4544:CE4550" si="1679">"19:37:45.093"</f>
        <v>19:37:45.093</v>
      </c>
      <c r="CF4544">
        <v>93256838</v>
      </c>
      <c r="CS4544">
        <v>0</v>
      </c>
      <c r="CT4544">
        <v>2</v>
      </c>
      <c r="CU4544">
        <v>0</v>
      </c>
      <c r="CV4544">
        <v>2</v>
      </c>
      <c r="CW4544">
        <v>0</v>
      </c>
      <c r="CX4544">
        <v>6</v>
      </c>
      <c r="CY4544">
        <v>7</v>
      </c>
      <c r="CZ4544" t="s">
        <v>131</v>
      </c>
      <c r="DA4544">
        <v>286</v>
      </c>
      <c r="DB4544">
        <v>0</v>
      </c>
      <c r="DC4544" t="s">
        <v>132</v>
      </c>
      <c r="DD4544" t="s">
        <v>133</v>
      </c>
      <c r="DG4544">
        <v>917415</v>
      </c>
      <c r="DI4544">
        <v>1</v>
      </c>
      <c r="DJ4544">
        <v>0</v>
      </c>
      <c r="DK4544">
        <v>0</v>
      </c>
      <c r="DL4544">
        <v>0</v>
      </c>
      <c r="DM4544">
        <v>0</v>
      </c>
      <c r="DN4544">
        <v>1</v>
      </c>
      <c r="DO4544">
        <v>0</v>
      </c>
      <c r="DP4544">
        <v>0</v>
      </c>
      <c r="DQ4544">
        <v>0</v>
      </c>
      <c r="DR4544">
        <v>0</v>
      </c>
      <c r="DS4544">
        <v>0</v>
      </c>
    </row>
    <row r="4545" spans="1:123" x14ac:dyDescent="0.3">
      <c r="A4545" t="str">
        <f>"10/04/2022 19:37:45.450"</f>
        <v>10/04/2022 19:37:45.450</v>
      </c>
      <c r="C4545" t="str">
        <f t="shared" si="1671"/>
        <v>FFDFD3C0</v>
      </c>
      <c r="D4545" t="s">
        <v>123</v>
      </c>
      <c r="E4545">
        <v>7</v>
      </c>
      <c r="F4545">
        <v>2007</v>
      </c>
      <c r="G4545" t="s">
        <v>124</v>
      </c>
      <c r="J4545" t="s">
        <v>125</v>
      </c>
      <c r="K4545">
        <v>0</v>
      </c>
      <c r="L4545">
        <v>3</v>
      </c>
      <c r="M4545">
        <v>0</v>
      </c>
      <c r="N4545">
        <v>2</v>
      </c>
      <c r="O4545">
        <v>0</v>
      </c>
      <c r="P4545">
        <v>1</v>
      </c>
      <c r="Q4545">
        <v>0</v>
      </c>
      <c r="S4545" t="str">
        <f t="shared" si="1678"/>
        <v>19:37:45.000</v>
      </c>
      <c r="T4545" t="str">
        <f t="shared" si="1678"/>
        <v>19:37:45.000</v>
      </c>
      <c r="U4545" t="str">
        <f t="shared" si="1656"/>
        <v>AC3944</v>
      </c>
      <c r="V4545">
        <v>0</v>
      </c>
      <c r="W4545">
        <v>0</v>
      </c>
      <c r="X4545">
        <v>2</v>
      </c>
      <c r="Y4545">
        <v>0</v>
      </c>
      <c r="AA4545">
        <v>1</v>
      </c>
      <c r="AB4545">
        <v>8</v>
      </c>
      <c r="AC4545">
        <v>3</v>
      </c>
      <c r="AD4545">
        <v>0</v>
      </c>
      <c r="AE4545">
        <v>9</v>
      </c>
      <c r="AF4545" t="s">
        <v>138</v>
      </c>
      <c r="AG4545">
        <v>0</v>
      </c>
      <c r="AH4545">
        <v>3</v>
      </c>
      <c r="AI4545">
        <v>1</v>
      </c>
      <c r="AJ4545">
        <v>0</v>
      </c>
      <c r="AK4545" t="s">
        <v>1430</v>
      </c>
      <c r="AL4545">
        <v>32.728850999999999</v>
      </c>
      <c r="AM4545" t="s">
        <v>1431</v>
      </c>
      <c r="AN4545">
        <v>-116.721282</v>
      </c>
      <c r="AO4545">
        <v>25</v>
      </c>
      <c r="AP4545">
        <v>4800</v>
      </c>
      <c r="AQ4545" t="s">
        <v>129</v>
      </c>
      <c r="AR4545">
        <v>-150</v>
      </c>
      <c r="AS4545">
        <v>-96</v>
      </c>
      <c r="AT4545">
        <v>-704</v>
      </c>
      <c r="BB4545">
        <v>1200</v>
      </c>
      <c r="BC4545">
        <v>1</v>
      </c>
      <c r="BD4545" t="str">
        <f t="shared" si="1657"/>
        <v xml:space="preserve">N887QR  </v>
      </c>
      <c r="BE4545">
        <v>1</v>
      </c>
      <c r="BG4545">
        <v>0</v>
      </c>
      <c r="BH4545">
        <v>0</v>
      </c>
      <c r="BI4545">
        <v>0</v>
      </c>
      <c r="BJ4545">
        <v>4450</v>
      </c>
      <c r="BK4545">
        <v>-350</v>
      </c>
      <c r="BL4545" t="s">
        <v>163</v>
      </c>
      <c r="BM4545">
        <v>1</v>
      </c>
      <c r="BN4545">
        <v>1</v>
      </c>
      <c r="BO4545">
        <v>1</v>
      </c>
      <c r="BP4545">
        <v>0</v>
      </c>
      <c r="BS4545">
        <v>0</v>
      </c>
      <c r="BT4545">
        <v>0</v>
      </c>
      <c r="BU4545">
        <v>0</v>
      </c>
      <c r="CE4545" t="str">
        <f t="shared" si="1679"/>
        <v>19:37:45.093</v>
      </c>
      <c r="CF4545">
        <v>93256838</v>
      </c>
      <c r="CS4545">
        <v>0</v>
      </c>
      <c r="CT4545">
        <v>2</v>
      </c>
      <c r="CU4545">
        <v>0</v>
      </c>
      <c r="CV4545">
        <v>2</v>
      </c>
      <c r="CW4545">
        <v>0</v>
      </c>
      <c r="CX4545">
        <v>6</v>
      </c>
      <c r="CY4545">
        <v>7</v>
      </c>
      <c r="CZ4545" t="s">
        <v>131</v>
      </c>
      <c r="DA4545">
        <v>286</v>
      </c>
      <c r="DB4545">
        <v>0</v>
      </c>
      <c r="DC4545" t="s">
        <v>132</v>
      </c>
      <c r="DD4545" t="s">
        <v>133</v>
      </c>
      <c r="DG4545">
        <v>917415</v>
      </c>
      <c r="DI4545">
        <v>1</v>
      </c>
      <c r="DJ4545">
        <v>0</v>
      </c>
      <c r="DK4545">
        <v>1</v>
      </c>
      <c r="DL4545">
        <v>0</v>
      </c>
      <c r="DM4545">
        <v>0</v>
      </c>
      <c r="DN4545">
        <v>1</v>
      </c>
      <c r="DO4545">
        <v>0</v>
      </c>
      <c r="DP4545">
        <v>0</v>
      </c>
      <c r="DQ4545">
        <v>0</v>
      </c>
      <c r="DR4545">
        <v>0</v>
      </c>
      <c r="DS4545">
        <v>0</v>
      </c>
    </row>
    <row r="4546" spans="1:123" x14ac:dyDescent="0.3">
      <c r="A4546" t="str">
        <f>"10/04/2022 19:37:45.450"</f>
        <v>10/04/2022 19:37:45.450</v>
      </c>
      <c r="C4546" t="str">
        <f t="shared" si="1671"/>
        <v>FFDFD3C0</v>
      </c>
      <c r="D4546" t="s">
        <v>141</v>
      </c>
      <c r="E4546">
        <v>3</v>
      </c>
      <c r="H4546">
        <v>3</v>
      </c>
      <c r="I4546" t="s">
        <v>146</v>
      </c>
      <c r="J4546" t="s">
        <v>138</v>
      </c>
      <c r="K4546">
        <v>0</v>
      </c>
      <c r="L4546">
        <v>3</v>
      </c>
      <c r="M4546">
        <v>0</v>
      </c>
      <c r="N4546">
        <v>2</v>
      </c>
      <c r="O4546">
        <v>0</v>
      </c>
      <c r="P4546">
        <v>1</v>
      </c>
      <c r="Q4546">
        <v>0</v>
      </c>
      <c r="S4546" t="str">
        <f t="shared" si="1678"/>
        <v>19:37:45.000</v>
      </c>
      <c r="T4546" t="str">
        <f t="shared" si="1678"/>
        <v>19:37:45.000</v>
      </c>
      <c r="U4546" t="str">
        <f t="shared" ref="U4546:U4609" si="1680">"AC3944"</f>
        <v>AC3944</v>
      </c>
      <c r="V4546">
        <v>0</v>
      </c>
      <c r="W4546">
        <v>0</v>
      </c>
      <c r="X4546">
        <v>2</v>
      </c>
      <c r="Y4546">
        <v>0</v>
      </c>
      <c r="AA4546">
        <v>1</v>
      </c>
      <c r="AB4546">
        <v>8</v>
      </c>
      <c r="AC4546">
        <v>3</v>
      </c>
      <c r="AD4546">
        <v>0</v>
      </c>
      <c r="AE4546">
        <v>9</v>
      </c>
      <c r="AF4546" t="s">
        <v>138</v>
      </c>
      <c r="AG4546">
        <v>0</v>
      </c>
      <c r="AH4546">
        <v>3</v>
      </c>
      <c r="AI4546">
        <v>1</v>
      </c>
      <c r="AJ4546">
        <v>0</v>
      </c>
      <c r="AK4546" t="s">
        <v>1430</v>
      </c>
      <c r="AL4546">
        <v>32.728850999999999</v>
      </c>
      <c r="AM4546" t="s">
        <v>1431</v>
      </c>
      <c r="AN4546">
        <v>-116.721282</v>
      </c>
      <c r="AO4546">
        <v>25</v>
      </c>
      <c r="AP4546">
        <v>4800</v>
      </c>
      <c r="AQ4546" t="s">
        <v>129</v>
      </c>
      <c r="AR4546">
        <v>-150</v>
      </c>
      <c r="AS4546">
        <v>-96</v>
      </c>
      <c r="AT4546">
        <v>-704</v>
      </c>
      <c r="BB4546">
        <v>1200</v>
      </c>
      <c r="BC4546">
        <v>1</v>
      </c>
      <c r="BD4546" t="str">
        <f t="shared" ref="BD4546:BD4609" si="1681">"N887QR  "</f>
        <v xml:space="preserve">N887QR  </v>
      </c>
      <c r="BE4546">
        <v>1</v>
      </c>
      <c r="BG4546">
        <v>0</v>
      </c>
      <c r="BH4546">
        <v>0</v>
      </c>
      <c r="BI4546">
        <v>0</v>
      </c>
      <c r="BJ4546">
        <v>4450</v>
      </c>
      <c r="BK4546">
        <v>-350</v>
      </c>
      <c r="BL4546" t="s">
        <v>163</v>
      </c>
      <c r="BM4546">
        <v>1</v>
      </c>
      <c r="BN4546">
        <v>1</v>
      </c>
      <c r="BO4546">
        <v>1</v>
      </c>
      <c r="BP4546">
        <v>0</v>
      </c>
      <c r="BS4546">
        <v>0</v>
      </c>
      <c r="BT4546">
        <v>0</v>
      </c>
      <c r="BU4546">
        <v>0</v>
      </c>
      <c r="CE4546" t="str">
        <f t="shared" si="1679"/>
        <v>19:37:45.093</v>
      </c>
      <c r="CF4546">
        <v>93256838</v>
      </c>
      <c r="CS4546">
        <v>0</v>
      </c>
      <c r="CT4546">
        <v>2</v>
      </c>
      <c r="CU4546">
        <v>0</v>
      </c>
      <c r="CV4546">
        <v>2</v>
      </c>
      <c r="CW4546">
        <v>0</v>
      </c>
      <c r="CX4546">
        <v>6</v>
      </c>
      <c r="CY4546">
        <v>7</v>
      </c>
      <c r="CZ4546" t="s">
        <v>131</v>
      </c>
      <c r="DA4546">
        <v>286</v>
      </c>
      <c r="DB4546">
        <v>0</v>
      </c>
      <c r="DC4546" t="s">
        <v>132</v>
      </c>
      <c r="DD4546" t="s">
        <v>133</v>
      </c>
      <c r="DG4546">
        <v>917415</v>
      </c>
      <c r="DI4546">
        <v>1</v>
      </c>
      <c r="DJ4546">
        <v>0</v>
      </c>
      <c r="DK4546">
        <v>1</v>
      </c>
      <c r="DL4546">
        <v>0</v>
      </c>
      <c r="DM4546">
        <v>0</v>
      </c>
      <c r="DN4546">
        <v>1</v>
      </c>
      <c r="DO4546">
        <v>0</v>
      </c>
      <c r="DP4546">
        <v>0</v>
      </c>
      <c r="DQ4546">
        <v>0</v>
      </c>
      <c r="DR4546">
        <v>0</v>
      </c>
      <c r="DS4546">
        <v>0</v>
      </c>
    </row>
    <row r="4547" spans="1:123" x14ac:dyDescent="0.3">
      <c r="A4547" t="str">
        <f>"10/04/2022 19:37:45.450"</f>
        <v>10/04/2022 19:37:45.450</v>
      </c>
      <c r="C4547" t="str">
        <f t="shared" si="1671"/>
        <v>FFDFD3C0</v>
      </c>
      <c r="D4547" t="s">
        <v>141</v>
      </c>
      <c r="E4547">
        <v>4</v>
      </c>
      <c r="H4547">
        <v>4</v>
      </c>
      <c r="I4547" t="s">
        <v>142</v>
      </c>
      <c r="J4547" t="s">
        <v>138</v>
      </c>
      <c r="K4547">
        <v>0</v>
      </c>
      <c r="L4547">
        <v>3</v>
      </c>
      <c r="M4547">
        <v>0</v>
      </c>
      <c r="N4547">
        <v>2</v>
      </c>
      <c r="O4547">
        <v>0</v>
      </c>
      <c r="P4547">
        <v>1</v>
      </c>
      <c r="Q4547">
        <v>0</v>
      </c>
      <c r="S4547" t="str">
        <f t="shared" si="1678"/>
        <v>19:37:45.000</v>
      </c>
      <c r="T4547" t="str">
        <f t="shared" si="1678"/>
        <v>19:37:45.000</v>
      </c>
      <c r="U4547" t="str">
        <f t="shared" si="1680"/>
        <v>AC3944</v>
      </c>
      <c r="V4547">
        <v>0</v>
      </c>
      <c r="W4547">
        <v>0</v>
      </c>
      <c r="X4547">
        <v>2</v>
      </c>
      <c r="Y4547">
        <v>0</v>
      </c>
      <c r="AA4547">
        <v>1</v>
      </c>
      <c r="AB4547">
        <v>8</v>
      </c>
      <c r="AC4547">
        <v>3</v>
      </c>
      <c r="AD4547">
        <v>0</v>
      </c>
      <c r="AE4547">
        <v>9</v>
      </c>
      <c r="AF4547" t="s">
        <v>138</v>
      </c>
      <c r="AG4547">
        <v>0</v>
      </c>
      <c r="AH4547">
        <v>3</v>
      </c>
      <c r="AI4547">
        <v>1</v>
      </c>
      <c r="AJ4547">
        <v>0</v>
      </c>
      <c r="AK4547" t="s">
        <v>1430</v>
      </c>
      <c r="AL4547">
        <v>32.728850999999999</v>
      </c>
      <c r="AM4547" t="s">
        <v>1431</v>
      </c>
      <c r="AN4547">
        <v>-116.721282</v>
      </c>
      <c r="AO4547">
        <v>25</v>
      </c>
      <c r="AP4547">
        <v>4800</v>
      </c>
      <c r="AQ4547" t="s">
        <v>129</v>
      </c>
      <c r="AR4547">
        <v>-150</v>
      </c>
      <c r="AS4547">
        <v>-96</v>
      </c>
      <c r="AT4547">
        <v>-704</v>
      </c>
      <c r="BB4547">
        <v>1200</v>
      </c>
      <c r="BC4547">
        <v>1</v>
      </c>
      <c r="BD4547" t="str">
        <f t="shared" si="1681"/>
        <v xml:space="preserve">N887QR  </v>
      </c>
      <c r="BE4547">
        <v>1</v>
      </c>
      <c r="BG4547">
        <v>0</v>
      </c>
      <c r="BH4547">
        <v>0</v>
      </c>
      <c r="BI4547">
        <v>0</v>
      </c>
      <c r="BJ4547">
        <v>4450</v>
      </c>
      <c r="BK4547">
        <v>-350</v>
      </c>
      <c r="BL4547" t="s">
        <v>163</v>
      </c>
      <c r="BM4547">
        <v>1</v>
      </c>
      <c r="BN4547">
        <v>1</v>
      </c>
      <c r="BO4547">
        <v>1</v>
      </c>
      <c r="BP4547">
        <v>0</v>
      </c>
      <c r="BS4547">
        <v>0</v>
      </c>
      <c r="BT4547">
        <v>0</v>
      </c>
      <c r="BU4547">
        <v>0</v>
      </c>
      <c r="CE4547" t="str">
        <f t="shared" si="1679"/>
        <v>19:37:45.093</v>
      </c>
      <c r="CF4547">
        <v>93256838</v>
      </c>
      <c r="CS4547">
        <v>0</v>
      </c>
      <c r="CT4547">
        <v>2</v>
      </c>
      <c r="CU4547">
        <v>0</v>
      </c>
      <c r="CV4547">
        <v>2</v>
      </c>
      <c r="CW4547">
        <v>0</v>
      </c>
      <c r="CX4547">
        <v>6</v>
      </c>
      <c r="CY4547">
        <v>7</v>
      </c>
      <c r="CZ4547" t="s">
        <v>131</v>
      </c>
      <c r="DA4547">
        <v>286</v>
      </c>
      <c r="DB4547">
        <v>0</v>
      </c>
      <c r="DC4547" t="s">
        <v>132</v>
      </c>
      <c r="DD4547" t="s">
        <v>133</v>
      </c>
      <c r="DG4547">
        <v>917415</v>
      </c>
      <c r="DI4547">
        <v>1</v>
      </c>
      <c r="DJ4547">
        <v>0</v>
      </c>
      <c r="DK4547">
        <v>1</v>
      </c>
      <c r="DL4547">
        <v>0</v>
      </c>
      <c r="DM4547">
        <v>0</v>
      </c>
      <c r="DN4547">
        <v>1</v>
      </c>
      <c r="DO4547">
        <v>0</v>
      </c>
      <c r="DP4547">
        <v>0</v>
      </c>
      <c r="DQ4547">
        <v>0</v>
      </c>
      <c r="DR4547">
        <v>0</v>
      </c>
      <c r="DS4547">
        <v>0</v>
      </c>
    </row>
    <row r="4548" spans="1:123" x14ac:dyDescent="0.3">
      <c r="A4548" t="str">
        <f>"10/04/2022 19:37:45.481"</f>
        <v>10/04/2022 19:37:45.481</v>
      </c>
      <c r="C4548" t="str">
        <f t="shared" si="1671"/>
        <v>FFDFD3C0</v>
      </c>
      <c r="D4548" t="s">
        <v>147</v>
      </c>
      <c r="E4548">
        <v>3</v>
      </c>
      <c r="H4548">
        <v>166</v>
      </c>
      <c r="I4548" t="s">
        <v>144</v>
      </c>
      <c r="J4548" t="s">
        <v>148</v>
      </c>
      <c r="K4548">
        <v>0</v>
      </c>
      <c r="L4548">
        <v>3</v>
      </c>
      <c r="M4548">
        <v>0</v>
      </c>
      <c r="N4548">
        <v>2</v>
      </c>
      <c r="O4548">
        <v>0</v>
      </c>
      <c r="P4548">
        <v>1</v>
      </c>
      <c r="Q4548">
        <v>0</v>
      </c>
      <c r="S4548" t="str">
        <f t="shared" si="1678"/>
        <v>19:37:45.000</v>
      </c>
      <c r="T4548" t="str">
        <f t="shared" si="1678"/>
        <v>19:37:45.000</v>
      </c>
      <c r="U4548" t="str">
        <f t="shared" si="1680"/>
        <v>AC3944</v>
      </c>
      <c r="V4548">
        <v>0</v>
      </c>
      <c r="W4548">
        <v>0</v>
      </c>
      <c r="X4548">
        <v>2</v>
      </c>
      <c r="Y4548">
        <v>0</v>
      </c>
      <c r="AA4548">
        <v>1</v>
      </c>
      <c r="AB4548">
        <v>8</v>
      </c>
      <c r="AC4548">
        <v>3</v>
      </c>
      <c r="AD4548">
        <v>0</v>
      </c>
      <c r="AE4548">
        <v>9</v>
      </c>
      <c r="AF4548" t="s">
        <v>138</v>
      </c>
      <c r="AG4548">
        <v>0</v>
      </c>
      <c r="AH4548">
        <v>3</v>
      </c>
      <c r="AI4548">
        <v>1</v>
      </c>
      <c r="AJ4548">
        <v>0</v>
      </c>
      <c r="AK4548" t="s">
        <v>1430</v>
      </c>
      <c r="AL4548">
        <v>32.728850999999999</v>
      </c>
      <c r="AM4548" t="s">
        <v>1431</v>
      </c>
      <c r="AN4548">
        <v>-116.721282</v>
      </c>
      <c r="AO4548">
        <v>25</v>
      </c>
      <c r="AP4548">
        <v>4800</v>
      </c>
      <c r="AQ4548" t="s">
        <v>129</v>
      </c>
      <c r="AR4548">
        <v>-150</v>
      </c>
      <c r="AS4548">
        <v>-96</v>
      </c>
      <c r="AT4548">
        <v>-704</v>
      </c>
      <c r="BB4548">
        <v>1200</v>
      </c>
      <c r="BC4548">
        <v>1</v>
      </c>
      <c r="BD4548" t="str">
        <f t="shared" si="1681"/>
        <v xml:space="preserve">N887QR  </v>
      </c>
      <c r="BE4548">
        <v>1</v>
      </c>
      <c r="BG4548">
        <v>0</v>
      </c>
      <c r="BH4548">
        <v>0</v>
      </c>
      <c r="BI4548">
        <v>0</v>
      </c>
      <c r="BJ4548">
        <v>4450</v>
      </c>
      <c r="BK4548">
        <v>-350</v>
      </c>
      <c r="BL4548" t="s">
        <v>163</v>
      </c>
      <c r="BM4548">
        <v>1</v>
      </c>
      <c r="BN4548">
        <v>1</v>
      </c>
      <c r="BO4548">
        <v>1</v>
      </c>
      <c r="BP4548">
        <v>0</v>
      </c>
      <c r="BS4548">
        <v>0</v>
      </c>
      <c r="BT4548">
        <v>0</v>
      </c>
      <c r="BU4548">
        <v>0</v>
      </c>
      <c r="CE4548" t="str">
        <f t="shared" si="1679"/>
        <v>19:37:45.093</v>
      </c>
      <c r="CF4548">
        <v>93256838</v>
      </c>
      <c r="CS4548">
        <v>0</v>
      </c>
      <c r="CT4548">
        <v>2</v>
      </c>
      <c r="CU4548">
        <v>0</v>
      </c>
      <c r="CV4548">
        <v>2</v>
      </c>
      <c r="CW4548">
        <v>0</v>
      </c>
      <c r="CX4548">
        <v>6</v>
      </c>
      <c r="CY4548">
        <v>7</v>
      </c>
      <c r="CZ4548" t="s">
        <v>131</v>
      </c>
      <c r="DA4548">
        <v>286</v>
      </c>
      <c r="DB4548">
        <v>0</v>
      </c>
      <c r="DC4548" t="s">
        <v>132</v>
      </c>
      <c r="DD4548" t="s">
        <v>133</v>
      </c>
      <c r="DG4548">
        <v>917415</v>
      </c>
      <c r="DI4548">
        <v>1</v>
      </c>
      <c r="DJ4548">
        <v>0</v>
      </c>
      <c r="DK4548">
        <v>1</v>
      </c>
      <c r="DL4548">
        <v>0</v>
      </c>
      <c r="DM4548">
        <v>0</v>
      </c>
      <c r="DN4548">
        <v>1</v>
      </c>
      <c r="DO4548">
        <v>0</v>
      </c>
      <c r="DP4548">
        <v>0</v>
      </c>
      <c r="DQ4548">
        <v>0</v>
      </c>
      <c r="DR4548">
        <v>0</v>
      </c>
      <c r="DS4548">
        <v>0</v>
      </c>
    </row>
    <row r="4549" spans="1:123" x14ac:dyDescent="0.3">
      <c r="A4549" t="str">
        <f>"10/04/2022 19:37:45.481"</f>
        <v>10/04/2022 19:37:45.481</v>
      </c>
      <c r="C4549" t="str">
        <f t="shared" si="1671"/>
        <v>FFDFD3C0</v>
      </c>
      <c r="D4549" t="s">
        <v>136</v>
      </c>
      <c r="E4549">
        <v>8</v>
      </c>
      <c r="H4549">
        <v>225</v>
      </c>
      <c r="I4549" t="s">
        <v>137</v>
      </c>
      <c r="J4549" t="s">
        <v>138</v>
      </c>
      <c r="K4549">
        <v>0</v>
      </c>
      <c r="L4549">
        <v>3</v>
      </c>
      <c r="M4549">
        <v>0</v>
      </c>
      <c r="N4549">
        <v>2</v>
      </c>
      <c r="O4549">
        <v>0</v>
      </c>
      <c r="P4549">
        <v>1</v>
      </c>
      <c r="Q4549">
        <v>0</v>
      </c>
      <c r="S4549" t="str">
        <f t="shared" si="1678"/>
        <v>19:37:45.000</v>
      </c>
      <c r="T4549" t="str">
        <f t="shared" si="1678"/>
        <v>19:37:45.000</v>
      </c>
      <c r="U4549" t="str">
        <f t="shared" si="1680"/>
        <v>AC3944</v>
      </c>
      <c r="V4549">
        <v>0</v>
      </c>
      <c r="W4549">
        <v>0</v>
      </c>
      <c r="X4549">
        <v>2</v>
      </c>
      <c r="Y4549">
        <v>0</v>
      </c>
      <c r="AA4549">
        <v>1</v>
      </c>
      <c r="AB4549">
        <v>8</v>
      </c>
      <c r="AC4549">
        <v>3</v>
      </c>
      <c r="AD4549">
        <v>0</v>
      </c>
      <c r="AE4549">
        <v>9</v>
      </c>
      <c r="AF4549" t="s">
        <v>138</v>
      </c>
      <c r="AG4549">
        <v>0</v>
      </c>
      <c r="AH4549">
        <v>3</v>
      </c>
      <c r="AI4549">
        <v>1</v>
      </c>
      <c r="AJ4549">
        <v>0</v>
      </c>
      <c r="AK4549" t="s">
        <v>1430</v>
      </c>
      <c r="AL4549">
        <v>32.728850999999999</v>
      </c>
      <c r="AM4549" t="s">
        <v>1431</v>
      </c>
      <c r="AN4549">
        <v>-116.721282</v>
      </c>
      <c r="AO4549">
        <v>25</v>
      </c>
      <c r="AP4549">
        <v>4800</v>
      </c>
      <c r="AQ4549" t="s">
        <v>129</v>
      </c>
      <c r="AR4549">
        <v>-150</v>
      </c>
      <c r="AS4549">
        <v>-96</v>
      </c>
      <c r="AT4549">
        <v>-704</v>
      </c>
      <c r="BB4549">
        <v>1200</v>
      </c>
      <c r="BC4549">
        <v>1</v>
      </c>
      <c r="BD4549" t="str">
        <f t="shared" si="1681"/>
        <v xml:space="preserve">N887QR  </v>
      </c>
      <c r="BE4549">
        <v>1</v>
      </c>
      <c r="BG4549">
        <v>0</v>
      </c>
      <c r="BH4549">
        <v>0</v>
      </c>
      <c r="BI4549">
        <v>0</v>
      </c>
      <c r="BJ4549">
        <v>4450</v>
      </c>
      <c r="BK4549">
        <v>-350</v>
      </c>
      <c r="BL4549" t="s">
        <v>163</v>
      </c>
      <c r="BM4549">
        <v>1</v>
      </c>
      <c r="BN4549">
        <v>1</v>
      </c>
      <c r="BO4549">
        <v>1</v>
      </c>
      <c r="BP4549">
        <v>0</v>
      </c>
      <c r="BS4549">
        <v>0</v>
      </c>
      <c r="BT4549">
        <v>0</v>
      </c>
      <c r="BU4549">
        <v>0</v>
      </c>
      <c r="CE4549" t="str">
        <f t="shared" si="1679"/>
        <v>19:37:45.093</v>
      </c>
      <c r="CF4549">
        <v>93256838</v>
      </c>
      <c r="CS4549">
        <v>0</v>
      </c>
      <c r="CT4549">
        <v>2</v>
      </c>
      <c r="CU4549">
        <v>0</v>
      </c>
      <c r="CV4549">
        <v>2</v>
      </c>
      <c r="CW4549">
        <v>0</v>
      </c>
      <c r="CX4549">
        <v>6</v>
      </c>
      <c r="CY4549">
        <v>7</v>
      </c>
      <c r="CZ4549" t="s">
        <v>131</v>
      </c>
      <c r="DA4549">
        <v>286</v>
      </c>
      <c r="DB4549">
        <v>0</v>
      </c>
      <c r="DC4549" t="s">
        <v>132</v>
      </c>
      <c r="DD4549" t="s">
        <v>133</v>
      </c>
      <c r="DG4549">
        <v>917415</v>
      </c>
      <c r="DI4549">
        <v>1</v>
      </c>
      <c r="DJ4549">
        <v>0</v>
      </c>
      <c r="DK4549">
        <v>1</v>
      </c>
      <c r="DL4549">
        <v>0</v>
      </c>
      <c r="DM4549">
        <v>0</v>
      </c>
      <c r="DN4549">
        <v>1</v>
      </c>
      <c r="DO4549">
        <v>0</v>
      </c>
      <c r="DP4549">
        <v>0</v>
      </c>
      <c r="DQ4549">
        <v>0</v>
      </c>
      <c r="DR4549">
        <v>0</v>
      </c>
      <c r="DS4549">
        <v>0</v>
      </c>
    </row>
    <row r="4550" spans="1:123" x14ac:dyDescent="0.3">
      <c r="A4550" t="str">
        <f>"10/04/2022 19:37:45.481"</f>
        <v>10/04/2022 19:37:45.481</v>
      </c>
      <c r="C4550" t="str">
        <f t="shared" si="1671"/>
        <v>FFDFD3C0</v>
      </c>
      <c r="D4550" t="s">
        <v>134</v>
      </c>
      <c r="E4550">
        <v>15</v>
      </c>
      <c r="J4550" t="s">
        <v>135</v>
      </c>
      <c r="K4550">
        <v>0</v>
      </c>
      <c r="L4550">
        <v>3</v>
      </c>
      <c r="M4550">
        <v>0</v>
      </c>
      <c r="N4550">
        <v>2</v>
      </c>
      <c r="O4550">
        <v>0</v>
      </c>
      <c r="P4550">
        <v>1</v>
      </c>
      <c r="Q4550">
        <v>0</v>
      </c>
      <c r="S4550" t="str">
        <f t="shared" si="1678"/>
        <v>19:37:45.000</v>
      </c>
      <c r="T4550" t="str">
        <f t="shared" si="1678"/>
        <v>19:37:45.000</v>
      </c>
      <c r="U4550" t="str">
        <f t="shared" si="1680"/>
        <v>AC3944</v>
      </c>
      <c r="V4550">
        <v>0</v>
      </c>
      <c r="W4550">
        <v>0</v>
      </c>
      <c r="X4550">
        <v>2</v>
      </c>
      <c r="Y4550">
        <v>0</v>
      </c>
      <c r="AA4550">
        <v>1</v>
      </c>
      <c r="AB4550">
        <v>8</v>
      </c>
      <c r="AC4550">
        <v>3</v>
      </c>
      <c r="AD4550">
        <v>0</v>
      </c>
      <c r="AE4550">
        <v>9</v>
      </c>
      <c r="AF4550" t="s">
        <v>138</v>
      </c>
      <c r="AG4550">
        <v>0</v>
      </c>
      <c r="AH4550">
        <v>3</v>
      </c>
      <c r="AI4550">
        <v>1</v>
      </c>
      <c r="AJ4550">
        <v>0</v>
      </c>
      <c r="AK4550" t="s">
        <v>1430</v>
      </c>
      <c r="AL4550">
        <v>32.728850999999999</v>
      </c>
      <c r="AM4550" t="s">
        <v>1431</v>
      </c>
      <c r="AN4550">
        <v>-116.721282</v>
      </c>
      <c r="AO4550">
        <v>25</v>
      </c>
      <c r="AP4550">
        <v>4800</v>
      </c>
      <c r="AQ4550" t="s">
        <v>129</v>
      </c>
      <c r="AR4550">
        <v>-150</v>
      </c>
      <c r="AS4550">
        <v>-96</v>
      </c>
      <c r="AT4550">
        <v>-704</v>
      </c>
      <c r="BB4550">
        <v>1200</v>
      </c>
      <c r="BC4550">
        <v>1</v>
      </c>
      <c r="BD4550" t="str">
        <f t="shared" si="1681"/>
        <v xml:space="preserve">N887QR  </v>
      </c>
      <c r="BE4550">
        <v>1</v>
      </c>
      <c r="BG4550">
        <v>0</v>
      </c>
      <c r="BH4550">
        <v>0</v>
      </c>
      <c r="BI4550">
        <v>0</v>
      </c>
      <c r="BJ4550">
        <v>4450</v>
      </c>
      <c r="BK4550">
        <v>-350</v>
      </c>
      <c r="BL4550" t="s">
        <v>163</v>
      </c>
      <c r="BM4550">
        <v>1</v>
      </c>
      <c r="BN4550">
        <v>1</v>
      </c>
      <c r="BO4550">
        <v>1</v>
      </c>
      <c r="BP4550">
        <v>0</v>
      </c>
      <c r="BS4550">
        <v>0</v>
      </c>
      <c r="BT4550">
        <v>0</v>
      </c>
      <c r="BU4550">
        <v>0</v>
      </c>
      <c r="CE4550" t="str">
        <f t="shared" si="1679"/>
        <v>19:37:45.093</v>
      </c>
      <c r="CF4550">
        <v>93256838</v>
      </c>
      <c r="CS4550">
        <v>0</v>
      </c>
      <c r="CT4550">
        <v>2</v>
      </c>
      <c r="CU4550">
        <v>0</v>
      </c>
      <c r="CV4550">
        <v>2</v>
      </c>
      <c r="CW4550">
        <v>0</v>
      </c>
      <c r="CX4550">
        <v>6</v>
      </c>
      <c r="CY4550">
        <v>7</v>
      </c>
      <c r="CZ4550" t="s">
        <v>131</v>
      </c>
      <c r="DA4550">
        <v>286</v>
      </c>
      <c r="DB4550">
        <v>0</v>
      </c>
      <c r="DC4550" t="s">
        <v>132</v>
      </c>
      <c r="DD4550" t="s">
        <v>133</v>
      </c>
      <c r="DG4550">
        <v>917415</v>
      </c>
      <c r="DI4550">
        <v>1</v>
      </c>
      <c r="DJ4550">
        <v>0</v>
      </c>
      <c r="DK4550">
        <v>1</v>
      </c>
      <c r="DL4550">
        <v>0</v>
      </c>
      <c r="DM4550">
        <v>0</v>
      </c>
      <c r="DN4550">
        <v>1</v>
      </c>
      <c r="DO4550">
        <v>0</v>
      </c>
      <c r="DP4550">
        <v>0</v>
      </c>
      <c r="DQ4550">
        <v>0</v>
      </c>
      <c r="DR4550">
        <v>0</v>
      </c>
      <c r="DS4550">
        <v>0</v>
      </c>
    </row>
    <row r="4551" spans="1:123" x14ac:dyDescent="0.3">
      <c r="A4551" t="str">
        <f>"10/04/2022 19:37:46.699"</f>
        <v>10/04/2022 19:37:46.699</v>
      </c>
      <c r="C4551" t="str">
        <f t="shared" si="1671"/>
        <v>FFDFD3C0</v>
      </c>
      <c r="D4551" t="s">
        <v>136</v>
      </c>
      <c r="E4551">
        <v>8</v>
      </c>
      <c r="H4551">
        <v>225</v>
      </c>
      <c r="I4551" t="s">
        <v>137</v>
      </c>
      <c r="J4551" t="s">
        <v>138</v>
      </c>
      <c r="K4551">
        <v>0</v>
      </c>
      <c r="L4551">
        <v>3</v>
      </c>
      <c r="M4551">
        <v>0</v>
      </c>
      <c r="N4551">
        <v>2</v>
      </c>
      <c r="O4551">
        <v>0</v>
      </c>
      <c r="P4551">
        <v>1</v>
      </c>
      <c r="Q4551">
        <v>0</v>
      </c>
      <c r="S4551" t="str">
        <f t="shared" ref="S4551:T4557" si="1682">"19:37:46.000"</f>
        <v>19:37:46.000</v>
      </c>
      <c r="T4551" t="str">
        <f t="shared" si="1682"/>
        <v>19:37:46.000</v>
      </c>
      <c r="U4551" t="str">
        <f t="shared" si="1680"/>
        <v>AC3944</v>
      </c>
      <c r="V4551">
        <v>0</v>
      </c>
      <c r="W4551">
        <v>0</v>
      </c>
      <c r="X4551">
        <v>2</v>
      </c>
      <c r="Y4551">
        <v>0</v>
      </c>
      <c r="AA4551">
        <v>1</v>
      </c>
      <c r="AB4551">
        <v>8</v>
      </c>
      <c r="AC4551">
        <v>3</v>
      </c>
      <c r="AD4551">
        <v>0</v>
      </c>
      <c r="AE4551">
        <v>9</v>
      </c>
      <c r="AF4551" t="s">
        <v>138</v>
      </c>
      <c r="AG4551">
        <v>0</v>
      </c>
      <c r="AH4551">
        <v>3</v>
      </c>
      <c r="AI4551">
        <v>1</v>
      </c>
      <c r="AJ4551">
        <v>0</v>
      </c>
      <c r="AK4551" t="s">
        <v>1432</v>
      </c>
      <c r="AL4551">
        <v>32.728313999999997</v>
      </c>
      <c r="AM4551" t="s">
        <v>1433</v>
      </c>
      <c r="AN4551">
        <v>-116.722269</v>
      </c>
      <c r="AO4551">
        <v>25</v>
      </c>
      <c r="AP4551">
        <v>4800</v>
      </c>
      <c r="AQ4551" t="s">
        <v>129</v>
      </c>
      <c r="AR4551">
        <v>-152</v>
      </c>
      <c r="AS4551">
        <v>-96</v>
      </c>
      <c r="AT4551">
        <v>-1024</v>
      </c>
      <c r="BB4551">
        <v>1200</v>
      </c>
      <c r="BC4551">
        <v>1</v>
      </c>
      <c r="BD4551" t="str">
        <f t="shared" si="1681"/>
        <v xml:space="preserve">N887QR  </v>
      </c>
      <c r="BE4551">
        <v>1</v>
      </c>
      <c r="BG4551">
        <v>0</v>
      </c>
      <c r="BH4551">
        <v>0</v>
      </c>
      <c r="BI4551">
        <v>0</v>
      </c>
      <c r="BJ4551">
        <v>4400</v>
      </c>
      <c r="BK4551">
        <v>-400</v>
      </c>
      <c r="BL4551" t="s">
        <v>163</v>
      </c>
      <c r="BM4551">
        <v>1</v>
      </c>
      <c r="BN4551">
        <v>1</v>
      </c>
      <c r="BO4551">
        <v>1</v>
      </c>
      <c r="BP4551">
        <v>0</v>
      </c>
      <c r="BS4551">
        <v>0</v>
      </c>
      <c r="BT4551">
        <v>0</v>
      </c>
      <c r="BU4551">
        <v>0</v>
      </c>
      <c r="CE4551" t="str">
        <f t="shared" ref="CE4551:CE4557" si="1683">"19:37:46.476"</f>
        <v>19:37:46.476</v>
      </c>
      <c r="CF4551">
        <v>476260939</v>
      </c>
      <c r="CS4551">
        <v>0</v>
      </c>
      <c r="CT4551">
        <v>2</v>
      </c>
      <c r="CU4551">
        <v>0</v>
      </c>
      <c r="CV4551">
        <v>2</v>
      </c>
      <c r="CW4551">
        <v>0</v>
      </c>
      <c r="CX4551">
        <v>6</v>
      </c>
      <c r="CY4551">
        <v>7</v>
      </c>
      <c r="CZ4551" t="s">
        <v>131</v>
      </c>
      <c r="DA4551">
        <v>286</v>
      </c>
      <c r="DB4551">
        <v>0</v>
      </c>
      <c r="DC4551" t="s">
        <v>132</v>
      </c>
      <c r="DD4551" t="s">
        <v>133</v>
      </c>
      <c r="DG4551">
        <v>917690</v>
      </c>
      <c r="DI4551">
        <v>1</v>
      </c>
      <c r="DJ4551">
        <v>0</v>
      </c>
      <c r="DK4551">
        <v>0</v>
      </c>
      <c r="DL4551">
        <v>0</v>
      </c>
      <c r="DM4551">
        <v>0</v>
      </c>
      <c r="DN4551">
        <v>1</v>
      </c>
      <c r="DO4551">
        <v>0</v>
      </c>
      <c r="DP4551">
        <v>0</v>
      </c>
      <c r="DQ4551">
        <v>0</v>
      </c>
      <c r="DR4551">
        <v>0</v>
      </c>
      <c r="DS4551">
        <v>0</v>
      </c>
    </row>
    <row r="4552" spans="1:123" x14ac:dyDescent="0.3">
      <c r="A4552" t="str">
        <f>"10/04/2022 19:37:46.699"</f>
        <v>10/04/2022 19:37:46.699</v>
      </c>
      <c r="C4552" t="str">
        <f t="shared" si="1671"/>
        <v>FFDFD3C0</v>
      </c>
      <c r="D4552" t="s">
        <v>134</v>
      </c>
      <c r="E4552">
        <v>15</v>
      </c>
      <c r="J4552" t="s">
        <v>135</v>
      </c>
      <c r="K4552">
        <v>0</v>
      </c>
      <c r="L4552">
        <v>3</v>
      </c>
      <c r="M4552">
        <v>0</v>
      </c>
      <c r="N4552">
        <v>2</v>
      </c>
      <c r="O4552">
        <v>0</v>
      </c>
      <c r="P4552">
        <v>1</v>
      </c>
      <c r="Q4552">
        <v>0</v>
      </c>
      <c r="S4552" t="str">
        <f t="shared" si="1682"/>
        <v>19:37:46.000</v>
      </c>
      <c r="T4552" t="str">
        <f t="shared" si="1682"/>
        <v>19:37:46.000</v>
      </c>
      <c r="U4552" t="str">
        <f t="shared" si="1680"/>
        <v>AC3944</v>
      </c>
      <c r="V4552">
        <v>0</v>
      </c>
      <c r="W4552">
        <v>0</v>
      </c>
      <c r="X4552">
        <v>2</v>
      </c>
      <c r="Y4552">
        <v>0</v>
      </c>
      <c r="AA4552">
        <v>1</v>
      </c>
      <c r="AB4552">
        <v>8</v>
      </c>
      <c r="AC4552">
        <v>3</v>
      </c>
      <c r="AD4552">
        <v>0</v>
      </c>
      <c r="AE4552">
        <v>9</v>
      </c>
      <c r="AF4552" t="s">
        <v>138</v>
      </c>
      <c r="AG4552">
        <v>0</v>
      </c>
      <c r="AH4552">
        <v>3</v>
      </c>
      <c r="AI4552">
        <v>1</v>
      </c>
      <c r="AJ4552">
        <v>0</v>
      </c>
      <c r="AK4552" t="s">
        <v>1432</v>
      </c>
      <c r="AL4552">
        <v>32.728313999999997</v>
      </c>
      <c r="AM4552" t="s">
        <v>1433</v>
      </c>
      <c r="AN4552">
        <v>-116.722269</v>
      </c>
      <c r="AO4552">
        <v>25</v>
      </c>
      <c r="AP4552">
        <v>4800</v>
      </c>
      <c r="AQ4552" t="s">
        <v>129</v>
      </c>
      <c r="AR4552">
        <v>-152</v>
      </c>
      <c r="AS4552">
        <v>-96</v>
      </c>
      <c r="AT4552">
        <v>-1024</v>
      </c>
      <c r="BB4552">
        <v>1200</v>
      </c>
      <c r="BC4552">
        <v>1</v>
      </c>
      <c r="BD4552" t="str">
        <f t="shared" si="1681"/>
        <v xml:space="preserve">N887QR  </v>
      </c>
      <c r="BE4552">
        <v>1</v>
      </c>
      <c r="BG4552">
        <v>0</v>
      </c>
      <c r="BH4552">
        <v>0</v>
      </c>
      <c r="BI4552">
        <v>0</v>
      </c>
      <c r="BJ4552">
        <v>4400</v>
      </c>
      <c r="BK4552">
        <v>-400</v>
      </c>
      <c r="BL4552" t="s">
        <v>163</v>
      </c>
      <c r="BM4552">
        <v>1</v>
      </c>
      <c r="BN4552">
        <v>1</v>
      </c>
      <c r="BO4552">
        <v>1</v>
      </c>
      <c r="BP4552">
        <v>0</v>
      </c>
      <c r="BS4552">
        <v>0</v>
      </c>
      <c r="BT4552">
        <v>0</v>
      </c>
      <c r="BU4552">
        <v>0</v>
      </c>
      <c r="CE4552" t="str">
        <f t="shared" si="1683"/>
        <v>19:37:46.476</v>
      </c>
      <c r="CF4552">
        <v>476260939</v>
      </c>
      <c r="CS4552">
        <v>0</v>
      </c>
      <c r="CT4552">
        <v>2</v>
      </c>
      <c r="CU4552">
        <v>0</v>
      </c>
      <c r="CV4552">
        <v>2</v>
      </c>
      <c r="CW4552">
        <v>0</v>
      </c>
      <c r="CX4552">
        <v>6</v>
      </c>
      <c r="CY4552">
        <v>7</v>
      </c>
      <c r="CZ4552" t="s">
        <v>131</v>
      </c>
      <c r="DA4552">
        <v>286</v>
      </c>
      <c r="DB4552">
        <v>0</v>
      </c>
      <c r="DC4552" t="s">
        <v>132</v>
      </c>
      <c r="DD4552" t="s">
        <v>133</v>
      </c>
      <c r="DG4552">
        <v>917690</v>
      </c>
      <c r="DI4552">
        <v>1</v>
      </c>
      <c r="DJ4552">
        <v>0</v>
      </c>
      <c r="DK4552">
        <v>1</v>
      </c>
      <c r="DL4552">
        <v>0</v>
      </c>
      <c r="DM4552">
        <v>0</v>
      </c>
      <c r="DN4552">
        <v>1</v>
      </c>
      <c r="DO4552">
        <v>0</v>
      </c>
      <c r="DP4552">
        <v>0</v>
      </c>
      <c r="DQ4552">
        <v>0</v>
      </c>
      <c r="DR4552">
        <v>0</v>
      </c>
      <c r="DS4552">
        <v>0</v>
      </c>
    </row>
    <row r="4553" spans="1:123" x14ac:dyDescent="0.3">
      <c r="A4553" t="str">
        <f>"10/04/2022 19:37:46.699"</f>
        <v>10/04/2022 19:37:46.699</v>
      </c>
      <c r="C4553" t="str">
        <f t="shared" si="1671"/>
        <v>FFDFD3C0</v>
      </c>
      <c r="D4553" t="s">
        <v>143</v>
      </c>
      <c r="E4553">
        <v>20</v>
      </c>
      <c r="F4553">
        <v>1020</v>
      </c>
      <c r="G4553" t="s">
        <v>144</v>
      </c>
      <c r="J4553" t="s">
        <v>145</v>
      </c>
      <c r="K4553">
        <v>0</v>
      </c>
      <c r="L4553">
        <v>3</v>
      </c>
      <c r="M4553">
        <v>0</v>
      </c>
      <c r="N4553">
        <v>2</v>
      </c>
      <c r="O4553">
        <v>0</v>
      </c>
      <c r="P4553">
        <v>1</v>
      </c>
      <c r="Q4553">
        <v>0</v>
      </c>
      <c r="S4553" t="str">
        <f t="shared" si="1682"/>
        <v>19:37:46.000</v>
      </c>
      <c r="T4553" t="str">
        <f t="shared" si="1682"/>
        <v>19:37:46.000</v>
      </c>
      <c r="U4553" t="str">
        <f t="shared" si="1680"/>
        <v>AC3944</v>
      </c>
      <c r="V4553">
        <v>0</v>
      </c>
      <c r="W4553">
        <v>0</v>
      </c>
      <c r="X4553">
        <v>2</v>
      </c>
      <c r="Y4553">
        <v>0</v>
      </c>
      <c r="AA4553">
        <v>1</v>
      </c>
      <c r="AB4553">
        <v>8</v>
      </c>
      <c r="AC4553">
        <v>3</v>
      </c>
      <c r="AD4553">
        <v>0</v>
      </c>
      <c r="AE4553">
        <v>9</v>
      </c>
      <c r="AF4553" t="s">
        <v>138</v>
      </c>
      <c r="AG4553">
        <v>0</v>
      </c>
      <c r="AH4553">
        <v>3</v>
      </c>
      <c r="AI4553">
        <v>1</v>
      </c>
      <c r="AJ4553">
        <v>0</v>
      </c>
      <c r="AK4553" t="s">
        <v>1432</v>
      </c>
      <c r="AL4553">
        <v>32.728313999999997</v>
      </c>
      <c r="AM4553" t="s">
        <v>1433</v>
      </c>
      <c r="AN4553">
        <v>-116.722269</v>
      </c>
      <c r="AO4553">
        <v>25</v>
      </c>
      <c r="AP4553">
        <v>4800</v>
      </c>
      <c r="AQ4553" t="s">
        <v>129</v>
      </c>
      <c r="AR4553">
        <v>-152</v>
      </c>
      <c r="AS4553">
        <v>-96</v>
      </c>
      <c r="AT4553">
        <v>-1024</v>
      </c>
      <c r="BB4553">
        <v>1200</v>
      </c>
      <c r="BC4553">
        <v>1</v>
      </c>
      <c r="BD4553" t="str">
        <f t="shared" si="1681"/>
        <v xml:space="preserve">N887QR  </v>
      </c>
      <c r="BE4553">
        <v>1</v>
      </c>
      <c r="BG4553">
        <v>0</v>
      </c>
      <c r="BH4553">
        <v>0</v>
      </c>
      <c r="BI4553">
        <v>0</v>
      </c>
      <c r="BJ4553">
        <v>4400</v>
      </c>
      <c r="BK4553">
        <v>-400</v>
      </c>
      <c r="BL4553" t="s">
        <v>163</v>
      </c>
      <c r="BM4553">
        <v>1</v>
      </c>
      <c r="BN4553">
        <v>1</v>
      </c>
      <c r="BO4553">
        <v>1</v>
      </c>
      <c r="BP4553">
        <v>0</v>
      </c>
      <c r="BS4553">
        <v>0</v>
      </c>
      <c r="BT4553">
        <v>0</v>
      </c>
      <c r="BU4553">
        <v>0</v>
      </c>
      <c r="CE4553" t="str">
        <f t="shared" si="1683"/>
        <v>19:37:46.476</v>
      </c>
      <c r="CF4553">
        <v>476260939</v>
      </c>
      <c r="CS4553">
        <v>0</v>
      </c>
      <c r="CT4553">
        <v>2</v>
      </c>
      <c r="CU4553">
        <v>0</v>
      </c>
      <c r="CV4553">
        <v>2</v>
      </c>
      <c r="CW4553">
        <v>0</v>
      </c>
      <c r="CX4553">
        <v>6</v>
      </c>
      <c r="CY4553">
        <v>7</v>
      </c>
      <c r="CZ4553" t="s">
        <v>131</v>
      </c>
      <c r="DA4553">
        <v>286</v>
      </c>
      <c r="DB4553">
        <v>0</v>
      </c>
      <c r="DC4553" t="s">
        <v>132</v>
      </c>
      <c r="DD4553" t="s">
        <v>133</v>
      </c>
      <c r="DG4553">
        <v>917690</v>
      </c>
      <c r="DI4553">
        <v>1</v>
      </c>
      <c r="DJ4553">
        <v>0</v>
      </c>
      <c r="DK4553">
        <v>1</v>
      </c>
      <c r="DL4553">
        <v>0</v>
      </c>
      <c r="DM4553">
        <v>0</v>
      </c>
      <c r="DN4553">
        <v>1</v>
      </c>
      <c r="DO4553">
        <v>0</v>
      </c>
      <c r="DP4553">
        <v>0</v>
      </c>
      <c r="DQ4553">
        <v>0</v>
      </c>
      <c r="DR4553">
        <v>0</v>
      </c>
      <c r="DS4553">
        <v>0</v>
      </c>
    </row>
    <row r="4554" spans="1:123" x14ac:dyDescent="0.3">
      <c r="A4554" t="str">
        <f>"10/04/2022 19:37:46.699"</f>
        <v>10/04/2022 19:37:46.699</v>
      </c>
      <c r="C4554" t="str">
        <f t="shared" si="1671"/>
        <v>FFDFD3C0</v>
      </c>
      <c r="D4554" t="s">
        <v>141</v>
      </c>
      <c r="E4554">
        <v>4</v>
      </c>
      <c r="H4554">
        <v>4</v>
      </c>
      <c r="I4554" t="s">
        <v>142</v>
      </c>
      <c r="J4554" t="s">
        <v>138</v>
      </c>
      <c r="K4554">
        <v>0</v>
      </c>
      <c r="L4554">
        <v>3</v>
      </c>
      <c r="M4554">
        <v>0</v>
      </c>
      <c r="N4554">
        <v>2</v>
      </c>
      <c r="O4554">
        <v>0</v>
      </c>
      <c r="P4554">
        <v>1</v>
      </c>
      <c r="Q4554">
        <v>0</v>
      </c>
      <c r="S4554" t="str">
        <f t="shared" si="1682"/>
        <v>19:37:46.000</v>
      </c>
      <c r="T4554" t="str">
        <f t="shared" si="1682"/>
        <v>19:37:46.000</v>
      </c>
      <c r="U4554" t="str">
        <f t="shared" si="1680"/>
        <v>AC3944</v>
      </c>
      <c r="V4554">
        <v>0</v>
      </c>
      <c r="W4554">
        <v>0</v>
      </c>
      <c r="X4554">
        <v>2</v>
      </c>
      <c r="Y4554">
        <v>0</v>
      </c>
      <c r="AA4554">
        <v>1</v>
      </c>
      <c r="AB4554">
        <v>8</v>
      </c>
      <c r="AC4554">
        <v>3</v>
      </c>
      <c r="AD4554">
        <v>0</v>
      </c>
      <c r="AE4554">
        <v>9</v>
      </c>
      <c r="AF4554" t="s">
        <v>138</v>
      </c>
      <c r="AG4554">
        <v>0</v>
      </c>
      <c r="AH4554">
        <v>3</v>
      </c>
      <c r="AI4554">
        <v>1</v>
      </c>
      <c r="AJ4554">
        <v>0</v>
      </c>
      <c r="AK4554" t="s">
        <v>1432</v>
      </c>
      <c r="AL4554">
        <v>32.728313999999997</v>
      </c>
      <c r="AM4554" t="s">
        <v>1433</v>
      </c>
      <c r="AN4554">
        <v>-116.722269</v>
      </c>
      <c r="AO4554">
        <v>25</v>
      </c>
      <c r="AP4554">
        <v>4800</v>
      </c>
      <c r="AQ4554" t="s">
        <v>129</v>
      </c>
      <c r="AR4554">
        <v>-152</v>
      </c>
      <c r="AS4554">
        <v>-96</v>
      </c>
      <c r="AT4554">
        <v>-1024</v>
      </c>
      <c r="BB4554">
        <v>1200</v>
      </c>
      <c r="BC4554">
        <v>1</v>
      </c>
      <c r="BD4554" t="str">
        <f t="shared" si="1681"/>
        <v xml:space="preserve">N887QR  </v>
      </c>
      <c r="BE4554">
        <v>1</v>
      </c>
      <c r="BG4554">
        <v>0</v>
      </c>
      <c r="BH4554">
        <v>0</v>
      </c>
      <c r="BI4554">
        <v>0</v>
      </c>
      <c r="BJ4554">
        <v>4400</v>
      </c>
      <c r="BK4554">
        <v>-400</v>
      </c>
      <c r="BL4554" t="s">
        <v>163</v>
      </c>
      <c r="BM4554">
        <v>1</v>
      </c>
      <c r="BN4554">
        <v>1</v>
      </c>
      <c r="BO4554">
        <v>1</v>
      </c>
      <c r="BP4554">
        <v>0</v>
      </c>
      <c r="BS4554">
        <v>0</v>
      </c>
      <c r="BT4554">
        <v>0</v>
      </c>
      <c r="BU4554">
        <v>0</v>
      </c>
      <c r="CE4554" t="str">
        <f t="shared" si="1683"/>
        <v>19:37:46.476</v>
      </c>
      <c r="CF4554">
        <v>476260939</v>
      </c>
      <c r="CS4554">
        <v>0</v>
      </c>
      <c r="CT4554">
        <v>2</v>
      </c>
      <c r="CU4554">
        <v>0</v>
      </c>
      <c r="CV4554">
        <v>2</v>
      </c>
      <c r="CW4554">
        <v>0</v>
      </c>
      <c r="CX4554">
        <v>6</v>
      </c>
      <c r="CY4554">
        <v>7</v>
      </c>
      <c r="CZ4554" t="s">
        <v>131</v>
      </c>
      <c r="DA4554">
        <v>286</v>
      </c>
      <c r="DB4554">
        <v>0</v>
      </c>
      <c r="DC4554" t="s">
        <v>132</v>
      </c>
      <c r="DD4554" t="s">
        <v>133</v>
      </c>
      <c r="DG4554">
        <v>917690</v>
      </c>
      <c r="DI4554">
        <v>1</v>
      </c>
      <c r="DJ4554">
        <v>0</v>
      </c>
      <c r="DK4554">
        <v>1</v>
      </c>
      <c r="DL4554">
        <v>0</v>
      </c>
      <c r="DM4554">
        <v>0</v>
      </c>
      <c r="DN4554">
        <v>1</v>
      </c>
      <c r="DO4554">
        <v>0</v>
      </c>
      <c r="DP4554">
        <v>0</v>
      </c>
      <c r="DQ4554">
        <v>0</v>
      </c>
      <c r="DR4554">
        <v>0</v>
      </c>
      <c r="DS4554">
        <v>0</v>
      </c>
    </row>
    <row r="4555" spans="1:123" x14ac:dyDescent="0.3">
      <c r="A4555" t="str">
        <f>"10/04/2022 19:37:46.699"</f>
        <v>10/04/2022 19:37:46.699</v>
      </c>
      <c r="C4555" t="str">
        <f t="shared" si="1671"/>
        <v>FFDFD3C0</v>
      </c>
      <c r="D4555" t="s">
        <v>123</v>
      </c>
      <c r="E4555">
        <v>7</v>
      </c>
      <c r="F4555">
        <v>2007</v>
      </c>
      <c r="G4555" t="s">
        <v>124</v>
      </c>
      <c r="J4555" t="s">
        <v>125</v>
      </c>
      <c r="K4555">
        <v>0</v>
      </c>
      <c r="L4555">
        <v>3</v>
      </c>
      <c r="M4555">
        <v>0</v>
      </c>
      <c r="N4555">
        <v>2</v>
      </c>
      <c r="O4555">
        <v>0</v>
      </c>
      <c r="P4555">
        <v>1</v>
      </c>
      <c r="Q4555">
        <v>0</v>
      </c>
      <c r="S4555" t="str">
        <f t="shared" si="1682"/>
        <v>19:37:46.000</v>
      </c>
      <c r="T4555" t="str">
        <f t="shared" si="1682"/>
        <v>19:37:46.000</v>
      </c>
      <c r="U4555" t="str">
        <f t="shared" si="1680"/>
        <v>AC3944</v>
      </c>
      <c r="V4555">
        <v>0</v>
      </c>
      <c r="W4555">
        <v>0</v>
      </c>
      <c r="X4555">
        <v>2</v>
      </c>
      <c r="Y4555">
        <v>0</v>
      </c>
      <c r="AA4555">
        <v>1</v>
      </c>
      <c r="AB4555">
        <v>8</v>
      </c>
      <c r="AC4555">
        <v>3</v>
      </c>
      <c r="AD4555">
        <v>0</v>
      </c>
      <c r="AE4555">
        <v>9</v>
      </c>
      <c r="AF4555" t="s">
        <v>138</v>
      </c>
      <c r="AG4555">
        <v>0</v>
      </c>
      <c r="AH4555">
        <v>3</v>
      </c>
      <c r="AI4555">
        <v>1</v>
      </c>
      <c r="AJ4555">
        <v>0</v>
      </c>
      <c r="AK4555" t="s">
        <v>1432</v>
      </c>
      <c r="AL4555">
        <v>32.728313999999997</v>
      </c>
      <c r="AM4555" t="s">
        <v>1433</v>
      </c>
      <c r="AN4555">
        <v>-116.722269</v>
      </c>
      <c r="AO4555">
        <v>25</v>
      </c>
      <c r="AP4555">
        <v>4800</v>
      </c>
      <c r="AQ4555" t="s">
        <v>129</v>
      </c>
      <c r="AR4555">
        <v>-152</v>
      </c>
      <c r="AS4555">
        <v>-96</v>
      </c>
      <c r="AT4555">
        <v>-1024</v>
      </c>
      <c r="BB4555">
        <v>1200</v>
      </c>
      <c r="BC4555">
        <v>1</v>
      </c>
      <c r="BD4555" t="str">
        <f t="shared" si="1681"/>
        <v xml:space="preserve">N887QR  </v>
      </c>
      <c r="BE4555">
        <v>1</v>
      </c>
      <c r="BG4555">
        <v>0</v>
      </c>
      <c r="BH4555">
        <v>0</v>
      </c>
      <c r="BI4555">
        <v>0</v>
      </c>
      <c r="BJ4555">
        <v>4400</v>
      </c>
      <c r="BK4555">
        <v>-400</v>
      </c>
      <c r="BL4555" t="s">
        <v>163</v>
      </c>
      <c r="BM4555">
        <v>1</v>
      </c>
      <c r="BN4555">
        <v>1</v>
      </c>
      <c r="BO4555">
        <v>1</v>
      </c>
      <c r="BP4555">
        <v>0</v>
      </c>
      <c r="BS4555">
        <v>0</v>
      </c>
      <c r="BT4555">
        <v>0</v>
      </c>
      <c r="BU4555">
        <v>0</v>
      </c>
      <c r="CE4555" t="str">
        <f t="shared" si="1683"/>
        <v>19:37:46.476</v>
      </c>
      <c r="CF4555">
        <v>476260939</v>
      </c>
      <c r="CS4555">
        <v>0</v>
      </c>
      <c r="CT4555">
        <v>2</v>
      </c>
      <c r="CU4555">
        <v>0</v>
      </c>
      <c r="CV4555">
        <v>2</v>
      </c>
      <c r="CW4555">
        <v>0</v>
      </c>
      <c r="CX4555">
        <v>6</v>
      </c>
      <c r="CY4555">
        <v>7</v>
      </c>
      <c r="CZ4555" t="s">
        <v>131</v>
      </c>
      <c r="DA4555">
        <v>286</v>
      </c>
      <c r="DB4555">
        <v>0</v>
      </c>
      <c r="DC4555" t="s">
        <v>132</v>
      </c>
      <c r="DD4555" t="s">
        <v>133</v>
      </c>
      <c r="DG4555">
        <v>917690</v>
      </c>
      <c r="DI4555">
        <v>1</v>
      </c>
      <c r="DJ4555">
        <v>0</v>
      </c>
      <c r="DK4555">
        <v>1</v>
      </c>
      <c r="DL4555">
        <v>0</v>
      </c>
      <c r="DM4555">
        <v>0</v>
      </c>
      <c r="DN4555">
        <v>1</v>
      </c>
      <c r="DO4555">
        <v>0</v>
      </c>
      <c r="DP4555">
        <v>0</v>
      </c>
      <c r="DQ4555">
        <v>0</v>
      </c>
      <c r="DR4555">
        <v>0</v>
      </c>
      <c r="DS4555">
        <v>0</v>
      </c>
    </row>
    <row r="4556" spans="1:123" x14ac:dyDescent="0.3">
      <c r="A4556" t="str">
        <f>"10/04/2022 19:37:46.715"</f>
        <v>10/04/2022 19:37:46.715</v>
      </c>
      <c r="C4556" t="str">
        <f t="shared" si="1671"/>
        <v>FFDFD3C0</v>
      </c>
      <c r="D4556" t="s">
        <v>141</v>
      </c>
      <c r="E4556">
        <v>3</v>
      </c>
      <c r="H4556">
        <v>3</v>
      </c>
      <c r="I4556" t="s">
        <v>146</v>
      </c>
      <c r="J4556" t="s">
        <v>138</v>
      </c>
      <c r="K4556">
        <v>0</v>
      </c>
      <c r="L4556">
        <v>3</v>
      </c>
      <c r="M4556">
        <v>0</v>
      </c>
      <c r="N4556">
        <v>2</v>
      </c>
      <c r="O4556">
        <v>0</v>
      </c>
      <c r="P4556">
        <v>1</v>
      </c>
      <c r="Q4556">
        <v>0</v>
      </c>
      <c r="S4556" t="str">
        <f t="shared" si="1682"/>
        <v>19:37:46.000</v>
      </c>
      <c r="T4556" t="str">
        <f t="shared" si="1682"/>
        <v>19:37:46.000</v>
      </c>
      <c r="U4556" t="str">
        <f t="shared" si="1680"/>
        <v>AC3944</v>
      </c>
      <c r="V4556">
        <v>0</v>
      </c>
      <c r="W4556">
        <v>0</v>
      </c>
      <c r="X4556">
        <v>2</v>
      </c>
      <c r="Y4556">
        <v>0</v>
      </c>
      <c r="AA4556">
        <v>1</v>
      </c>
      <c r="AB4556">
        <v>8</v>
      </c>
      <c r="AC4556">
        <v>3</v>
      </c>
      <c r="AD4556">
        <v>0</v>
      </c>
      <c r="AE4556">
        <v>9</v>
      </c>
      <c r="AF4556" t="s">
        <v>138</v>
      </c>
      <c r="AG4556">
        <v>0</v>
      </c>
      <c r="AH4556">
        <v>3</v>
      </c>
      <c r="AI4556">
        <v>1</v>
      </c>
      <c r="AJ4556">
        <v>0</v>
      </c>
      <c r="AK4556" t="s">
        <v>1432</v>
      </c>
      <c r="AL4556">
        <v>32.728313999999997</v>
      </c>
      <c r="AM4556" t="s">
        <v>1433</v>
      </c>
      <c r="AN4556">
        <v>-116.722269</v>
      </c>
      <c r="AO4556">
        <v>25</v>
      </c>
      <c r="AP4556">
        <v>4800</v>
      </c>
      <c r="AQ4556" t="s">
        <v>129</v>
      </c>
      <c r="AR4556">
        <v>-152</v>
      </c>
      <c r="AS4556">
        <v>-96</v>
      </c>
      <c r="AT4556">
        <v>-1024</v>
      </c>
      <c r="BB4556">
        <v>1200</v>
      </c>
      <c r="BC4556">
        <v>1</v>
      </c>
      <c r="BD4556" t="str">
        <f t="shared" si="1681"/>
        <v xml:space="preserve">N887QR  </v>
      </c>
      <c r="BE4556">
        <v>1</v>
      </c>
      <c r="BG4556">
        <v>0</v>
      </c>
      <c r="BH4556">
        <v>0</v>
      </c>
      <c r="BI4556">
        <v>0</v>
      </c>
      <c r="BJ4556">
        <v>4400</v>
      </c>
      <c r="BK4556">
        <v>-400</v>
      </c>
      <c r="BL4556" t="s">
        <v>163</v>
      </c>
      <c r="BM4556">
        <v>1</v>
      </c>
      <c r="BN4556">
        <v>1</v>
      </c>
      <c r="BO4556">
        <v>1</v>
      </c>
      <c r="BP4556">
        <v>0</v>
      </c>
      <c r="BS4556">
        <v>0</v>
      </c>
      <c r="BT4556">
        <v>0</v>
      </c>
      <c r="BU4556">
        <v>0</v>
      </c>
      <c r="CE4556" t="str">
        <f t="shared" si="1683"/>
        <v>19:37:46.476</v>
      </c>
      <c r="CF4556">
        <v>476260939</v>
      </c>
      <c r="CS4556">
        <v>0</v>
      </c>
      <c r="CT4556">
        <v>2</v>
      </c>
      <c r="CU4556">
        <v>0</v>
      </c>
      <c r="CV4556">
        <v>2</v>
      </c>
      <c r="CW4556">
        <v>0</v>
      </c>
      <c r="CX4556">
        <v>6</v>
      </c>
      <c r="CY4556">
        <v>7</v>
      </c>
      <c r="CZ4556" t="s">
        <v>131</v>
      </c>
      <c r="DA4556">
        <v>286</v>
      </c>
      <c r="DB4556">
        <v>0</v>
      </c>
      <c r="DC4556" t="s">
        <v>132</v>
      </c>
      <c r="DD4556" t="s">
        <v>133</v>
      </c>
      <c r="DG4556">
        <v>917690</v>
      </c>
      <c r="DI4556">
        <v>1</v>
      </c>
      <c r="DJ4556">
        <v>0</v>
      </c>
      <c r="DK4556">
        <v>1</v>
      </c>
      <c r="DL4556">
        <v>0</v>
      </c>
      <c r="DM4556">
        <v>0</v>
      </c>
      <c r="DN4556">
        <v>1</v>
      </c>
      <c r="DO4556">
        <v>0</v>
      </c>
      <c r="DP4556">
        <v>0</v>
      </c>
      <c r="DQ4556">
        <v>0</v>
      </c>
      <c r="DR4556">
        <v>0</v>
      </c>
      <c r="DS4556">
        <v>0</v>
      </c>
    </row>
    <row r="4557" spans="1:123" x14ac:dyDescent="0.3">
      <c r="A4557" t="str">
        <f>"10/04/2022 19:37:46.715"</f>
        <v>10/04/2022 19:37:46.715</v>
      </c>
      <c r="C4557" t="str">
        <f t="shared" si="1671"/>
        <v>FFDFD3C0</v>
      </c>
      <c r="D4557" t="s">
        <v>147</v>
      </c>
      <c r="E4557">
        <v>3</v>
      </c>
      <c r="H4557">
        <v>166</v>
      </c>
      <c r="I4557" t="s">
        <v>144</v>
      </c>
      <c r="J4557" t="s">
        <v>148</v>
      </c>
      <c r="K4557">
        <v>0</v>
      </c>
      <c r="L4557">
        <v>3</v>
      </c>
      <c r="M4557">
        <v>0</v>
      </c>
      <c r="N4557">
        <v>2</v>
      </c>
      <c r="O4557">
        <v>0</v>
      </c>
      <c r="P4557">
        <v>1</v>
      </c>
      <c r="Q4557">
        <v>0</v>
      </c>
      <c r="S4557" t="str">
        <f t="shared" si="1682"/>
        <v>19:37:46.000</v>
      </c>
      <c r="T4557" t="str">
        <f t="shared" si="1682"/>
        <v>19:37:46.000</v>
      </c>
      <c r="U4557" t="str">
        <f t="shared" si="1680"/>
        <v>AC3944</v>
      </c>
      <c r="V4557">
        <v>0</v>
      </c>
      <c r="W4557">
        <v>0</v>
      </c>
      <c r="X4557">
        <v>2</v>
      </c>
      <c r="Y4557">
        <v>0</v>
      </c>
      <c r="AA4557">
        <v>1</v>
      </c>
      <c r="AB4557">
        <v>8</v>
      </c>
      <c r="AC4557">
        <v>3</v>
      </c>
      <c r="AD4557">
        <v>0</v>
      </c>
      <c r="AE4557">
        <v>9</v>
      </c>
      <c r="AF4557" t="s">
        <v>138</v>
      </c>
      <c r="AG4557">
        <v>0</v>
      </c>
      <c r="AH4557">
        <v>3</v>
      </c>
      <c r="AI4557">
        <v>1</v>
      </c>
      <c r="AJ4557">
        <v>0</v>
      </c>
      <c r="AK4557" t="s">
        <v>1432</v>
      </c>
      <c r="AL4557">
        <v>32.728313999999997</v>
      </c>
      <c r="AM4557" t="s">
        <v>1433</v>
      </c>
      <c r="AN4557">
        <v>-116.722269</v>
      </c>
      <c r="AO4557">
        <v>25</v>
      </c>
      <c r="AP4557">
        <v>4800</v>
      </c>
      <c r="AQ4557" t="s">
        <v>129</v>
      </c>
      <c r="AR4557">
        <v>-152</v>
      </c>
      <c r="AS4557">
        <v>-96</v>
      </c>
      <c r="AT4557">
        <v>-1024</v>
      </c>
      <c r="BB4557">
        <v>1200</v>
      </c>
      <c r="BC4557">
        <v>1</v>
      </c>
      <c r="BD4557" t="str">
        <f t="shared" si="1681"/>
        <v xml:space="preserve">N887QR  </v>
      </c>
      <c r="BE4557">
        <v>1</v>
      </c>
      <c r="BG4557">
        <v>0</v>
      </c>
      <c r="BH4557">
        <v>0</v>
      </c>
      <c r="BI4557">
        <v>0</v>
      </c>
      <c r="BJ4557">
        <v>4400</v>
      </c>
      <c r="BK4557">
        <v>-400</v>
      </c>
      <c r="BL4557" t="s">
        <v>163</v>
      </c>
      <c r="BM4557">
        <v>1</v>
      </c>
      <c r="BN4557">
        <v>1</v>
      </c>
      <c r="BO4557">
        <v>1</v>
      </c>
      <c r="BP4557">
        <v>0</v>
      </c>
      <c r="BS4557">
        <v>0</v>
      </c>
      <c r="BT4557">
        <v>0</v>
      </c>
      <c r="BU4557">
        <v>0</v>
      </c>
      <c r="CE4557" t="str">
        <f t="shared" si="1683"/>
        <v>19:37:46.476</v>
      </c>
      <c r="CF4557">
        <v>476260939</v>
      </c>
      <c r="CS4557">
        <v>0</v>
      </c>
      <c r="CT4557">
        <v>2</v>
      </c>
      <c r="CU4557">
        <v>0</v>
      </c>
      <c r="CV4557">
        <v>2</v>
      </c>
      <c r="CW4557">
        <v>0</v>
      </c>
      <c r="CX4557">
        <v>6</v>
      </c>
      <c r="CY4557">
        <v>7</v>
      </c>
      <c r="CZ4557" t="s">
        <v>131</v>
      </c>
      <c r="DA4557">
        <v>286</v>
      </c>
      <c r="DB4557">
        <v>0</v>
      </c>
      <c r="DC4557" t="s">
        <v>132</v>
      </c>
      <c r="DD4557" t="s">
        <v>133</v>
      </c>
      <c r="DG4557">
        <v>917690</v>
      </c>
      <c r="DI4557">
        <v>1</v>
      </c>
      <c r="DJ4557">
        <v>0</v>
      </c>
      <c r="DK4557">
        <v>1</v>
      </c>
      <c r="DL4557">
        <v>0</v>
      </c>
      <c r="DM4557">
        <v>0</v>
      </c>
      <c r="DN4557">
        <v>1</v>
      </c>
      <c r="DO4557">
        <v>0</v>
      </c>
      <c r="DP4557">
        <v>0</v>
      </c>
      <c r="DQ4557">
        <v>0</v>
      </c>
      <c r="DR4557">
        <v>0</v>
      </c>
      <c r="DS4557">
        <v>0</v>
      </c>
    </row>
    <row r="4558" spans="1:123" x14ac:dyDescent="0.3">
      <c r="A4558" t="str">
        <f t="shared" ref="A4558:A4563" si="1684">"10/04/2022 19:37:47.480"</f>
        <v>10/04/2022 19:37:47.480</v>
      </c>
      <c r="C4558" t="str">
        <f t="shared" si="1671"/>
        <v>FFDFD3C0</v>
      </c>
      <c r="D4558" t="s">
        <v>134</v>
      </c>
      <c r="E4558">
        <v>15</v>
      </c>
      <c r="J4558" t="s">
        <v>135</v>
      </c>
      <c r="K4558">
        <v>0</v>
      </c>
      <c r="L4558">
        <v>3</v>
      </c>
      <c r="M4558">
        <v>0</v>
      </c>
      <c r="N4558">
        <v>2</v>
      </c>
      <c r="O4558">
        <v>0</v>
      </c>
      <c r="P4558">
        <v>1</v>
      </c>
      <c r="Q4558">
        <v>0</v>
      </c>
      <c r="S4558" t="str">
        <f t="shared" ref="S4558:T4564" si="1685">"19:37:47.000"</f>
        <v>19:37:47.000</v>
      </c>
      <c r="T4558" t="str">
        <f t="shared" si="1685"/>
        <v>19:37:47.000</v>
      </c>
      <c r="U4558" t="str">
        <f t="shared" si="1680"/>
        <v>AC3944</v>
      </c>
      <c r="V4558">
        <v>0</v>
      </c>
      <c r="W4558">
        <v>0</v>
      </c>
      <c r="X4558">
        <v>2</v>
      </c>
      <c r="Y4558">
        <v>0</v>
      </c>
      <c r="AA4558">
        <v>1</v>
      </c>
      <c r="AB4558">
        <v>8</v>
      </c>
      <c r="AC4558">
        <v>3</v>
      </c>
      <c r="AD4558">
        <v>0</v>
      </c>
      <c r="AE4558">
        <v>9</v>
      </c>
      <c r="AF4558" t="s">
        <v>138</v>
      </c>
      <c r="AG4558">
        <v>0</v>
      </c>
      <c r="AH4558">
        <v>3</v>
      </c>
      <c r="AI4558">
        <v>1</v>
      </c>
      <c r="AJ4558">
        <v>0</v>
      </c>
      <c r="AK4558" t="s">
        <v>1434</v>
      </c>
      <c r="AL4558">
        <v>32.727863999999997</v>
      </c>
      <c r="AM4558" t="s">
        <v>1435</v>
      </c>
      <c r="AN4558">
        <v>-116.723106</v>
      </c>
      <c r="AO4558">
        <v>25</v>
      </c>
      <c r="AP4558">
        <v>4800</v>
      </c>
      <c r="AQ4558" t="s">
        <v>129</v>
      </c>
      <c r="AR4558">
        <v>-153</v>
      </c>
      <c r="AS4558">
        <v>-96</v>
      </c>
      <c r="AT4558">
        <v>-1024</v>
      </c>
      <c r="BB4558">
        <v>1200</v>
      </c>
      <c r="BC4558">
        <v>1</v>
      </c>
      <c r="BD4558" t="str">
        <f t="shared" si="1681"/>
        <v xml:space="preserve">N887QR  </v>
      </c>
      <c r="BE4558">
        <v>1</v>
      </c>
      <c r="BG4558">
        <v>0</v>
      </c>
      <c r="BH4558">
        <v>0</v>
      </c>
      <c r="BI4558">
        <v>0</v>
      </c>
      <c r="BJ4558">
        <v>4400</v>
      </c>
      <c r="BK4558">
        <v>-400</v>
      </c>
      <c r="BL4558" t="s">
        <v>163</v>
      </c>
      <c r="BM4558">
        <v>1</v>
      </c>
      <c r="BN4558">
        <v>1</v>
      </c>
      <c r="BO4558">
        <v>1</v>
      </c>
      <c r="BP4558">
        <v>0</v>
      </c>
      <c r="BS4558">
        <v>0</v>
      </c>
      <c r="BT4558">
        <v>0</v>
      </c>
      <c r="BU4558">
        <v>0</v>
      </c>
      <c r="CE4558" t="str">
        <f t="shared" ref="CE4558:CE4564" si="1686">"19:37:47.256"</f>
        <v>19:37:47.256</v>
      </c>
      <c r="CF4558">
        <v>255513219</v>
      </c>
      <c r="CS4558">
        <v>0</v>
      </c>
      <c r="CT4558">
        <v>2</v>
      </c>
      <c r="CU4558">
        <v>0</v>
      </c>
      <c r="CV4558">
        <v>2</v>
      </c>
      <c r="CW4558">
        <v>0</v>
      </c>
      <c r="CX4558">
        <v>6</v>
      </c>
      <c r="CY4558">
        <v>7</v>
      </c>
      <c r="CZ4558" t="s">
        <v>131</v>
      </c>
      <c r="DA4558">
        <v>286</v>
      </c>
      <c r="DB4558">
        <v>0</v>
      </c>
      <c r="DC4558" t="s">
        <v>132</v>
      </c>
      <c r="DD4558" t="s">
        <v>133</v>
      </c>
      <c r="DG4558">
        <v>917839</v>
      </c>
      <c r="DI4558">
        <v>1</v>
      </c>
      <c r="DJ4558">
        <v>0</v>
      </c>
      <c r="DK4558">
        <v>0</v>
      </c>
      <c r="DL4558">
        <v>0</v>
      </c>
      <c r="DM4558">
        <v>0</v>
      </c>
      <c r="DN4558">
        <v>1</v>
      </c>
      <c r="DO4558">
        <v>0</v>
      </c>
      <c r="DP4558">
        <v>0</v>
      </c>
      <c r="DQ4558">
        <v>0</v>
      </c>
      <c r="DR4558">
        <v>0</v>
      </c>
      <c r="DS4558">
        <v>0</v>
      </c>
    </row>
    <row r="4559" spans="1:123" x14ac:dyDescent="0.3">
      <c r="A4559" t="str">
        <f t="shared" si="1684"/>
        <v>10/04/2022 19:37:47.480</v>
      </c>
      <c r="C4559" t="str">
        <f t="shared" si="1671"/>
        <v>FFDFD3C0</v>
      </c>
      <c r="D4559" t="s">
        <v>143</v>
      </c>
      <c r="E4559">
        <v>20</v>
      </c>
      <c r="F4559">
        <v>1020</v>
      </c>
      <c r="G4559" t="s">
        <v>144</v>
      </c>
      <c r="J4559" t="s">
        <v>145</v>
      </c>
      <c r="K4559">
        <v>0</v>
      </c>
      <c r="L4559">
        <v>3</v>
      </c>
      <c r="M4559">
        <v>0</v>
      </c>
      <c r="N4559">
        <v>2</v>
      </c>
      <c r="O4559">
        <v>0</v>
      </c>
      <c r="P4559">
        <v>1</v>
      </c>
      <c r="Q4559">
        <v>0</v>
      </c>
      <c r="S4559" t="str">
        <f t="shared" si="1685"/>
        <v>19:37:47.000</v>
      </c>
      <c r="T4559" t="str">
        <f t="shared" si="1685"/>
        <v>19:37:47.000</v>
      </c>
      <c r="U4559" t="str">
        <f t="shared" si="1680"/>
        <v>AC3944</v>
      </c>
      <c r="V4559">
        <v>0</v>
      </c>
      <c r="W4559">
        <v>0</v>
      </c>
      <c r="X4559">
        <v>2</v>
      </c>
      <c r="Y4559">
        <v>0</v>
      </c>
      <c r="AA4559">
        <v>1</v>
      </c>
      <c r="AB4559">
        <v>8</v>
      </c>
      <c r="AC4559">
        <v>3</v>
      </c>
      <c r="AD4559">
        <v>0</v>
      </c>
      <c r="AE4559">
        <v>9</v>
      </c>
      <c r="AF4559" t="s">
        <v>138</v>
      </c>
      <c r="AG4559">
        <v>0</v>
      </c>
      <c r="AH4559">
        <v>3</v>
      </c>
      <c r="AI4559">
        <v>1</v>
      </c>
      <c r="AJ4559">
        <v>0</v>
      </c>
      <c r="AK4559" t="s">
        <v>1434</v>
      </c>
      <c r="AL4559">
        <v>32.727863999999997</v>
      </c>
      <c r="AM4559" t="s">
        <v>1435</v>
      </c>
      <c r="AN4559">
        <v>-116.723106</v>
      </c>
      <c r="AO4559">
        <v>25</v>
      </c>
      <c r="AP4559">
        <v>4800</v>
      </c>
      <c r="AQ4559" t="s">
        <v>129</v>
      </c>
      <c r="AR4559">
        <v>-153</v>
      </c>
      <c r="AS4559">
        <v>-96</v>
      </c>
      <c r="AT4559">
        <v>-1024</v>
      </c>
      <c r="BB4559">
        <v>1200</v>
      </c>
      <c r="BC4559">
        <v>1</v>
      </c>
      <c r="BD4559" t="str">
        <f t="shared" si="1681"/>
        <v xml:space="preserve">N887QR  </v>
      </c>
      <c r="BE4559">
        <v>1</v>
      </c>
      <c r="BG4559">
        <v>0</v>
      </c>
      <c r="BH4559">
        <v>0</v>
      </c>
      <c r="BI4559">
        <v>0</v>
      </c>
      <c r="BJ4559">
        <v>4400</v>
      </c>
      <c r="BK4559">
        <v>-400</v>
      </c>
      <c r="BL4559" t="s">
        <v>163</v>
      </c>
      <c r="BM4559">
        <v>1</v>
      </c>
      <c r="BN4559">
        <v>1</v>
      </c>
      <c r="BO4559">
        <v>1</v>
      </c>
      <c r="BP4559">
        <v>0</v>
      </c>
      <c r="BS4559">
        <v>0</v>
      </c>
      <c r="BT4559">
        <v>0</v>
      </c>
      <c r="BU4559">
        <v>0</v>
      </c>
      <c r="CE4559" t="str">
        <f t="shared" si="1686"/>
        <v>19:37:47.256</v>
      </c>
      <c r="CF4559">
        <v>255513219</v>
      </c>
      <c r="CS4559">
        <v>0</v>
      </c>
      <c r="CT4559">
        <v>2</v>
      </c>
      <c r="CU4559">
        <v>0</v>
      </c>
      <c r="CV4559">
        <v>2</v>
      </c>
      <c r="CW4559">
        <v>0</v>
      </c>
      <c r="CX4559">
        <v>6</v>
      </c>
      <c r="CY4559">
        <v>7</v>
      </c>
      <c r="CZ4559" t="s">
        <v>131</v>
      </c>
      <c r="DA4559">
        <v>286</v>
      </c>
      <c r="DB4559">
        <v>0</v>
      </c>
      <c r="DC4559" t="s">
        <v>132</v>
      </c>
      <c r="DD4559" t="s">
        <v>133</v>
      </c>
      <c r="DG4559">
        <v>917839</v>
      </c>
      <c r="DI4559">
        <v>1</v>
      </c>
      <c r="DJ4559">
        <v>0</v>
      </c>
      <c r="DK4559">
        <v>1</v>
      </c>
      <c r="DL4559">
        <v>0</v>
      </c>
      <c r="DM4559">
        <v>0</v>
      </c>
      <c r="DN4559">
        <v>1</v>
      </c>
      <c r="DO4559">
        <v>0</v>
      </c>
      <c r="DP4559">
        <v>0</v>
      </c>
      <c r="DQ4559">
        <v>0</v>
      </c>
      <c r="DR4559">
        <v>0</v>
      </c>
      <c r="DS4559">
        <v>0</v>
      </c>
    </row>
    <row r="4560" spans="1:123" x14ac:dyDescent="0.3">
      <c r="A4560" t="str">
        <f t="shared" si="1684"/>
        <v>10/04/2022 19:37:47.480</v>
      </c>
      <c r="C4560" t="str">
        <f t="shared" si="1671"/>
        <v>FFDFD3C0</v>
      </c>
      <c r="D4560" t="s">
        <v>141</v>
      </c>
      <c r="E4560">
        <v>4</v>
      </c>
      <c r="H4560">
        <v>4</v>
      </c>
      <c r="I4560" t="s">
        <v>142</v>
      </c>
      <c r="J4560" t="s">
        <v>138</v>
      </c>
      <c r="K4560">
        <v>0</v>
      </c>
      <c r="L4560">
        <v>3</v>
      </c>
      <c r="M4560">
        <v>0</v>
      </c>
      <c r="N4560">
        <v>2</v>
      </c>
      <c r="O4560">
        <v>0</v>
      </c>
      <c r="P4560">
        <v>1</v>
      </c>
      <c r="Q4560">
        <v>0</v>
      </c>
      <c r="S4560" t="str">
        <f t="shared" si="1685"/>
        <v>19:37:47.000</v>
      </c>
      <c r="T4560" t="str">
        <f t="shared" si="1685"/>
        <v>19:37:47.000</v>
      </c>
      <c r="U4560" t="str">
        <f t="shared" si="1680"/>
        <v>AC3944</v>
      </c>
      <c r="V4560">
        <v>0</v>
      </c>
      <c r="W4560">
        <v>0</v>
      </c>
      <c r="X4560">
        <v>2</v>
      </c>
      <c r="Y4560">
        <v>0</v>
      </c>
      <c r="AA4560">
        <v>1</v>
      </c>
      <c r="AB4560">
        <v>8</v>
      </c>
      <c r="AC4560">
        <v>3</v>
      </c>
      <c r="AD4560">
        <v>0</v>
      </c>
      <c r="AE4560">
        <v>9</v>
      </c>
      <c r="AF4560" t="s">
        <v>138</v>
      </c>
      <c r="AG4560">
        <v>0</v>
      </c>
      <c r="AH4560">
        <v>3</v>
      </c>
      <c r="AI4560">
        <v>1</v>
      </c>
      <c r="AJ4560">
        <v>0</v>
      </c>
      <c r="AK4560" t="s">
        <v>1434</v>
      </c>
      <c r="AL4560">
        <v>32.727863999999997</v>
      </c>
      <c r="AM4560" t="s">
        <v>1435</v>
      </c>
      <c r="AN4560">
        <v>-116.723106</v>
      </c>
      <c r="AO4560">
        <v>25</v>
      </c>
      <c r="AP4560">
        <v>4800</v>
      </c>
      <c r="AQ4560" t="s">
        <v>129</v>
      </c>
      <c r="AR4560">
        <v>-153</v>
      </c>
      <c r="AS4560">
        <v>-96</v>
      </c>
      <c r="AT4560">
        <v>-1024</v>
      </c>
      <c r="BB4560">
        <v>1200</v>
      </c>
      <c r="BC4560">
        <v>1</v>
      </c>
      <c r="BD4560" t="str">
        <f t="shared" si="1681"/>
        <v xml:space="preserve">N887QR  </v>
      </c>
      <c r="BE4560">
        <v>1</v>
      </c>
      <c r="BG4560">
        <v>0</v>
      </c>
      <c r="BH4560">
        <v>0</v>
      </c>
      <c r="BI4560">
        <v>0</v>
      </c>
      <c r="BJ4560">
        <v>4400</v>
      </c>
      <c r="BK4560">
        <v>-400</v>
      </c>
      <c r="BL4560" t="s">
        <v>163</v>
      </c>
      <c r="BM4560">
        <v>1</v>
      </c>
      <c r="BN4560">
        <v>1</v>
      </c>
      <c r="BO4560">
        <v>1</v>
      </c>
      <c r="BP4560">
        <v>0</v>
      </c>
      <c r="BS4560">
        <v>0</v>
      </c>
      <c r="BT4560">
        <v>0</v>
      </c>
      <c r="BU4560">
        <v>0</v>
      </c>
      <c r="CE4560" t="str">
        <f t="shared" si="1686"/>
        <v>19:37:47.256</v>
      </c>
      <c r="CF4560">
        <v>255513219</v>
      </c>
      <c r="CS4560">
        <v>0</v>
      </c>
      <c r="CT4560">
        <v>2</v>
      </c>
      <c r="CU4560">
        <v>0</v>
      </c>
      <c r="CV4560">
        <v>2</v>
      </c>
      <c r="CW4560">
        <v>0</v>
      </c>
      <c r="CX4560">
        <v>6</v>
      </c>
      <c r="CY4560">
        <v>7</v>
      </c>
      <c r="CZ4560" t="s">
        <v>131</v>
      </c>
      <c r="DA4560">
        <v>286</v>
      </c>
      <c r="DB4560">
        <v>0</v>
      </c>
      <c r="DC4560" t="s">
        <v>132</v>
      </c>
      <c r="DD4560" t="s">
        <v>133</v>
      </c>
      <c r="DG4560">
        <v>917839</v>
      </c>
      <c r="DI4560">
        <v>1</v>
      </c>
      <c r="DJ4560">
        <v>0</v>
      </c>
      <c r="DK4560">
        <v>1</v>
      </c>
      <c r="DL4560">
        <v>0</v>
      </c>
      <c r="DM4560">
        <v>0</v>
      </c>
      <c r="DN4560">
        <v>1</v>
      </c>
      <c r="DO4560">
        <v>0</v>
      </c>
      <c r="DP4560">
        <v>0</v>
      </c>
      <c r="DQ4560">
        <v>0</v>
      </c>
      <c r="DR4560">
        <v>0</v>
      </c>
      <c r="DS4560">
        <v>0</v>
      </c>
    </row>
    <row r="4561" spans="1:123" x14ac:dyDescent="0.3">
      <c r="A4561" t="str">
        <f t="shared" si="1684"/>
        <v>10/04/2022 19:37:47.480</v>
      </c>
      <c r="C4561" t="str">
        <f t="shared" si="1671"/>
        <v>FFDFD3C0</v>
      </c>
      <c r="D4561" t="s">
        <v>123</v>
      </c>
      <c r="E4561">
        <v>7</v>
      </c>
      <c r="F4561">
        <v>2007</v>
      </c>
      <c r="G4561" t="s">
        <v>124</v>
      </c>
      <c r="J4561" t="s">
        <v>125</v>
      </c>
      <c r="K4561">
        <v>0</v>
      </c>
      <c r="L4561">
        <v>3</v>
      </c>
      <c r="M4561">
        <v>0</v>
      </c>
      <c r="N4561">
        <v>2</v>
      </c>
      <c r="O4561">
        <v>0</v>
      </c>
      <c r="P4561">
        <v>1</v>
      </c>
      <c r="Q4561">
        <v>0</v>
      </c>
      <c r="S4561" t="str">
        <f t="shared" si="1685"/>
        <v>19:37:47.000</v>
      </c>
      <c r="T4561" t="str">
        <f t="shared" si="1685"/>
        <v>19:37:47.000</v>
      </c>
      <c r="U4561" t="str">
        <f t="shared" si="1680"/>
        <v>AC3944</v>
      </c>
      <c r="V4561">
        <v>0</v>
      </c>
      <c r="W4561">
        <v>0</v>
      </c>
      <c r="X4561">
        <v>2</v>
      </c>
      <c r="Y4561">
        <v>0</v>
      </c>
      <c r="AA4561">
        <v>1</v>
      </c>
      <c r="AB4561">
        <v>8</v>
      </c>
      <c r="AC4561">
        <v>3</v>
      </c>
      <c r="AD4561">
        <v>0</v>
      </c>
      <c r="AE4561">
        <v>9</v>
      </c>
      <c r="AF4561" t="s">
        <v>138</v>
      </c>
      <c r="AG4561">
        <v>0</v>
      </c>
      <c r="AH4561">
        <v>3</v>
      </c>
      <c r="AI4561">
        <v>1</v>
      </c>
      <c r="AJ4561">
        <v>0</v>
      </c>
      <c r="AK4561" t="s">
        <v>1434</v>
      </c>
      <c r="AL4561">
        <v>32.727863999999997</v>
      </c>
      <c r="AM4561" t="s">
        <v>1435</v>
      </c>
      <c r="AN4561">
        <v>-116.723106</v>
      </c>
      <c r="AO4561">
        <v>25</v>
      </c>
      <c r="AP4561">
        <v>4800</v>
      </c>
      <c r="AQ4561" t="s">
        <v>129</v>
      </c>
      <c r="AR4561">
        <v>-153</v>
      </c>
      <c r="AS4561">
        <v>-96</v>
      </c>
      <c r="AT4561">
        <v>-1024</v>
      </c>
      <c r="BB4561">
        <v>1200</v>
      </c>
      <c r="BC4561">
        <v>1</v>
      </c>
      <c r="BD4561" t="str">
        <f t="shared" si="1681"/>
        <v xml:space="preserve">N887QR  </v>
      </c>
      <c r="BE4561">
        <v>1</v>
      </c>
      <c r="BG4561">
        <v>0</v>
      </c>
      <c r="BH4561">
        <v>0</v>
      </c>
      <c r="BI4561">
        <v>0</v>
      </c>
      <c r="BJ4561">
        <v>4400</v>
      </c>
      <c r="BK4561">
        <v>-400</v>
      </c>
      <c r="BL4561" t="s">
        <v>163</v>
      </c>
      <c r="BM4561">
        <v>1</v>
      </c>
      <c r="BN4561">
        <v>1</v>
      </c>
      <c r="BO4561">
        <v>1</v>
      </c>
      <c r="BP4561">
        <v>0</v>
      </c>
      <c r="BS4561">
        <v>0</v>
      </c>
      <c r="BT4561">
        <v>0</v>
      </c>
      <c r="BU4561">
        <v>0</v>
      </c>
      <c r="CE4561" t="str">
        <f t="shared" si="1686"/>
        <v>19:37:47.256</v>
      </c>
      <c r="CF4561">
        <v>255513219</v>
      </c>
      <c r="CS4561">
        <v>0</v>
      </c>
      <c r="CT4561">
        <v>2</v>
      </c>
      <c r="CU4561">
        <v>0</v>
      </c>
      <c r="CV4561">
        <v>2</v>
      </c>
      <c r="CW4561">
        <v>0</v>
      </c>
      <c r="CX4561">
        <v>6</v>
      </c>
      <c r="CY4561">
        <v>7</v>
      </c>
      <c r="CZ4561" t="s">
        <v>131</v>
      </c>
      <c r="DA4561">
        <v>286</v>
      </c>
      <c r="DB4561">
        <v>0</v>
      </c>
      <c r="DC4561" t="s">
        <v>132</v>
      </c>
      <c r="DD4561" t="s">
        <v>133</v>
      </c>
      <c r="DG4561">
        <v>917839</v>
      </c>
      <c r="DI4561">
        <v>1</v>
      </c>
      <c r="DJ4561">
        <v>0</v>
      </c>
      <c r="DK4561">
        <v>1</v>
      </c>
      <c r="DL4561">
        <v>0</v>
      </c>
      <c r="DM4561">
        <v>0</v>
      </c>
      <c r="DN4561">
        <v>1</v>
      </c>
      <c r="DO4561">
        <v>0</v>
      </c>
      <c r="DP4561">
        <v>0</v>
      </c>
      <c r="DQ4561">
        <v>0</v>
      </c>
      <c r="DR4561">
        <v>0</v>
      </c>
      <c r="DS4561">
        <v>0</v>
      </c>
    </row>
    <row r="4562" spans="1:123" x14ac:dyDescent="0.3">
      <c r="A4562" t="str">
        <f t="shared" si="1684"/>
        <v>10/04/2022 19:37:47.480</v>
      </c>
      <c r="C4562" t="str">
        <f t="shared" si="1671"/>
        <v>FFDFD3C0</v>
      </c>
      <c r="D4562" t="s">
        <v>141</v>
      </c>
      <c r="E4562">
        <v>3</v>
      </c>
      <c r="H4562">
        <v>3</v>
      </c>
      <c r="I4562" t="s">
        <v>146</v>
      </c>
      <c r="J4562" t="s">
        <v>138</v>
      </c>
      <c r="K4562">
        <v>0</v>
      </c>
      <c r="L4562">
        <v>3</v>
      </c>
      <c r="M4562">
        <v>0</v>
      </c>
      <c r="N4562">
        <v>2</v>
      </c>
      <c r="O4562">
        <v>0</v>
      </c>
      <c r="P4562">
        <v>1</v>
      </c>
      <c r="Q4562">
        <v>0</v>
      </c>
      <c r="S4562" t="str">
        <f t="shared" si="1685"/>
        <v>19:37:47.000</v>
      </c>
      <c r="T4562" t="str">
        <f t="shared" si="1685"/>
        <v>19:37:47.000</v>
      </c>
      <c r="U4562" t="str">
        <f t="shared" si="1680"/>
        <v>AC3944</v>
      </c>
      <c r="V4562">
        <v>0</v>
      </c>
      <c r="W4562">
        <v>0</v>
      </c>
      <c r="X4562">
        <v>2</v>
      </c>
      <c r="Y4562">
        <v>0</v>
      </c>
      <c r="AA4562">
        <v>1</v>
      </c>
      <c r="AB4562">
        <v>8</v>
      </c>
      <c r="AC4562">
        <v>3</v>
      </c>
      <c r="AD4562">
        <v>0</v>
      </c>
      <c r="AE4562">
        <v>9</v>
      </c>
      <c r="AF4562" t="s">
        <v>138</v>
      </c>
      <c r="AG4562">
        <v>0</v>
      </c>
      <c r="AH4562">
        <v>3</v>
      </c>
      <c r="AI4562">
        <v>1</v>
      </c>
      <c r="AJ4562">
        <v>0</v>
      </c>
      <c r="AK4562" t="s">
        <v>1434</v>
      </c>
      <c r="AL4562">
        <v>32.727863999999997</v>
      </c>
      <c r="AM4562" t="s">
        <v>1435</v>
      </c>
      <c r="AN4562">
        <v>-116.723106</v>
      </c>
      <c r="AO4562">
        <v>25</v>
      </c>
      <c r="AP4562">
        <v>4800</v>
      </c>
      <c r="AQ4562" t="s">
        <v>129</v>
      </c>
      <c r="AR4562">
        <v>-153</v>
      </c>
      <c r="AS4562">
        <v>-96</v>
      </c>
      <c r="AT4562">
        <v>-1024</v>
      </c>
      <c r="BB4562">
        <v>1200</v>
      </c>
      <c r="BC4562">
        <v>1</v>
      </c>
      <c r="BD4562" t="str">
        <f t="shared" si="1681"/>
        <v xml:space="preserve">N887QR  </v>
      </c>
      <c r="BE4562">
        <v>1</v>
      </c>
      <c r="BG4562">
        <v>0</v>
      </c>
      <c r="BH4562">
        <v>0</v>
      </c>
      <c r="BI4562">
        <v>0</v>
      </c>
      <c r="BJ4562">
        <v>4400</v>
      </c>
      <c r="BK4562">
        <v>-400</v>
      </c>
      <c r="BL4562" t="s">
        <v>163</v>
      </c>
      <c r="BM4562">
        <v>1</v>
      </c>
      <c r="BN4562">
        <v>1</v>
      </c>
      <c r="BO4562">
        <v>1</v>
      </c>
      <c r="BP4562">
        <v>0</v>
      </c>
      <c r="BS4562">
        <v>0</v>
      </c>
      <c r="BT4562">
        <v>0</v>
      </c>
      <c r="BU4562">
        <v>0</v>
      </c>
      <c r="CE4562" t="str">
        <f t="shared" si="1686"/>
        <v>19:37:47.256</v>
      </c>
      <c r="CF4562">
        <v>255513219</v>
      </c>
      <c r="CS4562">
        <v>0</v>
      </c>
      <c r="CT4562">
        <v>2</v>
      </c>
      <c r="CU4562">
        <v>0</v>
      </c>
      <c r="CV4562">
        <v>2</v>
      </c>
      <c r="CW4562">
        <v>0</v>
      </c>
      <c r="CX4562">
        <v>6</v>
      </c>
      <c r="CY4562">
        <v>7</v>
      </c>
      <c r="CZ4562" t="s">
        <v>131</v>
      </c>
      <c r="DA4562">
        <v>286</v>
      </c>
      <c r="DB4562">
        <v>0</v>
      </c>
      <c r="DC4562" t="s">
        <v>132</v>
      </c>
      <c r="DD4562" t="s">
        <v>133</v>
      </c>
      <c r="DG4562">
        <v>917839</v>
      </c>
      <c r="DI4562">
        <v>1</v>
      </c>
      <c r="DJ4562">
        <v>0</v>
      </c>
      <c r="DK4562">
        <v>1</v>
      </c>
      <c r="DL4562">
        <v>0</v>
      </c>
      <c r="DM4562">
        <v>0</v>
      </c>
      <c r="DN4562">
        <v>1</v>
      </c>
      <c r="DO4562">
        <v>0</v>
      </c>
      <c r="DP4562">
        <v>0</v>
      </c>
      <c r="DQ4562">
        <v>0</v>
      </c>
      <c r="DR4562">
        <v>0</v>
      </c>
      <c r="DS4562">
        <v>0</v>
      </c>
    </row>
    <row r="4563" spans="1:123" x14ac:dyDescent="0.3">
      <c r="A4563" t="str">
        <f t="shared" si="1684"/>
        <v>10/04/2022 19:37:47.480</v>
      </c>
      <c r="C4563" t="str">
        <f t="shared" si="1671"/>
        <v>FFDFD3C0</v>
      </c>
      <c r="D4563" t="s">
        <v>147</v>
      </c>
      <c r="E4563">
        <v>3</v>
      </c>
      <c r="H4563">
        <v>166</v>
      </c>
      <c r="I4563" t="s">
        <v>144</v>
      </c>
      <c r="J4563" t="s">
        <v>148</v>
      </c>
      <c r="K4563">
        <v>0</v>
      </c>
      <c r="L4563">
        <v>3</v>
      </c>
      <c r="M4563">
        <v>0</v>
      </c>
      <c r="N4563">
        <v>2</v>
      </c>
      <c r="O4563">
        <v>0</v>
      </c>
      <c r="P4563">
        <v>1</v>
      </c>
      <c r="Q4563">
        <v>0</v>
      </c>
      <c r="S4563" t="str">
        <f t="shared" si="1685"/>
        <v>19:37:47.000</v>
      </c>
      <c r="T4563" t="str">
        <f t="shared" si="1685"/>
        <v>19:37:47.000</v>
      </c>
      <c r="U4563" t="str">
        <f t="shared" si="1680"/>
        <v>AC3944</v>
      </c>
      <c r="V4563">
        <v>0</v>
      </c>
      <c r="W4563">
        <v>0</v>
      </c>
      <c r="X4563">
        <v>2</v>
      </c>
      <c r="Y4563">
        <v>0</v>
      </c>
      <c r="AA4563">
        <v>1</v>
      </c>
      <c r="AB4563">
        <v>8</v>
      </c>
      <c r="AC4563">
        <v>3</v>
      </c>
      <c r="AD4563">
        <v>0</v>
      </c>
      <c r="AE4563">
        <v>9</v>
      </c>
      <c r="AF4563" t="s">
        <v>138</v>
      </c>
      <c r="AG4563">
        <v>0</v>
      </c>
      <c r="AH4563">
        <v>3</v>
      </c>
      <c r="AI4563">
        <v>1</v>
      </c>
      <c r="AJ4563">
        <v>0</v>
      </c>
      <c r="AK4563" t="s">
        <v>1434</v>
      </c>
      <c r="AL4563">
        <v>32.727863999999997</v>
      </c>
      <c r="AM4563" t="s">
        <v>1435</v>
      </c>
      <c r="AN4563">
        <v>-116.723106</v>
      </c>
      <c r="AO4563">
        <v>25</v>
      </c>
      <c r="AP4563">
        <v>4800</v>
      </c>
      <c r="AQ4563" t="s">
        <v>129</v>
      </c>
      <c r="AR4563">
        <v>-153</v>
      </c>
      <c r="AS4563">
        <v>-96</v>
      </c>
      <c r="AT4563">
        <v>-1024</v>
      </c>
      <c r="BB4563">
        <v>1200</v>
      </c>
      <c r="BC4563">
        <v>1</v>
      </c>
      <c r="BD4563" t="str">
        <f t="shared" si="1681"/>
        <v xml:space="preserve">N887QR  </v>
      </c>
      <c r="BE4563">
        <v>1</v>
      </c>
      <c r="BG4563">
        <v>0</v>
      </c>
      <c r="BH4563">
        <v>0</v>
      </c>
      <c r="BI4563">
        <v>0</v>
      </c>
      <c r="BJ4563">
        <v>4400</v>
      </c>
      <c r="BK4563">
        <v>-400</v>
      </c>
      <c r="BL4563" t="s">
        <v>163</v>
      </c>
      <c r="BM4563">
        <v>1</v>
      </c>
      <c r="BN4563">
        <v>1</v>
      </c>
      <c r="BO4563">
        <v>1</v>
      </c>
      <c r="BP4563">
        <v>0</v>
      </c>
      <c r="BS4563">
        <v>0</v>
      </c>
      <c r="BT4563">
        <v>0</v>
      </c>
      <c r="BU4563">
        <v>0</v>
      </c>
      <c r="CE4563" t="str">
        <f t="shared" si="1686"/>
        <v>19:37:47.256</v>
      </c>
      <c r="CF4563">
        <v>255513219</v>
      </c>
      <c r="CS4563">
        <v>0</v>
      </c>
      <c r="CT4563">
        <v>2</v>
      </c>
      <c r="CU4563">
        <v>0</v>
      </c>
      <c r="CV4563">
        <v>2</v>
      </c>
      <c r="CW4563">
        <v>0</v>
      </c>
      <c r="CX4563">
        <v>6</v>
      </c>
      <c r="CY4563">
        <v>7</v>
      </c>
      <c r="CZ4563" t="s">
        <v>131</v>
      </c>
      <c r="DA4563">
        <v>286</v>
      </c>
      <c r="DB4563">
        <v>0</v>
      </c>
      <c r="DC4563" t="s">
        <v>132</v>
      </c>
      <c r="DD4563" t="s">
        <v>133</v>
      </c>
      <c r="DG4563">
        <v>917839</v>
      </c>
      <c r="DI4563">
        <v>1</v>
      </c>
      <c r="DJ4563">
        <v>0</v>
      </c>
      <c r="DK4563">
        <v>1</v>
      </c>
      <c r="DL4563">
        <v>0</v>
      </c>
      <c r="DM4563">
        <v>0</v>
      </c>
      <c r="DN4563">
        <v>1</v>
      </c>
      <c r="DO4563">
        <v>0</v>
      </c>
      <c r="DP4563">
        <v>0</v>
      </c>
      <c r="DQ4563">
        <v>0</v>
      </c>
      <c r="DR4563">
        <v>0</v>
      </c>
      <c r="DS4563">
        <v>0</v>
      </c>
    </row>
    <row r="4564" spans="1:123" x14ac:dyDescent="0.3">
      <c r="A4564" t="str">
        <f>"10/04/2022 19:37:47.527"</f>
        <v>10/04/2022 19:37:47.527</v>
      </c>
      <c r="C4564" t="str">
        <f t="shared" si="1671"/>
        <v>FFDFD3C0</v>
      </c>
      <c r="D4564" t="s">
        <v>136</v>
      </c>
      <c r="E4564">
        <v>8</v>
      </c>
      <c r="H4564">
        <v>225</v>
      </c>
      <c r="I4564" t="s">
        <v>137</v>
      </c>
      <c r="J4564" t="s">
        <v>138</v>
      </c>
      <c r="K4564">
        <v>0</v>
      </c>
      <c r="L4564">
        <v>3</v>
      </c>
      <c r="M4564">
        <v>0</v>
      </c>
      <c r="N4564">
        <v>2</v>
      </c>
      <c r="O4564">
        <v>0</v>
      </c>
      <c r="P4564">
        <v>1</v>
      </c>
      <c r="Q4564">
        <v>0</v>
      </c>
      <c r="S4564" t="str">
        <f t="shared" si="1685"/>
        <v>19:37:47.000</v>
      </c>
      <c r="T4564" t="str">
        <f t="shared" si="1685"/>
        <v>19:37:47.000</v>
      </c>
      <c r="U4564" t="str">
        <f t="shared" si="1680"/>
        <v>AC3944</v>
      </c>
      <c r="V4564">
        <v>0</v>
      </c>
      <c r="W4564">
        <v>0</v>
      </c>
      <c r="X4564">
        <v>2</v>
      </c>
      <c r="Y4564">
        <v>0</v>
      </c>
      <c r="AA4564">
        <v>1</v>
      </c>
      <c r="AB4564">
        <v>8</v>
      </c>
      <c r="AC4564">
        <v>3</v>
      </c>
      <c r="AD4564">
        <v>0</v>
      </c>
      <c r="AE4564">
        <v>9</v>
      </c>
      <c r="AF4564" t="s">
        <v>138</v>
      </c>
      <c r="AG4564">
        <v>0</v>
      </c>
      <c r="AH4564">
        <v>3</v>
      </c>
      <c r="AI4564">
        <v>1</v>
      </c>
      <c r="AJ4564">
        <v>0</v>
      </c>
      <c r="AK4564" t="s">
        <v>1434</v>
      </c>
      <c r="AL4564">
        <v>32.727863999999997</v>
      </c>
      <c r="AM4564" t="s">
        <v>1435</v>
      </c>
      <c r="AN4564">
        <v>-116.723106</v>
      </c>
      <c r="AO4564">
        <v>25</v>
      </c>
      <c r="AP4564">
        <v>4800</v>
      </c>
      <c r="AQ4564" t="s">
        <v>129</v>
      </c>
      <c r="AR4564">
        <v>-153</v>
      </c>
      <c r="AS4564">
        <v>-96</v>
      </c>
      <c r="AT4564">
        <v>-1024</v>
      </c>
      <c r="BB4564">
        <v>1200</v>
      </c>
      <c r="BC4564">
        <v>1</v>
      </c>
      <c r="BD4564" t="str">
        <f t="shared" si="1681"/>
        <v xml:space="preserve">N887QR  </v>
      </c>
      <c r="BE4564">
        <v>1</v>
      </c>
      <c r="BG4564">
        <v>0</v>
      </c>
      <c r="BH4564">
        <v>0</v>
      </c>
      <c r="BI4564">
        <v>0</v>
      </c>
      <c r="BJ4564">
        <v>4400</v>
      </c>
      <c r="BK4564">
        <v>-400</v>
      </c>
      <c r="BL4564" t="s">
        <v>163</v>
      </c>
      <c r="BM4564">
        <v>1</v>
      </c>
      <c r="BN4564">
        <v>1</v>
      </c>
      <c r="BO4564">
        <v>1</v>
      </c>
      <c r="BP4564">
        <v>0</v>
      </c>
      <c r="BS4564">
        <v>0</v>
      </c>
      <c r="BT4564">
        <v>0</v>
      </c>
      <c r="BU4564">
        <v>0</v>
      </c>
      <c r="CE4564" t="str">
        <f t="shared" si="1686"/>
        <v>19:37:47.256</v>
      </c>
      <c r="CF4564">
        <v>255513219</v>
      </c>
      <c r="CS4564">
        <v>0</v>
      </c>
      <c r="CT4564">
        <v>2</v>
      </c>
      <c r="CU4564">
        <v>0</v>
      </c>
      <c r="CV4564">
        <v>2</v>
      </c>
      <c r="CW4564">
        <v>0</v>
      </c>
      <c r="CX4564">
        <v>6</v>
      </c>
      <c r="CY4564">
        <v>7</v>
      </c>
      <c r="CZ4564" t="s">
        <v>131</v>
      </c>
      <c r="DA4564">
        <v>286</v>
      </c>
      <c r="DB4564">
        <v>0</v>
      </c>
      <c r="DC4564" t="s">
        <v>132</v>
      </c>
      <c r="DD4564" t="s">
        <v>133</v>
      </c>
      <c r="DG4564">
        <v>917839</v>
      </c>
      <c r="DI4564">
        <v>1</v>
      </c>
      <c r="DJ4564">
        <v>0</v>
      </c>
      <c r="DK4564">
        <v>1</v>
      </c>
      <c r="DL4564">
        <v>0</v>
      </c>
      <c r="DM4564">
        <v>0</v>
      </c>
      <c r="DN4564">
        <v>1</v>
      </c>
      <c r="DO4564">
        <v>0</v>
      </c>
      <c r="DP4564">
        <v>0</v>
      </c>
      <c r="DQ4564">
        <v>0</v>
      </c>
      <c r="DR4564">
        <v>0</v>
      </c>
      <c r="DS4564">
        <v>0</v>
      </c>
    </row>
    <row r="4565" spans="1:123" x14ac:dyDescent="0.3">
      <c r="A4565" t="str">
        <f>"10/04/2022 19:37:48.371"</f>
        <v>10/04/2022 19:37:48.371</v>
      </c>
      <c r="C4565" t="str">
        <f t="shared" si="1671"/>
        <v>FFDFD3C0</v>
      </c>
      <c r="D4565" t="s">
        <v>143</v>
      </c>
      <c r="E4565">
        <v>20</v>
      </c>
      <c r="F4565">
        <v>1020</v>
      </c>
      <c r="G4565" t="s">
        <v>144</v>
      </c>
      <c r="J4565" t="s">
        <v>145</v>
      </c>
      <c r="K4565">
        <v>0</v>
      </c>
      <c r="L4565">
        <v>3</v>
      </c>
      <c r="M4565">
        <v>0</v>
      </c>
      <c r="N4565">
        <v>2</v>
      </c>
      <c r="O4565">
        <v>0</v>
      </c>
      <c r="P4565">
        <v>1</v>
      </c>
      <c r="Q4565">
        <v>0</v>
      </c>
      <c r="S4565" t="str">
        <f t="shared" ref="S4565:T4568" si="1687">"19:37:48.000"</f>
        <v>19:37:48.000</v>
      </c>
      <c r="T4565" t="str">
        <f t="shared" si="1687"/>
        <v>19:37:48.000</v>
      </c>
      <c r="U4565" t="str">
        <f t="shared" si="1680"/>
        <v>AC3944</v>
      </c>
      <c r="V4565">
        <v>0</v>
      </c>
      <c r="W4565">
        <v>0</v>
      </c>
      <c r="X4565">
        <v>2</v>
      </c>
      <c r="Y4565">
        <v>0</v>
      </c>
      <c r="AA4565">
        <v>1</v>
      </c>
      <c r="AB4565">
        <v>8</v>
      </c>
      <c r="AC4565">
        <v>3</v>
      </c>
      <c r="AD4565">
        <v>0</v>
      </c>
      <c r="AE4565">
        <v>9</v>
      </c>
      <c r="AF4565" t="s">
        <v>138</v>
      </c>
      <c r="AG4565">
        <v>0</v>
      </c>
      <c r="AH4565">
        <v>3</v>
      </c>
      <c r="AI4565">
        <v>1</v>
      </c>
      <c r="AJ4565">
        <v>0</v>
      </c>
      <c r="AK4565" t="s">
        <v>1436</v>
      </c>
      <c r="AL4565">
        <v>32.727435</v>
      </c>
      <c r="AM4565" t="s">
        <v>1437</v>
      </c>
      <c r="AN4565">
        <v>-116.72394300000001</v>
      </c>
      <c r="AO4565">
        <v>25</v>
      </c>
      <c r="AP4565">
        <v>4800</v>
      </c>
      <c r="AQ4565" t="s">
        <v>129</v>
      </c>
      <c r="AR4565">
        <v>-154</v>
      </c>
      <c r="AS4565">
        <v>-96</v>
      </c>
      <c r="AT4565">
        <v>-1024</v>
      </c>
      <c r="BB4565">
        <v>1200</v>
      </c>
      <c r="BC4565">
        <v>1</v>
      </c>
      <c r="BD4565" t="str">
        <f t="shared" si="1681"/>
        <v xml:space="preserve">N887QR  </v>
      </c>
      <c r="BE4565">
        <v>1</v>
      </c>
      <c r="BG4565">
        <v>0</v>
      </c>
      <c r="BH4565">
        <v>0</v>
      </c>
      <c r="BI4565">
        <v>0</v>
      </c>
      <c r="BJ4565">
        <v>4400</v>
      </c>
      <c r="BK4565">
        <v>-400</v>
      </c>
      <c r="BL4565" t="s">
        <v>163</v>
      </c>
      <c r="BM4565">
        <v>1</v>
      </c>
      <c r="BN4565">
        <v>1</v>
      </c>
      <c r="BO4565">
        <v>1</v>
      </c>
      <c r="BP4565">
        <v>0</v>
      </c>
      <c r="BS4565">
        <v>0</v>
      </c>
      <c r="BT4565">
        <v>0</v>
      </c>
      <c r="BU4565">
        <v>0</v>
      </c>
      <c r="CE4565" t="str">
        <f>"19:37:48.019"</f>
        <v>19:37:48.019</v>
      </c>
      <c r="CF4565">
        <v>19015469</v>
      </c>
      <c r="CS4565">
        <v>0</v>
      </c>
      <c r="CT4565">
        <v>2</v>
      </c>
      <c r="CU4565">
        <v>0</v>
      </c>
      <c r="CV4565">
        <v>2</v>
      </c>
      <c r="CW4565">
        <v>0</v>
      </c>
      <c r="CX4565">
        <v>6</v>
      </c>
      <c r="CY4565">
        <v>7</v>
      </c>
      <c r="CZ4565" t="s">
        <v>131</v>
      </c>
      <c r="DA4565">
        <v>286</v>
      </c>
      <c r="DB4565">
        <v>0</v>
      </c>
      <c r="DC4565" t="s">
        <v>132</v>
      </c>
      <c r="DD4565" t="s">
        <v>133</v>
      </c>
      <c r="DG4565">
        <v>918029</v>
      </c>
      <c r="DI4565">
        <v>1</v>
      </c>
      <c r="DJ4565">
        <v>0</v>
      </c>
      <c r="DK4565">
        <v>0</v>
      </c>
      <c r="DL4565">
        <v>0</v>
      </c>
      <c r="DM4565">
        <v>0</v>
      </c>
      <c r="DN4565">
        <v>1</v>
      </c>
      <c r="DO4565">
        <v>0</v>
      </c>
      <c r="DP4565">
        <v>0</v>
      </c>
      <c r="DQ4565">
        <v>0</v>
      </c>
      <c r="DR4565">
        <v>0</v>
      </c>
      <c r="DS4565">
        <v>0</v>
      </c>
    </row>
    <row r="4566" spans="1:123" x14ac:dyDescent="0.3">
      <c r="A4566" t="str">
        <f>"10/04/2022 19:37:48.371"</f>
        <v>10/04/2022 19:37:48.371</v>
      </c>
      <c r="C4566" t="str">
        <f t="shared" si="1671"/>
        <v>FFDFD3C0</v>
      </c>
      <c r="D4566" t="s">
        <v>134</v>
      </c>
      <c r="E4566">
        <v>15</v>
      </c>
      <c r="J4566" t="s">
        <v>135</v>
      </c>
      <c r="K4566">
        <v>0</v>
      </c>
      <c r="L4566">
        <v>3</v>
      </c>
      <c r="M4566">
        <v>0</v>
      </c>
      <c r="N4566">
        <v>2</v>
      </c>
      <c r="O4566">
        <v>0</v>
      </c>
      <c r="P4566">
        <v>1</v>
      </c>
      <c r="Q4566">
        <v>0</v>
      </c>
      <c r="S4566" t="str">
        <f t="shared" si="1687"/>
        <v>19:37:48.000</v>
      </c>
      <c r="T4566" t="str">
        <f t="shared" si="1687"/>
        <v>19:37:48.000</v>
      </c>
      <c r="U4566" t="str">
        <f t="shared" si="1680"/>
        <v>AC3944</v>
      </c>
      <c r="V4566">
        <v>0</v>
      </c>
      <c r="W4566">
        <v>0</v>
      </c>
      <c r="X4566">
        <v>2</v>
      </c>
      <c r="Y4566">
        <v>0</v>
      </c>
      <c r="AA4566">
        <v>1</v>
      </c>
      <c r="AB4566">
        <v>8</v>
      </c>
      <c r="AC4566">
        <v>3</v>
      </c>
      <c r="AD4566">
        <v>0</v>
      </c>
      <c r="AE4566">
        <v>9</v>
      </c>
      <c r="AF4566" t="s">
        <v>138</v>
      </c>
      <c r="AG4566">
        <v>0</v>
      </c>
      <c r="AH4566">
        <v>3</v>
      </c>
      <c r="AI4566">
        <v>1</v>
      </c>
      <c r="AJ4566">
        <v>0</v>
      </c>
      <c r="AK4566" t="s">
        <v>1436</v>
      </c>
      <c r="AL4566">
        <v>32.727435</v>
      </c>
      <c r="AM4566" t="s">
        <v>1437</v>
      </c>
      <c r="AN4566">
        <v>-116.72394300000001</v>
      </c>
      <c r="AO4566">
        <v>25</v>
      </c>
      <c r="AP4566">
        <v>4800</v>
      </c>
      <c r="AQ4566" t="s">
        <v>129</v>
      </c>
      <c r="AR4566">
        <v>-154</v>
      </c>
      <c r="AS4566">
        <v>-96</v>
      </c>
      <c r="AT4566">
        <v>-1024</v>
      </c>
      <c r="BB4566">
        <v>1200</v>
      </c>
      <c r="BC4566">
        <v>1</v>
      </c>
      <c r="BD4566" t="str">
        <f t="shared" si="1681"/>
        <v xml:space="preserve">N887QR  </v>
      </c>
      <c r="BE4566">
        <v>1</v>
      </c>
      <c r="BG4566">
        <v>0</v>
      </c>
      <c r="BH4566">
        <v>0</v>
      </c>
      <c r="BI4566">
        <v>0</v>
      </c>
      <c r="BJ4566">
        <v>4400</v>
      </c>
      <c r="BK4566">
        <v>-400</v>
      </c>
      <c r="BL4566" t="s">
        <v>163</v>
      </c>
      <c r="BM4566">
        <v>1</v>
      </c>
      <c r="BN4566">
        <v>1</v>
      </c>
      <c r="BO4566">
        <v>1</v>
      </c>
      <c r="BP4566">
        <v>0</v>
      </c>
      <c r="BS4566">
        <v>0</v>
      </c>
      <c r="BT4566">
        <v>0</v>
      </c>
      <c r="BU4566">
        <v>0</v>
      </c>
      <c r="CE4566" t="str">
        <f>"19:37:48.019"</f>
        <v>19:37:48.019</v>
      </c>
      <c r="CF4566">
        <v>19015469</v>
      </c>
      <c r="CS4566">
        <v>0</v>
      </c>
      <c r="CT4566">
        <v>2</v>
      </c>
      <c r="CU4566">
        <v>0</v>
      </c>
      <c r="CV4566">
        <v>2</v>
      </c>
      <c r="CW4566">
        <v>0</v>
      </c>
      <c r="CX4566">
        <v>6</v>
      </c>
      <c r="CY4566">
        <v>7</v>
      </c>
      <c r="CZ4566" t="s">
        <v>131</v>
      </c>
      <c r="DA4566">
        <v>286</v>
      </c>
      <c r="DB4566">
        <v>0</v>
      </c>
      <c r="DC4566" t="s">
        <v>132</v>
      </c>
      <c r="DD4566" t="s">
        <v>133</v>
      </c>
      <c r="DG4566">
        <v>918029</v>
      </c>
      <c r="DI4566">
        <v>1</v>
      </c>
      <c r="DJ4566">
        <v>0</v>
      </c>
      <c r="DK4566">
        <v>1</v>
      </c>
      <c r="DL4566">
        <v>0</v>
      </c>
      <c r="DM4566">
        <v>0</v>
      </c>
      <c r="DN4566">
        <v>1</v>
      </c>
      <c r="DO4566">
        <v>0</v>
      </c>
      <c r="DP4566">
        <v>0</v>
      </c>
      <c r="DQ4566">
        <v>0</v>
      </c>
      <c r="DR4566">
        <v>0</v>
      </c>
      <c r="DS4566">
        <v>0</v>
      </c>
    </row>
    <row r="4567" spans="1:123" x14ac:dyDescent="0.3">
      <c r="A4567" t="str">
        <f>"10/04/2022 19:37:48.371"</f>
        <v>10/04/2022 19:37:48.371</v>
      </c>
      <c r="C4567" t="str">
        <f t="shared" si="1671"/>
        <v>FFDFD3C0</v>
      </c>
      <c r="D4567" t="s">
        <v>147</v>
      </c>
      <c r="E4567">
        <v>3</v>
      </c>
      <c r="H4567">
        <v>166</v>
      </c>
      <c r="I4567" t="s">
        <v>144</v>
      </c>
      <c r="J4567" t="s">
        <v>148</v>
      </c>
      <c r="K4567">
        <v>0</v>
      </c>
      <c r="L4567">
        <v>3</v>
      </c>
      <c r="M4567">
        <v>0</v>
      </c>
      <c r="N4567">
        <v>2</v>
      </c>
      <c r="O4567">
        <v>0</v>
      </c>
      <c r="P4567">
        <v>1</v>
      </c>
      <c r="Q4567">
        <v>0</v>
      </c>
      <c r="S4567" t="str">
        <f t="shared" si="1687"/>
        <v>19:37:48.000</v>
      </c>
      <c r="T4567" t="str">
        <f t="shared" si="1687"/>
        <v>19:37:48.000</v>
      </c>
      <c r="U4567" t="str">
        <f t="shared" si="1680"/>
        <v>AC3944</v>
      </c>
      <c r="V4567">
        <v>0</v>
      </c>
      <c r="W4567">
        <v>0</v>
      </c>
      <c r="X4567">
        <v>2</v>
      </c>
      <c r="Y4567">
        <v>0</v>
      </c>
      <c r="AA4567">
        <v>1</v>
      </c>
      <c r="AB4567">
        <v>8</v>
      </c>
      <c r="AC4567">
        <v>3</v>
      </c>
      <c r="AD4567">
        <v>0</v>
      </c>
      <c r="AE4567">
        <v>9</v>
      </c>
      <c r="AF4567" t="s">
        <v>138</v>
      </c>
      <c r="AG4567">
        <v>0</v>
      </c>
      <c r="AH4567">
        <v>3</v>
      </c>
      <c r="AI4567">
        <v>1</v>
      </c>
      <c r="AJ4567">
        <v>0</v>
      </c>
      <c r="AK4567" t="s">
        <v>1436</v>
      </c>
      <c r="AL4567">
        <v>32.727435</v>
      </c>
      <c r="AM4567" t="s">
        <v>1437</v>
      </c>
      <c r="AN4567">
        <v>-116.72394300000001</v>
      </c>
      <c r="AO4567">
        <v>25</v>
      </c>
      <c r="AP4567">
        <v>4800</v>
      </c>
      <c r="AQ4567" t="s">
        <v>129</v>
      </c>
      <c r="AR4567">
        <v>-154</v>
      </c>
      <c r="AS4567">
        <v>-96</v>
      </c>
      <c r="AT4567">
        <v>-1024</v>
      </c>
      <c r="BB4567">
        <v>1200</v>
      </c>
      <c r="BC4567">
        <v>1</v>
      </c>
      <c r="BD4567" t="str">
        <f t="shared" si="1681"/>
        <v xml:space="preserve">N887QR  </v>
      </c>
      <c r="BE4567">
        <v>1</v>
      </c>
      <c r="BG4567">
        <v>0</v>
      </c>
      <c r="BH4567">
        <v>0</v>
      </c>
      <c r="BI4567">
        <v>0</v>
      </c>
      <c r="BJ4567">
        <v>4400</v>
      </c>
      <c r="BK4567">
        <v>-400</v>
      </c>
      <c r="BL4567" t="s">
        <v>163</v>
      </c>
      <c r="BM4567">
        <v>1</v>
      </c>
      <c r="BN4567">
        <v>1</v>
      </c>
      <c r="BO4567">
        <v>1</v>
      </c>
      <c r="BP4567">
        <v>0</v>
      </c>
      <c r="BS4567">
        <v>0</v>
      </c>
      <c r="BT4567">
        <v>0</v>
      </c>
      <c r="BU4567">
        <v>0</v>
      </c>
      <c r="CE4567" t="str">
        <f>"19:37:48.019"</f>
        <v>19:37:48.019</v>
      </c>
      <c r="CF4567">
        <v>19015469</v>
      </c>
      <c r="CS4567">
        <v>0</v>
      </c>
      <c r="CT4567">
        <v>2</v>
      </c>
      <c r="CU4567">
        <v>0</v>
      </c>
      <c r="CV4567">
        <v>2</v>
      </c>
      <c r="CW4567">
        <v>0</v>
      </c>
      <c r="CX4567">
        <v>6</v>
      </c>
      <c r="CY4567">
        <v>7</v>
      </c>
      <c r="CZ4567" t="s">
        <v>131</v>
      </c>
      <c r="DA4567">
        <v>286</v>
      </c>
      <c r="DB4567">
        <v>0</v>
      </c>
      <c r="DC4567" t="s">
        <v>132</v>
      </c>
      <c r="DD4567" t="s">
        <v>133</v>
      </c>
      <c r="DG4567">
        <v>918029</v>
      </c>
      <c r="DI4567">
        <v>1</v>
      </c>
      <c r="DJ4567">
        <v>0</v>
      </c>
      <c r="DK4567">
        <v>1</v>
      </c>
      <c r="DL4567">
        <v>0</v>
      </c>
      <c r="DM4567">
        <v>0</v>
      </c>
      <c r="DN4567">
        <v>1</v>
      </c>
      <c r="DO4567">
        <v>0</v>
      </c>
      <c r="DP4567">
        <v>0</v>
      </c>
      <c r="DQ4567">
        <v>0</v>
      </c>
      <c r="DR4567">
        <v>0</v>
      </c>
      <c r="DS4567">
        <v>0</v>
      </c>
    </row>
    <row r="4568" spans="1:123" x14ac:dyDescent="0.3">
      <c r="A4568" t="str">
        <f>"10/04/2022 19:37:48.371"</f>
        <v>10/04/2022 19:37:48.371</v>
      </c>
      <c r="C4568" t="str">
        <f t="shared" si="1671"/>
        <v>FFDFD3C0</v>
      </c>
      <c r="D4568" t="s">
        <v>136</v>
      </c>
      <c r="E4568">
        <v>8</v>
      </c>
      <c r="H4568">
        <v>225</v>
      </c>
      <c r="I4568" t="s">
        <v>137</v>
      </c>
      <c r="J4568" t="s">
        <v>138</v>
      </c>
      <c r="K4568">
        <v>0</v>
      </c>
      <c r="L4568">
        <v>3</v>
      </c>
      <c r="M4568">
        <v>0</v>
      </c>
      <c r="N4568">
        <v>2</v>
      </c>
      <c r="O4568">
        <v>0</v>
      </c>
      <c r="P4568">
        <v>1</v>
      </c>
      <c r="Q4568">
        <v>0</v>
      </c>
      <c r="S4568" t="str">
        <f t="shared" si="1687"/>
        <v>19:37:48.000</v>
      </c>
      <c r="T4568" t="str">
        <f t="shared" si="1687"/>
        <v>19:37:48.000</v>
      </c>
      <c r="U4568" t="str">
        <f t="shared" si="1680"/>
        <v>AC3944</v>
      </c>
      <c r="V4568">
        <v>0</v>
      </c>
      <c r="W4568">
        <v>0</v>
      </c>
      <c r="X4568">
        <v>2</v>
      </c>
      <c r="Y4568">
        <v>0</v>
      </c>
      <c r="AA4568">
        <v>1</v>
      </c>
      <c r="AB4568">
        <v>8</v>
      </c>
      <c r="AC4568">
        <v>3</v>
      </c>
      <c r="AD4568">
        <v>0</v>
      </c>
      <c r="AE4568">
        <v>9</v>
      </c>
      <c r="AF4568" t="s">
        <v>138</v>
      </c>
      <c r="AG4568">
        <v>0</v>
      </c>
      <c r="AH4568">
        <v>3</v>
      </c>
      <c r="AI4568">
        <v>1</v>
      </c>
      <c r="AJ4568">
        <v>0</v>
      </c>
      <c r="AK4568" t="s">
        <v>1436</v>
      </c>
      <c r="AL4568">
        <v>32.727435</v>
      </c>
      <c r="AM4568" t="s">
        <v>1437</v>
      </c>
      <c r="AN4568">
        <v>-116.72394300000001</v>
      </c>
      <c r="AO4568">
        <v>25</v>
      </c>
      <c r="AP4568">
        <v>4800</v>
      </c>
      <c r="AQ4568" t="s">
        <v>129</v>
      </c>
      <c r="AR4568">
        <v>-154</v>
      </c>
      <c r="AS4568">
        <v>-96</v>
      </c>
      <c r="AT4568">
        <v>-1024</v>
      </c>
      <c r="BB4568">
        <v>1200</v>
      </c>
      <c r="BC4568">
        <v>1</v>
      </c>
      <c r="BD4568" t="str">
        <f t="shared" si="1681"/>
        <v xml:space="preserve">N887QR  </v>
      </c>
      <c r="BE4568">
        <v>1</v>
      </c>
      <c r="BG4568">
        <v>0</v>
      </c>
      <c r="BH4568">
        <v>0</v>
      </c>
      <c r="BI4568">
        <v>0</v>
      </c>
      <c r="BJ4568">
        <v>4400</v>
      </c>
      <c r="BK4568">
        <v>-400</v>
      </c>
      <c r="BL4568" t="s">
        <v>163</v>
      </c>
      <c r="BM4568">
        <v>1</v>
      </c>
      <c r="BN4568">
        <v>1</v>
      </c>
      <c r="BO4568">
        <v>1</v>
      </c>
      <c r="BP4568">
        <v>0</v>
      </c>
      <c r="BS4568">
        <v>0</v>
      </c>
      <c r="BT4568">
        <v>0</v>
      </c>
      <c r="BU4568">
        <v>0</v>
      </c>
      <c r="CE4568" t="str">
        <f>"19:37:48.019"</f>
        <v>19:37:48.019</v>
      </c>
      <c r="CF4568">
        <v>19015469</v>
      </c>
      <c r="CS4568">
        <v>0</v>
      </c>
      <c r="CT4568">
        <v>2</v>
      </c>
      <c r="CU4568">
        <v>0</v>
      </c>
      <c r="CV4568">
        <v>2</v>
      </c>
      <c r="CW4568">
        <v>0</v>
      </c>
      <c r="CX4568">
        <v>6</v>
      </c>
      <c r="CY4568">
        <v>7</v>
      </c>
      <c r="CZ4568" t="s">
        <v>131</v>
      </c>
      <c r="DA4568">
        <v>286</v>
      </c>
      <c r="DB4568">
        <v>0</v>
      </c>
      <c r="DC4568" t="s">
        <v>132</v>
      </c>
      <c r="DD4568" t="s">
        <v>133</v>
      </c>
      <c r="DG4568">
        <v>918029</v>
      </c>
      <c r="DI4568">
        <v>1</v>
      </c>
      <c r="DJ4568">
        <v>0</v>
      </c>
      <c r="DK4568">
        <v>1</v>
      </c>
      <c r="DL4568">
        <v>0</v>
      </c>
      <c r="DM4568">
        <v>0</v>
      </c>
      <c r="DN4568">
        <v>1</v>
      </c>
      <c r="DO4568">
        <v>0</v>
      </c>
      <c r="DP4568">
        <v>0</v>
      </c>
      <c r="DQ4568">
        <v>0</v>
      </c>
      <c r="DR4568">
        <v>0</v>
      </c>
      <c r="DS4568">
        <v>0</v>
      </c>
    </row>
    <row r="4569" spans="1:123" x14ac:dyDescent="0.3">
      <c r="A4569" t="str">
        <f>"10/04/2022 19:37:49.685"</f>
        <v>10/04/2022 19:37:49.685</v>
      </c>
      <c r="C4569" t="str">
        <f t="shared" si="1671"/>
        <v>FFDFD3C0</v>
      </c>
      <c r="D4569" t="s">
        <v>147</v>
      </c>
      <c r="E4569">
        <v>3</v>
      </c>
      <c r="H4569">
        <v>166</v>
      </c>
      <c r="I4569" t="s">
        <v>144</v>
      </c>
      <c r="J4569" t="s">
        <v>148</v>
      </c>
      <c r="K4569">
        <v>0</v>
      </c>
      <c r="L4569">
        <v>3</v>
      </c>
      <c r="M4569">
        <v>0</v>
      </c>
      <c r="N4569">
        <v>2</v>
      </c>
      <c r="O4569">
        <v>0</v>
      </c>
      <c r="P4569">
        <v>1</v>
      </c>
      <c r="Q4569">
        <v>0</v>
      </c>
      <c r="S4569" t="str">
        <f t="shared" ref="S4569:T4575" si="1688">"19:37:49.000"</f>
        <v>19:37:49.000</v>
      </c>
      <c r="T4569" t="str">
        <f t="shared" si="1688"/>
        <v>19:37:49.000</v>
      </c>
      <c r="U4569" t="str">
        <f t="shared" si="1680"/>
        <v>AC3944</v>
      </c>
      <c r="V4569">
        <v>0</v>
      </c>
      <c r="W4569">
        <v>0</v>
      </c>
      <c r="X4569">
        <v>2</v>
      </c>
      <c r="Y4569">
        <v>0</v>
      </c>
      <c r="AA4569">
        <v>1</v>
      </c>
      <c r="AB4569">
        <v>8</v>
      </c>
      <c r="AC4569">
        <v>3</v>
      </c>
      <c r="AD4569">
        <v>0</v>
      </c>
      <c r="AE4569">
        <v>9</v>
      </c>
      <c r="AF4569" t="s">
        <v>138</v>
      </c>
      <c r="AG4569">
        <v>0</v>
      </c>
      <c r="AH4569">
        <v>3</v>
      </c>
      <c r="AI4569">
        <v>1</v>
      </c>
      <c r="AJ4569">
        <v>0</v>
      </c>
      <c r="AK4569" t="s">
        <v>1438</v>
      </c>
      <c r="AL4569">
        <v>32.726984000000002</v>
      </c>
      <c r="AM4569" t="s">
        <v>1439</v>
      </c>
      <c r="AN4569">
        <v>-116.724801</v>
      </c>
      <c r="AO4569">
        <v>25</v>
      </c>
      <c r="AP4569">
        <v>4700</v>
      </c>
      <c r="AQ4569" t="s">
        <v>129</v>
      </c>
      <c r="AR4569">
        <v>-157</v>
      </c>
      <c r="AS4569">
        <v>-96</v>
      </c>
      <c r="AT4569">
        <v>-1536</v>
      </c>
      <c r="BB4569">
        <v>1200</v>
      </c>
      <c r="BC4569">
        <v>1</v>
      </c>
      <c r="BD4569" t="str">
        <f t="shared" si="1681"/>
        <v xml:space="preserve">N887QR  </v>
      </c>
      <c r="BE4569">
        <v>1</v>
      </c>
      <c r="BG4569">
        <v>0</v>
      </c>
      <c r="BH4569">
        <v>0</v>
      </c>
      <c r="BI4569">
        <v>0</v>
      </c>
      <c r="BJ4569">
        <v>4300</v>
      </c>
      <c r="BK4569">
        <v>-400</v>
      </c>
      <c r="BL4569" t="s">
        <v>163</v>
      </c>
      <c r="BM4569">
        <v>1</v>
      </c>
      <c r="BN4569">
        <v>1</v>
      </c>
      <c r="BO4569">
        <v>1</v>
      </c>
      <c r="BP4569">
        <v>0</v>
      </c>
      <c r="BS4569">
        <v>0</v>
      </c>
      <c r="BT4569">
        <v>0</v>
      </c>
      <c r="BU4569">
        <v>0</v>
      </c>
      <c r="CE4569" t="str">
        <f t="shared" ref="CE4569:CE4575" si="1689">"19:37:49.388"</f>
        <v>19:37:49.388</v>
      </c>
      <c r="CF4569">
        <v>388019460</v>
      </c>
      <c r="CS4569">
        <v>0</v>
      </c>
      <c r="CT4569">
        <v>2</v>
      </c>
      <c r="CU4569">
        <v>0</v>
      </c>
      <c r="CV4569">
        <v>2</v>
      </c>
      <c r="CW4569">
        <v>0</v>
      </c>
      <c r="CX4569">
        <v>6</v>
      </c>
      <c r="CY4569">
        <v>7</v>
      </c>
      <c r="CZ4569" t="s">
        <v>131</v>
      </c>
      <c r="DA4569">
        <v>286</v>
      </c>
      <c r="DB4569">
        <v>0</v>
      </c>
      <c r="DC4569" t="s">
        <v>132</v>
      </c>
      <c r="DD4569" t="s">
        <v>133</v>
      </c>
      <c r="DG4569">
        <v>918340</v>
      </c>
      <c r="DI4569">
        <v>1</v>
      </c>
      <c r="DJ4569">
        <v>0</v>
      </c>
      <c r="DK4569">
        <v>0</v>
      </c>
      <c r="DL4569">
        <v>0</v>
      </c>
      <c r="DM4569">
        <v>0</v>
      </c>
      <c r="DN4569">
        <v>1</v>
      </c>
      <c r="DO4569">
        <v>0</v>
      </c>
      <c r="DP4569">
        <v>0</v>
      </c>
      <c r="DQ4569">
        <v>0</v>
      </c>
      <c r="DR4569">
        <v>0</v>
      </c>
      <c r="DS4569">
        <v>0</v>
      </c>
    </row>
    <row r="4570" spans="1:123" x14ac:dyDescent="0.3">
      <c r="A4570" t="str">
        <f>"10/04/2022 19:37:49.685"</f>
        <v>10/04/2022 19:37:49.685</v>
      </c>
      <c r="C4570" t="str">
        <f t="shared" si="1671"/>
        <v>FFDFD3C0</v>
      </c>
      <c r="D4570" t="s">
        <v>141</v>
      </c>
      <c r="E4570">
        <v>3</v>
      </c>
      <c r="H4570">
        <v>3</v>
      </c>
      <c r="I4570" t="s">
        <v>146</v>
      </c>
      <c r="J4570" t="s">
        <v>138</v>
      </c>
      <c r="K4570">
        <v>0</v>
      </c>
      <c r="L4570">
        <v>3</v>
      </c>
      <c r="M4570">
        <v>0</v>
      </c>
      <c r="N4570">
        <v>2</v>
      </c>
      <c r="O4570">
        <v>0</v>
      </c>
      <c r="P4570">
        <v>1</v>
      </c>
      <c r="Q4570">
        <v>0</v>
      </c>
      <c r="S4570" t="str">
        <f t="shared" si="1688"/>
        <v>19:37:49.000</v>
      </c>
      <c r="T4570" t="str">
        <f t="shared" si="1688"/>
        <v>19:37:49.000</v>
      </c>
      <c r="U4570" t="str">
        <f t="shared" si="1680"/>
        <v>AC3944</v>
      </c>
      <c r="V4570">
        <v>0</v>
      </c>
      <c r="W4570">
        <v>0</v>
      </c>
      <c r="X4570">
        <v>2</v>
      </c>
      <c r="Y4570">
        <v>0</v>
      </c>
      <c r="AA4570">
        <v>1</v>
      </c>
      <c r="AB4570">
        <v>8</v>
      </c>
      <c r="AC4570">
        <v>3</v>
      </c>
      <c r="AD4570">
        <v>0</v>
      </c>
      <c r="AE4570">
        <v>9</v>
      </c>
      <c r="AF4570" t="s">
        <v>138</v>
      </c>
      <c r="AG4570">
        <v>0</v>
      </c>
      <c r="AH4570">
        <v>3</v>
      </c>
      <c r="AI4570">
        <v>1</v>
      </c>
      <c r="AJ4570">
        <v>0</v>
      </c>
      <c r="AK4570" t="s">
        <v>1438</v>
      </c>
      <c r="AL4570">
        <v>32.726984000000002</v>
      </c>
      <c r="AM4570" t="s">
        <v>1439</v>
      </c>
      <c r="AN4570">
        <v>-116.724801</v>
      </c>
      <c r="AO4570">
        <v>25</v>
      </c>
      <c r="AP4570">
        <v>4700</v>
      </c>
      <c r="AQ4570" t="s">
        <v>129</v>
      </c>
      <c r="AR4570">
        <v>-157</v>
      </c>
      <c r="AS4570">
        <v>-96</v>
      </c>
      <c r="AT4570">
        <v>-1536</v>
      </c>
      <c r="BB4570">
        <v>1200</v>
      </c>
      <c r="BC4570">
        <v>1</v>
      </c>
      <c r="BD4570" t="str">
        <f t="shared" si="1681"/>
        <v xml:space="preserve">N887QR  </v>
      </c>
      <c r="BE4570">
        <v>1</v>
      </c>
      <c r="BG4570">
        <v>0</v>
      </c>
      <c r="BH4570">
        <v>0</v>
      </c>
      <c r="BI4570">
        <v>0</v>
      </c>
      <c r="BJ4570">
        <v>4300</v>
      </c>
      <c r="BK4570">
        <v>-400</v>
      </c>
      <c r="BL4570" t="s">
        <v>163</v>
      </c>
      <c r="BM4570">
        <v>1</v>
      </c>
      <c r="BN4570">
        <v>1</v>
      </c>
      <c r="BO4570">
        <v>1</v>
      </c>
      <c r="BP4570">
        <v>0</v>
      </c>
      <c r="BS4570">
        <v>0</v>
      </c>
      <c r="BT4570">
        <v>0</v>
      </c>
      <c r="BU4570">
        <v>0</v>
      </c>
      <c r="CE4570" t="str">
        <f t="shared" si="1689"/>
        <v>19:37:49.388</v>
      </c>
      <c r="CF4570">
        <v>388019460</v>
      </c>
      <c r="CS4570">
        <v>0</v>
      </c>
      <c r="CT4570">
        <v>2</v>
      </c>
      <c r="CU4570">
        <v>0</v>
      </c>
      <c r="CV4570">
        <v>2</v>
      </c>
      <c r="CW4570">
        <v>0</v>
      </c>
      <c r="CX4570">
        <v>6</v>
      </c>
      <c r="CY4570">
        <v>7</v>
      </c>
      <c r="CZ4570" t="s">
        <v>131</v>
      </c>
      <c r="DA4570">
        <v>286</v>
      </c>
      <c r="DB4570">
        <v>0</v>
      </c>
      <c r="DC4570" t="s">
        <v>132</v>
      </c>
      <c r="DD4570" t="s">
        <v>133</v>
      </c>
      <c r="DG4570">
        <v>918340</v>
      </c>
      <c r="DI4570">
        <v>1</v>
      </c>
      <c r="DJ4570">
        <v>0</v>
      </c>
      <c r="DK4570">
        <v>1</v>
      </c>
      <c r="DL4570">
        <v>0</v>
      </c>
      <c r="DM4570">
        <v>0</v>
      </c>
      <c r="DN4570">
        <v>1</v>
      </c>
      <c r="DO4570">
        <v>0</v>
      </c>
      <c r="DP4570">
        <v>0</v>
      </c>
      <c r="DQ4570">
        <v>0</v>
      </c>
      <c r="DR4570">
        <v>0</v>
      </c>
      <c r="DS4570">
        <v>0</v>
      </c>
    </row>
    <row r="4571" spans="1:123" x14ac:dyDescent="0.3">
      <c r="A4571" t="str">
        <f>"10/04/2022 19:37:49.685"</f>
        <v>10/04/2022 19:37:49.685</v>
      </c>
      <c r="C4571" t="str">
        <f t="shared" si="1671"/>
        <v>FFDFD3C0</v>
      </c>
      <c r="D4571" t="s">
        <v>136</v>
      </c>
      <c r="E4571">
        <v>8</v>
      </c>
      <c r="H4571">
        <v>225</v>
      </c>
      <c r="I4571" t="s">
        <v>137</v>
      </c>
      <c r="J4571" t="s">
        <v>138</v>
      </c>
      <c r="K4571">
        <v>0</v>
      </c>
      <c r="L4571">
        <v>3</v>
      </c>
      <c r="M4571">
        <v>0</v>
      </c>
      <c r="N4571">
        <v>2</v>
      </c>
      <c r="O4571">
        <v>0</v>
      </c>
      <c r="P4571">
        <v>1</v>
      </c>
      <c r="Q4571">
        <v>0</v>
      </c>
      <c r="S4571" t="str">
        <f t="shared" si="1688"/>
        <v>19:37:49.000</v>
      </c>
      <c r="T4571" t="str">
        <f t="shared" si="1688"/>
        <v>19:37:49.000</v>
      </c>
      <c r="U4571" t="str">
        <f t="shared" si="1680"/>
        <v>AC3944</v>
      </c>
      <c r="V4571">
        <v>0</v>
      </c>
      <c r="W4571">
        <v>0</v>
      </c>
      <c r="X4571">
        <v>2</v>
      </c>
      <c r="Y4571">
        <v>0</v>
      </c>
      <c r="AA4571">
        <v>1</v>
      </c>
      <c r="AB4571">
        <v>8</v>
      </c>
      <c r="AC4571">
        <v>3</v>
      </c>
      <c r="AD4571">
        <v>0</v>
      </c>
      <c r="AE4571">
        <v>9</v>
      </c>
      <c r="AF4571" t="s">
        <v>138</v>
      </c>
      <c r="AG4571">
        <v>0</v>
      </c>
      <c r="AH4571">
        <v>3</v>
      </c>
      <c r="AI4571">
        <v>1</v>
      </c>
      <c r="AJ4571">
        <v>0</v>
      </c>
      <c r="AK4571" t="s">
        <v>1438</v>
      </c>
      <c r="AL4571">
        <v>32.726984000000002</v>
      </c>
      <c r="AM4571" t="s">
        <v>1439</v>
      </c>
      <c r="AN4571">
        <v>-116.724801</v>
      </c>
      <c r="AO4571">
        <v>25</v>
      </c>
      <c r="AP4571">
        <v>4700</v>
      </c>
      <c r="AQ4571" t="s">
        <v>129</v>
      </c>
      <c r="AR4571">
        <v>-157</v>
      </c>
      <c r="AS4571">
        <v>-96</v>
      </c>
      <c r="AT4571">
        <v>-1536</v>
      </c>
      <c r="BB4571">
        <v>1200</v>
      </c>
      <c r="BC4571">
        <v>1</v>
      </c>
      <c r="BD4571" t="str">
        <f t="shared" si="1681"/>
        <v xml:space="preserve">N887QR  </v>
      </c>
      <c r="BE4571">
        <v>1</v>
      </c>
      <c r="BG4571">
        <v>0</v>
      </c>
      <c r="BH4571">
        <v>0</v>
      </c>
      <c r="BI4571">
        <v>0</v>
      </c>
      <c r="BJ4571">
        <v>4300</v>
      </c>
      <c r="BK4571">
        <v>-400</v>
      </c>
      <c r="BL4571" t="s">
        <v>163</v>
      </c>
      <c r="BM4571">
        <v>1</v>
      </c>
      <c r="BN4571">
        <v>1</v>
      </c>
      <c r="BO4571">
        <v>1</v>
      </c>
      <c r="BP4571">
        <v>0</v>
      </c>
      <c r="BS4571">
        <v>0</v>
      </c>
      <c r="BT4571">
        <v>0</v>
      </c>
      <c r="BU4571">
        <v>0</v>
      </c>
      <c r="CE4571" t="str">
        <f t="shared" si="1689"/>
        <v>19:37:49.388</v>
      </c>
      <c r="CF4571">
        <v>388019460</v>
      </c>
      <c r="CS4571">
        <v>0</v>
      </c>
      <c r="CT4571">
        <v>2</v>
      </c>
      <c r="CU4571">
        <v>0</v>
      </c>
      <c r="CV4571">
        <v>2</v>
      </c>
      <c r="CW4571">
        <v>0</v>
      </c>
      <c r="CX4571">
        <v>6</v>
      </c>
      <c r="CY4571">
        <v>7</v>
      </c>
      <c r="CZ4571" t="s">
        <v>131</v>
      </c>
      <c r="DA4571">
        <v>286</v>
      </c>
      <c r="DB4571">
        <v>0</v>
      </c>
      <c r="DC4571" t="s">
        <v>132</v>
      </c>
      <c r="DD4571" t="s">
        <v>133</v>
      </c>
      <c r="DG4571">
        <v>918340</v>
      </c>
      <c r="DI4571">
        <v>1</v>
      </c>
      <c r="DJ4571">
        <v>0</v>
      </c>
      <c r="DK4571">
        <v>0</v>
      </c>
      <c r="DL4571">
        <v>0</v>
      </c>
      <c r="DM4571">
        <v>0</v>
      </c>
      <c r="DN4571">
        <v>1</v>
      </c>
      <c r="DO4571">
        <v>0</v>
      </c>
      <c r="DP4571">
        <v>0</v>
      </c>
      <c r="DQ4571">
        <v>0</v>
      </c>
      <c r="DR4571">
        <v>0</v>
      </c>
      <c r="DS4571">
        <v>0</v>
      </c>
    </row>
    <row r="4572" spans="1:123" x14ac:dyDescent="0.3">
      <c r="A4572" t="str">
        <f>"10/04/2022 19:37:49.700"</f>
        <v>10/04/2022 19:37:49.700</v>
      </c>
      <c r="C4572" t="str">
        <f t="shared" si="1671"/>
        <v>FFDFD3C0</v>
      </c>
      <c r="D4572" t="s">
        <v>143</v>
      </c>
      <c r="E4572">
        <v>20</v>
      </c>
      <c r="F4572">
        <v>1020</v>
      </c>
      <c r="G4572" t="s">
        <v>144</v>
      </c>
      <c r="J4572" t="s">
        <v>145</v>
      </c>
      <c r="K4572">
        <v>0</v>
      </c>
      <c r="L4572">
        <v>3</v>
      </c>
      <c r="M4572">
        <v>0</v>
      </c>
      <c r="N4572">
        <v>2</v>
      </c>
      <c r="O4572">
        <v>0</v>
      </c>
      <c r="P4572">
        <v>1</v>
      </c>
      <c r="Q4572">
        <v>0</v>
      </c>
      <c r="S4572" t="str">
        <f t="shared" si="1688"/>
        <v>19:37:49.000</v>
      </c>
      <c r="T4572" t="str">
        <f t="shared" si="1688"/>
        <v>19:37:49.000</v>
      </c>
      <c r="U4572" t="str">
        <f t="shared" si="1680"/>
        <v>AC3944</v>
      </c>
      <c r="V4572">
        <v>0</v>
      </c>
      <c r="W4572">
        <v>0</v>
      </c>
      <c r="X4572">
        <v>2</v>
      </c>
      <c r="Y4572">
        <v>0</v>
      </c>
      <c r="AA4572">
        <v>1</v>
      </c>
      <c r="AB4572">
        <v>8</v>
      </c>
      <c r="AC4572">
        <v>3</v>
      </c>
      <c r="AD4572">
        <v>0</v>
      </c>
      <c r="AE4572">
        <v>9</v>
      </c>
      <c r="AF4572" t="s">
        <v>138</v>
      </c>
      <c r="AG4572">
        <v>0</v>
      </c>
      <c r="AH4572">
        <v>3</v>
      </c>
      <c r="AI4572">
        <v>1</v>
      </c>
      <c r="AJ4572">
        <v>0</v>
      </c>
      <c r="AK4572" t="s">
        <v>1438</v>
      </c>
      <c r="AL4572">
        <v>32.726984000000002</v>
      </c>
      <c r="AM4572" t="s">
        <v>1439</v>
      </c>
      <c r="AN4572">
        <v>-116.724801</v>
      </c>
      <c r="AO4572">
        <v>25</v>
      </c>
      <c r="AP4572">
        <v>4700</v>
      </c>
      <c r="AQ4572" t="s">
        <v>129</v>
      </c>
      <c r="AR4572">
        <v>-157</v>
      </c>
      <c r="AS4572">
        <v>-96</v>
      </c>
      <c r="AT4572">
        <v>-1536</v>
      </c>
      <c r="BB4572">
        <v>1200</v>
      </c>
      <c r="BC4572">
        <v>1</v>
      </c>
      <c r="BD4572" t="str">
        <f t="shared" si="1681"/>
        <v xml:space="preserve">N887QR  </v>
      </c>
      <c r="BE4572">
        <v>1</v>
      </c>
      <c r="BG4572">
        <v>0</v>
      </c>
      <c r="BH4572">
        <v>0</v>
      </c>
      <c r="BI4572">
        <v>0</v>
      </c>
      <c r="BJ4572">
        <v>4300</v>
      </c>
      <c r="BK4572">
        <v>-400</v>
      </c>
      <c r="BL4572" t="s">
        <v>163</v>
      </c>
      <c r="BM4572">
        <v>1</v>
      </c>
      <c r="BN4572">
        <v>1</v>
      </c>
      <c r="BO4572">
        <v>1</v>
      </c>
      <c r="BP4572">
        <v>0</v>
      </c>
      <c r="BS4572">
        <v>0</v>
      </c>
      <c r="BT4572">
        <v>0</v>
      </c>
      <c r="BU4572">
        <v>0</v>
      </c>
      <c r="CE4572" t="str">
        <f t="shared" si="1689"/>
        <v>19:37:49.388</v>
      </c>
      <c r="CF4572">
        <v>388019460</v>
      </c>
      <c r="CS4572">
        <v>0</v>
      </c>
      <c r="CT4572">
        <v>2</v>
      </c>
      <c r="CU4572">
        <v>0</v>
      </c>
      <c r="CV4572">
        <v>2</v>
      </c>
      <c r="CW4572">
        <v>0</v>
      </c>
      <c r="CX4572">
        <v>6</v>
      </c>
      <c r="CY4572">
        <v>7</v>
      </c>
      <c r="CZ4572" t="s">
        <v>131</v>
      </c>
      <c r="DA4572">
        <v>286</v>
      </c>
      <c r="DB4572">
        <v>0</v>
      </c>
      <c r="DC4572" t="s">
        <v>132</v>
      </c>
      <c r="DD4572" t="s">
        <v>133</v>
      </c>
      <c r="DG4572">
        <v>918340</v>
      </c>
      <c r="DI4572">
        <v>1</v>
      </c>
      <c r="DJ4572">
        <v>0</v>
      </c>
      <c r="DK4572">
        <v>1</v>
      </c>
      <c r="DL4572">
        <v>0</v>
      </c>
      <c r="DM4572">
        <v>0</v>
      </c>
      <c r="DN4572">
        <v>1</v>
      </c>
      <c r="DO4572">
        <v>0</v>
      </c>
      <c r="DP4572">
        <v>0</v>
      </c>
      <c r="DQ4572">
        <v>0</v>
      </c>
      <c r="DR4572">
        <v>0</v>
      </c>
      <c r="DS4572">
        <v>0</v>
      </c>
    </row>
    <row r="4573" spans="1:123" x14ac:dyDescent="0.3">
      <c r="A4573" t="str">
        <f>"10/04/2022 19:37:49.716"</f>
        <v>10/04/2022 19:37:49.716</v>
      </c>
      <c r="C4573" t="str">
        <f t="shared" si="1671"/>
        <v>FFDFD3C0</v>
      </c>
      <c r="D4573" t="s">
        <v>141</v>
      </c>
      <c r="E4573">
        <v>4</v>
      </c>
      <c r="H4573">
        <v>4</v>
      </c>
      <c r="I4573" t="s">
        <v>142</v>
      </c>
      <c r="J4573" t="s">
        <v>138</v>
      </c>
      <c r="K4573">
        <v>0</v>
      </c>
      <c r="L4573">
        <v>3</v>
      </c>
      <c r="M4573">
        <v>0</v>
      </c>
      <c r="N4573">
        <v>2</v>
      </c>
      <c r="O4573">
        <v>0</v>
      </c>
      <c r="P4573">
        <v>1</v>
      </c>
      <c r="Q4573">
        <v>0</v>
      </c>
      <c r="S4573" t="str">
        <f t="shared" si="1688"/>
        <v>19:37:49.000</v>
      </c>
      <c r="T4573" t="str">
        <f t="shared" si="1688"/>
        <v>19:37:49.000</v>
      </c>
      <c r="U4573" t="str">
        <f t="shared" si="1680"/>
        <v>AC3944</v>
      </c>
      <c r="V4573">
        <v>0</v>
      </c>
      <c r="W4573">
        <v>0</v>
      </c>
      <c r="X4573">
        <v>2</v>
      </c>
      <c r="Y4573">
        <v>0</v>
      </c>
      <c r="AA4573">
        <v>1</v>
      </c>
      <c r="AB4573">
        <v>8</v>
      </c>
      <c r="AC4573">
        <v>3</v>
      </c>
      <c r="AD4573">
        <v>0</v>
      </c>
      <c r="AE4573">
        <v>9</v>
      </c>
      <c r="AF4573" t="s">
        <v>138</v>
      </c>
      <c r="AG4573">
        <v>0</v>
      </c>
      <c r="AH4573">
        <v>3</v>
      </c>
      <c r="AI4573">
        <v>1</v>
      </c>
      <c r="AJ4573">
        <v>0</v>
      </c>
      <c r="AK4573" t="s">
        <v>1438</v>
      </c>
      <c r="AL4573">
        <v>32.726984000000002</v>
      </c>
      <c r="AM4573" t="s">
        <v>1439</v>
      </c>
      <c r="AN4573">
        <v>-116.724801</v>
      </c>
      <c r="AO4573">
        <v>25</v>
      </c>
      <c r="AP4573">
        <v>4700</v>
      </c>
      <c r="AQ4573" t="s">
        <v>129</v>
      </c>
      <c r="AR4573">
        <v>-157</v>
      </c>
      <c r="AS4573">
        <v>-96</v>
      </c>
      <c r="AT4573">
        <v>-1536</v>
      </c>
      <c r="BB4573">
        <v>1200</v>
      </c>
      <c r="BC4573">
        <v>1</v>
      </c>
      <c r="BD4573" t="str">
        <f t="shared" si="1681"/>
        <v xml:space="preserve">N887QR  </v>
      </c>
      <c r="BE4573">
        <v>1</v>
      </c>
      <c r="BG4573">
        <v>0</v>
      </c>
      <c r="BH4573">
        <v>0</v>
      </c>
      <c r="BI4573">
        <v>0</v>
      </c>
      <c r="BJ4573">
        <v>4300</v>
      </c>
      <c r="BK4573">
        <v>-400</v>
      </c>
      <c r="BL4573" t="s">
        <v>163</v>
      </c>
      <c r="BM4573">
        <v>1</v>
      </c>
      <c r="BN4573">
        <v>1</v>
      </c>
      <c r="BO4573">
        <v>1</v>
      </c>
      <c r="BP4573">
        <v>0</v>
      </c>
      <c r="BS4573">
        <v>0</v>
      </c>
      <c r="BT4573">
        <v>0</v>
      </c>
      <c r="BU4573">
        <v>0</v>
      </c>
      <c r="CE4573" t="str">
        <f t="shared" si="1689"/>
        <v>19:37:49.388</v>
      </c>
      <c r="CF4573">
        <v>388019460</v>
      </c>
      <c r="CS4573">
        <v>0</v>
      </c>
      <c r="CT4573">
        <v>2</v>
      </c>
      <c r="CU4573">
        <v>0</v>
      </c>
      <c r="CV4573">
        <v>2</v>
      </c>
      <c r="CW4573">
        <v>0</v>
      </c>
      <c r="CX4573">
        <v>6</v>
      </c>
      <c r="CY4573">
        <v>7</v>
      </c>
      <c r="CZ4573" t="s">
        <v>131</v>
      </c>
      <c r="DA4573">
        <v>286</v>
      </c>
      <c r="DB4573">
        <v>0</v>
      </c>
      <c r="DC4573" t="s">
        <v>132</v>
      </c>
      <c r="DD4573" t="s">
        <v>133</v>
      </c>
      <c r="DG4573">
        <v>918340</v>
      </c>
      <c r="DI4573">
        <v>1</v>
      </c>
      <c r="DJ4573">
        <v>0</v>
      </c>
      <c r="DK4573">
        <v>1</v>
      </c>
      <c r="DL4573">
        <v>0</v>
      </c>
      <c r="DM4573">
        <v>0</v>
      </c>
      <c r="DN4573">
        <v>1</v>
      </c>
      <c r="DO4573">
        <v>0</v>
      </c>
      <c r="DP4573">
        <v>0</v>
      </c>
      <c r="DQ4573">
        <v>0</v>
      </c>
      <c r="DR4573">
        <v>0</v>
      </c>
      <c r="DS4573">
        <v>0</v>
      </c>
    </row>
    <row r="4574" spans="1:123" x14ac:dyDescent="0.3">
      <c r="A4574" t="str">
        <f>"10/04/2022 19:37:49.716"</f>
        <v>10/04/2022 19:37:49.716</v>
      </c>
      <c r="C4574" t="str">
        <f t="shared" si="1671"/>
        <v>FFDFD3C0</v>
      </c>
      <c r="D4574" t="s">
        <v>123</v>
      </c>
      <c r="E4574">
        <v>7</v>
      </c>
      <c r="F4574">
        <v>2007</v>
      </c>
      <c r="G4574" t="s">
        <v>124</v>
      </c>
      <c r="J4574" t="s">
        <v>125</v>
      </c>
      <c r="K4574">
        <v>0</v>
      </c>
      <c r="L4574">
        <v>3</v>
      </c>
      <c r="M4574">
        <v>0</v>
      </c>
      <c r="N4574">
        <v>2</v>
      </c>
      <c r="O4574">
        <v>0</v>
      </c>
      <c r="P4574">
        <v>1</v>
      </c>
      <c r="Q4574">
        <v>0</v>
      </c>
      <c r="S4574" t="str">
        <f t="shared" si="1688"/>
        <v>19:37:49.000</v>
      </c>
      <c r="T4574" t="str">
        <f t="shared" si="1688"/>
        <v>19:37:49.000</v>
      </c>
      <c r="U4574" t="str">
        <f t="shared" si="1680"/>
        <v>AC3944</v>
      </c>
      <c r="V4574">
        <v>0</v>
      </c>
      <c r="W4574">
        <v>0</v>
      </c>
      <c r="X4574">
        <v>2</v>
      </c>
      <c r="Y4574">
        <v>0</v>
      </c>
      <c r="AA4574">
        <v>1</v>
      </c>
      <c r="AB4574">
        <v>8</v>
      </c>
      <c r="AC4574">
        <v>3</v>
      </c>
      <c r="AD4574">
        <v>0</v>
      </c>
      <c r="AE4574">
        <v>9</v>
      </c>
      <c r="AF4574" t="s">
        <v>138</v>
      </c>
      <c r="AG4574">
        <v>0</v>
      </c>
      <c r="AH4574">
        <v>3</v>
      </c>
      <c r="AI4574">
        <v>1</v>
      </c>
      <c r="AJ4574">
        <v>0</v>
      </c>
      <c r="AK4574" t="s">
        <v>1438</v>
      </c>
      <c r="AL4574">
        <v>32.726984000000002</v>
      </c>
      <c r="AM4574" t="s">
        <v>1439</v>
      </c>
      <c r="AN4574">
        <v>-116.724801</v>
      </c>
      <c r="AO4574">
        <v>25</v>
      </c>
      <c r="AP4574">
        <v>4700</v>
      </c>
      <c r="AQ4574" t="s">
        <v>129</v>
      </c>
      <c r="AR4574">
        <v>-157</v>
      </c>
      <c r="AS4574">
        <v>-96</v>
      </c>
      <c r="AT4574">
        <v>-1536</v>
      </c>
      <c r="BB4574">
        <v>1200</v>
      </c>
      <c r="BC4574">
        <v>1</v>
      </c>
      <c r="BD4574" t="str">
        <f t="shared" si="1681"/>
        <v xml:space="preserve">N887QR  </v>
      </c>
      <c r="BE4574">
        <v>1</v>
      </c>
      <c r="BG4574">
        <v>0</v>
      </c>
      <c r="BH4574">
        <v>0</v>
      </c>
      <c r="BI4574">
        <v>0</v>
      </c>
      <c r="BJ4574">
        <v>4300</v>
      </c>
      <c r="BK4574">
        <v>-400</v>
      </c>
      <c r="BL4574" t="s">
        <v>163</v>
      </c>
      <c r="BM4574">
        <v>1</v>
      </c>
      <c r="BN4574">
        <v>1</v>
      </c>
      <c r="BO4574">
        <v>1</v>
      </c>
      <c r="BP4574">
        <v>0</v>
      </c>
      <c r="BS4574">
        <v>0</v>
      </c>
      <c r="BT4574">
        <v>0</v>
      </c>
      <c r="BU4574">
        <v>0</v>
      </c>
      <c r="CE4574" t="str">
        <f t="shared" si="1689"/>
        <v>19:37:49.388</v>
      </c>
      <c r="CF4574">
        <v>388019460</v>
      </c>
      <c r="CS4574">
        <v>0</v>
      </c>
      <c r="CT4574">
        <v>2</v>
      </c>
      <c r="CU4574">
        <v>0</v>
      </c>
      <c r="CV4574">
        <v>2</v>
      </c>
      <c r="CW4574">
        <v>0</v>
      </c>
      <c r="CX4574">
        <v>6</v>
      </c>
      <c r="CY4574">
        <v>7</v>
      </c>
      <c r="CZ4574" t="s">
        <v>131</v>
      </c>
      <c r="DA4574">
        <v>286</v>
      </c>
      <c r="DB4574">
        <v>0</v>
      </c>
      <c r="DC4574" t="s">
        <v>132</v>
      </c>
      <c r="DD4574" t="s">
        <v>133</v>
      </c>
      <c r="DG4574">
        <v>918340</v>
      </c>
      <c r="DI4574">
        <v>1</v>
      </c>
      <c r="DJ4574">
        <v>0</v>
      </c>
      <c r="DK4574">
        <v>1</v>
      </c>
      <c r="DL4574">
        <v>0</v>
      </c>
      <c r="DM4574">
        <v>0</v>
      </c>
      <c r="DN4574">
        <v>1</v>
      </c>
      <c r="DO4574">
        <v>0</v>
      </c>
      <c r="DP4574">
        <v>0</v>
      </c>
      <c r="DQ4574">
        <v>0</v>
      </c>
      <c r="DR4574">
        <v>0</v>
      </c>
      <c r="DS4574">
        <v>0</v>
      </c>
    </row>
    <row r="4575" spans="1:123" x14ac:dyDescent="0.3">
      <c r="A4575" t="str">
        <f>"10/04/2022 19:37:49.716"</f>
        <v>10/04/2022 19:37:49.716</v>
      </c>
      <c r="C4575" t="str">
        <f t="shared" si="1671"/>
        <v>FFDFD3C0</v>
      </c>
      <c r="D4575" t="s">
        <v>134</v>
      </c>
      <c r="E4575">
        <v>15</v>
      </c>
      <c r="J4575" t="s">
        <v>135</v>
      </c>
      <c r="K4575">
        <v>0</v>
      </c>
      <c r="L4575">
        <v>3</v>
      </c>
      <c r="M4575">
        <v>0</v>
      </c>
      <c r="N4575">
        <v>2</v>
      </c>
      <c r="O4575">
        <v>0</v>
      </c>
      <c r="P4575">
        <v>1</v>
      </c>
      <c r="Q4575">
        <v>0</v>
      </c>
      <c r="S4575" t="str">
        <f t="shared" si="1688"/>
        <v>19:37:49.000</v>
      </c>
      <c r="T4575" t="str">
        <f t="shared" si="1688"/>
        <v>19:37:49.000</v>
      </c>
      <c r="U4575" t="str">
        <f t="shared" si="1680"/>
        <v>AC3944</v>
      </c>
      <c r="V4575">
        <v>0</v>
      </c>
      <c r="W4575">
        <v>0</v>
      </c>
      <c r="X4575">
        <v>2</v>
      </c>
      <c r="Y4575">
        <v>0</v>
      </c>
      <c r="AA4575">
        <v>1</v>
      </c>
      <c r="AB4575">
        <v>8</v>
      </c>
      <c r="AC4575">
        <v>3</v>
      </c>
      <c r="AD4575">
        <v>0</v>
      </c>
      <c r="AE4575">
        <v>9</v>
      </c>
      <c r="AF4575" t="s">
        <v>138</v>
      </c>
      <c r="AG4575">
        <v>0</v>
      </c>
      <c r="AH4575">
        <v>3</v>
      </c>
      <c r="AI4575">
        <v>1</v>
      </c>
      <c r="AJ4575">
        <v>0</v>
      </c>
      <c r="AK4575" t="s">
        <v>1438</v>
      </c>
      <c r="AL4575">
        <v>32.726984000000002</v>
      </c>
      <c r="AM4575" t="s">
        <v>1439</v>
      </c>
      <c r="AN4575">
        <v>-116.724801</v>
      </c>
      <c r="AO4575">
        <v>25</v>
      </c>
      <c r="AP4575">
        <v>4700</v>
      </c>
      <c r="AQ4575" t="s">
        <v>129</v>
      </c>
      <c r="AR4575">
        <v>-157</v>
      </c>
      <c r="AS4575">
        <v>-96</v>
      </c>
      <c r="AT4575">
        <v>-1536</v>
      </c>
      <c r="BB4575">
        <v>1200</v>
      </c>
      <c r="BC4575">
        <v>1</v>
      </c>
      <c r="BD4575" t="str">
        <f t="shared" si="1681"/>
        <v xml:space="preserve">N887QR  </v>
      </c>
      <c r="BE4575">
        <v>1</v>
      </c>
      <c r="BG4575">
        <v>0</v>
      </c>
      <c r="BH4575">
        <v>0</v>
      </c>
      <c r="BI4575">
        <v>0</v>
      </c>
      <c r="BJ4575">
        <v>4300</v>
      </c>
      <c r="BK4575">
        <v>-400</v>
      </c>
      <c r="BL4575" t="s">
        <v>163</v>
      </c>
      <c r="BM4575">
        <v>1</v>
      </c>
      <c r="BN4575">
        <v>1</v>
      </c>
      <c r="BO4575">
        <v>1</v>
      </c>
      <c r="BP4575">
        <v>0</v>
      </c>
      <c r="BS4575">
        <v>0</v>
      </c>
      <c r="BT4575">
        <v>0</v>
      </c>
      <c r="BU4575">
        <v>0</v>
      </c>
      <c r="CE4575" t="str">
        <f t="shared" si="1689"/>
        <v>19:37:49.388</v>
      </c>
      <c r="CF4575">
        <v>388019460</v>
      </c>
      <c r="CS4575">
        <v>0</v>
      </c>
      <c r="CT4575">
        <v>2</v>
      </c>
      <c r="CU4575">
        <v>0</v>
      </c>
      <c r="CV4575">
        <v>2</v>
      </c>
      <c r="CW4575">
        <v>0</v>
      </c>
      <c r="CX4575">
        <v>6</v>
      </c>
      <c r="CY4575">
        <v>7</v>
      </c>
      <c r="CZ4575" t="s">
        <v>131</v>
      </c>
      <c r="DA4575">
        <v>286</v>
      </c>
      <c r="DB4575">
        <v>0</v>
      </c>
      <c r="DC4575" t="s">
        <v>132</v>
      </c>
      <c r="DD4575" t="s">
        <v>133</v>
      </c>
      <c r="DG4575">
        <v>918340</v>
      </c>
      <c r="DI4575">
        <v>1</v>
      </c>
      <c r="DJ4575">
        <v>0</v>
      </c>
      <c r="DK4575">
        <v>1</v>
      </c>
      <c r="DL4575">
        <v>0</v>
      </c>
      <c r="DM4575">
        <v>0</v>
      </c>
      <c r="DN4575">
        <v>1</v>
      </c>
      <c r="DO4575">
        <v>0</v>
      </c>
      <c r="DP4575">
        <v>0</v>
      </c>
      <c r="DQ4575">
        <v>0</v>
      </c>
      <c r="DR4575">
        <v>0</v>
      </c>
      <c r="DS4575">
        <v>0</v>
      </c>
    </row>
    <row r="4576" spans="1:123" x14ac:dyDescent="0.3">
      <c r="A4576" t="str">
        <f t="shared" ref="A4576:A4582" si="1690">"10/04/2022 19:37:50.795"</f>
        <v>10/04/2022 19:37:50.795</v>
      </c>
      <c r="C4576" t="str">
        <f t="shared" si="1671"/>
        <v>FFDFD3C0</v>
      </c>
      <c r="D4576" t="s">
        <v>143</v>
      </c>
      <c r="E4576">
        <v>20</v>
      </c>
      <c r="F4576">
        <v>1020</v>
      </c>
      <c r="G4576" t="s">
        <v>144</v>
      </c>
      <c r="J4576" t="s">
        <v>145</v>
      </c>
      <c r="K4576">
        <v>0</v>
      </c>
      <c r="L4576">
        <v>3</v>
      </c>
      <c r="M4576">
        <v>0</v>
      </c>
      <c r="N4576">
        <v>2</v>
      </c>
      <c r="O4576">
        <v>0</v>
      </c>
      <c r="P4576">
        <v>1</v>
      </c>
      <c r="Q4576">
        <v>0</v>
      </c>
      <c r="S4576" t="str">
        <f t="shared" ref="S4576:T4582" si="1691">"19:37:50.000"</f>
        <v>19:37:50.000</v>
      </c>
      <c r="T4576" t="str">
        <f t="shared" si="1691"/>
        <v>19:37:50.000</v>
      </c>
      <c r="U4576" t="str">
        <f t="shared" si="1680"/>
        <v>AC3944</v>
      </c>
      <c r="V4576">
        <v>0</v>
      </c>
      <c r="W4576">
        <v>0</v>
      </c>
      <c r="X4576">
        <v>2</v>
      </c>
      <c r="Y4576">
        <v>0</v>
      </c>
      <c r="AA4576">
        <v>1</v>
      </c>
      <c r="AB4576">
        <v>8</v>
      </c>
      <c r="AC4576">
        <v>3</v>
      </c>
      <c r="AD4576">
        <v>0</v>
      </c>
      <c r="AE4576">
        <v>9</v>
      </c>
      <c r="AF4576" t="s">
        <v>138</v>
      </c>
      <c r="AG4576">
        <v>0</v>
      </c>
      <c r="AH4576">
        <v>3</v>
      </c>
      <c r="AI4576">
        <v>1</v>
      </c>
      <c r="AJ4576">
        <v>0</v>
      </c>
      <c r="AK4576" t="s">
        <v>1440</v>
      </c>
      <c r="AL4576">
        <v>32.726533000000003</v>
      </c>
      <c r="AM4576" t="s">
        <v>1441</v>
      </c>
      <c r="AN4576">
        <v>-116.72565899999999</v>
      </c>
      <c r="AO4576">
        <v>25</v>
      </c>
      <c r="AP4576">
        <v>4700</v>
      </c>
      <c r="AQ4576" t="s">
        <v>129</v>
      </c>
      <c r="AR4576">
        <v>-158</v>
      </c>
      <c r="AS4576">
        <v>-96</v>
      </c>
      <c r="AT4576">
        <v>-1920</v>
      </c>
      <c r="BB4576">
        <v>1200</v>
      </c>
      <c r="BC4576">
        <v>1</v>
      </c>
      <c r="BD4576" t="str">
        <f t="shared" si="1681"/>
        <v xml:space="preserve">N887QR  </v>
      </c>
      <c r="BE4576">
        <v>1</v>
      </c>
      <c r="BG4576">
        <v>0</v>
      </c>
      <c r="BH4576">
        <v>0</v>
      </c>
      <c r="BI4576">
        <v>0</v>
      </c>
      <c r="BJ4576">
        <v>4300</v>
      </c>
      <c r="BK4576">
        <v>-400</v>
      </c>
      <c r="BL4576" t="s">
        <v>163</v>
      </c>
      <c r="BM4576">
        <v>1</v>
      </c>
      <c r="BN4576">
        <v>1</v>
      </c>
      <c r="BO4576">
        <v>1</v>
      </c>
      <c r="BP4576">
        <v>0</v>
      </c>
      <c r="BS4576">
        <v>0</v>
      </c>
      <c r="BT4576">
        <v>0</v>
      </c>
      <c r="BU4576">
        <v>0</v>
      </c>
      <c r="CE4576" t="str">
        <f t="shared" ref="CE4576:CE4582" si="1692">"19:37:50.532"</f>
        <v>19:37:50.532</v>
      </c>
      <c r="CF4576">
        <v>531522800</v>
      </c>
      <c r="CS4576">
        <v>0</v>
      </c>
      <c r="CT4576">
        <v>2</v>
      </c>
      <c r="CU4576">
        <v>0</v>
      </c>
      <c r="CV4576">
        <v>2</v>
      </c>
      <c r="CW4576">
        <v>0</v>
      </c>
      <c r="CX4576">
        <v>6</v>
      </c>
      <c r="CY4576">
        <v>7</v>
      </c>
      <c r="CZ4576" t="s">
        <v>131</v>
      </c>
      <c r="DA4576">
        <v>286</v>
      </c>
      <c r="DB4576">
        <v>0</v>
      </c>
      <c r="DC4576" t="s">
        <v>132</v>
      </c>
      <c r="DD4576" t="s">
        <v>133</v>
      </c>
      <c r="DG4576">
        <v>918615</v>
      </c>
      <c r="DI4576">
        <v>1</v>
      </c>
      <c r="DJ4576">
        <v>0</v>
      </c>
      <c r="DK4576">
        <v>0</v>
      </c>
      <c r="DL4576">
        <v>0</v>
      </c>
      <c r="DM4576">
        <v>0</v>
      </c>
      <c r="DN4576">
        <v>1</v>
      </c>
      <c r="DO4576">
        <v>0</v>
      </c>
      <c r="DP4576">
        <v>0</v>
      </c>
      <c r="DQ4576">
        <v>0</v>
      </c>
      <c r="DR4576">
        <v>0</v>
      </c>
      <c r="DS4576">
        <v>0</v>
      </c>
    </row>
    <row r="4577" spans="1:123" x14ac:dyDescent="0.3">
      <c r="A4577" t="str">
        <f t="shared" si="1690"/>
        <v>10/04/2022 19:37:50.795</v>
      </c>
      <c r="C4577" t="str">
        <f t="shared" si="1671"/>
        <v>FFDFD3C0</v>
      </c>
      <c r="D4577" t="s">
        <v>141</v>
      </c>
      <c r="E4577">
        <v>4</v>
      </c>
      <c r="H4577">
        <v>4</v>
      </c>
      <c r="I4577" t="s">
        <v>142</v>
      </c>
      <c r="J4577" t="s">
        <v>138</v>
      </c>
      <c r="K4577">
        <v>0</v>
      </c>
      <c r="L4577">
        <v>3</v>
      </c>
      <c r="M4577">
        <v>0</v>
      </c>
      <c r="N4577">
        <v>2</v>
      </c>
      <c r="O4577">
        <v>0</v>
      </c>
      <c r="P4577">
        <v>1</v>
      </c>
      <c r="Q4577">
        <v>0</v>
      </c>
      <c r="S4577" t="str">
        <f t="shared" si="1691"/>
        <v>19:37:50.000</v>
      </c>
      <c r="T4577" t="str">
        <f t="shared" si="1691"/>
        <v>19:37:50.000</v>
      </c>
      <c r="U4577" t="str">
        <f t="shared" si="1680"/>
        <v>AC3944</v>
      </c>
      <c r="V4577">
        <v>0</v>
      </c>
      <c r="W4577">
        <v>0</v>
      </c>
      <c r="X4577">
        <v>2</v>
      </c>
      <c r="Y4577">
        <v>0</v>
      </c>
      <c r="AA4577">
        <v>1</v>
      </c>
      <c r="AB4577">
        <v>8</v>
      </c>
      <c r="AC4577">
        <v>3</v>
      </c>
      <c r="AD4577">
        <v>0</v>
      </c>
      <c r="AE4577">
        <v>9</v>
      </c>
      <c r="AF4577" t="s">
        <v>138</v>
      </c>
      <c r="AG4577">
        <v>0</v>
      </c>
      <c r="AH4577">
        <v>3</v>
      </c>
      <c r="AI4577">
        <v>1</v>
      </c>
      <c r="AJ4577">
        <v>0</v>
      </c>
      <c r="AK4577" t="s">
        <v>1440</v>
      </c>
      <c r="AL4577">
        <v>32.726533000000003</v>
      </c>
      <c r="AM4577" t="s">
        <v>1441</v>
      </c>
      <c r="AN4577">
        <v>-116.72565899999999</v>
      </c>
      <c r="AO4577">
        <v>25</v>
      </c>
      <c r="AP4577">
        <v>4700</v>
      </c>
      <c r="AQ4577" t="s">
        <v>129</v>
      </c>
      <c r="AR4577">
        <v>-158</v>
      </c>
      <c r="AS4577">
        <v>-96</v>
      </c>
      <c r="AT4577">
        <v>-1920</v>
      </c>
      <c r="BB4577">
        <v>1200</v>
      </c>
      <c r="BC4577">
        <v>1</v>
      </c>
      <c r="BD4577" t="str">
        <f t="shared" si="1681"/>
        <v xml:space="preserve">N887QR  </v>
      </c>
      <c r="BE4577">
        <v>1</v>
      </c>
      <c r="BG4577">
        <v>0</v>
      </c>
      <c r="BH4577">
        <v>0</v>
      </c>
      <c r="BI4577">
        <v>0</v>
      </c>
      <c r="BJ4577">
        <v>4300</v>
      </c>
      <c r="BK4577">
        <v>-400</v>
      </c>
      <c r="BL4577" t="s">
        <v>163</v>
      </c>
      <c r="BM4577">
        <v>1</v>
      </c>
      <c r="BN4577">
        <v>1</v>
      </c>
      <c r="BO4577">
        <v>1</v>
      </c>
      <c r="BP4577">
        <v>0</v>
      </c>
      <c r="BS4577">
        <v>0</v>
      </c>
      <c r="BT4577">
        <v>0</v>
      </c>
      <c r="BU4577">
        <v>0</v>
      </c>
      <c r="CE4577" t="str">
        <f t="shared" si="1692"/>
        <v>19:37:50.532</v>
      </c>
      <c r="CF4577">
        <v>531522800</v>
      </c>
      <c r="CS4577">
        <v>0</v>
      </c>
      <c r="CT4577">
        <v>2</v>
      </c>
      <c r="CU4577">
        <v>0</v>
      </c>
      <c r="CV4577">
        <v>2</v>
      </c>
      <c r="CW4577">
        <v>0</v>
      </c>
      <c r="CX4577">
        <v>6</v>
      </c>
      <c r="CY4577">
        <v>7</v>
      </c>
      <c r="CZ4577" t="s">
        <v>131</v>
      </c>
      <c r="DA4577">
        <v>286</v>
      </c>
      <c r="DB4577">
        <v>0</v>
      </c>
      <c r="DC4577" t="s">
        <v>132</v>
      </c>
      <c r="DD4577" t="s">
        <v>133</v>
      </c>
      <c r="DG4577">
        <v>918615</v>
      </c>
      <c r="DI4577">
        <v>1</v>
      </c>
      <c r="DJ4577">
        <v>0</v>
      </c>
      <c r="DK4577">
        <v>1</v>
      </c>
      <c r="DL4577">
        <v>0</v>
      </c>
      <c r="DM4577">
        <v>0</v>
      </c>
      <c r="DN4577">
        <v>1</v>
      </c>
      <c r="DO4577">
        <v>0</v>
      </c>
      <c r="DP4577">
        <v>0</v>
      </c>
      <c r="DQ4577">
        <v>0</v>
      </c>
      <c r="DR4577">
        <v>0</v>
      </c>
      <c r="DS4577">
        <v>0</v>
      </c>
    </row>
    <row r="4578" spans="1:123" x14ac:dyDescent="0.3">
      <c r="A4578" t="str">
        <f t="shared" si="1690"/>
        <v>10/04/2022 19:37:50.795</v>
      </c>
      <c r="C4578" t="str">
        <f t="shared" si="1671"/>
        <v>FFDFD3C0</v>
      </c>
      <c r="D4578" t="s">
        <v>123</v>
      </c>
      <c r="E4578">
        <v>7</v>
      </c>
      <c r="F4578">
        <v>2007</v>
      </c>
      <c r="G4578" t="s">
        <v>124</v>
      </c>
      <c r="J4578" t="s">
        <v>125</v>
      </c>
      <c r="K4578">
        <v>0</v>
      </c>
      <c r="L4578">
        <v>3</v>
      </c>
      <c r="M4578">
        <v>0</v>
      </c>
      <c r="N4578">
        <v>2</v>
      </c>
      <c r="O4578">
        <v>0</v>
      </c>
      <c r="P4578">
        <v>1</v>
      </c>
      <c r="Q4578">
        <v>0</v>
      </c>
      <c r="S4578" t="str">
        <f t="shared" si="1691"/>
        <v>19:37:50.000</v>
      </c>
      <c r="T4578" t="str">
        <f t="shared" si="1691"/>
        <v>19:37:50.000</v>
      </c>
      <c r="U4578" t="str">
        <f t="shared" si="1680"/>
        <v>AC3944</v>
      </c>
      <c r="V4578">
        <v>0</v>
      </c>
      <c r="W4578">
        <v>0</v>
      </c>
      <c r="X4578">
        <v>2</v>
      </c>
      <c r="Y4578">
        <v>0</v>
      </c>
      <c r="AA4578">
        <v>1</v>
      </c>
      <c r="AB4578">
        <v>8</v>
      </c>
      <c r="AC4578">
        <v>3</v>
      </c>
      <c r="AD4578">
        <v>0</v>
      </c>
      <c r="AE4578">
        <v>9</v>
      </c>
      <c r="AF4578" t="s">
        <v>138</v>
      </c>
      <c r="AG4578">
        <v>0</v>
      </c>
      <c r="AH4578">
        <v>3</v>
      </c>
      <c r="AI4578">
        <v>1</v>
      </c>
      <c r="AJ4578">
        <v>0</v>
      </c>
      <c r="AK4578" t="s">
        <v>1440</v>
      </c>
      <c r="AL4578">
        <v>32.726533000000003</v>
      </c>
      <c r="AM4578" t="s">
        <v>1441</v>
      </c>
      <c r="AN4578">
        <v>-116.72565899999999</v>
      </c>
      <c r="AO4578">
        <v>25</v>
      </c>
      <c r="AP4578">
        <v>4700</v>
      </c>
      <c r="AQ4578" t="s">
        <v>129</v>
      </c>
      <c r="AR4578">
        <v>-158</v>
      </c>
      <c r="AS4578">
        <v>-96</v>
      </c>
      <c r="AT4578">
        <v>-1920</v>
      </c>
      <c r="BB4578">
        <v>1200</v>
      </c>
      <c r="BC4578">
        <v>1</v>
      </c>
      <c r="BD4578" t="str">
        <f t="shared" si="1681"/>
        <v xml:space="preserve">N887QR  </v>
      </c>
      <c r="BE4578">
        <v>1</v>
      </c>
      <c r="BG4578">
        <v>0</v>
      </c>
      <c r="BH4578">
        <v>0</v>
      </c>
      <c r="BI4578">
        <v>0</v>
      </c>
      <c r="BJ4578">
        <v>4300</v>
      </c>
      <c r="BK4578">
        <v>-400</v>
      </c>
      <c r="BL4578" t="s">
        <v>163</v>
      </c>
      <c r="BM4578">
        <v>1</v>
      </c>
      <c r="BN4578">
        <v>1</v>
      </c>
      <c r="BO4578">
        <v>1</v>
      </c>
      <c r="BP4578">
        <v>0</v>
      </c>
      <c r="BS4578">
        <v>0</v>
      </c>
      <c r="BT4578">
        <v>0</v>
      </c>
      <c r="BU4578">
        <v>0</v>
      </c>
      <c r="CE4578" t="str">
        <f t="shared" si="1692"/>
        <v>19:37:50.532</v>
      </c>
      <c r="CF4578">
        <v>531522800</v>
      </c>
      <c r="CS4578">
        <v>0</v>
      </c>
      <c r="CT4578">
        <v>2</v>
      </c>
      <c r="CU4578">
        <v>0</v>
      </c>
      <c r="CV4578">
        <v>2</v>
      </c>
      <c r="CW4578">
        <v>0</v>
      </c>
      <c r="CX4578">
        <v>6</v>
      </c>
      <c r="CY4578">
        <v>7</v>
      </c>
      <c r="CZ4578" t="s">
        <v>131</v>
      </c>
      <c r="DA4578">
        <v>286</v>
      </c>
      <c r="DB4578">
        <v>0</v>
      </c>
      <c r="DC4578" t="s">
        <v>132</v>
      </c>
      <c r="DD4578" t="s">
        <v>133</v>
      </c>
      <c r="DG4578">
        <v>918615</v>
      </c>
      <c r="DI4578">
        <v>1</v>
      </c>
      <c r="DJ4578">
        <v>0</v>
      </c>
      <c r="DK4578">
        <v>0</v>
      </c>
      <c r="DL4578">
        <v>0</v>
      </c>
      <c r="DM4578">
        <v>0</v>
      </c>
      <c r="DN4578">
        <v>1</v>
      </c>
      <c r="DO4578">
        <v>0</v>
      </c>
      <c r="DP4578">
        <v>0</v>
      </c>
      <c r="DQ4578">
        <v>0</v>
      </c>
      <c r="DR4578">
        <v>0</v>
      </c>
      <c r="DS4578">
        <v>0</v>
      </c>
    </row>
    <row r="4579" spans="1:123" x14ac:dyDescent="0.3">
      <c r="A4579" t="str">
        <f t="shared" si="1690"/>
        <v>10/04/2022 19:37:50.795</v>
      </c>
      <c r="C4579" t="str">
        <f t="shared" si="1671"/>
        <v>FFDFD3C0</v>
      </c>
      <c r="D4579" t="s">
        <v>134</v>
      </c>
      <c r="E4579">
        <v>15</v>
      </c>
      <c r="J4579" t="s">
        <v>135</v>
      </c>
      <c r="K4579">
        <v>0</v>
      </c>
      <c r="L4579">
        <v>3</v>
      </c>
      <c r="M4579">
        <v>0</v>
      </c>
      <c r="N4579">
        <v>2</v>
      </c>
      <c r="O4579">
        <v>0</v>
      </c>
      <c r="P4579">
        <v>1</v>
      </c>
      <c r="Q4579">
        <v>0</v>
      </c>
      <c r="S4579" t="str">
        <f t="shared" si="1691"/>
        <v>19:37:50.000</v>
      </c>
      <c r="T4579" t="str">
        <f t="shared" si="1691"/>
        <v>19:37:50.000</v>
      </c>
      <c r="U4579" t="str">
        <f t="shared" si="1680"/>
        <v>AC3944</v>
      </c>
      <c r="V4579">
        <v>0</v>
      </c>
      <c r="W4579">
        <v>0</v>
      </c>
      <c r="X4579">
        <v>2</v>
      </c>
      <c r="Y4579">
        <v>0</v>
      </c>
      <c r="AA4579">
        <v>1</v>
      </c>
      <c r="AB4579">
        <v>8</v>
      </c>
      <c r="AC4579">
        <v>3</v>
      </c>
      <c r="AD4579">
        <v>0</v>
      </c>
      <c r="AE4579">
        <v>9</v>
      </c>
      <c r="AF4579" t="s">
        <v>138</v>
      </c>
      <c r="AG4579">
        <v>0</v>
      </c>
      <c r="AH4579">
        <v>3</v>
      </c>
      <c r="AI4579">
        <v>1</v>
      </c>
      <c r="AJ4579">
        <v>0</v>
      </c>
      <c r="AK4579" t="s">
        <v>1440</v>
      </c>
      <c r="AL4579">
        <v>32.726533000000003</v>
      </c>
      <c r="AM4579" t="s">
        <v>1441</v>
      </c>
      <c r="AN4579">
        <v>-116.72565899999999</v>
      </c>
      <c r="AO4579">
        <v>25</v>
      </c>
      <c r="AP4579">
        <v>4700</v>
      </c>
      <c r="AQ4579" t="s">
        <v>129</v>
      </c>
      <c r="AR4579">
        <v>-158</v>
      </c>
      <c r="AS4579">
        <v>-96</v>
      </c>
      <c r="AT4579">
        <v>-1920</v>
      </c>
      <c r="BB4579">
        <v>1200</v>
      </c>
      <c r="BC4579">
        <v>1</v>
      </c>
      <c r="BD4579" t="str">
        <f t="shared" si="1681"/>
        <v xml:space="preserve">N887QR  </v>
      </c>
      <c r="BE4579">
        <v>1</v>
      </c>
      <c r="BG4579">
        <v>0</v>
      </c>
      <c r="BH4579">
        <v>0</v>
      </c>
      <c r="BI4579">
        <v>0</v>
      </c>
      <c r="BJ4579">
        <v>4300</v>
      </c>
      <c r="BK4579">
        <v>-400</v>
      </c>
      <c r="BL4579" t="s">
        <v>163</v>
      </c>
      <c r="BM4579">
        <v>1</v>
      </c>
      <c r="BN4579">
        <v>1</v>
      </c>
      <c r="BO4579">
        <v>1</v>
      </c>
      <c r="BP4579">
        <v>0</v>
      </c>
      <c r="BS4579">
        <v>0</v>
      </c>
      <c r="BT4579">
        <v>0</v>
      </c>
      <c r="BU4579">
        <v>0</v>
      </c>
      <c r="CE4579" t="str">
        <f t="shared" si="1692"/>
        <v>19:37:50.532</v>
      </c>
      <c r="CF4579">
        <v>531522800</v>
      </c>
      <c r="CS4579">
        <v>0</v>
      </c>
      <c r="CT4579">
        <v>2</v>
      </c>
      <c r="CU4579">
        <v>0</v>
      </c>
      <c r="CV4579">
        <v>2</v>
      </c>
      <c r="CW4579">
        <v>0</v>
      </c>
      <c r="CX4579">
        <v>6</v>
      </c>
      <c r="CY4579">
        <v>7</v>
      </c>
      <c r="CZ4579" t="s">
        <v>131</v>
      </c>
      <c r="DA4579">
        <v>286</v>
      </c>
      <c r="DB4579">
        <v>0</v>
      </c>
      <c r="DC4579" t="s">
        <v>132</v>
      </c>
      <c r="DD4579" t="s">
        <v>133</v>
      </c>
      <c r="DG4579">
        <v>918615</v>
      </c>
      <c r="DI4579">
        <v>1</v>
      </c>
      <c r="DJ4579">
        <v>0</v>
      </c>
      <c r="DK4579">
        <v>1</v>
      </c>
      <c r="DL4579">
        <v>0</v>
      </c>
      <c r="DM4579">
        <v>0</v>
      </c>
      <c r="DN4579">
        <v>1</v>
      </c>
      <c r="DO4579">
        <v>0</v>
      </c>
      <c r="DP4579">
        <v>0</v>
      </c>
      <c r="DQ4579">
        <v>0</v>
      </c>
      <c r="DR4579">
        <v>0</v>
      </c>
      <c r="DS4579">
        <v>0</v>
      </c>
    </row>
    <row r="4580" spans="1:123" x14ac:dyDescent="0.3">
      <c r="A4580" t="str">
        <f t="shared" si="1690"/>
        <v>10/04/2022 19:37:50.795</v>
      </c>
      <c r="C4580" t="str">
        <f t="shared" si="1671"/>
        <v>FFDFD3C0</v>
      </c>
      <c r="D4580" t="s">
        <v>147</v>
      </c>
      <c r="E4580">
        <v>3</v>
      </c>
      <c r="H4580">
        <v>166</v>
      </c>
      <c r="I4580" t="s">
        <v>144</v>
      </c>
      <c r="J4580" t="s">
        <v>148</v>
      </c>
      <c r="K4580">
        <v>0</v>
      </c>
      <c r="L4580">
        <v>3</v>
      </c>
      <c r="M4580">
        <v>0</v>
      </c>
      <c r="N4580">
        <v>2</v>
      </c>
      <c r="O4580">
        <v>0</v>
      </c>
      <c r="P4580">
        <v>1</v>
      </c>
      <c r="Q4580">
        <v>0</v>
      </c>
      <c r="S4580" t="str">
        <f t="shared" si="1691"/>
        <v>19:37:50.000</v>
      </c>
      <c r="T4580" t="str">
        <f t="shared" si="1691"/>
        <v>19:37:50.000</v>
      </c>
      <c r="U4580" t="str">
        <f t="shared" si="1680"/>
        <v>AC3944</v>
      </c>
      <c r="V4580">
        <v>0</v>
      </c>
      <c r="W4580">
        <v>0</v>
      </c>
      <c r="X4580">
        <v>2</v>
      </c>
      <c r="Y4580">
        <v>0</v>
      </c>
      <c r="AA4580">
        <v>1</v>
      </c>
      <c r="AB4580">
        <v>8</v>
      </c>
      <c r="AC4580">
        <v>3</v>
      </c>
      <c r="AD4580">
        <v>0</v>
      </c>
      <c r="AE4580">
        <v>9</v>
      </c>
      <c r="AF4580" t="s">
        <v>138</v>
      </c>
      <c r="AG4580">
        <v>0</v>
      </c>
      <c r="AH4580">
        <v>3</v>
      </c>
      <c r="AI4580">
        <v>1</v>
      </c>
      <c r="AJ4580">
        <v>0</v>
      </c>
      <c r="AK4580" t="s">
        <v>1440</v>
      </c>
      <c r="AL4580">
        <v>32.726533000000003</v>
      </c>
      <c r="AM4580" t="s">
        <v>1441</v>
      </c>
      <c r="AN4580">
        <v>-116.72565899999999</v>
      </c>
      <c r="AO4580">
        <v>25</v>
      </c>
      <c r="AP4580">
        <v>4700</v>
      </c>
      <c r="AQ4580" t="s">
        <v>129</v>
      </c>
      <c r="AR4580">
        <v>-158</v>
      </c>
      <c r="AS4580">
        <v>-96</v>
      </c>
      <c r="AT4580">
        <v>-1920</v>
      </c>
      <c r="BB4580">
        <v>1200</v>
      </c>
      <c r="BC4580">
        <v>1</v>
      </c>
      <c r="BD4580" t="str">
        <f t="shared" si="1681"/>
        <v xml:space="preserve">N887QR  </v>
      </c>
      <c r="BE4580">
        <v>1</v>
      </c>
      <c r="BG4580">
        <v>0</v>
      </c>
      <c r="BH4580">
        <v>0</v>
      </c>
      <c r="BI4580">
        <v>0</v>
      </c>
      <c r="BJ4580">
        <v>4300</v>
      </c>
      <c r="BK4580">
        <v>-400</v>
      </c>
      <c r="BL4580" t="s">
        <v>163</v>
      </c>
      <c r="BM4580">
        <v>1</v>
      </c>
      <c r="BN4580">
        <v>1</v>
      </c>
      <c r="BO4580">
        <v>1</v>
      </c>
      <c r="BP4580">
        <v>0</v>
      </c>
      <c r="BS4580">
        <v>0</v>
      </c>
      <c r="BT4580">
        <v>0</v>
      </c>
      <c r="BU4580">
        <v>0</v>
      </c>
      <c r="CE4580" t="str">
        <f t="shared" si="1692"/>
        <v>19:37:50.532</v>
      </c>
      <c r="CF4580">
        <v>531522800</v>
      </c>
      <c r="CS4580">
        <v>0</v>
      </c>
      <c r="CT4580">
        <v>2</v>
      </c>
      <c r="CU4580">
        <v>0</v>
      </c>
      <c r="CV4580">
        <v>2</v>
      </c>
      <c r="CW4580">
        <v>0</v>
      </c>
      <c r="CX4580">
        <v>6</v>
      </c>
      <c r="CY4580">
        <v>7</v>
      </c>
      <c r="CZ4580" t="s">
        <v>131</v>
      </c>
      <c r="DA4580">
        <v>286</v>
      </c>
      <c r="DB4580">
        <v>0</v>
      </c>
      <c r="DC4580" t="s">
        <v>132</v>
      </c>
      <c r="DD4580" t="s">
        <v>133</v>
      </c>
      <c r="DG4580">
        <v>918615</v>
      </c>
      <c r="DI4580">
        <v>1</v>
      </c>
      <c r="DJ4580">
        <v>0</v>
      </c>
      <c r="DK4580">
        <v>1</v>
      </c>
      <c r="DL4580">
        <v>0</v>
      </c>
      <c r="DM4580">
        <v>0</v>
      </c>
      <c r="DN4580">
        <v>1</v>
      </c>
      <c r="DO4580">
        <v>0</v>
      </c>
      <c r="DP4580">
        <v>0</v>
      </c>
      <c r="DQ4580">
        <v>0</v>
      </c>
      <c r="DR4580">
        <v>0</v>
      </c>
      <c r="DS4580">
        <v>0</v>
      </c>
    </row>
    <row r="4581" spans="1:123" x14ac:dyDescent="0.3">
      <c r="A4581" t="str">
        <f t="shared" si="1690"/>
        <v>10/04/2022 19:37:50.795</v>
      </c>
      <c r="C4581" t="str">
        <f t="shared" si="1671"/>
        <v>FFDFD3C0</v>
      </c>
      <c r="D4581" t="s">
        <v>141</v>
      </c>
      <c r="E4581">
        <v>3</v>
      </c>
      <c r="H4581">
        <v>3</v>
      </c>
      <c r="I4581" t="s">
        <v>146</v>
      </c>
      <c r="J4581" t="s">
        <v>138</v>
      </c>
      <c r="K4581">
        <v>0</v>
      </c>
      <c r="L4581">
        <v>3</v>
      </c>
      <c r="M4581">
        <v>0</v>
      </c>
      <c r="N4581">
        <v>2</v>
      </c>
      <c r="O4581">
        <v>0</v>
      </c>
      <c r="P4581">
        <v>1</v>
      </c>
      <c r="Q4581">
        <v>0</v>
      </c>
      <c r="S4581" t="str">
        <f t="shared" si="1691"/>
        <v>19:37:50.000</v>
      </c>
      <c r="T4581" t="str">
        <f t="shared" si="1691"/>
        <v>19:37:50.000</v>
      </c>
      <c r="U4581" t="str">
        <f t="shared" si="1680"/>
        <v>AC3944</v>
      </c>
      <c r="V4581">
        <v>0</v>
      </c>
      <c r="W4581">
        <v>0</v>
      </c>
      <c r="X4581">
        <v>2</v>
      </c>
      <c r="Y4581">
        <v>0</v>
      </c>
      <c r="AA4581">
        <v>1</v>
      </c>
      <c r="AB4581">
        <v>8</v>
      </c>
      <c r="AC4581">
        <v>3</v>
      </c>
      <c r="AD4581">
        <v>0</v>
      </c>
      <c r="AE4581">
        <v>9</v>
      </c>
      <c r="AF4581" t="s">
        <v>138</v>
      </c>
      <c r="AG4581">
        <v>0</v>
      </c>
      <c r="AH4581">
        <v>3</v>
      </c>
      <c r="AI4581">
        <v>1</v>
      </c>
      <c r="AJ4581">
        <v>0</v>
      </c>
      <c r="AK4581" t="s">
        <v>1440</v>
      </c>
      <c r="AL4581">
        <v>32.726533000000003</v>
      </c>
      <c r="AM4581" t="s">
        <v>1441</v>
      </c>
      <c r="AN4581">
        <v>-116.72565899999999</v>
      </c>
      <c r="AO4581">
        <v>25</v>
      </c>
      <c r="AP4581">
        <v>4700</v>
      </c>
      <c r="AQ4581" t="s">
        <v>129</v>
      </c>
      <c r="AR4581">
        <v>-158</v>
      </c>
      <c r="AS4581">
        <v>-96</v>
      </c>
      <c r="AT4581">
        <v>-1920</v>
      </c>
      <c r="BB4581">
        <v>1200</v>
      </c>
      <c r="BC4581">
        <v>1</v>
      </c>
      <c r="BD4581" t="str">
        <f t="shared" si="1681"/>
        <v xml:space="preserve">N887QR  </v>
      </c>
      <c r="BE4581">
        <v>1</v>
      </c>
      <c r="BG4581">
        <v>0</v>
      </c>
      <c r="BH4581">
        <v>0</v>
      </c>
      <c r="BI4581">
        <v>0</v>
      </c>
      <c r="BJ4581">
        <v>4300</v>
      </c>
      <c r="BK4581">
        <v>-400</v>
      </c>
      <c r="BL4581" t="s">
        <v>163</v>
      </c>
      <c r="BM4581">
        <v>1</v>
      </c>
      <c r="BN4581">
        <v>1</v>
      </c>
      <c r="BO4581">
        <v>1</v>
      </c>
      <c r="BP4581">
        <v>0</v>
      </c>
      <c r="BS4581">
        <v>0</v>
      </c>
      <c r="BT4581">
        <v>0</v>
      </c>
      <c r="BU4581">
        <v>0</v>
      </c>
      <c r="CE4581" t="str">
        <f t="shared" si="1692"/>
        <v>19:37:50.532</v>
      </c>
      <c r="CF4581">
        <v>531522800</v>
      </c>
      <c r="CS4581">
        <v>0</v>
      </c>
      <c r="CT4581">
        <v>2</v>
      </c>
      <c r="CU4581">
        <v>0</v>
      </c>
      <c r="CV4581">
        <v>2</v>
      </c>
      <c r="CW4581">
        <v>0</v>
      </c>
      <c r="CX4581">
        <v>6</v>
      </c>
      <c r="CY4581">
        <v>7</v>
      </c>
      <c r="CZ4581" t="s">
        <v>131</v>
      </c>
      <c r="DA4581">
        <v>286</v>
      </c>
      <c r="DB4581">
        <v>0</v>
      </c>
      <c r="DC4581" t="s">
        <v>132</v>
      </c>
      <c r="DD4581" t="s">
        <v>133</v>
      </c>
      <c r="DG4581">
        <v>918615</v>
      </c>
      <c r="DI4581">
        <v>1</v>
      </c>
      <c r="DJ4581">
        <v>0</v>
      </c>
      <c r="DK4581">
        <v>1</v>
      </c>
      <c r="DL4581">
        <v>0</v>
      </c>
      <c r="DM4581">
        <v>0</v>
      </c>
      <c r="DN4581">
        <v>1</v>
      </c>
      <c r="DO4581">
        <v>0</v>
      </c>
      <c r="DP4581">
        <v>0</v>
      </c>
      <c r="DQ4581">
        <v>0</v>
      </c>
      <c r="DR4581">
        <v>0</v>
      </c>
      <c r="DS4581">
        <v>0</v>
      </c>
    </row>
    <row r="4582" spans="1:123" x14ac:dyDescent="0.3">
      <c r="A4582" t="str">
        <f t="shared" si="1690"/>
        <v>10/04/2022 19:37:50.795</v>
      </c>
      <c r="C4582" t="str">
        <f t="shared" si="1671"/>
        <v>FFDFD3C0</v>
      </c>
      <c r="D4582" t="s">
        <v>136</v>
      </c>
      <c r="E4582">
        <v>8</v>
      </c>
      <c r="H4582">
        <v>225</v>
      </c>
      <c r="I4582" t="s">
        <v>137</v>
      </c>
      <c r="J4582" t="s">
        <v>138</v>
      </c>
      <c r="K4582">
        <v>0</v>
      </c>
      <c r="L4582">
        <v>3</v>
      </c>
      <c r="M4582">
        <v>0</v>
      </c>
      <c r="N4582">
        <v>2</v>
      </c>
      <c r="O4582">
        <v>0</v>
      </c>
      <c r="P4582">
        <v>1</v>
      </c>
      <c r="Q4582">
        <v>0</v>
      </c>
      <c r="S4582" t="str">
        <f t="shared" si="1691"/>
        <v>19:37:50.000</v>
      </c>
      <c r="T4582" t="str">
        <f t="shared" si="1691"/>
        <v>19:37:50.000</v>
      </c>
      <c r="U4582" t="str">
        <f t="shared" si="1680"/>
        <v>AC3944</v>
      </c>
      <c r="V4582">
        <v>0</v>
      </c>
      <c r="W4582">
        <v>0</v>
      </c>
      <c r="X4582">
        <v>2</v>
      </c>
      <c r="Y4582">
        <v>0</v>
      </c>
      <c r="AA4582">
        <v>1</v>
      </c>
      <c r="AB4582">
        <v>8</v>
      </c>
      <c r="AC4582">
        <v>3</v>
      </c>
      <c r="AD4582">
        <v>0</v>
      </c>
      <c r="AE4582">
        <v>9</v>
      </c>
      <c r="AF4582" t="s">
        <v>138</v>
      </c>
      <c r="AG4582">
        <v>0</v>
      </c>
      <c r="AH4582">
        <v>3</v>
      </c>
      <c r="AI4582">
        <v>1</v>
      </c>
      <c r="AJ4582">
        <v>0</v>
      </c>
      <c r="AK4582" t="s">
        <v>1440</v>
      </c>
      <c r="AL4582">
        <v>32.726533000000003</v>
      </c>
      <c r="AM4582" t="s">
        <v>1441</v>
      </c>
      <c r="AN4582">
        <v>-116.72565899999999</v>
      </c>
      <c r="AO4582">
        <v>25</v>
      </c>
      <c r="AP4582">
        <v>4700</v>
      </c>
      <c r="AQ4582" t="s">
        <v>129</v>
      </c>
      <c r="AR4582">
        <v>-158</v>
      </c>
      <c r="AS4582">
        <v>-96</v>
      </c>
      <c r="AT4582">
        <v>-1920</v>
      </c>
      <c r="BB4582">
        <v>1200</v>
      </c>
      <c r="BC4582">
        <v>1</v>
      </c>
      <c r="BD4582" t="str">
        <f t="shared" si="1681"/>
        <v xml:space="preserve">N887QR  </v>
      </c>
      <c r="BE4582">
        <v>1</v>
      </c>
      <c r="BG4582">
        <v>0</v>
      </c>
      <c r="BH4582">
        <v>0</v>
      </c>
      <c r="BI4582">
        <v>0</v>
      </c>
      <c r="BJ4582">
        <v>4300</v>
      </c>
      <c r="BK4582">
        <v>-400</v>
      </c>
      <c r="BL4582" t="s">
        <v>163</v>
      </c>
      <c r="BM4582">
        <v>1</v>
      </c>
      <c r="BN4582">
        <v>1</v>
      </c>
      <c r="BO4582">
        <v>1</v>
      </c>
      <c r="BP4582">
        <v>0</v>
      </c>
      <c r="BS4582">
        <v>0</v>
      </c>
      <c r="BT4582">
        <v>0</v>
      </c>
      <c r="BU4582">
        <v>0</v>
      </c>
      <c r="CE4582" t="str">
        <f t="shared" si="1692"/>
        <v>19:37:50.532</v>
      </c>
      <c r="CF4582">
        <v>531522800</v>
      </c>
      <c r="CS4582">
        <v>0</v>
      </c>
      <c r="CT4582">
        <v>2</v>
      </c>
      <c r="CU4582">
        <v>0</v>
      </c>
      <c r="CV4582">
        <v>2</v>
      </c>
      <c r="CW4582">
        <v>0</v>
      </c>
      <c r="CX4582">
        <v>6</v>
      </c>
      <c r="CY4582">
        <v>7</v>
      </c>
      <c r="CZ4582" t="s">
        <v>131</v>
      </c>
      <c r="DA4582">
        <v>286</v>
      </c>
      <c r="DB4582">
        <v>0</v>
      </c>
      <c r="DC4582" t="s">
        <v>132</v>
      </c>
      <c r="DD4582" t="s">
        <v>133</v>
      </c>
      <c r="DG4582">
        <v>918615</v>
      </c>
      <c r="DI4582">
        <v>1</v>
      </c>
      <c r="DJ4582">
        <v>0</v>
      </c>
      <c r="DK4582">
        <v>1</v>
      </c>
      <c r="DL4582">
        <v>0</v>
      </c>
      <c r="DM4582">
        <v>0</v>
      </c>
      <c r="DN4582">
        <v>1</v>
      </c>
      <c r="DO4582">
        <v>0</v>
      </c>
      <c r="DP4582">
        <v>0</v>
      </c>
      <c r="DQ4582">
        <v>0</v>
      </c>
      <c r="DR4582">
        <v>0</v>
      </c>
      <c r="DS4582">
        <v>0</v>
      </c>
    </row>
    <row r="4583" spans="1:123" x14ac:dyDescent="0.3">
      <c r="A4583" t="str">
        <f t="shared" ref="A4583:A4589" si="1693">"10/04/2022 19:37:51.855"</f>
        <v>10/04/2022 19:37:51.855</v>
      </c>
      <c r="C4583" t="str">
        <f t="shared" si="1671"/>
        <v>FFDFD3C0</v>
      </c>
      <c r="D4583" t="s">
        <v>136</v>
      </c>
      <c r="E4583">
        <v>8</v>
      </c>
      <c r="H4583">
        <v>225</v>
      </c>
      <c r="I4583" t="s">
        <v>137</v>
      </c>
      <c r="J4583" t="s">
        <v>138</v>
      </c>
      <c r="K4583">
        <v>0</v>
      </c>
      <c r="L4583">
        <v>3</v>
      </c>
      <c r="M4583">
        <v>0</v>
      </c>
      <c r="N4583">
        <v>2</v>
      </c>
      <c r="O4583">
        <v>0</v>
      </c>
      <c r="P4583">
        <v>1</v>
      </c>
      <c r="Q4583">
        <v>0</v>
      </c>
      <c r="S4583" t="str">
        <f t="shared" ref="S4583:T4596" si="1694">"19:37:51.000"</f>
        <v>19:37:51.000</v>
      </c>
      <c r="T4583" t="str">
        <f t="shared" si="1694"/>
        <v>19:37:51.000</v>
      </c>
      <c r="U4583" t="str">
        <f t="shared" si="1680"/>
        <v>AC3944</v>
      </c>
      <c r="V4583">
        <v>0</v>
      </c>
      <c r="W4583">
        <v>0</v>
      </c>
      <c r="X4583">
        <v>2</v>
      </c>
      <c r="Y4583">
        <v>0</v>
      </c>
      <c r="AA4583">
        <v>1</v>
      </c>
      <c r="AB4583">
        <v>8</v>
      </c>
      <c r="AC4583">
        <v>3</v>
      </c>
      <c r="AD4583">
        <v>0</v>
      </c>
      <c r="AE4583">
        <v>9</v>
      </c>
      <c r="AF4583" t="s">
        <v>138</v>
      </c>
      <c r="AG4583">
        <v>0</v>
      </c>
      <c r="AH4583">
        <v>3</v>
      </c>
      <c r="AI4583">
        <v>1</v>
      </c>
      <c r="AJ4583">
        <v>0</v>
      </c>
      <c r="AK4583" t="s">
        <v>1442</v>
      </c>
      <c r="AL4583">
        <v>32.726083000000003</v>
      </c>
      <c r="AM4583" t="s">
        <v>1443</v>
      </c>
      <c r="AN4583">
        <v>-116.726518</v>
      </c>
      <c r="AO4583">
        <v>25</v>
      </c>
      <c r="AP4583">
        <v>4600</v>
      </c>
      <c r="AQ4583" t="s">
        <v>129</v>
      </c>
      <c r="AR4583">
        <v>-159</v>
      </c>
      <c r="AS4583">
        <v>-96</v>
      </c>
      <c r="AT4583">
        <v>-1920</v>
      </c>
      <c r="BB4583">
        <v>1200</v>
      </c>
      <c r="BC4583">
        <v>1</v>
      </c>
      <c r="BD4583" t="str">
        <f t="shared" si="1681"/>
        <v xml:space="preserve">N887QR  </v>
      </c>
      <c r="BE4583">
        <v>1</v>
      </c>
      <c r="BG4583">
        <v>0</v>
      </c>
      <c r="BH4583">
        <v>0</v>
      </c>
      <c r="BI4583">
        <v>0</v>
      </c>
      <c r="BJ4583">
        <v>4225</v>
      </c>
      <c r="BK4583">
        <v>-375</v>
      </c>
      <c r="BL4583" t="s">
        <v>163</v>
      </c>
      <c r="BM4583">
        <v>1</v>
      </c>
      <c r="BN4583">
        <v>1</v>
      </c>
      <c r="BO4583">
        <v>1</v>
      </c>
      <c r="BP4583">
        <v>0</v>
      </c>
      <c r="BS4583">
        <v>0</v>
      </c>
      <c r="BT4583">
        <v>0</v>
      </c>
      <c r="BU4583">
        <v>0</v>
      </c>
      <c r="CE4583" t="str">
        <f t="shared" ref="CE4583:CE4589" si="1695">"19:37:51.490"</f>
        <v>19:37:51.490</v>
      </c>
      <c r="CF4583">
        <v>490025576</v>
      </c>
      <c r="CS4583">
        <v>0</v>
      </c>
      <c r="CT4583">
        <v>2</v>
      </c>
      <c r="CU4583">
        <v>0</v>
      </c>
      <c r="CV4583">
        <v>2</v>
      </c>
      <c r="CW4583">
        <v>0</v>
      </c>
      <c r="CX4583">
        <v>6</v>
      </c>
      <c r="CY4583">
        <v>7</v>
      </c>
      <c r="CZ4583" t="s">
        <v>131</v>
      </c>
      <c r="DA4583">
        <v>286</v>
      </c>
      <c r="DB4583">
        <v>0</v>
      </c>
      <c r="DC4583" t="s">
        <v>132</v>
      </c>
      <c r="DD4583" t="s">
        <v>133</v>
      </c>
      <c r="DG4583">
        <v>918837</v>
      </c>
      <c r="DI4583">
        <v>1</v>
      </c>
      <c r="DJ4583">
        <v>0</v>
      </c>
      <c r="DK4583">
        <v>0</v>
      </c>
      <c r="DL4583">
        <v>0</v>
      </c>
      <c r="DM4583">
        <v>0</v>
      </c>
      <c r="DN4583">
        <v>1</v>
      </c>
      <c r="DO4583">
        <v>0</v>
      </c>
      <c r="DP4583">
        <v>0</v>
      </c>
      <c r="DQ4583">
        <v>0</v>
      </c>
      <c r="DR4583">
        <v>0</v>
      </c>
      <c r="DS4583">
        <v>0</v>
      </c>
    </row>
    <row r="4584" spans="1:123" x14ac:dyDescent="0.3">
      <c r="A4584" t="str">
        <f t="shared" si="1693"/>
        <v>10/04/2022 19:37:51.855</v>
      </c>
      <c r="C4584" t="str">
        <f t="shared" si="1671"/>
        <v>FFDFD3C0</v>
      </c>
      <c r="D4584" t="s">
        <v>143</v>
      </c>
      <c r="E4584">
        <v>20</v>
      </c>
      <c r="F4584">
        <v>1020</v>
      </c>
      <c r="G4584" t="s">
        <v>144</v>
      </c>
      <c r="J4584" t="s">
        <v>145</v>
      </c>
      <c r="K4584">
        <v>0</v>
      </c>
      <c r="L4584">
        <v>3</v>
      </c>
      <c r="M4584">
        <v>0</v>
      </c>
      <c r="N4584">
        <v>2</v>
      </c>
      <c r="O4584">
        <v>0</v>
      </c>
      <c r="P4584">
        <v>1</v>
      </c>
      <c r="Q4584">
        <v>0</v>
      </c>
      <c r="S4584" t="str">
        <f t="shared" si="1694"/>
        <v>19:37:51.000</v>
      </c>
      <c r="T4584" t="str">
        <f t="shared" si="1694"/>
        <v>19:37:51.000</v>
      </c>
      <c r="U4584" t="str">
        <f t="shared" si="1680"/>
        <v>AC3944</v>
      </c>
      <c r="V4584">
        <v>0</v>
      </c>
      <c r="W4584">
        <v>0</v>
      </c>
      <c r="X4584">
        <v>2</v>
      </c>
      <c r="Y4584">
        <v>0</v>
      </c>
      <c r="AA4584">
        <v>1</v>
      </c>
      <c r="AB4584">
        <v>8</v>
      </c>
      <c r="AC4584">
        <v>3</v>
      </c>
      <c r="AD4584">
        <v>0</v>
      </c>
      <c r="AE4584">
        <v>9</v>
      </c>
      <c r="AF4584" t="s">
        <v>138</v>
      </c>
      <c r="AG4584">
        <v>0</v>
      </c>
      <c r="AH4584">
        <v>3</v>
      </c>
      <c r="AI4584">
        <v>1</v>
      </c>
      <c r="AJ4584">
        <v>0</v>
      </c>
      <c r="AK4584" t="s">
        <v>1442</v>
      </c>
      <c r="AL4584">
        <v>32.726083000000003</v>
      </c>
      <c r="AM4584" t="s">
        <v>1443</v>
      </c>
      <c r="AN4584">
        <v>-116.726518</v>
      </c>
      <c r="AO4584">
        <v>25</v>
      </c>
      <c r="AP4584">
        <v>4600</v>
      </c>
      <c r="AQ4584" t="s">
        <v>129</v>
      </c>
      <c r="AR4584">
        <v>-159</v>
      </c>
      <c r="AS4584">
        <v>-96</v>
      </c>
      <c r="AT4584">
        <v>-1920</v>
      </c>
      <c r="BB4584">
        <v>1200</v>
      </c>
      <c r="BC4584">
        <v>1</v>
      </c>
      <c r="BD4584" t="str">
        <f t="shared" si="1681"/>
        <v xml:space="preserve">N887QR  </v>
      </c>
      <c r="BE4584">
        <v>1</v>
      </c>
      <c r="BG4584">
        <v>0</v>
      </c>
      <c r="BH4584">
        <v>0</v>
      </c>
      <c r="BI4584">
        <v>0</v>
      </c>
      <c r="BJ4584">
        <v>4225</v>
      </c>
      <c r="BK4584">
        <v>-375</v>
      </c>
      <c r="BL4584" t="s">
        <v>163</v>
      </c>
      <c r="BM4584">
        <v>1</v>
      </c>
      <c r="BN4584">
        <v>1</v>
      </c>
      <c r="BO4584">
        <v>1</v>
      </c>
      <c r="BP4584">
        <v>0</v>
      </c>
      <c r="BS4584">
        <v>0</v>
      </c>
      <c r="BT4584">
        <v>0</v>
      </c>
      <c r="BU4584">
        <v>0</v>
      </c>
      <c r="CE4584" t="str">
        <f t="shared" si="1695"/>
        <v>19:37:51.490</v>
      </c>
      <c r="CF4584">
        <v>490025576</v>
      </c>
      <c r="CS4584">
        <v>0</v>
      </c>
      <c r="CT4584">
        <v>2</v>
      </c>
      <c r="CU4584">
        <v>0</v>
      </c>
      <c r="CV4584">
        <v>2</v>
      </c>
      <c r="CW4584">
        <v>0</v>
      </c>
      <c r="CX4584">
        <v>6</v>
      </c>
      <c r="CY4584">
        <v>7</v>
      </c>
      <c r="CZ4584" t="s">
        <v>131</v>
      </c>
      <c r="DA4584">
        <v>286</v>
      </c>
      <c r="DB4584">
        <v>0</v>
      </c>
      <c r="DC4584" t="s">
        <v>132</v>
      </c>
      <c r="DD4584" t="s">
        <v>133</v>
      </c>
      <c r="DG4584">
        <v>918837</v>
      </c>
      <c r="DI4584">
        <v>1</v>
      </c>
      <c r="DJ4584">
        <v>0</v>
      </c>
      <c r="DK4584">
        <v>1</v>
      </c>
      <c r="DL4584">
        <v>0</v>
      </c>
      <c r="DM4584">
        <v>0</v>
      </c>
      <c r="DN4584">
        <v>1</v>
      </c>
      <c r="DO4584">
        <v>0</v>
      </c>
      <c r="DP4584">
        <v>0</v>
      </c>
      <c r="DQ4584">
        <v>0</v>
      </c>
      <c r="DR4584">
        <v>0</v>
      </c>
      <c r="DS4584">
        <v>0</v>
      </c>
    </row>
    <row r="4585" spans="1:123" x14ac:dyDescent="0.3">
      <c r="A4585" t="str">
        <f t="shared" si="1693"/>
        <v>10/04/2022 19:37:51.855</v>
      </c>
      <c r="C4585" t="str">
        <f t="shared" si="1671"/>
        <v>FFDFD3C0</v>
      </c>
      <c r="D4585" t="s">
        <v>141</v>
      </c>
      <c r="E4585">
        <v>4</v>
      </c>
      <c r="H4585">
        <v>4</v>
      </c>
      <c r="I4585" t="s">
        <v>142</v>
      </c>
      <c r="J4585" t="s">
        <v>138</v>
      </c>
      <c r="K4585">
        <v>0</v>
      </c>
      <c r="L4585">
        <v>3</v>
      </c>
      <c r="M4585">
        <v>0</v>
      </c>
      <c r="N4585">
        <v>2</v>
      </c>
      <c r="O4585">
        <v>0</v>
      </c>
      <c r="P4585">
        <v>1</v>
      </c>
      <c r="Q4585">
        <v>0</v>
      </c>
      <c r="S4585" t="str">
        <f t="shared" si="1694"/>
        <v>19:37:51.000</v>
      </c>
      <c r="T4585" t="str">
        <f t="shared" si="1694"/>
        <v>19:37:51.000</v>
      </c>
      <c r="U4585" t="str">
        <f t="shared" si="1680"/>
        <v>AC3944</v>
      </c>
      <c r="V4585">
        <v>0</v>
      </c>
      <c r="W4585">
        <v>0</v>
      </c>
      <c r="X4585">
        <v>2</v>
      </c>
      <c r="Y4585">
        <v>0</v>
      </c>
      <c r="AA4585">
        <v>1</v>
      </c>
      <c r="AB4585">
        <v>8</v>
      </c>
      <c r="AC4585">
        <v>3</v>
      </c>
      <c r="AD4585">
        <v>0</v>
      </c>
      <c r="AE4585">
        <v>9</v>
      </c>
      <c r="AF4585" t="s">
        <v>138</v>
      </c>
      <c r="AG4585">
        <v>0</v>
      </c>
      <c r="AH4585">
        <v>3</v>
      </c>
      <c r="AI4585">
        <v>1</v>
      </c>
      <c r="AJ4585">
        <v>0</v>
      </c>
      <c r="AK4585" t="s">
        <v>1442</v>
      </c>
      <c r="AL4585">
        <v>32.726083000000003</v>
      </c>
      <c r="AM4585" t="s">
        <v>1443</v>
      </c>
      <c r="AN4585">
        <v>-116.726518</v>
      </c>
      <c r="AO4585">
        <v>25</v>
      </c>
      <c r="AP4585">
        <v>4600</v>
      </c>
      <c r="AQ4585" t="s">
        <v>129</v>
      </c>
      <c r="AR4585">
        <v>-159</v>
      </c>
      <c r="AS4585">
        <v>-96</v>
      </c>
      <c r="AT4585">
        <v>-1920</v>
      </c>
      <c r="BB4585">
        <v>1200</v>
      </c>
      <c r="BC4585">
        <v>1</v>
      </c>
      <c r="BD4585" t="str">
        <f t="shared" si="1681"/>
        <v xml:space="preserve">N887QR  </v>
      </c>
      <c r="BE4585">
        <v>1</v>
      </c>
      <c r="BG4585">
        <v>0</v>
      </c>
      <c r="BH4585">
        <v>0</v>
      </c>
      <c r="BI4585">
        <v>0</v>
      </c>
      <c r="BJ4585">
        <v>4225</v>
      </c>
      <c r="BK4585">
        <v>-375</v>
      </c>
      <c r="BL4585" t="s">
        <v>163</v>
      </c>
      <c r="BM4585">
        <v>1</v>
      </c>
      <c r="BN4585">
        <v>1</v>
      </c>
      <c r="BO4585">
        <v>1</v>
      </c>
      <c r="BP4585">
        <v>0</v>
      </c>
      <c r="BS4585">
        <v>0</v>
      </c>
      <c r="BT4585">
        <v>0</v>
      </c>
      <c r="BU4585">
        <v>0</v>
      </c>
      <c r="CE4585" t="str">
        <f t="shared" si="1695"/>
        <v>19:37:51.490</v>
      </c>
      <c r="CF4585">
        <v>490025576</v>
      </c>
      <c r="CS4585">
        <v>0</v>
      </c>
      <c r="CT4585">
        <v>2</v>
      </c>
      <c r="CU4585">
        <v>0</v>
      </c>
      <c r="CV4585">
        <v>2</v>
      </c>
      <c r="CW4585">
        <v>0</v>
      </c>
      <c r="CX4585">
        <v>6</v>
      </c>
      <c r="CY4585">
        <v>7</v>
      </c>
      <c r="CZ4585" t="s">
        <v>131</v>
      </c>
      <c r="DA4585">
        <v>286</v>
      </c>
      <c r="DB4585">
        <v>0</v>
      </c>
      <c r="DC4585" t="s">
        <v>132</v>
      </c>
      <c r="DD4585" t="s">
        <v>133</v>
      </c>
      <c r="DG4585">
        <v>918837</v>
      </c>
      <c r="DI4585">
        <v>1</v>
      </c>
      <c r="DJ4585">
        <v>0</v>
      </c>
      <c r="DK4585">
        <v>1</v>
      </c>
      <c r="DL4585">
        <v>0</v>
      </c>
      <c r="DM4585">
        <v>0</v>
      </c>
      <c r="DN4585">
        <v>1</v>
      </c>
      <c r="DO4585">
        <v>0</v>
      </c>
      <c r="DP4585">
        <v>0</v>
      </c>
      <c r="DQ4585">
        <v>0</v>
      </c>
      <c r="DR4585">
        <v>0</v>
      </c>
      <c r="DS4585">
        <v>0</v>
      </c>
    </row>
    <row r="4586" spans="1:123" x14ac:dyDescent="0.3">
      <c r="A4586" t="str">
        <f t="shared" si="1693"/>
        <v>10/04/2022 19:37:51.855</v>
      </c>
      <c r="C4586" t="str">
        <f t="shared" si="1671"/>
        <v>FFDFD3C0</v>
      </c>
      <c r="D4586" t="s">
        <v>123</v>
      </c>
      <c r="E4586">
        <v>7</v>
      </c>
      <c r="F4586">
        <v>2007</v>
      </c>
      <c r="G4586" t="s">
        <v>124</v>
      </c>
      <c r="J4586" t="s">
        <v>125</v>
      </c>
      <c r="K4586">
        <v>0</v>
      </c>
      <c r="L4586">
        <v>3</v>
      </c>
      <c r="M4586">
        <v>0</v>
      </c>
      <c r="N4586">
        <v>2</v>
      </c>
      <c r="O4586">
        <v>0</v>
      </c>
      <c r="P4586">
        <v>1</v>
      </c>
      <c r="Q4586">
        <v>0</v>
      </c>
      <c r="S4586" t="str">
        <f t="shared" si="1694"/>
        <v>19:37:51.000</v>
      </c>
      <c r="T4586" t="str">
        <f t="shared" si="1694"/>
        <v>19:37:51.000</v>
      </c>
      <c r="U4586" t="str">
        <f t="shared" si="1680"/>
        <v>AC3944</v>
      </c>
      <c r="V4586">
        <v>0</v>
      </c>
      <c r="W4586">
        <v>0</v>
      </c>
      <c r="X4586">
        <v>2</v>
      </c>
      <c r="Y4586">
        <v>0</v>
      </c>
      <c r="AA4586">
        <v>1</v>
      </c>
      <c r="AB4586">
        <v>8</v>
      </c>
      <c r="AC4586">
        <v>3</v>
      </c>
      <c r="AD4586">
        <v>0</v>
      </c>
      <c r="AE4586">
        <v>9</v>
      </c>
      <c r="AF4586" t="s">
        <v>138</v>
      </c>
      <c r="AG4586">
        <v>0</v>
      </c>
      <c r="AH4586">
        <v>3</v>
      </c>
      <c r="AI4586">
        <v>1</v>
      </c>
      <c r="AJ4586">
        <v>0</v>
      </c>
      <c r="AK4586" t="s">
        <v>1442</v>
      </c>
      <c r="AL4586">
        <v>32.726083000000003</v>
      </c>
      <c r="AM4586" t="s">
        <v>1443</v>
      </c>
      <c r="AN4586">
        <v>-116.726518</v>
      </c>
      <c r="AO4586">
        <v>25</v>
      </c>
      <c r="AP4586">
        <v>4600</v>
      </c>
      <c r="AQ4586" t="s">
        <v>129</v>
      </c>
      <c r="AR4586">
        <v>-159</v>
      </c>
      <c r="AS4586">
        <v>-96</v>
      </c>
      <c r="AT4586">
        <v>-1920</v>
      </c>
      <c r="BB4586">
        <v>1200</v>
      </c>
      <c r="BC4586">
        <v>1</v>
      </c>
      <c r="BD4586" t="str">
        <f t="shared" si="1681"/>
        <v xml:space="preserve">N887QR  </v>
      </c>
      <c r="BE4586">
        <v>1</v>
      </c>
      <c r="BG4586">
        <v>0</v>
      </c>
      <c r="BH4586">
        <v>0</v>
      </c>
      <c r="BI4586">
        <v>0</v>
      </c>
      <c r="BJ4586">
        <v>4225</v>
      </c>
      <c r="BK4586">
        <v>-375</v>
      </c>
      <c r="BL4586" t="s">
        <v>163</v>
      </c>
      <c r="BM4586">
        <v>1</v>
      </c>
      <c r="BN4586">
        <v>1</v>
      </c>
      <c r="BO4586">
        <v>1</v>
      </c>
      <c r="BP4586">
        <v>0</v>
      </c>
      <c r="BS4586">
        <v>0</v>
      </c>
      <c r="BT4586">
        <v>0</v>
      </c>
      <c r="BU4586">
        <v>0</v>
      </c>
      <c r="CE4586" t="str">
        <f t="shared" si="1695"/>
        <v>19:37:51.490</v>
      </c>
      <c r="CF4586">
        <v>490025576</v>
      </c>
      <c r="CS4586">
        <v>0</v>
      </c>
      <c r="CT4586">
        <v>2</v>
      </c>
      <c r="CU4586">
        <v>0</v>
      </c>
      <c r="CV4586">
        <v>2</v>
      </c>
      <c r="CW4586">
        <v>0</v>
      </c>
      <c r="CX4586">
        <v>6</v>
      </c>
      <c r="CY4586">
        <v>7</v>
      </c>
      <c r="CZ4586" t="s">
        <v>131</v>
      </c>
      <c r="DA4586">
        <v>286</v>
      </c>
      <c r="DB4586">
        <v>0</v>
      </c>
      <c r="DC4586" t="s">
        <v>132</v>
      </c>
      <c r="DD4586" t="s">
        <v>133</v>
      </c>
      <c r="DG4586">
        <v>918837</v>
      </c>
      <c r="DI4586">
        <v>1</v>
      </c>
      <c r="DJ4586">
        <v>0</v>
      </c>
      <c r="DK4586">
        <v>1</v>
      </c>
      <c r="DL4586">
        <v>0</v>
      </c>
      <c r="DM4586">
        <v>0</v>
      </c>
      <c r="DN4586">
        <v>1</v>
      </c>
      <c r="DO4586">
        <v>0</v>
      </c>
      <c r="DP4586">
        <v>0</v>
      </c>
      <c r="DQ4586">
        <v>0</v>
      </c>
      <c r="DR4586">
        <v>0</v>
      </c>
      <c r="DS4586">
        <v>0</v>
      </c>
    </row>
    <row r="4587" spans="1:123" x14ac:dyDescent="0.3">
      <c r="A4587" t="str">
        <f t="shared" si="1693"/>
        <v>10/04/2022 19:37:51.855</v>
      </c>
      <c r="C4587" t="str">
        <f t="shared" ref="C4587:C4650" si="1696">"FFDFD3C0"</f>
        <v>FFDFD3C0</v>
      </c>
      <c r="D4587" t="s">
        <v>147</v>
      </c>
      <c r="E4587">
        <v>3</v>
      </c>
      <c r="H4587">
        <v>166</v>
      </c>
      <c r="I4587" t="s">
        <v>144</v>
      </c>
      <c r="J4587" t="s">
        <v>148</v>
      </c>
      <c r="K4587">
        <v>0</v>
      </c>
      <c r="L4587">
        <v>3</v>
      </c>
      <c r="M4587">
        <v>0</v>
      </c>
      <c r="N4587">
        <v>2</v>
      </c>
      <c r="O4587">
        <v>0</v>
      </c>
      <c r="P4587">
        <v>1</v>
      </c>
      <c r="Q4587">
        <v>0</v>
      </c>
      <c r="S4587" t="str">
        <f t="shared" si="1694"/>
        <v>19:37:51.000</v>
      </c>
      <c r="T4587" t="str">
        <f t="shared" si="1694"/>
        <v>19:37:51.000</v>
      </c>
      <c r="U4587" t="str">
        <f t="shared" si="1680"/>
        <v>AC3944</v>
      </c>
      <c r="V4587">
        <v>0</v>
      </c>
      <c r="W4587">
        <v>0</v>
      </c>
      <c r="X4587">
        <v>2</v>
      </c>
      <c r="Y4587">
        <v>0</v>
      </c>
      <c r="AA4587">
        <v>1</v>
      </c>
      <c r="AB4587">
        <v>8</v>
      </c>
      <c r="AC4587">
        <v>3</v>
      </c>
      <c r="AD4587">
        <v>0</v>
      </c>
      <c r="AE4587">
        <v>9</v>
      </c>
      <c r="AF4587" t="s">
        <v>138</v>
      </c>
      <c r="AG4587">
        <v>0</v>
      </c>
      <c r="AH4587">
        <v>3</v>
      </c>
      <c r="AI4587">
        <v>1</v>
      </c>
      <c r="AJ4587">
        <v>0</v>
      </c>
      <c r="AK4587" t="s">
        <v>1442</v>
      </c>
      <c r="AL4587">
        <v>32.726083000000003</v>
      </c>
      <c r="AM4587" t="s">
        <v>1443</v>
      </c>
      <c r="AN4587">
        <v>-116.726518</v>
      </c>
      <c r="AO4587">
        <v>25</v>
      </c>
      <c r="AP4587">
        <v>4600</v>
      </c>
      <c r="AQ4587" t="s">
        <v>129</v>
      </c>
      <c r="AR4587">
        <v>-159</v>
      </c>
      <c r="AS4587">
        <v>-96</v>
      </c>
      <c r="AT4587">
        <v>-1920</v>
      </c>
      <c r="BB4587">
        <v>1200</v>
      </c>
      <c r="BC4587">
        <v>1</v>
      </c>
      <c r="BD4587" t="str">
        <f t="shared" si="1681"/>
        <v xml:space="preserve">N887QR  </v>
      </c>
      <c r="BE4587">
        <v>1</v>
      </c>
      <c r="BG4587">
        <v>0</v>
      </c>
      <c r="BH4587">
        <v>0</v>
      </c>
      <c r="BI4587">
        <v>0</v>
      </c>
      <c r="BJ4587">
        <v>4225</v>
      </c>
      <c r="BK4587">
        <v>-375</v>
      </c>
      <c r="BL4587" t="s">
        <v>163</v>
      </c>
      <c r="BM4587">
        <v>1</v>
      </c>
      <c r="BN4587">
        <v>1</v>
      </c>
      <c r="BO4587">
        <v>1</v>
      </c>
      <c r="BP4587">
        <v>0</v>
      </c>
      <c r="BS4587">
        <v>0</v>
      </c>
      <c r="BT4587">
        <v>0</v>
      </c>
      <c r="BU4587">
        <v>0</v>
      </c>
      <c r="CE4587" t="str">
        <f t="shared" si="1695"/>
        <v>19:37:51.490</v>
      </c>
      <c r="CF4587">
        <v>490025576</v>
      </c>
      <c r="CS4587">
        <v>0</v>
      </c>
      <c r="CT4587">
        <v>2</v>
      </c>
      <c r="CU4587">
        <v>0</v>
      </c>
      <c r="CV4587">
        <v>2</v>
      </c>
      <c r="CW4587">
        <v>0</v>
      </c>
      <c r="CX4587">
        <v>6</v>
      </c>
      <c r="CY4587">
        <v>7</v>
      </c>
      <c r="CZ4587" t="s">
        <v>131</v>
      </c>
      <c r="DA4587">
        <v>286</v>
      </c>
      <c r="DB4587">
        <v>0</v>
      </c>
      <c r="DC4587" t="s">
        <v>132</v>
      </c>
      <c r="DD4587" t="s">
        <v>133</v>
      </c>
      <c r="DG4587">
        <v>918837</v>
      </c>
      <c r="DI4587">
        <v>1</v>
      </c>
      <c r="DJ4587">
        <v>0</v>
      </c>
      <c r="DK4587">
        <v>0</v>
      </c>
      <c r="DL4587">
        <v>0</v>
      </c>
      <c r="DM4587">
        <v>0</v>
      </c>
      <c r="DN4587">
        <v>1</v>
      </c>
      <c r="DO4587">
        <v>0</v>
      </c>
      <c r="DP4587">
        <v>0</v>
      </c>
      <c r="DQ4587">
        <v>0</v>
      </c>
      <c r="DR4587">
        <v>0</v>
      </c>
      <c r="DS4587">
        <v>0</v>
      </c>
    </row>
    <row r="4588" spans="1:123" x14ac:dyDescent="0.3">
      <c r="A4588" t="str">
        <f t="shared" si="1693"/>
        <v>10/04/2022 19:37:51.855</v>
      </c>
      <c r="C4588" t="str">
        <f t="shared" si="1696"/>
        <v>FFDFD3C0</v>
      </c>
      <c r="D4588" t="s">
        <v>134</v>
      </c>
      <c r="E4588">
        <v>15</v>
      </c>
      <c r="J4588" t="s">
        <v>135</v>
      </c>
      <c r="K4588">
        <v>0</v>
      </c>
      <c r="L4588">
        <v>3</v>
      </c>
      <c r="M4588">
        <v>0</v>
      </c>
      <c r="N4588">
        <v>2</v>
      </c>
      <c r="O4588">
        <v>0</v>
      </c>
      <c r="P4588">
        <v>1</v>
      </c>
      <c r="Q4588">
        <v>0</v>
      </c>
      <c r="S4588" t="str">
        <f t="shared" si="1694"/>
        <v>19:37:51.000</v>
      </c>
      <c r="T4588" t="str">
        <f t="shared" si="1694"/>
        <v>19:37:51.000</v>
      </c>
      <c r="U4588" t="str">
        <f t="shared" si="1680"/>
        <v>AC3944</v>
      </c>
      <c r="V4588">
        <v>0</v>
      </c>
      <c r="W4588">
        <v>0</v>
      </c>
      <c r="X4588">
        <v>2</v>
      </c>
      <c r="Y4588">
        <v>0</v>
      </c>
      <c r="AA4588">
        <v>1</v>
      </c>
      <c r="AB4588">
        <v>8</v>
      </c>
      <c r="AC4588">
        <v>3</v>
      </c>
      <c r="AD4588">
        <v>0</v>
      </c>
      <c r="AE4588">
        <v>9</v>
      </c>
      <c r="AF4588" t="s">
        <v>138</v>
      </c>
      <c r="AG4588">
        <v>0</v>
      </c>
      <c r="AH4588">
        <v>3</v>
      </c>
      <c r="AI4588">
        <v>1</v>
      </c>
      <c r="AJ4588">
        <v>0</v>
      </c>
      <c r="AK4588" t="s">
        <v>1442</v>
      </c>
      <c r="AL4588">
        <v>32.726083000000003</v>
      </c>
      <c r="AM4588" t="s">
        <v>1443</v>
      </c>
      <c r="AN4588">
        <v>-116.726518</v>
      </c>
      <c r="AO4588">
        <v>25</v>
      </c>
      <c r="AP4588">
        <v>4600</v>
      </c>
      <c r="AQ4588" t="s">
        <v>129</v>
      </c>
      <c r="AR4588">
        <v>-159</v>
      </c>
      <c r="AS4588">
        <v>-96</v>
      </c>
      <c r="AT4588">
        <v>-1920</v>
      </c>
      <c r="BB4588">
        <v>1200</v>
      </c>
      <c r="BC4588">
        <v>1</v>
      </c>
      <c r="BD4588" t="str">
        <f t="shared" si="1681"/>
        <v xml:space="preserve">N887QR  </v>
      </c>
      <c r="BE4588">
        <v>1</v>
      </c>
      <c r="BG4588">
        <v>0</v>
      </c>
      <c r="BH4588">
        <v>0</v>
      </c>
      <c r="BI4588">
        <v>0</v>
      </c>
      <c r="BJ4588">
        <v>4225</v>
      </c>
      <c r="BK4588">
        <v>-375</v>
      </c>
      <c r="BL4588" t="s">
        <v>163</v>
      </c>
      <c r="BM4588">
        <v>1</v>
      </c>
      <c r="BN4588">
        <v>1</v>
      </c>
      <c r="BO4588">
        <v>1</v>
      </c>
      <c r="BP4588">
        <v>0</v>
      </c>
      <c r="BS4588">
        <v>0</v>
      </c>
      <c r="BT4588">
        <v>0</v>
      </c>
      <c r="BU4588">
        <v>0</v>
      </c>
      <c r="CE4588" t="str">
        <f t="shared" si="1695"/>
        <v>19:37:51.490</v>
      </c>
      <c r="CF4588">
        <v>490025576</v>
      </c>
      <c r="CS4588">
        <v>0</v>
      </c>
      <c r="CT4588">
        <v>2</v>
      </c>
      <c r="CU4588">
        <v>0</v>
      </c>
      <c r="CV4588">
        <v>2</v>
      </c>
      <c r="CW4588">
        <v>0</v>
      </c>
      <c r="CX4588">
        <v>6</v>
      </c>
      <c r="CY4588">
        <v>7</v>
      </c>
      <c r="CZ4588" t="s">
        <v>131</v>
      </c>
      <c r="DA4588">
        <v>286</v>
      </c>
      <c r="DB4588">
        <v>0</v>
      </c>
      <c r="DC4588" t="s">
        <v>132</v>
      </c>
      <c r="DD4588" t="s">
        <v>133</v>
      </c>
      <c r="DG4588">
        <v>918837</v>
      </c>
      <c r="DI4588">
        <v>1</v>
      </c>
      <c r="DJ4588">
        <v>0</v>
      </c>
      <c r="DK4588">
        <v>1</v>
      </c>
      <c r="DL4588">
        <v>0</v>
      </c>
      <c r="DM4588">
        <v>0</v>
      </c>
      <c r="DN4588">
        <v>1</v>
      </c>
      <c r="DO4588">
        <v>0</v>
      </c>
      <c r="DP4588">
        <v>0</v>
      </c>
      <c r="DQ4588">
        <v>0</v>
      </c>
      <c r="DR4588">
        <v>0</v>
      </c>
      <c r="DS4588">
        <v>0</v>
      </c>
    </row>
    <row r="4589" spans="1:123" x14ac:dyDescent="0.3">
      <c r="A4589" t="str">
        <f t="shared" si="1693"/>
        <v>10/04/2022 19:37:51.855</v>
      </c>
      <c r="C4589" t="str">
        <f t="shared" si="1696"/>
        <v>FFDFD3C0</v>
      </c>
      <c r="D4589" t="s">
        <v>141</v>
      </c>
      <c r="E4589">
        <v>3</v>
      </c>
      <c r="H4589">
        <v>3</v>
      </c>
      <c r="I4589" t="s">
        <v>146</v>
      </c>
      <c r="J4589" t="s">
        <v>138</v>
      </c>
      <c r="K4589">
        <v>0</v>
      </c>
      <c r="L4589">
        <v>3</v>
      </c>
      <c r="M4589">
        <v>0</v>
      </c>
      <c r="N4589">
        <v>2</v>
      </c>
      <c r="O4589">
        <v>0</v>
      </c>
      <c r="P4589">
        <v>1</v>
      </c>
      <c r="Q4589">
        <v>0</v>
      </c>
      <c r="S4589" t="str">
        <f t="shared" si="1694"/>
        <v>19:37:51.000</v>
      </c>
      <c r="T4589" t="str">
        <f t="shared" si="1694"/>
        <v>19:37:51.000</v>
      </c>
      <c r="U4589" t="str">
        <f t="shared" si="1680"/>
        <v>AC3944</v>
      </c>
      <c r="V4589">
        <v>0</v>
      </c>
      <c r="W4589">
        <v>0</v>
      </c>
      <c r="X4589">
        <v>2</v>
      </c>
      <c r="Y4589">
        <v>0</v>
      </c>
      <c r="AA4589">
        <v>1</v>
      </c>
      <c r="AB4589">
        <v>8</v>
      </c>
      <c r="AC4589">
        <v>3</v>
      </c>
      <c r="AD4589">
        <v>0</v>
      </c>
      <c r="AE4589">
        <v>9</v>
      </c>
      <c r="AF4589" t="s">
        <v>138</v>
      </c>
      <c r="AG4589">
        <v>0</v>
      </c>
      <c r="AH4589">
        <v>3</v>
      </c>
      <c r="AI4589">
        <v>1</v>
      </c>
      <c r="AJ4589">
        <v>0</v>
      </c>
      <c r="AK4589" t="s">
        <v>1442</v>
      </c>
      <c r="AL4589">
        <v>32.726083000000003</v>
      </c>
      <c r="AM4589" t="s">
        <v>1443</v>
      </c>
      <c r="AN4589">
        <v>-116.726518</v>
      </c>
      <c r="AO4589">
        <v>25</v>
      </c>
      <c r="AP4589">
        <v>4600</v>
      </c>
      <c r="AQ4589" t="s">
        <v>129</v>
      </c>
      <c r="AR4589">
        <v>-159</v>
      </c>
      <c r="AS4589">
        <v>-96</v>
      </c>
      <c r="AT4589">
        <v>-1920</v>
      </c>
      <c r="BB4589">
        <v>1200</v>
      </c>
      <c r="BC4589">
        <v>1</v>
      </c>
      <c r="BD4589" t="str">
        <f t="shared" si="1681"/>
        <v xml:space="preserve">N887QR  </v>
      </c>
      <c r="BE4589">
        <v>1</v>
      </c>
      <c r="BG4589">
        <v>0</v>
      </c>
      <c r="BH4589">
        <v>0</v>
      </c>
      <c r="BI4589">
        <v>0</v>
      </c>
      <c r="BJ4589">
        <v>4225</v>
      </c>
      <c r="BK4589">
        <v>-375</v>
      </c>
      <c r="BL4589" t="s">
        <v>163</v>
      </c>
      <c r="BM4589">
        <v>1</v>
      </c>
      <c r="BN4589">
        <v>1</v>
      </c>
      <c r="BO4589">
        <v>1</v>
      </c>
      <c r="BP4589">
        <v>0</v>
      </c>
      <c r="BS4589">
        <v>0</v>
      </c>
      <c r="BT4589">
        <v>0</v>
      </c>
      <c r="BU4589">
        <v>0</v>
      </c>
      <c r="CE4589" t="str">
        <f t="shared" si="1695"/>
        <v>19:37:51.490</v>
      </c>
      <c r="CF4589">
        <v>490025576</v>
      </c>
      <c r="CS4589">
        <v>0</v>
      </c>
      <c r="CT4589">
        <v>2</v>
      </c>
      <c r="CU4589">
        <v>0</v>
      </c>
      <c r="CV4589">
        <v>2</v>
      </c>
      <c r="CW4589">
        <v>0</v>
      </c>
      <c r="CX4589">
        <v>6</v>
      </c>
      <c r="CY4589">
        <v>7</v>
      </c>
      <c r="CZ4589" t="s">
        <v>131</v>
      </c>
      <c r="DA4589">
        <v>286</v>
      </c>
      <c r="DB4589">
        <v>0</v>
      </c>
      <c r="DC4589" t="s">
        <v>132</v>
      </c>
      <c r="DD4589" t="s">
        <v>133</v>
      </c>
      <c r="DG4589">
        <v>918837</v>
      </c>
      <c r="DI4589">
        <v>1</v>
      </c>
      <c r="DJ4589">
        <v>0</v>
      </c>
      <c r="DK4589">
        <v>1</v>
      </c>
      <c r="DL4589">
        <v>0</v>
      </c>
      <c r="DM4589">
        <v>0</v>
      </c>
      <c r="DN4589">
        <v>1</v>
      </c>
      <c r="DO4589">
        <v>0</v>
      </c>
      <c r="DP4589">
        <v>0</v>
      </c>
      <c r="DQ4589">
        <v>0</v>
      </c>
      <c r="DR4589">
        <v>0</v>
      </c>
      <c r="DS4589">
        <v>0</v>
      </c>
    </row>
    <row r="4590" spans="1:123" x14ac:dyDescent="0.3">
      <c r="A4590" t="str">
        <f>"10/04/2022 19:37:52.120"</f>
        <v>10/04/2022 19:37:52.120</v>
      </c>
      <c r="C4590" t="str">
        <f t="shared" si="1696"/>
        <v>FFDFD3C0</v>
      </c>
      <c r="D4590" t="s">
        <v>147</v>
      </c>
      <c r="E4590">
        <v>3</v>
      </c>
      <c r="H4590">
        <v>166</v>
      </c>
      <c r="I4590" t="s">
        <v>144</v>
      </c>
      <c r="J4590" t="s">
        <v>148</v>
      </c>
      <c r="K4590">
        <v>0</v>
      </c>
      <c r="L4590">
        <v>3</v>
      </c>
      <c r="M4590">
        <v>0</v>
      </c>
      <c r="N4590">
        <v>2</v>
      </c>
      <c r="O4590">
        <v>0</v>
      </c>
      <c r="P4590">
        <v>1</v>
      </c>
      <c r="Q4590">
        <v>0</v>
      </c>
      <c r="S4590" t="str">
        <f t="shared" si="1694"/>
        <v>19:37:51.000</v>
      </c>
      <c r="T4590" t="str">
        <f t="shared" si="1694"/>
        <v>19:37:51.000</v>
      </c>
      <c r="U4590" t="str">
        <f t="shared" si="1680"/>
        <v>AC3944</v>
      </c>
      <c r="V4590">
        <v>0</v>
      </c>
      <c r="W4590">
        <v>0</v>
      </c>
      <c r="X4590">
        <v>2</v>
      </c>
      <c r="Y4590">
        <v>0</v>
      </c>
      <c r="AA4590">
        <v>1</v>
      </c>
      <c r="AB4590">
        <v>8</v>
      </c>
      <c r="AC4590">
        <v>3</v>
      </c>
      <c r="AD4590">
        <v>0</v>
      </c>
      <c r="AE4590">
        <v>9</v>
      </c>
      <c r="AF4590" t="s">
        <v>138</v>
      </c>
      <c r="AG4590">
        <v>0</v>
      </c>
      <c r="AH4590">
        <v>3</v>
      </c>
      <c r="AI4590">
        <v>1</v>
      </c>
      <c r="AJ4590">
        <v>0</v>
      </c>
      <c r="AK4590" t="s">
        <v>1444</v>
      </c>
      <c r="AL4590">
        <v>32.725718000000001</v>
      </c>
      <c r="AM4590" t="s">
        <v>1445</v>
      </c>
      <c r="AN4590">
        <v>-116.727226</v>
      </c>
      <c r="AO4590">
        <v>25</v>
      </c>
      <c r="AP4590">
        <v>4600</v>
      </c>
      <c r="AQ4590" t="s">
        <v>129</v>
      </c>
      <c r="AR4590">
        <v>-160</v>
      </c>
      <c r="AS4590">
        <v>-96</v>
      </c>
      <c r="AT4590">
        <v>-1920</v>
      </c>
      <c r="BB4590">
        <v>1200</v>
      </c>
      <c r="BC4590">
        <v>1</v>
      </c>
      <c r="BD4590" t="str">
        <f t="shared" si="1681"/>
        <v xml:space="preserve">N887QR  </v>
      </c>
      <c r="BE4590">
        <v>1</v>
      </c>
      <c r="BG4590">
        <v>0</v>
      </c>
      <c r="BH4590">
        <v>0</v>
      </c>
      <c r="BI4590">
        <v>0</v>
      </c>
      <c r="BJ4590">
        <v>4175</v>
      </c>
      <c r="BK4590">
        <v>-425</v>
      </c>
      <c r="BL4590" t="s">
        <v>163</v>
      </c>
      <c r="BM4590">
        <v>1</v>
      </c>
      <c r="BN4590">
        <v>1</v>
      </c>
      <c r="BO4590">
        <v>1</v>
      </c>
      <c r="BP4590">
        <v>0</v>
      </c>
      <c r="BS4590">
        <v>0</v>
      </c>
      <c r="BT4590">
        <v>0</v>
      </c>
      <c r="BU4590">
        <v>0</v>
      </c>
      <c r="CE4590" t="str">
        <f t="shared" ref="CE4590:CE4596" si="1697">"19:37:51.815"</f>
        <v>19:37:51.815</v>
      </c>
      <c r="CF4590">
        <v>815276575</v>
      </c>
      <c r="CS4590">
        <v>0</v>
      </c>
      <c r="CT4590">
        <v>2</v>
      </c>
      <c r="CU4590">
        <v>0</v>
      </c>
      <c r="CV4590">
        <v>2</v>
      </c>
      <c r="CW4590">
        <v>0</v>
      </c>
      <c r="CX4590">
        <v>6</v>
      </c>
      <c r="CY4590">
        <v>7</v>
      </c>
      <c r="CZ4590" t="s">
        <v>131</v>
      </c>
      <c r="DA4590">
        <v>286</v>
      </c>
      <c r="DB4590">
        <v>0</v>
      </c>
      <c r="DC4590" t="s">
        <v>132</v>
      </c>
      <c r="DD4590" t="s">
        <v>133</v>
      </c>
      <c r="DG4590">
        <v>918925</v>
      </c>
      <c r="DI4590">
        <v>1</v>
      </c>
      <c r="DJ4590">
        <v>0</v>
      </c>
      <c r="DK4590">
        <v>0</v>
      </c>
      <c r="DL4590">
        <v>0</v>
      </c>
      <c r="DM4590">
        <v>0</v>
      </c>
      <c r="DN4590">
        <v>1</v>
      </c>
      <c r="DO4590">
        <v>0</v>
      </c>
      <c r="DP4590">
        <v>0</v>
      </c>
      <c r="DQ4590">
        <v>0</v>
      </c>
      <c r="DR4590">
        <v>0</v>
      </c>
      <c r="DS4590">
        <v>0</v>
      </c>
    </row>
    <row r="4591" spans="1:123" x14ac:dyDescent="0.3">
      <c r="A4591" t="str">
        <f t="shared" ref="A4591:A4596" si="1698">"10/04/2022 19:37:52.136"</f>
        <v>10/04/2022 19:37:52.136</v>
      </c>
      <c r="C4591" t="str">
        <f t="shared" si="1696"/>
        <v>FFDFD3C0</v>
      </c>
      <c r="D4591" t="s">
        <v>134</v>
      </c>
      <c r="E4591">
        <v>15</v>
      </c>
      <c r="J4591" t="s">
        <v>135</v>
      </c>
      <c r="K4591">
        <v>0</v>
      </c>
      <c r="L4591">
        <v>3</v>
      </c>
      <c r="M4591">
        <v>0</v>
      </c>
      <c r="N4591">
        <v>2</v>
      </c>
      <c r="O4591">
        <v>0</v>
      </c>
      <c r="P4591">
        <v>1</v>
      </c>
      <c r="Q4591">
        <v>0</v>
      </c>
      <c r="S4591" t="str">
        <f t="shared" si="1694"/>
        <v>19:37:51.000</v>
      </c>
      <c r="T4591" t="str">
        <f t="shared" si="1694"/>
        <v>19:37:51.000</v>
      </c>
      <c r="U4591" t="str">
        <f t="shared" si="1680"/>
        <v>AC3944</v>
      </c>
      <c r="V4591">
        <v>0</v>
      </c>
      <c r="W4591">
        <v>0</v>
      </c>
      <c r="X4591">
        <v>2</v>
      </c>
      <c r="Y4591">
        <v>0</v>
      </c>
      <c r="AA4591">
        <v>1</v>
      </c>
      <c r="AB4591">
        <v>8</v>
      </c>
      <c r="AC4591">
        <v>3</v>
      </c>
      <c r="AD4591">
        <v>0</v>
      </c>
      <c r="AE4591">
        <v>9</v>
      </c>
      <c r="AF4591" t="s">
        <v>138</v>
      </c>
      <c r="AG4591">
        <v>0</v>
      </c>
      <c r="AH4591">
        <v>3</v>
      </c>
      <c r="AI4591">
        <v>1</v>
      </c>
      <c r="AJ4591">
        <v>0</v>
      </c>
      <c r="AK4591" t="s">
        <v>1444</v>
      </c>
      <c r="AL4591">
        <v>32.725718000000001</v>
      </c>
      <c r="AM4591" t="s">
        <v>1445</v>
      </c>
      <c r="AN4591">
        <v>-116.727226</v>
      </c>
      <c r="AO4591">
        <v>25</v>
      </c>
      <c r="AP4591">
        <v>4600</v>
      </c>
      <c r="AQ4591" t="s">
        <v>129</v>
      </c>
      <c r="AR4591">
        <v>-160</v>
      </c>
      <c r="AS4591">
        <v>-96</v>
      </c>
      <c r="AT4591">
        <v>-1920</v>
      </c>
      <c r="BB4591">
        <v>1200</v>
      </c>
      <c r="BC4591">
        <v>1</v>
      </c>
      <c r="BD4591" t="str">
        <f t="shared" si="1681"/>
        <v xml:space="preserve">N887QR  </v>
      </c>
      <c r="BE4591">
        <v>1</v>
      </c>
      <c r="BG4591">
        <v>0</v>
      </c>
      <c r="BH4591">
        <v>0</v>
      </c>
      <c r="BI4591">
        <v>0</v>
      </c>
      <c r="BJ4591">
        <v>4175</v>
      </c>
      <c r="BK4591">
        <v>-425</v>
      </c>
      <c r="BL4591" t="s">
        <v>163</v>
      </c>
      <c r="BM4591">
        <v>1</v>
      </c>
      <c r="BN4591">
        <v>1</v>
      </c>
      <c r="BO4591">
        <v>1</v>
      </c>
      <c r="BP4591">
        <v>0</v>
      </c>
      <c r="BS4591">
        <v>0</v>
      </c>
      <c r="BT4591">
        <v>0</v>
      </c>
      <c r="BU4591">
        <v>0</v>
      </c>
      <c r="CE4591" t="str">
        <f t="shared" si="1697"/>
        <v>19:37:51.815</v>
      </c>
      <c r="CF4591">
        <v>815276575</v>
      </c>
      <c r="CS4591">
        <v>0</v>
      </c>
      <c r="CT4591">
        <v>2</v>
      </c>
      <c r="CU4591">
        <v>0</v>
      </c>
      <c r="CV4591">
        <v>2</v>
      </c>
      <c r="CW4591">
        <v>0</v>
      </c>
      <c r="CX4591">
        <v>6</v>
      </c>
      <c r="CY4591">
        <v>7</v>
      </c>
      <c r="CZ4591" t="s">
        <v>131</v>
      </c>
      <c r="DA4591">
        <v>286</v>
      </c>
      <c r="DB4591">
        <v>0</v>
      </c>
      <c r="DC4591" t="s">
        <v>132</v>
      </c>
      <c r="DD4591" t="s">
        <v>133</v>
      </c>
      <c r="DG4591">
        <v>918925</v>
      </c>
      <c r="DI4591">
        <v>1</v>
      </c>
      <c r="DJ4591">
        <v>0</v>
      </c>
      <c r="DK4591">
        <v>1</v>
      </c>
      <c r="DL4591">
        <v>0</v>
      </c>
      <c r="DM4591">
        <v>0</v>
      </c>
      <c r="DN4591">
        <v>1</v>
      </c>
      <c r="DO4591">
        <v>0</v>
      </c>
      <c r="DP4591">
        <v>0</v>
      </c>
      <c r="DQ4591">
        <v>0</v>
      </c>
      <c r="DR4591">
        <v>0</v>
      </c>
      <c r="DS4591">
        <v>0</v>
      </c>
    </row>
    <row r="4592" spans="1:123" x14ac:dyDescent="0.3">
      <c r="A4592" t="str">
        <f t="shared" si="1698"/>
        <v>10/04/2022 19:37:52.136</v>
      </c>
      <c r="C4592" t="str">
        <f t="shared" si="1696"/>
        <v>FFDFD3C0</v>
      </c>
      <c r="D4592" t="s">
        <v>141</v>
      </c>
      <c r="E4592">
        <v>3</v>
      </c>
      <c r="H4592">
        <v>3</v>
      </c>
      <c r="I4592" t="s">
        <v>146</v>
      </c>
      <c r="J4592" t="s">
        <v>138</v>
      </c>
      <c r="K4592">
        <v>0</v>
      </c>
      <c r="L4592">
        <v>3</v>
      </c>
      <c r="M4592">
        <v>0</v>
      </c>
      <c r="N4592">
        <v>2</v>
      </c>
      <c r="O4592">
        <v>0</v>
      </c>
      <c r="P4592">
        <v>1</v>
      </c>
      <c r="Q4592">
        <v>0</v>
      </c>
      <c r="S4592" t="str">
        <f t="shared" si="1694"/>
        <v>19:37:51.000</v>
      </c>
      <c r="T4592" t="str">
        <f t="shared" si="1694"/>
        <v>19:37:51.000</v>
      </c>
      <c r="U4592" t="str">
        <f t="shared" si="1680"/>
        <v>AC3944</v>
      </c>
      <c r="V4592">
        <v>0</v>
      </c>
      <c r="W4592">
        <v>0</v>
      </c>
      <c r="X4592">
        <v>2</v>
      </c>
      <c r="Y4592">
        <v>0</v>
      </c>
      <c r="AA4592">
        <v>1</v>
      </c>
      <c r="AB4592">
        <v>8</v>
      </c>
      <c r="AC4592">
        <v>3</v>
      </c>
      <c r="AD4592">
        <v>0</v>
      </c>
      <c r="AE4592">
        <v>9</v>
      </c>
      <c r="AF4592" t="s">
        <v>138</v>
      </c>
      <c r="AG4592">
        <v>0</v>
      </c>
      <c r="AH4592">
        <v>3</v>
      </c>
      <c r="AI4592">
        <v>1</v>
      </c>
      <c r="AJ4592">
        <v>0</v>
      </c>
      <c r="AK4592" t="s">
        <v>1444</v>
      </c>
      <c r="AL4592">
        <v>32.725718000000001</v>
      </c>
      <c r="AM4592" t="s">
        <v>1445</v>
      </c>
      <c r="AN4592">
        <v>-116.727226</v>
      </c>
      <c r="AO4592">
        <v>25</v>
      </c>
      <c r="AP4592">
        <v>4600</v>
      </c>
      <c r="AQ4592" t="s">
        <v>129</v>
      </c>
      <c r="AR4592">
        <v>-160</v>
      </c>
      <c r="AS4592">
        <v>-96</v>
      </c>
      <c r="AT4592">
        <v>-1920</v>
      </c>
      <c r="BB4592">
        <v>1200</v>
      </c>
      <c r="BC4592">
        <v>1</v>
      </c>
      <c r="BD4592" t="str">
        <f t="shared" si="1681"/>
        <v xml:space="preserve">N887QR  </v>
      </c>
      <c r="BE4592">
        <v>1</v>
      </c>
      <c r="BG4592">
        <v>0</v>
      </c>
      <c r="BH4592">
        <v>0</v>
      </c>
      <c r="BI4592">
        <v>0</v>
      </c>
      <c r="BJ4592">
        <v>4175</v>
      </c>
      <c r="BK4592">
        <v>-425</v>
      </c>
      <c r="BL4592" t="s">
        <v>163</v>
      </c>
      <c r="BM4592">
        <v>1</v>
      </c>
      <c r="BN4592">
        <v>1</v>
      </c>
      <c r="BO4592">
        <v>1</v>
      </c>
      <c r="BP4592">
        <v>0</v>
      </c>
      <c r="BS4592">
        <v>0</v>
      </c>
      <c r="BT4592">
        <v>0</v>
      </c>
      <c r="BU4592">
        <v>0</v>
      </c>
      <c r="CE4592" t="str">
        <f t="shared" si="1697"/>
        <v>19:37:51.815</v>
      </c>
      <c r="CF4592">
        <v>815276575</v>
      </c>
      <c r="CS4592">
        <v>0</v>
      </c>
      <c r="CT4592">
        <v>2</v>
      </c>
      <c r="CU4592">
        <v>0</v>
      </c>
      <c r="CV4592">
        <v>2</v>
      </c>
      <c r="CW4592">
        <v>0</v>
      </c>
      <c r="CX4592">
        <v>6</v>
      </c>
      <c r="CY4592">
        <v>7</v>
      </c>
      <c r="CZ4592" t="s">
        <v>131</v>
      </c>
      <c r="DA4592">
        <v>286</v>
      </c>
      <c r="DB4592">
        <v>0</v>
      </c>
      <c r="DC4592" t="s">
        <v>132</v>
      </c>
      <c r="DD4592" t="s">
        <v>133</v>
      </c>
      <c r="DG4592">
        <v>918925</v>
      </c>
      <c r="DI4592">
        <v>1</v>
      </c>
      <c r="DJ4592">
        <v>0</v>
      </c>
      <c r="DK4592">
        <v>1</v>
      </c>
      <c r="DL4592">
        <v>0</v>
      </c>
      <c r="DM4592">
        <v>0</v>
      </c>
      <c r="DN4592">
        <v>1</v>
      </c>
      <c r="DO4592">
        <v>0</v>
      </c>
      <c r="DP4592">
        <v>0</v>
      </c>
      <c r="DQ4592">
        <v>0</v>
      </c>
      <c r="DR4592">
        <v>0</v>
      </c>
      <c r="DS4592">
        <v>0</v>
      </c>
    </row>
    <row r="4593" spans="1:123" x14ac:dyDescent="0.3">
      <c r="A4593" t="str">
        <f t="shared" si="1698"/>
        <v>10/04/2022 19:37:52.136</v>
      </c>
      <c r="C4593" t="str">
        <f t="shared" si="1696"/>
        <v>FFDFD3C0</v>
      </c>
      <c r="D4593" t="s">
        <v>136</v>
      </c>
      <c r="E4593">
        <v>8</v>
      </c>
      <c r="H4593">
        <v>225</v>
      </c>
      <c r="I4593" t="s">
        <v>137</v>
      </c>
      <c r="J4593" t="s">
        <v>138</v>
      </c>
      <c r="K4593">
        <v>0</v>
      </c>
      <c r="L4593">
        <v>3</v>
      </c>
      <c r="M4593">
        <v>0</v>
      </c>
      <c r="N4593">
        <v>2</v>
      </c>
      <c r="O4593">
        <v>0</v>
      </c>
      <c r="P4593">
        <v>1</v>
      </c>
      <c r="Q4593">
        <v>0</v>
      </c>
      <c r="S4593" t="str">
        <f t="shared" si="1694"/>
        <v>19:37:51.000</v>
      </c>
      <c r="T4593" t="str">
        <f t="shared" si="1694"/>
        <v>19:37:51.000</v>
      </c>
      <c r="U4593" t="str">
        <f t="shared" si="1680"/>
        <v>AC3944</v>
      </c>
      <c r="V4593">
        <v>0</v>
      </c>
      <c r="W4593">
        <v>0</v>
      </c>
      <c r="X4593">
        <v>2</v>
      </c>
      <c r="Y4593">
        <v>0</v>
      </c>
      <c r="AA4593">
        <v>1</v>
      </c>
      <c r="AB4593">
        <v>8</v>
      </c>
      <c r="AC4593">
        <v>3</v>
      </c>
      <c r="AD4593">
        <v>0</v>
      </c>
      <c r="AE4593">
        <v>9</v>
      </c>
      <c r="AF4593" t="s">
        <v>138</v>
      </c>
      <c r="AG4593">
        <v>0</v>
      </c>
      <c r="AH4593">
        <v>3</v>
      </c>
      <c r="AI4593">
        <v>1</v>
      </c>
      <c r="AJ4593">
        <v>0</v>
      </c>
      <c r="AK4593" t="s">
        <v>1444</v>
      </c>
      <c r="AL4593">
        <v>32.725718000000001</v>
      </c>
      <c r="AM4593" t="s">
        <v>1445</v>
      </c>
      <c r="AN4593">
        <v>-116.727226</v>
      </c>
      <c r="AO4593">
        <v>25</v>
      </c>
      <c r="AP4593">
        <v>4600</v>
      </c>
      <c r="AQ4593" t="s">
        <v>129</v>
      </c>
      <c r="AR4593">
        <v>-160</v>
      </c>
      <c r="AS4593">
        <v>-96</v>
      </c>
      <c r="AT4593">
        <v>-1920</v>
      </c>
      <c r="BB4593">
        <v>1200</v>
      </c>
      <c r="BC4593">
        <v>1</v>
      </c>
      <c r="BD4593" t="str">
        <f t="shared" si="1681"/>
        <v xml:space="preserve">N887QR  </v>
      </c>
      <c r="BE4593">
        <v>1</v>
      </c>
      <c r="BG4593">
        <v>0</v>
      </c>
      <c r="BH4593">
        <v>0</v>
      </c>
      <c r="BI4593">
        <v>0</v>
      </c>
      <c r="BJ4593">
        <v>4175</v>
      </c>
      <c r="BK4593">
        <v>-425</v>
      </c>
      <c r="BL4593" t="s">
        <v>163</v>
      </c>
      <c r="BM4593">
        <v>1</v>
      </c>
      <c r="BN4593">
        <v>1</v>
      </c>
      <c r="BO4593">
        <v>1</v>
      </c>
      <c r="BP4593">
        <v>0</v>
      </c>
      <c r="BS4593">
        <v>0</v>
      </c>
      <c r="BT4593">
        <v>0</v>
      </c>
      <c r="BU4593">
        <v>0</v>
      </c>
      <c r="CE4593" t="str">
        <f t="shared" si="1697"/>
        <v>19:37:51.815</v>
      </c>
      <c r="CF4593">
        <v>815276575</v>
      </c>
      <c r="CS4593">
        <v>0</v>
      </c>
      <c r="CT4593">
        <v>2</v>
      </c>
      <c r="CU4593">
        <v>0</v>
      </c>
      <c r="CV4593">
        <v>2</v>
      </c>
      <c r="CW4593">
        <v>0</v>
      </c>
      <c r="CX4593">
        <v>6</v>
      </c>
      <c r="CY4593">
        <v>7</v>
      </c>
      <c r="CZ4593" t="s">
        <v>131</v>
      </c>
      <c r="DA4593">
        <v>286</v>
      </c>
      <c r="DB4593">
        <v>0</v>
      </c>
      <c r="DC4593" t="s">
        <v>132</v>
      </c>
      <c r="DD4593" t="s">
        <v>133</v>
      </c>
      <c r="DG4593">
        <v>918925</v>
      </c>
      <c r="DI4593">
        <v>1</v>
      </c>
      <c r="DJ4593">
        <v>0</v>
      </c>
      <c r="DK4593">
        <v>1</v>
      </c>
      <c r="DL4593">
        <v>0</v>
      </c>
      <c r="DM4593">
        <v>0</v>
      </c>
      <c r="DN4593">
        <v>1</v>
      </c>
      <c r="DO4593">
        <v>0</v>
      </c>
      <c r="DP4593">
        <v>0</v>
      </c>
      <c r="DQ4593">
        <v>0</v>
      </c>
      <c r="DR4593">
        <v>0</v>
      </c>
      <c r="DS4593">
        <v>0</v>
      </c>
    </row>
    <row r="4594" spans="1:123" x14ac:dyDescent="0.3">
      <c r="A4594" t="str">
        <f t="shared" si="1698"/>
        <v>10/04/2022 19:37:52.136</v>
      </c>
      <c r="C4594" t="str">
        <f t="shared" si="1696"/>
        <v>FFDFD3C0</v>
      </c>
      <c r="D4594" t="s">
        <v>143</v>
      </c>
      <c r="E4594">
        <v>20</v>
      </c>
      <c r="F4594">
        <v>1020</v>
      </c>
      <c r="G4594" t="s">
        <v>144</v>
      </c>
      <c r="J4594" t="s">
        <v>145</v>
      </c>
      <c r="K4594">
        <v>0</v>
      </c>
      <c r="L4594">
        <v>3</v>
      </c>
      <c r="M4594">
        <v>0</v>
      </c>
      <c r="N4594">
        <v>2</v>
      </c>
      <c r="O4594">
        <v>0</v>
      </c>
      <c r="P4594">
        <v>1</v>
      </c>
      <c r="Q4594">
        <v>0</v>
      </c>
      <c r="S4594" t="str">
        <f t="shared" si="1694"/>
        <v>19:37:51.000</v>
      </c>
      <c r="T4594" t="str">
        <f t="shared" si="1694"/>
        <v>19:37:51.000</v>
      </c>
      <c r="U4594" t="str">
        <f t="shared" si="1680"/>
        <v>AC3944</v>
      </c>
      <c r="V4594">
        <v>0</v>
      </c>
      <c r="W4594">
        <v>0</v>
      </c>
      <c r="X4594">
        <v>2</v>
      </c>
      <c r="Y4594">
        <v>0</v>
      </c>
      <c r="AA4594">
        <v>1</v>
      </c>
      <c r="AB4594">
        <v>8</v>
      </c>
      <c r="AC4594">
        <v>3</v>
      </c>
      <c r="AD4594">
        <v>0</v>
      </c>
      <c r="AE4594">
        <v>9</v>
      </c>
      <c r="AF4594" t="s">
        <v>138</v>
      </c>
      <c r="AG4594">
        <v>0</v>
      </c>
      <c r="AH4594">
        <v>3</v>
      </c>
      <c r="AI4594">
        <v>1</v>
      </c>
      <c r="AJ4594">
        <v>0</v>
      </c>
      <c r="AK4594" t="s">
        <v>1444</v>
      </c>
      <c r="AL4594">
        <v>32.725718000000001</v>
      </c>
      <c r="AM4594" t="s">
        <v>1445</v>
      </c>
      <c r="AN4594">
        <v>-116.727226</v>
      </c>
      <c r="AO4594">
        <v>25</v>
      </c>
      <c r="AP4594">
        <v>4600</v>
      </c>
      <c r="AQ4594" t="s">
        <v>129</v>
      </c>
      <c r="AR4594">
        <v>-160</v>
      </c>
      <c r="AS4594">
        <v>-96</v>
      </c>
      <c r="AT4594">
        <v>-1920</v>
      </c>
      <c r="BB4594">
        <v>1200</v>
      </c>
      <c r="BC4594">
        <v>1</v>
      </c>
      <c r="BD4594" t="str">
        <f t="shared" si="1681"/>
        <v xml:space="preserve">N887QR  </v>
      </c>
      <c r="BE4594">
        <v>1</v>
      </c>
      <c r="BG4594">
        <v>0</v>
      </c>
      <c r="BH4594">
        <v>0</v>
      </c>
      <c r="BI4594">
        <v>0</v>
      </c>
      <c r="BJ4594">
        <v>4175</v>
      </c>
      <c r="BK4594">
        <v>-425</v>
      </c>
      <c r="BL4594" t="s">
        <v>163</v>
      </c>
      <c r="BM4594">
        <v>1</v>
      </c>
      <c r="BN4594">
        <v>1</v>
      </c>
      <c r="BO4594">
        <v>1</v>
      </c>
      <c r="BP4594">
        <v>0</v>
      </c>
      <c r="BS4594">
        <v>0</v>
      </c>
      <c r="BT4594">
        <v>0</v>
      </c>
      <c r="BU4594">
        <v>0</v>
      </c>
      <c r="CE4594" t="str">
        <f t="shared" si="1697"/>
        <v>19:37:51.815</v>
      </c>
      <c r="CF4594">
        <v>815276575</v>
      </c>
      <c r="CS4594">
        <v>0</v>
      </c>
      <c r="CT4594">
        <v>2</v>
      </c>
      <c r="CU4594">
        <v>0</v>
      </c>
      <c r="CV4594">
        <v>2</v>
      </c>
      <c r="CW4594">
        <v>0</v>
      </c>
      <c r="CX4594">
        <v>6</v>
      </c>
      <c r="CY4594">
        <v>7</v>
      </c>
      <c r="CZ4594" t="s">
        <v>131</v>
      </c>
      <c r="DA4594">
        <v>286</v>
      </c>
      <c r="DB4594">
        <v>0</v>
      </c>
      <c r="DC4594" t="s">
        <v>132</v>
      </c>
      <c r="DD4594" t="s">
        <v>133</v>
      </c>
      <c r="DG4594">
        <v>918925</v>
      </c>
      <c r="DI4594">
        <v>1</v>
      </c>
      <c r="DJ4594">
        <v>0</v>
      </c>
      <c r="DK4594">
        <v>1</v>
      </c>
      <c r="DL4594">
        <v>0</v>
      </c>
      <c r="DM4594">
        <v>0</v>
      </c>
      <c r="DN4594">
        <v>1</v>
      </c>
      <c r="DO4594">
        <v>0</v>
      </c>
      <c r="DP4594">
        <v>0</v>
      </c>
      <c r="DQ4594">
        <v>0</v>
      </c>
      <c r="DR4594">
        <v>0</v>
      </c>
      <c r="DS4594">
        <v>0</v>
      </c>
    </row>
    <row r="4595" spans="1:123" x14ac:dyDescent="0.3">
      <c r="A4595" t="str">
        <f t="shared" si="1698"/>
        <v>10/04/2022 19:37:52.136</v>
      </c>
      <c r="C4595" t="str">
        <f t="shared" si="1696"/>
        <v>FFDFD3C0</v>
      </c>
      <c r="D4595" t="s">
        <v>141</v>
      </c>
      <c r="E4595">
        <v>4</v>
      </c>
      <c r="H4595">
        <v>4</v>
      </c>
      <c r="I4595" t="s">
        <v>142</v>
      </c>
      <c r="J4595" t="s">
        <v>138</v>
      </c>
      <c r="K4595">
        <v>0</v>
      </c>
      <c r="L4595">
        <v>3</v>
      </c>
      <c r="M4595">
        <v>0</v>
      </c>
      <c r="N4595">
        <v>2</v>
      </c>
      <c r="O4595">
        <v>0</v>
      </c>
      <c r="P4595">
        <v>1</v>
      </c>
      <c r="Q4595">
        <v>0</v>
      </c>
      <c r="S4595" t="str">
        <f t="shared" si="1694"/>
        <v>19:37:51.000</v>
      </c>
      <c r="T4595" t="str">
        <f t="shared" si="1694"/>
        <v>19:37:51.000</v>
      </c>
      <c r="U4595" t="str">
        <f t="shared" si="1680"/>
        <v>AC3944</v>
      </c>
      <c r="V4595">
        <v>0</v>
      </c>
      <c r="W4595">
        <v>0</v>
      </c>
      <c r="X4595">
        <v>2</v>
      </c>
      <c r="Y4595">
        <v>0</v>
      </c>
      <c r="AA4595">
        <v>1</v>
      </c>
      <c r="AB4595">
        <v>8</v>
      </c>
      <c r="AC4595">
        <v>3</v>
      </c>
      <c r="AD4595">
        <v>0</v>
      </c>
      <c r="AE4595">
        <v>9</v>
      </c>
      <c r="AF4595" t="s">
        <v>138</v>
      </c>
      <c r="AG4595">
        <v>0</v>
      </c>
      <c r="AH4595">
        <v>3</v>
      </c>
      <c r="AI4595">
        <v>1</v>
      </c>
      <c r="AJ4595">
        <v>0</v>
      </c>
      <c r="AK4595" t="s">
        <v>1444</v>
      </c>
      <c r="AL4595">
        <v>32.725718000000001</v>
      </c>
      <c r="AM4595" t="s">
        <v>1445</v>
      </c>
      <c r="AN4595">
        <v>-116.727226</v>
      </c>
      <c r="AO4595">
        <v>25</v>
      </c>
      <c r="AP4595">
        <v>4600</v>
      </c>
      <c r="AQ4595" t="s">
        <v>129</v>
      </c>
      <c r="AR4595">
        <v>-160</v>
      </c>
      <c r="AS4595">
        <v>-96</v>
      </c>
      <c r="AT4595">
        <v>-1920</v>
      </c>
      <c r="BB4595">
        <v>1200</v>
      </c>
      <c r="BC4595">
        <v>1</v>
      </c>
      <c r="BD4595" t="str">
        <f t="shared" si="1681"/>
        <v xml:space="preserve">N887QR  </v>
      </c>
      <c r="BE4595">
        <v>1</v>
      </c>
      <c r="BG4595">
        <v>0</v>
      </c>
      <c r="BH4595">
        <v>0</v>
      </c>
      <c r="BI4595">
        <v>0</v>
      </c>
      <c r="BJ4595">
        <v>4175</v>
      </c>
      <c r="BK4595">
        <v>-425</v>
      </c>
      <c r="BL4595" t="s">
        <v>163</v>
      </c>
      <c r="BM4595">
        <v>1</v>
      </c>
      <c r="BN4595">
        <v>1</v>
      </c>
      <c r="BO4595">
        <v>1</v>
      </c>
      <c r="BP4595">
        <v>0</v>
      </c>
      <c r="BS4595">
        <v>0</v>
      </c>
      <c r="BT4595">
        <v>0</v>
      </c>
      <c r="BU4595">
        <v>0</v>
      </c>
      <c r="CE4595" t="str">
        <f t="shared" si="1697"/>
        <v>19:37:51.815</v>
      </c>
      <c r="CF4595">
        <v>815276575</v>
      </c>
      <c r="CS4595">
        <v>0</v>
      </c>
      <c r="CT4595">
        <v>2</v>
      </c>
      <c r="CU4595">
        <v>0</v>
      </c>
      <c r="CV4595">
        <v>2</v>
      </c>
      <c r="CW4595">
        <v>0</v>
      </c>
      <c r="CX4595">
        <v>6</v>
      </c>
      <c r="CY4595">
        <v>7</v>
      </c>
      <c r="CZ4595" t="s">
        <v>131</v>
      </c>
      <c r="DA4595">
        <v>286</v>
      </c>
      <c r="DB4595">
        <v>0</v>
      </c>
      <c r="DC4595" t="s">
        <v>132</v>
      </c>
      <c r="DD4595" t="s">
        <v>133</v>
      </c>
      <c r="DG4595">
        <v>918925</v>
      </c>
      <c r="DI4595">
        <v>1</v>
      </c>
      <c r="DJ4595">
        <v>0</v>
      </c>
      <c r="DK4595">
        <v>1</v>
      </c>
      <c r="DL4595">
        <v>0</v>
      </c>
      <c r="DM4595">
        <v>0</v>
      </c>
      <c r="DN4595">
        <v>1</v>
      </c>
      <c r="DO4595">
        <v>0</v>
      </c>
      <c r="DP4595">
        <v>0</v>
      </c>
      <c r="DQ4595">
        <v>0</v>
      </c>
      <c r="DR4595">
        <v>0</v>
      </c>
      <c r="DS4595">
        <v>0</v>
      </c>
    </row>
    <row r="4596" spans="1:123" x14ac:dyDescent="0.3">
      <c r="A4596" t="str">
        <f t="shared" si="1698"/>
        <v>10/04/2022 19:37:52.136</v>
      </c>
      <c r="C4596" t="str">
        <f t="shared" si="1696"/>
        <v>FFDFD3C0</v>
      </c>
      <c r="D4596" t="s">
        <v>123</v>
      </c>
      <c r="E4596">
        <v>7</v>
      </c>
      <c r="F4596">
        <v>2007</v>
      </c>
      <c r="G4596" t="s">
        <v>124</v>
      </c>
      <c r="J4596" t="s">
        <v>125</v>
      </c>
      <c r="K4596">
        <v>0</v>
      </c>
      <c r="L4596">
        <v>3</v>
      </c>
      <c r="M4596">
        <v>0</v>
      </c>
      <c r="N4596">
        <v>2</v>
      </c>
      <c r="O4596">
        <v>0</v>
      </c>
      <c r="P4596">
        <v>1</v>
      </c>
      <c r="Q4596">
        <v>0</v>
      </c>
      <c r="S4596" t="str">
        <f t="shared" si="1694"/>
        <v>19:37:51.000</v>
      </c>
      <c r="T4596" t="str">
        <f t="shared" si="1694"/>
        <v>19:37:51.000</v>
      </c>
      <c r="U4596" t="str">
        <f t="shared" si="1680"/>
        <v>AC3944</v>
      </c>
      <c r="V4596">
        <v>0</v>
      </c>
      <c r="W4596">
        <v>0</v>
      </c>
      <c r="X4596">
        <v>2</v>
      </c>
      <c r="Y4596">
        <v>0</v>
      </c>
      <c r="AA4596">
        <v>1</v>
      </c>
      <c r="AB4596">
        <v>8</v>
      </c>
      <c r="AC4596">
        <v>3</v>
      </c>
      <c r="AD4596">
        <v>0</v>
      </c>
      <c r="AE4596">
        <v>9</v>
      </c>
      <c r="AF4596" t="s">
        <v>138</v>
      </c>
      <c r="AG4596">
        <v>0</v>
      </c>
      <c r="AH4596">
        <v>3</v>
      </c>
      <c r="AI4596">
        <v>1</v>
      </c>
      <c r="AJ4596">
        <v>0</v>
      </c>
      <c r="AK4596" t="s">
        <v>1444</v>
      </c>
      <c r="AL4596">
        <v>32.725718000000001</v>
      </c>
      <c r="AM4596" t="s">
        <v>1445</v>
      </c>
      <c r="AN4596">
        <v>-116.727226</v>
      </c>
      <c r="AO4596">
        <v>25</v>
      </c>
      <c r="AP4596">
        <v>4600</v>
      </c>
      <c r="AQ4596" t="s">
        <v>129</v>
      </c>
      <c r="AR4596">
        <v>-160</v>
      </c>
      <c r="AS4596">
        <v>-96</v>
      </c>
      <c r="AT4596">
        <v>-1920</v>
      </c>
      <c r="BB4596">
        <v>1200</v>
      </c>
      <c r="BC4596">
        <v>1</v>
      </c>
      <c r="BD4596" t="str">
        <f t="shared" si="1681"/>
        <v xml:space="preserve">N887QR  </v>
      </c>
      <c r="BE4596">
        <v>1</v>
      </c>
      <c r="BG4596">
        <v>0</v>
      </c>
      <c r="BH4596">
        <v>0</v>
      </c>
      <c r="BI4596">
        <v>0</v>
      </c>
      <c r="BJ4596">
        <v>4175</v>
      </c>
      <c r="BK4596">
        <v>-425</v>
      </c>
      <c r="BL4596" t="s">
        <v>163</v>
      </c>
      <c r="BM4596">
        <v>1</v>
      </c>
      <c r="BN4596">
        <v>1</v>
      </c>
      <c r="BO4596">
        <v>1</v>
      </c>
      <c r="BP4596">
        <v>0</v>
      </c>
      <c r="BS4596">
        <v>0</v>
      </c>
      <c r="BT4596">
        <v>0</v>
      </c>
      <c r="BU4596">
        <v>0</v>
      </c>
      <c r="CE4596" t="str">
        <f t="shared" si="1697"/>
        <v>19:37:51.815</v>
      </c>
      <c r="CF4596">
        <v>815276575</v>
      </c>
      <c r="CS4596">
        <v>0</v>
      </c>
      <c r="CT4596">
        <v>2</v>
      </c>
      <c r="CU4596">
        <v>0</v>
      </c>
      <c r="CV4596">
        <v>2</v>
      </c>
      <c r="CW4596">
        <v>0</v>
      </c>
      <c r="CX4596">
        <v>6</v>
      </c>
      <c r="CY4596">
        <v>7</v>
      </c>
      <c r="CZ4596" t="s">
        <v>131</v>
      </c>
      <c r="DA4596">
        <v>286</v>
      </c>
      <c r="DB4596">
        <v>0</v>
      </c>
      <c r="DC4596" t="s">
        <v>132</v>
      </c>
      <c r="DD4596" t="s">
        <v>133</v>
      </c>
      <c r="DG4596">
        <v>918925</v>
      </c>
      <c r="DI4596">
        <v>1</v>
      </c>
      <c r="DJ4596">
        <v>0</v>
      </c>
      <c r="DK4596">
        <v>1</v>
      </c>
      <c r="DL4596">
        <v>0</v>
      </c>
      <c r="DM4596">
        <v>0</v>
      </c>
      <c r="DN4596">
        <v>1</v>
      </c>
      <c r="DO4596">
        <v>0</v>
      </c>
      <c r="DP4596">
        <v>0</v>
      </c>
      <c r="DQ4596">
        <v>0</v>
      </c>
      <c r="DR4596">
        <v>0</v>
      </c>
      <c r="DS4596">
        <v>0</v>
      </c>
    </row>
    <row r="4597" spans="1:123" x14ac:dyDescent="0.3">
      <c r="A4597" t="str">
        <f>"10/04/2022 19:37:53.574"</f>
        <v>10/04/2022 19:37:53.574</v>
      </c>
      <c r="C4597" t="str">
        <f t="shared" si="1696"/>
        <v>FFDFD3C0</v>
      </c>
      <c r="D4597" t="s">
        <v>123</v>
      </c>
      <c r="E4597">
        <v>7</v>
      </c>
      <c r="F4597">
        <v>2007</v>
      </c>
      <c r="G4597" t="s">
        <v>124</v>
      </c>
      <c r="J4597" t="s">
        <v>125</v>
      </c>
      <c r="K4597">
        <v>0</v>
      </c>
      <c r="L4597">
        <v>3</v>
      </c>
      <c r="M4597">
        <v>0</v>
      </c>
      <c r="N4597">
        <v>2</v>
      </c>
      <c r="O4597">
        <v>0</v>
      </c>
      <c r="P4597">
        <v>1</v>
      </c>
      <c r="Q4597">
        <v>0</v>
      </c>
      <c r="S4597" t="str">
        <f t="shared" ref="S4597:T4603" si="1699">"19:37:53.000"</f>
        <v>19:37:53.000</v>
      </c>
      <c r="T4597" t="str">
        <f t="shared" si="1699"/>
        <v>19:37:53.000</v>
      </c>
      <c r="U4597" t="str">
        <f t="shared" si="1680"/>
        <v>AC3944</v>
      </c>
      <c r="V4597">
        <v>0</v>
      </c>
      <c r="W4597">
        <v>0</v>
      </c>
      <c r="X4597">
        <v>2</v>
      </c>
      <c r="Y4597">
        <v>0</v>
      </c>
      <c r="AA4597">
        <v>1</v>
      </c>
      <c r="AB4597">
        <v>8</v>
      </c>
      <c r="AC4597">
        <v>3</v>
      </c>
      <c r="AD4597">
        <v>0</v>
      </c>
      <c r="AE4597">
        <v>9</v>
      </c>
      <c r="AF4597" t="s">
        <v>138</v>
      </c>
      <c r="AG4597">
        <v>0</v>
      </c>
      <c r="AH4597">
        <v>3</v>
      </c>
      <c r="AI4597">
        <v>1</v>
      </c>
      <c r="AJ4597">
        <v>0</v>
      </c>
      <c r="AK4597" t="s">
        <v>1446</v>
      </c>
      <c r="AL4597">
        <v>32.725288999999997</v>
      </c>
      <c r="AM4597" t="s">
        <v>1447</v>
      </c>
      <c r="AN4597">
        <v>-116.728106</v>
      </c>
      <c r="AO4597">
        <v>25</v>
      </c>
      <c r="AP4597">
        <v>4600</v>
      </c>
      <c r="AQ4597" t="s">
        <v>129</v>
      </c>
      <c r="AR4597">
        <v>-161</v>
      </c>
      <c r="AS4597">
        <v>-97</v>
      </c>
      <c r="AT4597">
        <v>-2112</v>
      </c>
      <c r="BB4597">
        <v>1200</v>
      </c>
      <c r="BC4597">
        <v>1</v>
      </c>
      <c r="BD4597" t="str">
        <f t="shared" si="1681"/>
        <v xml:space="preserve">N887QR  </v>
      </c>
      <c r="BE4597">
        <v>1</v>
      </c>
      <c r="BG4597">
        <v>0</v>
      </c>
      <c r="BH4597">
        <v>0</v>
      </c>
      <c r="BI4597">
        <v>0</v>
      </c>
      <c r="BJ4597">
        <v>4175</v>
      </c>
      <c r="BK4597">
        <v>-425</v>
      </c>
      <c r="BL4597" t="s">
        <v>163</v>
      </c>
      <c r="BM4597">
        <v>1</v>
      </c>
      <c r="BN4597">
        <v>1</v>
      </c>
      <c r="BO4597">
        <v>1</v>
      </c>
      <c r="BP4597">
        <v>0</v>
      </c>
      <c r="BS4597">
        <v>0</v>
      </c>
      <c r="BT4597">
        <v>0</v>
      </c>
      <c r="BU4597">
        <v>0</v>
      </c>
      <c r="CE4597" t="str">
        <f t="shared" ref="CE4597:CE4603" si="1700">"19:37:53.365"</f>
        <v>19:37:53.365</v>
      </c>
      <c r="CF4597">
        <v>364531104</v>
      </c>
      <c r="CS4597">
        <v>0</v>
      </c>
      <c r="CT4597">
        <v>2</v>
      </c>
      <c r="CU4597">
        <v>0</v>
      </c>
      <c r="CV4597">
        <v>2</v>
      </c>
      <c r="CW4597">
        <v>0</v>
      </c>
      <c r="CX4597">
        <v>6</v>
      </c>
      <c r="CY4597">
        <v>7</v>
      </c>
      <c r="CZ4597" t="s">
        <v>131</v>
      </c>
      <c r="DA4597">
        <v>286</v>
      </c>
      <c r="DB4597">
        <v>0</v>
      </c>
      <c r="DC4597" t="s">
        <v>132</v>
      </c>
      <c r="DD4597" t="s">
        <v>133</v>
      </c>
      <c r="DG4597">
        <v>919312</v>
      </c>
      <c r="DI4597">
        <v>1</v>
      </c>
      <c r="DJ4597">
        <v>0</v>
      </c>
      <c r="DK4597">
        <v>0</v>
      </c>
      <c r="DL4597">
        <v>0</v>
      </c>
      <c r="DM4597">
        <v>0</v>
      </c>
      <c r="DN4597">
        <v>1</v>
      </c>
      <c r="DO4597">
        <v>0</v>
      </c>
      <c r="DP4597">
        <v>0</v>
      </c>
      <c r="DQ4597">
        <v>0</v>
      </c>
      <c r="DR4597">
        <v>0</v>
      </c>
      <c r="DS4597">
        <v>0</v>
      </c>
    </row>
    <row r="4598" spans="1:123" x14ac:dyDescent="0.3">
      <c r="A4598" t="str">
        <f>"10/04/2022 19:37:53.605"</f>
        <v>10/04/2022 19:37:53.605</v>
      </c>
      <c r="C4598" t="str">
        <f t="shared" si="1696"/>
        <v>FFDFD3C0</v>
      </c>
      <c r="D4598" t="s">
        <v>147</v>
      </c>
      <c r="E4598">
        <v>3</v>
      </c>
      <c r="H4598">
        <v>166</v>
      </c>
      <c r="I4598" t="s">
        <v>144</v>
      </c>
      <c r="J4598" t="s">
        <v>148</v>
      </c>
      <c r="K4598">
        <v>0</v>
      </c>
      <c r="L4598">
        <v>3</v>
      </c>
      <c r="M4598">
        <v>0</v>
      </c>
      <c r="N4598">
        <v>2</v>
      </c>
      <c r="O4598">
        <v>0</v>
      </c>
      <c r="P4598">
        <v>1</v>
      </c>
      <c r="Q4598">
        <v>0</v>
      </c>
      <c r="S4598" t="str">
        <f t="shared" si="1699"/>
        <v>19:37:53.000</v>
      </c>
      <c r="T4598" t="str">
        <f t="shared" si="1699"/>
        <v>19:37:53.000</v>
      </c>
      <c r="U4598" t="str">
        <f t="shared" si="1680"/>
        <v>AC3944</v>
      </c>
      <c r="V4598">
        <v>0</v>
      </c>
      <c r="W4598">
        <v>0</v>
      </c>
      <c r="X4598">
        <v>2</v>
      </c>
      <c r="Y4598">
        <v>0</v>
      </c>
      <c r="AA4598">
        <v>1</v>
      </c>
      <c r="AB4598">
        <v>8</v>
      </c>
      <c r="AC4598">
        <v>3</v>
      </c>
      <c r="AD4598">
        <v>0</v>
      </c>
      <c r="AE4598">
        <v>9</v>
      </c>
      <c r="AF4598" t="s">
        <v>138</v>
      </c>
      <c r="AG4598">
        <v>0</v>
      </c>
      <c r="AH4598">
        <v>3</v>
      </c>
      <c r="AI4598">
        <v>1</v>
      </c>
      <c r="AJ4598">
        <v>0</v>
      </c>
      <c r="AK4598" t="s">
        <v>1446</v>
      </c>
      <c r="AL4598">
        <v>32.725288999999997</v>
      </c>
      <c r="AM4598" t="s">
        <v>1447</v>
      </c>
      <c r="AN4598">
        <v>-116.728106</v>
      </c>
      <c r="AO4598">
        <v>25</v>
      </c>
      <c r="AP4598">
        <v>4600</v>
      </c>
      <c r="AQ4598" t="s">
        <v>129</v>
      </c>
      <c r="AR4598">
        <v>-161</v>
      </c>
      <c r="AS4598">
        <v>-97</v>
      </c>
      <c r="AT4598">
        <v>-2112</v>
      </c>
      <c r="BB4598">
        <v>1200</v>
      </c>
      <c r="BC4598">
        <v>1</v>
      </c>
      <c r="BD4598" t="str">
        <f t="shared" si="1681"/>
        <v xml:space="preserve">N887QR  </v>
      </c>
      <c r="BE4598">
        <v>1</v>
      </c>
      <c r="BG4598">
        <v>0</v>
      </c>
      <c r="BH4598">
        <v>0</v>
      </c>
      <c r="BI4598">
        <v>0</v>
      </c>
      <c r="BJ4598">
        <v>4175</v>
      </c>
      <c r="BK4598">
        <v>-425</v>
      </c>
      <c r="BL4598" t="s">
        <v>163</v>
      </c>
      <c r="BM4598">
        <v>1</v>
      </c>
      <c r="BN4598">
        <v>1</v>
      </c>
      <c r="BO4598">
        <v>1</v>
      </c>
      <c r="BP4598">
        <v>0</v>
      </c>
      <c r="BS4598">
        <v>0</v>
      </c>
      <c r="BT4598">
        <v>0</v>
      </c>
      <c r="BU4598">
        <v>0</v>
      </c>
      <c r="CE4598" t="str">
        <f t="shared" si="1700"/>
        <v>19:37:53.365</v>
      </c>
      <c r="CF4598">
        <v>364531104</v>
      </c>
      <c r="CS4598">
        <v>0</v>
      </c>
      <c r="CT4598">
        <v>2</v>
      </c>
      <c r="CU4598">
        <v>0</v>
      </c>
      <c r="CV4598">
        <v>2</v>
      </c>
      <c r="CW4598">
        <v>0</v>
      </c>
      <c r="CX4598">
        <v>6</v>
      </c>
      <c r="CY4598">
        <v>7</v>
      </c>
      <c r="CZ4598" t="s">
        <v>131</v>
      </c>
      <c r="DA4598">
        <v>286</v>
      </c>
      <c r="DB4598">
        <v>0</v>
      </c>
      <c r="DC4598" t="s">
        <v>132</v>
      </c>
      <c r="DD4598" t="s">
        <v>133</v>
      </c>
      <c r="DG4598">
        <v>919312</v>
      </c>
      <c r="DI4598">
        <v>1</v>
      </c>
      <c r="DJ4598">
        <v>0</v>
      </c>
      <c r="DK4598">
        <v>1</v>
      </c>
      <c r="DL4598">
        <v>0</v>
      </c>
      <c r="DM4598">
        <v>0</v>
      </c>
      <c r="DN4598">
        <v>1</v>
      </c>
      <c r="DO4598">
        <v>0</v>
      </c>
      <c r="DP4598">
        <v>0</v>
      </c>
      <c r="DQ4598">
        <v>0</v>
      </c>
      <c r="DR4598">
        <v>0</v>
      </c>
      <c r="DS4598">
        <v>0</v>
      </c>
    </row>
    <row r="4599" spans="1:123" x14ac:dyDescent="0.3">
      <c r="A4599" t="str">
        <f>"10/04/2022 19:37:53.605"</f>
        <v>10/04/2022 19:37:53.605</v>
      </c>
      <c r="C4599" t="str">
        <f t="shared" si="1696"/>
        <v>FFDFD3C0</v>
      </c>
      <c r="D4599" t="s">
        <v>141</v>
      </c>
      <c r="E4599">
        <v>3</v>
      </c>
      <c r="H4599">
        <v>3</v>
      </c>
      <c r="I4599" t="s">
        <v>146</v>
      </c>
      <c r="J4599" t="s">
        <v>138</v>
      </c>
      <c r="K4599">
        <v>0</v>
      </c>
      <c r="L4599">
        <v>3</v>
      </c>
      <c r="M4599">
        <v>0</v>
      </c>
      <c r="N4599">
        <v>2</v>
      </c>
      <c r="O4599">
        <v>0</v>
      </c>
      <c r="P4599">
        <v>1</v>
      </c>
      <c r="Q4599">
        <v>0</v>
      </c>
      <c r="S4599" t="str">
        <f t="shared" si="1699"/>
        <v>19:37:53.000</v>
      </c>
      <c r="T4599" t="str">
        <f t="shared" si="1699"/>
        <v>19:37:53.000</v>
      </c>
      <c r="U4599" t="str">
        <f t="shared" si="1680"/>
        <v>AC3944</v>
      </c>
      <c r="V4599">
        <v>0</v>
      </c>
      <c r="W4599">
        <v>0</v>
      </c>
      <c r="X4599">
        <v>2</v>
      </c>
      <c r="Y4599">
        <v>0</v>
      </c>
      <c r="AA4599">
        <v>1</v>
      </c>
      <c r="AB4599">
        <v>8</v>
      </c>
      <c r="AC4599">
        <v>3</v>
      </c>
      <c r="AD4599">
        <v>0</v>
      </c>
      <c r="AE4599">
        <v>9</v>
      </c>
      <c r="AF4599" t="s">
        <v>138</v>
      </c>
      <c r="AG4599">
        <v>0</v>
      </c>
      <c r="AH4599">
        <v>3</v>
      </c>
      <c r="AI4599">
        <v>1</v>
      </c>
      <c r="AJ4599">
        <v>0</v>
      </c>
      <c r="AK4599" t="s">
        <v>1446</v>
      </c>
      <c r="AL4599">
        <v>32.725288999999997</v>
      </c>
      <c r="AM4599" t="s">
        <v>1447</v>
      </c>
      <c r="AN4599">
        <v>-116.728106</v>
      </c>
      <c r="AO4599">
        <v>25</v>
      </c>
      <c r="AP4599">
        <v>4600</v>
      </c>
      <c r="AQ4599" t="s">
        <v>129</v>
      </c>
      <c r="AR4599">
        <v>-161</v>
      </c>
      <c r="AS4599">
        <v>-97</v>
      </c>
      <c r="AT4599">
        <v>-2112</v>
      </c>
      <c r="BB4599">
        <v>1200</v>
      </c>
      <c r="BC4599">
        <v>1</v>
      </c>
      <c r="BD4599" t="str">
        <f t="shared" si="1681"/>
        <v xml:space="preserve">N887QR  </v>
      </c>
      <c r="BE4599">
        <v>1</v>
      </c>
      <c r="BG4599">
        <v>0</v>
      </c>
      <c r="BH4599">
        <v>0</v>
      </c>
      <c r="BI4599">
        <v>0</v>
      </c>
      <c r="BJ4599">
        <v>4175</v>
      </c>
      <c r="BK4599">
        <v>-425</v>
      </c>
      <c r="BL4599" t="s">
        <v>163</v>
      </c>
      <c r="BM4599">
        <v>1</v>
      </c>
      <c r="BN4599">
        <v>1</v>
      </c>
      <c r="BO4599">
        <v>1</v>
      </c>
      <c r="BP4599">
        <v>0</v>
      </c>
      <c r="BS4599">
        <v>0</v>
      </c>
      <c r="BT4599">
        <v>0</v>
      </c>
      <c r="BU4599">
        <v>0</v>
      </c>
      <c r="CE4599" t="str">
        <f t="shared" si="1700"/>
        <v>19:37:53.365</v>
      </c>
      <c r="CF4599">
        <v>364531104</v>
      </c>
      <c r="CS4599">
        <v>0</v>
      </c>
      <c r="CT4599">
        <v>2</v>
      </c>
      <c r="CU4599">
        <v>0</v>
      </c>
      <c r="CV4599">
        <v>2</v>
      </c>
      <c r="CW4599">
        <v>0</v>
      </c>
      <c r="CX4599">
        <v>6</v>
      </c>
      <c r="CY4599">
        <v>7</v>
      </c>
      <c r="CZ4599" t="s">
        <v>131</v>
      </c>
      <c r="DA4599">
        <v>286</v>
      </c>
      <c r="DB4599">
        <v>0</v>
      </c>
      <c r="DC4599" t="s">
        <v>132</v>
      </c>
      <c r="DD4599" t="s">
        <v>133</v>
      </c>
      <c r="DG4599">
        <v>919312</v>
      </c>
      <c r="DI4599">
        <v>1</v>
      </c>
      <c r="DJ4599">
        <v>0</v>
      </c>
      <c r="DK4599">
        <v>0</v>
      </c>
      <c r="DL4599">
        <v>0</v>
      </c>
      <c r="DM4599">
        <v>0</v>
      </c>
      <c r="DN4599">
        <v>1</v>
      </c>
      <c r="DO4599">
        <v>0</v>
      </c>
      <c r="DP4599">
        <v>0</v>
      </c>
      <c r="DQ4599">
        <v>0</v>
      </c>
      <c r="DR4599">
        <v>0</v>
      </c>
      <c r="DS4599">
        <v>0</v>
      </c>
    </row>
    <row r="4600" spans="1:123" x14ac:dyDescent="0.3">
      <c r="A4600" t="str">
        <f>"10/04/2022 19:37:53.605"</f>
        <v>10/04/2022 19:37:53.605</v>
      </c>
      <c r="C4600" t="str">
        <f t="shared" si="1696"/>
        <v>FFDFD3C0</v>
      </c>
      <c r="D4600" t="s">
        <v>134</v>
      </c>
      <c r="E4600">
        <v>15</v>
      </c>
      <c r="J4600" t="s">
        <v>135</v>
      </c>
      <c r="K4600">
        <v>0</v>
      </c>
      <c r="L4600">
        <v>3</v>
      </c>
      <c r="M4600">
        <v>0</v>
      </c>
      <c r="N4600">
        <v>2</v>
      </c>
      <c r="O4600">
        <v>0</v>
      </c>
      <c r="P4600">
        <v>1</v>
      </c>
      <c r="Q4600">
        <v>0</v>
      </c>
      <c r="S4600" t="str">
        <f t="shared" si="1699"/>
        <v>19:37:53.000</v>
      </c>
      <c r="T4600" t="str">
        <f t="shared" si="1699"/>
        <v>19:37:53.000</v>
      </c>
      <c r="U4600" t="str">
        <f t="shared" si="1680"/>
        <v>AC3944</v>
      </c>
      <c r="V4600">
        <v>0</v>
      </c>
      <c r="W4600">
        <v>0</v>
      </c>
      <c r="X4600">
        <v>2</v>
      </c>
      <c r="Y4600">
        <v>0</v>
      </c>
      <c r="AA4600">
        <v>1</v>
      </c>
      <c r="AB4600">
        <v>8</v>
      </c>
      <c r="AC4600">
        <v>3</v>
      </c>
      <c r="AD4600">
        <v>0</v>
      </c>
      <c r="AE4600">
        <v>9</v>
      </c>
      <c r="AF4600" t="s">
        <v>138</v>
      </c>
      <c r="AG4600">
        <v>0</v>
      </c>
      <c r="AH4600">
        <v>3</v>
      </c>
      <c r="AI4600">
        <v>1</v>
      </c>
      <c r="AJ4600">
        <v>0</v>
      </c>
      <c r="AK4600" t="s">
        <v>1446</v>
      </c>
      <c r="AL4600">
        <v>32.725288999999997</v>
      </c>
      <c r="AM4600" t="s">
        <v>1447</v>
      </c>
      <c r="AN4600">
        <v>-116.728106</v>
      </c>
      <c r="AO4600">
        <v>25</v>
      </c>
      <c r="AP4600">
        <v>4600</v>
      </c>
      <c r="AQ4600" t="s">
        <v>129</v>
      </c>
      <c r="AR4600">
        <v>-161</v>
      </c>
      <c r="AS4600">
        <v>-97</v>
      </c>
      <c r="AT4600">
        <v>-2112</v>
      </c>
      <c r="BB4600">
        <v>1200</v>
      </c>
      <c r="BC4600">
        <v>1</v>
      </c>
      <c r="BD4600" t="str">
        <f t="shared" si="1681"/>
        <v xml:space="preserve">N887QR  </v>
      </c>
      <c r="BE4600">
        <v>1</v>
      </c>
      <c r="BG4600">
        <v>0</v>
      </c>
      <c r="BH4600">
        <v>0</v>
      </c>
      <c r="BI4600">
        <v>0</v>
      </c>
      <c r="BJ4600">
        <v>4175</v>
      </c>
      <c r="BK4600">
        <v>-425</v>
      </c>
      <c r="BL4600" t="s">
        <v>163</v>
      </c>
      <c r="BM4600">
        <v>1</v>
      </c>
      <c r="BN4600">
        <v>1</v>
      </c>
      <c r="BO4600">
        <v>1</v>
      </c>
      <c r="BP4600">
        <v>0</v>
      </c>
      <c r="BS4600">
        <v>0</v>
      </c>
      <c r="BT4600">
        <v>0</v>
      </c>
      <c r="BU4600">
        <v>0</v>
      </c>
      <c r="CE4600" t="str">
        <f t="shared" si="1700"/>
        <v>19:37:53.365</v>
      </c>
      <c r="CF4600">
        <v>364531104</v>
      </c>
      <c r="CS4600">
        <v>0</v>
      </c>
      <c r="CT4600">
        <v>2</v>
      </c>
      <c r="CU4600">
        <v>0</v>
      </c>
      <c r="CV4600">
        <v>2</v>
      </c>
      <c r="CW4600">
        <v>0</v>
      </c>
      <c r="CX4600">
        <v>6</v>
      </c>
      <c r="CY4600">
        <v>7</v>
      </c>
      <c r="CZ4600" t="s">
        <v>131</v>
      </c>
      <c r="DA4600">
        <v>286</v>
      </c>
      <c r="DB4600">
        <v>0</v>
      </c>
      <c r="DC4600" t="s">
        <v>132</v>
      </c>
      <c r="DD4600" t="s">
        <v>133</v>
      </c>
      <c r="DG4600">
        <v>919312</v>
      </c>
      <c r="DI4600">
        <v>1</v>
      </c>
      <c r="DJ4600">
        <v>0</v>
      </c>
      <c r="DK4600">
        <v>0</v>
      </c>
      <c r="DL4600">
        <v>0</v>
      </c>
      <c r="DM4600">
        <v>0</v>
      </c>
      <c r="DN4600">
        <v>1</v>
      </c>
      <c r="DO4600">
        <v>0</v>
      </c>
      <c r="DP4600">
        <v>0</v>
      </c>
      <c r="DQ4600">
        <v>0</v>
      </c>
      <c r="DR4600">
        <v>0</v>
      </c>
      <c r="DS4600">
        <v>0</v>
      </c>
    </row>
    <row r="4601" spans="1:123" x14ac:dyDescent="0.3">
      <c r="A4601" t="str">
        <f>"10/04/2022 19:37:53.620"</f>
        <v>10/04/2022 19:37:53.620</v>
      </c>
      <c r="C4601" t="str">
        <f t="shared" si="1696"/>
        <v>FFDFD3C0</v>
      </c>
      <c r="D4601" t="s">
        <v>143</v>
      </c>
      <c r="E4601">
        <v>20</v>
      </c>
      <c r="F4601">
        <v>1020</v>
      </c>
      <c r="G4601" t="s">
        <v>144</v>
      </c>
      <c r="J4601" t="s">
        <v>145</v>
      </c>
      <c r="K4601">
        <v>0</v>
      </c>
      <c r="L4601">
        <v>3</v>
      </c>
      <c r="M4601">
        <v>0</v>
      </c>
      <c r="N4601">
        <v>2</v>
      </c>
      <c r="O4601">
        <v>0</v>
      </c>
      <c r="P4601">
        <v>1</v>
      </c>
      <c r="Q4601">
        <v>0</v>
      </c>
      <c r="S4601" t="str">
        <f t="shared" si="1699"/>
        <v>19:37:53.000</v>
      </c>
      <c r="T4601" t="str">
        <f t="shared" si="1699"/>
        <v>19:37:53.000</v>
      </c>
      <c r="U4601" t="str">
        <f t="shared" si="1680"/>
        <v>AC3944</v>
      </c>
      <c r="V4601">
        <v>0</v>
      </c>
      <c r="W4601">
        <v>0</v>
      </c>
      <c r="X4601">
        <v>2</v>
      </c>
      <c r="Y4601">
        <v>0</v>
      </c>
      <c r="AA4601">
        <v>1</v>
      </c>
      <c r="AB4601">
        <v>8</v>
      </c>
      <c r="AC4601">
        <v>3</v>
      </c>
      <c r="AD4601">
        <v>0</v>
      </c>
      <c r="AE4601">
        <v>9</v>
      </c>
      <c r="AF4601" t="s">
        <v>138</v>
      </c>
      <c r="AG4601">
        <v>0</v>
      </c>
      <c r="AH4601">
        <v>3</v>
      </c>
      <c r="AI4601">
        <v>1</v>
      </c>
      <c r="AJ4601">
        <v>0</v>
      </c>
      <c r="AK4601" t="s">
        <v>1446</v>
      </c>
      <c r="AL4601">
        <v>32.725288999999997</v>
      </c>
      <c r="AM4601" t="s">
        <v>1447</v>
      </c>
      <c r="AN4601">
        <v>-116.728106</v>
      </c>
      <c r="AO4601">
        <v>25</v>
      </c>
      <c r="AP4601">
        <v>4600</v>
      </c>
      <c r="AQ4601" t="s">
        <v>129</v>
      </c>
      <c r="AR4601">
        <v>-161</v>
      </c>
      <c r="AS4601">
        <v>-97</v>
      </c>
      <c r="AT4601">
        <v>-2112</v>
      </c>
      <c r="BB4601">
        <v>1200</v>
      </c>
      <c r="BC4601">
        <v>1</v>
      </c>
      <c r="BD4601" t="str">
        <f t="shared" si="1681"/>
        <v xml:space="preserve">N887QR  </v>
      </c>
      <c r="BE4601">
        <v>1</v>
      </c>
      <c r="BG4601">
        <v>0</v>
      </c>
      <c r="BH4601">
        <v>0</v>
      </c>
      <c r="BI4601">
        <v>0</v>
      </c>
      <c r="BJ4601">
        <v>4175</v>
      </c>
      <c r="BK4601">
        <v>-425</v>
      </c>
      <c r="BL4601" t="s">
        <v>163</v>
      </c>
      <c r="BM4601">
        <v>1</v>
      </c>
      <c r="BN4601">
        <v>1</v>
      </c>
      <c r="BO4601">
        <v>1</v>
      </c>
      <c r="BP4601">
        <v>0</v>
      </c>
      <c r="BS4601">
        <v>0</v>
      </c>
      <c r="BT4601">
        <v>0</v>
      </c>
      <c r="BU4601">
        <v>0</v>
      </c>
      <c r="CE4601" t="str">
        <f t="shared" si="1700"/>
        <v>19:37:53.365</v>
      </c>
      <c r="CF4601">
        <v>364531104</v>
      </c>
      <c r="CS4601">
        <v>0</v>
      </c>
      <c r="CT4601">
        <v>2</v>
      </c>
      <c r="CU4601">
        <v>0</v>
      </c>
      <c r="CV4601">
        <v>2</v>
      </c>
      <c r="CW4601">
        <v>0</v>
      </c>
      <c r="CX4601">
        <v>6</v>
      </c>
      <c r="CY4601">
        <v>7</v>
      </c>
      <c r="CZ4601" t="s">
        <v>131</v>
      </c>
      <c r="DA4601">
        <v>286</v>
      </c>
      <c r="DB4601">
        <v>0</v>
      </c>
      <c r="DC4601" t="s">
        <v>132</v>
      </c>
      <c r="DD4601" t="s">
        <v>133</v>
      </c>
      <c r="DG4601">
        <v>919312</v>
      </c>
      <c r="DI4601">
        <v>1</v>
      </c>
      <c r="DJ4601">
        <v>0</v>
      </c>
      <c r="DK4601">
        <v>1</v>
      </c>
      <c r="DL4601">
        <v>0</v>
      </c>
      <c r="DM4601">
        <v>0</v>
      </c>
      <c r="DN4601">
        <v>1</v>
      </c>
      <c r="DO4601">
        <v>0</v>
      </c>
      <c r="DP4601">
        <v>0</v>
      </c>
      <c r="DQ4601">
        <v>0</v>
      </c>
      <c r="DR4601">
        <v>0</v>
      </c>
      <c r="DS4601">
        <v>0</v>
      </c>
    </row>
    <row r="4602" spans="1:123" x14ac:dyDescent="0.3">
      <c r="A4602" t="str">
        <f>"10/04/2022 19:37:53.620"</f>
        <v>10/04/2022 19:37:53.620</v>
      </c>
      <c r="C4602" t="str">
        <f t="shared" si="1696"/>
        <v>FFDFD3C0</v>
      </c>
      <c r="D4602" t="s">
        <v>136</v>
      </c>
      <c r="E4602">
        <v>8</v>
      </c>
      <c r="H4602">
        <v>225</v>
      </c>
      <c r="I4602" t="s">
        <v>137</v>
      </c>
      <c r="J4602" t="s">
        <v>138</v>
      </c>
      <c r="K4602">
        <v>0</v>
      </c>
      <c r="L4602">
        <v>3</v>
      </c>
      <c r="M4602">
        <v>0</v>
      </c>
      <c r="N4602">
        <v>2</v>
      </c>
      <c r="O4602">
        <v>0</v>
      </c>
      <c r="P4602">
        <v>1</v>
      </c>
      <c r="Q4602">
        <v>0</v>
      </c>
      <c r="S4602" t="str">
        <f t="shared" si="1699"/>
        <v>19:37:53.000</v>
      </c>
      <c r="T4602" t="str">
        <f t="shared" si="1699"/>
        <v>19:37:53.000</v>
      </c>
      <c r="U4602" t="str">
        <f t="shared" si="1680"/>
        <v>AC3944</v>
      </c>
      <c r="V4602">
        <v>0</v>
      </c>
      <c r="W4602">
        <v>0</v>
      </c>
      <c r="X4602">
        <v>2</v>
      </c>
      <c r="Y4602">
        <v>0</v>
      </c>
      <c r="AA4602">
        <v>1</v>
      </c>
      <c r="AB4602">
        <v>8</v>
      </c>
      <c r="AC4602">
        <v>3</v>
      </c>
      <c r="AD4602">
        <v>0</v>
      </c>
      <c r="AE4602">
        <v>9</v>
      </c>
      <c r="AF4602" t="s">
        <v>138</v>
      </c>
      <c r="AG4602">
        <v>0</v>
      </c>
      <c r="AH4602">
        <v>3</v>
      </c>
      <c r="AI4602">
        <v>1</v>
      </c>
      <c r="AJ4602">
        <v>0</v>
      </c>
      <c r="AK4602" t="s">
        <v>1446</v>
      </c>
      <c r="AL4602">
        <v>32.725288999999997</v>
      </c>
      <c r="AM4602" t="s">
        <v>1447</v>
      </c>
      <c r="AN4602">
        <v>-116.728106</v>
      </c>
      <c r="AO4602">
        <v>25</v>
      </c>
      <c r="AP4602">
        <v>4600</v>
      </c>
      <c r="AQ4602" t="s">
        <v>129</v>
      </c>
      <c r="AR4602">
        <v>-161</v>
      </c>
      <c r="AS4602">
        <v>-97</v>
      </c>
      <c r="AT4602">
        <v>-2112</v>
      </c>
      <c r="BB4602">
        <v>1200</v>
      </c>
      <c r="BC4602">
        <v>1</v>
      </c>
      <c r="BD4602" t="str">
        <f t="shared" si="1681"/>
        <v xml:space="preserve">N887QR  </v>
      </c>
      <c r="BE4602">
        <v>1</v>
      </c>
      <c r="BG4602">
        <v>0</v>
      </c>
      <c r="BH4602">
        <v>0</v>
      </c>
      <c r="BI4602">
        <v>0</v>
      </c>
      <c r="BJ4602">
        <v>4175</v>
      </c>
      <c r="BK4602">
        <v>-425</v>
      </c>
      <c r="BL4602" t="s">
        <v>163</v>
      </c>
      <c r="BM4602">
        <v>1</v>
      </c>
      <c r="BN4602">
        <v>1</v>
      </c>
      <c r="BO4602">
        <v>1</v>
      </c>
      <c r="BP4602">
        <v>0</v>
      </c>
      <c r="BS4602">
        <v>0</v>
      </c>
      <c r="BT4602">
        <v>0</v>
      </c>
      <c r="BU4602">
        <v>0</v>
      </c>
      <c r="CE4602" t="str">
        <f t="shared" si="1700"/>
        <v>19:37:53.365</v>
      </c>
      <c r="CF4602">
        <v>364531104</v>
      </c>
      <c r="CS4602">
        <v>0</v>
      </c>
      <c r="CT4602">
        <v>2</v>
      </c>
      <c r="CU4602">
        <v>0</v>
      </c>
      <c r="CV4602">
        <v>2</v>
      </c>
      <c r="CW4602">
        <v>0</v>
      </c>
      <c r="CX4602">
        <v>6</v>
      </c>
      <c r="CY4602">
        <v>7</v>
      </c>
      <c r="CZ4602" t="s">
        <v>131</v>
      </c>
      <c r="DA4602">
        <v>286</v>
      </c>
      <c r="DB4602">
        <v>0</v>
      </c>
      <c r="DC4602" t="s">
        <v>132</v>
      </c>
      <c r="DD4602" t="s">
        <v>133</v>
      </c>
      <c r="DG4602">
        <v>919312</v>
      </c>
      <c r="DI4602">
        <v>1</v>
      </c>
      <c r="DJ4602">
        <v>0</v>
      </c>
      <c r="DK4602">
        <v>1</v>
      </c>
      <c r="DL4602">
        <v>0</v>
      </c>
      <c r="DM4602">
        <v>0</v>
      </c>
      <c r="DN4602">
        <v>1</v>
      </c>
      <c r="DO4602">
        <v>0</v>
      </c>
      <c r="DP4602">
        <v>0</v>
      </c>
      <c r="DQ4602">
        <v>0</v>
      </c>
      <c r="DR4602">
        <v>0</v>
      </c>
      <c r="DS4602">
        <v>0</v>
      </c>
    </row>
    <row r="4603" spans="1:123" x14ac:dyDescent="0.3">
      <c r="A4603" t="str">
        <f>"10/04/2022 19:37:53.620"</f>
        <v>10/04/2022 19:37:53.620</v>
      </c>
      <c r="C4603" t="str">
        <f t="shared" si="1696"/>
        <v>FFDFD3C0</v>
      </c>
      <c r="D4603" t="s">
        <v>141</v>
      </c>
      <c r="E4603">
        <v>4</v>
      </c>
      <c r="H4603">
        <v>4</v>
      </c>
      <c r="I4603" t="s">
        <v>142</v>
      </c>
      <c r="J4603" t="s">
        <v>138</v>
      </c>
      <c r="K4603">
        <v>0</v>
      </c>
      <c r="L4603">
        <v>3</v>
      </c>
      <c r="M4603">
        <v>0</v>
      </c>
      <c r="N4603">
        <v>2</v>
      </c>
      <c r="O4603">
        <v>0</v>
      </c>
      <c r="P4603">
        <v>1</v>
      </c>
      <c r="Q4603">
        <v>0</v>
      </c>
      <c r="S4603" t="str">
        <f t="shared" si="1699"/>
        <v>19:37:53.000</v>
      </c>
      <c r="T4603" t="str">
        <f t="shared" si="1699"/>
        <v>19:37:53.000</v>
      </c>
      <c r="U4603" t="str">
        <f t="shared" si="1680"/>
        <v>AC3944</v>
      </c>
      <c r="V4603">
        <v>0</v>
      </c>
      <c r="W4603">
        <v>0</v>
      </c>
      <c r="X4603">
        <v>2</v>
      </c>
      <c r="Y4603">
        <v>0</v>
      </c>
      <c r="AA4603">
        <v>1</v>
      </c>
      <c r="AB4603">
        <v>8</v>
      </c>
      <c r="AC4603">
        <v>3</v>
      </c>
      <c r="AD4603">
        <v>0</v>
      </c>
      <c r="AE4603">
        <v>9</v>
      </c>
      <c r="AF4603" t="s">
        <v>138</v>
      </c>
      <c r="AG4603">
        <v>0</v>
      </c>
      <c r="AH4603">
        <v>3</v>
      </c>
      <c r="AI4603">
        <v>1</v>
      </c>
      <c r="AJ4603">
        <v>0</v>
      </c>
      <c r="AK4603" t="s">
        <v>1446</v>
      </c>
      <c r="AL4603">
        <v>32.725288999999997</v>
      </c>
      <c r="AM4603" t="s">
        <v>1447</v>
      </c>
      <c r="AN4603">
        <v>-116.728106</v>
      </c>
      <c r="AO4603">
        <v>25</v>
      </c>
      <c r="AP4603">
        <v>4600</v>
      </c>
      <c r="AQ4603" t="s">
        <v>129</v>
      </c>
      <c r="AR4603">
        <v>-161</v>
      </c>
      <c r="AS4603">
        <v>-97</v>
      </c>
      <c r="AT4603">
        <v>-2112</v>
      </c>
      <c r="BB4603">
        <v>1200</v>
      </c>
      <c r="BC4603">
        <v>1</v>
      </c>
      <c r="BD4603" t="str">
        <f t="shared" si="1681"/>
        <v xml:space="preserve">N887QR  </v>
      </c>
      <c r="BE4603">
        <v>1</v>
      </c>
      <c r="BG4603">
        <v>0</v>
      </c>
      <c r="BH4603">
        <v>0</v>
      </c>
      <c r="BI4603">
        <v>0</v>
      </c>
      <c r="BJ4603">
        <v>4175</v>
      </c>
      <c r="BK4603">
        <v>-425</v>
      </c>
      <c r="BL4603" t="s">
        <v>163</v>
      </c>
      <c r="BM4603">
        <v>1</v>
      </c>
      <c r="BN4603">
        <v>1</v>
      </c>
      <c r="BO4603">
        <v>1</v>
      </c>
      <c r="BP4603">
        <v>0</v>
      </c>
      <c r="BS4603">
        <v>0</v>
      </c>
      <c r="BT4603">
        <v>0</v>
      </c>
      <c r="BU4603">
        <v>0</v>
      </c>
      <c r="CE4603" t="str">
        <f t="shared" si="1700"/>
        <v>19:37:53.365</v>
      </c>
      <c r="CF4603">
        <v>364531104</v>
      </c>
      <c r="CS4603">
        <v>0</v>
      </c>
      <c r="CT4603">
        <v>2</v>
      </c>
      <c r="CU4603">
        <v>0</v>
      </c>
      <c r="CV4603">
        <v>2</v>
      </c>
      <c r="CW4603">
        <v>0</v>
      </c>
      <c r="CX4603">
        <v>6</v>
      </c>
      <c r="CY4603">
        <v>7</v>
      </c>
      <c r="CZ4603" t="s">
        <v>131</v>
      </c>
      <c r="DA4603">
        <v>286</v>
      </c>
      <c r="DB4603">
        <v>0</v>
      </c>
      <c r="DC4603" t="s">
        <v>132</v>
      </c>
      <c r="DD4603" t="s">
        <v>133</v>
      </c>
      <c r="DG4603">
        <v>919312</v>
      </c>
      <c r="DI4603">
        <v>1</v>
      </c>
      <c r="DJ4603">
        <v>0</v>
      </c>
      <c r="DK4603">
        <v>1</v>
      </c>
      <c r="DL4603">
        <v>0</v>
      </c>
      <c r="DM4603">
        <v>0</v>
      </c>
      <c r="DN4603">
        <v>1</v>
      </c>
      <c r="DO4603">
        <v>0</v>
      </c>
      <c r="DP4603">
        <v>0</v>
      </c>
      <c r="DQ4603">
        <v>0</v>
      </c>
      <c r="DR4603">
        <v>0</v>
      </c>
      <c r="DS4603">
        <v>0</v>
      </c>
    </row>
    <row r="4604" spans="1:123" x14ac:dyDescent="0.3">
      <c r="A4604" t="str">
        <f t="shared" ref="A4604:A4610" si="1701">"10/04/2022 19:37:54.339"</f>
        <v>10/04/2022 19:37:54.339</v>
      </c>
      <c r="C4604" t="str">
        <f t="shared" si="1696"/>
        <v>FFDFD3C0</v>
      </c>
      <c r="D4604" t="s">
        <v>136</v>
      </c>
      <c r="E4604">
        <v>8</v>
      </c>
      <c r="H4604">
        <v>225</v>
      </c>
      <c r="I4604" t="s">
        <v>137</v>
      </c>
      <c r="J4604" t="s">
        <v>138</v>
      </c>
      <c r="K4604">
        <v>0</v>
      </c>
      <c r="L4604">
        <v>3</v>
      </c>
      <c r="M4604">
        <v>0</v>
      </c>
      <c r="N4604">
        <v>2</v>
      </c>
      <c r="O4604">
        <v>0</v>
      </c>
      <c r="P4604">
        <v>1</v>
      </c>
      <c r="Q4604">
        <v>0</v>
      </c>
      <c r="S4604" t="str">
        <f t="shared" ref="S4604:T4610" si="1702">"19:37:54.000"</f>
        <v>19:37:54.000</v>
      </c>
      <c r="T4604" t="str">
        <f t="shared" si="1702"/>
        <v>19:37:54.000</v>
      </c>
      <c r="U4604" t="str">
        <f t="shared" si="1680"/>
        <v>AC3944</v>
      </c>
      <c r="V4604">
        <v>0</v>
      </c>
      <c r="W4604">
        <v>0</v>
      </c>
      <c r="X4604">
        <v>2</v>
      </c>
      <c r="Y4604">
        <v>0</v>
      </c>
      <c r="AA4604">
        <v>1</v>
      </c>
      <c r="AB4604">
        <v>8</v>
      </c>
      <c r="AC4604">
        <v>3</v>
      </c>
      <c r="AD4604">
        <v>0</v>
      </c>
      <c r="AE4604">
        <v>9</v>
      </c>
      <c r="AF4604" t="s">
        <v>138</v>
      </c>
      <c r="AG4604">
        <v>0</v>
      </c>
      <c r="AH4604">
        <v>3</v>
      </c>
      <c r="AI4604">
        <v>1</v>
      </c>
      <c r="AJ4604">
        <v>0</v>
      </c>
      <c r="AK4604" t="s">
        <v>1448</v>
      </c>
      <c r="AL4604">
        <v>32.724837999999998</v>
      </c>
      <c r="AM4604" t="s">
        <v>1449</v>
      </c>
      <c r="AN4604">
        <v>-116.729007</v>
      </c>
      <c r="AO4604">
        <v>25</v>
      </c>
      <c r="AP4604">
        <v>4600</v>
      </c>
      <c r="AQ4604" t="s">
        <v>129</v>
      </c>
      <c r="AR4604">
        <v>-161</v>
      </c>
      <c r="AS4604">
        <v>-97</v>
      </c>
      <c r="AT4604">
        <v>-2112</v>
      </c>
      <c r="BB4604">
        <v>1200</v>
      </c>
      <c r="BC4604">
        <v>1</v>
      </c>
      <c r="BD4604" t="str">
        <f t="shared" si="1681"/>
        <v xml:space="preserve">N887QR  </v>
      </c>
      <c r="BE4604">
        <v>1</v>
      </c>
      <c r="BG4604">
        <v>0</v>
      </c>
      <c r="BH4604">
        <v>0</v>
      </c>
      <c r="BI4604">
        <v>0</v>
      </c>
      <c r="BJ4604">
        <v>4125</v>
      </c>
      <c r="BK4604">
        <v>-475</v>
      </c>
      <c r="BL4604" t="s">
        <v>163</v>
      </c>
      <c r="BM4604">
        <v>1</v>
      </c>
      <c r="BN4604">
        <v>1</v>
      </c>
      <c r="BO4604">
        <v>1</v>
      </c>
      <c r="BP4604">
        <v>0</v>
      </c>
      <c r="BS4604">
        <v>0</v>
      </c>
      <c r="BT4604">
        <v>0</v>
      </c>
      <c r="BU4604">
        <v>0</v>
      </c>
      <c r="CE4604" t="str">
        <f t="shared" ref="CE4604:CE4610" si="1703">"19:37:54.069"</f>
        <v>19:37:54.069</v>
      </c>
      <c r="CF4604">
        <v>69033118</v>
      </c>
      <c r="CS4604">
        <v>0</v>
      </c>
      <c r="CT4604">
        <v>2</v>
      </c>
      <c r="CU4604">
        <v>0</v>
      </c>
      <c r="CV4604">
        <v>2</v>
      </c>
      <c r="CW4604">
        <v>0</v>
      </c>
      <c r="CX4604">
        <v>6</v>
      </c>
      <c r="CY4604">
        <v>7</v>
      </c>
      <c r="CZ4604" t="s">
        <v>131</v>
      </c>
      <c r="DA4604">
        <v>286</v>
      </c>
      <c r="DB4604">
        <v>0</v>
      </c>
      <c r="DC4604" t="s">
        <v>132</v>
      </c>
      <c r="DD4604" t="s">
        <v>133</v>
      </c>
      <c r="DG4604">
        <v>919471</v>
      </c>
      <c r="DI4604">
        <v>0</v>
      </c>
      <c r="DJ4604">
        <v>0</v>
      </c>
      <c r="DK4604">
        <v>0</v>
      </c>
      <c r="DL4604">
        <v>0</v>
      </c>
      <c r="DM4604">
        <v>0</v>
      </c>
      <c r="DN4604">
        <v>1</v>
      </c>
      <c r="DO4604">
        <v>0</v>
      </c>
      <c r="DP4604">
        <v>0</v>
      </c>
      <c r="DQ4604">
        <v>0</v>
      </c>
      <c r="DR4604">
        <v>0</v>
      </c>
      <c r="DS4604">
        <v>0</v>
      </c>
    </row>
    <row r="4605" spans="1:123" x14ac:dyDescent="0.3">
      <c r="A4605" t="str">
        <f t="shared" si="1701"/>
        <v>10/04/2022 19:37:54.339</v>
      </c>
      <c r="C4605" t="str">
        <f t="shared" si="1696"/>
        <v>FFDFD3C0</v>
      </c>
      <c r="D4605" t="s">
        <v>141</v>
      </c>
      <c r="E4605">
        <v>4</v>
      </c>
      <c r="H4605">
        <v>4</v>
      </c>
      <c r="I4605" t="s">
        <v>142</v>
      </c>
      <c r="J4605" t="s">
        <v>138</v>
      </c>
      <c r="K4605">
        <v>0</v>
      </c>
      <c r="L4605">
        <v>3</v>
      </c>
      <c r="M4605">
        <v>0</v>
      </c>
      <c r="N4605">
        <v>2</v>
      </c>
      <c r="O4605">
        <v>0</v>
      </c>
      <c r="P4605">
        <v>1</v>
      </c>
      <c r="Q4605">
        <v>0</v>
      </c>
      <c r="S4605" t="str">
        <f t="shared" si="1702"/>
        <v>19:37:54.000</v>
      </c>
      <c r="T4605" t="str">
        <f t="shared" si="1702"/>
        <v>19:37:54.000</v>
      </c>
      <c r="U4605" t="str">
        <f t="shared" si="1680"/>
        <v>AC3944</v>
      </c>
      <c r="V4605">
        <v>0</v>
      </c>
      <c r="W4605">
        <v>0</v>
      </c>
      <c r="X4605">
        <v>2</v>
      </c>
      <c r="Y4605">
        <v>0</v>
      </c>
      <c r="AA4605">
        <v>1</v>
      </c>
      <c r="AB4605">
        <v>8</v>
      </c>
      <c r="AC4605">
        <v>3</v>
      </c>
      <c r="AD4605">
        <v>0</v>
      </c>
      <c r="AE4605">
        <v>9</v>
      </c>
      <c r="AF4605" t="s">
        <v>138</v>
      </c>
      <c r="AG4605">
        <v>0</v>
      </c>
      <c r="AH4605">
        <v>3</v>
      </c>
      <c r="AI4605">
        <v>1</v>
      </c>
      <c r="AJ4605">
        <v>0</v>
      </c>
      <c r="AK4605" t="s">
        <v>1448</v>
      </c>
      <c r="AL4605">
        <v>32.724837999999998</v>
      </c>
      <c r="AM4605" t="s">
        <v>1449</v>
      </c>
      <c r="AN4605">
        <v>-116.729007</v>
      </c>
      <c r="AO4605">
        <v>25</v>
      </c>
      <c r="AP4605">
        <v>4600</v>
      </c>
      <c r="AQ4605" t="s">
        <v>129</v>
      </c>
      <c r="AR4605">
        <v>-161</v>
      </c>
      <c r="AS4605">
        <v>-97</v>
      </c>
      <c r="AT4605">
        <v>-2112</v>
      </c>
      <c r="BB4605">
        <v>1200</v>
      </c>
      <c r="BC4605">
        <v>1</v>
      </c>
      <c r="BD4605" t="str">
        <f t="shared" si="1681"/>
        <v xml:space="preserve">N887QR  </v>
      </c>
      <c r="BE4605">
        <v>1</v>
      </c>
      <c r="BG4605">
        <v>0</v>
      </c>
      <c r="BH4605">
        <v>0</v>
      </c>
      <c r="BI4605">
        <v>0</v>
      </c>
      <c r="BJ4605">
        <v>4125</v>
      </c>
      <c r="BK4605">
        <v>-475</v>
      </c>
      <c r="BL4605" t="s">
        <v>163</v>
      </c>
      <c r="BM4605">
        <v>1</v>
      </c>
      <c r="BN4605">
        <v>1</v>
      </c>
      <c r="BO4605">
        <v>1</v>
      </c>
      <c r="BP4605">
        <v>0</v>
      </c>
      <c r="BS4605">
        <v>0</v>
      </c>
      <c r="BT4605">
        <v>0</v>
      </c>
      <c r="BU4605">
        <v>0</v>
      </c>
      <c r="CE4605" t="str">
        <f t="shared" si="1703"/>
        <v>19:37:54.069</v>
      </c>
      <c r="CF4605">
        <v>69033118</v>
      </c>
      <c r="CS4605">
        <v>0</v>
      </c>
      <c r="CT4605">
        <v>2</v>
      </c>
      <c r="CU4605">
        <v>0</v>
      </c>
      <c r="CV4605">
        <v>2</v>
      </c>
      <c r="CW4605">
        <v>0</v>
      </c>
      <c r="CX4605">
        <v>6</v>
      </c>
      <c r="CY4605">
        <v>7</v>
      </c>
      <c r="CZ4605" t="s">
        <v>131</v>
      </c>
      <c r="DA4605">
        <v>286</v>
      </c>
      <c r="DB4605">
        <v>0</v>
      </c>
      <c r="DC4605" t="s">
        <v>132</v>
      </c>
      <c r="DD4605" t="s">
        <v>133</v>
      </c>
      <c r="DG4605">
        <v>919471</v>
      </c>
      <c r="DI4605">
        <v>0</v>
      </c>
      <c r="DJ4605">
        <v>0</v>
      </c>
      <c r="DK4605">
        <v>1</v>
      </c>
      <c r="DL4605">
        <v>0</v>
      </c>
      <c r="DM4605">
        <v>0</v>
      </c>
      <c r="DN4605">
        <v>1</v>
      </c>
      <c r="DO4605">
        <v>0</v>
      </c>
      <c r="DP4605">
        <v>0</v>
      </c>
      <c r="DQ4605">
        <v>0</v>
      </c>
      <c r="DR4605">
        <v>0</v>
      </c>
      <c r="DS4605">
        <v>0</v>
      </c>
    </row>
    <row r="4606" spans="1:123" x14ac:dyDescent="0.3">
      <c r="A4606" t="str">
        <f t="shared" si="1701"/>
        <v>10/04/2022 19:37:54.339</v>
      </c>
      <c r="C4606" t="str">
        <f t="shared" si="1696"/>
        <v>FFDFD3C0</v>
      </c>
      <c r="D4606" t="s">
        <v>123</v>
      </c>
      <c r="E4606">
        <v>7</v>
      </c>
      <c r="F4606">
        <v>2007</v>
      </c>
      <c r="G4606" t="s">
        <v>124</v>
      </c>
      <c r="J4606" t="s">
        <v>125</v>
      </c>
      <c r="K4606">
        <v>0</v>
      </c>
      <c r="L4606">
        <v>3</v>
      </c>
      <c r="M4606">
        <v>0</v>
      </c>
      <c r="N4606">
        <v>2</v>
      </c>
      <c r="O4606">
        <v>0</v>
      </c>
      <c r="P4606">
        <v>1</v>
      </c>
      <c r="Q4606">
        <v>0</v>
      </c>
      <c r="S4606" t="str">
        <f t="shared" si="1702"/>
        <v>19:37:54.000</v>
      </c>
      <c r="T4606" t="str">
        <f t="shared" si="1702"/>
        <v>19:37:54.000</v>
      </c>
      <c r="U4606" t="str">
        <f t="shared" si="1680"/>
        <v>AC3944</v>
      </c>
      <c r="V4606">
        <v>0</v>
      </c>
      <c r="W4606">
        <v>0</v>
      </c>
      <c r="X4606">
        <v>2</v>
      </c>
      <c r="Y4606">
        <v>0</v>
      </c>
      <c r="AA4606">
        <v>1</v>
      </c>
      <c r="AB4606">
        <v>8</v>
      </c>
      <c r="AC4606">
        <v>3</v>
      </c>
      <c r="AD4606">
        <v>0</v>
      </c>
      <c r="AE4606">
        <v>9</v>
      </c>
      <c r="AF4606" t="s">
        <v>138</v>
      </c>
      <c r="AG4606">
        <v>0</v>
      </c>
      <c r="AH4606">
        <v>3</v>
      </c>
      <c r="AI4606">
        <v>1</v>
      </c>
      <c r="AJ4606">
        <v>0</v>
      </c>
      <c r="AK4606" t="s">
        <v>1448</v>
      </c>
      <c r="AL4606">
        <v>32.724837999999998</v>
      </c>
      <c r="AM4606" t="s">
        <v>1449</v>
      </c>
      <c r="AN4606">
        <v>-116.729007</v>
      </c>
      <c r="AO4606">
        <v>25</v>
      </c>
      <c r="AP4606">
        <v>4600</v>
      </c>
      <c r="AQ4606" t="s">
        <v>129</v>
      </c>
      <c r="AR4606">
        <v>-161</v>
      </c>
      <c r="AS4606">
        <v>-97</v>
      </c>
      <c r="AT4606">
        <v>-2112</v>
      </c>
      <c r="BB4606">
        <v>1200</v>
      </c>
      <c r="BC4606">
        <v>1</v>
      </c>
      <c r="BD4606" t="str">
        <f t="shared" si="1681"/>
        <v xml:space="preserve">N887QR  </v>
      </c>
      <c r="BE4606">
        <v>1</v>
      </c>
      <c r="BG4606">
        <v>0</v>
      </c>
      <c r="BH4606">
        <v>0</v>
      </c>
      <c r="BI4606">
        <v>0</v>
      </c>
      <c r="BJ4606">
        <v>4125</v>
      </c>
      <c r="BK4606">
        <v>-475</v>
      </c>
      <c r="BL4606" t="s">
        <v>163</v>
      </c>
      <c r="BM4606">
        <v>1</v>
      </c>
      <c r="BN4606">
        <v>1</v>
      </c>
      <c r="BO4606">
        <v>1</v>
      </c>
      <c r="BP4606">
        <v>0</v>
      </c>
      <c r="BS4606">
        <v>0</v>
      </c>
      <c r="BT4606">
        <v>0</v>
      </c>
      <c r="BU4606">
        <v>0</v>
      </c>
      <c r="CE4606" t="str">
        <f t="shared" si="1703"/>
        <v>19:37:54.069</v>
      </c>
      <c r="CF4606">
        <v>69033118</v>
      </c>
      <c r="CS4606">
        <v>0</v>
      </c>
      <c r="CT4606">
        <v>2</v>
      </c>
      <c r="CU4606">
        <v>0</v>
      </c>
      <c r="CV4606">
        <v>2</v>
      </c>
      <c r="CW4606">
        <v>0</v>
      </c>
      <c r="CX4606">
        <v>6</v>
      </c>
      <c r="CY4606">
        <v>7</v>
      </c>
      <c r="CZ4606" t="s">
        <v>131</v>
      </c>
      <c r="DA4606">
        <v>286</v>
      </c>
      <c r="DB4606">
        <v>0</v>
      </c>
      <c r="DC4606" t="s">
        <v>132</v>
      </c>
      <c r="DD4606" t="s">
        <v>133</v>
      </c>
      <c r="DG4606">
        <v>919471</v>
      </c>
      <c r="DI4606">
        <v>0</v>
      </c>
      <c r="DJ4606">
        <v>0</v>
      </c>
      <c r="DK4606">
        <v>1</v>
      </c>
      <c r="DL4606">
        <v>0</v>
      </c>
      <c r="DM4606">
        <v>0</v>
      </c>
      <c r="DN4606">
        <v>1</v>
      </c>
      <c r="DO4606">
        <v>0</v>
      </c>
      <c r="DP4606">
        <v>0</v>
      </c>
      <c r="DQ4606">
        <v>0</v>
      </c>
      <c r="DR4606">
        <v>0</v>
      </c>
      <c r="DS4606">
        <v>0</v>
      </c>
    </row>
    <row r="4607" spans="1:123" x14ac:dyDescent="0.3">
      <c r="A4607" t="str">
        <f t="shared" si="1701"/>
        <v>10/04/2022 19:37:54.339</v>
      </c>
      <c r="C4607" t="str">
        <f t="shared" si="1696"/>
        <v>FFDFD3C0</v>
      </c>
      <c r="D4607" t="s">
        <v>147</v>
      </c>
      <c r="E4607">
        <v>3</v>
      </c>
      <c r="H4607">
        <v>166</v>
      </c>
      <c r="I4607" t="s">
        <v>144</v>
      </c>
      <c r="J4607" t="s">
        <v>148</v>
      </c>
      <c r="K4607">
        <v>0</v>
      </c>
      <c r="L4607">
        <v>3</v>
      </c>
      <c r="M4607">
        <v>0</v>
      </c>
      <c r="N4607">
        <v>2</v>
      </c>
      <c r="O4607">
        <v>0</v>
      </c>
      <c r="P4607">
        <v>1</v>
      </c>
      <c r="Q4607">
        <v>0</v>
      </c>
      <c r="S4607" t="str">
        <f t="shared" si="1702"/>
        <v>19:37:54.000</v>
      </c>
      <c r="T4607" t="str">
        <f t="shared" si="1702"/>
        <v>19:37:54.000</v>
      </c>
      <c r="U4607" t="str">
        <f t="shared" si="1680"/>
        <v>AC3944</v>
      </c>
      <c r="V4607">
        <v>0</v>
      </c>
      <c r="W4607">
        <v>0</v>
      </c>
      <c r="X4607">
        <v>2</v>
      </c>
      <c r="Y4607">
        <v>0</v>
      </c>
      <c r="AA4607">
        <v>1</v>
      </c>
      <c r="AB4607">
        <v>8</v>
      </c>
      <c r="AC4607">
        <v>3</v>
      </c>
      <c r="AD4607">
        <v>0</v>
      </c>
      <c r="AE4607">
        <v>9</v>
      </c>
      <c r="AF4607" t="s">
        <v>138</v>
      </c>
      <c r="AG4607">
        <v>0</v>
      </c>
      <c r="AH4607">
        <v>3</v>
      </c>
      <c r="AI4607">
        <v>1</v>
      </c>
      <c r="AJ4607">
        <v>0</v>
      </c>
      <c r="AK4607" t="s">
        <v>1448</v>
      </c>
      <c r="AL4607">
        <v>32.724837999999998</v>
      </c>
      <c r="AM4607" t="s">
        <v>1449</v>
      </c>
      <c r="AN4607">
        <v>-116.729007</v>
      </c>
      <c r="AO4607">
        <v>25</v>
      </c>
      <c r="AP4607">
        <v>4600</v>
      </c>
      <c r="AQ4607" t="s">
        <v>129</v>
      </c>
      <c r="AR4607">
        <v>-161</v>
      </c>
      <c r="AS4607">
        <v>-97</v>
      </c>
      <c r="AT4607">
        <v>-2112</v>
      </c>
      <c r="BB4607">
        <v>1200</v>
      </c>
      <c r="BC4607">
        <v>1</v>
      </c>
      <c r="BD4607" t="str">
        <f t="shared" si="1681"/>
        <v xml:space="preserve">N887QR  </v>
      </c>
      <c r="BE4607">
        <v>1</v>
      </c>
      <c r="BG4607">
        <v>0</v>
      </c>
      <c r="BH4607">
        <v>0</v>
      </c>
      <c r="BI4607">
        <v>0</v>
      </c>
      <c r="BJ4607">
        <v>4125</v>
      </c>
      <c r="BK4607">
        <v>-475</v>
      </c>
      <c r="BL4607" t="s">
        <v>163</v>
      </c>
      <c r="BM4607">
        <v>1</v>
      </c>
      <c r="BN4607">
        <v>1</v>
      </c>
      <c r="BO4607">
        <v>1</v>
      </c>
      <c r="BP4607">
        <v>0</v>
      </c>
      <c r="BS4607">
        <v>0</v>
      </c>
      <c r="BT4607">
        <v>0</v>
      </c>
      <c r="BU4607">
        <v>0</v>
      </c>
      <c r="CE4607" t="str">
        <f t="shared" si="1703"/>
        <v>19:37:54.069</v>
      </c>
      <c r="CF4607">
        <v>69033118</v>
      </c>
      <c r="CS4607">
        <v>0</v>
      </c>
      <c r="CT4607">
        <v>2</v>
      </c>
      <c r="CU4607">
        <v>0</v>
      </c>
      <c r="CV4607">
        <v>2</v>
      </c>
      <c r="CW4607">
        <v>0</v>
      </c>
      <c r="CX4607">
        <v>6</v>
      </c>
      <c r="CY4607">
        <v>7</v>
      </c>
      <c r="CZ4607" t="s">
        <v>131</v>
      </c>
      <c r="DA4607">
        <v>286</v>
      </c>
      <c r="DB4607">
        <v>0</v>
      </c>
      <c r="DC4607" t="s">
        <v>132</v>
      </c>
      <c r="DD4607" t="s">
        <v>133</v>
      </c>
      <c r="DG4607">
        <v>919471</v>
      </c>
      <c r="DI4607">
        <v>0</v>
      </c>
      <c r="DJ4607">
        <v>0</v>
      </c>
      <c r="DK4607">
        <v>1</v>
      </c>
      <c r="DL4607">
        <v>0</v>
      </c>
      <c r="DM4607">
        <v>0</v>
      </c>
      <c r="DN4607">
        <v>1</v>
      </c>
      <c r="DO4607">
        <v>0</v>
      </c>
      <c r="DP4607">
        <v>0</v>
      </c>
      <c r="DQ4607">
        <v>0</v>
      </c>
      <c r="DR4607">
        <v>0</v>
      </c>
      <c r="DS4607">
        <v>0</v>
      </c>
    </row>
    <row r="4608" spans="1:123" x14ac:dyDescent="0.3">
      <c r="A4608" t="str">
        <f t="shared" si="1701"/>
        <v>10/04/2022 19:37:54.339</v>
      </c>
      <c r="C4608" t="str">
        <f t="shared" si="1696"/>
        <v>FFDFD3C0</v>
      </c>
      <c r="D4608" t="s">
        <v>141</v>
      </c>
      <c r="E4608">
        <v>3</v>
      </c>
      <c r="H4608">
        <v>3</v>
      </c>
      <c r="I4608" t="s">
        <v>146</v>
      </c>
      <c r="J4608" t="s">
        <v>138</v>
      </c>
      <c r="K4608">
        <v>0</v>
      </c>
      <c r="L4608">
        <v>3</v>
      </c>
      <c r="M4608">
        <v>0</v>
      </c>
      <c r="N4608">
        <v>2</v>
      </c>
      <c r="O4608">
        <v>0</v>
      </c>
      <c r="P4608">
        <v>1</v>
      </c>
      <c r="Q4608">
        <v>0</v>
      </c>
      <c r="S4608" t="str">
        <f t="shared" si="1702"/>
        <v>19:37:54.000</v>
      </c>
      <c r="T4608" t="str">
        <f t="shared" si="1702"/>
        <v>19:37:54.000</v>
      </c>
      <c r="U4608" t="str">
        <f t="shared" si="1680"/>
        <v>AC3944</v>
      </c>
      <c r="V4608">
        <v>0</v>
      </c>
      <c r="W4608">
        <v>0</v>
      </c>
      <c r="X4608">
        <v>2</v>
      </c>
      <c r="Y4608">
        <v>0</v>
      </c>
      <c r="AA4608">
        <v>1</v>
      </c>
      <c r="AB4608">
        <v>8</v>
      </c>
      <c r="AC4608">
        <v>3</v>
      </c>
      <c r="AD4608">
        <v>0</v>
      </c>
      <c r="AE4608">
        <v>9</v>
      </c>
      <c r="AF4608" t="s">
        <v>138</v>
      </c>
      <c r="AG4608">
        <v>0</v>
      </c>
      <c r="AH4608">
        <v>3</v>
      </c>
      <c r="AI4608">
        <v>1</v>
      </c>
      <c r="AJ4608">
        <v>0</v>
      </c>
      <c r="AK4608" t="s">
        <v>1448</v>
      </c>
      <c r="AL4608">
        <v>32.724837999999998</v>
      </c>
      <c r="AM4608" t="s">
        <v>1449</v>
      </c>
      <c r="AN4608">
        <v>-116.729007</v>
      </c>
      <c r="AO4608">
        <v>25</v>
      </c>
      <c r="AP4608">
        <v>4600</v>
      </c>
      <c r="AQ4608" t="s">
        <v>129</v>
      </c>
      <c r="AR4608">
        <v>-161</v>
      </c>
      <c r="AS4608">
        <v>-97</v>
      </c>
      <c r="AT4608">
        <v>-2112</v>
      </c>
      <c r="BB4608">
        <v>1200</v>
      </c>
      <c r="BC4608">
        <v>1</v>
      </c>
      <c r="BD4608" t="str">
        <f t="shared" si="1681"/>
        <v xml:space="preserve">N887QR  </v>
      </c>
      <c r="BE4608">
        <v>1</v>
      </c>
      <c r="BG4608">
        <v>0</v>
      </c>
      <c r="BH4608">
        <v>0</v>
      </c>
      <c r="BI4608">
        <v>0</v>
      </c>
      <c r="BJ4608">
        <v>4125</v>
      </c>
      <c r="BK4608">
        <v>-475</v>
      </c>
      <c r="BL4608" t="s">
        <v>163</v>
      </c>
      <c r="BM4608">
        <v>1</v>
      </c>
      <c r="BN4608">
        <v>1</v>
      </c>
      <c r="BO4608">
        <v>1</v>
      </c>
      <c r="BP4608">
        <v>0</v>
      </c>
      <c r="BS4608">
        <v>0</v>
      </c>
      <c r="BT4608">
        <v>0</v>
      </c>
      <c r="BU4608">
        <v>0</v>
      </c>
      <c r="CE4608" t="str">
        <f t="shared" si="1703"/>
        <v>19:37:54.069</v>
      </c>
      <c r="CF4608">
        <v>69033118</v>
      </c>
      <c r="CS4608">
        <v>0</v>
      </c>
      <c r="CT4608">
        <v>2</v>
      </c>
      <c r="CU4608">
        <v>0</v>
      </c>
      <c r="CV4608">
        <v>2</v>
      </c>
      <c r="CW4608">
        <v>0</v>
      </c>
      <c r="CX4608">
        <v>6</v>
      </c>
      <c r="CY4608">
        <v>7</v>
      </c>
      <c r="CZ4608" t="s">
        <v>131</v>
      </c>
      <c r="DA4608">
        <v>286</v>
      </c>
      <c r="DB4608">
        <v>0</v>
      </c>
      <c r="DC4608" t="s">
        <v>132</v>
      </c>
      <c r="DD4608" t="s">
        <v>133</v>
      </c>
      <c r="DG4608">
        <v>919471</v>
      </c>
      <c r="DI4608">
        <v>0</v>
      </c>
      <c r="DJ4608">
        <v>0</v>
      </c>
      <c r="DK4608">
        <v>1</v>
      </c>
      <c r="DL4608">
        <v>0</v>
      </c>
      <c r="DM4608">
        <v>0</v>
      </c>
      <c r="DN4608">
        <v>1</v>
      </c>
      <c r="DO4608">
        <v>0</v>
      </c>
      <c r="DP4608">
        <v>0</v>
      </c>
      <c r="DQ4608">
        <v>0</v>
      </c>
      <c r="DR4608">
        <v>0</v>
      </c>
      <c r="DS4608">
        <v>0</v>
      </c>
    </row>
    <row r="4609" spans="1:123" x14ac:dyDescent="0.3">
      <c r="A4609" t="str">
        <f t="shared" si="1701"/>
        <v>10/04/2022 19:37:54.339</v>
      </c>
      <c r="C4609" t="str">
        <f t="shared" si="1696"/>
        <v>FFDFD3C0</v>
      </c>
      <c r="D4609" t="s">
        <v>134</v>
      </c>
      <c r="E4609">
        <v>15</v>
      </c>
      <c r="J4609" t="s">
        <v>135</v>
      </c>
      <c r="K4609">
        <v>0</v>
      </c>
      <c r="L4609">
        <v>3</v>
      </c>
      <c r="M4609">
        <v>0</v>
      </c>
      <c r="N4609">
        <v>2</v>
      </c>
      <c r="O4609">
        <v>0</v>
      </c>
      <c r="P4609">
        <v>1</v>
      </c>
      <c r="Q4609">
        <v>0</v>
      </c>
      <c r="S4609" t="str">
        <f t="shared" si="1702"/>
        <v>19:37:54.000</v>
      </c>
      <c r="T4609" t="str">
        <f t="shared" si="1702"/>
        <v>19:37:54.000</v>
      </c>
      <c r="U4609" t="str">
        <f t="shared" si="1680"/>
        <v>AC3944</v>
      </c>
      <c r="V4609">
        <v>0</v>
      </c>
      <c r="W4609">
        <v>0</v>
      </c>
      <c r="X4609">
        <v>2</v>
      </c>
      <c r="Y4609">
        <v>0</v>
      </c>
      <c r="AA4609">
        <v>1</v>
      </c>
      <c r="AB4609">
        <v>8</v>
      </c>
      <c r="AC4609">
        <v>3</v>
      </c>
      <c r="AD4609">
        <v>0</v>
      </c>
      <c r="AE4609">
        <v>9</v>
      </c>
      <c r="AF4609" t="s">
        <v>138</v>
      </c>
      <c r="AG4609">
        <v>0</v>
      </c>
      <c r="AH4609">
        <v>3</v>
      </c>
      <c r="AI4609">
        <v>1</v>
      </c>
      <c r="AJ4609">
        <v>0</v>
      </c>
      <c r="AK4609" t="s">
        <v>1448</v>
      </c>
      <c r="AL4609">
        <v>32.724837999999998</v>
      </c>
      <c r="AM4609" t="s">
        <v>1449</v>
      </c>
      <c r="AN4609">
        <v>-116.729007</v>
      </c>
      <c r="AO4609">
        <v>25</v>
      </c>
      <c r="AP4609">
        <v>4600</v>
      </c>
      <c r="AQ4609" t="s">
        <v>129</v>
      </c>
      <c r="AR4609">
        <v>-161</v>
      </c>
      <c r="AS4609">
        <v>-97</v>
      </c>
      <c r="AT4609">
        <v>-2112</v>
      </c>
      <c r="BB4609">
        <v>1200</v>
      </c>
      <c r="BC4609">
        <v>1</v>
      </c>
      <c r="BD4609" t="str">
        <f t="shared" si="1681"/>
        <v xml:space="preserve">N887QR  </v>
      </c>
      <c r="BE4609">
        <v>1</v>
      </c>
      <c r="BG4609">
        <v>0</v>
      </c>
      <c r="BH4609">
        <v>0</v>
      </c>
      <c r="BI4609">
        <v>0</v>
      </c>
      <c r="BJ4609">
        <v>4125</v>
      </c>
      <c r="BK4609">
        <v>-475</v>
      </c>
      <c r="BL4609" t="s">
        <v>163</v>
      </c>
      <c r="BM4609">
        <v>1</v>
      </c>
      <c r="BN4609">
        <v>1</v>
      </c>
      <c r="BO4609">
        <v>1</v>
      </c>
      <c r="BP4609">
        <v>0</v>
      </c>
      <c r="BS4609">
        <v>0</v>
      </c>
      <c r="BT4609">
        <v>0</v>
      </c>
      <c r="BU4609">
        <v>0</v>
      </c>
      <c r="CE4609" t="str">
        <f t="shared" si="1703"/>
        <v>19:37:54.069</v>
      </c>
      <c r="CF4609">
        <v>69033118</v>
      </c>
      <c r="CS4609">
        <v>0</v>
      </c>
      <c r="CT4609">
        <v>2</v>
      </c>
      <c r="CU4609">
        <v>0</v>
      </c>
      <c r="CV4609">
        <v>2</v>
      </c>
      <c r="CW4609">
        <v>0</v>
      </c>
      <c r="CX4609">
        <v>6</v>
      </c>
      <c r="CY4609">
        <v>7</v>
      </c>
      <c r="CZ4609" t="s">
        <v>131</v>
      </c>
      <c r="DA4609">
        <v>286</v>
      </c>
      <c r="DB4609">
        <v>0</v>
      </c>
      <c r="DC4609" t="s">
        <v>132</v>
      </c>
      <c r="DD4609" t="s">
        <v>133</v>
      </c>
      <c r="DG4609">
        <v>919471</v>
      </c>
      <c r="DI4609">
        <v>0</v>
      </c>
      <c r="DJ4609">
        <v>0</v>
      </c>
      <c r="DK4609">
        <v>1</v>
      </c>
      <c r="DL4609">
        <v>0</v>
      </c>
      <c r="DM4609">
        <v>0</v>
      </c>
      <c r="DN4609">
        <v>1</v>
      </c>
      <c r="DO4609">
        <v>0</v>
      </c>
      <c r="DP4609">
        <v>0</v>
      </c>
      <c r="DQ4609">
        <v>0</v>
      </c>
      <c r="DR4609">
        <v>0</v>
      </c>
      <c r="DS4609">
        <v>0</v>
      </c>
    </row>
    <row r="4610" spans="1:123" x14ac:dyDescent="0.3">
      <c r="A4610" t="str">
        <f t="shared" si="1701"/>
        <v>10/04/2022 19:37:54.339</v>
      </c>
      <c r="C4610" t="str">
        <f t="shared" si="1696"/>
        <v>FFDFD3C0</v>
      </c>
      <c r="D4610" t="s">
        <v>143</v>
      </c>
      <c r="E4610">
        <v>20</v>
      </c>
      <c r="F4610">
        <v>1020</v>
      </c>
      <c r="G4610" t="s">
        <v>144</v>
      </c>
      <c r="J4610" t="s">
        <v>145</v>
      </c>
      <c r="K4610">
        <v>0</v>
      </c>
      <c r="L4610">
        <v>3</v>
      </c>
      <c r="M4610">
        <v>0</v>
      </c>
      <c r="N4610">
        <v>2</v>
      </c>
      <c r="O4610">
        <v>0</v>
      </c>
      <c r="P4610">
        <v>1</v>
      </c>
      <c r="Q4610">
        <v>0</v>
      </c>
      <c r="S4610" t="str">
        <f t="shared" si="1702"/>
        <v>19:37:54.000</v>
      </c>
      <c r="T4610" t="str">
        <f t="shared" si="1702"/>
        <v>19:37:54.000</v>
      </c>
      <c r="U4610" t="str">
        <f t="shared" ref="U4610:U4673" si="1704">"AC3944"</f>
        <v>AC3944</v>
      </c>
      <c r="V4610">
        <v>0</v>
      </c>
      <c r="W4610">
        <v>0</v>
      </c>
      <c r="X4610">
        <v>2</v>
      </c>
      <c r="Y4610">
        <v>0</v>
      </c>
      <c r="AA4610">
        <v>1</v>
      </c>
      <c r="AB4610">
        <v>8</v>
      </c>
      <c r="AC4610">
        <v>3</v>
      </c>
      <c r="AD4610">
        <v>0</v>
      </c>
      <c r="AE4610">
        <v>9</v>
      </c>
      <c r="AF4610" t="s">
        <v>138</v>
      </c>
      <c r="AG4610">
        <v>0</v>
      </c>
      <c r="AH4610">
        <v>3</v>
      </c>
      <c r="AI4610">
        <v>1</v>
      </c>
      <c r="AJ4610">
        <v>0</v>
      </c>
      <c r="AK4610" t="s">
        <v>1448</v>
      </c>
      <c r="AL4610">
        <v>32.724837999999998</v>
      </c>
      <c r="AM4610" t="s">
        <v>1449</v>
      </c>
      <c r="AN4610">
        <v>-116.729007</v>
      </c>
      <c r="AO4610">
        <v>25</v>
      </c>
      <c r="AP4610">
        <v>4600</v>
      </c>
      <c r="AQ4610" t="s">
        <v>129</v>
      </c>
      <c r="AR4610">
        <v>-161</v>
      </c>
      <c r="AS4610">
        <v>-97</v>
      </c>
      <c r="AT4610">
        <v>-2112</v>
      </c>
      <c r="BB4610">
        <v>1200</v>
      </c>
      <c r="BC4610">
        <v>1</v>
      </c>
      <c r="BD4610" t="str">
        <f t="shared" ref="BD4610:BD4673" si="1705">"N887QR  "</f>
        <v xml:space="preserve">N887QR  </v>
      </c>
      <c r="BE4610">
        <v>1</v>
      </c>
      <c r="BG4610">
        <v>0</v>
      </c>
      <c r="BH4610">
        <v>0</v>
      </c>
      <c r="BI4610">
        <v>0</v>
      </c>
      <c r="BJ4610">
        <v>4125</v>
      </c>
      <c r="BK4610">
        <v>-475</v>
      </c>
      <c r="BL4610" t="s">
        <v>163</v>
      </c>
      <c r="BM4610">
        <v>1</v>
      </c>
      <c r="BN4610">
        <v>1</v>
      </c>
      <c r="BO4610">
        <v>1</v>
      </c>
      <c r="BP4610">
        <v>0</v>
      </c>
      <c r="BS4610">
        <v>0</v>
      </c>
      <c r="BT4610">
        <v>0</v>
      </c>
      <c r="BU4610">
        <v>0</v>
      </c>
      <c r="CE4610" t="str">
        <f t="shared" si="1703"/>
        <v>19:37:54.069</v>
      </c>
      <c r="CF4610">
        <v>69033118</v>
      </c>
      <c r="CS4610">
        <v>0</v>
      </c>
      <c r="CT4610">
        <v>2</v>
      </c>
      <c r="CU4610">
        <v>0</v>
      </c>
      <c r="CV4610">
        <v>2</v>
      </c>
      <c r="CW4610">
        <v>0</v>
      </c>
      <c r="CX4610">
        <v>6</v>
      </c>
      <c r="CY4610">
        <v>7</v>
      </c>
      <c r="CZ4610" t="s">
        <v>131</v>
      </c>
      <c r="DA4610">
        <v>286</v>
      </c>
      <c r="DB4610">
        <v>0</v>
      </c>
      <c r="DC4610" t="s">
        <v>132</v>
      </c>
      <c r="DD4610" t="s">
        <v>133</v>
      </c>
      <c r="DG4610">
        <v>919471</v>
      </c>
      <c r="DI4610">
        <v>0</v>
      </c>
      <c r="DJ4610">
        <v>0</v>
      </c>
      <c r="DK4610">
        <v>1</v>
      </c>
      <c r="DL4610">
        <v>0</v>
      </c>
      <c r="DM4610">
        <v>0</v>
      </c>
      <c r="DN4610">
        <v>1</v>
      </c>
      <c r="DO4610">
        <v>0</v>
      </c>
      <c r="DP4610">
        <v>0</v>
      </c>
      <c r="DQ4610">
        <v>0</v>
      </c>
      <c r="DR4610">
        <v>0</v>
      </c>
      <c r="DS4610">
        <v>0</v>
      </c>
    </row>
    <row r="4611" spans="1:123" x14ac:dyDescent="0.3">
      <c r="A4611" t="str">
        <f>"10/04/2022 19:37:56.200"</f>
        <v>10/04/2022 19:37:56.200</v>
      </c>
      <c r="C4611" t="str">
        <f t="shared" si="1696"/>
        <v>FFDFD3C0</v>
      </c>
      <c r="D4611" t="s">
        <v>143</v>
      </c>
      <c r="E4611">
        <v>20</v>
      </c>
      <c r="F4611">
        <v>1020</v>
      </c>
      <c r="G4611" t="s">
        <v>144</v>
      </c>
      <c r="J4611" t="s">
        <v>145</v>
      </c>
      <c r="K4611">
        <v>0</v>
      </c>
      <c r="L4611">
        <v>3</v>
      </c>
      <c r="M4611">
        <v>0</v>
      </c>
      <c r="N4611">
        <v>2</v>
      </c>
      <c r="O4611">
        <v>0</v>
      </c>
      <c r="P4611">
        <v>1</v>
      </c>
      <c r="Q4611">
        <v>0</v>
      </c>
      <c r="S4611" t="str">
        <f t="shared" ref="S4611:T4617" si="1706">"19:37:55.000"</f>
        <v>19:37:55.000</v>
      </c>
      <c r="T4611" t="str">
        <f t="shared" si="1706"/>
        <v>19:37:55.000</v>
      </c>
      <c r="U4611" t="str">
        <f t="shared" si="1704"/>
        <v>AC3944</v>
      </c>
      <c r="V4611">
        <v>0</v>
      </c>
      <c r="W4611">
        <v>0</v>
      </c>
      <c r="X4611">
        <v>2</v>
      </c>
      <c r="Y4611">
        <v>0</v>
      </c>
      <c r="AA4611">
        <v>1</v>
      </c>
      <c r="AB4611">
        <v>8</v>
      </c>
      <c r="AC4611">
        <v>3</v>
      </c>
      <c r="AD4611">
        <v>0</v>
      </c>
      <c r="AE4611">
        <v>9</v>
      </c>
      <c r="AF4611" t="s">
        <v>138</v>
      </c>
      <c r="AG4611">
        <v>0</v>
      </c>
      <c r="AH4611">
        <v>3</v>
      </c>
      <c r="AI4611">
        <v>1</v>
      </c>
      <c r="AJ4611">
        <v>0</v>
      </c>
      <c r="AK4611" t="s">
        <v>1450</v>
      </c>
      <c r="AL4611">
        <v>32.72428</v>
      </c>
      <c r="AM4611" t="s">
        <v>1451</v>
      </c>
      <c r="AN4611">
        <v>-116.730037</v>
      </c>
      <c r="AO4611">
        <v>25</v>
      </c>
      <c r="AP4611">
        <v>4500</v>
      </c>
      <c r="AQ4611" t="s">
        <v>129</v>
      </c>
      <c r="AR4611">
        <v>-162</v>
      </c>
      <c r="AS4611">
        <v>-97</v>
      </c>
      <c r="AT4611">
        <v>-2112</v>
      </c>
      <c r="BB4611">
        <v>1200</v>
      </c>
      <c r="BC4611">
        <v>1</v>
      </c>
      <c r="BD4611" t="str">
        <f t="shared" si="1705"/>
        <v xml:space="preserve">N887QR  </v>
      </c>
      <c r="BE4611">
        <v>1</v>
      </c>
      <c r="BG4611">
        <v>0</v>
      </c>
      <c r="BH4611">
        <v>0</v>
      </c>
      <c r="BI4611">
        <v>0</v>
      </c>
      <c r="BJ4611">
        <v>4125</v>
      </c>
      <c r="BK4611">
        <v>-375</v>
      </c>
      <c r="BL4611" t="s">
        <v>163</v>
      </c>
      <c r="BM4611">
        <v>1</v>
      </c>
      <c r="BN4611">
        <v>1</v>
      </c>
      <c r="BO4611">
        <v>1</v>
      </c>
      <c r="BP4611">
        <v>0</v>
      </c>
      <c r="BS4611">
        <v>0</v>
      </c>
      <c r="BT4611">
        <v>0</v>
      </c>
      <c r="BU4611">
        <v>0</v>
      </c>
      <c r="CE4611" t="str">
        <f t="shared" ref="CE4611:CE4617" si="1707">"19:37:55.407"</f>
        <v>19:37:55.407</v>
      </c>
      <c r="CF4611">
        <v>406537015</v>
      </c>
      <c r="CS4611">
        <v>0</v>
      </c>
      <c r="CT4611">
        <v>2</v>
      </c>
      <c r="CU4611">
        <v>0</v>
      </c>
      <c r="CV4611">
        <v>2</v>
      </c>
      <c r="CW4611">
        <v>2</v>
      </c>
      <c r="CX4611">
        <v>6</v>
      </c>
      <c r="CY4611">
        <v>7</v>
      </c>
      <c r="CZ4611" t="s">
        <v>131</v>
      </c>
      <c r="DA4611">
        <v>286</v>
      </c>
      <c r="DB4611">
        <v>0</v>
      </c>
      <c r="DC4611" t="s">
        <v>132</v>
      </c>
      <c r="DD4611" t="s">
        <v>133</v>
      </c>
      <c r="DG4611">
        <v>919793</v>
      </c>
      <c r="DI4611">
        <v>0</v>
      </c>
      <c r="DJ4611">
        <v>0</v>
      </c>
      <c r="DK4611">
        <v>0</v>
      </c>
      <c r="DL4611">
        <v>0</v>
      </c>
      <c r="DM4611">
        <v>0</v>
      </c>
      <c r="DN4611">
        <v>1</v>
      </c>
      <c r="DO4611">
        <v>0</v>
      </c>
      <c r="DP4611">
        <v>0</v>
      </c>
      <c r="DQ4611">
        <v>0</v>
      </c>
      <c r="DR4611">
        <v>0</v>
      </c>
      <c r="DS4611">
        <v>0</v>
      </c>
    </row>
    <row r="4612" spans="1:123" x14ac:dyDescent="0.3">
      <c r="A4612" t="str">
        <f>"10/04/2022 19:37:56.200"</f>
        <v>10/04/2022 19:37:56.200</v>
      </c>
      <c r="C4612" t="str">
        <f t="shared" si="1696"/>
        <v>FFDFD3C0</v>
      </c>
      <c r="D4612" t="s">
        <v>141</v>
      </c>
      <c r="E4612">
        <v>4</v>
      </c>
      <c r="H4612">
        <v>4</v>
      </c>
      <c r="I4612" t="s">
        <v>142</v>
      </c>
      <c r="J4612" t="s">
        <v>138</v>
      </c>
      <c r="K4612">
        <v>0</v>
      </c>
      <c r="L4612">
        <v>3</v>
      </c>
      <c r="M4612">
        <v>0</v>
      </c>
      <c r="N4612">
        <v>2</v>
      </c>
      <c r="O4612">
        <v>0</v>
      </c>
      <c r="P4612">
        <v>1</v>
      </c>
      <c r="Q4612">
        <v>0</v>
      </c>
      <c r="S4612" t="str">
        <f t="shared" si="1706"/>
        <v>19:37:55.000</v>
      </c>
      <c r="T4612" t="str">
        <f t="shared" si="1706"/>
        <v>19:37:55.000</v>
      </c>
      <c r="U4612" t="str">
        <f t="shared" si="1704"/>
        <v>AC3944</v>
      </c>
      <c r="V4612">
        <v>0</v>
      </c>
      <c r="W4612">
        <v>0</v>
      </c>
      <c r="X4612">
        <v>2</v>
      </c>
      <c r="Y4612">
        <v>0</v>
      </c>
      <c r="AA4612">
        <v>1</v>
      </c>
      <c r="AB4612">
        <v>8</v>
      </c>
      <c r="AC4612">
        <v>3</v>
      </c>
      <c r="AD4612">
        <v>0</v>
      </c>
      <c r="AE4612">
        <v>9</v>
      </c>
      <c r="AF4612" t="s">
        <v>138</v>
      </c>
      <c r="AG4612">
        <v>0</v>
      </c>
      <c r="AH4612">
        <v>3</v>
      </c>
      <c r="AI4612">
        <v>1</v>
      </c>
      <c r="AJ4612">
        <v>0</v>
      </c>
      <c r="AK4612" t="s">
        <v>1450</v>
      </c>
      <c r="AL4612">
        <v>32.72428</v>
      </c>
      <c r="AM4612" t="s">
        <v>1451</v>
      </c>
      <c r="AN4612">
        <v>-116.730037</v>
      </c>
      <c r="AO4612">
        <v>25</v>
      </c>
      <c r="AP4612">
        <v>4500</v>
      </c>
      <c r="AQ4612" t="s">
        <v>129</v>
      </c>
      <c r="AR4612">
        <v>-162</v>
      </c>
      <c r="AS4612">
        <v>-97</v>
      </c>
      <c r="AT4612">
        <v>-2112</v>
      </c>
      <c r="BB4612">
        <v>1200</v>
      </c>
      <c r="BC4612">
        <v>1</v>
      </c>
      <c r="BD4612" t="str">
        <f t="shared" si="1705"/>
        <v xml:space="preserve">N887QR  </v>
      </c>
      <c r="BE4612">
        <v>1</v>
      </c>
      <c r="BG4612">
        <v>0</v>
      </c>
      <c r="BH4612">
        <v>0</v>
      </c>
      <c r="BI4612">
        <v>0</v>
      </c>
      <c r="BJ4612">
        <v>4125</v>
      </c>
      <c r="BK4612">
        <v>-375</v>
      </c>
      <c r="BL4612" t="s">
        <v>163</v>
      </c>
      <c r="BM4612">
        <v>1</v>
      </c>
      <c r="BN4612">
        <v>1</v>
      </c>
      <c r="BO4612">
        <v>1</v>
      </c>
      <c r="BP4612">
        <v>0</v>
      </c>
      <c r="BS4612">
        <v>0</v>
      </c>
      <c r="BT4612">
        <v>0</v>
      </c>
      <c r="BU4612">
        <v>0</v>
      </c>
      <c r="CE4612" t="str">
        <f t="shared" si="1707"/>
        <v>19:37:55.407</v>
      </c>
      <c r="CF4612">
        <v>406537015</v>
      </c>
      <c r="CS4612">
        <v>0</v>
      </c>
      <c r="CT4612">
        <v>2</v>
      </c>
      <c r="CU4612">
        <v>0</v>
      </c>
      <c r="CV4612">
        <v>2</v>
      </c>
      <c r="CW4612">
        <v>2</v>
      </c>
      <c r="CX4612">
        <v>6</v>
      </c>
      <c r="CY4612">
        <v>7</v>
      </c>
      <c r="CZ4612" t="s">
        <v>131</v>
      </c>
      <c r="DA4612">
        <v>286</v>
      </c>
      <c r="DB4612">
        <v>0</v>
      </c>
      <c r="DC4612" t="s">
        <v>132</v>
      </c>
      <c r="DD4612" t="s">
        <v>133</v>
      </c>
      <c r="DG4612">
        <v>919793</v>
      </c>
      <c r="DI4612">
        <v>0</v>
      </c>
      <c r="DJ4612">
        <v>0</v>
      </c>
      <c r="DK4612">
        <v>1</v>
      </c>
      <c r="DL4612">
        <v>0</v>
      </c>
      <c r="DM4612">
        <v>0</v>
      </c>
      <c r="DN4612">
        <v>1</v>
      </c>
      <c r="DO4612">
        <v>0</v>
      </c>
      <c r="DP4612">
        <v>0</v>
      </c>
      <c r="DQ4612">
        <v>0</v>
      </c>
      <c r="DR4612">
        <v>0</v>
      </c>
      <c r="DS4612">
        <v>0</v>
      </c>
    </row>
    <row r="4613" spans="1:123" x14ac:dyDescent="0.3">
      <c r="A4613" t="str">
        <f>"10/04/2022 19:37:56.263"</f>
        <v>10/04/2022 19:37:56.263</v>
      </c>
      <c r="C4613" t="str">
        <f t="shared" si="1696"/>
        <v>FFDFD3C0</v>
      </c>
      <c r="D4613" t="s">
        <v>136</v>
      </c>
      <c r="E4613">
        <v>8</v>
      </c>
      <c r="H4613">
        <v>225</v>
      </c>
      <c r="I4613" t="s">
        <v>137</v>
      </c>
      <c r="J4613" t="s">
        <v>138</v>
      </c>
      <c r="K4613">
        <v>0</v>
      </c>
      <c r="L4613">
        <v>3</v>
      </c>
      <c r="M4613">
        <v>0</v>
      </c>
      <c r="N4613">
        <v>2</v>
      </c>
      <c r="O4613">
        <v>0</v>
      </c>
      <c r="P4613">
        <v>1</v>
      </c>
      <c r="Q4613">
        <v>0</v>
      </c>
      <c r="S4613" t="str">
        <f t="shared" si="1706"/>
        <v>19:37:55.000</v>
      </c>
      <c r="T4613" t="str">
        <f t="shared" si="1706"/>
        <v>19:37:55.000</v>
      </c>
      <c r="U4613" t="str">
        <f t="shared" si="1704"/>
        <v>AC3944</v>
      </c>
      <c r="V4613">
        <v>0</v>
      </c>
      <c r="W4613">
        <v>0</v>
      </c>
      <c r="X4613">
        <v>2</v>
      </c>
      <c r="Y4613">
        <v>0</v>
      </c>
      <c r="AA4613">
        <v>1</v>
      </c>
      <c r="AB4613">
        <v>8</v>
      </c>
      <c r="AC4613">
        <v>3</v>
      </c>
      <c r="AD4613">
        <v>0</v>
      </c>
      <c r="AE4613">
        <v>9</v>
      </c>
      <c r="AF4613" t="s">
        <v>138</v>
      </c>
      <c r="AG4613">
        <v>0</v>
      </c>
      <c r="AH4613">
        <v>3</v>
      </c>
      <c r="AI4613">
        <v>1</v>
      </c>
      <c r="AJ4613">
        <v>0</v>
      </c>
      <c r="AK4613" t="s">
        <v>1450</v>
      </c>
      <c r="AL4613">
        <v>32.72428</v>
      </c>
      <c r="AM4613" t="s">
        <v>1451</v>
      </c>
      <c r="AN4613">
        <v>-116.730037</v>
      </c>
      <c r="AO4613">
        <v>25</v>
      </c>
      <c r="AP4613">
        <v>4500</v>
      </c>
      <c r="AQ4613" t="s">
        <v>129</v>
      </c>
      <c r="AR4613">
        <v>-162</v>
      </c>
      <c r="AS4613">
        <v>-97</v>
      </c>
      <c r="AT4613">
        <v>-2112</v>
      </c>
      <c r="BB4613">
        <v>1200</v>
      </c>
      <c r="BC4613">
        <v>1</v>
      </c>
      <c r="BD4613" t="str">
        <f t="shared" si="1705"/>
        <v xml:space="preserve">N887QR  </v>
      </c>
      <c r="BE4613">
        <v>1</v>
      </c>
      <c r="BG4613">
        <v>0</v>
      </c>
      <c r="BH4613">
        <v>0</v>
      </c>
      <c r="BI4613">
        <v>0</v>
      </c>
      <c r="BJ4613">
        <v>4125</v>
      </c>
      <c r="BK4613">
        <v>-375</v>
      </c>
      <c r="BL4613" t="s">
        <v>163</v>
      </c>
      <c r="BM4613">
        <v>1</v>
      </c>
      <c r="BN4613">
        <v>1</v>
      </c>
      <c r="BO4613">
        <v>1</v>
      </c>
      <c r="BP4613">
        <v>0</v>
      </c>
      <c r="BS4613">
        <v>0</v>
      </c>
      <c r="BT4613">
        <v>0</v>
      </c>
      <c r="BU4613">
        <v>0</v>
      </c>
      <c r="CE4613" t="str">
        <f t="shared" si="1707"/>
        <v>19:37:55.407</v>
      </c>
      <c r="CF4613">
        <v>406537015</v>
      </c>
      <c r="CS4613">
        <v>0</v>
      </c>
      <c r="CT4613">
        <v>2</v>
      </c>
      <c r="CU4613">
        <v>0</v>
      </c>
      <c r="CV4613">
        <v>2</v>
      </c>
      <c r="CW4613">
        <v>2</v>
      </c>
      <c r="CX4613">
        <v>6</v>
      </c>
      <c r="CY4613">
        <v>7</v>
      </c>
      <c r="CZ4613" t="s">
        <v>131</v>
      </c>
      <c r="DA4613">
        <v>286</v>
      </c>
      <c r="DB4613">
        <v>0</v>
      </c>
      <c r="DC4613" t="s">
        <v>132</v>
      </c>
      <c r="DD4613" t="s">
        <v>133</v>
      </c>
      <c r="DG4613">
        <v>919793</v>
      </c>
      <c r="DI4613">
        <v>0</v>
      </c>
      <c r="DJ4613">
        <v>0</v>
      </c>
      <c r="DK4613">
        <v>1</v>
      </c>
      <c r="DL4613">
        <v>0</v>
      </c>
      <c r="DM4613">
        <v>0</v>
      </c>
      <c r="DN4613">
        <v>1</v>
      </c>
      <c r="DO4613">
        <v>0</v>
      </c>
      <c r="DP4613">
        <v>0</v>
      </c>
      <c r="DQ4613">
        <v>0</v>
      </c>
      <c r="DR4613">
        <v>0</v>
      </c>
      <c r="DS4613">
        <v>0</v>
      </c>
    </row>
    <row r="4614" spans="1:123" x14ac:dyDescent="0.3">
      <c r="A4614" t="str">
        <f>"10/04/2022 19:37:56.200"</f>
        <v>10/04/2022 19:37:56.200</v>
      </c>
      <c r="C4614" t="str">
        <f t="shared" si="1696"/>
        <v>FFDFD3C0</v>
      </c>
      <c r="D4614" t="s">
        <v>134</v>
      </c>
      <c r="E4614">
        <v>15</v>
      </c>
      <c r="J4614" t="s">
        <v>135</v>
      </c>
      <c r="K4614">
        <v>0</v>
      </c>
      <c r="L4614">
        <v>3</v>
      </c>
      <c r="M4614">
        <v>0</v>
      </c>
      <c r="N4614">
        <v>2</v>
      </c>
      <c r="O4614">
        <v>0</v>
      </c>
      <c r="P4614">
        <v>1</v>
      </c>
      <c r="Q4614">
        <v>0</v>
      </c>
      <c r="S4614" t="str">
        <f t="shared" si="1706"/>
        <v>19:37:55.000</v>
      </c>
      <c r="T4614" t="str">
        <f t="shared" si="1706"/>
        <v>19:37:55.000</v>
      </c>
      <c r="U4614" t="str">
        <f t="shared" si="1704"/>
        <v>AC3944</v>
      </c>
      <c r="V4614">
        <v>0</v>
      </c>
      <c r="W4614">
        <v>0</v>
      </c>
      <c r="X4614">
        <v>2</v>
      </c>
      <c r="Y4614">
        <v>0</v>
      </c>
      <c r="AA4614">
        <v>1</v>
      </c>
      <c r="AB4614">
        <v>8</v>
      </c>
      <c r="AC4614">
        <v>3</v>
      </c>
      <c r="AD4614">
        <v>0</v>
      </c>
      <c r="AE4614">
        <v>9</v>
      </c>
      <c r="AF4614" t="s">
        <v>138</v>
      </c>
      <c r="AG4614">
        <v>0</v>
      </c>
      <c r="AH4614">
        <v>3</v>
      </c>
      <c r="AI4614">
        <v>1</v>
      </c>
      <c r="AJ4614">
        <v>0</v>
      </c>
      <c r="AK4614" t="s">
        <v>1450</v>
      </c>
      <c r="AL4614">
        <v>32.72428</v>
      </c>
      <c r="AM4614" t="s">
        <v>1451</v>
      </c>
      <c r="AN4614">
        <v>-116.730037</v>
      </c>
      <c r="AO4614">
        <v>25</v>
      </c>
      <c r="AP4614">
        <v>4500</v>
      </c>
      <c r="AQ4614" t="s">
        <v>129</v>
      </c>
      <c r="AR4614">
        <v>-162</v>
      </c>
      <c r="AS4614">
        <v>-97</v>
      </c>
      <c r="AT4614">
        <v>-2112</v>
      </c>
      <c r="BB4614">
        <v>1200</v>
      </c>
      <c r="BC4614">
        <v>1</v>
      </c>
      <c r="BD4614" t="str">
        <f t="shared" si="1705"/>
        <v xml:space="preserve">N887QR  </v>
      </c>
      <c r="BE4614">
        <v>1</v>
      </c>
      <c r="BG4614">
        <v>0</v>
      </c>
      <c r="BH4614">
        <v>0</v>
      </c>
      <c r="BI4614">
        <v>0</v>
      </c>
      <c r="BJ4614">
        <v>4125</v>
      </c>
      <c r="BK4614">
        <v>-375</v>
      </c>
      <c r="BL4614" t="s">
        <v>163</v>
      </c>
      <c r="BM4614">
        <v>1</v>
      </c>
      <c r="BN4614">
        <v>1</v>
      </c>
      <c r="BO4614">
        <v>1</v>
      </c>
      <c r="BP4614">
        <v>0</v>
      </c>
      <c r="BS4614">
        <v>0</v>
      </c>
      <c r="BT4614">
        <v>0</v>
      </c>
      <c r="BU4614">
        <v>0</v>
      </c>
      <c r="CE4614" t="str">
        <f t="shared" si="1707"/>
        <v>19:37:55.407</v>
      </c>
      <c r="CF4614">
        <v>406537015</v>
      </c>
      <c r="CS4614">
        <v>0</v>
      </c>
      <c r="CT4614">
        <v>2</v>
      </c>
      <c r="CU4614">
        <v>0</v>
      </c>
      <c r="CV4614">
        <v>2</v>
      </c>
      <c r="CW4614">
        <v>2</v>
      </c>
      <c r="CX4614">
        <v>6</v>
      </c>
      <c r="CY4614">
        <v>7</v>
      </c>
      <c r="CZ4614" t="s">
        <v>131</v>
      </c>
      <c r="DA4614">
        <v>286</v>
      </c>
      <c r="DB4614">
        <v>0</v>
      </c>
      <c r="DC4614" t="s">
        <v>132</v>
      </c>
      <c r="DD4614" t="s">
        <v>133</v>
      </c>
      <c r="DG4614">
        <v>919793</v>
      </c>
      <c r="DI4614">
        <v>0</v>
      </c>
      <c r="DJ4614">
        <v>0</v>
      </c>
      <c r="DK4614">
        <v>1</v>
      </c>
      <c r="DL4614">
        <v>0</v>
      </c>
      <c r="DM4614">
        <v>0</v>
      </c>
      <c r="DN4614">
        <v>1</v>
      </c>
      <c r="DO4614">
        <v>0</v>
      </c>
      <c r="DP4614">
        <v>0</v>
      </c>
      <c r="DQ4614">
        <v>0</v>
      </c>
      <c r="DR4614">
        <v>0</v>
      </c>
      <c r="DS4614">
        <v>0</v>
      </c>
    </row>
    <row r="4615" spans="1:123" x14ac:dyDescent="0.3">
      <c r="A4615" t="str">
        <f>"10/04/2022 19:37:56.263"</f>
        <v>10/04/2022 19:37:56.263</v>
      </c>
      <c r="C4615" t="str">
        <f t="shared" si="1696"/>
        <v>FFDFD3C0</v>
      </c>
      <c r="D4615" t="s">
        <v>123</v>
      </c>
      <c r="E4615">
        <v>7</v>
      </c>
      <c r="F4615">
        <v>2007</v>
      </c>
      <c r="G4615" t="s">
        <v>124</v>
      </c>
      <c r="J4615" t="s">
        <v>125</v>
      </c>
      <c r="K4615">
        <v>0</v>
      </c>
      <c r="L4615">
        <v>3</v>
      </c>
      <c r="M4615">
        <v>0</v>
      </c>
      <c r="N4615">
        <v>2</v>
      </c>
      <c r="O4615">
        <v>0</v>
      </c>
      <c r="P4615">
        <v>1</v>
      </c>
      <c r="Q4615">
        <v>0</v>
      </c>
      <c r="S4615" t="str">
        <f t="shared" si="1706"/>
        <v>19:37:55.000</v>
      </c>
      <c r="T4615" t="str">
        <f t="shared" si="1706"/>
        <v>19:37:55.000</v>
      </c>
      <c r="U4615" t="str">
        <f t="shared" si="1704"/>
        <v>AC3944</v>
      </c>
      <c r="V4615">
        <v>0</v>
      </c>
      <c r="W4615">
        <v>0</v>
      </c>
      <c r="X4615">
        <v>2</v>
      </c>
      <c r="Y4615">
        <v>0</v>
      </c>
      <c r="AA4615">
        <v>1</v>
      </c>
      <c r="AB4615">
        <v>8</v>
      </c>
      <c r="AC4615">
        <v>3</v>
      </c>
      <c r="AD4615">
        <v>0</v>
      </c>
      <c r="AE4615">
        <v>9</v>
      </c>
      <c r="AF4615" t="s">
        <v>138</v>
      </c>
      <c r="AG4615">
        <v>0</v>
      </c>
      <c r="AH4615">
        <v>3</v>
      </c>
      <c r="AI4615">
        <v>1</v>
      </c>
      <c r="AJ4615">
        <v>0</v>
      </c>
      <c r="AK4615" t="s">
        <v>1450</v>
      </c>
      <c r="AL4615">
        <v>32.72428</v>
      </c>
      <c r="AM4615" t="s">
        <v>1451</v>
      </c>
      <c r="AN4615">
        <v>-116.730037</v>
      </c>
      <c r="AO4615">
        <v>25</v>
      </c>
      <c r="AP4615">
        <v>4500</v>
      </c>
      <c r="AQ4615" t="s">
        <v>129</v>
      </c>
      <c r="AR4615">
        <v>-162</v>
      </c>
      <c r="AS4615">
        <v>-97</v>
      </c>
      <c r="AT4615">
        <v>-2112</v>
      </c>
      <c r="BB4615">
        <v>1200</v>
      </c>
      <c r="BC4615">
        <v>1</v>
      </c>
      <c r="BD4615" t="str">
        <f t="shared" si="1705"/>
        <v xml:space="preserve">N887QR  </v>
      </c>
      <c r="BE4615">
        <v>1</v>
      </c>
      <c r="BG4615">
        <v>0</v>
      </c>
      <c r="BH4615">
        <v>0</v>
      </c>
      <c r="BI4615">
        <v>0</v>
      </c>
      <c r="BJ4615">
        <v>4125</v>
      </c>
      <c r="BK4615">
        <v>-375</v>
      </c>
      <c r="BL4615" t="s">
        <v>163</v>
      </c>
      <c r="BM4615">
        <v>1</v>
      </c>
      <c r="BN4615">
        <v>1</v>
      </c>
      <c r="BO4615">
        <v>1</v>
      </c>
      <c r="BP4615">
        <v>0</v>
      </c>
      <c r="BS4615">
        <v>0</v>
      </c>
      <c r="BT4615">
        <v>0</v>
      </c>
      <c r="BU4615">
        <v>0</v>
      </c>
      <c r="CE4615" t="str">
        <f t="shared" si="1707"/>
        <v>19:37:55.407</v>
      </c>
      <c r="CF4615">
        <v>406537015</v>
      </c>
      <c r="CS4615">
        <v>0</v>
      </c>
      <c r="CT4615">
        <v>2</v>
      </c>
      <c r="CU4615">
        <v>0</v>
      </c>
      <c r="CV4615">
        <v>2</v>
      </c>
      <c r="CW4615">
        <v>2</v>
      </c>
      <c r="CX4615">
        <v>6</v>
      </c>
      <c r="CY4615">
        <v>7</v>
      </c>
      <c r="CZ4615" t="s">
        <v>131</v>
      </c>
      <c r="DA4615">
        <v>286</v>
      </c>
      <c r="DB4615">
        <v>0</v>
      </c>
      <c r="DC4615" t="s">
        <v>132</v>
      </c>
      <c r="DD4615" t="s">
        <v>133</v>
      </c>
      <c r="DG4615">
        <v>919793</v>
      </c>
      <c r="DI4615">
        <v>0</v>
      </c>
      <c r="DJ4615">
        <v>0</v>
      </c>
      <c r="DK4615">
        <v>1</v>
      </c>
      <c r="DL4615">
        <v>0</v>
      </c>
      <c r="DM4615">
        <v>0</v>
      </c>
      <c r="DN4615">
        <v>1</v>
      </c>
      <c r="DO4615">
        <v>0</v>
      </c>
      <c r="DP4615">
        <v>0</v>
      </c>
      <c r="DQ4615">
        <v>0</v>
      </c>
      <c r="DR4615">
        <v>0</v>
      </c>
      <c r="DS4615">
        <v>0</v>
      </c>
    </row>
    <row r="4616" spans="1:123" x14ac:dyDescent="0.3">
      <c r="A4616" t="str">
        <f>"10/04/2022 19:37:56.263"</f>
        <v>10/04/2022 19:37:56.263</v>
      </c>
      <c r="C4616" t="str">
        <f t="shared" si="1696"/>
        <v>FFDFD3C0</v>
      </c>
      <c r="D4616" t="s">
        <v>147</v>
      </c>
      <c r="E4616">
        <v>3</v>
      </c>
      <c r="H4616">
        <v>166</v>
      </c>
      <c r="I4616" t="s">
        <v>144</v>
      </c>
      <c r="J4616" t="s">
        <v>148</v>
      </c>
      <c r="K4616">
        <v>0</v>
      </c>
      <c r="L4616">
        <v>3</v>
      </c>
      <c r="M4616">
        <v>0</v>
      </c>
      <c r="N4616">
        <v>2</v>
      </c>
      <c r="O4616">
        <v>0</v>
      </c>
      <c r="P4616">
        <v>1</v>
      </c>
      <c r="Q4616">
        <v>0</v>
      </c>
      <c r="S4616" t="str">
        <f t="shared" si="1706"/>
        <v>19:37:55.000</v>
      </c>
      <c r="T4616" t="str">
        <f t="shared" si="1706"/>
        <v>19:37:55.000</v>
      </c>
      <c r="U4616" t="str">
        <f t="shared" si="1704"/>
        <v>AC3944</v>
      </c>
      <c r="V4616">
        <v>0</v>
      </c>
      <c r="W4616">
        <v>0</v>
      </c>
      <c r="X4616">
        <v>2</v>
      </c>
      <c r="Y4616">
        <v>0</v>
      </c>
      <c r="AA4616">
        <v>1</v>
      </c>
      <c r="AB4616">
        <v>8</v>
      </c>
      <c r="AC4616">
        <v>3</v>
      </c>
      <c r="AD4616">
        <v>0</v>
      </c>
      <c r="AE4616">
        <v>9</v>
      </c>
      <c r="AF4616" t="s">
        <v>138</v>
      </c>
      <c r="AG4616">
        <v>0</v>
      </c>
      <c r="AH4616">
        <v>3</v>
      </c>
      <c r="AI4616">
        <v>1</v>
      </c>
      <c r="AJ4616">
        <v>0</v>
      </c>
      <c r="AK4616" t="s">
        <v>1450</v>
      </c>
      <c r="AL4616">
        <v>32.72428</v>
      </c>
      <c r="AM4616" t="s">
        <v>1451</v>
      </c>
      <c r="AN4616">
        <v>-116.730037</v>
      </c>
      <c r="AO4616">
        <v>25</v>
      </c>
      <c r="AP4616">
        <v>4500</v>
      </c>
      <c r="AQ4616" t="s">
        <v>129</v>
      </c>
      <c r="AR4616">
        <v>-162</v>
      </c>
      <c r="AS4616">
        <v>-97</v>
      </c>
      <c r="AT4616">
        <v>-2112</v>
      </c>
      <c r="BB4616">
        <v>1200</v>
      </c>
      <c r="BC4616">
        <v>1</v>
      </c>
      <c r="BD4616" t="str">
        <f t="shared" si="1705"/>
        <v xml:space="preserve">N887QR  </v>
      </c>
      <c r="BE4616">
        <v>1</v>
      </c>
      <c r="BG4616">
        <v>0</v>
      </c>
      <c r="BH4616">
        <v>0</v>
      </c>
      <c r="BI4616">
        <v>0</v>
      </c>
      <c r="BJ4616">
        <v>4125</v>
      </c>
      <c r="BK4616">
        <v>-375</v>
      </c>
      <c r="BL4616" t="s">
        <v>163</v>
      </c>
      <c r="BM4616">
        <v>1</v>
      </c>
      <c r="BN4616">
        <v>1</v>
      </c>
      <c r="BO4616">
        <v>1</v>
      </c>
      <c r="BP4616">
        <v>0</v>
      </c>
      <c r="BS4616">
        <v>0</v>
      </c>
      <c r="BT4616">
        <v>0</v>
      </c>
      <c r="BU4616">
        <v>0</v>
      </c>
      <c r="CE4616" t="str">
        <f t="shared" si="1707"/>
        <v>19:37:55.407</v>
      </c>
      <c r="CF4616">
        <v>406537015</v>
      </c>
      <c r="CS4616">
        <v>0</v>
      </c>
      <c r="CT4616">
        <v>2</v>
      </c>
      <c r="CU4616">
        <v>0</v>
      </c>
      <c r="CV4616">
        <v>2</v>
      </c>
      <c r="CW4616">
        <v>2</v>
      </c>
      <c r="CX4616">
        <v>6</v>
      </c>
      <c r="CY4616">
        <v>7</v>
      </c>
      <c r="CZ4616" t="s">
        <v>131</v>
      </c>
      <c r="DA4616">
        <v>286</v>
      </c>
      <c r="DB4616">
        <v>0</v>
      </c>
      <c r="DC4616" t="s">
        <v>132</v>
      </c>
      <c r="DD4616" t="s">
        <v>133</v>
      </c>
      <c r="DG4616">
        <v>919793</v>
      </c>
      <c r="DI4616">
        <v>0</v>
      </c>
      <c r="DJ4616">
        <v>0</v>
      </c>
      <c r="DK4616">
        <v>1</v>
      </c>
      <c r="DL4616">
        <v>0</v>
      </c>
      <c r="DM4616">
        <v>0</v>
      </c>
      <c r="DN4616">
        <v>1</v>
      </c>
      <c r="DO4616">
        <v>0</v>
      </c>
      <c r="DP4616">
        <v>0</v>
      </c>
      <c r="DQ4616">
        <v>0</v>
      </c>
      <c r="DR4616">
        <v>0</v>
      </c>
      <c r="DS4616">
        <v>0</v>
      </c>
    </row>
    <row r="4617" spans="1:123" x14ac:dyDescent="0.3">
      <c r="A4617" t="str">
        <f>"10/04/2022 19:37:56.264"</f>
        <v>10/04/2022 19:37:56.264</v>
      </c>
      <c r="C4617" t="str">
        <f t="shared" si="1696"/>
        <v>FFDFD3C0</v>
      </c>
      <c r="D4617" t="s">
        <v>141</v>
      </c>
      <c r="E4617">
        <v>3</v>
      </c>
      <c r="H4617">
        <v>3</v>
      </c>
      <c r="I4617" t="s">
        <v>146</v>
      </c>
      <c r="J4617" t="s">
        <v>138</v>
      </c>
      <c r="K4617">
        <v>0</v>
      </c>
      <c r="L4617">
        <v>3</v>
      </c>
      <c r="M4617">
        <v>0</v>
      </c>
      <c r="N4617">
        <v>2</v>
      </c>
      <c r="O4617">
        <v>0</v>
      </c>
      <c r="P4617">
        <v>1</v>
      </c>
      <c r="Q4617">
        <v>0</v>
      </c>
      <c r="S4617" t="str">
        <f t="shared" si="1706"/>
        <v>19:37:55.000</v>
      </c>
      <c r="T4617" t="str">
        <f t="shared" si="1706"/>
        <v>19:37:55.000</v>
      </c>
      <c r="U4617" t="str">
        <f t="shared" si="1704"/>
        <v>AC3944</v>
      </c>
      <c r="V4617">
        <v>0</v>
      </c>
      <c r="W4617">
        <v>0</v>
      </c>
      <c r="X4617">
        <v>2</v>
      </c>
      <c r="Y4617">
        <v>0</v>
      </c>
      <c r="AA4617">
        <v>1</v>
      </c>
      <c r="AB4617">
        <v>8</v>
      </c>
      <c r="AC4617">
        <v>3</v>
      </c>
      <c r="AD4617">
        <v>0</v>
      </c>
      <c r="AE4617">
        <v>9</v>
      </c>
      <c r="AF4617" t="s">
        <v>138</v>
      </c>
      <c r="AG4617">
        <v>0</v>
      </c>
      <c r="AH4617">
        <v>3</v>
      </c>
      <c r="AI4617">
        <v>1</v>
      </c>
      <c r="AJ4617">
        <v>0</v>
      </c>
      <c r="AK4617" t="s">
        <v>1450</v>
      </c>
      <c r="AL4617">
        <v>32.72428</v>
      </c>
      <c r="AM4617" t="s">
        <v>1451</v>
      </c>
      <c r="AN4617">
        <v>-116.730037</v>
      </c>
      <c r="AO4617">
        <v>25</v>
      </c>
      <c r="AP4617">
        <v>4500</v>
      </c>
      <c r="AQ4617" t="s">
        <v>129</v>
      </c>
      <c r="AR4617">
        <v>-162</v>
      </c>
      <c r="AS4617">
        <v>-97</v>
      </c>
      <c r="AT4617">
        <v>-2112</v>
      </c>
      <c r="BB4617">
        <v>1200</v>
      </c>
      <c r="BC4617">
        <v>1</v>
      </c>
      <c r="BD4617" t="str">
        <f t="shared" si="1705"/>
        <v xml:space="preserve">N887QR  </v>
      </c>
      <c r="BE4617">
        <v>1</v>
      </c>
      <c r="BG4617">
        <v>0</v>
      </c>
      <c r="BH4617">
        <v>0</v>
      </c>
      <c r="BI4617">
        <v>0</v>
      </c>
      <c r="BJ4617">
        <v>4125</v>
      </c>
      <c r="BK4617">
        <v>-375</v>
      </c>
      <c r="BL4617" t="s">
        <v>163</v>
      </c>
      <c r="BM4617">
        <v>1</v>
      </c>
      <c r="BN4617">
        <v>1</v>
      </c>
      <c r="BO4617">
        <v>1</v>
      </c>
      <c r="BP4617">
        <v>0</v>
      </c>
      <c r="BS4617">
        <v>0</v>
      </c>
      <c r="BT4617">
        <v>0</v>
      </c>
      <c r="BU4617">
        <v>0</v>
      </c>
      <c r="CE4617" t="str">
        <f t="shared" si="1707"/>
        <v>19:37:55.407</v>
      </c>
      <c r="CF4617">
        <v>406537015</v>
      </c>
      <c r="CS4617">
        <v>0</v>
      </c>
      <c r="CT4617">
        <v>2</v>
      </c>
      <c r="CU4617">
        <v>0</v>
      </c>
      <c r="CV4617">
        <v>2</v>
      </c>
      <c r="CW4617">
        <v>2</v>
      </c>
      <c r="CX4617">
        <v>6</v>
      </c>
      <c r="CY4617">
        <v>7</v>
      </c>
      <c r="CZ4617" t="s">
        <v>131</v>
      </c>
      <c r="DA4617">
        <v>286</v>
      </c>
      <c r="DB4617">
        <v>0</v>
      </c>
      <c r="DC4617" t="s">
        <v>132</v>
      </c>
      <c r="DD4617" t="s">
        <v>133</v>
      </c>
      <c r="DG4617">
        <v>919793</v>
      </c>
      <c r="DI4617">
        <v>0</v>
      </c>
      <c r="DJ4617">
        <v>0</v>
      </c>
      <c r="DK4617">
        <v>1</v>
      </c>
      <c r="DL4617">
        <v>0</v>
      </c>
      <c r="DM4617">
        <v>0</v>
      </c>
      <c r="DN4617">
        <v>1</v>
      </c>
      <c r="DO4617">
        <v>0</v>
      </c>
      <c r="DP4617">
        <v>0</v>
      </c>
      <c r="DQ4617">
        <v>0</v>
      </c>
      <c r="DR4617">
        <v>0</v>
      </c>
      <c r="DS4617">
        <v>0</v>
      </c>
    </row>
    <row r="4618" spans="1:123" x14ac:dyDescent="0.3">
      <c r="A4618" t="str">
        <f t="shared" ref="A4618:A4624" si="1708">"10/04/2022 19:37:56.339"</f>
        <v>10/04/2022 19:37:56.339</v>
      </c>
      <c r="C4618" t="str">
        <f t="shared" si="1696"/>
        <v>FFDFD3C0</v>
      </c>
      <c r="D4618" t="s">
        <v>147</v>
      </c>
      <c r="E4618">
        <v>3</v>
      </c>
      <c r="H4618">
        <v>166</v>
      </c>
      <c r="I4618" t="s">
        <v>144</v>
      </c>
      <c r="J4618" t="s">
        <v>148</v>
      </c>
      <c r="K4618">
        <v>0</v>
      </c>
      <c r="L4618">
        <v>3</v>
      </c>
      <c r="M4618">
        <v>0</v>
      </c>
      <c r="N4618">
        <v>2</v>
      </c>
      <c r="O4618">
        <v>0</v>
      </c>
      <c r="P4618">
        <v>1</v>
      </c>
      <c r="Q4618">
        <v>0</v>
      </c>
      <c r="S4618" t="str">
        <f t="shared" ref="S4618:T4624" si="1709">"19:37:56.000"</f>
        <v>19:37:56.000</v>
      </c>
      <c r="T4618" t="str">
        <f t="shared" si="1709"/>
        <v>19:37:56.000</v>
      </c>
      <c r="U4618" t="str">
        <f t="shared" si="1704"/>
        <v>AC3944</v>
      </c>
      <c r="V4618">
        <v>0</v>
      </c>
      <c r="W4618">
        <v>0</v>
      </c>
      <c r="X4618">
        <v>2</v>
      </c>
      <c r="Y4618">
        <v>0</v>
      </c>
      <c r="AA4618">
        <v>1</v>
      </c>
      <c r="AB4618">
        <v>8</v>
      </c>
      <c r="AC4618">
        <v>3</v>
      </c>
      <c r="AD4618">
        <v>0</v>
      </c>
      <c r="AE4618">
        <v>9</v>
      </c>
      <c r="AF4618" t="s">
        <v>138</v>
      </c>
      <c r="AG4618">
        <v>0</v>
      </c>
      <c r="AH4618">
        <v>3</v>
      </c>
      <c r="AI4618">
        <v>1</v>
      </c>
      <c r="AJ4618">
        <v>0</v>
      </c>
      <c r="AK4618" t="s">
        <v>1452</v>
      </c>
      <c r="AL4618">
        <v>32.72383</v>
      </c>
      <c r="AM4618" t="s">
        <v>1164</v>
      </c>
      <c r="AN4618">
        <v>-116.73093799999999</v>
      </c>
      <c r="AO4618">
        <v>25</v>
      </c>
      <c r="AP4618">
        <v>4500</v>
      </c>
      <c r="AQ4618" t="s">
        <v>129</v>
      </c>
      <c r="AR4618">
        <v>-162</v>
      </c>
      <c r="AS4618">
        <v>-97</v>
      </c>
      <c r="AT4618">
        <v>-2112</v>
      </c>
      <c r="BB4618">
        <v>1200</v>
      </c>
      <c r="BC4618">
        <v>1</v>
      </c>
      <c r="BD4618" t="str">
        <f t="shared" si="1705"/>
        <v xml:space="preserve">N887QR  </v>
      </c>
      <c r="BE4618">
        <v>1</v>
      </c>
      <c r="BG4618">
        <v>0</v>
      </c>
      <c r="BH4618">
        <v>0</v>
      </c>
      <c r="BI4618">
        <v>0</v>
      </c>
      <c r="BJ4618">
        <v>4125</v>
      </c>
      <c r="BK4618">
        <v>-375</v>
      </c>
      <c r="BL4618" t="s">
        <v>163</v>
      </c>
      <c r="BM4618">
        <v>1</v>
      </c>
      <c r="BN4618">
        <v>1</v>
      </c>
      <c r="BO4618">
        <v>1</v>
      </c>
      <c r="BP4618">
        <v>0</v>
      </c>
      <c r="BS4618">
        <v>0</v>
      </c>
      <c r="BT4618">
        <v>0</v>
      </c>
      <c r="BU4618">
        <v>0</v>
      </c>
      <c r="CE4618" t="str">
        <f t="shared" ref="CE4618:CE4624" si="1710">"19:37:56.089"</f>
        <v>19:37:56.089</v>
      </c>
      <c r="CF4618">
        <v>88539017</v>
      </c>
      <c r="CS4618">
        <v>0</v>
      </c>
      <c r="CT4618">
        <v>2</v>
      </c>
      <c r="CU4618">
        <v>0</v>
      </c>
      <c r="CV4618">
        <v>2</v>
      </c>
      <c r="CW4618">
        <v>2</v>
      </c>
      <c r="CX4618">
        <v>6</v>
      </c>
      <c r="CY4618">
        <v>7</v>
      </c>
      <c r="CZ4618" t="s">
        <v>131</v>
      </c>
      <c r="DA4618">
        <v>286</v>
      </c>
      <c r="DB4618">
        <v>0</v>
      </c>
      <c r="DC4618" t="s">
        <v>132</v>
      </c>
      <c r="DD4618" t="s">
        <v>133</v>
      </c>
      <c r="DG4618">
        <v>919983</v>
      </c>
      <c r="DI4618">
        <v>0</v>
      </c>
      <c r="DJ4618">
        <v>0</v>
      </c>
      <c r="DK4618">
        <v>0</v>
      </c>
      <c r="DL4618">
        <v>0</v>
      </c>
      <c r="DM4618">
        <v>0</v>
      </c>
      <c r="DN4618">
        <v>1</v>
      </c>
      <c r="DO4618">
        <v>0</v>
      </c>
      <c r="DP4618">
        <v>0</v>
      </c>
      <c r="DQ4618">
        <v>0</v>
      </c>
      <c r="DR4618">
        <v>0</v>
      </c>
      <c r="DS4618">
        <v>0</v>
      </c>
    </row>
    <row r="4619" spans="1:123" x14ac:dyDescent="0.3">
      <c r="A4619" t="str">
        <f t="shared" si="1708"/>
        <v>10/04/2022 19:37:56.339</v>
      </c>
      <c r="C4619" t="str">
        <f t="shared" si="1696"/>
        <v>FFDFD3C0</v>
      </c>
      <c r="D4619" t="s">
        <v>141</v>
      </c>
      <c r="E4619">
        <v>3</v>
      </c>
      <c r="H4619">
        <v>3</v>
      </c>
      <c r="I4619" t="s">
        <v>146</v>
      </c>
      <c r="J4619" t="s">
        <v>138</v>
      </c>
      <c r="K4619">
        <v>0</v>
      </c>
      <c r="L4619">
        <v>3</v>
      </c>
      <c r="M4619">
        <v>0</v>
      </c>
      <c r="N4619">
        <v>2</v>
      </c>
      <c r="O4619">
        <v>0</v>
      </c>
      <c r="P4619">
        <v>1</v>
      </c>
      <c r="Q4619">
        <v>0</v>
      </c>
      <c r="S4619" t="str">
        <f t="shared" si="1709"/>
        <v>19:37:56.000</v>
      </c>
      <c r="T4619" t="str">
        <f t="shared" si="1709"/>
        <v>19:37:56.000</v>
      </c>
      <c r="U4619" t="str">
        <f t="shared" si="1704"/>
        <v>AC3944</v>
      </c>
      <c r="V4619">
        <v>0</v>
      </c>
      <c r="W4619">
        <v>0</v>
      </c>
      <c r="X4619">
        <v>2</v>
      </c>
      <c r="Y4619">
        <v>0</v>
      </c>
      <c r="AA4619">
        <v>1</v>
      </c>
      <c r="AB4619">
        <v>8</v>
      </c>
      <c r="AC4619">
        <v>3</v>
      </c>
      <c r="AD4619">
        <v>0</v>
      </c>
      <c r="AE4619">
        <v>9</v>
      </c>
      <c r="AF4619" t="s">
        <v>138</v>
      </c>
      <c r="AG4619">
        <v>0</v>
      </c>
      <c r="AH4619">
        <v>3</v>
      </c>
      <c r="AI4619">
        <v>1</v>
      </c>
      <c r="AJ4619">
        <v>0</v>
      </c>
      <c r="AK4619" t="s">
        <v>1452</v>
      </c>
      <c r="AL4619">
        <v>32.72383</v>
      </c>
      <c r="AM4619" t="s">
        <v>1164</v>
      </c>
      <c r="AN4619">
        <v>-116.73093799999999</v>
      </c>
      <c r="AO4619">
        <v>25</v>
      </c>
      <c r="AP4619">
        <v>4500</v>
      </c>
      <c r="AQ4619" t="s">
        <v>129</v>
      </c>
      <c r="AR4619">
        <v>-162</v>
      </c>
      <c r="AS4619">
        <v>-97</v>
      </c>
      <c r="AT4619">
        <v>-2112</v>
      </c>
      <c r="BB4619">
        <v>1200</v>
      </c>
      <c r="BC4619">
        <v>1</v>
      </c>
      <c r="BD4619" t="str">
        <f t="shared" si="1705"/>
        <v xml:space="preserve">N887QR  </v>
      </c>
      <c r="BE4619">
        <v>1</v>
      </c>
      <c r="BG4619">
        <v>0</v>
      </c>
      <c r="BH4619">
        <v>0</v>
      </c>
      <c r="BI4619">
        <v>0</v>
      </c>
      <c r="BJ4619">
        <v>4125</v>
      </c>
      <c r="BK4619">
        <v>-375</v>
      </c>
      <c r="BL4619" t="s">
        <v>163</v>
      </c>
      <c r="BM4619">
        <v>1</v>
      </c>
      <c r="BN4619">
        <v>1</v>
      </c>
      <c r="BO4619">
        <v>1</v>
      </c>
      <c r="BP4619">
        <v>0</v>
      </c>
      <c r="BS4619">
        <v>0</v>
      </c>
      <c r="BT4619">
        <v>0</v>
      </c>
      <c r="BU4619">
        <v>0</v>
      </c>
      <c r="CE4619" t="str">
        <f t="shared" si="1710"/>
        <v>19:37:56.089</v>
      </c>
      <c r="CF4619">
        <v>88539017</v>
      </c>
      <c r="CS4619">
        <v>0</v>
      </c>
      <c r="CT4619">
        <v>2</v>
      </c>
      <c r="CU4619">
        <v>0</v>
      </c>
      <c r="CV4619">
        <v>2</v>
      </c>
      <c r="CW4619">
        <v>2</v>
      </c>
      <c r="CX4619">
        <v>6</v>
      </c>
      <c r="CY4619">
        <v>7</v>
      </c>
      <c r="CZ4619" t="s">
        <v>131</v>
      </c>
      <c r="DA4619">
        <v>286</v>
      </c>
      <c r="DB4619">
        <v>0</v>
      </c>
      <c r="DC4619" t="s">
        <v>132</v>
      </c>
      <c r="DD4619" t="s">
        <v>133</v>
      </c>
      <c r="DG4619">
        <v>919983</v>
      </c>
      <c r="DI4619">
        <v>0</v>
      </c>
      <c r="DJ4619">
        <v>0</v>
      </c>
      <c r="DK4619">
        <v>1</v>
      </c>
      <c r="DL4619">
        <v>0</v>
      </c>
      <c r="DM4619">
        <v>0</v>
      </c>
      <c r="DN4619">
        <v>1</v>
      </c>
      <c r="DO4619">
        <v>0</v>
      </c>
      <c r="DP4619">
        <v>0</v>
      </c>
      <c r="DQ4619">
        <v>0</v>
      </c>
      <c r="DR4619">
        <v>0</v>
      </c>
      <c r="DS4619">
        <v>0</v>
      </c>
    </row>
    <row r="4620" spans="1:123" x14ac:dyDescent="0.3">
      <c r="A4620" t="str">
        <f t="shared" si="1708"/>
        <v>10/04/2022 19:37:56.339</v>
      </c>
      <c r="C4620" t="str">
        <f t="shared" si="1696"/>
        <v>FFDFD3C0</v>
      </c>
      <c r="D4620" t="s">
        <v>143</v>
      </c>
      <c r="E4620">
        <v>20</v>
      </c>
      <c r="F4620">
        <v>1020</v>
      </c>
      <c r="G4620" t="s">
        <v>144</v>
      </c>
      <c r="J4620" t="s">
        <v>145</v>
      </c>
      <c r="K4620">
        <v>0</v>
      </c>
      <c r="L4620">
        <v>3</v>
      </c>
      <c r="M4620">
        <v>0</v>
      </c>
      <c r="N4620">
        <v>2</v>
      </c>
      <c r="O4620">
        <v>0</v>
      </c>
      <c r="P4620">
        <v>1</v>
      </c>
      <c r="Q4620">
        <v>0</v>
      </c>
      <c r="S4620" t="str">
        <f t="shared" si="1709"/>
        <v>19:37:56.000</v>
      </c>
      <c r="T4620" t="str">
        <f t="shared" si="1709"/>
        <v>19:37:56.000</v>
      </c>
      <c r="U4620" t="str">
        <f t="shared" si="1704"/>
        <v>AC3944</v>
      </c>
      <c r="V4620">
        <v>0</v>
      </c>
      <c r="W4620">
        <v>0</v>
      </c>
      <c r="X4620">
        <v>2</v>
      </c>
      <c r="Y4620">
        <v>0</v>
      </c>
      <c r="AA4620">
        <v>1</v>
      </c>
      <c r="AB4620">
        <v>8</v>
      </c>
      <c r="AC4620">
        <v>3</v>
      </c>
      <c r="AD4620">
        <v>0</v>
      </c>
      <c r="AE4620">
        <v>9</v>
      </c>
      <c r="AF4620" t="s">
        <v>138</v>
      </c>
      <c r="AG4620">
        <v>0</v>
      </c>
      <c r="AH4620">
        <v>3</v>
      </c>
      <c r="AI4620">
        <v>1</v>
      </c>
      <c r="AJ4620">
        <v>0</v>
      </c>
      <c r="AK4620" t="s">
        <v>1452</v>
      </c>
      <c r="AL4620">
        <v>32.72383</v>
      </c>
      <c r="AM4620" t="s">
        <v>1164</v>
      </c>
      <c r="AN4620">
        <v>-116.73093799999999</v>
      </c>
      <c r="AO4620">
        <v>25</v>
      </c>
      <c r="AP4620">
        <v>4500</v>
      </c>
      <c r="AQ4620" t="s">
        <v>129</v>
      </c>
      <c r="AR4620">
        <v>-162</v>
      </c>
      <c r="AS4620">
        <v>-97</v>
      </c>
      <c r="AT4620">
        <v>-2112</v>
      </c>
      <c r="BB4620">
        <v>1200</v>
      </c>
      <c r="BC4620">
        <v>1</v>
      </c>
      <c r="BD4620" t="str">
        <f t="shared" si="1705"/>
        <v xml:space="preserve">N887QR  </v>
      </c>
      <c r="BE4620">
        <v>1</v>
      </c>
      <c r="BG4620">
        <v>0</v>
      </c>
      <c r="BH4620">
        <v>0</v>
      </c>
      <c r="BI4620">
        <v>0</v>
      </c>
      <c r="BJ4620">
        <v>4125</v>
      </c>
      <c r="BK4620">
        <v>-375</v>
      </c>
      <c r="BL4620" t="s">
        <v>163</v>
      </c>
      <c r="BM4620">
        <v>1</v>
      </c>
      <c r="BN4620">
        <v>1</v>
      </c>
      <c r="BO4620">
        <v>1</v>
      </c>
      <c r="BP4620">
        <v>0</v>
      </c>
      <c r="BS4620">
        <v>0</v>
      </c>
      <c r="BT4620">
        <v>0</v>
      </c>
      <c r="BU4620">
        <v>0</v>
      </c>
      <c r="CE4620" t="str">
        <f t="shared" si="1710"/>
        <v>19:37:56.089</v>
      </c>
      <c r="CF4620">
        <v>88539017</v>
      </c>
      <c r="CS4620">
        <v>0</v>
      </c>
      <c r="CT4620">
        <v>2</v>
      </c>
      <c r="CU4620">
        <v>0</v>
      </c>
      <c r="CV4620">
        <v>2</v>
      </c>
      <c r="CW4620">
        <v>2</v>
      </c>
      <c r="CX4620">
        <v>6</v>
      </c>
      <c r="CY4620">
        <v>7</v>
      </c>
      <c r="CZ4620" t="s">
        <v>131</v>
      </c>
      <c r="DA4620">
        <v>286</v>
      </c>
      <c r="DB4620">
        <v>0</v>
      </c>
      <c r="DC4620" t="s">
        <v>132</v>
      </c>
      <c r="DD4620" t="s">
        <v>133</v>
      </c>
      <c r="DG4620">
        <v>919983</v>
      </c>
      <c r="DI4620">
        <v>0</v>
      </c>
      <c r="DJ4620">
        <v>0</v>
      </c>
      <c r="DK4620">
        <v>1</v>
      </c>
      <c r="DL4620">
        <v>0</v>
      </c>
      <c r="DM4620">
        <v>0</v>
      </c>
      <c r="DN4620">
        <v>1</v>
      </c>
      <c r="DO4620">
        <v>0</v>
      </c>
      <c r="DP4620">
        <v>0</v>
      </c>
      <c r="DQ4620">
        <v>0</v>
      </c>
      <c r="DR4620">
        <v>0</v>
      </c>
      <c r="DS4620">
        <v>0</v>
      </c>
    </row>
    <row r="4621" spans="1:123" x14ac:dyDescent="0.3">
      <c r="A4621" t="str">
        <f t="shared" si="1708"/>
        <v>10/04/2022 19:37:56.339</v>
      </c>
      <c r="C4621" t="str">
        <f t="shared" si="1696"/>
        <v>FFDFD3C0</v>
      </c>
      <c r="D4621" t="s">
        <v>141</v>
      </c>
      <c r="E4621">
        <v>4</v>
      </c>
      <c r="H4621">
        <v>4</v>
      </c>
      <c r="I4621" t="s">
        <v>142</v>
      </c>
      <c r="J4621" t="s">
        <v>138</v>
      </c>
      <c r="K4621">
        <v>0</v>
      </c>
      <c r="L4621">
        <v>3</v>
      </c>
      <c r="M4621">
        <v>0</v>
      </c>
      <c r="N4621">
        <v>2</v>
      </c>
      <c r="O4621">
        <v>0</v>
      </c>
      <c r="P4621">
        <v>1</v>
      </c>
      <c r="Q4621">
        <v>0</v>
      </c>
      <c r="S4621" t="str">
        <f t="shared" si="1709"/>
        <v>19:37:56.000</v>
      </c>
      <c r="T4621" t="str">
        <f t="shared" si="1709"/>
        <v>19:37:56.000</v>
      </c>
      <c r="U4621" t="str">
        <f t="shared" si="1704"/>
        <v>AC3944</v>
      </c>
      <c r="V4621">
        <v>0</v>
      </c>
      <c r="W4621">
        <v>0</v>
      </c>
      <c r="X4621">
        <v>2</v>
      </c>
      <c r="Y4621">
        <v>0</v>
      </c>
      <c r="AA4621">
        <v>1</v>
      </c>
      <c r="AB4621">
        <v>8</v>
      </c>
      <c r="AC4621">
        <v>3</v>
      </c>
      <c r="AD4621">
        <v>0</v>
      </c>
      <c r="AE4621">
        <v>9</v>
      </c>
      <c r="AF4621" t="s">
        <v>138</v>
      </c>
      <c r="AG4621">
        <v>0</v>
      </c>
      <c r="AH4621">
        <v>3</v>
      </c>
      <c r="AI4621">
        <v>1</v>
      </c>
      <c r="AJ4621">
        <v>0</v>
      </c>
      <c r="AK4621" t="s">
        <v>1452</v>
      </c>
      <c r="AL4621">
        <v>32.72383</v>
      </c>
      <c r="AM4621" t="s">
        <v>1164</v>
      </c>
      <c r="AN4621">
        <v>-116.73093799999999</v>
      </c>
      <c r="AO4621">
        <v>25</v>
      </c>
      <c r="AP4621">
        <v>4500</v>
      </c>
      <c r="AQ4621" t="s">
        <v>129</v>
      </c>
      <c r="AR4621">
        <v>-162</v>
      </c>
      <c r="AS4621">
        <v>-97</v>
      </c>
      <c r="AT4621">
        <v>-2112</v>
      </c>
      <c r="BB4621">
        <v>1200</v>
      </c>
      <c r="BC4621">
        <v>1</v>
      </c>
      <c r="BD4621" t="str">
        <f t="shared" si="1705"/>
        <v xml:space="preserve">N887QR  </v>
      </c>
      <c r="BE4621">
        <v>1</v>
      </c>
      <c r="BG4621">
        <v>0</v>
      </c>
      <c r="BH4621">
        <v>0</v>
      </c>
      <c r="BI4621">
        <v>0</v>
      </c>
      <c r="BJ4621">
        <v>4125</v>
      </c>
      <c r="BK4621">
        <v>-375</v>
      </c>
      <c r="BL4621" t="s">
        <v>163</v>
      </c>
      <c r="BM4621">
        <v>1</v>
      </c>
      <c r="BN4621">
        <v>1</v>
      </c>
      <c r="BO4621">
        <v>1</v>
      </c>
      <c r="BP4621">
        <v>0</v>
      </c>
      <c r="BS4621">
        <v>0</v>
      </c>
      <c r="BT4621">
        <v>0</v>
      </c>
      <c r="BU4621">
        <v>0</v>
      </c>
      <c r="CE4621" t="str">
        <f t="shared" si="1710"/>
        <v>19:37:56.089</v>
      </c>
      <c r="CF4621">
        <v>88539017</v>
      </c>
      <c r="CS4621">
        <v>0</v>
      </c>
      <c r="CT4621">
        <v>2</v>
      </c>
      <c r="CU4621">
        <v>0</v>
      </c>
      <c r="CV4621">
        <v>2</v>
      </c>
      <c r="CW4621">
        <v>2</v>
      </c>
      <c r="CX4621">
        <v>6</v>
      </c>
      <c r="CY4621">
        <v>7</v>
      </c>
      <c r="CZ4621" t="s">
        <v>131</v>
      </c>
      <c r="DA4621">
        <v>286</v>
      </c>
      <c r="DB4621">
        <v>0</v>
      </c>
      <c r="DC4621" t="s">
        <v>132</v>
      </c>
      <c r="DD4621" t="s">
        <v>133</v>
      </c>
      <c r="DG4621">
        <v>919983</v>
      </c>
      <c r="DI4621">
        <v>0</v>
      </c>
      <c r="DJ4621">
        <v>0</v>
      </c>
      <c r="DK4621">
        <v>1</v>
      </c>
      <c r="DL4621">
        <v>0</v>
      </c>
      <c r="DM4621">
        <v>0</v>
      </c>
      <c r="DN4621">
        <v>1</v>
      </c>
      <c r="DO4621">
        <v>0</v>
      </c>
      <c r="DP4621">
        <v>0</v>
      </c>
      <c r="DQ4621">
        <v>0</v>
      </c>
      <c r="DR4621">
        <v>0</v>
      </c>
      <c r="DS4621">
        <v>0</v>
      </c>
    </row>
    <row r="4622" spans="1:123" x14ac:dyDescent="0.3">
      <c r="A4622" t="str">
        <f t="shared" si="1708"/>
        <v>10/04/2022 19:37:56.339</v>
      </c>
      <c r="C4622" t="str">
        <f t="shared" si="1696"/>
        <v>FFDFD3C0</v>
      </c>
      <c r="D4622" t="s">
        <v>123</v>
      </c>
      <c r="E4622">
        <v>7</v>
      </c>
      <c r="F4622">
        <v>2007</v>
      </c>
      <c r="G4622" t="s">
        <v>124</v>
      </c>
      <c r="J4622" t="s">
        <v>125</v>
      </c>
      <c r="K4622">
        <v>0</v>
      </c>
      <c r="L4622">
        <v>3</v>
      </c>
      <c r="M4622">
        <v>0</v>
      </c>
      <c r="N4622">
        <v>2</v>
      </c>
      <c r="O4622">
        <v>0</v>
      </c>
      <c r="P4622">
        <v>1</v>
      </c>
      <c r="Q4622">
        <v>0</v>
      </c>
      <c r="S4622" t="str">
        <f t="shared" si="1709"/>
        <v>19:37:56.000</v>
      </c>
      <c r="T4622" t="str">
        <f t="shared" si="1709"/>
        <v>19:37:56.000</v>
      </c>
      <c r="U4622" t="str">
        <f t="shared" si="1704"/>
        <v>AC3944</v>
      </c>
      <c r="V4622">
        <v>0</v>
      </c>
      <c r="W4622">
        <v>0</v>
      </c>
      <c r="X4622">
        <v>2</v>
      </c>
      <c r="Y4622">
        <v>0</v>
      </c>
      <c r="AA4622">
        <v>1</v>
      </c>
      <c r="AB4622">
        <v>8</v>
      </c>
      <c r="AC4622">
        <v>3</v>
      </c>
      <c r="AD4622">
        <v>0</v>
      </c>
      <c r="AE4622">
        <v>9</v>
      </c>
      <c r="AF4622" t="s">
        <v>138</v>
      </c>
      <c r="AG4622">
        <v>0</v>
      </c>
      <c r="AH4622">
        <v>3</v>
      </c>
      <c r="AI4622">
        <v>1</v>
      </c>
      <c r="AJ4622">
        <v>0</v>
      </c>
      <c r="AK4622" t="s">
        <v>1452</v>
      </c>
      <c r="AL4622">
        <v>32.72383</v>
      </c>
      <c r="AM4622" t="s">
        <v>1164</v>
      </c>
      <c r="AN4622">
        <v>-116.73093799999999</v>
      </c>
      <c r="AO4622">
        <v>25</v>
      </c>
      <c r="AP4622">
        <v>4500</v>
      </c>
      <c r="AQ4622" t="s">
        <v>129</v>
      </c>
      <c r="AR4622">
        <v>-162</v>
      </c>
      <c r="AS4622">
        <v>-97</v>
      </c>
      <c r="AT4622">
        <v>-2112</v>
      </c>
      <c r="BB4622">
        <v>1200</v>
      </c>
      <c r="BC4622">
        <v>1</v>
      </c>
      <c r="BD4622" t="str">
        <f t="shared" si="1705"/>
        <v xml:space="preserve">N887QR  </v>
      </c>
      <c r="BE4622">
        <v>1</v>
      </c>
      <c r="BG4622">
        <v>0</v>
      </c>
      <c r="BH4622">
        <v>0</v>
      </c>
      <c r="BI4622">
        <v>0</v>
      </c>
      <c r="BJ4622">
        <v>4125</v>
      </c>
      <c r="BK4622">
        <v>-375</v>
      </c>
      <c r="BL4622" t="s">
        <v>163</v>
      </c>
      <c r="BM4622">
        <v>1</v>
      </c>
      <c r="BN4622">
        <v>1</v>
      </c>
      <c r="BO4622">
        <v>1</v>
      </c>
      <c r="BP4622">
        <v>0</v>
      </c>
      <c r="BS4622">
        <v>0</v>
      </c>
      <c r="BT4622">
        <v>0</v>
      </c>
      <c r="BU4622">
        <v>0</v>
      </c>
      <c r="CE4622" t="str">
        <f t="shared" si="1710"/>
        <v>19:37:56.089</v>
      </c>
      <c r="CF4622">
        <v>88539017</v>
      </c>
      <c r="CS4622">
        <v>0</v>
      </c>
      <c r="CT4622">
        <v>2</v>
      </c>
      <c r="CU4622">
        <v>0</v>
      </c>
      <c r="CV4622">
        <v>2</v>
      </c>
      <c r="CW4622">
        <v>2</v>
      </c>
      <c r="CX4622">
        <v>6</v>
      </c>
      <c r="CY4622">
        <v>7</v>
      </c>
      <c r="CZ4622" t="s">
        <v>131</v>
      </c>
      <c r="DA4622">
        <v>286</v>
      </c>
      <c r="DB4622">
        <v>0</v>
      </c>
      <c r="DC4622" t="s">
        <v>132</v>
      </c>
      <c r="DD4622" t="s">
        <v>133</v>
      </c>
      <c r="DG4622">
        <v>919983</v>
      </c>
      <c r="DI4622">
        <v>0</v>
      </c>
      <c r="DJ4622">
        <v>0</v>
      </c>
      <c r="DK4622">
        <v>0</v>
      </c>
      <c r="DL4622">
        <v>0</v>
      </c>
      <c r="DM4622">
        <v>0</v>
      </c>
      <c r="DN4622">
        <v>1</v>
      </c>
      <c r="DO4622">
        <v>0</v>
      </c>
      <c r="DP4622">
        <v>0</v>
      </c>
      <c r="DQ4622">
        <v>0</v>
      </c>
      <c r="DR4622">
        <v>0</v>
      </c>
      <c r="DS4622">
        <v>0</v>
      </c>
    </row>
    <row r="4623" spans="1:123" x14ac:dyDescent="0.3">
      <c r="A4623" t="str">
        <f t="shared" si="1708"/>
        <v>10/04/2022 19:37:56.339</v>
      </c>
      <c r="C4623" t="str">
        <f t="shared" si="1696"/>
        <v>FFDFD3C0</v>
      </c>
      <c r="D4623" t="s">
        <v>134</v>
      </c>
      <c r="E4623">
        <v>15</v>
      </c>
      <c r="J4623" t="s">
        <v>135</v>
      </c>
      <c r="K4623">
        <v>0</v>
      </c>
      <c r="L4623">
        <v>3</v>
      </c>
      <c r="M4623">
        <v>0</v>
      </c>
      <c r="N4623">
        <v>2</v>
      </c>
      <c r="O4623">
        <v>0</v>
      </c>
      <c r="P4623">
        <v>1</v>
      </c>
      <c r="Q4623">
        <v>0</v>
      </c>
      <c r="S4623" t="str">
        <f t="shared" si="1709"/>
        <v>19:37:56.000</v>
      </c>
      <c r="T4623" t="str">
        <f t="shared" si="1709"/>
        <v>19:37:56.000</v>
      </c>
      <c r="U4623" t="str">
        <f t="shared" si="1704"/>
        <v>AC3944</v>
      </c>
      <c r="V4623">
        <v>0</v>
      </c>
      <c r="W4623">
        <v>0</v>
      </c>
      <c r="X4623">
        <v>2</v>
      </c>
      <c r="Y4623">
        <v>0</v>
      </c>
      <c r="AA4623">
        <v>1</v>
      </c>
      <c r="AB4623">
        <v>8</v>
      </c>
      <c r="AC4623">
        <v>3</v>
      </c>
      <c r="AD4623">
        <v>0</v>
      </c>
      <c r="AE4623">
        <v>9</v>
      </c>
      <c r="AF4623" t="s">
        <v>138</v>
      </c>
      <c r="AG4623">
        <v>0</v>
      </c>
      <c r="AH4623">
        <v>3</v>
      </c>
      <c r="AI4623">
        <v>1</v>
      </c>
      <c r="AJ4623">
        <v>0</v>
      </c>
      <c r="AK4623" t="s">
        <v>1452</v>
      </c>
      <c r="AL4623">
        <v>32.72383</v>
      </c>
      <c r="AM4623" t="s">
        <v>1164</v>
      </c>
      <c r="AN4623">
        <v>-116.73093799999999</v>
      </c>
      <c r="AO4623">
        <v>25</v>
      </c>
      <c r="AP4623">
        <v>4500</v>
      </c>
      <c r="AQ4623" t="s">
        <v>129</v>
      </c>
      <c r="AR4623">
        <v>-162</v>
      </c>
      <c r="AS4623">
        <v>-97</v>
      </c>
      <c r="AT4623">
        <v>-2112</v>
      </c>
      <c r="BB4623">
        <v>1200</v>
      </c>
      <c r="BC4623">
        <v>1</v>
      </c>
      <c r="BD4623" t="str">
        <f t="shared" si="1705"/>
        <v xml:space="preserve">N887QR  </v>
      </c>
      <c r="BE4623">
        <v>1</v>
      </c>
      <c r="BG4623">
        <v>0</v>
      </c>
      <c r="BH4623">
        <v>0</v>
      </c>
      <c r="BI4623">
        <v>0</v>
      </c>
      <c r="BJ4623">
        <v>4125</v>
      </c>
      <c r="BK4623">
        <v>-375</v>
      </c>
      <c r="BL4623" t="s">
        <v>163</v>
      </c>
      <c r="BM4623">
        <v>1</v>
      </c>
      <c r="BN4623">
        <v>1</v>
      </c>
      <c r="BO4623">
        <v>1</v>
      </c>
      <c r="BP4623">
        <v>0</v>
      </c>
      <c r="BS4623">
        <v>0</v>
      </c>
      <c r="BT4623">
        <v>0</v>
      </c>
      <c r="BU4623">
        <v>0</v>
      </c>
      <c r="CE4623" t="str">
        <f t="shared" si="1710"/>
        <v>19:37:56.089</v>
      </c>
      <c r="CF4623">
        <v>88539017</v>
      </c>
      <c r="CS4623">
        <v>0</v>
      </c>
      <c r="CT4623">
        <v>2</v>
      </c>
      <c r="CU4623">
        <v>0</v>
      </c>
      <c r="CV4623">
        <v>2</v>
      </c>
      <c r="CW4623">
        <v>2</v>
      </c>
      <c r="CX4623">
        <v>6</v>
      </c>
      <c r="CY4623">
        <v>7</v>
      </c>
      <c r="CZ4623" t="s">
        <v>131</v>
      </c>
      <c r="DA4623">
        <v>286</v>
      </c>
      <c r="DB4623">
        <v>0</v>
      </c>
      <c r="DC4623" t="s">
        <v>132</v>
      </c>
      <c r="DD4623" t="s">
        <v>133</v>
      </c>
      <c r="DG4623">
        <v>919983</v>
      </c>
      <c r="DI4623">
        <v>0</v>
      </c>
      <c r="DJ4623">
        <v>0</v>
      </c>
      <c r="DK4623">
        <v>1</v>
      </c>
      <c r="DL4623">
        <v>0</v>
      </c>
      <c r="DM4623">
        <v>0</v>
      </c>
      <c r="DN4623">
        <v>1</v>
      </c>
      <c r="DO4623">
        <v>0</v>
      </c>
      <c r="DP4623">
        <v>0</v>
      </c>
      <c r="DQ4623">
        <v>0</v>
      </c>
      <c r="DR4623">
        <v>0</v>
      </c>
      <c r="DS4623">
        <v>0</v>
      </c>
    </row>
    <row r="4624" spans="1:123" x14ac:dyDescent="0.3">
      <c r="A4624" t="str">
        <f t="shared" si="1708"/>
        <v>10/04/2022 19:37:56.339</v>
      </c>
      <c r="C4624" t="str">
        <f t="shared" si="1696"/>
        <v>FFDFD3C0</v>
      </c>
      <c r="D4624" t="s">
        <v>136</v>
      </c>
      <c r="E4624">
        <v>8</v>
      </c>
      <c r="H4624">
        <v>225</v>
      </c>
      <c r="I4624" t="s">
        <v>137</v>
      </c>
      <c r="J4624" t="s">
        <v>138</v>
      </c>
      <c r="K4624">
        <v>0</v>
      </c>
      <c r="L4624">
        <v>3</v>
      </c>
      <c r="M4624">
        <v>0</v>
      </c>
      <c r="N4624">
        <v>2</v>
      </c>
      <c r="O4624">
        <v>0</v>
      </c>
      <c r="P4624">
        <v>1</v>
      </c>
      <c r="Q4624">
        <v>0</v>
      </c>
      <c r="S4624" t="str">
        <f t="shared" si="1709"/>
        <v>19:37:56.000</v>
      </c>
      <c r="T4624" t="str">
        <f t="shared" si="1709"/>
        <v>19:37:56.000</v>
      </c>
      <c r="U4624" t="str">
        <f t="shared" si="1704"/>
        <v>AC3944</v>
      </c>
      <c r="V4624">
        <v>0</v>
      </c>
      <c r="W4624">
        <v>0</v>
      </c>
      <c r="X4624">
        <v>2</v>
      </c>
      <c r="Y4624">
        <v>0</v>
      </c>
      <c r="AA4624">
        <v>1</v>
      </c>
      <c r="AB4624">
        <v>8</v>
      </c>
      <c r="AC4624">
        <v>3</v>
      </c>
      <c r="AD4624">
        <v>0</v>
      </c>
      <c r="AE4624">
        <v>9</v>
      </c>
      <c r="AF4624" t="s">
        <v>138</v>
      </c>
      <c r="AG4624">
        <v>0</v>
      </c>
      <c r="AH4624">
        <v>3</v>
      </c>
      <c r="AI4624">
        <v>1</v>
      </c>
      <c r="AJ4624">
        <v>0</v>
      </c>
      <c r="AK4624" t="s">
        <v>1452</v>
      </c>
      <c r="AL4624">
        <v>32.72383</v>
      </c>
      <c r="AM4624" t="s">
        <v>1164</v>
      </c>
      <c r="AN4624">
        <v>-116.73093799999999</v>
      </c>
      <c r="AO4624">
        <v>25</v>
      </c>
      <c r="AP4624">
        <v>4500</v>
      </c>
      <c r="AQ4624" t="s">
        <v>129</v>
      </c>
      <c r="AR4624">
        <v>-162</v>
      </c>
      <c r="AS4624">
        <v>-97</v>
      </c>
      <c r="AT4624">
        <v>-2112</v>
      </c>
      <c r="BB4624">
        <v>1200</v>
      </c>
      <c r="BC4624">
        <v>1</v>
      </c>
      <c r="BD4624" t="str">
        <f t="shared" si="1705"/>
        <v xml:space="preserve">N887QR  </v>
      </c>
      <c r="BE4624">
        <v>1</v>
      </c>
      <c r="BG4624">
        <v>0</v>
      </c>
      <c r="BH4624">
        <v>0</v>
      </c>
      <c r="BI4624">
        <v>0</v>
      </c>
      <c r="BJ4624">
        <v>4125</v>
      </c>
      <c r="BK4624">
        <v>-375</v>
      </c>
      <c r="BL4624" t="s">
        <v>163</v>
      </c>
      <c r="BM4624">
        <v>1</v>
      </c>
      <c r="BN4624">
        <v>1</v>
      </c>
      <c r="BO4624">
        <v>1</v>
      </c>
      <c r="BP4624">
        <v>0</v>
      </c>
      <c r="BS4624">
        <v>0</v>
      </c>
      <c r="BT4624">
        <v>0</v>
      </c>
      <c r="BU4624">
        <v>0</v>
      </c>
      <c r="CE4624" t="str">
        <f t="shared" si="1710"/>
        <v>19:37:56.089</v>
      </c>
      <c r="CF4624">
        <v>88539017</v>
      </c>
      <c r="CS4624">
        <v>0</v>
      </c>
      <c r="CT4624">
        <v>2</v>
      </c>
      <c r="CU4624">
        <v>0</v>
      </c>
      <c r="CV4624">
        <v>2</v>
      </c>
      <c r="CW4624">
        <v>2</v>
      </c>
      <c r="CX4624">
        <v>6</v>
      </c>
      <c r="CY4624">
        <v>7</v>
      </c>
      <c r="CZ4624" t="s">
        <v>131</v>
      </c>
      <c r="DA4624">
        <v>286</v>
      </c>
      <c r="DB4624">
        <v>0</v>
      </c>
      <c r="DC4624" t="s">
        <v>132</v>
      </c>
      <c r="DD4624" t="s">
        <v>133</v>
      </c>
      <c r="DG4624">
        <v>919983</v>
      </c>
      <c r="DI4624">
        <v>0</v>
      </c>
      <c r="DJ4624">
        <v>0</v>
      </c>
      <c r="DK4624">
        <v>1</v>
      </c>
      <c r="DL4624">
        <v>0</v>
      </c>
      <c r="DM4624">
        <v>0</v>
      </c>
      <c r="DN4624">
        <v>1</v>
      </c>
      <c r="DO4624">
        <v>0</v>
      </c>
      <c r="DP4624">
        <v>0</v>
      </c>
      <c r="DQ4624">
        <v>0</v>
      </c>
      <c r="DR4624">
        <v>0</v>
      </c>
      <c r="DS4624">
        <v>0</v>
      </c>
    </row>
    <row r="4625" spans="1:123" x14ac:dyDescent="0.3">
      <c r="A4625" t="str">
        <f t="shared" ref="A4625:A4631" si="1711">"10/04/2022 19:37:57.419"</f>
        <v>10/04/2022 19:37:57.419</v>
      </c>
      <c r="C4625" t="str">
        <f t="shared" si="1696"/>
        <v>FFDFD3C0</v>
      </c>
      <c r="D4625" t="s">
        <v>147</v>
      </c>
      <c r="E4625">
        <v>3</v>
      </c>
      <c r="H4625">
        <v>166</v>
      </c>
      <c r="I4625" t="s">
        <v>144</v>
      </c>
      <c r="J4625" t="s">
        <v>148</v>
      </c>
      <c r="K4625">
        <v>0</v>
      </c>
      <c r="L4625">
        <v>3</v>
      </c>
      <c r="M4625">
        <v>0</v>
      </c>
      <c r="N4625">
        <v>2</v>
      </c>
      <c r="O4625">
        <v>0</v>
      </c>
      <c r="P4625">
        <v>1</v>
      </c>
      <c r="Q4625">
        <v>0</v>
      </c>
      <c r="S4625" t="str">
        <f t="shared" ref="S4625:T4631" si="1712">"19:37:57.000"</f>
        <v>19:37:57.000</v>
      </c>
      <c r="T4625" t="str">
        <f t="shared" si="1712"/>
        <v>19:37:57.000</v>
      </c>
      <c r="U4625" t="str">
        <f t="shared" si="1704"/>
        <v>AC3944</v>
      </c>
      <c r="V4625">
        <v>0</v>
      </c>
      <c r="W4625">
        <v>0</v>
      </c>
      <c r="X4625">
        <v>2</v>
      </c>
      <c r="Y4625">
        <v>0</v>
      </c>
      <c r="AA4625">
        <v>1</v>
      </c>
      <c r="AB4625">
        <v>8</v>
      </c>
      <c r="AC4625">
        <v>3</v>
      </c>
      <c r="AD4625">
        <v>0</v>
      </c>
      <c r="AE4625">
        <v>9</v>
      </c>
      <c r="AF4625" t="s">
        <v>138</v>
      </c>
      <c r="AG4625">
        <v>0</v>
      </c>
      <c r="AH4625">
        <v>3</v>
      </c>
      <c r="AI4625">
        <v>1</v>
      </c>
      <c r="AJ4625">
        <v>0</v>
      </c>
      <c r="AK4625" t="s">
        <v>1453</v>
      </c>
      <c r="AL4625">
        <v>32.723379000000001</v>
      </c>
      <c r="AM4625" t="s">
        <v>1454</v>
      </c>
      <c r="AN4625">
        <v>-116.73183899999999</v>
      </c>
      <c r="AO4625">
        <v>25</v>
      </c>
      <c r="AP4625">
        <v>4500</v>
      </c>
      <c r="AQ4625" t="s">
        <v>129</v>
      </c>
      <c r="AR4625">
        <v>-163</v>
      </c>
      <c r="AS4625">
        <v>-97</v>
      </c>
      <c r="AT4625">
        <v>-1984</v>
      </c>
      <c r="BB4625">
        <v>1200</v>
      </c>
      <c r="BC4625">
        <v>1</v>
      </c>
      <c r="BD4625" t="str">
        <f t="shared" si="1705"/>
        <v xml:space="preserve">N887QR  </v>
      </c>
      <c r="BE4625">
        <v>1</v>
      </c>
      <c r="BG4625">
        <v>0</v>
      </c>
      <c r="BH4625">
        <v>0</v>
      </c>
      <c r="BI4625">
        <v>0</v>
      </c>
      <c r="BJ4625">
        <v>4000</v>
      </c>
      <c r="BK4625">
        <v>-500</v>
      </c>
      <c r="BL4625" t="s">
        <v>163</v>
      </c>
      <c r="BM4625">
        <v>1</v>
      </c>
      <c r="BN4625">
        <v>1</v>
      </c>
      <c r="BO4625">
        <v>1</v>
      </c>
      <c r="BP4625">
        <v>0</v>
      </c>
      <c r="BS4625">
        <v>0</v>
      </c>
      <c r="BT4625">
        <v>0</v>
      </c>
      <c r="BU4625">
        <v>0</v>
      </c>
      <c r="CE4625" t="str">
        <f t="shared" ref="CE4625:CE4631" si="1713">"19:37:57.016"</f>
        <v>19:37:57.016</v>
      </c>
      <c r="CF4625">
        <v>15541739</v>
      </c>
      <c r="CS4625">
        <v>0</v>
      </c>
      <c r="CT4625">
        <v>2</v>
      </c>
      <c r="CU4625">
        <v>0</v>
      </c>
      <c r="CV4625">
        <v>2</v>
      </c>
      <c r="CW4625">
        <v>0</v>
      </c>
      <c r="CX4625">
        <v>6</v>
      </c>
      <c r="CY4625">
        <v>7</v>
      </c>
      <c r="CZ4625" t="s">
        <v>131</v>
      </c>
      <c r="DA4625">
        <v>286</v>
      </c>
      <c r="DB4625">
        <v>0</v>
      </c>
      <c r="DC4625" t="s">
        <v>132</v>
      </c>
      <c r="DD4625" t="s">
        <v>133</v>
      </c>
      <c r="DG4625">
        <v>920254</v>
      </c>
      <c r="DI4625">
        <v>0</v>
      </c>
      <c r="DJ4625">
        <v>0</v>
      </c>
      <c r="DK4625">
        <v>0</v>
      </c>
      <c r="DL4625">
        <v>0</v>
      </c>
      <c r="DM4625">
        <v>0</v>
      </c>
      <c r="DN4625">
        <v>1</v>
      </c>
      <c r="DO4625">
        <v>0</v>
      </c>
      <c r="DP4625">
        <v>0</v>
      </c>
      <c r="DQ4625">
        <v>0</v>
      </c>
      <c r="DR4625">
        <v>0</v>
      </c>
      <c r="DS4625">
        <v>0</v>
      </c>
    </row>
    <row r="4626" spans="1:123" x14ac:dyDescent="0.3">
      <c r="A4626" t="str">
        <f t="shared" si="1711"/>
        <v>10/04/2022 19:37:57.419</v>
      </c>
      <c r="C4626" t="str">
        <f t="shared" si="1696"/>
        <v>FFDFD3C0</v>
      </c>
      <c r="D4626" t="s">
        <v>141</v>
      </c>
      <c r="E4626">
        <v>3</v>
      </c>
      <c r="H4626">
        <v>3</v>
      </c>
      <c r="I4626" t="s">
        <v>146</v>
      </c>
      <c r="J4626" t="s">
        <v>138</v>
      </c>
      <c r="K4626">
        <v>0</v>
      </c>
      <c r="L4626">
        <v>3</v>
      </c>
      <c r="M4626">
        <v>0</v>
      </c>
      <c r="N4626">
        <v>2</v>
      </c>
      <c r="O4626">
        <v>0</v>
      </c>
      <c r="P4626">
        <v>1</v>
      </c>
      <c r="Q4626">
        <v>0</v>
      </c>
      <c r="S4626" t="str">
        <f t="shared" si="1712"/>
        <v>19:37:57.000</v>
      </c>
      <c r="T4626" t="str">
        <f t="shared" si="1712"/>
        <v>19:37:57.000</v>
      </c>
      <c r="U4626" t="str">
        <f t="shared" si="1704"/>
        <v>AC3944</v>
      </c>
      <c r="V4626">
        <v>0</v>
      </c>
      <c r="W4626">
        <v>0</v>
      </c>
      <c r="X4626">
        <v>2</v>
      </c>
      <c r="Y4626">
        <v>0</v>
      </c>
      <c r="AA4626">
        <v>1</v>
      </c>
      <c r="AB4626">
        <v>8</v>
      </c>
      <c r="AC4626">
        <v>3</v>
      </c>
      <c r="AD4626">
        <v>0</v>
      </c>
      <c r="AE4626">
        <v>9</v>
      </c>
      <c r="AF4626" t="s">
        <v>138</v>
      </c>
      <c r="AG4626">
        <v>0</v>
      </c>
      <c r="AH4626">
        <v>3</v>
      </c>
      <c r="AI4626">
        <v>1</v>
      </c>
      <c r="AJ4626">
        <v>0</v>
      </c>
      <c r="AK4626" t="s">
        <v>1453</v>
      </c>
      <c r="AL4626">
        <v>32.723379000000001</v>
      </c>
      <c r="AM4626" t="s">
        <v>1454</v>
      </c>
      <c r="AN4626">
        <v>-116.73183899999999</v>
      </c>
      <c r="AO4626">
        <v>25</v>
      </c>
      <c r="AP4626">
        <v>4500</v>
      </c>
      <c r="AQ4626" t="s">
        <v>129</v>
      </c>
      <c r="AR4626">
        <v>-163</v>
      </c>
      <c r="AS4626">
        <v>-97</v>
      </c>
      <c r="AT4626">
        <v>-1984</v>
      </c>
      <c r="BB4626">
        <v>1200</v>
      </c>
      <c r="BC4626">
        <v>1</v>
      </c>
      <c r="BD4626" t="str">
        <f t="shared" si="1705"/>
        <v xml:space="preserve">N887QR  </v>
      </c>
      <c r="BE4626">
        <v>1</v>
      </c>
      <c r="BG4626">
        <v>0</v>
      </c>
      <c r="BH4626">
        <v>0</v>
      </c>
      <c r="BI4626">
        <v>0</v>
      </c>
      <c r="BJ4626">
        <v>4000</v>
      </c>
      <c r="BK4626">
        <v>-500</v>
      </c>
      <c r="BL4626" t="s">
        <v>163</v>
      </c>
      <c r="BM4626">
        <v>1</v>
      </c>
      <c r="BN4626">
        <v>1</v>
      </c>
      <c r="BO4626">
        <v>1</v>
      </c>
      <c r="BP4626">
        <v>0</v>
      </c>
      <c r="BS4626">
        <v>0</v>
      </c>
      <c r="BT4626">
        <v>0</v>
      </c>
      <c r="BU4626">
        <v>0</v>
      </c>
      <c r="CE4626" t="str">
        <f t="shared" si="1713"/>
        <v>19:37:57.016</v>
      </c>
      <c r="CF4626">
        <v>15541739</v>
      </c>
      <c r="CS4626">
        <v>0</v>
      </c>
      <c r="CT4626">
        <v>2</v>
      </c>
      <c r="CU4626">
        <v>0</v>
      </c>
      <c r="CV4626">
        <v>2</v>
      </c>
      <c r="CW4626">
        <v>0</v>
      </c>
      <c r="CX4626">
        <v>6</v>
      </c>
      <c r="CY4626">
        <v>7</v>
      </c>
      <c r="CZ4626" t="s">
        <v>131</v>
      </c>
      <c r="DA4626">
        <v>286</v>
      </c>
      <c r="DB4626">
        <v>0</v>
      </c>
      <c r="DC4626" t="s">
        <v>132</v>
      </c>
      <c r="DD4626" t="s">
        <v>133</v>
      </c>
      <c r="DG4626">
        <v>920254</v>
      </c>
      <c r="DI4626">
        <v>0</v>
      </c>
      <c r="DJ4626">
        <v>0</v>
      </c>
      <c r="DK4626">
        <v>1</v>
      </c>
      <c r="DL4626">
        <v>0</v>
      </c>
      <c r="DM4626">
        <v>0</v>
      </c>
      <c r="DN4626">
        <v>1</v>
      </c>
      <c r="DO4626">
        <v>0</v>
      </c>
      <c r="DP4626">
        <v>0</v>
      </c>
      <c r="DQ4626">
        <v>0</v>
      </c>
      <c r="DR4626">
        <v>0</v>
      </c>
      <c r="DS4626">
        <v>0</v>
      </c>
    </row>
    <row r="4627" spans="1:123" x14ac:dyDescent="0.3">
      <c r="A4627" t="str">
        <f t="shared" si="1711"/>
        <v>10/04/2022 19:37:57.419</v>
      </c>
      <c r="C4627" t="str">
        <f t="shared" si="1696"/>
        <v>FFDFD3C0</v>
      </c>
      <c r="D4627" t="s">
        <v>143</v>
      </c>
      <c r="E4627">
        <v>20</v>
      </c>
      <c r="F4627">
        <v>1020</v>
      </c>
      <c r="G4627" t="s">
        <v>144</v>
      </c>
      <c r="J4627" t="s">
        <v>145</v>
      </c>
      <c r="K4627">
        <v>0</v>
      </c>
      <c r="L4627">
        <v>3</v>
      </c>
      <c r="M4627">
        <v>0</v>
      </c>
      <c r="N4627">
        <v>2</v>
      </c>
      <c r="O4627">
        <v>0</v>
      </c>
      <c r="P4627">
        <v>1</v>
      </c>
      <c r="Q4627">
        <v>0</v>
      </c>
      <c r="S4627" t="str">
        <f t="shared" si="1712"/>
        <v>19:37:57.000</v>
      </c>
      <c r="T4627" t="str">
        <f t="shared" si="1712"/>
        <v>19:37:57.000</v>
      </c>
      <c r="U4627" t="str">
        <f t="shared" si="1704"/>
        <v>AC3944</v>
      </c>
      <c r="V4627">
        <v>0</v>
      </c>
      <c r="W4627">
        <v>0</v>
      </c>
      <c r="X4627">
        <v>2</v>
      </c>
      <c r="Y4627">
        <v>0</v>
      </c>
      <c r="AA4627">
        <v>1</v>
      </c>
      <c r="AB4627">
        <v>8</v>
      </c>
      <c r="AC4627">
        <v>3</v>
      </c>
      <c r="AD4627">
        <v>0</v>
      </c>
      <c r="AE4627">
        <v>9</v>
      </c>
      <c r="AF4627" t="s">
        <v>138</v>
      </c>
      <c r="AG4627">
        <v>0</v>
      </c>
      <c r="AH4627">
        <v>3</v>
      </c>
      <c r="AI4627">
        <v>1</v>
      </c>
      <c r="AJ4627">
        <v>0</v>
      </c>
      <c r="AK4627" t="s">
        <v>1453</v>
      </c>
      <c r="AL4627">
        <v>32.723379000000001</v>
      </c>
      <c r="AM4627" t="s">
        <v>1454</v>
      </c>
      <c r="AN4627">
        <v>-116.73183899999999</v>
      </c>
      <c r="AO4627">
        <v>25</v>
      </c>
      <c r="AP4627">
        <v>4500</v>
      </c>
      <c r="AQ4627" t="s">
        <v>129</v>
      </c>
      <c r="AR4627">
        <v>-163</v>
      </c>
      <c r="AS4627">
        <v>-97</v>
      </c>
      <c r="AT4627">
        <v>-1984</v>
      </c>
      <c r="BB4627">
        <v>1200</v>
      </c>
      <c r="BC4627">
        <v>1</v>
      </c>
      <c r="BD4627" t="str">
        <f t="shared" si="1705"/>
        <v xml:space="preserve">N887QR  </v>
      </c>
      <c r="BE4627">
        <v>1</v>
      </c>
      <c r="BG4627">
        <v>0</v>
      </c>
      <c r="BH4627">
        <v>0</v>
      </c>
      <c r="BI4627">
        <v>0</v>
      </c>
      <c r="BJ4627">
        <v>4000</v>
      </c>
      <c r="BK4627">
        <v>-500</v>
      </c>
      <c r="BL4627" t="s">
        <v>163</v>
      </c>
      <c r="BM4627">
        <v>1</v>
      </c>
      <c r="BN4627">
        <v>1</v>
      </c>
      <c r="BO4627">
        <v>1</v>
      </c>
      <c r="BP4627">
        <v>0</v>
      </c>
      <c r="BS4627">
        <v>0</v>
      </c>
      <c r="BT4627">
        <v>0</v>
      </c>
      <c r="BU4627">
        <v>0</v>
      </c>
      <c r="CE4627" t="str">
        <f t="shared" si="1713"/>
        <v>19:37:57.016</v>
      </c>
      <c r="CF4627">
        <v>15541739</v>
      </c>
      <c r="CS4627">
        <v>0</v>
      </c>
      <c r="CT4627">
        <v>2</v>
      </c>
      <c r="CU4627">
        <v>0</v>
      </c>
      <c r="CV4627">
        <v>2</v>
      </c>
      <c r="CW4627">
        <v>0</v>
      </c>
      <c r="CX4627">
        <v>6</v>
      </c>
      <c r="CY4627">
        <v>7</v>
      </c>
      <c r="CZ4627" t="s">
        <v>131</v>
      </c>
      <c r="DA4627">
        <v>286</v>
      </c>
      <c r="DB4627">
        <v>0</v>
      </c>
      <c r="DC4627" t="s">
        <v>132</v>
      </c>
      <c r="DD4627" t="s">
        <v>133</v>
      </c>
      <c r="DG4627">
        <v>920254</v>
      </c>
      <c r="DI4627">
        <v>0</v>
      </c>
      <c r="DJ4627">
        <v>0</v>
      </c>
      <c r="DK4627">
        <v>1</v>
      </c>
      <c r="DL4627">
        <v>0</v>
      </c>
      <c r="DM4627">
        <v>0</v>
      </c>
      <c r="DN4627">
        <v>1</v>
      </c>
      <c r="DO4627">
        <v>0</v>
      </c>
      <c r="DP4627">
        <v>0</v>
      </c>
      <c r="DQ4627">
        <v>0</v>
      </c>
      <c r="DR4627">
        <v>0</v>
      </c>
      <c r="DS4627">
        <v>0</v>
      </c>
    </row>
    <row r="4628" spans="1:123" x14ac:dyDescent="0.3">
      <c r="A4628" t="str">
        <f t="shared" si="1711"/>
        <v>10/04/2022 19:37:57.419</v>
      </c>
      <c r="C4628" t="str">
        <f t="shared" si="1696"/>
        <v>FFDFD3C0</v>
      </c>
      <c r="D4628" t="s">
        <v>141</v>
      </c>
      <c r="E4628">
        <v>4</v>
      </c>
      <c r="H4628">
        <v>4</v>
      </c>
      <c r="I4628" t="s">
        <v>142</v>
      </c>
      <c r="J4628" t="s">
        <v>138</v>
      </c>
      <c r="K4628">
        <v>0</v>
      </c>
      <c r="L4628">
        <v>3</v>
      </c>
      <c r="M4628">
        <v>0</v>
      </c>
      <c r="N4628">
        <v>2</v>
      </c>
      <c r="O4628">
        <v>0</v>
      </c>
      <c r="P4628">
        <v>1</v>
      </c>
      <c r="Q4628">
        <v>0</v>
      </c>
      <c r="S4628" t="str">
        <f t="shared" si="1712"/>
        <v>19:37:57.000</v>
      </c>
      <c r="T4628" t="str">
        <f t="shared" si="1712"/>
        <v>19:37:57.000</v>
      </c>
      <c r="U4628" t="str">
        <f t="shared" si="1704"/>
        <v>AC3944</v>
      </c>
      <c r="V4628">
        <v>0</v>
      </c>
      <c r="W4628">
        <v>0</v>
      </c>
      <c r="X4628">
        <v>2</v>
      </c>
      <c r="Y4628">
        <v>0</v>
      </c>
      <c r="AA4628">
        <v>1</v>
      </c>
      <c r="AB4628">
        <v>8</v>
      </c>
      <c r="AC4628">
        <v>3</v>
      </c>
      <c r="AD4628">
        <v>0</v>
      </c>
      <c r="AE4628">
        <v>9</v>
      </c>
      <c r="AF4628" t="s">
        <v>138</v>
      </c>
      <c r="AG4628">
        <v>0</v>
      </c>
      <c r="AH4628">
        <v>3</v>
      </c>
      <c r="AI4628">
        <v>1</v>
      </c>
      <c r="AJ4628">
        <v>0</v>
      </c>
      <c r="AK4628" t="s">
        <v>1453</v>
      </c>
      <c r="AL4628">
        <v>32.723379000000001</v>
      </c>
      <c r="AM4628" t="s">
        <v>1454</v>
      </c>
      <c r="AN4628">
        <v>-116.73183899999999</v>
      </c>
      <c r="AO4628">
        <v>25</v>
      </c>
      <c r="AP4628">
        <v>4500</v>
      </c>
      <c r="AQ4628" t="s">
        <v>129</v>
      </c>
      <c r="AR4628">
        <v>-163</v>
      </c>
      <c r="AS4628">
        <v>-97</v>
      </c>
      <c r="AT4628">
        <v>-1984</v>
      </c>
      <c r="BB4628">
        <v>1200</v>
      </c>
      <c r="BC4628">
        <v>1</v>
      </c>
      <c r="BD4628" t="str">
        <f t="shared" si="1705"/>
        <v xml:space="preserve">N887QR  </v>
      </c>
      <c r="BE4628">
        <v>1</v>
      </c>
      <c r="BG4628">
        <v>0</v>
      </c>
      <c r="BH4628">
        <v>0</v>
      </c>
      <c r="BI4628">
        <v>0</v>
      </c>
      <c r="BJ4628">
        <v>4000</v>
      </c>
      <c r="BK4628">
        <v>-500</v>
      </c>
      <c r="BL4628" t="s">
        <v>163</v>
      </c>
      <c r="BM4628">
        <v>1</v>
      </c>
      <c r="BN4628">
        <v>1</v>
      </c>
      <c r="BO4628">
        <v>1</v>
      </c>
      <c r="BP4628">
        <v>0</v>
      </c>
      <c r="BS4628">
        <v>0</v>
      </c>
      <c r="BT4628">
        <v>0</v>
      </c>
      <c r="BU4628">
        <v>0</v>
      </c>
      <c r="CE4628" t="str">
        <f t="shared" si="1713"/>
        <v>19:37:57.016</v>
      </c>
      <c r="CF4628">
        <v>15541739</v>
      </c>
      <c r="CS4628">
        <v>0</v>
      </c>
      <c r="CT4628">
        <v>2</v>
      </c>
      <c r="CU4628">
        <v>0</v>
      </c>
      <c r="CV4628">
        <v>2</v>
      </c>
      <c r="CW4628">
        <v>0</v>
      </c>
      <c r="CX4628">
        <v>6</v>
      </c>
      <c r="CY4628">
        <v>7</v>
      </c>
      <c r="CZ4628" t="s">
        <v>131</v>
      </c>
      <c r="DA4628">
        <v>286</v>
      </c>
      <c r="DB4628">
        <v>0</v>
      </c>
      <c r="DC4628" t="s">
        <v>132</v>
      </c>
      <c r="DD4628" t="s">
        <v>133</v>
      </c>
      <c r="DG4628">
        <v>920254</v>
      </c>
      <c r="DI4628">
        <v>0</v>
      </c>
      <c r="DJ4628">
        <v>0</v>
      </c>
      <c r="DK4628">
        <v>1</v>
      </c>
      <c r="DL4628">
        <v>0</v>
      </c>
      <c r="DM4628">
        <v>0</v>
      </c>
      <c r="DN4628">
        <v>1</v>
      </c>
      <c r="DO4628">
        <v>0</v>
      </c>
      <c r="DP4628">
        <v>0</v>
      </c>
      <c r="DQ4628">
        <v>0</v>
      </c>
      <c r="DR4628">
        <v>0</v>
      </c>
      <c r="DS4628">
        <v>0</v>
      </c>
    </row>
    <row r="4629" spans="1:123" x14ac:dyDescent="0.3">
      <c r="A4629" t="str">
        <f t="shared" si="1711"/>
        <v>10/04/2022 19:37:57.419</v>
      </c>
      <c r="C4629" t="str">
        <f t="shared" si="1696"/>
        <v>FFDFD3C0</v>
      </c>
      <c r="D4629" t="s">
        <v>123</v>
      </c>
      <c r="E4629">
        <v>7</v>
      </c>
      <c r="F4629">
        <v>2007</v>
      </c>
      <c r="G4629" t="s">
        <v>124</v>
      </c>
      <c r="J4629" t="s">
        <v>125</v>
      </c>
      <c r="K4629">
        <v>0</v>
      </c>
      <c r="L4629">
        <v>3</v>
      </c>
      <c r="M4629">
        <v>0</v>
      </c>
      <c r="N4629">
        <v>2</v>
      </c>
      <c r="O4629">
        <v>0</v>
      </c>
      <c r="P4629">
        <v>1</v>
      </c>
      <c r="Q4629">
        <v>0</v>
      </c>
      <c r="S4629" t="str">
        <f t="shared" si="1712"/>
        <v>19:37:57.000</v>
      </c>
      <c r="T4629" t="str">
        <f t="shared" si="1712"/>
        <v>19:37:57.000</v>
      </c>
      <c r="U4629" t="str">
        <f t="shared" si="1704"/>
        <v>AC3944</v>
      </c>
      <c r="V4629">
        <v>0</v>
      </c>
      <c r="W4629">
        <v>0</v>
      </c>
      <c r="X4629">
        <v>2</v>
      </c>
      <c r="Y4629">
        <v>0</v>
      </c>
      <c r="AA4629">
        <v>1</v>
      </c>
      <c r="AB4629">
        <v>8</v>
      </c>
      <c r="AC4629">
        <v>3</v>
      </c>
      <c r="AD4629">
        <v>0</v>
      </c>
      <c r="AE4629">
        <v>9</v>
      </c>
      <c r="AF4629" t="s">
        <v>138</v>
      </c>
      <c r="AG4629">
        <v>0</v>
      </c>
      <c r="AH4629">
        <v>3</v>
      </c>
      <c r="AI4629">
        <v>1</v>
      </c>
      <c r="AJ4629">
        <v>0</v>
      </c>
      <c r="AK4629" t="s">
        <v>1453</v>
      </c>
      <c r="AL4629">
        <v>32.723379000000001</v>
      </c>
      <c r="AM4629" t="s">
        <v>1454</v>
      </c>
      <c r="AN4629">
        <v>-116.73183899999999</v>
      </c>
      <c r="AO4629">
        <v>25</v>
      </c>
      <c r="AP4629">
        <v>4500</v>
      </c>
      <c r="AQ4629" t="s">
        <v>129</v>
      </c>
      <c r="AR4629">
        <v>-163</v>
      </c>
      <c r="AS4629">
        <v>-97</v>
      </c>
      <c r="AT4629">
        <v>-1984</v>
      </c>
      <c r="BB4629">
        <v>1200</v>
      </c>
      <c r="BC4629">
        <v>1</v>
      </c>
      <c r="BD4629" t="str">
        <f t="shared" si="1705"/>
        <v xml:space="preserve">N887QR  </v>
      </c>
      <c r="BE4629">
        <v>1</v>
      </c>
      <c r="BG4629">
        <v>0</v>
      </c>
      <c r="BH4629">
        <v>0</v>
      </c>
      <c r="BI4629">
        <v>0</v>
      </c>
      <c r="BJ4629">
        <v>4000</v>
      </c>
      <c r="BK4629">
        <v>-500</v>
      </c>
      <c r="BL4629" t="s">
        <v>163</v>
      </c>
      <c r="BM4629">
        <v>1</v>
      </c>
      <c r="BN4629">
        <v>1</v>
      </c>
      <c r="BO4629">
        <v>1</v>
      </c>
      <c r="BP4629">
        <v>0</v>
      </c>
      <c r="BS4629">
        <v>0</v>
      </c>
      <c r="BT4629">
        <v>0</v>
      </c>
      <c r="BU4629">
        <v>0</v>
      </c>
      <c r="CE4629" t="str">
        <f t="shared" si="1713"/>
        <v>19:37:57.016</v>
      </c>
      <c r="CF4629">
        <v>15541739</v>
      </c>
      <c r="CS4629">
        <v>0</v>
      </c>
      <c r="CT4629">
        <v>2</v>
      </c>
      <c r="CU4629">
        <v>0</v>
      </c>
      <c r="CV4629">
        <v>2</v>
      </c>
      <c r="CW4629">
        <v>0</v>
      </c>
      <c r="CX4629">
        <v>6</v>
      </c>
      <c r="CY4629">
        <v>7</v>
      </c>
      <c r="CZ4629" t="s">
        <v>131</v>
      </c>
      <c r="DA4629">
        <v>286</v>
      </c>
      <c r="DB4629">
        <v>0</v>
      </c>
      <c r="DC4629" t="s">
        <v>132</v>
      </c>
      <c r="DD4629" t="s">
        <v>133</v>
      </c>
      <c r="DG4629">
        <v>920254</v>
      </c>
      <c r="DI4629">
        <v>0</v>
      </c>
      <c r="DJ4629">
        <v>0</v>
      </c>
      <c r="DK4629">
        <v>1</v>
      </c>
      <c r="DL4629">
        <v>0</v>
      </c>
      <c r="DM4629">
        <v>0</v>
      </c>
      <c r="DN4629">
        <v>1</v>
      </c>
      <c r="DO4629">
        <v>0</v>
      </c>
      <c r="DP4629">
        <v>0</v>
      </c>
      <c r="DQ4629">
        <v>0</v>
      </c>
      <c r="DR4629">
        <v>0</v>
      </c>
      <c r="DS4629">
        <v>0</v>
      </c>
    </row>
    <row r="4630" spans="1:123" x14ac:dyDescent="0.3">
      <c r="A4630" t="str">
        <f t="shared" si="1711"/>
        <v>10/04/2022 19:37:57.419</v>
      </c>
      <c r="C4630" t="str">
        <f t="shared" si="1696"/>
        <v>FFDFD3C0</v>
      </c>
      <c r="D4630" t="s">
        <v>136</v>
      </c>
      <c r="E4630">
        <v>8</v>
      </c>
      <c r="H4630">
        <v>225</v>
      </c>
      <c r="I4630" t="s">
        <v>137</v>
      </c>
      <c r="J4630" t="s">
        <v>138</v>
      </c>
      <c r="K4630">
        <v>0</v>
      </c>
      <c r="L4630">
        <v>3</v>
      </c>
      <c r="M4630">
        <v>0</v>
      </c>
      <c r="N4630">
        <v>2</v>
      </c>
      <c r="O4630">
        <v>0</v>
      </c>
      <c r="P4630">
        <v>1</v>
      </c>
      <c r="Q4630">
        <v>0</v>
      </c>
      <c r="S4630" t="str">
        <f t="shared" si="1712"/>
        <v>19:37:57.000</v>
      </c>
      <c r="T4630" t="str">
        <f t="shared" si="1712"/>
        <v>19:37:57.000</v>
      </c>
      <c r="U4630" t="str">
        <f t="shared" si="1704"/>
        <v>AC3944</v>
      </c>
      <c r="V4630">
        <v>0</v>
      </c>
      <c r="W4630">
        <v>0</v>
      </c>
      <c r="X4630">
        <v>2</v>
      </c>
      <c r="Y4630">
        <v>0</v>
      </c>
      <c r="AA4630">
        <v>1</v>
      </c>
      <c r="AB4630">
        <v>8</v>
      </c>
      <c r="AC4630">
        <v>3</v>
      </c>
      <c r="AD4630">
        <v>0</v>
      </c>
      <c r="AE4630">
        <v>9</v>
      </c>
      <c r="AF4630" t="s">
        <v>138</v>
      </c>
      <c r="AG4630">
        <v>0</v>
      </c>
      <c r="AH4630">
        <v>3</v>
      </c>
      <c r="AI4630">
        <v>1</v>
      </c>
      <c r="AJ4630">
        <v>0</v>
      </c>
      <c r="AK4630" t="s">
        <v>1453</v>
      </c>
      <c r="AL4630">
        <v>32.723379000000001</v>
      </c>
      <c r="AM4630" t="s">
        <v>1454</v>
      </c>
      <c r="AN4630">
        <v>-116.73183899999999</v>
      </c>
      <c r="AO4630">
        <v>25</v>
      </c>
      <c r="AP4630">
        <v>4500</v>
      </c>
      <c r="AQ4630" t="s">
        <v>129</v>
      </c>
      <c r="AR4630">
        <v>-163</v>
      </c>
      <c r="AS4630">
        <v>-97</v>
      </c>
      <c r="AT4630">
        <v>-1984</v>
      </c>
      <c r="BB4630">
        <v>1200</v>
      </c>
      <c r="BC4630">
        <v>1</v>
      </c>
      <c r="BD4630" t="str">
        <f t="shared" si="1705"/>
        <v xml:space="preserve">N887QR  </v>
      </c>
      <c r="BE4630">
        <v>1</v>
      </c>
      <c r="BG4630">
        <v>0</v>
      </c>
      <c r="BH4630">
        <v>0</v>
      </c>
      <c r="BI4630">
        <v>0</v>
      </c>
      <c r="BJ4630">
        <v>4000</v>
      </c>
      <c r="BK4630">
        <v>-500</v>
      </c>
      <c r="BL4630" t="s">
        <v>163</v>
      </c>
      <c r="BM4630">
        <v>1</v>
      </c>
      <c r="BN4630">
        <v>1</v>
      </c>
      <c r="BO4630">
        <v>1</v>
      </c>
      <c r="BP4630">
        <v>0</v>
      </c>
      <c r="BS4630">
        <v>0</v>
      </c>
      <c r="BT4630">
        <v>0</v>
      </c>
      <c r="BU4630">
        <v>0</v>
      </c>
      <c r="CE4630" t="str">
        <f t="shared" si="1713"/>
        <v>19:37:57.016</v>
      </c>
      <c r="CF4630">
        <v>15541739</v>
      </c>
      <c r="CS4630">
        <v>0</v>
      </c>
      <c r="CT4630">
        <v>2</v>
      </c>
      <c r="CU4630">
        <v>0</v>
      </c>
      <c r="CV4630">
        <v>2</v>
      </c>
      <c r="CW4630">
        <v>0</v>
      </c>
      <c r="CX4630">
        <v>6</v>
      </c>
      <c r="CY4630">
        <v>7</v>
      </c>
      <c r="CZ4630" t="s">
        <v>131</v>
      </c>
      <c r="DA4630">
        <v>286</v>
      </c>
      <c r="DB4630">
        <v>0</v>
      </c>
      <c r="DC4630" t="s">
        <v>132</v>
      </c>
      <c r="DD4630" t="s">
        <v>133</v>
      </c>
      <c r="DG4630">
        <v>920254</v>
      </c>
      <c r="DI4630">
        <v>0</v>
      </c>
      <c r="DJ4630">
        <v>0</v>
      </c>
      <c r="DK4630">
        <v>1</v>
      </c>
      <c r="DL4630">
        <v>0</v>
      </c>
      <c r="DM4630">
        <v>0</v>
      </c>
      <c r="DN4630">
        <v>1</v>
      </c>
      <c r="DO4630">
        <v>0</v>
      </c>
      <c r="DP4630">
        <v>0</v>
      </c>
      <c r="DQ4630">
        <v>0</v>
      </c>
      <c r="DR4630">
        <v>0</v>
      </c>
      <c r="DS4630">
        <v>0</v>
      </c>
    </row>
    <row r="4631" spans="1:123" x14ac:dyDescent="0.3">
      <c r="A4631" t="str">
        <f t="shared" si="1711"/>
        <v>10/04/2022 19:37:57.419</v>
      </c>
      <c r="C4631" t="str">
        <f t="shared" si="1696"/>
        <v>FFDFD3C0</v>
      </c>
      <c r="D4631" t="s">
        <v>134</v>
      </c>
      <c r="E4631">
        <v>15</v>
      </c>
      <c r="J4631" t="s">
        <v>135</v>
      </c>
      <c r="K4631">
        <v>0</v>
      </c>
      <c r="L4631">
        <v>3</v>
      </c>
      <c r="M4631">
        <v>0</v>
      </c>
      <c r="N4631">
        <v>2</v>
      </c>
      <c r="O4631">
        <v>0</v>
      </c>
      <c r="P4631">
        <v>1</v>
      </c>
      <c r="Q4631">
        <v>0</v>
      </c>
      <c r="S4631" t="str">
        <f t="shared" si="1712"/>
        <v>19:37:57.000</v>
      </c>
      <c r="T4631" t="str">
        <f t="shared" si="1712"/>
        <v>19:37:57.000</v>
      </c>
      <c r="U4631" t="str">
        <f t="shared" si="1704"/>
        <v>AC3944</v>
      </c>
      <c r="V4631">
        <v>0</v>
      </c>
      <c r="W4631">
        <v>0</v>
      </c>
      <c r="X4631">
        <v>2</v>
      </c>
      <c r="Y4631">
        <v>0</v>
      </c>
      <c r="AA4631">
        <v>1</v>
      </c>
      <c r="AB4631">
        <v>8</v>
      </c>
      <c r="AC4631">
        <v>3</v>
      </c>
      <c r="AD4631">
        <v>0</v>
      </c>
      <c r="AE4631">
        <v>9</v>
      </c>
      <c r="AF4631" t="s">
        <v>138</v>
      </c>
      <c r="AG4631">
        <v>0</v>
      </c>
      <c r="AH4631">
        <v>3</v>
      </c>
      <c r="AI4631">
        <v>1</v>
      </c>
      <c r="AJ4631">
        <v>0</v>
      </c>
      <c r="AK4631" t="s">
        <v>1453</v>
      </c>
      <c r="AL4631">
        <v>32.723379000000001</v>
      </c>
      <c r="AM4631" t="s">
        <v>1454</v>
      </c>
      <c r="AN4631">
        <v>-116.73183899999999</v>
      </c>
      <c r="AO4631">
        <v>25</v>
      </c>
      <c r="AP4631">
        <v>4500</v>
      </c>
      <c r="AQ4631" t="s">
        <v>129</v>
      </c>
      <c r="AR4631">
        <v>-163</v>
      </c>
      <c r="AS4631">
        <v>-97</v>
      </c>
      <c r="AT4631">
        <v>-1984</v>
      </c>
      <c r="BB4631">
        <v>1200</v>
      </c>
      <c r="BC4631">
        <v>1</v>
      </c>
      <c r="BD4631" t="str">
        <f t="shared" si="1705"/>
        <v xml:space="preserve">N887QR  </v>
      </c>
      <c r="BE4631">
        <v>1</v>
      </c>
      <c r="BG4631">
        <v>0</v>
      </c>
      <c r="BH4631">
        <v>0</v>
      </c>
      <c r="BI4631">
        <v>0</v>
      </c>
      <c r="BJ4631">
        <v>4000</v>
      </c>
      <c r="BK4631">
        <v>-500</v>
      </c>
      <c r="BL4631" t="s">
        <v>163</v>
      </c>
      <c r="BM4631">
        <v>1</v>
      </c>
      <c r="BN4631">
        <v>1</v>
      </c>
      <c r="BO4631">
        <v>1</v>
      </c>
      <c r="BP4631">
        <v>0</v>
      </c>
      <c r="BS4631">
        <v>0</v>
      </c>
      <c r="BT4631">
        <v>0</v>
      </c>
      <c r="BU4631">
        <v>0</v>
      </c>
      <c r="CE4631" t="str">
        <f t="shared" si="1713"/>
        <v>19:37:57.016</v>
      </c>
      <c r="CF4631">
        <v>15541739</v>
      </c>
      <c r="CS4631">
        <v>0</v>
      </c>
      <c r="CT4631">
        <v>2</v>
      </c>
      <c r="CU4631">
        <v>0</v>
      </c>
      <c r="CV4631">
        <v>2</v>
      </c>
      <c r="CW4631">
        <v>0</v>
      </c>
      <c r="CX4631">
        <v>6</v>
      </c>
      <c r="CY4631">
        <v>7</v>
      </c>
      <c r="CZ4631" t="s">
        <v>131</v>
      </c>
      <c r="DA4631">
        <v>286</v>
      </c>
      <c r="DB4631">
        <v>0</v>
      </c>
      <c r="DC4631" t="s">
        <v>132</v>
      </c>
      <c r="DD4631" t="s">
        <v>133</v>
      </c>
      <c r="DG4631">
        <v>920254</v>
      </c>
      <c r="DI4631">
        <v>0</v>
      </c>
      <c r="DJ4631">
        <v>0</v>
      </c>
      <c r="DK4631">
        <v>1</v>
      </c>
      <c r="DL4631">
        <v>0</v>
      </c>
      <c r="DM4631">
        <v>0</v>
      </c>
      <c r="DN4631">
        <v>1</v>
      </c>
      <c r="DO4631">
        <v>0</v>
      </c>
      <c r="DP4631">
        <v>0</v>
      </c>
      <c r="DQ4631">
        <v>0</v>
      </c>
      <c r="DR4631">
        <v>0</v>
      </c>
      <c r="DS4631">
        <v>0</v>
      </c>
    </row>
    <row r="4632" spans="1:123" x14ac:dyDescent="0.3">
      <c r="A4632" t="str">
        <f>"10/04/2022 19:37:58.685"</f>
        <v>10/04/2022 19:37:58.685</v>
      </c>
      <c r="C4632" t="str">
        <f t="shared" si="1696"/>
        <v>FFDFD3C0</v>
      </c>
      <c r="D4632" t="s">
        <v>147</v>
      </c>
      <c r="E4632">
        <v>3</v>
      </c>
      <c r="H4632">
        <v>166</v>
      </c>
      <c r="I4632" t="s">
        <v>144</v>
      </c>
      <c r="J4632" t="s">
        <v>148</v>
      </c>
      <c r="K4632">
        <v>0</v>
      </c>
      <c r="L4632">
        <v>3</v>
      </c>
      <c r="M4632">
        <v>0</v>
      </c>
      <c r="N4632">
        <v>2</v>
      </c>
      <c r="O4632">
        <v>0</v>
      </c>
      <c r="P4632">
        <v>1</v>
      </c>
      <c r="Q4632">
        <v>0</v>
      </c>
      <c r="S4632" t="str">
        <f t="shared" ref="S4632:T4638" si="1714">"19:37:58.000"</f>
        <v>19:37:58.000</v>
      </c>
      <c r="T4632" t="str">
        <f t="shared" si="1714"/>
        <v>19:37:58.000</v>
      </c>
      <c r="U4632" t="str">
        <f t="shared" si="1704"/>
        <v>AC3944</v>
      </c>
      <c r="V4632">
        <v>0</v>
      </c>
      <c r="W4632">
        <v>0</v>
      </c>
      <c r="X4632">
        <v>2</v>
      </c>
      <c r="Y4632">
        <v>0</v>
      </c>
      <c r="AA4632">
        <v>1</v>
      </c>
      <c r="AB4632">
        <v>8</v>
      </c>
      <c r="AC4632">
        <v>3</v>
      </c>
      <c r="AD4632">
        <v>0</v>
      </c>
      <c r="AE4632">
        <v>9</v>
      </c>
      <c r="AF4632" t="s">
        <v>138</v>
      </c>
      <c r="AG4632">
        <v>0</v>
      </c>
      <c r="AH4632">
        <v>3</v>
      </c>
      <c r="AI4632">
        <v>1</v>
      </c>
      <c r="AJ4632">
        <v>0</v>
      </c>
      <c r="AK4632" t="s">
        <v>1455</v>
      </c>
      <c r="AL4632">
        <v>32.722929000000001</v>
      </c>
      <c r="AM4632" t="s">
        <v>1456</v>
      </c>
      <c r="AN4632">
        <v>-116.73274000000001</v>
      </c>
      <c r="AO4632">
        <v>25</v>
      </c>
      <c r="AP4632">
        <v>4400</v>
      </c>
      <c r="AQ4632" t="s">
        <v>129</v>
      </c>
      <c r="AR4632">
        <v>-162</v>
      </c>
      <c r="AS4632">
        <v>-96</v>
      </c>
      <c r="AT4632">
        <v>-1920</v>
      </c>
      <c r="BB4632">
        <v>1200</v>
      </c>
      <c r="BC4632">
        <v>1</v>
      </c>
      <c r="BD4632" t="str">
        <f t="shared" si="1705"/>
        <v xml:space="preserve">N887QR  </v>
      </c>
      <c r="BE4632">
        <v>1</v>
      </c>
      <c r="BG4632">
        <v>0</v>
      </c>
      <c r="BH4632">
        <v>0</v>
      </c>
      <c r="BI4632">
        <v>0</v>
      </c>
      <c r="BJ4632">
        <v>4000</v>
      </c>
      <c r="BK4632">
        <v>-400</v>
      </c>
      <c r="BL4632" t="s">
        <v>163</v>
      </c>
      <c r="BM4632">
        <v>1</v>
      </c>
      <c r="BN4632">
        <v>1</v>
      </c>
      <c r="BO4632">
        <v>1</v>
      </c>
      <c r="BP4632">
        <v>0</v>
      </c>
      <c r="BS4632">
        <v>0</v>
      </c>
      <c r="BT4632">
        <v>0</v>
      </c>
      <c r="BU4632">
        <v>0</v>
      </c>
      <c r="CE4632" t="str">
        <f t="shared" ref="CE4632:CE4638" si="1715">"19:37:58.477"</f>
        <v>19:37:58.477</v>
      </c>
      <c r="CF4632">
        <v>476545993</v>
      </c>
      <c r="CS4632">
        <v>0</v>
      </c>
      <c r="CT4632">
        <v>2</v>
      </c>
      <c r="CU4632">
        <v>0</v>
      </c>
      <c r="CV4632">
        <v>2</v>
      </c>
      <c r="CW4632">
        <v>0</v>
      </c>
      <c r="CX4632">
        <v>6</v>
      </c>
      <c r="CY4632">
        <v>7</v>
      </c>
      <c r="CZ4632" t="s">
        <v>131</v>
      </c>
      <c r="DA4632">
        <v>286</v>
      </c>
      <c r="DB4632">
        <v>0</v>
      </c>
      <c r="DC4632" t="s">
        <v>132</v>
      </c>
      <c r="DD4632" t="s">
        <v>133</v>
      </c>
      <c r="DG4632">
        <v>920609</v>
      </c>
      <c r="DI4632">
        <v>0</v>
      </c>
      <c r="DJ4632">
        <v>0</v>
      </c>
      <c r="DK4632">
        <v>0</v>
      </c>
      <c r="DL4632">
        <v>0</v>
      </c>
      <c r="DM4632">
        <v>0</v>
      </c>
      <c r="DN4632">
        <v>1</v>
      </c>
      <c r="DO4632">
        <v>0</v>
      </c>
      <c r="DP4632">
        <v>0</v>
      </c>
      <c r="DQ4632">
        <v>0</v>
      </c>
      <c r="DR4632">
        <v>0</v>
      </c>
      <c r="DS4632">
        <v>0</v>
      </c>
    </row>
    <row r="4633" spans="1:123" x14ac:dyDescent="0.3">
      <c r="A4633" t="str">
        <f>"10/04/2022 19:37:58.685"</f>
        <v>10/04/2022 19:37:58.685</v>
      </c>
      <c r="C4633" t="str">
        <f t="shared" si="1696"/>
        <v>FFDFD3C0</v>
      </c>
      <c r="D4633" t="s">
        <v>141</v>
      </c>
      <c r="E4633">
        <v>3</v>
      </c>
      <c r="H4633">
        <v>3</v>
      </c>
      <c r="I4633" t="s">
        <v>146</v>
      </c>
      <c r="J4633" t="s">
        <v>138</v>
      </c>
      <c r="K4633">
        <v>0</v>
      </c>
      <c r="L4633">
        <v>3</v>
      </c>
      <c r="M4633">
        <v>0</v>
      </c>
      <c r="N4633">
        <v>2</v>
      </c>
      <c r="O4633">
        <v>0</v>
      </c>
      <c r="P4633">
        <v>1</v>
      </c>
      <c r="Q4633">
        <v>0</v>
      </c>
      <c r="S4633" t="str">
        <f t="shared" si="1714"/>
        <v>19:37:58.000</v>
      </c>
      <c r="T4633" t="str">
        <f t="shared" si="1714"/>
        <v>19:37:58.000</v>
      </c>
      <c r="U4633" t="str">
        <f t="shared" si="1704"/>
        <v>AC3944</v>
      </c>
      <c r="V4633">
        <v>0</v>
      </c>
      <c r="W4633">
        <v>0</v>
      </c>
      <c r="X4633">
        <v>2</v>
      </c>
      <c r="Y4633">
        <v>0</v>
      </c>
      <c r="AA4633">
        <v>1</v>
      </c>
      <c r="AB4633">
        <v>8</v>
      </c>
      <c r="AC4633">
        <v>3</v>
      </c>
      <c r="AD4633">
        <v>0</v>
      </c>
      <c r="AE4633">
        <v>9</v>
      </c>
      <c r="AF4633" t="s">
        <v>138</v>
      </c>
      <c r="AG4633">
        <v>0</v>
      </c>
      <c r="AH4633">
        <v>3</v>
      </c>
      <c r="AI4633">
        <v>1</v>
      </c>
      <c r="AJ4633">
        <v>0</v>
      </c>
      <c r="AK4633" t="s">
        <v>1455</v>
      </c>
      <c r="AL4633">
        <v>32.722929000000001</v>
      </c>
      <c r="AM4633" t="s">
        <v>1456</v>
      </c>
      <c r="AN4633">
        <v>-116.73274000000001</v>
      </c>
      <c r="AO4633">
        <v>25</v>
      </c>
      <c r="AP4633">
        <v>4400</v>
      </c>
      <c r="AQ4633" t="s">
        <v>129</v>
      </c>
      <c r="AR4633">
        <v>-162</v>
      </c>
      <c r="AS4633">
        <v>-96</v>
      </c>
      <c r="AT4633">
        <v>-1920</v>
      </c>
      <c r="BB4633">
        <v>1200</v>
      </c>
      <c r="BC4633">
        <v>1</v>
      </c>
      <c r="BD4633" t="str">
        <f t="shared" si="1705"/>
        <v xml:space="preserve">N887QR  </v>
      </c>
      <c r="BE4633">
        <v>1</v>
      </c>
      <c r="BG4633">
        <v>0</v>
      </c>
      <c r="BH4633">
        <v>0</v>
      </c>
      <c r="BI4633">
        <v>0</v>
      </c>
      <c r="BJ4633">
        <v>4000</v>
      </c>
      <c r="BK4633">
        <v>-400</v>
      </c>
      <c r="BL4633" t="s">
        <v>163</v>
      </c>
      <c r="BM4633">
        <v>1</v>
      </c>
      <c r="BN4633">
        <v>1</v>
      </c>
      <c r="BO4633">
        <v>1</v>
      </c>
      <c r="BP4633">
        <v>0</v>
      </c>
      <c r="BS4633">
        <v>0</v>
      </c>
      <c r="BT4633">
        <v>0</v>
      </c>
      <c r="BU4633">
        <v>0</v>
      </c>
      <c r="CE4633" t="str">
        <f t="shared" si="1715"/>
        <v>19:37:58.477</v>
      </c>
      <c r="CF4633">
        <v>476545993</v>
      </c>
      <c r="CS4633">
        <v>0</v>
      </c>
      <c r="CT4633">
        <v>2</v>
      </c>
      <c r="CU4633">
        <v>0</v>
      </c>
      <c r="CV4633">
        <v>2</v>
      </c>
      <c r="CW4633">
        <v>0</v>
      </c>
      <c r="CX4633">
        <v>6</v>
      </c>
      <c r="CY4633">
        <v>7</v>
      </c>
      <c r="CZ4633" t="s">
        <v>131</v>
      </c>
      <c r="DA4633">
        <v>286</v>
      </c>
      <c r="DB4633">
        <v>0</v>
      </c>
      <c r="DC4633" t="s">
        <v>132</v>
      </c>
      <c r="DD4633" t="s">
        <v>133</v>
      </c>
      <c r="DG4633">
        <v>920609</v>
      </c>
      <c r="DI4633">
        <v>0</v>
      </c>
      <c r="DJ4633">
        <v>0</v>
      </c>
      <c r="DK4633">
        <v>1</v>
      </c>
      <c r="DL4633">
        <v>0</v>
      </c>
      <c r="DM4633">
        <v>0</v>
      </c>
      <c r="DN4633">
        <v>1</v>
      </c>
      <c r="DO4633">
        <v>0</v>
      </c>
      <c r="DP4633">
        <v>0</v>
      </c>
      <c r="DQ4633">
        <v>0</v>
      </c>
      <c r="DR4633">
        <v>0</v>
      </c>
      <c r="DS4633">
        <v>0</v>
      </c>
    </row>
    <row r="4634" spans="1:123" x14ac:dyDescent="0.3">
      <c r="A4634" t="str">
        <f>"10/04/2022 19:37:58.685"</f>
        <v>10/04/2022 19:37:58.685</v>
      </c>
      <c r="C4634" t="str">
        <f t="shared" si="1696"/>
        <v>FFDFD3C0</v>
      </c>
      <c r="D4634" t="s">
        <v>143</v>
      </c>
      <c r="E4634">
        <v>20</v>
      </c>
      <c r="F4634">
        <v>1020</v>
      </c>
      <c r="G4634" t="s">
        <v>144</v>
      </c>
      <c r="J4634" t="s">
        <v>145</v>
      </c>
      <c r="K4634">
        <v>0</v>
      </c>
      <c r="L4634">
        <v>3</v>
      </c>
      <c r="M4634">
        <v>0</v>
      </c>
      <c r="N4634">
        <v>2</v>
      </c>
      <c r="O4634">
        <v>0</v>
      </c>
      <c r="P4634">
        <v>1</v>
      </c>
      <c r="Q4634">
        <v>0</v>
      </c>
      <c r="S4634" t="str">
        <f t="shared" si="1714"/>
        <v>19:37:58.000</v>
      </c>
      <c r="T4634" t="str">
        <f t="shared" si="1714"/>
        <v>19:37:58.000</v>
      </c>
      <c r="U4634" t="str">
        <f t="shared" si="1704"/>
        <v>AC3944</v>
      </c>
      <c r="V4634">
        <v>0</v>
      </c>
      <c r="W4634">
        <v>0</v>
      </c>
      <c r="X4634">
        <v>2</v>
      </c>
      <c r="Y4634">
        <v>0</v>
      </c>
      <c r="AA4634">
        <v>1</v>
      </c>
      <c r="AB4634">
        <v>8</v>
      </c>
      <c r="AC4634">
        <v>3</v>
      </c>
      <c r="AD4634">
        <v>0</v>
      </c>
      <c r="AE4634">
        <v>9</v>
      </c>
      <c r="AF4634" t="s">
        <v>138</v>
      </c>
      <c r="AG4634">
        <v>0</v>
      </c>
      <c r="AH4634">
        <v>3</v>
      </c>
      <c r="AI4634">
        <v>1</v>
      </c>
      <c r="AJ4634">
        <v>0</v>
      </c>
      <c r="AK4634" t="s">
        <v>1455</v>
      </c>
      <c r="AL4634">
        <v>32.722929000000001</v>
      </c>
      <c r="AM4634" t="s">
        <v>1456</v>
      </c>
      <c r="AN4634">
        <v>-116.73274000000001</v>
      </c>
      <c r="AO4634">
        <v>25</v>
      </c>
      <c r="AP4634">
        <v>4400</v>
      </c>
      <c r="AQ4634" t="s">
        <v>129</v>
      </c>
      <c r="AR4634">
        <v>-162</v>
      </c>
      <c r="AS4634">
        <v>-96</v>
      </c>
      <c r="AT4634">
        <v>-1920</v>
      </c>
      <c r="BB4634">
        <v>1200</v>
      </c>
      <c r="BC4634">
        <v>1</v>
      </c>
      <c r="BD4634" t="str">
        <f t="shared" si="1705"/>
        <v xml:space="preserve">N887QR  </v>
      </c>
      <c r="BE4634">
        <v>1</v>
      </c>
      <c r="BG4634">
        <v>0</v>
      </c>
      <c r="BH4634">
        <v>0</v>
      </c>
      <c r="BI4634">
        <v>0</v>
      </c>
      <c r="BJ4634">
        <v>4000</v>
      </c>
      <c r="BK4634">
        <v>-400</v>
      </c>
      <c r="BL4634" t="s">
        <v>163</v>
      </c>
      <c r="BM4634">
        <v>1</v>
      </c>
      <c r="BN4634">
        <v>1</v>
      </c>
      <c r="BO4634">
        <v>1</v>
      </c>
      <c r="BP4634">
        <v>0</v>
      </c>
      <c r="BS4634">
        <v>0</v>
      </c>
      <c r="BT4634">
        <v>0</v>
      </c>
      <c r="BU4634">
        <v>0</v>
      </c>
      <c r="CE4634" t="str">
        <f t="shared" si="1715"/>
        <v>19:37:58.477</v>
      </c>
      <c r="CF4634">
        <v>476545993</v>
      </c>
      <c r="CS4634">
        <v>0</v>
      </c>
      <c r="CT4634">
        <v>2</v>
      </c>
      <c r="CU4634">
        <v>0</v>
      </c>
      <c r="CV4634">
        <v>2</v>
      </c>
      <c r="CW4634">
        <v>0</v>
      </c>
      <c r="CX4634">
        <v>6</v>
      </c>
      <c r="CY4634">
        <v>7</v>
      </c>
      <c r="CZ4634" t="s">
        <v>131</v>
      </c>
      <c r="DA4634">
        <v>286</v>
      </c>
      <c r="DB4634">
        <v>0</v>
      </c>
      <c r="DC4634" t="s">
        <v>132</v>
      </c>
      <c r="DD4634" t="s">
        <v>133</v>
      </c>
      <c r="DG4634">
        <v>920609</v>
      </c>
      <c r="DI4634">
        <v>0</v>
      </c>
      <c r="DJ4634">
        <v>0</v>
      </c>
      <c r="DK4634">
        <v>1</v>
      </c>
      <c r="DL4634">
        <v>0</v>
      </c>
      <c r="DM4634">
        <v>0</v>
      </c>
      <c r="DN4634">
        <v>1</v>
      </c>
      <c r="DO4634">
        <v>0</v>
      </c>
      <c r="DP4634">
        <v>0</v>
      </c>
      <c r="DQ4634">
        <v>0</v>
      </c>
      <c r="DR4634">
        <v>0</v>
      </c>
      <c r="DS4634">
        <v>0</v>
      </c>
    </row>
    <row r="4635" spans="1:123" x14ac:dyDescent="0.3">
      <c r="A4635" t="str">
        <f>"10/04/2022 19:37:58.685"</f>
        <v>10/04/2022 19:37:58.685</v>
      </c>
      <c r="C4635" t="str">
        <f t="shared" si="1696"/>
        <v>FFDFD3C0</v>
      </c>
      <c r="D4635" t="s">
        <v>141</v>
      </c>
      <c r="E4635">
        <v>4</v>
      </c>
      <c r="H4635">
        <v>4</v>
      </c>
      <c r="I4635" t="s">
        <v>142</v>
      </c>
      <c r="J4635" t="s">
        <v>138</v>
      </c>
      <c r="K4635">
        <v>0</v>
      </c>
      <c r="L4635">
        <v>3</v>
      </c>
      <c r="M4635">
        <v>0</v>
      </c>
      <c r="N4635">
        <v>2</v>
      </c>
      <c r="O4635">
        <v>0</v>
      </c>
      <c r="P4635">
        <v>1</v>
      </c>
      <c r="Q4635">
        <v>0</v>
      </c>
      <c r="S4635" t="str">
        <f t="shared" si="1714"/>
        <v>19:37:58.000</v>
      </c>
      <c r="T4635" t="str">
        <f t="shared" si="1714"/>
        <v>19:37:58.000</v>
      </c>
      <c r="U4635" t="str">
        <f t="shared" si="1704"/>
        <v>AC3944</v>
      </c>
      <c r="V4635">
        <v>0</v>
      </c>
      <c r="W4635">
        <v>0</v>
      </c>
      <c r="X4635">
        <v>2</v>
      </c>
      <c r="Y4635">
        <v>0</v>
      </c>
      <c r="AA4635">
        <v>1</v>
      </c>
      <c r="AB4635">
        <v>8</v>
      </c>
      <c r="AC4635">
        <v>3</v>
      </c>
      <c r="AD4635">
        <v>0</v>
      </c>
      <c r="AE4635">
        <v>9</v>
      </c>
      <c r="AF4635" t="s">
        <v>138</v>
      </c>
      <c r="AG4635">
        <v>0</v>
      </c>
      <c r="AH4635">
        <v>3</v>
      </c>
      <c r="AI4635">
        <v>1</v>
      </c>
      <c r="AJ4635">
        <v>0</v>
      </c>
      <c r="AK4635" t="s">
        <v>1455</v>
      </c>
      <c r="AL4635">
        <v>32.722929000000001</v>
      </c>
      <c r="AM4635" t="s">
        <v>1456</v>
      </c>
      <c r="AN4635">
        <v>-116.73274000000001</v>
      </c>
      <c r="AO4635">
        <v>25</v>
      </c>
      <c r="AP4635">
        <v>4400</v>
      </c>
      <c r="AQ4635" t="s">
        <v>129</v>
      </c>
      <c r="AR4635">
        <v>-162</v>
      </c>
      <c r="AS4635">
        <v>-96</v>
      </c>
      <c r="AT4635">
        <v>-1920</v>
      </c>
      <c r="BB4635">
        <v>1200</v>
      </c>
      <c r="BC4635">
        <v>1</v>
      </c>
      <c r="BD4635" t="str">
        <f t="shared" si="1705"/>
        <v xml:space="preserve">N887QR  </v>
      </c>
      <c r="BE4635">
        <v>1</v>
      </c>
      <c r="BG4635">
        <v>0</v>
      </c>
      <c r="BH4635">
        <v>0</v>
      </c>
      <c r="BI4635">
        <v>0</v>
      </c>
      <c r="BJ4635">
        <v>4000</v>
      </c>
      <c r="BK4635">
        <v>-400</v>
      </c>
      <c r="BL4635" t="s">
        <v>163</v>
      </c>
      <c r="BM4635">
        <v>1</v>
      </c>
      <c r="BN4635">
        <v>1</v>
      </c>
      <c r="BO4635">
        <v>1</v>
      </c>
      <c r="BP4635">
        <v>0</v>
      </c>
      <c r="BS4635">
        <v>0</v>
      </c>
      <c r="BT4635">
        <v>0</v>
      </c>
      <c r="BU4635">
        <v>0</v>
      </c>
      <c r="CE4635" t="str">
        <f t="shared" si="1715"/>
        <v>19:37:58.477</v>
      </c>
      <c r="CF4635">
        <v>476545993</v>
      </c>
      <c r="CS4635">
        <v>0</v>
      </c>
      <c r="CT4635">
        <v>2</v>
      </c>
      <c r="CU4635">
        <v>0</v>
      </c>
      <c r="CV4635">
        <v>2</v>
      </c>
      <c r="CW4635">
        <v>0</v>
      </c>
      <c r="CX4635">
        <v>6</v>
      </c>
      <c r="CY4635">
        <v>7</v>
      </c>
      <c r="CZ4635" t="s">
        <v>131</v>
      </c>
      <c r="DA4635">
        <v>286</v>
      </c>
      <c r="DB4635">
        <v>0</v>
      </c>
      <c r="DC4635" t="s">
        <v>132</v>
      </c>
      <c r="DD4635" t="s">
        <v>133</v>
      </c>
      <c r="DG4635">
        <v>920609</v>
      </c>
      <c r="DI4635">
        <v>0</v>
      </c>
      <c r="DJ4635">
        <v>0</v>
      </c>
      <c r="DK4635">
        <v>1</v>
      </c>
      <c r="DL4635">
        <v>0</v>
      </c>
      <c r="DM4635">
        <v>0</v>
      </c>
      <c r="DN4635">
        <v>1</v>
      </c>
      <c r="DO4635">
        <v>0</v>
      </c>
      <c r="DP4635">
        <v>0</v>
      </c>
      <c r="DQ4635">
        <v>0</v>
      </c>
      <c r="DR4635">
        <v>0</v>
      </c>
      <c r="DS4635">
        <v>0</v>
      </c>
    </row>
    <row r="4636" spans="1:123" x14ac:dyDescent="0.3">
      <c r="A4636" t="str">
        <f>"10/04/2022 19:37:58.685"</f>
        <v>10/04/2022 19:37:58.685</v>
      </c>
      <c r="C4636" t="str">
        <f t="shared" si="1696"/>
        <v>FFDFD3C0</v>
      </c>
      <c r="D4636" t="s">
        <v>123</v>
      </c>
      <c r="E4636">
        <v>7</v>
      </c>
      <c r="F4636">
        <v>2007</v>
      </c>
      <c r="G4636" t="s">
        <v>124</v>
      </c>
      <c r="J4636" t="s">
        <v>125</v>
      </c>
      <c r="K4636">
        <v>0</v>
      </c>
      <c r="L4636">
        <v>3</v>
      </c>
      <c r="M4636">
        <v>0</v>
      </c>
      <c r="N4636">
        <v>2</v>
      </c>
      <c r="O4636">
        <v>0</v>
      </c>
      <c r="P4636">
        <v>1</v>
      </c>
      <c r="Q4636">
        <v>0</v>
      </c>
      <c r="S4636" t="str">
        <f t="shared" si="1714"/>
        <v>19:37:58.000</v>
      </c>
      <c r="T4636" t="str">
        <f t="shared" si="1714"/>
        <v>19:37:58.000</v>
      </c>
      <c r="U4636" t="str">
        <f t="shared" si="1704"/>
        <v>AC3944</v>
      </c>
      <c r="V4636">
        <v>0</v>
      </c>
      <c r="W4636">
        <v>0</v>
      </c>
      <c r="X4636">
        <v>2</v>
      </c>
      <c r="Y4636">
        <v>0</v>
      </c>
      <c r="AA4636">
        <v>1</v>
      </c>
      <c r="AB4636">
        <v>8</v>
      </c>
      <c r="AC4636">
        <v>3</v>
      </c>
      <c r="AD4636">
        <v>0</v>
      </c>
      <c r="AE4636">
        <v>9</v>
      </c>
      <c r="AF4636" t="s">
        <v>138</v>
      </c>
      <c r="AG4636">
        <v>0</v>
      </c>
      <c r="AH4636">
        <v>3</v>
      </c>
      <c r="AI4636">
        <v>1</v>
      </c>
      <c r="AJ4636">
        <v>0</v>
      </c>
      <c r="AK4636" t="s">
        <v>1455</v>
      </c>
      <c r="AL4636">
        <v>32.722929000000001</v>
      </c>
      <c r="AM4636" t="s">
        <v>1456</v>
      </c>
      <c r="AN4636">
        <v>-116.73274000000001</v>
      </c>
      <c r="AO4636">
        <v>25</v>
      </c>
      <c r="AP4636">
        <v>4400</v>
      </c>
      <c r="AQ4636" t="s">
        <v>129</v>
      </c>
      <c r="AR4636">
        <v>-162</v>
      </c>
      <c r="AS4636">
        <v>-96</v>
      </c>
      <c r="AT4636">
        <v>-1920</v>
      </c>
      <c r="BB4636">
        <v>1200</v>
      </c>
      <c r="BC4636">
        <v>1</v>
      </c>
      <c r="BD4636" t="str">
        <f t="shared" si="1705"/>
        <v xml:space="preserve">N887QR  </v>
      </c>
      <c r="BE4636">
        <v>1</v>
      </c>
      <c r="BG4636">
        <v>0</v>
      </c>
      <c r="BH4636">
        <v>0</v>
      </c>
      <c r="BI4636">
        <v>0</v>
      </c>
      <c r="BJ4636">
        <v>4000</v>
      </c>
      <c r="BK4636">
        <v>-400</v>
      </c>
      <c r="BL4636" t="s">
        <v>163</v>
      </c>
      <c r="BM4636">
        <v>1</v>
      </c>
      <c r="BN4636">
        <v>1</v>
      </c>
      <c r="BO4636">
        <v>1</v>
      </c>
      <c r="BP4636">
        <v>0</v>
      </c>
      <c r="BS4636">
        <v>0</v>
      </c>
      <c r="BT4636">
        <v>0</v>
      </c>
      <c r="BU4636">
        <v>0</v>
      </c>
      <c r="CE4636" t="str">
        <f t="shared" si="1715"/>
        <v>19:37:58.477</v>
      </c>
      <c r="CF4636">
        <v>476545993</v>
      </c>
      <c r="CS4636">
        <v>0</v>
      </c>
      <c r="CT4636">
        <v>2</v>
      </c>
      <c r="CU4636">
        <v>0</v>
      </c>
      <c r="CV4636">
        <v>2</v>
      </c>
      <c r="CW4636">
        <v>0</v>
      </c>
      <c r="CX4636">
        <v>6</v>
      </c>
      <c r="CY4636">
        <v>7</v>
      </c>
      <c r="CZ4636" t="s">
        <v>131</v>
      </c>
      <c r="DA4636">
        <v>286</v>
      </c>
      <c r="DB4636">
        <v>0</v>
      </c>
      <c r="DC4636" t="s">
        <v>132</v>
      </c>
      <c r="DD4636" t="s">
        <v>133</v>
      </c>
      <c r="DG4636">
        <v>920609</v>
      </c>
      <c r="DI4636">
        <v>0</v>
      </c>
      <c r="DJ4636">
        <v>0</v>
      </c>
      <c r="DK4636">
        <v>1</v>
      </c>
      <c r="DL4636">
        <v>0</v>
      </c>
      <c r="DM4636">
        <v>0</v>
      </c>
      <c r="DN4636">
        <v>1</v>
      </c>
      <c r="DO4636">
        <v>0</v>
      </c>
      <c r="DP4636">
        <v>0</v>
      </c>
      <c r="DQ4636">
        <v>0</v>
      </c>
      <c r="DR4636">
        <v>0</v>
      </c>
      <c r="DS4636">
        <v>0</v>
      </c>
    </row>
    <row r="4637" spans="1:123" x14ac:dyDescent="0.3">
      <c r="A4637" t="str">
        <f>"10/04/2022 19:37:58.716"</f>
        <v>10/04/2022 19:37:58.716</v>
      </c>
      <c r="C4637" t="str">
        <f t="shared" si="1696"/>
        <v>FFDFD3C0</v>
      </c>
      <c r="D4637" t="s">
        <v>136</v>
      </c>
      <c r="E4637">
        <v>8</v>
      </c>
      <c r="H4637">
        <v>225</v>
      </c>
      <c r="I4637" t="s">
        <v>137</v>
      </c>
      <c r="J4637" t="s">
        <v>138</v>
      </c>
      <c r="K4637">
        <v>0</v>
      </c>
      <c r="L4637">
        <v>3</v>
      </c>
      <c r="M4637">
        <v>0</v>
      </c>
      <c r="N4637">
        <v>2</v>
      </c>
      <c r="O4637">
        <v>0</v>
      </c>
      <c r="P4637">
        <v>1</v>
      </c>
      <c r="Q4637">
        <v>0</v>
      </c>
      <c r="S4637" t="str">
        <f t="shared" si="1714"/>
        <v>19:37:58.000</v>
      </c>
      <c r="T4637" t="str">
        <f t="shared" si="1714"/>
        <v>19:37:58.000</v>
      </c>
      <c r="U4637" t="str">
        <f t="shared" si="1704"/>
        <v>AC3944</v>
      </c>
      <c r="V4637">
        <v>0</v>
      </c>
      <c r="W4637">
        <v>0</v>
      </c>
      <c r="X4637">
        <v>2</v>
      </c>
      <c r="Y4637">
        <v>0</v>
      </c>
      <c r="AA4637">
        <v>1</v>
      </c>
      <c r="AB4637">
        <v>8</v>
      </c>
      <c r="AC4637">
        <v>3</v>
      </c>
      <c r="AD4637">
        <v>0</v>
      </c>
      <c r="AE4637">
        <v>9</v>
      </c>
      <c r="AF4637" t="s">
        <v>138</v>
      </c>
      <c r="AG4637">
        <v>0</v>
      </c>
      <c r="AH4637">
        <v>3</v>
      </c>
      <c r="AI4637">
        <v>1</v>
      </c>
      <c r="AJ4637">
        <v>0</v>
      </c>
      <c r="AK4637" t="s">
        <v>1455</v>
      </c>
      <c r="AL4637">
        <v>32.722929000000001</v>
      </c>
      <c r="AM4637" t="s">
        <v>1456</v>
      </c>
      <c r="AN4637">
        <v>-116.73274000000001</v>
      </c>
      <c r="AO4637">
        <v>25</v>
      </c>
      <c r="AP4637">
        <v>4400</v>
      </c>
      <c r="AQ4637" t="s">
        <v>129</v>
      </c>
      <c r="AR4637">
        <v>-162</v>
      </c>
      <c r="AS4637">
        <v>-96</v>
      </c>
      <c r="AT4637">
        <v>-1920</v>
      </c>
      <c r="BB4637">
        <v>1200</v>
      </c>
      <c r="BC4637">
        <v>1</v>
      </c>
      <c r="BD4637" t="str">
        <f t="shared" si="1705"/>
        <v xml:space="preserve">N887QR  </v>
      </c>
      <c r="BE4637">
        <v>1</v>
      </c>
      <c r="BG4637">
        <v>0</v>
      </c>
      <c r="BH4637">
        <v>0</v>
      </c>
      <c r="BI4637">
        <v>0</v>
      </c>
      <c r="BJ4637">
        <v>4000</v>
      </c>
      <c r="BK4637">
        <v>-400</v>
      </c>
      <c r="BL4637" t="s">
        <v>163</v>
      </c>
      <c r="BM4637">
        <v>1</v>
      </c>
      <c r="BN4637">
        <v>1</v>
      </c>
      <c r="BO4637">
        <v>1</v>
      </c>
      <c r="BP4637">
        <v>0</v>
      </c>
      <c r="BS4637">
        <v>0</v>
      </c>
      <c r="BT4637">
        <v>0</v>
      </c>
      <c r="BU4637">
        <v>0</v>
      </c>
      <c r="CE4637" t="str">
        <f t="shared" si="1715"/>
        <v>19:37:58.477</v>
      </c>
      <c r="CF4637">
        <v>476545993</v>
      </c>
      <c r="CS4637">
        <v>0</v>
      </c>
      <c r="CT4637">
        <v>2</v>
      </c>
      <c r="CU4637">
        <v>0</v>
      </c>
      <c r="CV4637">
        <v>2</v>
      </c>
      <c r="CW4637">
        <v>0</v>
      </c>
      <c r="CX4637">
        <v>6</v>
      </c>
      <c r="CY4637">
        <v>7</v>
      </c>
      <c r="CZ4637" t="s">
        <v>131</v>
      </c>
      <c r="DA4637">
        <v>286</v>
      </c>
      <c r="DB4637">
        <v>0</v>
      </c>
      <c r="DC4637" t="s">
        <v>132</v>
      </c>
      <c r="DD4637" t="s">
        <v>133</v>
      </c>
      <c r="DG4637">
        <v>920609</v>
      </c>
      <c r="DI4637">
        <v>0</v>
      </c>
      <c r="DJ4637">
        <v>0</v>
      </c>
      <c r="DK4637">
        <v>1</v>
      </c>
      <c r="DL4637">
        <v>0</v>
      </c>
      <c r="DM4637">
        <v>0</v>
      </c>
      <c r="DN4637">
        <v>1</v>
      </c>
      <c r="DO4637">
        <v>0</v>
      </c>
      <c r="DP4637">
        <v>0</v>
      </c>
      <c r="DQ4637">
        <v>0</v>
      </c>
      <c r="DR4637">
        <v>0</v>
      </c>
      <c r="DS4637">
        <v>0</v>
      </c>
    </row>
    <row r="4638" spans="1:123" x14ac:dyDescent="0.3">
      <c r="A4638" t="str">
        <f>"10/04/2022 19:37:58.731"</f>
        <v>10/04/2022 19:37:58.731</v>
      </c>
      <c r="C4638" t="str">
        <f t="shared" si="1696"/>
        <v>FFDFD3C0</v>
      </c>
      <c r="D4638" t="s">
        <v>134</v>
      </c>
      <c r="E4638">
        <v>15</v>
      </c>
      <c r="J4638" t="s">
        <v>135</v>
      </c>
      <c r="K4638">
        <v>0</v>
      </c>
      <c r="L4638">
        <v>3</v>
      </c>
      <c r="M4638">
        <v>0</v>
      </c>
      <c r="N4638">
        <v>2</v>
      </c>
      <c r="O4638">
        <v>0</v>
      </c>
      <c r="P4638">
        <v>1</v>
      </c>
      <c r="Q4638">
        <v>0</v>
      </c>
      <c r="S4638" t="str">
        <f t="shared" si="1714"/>
        <v>19:37:58.000</v>
      </c>
      <c r="T4638" t="str">
        <f t="shared" si="1714"/>
        <v>19:37:58.000</v>
      </c>
      <c r="U4638" t="str">
        <f t="shared" si="1704"/>
        <v>AC3944</v>
      </c>
      <c r="V4638">
        <v>0</v>
      </c>
      <c r="W4638">
        <v>0</v>
      </c>
      <c r="X4638">
        <v>2</v>
      </c>
      <c r="Y4638">
        <v>0</v>
      </c>
      <c r="AA4638">
        <v>1</v>
      </c>
      <c r="AB4638">
        <v>8</v>
      </c>
      <c r="AC4638">
        <v>3</v>
      </c>
      <c r="AD4638">
        <v>0</v>
      </c>
      <c r="AE4638">
        <v>9</v>
      </c>
      <c r="AF4638" t="s">
        <v>138</v>
      </c>
      <c r="AG4638">
        <v>0</v>
      </c>
      <c r="AH4638">
        <v>3</v>
      </c>
      <c r="AI4638">
        <v>1</v>
      </c>
      <c r="AJ4638">
        <v>0</v>
      </c>
      <c r="AK4638" t="s">
        <v>1455</v>
      </c>
      <c r="AL4638">
        <v>32.722929000000001</v>
      </c>
      <c r="AM4638" t="s">
        <v>1456</v>
      </c>
      <c r="AN4638">
        <v>-116.73274000000001</v>
      </c>
      <c r="AO4638">
        <v>25</v>
      </c>
      <c r="AP4638">
        <v>4400</v>
      </c>
      <c r="AQ4638" t="s">
        <v>129</v>
      </c>
      <c r="AR4638">
        <v>-162</v>
      </c>
      <c r="AS4638">
        <v>-96</v>
      </c>
      <c r="AT4638">
        <v>-1920</v>
      </c>
      <c r="BB4638">
        <v>1200</v>
      </c>
      <c r="BC4638">
        <v>1</v>
      </c>
      <c r="BD4638" t="str">
        <f t="shared" si="1705"/>
        <v xml:space="preserve">N887QR  </v>
      </c>
      <c r="BE4638">
        <v>1</v>
      </c>
      <c r="BG4638">
        <v>0</v>
      </c>
      <c r="BH4638">
        <v>0</v>
      </c>
      <c r="BI4638">
        <v>0</v>
      </c>
      <c r="BJ4638">
        <v>4000</v>
      </c>
      <c r="BK4638">
        <v>-400</v>
      </c>
      <c r="BL4638" t="s">
        <v>163</v>
      </c>
      <c r="BM4638">
        <v>1</v>
      </c>
      <c r="BN4638">
        <v>1</v>
      </c>
      <c r="BO4638">
        <v>1</v>
      </c>
      <c r="BP4638">
        <v>0</v>
      </c>
      <c r="BS4638">
        <v>0</v>
      </c>
      <c r="BT4638">
        <v>0</v>
      </c>
      <c r="BU4638">
        <v>0</v>
      </c>
      <c r="CE4638" t="str">
        <f t="shared" si="1715"/>
        <v>19:37:58.477</v>
      </c>
      <c r="CF4638">
        <v>476545993</v>
      </c>
      <c r="CS4638">
        <v>0</v>
      </c>
      <c r="CT4638">
        <v>2</v>
      </c>
      <c r="CU4638">
        <v>0</v>
      </c>
      <c r="CV4638">
        <v>2</v>
      </c>
      <c r="CW4638">
        <v>0</v>
      </c>
      <c r="CX4638">
        <v>6</v>
      </c>
      <c r="CY4638">
        <v>7</v>
      </c>
      <c r="CZ4638" t="s">
        <v>131</v>
      </c>
      <c r="DA4638">
        <v>286</v>
      </c>
      <c r="DB4638">
        <v>0</v>
      </c>
      <c r="DC4638" t="s">
        <v>132</v>
      </c>
      <c r="DD4638" t="s">
        <v>133</v>
      </c>
      <c r="DG4638">
        <v>920609</v>
      </c>
      <c r="DI4638">
        <v>0</v>
      </c>
      <c r="DJ4638">
        <v>0</v>
      </c>
      <c r="DK4638">
        <v>0</v>
      </c>
      <c r="DL4638">
        <v>0</v>
      </c>
      <c r="DM4638">
        <v>0</v>
      </c>
      <c r="DN4638">
        <v>1</v>
      </c>
      <c r="DO4638">
        <v>0</v>
      </c>
      <c r="DP4638">
        <v>0</v>
      </c>
      <c r="DQ4638">
        <v>0</v>
      </c>
      <c r="DR4638">
        <v>0</v>
      </c>
      <c r="DS4638">
        <v>0</v>
      </c>
    </row>
    <row r="4639" spans="1:123" x14ac:dyDescent="0.3">
      <c r="A4639" t="str">
        <f>"10/04/2022 19:37:59.825"</f>
        <v>10/04/2022 19:37:59.825</v>
      </c>
      <c r="C4639" t="str">
        <f t="shared" si="1696"/>
        <v>FFDFD3C0</v>
      </c>
      <c r="D4639" t="s">
        <v>134</v>
      </c>
      <c r="E4639">
        <v>15</v>
      </c>
      <c r="J4639" t="s">
        <v>135</v>
      </c>
      <c r="K4639">
        <v>0</v>
      </c>
      <c r="L4639">
        <v>3</v>
      </c>
      <c r="M4639">
        <v>0</v>
      </c>
      <c r="N4639">
        <v>2</v>
      </c>
      <c r="O4639">
        <v>0</v>
      </c>
      <c r="P4639">
        <v>1</v>
      </c>
      <c r="Q4639">
        <v>0</v>
      </c>
      <c r="S4639" t="str">
        <f t="shared" ref="S4639:T4645" si="1716">"19:37:59.000"</f>
        <v>19:37:59.000</v>
      </c>
      <c r="T4639" t="str">
        <f t="shared" si="1716"/>
        <v>19:37:59.000</v>
      </c>
      <c r="U4639" t="str">
        <f t="shared" si="1704"/>
        <v>AC3944</v>
      </c>
      <c r="V4639">
        <v>0</v>
      </c>
      <c r="W4639">
        <v>0</v>
      </c>
      <c r="X4639">
        <v>2</v>
      </c>
      <c r="Y4639">
        <v>0</v>
      </c>
      <c r="AA4639">
        <v>1</v>
      </c>
      <c r="AB4639">
        <v>8</v>
      </c>
      <c r="AC4639">
        <v>3</v>
      </c>
      <c r="AD4639">
        <v>0</v>
      </c>
      <c r="AE4639">
        <v>9</v>
      </c>
      <c r="AF4639" t="s">
        <v>138</v>
      </c>
      <c r="AG4639">
        <v>0</v>
      </c>
      <c r="AH4639">
        <v>3</v>
      </c>
      <c r="AI4639">
        <v>1</v>
      </c>
      <c r="AJ4639">
        <v>0</v>
      </c>
      <c r="AK4639" t="s">
        <v>1457</v>
      </c>
      <c r="AL4639">
        <v>32.722478000000002</v>
      </c>
      <c r="AM4639" t="s">
        <v>1458</v>
      </c>
      <c r="AN4639">
        <v>-116.73362</v>
      </c>
      <c r="AO4639">
        <v>25</v>
      </c>
      <c r="AP4639">
        <v>4400</v>
      </c>
      <c r="AQ4639" t="s">
        <v>129</v>
      </c>
      <c r="AR4639">
        <v>-162</v>
      </c>
      <c r="AS4639">
        <v>-96</v>
      </c>
      <c r="AT4639">
        <v>-1920</v>
      </c>
      <c r="BB4639">
        <v>1200</v>
      </c>
      <c r="BC4639">
        <v>1</v>
      </c>
      <c r="BD4639" t="str">
        <f t="shared" si="1705"/>
        <v xml:space="preserve">N887QR  </v>
      </c>
      <c r="BE4639">
        <v>1</v>
      </c>
      <c r="BG4639">
        <v>0</v>
      </c>
      <c r="BH4639">
        <v>0</v>
      </c>
      <c r="BI4639">
        <v>0</v>
      </c>
      <c r="BJ4639">
        <v>3950</v>
      </c>
      <c r="BK4639">
        <v>-450</v>
      </c>
      <c r="BL4639" t="s">
        <v>163</v>
      </c>
      <c r="BM4639">
        <v>1</v>
      </c>
      <c r="BN4639">
        <v>1</v>
      </c>
      <c r="BO4639">
        <v>1</v>
      </c>
      <c r="BP4639">
        <v>0</v>
      </c>
      <c r="BS4639">
        <v>0</v>
      </c>
      <c r="BT4639">
        <v>0</v>
      </c>
      <c r="BU4639">
        <v>0</v>
      </c>
      <c r="CE4639" t="str">
        <f t="shared" ref="CE4639:CE4645" si="1717">"19:37:59.393"</f>
        <v>19:37:59.393</v>
      </c>
      <c r="CF4639">
        <v>393048662</v>
      </c>
      <c r="CS4639">
        <v>0</v>
      </c>
      <c r="CT4639">
        <v>2</v>
      </c>
      <c r="CU4639">
        <v>0</v>
      </c>
      <c r="CV4639">
        <v>2</v>
      </c>
      <c r="CW4639">
        <v>0</v>
      </c>
      <c r="CX4639">
        <v>6</v>
      </c>
      <c r="CY4639">
        <v>7</v>
      </c>
      <c r="CZ4639" t="s">
        <v>131</v>
      </c>
      <c r="DA4639">
        <v>286</v>
      </c>
      <c r="DB4639">
        <v>0</v>
      </c>
      <c r="DC4639" t="s">
        <v>132</v>
      </c>
      <c r="DD4639" t="s">
        <v>133</v>
      </c>
      <c r="DG4639">
        <v>920858</v>
      </c>
      <c r="DI4639">
        <v>0</v>
      </c>
      <c r="DJ4639">
        <v>0</v>
      </c>
      <c r="DK4639">
        <v>0</v>
      </c>
      <c r="DL4639">
        <v>0</v>
      </c>
      <c r="DM4639">
        <v>0</v>
      </c>
      <c r="DN4639">
        <v>1</v>
      </c>
      <c r="DO4639">
        <v>0</v>
      </c>
      <c r="DP4639">
        <v>0</v>
      </c>
      <c r="DQ4639">
        <v>0</v>
      </c>
      <c r="DR4639">
        <v>0</v>
      </c>
      <c r="DS4639">
        <v>0</v>
      </c>
    </row>
    <row r="4640" spans="1:123" x14ac:dyDescent="0.3">
      <c r="A4640" t="str">
        <f t="shared" ref="A4640:A4645" si="1718">"10/04/2022 19:37:59.857"</f>
        <v>10/04/2022 19:37:59.857</v>
      </c>
      <c r="C4640" t="str">
        <f t="shared" si="1696"/>
        <v>FFDFD3C0</v>
      </c>
      <c r="D4640" t="s">
        <v>143</v>
      </c>
      <c r="E4640">
        <v>20</v>
      </c>
      <c r="F4640">
        <v>1020</v>
      </c>
      <c r="G4640" t="s">
        <v>144</v>
      </c>
      <c r="J4640" t="s">
        <v>145</v>
      </c>
      <c r="K4640">
        <v>0</v>
      </c>
      <c r="L4640">
        <v>3</v>
      </c>
      <c r="M4640">
        <v>0</v>
      </c>
      <c r="N4640">
        <v>2</v>
      </c>
      <c r="O4640">
        <v>0</v>
      </c>
      <c r="P4640">
        <v>1</v>
      </c>
      <c r="Q4640">
        <v>0</v>
      </c>
      <c r="S4640" t="str">
        <f t="shared" si="1716"/>
        <v>19:37:59.000</v>
      </c>
      <c r="T4640" t="str">
        <f t="shared" si="1716"/>
        <v>19:37:59.000</v>
      </c>
      <c r="U4640" t="str">
        <f t="shared" si="1704"/>
        <v>AC3944</v>
      </c>
      <c r="V4640">
        <v>0</v>
      </c>
      <c r="W4640">
        <v>0</v>
      </c>
      <c r="X4640">
        <v>2</v>
      </c>
      <c r="Y4640">
        <v>0</v>
      </c>
      <c r="AA4640">
        <v>1</v>
      </c>
      <c r="AB4640">
        <v>8</v>
      </c>
      <c r="AC4640">
        <v>3</v>
      </c>
      <c r="AD4640">
        <v>0</v>
      </c>
      <c r="AE4640">
        <v>9</v>
      </c>
      <c r="AF4640" t="s">
        <v>138</v>
      </c>
      <c r="AG4640">
        <v>0</v>
      </c>
      <c r="AH4640">
        <v>3</v>
      </c>
      <c r="AI4640">
        <v>1</v>
      </c>
      <c r="AJ4640">
        <v>0</v>
      </c>
      <c r="AK4640" t="s">
        <v>1457</v>
      </c>
      <c r="AL4640">
        <v>32.722478000000002</v>
      </c>
      <c r="AM4640" t="s">
        <v>1458</v>
      </c>
      <c r="AN4640">
        <v>-116.73362</v>
      </c>
      <c r="AO4640">
        <v>25</v>
      </c>
      <c r="AP4640">
        <v>4400</v>
      </c>
      <c r="AQ4640" t="s">
        <v>129</v>
      </c>
      <c r="AR4640">
        <v>-162</v>
      </c>
      <c r="AS4640">
        <v>-96</v>
      </c>
      <c r="AT4640">
        <v>-1920</v>
      </c>
      <c r="BB4640">
        <v>1200</v>
      </c>
      <c r="BC4640">
        <v>1</v>
      </c>
      <c r="BD4640" t="str">
        <f t="shared" si="1705"/>
        <v xml:space="preserve">N887QR  </v>
      </c>
      <c r="BE4640">
        <v>1</v>
      </c>
      <c r="BG4640">
        <v>0</v>
      </c>
      <c r="BH4640">
        <v>0</v>
      </c>
      <c r="BI4640">
        <v>0</v>
      </c>
      <c r="BJ4640">
        <v>3950</v>
      </c>
      <c r="BK4640">
        <v>-450</v>
      </c>
      <c r="BL4640" t="s">
        <v>163</v>
      </c>
      <c r="BM4640">
        <v>1</v>
      </c>
      <c r="BN4640">
        <v>1</v>
      </c>
      <c r="BO4640">
        <v>1</v>
      </c>
      <c r="BP4640">
        <v>0</v>
      </c>
      <c r="BS4640">
        <v>0</v>
      </c>
      <c r="BT4640">
        <v>0</v>
      </c>
      <c r="BU4640">
        <v>0</v>
      </c>
      <c r="CE4640" t="str">
        <f t="shared" si="1717"/>
        <v>19:37:59.393</v>
      </c>
      <c r="CF4640">
        <v>393048662</v>
      </c>
      <c r="CS4640">
        <v>0</v>
      </c>
      <c r="CT4640">
        <v>2</v>
      </c>
      <c r="CU4640">
        <v>0</v>
      </c>
      <c r="CV4640">
        <v>2</v>
      </c>
      <c r="CW4640">
        <v>0</v>
      </c>
      <c r="CX4640">
        <v>6</v>
      </c>
      <c r="CY4640">
        <v>7</v>
      </c>
      <c r="CZ4640" t="s">
        <v>131</v>
      </c>
      <c r="DA4640">
        <v>286</v>
      </c>
      <c r="DB4640">
        <v>0</v>
      </c>
      <c r="DC4640" t="s">
        <v>132</v>
      </c>
      <c r="DD4640" t="s">
        <v>133</v>
      </c>
      <c r="DG4640">
        <v>920858</v>
      </c>
      <c r="DI4640">
        <v>0</v>
      </c>
      <c r="DJ4640">
        <v>0</v>
      </c>
      <c r="DK4640">
        <v>1</v>
      </c>
      <c r="DL4640">
        <v>0</v>
      </c>
      <c r="DM4640">
        <v>0</v>
      </c>
      <c r="DN4640">
        <v>1</v>
      </c>
      <c r="DO4640">
        <v>0</v>
      </c>
      <c r="DP4640">
        <v>0</v>
      </c>
      <c r="DQ4640">
        <v>0</v>
      </c>
      <c r="DR4640">
        <v>0</v>
      </c>
      <c r="DS4640">
        <v>0</v>
      </c>
    </row>
    <row r="4641" spans="1:123" x14ac:dyDescent="0.3">
      <c r="A4641" t="str">
        <f t="shared" si="1718"/>
        <v>10/04/2022 19:37:59.857</v>
      </c>
      <c r="C4641" t="str">
        <f t="shared" si="1696"/>
        <v>FFDFD3C0</v>
      </c>
      <c r="D4641" t="s">
        <v>147</v>
      </c>
      <c r="E4641">
        <v>3</v>
      </c>
      <c r="H4641">
        <v>166</v>
      </c>
      <c r="I4641" t="s">
        <v>144</v>
      </c>
      <c r="J4641" t="s">
        <v>148</v>
      </c>
      <c r="K4641">
        <v>0</v>
      </c>
      <c r="L4641">
        <v>3</v>
      </c>
      <c r="M4641">
        <v>0</v>
      </c>
      <c r="N4641">
        <v>2</v>
      </c>
      <c r="O4641">
        <v>0</v>
      </c>
      <c r="P4641">
        <v>1</v>
      </c>
      <c r="Q4641">
        <v>0</v>
      </c>
      <c r="S4641" t="str">
        <f t="shared" si="1716"/>
        <v>19:37:59.000</v>
      </c>
      <c r="T4641" t="str">
        <f t="shared" si="1716"/>
        <v>19:37:59.000</v>
      </c>
      <c r="U4641" t="str">
        <f t="shared" si="1704"/>
        <v>AC3944</v>
      </c>
      <c r="V4641">
        <v>0</v>
      </c>
      <c r="W4641">
        <v>0</v>
      </c>
      <c r="X4641">
        <v>2</v>
      </c>
      <c r="Y4641">
        <v>0</v>
      </c>
      <c r="AA4641">
        <v>1</v>
      </c>
      <c r="AB4641">
        <v>8</v>
      </c>
      <c r="AC4641">
        <v>3</v>
      </c>
      <c r="AD4641">
        <v>0</v>
      </c>
      <c r="AE4641">
        <v>9</v>
      </c>
      <c r="AF4641" t="s">
        <v>138</v>
      </c>
      <c r="AG4641">
        <v>0</v>
      </c>
      <c r="AH4641">
        <v>3</v>
      </c>
      <c r="AI4641">
        <v>1</v>
      </c>
      <c r="AJ4641">
        <v>0</v>
      </c>
      <c r="AK4641" t="s">
        <v>1457</v>
      </c>
      <c r="AL4641">
        <v>32.722478000000002</v>
      </c>
      <c r="AM4641" t="s">
        <v>1458</v>
      </c>
      <c r="AN4641">
        <v>-116.73362</v>
      </c>
      <c r="AO4641">
        <v>25</v>
      </c>
      <c r="AP4641">
        <v>4400</v>
      </c>
      <c r="AQ4641" t="s">
        <v>129</v>
      </c>
      <c r="AR4641">
        <v>-162</v>
      </c>
      <c r="AS4641">
        <v>-96</v>
      </c>
      <c r="AT4641">
        <v>-1920</v>
      </c>
      <c r="BB4641">
        <v>1200</v>
      </c>
      <c r="BC4641">
        <v>1</v>
      </c>
      <c r="BD4641" t="str">
        <f t="shared" si="1705"/>
        <v xml:space="preserve">N887QR  </v>
      </c>
      <c r="BE4641">
        <v>1</v>
      </c>
      <c r="BG4641">
        <v>0</v>
      </c>
      <c r="BH4641">
        <v>0</v>
      </c>
      <c r="BI4641">
        <v>0</v>
      </c>
      <c r="BJ4641">
        <v>3950</v>
      </c>
      <c r="BK4641">
        <v>-450</v>
      </c>
      <c r="BL4641" t="s">
        <v>163</v>
      </c>
      <c r="BM4641">
        <v>1</v>
      </c>
      <c r="BN4641">
        <v>1</v>
      </c>
      <c r="BO4641">
        <v>1</v>
      </c>
      <c r="BP4641">
        <v>0</v>
      </c>
      <c r="BS4641">
        <v>0</v>
      </c>
      <c r="BT4641">
        <v>0</v>
      </c>
      <c r="BU4641">
        <v>0</v>
      </c>
      <c r="CE4641" t="str">
        <f t="shared" si="1717"/>
        <v>19:37:59.393</v>
      </c>
      <c r="CF4641">
        <v>393048662</v>
      </c>
      <c r="CS4641">
        <v>0</v>
      </c>
      <c r="CT4641">
        <v>2</v>
      </c>
      <c r="CU4641">
        <v>0</v>
      </c>
      <c r="CV4641">
        <v>2</v>
      </c>
      <c r="CW4641">
        <v>0</v>
      </c>
      <c r="CX4641">
        <v>6</v>
      </c>
      <c r="CY4641">
        <v>7</v>
      </c>
      <c r="CZ4641" t="s">
        <v>131</v>
      </c>
      <c r="DA4641">
        <v>286</v>
      </c>
      <c r="DB4641">
        <v>0</v>
      </c>
      <c r="DC4641" t="s">
        <v>132</v>
      </c>
      <c r="DD4641" t="s">
        <v>133</v>
      </c>
      <c r="DG4641">
        <v>920858</v>
      </c>
      <c r="DI4641">
        <v>0</v>
      </c>
      <c r="DJ4641">
        <v>0</v>
      </c>
      <c r="DK4641">
        <v>1</v>
      </c>
      <c r="DL4641">
        <v>0</v>
      </c>
      <c r="DM4641">
        <v>0</v>
      </c>
      <c r="DN4641">
        <v>1</v>
      </c>
      <c r="DO4641">
        <v>0</v>
      </c>
      <c r="DP4641">
        <v>0</v>
      </c>
      <c r="DQ4641">
        <v>0</v>
      </c>
      <c r="DR4641">
        <v>0</v>
      </c>
      <c r="DS4641">
        <v>0</v>
      </c>
    </row>
    <row r="4642" spans="1:123" x14ac:dyDescent="0.3">
      <c r="A4642" t="str">
        <f t="shared" si="1718"/>
        <v>10/04/2022 19:37:59.857</v>
      </c>
      <c r="C4642" t="str">
        <f t="shared" si="1696"/>
        <v>FFDFD3C0</v>
      </c>
      <c r="D4642" t="s">
        <v>141</v>
      </c>
      <c r="E4642">
        <v>3</v>
      </c>
      <c r="H4642">
        <v>3</v>
      </c>
      <c r="I4642" t="s">
        <v>146</v>
      </c>
      <c r="J4642" t="s">
        <v>138</v>
      </c>
      <c r="K4642">
        <v>0</v>
      </c>
      <c r="L4642">
        <v>3</v>
      </c>
      <c r="M4642">
        <v>0</v>
      </c>
      <c r="N4642">
        <v>2</v>
      </c>
      <c r="O4642">
        <v>0</v>
      </c>
      <c r="P4642">
        <v>1</v>
      </c>
      <c r="Q4642">
        <v>0</v>
      </c>
      <c r="S4642" t="str">
        <f t="shared" si="1716"/>
        <v>19:37:59.000</v>
      </c>
      <c r="T4642" t="str">
        <f t="shared" si="1716"/>
        <v>19:37:59.000</v>
      </c>
      <c r="U4642" t="str">
        <f t="shared" si="1704"/>
        <v>AC3944</v>
      </c>
      <c r="V4642">
        <v>0</v>
      </c>
      <c r="W4642">
        <v>0</v>
      </c>
      <c r="X4642">
        <v>2</v>
      </c>
      <c r="Y4642">
        <v>0</v>
      </c>
      <c r="AA4642">
        <v>1</v>
      </c>
      <c r="AB4642">
        <v>8</v>
      </c>
      <c r="AC4642">
        <v>3</v>
      </c>
      <c r="AD4642">
        <v>0</v>
      </c>
      <c r="AE4642">
        <v>9</v>
      </c>
      <c r="AF4642" t="s">
        <v>138</v>
      </c>
      <c r="AG4642">
        <v>0</v>
      </c>
      <c r="AH4642">
        <v>3</v>
      </c>
      <c r="AI4642">
        <v>1</v>
      </c>
      <c r="AJ4642">
        <v>0</v>
      </c>
      <c r="AK4642" t="s">
        <v>1457</v>
      </c>
      <c r="AL4642">
        <v>32.722478000000002</v>
      </c>
      <c r="AM4642" t="s">
        <v>1458</v>
      </c>
      <c r="AN4642">
        <v>-116.73362</v>
      </c>
      <c r="AO4642">
        <v>25</v>
      </c>
      <c r="AP4642">
        <v>4400</v>
      </c>
      <c r="AQ4642" t="s">
        <v>129</v>
      </c>
      <c r="AR4642">
        <v>-162</v>
      </c>
      <c r="AS4642">
        <v>-96</v>
      </c>
      <c r="AT4642">
        <v>-1920</v>
      </c>
      <c r="BB4642">
        <v>1200</v>
      </c>
      <c r="BC4642">
        <v>1</v>
      </c>
      <c r="BD4642" t="str">
        <f t="shared" si="1705"/>
        <v xml:space="preserve">N887QR  </v>
      </c>
      <c r="BE4642">
        <v>1</v>
      </c>
      <c r="BG4642">
        <v>0</v>
      </c>
      <c r="BH4642">
        <v>0</v>
      </c>
      <c r="BI4642">
        <v>0</v>
      </c>
      <c r="BJ4642">
        <v>3950</v>
      </c>
      <c r="BK4642">
        <v>-450</v>
      </c>
      <c r="BL4642" t="s">
        <v>163</v>
      </c>
      <c r="BM4642">
        <v>1</v>
      </c>
      <c r="BN4642">
        <v>1</v>
      </c>
      <c r="BO4642">
        <v>1</v>
      </c>
      <c r="BP4642">
        <v>0</v>
      </c>
      <c r="BS4642">
        <v>0</v>
      </c>
      <c r="BT4642">
        <v>0</v>
      </c>
      <c r="BU4642">
        <v>0</v>
      </c>
      <c r="CE4642" t="str">
        <f t="shared" si="1717"/>
        <v>19:37:59.393</v>
      </c>
      <c r="CF4642">
        <v>393048662</v>
      </c>
      <c r="CS4642">
        <v>0</v>
      </c>
      <c r="CT4642">
        <v>2</v>
      </c>
      <c r="CU4642">
        <v>0</v>
      </c>
      <c r="CV4642">
        <v>2</v>
      </c>
      <c r="CW4642">
        <v>0</v>
      </c>
      <c r="CX4642">
        <v>6</v>
      </c>
      <c r="CY4642">
        <v>7</v>
      </c>
      <c r="CZ4642" t="s">
        <v>131</v>
      </c>
      <c r="DA4642">
        <v>286</v>
      </c>
      <c r="DB4642">
        <v>0</v>
      </c>
      <c r="DC4642" t="s">
        <v>132</v>
      </c>
      <c r="DD4642" t="s">
        <v>133</v>
      </c>
      <c r="DG4642">
        <v>920858</v>
      </c>
      <c r="DI4642">
        <v>0</v>
      </c>
      <c r="DJ4642">
        <v>0</v>
      </c>
      <c r="DK4642">
        <v>1</v>
      </c>
      <c r="DL4642">
        <v>0</v>
      </c>
      <c r="DM4642">
        <v>0</v>
      </c>
      <c r="DN4642">
        <v>1</v>
      </c>
      <c r="DO4642">
        <v>0</v>
      </c>
      <c r="DP4642">
        <v>0</v>
      </c>
      <c r="DQ4642">
        <v>0</v>
      </c>
      <c r="DR4642">
        <v>0</v>
      </c>
      <c r="DS4642">
        <v>0</v>
      </c>
    </row>
    <row r="4643" spans="1:123" x14ac:dyDescent="0.3">
      <c r="A4643" t="str">
        <f t="shared" si="1718"/>
        <v>10/04/2022 19:37:59.857</v>
      </c>
      <c r="C4643" t="str">
        <f t="shared" si="1696"/>
        <v>FFDFD3C0</v>
      </c>
      <c r="D4643" t="s">
        <v>141</v>
      </c>
      <c r="E4643">
        <v>4</v>
      </c>
      <c r="H4643">
        <v>4</v>
      </c>
      <c r="I4643" t="s">
        <v>142</v>
      </c>
      <c r="J4643" t="s">
        <v>138</v>
      </c>
      <c r="K4643">
        <v>0</v>
      </c>
      <c r="L4643">
        <v>3</v>
      </c>
      <c r="M4643">
        <v>0</v>
      </c>
      <c r="N4643">
        <v>2</v>
      </c>
      <c r="O4643">
        <v>0</v>
      </c>
      <c r="P4643">
        <v>1</v>
      </c>
      <c r="Q4643">
        <v>0</v>
      </c>
      <c r="S4643" t="str">
        <f t="shared" si="1716"/>
        <v>19:37:59.000</v>
      </c>
      <c r="T4643" t="str">
        <f t="shared" si="1716"/>
        <v>19:37:59.000</v>
      </c>
      <c r="U4643" t="str">
        <f t="shared" si="1704"/>
        <v>AC3944</v>
      </c>
      <c r="V4643">
        <v>0</v>
      </c>
      <c r="W4643">
        <v>0</v>
      </c>
      <c r="X4643">
        <v>2</v>
      </c>
      <c r="Y4643">
        <v>0</v>
      </c>
      <c r="AA4643">
        <v>1</v>
      </c>
      <c r="AB4643">
        <v>8</v>
      </c>
      <c r="AC4643">
        <v>3</v>
      </c>
      <c r="AD4643">
        <v>0</v>
      </c>
      <c r="AE4643">
        <v>9</v>
      </c>
      <c r="AF4643" t="s">
        <v>138</v>
      </c>
      <c r="AG4643">
        <v>0</v>
      </c>
      <c r="AH4643">
        <v>3</v>
      </c>
      <c r="AI4643">
        <v>1</v>
      </c>
      <c r="AJ4643">
        <v>0</v>
      </c>
      <c r="AK4643" t="s">
        <v>1457</v>
      </c>
      <c r="AL4643">
        <v>32.722478000000002</v>
      </c>
      <c r="AM4643" t="s">
        <v>1458</v>
      </c>
      <c r="AN4643">
        <v>-116.73362</v>
      </c>
      <c r="AO4643">
        <v>25</v>
      </c>
      <c r="AP4643">
        <v>4400</v>
      </c>
      <c r="AQ4643" t="s">
        <v>129</v>
      </c>
      <c r="AR4643">
        <v>-162</v>
      </c>
      <c r="AS4643">
        <v>-96</v>
      </c>
      <c r="AT4643">
        <v>-1920</v>
      </c>
      <c r="BB4643">
        <v>1200</v>
      </c>
      <c r="BC4643">
        <v>1</v>
      </c>
      <c r="BD4643" t="str">
        <f t="shared" si="1705"/>
        <v xml:space="preserve">N887QR  </v>
      </c>
      <c r="BE4643">
        <v>1</v>
      </c>
      <c r="BG4643">
        <v>0</v>
      </c>
      <c r="BH4643">
        <v>0</v>
      </c>
      <c r="BI4643">
        <v>0</v>
      </c>
      <c r="BJ4643">
        <v>3950</v>
      </c>
      <c r="BK4643">
        <v>-450</v>
      </c>
      <c r="BL4643" t="s">
        <v>163</v>
      </c>
      <c r="BM4643">
        <v>1</v>
      </c>
      <c r="BN4643">
        <v>1</v>
      </c>
      <c r="BO4643">
        <v>1</v>
      </c>
      <c r="BP4643">
        <v>0</v>
      </c>
      <c r="BS4643">
        <v>0</v>
      </c>
      <c r="BT4643">
        <v>0</v>
      </c>
      <c r="BU4643">
        <v>0</v>
      </c>
      <c r="CE4643" t="str">
        <f t="shared" si="1717"/>
        <v>19:37:59.393</v>
      </c>
      <c r="CF4643">
        <v>393048662</v>
      </c>
      <c r="CS4643">
        <v>0</v>
      </c>
      <c r="CT4643">
        <v>2</v>
      </c>
      <c r="CU4643">
        <v>0</v>
      </c>
      <c r="CV4643">
        <v>2</v>
      </c>
      <c r="CW4643">
        <v>0</v>
      </c>
      <c r="CX4643">
        <v>6</v>
      </c>
      <c r="CY4643">
        <v>7</v>
      </c>
      <c r="CZ4643" t="s">
        <v>131</v>
      </c>
      <c r="DA4643">
        <v>286</v>
      </c>
      <c r="DB4643">
        <v>0</v>
      </c>
      <c r="DC4643" t="s">
        <v>132</v>
      </c>
      <c r="DD4643" t="s">
        <v>133</v>
      </c>
      <c r="DG4643">
        <v>920858</v>
      </c>
      <c r="DI4643">
        <v>0</v>
      </c>
      <c r="DJ4643">
        <v>0</v>
      </c>
      <c r="DK4643">
        <v>1</v>
      </c>
      <c r="DL4643">
        <v>0</v>
      </c>
      <c r="DM4643">
        <v>0</v>
      </c>
      <c r="DN4643">
        <v>1</v>
      </c>
      <c r="DO4643">
        <v>0</v>
      </c>
      <c r="DP4643">
        <v>0</v>
      </c>
      <c r="DQ4643">
        <v>0</v>
      </c>
      <c r="DR4643">
        <v>0</v>
      </c>
      <c r="DS4643">
        <v>0</v>
      </c>
    </row>
    <row r="4644" spans="1:123" x14ac:dyDescent="0.3">
      <c r="A4644" t="str">
        <f t="shared" si="1718"/>
        <v>10/04/2022 19:37:59.857</v>
      </c>
      <c r="C4644" t="str">
        <f t="shared" si="1696"/>
        <v>FFDFD3C0</v>
      </c>
      <c r="D4644" t="s">
        <v>123</v>
      </c>
      <c r="E4644">
        <v>7</v>
      </c>
      <c r="F4644">
        <v>2007</v>
      </c>
      <c r="G4644" t="s">
        <v>124</v>
      </c>
      <c r="J4644" t="s">
        <v>125</v>
      </c>
      <c r="K4644">
        <v>0</v>
      </c>
      <c r="L4644">
        <v>3</v>
      </c>
      <c r="M4644">
        <v>0</v>
      </c>
      <c r="N4644">
        <v>2</v>
      </c>
      <c r="O4644">
        <v>0</v>
      </c>
      <c r="P4644">
        <v>1</v>
      </c>
      <c r="Q4644">
        <v>0</v>
      </c>
      <c r="S4644" t="str">
        <f t="shared" si="1716"/>
        <v>19:37:59.000</v>
      </c>
      <c r="T4644" t="str">
        <f t="shared" si="1716"/>
        <v>19:37:59.000</v>
      </c>
      <c r="U4644" t="str">
        <f t="shared" si="1704"/>
        <v>AC3944</v>
      </c>
      <c r="V4644">
        <v>0</v>
      </c>
      <c r="W4644">
        <v>0</v>
      </c>
      <c r="X4644">
        <v>2</v>
      </c>
      <c r="Y4644">
        <v>0</v>
      </c>
      <c r="AA4644">
        <v>1</v>
      </c>
      <c r="AB4644">
        <v>8</v>
      </c>
      <c r="AC4644">
        <v>3</v>
      </c>
      <c r="AD4644">
        <v>0</v>
      </c>
      <c r="AE4644">
        <v>9</v>
      </c>
      <c r="AF4644" t="s">
        <v>138</v>
      </c>
      <c r="AG4644">
        <v>0</v>
      </c>
      <c r="AH4644">
        <v>3</v>
      </c>
      <c r="AI4644">
        <v>1</v>
      </c>
      <c r="AJ4644">
        <v>0</v>
      </c>
      <c r="AK4644" t="s">
        <v>1457</v>
      </c>
      <c r="AL4644">
        <v>32.722478000000002</v>
      </c>
      <c r="AM4644" t="s">
        <v>1458</v>
      </c>
      <c r="AN4644">
        <v>-116.73362</v>
      </c>
      <c r="AO4644">
        <v>25</v>
      </c>
      <c r="AP4644">
        <v>4400</v>
      </c>
      <c r="AQ4644" t="s">
        <v>129</v>
      </c>
      <c r="AR4644">
        <v>-162</v>
      </c>
      <c r="AS4644">
        <v>-96</v>
      </c>
      <c r="AT4644">
        <v>-1920</v>
      </c>
      <c r="BB4644">
        <v>1200</v>
      </c>
      <c r="BC4644">
        <v>1</v>
      </c>
      <c r="BD4644" t="str">
        <f t="shared" si="1705"/>
        <v xml:space="preserve">N887QR  </v>
      </c>
      <c r="BE4644">
        <v>1</v>
      </c>
      <c r="BG4644">
        <v>0</v>
      </c>
      <c r="BH4644">
        <v>0</v>
      </c>
      <c r="BI4644">
        <v>0</v>
      </c>
      <c r="BJ4644">
        <v>3950</v>
      </c>
      <c r="BK4644">
        <v>-450</v>
      </c>
      <c r="BL4644" t="s">
        <v>163</v>
      </c>
      <c r="BM4644">
        <v>1</v>
      </c>
      <c r="BN4644">
        <v>1</v>
      </c>
      <c r="BO4644">
        <v>1</v>
      </c>
      <c r="BP4644">
        <v>0</v>
      </c>
      <c r="BS4644">
        <v>0</v>
      </c>
      <c r="BT4644">
        <v>0</v>
      </c>
      <c r="BU4644">
        <v>0</v>
      </c>
      <c r="CE4644" t="str">
        <f t="shared" si="1717"/>
        <v>19:37:59.393</v>
      </c>
      <c r="CF4644">
        <v>393048662</v>
      </c>
      <c r="CS4644">
        <v>0</v>
      </c>
      <c r="CT4644">
        <v>2</v>
      </c>
      <c r="CU4644">
        <v>0</v>
      </c>
      <c r="CV4644">
        <v>2</v>
      </c>
      <c r="CW4644">
        <v>0</v>
      </c>
      <c r="CX4644">
        <v>6</v>
      </c>
      <c r="CY4644">
        <v>7</v>
      </c>
      <c r="CZ4644" t="s">
        <v>131</v>
      </c>
      <c r="DA4644">
        <v>286</v>
      </c>
      <c r="DB4644">
        <v>0</v>
      </c>
      <c r="DC4644" t="s">
        <v>132</v>
      </c>
      <c r="DD4644" t="s">
        <v>133</v>
      </c>
      <c r="DG4644">
        <v>920858</v>
      </c>
      <c r="DI4644">
        <v>0</v>
      </c>
      <c r="DJ4644">
        <v>0</v>
      </c>
      <c r="DK4644">
        <v>0</v>
      </c>
      <c r="DL4644">
        <v>0</v>
      </c>
      <c r="DM4644">
        <v>0</v>
      </c>
      <c r="DN4644">
        <v>1</v>
      </c>
      <c r="DO4644">
        <v>0</v>
      </c>
      <c r="DP4644">
        <v>0</v>
      </c>
      <c r="DQ4644">
        <v>0</v>
      </c>
      <c r="DR4644">
        <v>0</v>
      </c>
      <c r="DS4644">
        <v>0</v>
      </c>
    </row>
    <row r="4645" spans="1:123" x14ac:dyDescent="0.3">
      <c r="A4645" t="str">
        <f t="shared" si="1718"/>
        <v>10/04/2022 19:37:59.857</v>
      </c>
      <c r="C4645" t="str">
        <f t="shared" si="1696"/>
        <v>FFDFD3C0</v>
      </c>
      <c r="D4645" t="s">
        <v>136</v>
      </c>
      <c r="E4645">
        <v>8</v>
      </c>
      <c r="H4645">
        <v>225</v>
      </c>
      <c r="I4645" t="s">
        <v>137</v>
      </c>
      <c r="J4645" t="s">
        <v>138</v>
      </c>
      <c r="K4645">
        <v>0</v>
      </c>
      <c r="L4645">
        <v>3</v>
      </c>
      <c r="M4645">
        <v>0</v>
      </c>
      <c r="N4645">
        <v>2</v>
      </c>
      <c r="O4645">
        <v>0</v>
      </c>
      <c r="P4645">
        <v>1</v>
      </c>
      <c r="Q4645">
        <v>0</v>
      </c>
      <c r="S4645" t="str">
        <f t="shared" si="1716"/>
        <v>19:37:59.000</v>
      </c>
      <c r="T4645" t="str">
        <f t="shared" si="1716"/>
        <v>19:37:59.000</v>
      </c>
      <c r="U4645" t="str">
        <f t="shared" si="1704"/>
        <v>AC3944</v>
      </c>
      <c r="V4645">
        <v>0</v>
      </c>
      <c r="W4645">
        <v>0</v>
      </c>
      <c r="X4645">
        <v>2</v>
      </c>
      <c r="Y4645">
        <v>0</v>
      </c>
      <c r="AA4645">
        <v>1</v>
      </c>
      <c r="AB4645">
        <v>8</v>
      </c>
      <c r="AC4645">
        <v>3</v>
      </c>
      <c r="AD4645">
        <v>0</v>
      </c>
      <c r="AE4645">
        <v>9</v>
      </c>
      <c r="AF4645" t="s">
        <v>138</v>
      </c>
      <c r="AG4645">
        <v>0</v>
      </c>
      <c r="AH4645">
        <v>3</v>
      </c>
      <c r="AI4645">
        <v>1</v>
      </c>
      <c r="AJ4645">
        <v>0</v>
      </c>
      <c r="AK4645" t="s">
        <v>1457</v>
      </c>
      <c r="AL4645">
        <v>32.722478000000002</v>
      </c>
      <c r="AM4645" t="s">
        <v>1458</v>
      </c>
      <c r="AN4645">
        <v>-116.73362</v>
      </c>
      <c r="AO4645">
        <v>25</v>
      </c>
      <c r="AP4645">
        <v>4400</v>
      </c>
      <c r="AQ4645" t="s">
        <v>129</v>
      </c>
      <c r="AR4645">
        <v>-162</v>
      </c>
      <c r="AS4645">
        <v>-96</v>
      </c>
      <c r="AT4645">
        <v>-1920</v>
      </c>
      <c r="BB4645">
        <v>1200</v>
      </c>
      <c r="BC4645">
        <v>1</v>
      </c>
      <c r="BD4645" t="str">
        <f t="shared" si="1705"/>
        <v xml:space="preserve">N887QR  </v>
      </c>
      <c r="BE4645">
        <v>1</v>
      </c>
      <c r="BG4645">
        <v>0</v>
      </c>
      <c r="BH4645">
        <v>0</v>
      </c>
      <c r="BI4645">
        <v>0</v>
      </c>
      <c r="BJ4645">
        <v>3950</v>
      </c>
      <c r="BK4645">
        <v>-450</v>
      </c>
      <c r="BL4645" t="s">
        <v>163</v>
      </c>
      <c r="BM4645">
        <v>1</v>
      </c>
      <c r="BN4645">
        <v>1</v>
      </c>
      <c r="BO4645">
        <v>1</v>
      </c>
      <c r="BP4645">
        <v>0</v>
      </c>
      <c r="BS4645">
        <v>0</v>
      </c>
      <c r="BT4645">
        <v>0</v>
      </c>
      <c r="BU4645">
        <v>0</v>
      </c>
      <c r="CE4645" t="str">
        <f t="shared" si="1717"/>
        <v>19:37:59.393</v>
      </c>
      <c r="CF4645">
        <v>393048662</v>
      </c>
      <c r="CS4645">
        <v>0</v>
      </c>
      <c r="CT4645">
        <v>2</v>
      </c>
      <c r="CU4645">
        <v>0</v>
      </c>
      <c r="CV4645">
        <v>2</v>
      </c>
      <c r="CW4645">
        <v>0</v>
      </c>
      <c r="CX4645">
        <v>6</v>
      </c>
      <c r="CY4645">
        <v>7</v>
      </c>
      <c r="CZ4645" t="s">
        <v>131</v>
      </c>
      <c r="DA4645">
        <v>286</v>
      </c>
      <c r="DB4645">
        <v>0</v>
      </c>
      <c r="DC4645" t="s">
        <v>132</v>
      </c>
      <c r="DD4645" t="s">
        <v>133</v>
      </c>
      <c r="DG4645">
        <v>920858</v>
      </c>
      <c r="DI4645">
        <v>0</v>
      </c>
      <c r="DJ4645">
        <v>0</v>
      </c>
      <c r="DK4645">
        <v>1</v>
      </c>
      <c r="DL4645">
        <v>0</v>
      </c>
      <c r="DM4645">
        <v>0</v>
      </c>
      <c r="DN4645">
        <v>1</v>
      </c>
      <c r="DO4645">
        <v>0</v>
      </c>
      <c r="DP4645">
        <v>0</v>
      </c>
      <c r="DQ4645">
        <v>0</v>
      </c>
      <c r="DR4645">
        <v>0</v>
      </c>
      <c r="DS4645">
        <v>0</v>
      </c>
    </row>
    <row r="4646" spans="1:123" x14ac:dyDescent="0.3">
      <c r="A4646" t="str">
        <f>"10/04/2022 19:38:00.748"</f>
        <v>10/04/2022 19:38:00.748</v>
      </c>
      <c r="C4646" t="str">
        <f t="shared" si="1696"/>
        <v>FFDFD3C0</v>
      </c>
      <c r="D4646" t="s">
        <v>123</v>
      </c>
      <c r="E4646">
        <v>7</v>
      </c>
      <c r="F4646">
        <v>2007</v>
      </c>
      <c r="G4646" t="s">
        <v>124</v>
      </c>
      <c r="J4646" t="s">
        <v>125</v>
      </c>
      <c r="K4646">
        <v>0</v>
      </c>
      <c r="L4646">
        <v>3</v>
      </c>
      <c r="M4646">
        <v>0</v>
      </c>
      <c r="N4646">
        <v>2</v>
      </c>
      <c r="O4646">
        <v>0</v>
      </c>
      <c r="P4646">
        <v>1</v>
      </c>
      <c r="Q4646">
        <v>0</v>
      </c>
      <c r="S4646" t="str">
        <f t="shared" ref="S4646:T4652" si="1719">"19:38:00.000"</f>
        <v>19:38:00.000</v>
      </c>
      <c r="T4646" t="str">
        <f t="shared" si="1719"/>
        <v>19:38:00.000</v>
      </c>
      <c r="U4646" t="str">
        <f t="shared" si="1704"/>
        <v>AC3944</v>
      </c>
      <c r="V4646">
        <v>0</v>
      </c>
      <c r="W4646">
        <v>0</v>
      </c>
      <c r="X4646">
        <v>2</v>
      </c>
      <c r="Y4646">
        <v>0</v>
      </c>
      <c r="AA4646">
        <v>1</v>
      </c>
      <c r="AB4646">
        <v>8</v>
      </c>
      <c r="AC4646">
        <v>3</v>
      </c>
      <c r="AD4646">
        <v>0</v>
      </c>
      <c r="AE4646">
        <v>9</v>
      </c>
      <c r="AF4646" t="s">
        <v>138</v>
      </c>
      <c r="AG4646">
        <v>0</v>
      </c>
      <c r="AH4646">
        <v>3</v>
      </c>
      <c r="AI4646">
        <v>1</v>
      </c>
      <c r="AJ4646">
        <v>0</v>
      </c>
      <c r="AK4646" t="s">
        <v>1459</v>
      </c>
      <c r="AL4646">
        <v>32.722026999999997</v>
      </c>
      <c r="AM4646" t="s">
        <v>1460</v>
      </c>
      <c r="AN4646">
        <v>-116.734521</v>
      </c>
      <c r="AO4646">
        <v>25</v>
      </c>
      <c r="AP4646">
        <v>4400</v>
      </c>
      <c r="AQ4646" t="s">
        <v>129</v>
      </c>
      <c r="AR4646">
        <v>-162</v>
      </c>
      <c r="AS4646">
        <v>-95</v>
      </c>
      <c r="AT4646">
        <v>-1920</v>
      </c>
      <c r="BB4646">
        <v>1200</v>
      </c>
      <c r="BC4646">
        <v>1</v>
      </c>
      <c r="BD4646" t="str">
        <f t="shared" si="1705"/>
        <v xml:space="preserve">N887QR  </v>
      </c>
      <c r="BE4646">
        <v>1</v>
      </c>
      <c r="BG4646">
        <v>0</v>
      </c>
      <c r="BH4646">
        <v>0</v>
      </c>
      <c r="BI4646">
        <v>0</v>
      </c>
      <c r="BJ4646">
        <v>3925</v>
      </c>
      <c r="BK4646">
        <v>-475</v>
      </c>
      <c r="BL4646" t="s">
        <v>163</v>
      </c>
      <c r="BM4646">
        <v>1</v>
      </c>
      <c r="BN4646">
        <v>1</v>
      </c>
      <c r="BO4646">
        <v>1</v>
      </c>
      <c r="BP4646">
        <v>0</v>
      </c>
      <c r="BS4646">
        <v>0</v>
      </c>
      <c r="BT4646">
        <v>0</v>
      </c>
      <c r="BU4646">
        <v>0</v>
      </c>
      <c r="CE4646" t="str">
        <f t="shared" ref="CE4646:CE4652" si="1720">"19:38:00.433"</f>
        <v>19:38:00.433</v>
      </c>
      <c r="CF4646">
        <v>433301697</v>
      </c>
      <c r="CS4646">
        <v>0</v>
      </c>
      <c r="CT4646">
        <v>2</v>
      </c>
      <c r="CU4646">
        <v>0</v>
      </c>
      <c r="CV4646">
        <v>2</v>
      </c>
      <c r="CW4646">
        <v>0</v>
      </c>
      <c r="CX4646">
        <v>6</v>
      </c>
      <c r="CY4646">
        <v>7</v>
      </c>
      <c r="CZ4646" t="s">
        <v>131</v>
      </c>
      <c r="DA4646">
        <v>286</v>
      </c>
      <c r="DB4646">
        <v>0</v>
      </c>
      <c r="DC4646" t="s">
        <v>132</v>
      </c>
      <c r="DD4646" t="s">
        <v>133</v>
      </c>
      <c r="DG4646">
        <v>921128</v>
      </c>
      <c r="DI4646">
        <v>0</v>
      </c>
      <c r="DJ4646">
        <v>0</v>
      </c>
      <c r="DK4646">
        <v>0</v>
      </c>
      <c r="DL4646">
        <v>0</v>
      </c>
      <c r="DM4646">
        <v>0</v>
      </c>
      <c r="DN4646">
        <v>1</v>
      </c>
      <c r="DO4646">
        <v>0</v>
      </c>
      <c r="DP4646">
        <v>0</v>
      </c>
      <c r="DQ4646">
        <v>0</v>
      </c>
      <c r="DR4646">
        <v>0</v>
      </c>
      <c r="DS4646">
        <v>0</v>
      </c>
    </row>
    <row r="4647" spans="1:123" x14ac:dyDescent="0.3">
      <c r="A4647" t="str">
        <f>"10/04/2022 19:38:00.748"</f>
        <v>10/04/2022 19:38:00.748</v>
      </c>
      <c r="C4647" t="str">
        <f t="shared" si="1696"/>
        <v>FFDFD3C0</v>
      </c>
      <c r="D4647" t="s">
        <v>136</v>
      </c>
      <c r="E4647">
        <v>8</v>
      </c>
      <c r="H4647">
        <v>225</v>
      </c>
      <c r="I4647" t="s">
        <v>137</v>
      </c>
      <c r="J4647" t="s">
        <v>138</v>
      </c>
      <c r="K4647">
        <v>0</v>
      </c>
      <c r="L4647">
        <v>3</v>
      </c>
      <c r="M4647">
        <v>0</v>
      </c>
      <c r="N4647">
        <v>2</v>
      </c>
      <c r="O4647">
        <v>0</v>
      </c>
      <c r="P4647">
        <v>1</v>
      </c>
      <c r="Q4647">
        <v>0</v>
      </c>
      <c r="S4647" t="str">
        <f t="shared" si="1719"/>
        <v>19:38:00.000</v>
      </c>
      <c r="T4647" t="str">
        <f t="shared" si="1719"/>
        <v>19:38:00.000</v>
      </c>
      <c r="U4647" t="str">
        <f t="shared" si="1704"/>
        <v>AC3944</v>
      </c>
      <c r="V4647">
        <v>0</v>
      </c>
      <c r="W4647">
        <v>0</v>
      </c>
      <c r="X4647">
        <v>2</v>
      </c>
      <c r="Y4647">
        <v>0</v>
      </c>
      <c r="AA4647">
        <v>1</v>
      </c>
      <c r="AB4647">
        <v>8</v>
      </c>
      <c r="AC4647">
        <v>3</v>
      </c>
      <c r="AD4647">
        <v>0</v>
      </c>
      <c r="AE4647">
        <v>9</v>
      </c>
      <c r="AF4647" t="s">
        <v>138</v>
      </c>
      <c r="AG4647">
        <v>0</v>
      </c>
      <c r="AH4647">
        <v>3</v>
      </c>
      <c r="AI4647">
        <v>1</v>
      </c>
      <c r="AJ4647">
        <v>0</v>
      </c>
      <c r="AK4647" t="s">
        <v>1459</v>
      </c>
      <c r="AL4647">
        <v>32.722026999999997</v>
      </c>
      <c r="AM4647" t="s">
        <v>1460</v>
      </c>
      <c r="AN4647">
        <v>-116.734521</v>
      </c>
      <c r="AO4647">
        <v>25</v>
      </c>
      <c r="AP4647">
        <v>4400</v>
      </c>
      <c r="AQ4647" t="s">
        <v>129</v>
      </c>
      <c r="AR4647">
        <v>-162</v>
      </c>
      <c r="AS4647">
        <v>-95</v>
      </c>
      <c r="AT4647">
        <v>-1920</v>
      </c>
      <c r="BB4647">
        <v>1200</v>
      </c>
      <c r="BC4647">
        <v>1</v>
      </c>
      <c r="BD4647" t="str">
        <f t="shared" si="1705"/>
        <v xml:space="preserve">N887QR  </v>
      </c>
      <c r="BE4647">
        <v>1</v>
      </c>
      <c r="BG4647">
        <v>0</v>
      </c>
      <c r="BH4647">
        <v>0</v>
      </c>
      <c r="BI4647">
        <v>0</v>
      </c>
      <c r="BJ4647">
        <v>3925</v>
      </c>
      <c r="BK4647">
        <v>-475</v>
      </c>
      <c r="BL4647" t="s">
        <v>163</v>
      </c>
      <c r="BM4647">
        <v>1</v>
      </c>
      <c r="BN4647">
        <v>1</v>
      </c>
      <c r="BO4647">
        <v>1</v>
      </c>
      <c r="BP4647">
        <v>0</v>
      </c>
      <c r="BS4647">
        <v>0</v>
      </c>
      <c r="BT4647">
        <v>0</v>
      </c>
      <c r="BU4647">
        <v>0</v>
      </c>
      <c r="CE4647" t="str">
        <f t="shared" si="1720"/>
        <v>19:38:00.433</v>
      </c>
      <c r="CF4647">
        <v>433301697</v>
      </c>
      <c r="CS4647">
        <v>0</v>
      </c>
      <c r="CT4647">
        <v>2</v>
      </c>
      <c r="CU4647">
        <v>0</v>
      </c>
      <c r="CV4647">
        <v>2</v>
      </c>
      <c r="CW4647">
        <v>0</v>
      </c>
      <c r="CX4647">
        <v>6</v>
      </c>
      <c r="CY4647">
        <v>7</v>
      </c>
      <c r="CZ4647" t="s">
        <v>131</v>
      </c>
      <c r="DA4647">
        <v>286</v>
      </c>
      <c r="DB4647">
        <v>0</v>
      </c>
      <c r="DC4647" t="s">
        <v>132</v>
      </c>
      <c r="DD4647" t="s">
        <v>133</v>
      </c>
      <c r="DG4647">
        <v>921128</v>
      </c>
      <c r="DI4647">
        <v>0</v>
      </c>
      <c r="DJ4647">
        <v>0</v>
      </c>
      <c r="DK4647">
        <v>1</v>
      </c>
      <c r="DL4647">
        <v>0</v>
      </c>
      <c r="DM4647">
        <v>0</v>
      </c>
      <c r="DN4647">
        <v>1</v>
      </c>
      <c r="DO4647">
        <v>0</v>
      </c>
      <c r="DP4647">
        <v>0</v>
      </c>
      <c r="DQ4647">
        <v>0</v>
      </c>
      <c r="DR4647">
        <v>0</v>
      </c>
      <c r="DS4647">
        <v>0</v>
      </c>
    </row>
    <row r="4648" spans="1:123" x14ac:dyDescent="0.3">
      <c r="A4648" t="str">
        <f>"10/04/2022 19:38:00.764"</f>
        <v>10/04/2022 19:38:00.764</v>
      </c>
      <c r="C4648" t="str">
        <f t="shared" si="1696"/>
        <v>FFDFD3C0</v>
      </c>
      <c r="D4648" t="s">
        <v>134</v>
      </c>
      <c r="E4648">
        <v>15</v>
      </c>
      <c r="J4648" t="s">
        <v>135</v>
      </c>
      <c r="K4648">
        <v>0</v>
      </c>
      <c r="L4648">
        <v>3</v>
      </c>
      <c r="M4648">
        <v>0</v>
      </c>
      <c r="N4648">
        <v>2</v>
      </c>
      <c r="O4648">
        <v>0</v>
      </c>
      <c r="P4648">
        <v>1</v>
      </c>
      <c r="Q4648">
        <v>0</v>
      </c>
      <c r="S4648" t="str">
        <f t="shared" si="1719"/>
        <v>19:38:00.000</v>
      </c>
      <c r="T4648" t="str">
        <f t="shared" si="1719"/>
        <v>19:38:00.000</v>
      </c>
      <c r="U4648" t="str">
        <f t="shared" si="1704"/>
        <v>AC3944</v>
      </c>
      <c r="V4648">
        <v>0</v>
      </c>
      <c r="W4648">
        <v>0</v>
      </c>
      <c r="X4648">
        <v>2</v>
      </c>
      <c r="Y4648">
        <v>0</v>
      </c>
      <c r="AA4648">
        <v>1</v>
      </c>
      <c r="AB4648">
        <v>8</v>
      </c>
      <c r="AC4648">
        <v>3</v>
      </c>
      <c r="AD4648">
        <v>0</v>
      </c>
      <c r="AE4648">
        <v>9</v>
      </c>
      <c r="AF4648" t="s">
        <v>138</v>
      </c>
      <c r="AG4648">
        <v>0</v>
      </c>
      <c r="AH4648">
        <v>3</v>
      </c>
      <c r="AI4648">
        <v>1</v>
      </c>
      <c r="AJ4648">
        <v>0</v>
      </c>
      <c r="AK4648" t="s">
        <v>1459</v>
      </c>
      <c r="AL4648">
        <v>32.722026999999997</v>
      </c>
      <c r="AM4648" t="s">
        <v>1460</v>
      </c>
      <c r="AN4648">
        <v>-116.734521</v>
      </c>
      <c r="AO4648">
        <v>25</v>
      </c>
      <c r="AP4648">
        <v>4400</v>
      </c>
      <c r="AQ4648" t="s">
        <v>129</v>
      </c>
      <c r="AR4648">
        <v>-162</v>
      </c>
      <c r="AS4648">
        <v>-95</v>
      </c>
      <c r="AT4648">
        <v>-1920</v>
      </c>
      <c r="BB4648">
        <v>1200</v>
      </c>
      <c r="BC4648">
        <v>1</v>
      </c>
      <c r="BD4648" t="str">
        <f t="shared" si="1705"/>
        <v xml:space="preserve">N887QR  </v>
      </c>
      <c r="BE4648">
        <v>1</v>
      </c>
      <c r="BG4648">
        <v>0</v>
      </c>
      <c r="BH4648">
        <v>0</v>
      </c>
      <c r="BI4648">
        <v>0</v>
      </c>
      <c r="BJ4648">
        <v>3925</v>
      </c>
      <c r="BK4648">
        <v>-475</v>
      </c>
      <c r="BL4648" t="s">
        <v>163</v>
      </c>
      <c r="BM4648">
        <v>1</v>
      </c>
      <c r="BN4648">
        <v>1</v>
      </c>
      <c r="BO4648">
        <v>1</v>
      </c>
      <c r="BP4648">
        <v>0</v>
      </c>
      <c r="BS4648">
        <v>0</v>
      </c>
      <c r="BT4648">
        <v>0</v>
      </c>
      <c r="BU4648">
        <v>0</v>
      </c>
      <c r="CE4648" t="str">
        <f t="shared" si="1720"/>
        <v>19:38:00.433</v>
      </c>
      <c r="CF4648">
        <v>433301697</v>
      </c>
      <c r="CS4648">
        <v>0</v>
      </c>
      <c r="CT4648">
        <v>2</v>
      </c>
      <c r="CU4648">
        <v>0</v>
      </c>
      <c r="CV4648">
        <v>2</v>
      </c>
      <c r="CW4648">
        <v>0</v>
      </c>
      <c r="CX4648">
        <v>6</v>
      </c>
      <c r="CY4648">
        <v>7</v>
      </c>
      <c r="CZ4648" t="s">
        <v>131</v>
      </c>
      <c r="DA4648">
        <v>286</v>
      </c>
      <c r="DB4648">
        <v>0</v>
      </c>
      <c r="DC4648" t="s">
        <v>132</v>
      </c>
      <c r="DD4648" t="s">
        <v>133</v>
      </c>
      <c r="DG4648">
        <v>921128</v>
      </c>
      <c r="DI4648">
        <v>0</v>
      </c>
      <c r="DJ4648">
        <v>0</v>
      </c>
      <c r="DK4648">
        <v>1</v>
      </c>
      <c r="DL4648">
        <v>0</v>
      </c>
      <c r="DM4648">
        <v>0</v>
      </c>
      <c r="DN4648">
        <v>1</v>
      </c>
      <c r="DO4648">
        <v>0</v>
      </c>
      <c r="DP4648">
        <v>0</v>
      </c>
      <c r="DQ4648">
        <v>0</v>
      </c>
      <c r="DR4648">
        <v>0</v>
      </c>
      <c r="DS4648">
        <v>0</v>
      </c>
    </row>
    <row r="4649" spans="1:123" x14ac:dyDescent="0.3">
      <c r="A4649" t="str">
        <f>"10/04/2022 19:38:00.764"</f>
        <v>10/04/2022 19:38:00.764</v>
      </c>
      <c r="C4649" t="str">
        <f t="shared" si="1696"/>
        <v>FFDFD3C0</v>
      </c>
      <c r="D4649" t="s">
        <v>143</v>
      </c>
      <c r="E4649">
        <v>20</v>
      </c>
      <c r="F4649">
        <v>1020</v>
      </c>
      <c r="G4649" t="s">
        <v>144</v>
      </c>
      <c r="J4649" t="s">
        <v>145</v>
      </c>
      <c r="K4649">
        <v>0</v>
      </c>
      <c r="L4649">
        <v>3</v>
      </c>
      <c r="M4649">
        <v>0</v>
      </c>
      <c r="N4649">
        <v>2</v>
      </c>
      <c r="O4649">
        <v>0</v>
      </c>
      <c r="P4649">
        <v>1</v>
      </c>
      <c r="Q4649">
        <v>0</v>
      </c>
      <c r="S4649" t="str">
        <f t="shared" si="1719"/>
        <v>19:38:00.000</v>
      </c>
      <c r="T4649" t="str">
        <f t="shared" si="1719"/>
        <v>19:38:00.000</v>
      </c>
      <c r="U4649" t="str">
        <f t="shared" si="1704"/>
        <v>AC3944</v>
      </c>
      <c r="V4649">
        <v>0</v>
      </c>
      <c r="W4649">
        <v>0</v>
      </c>
      <c r="X4649">
        <v>2</v>
      </c>
      <c r="Y4649">
        <v>0</v>
      </c>
      <c r="AA4649">
        <v>1</v>
      </c>
      <c r="AB4649">
        <v>8</v>
      </c>
      <c r="AC4649">
        <v>3</v>
      </c>
      <c r="AD4649">
        <v>0</v>
      </c>
      <c r="AE4649">
        <v>9</v>
      </c>
      <c r="AF4649" t="s">
        <v>138</v>
      </c>
      <c r="AG4649">
        <v>0</v>
      </c>
      <c r="AH4649">
        <v>3</v>
      </c>
      <c r="AI4649">
        <v>1</v>
      </c>
      <c r="AJ4649">
        <v>0</v>
      </c>
      <c r="AK4649" t="s">
        <v>1459</v>
      </c>
      <c r="AL4649">
        <v>32.722026999999997</v>
      </c>
      <c r="AM4649" t="s">
        <v>1460</v>
      </c>
      <c r="AN4649">
        <v>-116.734521</v>
      </c>
      <c r="AO4649">
        <v>25</v>
      </c>
      <c r="AP4649">
        <v>4400</v>
      </c>
      <c r="AQ4649" t="s">
        <v>129</v>
      </c>
      <c r="AR4649">
        <v>-162</v>
      </c>
      <c r="AS4649">
        <v>-95</v>
      </c>
      <c r="AT4649">
        <v>-1920</v>
      </c>
      <c r="BB4649">
        <v>1200</v>
      </c>
      <c r="BC4649">
        <v>1</v>
      </c>
      <c r="BD4649" t="str">
        <f t="shared" si="1705"/>
        <v xml:space="preserve">N887QR  </v>
      </c>
      <c r="BE4649">
        <v>1</v>
      </c>
      <c r="BG4649">
        <v>0</v>
      </c>
      <c r="BH4649">
        <v>0</v>
      </c>
      <c r="BI4649">
        <v>0</v>
      </c>
      <c r="BJ4649">
        <v>3925</v>
      </c>
      <c r="BK4649">
        <v>-475</v>
      </c>
      <c r="BL4649" t="s">
        <v>163</v>
      </c>
      <c r="BM4649">
        <v>1</v>
      </c>
      <c r="BN4649">
        <v>1</v>
      </c>
      <c r="BO4649">
        <v>1</v>
      </c>
      <c r="BP4649">
        <v>0</v>
      </c>
      <c r="BS4649">
        <v>0</v>
      </c>
      <c r="BT4649">
        <v>0</v>
      </c>
      <c r="BU4649">
        <v>0</v>
      </c>
      <c r="CE4649" t="str">
        <f t="shared" si="1720"/>
        <v>19:38:00.433</v>
      </c>
      <c r="CF4649">
        <v>433301697</v>
      </c>
      <c r="CS4649">
        <v>0</v>
      </c>
      <c r="CT4649">
        <v>2</v>
      </c>
      <c r="CU4649">
        <v>0</v>
      </c>
      <c r="CV4649">
        <v>2</v>
      </c>
      <c r="CW4649">
        <v>0</v>
      </c>
      <c r="CX4649">
        <v>6</v>
      </c>
      <c r="CY4649">
        <v>7</v>
      </c>
      <c r="CZ4649" t="s">
        <v>131</v>
      </c>
      <c r="DA4649">
        <v>286</v>
      </c>
      <c r="DB4649">
        <v>0</v>
      </c>
      <c r="DC4649" t="s">
        <v>132</v>
      </c>
      <c r="DD4649" t="s">
        <v>133</v>
      </c>
      <c r="DG4649">
        <v>921128</v>
      </c>
      <c r="DI4649">
        <v>0</v>
      </c>
      <c r="DJ4649">
        <v>0</v>
      </c>
      <c r="DK4649">
        <v>1</v>
      </c>
      <c r="DL4649">
        <v>0</v>
      </c>
      <c r="DM4649">
        <v>0</v>
      </c>
      <c r="DN4649">
        <v>1</v>
      </c>
      <c r="DO4649">
        <v>0</v>
      </c>
      <c r="DP4649">
        <v>0</v>
      </c>
      <c r="DQ4649">
        <v>0</v>
      </c>
      <c r="DR4649">
        <v>0</v>
      </c>
      <c r="DS4649">
        <v>0</v>
      </c>
    </row>
    <row r="4650" spans="1:123" x14ac:dyDescent="0.3">
      <c r="A4650" t="str">
        <f>"10/04/2022 19:38:00.764"</f>
        <v>10/04/2022 19:38:00.764</v>
      </c>
      <c r="C4650" t="str">
        <f t="shared" si="1696"/>
        <v>FFDFD3C0</v>
      </c>
      <c r="D4650" t="s">
        <v>147</v>
      </c>
      <c r="E4650">
        <v>3</v>
      </c>
      <c r="H4650">
        <v>166</v>
      </c>
      <c r="I4650" t="s">
        <v>144</v>
      </c>
      <c r="J4650" t="s">
        <v>148</v>
      </c>
      <c r="K4650">
        <v>0</v>
      </c>
      <c r="L4650">
        <v>3</v>
      </c>
      <c r="M4650">
        <v>0</v>
      </c>
      <c r="N4650">
        <v>2</v>
      </c>
      <c r="O4650">
        <v>0</v>
      </c>
      <c r="P4650">
        <v>1</v>
      </c>
      <c r="Q4650">
        <v>0</v>
      </c>
      <c r="S4650" t="str">
        <f t="shared" si="1719"/>
        <v>19:38:00.000</v>
      </c>
      <c r="T4650" t="str">
        <f t="shared" si="1719"/>
        <v>19:38:00.000</v>
      </c>
      <c r="U4650" t="str">
        <f t="shared" si="1704"/>
        <v>AC3944</v>
      </c>
      <c r="V4650">
        <v>0</v>
      </c>
      <c r="W4650">
        <v>0</v>
      </c>
      <c r="X4650">
        <v>2</v>
      </c>
      <c r="Y4650">
        <v>0</v>
      </c>
      <c r="AA4650">
        <v>1</v>
      </c>
      <c r="AB4650">
        <v>8</v>
      </c>
      <c r="AC4650">
        <v>3</v>
      </c>
      <c r="AD4650">
        <v>0</v>
      </c>
      <c r="AE4650">
        <v>9</v>
      </c>
      <c r="AF4650" t="s">
        <v>138</v>
      </c>
      <c r="AG4650">
        <v>0</v>
      </c>
      <c r="AH4650">
        <v>3</v>
      </c>
      <c r="AI4650">
        <v>1</v>
      </c>
      <c r="AJ4650">
        <v>0</v>
      </c>
      <c r="AK4650" t="s">
        <v>1459</v>
      </c>
      <c r="AL4650">
        <v>32.722026999999997</v>
      </c>
      <c r="AM4650" t="s">
        <v>1460</v>
      </c>
      <c r="AN4650">
        <v>-116.734521</v>
      </c>
      <c r="AO4650">
        <v>25</v>
      </c>
      <c r="AP4650">
        <v>4400</v>
      </c>
      <c r="AQ4650" t="s">
        <v>129</v>
      </c>
      <c r="AR4650">
        <v>-162</v>
      </c>
      <c r="AS4650">
        <v>-95</v>
      </c>
      <c r="AT4650">
        <v>-1920</v>
      </c>
      <c r="BB4650">
        <v>1200</v>
      </c>
      <c r="BC4650">
        <v>1</v>
      </c>
      <c r="BD4650" t="str">
        <f t="shared" si="1705"/>
        <v xml:space="preserve">N887QR  </v>
      </c>
      <c r="BE4650">
        <v>1</v>
      </c>
      <c r="BG4650">
        <v>0</v>
      </c>
      <c r="BH4650">
        <v>0</v>
      </c>
      <c r="BI4650">
        <v>0</v>
      </c>
      <c r="BJ4650">
        <v>3925</v>
      </c>
      <c r="BK4650">
        <v>-475</v>
      </c>
      <c r="BL4650" t="s">
        <v>163</v>
      </c>
      <c r="BM4650">
        <v>1</v>
      </c>
      <c r="BN4650">
        <v>1</v>
      </c>
      <c r="BO4650">
        <v>1</v>
      </c>
      <c r="BP4650">
        <v>0</v>
      </c>
      <c r="BS4650">
        <v>0</v>
      </c>
      <c r="BT4650">
        <v>0</v>
      </c>
      <c r="BU4650">
        <v>0</v>
      </c>
      <c r="CE4650" t="str">
        <f t="shared" si="1720"/>
        <v>19:38:00.433</v>
      </c>
      <c r="CF4650">
        <v>433301697</v>
      </c>
      <c r="CS4650">
        <v>0</v>
      </c>
      <c r="CT4650">
        <v>2</v>
      </c>
      <c r="CU4650">
        <v>0</v>
      </c>
      <c r="CV4650">
        <v>2</v>
      </c>
      <c r="CW4650">
        <v>0</v>
      </c>
      <c r="CX4650">
        <v>6</v>
      </c>
      <c r="CY4650">
        <v>7</v>
      </c>
      <c r="CZ4650" t="s">
        <v>131</v>
      </c>
      <c r="DA4650">
        <v>286</v>
      </c>
      <c r="DB4650">
        <v>0</v>
      </c>
      <c r="DC4650" t="s">
        <v>132</v>
      </c>
      <c r="DD4650" t="s">
        <v>133</v>
      </c>
      <c r="DG4650">
        <v>921128</v>
      </c>
      <c r="DI4650">
        <v>0</v>
      </c>
      <c r="DJ4650">
        <v>0</v>
      </c>
      <c r="DK4650">
        <v>1</v>
      </c>
      <c r="DL4650">
        <v>0</v>
      </c>
      <c r="DM4650">
        <v>0</v>
      </c>
      <c r="DN4650">
        <v>1</v>
      </c>
      <c r="DO4650">
        <v>0</v>
      </c>
      <c r="DP4650">
        <v>0</v>
      </c>
      <c r="DQ4650">
        <v>0</v>
      </c>
      <c r="DR4650">
        <v>0</v>
      </c>
      <c r="DS4650">
        <v>0</v>
      </c>
    </row>
    <row r="4651" spans="1:123" x14ac:dyDescent="0.3">
      <c r="A4651" t="str">
        <f>"10/04/2022 19:38:00.764"</f>
        <v>10/04/2022 19:38:00.764</v>
      </c>
      <c r="C4651" t="str">
        <f t="shared" ref="C4651:C4714" si="1721">"FFDFD3C0"</f>
        <v>FFDFD3C0</v>
      </c>
      <c r="D4651" t="s">
        <v>141</v>
      </c>
      <c r="E4651">
        <v>4</v>
      </c>
      <c r="H4651">
        <v>4</v>
      </c>
      <c r="I4651" t="s">
        <v>142</v>
      </c>
      <c r="J4651" t="s">
        <v>138</v>
      </c>
      <c r="K4651">
        <v>0</v>
      </c>
      <c r="L4651">
        <v>3</v>
      </c>
      <c r="M4651">
        <v>0</v>
      </c>
      <c r="N4651">
        <v>2</v>
      </c>
      <c r="O4651">
        <v>0</v>
      </c>
      <c r="P4651">
        <v>1</v>
      </c>
      <c r="Q4651">
        <v>0</v>
      </c>
      <c r="S4651" t="str">
        <f t="shared" si="1719"/>
        <v>19:38:00.000</v>
      </c>
      <c r="T4651" t="str">
        <f t="shared" si="1719"/>
        <v>19:38:00.000</v>
      </c>
      <c r="U4651" t="str">
        <f t="shared" si="1704"/>
        <v>AC3944</v>
      </c>
      <c r="V4651">
        <v>0</v>
      </c>
      <c r="W4651">
        <v>0</v>
      </c>
      <c r="X4651">
        <v>2</v>
      </c>
      <c r="Y4651">
        <v>0</v>
      </c>
      <c r="AA4651">
        <v>1</v>
      </c>
      <c r="AB4651">
        <v>8</v>
      </c>
      <c r="AC4651">
        <v>3</v>
      </c>
      <c r="AD4651">
        <v>0</v>
      </c>
      <c r="AE4651">
        <v>9</v>
      </c>
      <c r="AF4651" t="s">
        <v>138</v>
      </c>
      <c r="AG4651">
        <v>0</v>
      </c>
      <c r="AH4651">
        <v>3</v>
      </c>
      <c r="AI4651">
        <v>1</v>
      </c>
      <c r="AJ4651">
        <v>0</v>
      </c>
      <c r="AK4651" t="s">
        <v>1459</v>
      </c>
      <c r="AL4651">
        <v>32.722026999999997</v>
      </c>
      <c r="AM4651" t="s">
        <v>1460</v>
      </c>
      <c r="AN4651">
        <v>-116.734521</v>
      </c>
      <c r="AO4651">
        <v>25</v>
      </c>
      <c r="AP4651">
        <v>4400</v>
      </c>
      <c r="AQ4651" t="s">
        <v>129</v>
      </c>
      <c r="AR4651">
        <v>-162</v>
      </c>
      <c r="AS4651">
        <v>-95</v>
      </c>
      <c r="AT4651">
        <v>-1920</v>
      </c>
      <c r="BB4651">
        <v>1200</v>
      </c>
      <c r="BC4651">
        <v>1</v>
      </c>
      <c r="BD4651" t="str">
        <f t="shared" si="1705"/>
        <v xml:space="preserve">N887QR  </v>
      </c>
      <c r="BE4651">
        <v>1</v>
      </c>
      <c r="BG4651">
        <v>0</v>
      </c>
      <c r="BH4651">
        <v>0</v>
      </c>
      <c r="BI4651">
        <v>0</v>
      </c>
      <c r="BJ4651">
        <v>3925</v>
      </c>
      <c r="BK4651">
        <v>-475</v>
      </c>
      <c r="BL4651" t="s">
        <v>163</v>
      </c>
      <c r="BM4651">
        <v>1</v>
      </c>
      <c r="BN4651">
        <v>1</v>
      </c>
      <c r="BO4651">
        <v>1</v>
      </c>
      <c r="BP4651">
        <v>0</v>
      </c>
      <c r="BS4651">
        <v>0</v>
      </c>
      <c r="BT4651">
        <v>0</v>
      </c>
      <c r="BU4651">
        <v>0</v>
      </c>
      <c r="CE4651" t="str">
        <f t="shared" si="1720"/>
        <v>19:38:00.433</v>
      </c>
      <c r="CF4651">
        <v>433301697</v>
      </c>
      <c r="CS4651">
        <v>0</v>
      </c>
      <c r="CT4651">
        <v>2</v>
      </c>
      <c r="CU4651">
        <v>0</v>
      </c>
      <c r="CV4651">
        <v>2</v>
      </c>
      <c r="CW4651">
        <v>0</v>
      </c>
      <c r="CX4651">
        <v>6</v>
      </c>
      <c r="CY4651">
        <v>7</v>
      </c>
      <c r="CZ4651" t="s">
        <v>131</v>
      </c>
      <c r="DA4651">
        <v>286</v>
      </c>
      <c r="DB4651">
        <v>0</v>
      </c>
      <c r="DC4651" t="s">
        <v>132</v>
      </c>
      <c r="DD4651" t="s">
        <v>133</v>
      </c>
      <c r="DG4651">
        <v>921128</v>
      </c>
      <c r="DI4651">
        <v>0</v>
      </c>
      <c r="DJ4651">
        <v>0</v>
      </c>
      <c r="DK4651">
        <v>1</v>
      </c>
      <c r="DL4651">
        <v>0</v>
      </c>
      <c r="DM4651">
        <v>0</v>
      </c>
      <c r="DN4651">
        <v>1</v>
      </c>
      <c r="DO4651">
        <v>0</v>
      </c>
      <c r="DP4651">
        <v>0</v>
      </c>
      <c r="DQ4651">
        <v>0</v>
      </c>
      <c r="DR4651">
        <v>0</v>
      </c>
      <c r="DS4651">
        <v>0</v>
      </c>
    </row>
    <row r="4652" spans="1:123" x14ac:dyDescent="0.3">
      <c r="A4652" t="str">
        <f>"10/04/2022 19:38:00.764"</f>
        <v>10/04/2022 19:38:00.764</v>
      </c>
      <c r="C4652" t="str">
        <f t="shared" si="1721"/>
        <v>FFDFD3C0</v>
      </c>
      <c r="D4652" t="s">
        <v>141</v>
      </c>
      <c r="E4652">
        <v>3</v>
      </c>
      <c r="H4652">
        <v>3</v>
      </c>
      <c r="I4652" t="s">
        <v>146</v>
      </c>
      <c r="J4652" t="s">
        <v>138</v>
      </c>
      <c r="K4652">
        <v>0</v>
      </c>
      <c r="L4652">
        <v>3</v>
      </c>
      <c r="M4652">
        <v>0</v>
      </c>
      <c r="N4652">
        <v>2</v>
      </c>
      <c r="O4652">
        <v>0</v>
      </c>
      <c r="P4652">
        <v>1</v>
      </c>
      <c r="Q4652">
        <v>0</v>
      </c>
      <c r="S4652" t="str">
        <f t="shared" si="1719"/>
        <v>19:38:00.000</v>
      </c>
      <c r="T4652" t="str">
        <f t="shared" si="1719"/>
        <v>19:38:00.000</v>
      </c>
      <c r="U4652" t="str">
        <f t="shared" si="1704"/>
        <v>AC3944</v>
      </c>
      <c r="V4652">
        <v>0</v>
      </c>
      <c r="W4652">
        <v>0</v>
      </c>
      <c r="X4652">
        <v>2</v>
      </c>
      <c r="Y4652">
        <v>0</v>
      </c>
      <c r="AA4652">
        <v>1</v>
      </c>
      <c r="AB4652">
        <v>8</v>
      </c>
      <c r="AC4652">
        <v>3</v>
      </c>
      <c r="AD4652">
        <v>0</v>
      </c>
      <c r="AE4652">
        <v>9</v>
      </c>
      <c r="AF4652" t="s">
        <v>138</v>
      </c>
      <c r="AG4652">
        <v>0</v>
      </c>
      <c r="AH4652">
        <v>3</v>
      </c>
      <c r="AI4652">
        <v>1</v>
      </c>
      <c r="AJ4652">
        <v>0</v>
      </c>
      <c r="AK4652" t="s">
        <v>1459</v>
      </c>
      <c r="AL4652">
        <v>32.722026999999997</v>
      </c>
      <c r="AM4652" t="s">
        <v>1460</v>
      </c>
      <c r="AN4652">
        <v>-116.734521</v>
      </c>
      <c r="AO4652">
        <v>25</v>
      </c>
      <c r="AP4652">
        <v>4400</v>
      </c>
      <c r="AQ4652" t="s">
        <v>129</v>
      </c>
      <c r="AR4652">
        <v>-162</v>
      </c>
      <c r="AS4652">
        <v>-95</v>
      </c>
      <c r="AT4652">
        <v>-1920</v>
      </c>
      <c r="BB4652">
        <v>1200</v>
      </c>
      <c r="BC4652">
        <v>1</v>
      </c>
      <c r="BD4652" t="str">
        <f t="shared" si="1705"/>
        <v xml:space="preserve">N887QR  </v>
      </c>
      <c r="BE4652">
        <v>1</v>
      </c>
      <c r="BG4652">
        <v>0</v>
      </c>
      <c r="BH4652">
        <v>0</v>
      </c>
      <c r="BI4652">
        <v>0</v>
      </c>
      <c r="BJ4652">
        <v>3925</v>
      </c>
      <c r="BK4652">
        <v>-475</v>
      </c>
      <c r="BL4652" t="s">
        <v>163</v>
      </c>
      <c r="BM4652">
        <v>1</v>
      </c>
      <c r="BN4652">
        <v>1</v>
      </c>
      <c r="BO4652">
        <v>1</v>
      </c>
      <c r="BP4652">
        <v>0</v>
      </c>
      <c r="BS4652">
        <v>0</v>
      </c>
      <c r="BT4652">
        <v>0</v>
      </c>
      <c r="BU4652">
        <v>0</v>
      </c>
      <c r="CE4652" t="str">
        <f t="shared" si="1720"/>
        <v>19:38:00.433</v>
      </c>
      <c r="CF4652">
        <v>433301697</v>
      </c>
      <c r="CS4652">
        <v>0</v>
      </c>
      <c r="CT4652">
        <v>2</v>
      </c>
      <c r="CU4652">
        <v>0</v>
      </c>
      <c r="CV4652">
        <v>2</v>
      </c>
      <c r="CW4652">
        <v>0</v>
      </c>
      <c r="CX4652">
        <v>6</v>
      </c>
      <c r="CY4652">
        <v>7</v>
      </c>
      <c r="CZ4652" t="s">
        <v>131</v>
      </c>
      <c r="DA4652">
        <v>286</v>
      </c>
      <c r="DB4652">
        <v>0</v>
      </c>
      <c r="DC4652" t="s">
        <v>132</v>
      </c>
      <c r="DD4652" t="s">
        <v>133</v>
      </c>
      <c r="DG4652">
        <v>921128</v>
      </c>
      <c r="DI4652">
        <v>0</v>
      </c>
      <c r="DJ4652">
        <v>0</v>
      </c>
      <c r="DK4652">
        <v>1</v>
      </c>
      <c r="DL4652">
        <v>0</v>
      </c>
      <c r="DM4652">
        <v>0</v>
      </c>
      <c r="DN4652">
        <v>1</v>
      </c>
      <c r="DO4652">
        <v>0</v>
      </c>
      <c r="DP4652">
        <v>0</v>
      </c>
      <c r="DQ4652">
        <v>0</v>
      </c>
      <c r="DR4652">
        <v>0</v>
      </c>
      <c r="DS4652">
        <v>0</v>
      </c>
    </row>
    <row r="4653" spans="1:123" x14ac:dyDescent="0.3">
      <c r="A4653" t="str">
        <f>"10/04/2022 19:38:01.368"</f>
        <v>10/04/2022 19:38:01.368</v>
      </c>
      <c r="C4653" t="str">
        <f t="shared" si="1721"/>
        <v>FFDFD3C0</v>
      </c>
      <c r="D4653" t="s">
        <v>134</v>
      </c>
      <c r="E4653">
        <v>15</v>
      </c>
      <c r="J4653" t="s">
        <v>135</v>
      </c>
      <c r="K4653">
        <v>0</v>
      </c>
      <c r="L4653">
        <v>3</v>
      </c>
      <c r="M4653">
        <v>0</v>
      </c>
      <c r="N4653">
        <v>2</v>
      </c>
      <c r="O4653">
        <v>0</v>
      </c>
      <c r="P4653">
        <v>1</v>
      </c>
      <c r="Q4653">
        <v>0</v>
      </c>
      <c r="S4653" t="str">
        <f t="shared" ref="S4653:T4666" si="1722">"19:38:01.000"</f>
        <v>19:38:01.000</v>
      </c>
      <c r="T4653" t="str">
        <f t="shared" si="1722"/>
        <v>19:38:01.000</v>
      </c>
      <c r="U4653" t="str">
        <f t="shared" si="1704"/>
        <v>AC3944</v>
      </c>
      <c r="V4653">
        <v>0</v>
      </c>
      <c r="W4653">
        <v>0</v>
      </c>
      <c r="X4653">
        <v>2</v>
      </c>
      <c r="Y4653">
        <v>0</v>
      </c>
      <c r="AA4653">
        <v>1</v>
      </c>
      <c r="AB4653">
        <v>8</v>
      </c>
      <c r="AC4653">
        <v>3</v>
      </c>
      <c r="AD4653">
        <v>0</v>
      </c>
      <c r="AE4653">
        <v>9</v>
      </c>
      <c r="AF4653" t="s">
        <v>138</v>
      </c>
      <c r="AG4653">
        <v>0</v>
      </c>
      <c r="AH4653">
        <v>3</v>
      </c>
      <c r="AI4653">
        <v>1</v>
      </c>
      <c r="AJ4653">
        <v>0</v>
      </c>
      <c r="AK4653" t="s">
        <v>1461</v>
      </c>
      <c r="AL4653">
        <v>32.721684000000003</v>
      </c>
      <c r="AM4653" t="s">
        <v>1462</v>
      </c>
      <c r="AN4653">
        <v>-116.73525100000001</v>
      </c>
      <c r="AO4653">
        <v>25</v>
      </c>
      <c r="AP4653">
        <v>4400</v>
      </c>
      <c r="AQ4653" t="s">
        <v>129</v>
      </c>
      <c r="AR4653">
        <v>-162</v>
      </c>
      <c r="AS4653">
        <v>-95</v>
      </c>
      <c r="AT4653">
        <v>-1920</v>
      </c>
      <c r="BB4653">
        <v>1200</v>
      </c>
      <c r="BC4653">
        <v>1</v>
      </c>
      <c r="BD4653" t="str">
        <f t="shared" si="1705"/>
        <v xml:space="preserve">N887QR  </v>
      </c>
      <c r="BE4653">
        <v>1</v>
      </c>
      <c r="BG4653">
        <v>0</v>
      </c>
      <c r="BH4653">
        <v>0</v>
      </c>
      <c r="BI4653">
        <v>0</v>
      </c>
      <c r="BJ4653">
        <v>3925</v>
      </c>
      <c r="BK4653">
        <v>-475</v>
      </c>
      <c r="BL4653" t="s">
        <v>163</v>
      </c>
      <c r="BM4653">
        <v>1</v>
      </c>
      <c r="BN4653">
        <v>1</v>
      </c>
      <c r="BO4653">
        <v>1</v>
      </c>
      <c r="BP4653">
        <v>0</v>
      </c>
      <c r="BS4653">
        <v>0</v>
      </c>
      <c r="BT4653">
        <v>0</v>
      </c>
      <c r="BU4653">
        <v>0</v>
      </c>
      <c r="CE4653" t="str">
        <f t="shared" ref="CE4653:CE4659" si="1723">"19:38:01.141"</f>
        <v>19:38:01.141</v>
      </c>
      <c r="CF4653">
        <v>140553792</v>
      </c>
      <c r="CS4653">
        <v>0</v>
      </c>
      <c r="CT4653">
        <v>2</v>
      </c>
      <c r="CU4653">
        <v>0</v>
      </c>
      <c r="CV4653">
        <v>2</v>
      </c>
      <c r="CW4653">
        <v>0</v>
      </c>
      <c r="CX4653">
        <v>6</v>
      </c>
      <c r="CY4653">
        <v>7</v>
      </c>
      <c r="CZ4653" t="s">
        <v>131</v>
      </c>
      <c r="DA4653">
        <v>286</v>
      </c>
      <c r="DB4653">
        <v>0</v>
      </c>
      <c r="DC4653" t="s">
        <v>132</v>
      </c>
      <c r="DD4653" t="s">
        <v>133</v>
      </c>
      <c r="DG4653">
        <v>921296</v>
      </c>
      <c r="DI4653">
        <v>0</v>
      </c>
      <c r="DJ4653">
        <v>0</v>
      </c>
      <c r="DK4653">
        <v>0</v>
      </c>
      <c r="DL4653">
        <v>0</v>
      </c>
      <c r="DM4653">
        <v>0</v>
      </c>
      <c r="DN4653">
        <v>1</v>
      </c>
      <c r="DO4653">
        <v>0</v>
      </c>
      <c r="DP4653">
        <v>0</v>
      </c>
      <c r="DQ4653">
        <v>0</v>
      </c>
      <c r="DR4653">
        <v>0</v>
      </c>
      <c r="DS4653">
        <v>0</v>
      </c>
    </row>
    <row r="4654" spans="1:123" x14ac:dyDescent="0.3">
      <c r="A4654" t="str">
        <f>"10/04/2022 19:38:01.369"</f>
        <v>10/04/2022 19:38:01.369</v>
      </c>
      <c r="C4654" t="str">
        <f t="shared" si="1721"/>
        <v>FFDFD3C0</v>
      </c>
      <c r="D4654" t="s">
        <v>143</v>
      </c>
      <c r="E4654">
        <v>20</v>
      </c>
      <c r="F4654">
        <v>1020</v>
      </c>
      <c r="G4654" t="s">
        <v>144</v>
      </c>
      <c r="J4654" t="s">
        <v>145</v>
      </c>
      <c r="K4654">
        <v>0</v>
      </c>
      <c r="L4654">
        <v>3</v>
      </c>
      <c r="M4654">
        <v>0</v>
      </c>
      <c r="N4654">
        <v>2</v>
      </c>
      <c r="O4654">
        <v>0</v>
      </c>
      <c r="P4654">
        <v>1</v>
      </c>
      <c r="Q4654">
        <v>0</v>
      </c>
      <c r="S4654" t="str">
        <f t="shared" si="1722"/>
        <v>19:38:01.000</v>
      </c>
      <c r="T4654" t="str">
        <f t="shared" si="1722"/>
        <v>19:38:01.000</v>
      </c>
      <c r="U4654" t="str">
        <f t="shared" si="1704"/>
        <v>AC3944</v>
      </c>
      <c r="V4654">
        <v>0</v>
      </c>
      <c r="W4654">
        <v>0</v>
      </c>
      <c r="X4654">
        <v>2</v>
      </c>
      <c r="Y4654">
        <v>0</v>
      </c>
      <c r="AA4654">
        <v>1</v>
      </c>
      <c r="AB4654">
        <v>8</v>
      </c>
      <c r="AC4654">
        <v>3</v>
      </c>
      <c r="AD4654">
        <v>0</v>
      </c>
      <c r="AE4654">
        <v>9</v>
      </c>
      <c r="AF4654" t="s">
        <v>138</v>
      </c>
      <c r="AG4654">
        <v>0</v>
      </c>
      <c r="AH4654">
        <v>3</v>
      </c>
      <c r="AI4654">
        <v>1</v>
      </c>
      <c r="AJ4654">
        <v>0</v>
      </c>
      <c r="AK4654" t="s">
        <v>1461</v>
      </c>
      <c r="AL4654">
        <v>32.721684000000003</v>
      </c>
      <c r="AM4654" t="s">
        <v>1462</v>
      </c>
      <c r="AN4654">
        <v>-116.73525100000001</v>
      </c>
      <c r="AO4654">
        <v>25</v>
      </c>
      <c r="AP4654">
        <v>4400</v>
      </c>
      <c r="AQ4654" t="s">
        <v>129</v>
      </c>
      <c r="AR4654">
        <v>-162</v>
      </c>
      <c r="AS4654">
        <v>-95</v>
      </c>
      <c r="AT4654">
        <v>-1920</v>
      </c>
      <c r="BB4654">
        <v>1200</v>
      </c>
      <c r="BC4654">
        <v>1</v>
      </c>
      <c r="BD4654" t="str">
        <f t="shared" si="1705"/>
        <v xml:space="preserve">N887QR  </v>
      </c>
      <c r="BE4654">
        <v>1</v>
      </c>
      <c r="BG4654">
        <v>0</v>
      </c>
      <c r="BH4654">
        <v>0</v>
      </c>
      <c r="BI4654">
        <v>0</v>
      </c>
      <c r="BJ4654">
        <v>3925</v>
      </c>
      <c r="BK4654">
        <v>-475</v>
      </c>
      <c r="BL4654" t="s">
        <v>163</v>
      </c>
      <c r="BM4654">
        <v>1</v>
      </c>
      <c r="BN4654">
        <v>1</v>
      </c>
      <c r="BO4654">
        <v>1</v>
      </c>
      <c r="BP4654">
        <v>0</v>
      </c>
      <c r="BS4654">
        <v>0</v>
      </c>
      <c r="BT4654">
        <v>0</v>
      </c>
      <c r="BU4654">
        <v>0</v>
      </c>
      <c r="CE4654" t="str">
        <f t="shared" si="1723"/>
        <v>19:38:01.141</v>
      </c>
      <c r="CF4654">
        <v>140553792</v>
      </c>
      <c r="CS4654">
        <v>0</v>
      </c>
      <c r="CT4654">
        <v>2</v>
      </c>
      <c r="CU4654">
        <v>0</v>
      </c>
      <c r="CV4654">
        <v>2</v>
      </c>
      <c r="CW4654">
        <v>0</v>
      </c>
      <c r="CX4654">
        <v>6</v>
      </c>
      <c r="CY4654">
        <v>7</v>
      </c>
      <c r="CZ4654" t="s">
        <v>131</v>
      </c>
      <c r="DA4654">
        <v>286</v>
      </c>
      <c r="DB4654">
        <v>0</v>
      </c>
      <c r="DC4654" t="s">
        <v>132</v>
      </c>
      <c r="DD4654" t="s">
        <v>133</v>
      </c>
      <c r="DG4654">
        <v>921296</v>
      </c>
      <c r="DI4654">
        <v>0</v>
      </c>
      <c r="DJ4654">
        <v>0</v>
      </c>
      <c r="DK4654">
        <v>1</v>
      </c>
      <c r="DL4654">
        <v>0</v>
      </c>
      <c r="DM4654">
        <v>0</v>
      </c>
      <c r="DN4654">
        <v>1</v>
      </c>
      <c r="DO4654">
        <v>0</v>
      </c>
      <c r="DP4654">
        <v>0</v>
      </c>
      <c r="DQ4654">
        <v>0</v>
      </c>
      <c r="DR4654">
        <v>0</v>
      </c>
      <c r="DS4654">
        <v>0</v>
      </c>
    </row>
    <row r="4655" spans="1:123" x14ac:dyDescent="0.3">
      <c r="A4655" t="str">
        <f>"10/04/2022 19:38:01.369"</f>
        <v>10/04/2022 19:38:01.369</v>
      </c>
      <c r="C4655" t="str">
        <f t="shared" si="1721"/>
        <v>FFDFD3C0</v>
      </c>
      <c r="D4655" t="s">
        <v>141</v>
      </c>
      <c r="E4655">
        <v>4</v>
      </c>
      <c r="H4655">
        <v>4</v>
      </c>
      <c r="I4655" t="s">
        <v>142</v>
      </c>
      <c r="J4655" t="s">
        <v>138</v>
      </c>
      <c r="K4655">
        <v>0</v>
      </c>
      <c r="L4655">
        <v>3</v>
      </c>
      <c r="M4655">
        <v>0</v>
      </c>
      <c r="N4655">
        <v>2</v>
      </c>
      <c r="O4655">
        <v>0</v>
      </c>
      <c r="P4655">
        <v>1</v>
      </c>
      <c r="Q4655">
        <v>0</v>
      </c>
      <c r="S4655" t="str">
        <f t="shared" si="1722"/>
        <v>19:38:01.000</v>
      </c>
      <c r="T4655" t="str">
        <f t="shared" si="1722"/>
        <v>19:38:01.000</v>
      </c>
      <c r="U4655" t="str">
        <f t="shared" si="1704"/>
        <v>AC3944</v>
      </c>
      <c r="V4655">
        <v>0</v>
      </c>
      <c r="W4655">
        <v>0</v>
      </c>
      <c r="X4655">
        <v>2</v>
      </c>
      <c r="Y4655">
        <v>0</v>
      </c>
      <c r="AA4655">
        <v>1</v>
      </c>
      <c r="AB4655">
        <v>8</v>
      </c>
      <c r="AC4655">
        <v>3</v>
      </c>
      <c r="AD4655">
        <v>0</v>
      </c>
      <c r="AE4655">
        <v>9</v>
      </c>
      <c r="AF4655" t="s">
        <v>138</v>
      </c>
      <c r="AG4655">
        <v>0</v>
      </c>
      <c r="AH4655">
        <v>3</v>
      </c>
      <c r="AI4655">
        <v>1</v>
      </c>
      <c r="AJ4655">
        <v>0</v>
      </c>
      <c r="AK4655" t="s">
        <v>1461</v>
      </c>
      <c r="AL4655">
        <v>32.721684000000003</v>
      </c>
      <c r="AM4655" t="s">
        <v>1462</v>
      </c>
      <c r="AN4655">
        <v>-116.73525100000001</v>
      </c>
      <c r="AO4655">
        <v>25</v>
      </c>
      <c r="AP4655">
        <v>4400</v>
      </c>
      <c r="AQ4655" t="s">
        <v>129</v>
      </c>
      <c r="AR4655">
        <v>-162</v>
      </c>
      <c r="AS4655">
        <v>-95</v>
      </c>
      <c r="AT4655">
        <v>-1920</v>
      </c>
      <c r="BB4655">
        <v>1200</v>
      </c>
      <c r="BC4655">
        <v>1</v>
      </c>
      <c r="BD4655" t="str">
        <f t="shared" si="1705"/>
        <v xml:space="preserve">N887QR  </v>
      </c>
      <c r="BE4655">
        <v>1</v>
      </c>
      <c r="BG4655">
        <v>0</v>
      </c>
      <c r="BH4655">
        <v>0</v>
      </c>
      <c r="BI4655">
        <v>0</v>
      </c>
      <c r="BJ4655">
        <v>3925</v>
      </c>
      <c r="BK4655">
        <v>-475</v>
      </c>
      <c r="BL4655" t="s">
        <v>163</v>
      </c>
      <c r="BM4655">
        <v>1</v>
      </c>
      <c r="BN4655">
        <v>1</v>
      </c>
      <c r="BO4655">
        <v>1</v>
      </c>
      <c r="BP4655">
        <v>0</v>
      </c>
      <c r="BS4655">
        <v>0</v>
      </c>
      <c r="BT4655">
        <v>0</v>
      </c>
      <c r="BU4655">
        <v>0</v>
      </c>
      <c r="CE4655" t="str">
        <f t="shared" si="1723"/>
        <v>19:38:01.141</v>
      </c>
      <c r="CF4655">
        <v>140553792</v>
      </c>
      <c r="CS4655">
        <v>0</v>
      </c>
      <c r="CT4655">
        <v>2</v>
      </c>
      <c r="CU4655">
        <v>0</v>
      </c>
      <c r="CV4655">
        <v>2</v>
      </c>
      <c r="CW4655">
        <v>0</v>
      </c>
      <c r="CX4655">
        <v>6</v>
      </c>
      <c r="CY4655">
        <v>7</v>
      </c>
      <c r="CZ4655" t="s">
        <v>131</v>
      </c>
      <c r="DA4655">
        <v>286</v>
      </c>
      <c r="DB4655">
        <v>0</v>
      </c>
      <c r="DC4655" t="s">
        <v>132</v>
      </c>
      <c r="DD4655" t="s">
        <v>133</v>
      </c>
      <c r="DG4655">
        <v>921296</v>
      </c>
      <c r="DI4655">
        <v>0</v>
      </c>
      <c r="DJ4655">
        <v>0</v>
      </c>
      <c r="DK4655">
        <v>1</v>
      </c>
      <c r="DL4655">
        <v>0</v>
      </c>
      <c r="DM4655">
        <v>0</v>
      </c>
      <c r="DN4655">
        <v>1</v>
      </c>
      <c r="DO4655">
        <v>0</v>
      </c>
      <c r="DP4655">
        <v>0</v>
      </c>
      <c r="DQ4655">
        <v>0</v>
      </c>
      <c r="DR4655">
        <v>0</v>
      </c>
      <c r="DS4655">
        <v>0</v>
      </c>
    </row>
    <row r="4656" spans="1:123" x14ac:dyDescent="0.3">
      <c r="A4656" t="str">
        <f>"10/04/2022 19:38:01.369"</f>
        <v>10/04/2022 19:38:01.369</v>
      </c>
      <c r="C4656" t="str">
        <f t="shared" si="1721"/>
        <v>FFDFD3C0</v>
      </c>
      <c r="D4656" t="s">
        <v>147</v>
      </c>
      <c r="E4656">
        <v>3</v>
      </c>
      <c r="H4656">
        <v>166</v>
      </c>
      <c r="I4656" t="s">
        <v>144</v>
      </c>
      <c r="J4656" t="s">
        <v>148</v>
      </c>
      <c r="K4656">
        <v>0</v>
      </c>
      <c r="L4656">
        <v>3</v>
      </c>
      <c r="M4656">
        <v>0</v>
      </c>
      <c r="N4656">
        <v>2</v>
      </c>
      <c r="O4656">
        <v>0</v>
      </c>
      <c r="P4656">
        <v>1</v>
      </c>
      <c r="Q4656">
        <v>0</v>
      </c>
      <c r="S4656" t="str">
        <f t="shared" si="1722"/>
        <v>19:38:01.000</v>
      </c>
      <c r="T4656" t="str">
        <f t="shared" si="1722"/>
        <v>19:38:01.000</v>
      </c>
      <c r="U4656" t="str">
        <f t="shared" si="1704"/>
        <v>AC3944</v>
      </c>
      <c r="V4656">
        <v>0</v>
      </c>
      <c r="W4656">
        <v>0</v>
      </c>
      <c r="X4656">
        <v>2</v>
      </c>
      <c r="Y4656">
        <v>0</v>
      </c>
      <c r="AA4656">
        <v>1</v>
      </c>
      <c r="AB4656">
        <v>8</v>
      </c>
      <c r="AC4656">
        <v>3</v>
      </c>
      <c r="AD4656">
        <v>0</v>
      </c>
      <c r="AE4656">
        <v>9</v>
      </c>
      <c r="AF4656" t="s">
        <v>138</v>
      </c>
      <c r="AG4656">
        <v>0</v>
      </c>
      <c r="AH4656">
        <v>3</v>
      </c>
      <c r="AI4656">
        <v>1</v>
      </c>
      <c r="AJ4656">
        <v>0</v>
      </c>
      <c r="AK4656" t="s">
        <v>1461</v>
      </c>
      <c r="AL4656">
        <v>32.721684000000003</v>
      </c>
      <c r="AM4656" t="s">
        <v>1462</v>
      </c>
      <c r="AN4656">
        <v>-116.73525100000001</v>
      </c>
      <c r="AO4656">
        <v>25</v>
      </c>
      <c r="AP4656">
        <v>4400</v>
      </c>
      <c r="AQ4656" t="s">
        <v>129</v>
      </c>
      <c r="AR4656">
        <v>-162</v>
      </c>
      <c r="AS4656">
        <v>-95</v>
      </c>
      <c r="AT4656">
        <v>-1920</v>
      </c>
      <c r="BB4656">
        <v>1200</v>
      </c>
      <c r="BC4656">
        <v>1</v>
      </c>
      <c r="BD4656" t="str">
        <f t="shared" si="1705"/>
        <v xml:space="preserve">N887QR  </v>
      </c>
      <c r="BE4656">
        <v>1</v>
      </c>
      <c r="BG4656">
        <v>0</v>
      </c>
      <c r="BH4656">
        <v>0</v>
      </c>
      <c r="BI4656">
        <v>0</v>
      </c>
      <c r="BJ4656">
        <v>3925</v>
      </c>
      <c r="BK4656">
        <v>-475</v>
      </c>
      <c r="BL4656" t="s">
        <v>163</v>
      </c>
      <c r="BM4656">
        <v>1</v>
      </c>
      <c r="BN4656">
        <v>1</v>
      </c>
      <c r="BO4656">
        <v>1</v>
      </c>
      <c r="BP4656">
        <v>0</v>
      </c>
      <c r="BS4656">
        <v>0</v>
      </c>
      <c r="BT4656">
        <v>0</v>
      </c>
      <c r="BU4656">
        <v>0</v>
      </c>
      <c r="CE4656" t="str">
        <f t="shared" si="1723"/>
        <v>19:38:01.141</v>
      </c>
      <c r="CF4656">
        <v>140553792</v>
      </c>
      <c r="CS4656">
        <v>0</v>
      </c>
      <c r="CT4656">
        <v>2</v>
      </c>
      <c r="CU4656">
        <v>0</v>
      </c>
      <c r="CV4656">
        <v>2</v>
      </c>
      <c r="CW4656">
        <v>0</v>
      </c>
      <c r="CX4656">
        <v>6</v>
      </c>
      <c r="CY4656">
        <v>7</v>
      </c>
      <c r="CZ4656" t="s">
        <v>131</v>
      </c>
      <c r="DA4656">
        <v>286</v>
      </c>
      <c r="DB4656">
        <v>0</v>
      </c>
      <c r="DC4656" t="s">
        <v>132</v>
      </c>
      <c r="DD4656" t="s">
        <v>133</v>
      </c>
      <c r="DG4656">
        <v>921296</v>
      </c>
      <c r="DI4656">
        <v>0</v>
      </c>
      <c r="DJ4656">
        <v>0</v>
      </c>
      <c r="DK4656">
        <v>1</v>
      </c>
      <c r="DL4656">
        <v>0</v>
      </c>
      <c r="DM4656">
        <v>0</v>
      </c>
      <c r="DN4656">
        <v>1</v>
      </c>
      <c r="DO4656">
        <v>0</v>
      </c>
      <c r="DP4656">
        <v>0</v>
      </c>
      <c r="DQ4656">
        <v>0</v>
      </c>
      <c r="DR4656">
        <v>0</v>
      </c>
      <c r="DS4656">
        <v>0</v>
      </c>
    </row>
    <row r="4657" spans="1:123" x14ac:dyDescent="0.3">
      <c r="A4657" t="str">
        <f>"10/04/2022 19:38:01.369"</f>
        <v>10/04/2022 19:38:01.369</v>
      </c>
      <c r="C4657" t="str">
        <f t="shared" si="1721"/>
        <v>FFDFD3C0</v>
      </c>
      <c r="D4657" t="s">
        <v>141</v>
      </c>
      <c r="E4657">
        <v>3</v>
      </c>
      <c r="H4657">
        <v>3</v>
      </c>
      <c r="I4657" t="s">
        <v>146</v>
      </c>
      <c r="J4657" t="s">
        <v>138</v>
      </c>
      <c r="K4657">
        <v>0</v>
      </c>
      <c r="L4657">
        <v>3</v>
      </c>
      <c r="M4657">
        <v>0</v>
      </c>
      <c r="N4657">
        <v>2</v>
      </c>
      <c r="O4657">
        <v>0</v>
      </c>
      <c r="P4657">
        <v>1</v>
      </c>
      <c r="Q4657">
        <v>0</v>
      </c>
      <c r="S4657" t="str">
        <f t="shared" si="1722"/>
        <v>19:38:01.000</v>
      </c>
      <c r="T4657" t="str">
        <f t="shared" si="1722"/>
        <v>19:38:01.000</v>
      </c>
      <c r="U4657" t="str">
        <f t="shared" si="1704"/>
        <v>AC3944</v>
      </c>
      <c r="V4657">
        <v>0</v>
      </c>
      <c r="W4657">
        <v>0</v>
      </c>
      <c r="X4657">
        <v>2</v>
      </c>
      <c r="Y4657">
        <v>0</v>
      </c>
      <c r="AA4657">
        <v>1</v>
      </c>
      <c r="AB4657">
        <v>8</v>
      </c>
      <c r="AC4657">
        <v>3</v>
      </c>
      <c r="AD4657">
        <v>0</v>
      </c>
      <c r="AE4657">
        <v>9</v>
      </c>
      <c r="AF4657" t="s">
        <v>138</v>
      </c>
      <c r="AG4657">
        <v>0</v>
      </c>
      <c r="AH4657">
        <v>3</v>
      </c>
      <c r="AI4657">
        <v>1</v>
      </c>
      <c r="AJ4657">
        <v>0</v>
      </c>
      <c r="AK4657" t="s">
        <v>1461</v>
      </c>
      <c r="AL4657">
        <v>32.721684000000003</v>
      </c>
      <c r="AM4657" t="s">
        <v>1462</v>
      </c>
      <c r="AN4657">
        <v>-116.73525100000001</v>
      </c>
      <c r="AO4657">
        <v>25</v>
      </c>
      <c r="AP4657">
        <v>4400</v>
      </c>
      <c r="AQ4657" t="s">
        <v>129</v>
      </c>
      <c r="AR4657">
        <v>-162</v>
      </c>
      <c r="AS4657">
        <v>-95</v>
      </c>
      <c r="AT4657">
        <v>-1920</v>
      </c>
      <c r="BB4657">
        <v>1200</v>
      </c>
      <c r="BC4657">
        <v>1</v>
      </c>
      <c r="BD4657" t="str">
        <f t="shared" si="1705"/>
        <v xml:space="preserve">N887QR  </v>
      </c>
      <c r="BE4657">
        <v>1</v>
      </c>
      <c r="BG4657">
        <v>0</v>
      </c>
      <c r="BH4657">
        <v>0</v>
      </c>
      <c r="BI4657">
        <v>0</v>
      </c>
      <c r="BJ4657">
        <v>3925</v>
      </c>
      <c r="BK4657">
        <v>-475</v>
      </c>
      <c r="BL4657" t="s">
        <v>163</v>
      </c>
      <c r="BM4657">
        <v>1</v>
      </c>
      <c r="BN4657">
        <v>1</v>
      </c>
      <c r="BO4657">
        <v>1</v>
      </c>
      <c r="BP4657">
        <v>0</v>
      </c>
      <c r="BS4657">
        <v>0</v>
      </c>
      <c r="BT4657">
        <v>0</v>
      </c>
      <c r="BU4657">
        <v>0</v>
      </c>
      <c r="CE4657" t="str">
        <f t="shared" si="1723"/>
        <v>19:38:01.141</v>
      </c>
      <c r="CF4657">
        <v>140553792</v>
      </c>
      <c r="CS4657">
        <v>0</v>
      </c>
      <c r="CT4657">
        <v>2</v>
      </c>
      <c r="CU4657">
        <v>0</v>
      </c>
      <c r="CV4657">
        <v>2</v>
      </c>
      <c r="CW4657">
        <v>0</v>
      </c>
      <c r="CX4657">
        <v>6</v>
      </c>
      <c r="CY4657">
        <v>7</v>
      </c>
      <c r="CZ4657" t="s">
        <v>131</v>
      </c>
      <c r="DA4657">
        <v>286</v>
      </c>
      <c r="DB4657">
        <v>0</v>
      </c>
      <c r="DC4657" t="s">
        <v>132</v>
      </c>
      <c r="DD4657" t="s">
        <v>133</v>
      </c>
      <c r="DG4657">
        <v>921296</v>
      </c>
      <c r="DI4657">
        <v>0</v>
      </c>
      <c r="DJ4657">
        <v>0</v>
      </c>
      <c r="DK4657">
        <v>1</v>
      </c>
      <c r="DL4657">
        <v>0</v>
      </c>
      <c r="DM4657">
        <v>0</v>
      </c>
      <c r="DN4657">
        <v>1</v>
      </c>
      <c r="DO4657">
        <v>0</v>
      </c>
      <c r="DP4657">
        <v>0</v>
      </c>
      <c r="DQ4657">
        <v>0</v>
      </c>
      <c r="DR4657">
        <v>0</v>
      </c>
      <c r="DS4657">
        <v>0</v>
      </c>
    </row>
    <row r="4658" spans="1:123" x14ac:dyDescent="0.3">
      <c r="A4658" t="str">
        <f>"10/04/2022 19:38:01.369"</f>
        <v>10/04/2022 19:38:01.369</v>
      </c>
      <c r="C4658" t="str">
        <f t="shared" si="1721"/>
        <v>FFDFD3C0</v>
      </c>
      <c r="D4658" t="s">
        <v>123</v>
      </c>
      <c r="E4658">
        <v>7</v>
      </c>
      <c r="F4658">
        <v>2007</v>
      </c>
      <c r="G4658" t="s">
        <v>124</v>
      </c>
      <c r="J4658" t="s">
        <v>125</v>
      </c>
      <c r="K4658">
        <v>0</v>
      </c>
      <c r="L4658">
        <v>3</v>
      </c>
      <c r="M4658">
        <v>0</v>
      </c>
      <c r="N4658">
        <v>2</v>
      </c>
      <c r="O4658">
        <v>0</v>
      </c>
      <c r="P4658">
        <v>1</v>
      </c>
      <c r="Q4658">
        <v>0</v>
      </c>
      <c r="S4658" t="str">
        <f t="shared" si="1722"/>
        <v>19:38:01.000</v>
      </c>
      <c r="T4658" t="str">
        <f t="shared" si="1722"/>
        <v>19:38:01.000</v>
      </c>
      <c r="U4658" t="str">
        <f t="shared" si="1704"/>
        <v>AC3944</v>
      </c>
      <c r="V4658">
        <v>0</v>
      </c>
      <c r="W4658">
        <v>0</v>
      </c>
      <c r="X4658">
        <v>2</v>
      </c>
      <c r="Y4658">
        <v>0</v>
      </c>
      <c r="AA4658">
        <v>1</v>
      </c>
      <c r="AB4658">
        <v>8</v>
      </c>
      <c r="AC4658">
        <v>3</v>
      </c>
      <c r="AD4658">
        <v>0</v>
      </c>
      <c r="AE4658">
        <v>9</v>
      </c>
      <c r="AF4658" t="s">
        <v>138</v>
      </c>
      <c r="AG4658">
        <v>0</v>
      </c>
      <c r="AH4658">
        <v>3</v>
      </c>
      <c r="AI4658">
        <v>1</v>
      </c>
      <c r="AJ4658">
        <v>0</v>
      </c>
      <c r="AK4658" t="s">
        <v>1461</v>
      </c>
      <c r="AL4658">
        <v>32.721684000000003</v>
      </c>
      <c r="AM4658" t="s">
        <v>1462</v>
      </c>
      <c r="AN4658">
        <v>-116.73525100000001</v>
      </c>
      <c r="AO4658">
        <v>25</v>
      </c>
      <c r="AP4658">
        <v>4400</v>
      </c>
      <c r="AQ4658" t="s">
        <v>129</v>
      </c>
      <c r="AR4658">
        <v>-162</v>
      </c>
      <c r="AS4658">
        <v>-95</v>
      </c>
      <c r="AT4658">
        <v>-1920</v>
      </c>
      <c r="BB4658">
        <v>1200</v>
      </c>
      <c r="BC4658">
        <v>1</v>
      </c>
      <c r="BD4658" t="str">
        <f t="shared" si="1705"/>
        <v xml:space="preserve">N887QR  </v>
      </c>
      <c r="BE4658">
        <v>1</v>
      </c>
      <c r="BG4658">
        <v>0</v>
      </c>
      <c r="BH4658">
        <v>0</v>
      </c>
      <c r="BI4658">
        <v>0</v>
      </c>
      <c r="BJ4658">
        <v>3925</v>
      </c>
      <c r="BK4658">
        <v>-475</v>
      </c>
      <c r="BL4658" t="s">
        <v>163</v>
      </c>
      <c r="BM4658">
        <v>1</v>
      </c>
      <c r="BN4658">
        <v>1</v>
      </c>
      <c r="BO4658">
        <v>1</v>
      </c>
      <c r="BP4658">
        <v>0</v>
      </c>
      <c r="BS4658">
        <v>0</v>
      </c>
      <c r="BT4658">
        <v>0</v>
      </c>
      <c r="BU4658">
        <v>0</v>
      </c>
      <c r="CE4658" t="str">
        <f t="shared" si="1723"/>
        <v>19:38:01.141</v>
      </c>
      <c r="CF4658">
        <v>140553792</v>
      </c>
      <c r="CS4658">
        <v>0</v>
      </c>
      <c r="CT4658">
        <v>2</v>
      </c>
      <c r="CU4658">
        <v>0</v>
      </c>
      <c r="CV4658">
        <v>2</v>
      </c>
      <c r="CW4658">
        <v>0</v>
      </c>
      <c r="CX4658">
        <v>6</v>
      </c>
      <c r="CY4658">
        <v>7</v>
      </c>
      <c r="CZ4658" t="s">
        <v>131</v>
      </c>
      <c r="DA4658">
        <v>286</v>
      </c>
      <c r="DB4658">
        <v>0</v>
      </c>
      <c r="DC4658" t="s">
        <v>132</v>
      </c>
      <c r="DD4658" t="s">
        <v>133</v>
      </c>
      <c r="DG4658">
        <v>921296</v>
      </c>
      <c r="DI4658">
        <v>0</v>
      </c>
      <c r="DJ4658">
        <v>0</v>
      </c>
      <c r="DK4658">
        <v>1</v>
      </c>
      <c r="DL4658">
        <v>0</v>
      </c>
      <c r="DM4658">
        <v>0</v>
      </c>
      <c r="DN4658">
        <v>1</v>
      </c>
      <c r="DO4658">
        <v>0</v>
      </c>
      <c r="DP4658">
        <v>0</v>
      </c>
      <c r="DQ4658">
        <v>0</v>
      </c>
      <c r="DR4658">
        <v>0</v>
      </c>
      <c r="DS4658">
        <v>0</v>
      </c>
    </row>
    <row r="4659" spans="1:123" x14ac:dyDescent="0.3">
      <c r="A4659" t="str">
        <f>"10/04/2022 19:38:01.424"</f>
        <v>10/04/2022 19:38:01.424</v>
      </c>
      <c r="C4659" t="str">
        <f t="shared" si="1721"/>
        <v>FFDFD3C0</v>
      </c>
      <c r="D4659" t="s">
        <v>136</v>
      </c>
      <c r="E4659">
        <v>8</v>
      </c>
      <c r="H4659">
        <v>225</v>
      </c>
      <c r="I4659" t="s">
        <v>137</v>
      </c>
      <c r="J4659" t="s">
        <v>138</v>
      </c>
      <c r="K4659">
        <v>0</v>
      </c>
      <c r="L4659">
        <v>3</v>
      </c>
      <c r="M4659">
        <v>0</v>
      </c>
      <c r="N4659">
        <v>2</v>
      </c>
      <c r="O4659">
        <v>0</v>
      </c>
      <c r="P4659">
        <v>1</v>
      </c>
      <c r="Q4659">
        <v>0</v>
      </c>
      <c r="S4659" t="str">
        <f t="shared" si="1722"/>
        <v>19:38:01.000</v>
      </c>
      <c r="T4659" t="str">
        <f t="shared" si="1722"/>
        <v>19:38:01.000</v>
      </c>
      <c r="U4659" t="str">
        <f t="shared" si="1704"/>
        <v>AC3944</v>
      </c>
      <c r="V4659">
        <v>0</v>
      </c>
      <c r="W4659">
        <v>0</v>
      </c>
      <c r="X4659">
        <v>2</v>
      </c>
      <c r="Y4659">
        <v>0</v>
      </c>
      <c r="AA4659">
        <v>1</v>
      </c>
      <c r="AB4659">
        <v>8</v>
      </c>
      <c r="AC4659">
        <v>3</v>
      </c>
      <c r="AD4659">
        <v>0</v>
      </c>
      <c r="AE4659">
        <v>9</v>
      </c>
      <c r="AF4659" t="s">
        <v>138</v>
      </c>
      <c r="AG4659">
        <v>0</v>
      </c>
      <c r="AH4659">
        <v>3</v>
      </c>
      <c r="AI4659">
        <v>1</v>
      </c>
      <c r="AJ4659">
        <v>0</v>
      </c>
      <c r="AK4659" t="s">
        <v>1461</v>
      </c>
      <c r="AL4659">
        <v>32.721684000000003</v>
      </c>
      <c r="AM4659" t="s">
        <v>1462</v>
      </c>
      <c r="AN4659">
        <v>-116.73525100000001</v>
      </c>
      <c r="AO4659">
        <v>25</v>
      </c>
      <c r="AP4659">
        <v>4400</v>
      </c>
      <c r="AQ4659" t="s">
        <v>129</v>
      </c>
      <c r="AR4659">
        <v>-162</v>
      </c>
      <c r="AS4659">
        <v>-95</v>
      </c>
      <c r="AT4659">
        <v>-1920</v>
      </c>
      <c r="BB4659">
        <v>1200</v>
      </c>
      <c r="BC4659">
        <v>1</v>
      </c>
      <c r="BD4659" t="str">
        <f t="shared" si="1705"/>
        <v xml:space="preserve">N887QR  </v>
      </c>
      <c r="BE4659">
        <v>1</v>
      </c>
      <c r="BG4659">
        <v>0</v>
      </c>
      <c r="BH4659">
        <v>0</v>
      </c>
      <c r="BI4659">
        <v>0</v>
      </c>
      <c r="BJ4659">
        <v>3925</v>
      </c>
      <c r="BK4659">
        <v>-475</v>
      </c>
      <c r="BL4659" t="s">
        <v>163</v>
      </c>
      <c r="BM4659">
        <v>1</v>
      </c>
      <c r="BN4659">
        <v>1</v>
      </c>
      <c r="BO4659">
        <v>1</v>
      </c>
      <c r="BP4659">
        <v>0</v>
      </c>
      <c r="BS4659">
        <v>0</v>
      </c>
      <c r="BT4659">
        <v>0</v>
      </c>
      <c r="BU4659">
        <v>0</v>
      </c>
      <c r="CE4659" t="str">
        <f t="shared" si="1723"/>
        <v>19:38:01.141</v>
      </c>
      <c r="CF4659">
        <v>140553792</v>
      </c>
      <c r="CS4659">
        <v>0</v>
      </c>
      <c r="CT4659">
        <v>2</v>
      </c>
      <c r="CU4659">
        <v>0</v>
      </c>
      <c r="CV4659">
        <v>2</v>
      </c>
      <c r="CW4659">
        <v>0</v>
      </c>
      <c r="CX4659">
        <v>6</v>
      </c>
      <c r="CY4659">
        <v>7</v>
      </c>
      <c r="CZ4659" t="s">
        <v>131</v>
      </c>
      <c r="DA4659">
        <v>286</v>
      </c>
      <c r="DB4659">
        <v>0</v>
      </c>
      <c r="DC4659" t="s">
        <v>132</v>
      </c>
      <c r="DD4659" t="s">
        <v>133</v>
      </c>
      <c r="DG4659">
        <v>921296</v>
      </c>
      <c r="DI4659">
        <v>0</v>
      </c>
      <c r="DJ4659">
        <v>0</v>
      </c>
      <c r="DK4659">
        <v>1</v>
      </c>
      <c r="DL4659">
        <v>0</v>
      </c>
      <c r="DM4659">
        <v>0</v>
      </c>
      <c r="DN4659">
        <v>1</v>
      </c>
      <c r="DO4659">
        <v>0</v>
      </c>
      <c r="DP4659">
        <v>0</v>
      </c>
      <c r="DQ4659">
        <v>0</v>
      </c>
      <c r="DR4659">
        <v>0</v>
      </c>
      <c r="DS4659">
        <v>0</v>
      </c>
    </row>
    <row r="4660" spans="1:123" x14ac:dyDescent="0.3">
      <c r="A4660" t="str">
        <f>"10/04/2022 19:38:02.033"</f>
        <v>10/04/2022 19:38:02.033</v>
      </c>
      <c r="C4660" t="str">
        <f t="shared" si="1721"/>
        <v>FFDFD3C0</v>
      </c>
      <c r="D4660" t="s">
        <v>134</v>
      </c>
      <c r="E4660">
        <v>15</v>
      </c>
      <c r="J4660" t="s">
        <v>135</v>
      </c>
      <c r="K4660">
        <v>0</v>
      </c>
      <c r="L4660">
        <v>3</v>
      </c>
      <c r="M4660">
        <v>0</v>
      </c>
      <c r="N4660">
        <v>2</v>
      </c>
      <c r="O4660">
        <v>0</v>
      </c>
      <c r="P4660">
        <v>1</v>
      </c>
      <c r="Q4660">
        <v>0</v>
      </c>
      <c r="S4660" t="str">
        <f t="shared" si="1722"/>
        <v>19:38:01.000</v>
      </c>
      <c r="T4660" t="str">
        <f t="shared" si="1722"/>
        <v>19:38:01.000</v>
      </c>
      <c r="U4660" t="str">
        <f t="shared" si="1704"/>
        <v>AC3944</v>
      </c>
      <c r="V4660">
        <v>0</v>
      </c>
      <c r="W4660">
        <v>0</v>
      </c>
      <c r="X4660">
        <v>2</v>
      </c>
      <c r="Y4660">
        <v>0</v>
      </c>
      <c r="AA4660">
        <v>1</v>
      </c>
      <c r="AB4660">
        <v>8</v>
      </c>
      <c r="AC4660">
        <v>3</v>
      </c>
      <c r="AD4660">
        <v>0</v>
      </c>
      <c r="AE4660">
        <v>9</v>
      </c>
      <c r="AF4660" t="s">
        <v>138</v>
      </c>
      <c r="AG4660">
        <v>0</v>
      </c>
      <c r="AH4660">
        <v>3</v>
      </c>
      <c r="AI4660">
        <v>1</v>
      </c>
      <c r="AJ4660">
        <v>0</v>
      </c>
      <c r="AK4660" t="s">
        <v>1463</v>
      </c>
      <c r="AL4660">
        <v>32.721232999999998</v>
      </c>
      <c r="AM4660" t="s">
        <v>1464</v>
      </c>
      <c r="AN4660">
        <v>-116.736131</v>
      </c>
      <c r="AO4660">
        <v>25</v>
      </c>
      <c r="AP4660">
        <v>4300</v>
      </c>
      <c r="AQ4660" t="s">
        <v>129</v>
      </c>
      <c r="AR4660">
        <v>-162</v>
      </c>
      <c r="AS4660">
        <v>-95</v>
      </c>
      <c r="AT4660">
        <v>-1920</v>
      </c>
      <c r="BB4660">
        <v>1200</v>
      </c>
      <c r="BC4660">
        <v>1</v>
      </c>
      <c r="BD4660" t="str">
        <f t="shared" si="1705"/>
        <v xml:space="preserve">N887QR  </v>
      </c>
      <c r="BE4660">
        <v>1</v>
      </c>
      <c r="BG4660">
        <v>0</v>
      </c>
      <c r="BH4660">
        <v>0</v>
      </c>
      <c r="BI4660">
        <v>0</v>
      </c>
      <c r="BJ4660">
        <v>3850</v>
      </c>
      <c r="BK4660">
        <v>-450</v>
      </c>
      <c r="BL4660" t="s">
        <v>163</v>
      </c>
      <c r="BM4660">
        <v>1</v>
      </c>
      <c r="BN4660">
        <v>1</v>
      </c>
      <c r="BO4660">
        <v>1</v>
      </c>
      <c r="BP4660">
        <v>0</v>
      </c>
      <c r="BS4660">
        <v>0</v>
      </c>
      <c r="BT4660">
        <v>0</v>
      </c>
      <c r="BU4660">
        <v>0</v>
      </c>
      <c r="CE4660" t="str">
        <f t="shared" ref="CE4660:CE4666" si="1724">"19:38:01.762"</f>
        <v>19:38:01.762</v>
      </c>
      <c r="CF4660">
        <v>762055594</v>
      </c>
      <c r="CS4660">
        <v>0</v>
      </c>
      <c r="CT4660">
        <v>2</v>
      </c>
      <c r="CU4660">
        <v>0</v>
      </c>
      <c r="CV4660">
        <v>2</v>
      </c>
      <c r="CW4660">
        <v>2</v>
      </c>
      <c r="CX4660">
        <v>6</v>
      </c>
      <c r="CY4660">
        <v>7</v>
      </c>
      <c r="CZ4660" t="s">
        <v>131</v>
      </c>
      <c r="DA4660">
        <v>286</v>
      </c>
      <c r="DB4660">
        <v>0</v>
      </c>
      <c r="DC4660" t="s">
        <v>132</v>
      </c>
      <c r="DD4660" t="s">
        <v>133</v>
      </c>
      <c r="DG4660">
        <v>921476</v>
      </c>
      <c r="DI4660">
        <v>0</v>
      </c>
      <c r="DJ4660">
        <v>0</v>
      </c>
      <c r="DK4660">
        <v>0</v>
      </c>
      <c r="DL4660">
        <v>0</v>
      </c>
      <c r="DM4660">
        <v>0</v>
      </c>
      <c r="DN4660">
        <v>1</v>
      </c>
      <c r="DO4660">
        <v>0</v>
      </c>
      <c r="DP4660">
        <v>0</v>
      </c>
      <c r="DQ4660">
        <v>0</v>
      </c>
      <c r="DR4660">
        <v>0</v>
      </c>
      <c r="DS4660">
        <v>0</v>
      </c>
    </row>
    <row r="4661" spans="1:123" x14ac:dyDescent="0.3">
      <c r="A4661" t="str">
        <f>"10/04/2022 19:38:02.033"</f>
        <v>10/04/2022 19:38:02.033</v>
      </c>
      <c r="C4661" t="str">
        <f t="shared" si="1721"/>
        <v>FFDFD3C0</v>
      </c>
      <c r="D4661" t="s">
        <v>141</v>
      </c>
      <c r="E4661">
        <v>4</v>
      </c>
      <c r="H4661">
        <v>4</v>
      </c>
      <c r="I4661" t="s">
        <v>142</v>
      </c>
      <c r="J4661" t="s">
        <v>138</v>
      </c>
      <c r="K4661">
        <v>0</v>
      </c>
      <c r="L4661">
        <v>3</v>
      </c>
      <c r="M4661">
        <v>0</v>
      </c>
      <c r="N4661">
        <v>2</v>
      </c>
      <c r="O4661">
        <v>0</v>
      </c>
      <c r="P4661">
        <v>1</v>
      </c>
      <c r="Q4661">
        <v>0</v>
      </c>
      <c r="S4661" t="str">
        <f t="shared" si="1722"/>
        <v>19:38:01.000</v>
      </c>
      <c r="T4661" t="str">
        <f t="shared" si="1722"/>
        <v>19:38:01.000</v>
      </c>
      <c r="U4661" t="str">
        <f t="shared" si="1704"/>
        <v>AC3944</v>
      </c>
      <c r="V4661">
        <v>0</v>
      </c>
      <c r="W4661">
        <v>0</v>
      </c>
      <c r="X4661">
        <v>2</v>
      </c>
      <c r="Y4661">
        <v>0</v>
      </c>
      <c r="AA4661">
        <v>1</v>
      </c>
      <c r="AB4661">
        <v>8</v>
      </c>
      <c r="AC4661">
        <v>3</v>
      </c>
      <c r="AD4661">
        <v>0</v>
      </c>
      <c r="AE4661">
        <v>9</v>
      </c>
      <c r="AF4661" t="s">
        <v>138</v>
      </c>
      <c r="AG4661">
        <v>0</v>
      </c>
      <c r="AH4661">
        <v>3</v>
      </c>
      <c r="AI4661">
        <v>1</v>
      </c>
      <c r="AJ4661">
        <v>0</v>
      </c>
      <c r="AK4661" t="s">
        <v>1463</v>
      </c>
      <c r="AL4661">
        <v>32.721232999999998</v>
      </c>
      <c r="AM4661" t="s">
        <v>1464</v>
      </c>
      <c r="AN4661">
        <v>-116.736131</v>
      </c>
      <c r="AO4661">
        <v>25</v>
      </c>
      <c r="AP4661">
        <v>4300</v>
      </c>
      <c r="AQ4661" t="s">
        <v>129</v>
      </c>
      <c r="AR4661">
        <v>-162</v>
      </c>
      <c r="AS4661">
        <v>-95</v>
      </c>
      <c r="AT4661">
        <v>-1920</v>
      </c>
      <c r="BB4661">
        <v>1200</v>
      </c>
      <c r="BC4661">
        <v>1</v>
      </c>
      <c r="BD4661" t="str">
        <f t="shared" si="1705"/>
        <v xml:space="preserve">N887QR  </v>
      </c>
      <c r="BE4661">
        <v>1</v>
      </c>
      <c r="BG4661">
        <v>0</v>
      </c>
      <c r="BH4661">
        <v>0</v>
      </c>
      <c r="BI4661">
        <v>0</v>
      </c>
      <c r="BJ4661">
        <v>3850</v>
      </c>
      <c r="BK4661">
        <v>-450</v>
      </c>
      <c r="BL4661" t="s">
        <v>163</v>
      </c>
      <c r="BM4661">
        <v>1</v>
      </c>
      <c r="BN4661">
        <v>1</v>
      </c>
      <c r="BO4661">
        <v>1</v>
      </c>
      <c r="BP4661">
        <v>0</v>
      </c>
      <c r="BS4661">
        <v>0</v>
      </c>
      <c r="BT4661">
        <v>0</v>
      </c>
      <c r="BU4661">
        <v>0</v>
      </c>
      <c r="CE4661" t="str">
        <f t="shared" si="1724"/>
        <v>19:38:01.762</v>
      </c>
      <c r="CF4661">
        <v>762055594</v>
      </c>
      <c r="CS4661">
        <v>0</v>
      </c>
      <c r="CT4661">
        <v>2</v>
      </c>
      <c r="CU4661">
        <v>0</v>
      </c>
      <c r="CV4661">
        <v>2</v>
      </c>
      <c r="CW4661">
        <v>2</v>
      </c>
      <c r="CX4661">
        <v>6</v>
      </c>
      <c r="CY4661">
        <v>7</v>
      </c>
      <c r="CZ4661" t="s">
        <v>131</v>
      </c>
      <c r="DA4661">
        <v>286</v>
      </c>
      <c r="DB4661">
        <v>0</v>
      </c>
      <c r="DC4661" t="s">
        <v>132</v>
      </c>
      <c r="DD4661" t="s">
        <v>133</v>
      </c>
      <c r="DG4661">
        <v>921476</v>
      </c>
      <c r="DI4661">
        <v>0</v>
      </c>
      <c r="DJ4661">
        <v>0</v>
      </c>
      <c r="DK4661">
        <v>1</v>
      </c>
      <c r="DL4661">
        <v>0</v>
      </c>
      <c r="DM4661">
        <v>0</v>
      </c>
      <c r="DN4661">
        <v>1</v>
      </c>
      <c r="DO4661">
        <v>0</v>
      </c>
      <c r="DP4661">
        <v>0</v>
      </c>
      <c r="DQ4661">
        <v>0</v>
      </c>
      <c r="DR4661">
        <v>0</v>
      </c>
      <c r="DS4661">
        <v>0</v>
      </c>
    </row>
    <row r="4662" spans="1:123" x14ac:dyDescent="0.3">
      <c r="A4662" t="str">
        <f>"10/04/2022 19:38:02.033"</f>
        <v>10/04/2022 19:38:02.033</v>
      </c>
      <c r="C4662" t="str">
        <f t="shared" si="1721"/>
        <v>FFDFD3C0</v>
      </c>
      <c r="D4662" t="s">
        <v>143</v>
      </c>
      <c r="E4662">
        <v>20</v>
      </c>
      <c r="F4662">
        <v>1020</v>
      </c>
      <c r="G4662" t="s">
        <v>144</v>
      </c>
      <c r="J4662" t="s">
        <v>145</v>
      </c>
      <c r="K4662">
        <v>0</v>
      </c>
      <c r="L4662">
        <v>3</v>
      </c>
      <c r="M4662">
        <v>0</v>
      </c>
      <c r="N4662">
        <v>2</v>
      </c>
      <c r="O4662">
        <v>0</v>
      </c>
      <c r="P4662">
        <v>1</v>
      </c>
      <c r="Q4662">
        <v>0</v>
      </c>
      <c r="S4662" t="str">
        <f t="shared" si="1722"/>
        <v>19:38:01.000</v>
      </c>
      <c r="T4662" t="str">
        <f t="shared" si="1722"/>
        <v>19:38:01.000</v>
      </c>
      <c r="U4662" t="str">
        <f t="shared" si="1704"/>
        <v>AC3944</v>
      </c>
      <c r="V4662">
        <v>0</v>
      </c>
      <c r="W4662">
        <v>0</v>
      </c>
      <c r="X4662">
        <v>2</v>
      </c>
      <c r="Y4662">
        <v>0</v>
      </c>
      <c r="AA4662">
        <v>1</v>
      </c>
      <c r="AB4662">
        <v>8</v>
      </c>
      <c r="AC4662">
        <v>3</v>
      </c>
      <c r="AD4662">
        <v>0</v>
      </c>
      <c r="AE4662">
        <v>9</v>
      </c>
      <c r="AF4662" t="s">
        <v>138</v>
      </c>
      <c r="AG4662">
        <v>0</v>
      </c>
      <c r="AH4662">
        <v>3</v>
      </c>
      <c r="AI4662">
        <v>1</v>
      </c>
      <c r="AJ4662">
        <v>0</v>
      </c>
      <c r="AK4662" t="s">
        <v>1463</v>
      </c>
      <c r="AL4662">
        <v>32.721232999999998</v>
      </c>
      <c r="AM4662" t="s">
        <v>1464</v>
      </c>
      <c r="AN4662">
        <v>-116.736131</v>
      </c>
      <c r="AO4662">
        <v>25</v>
      </c>
      <c r="AP4662">
        <v>4300</v>
      </c>
      <c r="AQ4662" t="s">
        <v>129</v>
      </c>
      <c r="AR4662">
        <v>-162</v>
      </c>
      <c r="AS4662">
        <v>-95</v>
      </c>
      <c r="AT4662">
        <v>-1920</v>
      </c>
      <c r="BB4662">
        <v>1200</v>
      </c>
      <c r="BC4662">
        <v>1</v>
      </c>
      <c r="BD4662" t="str">
        <f t="shared" si="1705"/>
        <v xml:space="preserve">N887QR  </v>
      </c>
      <c r="BE4662">
        <v>1</v>
      </c>
      <c r="BG4662">
        <v>0</v>
      </c>
      <c r="BH4662">
        <v>0</v>
      </c>
      <c r="BI4662">
        <v>0</v>
      </c>
      <c r="BJ4662">
        <v>3850</v>
      </c>
      <c r="BK4662">
        <v>-450</v>
      </c>
      <c r="BL4662" t="s">
        <v>163</v>
      </c>
      <c r="BM4662">
        <v>1</v>
      </c>
      <c r="BN4662">
        <v>1</v>
      </c>
      <c r="BO4662">
        <v>1</v>
      </c>
      <c r="BP4662">
        <v>0</v>
      </c>
      <c r="BS4662">
        <v>0</v>
      </c>
      <c r="BT4662">
        <v>0</v>
      </c>
      <c r="BU4662">
        <v>0</v>
      </c>
      <c r="CE4662" t="str">
        <f t="shared" si="1724"/>
        <v>19:38:01.762</v>
      </c>
      <c r="CF4662">
        <v>762055594</v>
      </c>
      <c r="CS4662">
        <v>0</v>
      </c>
      <c r="CT4662">
        <v>2</v>
      </c>
      <c r="CU4662">
        <v>0</v>
      </c>
      <c r="CV4662">
        <v>2</v>
      </c>
      <c r="CW4662">
        <v>2</v>
      </c>
      <c r="CX4662">
        <v>6</v>
      </c>
      <c r="CY4662">
        <v>7</v>
      </c>
      <c r="CZ4662" t="s">
        <v>131</v>
      </c>
      <c r="DA4662">
        <v>286</v>
      </c>
      <c r="DB4662">
        <v>0</v>
      </c>
      <c r="DC4662" t="s">
        <v>132</v>
      </c>
      <c r="DD4662" t="s">
        <v>133</v>
      </c>
      <c r="DG4662">
        <v>921476</v>
      </c>
      <c r="DI4662">
        <v>0</v>
      </c>
      <c r="DJ4662">
        <v>0</v>
      </c>
      <c r="DK4662">
        <v>1</v>
      </c>
      <c r="DL4662">
        <v>0</v>
      </c>
      <c r="DM4662">
        <v>0</v>
      </c>
      <c r="DN4662">
        <v>1</v>
      </c>
      <c r="DO4662">
        <v>0</v>
      </c>
      <c r="DP4662">
        <v>0</v>
      </c>
      <c r="DQ4662">
        <v>0</v>
      </c>
      <c r="DR4662">
        <v>0</v>
      </c>
      <c r="DS4662">
        <v>0</v>
      </c>
    </row>
    <row r="4663" spans="1:123" x14ac:dyDescent="0.3">
      <c r="A4663" t="str">
        <f>"10/04/2022 19:38:02.065"</f>
        <v>10/04/2022 19:38:02.065</v>
      </c>
      <c r="C4663" t="str">
        <f t="shared" si="1721"/>
        <v>FFDFD3C0</v>
      </c>
      <c r="D4663" t="s">
        <v>147</v>
      </c>
      <c r="E4663">
        <v>3</v>
      </c>
      <c r="H4663">
        <v>166</v>
      </c>
      <c r="I4663" t="s">
        <v>144</v>
      </c>
      <c r="J4663" t="s">
        <v>148</v>
      </c>
      <c r="K4663">
        <v>0</v>
      </c>
      <c r="L4663">
        <v>3</v>
      </c>
      <c r="M4663">
        <v>0</v>
      </c>
      <c r="N4663">
        <v>2</v>
      </c>
      <c r="O4663">
        <v>0</v>
      </c>
      <c r="P4663">
        <v>1</v>
      </c>
      <c r="Q4663">
        <v>0</v>
      </c>
      <c r="S4663" t="str">
        <f t="shared" si="1722"/>
        <v>19:38:01.000</v>
      </c>
      <c r="T4663" t="str">
        <f t="shared" si="1722"/>
        <v>19:38:01.000</v>
      </c>
      <c r="U4663" t="str">
        <f t="shared" si="1704"/>
        <v>AC3944</v>
      </c>
      <c r="V4663">
        <v>0</v>
      </c>
      <c r="W4663">
        <v>0</v>
      </c>
      <c r="X4663">
        <v>2</v>
      </c>
      <c r="Y4663">
        <v>0</v>
      </c>
      <c r="AA4663">
        <v>1</v>
      </c>
      <c r="AB4663">
        <v>8</v>
      </c>
      <c r="AC4663">
        <v>3</v>
      </c>
      <c r="AD4663">
        <v>0</v>
      </c>
      <c r="AE4663">
        <v>9</v>
      </c>
      <c r="AF4663" t="s">
        <v>138</v>
      </c>
      <c r="AG4663">
        <v>0</v>
      </c>
      <c r="AH4663">
        <v>3</v>
      </c>
      <c r="AI4663">
        <v>1</v>
      </c>
      <c r="AJ4663">
        <v>0</v>
      </c>
      <c r="AK4663" t="s">
        <v>1463</v>
      </c>
      <c r="AL4663">
        <v>32.721232999999998</v>
      </c>
      <c r="AM4663" t="s">
        <v>1464</v>
      </c>
      <c r="AN4663">
        <v>-116.736131</v>
      </c>
      <c r="AO4663">
        <v>25</v>
      </c>
      <c r="AP4663">
        <v>4300</v>
      </c>
      <c r="AQ4663" t="s">
        <v>129</v>
      </c>
      <c r="AR4663">
        <v>-162</v>
      </c>
      <c r="AS4663">
        <v>-95</v>
      </c>
      <c r="AT4663">
        <v>-1920</v>
      </c>
      <c r="BB4663">
        <v>1200</v>
      </c>
      <c r="BC4663">
        <v>1</v>
      </c>
      <c r="BD4663" t="str">
        <f t="shared" si="1705"/>
        <v xml:space="preserve">N887QR  </v>
      </c>
      <c r="BE4663">
        <v>1</v>
      </c>
      <c r="BG4663">
        <v>0</v>
      </c>
      <c r="BH4663">
        <v>0</v>
      </c>
      <c r="BI4663">
        <v>0</v>
      </c>
      <c r="BJ4663">
        <v>3850</v>
      </c>
      <c r="BK4663">
        <v>-450</v>
      </c>
      <c r="BL4663" t="s">
        <v>163</v>
      </c>
      <c r="BM4663">
        <v>1</v>
      </c>
      <c r="BN4663">
        <v>1</v>
      </c>
      <c r="BO4663">
        <v>1</v>
      </c>
      <c r="BP4663">
        <v>0</v>
      </c>
      <c r="BS4663">
        <v>0</v>
      </c>
      <c r="BT4663">
        <v>0</v>
      </c>
      <c r="BU4663">
        <v>0</v>
      </c>
      <c r="CE4663" t="str">
        <f t="shared" si="1724"/>
        <v>19:38:01.762</v>
      </c>
      <c r="CF4663">
        <v>762055594</v>
      </c>
      <c r="CS4663">
        <v>0</v>
      </c>
      <c r="CT4663">
        <v>2</v>
      </c>
      <c r="CU4663">
        <v>0</v>
      </c>
      <c r="CV4663">
        <v>2</v>
      </c>
      <c r="CW4663">
        <v>2</v>
      </c>
      <c r="CX4663">
        <v>6</v>
      </c>
      <c r="CY4663">
        <v>7</v>
      </c>
      <c r="CZ4663" t="s">
        <v>131</v>
      </c>
      <c r="DA4663">
        <v>286</v>
      </c>
      <c r="DB4663">
        <v>0</v>
      </c>
      <c r="DC4663" t="s">
        <v>132</v>
      </c>
      <c r="DD4663" t="s">
        <v>133</v>
      </c>
      <c r="DG4663">
        <v>921476</v>
      </c>
      <c r="DI4663">
        <v>0</v>
      </c>
      <c r="DJ4663">
        <v>0</v>
      </c>
      <c r="DK4663">
        <v>1</v>
      </c>
      <c r="DL4663">
        <v>0</v>
      </c>
      <c r="DM4663">
        <v>0</v>
      </c>
      <c r="DN4663">
        <v>1</v>
      </c>
      <c r="DO4663">
        <v>0</v>
      </c>
      <c r="DP4663">
        <v>0</v>
      </c>
      <c r="DQ4663">
        <v>0</v>
      </c>
      <c r="DR4663">
        <v>0</v>
      </c>
      <c r="DS4663">
        <v>0</v>
      </c>
    </row>
    <row r="4664" spans="1:123" x14ac:dyDescent="0.3">
      <c r="A4664" t="str">
        <f>"10/04/2022 19:38:02.065"</f>
        <v>10/04/2022 19:38:02.065</v>
      </c>
      <c r="C4664" t="str">
        <f t="shared" si="1721"/>
        <v>FFDFD3C0</v>
      </c>
      <c r="D4664" t="s">
        <v>141</v>
      </c>
      <c r="E4664">
        <v>3</v>
      </c>
      <c r="H4664">
        <v>3</v>
      </c>
      <c r="I4664" t="s">
        <v>146</v>
      </c>
      <c r="J4664" t="s">
        <v>138</v>
      </c>
      <c r="K4664">
        <v>0</v>
      </c>
      <c r="L4664">
        <v>3</v>
      </c>
      <c r="M4664">
        <v>0</v>
      </c>
      <c r="N4664">
        <v>2</v>
      </c>
      <c r="O4664">
        <v>0</v>
      </c>
      <c r="P4664">
        <v>1</v>
      </c>
      <c r="Q4664">
        <v>0</v>
      </c>
      <c r="S4664" t="str">
        <f t="shared" si="1722"/>
        <v>19:38:01.000</v>
      </c>
      <c r="T4664" t="str">
        <f t="shared" si="1722"/>
        <v>19:38:01.000</v>
      </c>
      <c r="U4664" t="str">
        <f t="shared" si="1704"/>
        <v>AC3944</v>
      </c>
      <c r="V4664">
        <v>0</v>
      </c>
      <c r="W4664">
        <v>0</v>
      </c>
      <c r="X4664">
        <v>2</v>
      </c>
      <c r="Y4664">
        <v>0</v>
      </c>
      <c r="AA4664">
        <v>1</v>
      </c>
      <c r="AB4664">
        <v>8</v>
      </c>
      <c r="AC4664">
        <v>3</v>
      </c>
      <c r="AD4664">
        <v>0</v>
      </c>
      <c r="AE4664">
        <v>9</v>
      </c>
      <c r="AF4664" t="s">
        <v>138</v>
      </c>
      <c r="AG4664">
        <v>0</v>
      </c>
      <c r="AH4664">
        <v>3</v>
      </c>
      <c r="AI4664">
        <v>1</v>
      </c>
      <c r="AJ4664">
        <v>0</v>
      </c>
      <c r="AK4664" t="s">
        <v>1463</v>
      </c>
      <c r="AL4664">
        <v>32.721232999999998</v>
      </c>
      <c r="AM4664" t="s">
        <v>1464</v>
      </c>
      <c r="AN4664">
        <v>-116.736131</v>
      </c>
      <c r="AO4664">
        <v>25</v>
      </c>
      <c r="AP4664">
        <v>4300</v>
      </c>
      <c r="AQ4664" t="s">
        <v>129</v>
      </c>
      <c r="AR4664">
        <v>-162</v>
      </c>
      <c r="AS4664">
        <v>-95</v>
      </c>
      <c r="AT4664">
        <v>-1920</v>
      </c>
      <c r="BB4664">
        <v>1200</v>
      </c>
      <c r="BC4664">
        <v>1</v>
      </c>
      <c r="BD4664" t="str">
        <f t="shared" si="1705"/>
        <v xml:space="preserve">N887QR  </v>
      </c>
      <c r="BE4664">
        <v>1</v>
      </c>
      <c r="BG4664">
        <v>0</v>
      </c>
      <c r="BH4664">
        <v>0</v>
      </c>
      <c r="BI4664">
        <v>0</v>
      </c>
      <c r="BJ4664">
        <v>3850</v>
      </c>
      <c r="BK4664">
        <v>-450</v>
      </c>
      <c r="BL4664" t="s">
        <v>163</v>
      </c>
      <c r="BM4664">
        <v>1</v>
      </c>
      <c r="BN4664">
        <v>1</v>
      </c>
      <c r="BO4664">
        <v>1</v>
      </c>
      <c r="BP4664">
        <v>0</v>
      </c>
      <c r="BS4664">
        <v>0</v>
      </c>
      <c r="BT4664">
        <v>0</v>
      </c>
      <c r="BU4664">
        <v>0</v>
      </c>
      <c r="CE4664" t="str">
        <f t="shared" si="1724"/>
        <v>19:38:01.762</v>
      </c>
      <c r="CF4664">
        <v>762055594</v>
      </c>
      <c r="CS4664">
        <v>0</v>
      </c>
      <c r="CT4664">
        <v>2</v>
      </c>
      <c r="CU4664">
        <v>0</v>
      </c>
      <c r="CV4664">
        <v>2</v>
      </c>
      <c r="CW4664">
        <v>2</v>
      </c>
      <c r="CX4664">
        <v>6</v>
      </c>
      <c r="CY4664">
        <v>7</v>
      </c>
      <c r="CZ4664" t="s">
        <v>131</v>
      </c>
      <c r="DA4664">
        <v>286</v>
      </c>
      <c r="DB4664">
        <v>0</v>
      </c>
      <c r="DC4664" t="s">
        <v>132</v>
      </c>
      <c r="DD4664" t="s">
        <v>133</v>
      </c>
      <c r="DG4664">
        <v>921476</v>
      </c>
      <c r="DI4664">
        <v>0</v>
      </c>
      <c r="DJ4664">
        <v>0</v>
      </c>
      <c r="DK4664">
        <v>1</v>
      </c>
      <c r="DL4664">
        <v>0</v>
      </c>
      <c r="DM4664">
        <v>0</v>
      </c>
      <c r="DN4664">
        <v>1</v>
      </c>
      <c r="DO4664">
        <v>0</v>
      </c>
      <c r="DP4664">
        <v>0</v>
      </c>
      <c r="DQ4664">
        <v>0</v>
      </c>
      <c r="DR4664">
        <v>0</v>
      </c>
      <c r="DS4664">
        <v>0</v>
      </c>
    </row>
    <row r="4665" spans="1:123" x14ac:dyDescent="0.3">
      <c r="A4665" t="str">
        <f>"10/04/2022 19:38:02.065"</f>
        <v>10/04/2022 19:38:02.065</v>
      </c>
      <c r="C4665" t="str">
        <f t="shared" si="1721"/>
        <v>FFDFD3C0</v>
      </c>
      <c r="D4665" t="s">
        <v>123</v>
      </c>
      <c r="E4665">
        <v>7</v>
      </c>
      <c r="F4665">
        <v>2007</v>
      </c>
      <c r="G4665" t="s">
        <v>124</v>
      </c>
      <c r="J4665" t="s">
        <v>125</v>
      </c>
      <c r="K4665">
        <v>0</v>
      </c>
      <c r="L4665">
        <v>3</v>
      </c>
      <c r="M4665">
        <v>0</v>
      </c>
      <c r="N4665">
        <v>2</v>
      </c>
      <c r="O4665">
        <v>0</v>
      </c>
      <c r="P4665">
        <v>1</v>
      </c>
      <c r="Q4665">
        <v>0</v>
      </c>
      <c r="S4665" t="str">
        <f t="shared" si="1722"/>
        <v>19:38:01.000</v>
      </c>
      <c r="T4665" t="str">
        <f t="shared" si="1722"/>
        <v>19:38:01.000</v>
      </c>
      <c r="U4665" t="str">
        <f t="shared" si="1704"/>
        <v>AC3944</v>
      </c>
      <c r="V4665">
        <v>0</v>
      </c>
      <c r="W4665">
        <v>0</v>
      </c>
      <c r="X4665">
        <v>2</v>
      </c>
      <c r="Y4665">
        <v>0</v>
      </c>
      <c r="AA4665">
        <v>1</v>
      </c>
      <c r="AB4665">
        <v>8</v>
      </c>
      <c r="AC4665">
        <v>3</v>
      </c>
      <c r="AD4665">
        <v>0</v>
      </c>
      <c r="AE4665">
        <v>9</v>
      </c>
      <c r="AF4665" t="s">
        <v>138</v>
      </c>
      <c r="AG4665">
        <v>0</v>
      </c>
      <c r="AH4665">
        <v>3</v>
      </c>
      <c r="AI4665">
        <v>1</v>
      </c>
      <c r="AJ4665">
        <v>0</v>
      </c>
      <c r="AK4665" t="s">
        <v>1463</v>
      </c>
      <c r="AL4665">
        <v>32.721232999999998</v>
      </c>
      <c r="AM4665" t="s">
        <v>1464</v>
      </c>
      <c r="AN4665">
        <v>-116.736131</v>
      </c>
      <c r="AO4665">
        <v>25</v>
      </c>
      <c r="AP4665">
        <v>4300</v>
      </c>
      <c r="AQ4665" t="s">
        <v>129</v>
      </c>
      <c r="AR4665">
        <v>-162</v>
      </c>
      <c r="AS4665">
        <v>-95</v>
      </c>
      <c r="AT4665">
        <v>-1920</v>
      </c>
      <c r="BB4665">
        <v>1200</v>
      </c>
      <c r="BC4665">
        <v>1</v>
      </c>
      <c r="BD4665" t="str">
        <f t="shared" si="1705"/>
        <v xml:space="preserve">N887QR  </v>
      </c>
      <c r="BE4665">
        <v>1</v>
      </c>
      <c r="BG4665">
        <v>0</v>
      </c>
      <c r="BH4665">
        <v>0</v>
      </c>
      <c r="BI4665">
        <v>0</v>
      </c>
      <c r="BJ4665">
        <v>3850</v>
      </c>
      <c r="BK4665">
        <v>-450</v>
      </c>
      <c r="BL4665" t="s">
        <v>163</v>
      </c>
      <c r="BM4665">
        <v>1</v>
      </c>
      <c r="BN4665">
        <v>1</v>
      </c>
      <c r="BO4665">
        <v>1</v>
      </c>
      <c r="BP4665">
        <v>0</v>
      </c>
      <c r="BS4665">
        <v>0</v>
      </c>
      <c r="BT4665">
        <v>0</v>
      </c>
      <c r="BU4665">
        <v>0</v>
      </c>
      <c r="CE4665" t="str">
        <f t="shared" si="1724"/>
        <v>19:38:01.762</v>
      </c>
      <c r="CF4665">
        <v>762055594</v>
      </c>
      <c r="CS4665">
        <v>0</v>
      </c>
      <c r="CT4665">
        <v>2</v>
      </c>
      <c r="CU4665">
        <v>0</v>
      </c>
      <c r="CV4665">
        <v>2</v>
      </c>
      <c r="CW4665">
        <v>2</v>
      </c>
      <c r="CX4665">
        <v>6</v>
      </c>
      <c r="CY4665">
        <v>7</v>
      </c>
      <c r="CZ4665" t="s">
        <v>131</v>
      </c>
      <c r="DA4665">
        <v>286</v>
      </c>
      <c r="DB4665">
        <v>0</v>
      </c>
      <c r="DC4665" t="s">
        <v>132</v>
      </c>
      <c r="DD4665" t="s">
        <v>133</v>
      </c>
      <c r="DG4665">
        <v>921476</v>
      </c>
      <c r="DI4665">
        <v>0</v>
      </c>
      <c r="DJ4665">
        <v>0</v>
      </c>
      <c r="DK4665">
        <v>1</v>
      </c>
      <c r="DL4665">
        <v>0</v>
      </c>
      <c r="DM4665">
        <v>0</v>
      </c>
      <c r="DN4665">
        <v>1</v>
      </c>
      <c r="DO4665">
        <v>0</v>
      </c>
      <c r="DP4665">
        <v>0</v>
      </c>
      <c r="DQ4665">
        <v>0</v>
      </c>
      <c r="DR4665">
        <v>0</v>
      </c>
      <c r="DS4665">
        <v>0</v>
      </c>
    </row>
    <row r="4666" spans="1:123" x14ac:dyDescent="0.3">
      <c r="A4666" t="str">
        <f>"10/04/2022 19:38:02.065"</f>
        <v>10/04/2022 19:38:02.065</v>
      </c>
      <c r="C4666" t="str">
        <f t="shared" si="1721"/>
        <v>FFDFD3C0</v>
      </c>
      <c r="D4666" t="s">
        <v>136</v>
      </c>
      <c r="E4666">
        <v>8</v>
      </c>
      <c r="H4666">
        <v>225</v>
      </c>
      <c r="I4666" t="s">
        <v>137</v>
      </c>
      <c r="J4666" t="s">
        <v>138</v>
      </c>
      <c r="K4666">
        <v>0</v>
      </c>
      <c r="L4666">
        <v>3</v>
      </c>
      <c r="M4666">
        <v>0</v>
      </c>
      <c r="N4666">
        <v>2</v>
      </c>
      <c r="O4666">
        <v>0</v>
      </c>
      <c r="P4666">
        <v>1</v>
      </c>
      <c r="Q4666">
        <v>0</v>
      </c>
      <c r="S4666" t="str">
        <f t="shared" si="1722"/>
        <v>19:38:01.000</v>
      </c>
      <c r="T4666" t="str">
        <f t="shared" si="1722"/>
        <v>19:38:01.000</v>
      </c>
      <c r="U4666" t="str">
        <f t="shared" si="1704"/>
        <v>AC3944</v>
      </c>
      <c r="V4666">
        <v>0</v>
      </c>
      <c r="W4666">
        <v>0</v>
      </c>
      <c r="X4666">
        <v>2</v>
      </c>
      <c r="Y4666">
        <v>0</v>
      </c>
      <c r="AA4666">
        <v>1</v>
      </c>
      <c r="AB4666">
        <v>8</v>
      </c>
      <c r="AC4666">
        <v>3</v>
      </c>
      <c r="AD4666">
        <v>0</v>
      </c>
      <c r="AE4666">
        <v>9</v>
      </c>
      <c r="AF4666" t="s">
        <v>138</v>
      </c>
      <c r="AG4666">
        <v>0</v>
      </c>
      <c r="AH4666">
        <v>3</v>
      </c>
      <c r="AI4666">
        <v>1</v>
      </c>
      <c r="AJ4666">
        <v>0</v>
      </c>
      <c r="AK4666" t="s">
        <v>1463</v>
      </c>
      <c r="AL4666">
        <v>32.721232999999998</v>
      </c>
      <c r="AM4666" t="s">
        <v>1464</v>
      </c>
      <c r="AN4666">
        <v>-116.736131</v>
      </c>
      <c r="AO4666">
        <v>25</v>
      </c>
      <c r="AP4666">
        <v>4300</v>
      </c>
      <c r="AQ4666" t="s">
        <v>129</v>
      </c>
      <c r="AR4666">
        <v>-162</v>
      </c>
      <c r="AS4666">
        <v>-95</v>
      </c>
      <c r="AT4666">
        <v>-1920</v>
      </c>
      <c r="BB4666">
        <v>1200</v>
      </c>
      <c r="BC4666">
        <v>1</v>
      </c>
      <c r="BD4666" t="str">
        <f t="shared" si="1705"/>
        <v xml:space="preserve">N887QR  </v>
      </c>
      <c r="BE4666">
        <v>1</v>
      </c>
      <c r="BG4666">
        <v>0</v>
      </c>
      <c r="BH4666">
        <v>0</v>
      </c>
      <c r="BI4666">
        <v>0</v>
      </c>
      <c r="BJ4666">
        <v>3850</v>
      </c>
      <c r="BK4666">
        <v>-450</v>
      </c>
      <c r="BL4666" t="s">
        <v>163</v>
      </c>
      <c r="BM4666">
        <v>1</v>
      </c>
      <c r="BN4666">
        <v>1</v>
      </c>
      <c r="BO4666">
        <v>1</v>
      </c>
      <c r="BP4666">
        <v>0</v>
      </c>
      <c r="BS4666">
        <v>0</v>
      </c>
      <c r="BT4666">
        <v>0</v>
      </c>
      <c r="BU4666">
        <v>0</v>
      </c>
      <c r="CE4666" t="str">
        <f t="shared" si="1724"/>
        <v>19:38:01.762</v>
      </c>
      <c r="CF4666">
        <v>762055594</v>
      </c>
      <c r="CS4666">
        <v>0</v>
      </c>
      <c r="CT4666">
        <v>2</v>
      </c>
      <c r="CU4666">
        <v>0</v>
      </c>
      <c r="CV4666">
        <v>2</v>
      </c>
      <c r="CW4666">
        <v>2</v>
      </c>
      <c r="CX4666">
        <v>6</v>
      </c>
      <c r="CY4666">
        <v>7</v>
      </c>
      <c r="CZ4666" t="s">
        <v>131</v>
      </c>
      <c r="DA4666">
        <v>286</v>
      </c>
      <c r="DB4666">
        <v>0</v>
      </c>
      <c r="DC4666" t="s">
        <v>132</v>
      </c>
      <c r="DD4666" t="s">
        <v>133</v>
      </c>
      <c r="DG4666">
        <v>921476</v>
      </c>
      <c r="DI4666">
        <v>0</v>
      </c>
      <c r="DJ4666">
        <v>0</v>
      </c>
      <c r="DK4666">
        <v>1</v>
      </c>
      <c r="DL4666">
        <v>0</v>
      </c>
      <c r="DM4666">
        <v>0</v>
      </c>
      <c r="DN4666">
        <v>1</v>
      </c>
      <c r="DO4666">
        <v>0</v>
      </c>
      <c r="DP4666">
        <v>0</v>
      </c>
      <c r="DQ4666">
        <v>0</v>
      </c>
      <c r="DR4666">
        <v>0</v>
      </c>
      <c r="DS4666">
        <v>0</v>
      </c>
    </row>
    <row r="4667" spans="1:123" x14ac:dyDescent="0.3">
      <c r="A4667" t="str">
        <f t="shared" ref="A4667:A4673" si="1725">"10/04/2022 19:38:03.299"</f>
        <v>10/04/2022 19:38:03.299</v>
      </c>
      <c r="C4667" t="str">
        <f t="shared" si="1721"/>
        <v>FFDFD3C0</v>
      </c>
      <c r="D4667" t="s">
        <v>136</v>
      </c>
      <c r="E4667">
        <v>8</v>
      </c>
      <c r="H4667">
        <v>225</v>
      </c>
      <c r="I4667" t="s">
        <v>137</v>
      </c>
      <c r="J4667" t="s">
        <v>138</v>
      </c>
      <c r="K4667">
        <v>0</v>
      </c>
      <c r="L4667">
        <v>3</v>
      </c>
      <c r="M4667">
        <v>0</v>
      </c>
      <c r="N4667">
        <v>2</v>
      </c>
      <c r="O4667">
        <v>0</v>
      </c>
      <c r="P4667">
        <v>1</v>
      </c>
      <c r="Q4667">
        <v>0</v>
      </c>
      <c r="S4667" t="str">
        <f t="shared" ref="S4667:T4680" si="1726">"19:38:03.000"</f>
        <v>19:38:03.000</v>
      </c>
      <c r="T4667" t="str">
        <f t="shared" si="1726"/>
        <v>19:38:03.000</v>
      </c>
      <c r="U4667" t="str">
        <f t="shared" si="1704"/>
        <v>AC3944</v>
      </c>
      <c r="V4667">
        <v>0</v>
      </c>
      <c r="W4667">
        <v>0</v>
      </c>
      <c r="X4667">
        <v>2</v>
      </c>
      <c r="Y4667">
        <v>0</v>
      </c>
      <c r="AA4667">
        <v>1</v>
      </c>
      <c r="AB4667">
        <v>8</v>
      </c>
      <c r="AC4667">
        <v>3</v>
      </c>
      <c r="AD4667">
        <v>0</v>
      </c>
      <c r="AE4667">
        <v>9</v>
      </c>
      <c r="AF4667" t="s">
        <v>138</v>
      </c>
      <c r="AG4667">
        <v>0</v>
      </c>
      <c r="AH4667">
        <v>3</v>
      </c>
      <c r="AI4667">
        <v>1</v>
      </c>
      <c r="AJ4667">
        <v>0</v>
      </c>
      <c r="AK4667" t="s">
        <v>1465</v>
      </c>
      <c r="AL4667">
        <v>32.720697000000001</v>
      </c>
      <c r="AM4667" t="s">
        <v>1466</v>
      </c>
      <c r="AN4667">
        <v>-116.73720400000001</v>
      </c>
      <c r="AO4667">
        <v>25</v>
      </c>
      <c r="AP4667">
        <v>4300</v>
      </c>
      <c r="AQ4667" t="s">
        <v>129</v>
      </c>
      <c r="AR4667">
        <v>-162</v>
      </c>
      <c r="AS4667">
        <v>-95</v>
      </c>
      <c r="AT4667">
        <v>-1920</v>
      </c>
      <c r="BB4667">
        <v>1200</v>
      </c>
      <c r="BC4667">
        <v>1</v>
      </c>
      <c r="BD4667" t="str">
        <f t="shared" si="1705"/>
        <v xml:space="preserve">N887QR  </v>
      </c>
      <c r="BE4667">
        <v>1</v>
      </c>
      <c r="BG4667">
        <v>0</v>
      </c>
      <c r="BH4667">
        <v>0</v>
      </c>
      <c r="BI4667">
        <v>0</v>
      </c>
      <c r="BJ4667">
        <v>3850</v>
      </c>
      <c r="BK4667">
        <v>-450</v>
      </c>
      <c r="BL4667" t="s">
        <v>163</v>
      </c>
      <c r="BM4667">
        <v>1</v>
      </c>
      <c r="BN4667">
        <v>1</v>
      </c>
      <c r="BO4667">
        <v>1</v>
      </c>
      <c r="BP4667">
        <v>0</v>
      </c>
      <c r="BS4667">
        <v>0</v>
      </c>
      <c r="BT4667">
        <v>0</v>
      </c>
      <c r="BU4667">
        <v>0</v>
      </c>
      <c r="CE4667" t="str">
        <f t="shared" ref="CE4667:CE4673" si="1727">"19:38:03.058"</f>
        <v>19:38:03.058</v>
      </c>
      <c r="CF4667">
        <v>57809390</v>
      </c>
      <c r="CS4667">
        <v>0</v>
      </c>
      <c r="CT4667">
        <v>2</v>
      </c>
      <c r="CU4667">
        <v>0</v>
      </c>
      <c r="CV4667">
        <v>2</v>
      </c>
      <c r="CW4667">
        <v>0</v>
      </c>
      <c r="CX4667">
        <v>6</v>
      </c>
      <c r="CY4667">
        <v>7</v>
      </c>
      <c r="CZ4667" t="s">
        <v>131</v>
      </c>
      <c r="DA4667">
        <v>286</v>
      </c>
      <c r="DB4667">
        <v>0</v>
      </c>
      <c r="DC4667" t="s">
        <v>132</v>
      </c>
      <c r="DD4667" t="s">
        <v>133</v>
      </c>
      <c r="DG4667">
        <v>921773</v>
      </c>
      <c r="DI4667">
        <v>0</v>
      </c>
      <c r="DJ4667">
        <v>0</v>
      </c>
      <c r="DK4667">
        <v>0</v>
      </c>
      <c r="DL4667">
        <v>0</v>
      </c>
      <c r="DM4667">
        <v>0</v>
      </c>
      <c r="DN4667">
        <v>1</v>
      </c>
      <c r="DO4667">
        <v>0</v>
      </c>
      <c r="DP4667">
        <v>0</v>
      </c>
      <c r="DQ4667">
        <v>0</v>
      </c>
      <c r="DR4667">
        <v>0</v>
      </c>
      <c r="DS4667">
        <v>0</v>
      </c>
    </row>
    <row r="4668" spans="1:123" x14ac:dyDescent="0.3">
      <c r="A4668" t="str">
        <f t="shared" si="1725"/>
        <v>10/04/2022 19:38:03.299</v>
      </c>
      <c r="C4668" t="str">
        <f t="shared" si="1721"/>
        <v>FFDFD3C0</v>
      </c>
      <c r="D4668" t="s">
        <v>134</v>
      </c>
      <c r="E4668">
        <v>15</v>
      </c>
      <c r="J4668" t="s">
        <v>135</v>
      </c>
      <c r="K4668">
        <v>0</v>
      </c>
      <c r="L4668">
        <v>3</v>
      </c>
      <c r="M4668">
        <v>0</v>
      </c>
      <c r="N4668">
        <v>2</v>
      </c>
      <c r="O4668">
        <v>0</v>
      </c>
      <c r="P4668">
        <v>1</v>
      </c>
      <c r="Q4668">
        <v>0</v>
      </c>
      <c r="S4668" t="str">
        <f t="shared" si="1726"/>
        <v>19:38:03.000</v>
      </c>
      <c r="T4668" t="str">
        <f t="shared" si="1726"/>
        <v>19:38:03.000</v>
      </c>
      <c r="U4668" t="str">
        <f t="shared" si="1704"/>
        <v>AC3944</v>
      </c>
      <c r="V4668">
        <v>0</v>
      </c>
      <c r="W4668">
        <v>0</v>
      </c>
      <c r="X4668">
        <v>2</v>
      </c>
      <c r="Y4668">
        <v>0</v>
      </c>
      <c r="AA4668">
        <v>1</v>
      </c>
      <c r="AB4668">
        <v>8</v>
      </c>
      <c r="AC4668">
        <v>3</v>
      </c>
      <c r="AD4668">
        <v>0</v>
      </c>
      <c r="AE4668">
        <v>9</v>
      </c>
      <c r="AF4668" t="s">
        <v>138</v>
      </c>
      <c r="AG4668">
        <v>0</v>
      </c>
      <c r="AH4668">
        <v>3</v>
      </c>
      <c r="AI4668">
        <v>1</v>
      </c>
      <c r="AJ4668">
        <v>0</v>
      </c>
      <c r="AK4668" t="s">
        <v>1465</v>
      </c>
      <c r="AL4668">
        <v>32.720697000000001</v>
      </c>
      <c r="AM4668" t="s">
        <v>1466</v>
      </c>
      <c r="AN4668">
        <v>-116.73720400000001</v>
      </c>
      <c r="AO4668">
        <v>25</v>
      </c>
      <c r="AP4668">
        <v>4300</v>
      </c>
      <c r="AQ4668" t="s">
        <v>129</v>
      </c>
      <c r="AR4668">
        <v>-162</v>
      </c>
      <c r="AS4668">
        <v>-95</v>
      </c>
      <c r="AT4668">
        <v>-1920</v>
      </c>
      <c r="BB4668">
        <v>1200</v>
      </c>
      <c r="BC4668">
        <v>1</v>
      </c>
      <c r="BD4668" t="str">
        <f t="shared" si="1705"/>
        <v xml:space="preserve">N887QR  </v>
      </c>
      <c r="BE4668">
        <v>1</v>
      </c>
      <c r="BG4668">
        <v>0</v>
      </c>
      <c r="BH4668">
        <v>0</v>
      </c>
      <c r="BI4668">
        <v>0</v>
      </c>
      <c r="BJ4668">
        <v>3850</v>
      </c>
      <c r="BK4668">
        <v>-450</v>
      </c>
      <c r="BL4668" t="s">
        <v>163</v>
      </c>
      <c r="BM4668">
        <v>1</v>
      </c>
      <c r="BN4668">
        <v>1</v>
      </c>
      <c r="BO4668">
        <v>1</v>
      </c>
      <c r="BP4668">
        <v>0</v>
      </c>
      <c r="BS4668">
        <v>0</v>
      </c>
      <c r="BT4668">
        <v>0</v>
      </c>
      <c r="BU4668">
        <v>0</v>
      </c>
      <c r="CE4668" t="str">
        <f t="shared" si="1727"/>
        <v>19:38:03.058</v>
      </c>
      <c r="CF4668">
        <v>57809390</v>
      </c>
      <c r="CS4668">
        <v>0</v>
      </c>
      <c r="CT4668">
        <v>2</v>
      </c>
      <c r="CU4668">
        <v>0</v>
      </c>
      <c r="CV4668">
        <v>2</v>
      </c>
      <c r="CW4668">
        <v>0</v>
      </c>
      <c r="CX4668">
        <v>6</v>
      </c>
      <c r="CY4668">
        <v>7</v>
      </c>
      <c r="CZ4668" t="s">
        <v>131</v>
      </c>
      <c r="DA4668">
        <v>286</v>
      </c>
      <c r="DB4668">
        <v>0</v>
      </c>
      <c r="DC4668" t="s">
        <v>132</v>
      </c>
      <c r="DD4668" t="s">
        <v>133</v>
      </c>
      <c r="DG4668">
        <v>921773</v>
      </c>
      <c r="DI4668">
        <v>0</v>
      </c>
      <c r="DJ4668">
        <v>0</v>
      </c>
      <c r="DK4668">
        <v>1</v>
      </c>
      <c r="DL4668">
        <v>0</v>
      </c>
      <c r="DM4668">
        <v>0</v>
      </c>
      <c r="DN4668">
        <v>1</v>
      </c>
      <c r="DO4668">
        <v>0</v>
      </c>
      <c r="DP4668">
        <v>0</v>
      </c>
      <c r="DQ4668">
        <v>0</v>
      </c>
      <c r="DR4668">
        <v>0</v>
      </c>
      <c r="DS4668">
        <v>0</v>
      </c>
    </row>
    <row r="4669" spans="1:123" x14ac:dyDescent="0.3">
      <c r="A4669" t="str">
        <f t="shared" si="1725"/>
        <v>10/04/2022 19:38:03.299</v>
      </c>
      <c r="C4669" t="str">
        <f t="shared" si="1721"/>
        <v>FFDFD3C0</v>
      </c>
      <c r="D4669" t="s">
        <v>143</v>
      </c>
      <c r="E4669">
        <v>20</v>
      </c>
      <c r="F4669">
        <v>1020</v>
      </c>
      <c r="G4669" t="s">
        <v>144</v>
      </c>
      <c r="J4669" t="s">
        <v>145</v>
      </c>
      <c r="K4669">
        <v>0</v>
      </c>
      <c r="L4669">
        <v>3</v>
      </c>
      <c r="M4669">
        <v>0</v>
      </c>
      <c r="N4669">
        <v>2</v>
      </c>
      <c r="O4669">
        <v>0</v>
      </c>
      <c r="P4669">
        <v>1</v>
      </c>
      <c r="Q4669">
        <v>0</v>
      </c>
      <c r="S4669" t="str">
        <f t="shared" si="1726"/>
        <v>19:38:03.000</v>
      </c>
      <c r="T4669" t="str">
        <f t="shared" si="1726"/>
        <v>19:38:03.000</v>
      </c>
      <c r="U4669" t="str">
        <f t="shared" si="1704"/>
        <v>AC3944</v>
      </c>
      <c r="V4669">
        <v>0</v>
      </c>
      <c r="W4669">
        <v>0</v>
      </c>
      <c r="X4669">
        <v>2</v>
      </c>
      <c r="Y4669">
        <v>0</v>
      </c>
      <c r="AA4669">
        <v>1</v>
      </c>
      <c r="AB4669">
        <v>8</v>
      </c>
      <c r="AC4669">
        <v>3</v>
      </c>
      <c r="AD4669">
        <v>0</v>
      </c>
      <c r="AE4669">
        <v>9</v>
      </c>
      <c r="AF4669" t="s">
        <v>138</v>
      </c>
      <c r="AG4669">
        <v>0</v>
      </c>
      <c r="AH4669">
        <v>3</v>
      </c>
      <c r="AI4669">
        <v>1</v>
      </c>
      <c r="AJ4669">
        <v>0</v>
      </c>
      <c r="AK4669" t="s">
        <v>1465</v>
      </c>
      <c r="AL4669">
        <v>32.720697000000001</v>
      </c>
      <c r="AM4669" t="s">
        <v>1466</v>
      </c>
      <c r="AN4669">
        <v>-116.73720400000001</v>
      </c>
      <c r="AO4669">
        <v>25</v>
      </c>
      <c r="AP4669">
        <v>4300</v>
      </c>
      <c r="AQ4669" t="s">
        <v>129</v>
      </c>
      <c r="AR4669">
        <v>-162</v>
      </c>
      <c r="AS4669">
        <v>-95</v>
      </c>
      <c r="AT4669">
        <v>-1920</v>
      </c>
      <c r="BB4669">
        <v>1200</v>
      </c>
      <c r="BC4669">
        <v>1</v>
      </c>
      <c r="BD4669" t="str">
        <f t="shared" si="1705"/>
        <v xml:space="preserve">N887QR  </v>
      </c>
      <c r="BE4669">
        <v>1</v>
      </c>
      <c r="BG4669">
        <v>0</v>
      </c>
      <c r="BH4669">
        <v>0</v>
      </c>
      <c r="BI4669">
        <v>0</v>
      </c>
      <c r="BJ4669">
        <v>3850</v>
      </c>
      <c r="BK4669">
        <v>-450</v>
      </c>
      <c r="BL4669" t="s">
        <v>163</v>
      </c>
      <c r="BM4669">
        <v>1</v>
      </c>
      <c r="BN4669">
        <v>1</v>
      </c>
      <c r="BO4669">
        <v>1</v>
      </c>
      <c r="BP4669">
        <v>0</v>
      </c>
      <c r="BS4669">
        <v>0</v>
      </c>
      <c r="BT4669">
        <v>0</v>
      </c>
      <c r="BU4669">
        <v>0</v>
      </c>
      <c r="CE4669" t="str">
        <f t="shared" si="1727"/>
        <v>19:38:03.058</v>
      </c>
      <c r="CF4669">
        <v>57809390</v>
      </c>
      <c r="CS4669">
        <v>0</v>
      </c>
      <c r="CT4669">
        <v>2</v>
      </c>
      <c r="CU4669">
        <v>0</v>
      </c>
      <c r="CV4669">
        <v>2</v>
      </c>
      <c r="CW4669">
        <v>0</v>
      </c>
      <c r="CX4669">
        <v>6</v>
      </c>
      <c r="CY4669">
        <v>7</v>
      </c>
      <c r="CZ4669" t="s">
        <v>131</v>
      </c>
      <c r="DA4669">
        <v>286</v>
      </c>
      <c r="DB4669">
        <v>0</v>
      </c>
      <c r="DC4669" t="s">
        <v>132</v>
      </c>
      <c r="DD4669" t="s">
        <v>133</v>
      </c>
      <c r="DG4669">
        <v>921773</v>
      </c>
      <c r="DI4669">
        <v>0</v>
      </c>
      <c r="DJ4669">
        <v>0</v>
      </c>
      <c r="DK4669">
        <v>1</v>
      </c>
      <c r="DL4669">
        <v>0</v>
      </c>
      <c r="DM4669">
        <v>0</v>
      </c>
      <c r="DN4669">
        <v>1</v>
      </c>
      <c r="DO4669">
        <v>0</v>
      </c>
      <c r="DP4669">
        <v>0</v>
      </c>
      <c r="DQ4669">
        <v>0</v>
      </c>
      <c r="DR4669">
        <v>0</v>
      </c>
      <c r="DS4669">
        <v>0</v>
      </c>
    </row>
    <row r="4670" spans="1:123" x14ac:dyDescent="0.3">
      <c r="A4670" t="str">
        <f t="shared" si="1725"/>
        <v>10/04/2022 19:38:03.299</v>
      </c>
      <c r="C4670" t="str">
        <f t="shared" si="1721"/>
        <v>FFDFD3C0</v>
      </c>
      <c r="D4670" t="s">
        <v>141</v>
      </c>
      <c r="E4670">
        <v>4</v>
      </c>
      <c r="H4670">
        <v>4</v>
      </c>
      <c r="I4670" t="s">
        <v>142</v>
      </c>
      <c r="J4670" t="s">
        <v>138</v>
      </c>
      <c r="K4670">
        <v>0</v>
      </c>
      <c r="L4670">
        <v>3</v>
      </c>
      <c r="M4670">
        <v>0</v>
      </c>
      <c r="N4670">
        <v>2</v>
      </c>
      <c r="O4670">
        <v>0</v>
      </c>
      <c r="P4670">
        <v>1</v>
      </c>
      <c r="Q4670">
        <v>0</v>
      </c>
      <c r="S4670" t="str">
        <f t="shared" si="1726"/>
        <v>19:38:03.000</v>
      </c>
      <c r="T4670" t="str">
        <f t="shared" si="1726"/>
        <v>19:38:03.000</v>
      </c>
      <c r="U4670" t="str">
        <f t="shared" si="1704"/>
        <v>AC3944</v>
      </c>
      <c r="V4670">
        <v>0</v>
      </c>
      <c r="W4670">
        <v>0</v>
      </c>
      <c r="X4670">
        <v>2</v>
      </c>
      <c r="Y4670">
        <v>0</v>
      </c>
      <c r="AA4670">
        <v>1</v>
      </c>
      <c r="AB4670">
        <v>8</v>
      </c>
      <c r="AC4670">
        <v>3</v>
      </c>
      <c r="AD4670">
        <v>0</v>
      </c>
      <c r="AE4670">
        <v>9</v>
      </c>
      <c r="AF4670" t="s">
        <v>138</v>
      </c>
      <c r="AG4670">
        <v>0</v>
      </c>
      <c r="AH4670">
        <v>3</v>
      </c>
      <c r="AI4670">
        <v>1</v>
      </c>
      <c r="AJ4670">
        <v>0</v>
      </c>
      <c r="AK4670" t="s">
        <v>1465</v>
      </c>
      <c r="AL4670">
        <v>32.720697000000001</v>
      </c>
      <c r="AM4670" t="s">
        <v>1466</v>
      </c>
      <c r="AN4670">
        <v>-116.73720400000001</v>
      </c>
      <c r="AO4670">
        <v>25</v>
      </c>
      <c r="AP4670">
        <v>4300</v>
      </c>
      <c r="AQ4670" t="s">
        <v>129</v>
      </c>
      <c r="AR4670">
        <v>-162</v>
      </c>
      <c r="AS4670">
        <v>-95</v>
      </c>
      <c r="AT4670">
        <v>-1920</v>
      </c>
      <c r="BB4670">
        <v>1200</v>
      </c>
      <c r="BC4670">
        <v>1</v>
      </c>
      <c r="BD4670" t="str">
        <f t="shared" si="1705"/>
        <v xml:space="preserve">N887QR  </v>
      </c>
      <c r="BE4670">
        <v>1</v>
      </c>
      <c r="BG4670">
        <v>0</v>
      </c>
      <c r="BH4670">
        <v>0</v>
      </c>
      <c r="BI4670">
        <v>0</v>
      </c>
      <c r="BJ4670">
        <v>3850</v>
      </c>
      <c r="BK4670">
        <v>-450</v>
      </c>
      <c r="BL4670" t="s">
        <v>163</v>
      </c>
      <c r="BM4670">
        <v>1</v>
      </c>
      <c r="BN4670">
        <v>1</v>
      </c>
      <c r="BO4670">
        <v>1</v>
      </c>
      <c r="BP4670">
        <v>0</v>
      </c>
      <c r="BS4670">
        <v>0</v>
      </c>
      <c r="BT4670">
        <v>0</v>
      </c>
      <c r="BU4670">
        <v>0</v>
      </c>
      <c r="CE4670" t="str">
        <f t="shared" si="1727"/>
        <v>19:38:03.058</v>
      </c>
      <c r="CF4670">
        <v>57809390</v>
      </c>
      <c r="CS4670">
        <v>0</v>
      </c>
      <c r="CT4670">
        <v>2</v>
      </c>
      <c r="CU4670">
        <v>0</v>
      </c>
      <c r="CV4670">
        <v>2</v>
      </c>
      <c r="CW4670">
        <v>0</v>
      </c>
      <c r="CX4670">
        <v>6</v>
      </c>
      <c r="CY4670">
        <v>7</v>
      </c>
      <c r="CZ4670" t="s">
        <v>131</v>
      </c>
      <c r="DA4670">
        <v>286</v>
      </c>
      <c r="DB4670">
        <v>0</v>
      </c>
      <c r="DC4670" t="s">
        <v>132</v>
      </c>
      <c r="DD4670" t="s">
        <v>133</v>
      </c>
      <c r="DG4670">
        <v>921773</v>
      </c>
      <c r="DI4670">
        <v>0</v>
      </c>
      <c r="DJ4670">
        <v>0</v>
      </c>
      <c r="DK4670">
        <v>1</v>
      </c>
      <c r="DL4670">
        <v>0</v>
      </c>
      <c r="DM4670">
        <v>0</v>
      </c>
      <c r="DN4670">
        <v>1</v>
      </c>
      <c r="DO4670">
        <v>0</v>
      </c>
      <c r="DP4670">
        <v>0</v>
      </c>
      <c r="DQ4670">
        <v>0</v>
      </c>
      <c r="DR4670">
        <v>0</v>
      </c>
      <c r="DS4670">
        <v>0</v>
      </c>
    </row>
    <row r="4671" spans="1:123" x14ac:dyDescent="0.3">
      <c r="A4671" t="str">
        <f t="shared" si="1725"/>
        <v>10/04/2022 19:38:03.299</v>
      </c>
      <c r="C4671" t="str">
        <f t="shared" si="1721"/>
        <v>FFDFD3C0</v>
      </c>
      <c r="D4671" t="s">
        <v>123</v>
      </c>
      <c r="E4671">
        <v>7</v>
      </c>
      <c r="F4671">
        <v>2007</v>
      </c>
      <c r="G4671" t="s">
        <v>124</v>
      </c>
      <c r="J4671" t="s">
        <v>125</v>
      </c>
      <c r="K4671">
        <v>0</v>
      </c>
      <c r="L4671">
        <v>3</v>
      </c>
      <c r="M4671">
        <v>0</v>
      </c>
      <c r="N4671">
        <v>2</v>
      </c>
      <c r="O4671">
        <v>0</v>
      </c>
      <c r="P4671">
        <v>1</v>
      </c>
      <c r="Q4671">
        <v>0</v>
      </c>
      <c r="S4671" t="str">
        <f t="shared" si="1726"/>
        <v>19:38:03.000</v>
      </c>
      <c r="T4671" t="str">
        <f t="shared" si="1726"/>
        <v>19:38:03.000</v>
      </c>
      <c r="U4671" t="str">
        <f t="shared" si="1704"/>
        <v>AC3944</v>
      </c>
      <c r="V4671">
        <v>0</v>
      </c>
      <c r="W4671">
        <v>0</v>
      </c>
      <c r="X4671">
        <v>2</v>
      </c>
      <c r="Y4671">
        <v>0</v>
      </c>
      <c r="AA4671">
        <v>1</v>
      </c>
      <c r="AB4671">
        <v>8</v>
      </c>
      <c r="AC4671">
        <v>3</v>
      </c>
      <c r="AD4671">
        <v>0</v>
      </c>
      <c r="AE4671">
        <v>9</v>
      </c>
      <c r="AF4671" t="s">
        <v>138</v>
      </c>
      <c r="AG4671">
        <v>0</v>
      </c>
      <c r="AH4671">
        <v>3</v>
      </c>
      <c r="AI4671">
        <v>1</v>
      </c>
      <c r="AJ4671">
        <v>0</v>
      </c>
      <c r="AK4671" t="s">
        <v>1465</v>
      </c>
      <c r="AL4671">
        <v>32.720697000000001</v>
      </c>
      <c r="AM4671" t="s">
        <v>1466</v>
      </c>
      <c r="AN4671">
        <v>-116.73720400000001</v>
      </c>
      <c r="AO4671">
        <v>25</v>
      </c>
      <c r="AP4671">
        <v>4300</v>
      </c>
      <c r="AQ4671" t="s">
        <v>129</v>
      </c>
      <c r="AR4671">
        <v>-162</v>
      </c>
      <c r="AS4671">
        <v>-95</v>
      </c>
      <c r="AT4671">
        <v>-1920</v>
      </c>
      <c r="BB4671">
        <v>1200</v>
      </c>
      <c r="BC4671">
        <v>1</v>
      </c>
      <c r="BD4671" t="str">
        <f t="shared" si="1705"/>
        <v xml:space="preserve">N887QR  </v>
      </c>
      <c r="BE4671">
        <v>1</v>
      </c>
      <c r="BG4671">
        <v>0</v>
      </c>
      <c r="BH4671">
        <v>0</v>
      </c>
      <c r="BI4671">
        <v>0</v>
      </c>
      <c r="BJ4671">
        <v>3850</v>
      </c>
      <c r="BK4671">
        <v>-450</v>
      </c>
      <c r="BL4671" t="s">
        <v>163</v>
      </c>
      <c r="BM4671">
        <v>1</v>
      </c>
      <c r="BN4671">
        <v>1</v>
      </c>
      <c r="BO4671">
        <v>1</v>
      </c>
      <c r="BP4671">
        <v>0</v>
      </c>
      <c r="BS4671">
        <v>0</v>
      </c>
      <c r="BT4671">
        <v>0</v>
      </c>
      <c r="BU4671">
        <v>0</v>
      </c>
      <c r="CE4671" t="str">
        <f t="shared" si="1727"/>
        <v>19:38:03.058</v>
      </c>
      <c r="CF4671">
        <v>57809390</v>
      </c>
      <c r="CS4671">
        <v>0</v>
      </c>
      <c r="CT4671">
        <v>2</v>
      </c>
      <c r="CU4671">
        <v>0</v>
      </c>
      <c r="CV4671">
        <v>2</v>
      </c>
      <c r="CW4671">
        <v>0</v>
      </c>
      <c r="CX4671">
        <v>6</v>
      </c>
      <c r="CY4671">
        <v>7</v>
      </c>
      <c r="CZ4671" t="s">
        <v>131</v>
      </c>
      <c r="DA4671">
        <v>286</v>
      </c>
      <c r="DB4671">
        <v>0</v>
      </c>
      <c r="DC4671" t="s">
        <v>132</v>
      </c>
      <c r="DD4671" t="s">
        <v>133</v>
      </c>
      <c r="DG4671">
        <v>921773</v>
      </c>
      <c r="DI4671">
        <v>0</v>
      </c>
      <c r="DJ4671">
        <v>0</v>
      </c>
      <c r="DK4671">
        <v>1</v>
      </c>
      <c r="DL4671">
        <v>0</v>
      </c>
      <c r="DM4671">
        <v>0</v>
      </c>
      <c r="DN4671">
        <v>1</v>
      </c>
      <c r="DO4671">
        <v>0</v>
      </c>
      <c r="DP4671">
        <v>0</v>
      </c>
      <c r="DQ4671">
        <v>0</v>
      </c>
      <c r="DR4671">
        <v>0</v>
      </c>
      <c r="DS4671">
        <v>0</v>
      </c>
    </row>
    <row r="4672" spans="1:123" x14ac:dyDescent="0.3">
      <c r="A4672" t="str">
        <f t="shared" si="1725"/>
        <v>10/04/2022 19:38:03.299</v>
      </c>
      <c r="C4672" t="str">
        <f t="shared" si="1721"/>
        <v>FFDFD3C0</v>
      </c>
      <c r="D4672" t="s">
        <v>141</v>
      </c>
      <c r="E4672">
        <v>3</v>
      </c>
      <c r="H4672">
        <v>3</v>
      </c>
      <c r="I4672" t="s">
        <v>146</v>
      </c>
      <c r="J4672" t="s">
        <v>138</v>
      </c>
      <c r="K4672">
        <v>0</v>
      </c>
      <c r="L4672">
        <v>3</v>
      </c>
      <c r="M4672">
        <v>0</v>
      </c>
      <c r="N4672">
        <v>2</v>
      </c>
      <c r="O4672">
        <v>0</v>
      </c>
      <c r="P4672">
        <v>1</v>
      </c>
      <c r="Q4672">
        <v>0</v>
      </c>
      <c r="S4672" t="str">
        <f t="shared" si="1726"/>
        <v>19:38:03.000</v>
      </c>
      <c r="T4672" t="str">
        <f t="shared" si="1726"/>
        <v>19:38:03.000</v>
      </c>
      <c r="U4672" t="str">
        <f t="shared" si="1704"/>
        <v>AC3944</v>
      </c>
      <c r="V4672">
        <v>0</v>
      </c>
      <c r="W4672">
        <v>0</v>
      </c>
      <c r="X4672">
        <v>2</v>
      </c>
      <c r="Y4672">
        <v>0</v>
      </c>
      <c r="AA4672">
        <v>1</v>
      </c>
      <c r="AB4672">
        <v>8</v>
      </c>
      <c r="AC4672">
        <v>3</v>
      </c>
      <c r="AD4672">
        <v>0</v>
      </c>
      <c r="AE4672">
        <v>9</v>
      </c>
      <c r="AF4672" t="s">
        <v>138</v>
      </c>
      <c r="AG4672">
        <v>0</v>
      </c>
      <c r="AH4672">
        <v>3</v>
      </c>
      <c r="AI4672">
        <v>1</v>
      </c>
      <c r="AJ4672">
        <v>0</v>
      </c>
      <c r="AK4672" t="s">
        <v>1465</v>
      </c>
      <c r="AL4672">
        <v>32.720697000000001</v>
      </c>
      <c r="AM4672" t="s">
        <v>1466</v>
      </c>
      <c r="AN4672">
        <v>-116.73720400000001</v>
      </c>
      <c r="AO4672">
        <v>25</v>
      </c>
      <c r="AP4672">
        <v>4300</v>
      </c>
      <c r="AQ4672" t="s">
        <v>129</v>
      </c>
      <c r="AR4672">
        <v>-162</v>
      </c>
      <c r="AS4672">
        <v>-95</v>
      </c>
      <c r="AT4672">
        <v>-1920</v>
      </c>
      <c r="BB4672">
        <v>1200</v>
      </c>
      <c r="BC4672">
        <v>1</v>
      </c>
      <c r="BD4672" t="str">
        <f t="shared" si="1705"/>
        <v xml:space="preserve">N887QR  </v>
      </c>
      <c r="BE4672">
        <v>1</v>
      </c>
      <c r="BG4672">
        <v>0</v>
      </c>
      <c r="BH4672">
        <v>0</v>
      </c>
      <c r="BI4672">
        <v>0</v>
      </c>
      <c r="BJ4672">
        <v>3850</v>
      </c>
      <c r="BK4672">
        <v>-450</v>
      </c>
      <c r="BL4672" t="s">
        <v>163</v>
      </c>
      <c r="BM4672">
        <v>1</v>
      </c>
      <c r="BN4672">
        <v>1</v>
      </c>
      <c r="BO4672">
        <v>1</v>
      </c>
      <c r="BP4672">
        <v>0</v>
      </c>
      <c r="BS4672">
        <v>0</v>
      </c>
      <c r="BT4672">
        <v>0</v>
      </c>
      <c r="BU4672">
        <v>0</v>
      </c>
      <c r="CE4672" t="str">
        <f t="shared" si="1727"/>
        <v>19:38:03.058</v>
      </c>
      <c r="CF4672">
        <v>57809390</v>
      </c>
      <c r="CS4672">
        <v>0</v>
      </c>
      <c r="CT4672">
        <v>2</v>
      </c>
      <c r="CU4672">
        <v>0</v>
      </c>
      <c r="CV4672">
        <v>2</v>
      </c>
      <c r="CW4672">
        <v>0</v>
      </c>
      <c r="CX4672">
        <v>6</v>
      </c>
      <c r="CY4672">
        <v>7</v>
      </c>
      <c r="CZ4672" t="s">
        <v>131</v>
      </c>
      <c r="DA4672">
        <v>286</v>
      </c>
      <c r="DB4672">
        <v>0</v>
      </c>
      <c r="DC4672" t="s">
        <v>132</v>
      </c>
      <c r="DD4672" t="s">
        <v>133</v>
      </c>
      <c r="DG4672">
        <v>921773</v>
      </c>
      <c r="DI4672">
        <v>0</v>
      </c>
      <c r="DJ4672">
        <v>0</v>
      </c>
      <c r="DK4672">
        <v>1</v>
      </c>
      <c r="DL4672">
        <v>0</v>
      </c>
      <c r="DM4672">
        <v>0</v>
      </c>
      <c r="DN4672">
        <v>1</v>
      </c>
      <c r="DO4672">
        <v>0</v>
      </c>
      <c r="DP4672">
        <v>0</v>
      </c>
      <c r="DQ4672">
        <v>0</v>
      </c>
      <c r="DR4672">
        <v>0</v>
      </c>
      <c r="DS4672">
        <v>0</v>
      </c>
    </row>
    <row r="4673" spans="1:123" x14ac:dyDescent="0.3">
      <c r="A4673" t="str">
        <f t="shared" si="1725"/>
        <v>10/04/2022 19:38:03.299</v>
      </c>
      <c r="C4673" t="str">
        <f t="shared" si="1721"/>
        <v>FFDFD3C0</v>
      </c>
      <c r="D4673" t="s">
        <v>147</v>
      </c>
      <c r="E4673">
        <v>3</v>
      </c>
      <c r="H4673">
        <v>166</v>
      </c>
      <c r="I4673" t="s">
        <v>144</v>
      </c>
      <c r="J4673" t="s">
        <v>148</v>
      </c>
      <c r="K4673">
        <v>0</v>
      </c>
      <c r="L4673">
        <v>3</v>
      </c>
      <c r="M4673">
        <v>0</v>
      </c>
      <c r="N4673">
        <v>2</v>
      </c>
      <c r="O4673">
        <v>0</v>
      </c>
      <c r="P4673">
        <v>1</v>
      </c>
      <c r="Q4673">
        <v>0</v>
      </c>
      <c r="S4673" t="str">
        <f t="shared" si="1726"/>
        <v>19:38:03.000</v>
      </c>
      <c r="T4673" t="str">
        <f t="shared" si="1726"/>
        <v>19:38:03.000</v>
      </c>
      <c r="U4673" t="str">
        <f t="shared" si="1704"/>
        <v>AC3944</v>
      </c>
      <c r="V4673">
        <v>0</v>
      </c>
      <c r="W4673">
        <v>0</v>
      </c>
      <c r="X4673">
        <v>2</v>
      </c>
      <c r="Y4673">
        <v>0</v>
      </c>
      <c r="AA4673">
        <v>1</v>
      </c>
      <c r="AB4673">
        <v>8</v>
      </c>
      <c r="AC4673">
        <v>3</v>
      </c>
      <c r="AD4673">
        <v>0</v>
      </c>
      <c r="AE4673">
        <v>9</v>
      </c>
      <c r="AF4673" t="s">
        <v>138</v>
      </c>
      <c r="AG4673">
        <v>0</v>
      </c>
      <c r="AH4673">
        <v>3</v>
      </c>
      <c r="AI4673">
        <v>1</v>
      </c>
      <c r="AJ4673">
        <v>0</v>
      </c>
      <c r="AK4673" t="s">
        <v>1465</v>
      </c>
      <c r="AL4673">
        <v>32.720697000000001</v>
      </c>
      <c r="AM4673" t="s">
        <v>1466</v>
      </c>
      <c r="AN4673">
        <v>-116.73720400000001</v>
      </c>
      <c r="AO4673">
        <v>25</v>
      </c>
      <c r="AP4673">
        <v>4300</v>
      </c>
      <c r="AQ4673" t="s">
        <v>129</v>
      </c>
      <c r="AR4673">
        <v>-162</v>
      </c>
      <c r="AS4673">
        <v>-95</v>
      </c>
      <c r="AT4673">
        <v>-1920</v>
      </c>
      <c r="BB4673">
        <v>1200</v>
      </c>
      <c r="BC4673">
        <v>1</v>
      </c>
      <c r="BD4673" t="str">
        <f t="shared" si="1705"/>
        <v xml:space="preserve">N887QR  </v>
      </c>
      <c r="BE4673">
        <v>1</v>
      </c>
      <c r="BG4673">
        <v>0</v>
      </c>
      <c r="BH4673">
        <v>0</v>
      </c>
      <c r="BI4673">
        <v>0</v>
      </c>
      <c r="BJ4673">
        <v>3850</v>
      </c>
      <c r="BK4673">
        <v>-450</v>
      </c>
      <c r="BL4673" t="s">
        <v>163</v>
      </c>
      <c r="BM4673">
        <v>1</v>
      </c>
      <c r="BN4673">
        <v>1</v>
      </c>
      <c r="BO4673">
        <v>1</v>
      </c>
      <c r="BP4673">
        <v>0</v>
      </c>
      <c r="BS4673">
        <v>0</v>
      </c>
      <c r="BT4673">
        <v>0</v>
      </c>
      <c r="BU4673">
        <v>0</v>
      </c>
      <c r="CE4673" t="str">
        <f t="shared" si="1727"/>
        <v>19:38:03.058</v>
      </c>
      <c r="CF4673">
        <v>57809390</v>
      </c>
      <c r="CS4673">
        <v>0</v>
      </c>
      <c r="CT4673">
        <v>2</v>
      </c>
      <c r="CU4673">
        <v>0</v>
      </c>
      <c r="CV4673">
        <v>2</v>
      </c>
      <c r="CW4673">
        <v>0</v>
      </c>
      <c r="CX4673">
        <v>6</v>
      </c>
      <c r="CY4673">
        <v>7</v>
      </c>
      <c r="CZ4673" t="s">
        <v>131</v>
      </c>
      <c r="DA4673">
        <v>286</v>
      </c>
      <c r="DB4673">
        <v>0</v>
      </c>
      <c r="DC4673" t="s">
        <v>132</v>
      </c>
      <c r="DD4673" t="s">
        <v>133</v>
      </c>
      <c r="DG4673">
        <v>921773</v>
      </c>
      <c r="DI4673">
        <v>0</v>
      </c>
      <c r="DJ4673">
        <v>0</v>
      </c>
      <c r="DK4673">
        <v>1</v>
      </c>
      <c r="DL4673">
        <v>0</v>
      </c>
      <c r="DM4673">
        <v>0</v>
      </c>
      <c r="DN4673">
        <v>1</v>
      </c>
      <c r="DO4673">
        <v>0</v>
      </c>
      <c r="DP4673">
        <v>0</v>
      </c>
      <c r="DQ4673">
        <v>0</v>
      </c>
      <c r="DR4673">
        <v>0</v>
      </c>
      <c r="DS4673">
        <v>0</v>
      </c>
    </row>
    <row r="4674" spans="1:123" x14ac:dyDescent="0.3">
      <c r="A4674" t="str">
        <f t="shared" ref="A4674:A4680" si="1728">"10/04/2022 19:38:04.237"</f>
        <v>10/04/2022 19:38:04.237</v>
      </c>
      <c r="C4674" t="str">
        <f t="shared" si="1721"/>
        <v>FFDFD3C0</v>
      </c>
      <c r="D4674" t="s">
        <v>136</v>
      </c>
      <c r="E4674">
        <v>8</v>
      </c>
      <c r="H4674">
        <v>225</v>
      </c>
      <c r="I4674" t="s">
        <v>137</v>
      </c>
      <c r="J4674" t="s">
        <v>138</v>
      </c>
      <c r="K4674">
        <v>0</v>
      </c>
      <c r="L4674">
        <v>3</v>
      </c>
      <c r="M4674">
        <v>0</v>
      </c>
      <c r="N4674">
        <v>2</v>
      </c>
      <c r="O4674">
        <v>0</v>
      </c>
      <c r="P4674">
        <v>1</v>
      </c>
      <c r="Q4674">
        <v>0</v>
      </c>
      <c r="S4674" t="str">
        <f t="shared" si="1726"/>
        <v>19:38:03.000</v>
      </c>
      <c r="T4674" t="str">
        <f t="shared" si="1726"/>
        <v>19:38:03.000</v>
      </c>
      <c r="U4674" t="str">
        <f t="shared" ref="U4674:U4737" si="1729">"AC3944"</f>
        <v>AC3944</v>
      </c>
      <c r="V4674">
        <v>0</v>
      </c>
      <c r="W4674">
        <v>0</v>
      </c>
      <c r="X4674">
        <v>2</v>
      </c>
      <c r="Y4674">
        <v>0</v>
      </c>
      <c r="AA4674">
        <v>1</v>
      </c>
      <c r="AB4674">
        <v>8</v>
      </c>
      <c r="AC4674">
        <v>3</v>
      </c>
      <c r="AD4674">
        <v>0</v>
      </c>
      <c r="AE4674">
        <v>9</v>
      </c>
      <c r="AF4674" t="s">
        <v>138</v>
      </c>
      <c r="AG4674">
        <v>0</v>
      </c>
      <c r="AH4674">
        <v>3</v>
      </c>
      <c r="AI4674">
        <v>1</v>
      </c>
      <c r="AJ4674">
        <v>0</v>
      </c>
      <c r="AK4674" t="s">
        <v>1467</v>
      </c>
      <c r="AL4674">
        <v>32.720267999999997</v>
      </c>
      <c r="AM4674" t="s">
        <v>1468</v>
      </c>
      <c r="AN4674">
        <v>-116.738083</v>
      </c>
      <c r="AO4674">
        <v>25</v>
      </c>
      <c r="AP4674">
        <v>4300</v>
      </c>
      <c r="AQ4674" t="s">
        <v>129</v>
      </c>
      <c r="AR4674">
        <v>-162</v>
      </c>
      <c r="AS4674">
        <v>-95</v>
      </c>
      <c r="AT4674">
        <v>-1920</v>
      </c>
      <c r="BB4674">
        <v>1200</v>
      </c>
      <c r="BC4674">
        <v>1</v>
      </c>
      <c r="BD4674" t="str">
        <f t="shared" ref="BD4674:BD4737" si="1730">"N887QR  "</f>
        <v xml:space="preserve">N887QR  </v>
      </c>
      <c r="BE4674">
        <v>1</v>
      </c>
      <c r="BG4674">
        <v>0</v>
      </c>
      <c r="BH4674">
        <v>0</v>
      </c>
      <c r="BI4674">
        <v>0</v>
      </c>
      <c r="BJ4674">
        <v>3850</v>
      </c>
      <c r="BK4674">
        <v>-450</v>
      </c>
      <c r="BL4674" t="s">
        <v>163</v>
      </c>
      <c r="BM4674">
        <v>1</v>
      </c>
      <c r="BN4674">
        <v>1</v>
      </c>
      <c r="BO4674">
        <v>1</v>
      </c>
      <c r="BP4674">
        <v>0</v>
      </c>
      <c r="BS4674">
        <v>0</v>
      </c>
      <c r="BT4674">
        <v>0</v>
      </c>
      <c r="BU4674">
        <v>0</v>
      </c>
      <c r="CE4674" t="str">
        <f t="shared" ref="CE4674:CE4680" si="1731">"19:38:03.857"</f>
        <v>19:38:03.857</v>
      </c>
      <c r="CF4674">
        <v>856561632</v>
      </c>
      <c r="CS4674">
        <v>0</v>
      </c>
      <c r="CT4674">
        <v>2</v>
      </c>
      <c r="CU4674">
        <v>0</v>
      </c>
      <c r="CV4674">
        <v>2</v>
      </c>
      <c r="CW4674">
        <v>0</v>
      </c>
      <c r="CX4674">
        <v>6</v>
      </c>
      <c r="CY4674">
        <v>7</v>
      </c>
      <c r="CZ4674" t="s">
        <v>131</v>
      </c>
      <c r="DA4674">
        <v>286</v>
      </c>
      <c r="DB4674">
        <v>0</v>
      </c>
      <c r="DC4674" t="s">
        <v>132</v>
      </c>
      <c r="DD4674" t="s">
        <v>133</v>
      </c>
      <c r="DG4674">
        <v>921963</v>
      </c>
      <c r="DI4674">
        <v>0</v>
      </c>
      <c r="DJ4674">
        <v>0</v>
      </c>
      <c r="DK4674">
        <v>0</v>
      </c>
      <c r="DL4674">
        <v>0</v>
      </c>
      <c r="DM4674">
        <v>0</v>
      </c>
      <c r="DN4674">
        <v>1</v>
      </c>
      <c r="DO4674">
        <v>0</v>
      </c>
      <c r="DP4674">
        <v>0</v>
      </c>
      <c r="DQ4674">
        <v>0</v>
      </c>
      <c r="DR4674">
        <v>0</v>
      </c>
      <c r="DS4674">
        <v>0</v>
      </c>
    </row>
    <row r="4675" spans="1:123" x14ac:dyDescent="0.3">
      <c r="A4675" t="str">
        <f t="shared" si="1728"/>
        <v>10/04/2022 19:38:04.237</v>
      </c>
      <c r="C4675" t="str">
        <f t="shared" si="1721"/>
        <v>FFDFD3C0</v>
      </c>
      <c r="D4675" t="s">
        <v>134</v>
      </c>
      <c r="E4675">
        <v>15</v>
      </c>
      <c r="J4675" t="s">
        <v>135</v>
      </c>
      <c r="K4675">
        <v>0</v>
      </c>
      <c r="L4675">
        <v>3</v>
      </c>
      <c r="M4675">
        <v>0</v>
      </c>
      <c r="N4675">
        <v>2</v>
      </c>
      <c r="O4675">
        <v>0</v>
      </c>
      <c r="P4675">
        <v>1</v>
      </c>
      <c r="Q4675">
        <v>0</v>
      </c>
      <c r="S4675" t="str">
        <f t="shared" si="1726"/>
        <v>19:38:03.000</v>
      </c>
      <c r="T4675" t="str">
        <f t="shared" si="1726"/>
        <v>19:38:03.000</v>
      </c>
      <c r="U4675" t="str">
        <f t="shared" si="1729"/>
        <v>AC3944</v>
      </c>
      <c r="V4675">
        <v>0</v>
      </c>
      <c r="W4675">
        <v>0</v>
      </c>
      <c r="X4675">
        <v>2</v>
      </c>
      <c r="Y4675">
        <v>0</v>
      </c>
      <c r="AA4675">
        <v>1</v>
      </c>
      <c r="AB4675">
        <v>8</v>
      </c>
      <c r="AC4675">
        <v>3</v>
      </c>
      <c r="AD4675">
        <v>0</v>
      </c>
      <c r="AE4675">
        <v>9</v>
      </c>
      <c r="AF4675" t="s">
        <v>138</v>
      </c>
      <c r="AG4675">
        <v>0</v>
      </c>
      <c r="AH4675">
        <v>3</v>
      </c>
      <c r="AI4675">
        <v>1</v>
      </c>
      <c r="AJ4675">
        <v>0</v>
      </c>
      <c r="AK4675" t="s">
        <v>1467</v>
      </c>
      <c r="AL4675">
        <v>32.720267999999997</v>
      </c>
      <c r="AM4675" t="s">
        <v>1468</v>
      </c>
      <c r="AN4675">
        <v>-116.738083</v>
      </c>
      <c r="AO4675">
        <v>25</v>
      </c>
      <c r="AP4675">
        <v>4300</v>
      </c>
      <c r="AQ4675" t="s">
        <v>129</v>
      </c>
      <c r="AR4675">
        <v>-162</v>
      </c>
      <c r="AS4675">
        <v>-95</v>
      </c>
      <c r="AT4675">
        <v>-1920</v>
      </c>
      <c r="BB4675">
        <v>1200</v>
      </c>
      <c r="BC4675">
        <v>1</v>
      </c>
      <c r="BD4675" t="str">
        <f t="shared" si="1730"/>
        <v xml:space="preserve">N887QR  </v>
      </c>
      <c r="BE4675">
        <v>1</v>
      </c>
      <c r="BG4675">
        <v>0</v>
      </c>
      <c r="BH4675">
        <v>0</v>
      </c>
      <c r="BI4675">
        <v>0</v>
      </c>
      <c r="BJ4675">
        <v>3850</v>
      </c>
      <c r="BK4675">
        <v>-450</v>
      </c>
      <c r="BL4675" t="s">
        <v>163</v>
      </c>
      <c r="BM4675">
        <v>1</v>
      </c>
      <c r="BN4675">
        <v>1</v>
      </c>
      <c r="BO4675">
        <v>1</v>
      </c>
      <c r="BP4675">
        <v>0</v>
      </c>
      <c r="BS4675">
        <v>0</v>
      </c>
      <c r="BT4675">
        <v>0</v>
      </c>
      <c r="BU4675">
        <v>0</v>
      </c>
      <c r="CE4675" t="str">
        <f t="shared" si="1731"/>
        <v>19:38:03.857</v>
      </c>
      <c r="CF4675">
        <v>856561632</v>
      </c>
      <c r="CS4675">
        <v>0</v>
      </c>
      <c r="CT4675">
        <v>2</v>
      </c>
      <c r="CU4675">
        <v>0</v>
      </c>
      <c r="CV4675">
        <v>2</v>
      </c>
      <c r="CW4675">
        <v>0</v>
      </c>
      <c r="CX4675">
        <v>6</v>
      </c>
      <c r="CY4675">
        <v>7</v>
      </c>
      <c r="CZ4675" t="s">
        <v>131</v>
      </c>
      <c r="DA4675">
        <v>286</v>
      </c>
      <c r="DB4675">
        <v>0</v>
      </c>
      <c r="DC4675" t="s">
        <v>132</v>
      </c>
      <c r="DD4675" t="s">
        <v>133</v>
      </c>
      <c r="DG4675">
        <v>921963</v>
      </c>
      <c r="DI4675">
        <v>0</v>
      </c>
      <c r="DJ4675">
        <v>0</v>
      </c>
      <c r="DK4675">
        <v>1</v>
      </c>
      <c r="DL4675">
        <v>0</v>
      </c>
      <c r="DM4675">
        <v>0</v>
      </c>
      <c r="DN4675">
        <v>1</v>
      </c>
      <c r="DO4675">
        <v>0</v>
      </c>
      <c r="DP4675">
        <v>0</v>
      </c>
      <c r="DQ4675">
        <v>0</v>
      </c>
      <c r="DR4675">
        <v>0</v>
      </c>
      <c r="DS4675">
        <v>0</v>
      </c>
    </row>
    <row r="4676" spans="1:123" x14ac:dyDescent="0.3">
      <c r="A4676" t="str">
        <f t="shared" si="1728"/>
        <v>10/04/2022 19:38:04.237</v>
      </c>
      <c r="C4676" t="str">
        <f t="shared" si="1721"/>
        <v>FFDFD3C0</v>
      </c>
      <c r="D4676" t="s">
        <v>143</v>
      </c>
      <c r="E4676">
        <v>20</v>
      </c>
      <c r="F4676">
        <v>1020</v>
      </c>
      <c r="G4676" t="s">
        <v>144</v>
      </c>
      <c r="J4676" t="s">
        <v>145</v>
      </c>
      <c r="K4676">
        <v>0</v>
      </c>
      <c r="L4676">
        <v>3</v>
      </c>
      <c r="M4676">
        <v>0</v>
      </c>
      <c r="N4676">
        <v>2</v>
      </c>
      <c r="O4676">
        <v>0</v>
      </c>
      <c r="P4676">
        <v>1</v>
      </c>
      <c r="Q4676">
        <v>0</v>
      </c>
      <c r="S4676" t="str">
        <f t="shared" si="1726"/>
        <v>19:38:03.000</v>
      </c>
      <c r="T4676" t="str">
        <f t="shared" si="1726"/>
        <v>19:38:03.000</v>
      </c>
      <c r="U4676" t="str">
        <f t="shared" si="1729"/>
        <v>AC3944</v>
      </c>
      <c r="V4676">
        <v>0</v>
      </c>
      <c r="W4676">
        <v>0</v>
      </c>
      <c r="X4676">
        <v>2</v>
      </c>
      <c r="Y4676">
        <v>0</v>
      </c>
      <c r="AA4676">
        <v>1</v>
      </c>
      <c r="AB4676">
        <v>8</v>
      </c>
      <c r="AC4676">
        <v>3</v>
      </c>
      <c r="AD4676">
        <v>0</v>
      </c>
      <c r="AE4676">
        <v>9</v>
      </c>
      <c r="AF4676" t="s">
        <v>138</v>
      </c>
      <c r="AG4676">
        <v>0</v>
      </c>
      <c r="AH4676">
        <v>3</v>
      </c>
      <c r="AI4676">
        <v>1</v>
      </c>
      <c r="AJ4676">
        <v>0</v>
      </c>
      <c r="AK4676" t="s">
        <v>1467</v>
      </c>
      <c r="AL4676">
        <v>32.720267999999997</v>
      </c>
      <c r="AM4676" t="s">
        <v>1468</v>
      </c>
      <c r="AN4676">
        <v>-116.738083</v>
      </c>
      <c r="AO4676">
        <v>25</v>
      </c>
      <c r="AP4676">
        <v>4300</v>
      </c>
      <c r="AQ4676" t="s">
        <v>129</v>
      </c>
      <c r="AR4676">
        <v>-162</v>
      </c>
      <c r="AS4676">
        <v>-95</v>
      </c>
      <c r="AT4676">
        <v>-1920</v>
      </c>
      <c r="BB4676">
        <v>1200</v>
      </c>
      <c r="BC4676">
        <v>1</v>
      </c>
      <c r="BD4676" t="str">
        <f t="shared" si="1730"/>
        <v xml:space="preserve">N887QR  </v>
      </c>
      <c r="BE4676">
        <v>1</v>
      </c>
      <c r="BG4676">
        <v>0</v>
      </c>
      <c r="BH4676">
        <v>0</v>
      </c>
      <c r="BI4676">
        <v>0</v>
      </c>
      <c r="BJ4676">
        <v>3850</v>
      </c>
      <c r="BK4676">
        <v>-450</v>
      </c>
      <c r="BL4676" t="s">
        <v>163</v>
      </c>
      <c r="BM4676">
        <v>1</v>
      </c>
      <c r="BN4676">
        <v>1</v>
      </c>
      <c r="BO4676">
        <v>1</v>
      </c>
      <c r="BP4676">
        <v>0</v>
      </c>
      <c r="BS4676">
        <v>0</v>
      </c>
      <c r="BT4676">
        <v>0</v>
      </c>
      <c r="BU4676">
        <v>0</v>
      </c>
      <c r="CE4676" t="str">
        <f t="shared" si="1731"/>
        <v>19:38:03.857</v>
      </c>
      <c r="CF4676">
        <v>856561632</v>
      </c>
      <c r="CS4676">
        <v>0</v>
      </c>
      <c r="CT4676">
        <v>2</v>
      </c>
      <c r="CU4676">
        <v>0</v>
      </c>
      <c r="CV4676">
        <v>2</v>
      </c>
      <c r="CW4676">
        <v>0</v>
      </c>
      <c r="CX4676">
        <v>6</v>
      </c>
      <c r="CY4676">
        <v>7</v>
      </c>
      <c r="CZ4676" t="s">
        <v>131</v>
      </c>
      <c r="DA4676">
        <v>286</v>
      </c>
      <c r="DB4676">
        <v>0</v>
      </c>
      <c r="DC4676" t="s">
        <v>132</v>
      </c>
      <c r="DD4676" t="s">
        <v>133</v>
      </c>
      <c r="DG4676">
        <v>921963</v>
      </c>
      <c r="DI4676">
        <v>0</v>
      </c>
      <c r="DJ4676">
        <v>0</v>
      </c>
      <c r="DK4676">
        <v>1</v>
      </c>
      <c r="DL4676">
        <v>0</v>
      </c>
      <c r="DM4676">
        <v>0</v>
      </c>
      <c r="DN4676">
        <v>1</v>
      </c>
      <c r="DO4676">
        <v>0</v>
      </c>
      <c r="DP4676">
        <v>0</v>
      </c>
      <c r="DQ4676">
        <v>0</v>
      </c>
      <c r="DR4676">
        <v>0</v>
      </c>
      <c r="DS4676">
        <v>0</v>
      </c>
    </row>
    <row r="4677" spans="1:123" x14ac:dyDescent="0.3">
      <c r="A4677" t="str">
        <f t="shared" si="1728"/>
        <v>10/04/2022 19:38:04.237</v>
      </c>
      <c r="C4677" t="str">
        <f t="shared" si="1721"/>
        <v>FFDFD3C0</v>
      </c>
      <c r="D4677" t="s">
        <v>141</v>
      </c>
      <c r="E4677">
        <v>4</v>
      </c>
      <c r="H4677">
        <v>4</v>
      </c>
      <c r="I4677" t="s">
        <v>142</v>
      </c>
      <c r="J4677" t="s">
        <v>138</v>
      </c>
      <c r="K4677">
        <v>0</v>
      </c>
      <c r="L4677">
        <v>3</v>
      </c>
      <c r="M4677">
        <v>0</v>
      </c>
      <c r="N4677">
        <v>2</v>
      </c>
      <c r="O4677">
        <v>0</v>
      </c>
      <c r="P4677">
        <v>1</v>
      </c>
      <c r="Q4677">
        <v>0</v>
      </c>
      <c r="S4677" t="str">
        <f t="shared" si="1726"/>
        <v>19:38:03.000</v>
      </c>
      <c r="T4677" t="str">
        <f t="shared" si="1726"/>
        <v>19:38:03.000</v>
      </c>
      <c r="U4677" t="str">
        <f t="shared" si="1729"/>
        <v>AC3944</v>
      </c>
      <c r="V4677">
        <v>0</v>
      </c>
      <c r="W4677">
        <v>0</v>
      </c>
      <c r="X4677">
        <v>2</v>
      </c>
      <c r="Y4677">
        <v>0</v>
      </c>
      <c r="AA4677">
        <v>1</v>
      </c>
      <c r="AB4677">
        <v>8</v>
      </c>
      <c r="AC4677">
        <v>3</v>
      </c>
      <c r="AD4677">
        <v>0</v>
      </c>
      <c r="AE4677">
        <v>9</v>
      </c>
      <c r="AF4677" t="s">
        <v>138</v>
      </c>
      <c r="AG4677">
        <v>0</v>
      </c>
      <c r="AH4677">
        <v>3</v>
      </c>
      <c r="AI4677">
        <v>1</v>
      </c>
      <c r="AJ4677">
        <v>0</v>
      </c>
      <c r="AK4677" t="s">
        <v>1467</v>
      </c>
      <c r="AL4677">
        <v>32.720267999999997</v>
      </c>
      <c r="AM4677" t="s">
        <v>1468</v>
      </c>
      <c r="AN4677">
        <v>-116.738083</v>
      </c>
      <c r="AO4677">
        <v>25</v>
      </c>
      <c r="AP4677">
        <v>4300</v>
      </c>
      <c r="AQ4677" t="s">
        <v>129</v>
      </c>
      <c r="AR4677">
        <v>-162</v>
      </c>
      <c r="AS4677">
        <v>-95</v>
      </c>
      <c r="AT4677">
        <v>-1920</v>
      </c>
      <c r="BB4677">
        <v>1200</v>
      </c>
      <c r="BC4677">
        <v>1</v>
      </c>
      <c r="BD4677" t="str">
        <f t="shared" si="1730"/>
        <v xml:space="preserve">N887QR  </v>
      </c>
      <c r="BE4677">
        <v>1</v>
      </c>
      <c r="BG4677">
        <v>0</v>
      </c>
      <c r="BH4677">
        <v>0</v>
      </c>
      <c r="BI4677">
        <v>0</v>
      </c>
      <c r="BJ4677">
        <v>3850</v>
      </c>
      <c r="BK4677">
        <v>-450</v>
      </c>
      <c r="BL4677" t="s">
        <v>163</v>
      </c>
      <c r="BM4677">
        <v>1</v>
      </c>
      <c r="BN4677">
        <v>1</v>
      </c>
      <c r="BO4677">
        <v>1</v>
      </c>
      <c r="BP4677">
        <v>0</v>
      </c>
      <c r="BS4677">
        <v>0</v>
      </c>
      <c r="BT4677">
        <v>0</v>
      </c>
      <c r="BU4677">
        <v>0</v>
      </c>
      <c r="CE4677" t="str">
        <f t="shared" si="1731"/>
        <v>19:38:03.857</v>
      </c>
      <c r="CF4677">
        <v>856561632</v>
      </c>
      <c r="CS4677">
        <v>0</v>
      </c>
      <c r="CT4677">
        <v>2</v>
      </c>
      <c r="CU4677">
        <v>0</v>
      </c>
      <c r="CV4677">
        <v>2</v>
      </c>
      <c r="CW4677">
        <v>0</v>
      </c>
      <c r="CX4677">
        <v>6</v>
      </c>
      <c r="CY4677">
        <v>7</v>
      </c>
      <c r="CZ4677" t="s">
        <v>131</v>
      </c>
      <c r="DA4677">
        <v>286</v>
      </c>
      <c r="DB4677">
        <v>0</v>
      </c>
      <c r="DC4677" t="s">
        <v>132</v>
      </c>
      <c r="DD4677" t="s">
        <v>133</v>
      </c>
      <c r="DG4677">
        <v>921963</v>
      </c>
      <c r="DI4677">
        <v>0</v>
      </c>
      <c r="DJ4677">
        <v>0</v>
      </c>
      <c r="DK4677">
        <v>1</v>
      </c>
      <c r="DL4677">
        <v>0</v>
      </c>
      <c r="DM4677">
        <v>0</v>
      </c>
      <c r="DN4677">
        <v>1</v>
      </c>
      <c r="DO4677">
        <v>0</v>
      </c>
      <c r="DP4677">
        <v>0</v>
      </c>
      <c r="DQ4677">
        <v>0</v>
      </c>
      <c r="DR4677">
        <v>0</v>
      </c>
      <c r="DS4677">
        <v>0</v>
      </c>
    </row>
    <row r="4678" spans="1:123" x14ac:dyDescent="0.3">
      <c r="A4678" t="str">
        <f t="shared" si="1728"/>
        <v>10/04/2022 19:38:04.237</v>
      </c>
      <c r="C4678" t="str">
        <f t="shared" si="1721"/>
        <v>FFDFD3C0</v>
      </c>
      <c r="D4678" t="s">
        <v>123</v>
      </c>
      <c r="E4678">
        <v>7</v>
      </c>
      <c r="F4678">
        <v>2007</v>
      </c>
      <c r="G4678" t="s">
        <v>124</v>
      </c>
      <c r="J4678" t="s">
        <v>125</v>
      </c>
      <c r="K4678">
        <v>0</v>
      </c>
      <c r="L4678">
        <v>3</v>
      </c>
      <c r="M4678">
        <v>0</v>
      </c>
      <c r="N4678">
        <v>2</v>
      </c>
      <c r="O4678">
        <v>0</v>
      </c>
      <c r="P4678">
        <v>1</v>
      </c>
      <c r="Q4678">
        <v>0</v>
      </c>
      <c r="S4678" t="str">
        <f t="shared" si="1726"/>
        <v>19:38:03.000</v>
      </c>
      <c r="T4678" t="str">
        <f t="shared" si="1726"/>
        <v>19:38:03.000</v>
      </c>
      <c r="U4678" t="str">
        <f t="shared" si="1729"/>
        <v>AC3944</v>
      </c>
      <c r="V4678">
        <v>0</v>
      </c>
      <c r="W4678">
        <v>0</v>
      </c>
      <c r="X4678">
        <v>2</v>
      </c>
      <c r="Y4678">
        <v>0</v>
      </c>
      <c r="AA4678">
        <v>1</v>
      </c>
      <c r="AB4678">
        <v>8</v>
      </c>
      <c r="AC4678">
        <v>3</v>
      </c>
      <c r="AD4678">
        <v>0</v>
      </c>
      <c r="AE4678">
        <v>9</v>
      </c>
      <c r="AF4678" t="s">
        <v>138</v>
      </c>
      <c r="AG4678">
        <v>0</v>
      </c>
      <c r="AH4678">
        <v>3</v>
      </c>
      <c r="AI4678">
        <v>1</v>
      </c>
      <c r="AJ4678">
        <v>0</v>
      </c>
      <c r="AK4678" t="s">
        <v>1467</v>
      </c>
      <c r="AL4678">
        <v>32.720267999999997</v>
      </c>
      <c r="AM4678" t="s">
        <v>1468</v>
      </c>
      <c r="AN4678">
        <v>-116.738083</v>
      </c>
      <c r="AO4678">
        <v>25</v>
      </c>
      <c r="AP4678">
        <v>4300</v>
      </c>
      <c r="AQ4678" t="s">
        <v>129</v>
      </c>
      <c r="AR4678">
        <v>-162</v>
      </c>
      <c r="AS4678">
        <v>-95</v>
      </c>
      <c r="AT4678">
        <v>-1920</v>
      </c>
      <c r="BB4678">
        <v>1200</v>
      </c>
      <c r="BC4678">
        <v>1</v>
      </c>
      <c r="BD4678" t="str">
        <f t="shared" si="1730"/>
        <v xml:space="preserve">N887QR  </v>
      </c>
      <c r="BE4678">
        <v>1</v>
      </c>
      <c r="BG4678">
        <v>0</v>
      </c>
      <c r="BH4678">
        <v>0</v>
      </c>
      <c r="BI4678">
        <v>0</v>
      </c>
      <c r="BJ4678">
        <v>3850</v>
      </c>
      <c r="BK4678">
        <v>-450</v>
      </c>
      <c r="BL4678" t="s">
        <v>163</v>
      </c>
      <c r="BM4678">
        <v>1</v>
      </c>
      <c r="BN4678">
        <v>1</v>
      </c>
      <c r="BO4678">
        <v>1</v>
      </c>
      <c r="BP4678">
        <v>0</v>
      </c>
      <c r="BS4678">
        <v>0</v>
      </c>
      <c r="BT4678">
        <v>0</v>
      </c>
      <c r="BU4678">
        <v>0</v>
      </c>
      <c r="CE4678" t="str">
        <f t="shared" si="1731"/>
        <v>19:38:03.857</v>
      </c>
      <c r="CF4678">
        <v>856561632</v>
      </c>
      <c r="CS4678">
        <v>0</v>
      </c>
      <c r="CT4678">
        <v>2</v>
      </c>
      <c r="CU4678">
        <v>0</v>
      </c>
      <c r="CV4678">
        <v>2</v>
      </c>
      <c r="CW4678">
        <v>0</v>
      </c>
      <c r="CX4678">
        <v>6</v>
      </c>
      <c r="CY4678">
        <v>7</v>
      </c>
      <c r="CZ4678" t="s">
        <v>131</v>
      </c>
      <c r="DA4678">
        <v>286</v>
      </c>
      <c r="DB4678">
        <v>0</v>
      </c>
      <c r="DC4678" t="s">
        <v>132</v>
      </c>
      <c r="DD4678" t="s">
        <v>133</v>
      </c>
      <c r="DG4678">
        <v>921963</v>
      </c>
      <c r="DI4678">
        <v>0</v>
      </c>
      <c r="DJ4678">
        <v>0</v>
      </c>
      <c r="DK4678">
        <v>1</v>
      </c>
      <c r="DL4678">
        <v>0</v>
      </c>
      <c r="DM4678">
        <v>0</v>
      </c>
      <c r="DN4678">
        <v>1</v>
      </c>
      <c r="DO4678">
        <v>0</v>
      </c>
      <c r="DP4678">
        <v>0</v>
      </c>
      <c r="DQ4678">
        <v>0</v>
      </c>
      <c r="DR4678">
        <v>0</v>
      </c>
      <c r="DS4678">
        <v>0</v>
      </c>
    </row>
    <row r="4679" spans="1:123" x14ac:dyDescent="0.3">
      <c r="A4679" t="str">
        <f t="shared" si="1728"/>
        <v>10/04/2022 19:38:04.237</v>
      </c>
      <c r="C4679" t="str">
        <f t="shared" si="1721"/>
        <v>FFDFD3C0</v>
      </c>
      <c r="D4679" t="s">
        <v>147</v>
      </c>
      <c r="E4679">
        <v>3</v>
      </c>
      <c r="H4679">
        <v>166</v>
      </c>
      <c r="I4679" t="s">
        <v>144</v>
      </c>
      <c r="J4679" t="s">
        <v>148</v>
      </c>
      <c r="K4679">
        <v>0</v>
      </c>
      <c r="L4679">
        <v>3</v>
      </c>
      <c r="M4679">
        <v>0</v>
      </c>
      <c r="N4679">
        <v>2</v>
      </c>
      <c r="O4679">
        <v>0</v>
      </c>
      <c r="P4679">
        <v>1</v>
      </c>
      <c r="Q4679">
        <v>0</v>
      </c>
      <c r="S4679" t="str">
        <f t="shared" si="1726"/>
        <v>19:38:03.000</v>
      </c>
      <c r="T4679" t="str">
        <f t="shared" si="1726"/>
        <v>19:38:03.000</v>
      </c>
      <c r="U4679" t="str">
        <f t="shared" si="1729"/>
        <v>AC3944</v>
      </c>
      <c r="V4679">
        <v>0</v>
      </c>
      <c r="W4679">
        <v>0</v>
      </c>
      <c r="X4679">
        <v>2</v>
      </c>
      <c r="Y4679">
        <v>0</v>
      </c>
      <c r="AA4679">
        <v>1</v>
      </c>
      <c r="AB4679">
        <v>8</v>
      </c>
      <c r="AC4679">
        <v>3</v>
      </c>
      <c r="AD4679">
        <v>0</v>
      </c>
      <c r="AE4679">
        <v>9</v>
      </c>
      <c r="AF4679" t="s">
        <v>138</v>
      </c>
      <c r="AG4679">
        <v>0</v>
      </c>
      <c r="AH4679">
        <v>3</v>
      </c>
      <c r="AI4679">
        <v>1</v>
      </c>
      <c r="AJ4679">
        <v>0</v>
      </c>
      <c r="AK4679" t="s">
        <v>1467</v>
      </c>
      <c r="AL4679">
        <v>32.720267999999997</v>
      </c>
      <c r="AM4679" t="s">
        <v>1468</v>
      </c>
      <c r="AN4679">
        <v>-116.738083</v>
      </c>
      <c r="AO4679">
        <v>25</v>
      </c>
      <c r="AP4679">
        <v>4300</v>
      </c>
      <c r="AQ4679" t="s">
        <v>129</v>
      </c>
      <c r="AR4679">
        <v>-162</v>
      </c>
      <c r="AS4679">
        <v>-95</v>
      </c>
      <c r="AT4679">
        <v>-1920</v>
      </c>
      <c r="BB4679">
        <v>1200</v>
      </c>
      <c r="BC4679">
        <v>1</v>
      </c>
      <c r="BD4679" t="str">
        <f t="shared" si="1730"/>
        <v xml:space="preserve">N887QR  </v>
      </c>
      <c r="BE4679">
        <v>1</v>
      </c>
      <c r="BG4679">
        <v>0</v>
      </c>
      <c r="BH4679">
        <v>0</v>
      </c>
      <c r="BI4679">
        <v>0</v>
      </c>
      <c r="BJ4679">
        <v>3850</v>
      </c>
      <c r="BK4679">
        <v>-450</v>
      </c>
      <c r="BL4679" t="s">
        <v>163</v>
      </c>
      <c r="BM4679">
        <v>1</v>
      </c>
      <c r="BN4679">
        <v>1</v>
      </c>
      <c r="BO4679">
        <v>1</v>
      </c>
      <c r="BP4679">
        <v>0</v>
      </c>
      <c r="BS4679">
        <v>0</v>
      </c>
      <c r="BT4679">
        <v>0</v>
      </c>
      <c r="BU4679">
        <v>0</v>
      </c>
      <c r="CE4679" t="str">
        <f t="shared" si="1731"/>
        <v>19:38:03.857</v>
      </c>
      <c r="CF4679">
        <v>856561632</v>
      </c>
      <c r="CS4679">
        <v>0</v>
      </c>
      <c r="CT4679">
        <v>2</v>
      </c>
      <c r="CU4679">
        <v>0</v>
      </c>
      <c r="CV4679">
        <v>2</v>
      </c>
      <c r="CW4679">
        <v>0</v>
      </c>
      <c r="CX4679">
        <v>6</v>
      </c>
      <c r="CY4679">
        <v>7</v>
      </c>
      <c r="CZ4679" t="s">
        <v>131</v>
      </c>
      <c r="DA4679">
        <v>286</v>
      </c>
      <c r="DB4679">
        <v>0</v>
      </c>
      <c r="DC4679" t="s">
        <v>132</v>
      </c>
      <c r="DD4679" t="s">
        <v>133</v>
      </c>
      <c r="DG4679">
        <v>921963</v>
      </c>
      <c r="DI4679">
        <v>0</v>
      </c>
      <c r="DJ4679">
        <v>0</v>
      </c>
      <c r="DK4679">
        <v>1</v>
      </c>
      <c r="DL4679">
        <v>0</v>
      </c>
      <c r="DM4679">
        <v>0</v>
      </c>
      <c r="DN4679">
        <v>1</v>
      </c>
      <c r="DO4679">
        <v>0</v>
      </c>
      <c r="DP4679">
        <v>0</v>
      </c>
      <c r="DQ4679">
        <v>0</v>
      </c>
      <c r="DR4679">
        <v>0</v>
      </c>
      <c r="DS4679">
        <v>0</v>
      </c>
    </row>
    <row r="4680" spans="1:123" x14ac:dyDescent="0.3">
      <c r="A4680" t="str">
        <f t="shared" si="1728"/>
        <v>10/04/2022 19:38:04.237</v>
      </c>
      <c r="C4680" t="str">
        <f t="shared" si="1721"/>
        <v>FFDFD3C0</v>
      </c>
      <c r="D4680" t="s">
        <v>141</v>
      </c>
      <c r="E4680">
        <v>3</v>
      </c>
      <c r="H4680">
        <v>3</v>
      </c>
      <c r="I4680" t="s">
        <v>146</v>
      </c>
      <c r="J4680" t="s">
        <v>138</v>
      </c>
      <c r="K4680">
        <v>0</v>
      </c>
      <c r="L4680">
        <v>3</v>
      </c>
      <c r="M4680">
        <v>0</v>
      </c>
      <c r="N4680">
        <v>2</v>
      </c>
      <c r="O4680">
        <v>0</v>
      </c>
      <c r="P4680">
        <v>1</v>
      </c>
      <c r="Q4680">
        <v>0</v>
      </c>
      <c r="S4680" t="str">
        <f t="shared" si="1726"/>
        <v>19:38:03.000</v>
      </c>
      <c r="T4680" t="str">
        <f t="shared" si="1726"/>
        <v>19:38:03.000</v>
      </c>
      <c r="U4680" t="str">
        <f t="shared" si="1729"/>
        <v>AC3944</v>
      </c>
      <c r="V4680">
        <v>0</v>
      </c>
      <c r="W4680">
        <v>0</v>
      </c>
      <c r="X4680">
        <v>2</v>
      </c>
      <c r="Y4680">
        <v>0</v>
      </c>
      <c r="AA4680">
        <v>1</v>
      </c>
      <c r="AB4680">
        <v>8</v>
      </c>
      <c r="AC4680">
        <v>3</v>
      </c>
      <c r="AD4680">
        <v>0</v>
      </c>
      <c r="AE4680">
        <v>9</v>
      </c>
      <c r="AF4680" t="s">
        <v>138</v>
      </c>
      <c r="AG4680">
        <v>0</v>
      </c>
      <c r="AH4680">
        <v>3</v>
      </c>
      <c r="AI4680">
        <v>1</v>
      </c>
      <c r="AJ4680">
        <v>0</v>
      </c>
      <c r="AK4680" t="s">
        <v>1467</v>
      </c>
      <c r="AL4680">
        <v>32.720267999999997</v>
      </c>
      <c r="AM4680" t="s">
        <v>1468</v>
      </c>
      <c r="AN4680">
        <v>-116.738083</v>
      </c>
      <c r="AO4680">
        <v>25</v>
      </c>
      <c r="AP4680">
        <v>4300</v>
      </c>
      <c r="AQ4680" t="s">
        <v>129</v>
      </c>
      <c r="AR4680">
        <v>-162</v>
      </c>
      <c r="AS4680">
        <v>-95</v>
      </c>
      <c r="AT4680">
        <v>-1920</v>
      </c>
      <c r="BB4680">
        <v>1200</v>
      </c>
      <c r="BC4680">
        <v>1</v>
      </c>
      <c r="BD4680" t="str">
        <f t="shared" si="1730"/>
        <v xml:space="preserve">N887QR  </v>
      </c>
      <c r="BE4680">
        <v>1</v>
      </c>
      <c r="BG4680">
        <v>0</v>
      </c>
      <c r="BH4680">
        <v>0</v>
      </c>
      <c r="BI4680">
        <v>0</v>
      </c>
      <c r="BJ4680">
        <v>3850</v>
      </c>
      <c r="BK4680">
        <v>-450</v>
      </c>
      <c r="BL4680" t="s">
        <v>163</v>
      </c>
      <c r="BM4680">
        <v>1</v>
      </c>
      <c r="BN4680">
        <v>1</v>
      </c>
      <c r="BO4680">
        <v>1</v>
      </c>
      <c r="BP4680">
        <v>0</v>
      </c>
      <c r="BS4680">
        <v>0</v>
      </c>
      <c r="BT4680">
        <v>0</v>
      </c>
      <c r="BU4680">
        <v>0</v>
      </c>
      <c r="CE4680" t="str">
        <f t="shared" si="1731"/>
        <v>19:38:03.857</v>
      </c>
      <c r="CF4680">
        <v>856561632</v>
      </c>
      <c r="CS4680">
        <v>0</v>
      </c>
      <c r="CT4680">
        <v>2</v>
      </c>
      <c r="CU4680">
        <v>0</v>
      </c>
      <c r="CV4680">
        <v>2</v>
      </c>
      <c r="CW4680">
        <v>0</v>
      </c>
      <c r="CX4680">
        <v>6</v>
      </c>
      <c r="CY4680">
        <v>7</v>
      </c>
      <c r="CZ4680" t="s">
        <v>131</v>
      </c>
      <c r="DA4680">
        <v>286</v>
      </c>
      <c r="DB4680">
        <v>0</v>
      </c>
      <c r="DC4680" t="s">
        <v>132</v>
      </c>
      <c r="DD4680" t="s">
        <v>133</v>
      </c>
      <c r="DG4680">
        <v>921963</v>
      </c>
      <c r="DI4680">
        <v>0</v>
      </c>
      <c r="DJ4680">
        <v>0</v>
      </c>
      <c r="DK4680">
        <v>1</v>
      </c>
      <c r="DL4680">
        <v>0</v>
      </c>
      <c r="DM4680">
        <v>0</v>
      </c>
      <c r="DN4680">
        <v>1</v>
      </c>
      <c r="DO4680">
        <v>0</v>
      </c>
      <c r="DP4680">
        <v>0</v>
      </c>
      <c r="DQ4680">
        <v>0</v>
      </c>
      <c r="DR4680">
        <v>0</v>
      </c>
      <c r="DS4680">
        <v>0</v>
      </c>
    </row>
    <row r="4681" spans="1:123" x14ac:dyDescent="0.3">
      <c r="A4681" t="str">
        <f t="shared" ref="A4681:A4687" si="1732">"10/04/2022 19:38:05.048"</f>
        <v>10/04/2022 19:38:05.048</v>
      </c>
      <c r="C4681" t="str">
        <f t="shared" si="1721"/>
        <v>FFDFD3C0</v>
      </c>
      <c r="D4681" t="s">
        <v>141</v>
      </c>
      <c r="E4681">
        <v>4</v>
      </c>
      <c r="H4681">
        <v>4</v>
      </c>
      <c r="I4681" t="s">
        <v>142</v>
      </c>
      <c r="J4681" t="s">
        <v>138</v>
      </c>
      <c r="K4681">
        <v>0</v>
      </c>
      <c r="L4681">
        <v>3</v>
      </c>
      <c r="M4681">
        <v>0</v>
      </c>
      <c r="N4681">
        <v>2</v>
      </c>
      <c r="O4681">
        <v>0</v>
      </c>
      <c r="P4681">
        <v>1</v>
      </c>
      <c r="Q4681">
        <v>0</v>
      </c>
      <c r="S4681" t="str">
        <f t="shared" ref="S4681:T4687" si="1733">"19:38:04.000"</f>
        <v>19:38:04.000</v>
      </c>
      <c r="T4681" t="str">
        <f t="shared" si="1733"/>
        <v>19:38:04.000</v>
      </c>
      <c r="U4681" t="str">
        <f t="shared" si="1729"/>
        <v>AC3944</v>
      </c>
      <c r="V4681">
        <v>0</v>
      </c>
      <c r="W4681">
        <v>0</v>
      </c>
      <c r="X4681">
        <v>2</v>
      </c>
      <c r="Y4681">
        <v>0</v>
      </c>
      <c r="AA4681">
        <v>1</v>
      </c>
      <c r="AB4681">
        <v>8</v>
      </c>
      <c r="AC4681">
        <v>3</v>
      </c>
      <c r="AD4681">
        <v>0</v>
      </c>
      <c r="AE4681">
        <v>9</v>
      </c>
      <c r="AF4681" t="s">
        <v>138</v>
      </c>
      <c r="AG4681">
        <v>0</v>
      </c>
      <c r="AH4681">
        <v>3</v>
      </c>
      <c r="AI4681">
        <v>1</v>
      </c>
      <c r="AJ4681">
        <v>0</v>
      </c>
      <c r="AK4681" t="s">
        <v>1469</v>
      </c>
      <c r="AL4681">
        <v>32.719816999999999</v>
      </c>
      <c r="AM4681" t="s">
        <v>1470</v>
      </c>
      <c r="AN4681">
        <v>-116.738985</v>
      </c>
      <c r="AO4681">
        <v>25</v>
      </c>
      <c r="AP4681">
        <v>4300</v>
      </c>
      <c r="AQ4681" t="s">
        <v>129</v>
      </c>
      <c r="AR4681">
        <v>-161</v>
      </c>
      <c r="AS4681">
        <v>-94</v>
      </c>
      <c r="AT4681">
        <v>-1728</v>
      </c>
      <c r="BB4681">
        <v>1200</v>
      </c>
      <c r="BC4681">
        <v>1</v>
      </c>
      <c r="BD4681" t="str">
        <f t="shared" si="1730"/>
        <v xml:space="preserve">N887QR  </v>
      </c>
      <c r="BE4681">
        <v>1</v>
      </c>
      <c r="BG4681">
        <v>0</v>
      </c>
      <c r="BH4681">
        <v>0</v>
      </c>
      <c r="BI4681">
        <v>0</v>
      </c>
      <c r="BJ4681">
        <v>3775</v>
      </c>
      <c r="BK4681">
        <v>-525</v>
      </c>
      <c r="BL4681" t="s">
        <v>163</v>
      </c>
      <c r="BM4681">
        <v>1</v>
      </c>
      <c r="BN4681">
        <v>1</v>
      </c>
      <c r="BO4681">
        <v>1</v>
      </c>
      <c r="BP4681">
        <v>0</v>
      </c>
      <c r="BS4681">
        <v>0</v>
      </c>
      <c r="BT4681">
        <v>0</v>
      </c>
      <c r="BU4681">
        <v>0</v>
      </c>
      <c r="CE4681" t="str">
        <f t="shared" ref="CE4681:CE4687" si="1734">"19:38:04.742"</f>
        <v>19:38:04.742</v>
      </c>
      <c r="CF4681">
        <v>742064339</v>
      </c>
      <c r="CS4681">
        <v>0</v>
      </c>
      <c r="CT4681">
        <v>2</v>
      </c>
      <c r="CU4681">
        <v>0</v>
      </c>
      <c r="CV4681">
        <v>2</v>
      </c>
      <c r="CW4681">
        <v>0</v>
      </c>
      <c r="CX4681">
        <v>6</v>
      </c>
      <c r="CY4681">
        <v>7</v>
      </c>
      <c r="CZ4681" t="s">
        <v>131</v>
      </c>
      <c r="DA4681">
        <v>286</v>
      </c>
      <c r="DB4681">
        <v>0</v>
      </c>
      <c r="DC4681" t="s">
        <v>132</v>
      </c>
      <c r="DD4681" t="s">
        <v>133</v>
      </c>
      <c r="DG4681">
        <v>922159</v>
      </c>
      <c r="DI4681">
        <v>0</v>
      </c>
      <c r="DJ4681">
        <v>0</v>
      </c>
      <c r="DK4681">
        <v>0</v>
      </c>
      <c r="DL4681">
        <v>0</v>
      </c>
      <c r="DM4681">
        <v>0</v>
      </c>
      <c r="DN4681">
        <v>1</v>
      </c>
      <c r="DO4681">
        <v>0</v>
      </c>
      <c r="DP4681">
        <v>0</v>
      </c>
      <c r="DQ4681">
        <v>0</v>
      </c>
      <c r="DR4681">
        <v>0</v>
      </c>
      <c r="DS4681">
        <v>0</v>
      </c>
    </row>
    <row r="4682" spans="1:123" x14ac:dyDescent="0.3">
      <c r="A4682" t="str">
        <f t="shared" si="1732"/>
        <v>10/04/2022 19:38:05.048</v>
      </c>
      <c r="C4682" t="str">
        <f t="shared" si="1721"/>
        <v>FFDFD3C0</v>
      </c>
      <c r="D4682" t="s">
        <v>143</v>
      </c>
      <c r="E4682">
        <v>20</v>
      </c>
      <c r="F4682">
        <v>1020</v>
      </c>
      <c r="G4682" t="s">
        <v>144</v>
      </c>
      <c r="J4682" t="s">
        <v>145</v>
      </c>
      <c r="K4682">
        <v>0</v>
      </c>
      <c r="L4682">
        <v>3</v>
      </c>
      <c r="M4682">
        <v>0</v>
      </c>
      <c r="N4682">
        <v>2</v>
      </c>
      <c r="O4682">
        <v>0</v>
      </c>
      <c r="P4682">
        <v>1</v>
      </c>
      <c r="Q4682">
        <v>0</v>
      </c>
      <c r="S4682" t="str">
        <f t="shared" si="1733"/>
        <v>19:38:04.000</v>
      </c>
      <c r="T4682" t="str">
        <f t="shared" si="1733"/>
        <v>19:38:04.000</v>
      </c>
      <c r="U4682" t="str">
        <f t="shared" si="1729"/>
        <v>AC3944</v>
      </c>
      <c r="V4682">
        <v>0</v>
      </c>
      <c r="W4682">
        <v>0</v>
      </c>
      <c r="X4682">
        <v>2</v>
      </c>
      <c r="Y4682">
        <v>0</v>
      </c>
      <c r="AA4682">
        <v>1</v>
      </c>
      <c r="AB4682">
        <v>8</v>
      </c>
      <c r="AC4682">
        <v>3</v>
      </c>
      <c r="AD4682">
        <v>0</v>
      </c>
      <c r="AE4682">
        <v>9</v>
      </c>
      <c r="AF4682" t="s">
        <v>138</v>
      </c>
      <c r="AG4682">
        <v>0</v>
      </c>
      <c r="AH4682">
        <v>3</v>
      </c>
      <c r="AI4682">
        <v>1</v>
      </c>
      <c r="AJ4682">
        <v>0</v>
      </c>
      <c r="AK4682" t="s">
        <v>1469</v>
      </c>
      <c r="AL4682">
        <v>32.719816999999999</v>
      </c>
      <c r="AM4682" t="s">
        <v>1470</v>
      </c>
      <c r="AN4682">
        <v>-116.738985</v>
      </c>
      <c r="AO4682">
        <v>25</v>
      </c>
      <c r="AP4682">
        <v>4300</v>
      </c>
      <c r="AQ4682" t="s">
        <v>129</v>
      </c>
      <c r="AR4682">
        <v>-161</v>
      </c>
      <c r="AS4682">
        <v>-94</v>
      </c>
      <c r="AT4682">
        <v>-1728</v>
      </c>
      <c r="BB4682">
        <v>1200</v>
      </c>
      <c r="BC4682">
        <v>1</v>
      </c>
      <c r="BD4682" t="str">
        <f t="shared" si="1730"/>
        <v xml:space="preserve">N887QR  </v>
      </c>
      <c r="BE4682">
        <v>1</v>
      </c>
      <c r="BG4682">
        <v>0</v>
      </c>
      <c r="BH4682">
        <v>0</v>
      </c>
      <c r="BI4682">
        <v>0</v>
      </c>
      <c r="BJ4682">
        <v>3775</v>
      </c>
      <c r="BK4682">
        <v>-525</v>
      </c>
      <c r="BL4682" t="s">
        <v>163</v>
      </c>
      <c r="BM4682">
        <v>1</v>
      </c>
      <c r="BN4682">
        <v>1</v>
      </c>
      <c r="BO4682">
        <v>1</v>
      </c>
      <c r="BP4682">
        <v>0</v>
      </c>
      <c r="BS4682">
        <v>0</v>
      </c>
      <c r="BT4682">
        <v>0</v>
      </c>
      <c r="BU4682">
        <v>0</v>
      </c>
      <c r="CE4682" t="str">
        <f t="shared" si="1734"/>
        <v>19:38:04.742</v>
      </c>
      <c r="CF4682">
        <v>742064339</v>
      </c>
      <c r="CS4682">
        <v>0</v>
      </c>
      <c r="CT4682">
        <v>2</v>
      </c>
      <c r="CU4682">
        <v>0</v>
      </c>
      <c r="CV4682">
        <v>2</v>
      </c>
      <c r="CW4682">
        <v>0</v>
      </c>
      <c r="CX4682">
        <v>6</v>
      </c>
      <c r="CY4682">
        <v>7</v>
      </c>
      <c r="CZ4682" t="s">
        <v>131</v>
      </c>
      <c r="DA4682">
        <v>286</v>
      </c>
      <c r="DB4682">
        <v>0</v>
      </c>
      <c r="DC4682" t="s">
        <v>132</v>
      </c>
      <c r="DD4682" t="s">
        <v>133</v>
      </c>
      <c r="DG4682">
        <v>922159</v>
      </c>
      <c r="DI4682">
        <v>0</v>
      </c>
      <c r="DJ4682">
        <v>0</v>
      </c>
      <c r="DK4682">
        <v>1</v>
      </c>
      <c r="DL4682">
        <v>0</v>
      </c>
      <c r="DM4682">
        <v>0</v>
      </c>
      <c r="DN4682">
        <v>1</v>
      </c>
      <c r="DO4682">
        <v>0</v>
      </c>
      <c r="DP4682">
        <v>0</v>
      </c>
      <c r="DQ4682">
        <v>0</v>
      </c>
      <c r="DR4682">
        <v>0</v>
      </c>
      <c r="DS4682">
        <v>0</v>
      </c>
    </row>
    <row r="4683" spans="1:123" x14ac:dyDescent="0.3">
      <c r="A4683" t="str">
        <f t="shared" si="1732"/>
        <v>10/04/2022 19:38:05.048</v>
      </c>
      <c r="C4683" t="str">
        <f t="shared" si="1721"/>
        <v>FFDFD3C0</v>
      </c>
      <c r="D4683" t="s">
        <v>134</v>
      </c>
      <c r="E4683">
        <v>15</v>
      </c>
      <c r="J4683" t="s">
        <v>135</v>
      </c>
      <c r="K4683">
        <v>0</v>
      </c>
      <c r="L4683">
        <v>3</v>
      </c>
      <c r="M4683">
        <v>0</v>
      </c>
      <c r="N4683">
        <v>2</v>
      </c>
      <c r="O4683">
        <v>0</v>
      </c>
      <c r="P4683">
        <v>1</v>
      </c>
      <c r="Q4683">
        <v>0</v>
      </c>
      <c r="S4683" t="str">
        <f t="shared" si="1733"/>
        <v>19:38:04.000</v>
      </c>
      <c r="T4683" t="str">
        <f t="shared" si="1733"/>
        <v>19:38:04.000</v>
      </c>
      <c r="U4683" t="str">
        <f t="shared" si="1729"/>
        <v>AC3944</v>
      </c>
      <c r="V4683">
        <v>0</v>
      </c>
      <c r="W4683">
        <v>0</v>
      </c>
      <c r="X4683">
        <v>2</v>
      </c>
      <c r="Y4683">
        <v>0</v>
      </c>
      <c r="AA4683">
        <v>1</v>
      </c>
      <c r="AB4683">
        <v>8</v>
      </c>
      <c r="AC4683">
        <v>3</v>
      </c>
      <c r="AD4683">
        <v>0</v>
      </c>
      <c r="AE4683">
        <v>9</v>
      </c>
      <c r="AF4683" t="s">
        <v>138</v>
      </c>
      <c r="AG4683">
        <v>0</v>
      </c>
      <c r="AH4683">
        <v>3</v>
      </c>
      <c r="AI4683">
        <v>1</v>
      </c>
      <c r="AJ4683">
        <v>0</v>
      </c>
      <c r="AK4683" t="s">
        <v>1469</v>
      </c>
      <c r="AL4683">
        <v>32.719816999999999</v>
      </c>
      <c r="AM4683" t="s">
        <v>1470</v>
      </c>
      <c r="AN4683">
        <v>-116.738985</v>
      </c>
      <c r="AO4683">
        <v>25</v>
      </c>
      <c r="AP4683">
        <v>4300</v>
      </c>
      <c r="AQ4683" t="s">
        <v>129</v>
      </c>
      <c r="AR4683">
        <v>-161</v>
      </c>
      <c r="AS4683">
        <v>-94</v>
      </c>
      <c r="AT4683">
        <v>-1728</v>
      </c>
      <c r="BB4683">
        <v>1200</v>
      </c>
      <c r="BC4683">
        <v>1</v>
      </c>
      <c r="BD4683" t="str">
        <f t="shared" si="1730"/>
        <v xml:space="preserve">N887QR  </v>
      </c>
      <c r="BE4683">
        <v>1</v>
      </c>
      <c r="BG4683">
        <v>0</v>
      </c>
      <c r="BH4683">
        <v>0</v>
      </c>
      <c r="BI4683">
        <v>0</v>
      </c>
      <c r="BJ4683">
        <v>3775</v>
      </c>
      <c r="BK4683">
        <v>-525</v>
      </c>
      <c r="BL4683" t="s">
        <v>163</v>
      </c>
      <c r="BM4683">
        <v>1</v>
      </c>
      <c r="BN4683">
        <v>1</v>
      </c>
      <c r="BO4683">
        <v>1</v>
      </c>
      <c r="BP4683">
        <v>0</v>
      </c>
      <c r="BS4683">
        <v>0</v>
      </c>
      <c r="BT4683">
        <v>0</v>
      </c>
      <c r="BU4683">
        <v>0</v>
      </c>
      <c r="CE4683" t="str">
        <f t="shared" si="1734"/>
        <v>19:38:04.742</v>
      </c>
      <c r="CF4683">
        <v>742064339</v>
      </c>
      <c r="CS4683">
        <v>0</v>
      </c>
      <c r="CT4683">
        <v>2</v>
      </c>
      <c r="CU4683">
        <v>0</v>
      </c>
      <c r="CV4683">
        <v>2</v>
      </c>
      <c r="CW4683">
        <v>0</v>
      </c>
      <c r="CX4683">
        <v>6</v>
      </c>
      <c r="CY4683">
        <v>7</v>
      </c>
      <c r="CZ4683" t="s">
        <v>131</v>
      </c>
      <c r="DA4683">
        <v>286</v>
      </c>
      <c r="DB4683">
        <v>0</v>
      </c>
      <c r="DC4683" t="s">
        <v>132</v>
      </c>
      <c r="DD4683" t="s">
        <v>133</v>
      </c>
      <c r="DG4683">
        <v>922159</v>
      </c>
      <c r="DI4683">
        <v>0</v>
      </c>
      <c r="DJ4683">
        <v>0</v>
      </c>
      <c r="DK4683">
        <v>1</v>
      </c>
      <c r="DL4683">
        <v>0</v>
      </c>
      <c r="DM4683">
        <v>0</v>
      </c>
      <c r="DN4683">
        <v>1</v>
      </c>
      <c r="DO4683">
        <v>0</v>
      </c>
      <c r="DP4683">
        <v>0</v>
      </c>
      <c r="DQ4683">
        <v>0</v>
      </c>
      <c r="DR4683">
        <v>0</v>
      </c>
      <c r="DS4683">
        <v>0</v>
      </c>
    </row>
    <row r="4684" spans="1:123" x14ac:dyDescent="0.3">
      <c r="A4684" t="str">
        <f t="shared" si="1732"/>
        <v>10/04/2022 19:38:05.048</v>
      </c>
      <c r="C4684" t="str">
        <f t="shared" si="1721"/>
        <v>FFDFD3C0</v>
      </c>
      <c r="D4684" t="s">
        <v>147</v>
      </c>
      <c r="E4684">
        <v>3</v>
      </c>
      <c r="H4684">
        <v>166</v>
      </c>
      <c r="I4684" t="s">
        <v>144</v>
      </c>
      <c r="J4684" t="s">
        <v>148</v>
      </c>
      <c r="K4684">
        <v>0</v>
      </c>
      <c r="L4684">
        <v>3</v>
      </c>
      <c r="M4684">
        <v>0</v>
      </c>
      <c r="N4684">
        <v>2</v>
      </c>
      <c r="O4684">
        <v>0</v>
      </c>
      <c r="P4684">
        <v>1</v>
      </c>
      <c r="Q4684">
        <v>0</v>
      </c>
      <c r="S4684" t="str">
        <f t="shared" si="1733"/>
        <v>19:38:04.000</v>
      </c>
      <c r="T4684" t="str">
        <f t="shared" si="1733"/>
        <v>19:38:04.000</v>
      </c>
      <c r="U4684" t="str">
        <f t="shared" si="1729"/>
        <v>AC3944</v>
      </c>
      <c r="V4684">
        <v>0</v>
      </c>
      <c r="W4684">
        <v>0</v>
      </c>
      <c r="X4684">
        <v>2</v>
      </c>
      <c r="Y4684">
        <v>0</v>
      </c>
      <c r="AA4684">
        <v>1</v>
      </c>
      <c r="AB4684">
        <v>8</v>
      </c>
      <c r="AC4684">
        <v>3</v>
      </c>
      <c r="AD4684">
        <v>0</v>
      </c>
      <c r="AE4684">
        <v>9</v>
      </c>
      <c r="AF4684" t="s">
        <v>138</v>
      </c>
      <c r="AG4684">
        <v>0</v>
      </c>
      <c r="AH4684">
        <v>3</v>
      </c>
      <c r="AI4684">
        <v>1</v>
      </c>
      <c r="AJ4684">
        <v>0</v>
      </c>
      <c r="AK4684" t="s">
        <v>1469</v>
      </c>
      <c r="AL4684">
        <v>32.719816999999999</v>
      </c>
      <c r="AM4684" t="s">
        <v>1470</v>
      </c>
      <c r="AN4684">
        <v>-116.738985</v>
      </c>
      <c r="AO4684">
        <v>25</v>
      </c>
      <c r="AP4684">
        <v>4300</v>
      </c>
      <c r="AQ4684" t="s">
        <v>129</v>
      </c>
      <c r="AR4684">
        <v>-161</v>
      </c>
      <c r="AS4684">
        <v>-94</v>
      </c>
      <c r="AT4684">
        <v>-1728</v>
      </c>
      <c r="BB4684">
        <v>1200</v>
      </c>
      <c r="BC4684">
        <v>1</v>
      </c>
      <c r="BD4684" t="str">
        <f t="shared" si="1730"/>
        <v xml:space="preserve">N887QR  </v>
      </c>
      <c r="BE4684">
        <v>1</v>
      </c>
      <c r="BG4684">
        <v>0</v>
      </c>
      <c r="BH4684">
        <v>0</v>
      </c>
      <c r="BI4684">
        <v>0</v>
      </c>
      <c r="BJ4684">
        <v>3775</v>
      </c>
      <c r="BK4684">
        <v>-525</v>
      </c>
      <c r="BL4684" t="s">
        <v>163</v>
      </c>
      <c r="BM4684">
        <v>1</v>
      </c>
      <c r="BN4684">
        <v>1</v>
      </c>
      <c r="BO4684">
        <v>1</v>
      </c>
      <c r="BP4684">
        <v>0</v>
      </c>
      <c r="BS4684">
        <v>0</v>
      </c>
      <c r="BT4684">
        <v>0</v>
      </c>
      <c r="BU4684">
        <v>0</v>
      </c>
      <c r="CE4684" t="str">
        <f t="shared" si="1734"/>
        <v>19:38:04.742</v>
      </c>
      <c r="CF4684">
        <v>742064339</v>
      </c>
      <c r="CS4684">
        <v>0</v>
      </c>
      <c r="CT4684">
        <v>2</v>
      </c>
      <c r="CU4684">
        <v>0</v>
      </c>
      <c r="CV4684">
        <v>2</v>
      </c>
      <c r="CW4684">
        <v>0</v>
      </c>
      <c r="CX4684">
        <v>6</v>
      </c>
      <c r="CY4684">
        <v>7</v>
      </c>
      <c r="CZ4684" t="s">
        <v>131</v>
      </c>
      <c r="DA4684">
        <v>286</v>
      </c>
      <c r="DB4684">
        <v>0</v>
      </c>
      <c r="DC4684" t="s">
        <v>132</v>
      </c>
      <c r="DD4684" t="s">
        <v>133</v>
      </c>
      <c r="DG4684">
        <v>922159</v>
      </c>
      <c r="DI4684">
        <v>0</v>
      </c>
      <c r="DJ4684">
        <v>0</v>
      </c>
      <c r="DK4684">
        <v>1</v>
      </c>
      <c r="DL4684">
        <v>0</v>
      </c>
      <c r="DM4684">
        <v>0</v>
      </c>
      <c r="DN4684">
        <v>1</v>
      </c>
      <c r="DO4684">
        <v>0</v>
      </c>
      <c r="DP4684">
        <v>0</v>
      </c>
      <c r="DQ4684">
        <v>0</v>
      </c>
      <c r="DR4684">
        <v>0</v>
      </c>
      <c r="DS4684">
        <v>0</v>
      </c>
    </row>
    <row r="4685" spans="1:123" x14ac:dyDescent="0.3">
      <c r="A4685" t="str">
        <f t="shared" si="1732"/>
        <v>10/04/2022 19:38:05.048</v>
      </c>
      <c r="C4685" t="str">
        <f t="shared" si="1721"/>
        <v>FFDFD3C0</v>
      </c>
      <c r="D4685" t="s">
        <v>123</v>
      </c>
      <c r="E4685">
        <v>7</v>
      </c>
      <c r="F4685">
        <v>2007</v>
      </c>
      <c r="G4685" t="s">
        <v>124</v>
      </c>
      <c r="J4685" t="s">
        <v>125</v>
      </c>
      <c r="K4685">
        <v>0</v>
      </c>
      <c r="L4685">
        <v>3</v>
      </c>
      <c r="M4685">
        <v>0</v>
      </c>
      <c r="N4685">
        <v>2</v>
      </c>
      <c r="O4685">
        <v>0</v>
      </c>
      <c r="P4685">
        <v>1</v>
      </c>
      <c r="Q4685">
        <v>0</v>
      </c>
      <c r="S4685" t="str">
        <f t="shared" si="1733"/>
        <v>19:38:04.000</v>
      </c>
      <c r="T4685" t="str">
        <f t="shared" si="1733"/>
        <v>19:38:04.000</v>
      </c>
      <c r="U4685" t="str">
        <f t="shared" si="1729"/>
        <v>AC3944</v>
      </c>
      <c r="V4685">
        <v>0</v>
      </c>
      <c r="W4685">
        <v>0</v>
      </c>
      <c r="X4685">
        <v>2</v>
      </c>
      <c r="Y4685">
        <v>0</v>
      </c>
      <c r="AA4685">
        <v>1</v>
      </c>
      <c r="AB4685">
        <v>8</v>
      </c>
      <c r="AC4685">
        <v>3</v>
      </c>
      <c r="AD4685">
        <v>0</v>
      </c>
      <c r="AE4685">
        <v>9</v>
      </c>
      <c r="AF4685" t="s">
        <v>138</v>
      </c>
      <c r="AG4685">
        <v>0</v>
      </c>
      <c r="AH4685">
        <v>3</v>
      </c>
      <c r="AI4685">
        <v>1</v>
      </c>
      <c r="AJ4685">
        <v>0</v>
      </c>
      <c r="AK4685" t="s">
        <v>1469</v>
      </c>
      <c r="AL4685">
        <v>32.719816999999999</v>
      </c>
      <c r="AM4685" t="s">
        <v>1470</v>
      </c>
      <c r="AN4685">
        <v>-116.738985</v>
      </c>
      <c r="AO4685">
        <v>25</v>
      </c>
      <c r="AP4685">
        <v>4300</v>
      </c>
      <c r="AQ4685" t="s">
        <v>129</v>
      </c>
      <c r="AR4685">
        <v>-161</v>
      </c>
      <c r="AS4685">
        <v>-94</v>
      </c>
      <c r="AT4685">
        <v>-1728</v>
      </c>
      <c r="BB4685">
        <v>1200</v>
      </c>
      <c r="BC4685">
        <v>1</v>
      </c>
      <c r="BD4685" t="str">
        <f t="shared" si="1730"/>
        <v xml:space="preserve">N887QR  </v>
      </c>
      <c r="BE4685">
        <v>1</v>
      </c>
      <c r="BG4685">
        <v>0</v>
      </c>
      <c r="BH4685">
        <v>0</v>
      </c>
      <c r="BI4685">
        <v>0</v>
      </c>
      <c r="BJ4685">
        <v>3775</v>
      </c>
      <c r="BK4685">
        <v>-525</v>
      </c>
      <c r="BL4685" t="s">
        <v>163</v>
      </c>
      <c r="BM4685">
        <v>1</v>
      </c>
      <c r="BN4685">
        <v>1</v>
      </c>
      <c r="BO4685">
        <v>1</v>
      </c>
      <c r="BP4685">
        <v>0</v>
      </c>
      <c r="BS4685">
        <v>0</v>
      </c>
      <c r="BT4685">
        <v>0</v>
      </c>
      <c r="BU4685">
        <v>0</v>
      </c>
      <c r="CE4685" t="str">
        <f t="shared" si="1734"/>
        <v>19:38:04.742</v>
      </c>
      <c r="CF4685">
        <v>742064339</v>
      </c>
      <c r="CS4685">
        <v>0</v>
      </c>
      <c r="CT4685">
        <v>2</v>
      </c>
      <c r="CU4685">
        <v>0</v>
      </c>
      <c r="CV4685">
        <v>2</v>
      </c>
      <c r="CW4685">
        <v>0</v>
      </c>
      <c r="CX4685">
        <v>6</v>
      </c>
      <c r="CY4685">
        <v>7</v>
      </c>
      <c r="CZ4685" t="s">
        <v>131</v>
      </c>
      <c r="DA4685">
        <v>286</v>
      </c>
      <c r="DB4685">
        <v>0</v>
      </c>
      <c r="DC4685" t="s">
        <v>132</v>
      </c>
      <c r="DD4685" t="s">
        <v>133</v>
      </c>
      <c r="DG4685">
        <v>922159</v>
      </c>
      <c r="DI4685">
        <v>0</v>
      </c>
      <c r="DJ4685">
        <v>0</v>
      </c>
      <c r="DK4685">
        <v>1</v>
      </c>
      <c r="DL4685">
        <v>0</v>
      </c>
      <c r="DM4685">
        <v>0</v>
      </c>
      <c r="DN4685">
        <v>1</v>
      </c>
      <c r="DO4685">
        <v>0</v>
      </c>
      <c r="DP4685">
        <v>0</v>
      </c>
      <c r="DQ4685">
        <v>0</v>
      </c>
      <c r="DR4685">
        <v>0</v>
      </c>
      <c r="DS4685">
        <v>0</v>
      </c>
    </row>
    <row r="4686" spans="1:123" x14ac:dyDescent="0.3">
      <c r="A4686" t="str">
        <f t="shared" si="1732"/>
        <v>10/04/2022 19:38:05.048</v>
      </c>
      <c r="C4686" t="str">
        <f t="shared" si="1721"/>
        <v>FFDFD3C0</v>
      </c>
      <c r="D4686" t="s">
        <v>141</v>
      </c>
      <c r="E4686">
        <v>3</v>
      </c>
      <c r="H4686">
        <v>3</v>
      </c>
      <c r="I4686" t="s">
        <v>146</v>
      </c>
      <c r="J4686" t="s">
        <v>138</v>
      </c>
      <c r="K4686">
        <v>0</v>
      </c>
      <c r="L4686">
        <v>3</v>
      </c>
      <c r="M4686">
        <v>0</v>
      </c>
      <c r="N4686">
        <v>2</v>
      </c>
      <c r="O4686">
        <v>0</v>
      </c>
      <c r="P4686">
        <v>1</v>
      </c>
      <c r="Q4686">
        <v>0</v>
      </c>
      <c r="S4686" t="str">
        <f t="shared" si="1733"/>
        <v>19:38:04.000</v>
      </c>
      <c r="T4686" t="str">
        <f t="shared" si="1733"/>
        <v>19:38:04.000</v>
      </c>
      <c r="U4686" t="str">
        <f t="shared" si="1729"/>
        <v>AC3944</v>
      </c>
      <c r="V4686">
        <v>0</v>
      </c>
      <c r="W4686">
        <v>0</v>
      </c>
      <c r="X4686">
        <v>2</v>
      </c>
      <c r="Y4686">
        <v>0</v>
      </c>
      <c r="AA4686">
        <v>1</v>
      </c>
      <c r="AB4686">
        <v>8</v>
      </c>
      <c r="AC4686">
        <v>3</v>
      </c>
      <c r="AD4686">
        <v>0</v>
      </c>
      <c r="AE4686">
        <v>9</v>
      </c>
      <c r="AF4686" t="s">
        <v>138</v>
      </c>
      <c r="AG4686">
        <v>0</v>
      </c>
      <c r="AH4686">
        <v>3</v>
      </c>
      <c r="AI4686">
        <v>1</v>
      </c>
      <c r="AJ4686">
        <v>0</v>
      </c>
      <c r="AK4686" t="s">
        <v>1469</v>
      </c>
      <c r="AL4686">
        <v>32.719816999999999</v>
      </c>
      <c r="AM4686" t="s">
        <v>1470</v>
      </c>
      <c r="AN4686">
        <v>-116.738985</v>
      </c>
      <c r="AO4686">
        <v>25</v>
      </c>
      <c r="AP4686">
        <v>4300</v>
      </c>
      <c r="AQ4686" t="s">
        <v>129</v>
      </c>
      <c r="AR4686">
        <v>-161</v>
      </c>
      <c r="AS4686">
        <v>-94</v>
      </c>
      <c r="AT4686">
        <v>-1728</v>
      </c>
      <c r="BB4686">
        <v>1200</v>
      </c>
      <c r="BC4686">
        <v>1</v>
      </c>
      <c r="BD4686" t="str">
        <f t="shared" si="1730"/>
        <v xml:space="preserve">N887QR  </v>
      </c>
      <c r="BE4686">
        <v>1</v>
      </c>
      <c r="BG4686">
        <v>0</v>
      </c>
      <c r="BH4686">
        <v>0</v>
      </c>
      <c r="BI4686">
        <v>0</v>
      </c>
      <c r="BJ4686">
        <v>3775</v>
      </c>
      <c r="BK4686">
        <v>-525</v>
      </c>
      <c r="BL4686" t="s">
        <v>163</v>
      </c>
      <c r="BM4686">
        <v>1</v>
      </c>
      <c r="BN4686">
        <v>1</v>
      </c>
      <c r="BO4686">
        <v>1</v>
      </c>
      <c r="BP4686">
        <v>0</v>
      </c>
      <c r="BS4686">
        <v>0</v>
      </c>
      <c r="BT4686">
        <v>0</v>
      </c>
      <c r="BU4686">
        <v>0</v>
      </c>
      <c r="CE4686" t="str">
        <f t="shared" si="1734"/>
        <v>19:38:04.742</v>
      </c>
      <c r="CF4686">
        <v>742064339</v>
      </c>
      <c r="CS4686">
        <v>0</v>
      </c>
      <c r="CT4686">
        <v>2</v>
      </c>
      <c r="CU4686">
        <v>0</v>
      </c>
      <c r="CV4686">
        <v>2</v>
      </c>
      <c r="CW4686">
        <v>0</v>
      </c>
      <c r="CX4686">
        <v>6</v>
      </c>
      <c r="CY4686">
        <v>7</v>
      </c>
      <c r="CZ4686" t="s">
        <v>131</v>
      </c>
      <c r="DA4686">
        <v>286</v>
      </c>
      <c r="DB4686">
        <v>0</v>
      </c>
      <c r="DC4686" t="s">
        <v>132</v>
      </c>
      <c r="DD4686" t="s">
        <v>133</v>
      </c>
      <c r="DG4686">
        <v>922159</v>
      </c>
      <c r="DI4686">
        <v>0</v>
      </c>
      <c r="DJ4686">
        <v>0</v>
      </c>
      <c r="DK4686">
        <v>1</v>
      </c>
      <c r="DL4686">
        <v>0</v>
      </c>
      <c r="DM4686">
        <v>0</v>
      </c>
      <c r="DN4686">
        <v>1</v>
      </c>
      <c r="DO4686">
        <v>0</v>
      </c>
      <c r="DP4686">
        <v>0</v>
      </c>
      <c r="DQ4686">
        <v>0</v>
      </c>
      <c r="DR4686">
        <v>0</v>
      </c>
      <c r="DS4686">
        <v>0</v>
      </c>
    </row>
    <row r="4687" spans="1:123" x14ac:dyDescent="0.3">
      <c r="A4687" t="str">
        <f t="shared" si="1732"/>
        <v>10/04/2022 19:38:05.048</v>
      </c>
      <c r="C4687" t="str">
        <f t="shared" si="1721"/>
        <v>FFDFD3C0</v>
      </c>
      <c r="D4687" t="s">
        <v>136</v>
      </c>
      <c r="E4687">
        <v>8</v>
      </c>
      <c r="H4687">
        <v>225</v>
      </c>
      <c r="I4687" t="s">
        <v>137</v>
      </c>
      <c r="J4687" t="s">
        <v>138</v>
      </c>
      <c r="K4687">
        <v>0</v>
      </c>
      <c r="L4687">
        <v>3</v>
      </c>
      <c r="M4687">
        <v>0</v>
      </c>
      <c r="N4687">
        <v>2</v>
      </c>
      <c r="O4687">
        <v>0</v>
      </c>
      <c r="P4687">
        <v>1</v>
      </c>
      <c r="Q4687">
        <v>0</v>
      </c>
      <c r="S4687" t="str">
        <f t="shared" si="1733"/>
        <v>19:38:04.000</v>
      </c>
      <c r="T4687" t="str">
        <f t="shared" si="1733"/>
        <v>19:38:04.000</v>
      </c>
      <c r="U4687" t="str">
        <f t="shared" si="1729"/>
        <v>AC3944</v>
      </c>
      <c r="V4687">
        <v>0</v>
      </c>
      <c r="W4687">
        <v>0</v>
      </c>
      <c r="X4687">
        <v>2</v>
      </c>
      <c r="Y4687">
        <v>0</v>
      </c>
      <c r="AA4687">
        <v>1</v>
      </c>
      <c r="AB4687">
        <v>8</v>
      </c>
      <c r="AC4687">
        <v>3</v>
      </c>
      <c r="AD4687">
        <v>0</v>
      </c>
      <c r="AE4687">
        <v>9</v>
      </c>
      <c r="AF4687" t="s">
        <v>138</v>
      </c>
      <c r="AG4687">
        <v>0</v>
      </c>
      <c r="AH4687">
        <v>3</v>
      </c>
      <c r="AI4687">
        <v>1</v>
      </c>
      <c r="AJ4687">
        <v>0</v>
      </c>
      <c r="AK4687" t="s">
        <v>1469</v>
      </c>
      <c r="AL4687">
        <v>32.719816999999999</v>
      </c>
      <c r="AM4687" t="s">
        <v>1470</v>
      </c>
      <c r="AN4687">
        <v>-116.738985</v>
      </c>
      <c r="AO4687">
        <v>25</v>
      </c>
      <c r="AP4687">
        <v>4300</v>
      </c>
      <c r="AQ4687" t="s">
        <v>129</v>
      </c>
      <c r="AR4687">
        <v>-161</v>
      </c>
      <c r="AS4687">
        <v>-94</v>
      </c>
      <c r="AT4687">
        <v>-1728</v>
      </c>
      <c r="BB4687">
        <v>1200</v>
      </c>
      <c r="BC4687">
        <v>1</v>
      </c>
      <c r="BD4687" t="str">
        <f t="shared" si="1730"/>
        <v xml:space="preserve">N887QR  </v>
      </c>
      <c r="BE4687">
        <v>1</v>
      </c>
      <c r="BG4687">
        <v>0</v>
      </c>
      <c r="BH4687">
        <v>0</v>
      </c>
      <c r="BI4687">
        <v>0</v>
      </c>
      <c r="BJ4687">
        <v>3775</v>
      </c>
      <c r="BK4687">
        <v>-525</v>
      </c>
      <c r="BL4687" t="s">
        <v>163</v>
      </c>
      <c r="BM4687">
        <v>1</v>
      </c>
      <c r="BN4687">
        <v>1</v>
      </c>
      <c r="BO4687">
        <v>1</v>
      </c>
      <c r="BP4687">
        <v>0</v>
      </c>
      <c r="BS4687">
        <v>0</v>
      </c>
      <c r="BT4687">
        <v>0</v>
      </c>
      <c r="BU4687">
        <v>0</v>
      </c>
      <c r="CE4687" t="str">
        <f t="shared" si="1734"/>
        <v>19:38:04.742</v>
      </c>
      <c r="CF4687">
        <v>742064339</v>
      </c>
      <c r="CS4687">
        <v>0</v>
      </c>
      <c r="CT4687">
        <v>2</v>
      </c>
      <c r="CU4687">
        <v>0</v>
      </c>
      <c r="CV4687">
        <v>2</v>
      </c>
      <c r="CW4687">
        <v>0</v>
      </c>
      <c r="CX4687">
        <v>6</v>
      </c>
      <c r="CY4687">
        <v>7</v>
      </c>
      <c r="CZ4687" t="s">
        <v>131</v>
      </c>
      <c r="DA4687">
        <v>286</v>
      </c>
      <c r="DB4687">
        <v>0</v>
      </c>
      <c r="DC4687" t="s">
        <v>132</v>
      </c>
      <c r="DD4687" t="s">
        <v>133</v>
      </c>
      <c r="DG4687">
        <v>922159</v>
      </c>
      <c r="DI4687">
        <v>0</v>
      </c>
      <c r="DJ4687">
        <v>0</v>
      </c>
      <c r="DK4687">
        <v>1</v>
      </c>
      <c r="DL4687">
        <v>0</v>
      </c>
      <c r="DM4687">
        <v>0</v>
      </c>
      <c r="DN4687">
        <v>1</v>
      </c>
      <c r="DO4687">
        <v>0</v>
      </c>
      <c r="DP4687">
        <v>0</v>
      </c>
      <c r="DQ4687">
        <v>0</v>
      </c>
      <c r="DR4687">
        <v>0</v>
      </c>
      <c r="DS4687">
        <v>0</v>
      </c>
    </row>
    <row r="4688" spans="1:123" x14ac:dyDescent="0.3">
      <c r="A4688" t="str">
        <f>"10/04/2022 19:38:06.761"</f>
        <v>10/04/2022 19:38:06.761</v>
      </c>
      <c r="C4688" t="str">
        <f t="shared" si="1721"/>
        <v>FFDFD3C0</v>
      </c>
      <c r="D4688" t="s">
        <v>123</v>
      </c>
      <c r="E4688">
        <v>7</v>
      </c>
      <c r="F4688">
        <v>2007</v>
      </c>
      <c r="G4688" t="s">
        <v>124</v>
      </c>
      <c r="J4688" t="s">
        <v>125</v>
      </c>
      <c r="K4688">
        <v>0</v>
      </c>
      <c r="L4688">
        <v>3</v>
      </c>
      <c r="M4688">
        <v>0</v>
      </c>
      <c r="N4688">
        <v>2</v>
      </c>
      <c r="O4688">
        <v>0</v>
      </c>
      <c r="P4688">
        <v>1</v>
      </c>
      <c r="Q4688">
        <v>0</v>
      </c>
      <c r="S4688" t="str">
        <f t="shared" ref="S4688:T4694" si="1735">"19:38:06.000"</f>
        <v>19:38:06.000</v>
      </c>
      <c r="T4688" t="str">
        <f t="shared" si="1735"/>
        <v>19:38:06.000</v>
      </c>
      <c r="U4688" t="str">
        <f t="shared" si="1729"/>
        <v>AC3944</v>
      </c>
      <c r="V4688">
        <v>0</v>
      </c>
      <c r="W4688">
        <v>0</v>
      </c>
      <c r="X4688">
        <v>2</v>
      </c>
      <c r="Y4688">
        <v>0</v>
      </c>
      <c r="AA4688">
        <v>1</v>
      </c>
      <c r="AB4688">
        <v>8</v>
      </c>
      <c r="AC4688">
        <v>3</v>
      </c>
      <c r="AD4688">
        <v>0</v>
      </c>
      <c r="AE4688">
        <v>9</v>
      </c>
      <c r="AF4688" t="s">
        <v>138</v>
      </c>
      <c r="AG4688">
        <v>0</v>
      </c>
      <c r="AH4688">
        <v>3</v>
      </c>
      <c r="AI4688">
        <v>1</v>
      </c>
      <c r="AJ4688">
        <v>0</v>
      </c>
      <c r="AK4688" t="s">
        <v>1085</v>
      </c>
      <c r="AL4688">
        <v>32.719388000000002</v>
      </c>
      <c r="AM4688" t="s">
        <v>1471</v>
      </c>
      <c r="AN4688">
        <v>-116.73984299999999</v>
      </c>
      <c r="AO4688">
        <v>25</v>
      </c>
      <c r="AP4688">
        <v>4200</v>
      </c>
      <c r="AQ4688" t="s">
        <v>129</v>
      </c>
      <c r="AR4688">
        <v>-161</v>
      </c>
      <c r="AS4688">
        <v>-94</v>
      </c>
      <c r="AT4688">
        <v>-1664</v>
      </c>
      <c r="BB4688">
        <v>1200</v>
      </c>
      <c r="BC4688">
        <v>1</v>
      </c>
      <c r="BD4688" t="str">
        <f t="shared" si="1730"/>
        <v xml:space="preserve">N887QR  </v>
      </c>
      <c r="BE4688">
        <v>1</v>
      </c>
      <c r="BG4688">
        <v>0</v>
      </c>
      <c r="BH4688">
        <v>0</v>
      </c>
      <c r="BI4688">
        <v>0</v>
      </c>
      <c r="BJ4688">
        <v>3775</v>
      </c>
      <c r="BK4688">
        <v>-425</v>
      </c>
      <c r="BL4688" t="s">
        <v>163</v>
      </c>
      <c r="BM4688">
        <v>1</v>
      </c>
      <c r="BN4688">
        <v>1</v>
      </c>
      <c r="BO4688">
        <v>1</v>
      </c>
      <c r="BP4688">
        <v>0</v>
      </c>
      <c r="BS4688">
        <v>0</v>
      </c>
      <c r="BT4688">
        <v>0</v>
      </c>
      <c r="BU4688">
        <v>0</v>
      </c>
      <c r="CE4688" t="str">
        <f t="shared" ref="CE4688:CE4694" si="1736">"19:38:06.520"</f>
        <v>19:38:06.520</v>
      </c>
      <c r="CF4688">
        <v>520319552</v>
      </c>
      <c r="CS4688">
        <v>0</v>
      </c>
      <c r="CT4688">
        <v>2</v>
      </c>
      <c r="CU4688">
        <v>0</v>
      </c>
      <c r="CV4688">
        <v>2</v>
      </c>
      <c r="CW4688">
        <v>0</v>
      </c>
      <c r="CX4688">
        <v>5</v>
      </c>
      <c r="CY4688">
        <v>7</v>
      </c>
      <c r="CZ4688" t="s">
        <v>131</v>
      </c>
      <c r="DA4688">
        <v>286</v>
      </c>
      <c r="DB4688">
        <v>0</v>
      </c>
      <c r="DC4688" t="s">
        <v>132</v>
      </c>
      <c r="DD4688" t="s">
        <v>133</v>
      </c>
      <c r="DG4688">
        <v>922595</v>
      </c>
      <c r="DI4688">
        <v>0</v>
      </c>
      <c r="DJ4688">
        <v>0</v>
      </c>
      <c r="DK4688">
        <v>0</v>
      </c>
      <c r="DL4688">
        <v>0</v>
      </c>
      <c r="DM4688">
        <v>0</v>
      </c>
      <c r="DN4688">
        <v>1</v>
      </c>
      <c r="DO4688">
        <v>0</v>
      </c>
      <c r="DP4688">
        <v>0</v>
      </c>
      <c r="DQ4688">
        <v>0</v>
      </c>
      <c r="DR4688">
        <v>0</v>
      </c>
      <c r="DS4688">
        <v>0</v>
      </c>
    </row>
    <row r="4689" spans="1:123" x14ac:dyDescent="0.3">
      <c r="A4689" t="str">
        <f>"10/04/2022 19:38:06.761"</f>
        <v>10/04/2022 19:38:06.761</v>
      </c>
      <c r="C4689" t="str">
        <f t="shared" si="1721"/>
        <v>FFDFD3C0</v>
      </c>
      <c r="D4689" t="s">
        <v>134</v>
      </c>
      <c r="E4689">
        <v>15</v>
      </c>
      <c r="J4689" t="s">
        <v>135</v>
      </c>
      <c r="K4689">
        <v>0</v>
      </c>
      <c r="L4689">
        <v>3</v>
      </c>
      <c r="M4689">
        <v>0</v>
      </c>
      <c r="N4689">
        <v>2</v>
      </c>
      <c r="O4689">
        <v>0</v>
      </c>
      <c r="P4689">
        <v>1</v>
      </c>
      <c r="Q4689">
        <v>0</v>
      </c>
      <c r="S4689" t="str">
        <f t="shared" si="1735"/>
        <v>19:38:06.000</v>
      </c>
      <c r="T4689" t="str">
        <f t="shared" si="1735"/>
        <v>19:38:06.000</v>
      </c>
      <c r="U4689" t="str">
        <f t="shared" si="1729"/>
        <v>AC3944</v>
      </c>
      <c r="V4689">
        <v>0</v>
      </c>
      <c r="W4689">
        <v>0</v>
      </c>
      <c r="X4689">
        <v>2</v>
      </c>
      <c r="Y4689">
        <v>0</v>
      </c>
      <c r="AA4689">
        <v>1</v>
      </c>
      <c r="AB4689">
        <v>8</v>
      </c>
      <c r="AC4689">
        <v>3</v>
      </c>
      <c r="AD4689">
        <v>0</v>
      </c>
      <c r="AE4689">
        <v>9</v>
      </c>
      <c r="AF4689" t="s">
        <v>138</v>
      </c>
      <c r="AG4689">
        <v>0</v>
      </c>
      <c r="AH4689">
        <v>3</v>
      </c>
      <c r="AI4689">
        <v>1</v>
      </c>
      <c r="AJ4689">
        <v>0</v>
      </c>
      <c r="AK4689" t="s">
        <v>1085</v>
      </c>
      <c r="AL4689">
        <v>32.719388000000002</v>
      </c>
      <c r="AM4689" t="s">
        <v>1471</v>
      </c>
      <c r="AN4689">
        <v>-116.73984299999999</v>
      </c>
      <c r="AO4689">
        <v>25</v>
      </c>
      <c r="AP4689">
        <v>4200</v>
      </c>
      <c r="AQ4689" t="s">
        <v>129</v>
      </c>
      <c r="AR4689">
        <v>-161</v>
      </c>
      <c r="AS4689">
        <v>-94</v>
      </c>
      <c r="AT4689">
        <v>-1664</v>
      </c>
      <c r="BB4689">
        <v>1200</v>
      </c>
      <c r="BC4689">
        <v>1</v>
      </c>
      <c r="BD4689" t="str">
        <f t="shared" si="1730"/>
        <v xml:space="preserve">N887QR  </v>
      </c>
      <c r="BE4689">
        <v>1</v>
      </c>
      <c r="BG4689">
        <v>0</v>
      </c>
      <c r="BH4689">
        <v>0</v>
      </c>
      <c r="BI4689">
        <v>0</v>
      </c>
      <c r="BJ4689">
        <v>3775</v>
      </c>
      <c r="BK4689">
        <v>-425</v>
      </c>
      <c r="BL4689" t="s">
        <v>163</v>
      </c>
      <c r="BM4689">
        <v>1</v>
      </c>
      <c r="BN4689">
        <v>1</v>
      </c>
      <c r="BO4689">
        <v>1</v>
      </c>
      <c r="BP4689">
        <v>0</v>
      </c>
      <c r="BS4689">
        <v>0</v>
      </c>
      <c r="BT4689">
        <v>0</v>
      </c>
      <c r="BU4689">
        <v>0</v>
      </c>
      <c r="CE4689" t="str">
        <f t="shared" si="1736"/>
        <v>19:38:06.520</v>
      </c>
      <c r="CF4689">
        <v>520319552</v>
      </c>
      <c r="CS4689">
        <v>0</v>
      </c>
      <c r="CT4689">
        <v>2</v>
      </c>
      <c r="CU4689">
        <v>0</v>
      </c>
      <c r="CV4689">
        <v>2</v>
      </c>
      <c r="CW4689">
        <v>0</v>
      </c>
      <c r="CX4689">
        <v>5</v>
      </c>
      <c r="CY4689">
        <v>7</v>
      </c>
      <c r="CZ4689" t="s">
        <v>131</v>
      </c>
      <c r="DA4689">
        <v>286</v>
      </c>
      <c r="DB4689">
        <v>0</v>
      </c>
      <c r="DC4689" t="s">
        <v>132</v>
      </c>
      <c r="DD4689" t="s">
        <v>133</v>
      </c>
      <c r="DG4689">
        <v>922595</v>
      </c>
      <c r="DI4689">
        <v>0</v>
      </c>
      <c r="DJ4689">
        <v>0</v>
      </c>
      <c r="DK4689">
        <v>1</v>
      </c>
      <c r="DL4689">
        <v>0</v>
      </c>
      <c r="DM4689">
        <v>0</v>
      </c>
      <c r="DN4689">
        <v>1</v>
      </c>
      <c r="DO4689">
        <v>0</v>
      </c>
      <c r="DP4689">
        <v>0</v>
      </c>
      <c r="DQ4689">
        <v>0</v>
      </c>
      <c r="DR4689">
        <v>0</v>
      </c>
      <c r="DS4689">
        <v>0</v>
      </c>
    </row>
    <row r="4690" spans="1:123" x14ac:dyDescent="0.3">
      <c r="A4690" t="str">
        <f>"10/04/2022 19:38:06.761"</f>
        <v>10/04/2022 19:38:06.761</v>
      </c>
      <c r="C4690" t="str">
        <f t="shared" si="1721"/>
        <v>FFDFD3C0</v>
      </c>
      <c r="D4690" t="s">
        <v>147</v>
      </c>
      <c r="E4690">
        <v>3</v>
      </c>
      <c r="H4690">
        <v>166</v>
      </c>
      <c r="I4690" t="s">
        <v>144</v>
      </c>
      <c r="J4690" t="s">
        <v>148</v>
      </c>
      <c r="K4690">
        <v>0</v>
      </c>
      <c r="L4690">
        <v>3</v>
      </c>
      <c r="M4690">
        <v>0</v>
      </c>
      <c r="N4690">
        <v>2</v>
      </c>
      <c r="O4690">
        <v>0</v>
      </c>
      <c r="P4690">
        <v>1</v>
      </c>
      <c r="Q4690">
        <v>0</v>
      </c>
      <c r="S4690" t="str">
        <f t="shared" si="1735"/>
        <v>19:38:06.000</v>
      </c>
      <c r="T4690" t="str">
        <f t="shared" si="1735"/>
        <v>19:38:06.000</v>
      </c>
      <c r="U4690" t="str">
        <f t="shared" si="1729"/>
        <v>AC3944</v>
      </c>
      <c r="V4690">
        <v>0</v>
      </c>
      <c r="W4690">
        <v>0</v>
      </c>
      <c r="X4690">
        <v>2</v>
      </c>
      <c r="Y4690">
        <v>0</v>
      </c>
      <c r="AA4690">
        <v>1</v>
      </c>
      <c r="AB4690">
        <v>8</v>
      </c>
      <c r="AC4690">
        <v>3</v>
      </c>
      <c r="AD4690">
        <v>0</v>
      </c>
      <c r="AE4690">
        <v>9</v>
      </c>
      <c r="AF4690" t="s">
        <v>138</v>
      </c>
      <c r="AG4690">
        <v>0</v>
      </c>
      <c r="AH4690">
        <v>3</v>
      </c>
      <c r="AI4690">
        <v>1</v>
      </c>
      <c r="AJ4690">
        <v>0</v>
      </c>
      <c r="AK4690" t="s">
        <v>1085</v>
      </c>
      <c r="AL4690">
        <v>32.719388000000002</v>
      </c>
      <c r="AM4690" t="s">
        <v>1471</v>
      </c>
      <c r="AN4690">
        <v>-116.73984299999999</v>
      </c>
      <c r="AO4690">
        <v>25</v>
      </c>
      <c r="AP4690">
        <v>4200</v>
      </c>
      <c r="AQ4690" t="s">
        <v>129</v>
      </c>
      <c r="AR4690">
        <v>-161</v>
      </c>
      <c r="AS4690">
        <v>-94</v>
      </c>
      <c r="AT4690">
        <v>-1664</v>
      </c>
      <c r="BB4690">
        <v>1200</v>
      </c>
      <c r="BC4690">
        <v>1</v>
      </c>
      <c r="BD4690" t="str">
        <f t="shared" si="1730"/>
        <v xml:space="preserve">N887QR  </v>
      </c>
      <c r="BE4690">
        <v>1</v>
      </c>
      <c r="BG4690">
        <v>0</v>
      </c>
      <c r="BH4690">
        <v>0</v>
      </c>
      <c r="BI4690">
        <v>0</v>
      </c>
      <c r="BJ4690">
        <v>3775</v>
      </c>
      <c r="BK4690">
        <v>-425</v>
      </c>
      <c r="BL4690" t="s">
        <v>163</v>
      </c>
      <c r="BM4690">
        <v>1</v>
      </c>
      <c r="BN4690">
        <v>1</v>
      </c>
      <c r="BO4690">
        <v>1</v>
      </c>
      <c r="BP4690">
        <v>0</v>
      </c>
      <c r="BS4690">
        <v>0</v>
      </c>
      <c r="BT4690">
        <v>0</v>
      </c>
      <c r="BU4690">
        <v>0</v>
      </c>
      <c r="CE4690" t="str">
        <f t="shared" si="1736"/>
        <v>19:38:06.520</v>
      </c>
      <c r="CF4690">
        <v>520319552</v>
      </c>
      <c r="CS4690">
        <v>0</v>
      </c>
      <c r="CT4690">
        <v>2</v>
      </c>
      <c r="CU4690">
        <v>0</v>
      </c>
      <c r="CV4690">
        <v>2</v>
      </c>
      <c r="CW4690">
        <v>0</v>
      </c>
      <c r="CX4690">
        <v>5</v>
      </c>
      <c r="CY4690">
        <v>7</v>
      </c>
      <c r="CZ4690" t="s">
        <v>131</v>
      </c>
      <c r="DA4690">
        <v>286</v>
      </c>
      <c r="DB4690">
        <v>0</v>
      </c>
      <c r="DC4690" t="s">
        <v>132</v>
      </c>
      <c r="DD4690" t="s">
        <v>133</v>
      </c>
      <c r="DG4690">
        <v>922595</v>
      </c>
      <c r="DI4690">
        <v>0</v>
      </c>
      <c r="DJ4690">
        <v>0</v>
      </c>
      <c r="DK4690">
        <v>1</v>
      </c>
      <c r="DL4690">
        <v>0</v>
      </c>
      <c r="DM4690">
        <v>0</v>
      </c>
      <c r="DN4690">
        <v>1</v>
      </c>
      <c r="DO4690">
        <v>0</v>
      </c>
      <c r="DP4690">
        <v>0</v>
      </c>
      <c r="DQ4690">
        <v>0</v>
      </c>
      <c r="DR4690">
        <v>0</v>
      </c>
      <c r="DS4690">
        <v>0</v>
      </c>
    </row>
    <row r="4691" spans="1:123" x14ac:dyDescent="0.3">
      <c r="A4691" t="str">
        <f>"10/04/2022 19:38:06.761"</f>
        <v>10/04/2022 19:38:06.761</v>
      </c>
      <c r="C4691" t="str">
        <f t="shared" si="1721"/>
        <v>FFDFD3C0</v>
      </c>
      <c r="D4691" t="s">
        <v>141</v>
      </c>
      <c r="E4691">
        <v>3</v>
      </c>
      <c r="H4691">
        <v>3</v>
      </c>
      <c r="I4691" t="s">
        <v>146</v>
      </c>
      <c r="J4691" t="s">
        <v>138</v>
      </c>
      <c r="K4691">
        <v>0</v>
      </c>
      <c r="L4691">
        <v>3</v>
      </c>
      <c r="M4691">
        <v>0</v>
      </c>
      <c r="N4691">
        <v>2</v>
      </c>
      <c r="O4691">
        <v>0</v>
      </c>
      <c r="P4691">
        <v>1</v>
      </c>
      <c r="Q4691">
        <v>0</v>
      </c>
      <c r="S4691" t="str">
        <f t="shared" si="1735"/>
        <v>19:38:06.000</v>
      </c>
      <c r="T4691" t="str">
        <f t="shared" si="1735"/>
        <v>19:38:06.000</v>
      </c>
      <c r="U4691" t="str">
        <f t="shared" si="1729"/>
        <v>AC3944</v>
      </c>
      <c r="V4691">
        <v>0</v>
      </c>
      <c r="W4691">
        <v>0</v>
      </c>
      <c r="X4691">
        <v>2</v>
      </c>
      <c r="Y4691">
        <v>0</v>
      </c>
      <c r="AA4691">
        <v>1</v>
      </c>
      <c r="AB4691">
        <v>8</v>
      </c>
      <c r="AC4691">
        <v>3</v>
      </c>
      <c r="AD4691">
        <v>0</v>
      </c>
      <c r="AE4691">
        <v>9</v>
      </c>
      <c r="AF4691" t="s">
        <v>138</v>
      </c>
      <c r="AG4691">
        <v>0</v>
      </c>
      <c r="AH4691">
        <v>3</v>
      </c>
      <c r="AI4691">
        <v>1</v>
      </c>
      <c r="AJ4691">
        <v>0</v>
      </c>
      <c r="AK4691" t="s">
        <v>1085</v>
      </c>
      <c r="AL4691">
        <v>32.719388000000002</v>
      </c>
      <c r="AM4691" t="s">
        <v>1471</v>
      </c>
      <c r="AN4691">
        <v>-116.73984299999999</v>
      </c>
      <c r="AO4691">
        <v>25</v>
      </c>
      <c r="AP4691">
        <v>4200</v>
      </c>
      <c r="AQ4691" t="s">
        <v>129</v>
      </c>
      <c r="AR4691">
        <v>-161</v>
      </c>
      <c r="AS4691">
        <v>-94</v>
      </c>
      <c r="AT4691">
        <v>-1664</v>
      </c>
      <c r="BB4691">
        <v>1200</v>
      </c>
      <c r="BC4691">
        <v>1</v>
      </c>
      <c r="BD4691" t="str">
        <f t="shared" si="1730"/>
        <v xml:space="preserve">N887QR  </v>
      </c>
      <c r="BE4691">
        <v>1</v>
      </c>
      <c r="BG4691">
        <v>0</v>
      </c>
      <c r="BH4691">
        <v>0</v>
      </c>
      <c r="BI4691">
        <v>0</v>
      </c>
      <c r="BJ4691">
        <v>3775</v>
      </c>
      <c r="BK4691">
        <v>-425</v>
      </c>
      <c r="BL4691" t="s">
        <v>163</v>
      </c>
      <c r="BM4691">
        <v>1</v>
      </c>
      <c r="BN4691">
        <v>1</v>
      </c>
      <c r="BO4691">
        <v>1</v>
      </c>
      <c r="BP4691">
        <v>0</v>
      </c>
      <c r="BS4691">
        <v>0</v>
      </c>
      <c r="BT4691">
        <v>0</v>
      </c>
      <c r="BU4691">
        <v>0</v>
      </c>
      <c r="CE4691" t="str">
        <f t="shared" si="1736"/>
        <v>19:38:06.520</v>
      </c>
      <c r="CF4691">
        <v>520319552</v>
      </c>
      <c r="CS4691">
        <v>0</v>
      </c>
      <c r="CT4691">
        <v>2</v>
      </c>
      <c r="CU4691">
        <v>0</v>
      </c>
      <c r="CV4691">
        <v>2</v>
      </c>
      <c r="CW4691">
        <v>0</v>
      </c>
      <c r="CX4691">
        <v>5</v>
      </c>
      <c r="CY4691">
        <v>7</v>
      </c>
      <c r="CZ4691" t="s">
        <v>131</v>
      </c>
      <c r="DA4691">
        <v>286</v>
      </c>
      <c r="DB4691">
        <v>0</v>
      </c>
      <c r="DC4691" t="s">
        <v>132</v>
      </c>
      <c r="DD4691" t="s">
        <v>133</v>
      </c>
      <c r="DG4691">
        <v>922595</v>
      </c>
      <c r="DI4691">
        <v>0</v>
      </c>
      <c r="DJ4691">
        <v>0</v>
      </c>
      <c r="DK4691">
        <v>1</v>
      </c>
      <c r="DL4691">
        <v>0</v>
      </c>
      <c r="DM4691">
        <v>0</v>
      </c>
      <c r="DN4691">
        <v>1</v>
      </c>
      <c r="DO4691">
        <v>0</v>
      </c>
      <c r="DP4691">
        <v>0</v>
      </c>
      <c r="DQ4691">
        <v>0</v>
      </c>
      <c r="DR4691">
        <v>0</v>
      </c>
      <c r="DS4691">
        <v>0</v>
      </c>
    </row>
    <row r="4692" spans="1:123" x14ac:dyDescent="0.3">
      <c r="A4692" t="str">
        <f>"10/04/2022 19:38:06.761"</f>
        <v>10/04/2022 19:38:06.761</v>
      </c>
      <c r="C4692" t="str">
        <f t="shared" si="1721"/>
        <v>FFDFD3C0</v>
      </c>
      <c r="D4692" t="s">
        <v>136</v>
      </c>
      <c r="E4692">
        <v>8</v>
      </c>
      <c r="H4692">
        <v>225</v>
      </c>
      <c r="I4692" t="s">
        <v>137</v>
      </c>
      <c r="J4692" t="s">
        <v>138</v>
      </c>
      <c r="K4692">
        <v>0</v>
      </c>
      <c r="L4692">
        <v>3</v>
      </c>
      <c r="M4692">
        <v>0</v>
      </c>
      <c r="N4692">
        <v>2</v>
      </c>
      <c r="O4692">
        <v>0</v>
      </c>
      <c r="P4692">
        <v>1</v>
      </c>
      <c r="Q4692">
        <v>0</v>
      </c>
      <c r="S4692" t="str">
        <f t="shared" si="1735"/>
        <v>19:38:06.000</v>
      </c>
      <c r="T4692" t="str">
        <f t="shared" si="1735"/>
        <v>19:38:06.000</v>
      </c>
      <c r="U4692" t="str">
        <f t="shared" si="1729"/>
        <v>AC3944</v>
      </c>
      <c r="V4692">
        <v>0</v>
      </c>
      <c r="W4692">
        <v>0</v>
      </c>
      <c r="X4692">
        <v>2</v>
      </c>
      <c r="Y4692">
        <v>0</v>
      </c>
      <c r="AA4692">
        <v>1</v>
      </c>
      <c r="AB4692">
        <v>8</v>
      </c>
      <c r="AC4692">
        <v>3</v>
      </c>
      <c r="AD4692">
        <v>0</v>
      </c>
      <c r="AE4692">
        <v>9</v>
      </c>
      <c r="AF4692" t="s">
        <v>138</v>
      </c>
      <c r="AG4692">
        <v>0</v>
      </c>
      <c r="AH4692">
        <v>3</v>
      </c>
      <c r="AI4692">
        <v>1</v>
      </c>
      <c r="AJ4692">
        <v>0</v>
      </c>
      <c r="AK4692" t="s">
        <v>1085</v>
      </c>
      <c r="AL4692">
        <v>32.719388000000002</v>
      </c>
      <c r="AM4692" t="s">
        <v>1471</v>
      </c>
      <c r="AN4692">
        <v>-116.73984299999999</v>
      </c>
      <c r="AO4692">
        <v>25</v>
      </c>
      <c r="AP4692">
        <v>4200</v>
      </c>
      <c r="AQ4692" t="s">
        <v>129</v>
      </c>
      <c r="AR4692">
        <v>-161</v>
      </c>
      <c r="AS4692">
        <v>-94</v>
      </c>
      <c r="AT4692">
        <v>-1664</v>
      </c>
      <c r="BB4692">
        <v>1200</v>
      </c>
      <c r="BC4692">
        <v>1</v>
      </c>
      <c r="BD4692" t="str">
        <f t="shared" si="1730"/>
        <v xml:space="preserve">N887QR  </v>
      </c>
      <c r="BE4692">
        <v>1</v>
      </c>
      <c r="BG4692">
        <v>0</v>
      </c>
      <c r="BH4692">
        <v>0</v>
      </c>
      <c r="BI4692">
        <v>0</v>
      </c>
      <c r="BJ4692">
        <v>3775</v>
      </c>
      <c r="BK4692">
        <v>-425</v>
      </c>
      <c r="BL4692" t="s">
        <v>163</v>
      </c>
      <c r="BM4692">
        <v>1</v>
      </c>
      <c r="BN4692">
        <v>1</v>
      </c>
      <c r="BO4692">
        <v>1</v>
      </c>
      <c r="BP4692">
        <v>0</v>
      </c>
      <c r="BS4692">
        <v>0</v>
      </c>
      <c r="BT4692">
        <v>0</v>
      </c>
      <c r="BU4692">
        <v>0</v>
      </c>
      <c r="CE4692" t="str">
        <f t="shared" si="1736"/>
        <v>19:38:06.520</v>
      </c>
      <c r="CF4692">
        <v>520319552</v>
      </c>
      <c r="CS4692">
        <v>0</v>
      </c>
      <c r="CT4692">
        <v>2</v>
      </c>
      <c r="CU4692">
        <v>0</v>
      </c>
      <c r="CV4692">
        <v>2</v>
      </c>
      <c r="CW4692">
        <v>0</v>
      </c>
      <c r="CX4692">
        <v>5</v>
      </c>
      <c r="CY4692">
        <v>7</v>
      </c>
      <c r="CZ4692" t="s">
        <v>131</v>
      </c>
      <c r="DA4692">
        <v>286</v>
      </c>
      <c r="DB4692">
        <v>0</v>
      </c>
      <c r="DC4692" t="s">
        <v>132</v>
      </c>
      <c r="DD4692" t="s">
        <v>133</v>
      </c>
      <c r="DG4692">
        <v>922595</v>
      </c>
      <c r="DI4692">
        <v>0</v>
      </c>
      <c r="DJ4692">
        <v>0</v>
      </c>
      <c r="DK4692">
        <v>1</v>
      </c>
      <c r="DL4692">
        <v>0</v>
      </c>
      <c r="DM4692">
        <v>0</v>
      </c>
      <c r="DN4692">
        <v>1</v>
      </c>
      <c r="DO4692">
        <v>0</v>
      </c>
      <c r="DP4692">
        <v>0</v>
      </c>
      <c r="DQ4692">
        <v>0</v>
      </c>
      <c r="DR4692">
        <v>0</v>
      </c>
      <c r="DS4692">
        <v>0</v>
      </c>
    </row>
    <row r="4693" spans="1:123" x14ac:dyDescent="0.3">
      <c r="A4693" t="str">
        <f>"10/04/2022 19:38:06.792"</f>
        <v>10/04/2022 19:38:06.792</v>
      </c>
      <c r="C4693" t="str">
        <f t="shared" si="1721"/>
        <v>FFDFD3C0</v>
      </c>
      <c r="D4693" t="s">
        <v>141</v>
      </c>
      <c r="E4693">
        <v>4</v>
      </c>
      <c r="H4693">
        <v>4</v>
      </c>
      <c r="I4693" t="s">
        <v>142</v>
      </c>
      <c r="J4693" t="s">
        <v>138</v>
      </c>
      <c r="K4693">
        <v>0</v>
      </c>
      <c r="L4693">
        <v>3</v>
      </c>
      <c r="M4693">
        <v>0</v>
      </c>
      <c r="N4693">
        <v>2</v>
      </c>
      <c r="O4693">
        <v>0</v>
      </c>
      <c r="P4693">
        <v>1</v>
      </c>
      <c r="Q4693">
        <v>0</v>
      </c>
      <c r="S4693" t="str">
        <f t="shared" si="1735"/>
        <v>19:38:06.000</v>
      </c>
      <c r="T4693" t="str">
        <f t="shared" si="1735"/>
        <v>19:38:06.000</v>
      </c>
      <c r="U4693" t="str">
        <f t="shared" si="1729"/>
        <v>AC3944</v>
      </c>
      <c r="V4693">
        <v>0</v>
      </c>
      <c r="W4693">
        <v>0</v>
      </c>
      <c r="X4693">
        <v>2</v>
      </c>
      <c r="Y4693">
        <v>0</v>
      </c>
      <c r="AA4693">
        <v>1</v>
      </c>
      <c r="AB4693">
        <v>8</v>
      </c>
      <c r="AC4693">
        <v>3</v>
      </c>
      <c r="AD4693">
        <v>0</v>
      </c>
      <c r="AE4693">
        <v>9</v>
      </c>
      <c r="AF4693" t="s">
        <v>138</v>
      </c>
      <c r="AG4693">
        <v>0</v>
      </c>
      <c r="AH4693">
        <v>3</v>
      </c>
      <c r="AI4693">
        <v>1</v>
      </c>
      <c r="AJ4693">
        <v>0</v>
      </c>
      <c r="AK4693" t="s">
        <v>1085</v>
      </c>
      <c r="AL4693">
        <v>32.719388000000002</v>
      </c>
      <c r="AM4693" t="s">
        <v>1471</v>
      </c>
      <c r="AN4693">
        <v>-116.73984299999999</v>
      </c>
      <c r="AO4693">
        <v>25</v>
      </c>
      <c r="AP4693">
        <v>4200</v>
      </c>
      <c r="AQ4693" t="s">
        <v>129</v>
      </c>
      <c r="AR4693">
        <v>-161</v>
      </c>
      <c r="AS4693">
        <v>-94</v>
      </c>
      <c r="AT4693">
        <v>-1664</v>
      </c>
      <c r="BB4693">
        <v>1200</v>
      </c>
      <c r="BC4693">
        <v>1</v>
      </c>
      <c r="BD4693" t="str">
        <f t="shared" si="1730"/>
        <v xml:space="preserve">N887QR  </v>
      </c>
      <c r="BE4693">
        <v>1</v>
      </c>
      <c r="BG4693">
        <v>0</v>
      </c>
      <c r="BH4693">
        <v>0</v>
      </c>
      <c r="BI4693">
        <v>0</v>
      </c>
      <c r="BJ4693">
        <v>3775</v>
      </c>
      <c r="BK4693">
        <v>-425</v>
      </c>
      <c r="BL4693" t="s">
        <v>163</v>
      </c>
      <c r="BM4693">
        <v>1</v>
      </c>
      <c r="BN4693">
        <v>1</v>
      </c>
      <c r="BO4693">
        <v>1</v>
      </c>
      <c r="BP4693">
        <v>0</v>
      </c>
      <c r="BS4693">
        <v>0</v>
      </c>
      <c r="BT4693">
        <v>0</v>
      </c>
      <c r="BU4693">
        <v>0</v>
      </c>
      <c r="CE4693" t="str">
        <f t="shared" si="1736"/>
        <v>19:38:06.520</v>
      </c>
      <c r="CF4693">
        <v>520319552</v>
      </c>
      <c r="CS4693">
        <v>0</v>
      </c>
      <c r="CT4693">
        <v>2</v>
      </c>
      <c r="CU4693">
        <v>0</v>
      </c>
      <c r="CV4693">
        <v>2</v>
      </c>
      <c r="CW4693">
        <v>0</v>
      </c>
      <c r="CX4693">
        <v>5</v>
      </c>
      <c r="CY4693">
        <v>7</v>
      </c>
      <c r="CZ4693" t="s">
        <v>131</v>
      </c>
      <c r="DA4693">
        <v>286</v>
      </c>
      <c r="DB4693">
        <v>0</v>
      </c>
      <c r="DC4693" t="s">
        <v>132</v>
      </c>
      <c r="DD4693" t="s">
        <v>133</v>
      </c>
      <c r="DG4693">
        <v>922595</v>
      </c>
      <c r="DI4693">
        <v>0</v>
      </c>
      <c r="DJ4693">
        <v>0</v>
      </c>
      <c r="DK4693">
        <v>0</v>
      </c>
      <c r="DL4693">
        <v>0</v>
      </c>
      <c r="DM4693">
        <v>0</v>
      </c>
      <c r="DN4693">
        <v>1</v>
      </c>
      <c r="DO4693">
        <v>0</v>
      </c>
      <c r="DP4693">
        <v>0</v>
      </c>
      <c r="DQ4693">
        <v>0</v>
      </c>
      <c r="DR4693">
        <v>0</v>
      </c>
      <c r="DS4693">
        <v>0</v>
      </c>
    </row>
    <row r="4694" spans="1:123" x14ac:dyDescent="0.3">
      <c r="A4694" t="str">
        <f>"10/04/2022 19:38:06.792"</f>
        <v>10/04/2022 19:38:06.792</v>
      </c>
      <c r="C4694" t="str">
        <f t="shared" si="1721"/>
        <v>FFDFD3C0</v>
      </c>
      <c r="D4694" t="s">
        <v>143</v>
      </c>
      <c r="E4694">
        <v>20</v>
      </c>
      <c r="F4694">
        <v>1020</v>
      </c>
      <c r="G4694" t="s">
        <v>144</v>
      </c>
      <c r="J4694" t="s">
        <v>145</v>
      </c>
      <c r="K4694">
        <v>0</v>
      </c>
      <c r="L4694">
        <v>3</v>
      </c>
      <c r="M4694">
        <v>0</v>
      </c>
      <c r="N4694">
        <v>2</v>
      </c>
      <c r="O4694">
        <v>0</v>
      </c>
      <c r="P4694">
        <v>1</v>
      </c>
      <c r="Q4694">
        <v>0</v>
      </c>
      <c r="S4694" t="str">
        <f t="shared" si="1735"/>
        <v>19:38:06.000</v>
      </c>
      <c r="T4694" t="str">
        <f t="shared" si="1735"/>
        <v>19:38:06.000</v>
      </c>
      <c r="U4694" t="str">
        <f t="shared" si="1729"/>
        <v>AC3944</v>
      </c>
      <c r="V4694">
        <v>0</v>
      </c>
      <c r="W4694">
        <v>0</v>
      </c>
      <c r="X4694">
        <v>2</v>
      </c>
      <c r="Y4694">
        <v>0</v>
      </c>
      <c r="AA4694">
        <v>1</v>
      </c>
      <c r="AB4694">
        <v>8</v>
      </c>
      <c r="AC4694">
        <v>3</v>
      </c>
      <c r="AD4694">
        <v>0</v>
      </c>
      <c r="AE4694">
        <v>9</v>
      </c>
      <c r="AF4694" t="s">
        <v>138</v>
      </c>
      <c r="AG4694">
        <v>0</v>
      </c>
      <c r="AH4694">
        <v>3</v>
      </c>
      <c r="AI4694">
        <v>1</v>
      </c>
      <c r="AJ4694">
        <v>0</v>
      </c>
      <c r="AK4694" t="s">
        <v>1085</v>
      </c>
      <c r="AL4694">
        <v>32.719388000000002</v>
      </c>
      <c r="AM4694" t="s">
        <v>1471</v>
      </c>
      <c r="AN4694">
        <v>-116.73984299999999</v>
      </c>
      <c r="AO4694">
        <v>25</v>
      </c>
      <c r="AP4694">
        <v>4200</v>
      </c>
      <c r="AQ4694" t="s">
        <v>129</v>
      </c>
      <c r="AR4694">
        <v>-161</v>
      </c>
      <c r="AS4694">
        <v>-94</v>
      </c>
      <c r="AT4694">
        <v>-1664</v>
      </c>
      <c r="BB4694">
        <v>1200</v>
      </c>
      <c r="BC4694">
        <v>1</v>
      </c>
      <c r="BD4694" t="str">
        <f t="shared" si="1730"/>
        <v xml:space="preserve">N887QR  </v>
      </c>
      <c r="BE4694">
        <v>1</v>
      </c>
      <c r="BG4694">
        <v>0</v>
      </c>
      <c r="BH4694">
        <v>0</v>
      </c>
      <c r="BI4694">
        <v>0</v>
      </c>
      <c r="BJ4694">
        <v>3775</v>
      </c>
      <c r="BK4694">
        <v>-425</v>
      </c>
      <c r="BL4694" t="s">
        <v>163</v>
      </c>
      <c r="BM4694">
        <v>1</v>
      </c>
      <c r="BN4694">
        <v>1</v>
      </c>
      <c r="BO4694">
        <v>1</v>
      </c>
      <c r="BP4694">
        <v>0</v>
      </c>
      <c r="BS4694">
        <v>0</v>
      </c>
      <c r="BT4694">
        <v>0</v>
      </c>
      <c r="BU4694">
        <v>0</v>
      </c>
      <c r="CE4694" t="str">
        <f t="shared" si="1736"/>
        <v>19:38:06.520</v>
      </c>
      <c r="CF4694">
        <v>520319552</v>
      </c>
      <c r="CS4694">
        <v>0</v>
      </c>
      <c r="CT4694">
        <v>2</v>
      </c>
      <c r="CU4694">
        <v>0</v>
      </c>
      <c r="CV4694">
        <v>2</v>
      </c>
      <c r="CW4694">
        <v>0</v>
      </c>
      <c r="CX4694">
        <v>5</v>
      </c>
      <c r="CY4694">
        <v>7</v>
      </c>
      <c r="CZ4694" t="s">
        <v>131</v>
      </c>
      <c r="DA4694">
        <v>286</v>
      </c>
      <c r="DB4694">
        <v>0</v>
      </c>
      <c r="DC4694" t="s">
        <v>132</v>
      </c>
      <c r="DD4694" t="s">
        <v>133</v>
      </c>
      <c r="DG4694">
        <v>922595</v>
      </c>
      <c r="DI4694">
        <v>0</v>
      </c>
      <c r="DJ4694">
        <v>0</v>
      </c>
      <c r="DK4694">
        <v>1</v>
      </c>
      <c r="DL4694">
        <v>0</v>
      </c>
      <c r="DM4694">
        <v>0</v>
      </c>
      <c r="DN4694">
        <v>1</v>
      </c>
      <c r="DO4694">
        <v>0</v>
      </c>
      <c r="DP4694">
        <v>0</v>
      </c>
      <c r="DQ4694">
        <v>0</v>
      </c>
      <c r="DR4694">
        <v>0</v>
      </c>
      <c r="DS4694">
        <v>0</v>
      </c>
    </row>
    <row r="4695" spans="1:123" x14ac:dyDescent="0.3">
      <c r="A4695" t="str">
        <f t="shared" ref="A4695:A4700" si="1737">"10/04/2022 19:38:07.527"</f>
        <v>10/04/2022 19:38:07.527</v>
      </c>
      <c r="C4695" t="str">
        <f t="shared" si="1721"/>
        <v>FFDFD3C0</v>
      </c>
      <c r="D4695" t="s">
        <v>141</v>
      </c>
      <c r="E4695">
        <v>4</v>
      </c>
      <c r="H4695">
        <v>4</v>
      </c>
      <c r="I4695" t="s">
        <v>142</v>
      </c>
      <c r="J4695" t="s">
        <v>138</v>
      </c>
      <c r="K4695">
        <v>0</v>
      </c>
      <c r="L4695">
        <v>3</v>
      </c>
      <c r="M4695">
        <v>0</v>
      </c>
      <c r="N4695">
        <v>2</v>
      </c>
      <c r="O4695">
        <v>0</v>
      </c>
      <c r="P4695">
        <v>1</v>
      </c>
      <c r="Q4695">
        <v>0</v>
      </c>
      <c r="S4695" t="str">
        <f t="shared" ref="S4695:T4707" si="1738">"19:38:07.000"</f>
        <v>19:38:07.000</v>
      </c>
      <c r="T4695" t="str">
        <f t="shared" si="1738"/>
        <v>19:38:07.000</v>
      </c>
      <c r="U4695" t="str">
        <f t="shared" si="1729"/>
        <v>AC3944</v>
      </c>
      <c r="V4695">
        <v>0</v>
      </c>
      <c r="W4695">
        <v>0</v>
      </c>
      <c r="X4695">
        <v>2</v>
      </c>
      <c r="Y4695">
        <v>0</v>
      </c>
      <c r="AA4695">
        <v>1</v>
      </c>
      <c r="AB4695">
        <v>8</v>
      </c>
      <c r="AC4695">
        <v>3</v>
      </c>
      <c r="AD4695">
        <v>0</v>
      </c>
      <c r="AE4695">
        <v>9</v>
      </c>
      <c r="AF4695" t="s">
        <v>138</v>
      </c>
      <c r="AG4695">
        <v>0</v>
      </c>
      <c r="AH4695">
        <v>3</v>
      </c>
      <c r="AI4695">
        <v>1</v>
      </c>
      <c r="AJ4695">
        <v>0</v>
      </c>
      <c r="AK4695" t="s">
        <v>1472</v>
      </c>
      <c r="AL4695">
        <v>32.718958999999998</v>
      </c>
      <c r="AM4695" t="s">
        <v>1473</v>
      </c>
      <c r="AN4695">
        <v>-116.74074400000001</v>
      </c>
      <c r="AO4695">
        <v>25</v>
      </c>
      <c r="AP4695">
        <v>4200</v>
      </c>
      <c r="AQ4695" t="s">
        <v>129</v>
      </c>
      <c r="AR4695">
        <v>-160</v>
      </c>
      <c r="AS4695">
        <v>-93</v>
      </c>
      <c r="AT4695">
        <v>-1664</v>
      </c>
      <c r="BB4695">
        <v>1200</v>
      </c>
      <c r="BC4695">
        <v>1</v>
      </c>
      <c r="BD4695" t="str">
        <f t="shared" si="1730"/>
        <v xml:space="preserve">N887QR  </v>
      </c>
      <c r="BE4695">
        <v>1</v>
      </c>
      <c r="BG4695">
        <v>0</v>
      </c>
      <c r="BH4695">
        <v>0</v>
      </c>
      <c r="BI4695">
        <v>0</v>
      </c>
      <c r="BJ4695">
        <v>3725</v>
      </c>
      <c r="BK4695">
        <v>-475</v>
      </c>
      <c r="BL4695" t="s">
        <v>163</v>
      </c>
      <c r="BM4695">
        <v>1</v>
      </c>
      <c r="BN4695">
        <v>1</v>
      </c>
      <c r="BO4695">
        <v>1</v>
      </c>
      <c r="BP4695">
        <v>0</v>
      </c>
      <c r="BS4695">
        <v>0</v>
      </c>
      <c r="BT4695">
        <v>0</v>
      </c>
      <c r="BU4695">
        <v>0</v>
      </c>
      <c r="CE4695" t="str">
        <f t="shared" ref="CE4695:CE4700" si="1739">"19:38:07.196"</f>
        <v>19:38:07.196</v>
      </c>
      <c r="CF4695">
        <v>195821417</v>
      </c>
      <c r="CS4695">
        <v>0</v>
      </c>
      <c r="CT4695">
        <v>2</v>
      </c>
      <c r="CU4695">
        <v>0</v>
      </c>
      <c r="CV4695">
        <v>2</v>
      </c>
      <c r="CW4695">
        <v>0</v>
      </c>
      <c r="CX4695">
        <v>6</v>
      </c>
      <c r="CY4695">
        <v>7</v>
      </c>
      <c r="CZ4695" t="s">
        <v>131</v>
      </c>
      <c r="DA4695">
        <v>286</v>
      </c>
      <c r="DB4695">
        <v>0</v>
      </c>
      <c r="DC4695" t="s">
        <v>132</v>
      </c>
      <c r="DD4695" t="s">
        <v>133</v>
      </c>
      <c r="DG4695">
        <v>922712</v>
      </c>
      <c r="DI4695">
        <v>0</v>
      </c>
      <c r="DJ4695">
        <v>0</v>
      </c>
      <c r="DK4695">
        <v>0</v>
      </c>
      <c r="DL4695">
        <v>0</v>
      </c>
      <c r="DM4695">
        <v>0</v>
      </c>
      <c r="DN4695">
        <v>1</v>
      </c>
      <c r="DO4695">
        <v>0</v>
      </c>
      <c r="DP4695">
        <v>0</v>
      </c>
      <c r="DQ4695">
        <v>0</v>
      </c>
      <c r="DR4695">
        <v>0</v>
      </c>
      <c r="DS4695">
        <v>0</v>
      </c>
    </row>
    <row r="4696" spans="1:123" x14ac:dyDescent="0.3">
      <c r="A4696" t="str">
        <f t="shared" si="1737"/>
        <v>10/04/2022 19:38:07.527</v>
      </c>
      <c r="C4696" t="str">
        <f t="shared" si="1721"/>
        <v>FFDFD3C0</v>
      </c>
      <c r="D4696" t="s">
        <v>143</v>
      </c>
      <c r="E4696">
        <v>20</v>
      </c>
      <c r="F4696">
        <v>1020</v>
      </c>
      <c r="G4696" t="s">
        <v>144</v>
      </c>
      <c r="J4696" t="s">
        <v>145</v>
      </c>
      <c r="K4696">
        <v>0</v>
      </c>
      <c r="L4696">
        <v>3</v>
      </c>
      <c r="M4696">
        <v>0</v>
      </c>
      <c r="N4696">
        <v>2</v>
      </c>
      <c r="O4696">
        <v>0</v>
      </c>
      <c r="P4696">
        <v>1</v>
      </c>
      <c r="Q4696">
        <v>0</v>
      </c>
      <c r="S4696" t="str">
        <f t="shared" si="1738"/>
        <v>19:38:07.000</v>
      </c>
      <c r="T4696" t="str">
        <f t="shared" si="1738"/>
        <v>19:38:07.000</v>
      </c>
      <c r="U4696" t="str">
        <f t="shared" si="1729"/>
        <v>AC3944</v>
      </c>
      <c r="V4696">
        <v>0</v>
      </c>
      <c r="W4696">
        <v>0</v>
      </c>
      <c r="X4696">
        <v>2</v>
      </c>
      <c r="Y4696">
        <v>0</v>
      </c>
      <c r="AA4696">
        <v>1</v>
      </c>
      <c r="AB4696">
        <v>8</v>
      </c>
      <c r="AC4696">
        <v>3</v>
      </c>
      <c r="AD4696">
        <v>0</v>
      </c>
      <c r="AE4696">
        <v>9</v>
      </c>
      <c r="AF4696" t="s">
        <v>138</v>
      </c>
      <c r="AG4696">
        <v>0</v>
      </c>
      <c r="AH4696">
        <v>3</v>
      </c>
      <c r="AI4696">
        <v>1</v>
      </c>
      <c r="AJ4696">
        <v>0</v>
      </c>
      <c r="AK4696" t="s">
        <v>1472</v>
      </c>
      <c r="AL4696">
        <v>32.718958999999998</v>
      </c>
      <c r="AM4696" t="s">
        <v>1473</v>
      </c>
      <c r="AN4696">
        <v>-116.74074400000001</v>
      </c>
      <c r="AO4696">
        <v>25</v>
      </c>
      <c r="AP4696">
        <v>4200</v>
      </c>
      <c r="AQ4696" t="s">
        <v>129</v>
      </c>
      <c r="AR4696">
        <v>-160</v>
      </c>
      <c r="AS4696">
        <v>-93</v>
      </c>
      <c r="AT4696">
        <v>-1664</v>
      </c>
      <c r="BB4696">
        <v>1200</v>
      </c>
      <c r="BC4696">
        <v>1</v>
      </c>
      <c r="BD4696" t="str">
        <f t="shared" si="1730"/>
        <v xml:space="preserve">N887QR  </v>
      </c>
      <c r="BE4696">
        <v>1</v>
      </c>
      <c r="BG4696">
        <v>0</v>
      </c>
      <c r="BH4696">
        <v>0</v>
      </c>
      <c r="BI4696">
        <v>0</v>
      </c>
      <c r="BJ4696">
        <v>3725</v>
      </c>
      <c r="BK4696">
        <v>-475</v>
      </c>
      <c r="BL4696" t="s">
        <v>163</v>
      </c>
      <c r="BM4696">
        <v>1</v>
      </c>
      <c r="BN4696">
        <v>1</v>
      </c>
      <c r="BO4696">
        <v>1</v>
      </c>
      <c r="BP4696">
        <v>0</v>
      </c>
      <c r="BS4696">
        <v>0</v>
      </c>
      <c r="BT4696">
        <v>0</v>
      </c>
      <c r="BU4696">
        <v>0</v>
      </c>
      <c r="CE4696" t="str">
        <f t="shared" si="1739"/>
        <v>19:38:07.196</v>
      </c>
      <c r="CF4696">
        <v>195821417</v>
      </c>
      <c r="CS4696">
        <v>0</v>
      </c>
      <c r="CT4696">
        <v>2</v>
      </c>
      <c r="CU4696">
        <v>0</v>
      </c>
      <c r="CV4696">
        <v>2</v>
      </c>
      <c r="CW4696">
        <v>0</v>
      </c>
      <c r="CX4696">
        <v>6</v>
      </c>
      <c r="CY4696">
        <v>7</v>
      </c>
      <c r="CZ4696" t="s">
        <v>131</v>
      </c>
      <c r="DA4696">
        <v>286</v>
      </c>
      <c r="DB4696">
        <v>0</v>
      </c>
      <c r="DC4696" t="s">
        <v>132</v>
      </c>
      <c r="DD4696" t="s">
        <v>133</v>
      </c>
      <c r="DG4696">
        <v>922712</v>
      </c>
      <c r="DI4696">
        <v>0</v>
      </c>
      <c r="DJ4696">
        <v>0</v>
      </c>
      <c r="DK4696">
        <v>1</v>
      </c>
      <c r="DL4696">
        <v>0</v>
      </c>
      <c r="DM4696">
        <v>0</v>
      </c>
      <c r="DN4696">
        <v>1</v>
      </c>
      <c r="DO4696">
        <v>0</v>
      </c>
      <c r="DP4696">
        <v>0</v>
      </c>
      <c r="DQ4696">
        <v>0</v>
      </c>
      <c r="DR4696">
        <v>0</v>
      </c>
      <c r="DS4696">
        <v>0</v>
      </c>
    </row>
    <row r="4697" spans="1:123" x14ac:dyDescent="0.3">
      <c r="A4697" t="str">
        <f t="shared" si="1737"/>
        <v>10/04/2022 19:38:07.527</v>
      </c>
      <c r="C4697" t="str">
        <f t="shared" si="1721"/>
        <v>FFDFD3C0</v>
      </c>
      <c r="D4697" t="s">
        <v>123</v>
      </c>
      <c r="E4697">
        <v>7</v>
      </c>
      <c r="F4697">
        <v>2007</v>
      </c>
      <c r="G4697" t="s">
        <v>124</v>
      </c>
      <c r="J4697" t="s">
        <v>125</v>
      </c>
      <c r="K4697">
        <v>0</v>
      </c>
      <c r="L4697">
        <v>3</v>
      </c>
      <c r="M4697">
        <v>0</v>
      </c>
      <c r="N4697">
        <v>2</v>
      </c>
      <c r="O4697">
        <v>0</v>
      </c>
      <c r="P4697">
        <v>1</v>
      </c>
      <c r="Q4697">
        <v>0</v>
      </c>
      <c r="S4697" t="str">
        <f t="shared" si="1738"/>
        <v>19:38:07.000</v>
      </c>
      <c r="T4697" t="str">
        <f t="shared" si="1738"/>
        <v>19:38:07.000</v>
      </c>
      <c r="U4697" t="str">
        <f t="shared" si="1729"/>
        <v>AC3944</v>
      </c>
      <c r="V4697">
        <v>0</v>
      </c>
      <c r="W4697">
        <v>0</v>
      </c>
      <c r="X4697">
        <v>2</v>
      </c>
      <c r="Y4697">
        <v>0</v>
      </c>
      <c r="AA4697">
        <v>1</v>
      </c>
      <c r="AB4697">
        <v>8</v>
      </c>
      <c r="AC4697">
        <v>3</v>
      </c>
      <c r="AD4697">
        <v>0</v>
      </c>
      <c r="AE4697">
        <v>9</v>
      </c>
      <c r="AF4697" t="s">
        <v>138</v>
      </c>
      <c r="AG4697">
        <v>0</v>
      </c>
      <c r="AH4697">
        <v>3</v>
      </c>
      <c r="AI4697">
        <v>1</v>
      </c>
      <c r="AJ4697">
        <v>0</v>
      </c>
      <c r="AK4697" t="s">
        <v>1472</v>
      </c>
      <c r="AL4697">
        <v>32.718958999999998</v>
      </c>
      <c r="AM4697" t="s">
        <v>1473</v>
      </c>
      <c r="AN4697">
        <v>-116.74074400000001</v>
      </c>
      <c r="AO4697">
        <v>25</v>
      </c>
      <c r="AP4697">
        <v>4200</v>
      </c>
      <c r="AQ4697" t="s">
        <v>129</v>
      </c>
      <c r="AR4697">
        <v>-160</v>
      </c>
      <c r="AS4697">
        <v>-93</v>
      </c>
      <c r="AT4697">
        <v>-1664</v>
      </c>
      <c r="BB4697">
        <v>1200</v>
      </c>
      <c r="BC4697">
        <v>1</v>
      </c>
      <c r="BD4697" t="str">
        <f t="shared" si="1730"/>
        <v xml:space="preserve">N887QR  </v>
      </c>
      <c r="BE4697">
        <v>1</v>
      </c>
      <c r="BG4697">
        <v>0</v>
      </c>
      <c r="BH4697">
        <v>0</v>
      </c>
      <c r="BI4697">
        <v>0</v>
      </c>
      <c r="BJ4697">
        <v>3725</v>
      </c>
      <c r="BK4697">
        <v>-475</v>
      </c>
      <c r="BL4697" t="s">
        <v>163</v>
      </c>
      <c r="BM4697">
        <v>1</v>
      </c>
      <c r="BN4697">
        <v>1</v>
      </c>
      <c r="BO4697">
        <v>1</v>
      </c>
      <c r="BP4697">
        <v>0</v>
      </c>
      <c r="BS4697">
        <v>0</v>
      </c>
      <c r="BT4697">
        <v>0</v>
      </c>
      <c r="BU4697">
        <v>0</v>
      </c>
      <c r="CE4697" t="str">
        <f t="shared" si="1739"/>
        <v>19:38:07.196</v>
      </c>
      <c r="CF4697">
        <v>195821417</v>
      </c>
      <c r="CS4697">
        <v>0</v>
      </c>
      <c r="CT4697">
        <v>2</v>
      </c>
      <c r="CU4697">
        <v>0</v>
      </c>
      <c r="CV4697">
        <v>2</v>
      </c>
      <c r="CW4697">
        <v>0</v>
      </c>
      <c r="CX4697">
        <v>6</v>
      </c>
      <c r="CY4697">
        <v>7</v>
      </c>
      <c r="CZ4697" t="s">
        <v>131</v>
      </c>
      <c r="DA4697">
        <v>286</v>
      </c>
      <c r="DB4697">
        <v>0</v>
      </c>
      <c r="DC4697" t="s">
        <v>132</v>
      </c>
      <c r="DD4697" t="s">
        <v>133</v>
      </c>
      <c r="DG4697">
        <v>922712</v>
      </c>
      <c r="DI4697">
        <v>0</v>
      </c>
      <c r="DJ4697">
        <v>0</v>
      </c>
      <c r="DK4697">
        <v>1</v>
      </c>
      <c r="DL4697">
        <v>0</v>
      </c>
      <c r="DM4697">
        <v>0</v>
      </c>
      <c r="DN4697">
        <v>1</v>
      </c>
      <c r="DO4697">
        <v>0</v>
      </c>
      <c r="DP4697">
        <v>0</v>
      </c>
      <c r="DQ4697">
        <v>0</v>
      </c>
      <c r="DR4697">
        <v>0</v>
      </c>
      <c r="DS4697">
        <v>0</v>
      </c>
    </row>
    <row r="4698" spans="1:123" x14ac:dyDescent="0.3">
      <c r="A4698" t="str">
        <f t="shared" si="1737"/>
        <v>10/04/2022 19:38:07.527</v>
      </c>
      <c r="C4698" t="str">
        <f t="shared" si="1721"/>
        <v>FFDFD3C0</v>
      </c>
      <c r="D4698" t="s">
        <v>134</v>
      </c>
      <c r="E4698">
        <v>15</v>
      </c>
      <c r="J4698" t="s">
        <v>135</v>
      </c>
      <c r="K4698">
        <v>0</v>
      </c>
      <c r="L4698">
        <v>3</v>
      </c>
      <c r="M4698">
        <v>0</v>
      </c>
      <c r="N4698">
        <v>2</v>
      </c>
      <c r="O4698">
        <v>0</v>
      </c>
      <c r="P4698">
        <v>1</v>
      </c>
      <c r="Q4698">
        <v>0</v>
      </c>
      <c r="S4698" t="str">
        <f t="shared" si="1738"/>
        <v>19:38:07.000</v>
      </c>
      <c r="T4698" t="str">
        <f t="shared" si="1738"/>
        <v>19:38:07.000</v>
      </c>
      <c r="U4698" t="str">
        <f t="shared" si="1729"/>
        <v>AC3944</v>
      </c>
      <c r="V4698">
        <v>0</v>
      </c>
      <c r="W4698">
        <v>0</v>
      </c>
      <c r="X4698">
        <v>2</v>
      </c>
      <c r="Y4698">
        <v>0</v>
      </c>
      <c r="AA4698">
        <v>1</v>
      </c>
      <c r="AB4698">
        <v>8</v>
      </c>
      <c r="AC4698">
        <v>3</v>
      </c>
      <c r="AD4698">
        <v>0</v>
      </c>
      <c r="AE4698">
        <v>9</v>
      </c>
      <c r="AF4698" t="s">
        <v>138</v>
      </c>
      <c r="AG4698">
        <v>0</v>
      </c>
      <c r="AH4698">
        <v>3</v>
      </c>
      <c r="AI4698">
        <v>1</v>
      </c>
      <c r="AJ4698">
        <v>0</v>
      </c>
      <c r="AK4698" t="s">
        <v>1472</v>
      </c>
      <c r="AL4698">
        <v>32.718958999999998</v>
      </c>
      <c r="AM4698" t="s">
        <v>1473</v>
      </c>
      <c r="AN4698">
        <v>-116.74074400000001</v>
      </c>
      <c r="AO4698">
        <v>25</v>
      </c>
      <c r="AP4698">
        <v>4200</v>
      </c>
      <c r="AQ4698" t="s">
        <v>129</v>
      </c>
      <c r="AR4698">
        <v>-160</v>
      </c>
      <c r="AS4698">
        <v>-93</v>
      </c>
      <c r="AT4698">
        <v>-1664</v>
      </c>
      <c r="BB4698">
        <v>1200</v>
      </c>
      <c r="BC4698">
        <v>1</v>
      </c>
      <c r="BD4698" t="str">
        <f t="shared" si="1730"/>
        <v xml:space="preserve">N887QR  </v>
      </c>
      <c r="BE4698">
        <v>1</v>
      </c>
      <c r="BG4698">
        <v>0</v>
      </c>
      <c r="BH4698">
        <v>0</v>
      </c>
      <c r="BI4698">
        <v>0</v>
      </c>
      <c r="BJ4698">
        <v>3725</v>
      </c>
      <c r="BK4698">
        <v>-475</v>
      </c>
      <c r="BL4698" t="s">
        <v>163</v>
      </c>
      <c r="BM4698">
        <v>1</v>
      </c>
      <c r="BN4698">
        <v>1</v>
      </c>
      <c r="BO4698">
        <v>1</v>
      </c>
      <c r="BP4698">
        <v>0</v>
      </c>
      <c r="BS4698">
        <v>0</v>
      </c>
      <c r="BT4698">
        <v>0</v>
      </c>
      <c r="BU4698">
        <v>0</v>
      </c>
      <c r="CE4698" t="str">
        <f t="shared" si="1739"/>
        <v>19:38:07.196</v>
      </c>
      <c r="CF4698">
        <v>195821417</v>
      </c>
      <c r="CS4698">
        <v>0</v>
      </c>
      <c r="CT4698">
        <v>2</v>
      </c>
      <c r="CU4698">
        <v>0</v>
      </c>
      <c r="CV4698">
        <v>2</v>
      </c>
      <c r="CW4698">
        <v>0</v>
      </c>
      <c r="CX4698">
        <v>6</v>
      </c>
      <c r="CY4698">
        <v>7</v>
      </c>
      <c r="CZ4698" t="s">
        <v>131</v>
      </c>
      <c r="DA4698">
        <v>286</v>
      </c>
      <c r="DB4698">
        <v>0</v>
      </c>
      <c r="DC4698" t="s">
        <v>132</v>
      </c>
      <c r="DD4698" t="s">
        <v>133</v>
      </c>
      <c r="DG4698">
        <v>922712</v>
      </c>
      <c r="DI4698">
        <v>0</v>
      </c>
      <c r="DJ4698">
        <v>0</v>
      </c>
      <c r="DK4698">
        <v>1</v>
      </c>
      <c r="DL4698">
        <v>0</v>
      </c>
      <c r="DM4698">
        <v>0</v>
      </c>
      <c r="DN4698">
        <v>1</v>
      </c>
      <c r="DO4698">
        <v>0</v>
      </c>
      <c r="DP4698">
        <v>0</v>
      </c>
      <c r="DQ4698">
        <v>0</v>
      </c>
      <c r="DR4698">
        <v>0</v>
      </c>
      <c r="DS4698">
        <v>0</v>
      </c>
    </row>
    <row r="4699" spans="1:123" x14ac:dyDescent="0.3">
      <c r="A4699" t="str">
        <f t="shared" si="1737"/>
        <v>10/04/2022 19:38:07.527</v>
      </c>
      <c r="C4699" t="str">
        <f t="shared" si="1721"/>
        <v>FFDFD3C0</v>
      </c>
      <c r="D4699" t="s">
        <v>147</v>
      </c>
      <c r="E4699">
        <v>3</v>
      </c>
      <c r="H4699">
        <v>166</v>
      </c>
      <c r="I4699" t="s">
        <v>144</v>
      </c>
      <c r="J4699" t="s">
        <v>148</v>
      </c>
      <c r="K4699">
        <v>0</v>
      </c>
      <c r="L4699">
        <v>3</v>
      </c>
      <c r="M4699">
        <v>0</v>
      </c>
      <c r="N4699">
        <v>2</v>
      </c>
      <c r="O4699">
        <v>0</v>
      </c>
      <c r="P4699">
        <v>1</v>
      </c>
      <c r="Q4699">
        <v>0</v>
      </c>
      <c r="S4699" t="str">
        <f t="shared" si="1738"/>
        <v>19:38:07.000</v>
      </c>
      <c r="T4699" t="str">
        <f t="shared" si="1738"/>
        <v>19:38:07.000</v>
      </c>
      <c r="U4699" t="str">
        <f t="shared" si="1729"/>
        <v>AC3944</v>
      </c>
      <c r="V4699">
        <v>0</v>
      </c>
      <c r="W4699">
        <v>0</v>
      </c>
      <c r="X4699">
        <v>2</v>
      </c>
      <c r="Y4699">
        <v>0</v>
      </c>
      <c r="AA4699">
        <v>1</v>
      </c>
      <c r="AB4699">
        <v>8</v>
      </c>
      <c r="AC4699">
        <v>3</v>
      </c>
      <c r="AD4699">
        <v>0</v>
      </c>
      <c r="AE4699">
        <v>9</v>
      </c>
      <c r="AF4699" t="s">
        <v>138</v>
      </c>
      <c r="AG4699">
        <v>0</v>
      </c>
      <c r="AH4699">
        <v>3</v>
      </c>
      <c r="AI4699">
        <v>1</v>
      </c>
      <c r="AJ4699">
        <v>0</v>
      </c>
      <c r="AK4699" t="s">
        <v>1472</v>
      </c>
      <c r="AL4699">
        <v>32.718958999999998</v>
      </c>
      <c r="AM4699" t="s">
        <v>1473</v>
      </c>
      <c r="AN4699">
        <v>-116.74074400000001</v>
      </c>
      <c r="AO4699">
        <v>25</v>
      </c>
      <c r="AP4699">
        <v>4200</v>
      </c>
      <c r="AQ4699" t="s">
        <v>129</v>
      </c>
      <c r="AR4699">
        <v>-160</v>
      </c>
      <c r="AS4699">
        <v>-93</v>
      </c>
      <c r="AT4699">
        <v>-1664</v>
      </c>
      <c r="BB4699">
        <v>1200</v>
      </c>
      <c r="BC4699">
        <v>1</v>
      </c>
      <c r="BD4699" t="str">
        <f t="shared" si="1730"/>
        <v xml:space="preserve">N887QR  </v>
      </c>
      <c r="BE4699">
        <v>1</v>
      </c>
      <c r="BG4699">
        <v>0</v>
      </c>
      <c r="BH4699">
        <v>0</v>
      </c>
      <c r="BI4699">
        <v>0</v>
      </c>
      <c r="BJ4699">
        <v>3725</v>
      </c>
      <c r="BK4699">
        <v>-475</v>
      </c>
      <c r="BL4699" t="s">
        <v>163</v>
      </c>
      <c r="BM4699">
        <v>1</v>
      </c>
      <c r="BN4699">
        <v>1</v>
      </c>
      <c r="BO4699">
        <v>1</v>
      </c>
      <c r="BP4699">
        <v>0</v>
      </c>
      <c r="BS4699">
        <v>0</v>
      </c>
      <c r="BT4699">
        <v>0</v>
      </c>
      <c r="BU4699">
        <v>0</v>
      </c>
      <c r="CE4699" t="str">
        <f t="shared" si="1739"/>
        <v>19:38:07.196</v>
      </c>
      <c r="CF4699">
        <v>195821417</v>
      </c>
      <c r="CS4699">
        <v>0</v>
      </c>
      <c r="CT4699">
        <v>2</v>
      </c>
      <c r="CU4699">
        <v>0</v>
      </c>
      <c r="CV4699">
        <v>2</v>
      </c>
      <c r="CW4699">
        <v>0</v>
      </c>
      <c r="CX4699">
        <v>6</v>
      </c>
      <c r="CY4699">
        <v>7</v>
      </c>
      <c r="CZ4699" t="s">
        <v>131</v>
      </c>
      <c r="DA4699">
        <v>286</v>
      </c>
      <c r="DB4699">
        <v>0</v>
      </c>
      <c r="DC4699" t="s">
        <v>132</v>
      </c>
      <c r="DD4699" t="s">
        <v>133</v>
      </c>
      <c r="DG4699">
        <v>922712</v>
      </c>
      <c r="DI4699">
        <v>0</v>
      </c>
      <c r="DJ4699">
        <v>0</v>
      </c>
      <c r="DK4699">
        <v>1</v>
      </c>
      <c r="DL4699">
        <v>0</v>
      </c>
      <c r="DM4699">
        <v>0</v>
      </c>
      <c r="DN4699">
        <v>1</v>
      </c>
      <c r="DO4699">
        <v>0</v>
      </c>
      <c r="DP4699">
        <v>0</v>
      </c>
      <c r="DQ4699">
        <v>0</v>
      </c>
      <c r="DR4699">
        <v>0</v>
      </c>
      <c r="DS4699">
        <v>0</v>
      </c>
    </row>
    <row r="4700" spans="1:123" x14ac:dyDescent="0.3">
      <c r="A4700" t="str">
        <f t="shared" si="1737"/>
        <v>10/04/2022 19:38:07.527</v>
      </c>
      <c r="C4700" t="str">
        <f t="shared" si="1721"/>
        <v>FFDFD3C0</v>
      </c>
      <c r="D4700" t="s">
        <v>141</v>
      </c>
      <c r="E4700">
        <v>3</v>
      </c>
      <c r="H4700">
        <v>3</v>
      </c>
      <c r="I4700" t="s">
        <v>146</v>
      </c>
      <c r="J4700" t="s">
        <v>138</v>
      </c>
      <c r="K4700">
        <v>0</v>
      </c>
      <c r="L4700">
        <v>3</v>
      </c>
      <c r="M4700">
        <v>0</v>
      </c>
      <c r="N4700">
        <v>2</v>
      </c>
      <c r="O4700">
        <v>0</v>
      </c>
      <c r="P4700">
        <v>1</v>
      </c>
      <c r="Q4700">
        <v>0</v>
      </c>
      <c r="S4700" t="str">
        <f t="shared" si="1738"/>
        <v>19:38:07.000</v>
      </c>
      <c r="T4700" t="str">
        <f t="shared" si="1738"/>
        <v>19:38:07.000</v>
      </c>
      <c r="U4700" t="str">
        <f t="shared" si="1729"/>
        <v>AC3944</v>
      </c>
      <c r="V4700">
        <v>0</v>
      </c>
      <c r="W4700">
        <v>0</v>
      </c>
      <c r="X4700">
        <v>2</v>
      </c>
      <c r="Y4700">
        <v>0</v>
      </c>
      <c r="AA4700">
        <v>1</v>
      </c>
      <c r="AB4700">
        <v>8</v>
      </c>
      <c r="AC4700">
        <v>3</v>
      </c>
      <c r="AD4700">
        <v>0</v>
      </c>
      <c r="AE4700">
        <v>9</v>
      </c>
      <c r="AF4700" t="s">
        <v>138</v>
      </c>
      <c r="AG4700">
        <v>0</v>
      </c>
      <c r="AH4700">
        <v>3</v>
      </c>
      <c r="AI4700">
        <v>1</v>
      </c>
      <c r="AJ4700">
        <v>0</v>
      </c>
      <c r="AK4700" t="s">
        <v>1472</v>
      </c>
      <c r="AL4700">
        <v>32.718958999999998</v>
      </c>
      <c r="AM4700" t="s">
        <v>1473</v>
      </c>
      <c r="AN4700">
        <v>-116.74074400000001</v>
      </c>
      <c r="AO4700">
        <v>25</v>
      </c>
      <c r="AP4700">
        <v>4200</v>
      </c>
      <c r="AQ4700" t="s">
        <v>129</v>
      </c>
      <c r="AR4700">
        <v>-160</v>
      </c>
      <c r="AS4700">
        <v>-93</v>
      </c>
      <c r="AT4700">
        <v>-1664</v>
      </c>
      <c r="BB4700">
        <v>1200</v>
      </c>
      <c r="BC4700">
        <v>1</v>
      </c>
      <c r="BD4700" t="str">
        <f t="shared" si="1730"/>
        <v xml:space="preserve">N887QR  </v>
      </c>
      <c r="BE4700">
        <v>1</v>
      </c>
      <c r="BG4700">
        <v>0</v>
      </c>
      <c r="BH4700">
        <v>0</v>
      </c>
      <c r="BI4700">
        <v>0</v>
      </c>
      <c r="BJ4700">
        <v>3725</v>
      </c>
      <c r="BK4700">
        <v>-475</v>
      </c>
      <c r="BL4700" t="s">
        <v>163</v>
      </c>
      <c r="BM4700">
        <v>1</v>
      </c>
      <c r="BN4700">
        <v>1</v>
      </c>
      <c r="BO4700">
        <v>1</v>
      </c>
      <c r="BP4700">
        <v>0</v>
      </c>
      <c r="BS4700">
        <v>0</v>
      </c>
      <c r="BT4700">
        <v>0</v>
      </c>
      <c r="BU4700">
        <v>0</v>
      </c>
      <c r="CE4700" t="str">
        <f t="shared" si="1739"/>
        <v>19:38:07.196</v>
      </c>
      <c r="CF4700">
        <v>195821417</v>
      </c>
      <c r="CS4700">
        <v>0</v>
      </c>
      <c r="CT4700">
        <v>2</v>
      </c>
      <c r="CU4700">
        <v>0</v>
      </c>
      <c r="CV4700">
        <v>2</v>
      </c>
      <c r="CW4700">
        <v>0</v>
      </c>
      <c r="CX4700">
        <v>6</v>
      </c>
      <c r="CY4700">
        <v>7</v>
      </c>
      <c r="CZ4700" t="s">
        <v>131</v>
      </c>
      <c r="DA4700">
        <v>286</v>
      </c>
      <c r="DB4700">
        <v>0</v>
      </c>
      <c r="DC4700" t="s">
        <v>132</v>
      </c>
      <c r="DD4700" t="s">
        <v>133</v>
      </c>
      <c r="DG4700">
        <v>922712</v>
      </c>
      <c r="DI4700">
        <v>0</v>
      </c>
      <c r="DJ4700">
        <v>0</v>
      </c>
      <c r="DK4700">
        <v>1</v>
      </c>
      <c r="DL4700">
        <v>0</v>
      </c>
      <c r="DM4700">
        <v>0</v>
      </c>
      <c r="DN4700">
        <v>1</v>
      </c>
      <c r="DO4700">
        <v>0</v>
      </c>
      <c r="DP4700">
        <v>0</v>
      </c>
      <c r="DQ4700">
        <v>0</v>
      </c>
      <c r="DR4700">
        <v>0</v>
      </c>
      <c r="DS4700">
        <v>0</v>
      </c>
    </row>
    <row r="4701" spans="1:123" x14ac:dyDescent="0.3">
      <c r="A4701" t="str">
        <f>"10/04/2022 19:38:08.308"</f>
        <v>10/04/2022 19:38:08.308</v>
      </c>
      <c r="C4701" t="str">
        <f t="shared" si="1721"/>
        <v>FFDFD3C0</v>
      </c>
      <c r="D4701" t="s">
        <v>123</v>
      </c>
      <c r="E4701">
        <v>7</v>
      </c>
      <c r="F4701">
        <v>2007</v>
      </c>
      <c r="G4701" t="s">
        <v>124</v>
      </c>
      <c r="J4701" t="s">
        <v>125</v>
      </c>
      <c r="K4701">
        <v>0</v>
      </c>
      <c r="L4701">
        <v>3</v>
      </c>
      <c r="M4701">
        <v>0</v>
      </c>
      <c r="N4701">
        <v>2</v>
      </c>
      <c r="O4701">
        <v>0</v>
      </c>
      <c r="P4701">
        <v>1</v>
      </c>
      <c r="Q4701">
        <v>0</v>
      </c>
      <c r="S4701" t="str">
        <f t="shared" si="1738"/>
        <v>19:38:07.000</v>
      </c>
      <c r="T4701" t="str">
        <f t="shared" si="1738"/>
        <v>19:38:07.000</v>
      </c>
      <c r="U4701" t="str">
        <f t="shared" si="1729"/>
        <v>AC3944</v>
      </c>
      <c r="V4701">
        <v>0</v>
      </c>
      <c r="W4701">
        <v>0</v>
      </c>
      <c r="X4701">
        <v>2</v>
      </c>
      <c r="Y4701">
        <v>0</v>
      </c>
      <c r="AA4701">
        <v>1</v>
      </c>
      <c r="AB4701">
        <v>8</v>
      </c>
      <c r="AC4701">
        <v>3</v>
      </c>
      <c r="AD4701">
        <v>0</v>
      </c>
      <c r="AE4701">
        <v>9</v>
      </c>
      <c r="AF4701" t="s">
        <v>138</v>
      </c>
      <c r="AG4701">
        <v>0</v>
      </c>
      <c r="AH4701">
        <v>3</v>
      </c>
      <c r="AI4701">
        <v>1</v>
      </c>
      <c r="AJ4701">
        <v>0</v>
      </c>
      <c r="AK4701" t="s">
        <v>1474</v>
      </c>
      <c r="AL4701">
        <v>32.718508</v>
      </c>
      <c r="AM4701" t="s">
        <v>1475</v>
      </c>
      <c r="AN4701">
        <v>-116.741624</v>
      </c>
      <c r="AO4701">
        <v>25</v>
      </c>
      <c r="AP4701">
        <v>4200</v>
      </c>
      <c r="AQ4701" t="s">
        <v>129</v>
      </c>
      <c r="AR4701">
        <v>-161</v>
      </c>
      <c r="AS4701">
        <v>-93</v>
      </c>
      <c r="AT4701">
        <v>-1664</v>
      </c>
      <c r="BB4701">
        <v>1200</v>
      </c>
      <c r="BC4701">
        <v>1</v>
      </c>
      <c r="BD4701" t="str">
        <f t="shared" si="1730"/>
        <v xml:space="preserve">N887QR  </v>
      </c>
      <c r="BE4701">
        <v>1</v>
      </c>
      <c r="BG4701">
        <v>0</v>
      </c>
      <c r="BH4701">
        <v>0</v>
      </c>
      <c r="BI4701">
        <v>0</v>
      </c>
      <c r="BJ4701">
        <v>3700</v>
      </c>
      <c r="BK4701">
        <v>-500</v>
      </c>
      <c r="BL4701" t="s">
        <v>163</v>
      </c>
      <c r="BM4701">
        <v>1</v>
      </c>
      <c r="BN4701">
        <v>1</v>
      </c>
      <c r="BO4701">
        <v>1</v>
      </c>
      <c r="BP4701">
        <v>0</v>
      </c>
      <c r="BS4701">
        <v>0</v>
      </c>
      <c r="BT4701">
        <v>0</v>
      </c>
      <c r="BU4701">
        <v>0</v>
      </c>
      <c r="CE4701" t="str">
        <f t="shared" ref="CE4701:CE4707" si="1740">"19:38:07.953"</f>
        <v>19:38:07.953</v>
      </c>
      <c r="CF4701">
        <v>953323718</v>
      </c>
      <c r="CS4701">
        <v>0</v>
      </c>
      <c r="CT4701">
        <v>2</v>
      </c>
      <c r="CU4701">
        <v>0</v>
      </c>
      <c r="CV4701">
        <v>2</v>
      </c>
      <c r="CW4701">
        <v>0</v>
      </c>
      <c r="CX4701">
        <v>5</v>
      </c>
      <c r="CY4701">
        <v>7</v>
      </c>
      <c r="CZ4701" t="s">
        <v>131</v>
      </c>
      <c r="DA4701">
        <v>286</v>
      </c>
      <c r="DB4701">
        <v>0</v>
      </c>
      <c r="DC4701" t="s">
        <v>132</v>
      </c>
      <c r="DD4701" t="s">
        <v>133</v>
      </c>
      <c r="DG4701">
        <v>922938</v>
      </c>
      <c r="DI4701">
        <v>0</v>
      </c>
      <c r="DJ4701">
        <v>0</v>
      </c>
      <c r="DK4701">
        <v>0</v>
      </c>
      <c r="DL4701">
        <v>0</v>
      </c>
      <c r="DM4701">
        <v>0</v>
      </c>
      <c r="DN4701">
        <v>1</v>
      </c>
      <c r="DO4701">
        <v>0</v>
      </c>
      <c r="DP4701">
        <v>0</v>
      </c>
      <c r="DQ4701">
        <v>0</v>
      </c>
      <c r="DR4701">
        <v>0</v>
      </c>
      <c r="DS4701">
        <v>0</v>
      </c>
    </row>
    <row r="4702" spans="1:123" x14ac:dyDescent="0.3">
      <c r="A4702" t="str">
        <f>"10/04/2022 19:38:08.324"</f>
        <v>10/04/2022 19:38:08.324</v>
      </c>
      <c r="C4702" t="str">
        <f t="shared" si="1721"/>
        <v>FFDFD3C0</v>
      </c>
      <c r="D4702" t="s">
        <v>147</v>
      </c>
      <c r="E4702">
        <v>3</v>
      </c>
      <c r="H4702">
        <v>166</v>
      </c>
      <c r="I4702" t="s">
        <v>144</v>
      </c>
      <c r="J4702" t="s">
        <v>148</v>
      </c>
      <c r="K4702">
        <v>0</v>
      </c>
      <c r="L4702">
        <v>3</v>
      </c>
      <c r="M4702">
        <v>0</v>
      </c>
      <c r="N4702">
        <v>2</v>
      </c>
      <c r="O4702">
        <v>0</v>
      </c>
      <c r="P4702">
        <v>1</v>
      </c>
      <c r="Q4702">
        <v>0</v>
      </c>
      <c r="S4702" t="str">
        <f t="shared" si="1738"/>
        <v>19:38:07.000</v>
      </c>
      <c r="T4702" t="str">
        <f t="shared" si="1738"/>
        <v>19:38:07.000</v>
      </c>
      <c r="U4702" t="str">
        <f t="shared" si="1729"/>
        <v>AC3944</v>
      </c>
      <c r="V4702">
        <v>0</v>
      </c>
      <c r="W4702">
        <v>0</v>
      </c>
      <c r="X4702">
        <v>2</v>
      </c>
      <c r="Y4702">
        <v>0</v>
      </c>
      <c r="AA4702">
        <v>1</v>
      </c>
      <c r="AB4702">
        <v>8</v>
      </c>
      <c r="AC4702">
        <v>3</v>
      </c>
      <c r="AD4702">
        <v>0</v>
      </c>
      <c r="AE4702">
        <v>9</v>
      </c>
      <c r="AF4702" t="s">
        <v>138</v>
      </c>
      <c r="AG4702">
        <v>0</v>
      </c>
      <c r="AH4702">
        <v>3</v>
      </c>
      <c r="AI4702">
        <v>1</v>
      </c>
      <c r="AJ4702">
        <v>0</v>
      </c>
      <c r="AK4702" t="s">
        <v>1474</v>
      </c>
      <c r="AL4702">
        <v>32.718508</v>
      </c>
      <c r="AM4702" t="s">
        <v>1475</v>
      </c>
      <c r="AN4702">
        <v>-116.741624</v>
      </c>
      <c r="AO4702">
        <v>25</v>
      </c>
      <c r="AP4702">
        <v>4200</v>
      </c>
      <c r="AQ4702" t="s">
        <v>129</v>
      </c>
      <c r="AR4702">
        <v>-161</v>
      </c>
      <c r="AS4702">
        <v>-93</v>
      </c>
      <c r="AT4702">
        <v>-1664</v>
      </c>
      <c r="BB4702">
        <v>1200</v>
      </c>
      <c r="BC4702">
        <v>1</v>
      </c>
      <c r="BD4702" t="str">
        <f t="shared" si="1730"/>
        <v xml:space="preserve">N887QR  </v>
      </c>
      <c r="BE4702">
        <v>1</v>
      </c>
      <c r="BG4702">
        <v>0</v>
      </c>
      <c r="BH4702">
        <v>0</v>
      </c>
      <c r="BI4702">
        <v>0</v>
      </c>
      <c r="BJ4702">
        <v>3700</v>
      </c>
      <c r="BK4702">
        <v>-500</v>
      </c>
      <c r="BL4702" t="s">
        <v>163</v>
      </c>
      <c r="BM4702">
        <v>1</v>
      </c>
      <c r="BN4702">
        <v>1</v>
      </c>
      <c r="BO4702">
        <v>1</v>
      </c>
      <c r="BP4702">
        <v>0</v>
      </c>
      <c r="BS4702">
        <v>0</v>
      </c>
      <c r="BT4702">
        <v>0</v>
      </c>
      <c r="BU4702">
        <v>0</v>
      </c>
      <c r="CE4702" t="str">
        <f t="shared" si="1740"/>
        <v>19:38:07.953</v>
      </c>
      <c r="CF4702">
        <v>953323718</v>
      </c>
      <c r="CS4702">
        <v>0</v>
      </c>
      <c r="CT4702">
        <v>2</v>
      </c>
      <c r="CU4702">
        <v>0</v>
      </c>
      <c r="CV4702">
        <v>2</v>
      </c>
      <c r="CW4702">
        <v>0</v>
      </c>
      <c r="CX4702">
        <v>5</v>
      </c>
      <c r="CY4702">
        <v>7</v>
      </c>
      <c r="CZ4702" t="s">
        <v>131</v>
      </c>
      <c r="DA4702">
        <v>286</v>
      </c>
      <c r="DB4702">
        <v>0</v>
      </c>
      <c r="DC4702" t="s">
        <v>132</v>
      </c>
      <c r="DD4702" t="s">
        <v>133</v>
      </c>
      <c r="DG4702">
        <v>922938</v>
      </c>
      <c r="DI4702">
        <v>0</v>
      </c>
      <c r="DJ4702">
        <v>0</v>
      </c>
      <c r="DK4702">
        <v>1</v>
      </c>
      <c r="DL4702">
        <v>0</v>
      </c>
      <c r="DM4702">
        <v>0</v>
      </c>
      <c r="DN4702">
        <v>1</v>
      </c>
      <c r="DO4702">
        <v>0</v>
      </c>
      <c r="DP4702">
        <v>0</v>
      </c>
      <c r="DQ4702">
        <v>0</v>
      </c>
      <c r="DR4702">
        <v>0</v>
      </c>
      <c r="DS4702">
        <v>0</v>
      </c>
    </row>
    <row r="4703" spans="1:123" x14ac:dyDescent="0.3">
      <c r="A4703" t="str">
        <f>"10/04/2022 19:38:08.324"</f>
        <v>10/04/2022 19:38:08.324</v>
      </c>
      <c r="C4703" t="str">
        <f t="shared" si="1721"/>
        <v>FFDFD3C0</v>
      </c>
      <c r="D4703" t="s">
        <v>134</v>
      </c>
      <c r="E4703">
        <v>15</v>
      </c>
      <c r="J4703" t="s">
        <v>135</v>
      </c>
      <c r="K4703">
        <v>0</v>
      </c>
      <c r="L4703">
        <v>3</v>
      </c>
      <c r="M4703">
        <v>0</v>
      </c>
      <c r="N4703">
        <v>2</v>
      </c>
      <c r="O4703">
        <v>0</v>
      </c>
      <c r="P4703">
        <v>1</v>
      </c>
      <c r="Q4703">
        <v>0</v>
      </c>
      <c r="S4703" t="str">
        <f t="shared" si="1738"/>
        <v>19:38:07.000</v>
      </c>
      <c r="T4703" t="str">
        <f t="shared" si="1738"/>
        <v>19:38:07.000</v>
      </c>
      <c r="U4703" t="str">
        <f t="shared" si="1729"/>
        <v>AC3944</v>
      </c>
      <c r="V4703">
        <v>0</v>
      </c>
      <c r="W4703">
        <v>0</v>
      </c>
      <c r="X4703">
        <v>2</v>
      </c>
      <c r="Y4703">
        <v>0</v>
      </c>
      <c r="AA4703">
        <v>1</v>
      </c>
      <c r="AB4703">
        <v>8</v>
      </c>
      <c r="AC4703">
        <v>3</v>
      </c>
      <c r="AD4703">
        <v>0</v>
      </c>
      <c r="AE4703">
        <v>9</v>
      </c>
      <c r="AF4703" t="s">
        <v>138</v>
      </c>
      <c r="AG4703">
        <v>0</v>
      </c>
      <c r="AH4703">
        <v>3</v>
      </c>
      <c r="AI4703">
        <v>1</v>
      </c>
      <c r="AJ4703">
        <v>0</v>
      </c>
      <c r="AK4703" t="s">
        <v>1474</v>
      </c>
      <c r="AL4703">
        <v>32.718508</v>
      </c>
      <c r="AM4703" t="s">
        <v>1475</v>
      </c>
      <c r="AN4703">
        <v>-116.741624</v>
      </c>
      <c r="AO4703">
        <v>25</v>
      </c>
      <c r="AP4703">
        <v>4200</v>
      </c>
      <c r="AQ4703" t="s">
        <v>129</v>
      </c>
      <c r="AR4703">
        <v>-161</v>
      </c>
      <c r="AS4703">
        <v>-93</v>
      </c>
      <c r="AT4703">
        <v>-1664</v>
      </c>
      <c r="BB4703">
        <v>1200</v>
      </c>
      <c r="BC4703">
        <v>1</v>
      </c>
      <c r="BD4703" t="str">
        <f t="shared" si="1730"/>
        <v xml:space="preserve">N887QR  </v>
      </c>
      <c r="BE4703">
        <v>1</v>
      </c>
      <c r="BG4703">
        <v>0</v>
      </c>
      <c r="BH4703">
        <v>0</v>
      </c>
      <c r="BI4703">
        <v>0</v>
      </c>
      <c r="BJ4703">
        <v>3700</v>
      </c>
      <c r="BK4703">
        <v>-500</v>
      </c>
      <c r="BL4703" t="s">
        <v>163</v>
      </c>
      <c r="BM4703">
        <v>1</v>
      </c>
      <c r="BN4703">
        <v>1</v>
      </c>
      <c r="BO4703">
        <v>1</v>
      </c>
      <c r="BP4703">
        <v>0</v>
      </c>
      <c r="BS4703">
        <v>0</v>
      </c>
      <c r="BT4703">
        <v>0</v>
      </c>
      <c r="BU4703">
        <v>0</v>
      </c>
      <c r="CE4703" t="str">
        <f t="shared" si="1740"/>
        <v>19:38:07.953</v>
      </c>
      <c r="CF4703">
        <v>953323718</v>
      </c>
      <c r="CS4703">
        <v>0</v>
      </c>
      <c r="CT4703">
        <v>2</v>
      </c>
      <c r="CU4703">
        <v>0</v>
      </c>
      <c r="CV4703">
        <v>2</v>
      </c>
      <c r="CW4703">
        <v>0</v>
      </c>
      <c r="CX4703">
        <v>5</v>
      </c>
      <c r="CY4703">
        <v>7</v>
      </c>
      <c r="CZ4703" t="s">
        <v>131</v>
      </c>
      <c r="DA4703">
        <v>286</v>
      </c>
      <c r="DB4703">
        <v>0</v>
      </c>
      <c r="DC4703" t="s">
        <v>132</v>
      </c>
      <c r="DD4703" t="s">
        <v>133</v>
      </c>
      <c r="DG4703">
        <v>922938</v>
      </c>
      <c r="DI4703">
        <v>0</v>
      </c>
      <c r="DJ4703">
        <v>0</v>
      </c>
      <c r="DK4703">
        <v>1</v>
      </c>
      <c r="DL4703">
        <v>0</v>
      </c>
      <c r="DM4703">
        <v>0</v>
      </c>
      <c r="DN4703">
        <v>1</v>
      </c>
      <c r="DO4703">
        <v>0</v>
      </c>
      <c r="DP4703">
        <v>0</v>
      </c>
      <c r="DQ4703">
        <v>0</v>
      </c>
      <c r="DR4703">
        <v>0</v>
      </c>
      <c r="DS4703">
        <v>0</v>
      </c>
    </row>
    <row r="4704" spans="1:123" x14ac:dyDescent="0.3">
      <c r="A4704" t="str">
        <f>"10/04/2022 19:38:08.324"</f>
        <v>10/04/2022 19:38:08.324</v>
      </c>
      <c r="C4704" t="str">
        <f t="shared" si="1721"/>
        <v>FFDFD3C0</v>
      </c>
      <c r="D4704" t="s">
        <v>141</v>
      </c>
      <c r="E4704">
        <v>3</v>
      </c>
      <c r="H4704">
        <v>3</v>
      </c>
      <c r="I4704" t="s">
        <v>146</v>
      </c>
      <c r="J4704" t="s">
        <v>138</v>
      </c>
      <c r="K4704">
        <v>0</v>
      </c>
      <c r="L4704">
        <v>3</v>
      </c>
      <c r="M4704">
        <v>0</v>
      </c>
      <c r="N4704">
        <v>2</v>
      </c>
      <c r="O4704">
        <v>0</v>
      </c>
      <c r="P4704">
        <v>1</v>
      </c>
      <c r="Q4704">
        <v>0</v>
      </c>
      <c r="S4704" t="str">
        <f t="shared" si="1738"/>
        <v>19:38:07.000</v>
      </c>
      <c r="T4704" t="str">
        <f t="shared" si="1738"/>
        <v>19:38:07.000</v>
      </c>
      <c r="U4704" t="str">
        <f t="shared" si="1729"/>
        <v>AC3944</v>
      </c>
      <c r="V4704">
        <v>0</v>
      </c>
      <c r="W4704">
        <v>0</v>
      </c>
      <c r="X4704">
        <v>2</v>
      </c>
      <c r="Y4704">
        <v>0</v>
      </c>
      <c r="AA4704">
        <v>1</v>
      </c>
      <c r="AB4704">
        <v>8</v>
      </c>
      <c r="AC4704">
        <v>3</v>
      </c>
      <c r="AD4704">
        <v>0</v>
      </c>
      <c r="AE4704">
        <v>9</v>
      </c>
      <c r="AF4704" t="s">
        <v>138</v>
      </c>
      <c r="AG4704">
        <v>0</v>
      </c>
      <c r="AH4704">
        <v>3</v>
      </c>
      <c r="AI4704">
        <v>1</v>
      </c>
      <c r="AJ4704">
        <v>0</v>
      </c>
      <c r="AK4704" t="s">
        <v>1474</v>
      </c>
      <c r="AL4704">
        <v>32.718508</v>
      </c>
      <c r="AM4704" t="s">
        <v>1475</v>
      </c>
      <c r="AN4704">
        <v>-116.741624</v>
      </c>
      <c r="AO4704">
        <v>25</v>
      </c>
      <c r="AP4704">
        <v>4200</v>
      </c>
      <c r="AQ4704" t="s">
        <v>129</v>
      </c>
      <c r="AR4704">
        <v>-161</v>
      </c>
      <c r="AS4704">
        <v>-93</v>
      </c>
      <c r="AT4704">
        <v>-1664</v>
      </c>
      <c r="BB4704">
        <v>1200</v>
      </c>
      <c r="BC4704">
        <v>1</v>
      </c>
      <c r="BD4704" t="str">
        <f t="shared" si="1730"/>
        <v xml:space="preserve">N887QR  </v>
      </c>
      <c r="BE4704">
        <v>1</v>
      </c>
      <c r="BG4704">
        <v>0</v>
      </c>
      <c r="BH4704">
        <v>0</v>
      </c>
      <c r="BI4704">
        <v>0</v>
      </c>
      <c r="BJ4704">
        <v>3700</v>
      </c>
      <c r="BK4704">
        <v>-500</v>
      </c>
      <c r="BL4704" t="s">
        <v>163</v>
      </c>
      <c r="BM4704">
        <v>1</v>
      </c>
      <c r="BN4704">
        <v>1</v>
      </c>
      <c r="BO4704">
        <v>1</v>
      </c>
      <c r="BP4704">
        <v>0</v>
      </c>
      <c r="BS4704">
        <v>0</v>
      </c>
      <c r="BT4704">
        <v>0</v>
      </c>
      <c r="BU4704">
        <v>0</v>
      </c>
      <c r="CE4704" t="str">
        <f t="shared" si="1740"/>
        <v>19:38:07.953</v>
      </c>
      <c r="CF4704">
        <v>953323718</v>
      </c>
      <c r="CS4704">
        <v>0</v>
      </c>
      <c r="CT4704">
        <v>2</v>
      </c>
      <c r="CU4704">
        <v>0</v>
      </c>
      <c r="CV4704">
        <v>2</v>
      </c>
      <c r="CW4704">
        <v>0</v>
      </c>
      <c r="CX4704">
        <v>5</v>
      </c>
      <c r="CY4704">
        <v>7</v>
      </c>
      <c r="CZ4704" t="s">
        <v>131</v>
      </c>
      <c r="DA4704">
        <v>286</v>
      </c>
      <c r="DB4704">
        <v>0</v>
      </c>
      <c r="DC4704" t="s">
        <v>132</v>
      </c>
      <c r="DD4704" t="s">
        <v>133</v>
      </c>
      <c r="DG4704">
        <v>922938</v>
      </c>
      <c r="DI4704">
        <v>0</v>
      </c>
      <c r="DJ4704">
        <v>0</v>
      </c>
      <c r="DK4704">
        <v>1</v>
      </c>
      <c r="DL4704">
        <v>0</v>
      </c>
      <c r="DM4704">
        <v>0</v>
      </c>
      <c r="DN4704">
        <v>1</v>
      </c>
      <c r="DO4704">
        <v>0</v>
      </c>
      <c r="DP4704">
        <v>0</v>
      </c>
      <c r="DQ4704">
        <v>0</v>
      </c>
      <c r="DR4704">
        <v>0</v>
      </c>
      <c r="DS4704">
        <v>0</v>
      </c>
    </row>
    <row r="4705" spans="1:123" x14ac:dyDescent="0.3">
      <c r="A4705" t="str">
        <f>"10/04/2022 19:38:08.324"</f>
        <v>10/04/2022 19:38:08.324</v>
      </c>
      <c r="C4705" t="str">
        <f t="shared" si="1721"/>
        <v>FFDFD3C0</v>
      </c>
      <c r="D4705" t="s">
        <v>136</v>
      </c>
      <c r="E4705">
        <v>8</v>
      </c>
      <c r="H4705">
        <v>225</v>
      </c>
      <c r="I4705" t="s">
        <v>137</v>
      </c>
      <c r="J4705" t="s">
        <v>138</v>
      </c>
      <c r="K4705">
        <v>0</v>
      </c>
      <c r="L4705">
        <v>3</v>
      </c>
      <c r="M4705">
        <v>0</v>
      </c>
      <c r="N4705">
        <v>2</v>
      </c>
      <c r="O4705">
        <v>0</v>
      </c>
      <c r="P4705">
        <v>1</v>
      </c>
      <c r="Q4705">
        <v>0</v>
      </c>
      <c r="S4705" t="str">
        <f t="shared" si="1738"/>
        <v>19:38:07.000</v>
      </c>
      <c r="T4705" t="str">
        <f t="shared" si="1738"/>
        <v>19:38:07.000</v>
      </c>
      <c r="U4705" t="str">
        <f t="shared" si="1729"/>
        <v>AC3944</v>
      </c>
      <c r="V4705">
        <v>0</v>
      </c>
      <c r="W4705">
        <v>0</v>
      </c>
      <c r="X4705">
        <v>2</v>
      </c>
      <c r="Y4705">
        <v>0</v>
      </c>
      <c r="AA4705">
        <v>1</v>
      </c>
      <c r="AB4705">
        <v>8</v>
      </c>
      <c r="AC4705">
        <v>3</v>
      </c>
      <c r="AD4705">
        <v>0</v>
      </c>
      <c r="AE4705">
        <v>9</v>
      </c>
      <c r="AF4705" t="s">
        <v>138</v>
      </c>
      <c r="AG4705">
        <v>0</v>
      </c>
      <c r="AH4705">
        <v>3</v>
      </c>
      <c r="AI4705">
        <v>1</v>
      </c>
      <c r="AJ4705">
        <v>0</v>
      </c>
      <c r="AK4705" t="s">
        <v>1474</v>
      </c>
      <c r="AL4705">
        <v>32.718508</v>
      </c>
      <c r="AM4705" t="s">
        <v>1475</v>
      </c>
      <c r="AN4705">
        <v>-116.741624</v>
      </c>
      <c r="AO4705">
        <v>25</v>
      </c>
      <c r="AP4705">
        <v>4200</v>
      </c>
      <c r="AQ4705" t="s">
        <v>129</v>
      </c>
      <c r="AR4705">
        <v>-161</v>
      </c>
      <c r="AS4705">
        <v>-93</v>
      </c>
      <c r="AT4705">
        <v>-1664</v>
      </c>
      <c r="BB4705">
        <v>1200</v>
      </c>
      <c r="BC4705">
        <v>1</v>
      </c>
      <c r="BD4705" t="str">
        <f t="shared" si="1730"/>
        <v xml:space="preserve">N887QR  </v>
      </c>
      <c r="BE4705">
        <v>1</v>
      </c>
      <c r="BG4705">
        <v>0</v>
      </c>
      <c r="BH4705">
        <v>0</v>
      </c>
      <c r="BI4705">
        <v>0</v>
      </c>
      <c r="BJ4705">
        <v>3700</v>
      </c>
      <c r="BK4705">
        <v>-500</v>
      </c>
      <c r="BL4705" t="s">
        <v>163</v>
      </c>
      <c r="BM4705">
        <v>1</v>
      </c>
      <c r="BN4705">
        <v>1</v>
      </c>
      <c r="BO4705">
        <v>1</v>
      </c>
      <c r="BP4705">
        <v>0</v>
      </c>
      <c r="BS4705">
        <v>0</v>
      </c>
      <c r="BT4705">
        <v>0</v>
      </c>
      <c r="BU4705">
        <v>0</v>
      </c>
      <c r="CE4705" t="str">
        <f t="shared" si="1740"/>
        <v>19:38:07.953</v>
      </c>
      <c r="CF4705">
        <v>953323718</v>
      </c>
      <c r="CS4705">
        <v>0</v>
      </c>
      <c r="CT4705">
        <v>2</v>
      </c>
      <c r="CU4705">
        <v>0</v>
      </c>
      <c r="CV4705">
        <v>2</v>
      </c>
      <c r="CW4705">
        <v>0</v>
      </c>
      <c r="CX4705">
        <v>5</v>
      </c>
      <c r="CY4705">
        <v>7</v>
      </c>
      <c r="CZ4705" t="s">
        <v>131</v>
      </c>
      <c r="DA4705">
        <v>286</v>
      </c>
      <c r="DB4705">
        <v>0</v>
      </c>
      <c r="DC4705" t="s">
        <v>132</v>
      </c>
      <c r="DD4705" t="s">
        <v>133</v>
      </c>
      <c r="DG4705">
        <v>922938</v>
      </c>
      <c r="DI4705">
        <v>0</v>
      </c>
      <c r="DJ4705">
        <v>0</v>
      </c>
      <c r="DK4705">
        <v>1</v>
      </c>
      <c r="DL4705">
        <v>0</v>
      </c>
      <c r="DM4705">
        <v>0</v>
      </c>
      <c r="DN4705">
        <v>1</v>
      </c>
      <c r="DO4705">
        <v>0</v>
      </c>
      <c r="DP4705">
        <v>0</v>
      </c>
      <c r="DQ4705">
        <v>0</v>
      </c>
      <c r="DR4705">
        <v>0</v>
      </c>
      <c r="DS4705">
        <v>0</v>
      </c>
    </row>
    <row r="4706" spans="1:123" x14ac:dyDescent="0.3">
      <c r="A4706" t="str">
        <f>"10/04/2022 19:38:08.339"</f>
        <v>10/04/2022 19:38:08.339</v>
      </c>
      <c r="C4706" t="str">
        <f t="shared" si="1721"/>
        <v>FFDFD3C0</v>
      </c>
      <c r="D4706" t="s">
        <v>141</v>
      </c>
      <c r="E4706">
        <v>4</v>
      </c>
      <c r="H4706">
        <v>4</v>
      </c>
      <c r="I4706" t="s">
        <v>142</v>
      </c>
      <c r="J4706" t="s">
        <v>138</v>
      </c>
      <c r="K4706">
        <v>0</v>
      </c>
      <c r="L4706">
        <v>3</v>
      </c>
      <c r="M4706">
        <v>0</v>
      </c>
      <c r="N4706">
        <v>2</v>
      </c>
      <c r="O4706">
        <v>0</v>
      </c>
      <c r="P4706">
        <v>1</v>
      </c>
      <c r="Q4706">
        <v>0</v>
      </c>
      <c r="S4706" t="str">
        <f t="shared" si="1738"/>
        <v>19:38:07.000</v>
      </c>
      <c r="T4706" t="str">
        <f t="shared" si="1738"/>
        <v>19:38:07.000</v>
      </c>
      <c r="U4706" t="str">
        <f t="shared" si="1729"/>
        <v>AC3944</v>
      </c>
      <c r="V4706">
        <v>0</v>
      </c>
      <c r="W4706">
        <v>0</v>
      </c>
      <c r="X4706">
        <v>2</v>
      </c>
      <c r="Y4706">
        <v>0</v>
      </c>
      <c r="AA4706">
        <v>1</v>
      </c>
      <c r="AB4706">
        <v>8</v>
      </c>
      <c r="AC4706">
        <v>3</v>
      </c>
      <c r="AD4706">
        <v>0</v>
      </c>
      <c r="AE4706">
        <v>9</v>
      </c>
      <c r="AF4706" t="s">
        <v>138</v>
      </c>
      <c r="AG4706">
        <v>0</v>
      </c>
      <c r="AH4706">
        <v>3</v>
      </c>
      <c r="AI4706">
        <v>1</v>
      </c>
      <c r="AJ4706">
        <v>0</v>
      </c>
      <c r="AK4706" t="s">
        <v>1474</v>
      </c>
      <c r="AL4706">
        <v>32.718508</v>
      </c>
      <c r="AM4706" t="s">
        <v>1475</v>
      </c>
      <c r="AN4706">
        <v>-116.741624</v>
      </c>
      <c r="AO4706">
        <v>25</v>
      </c>
      <c r="AP4706">
        <v>4200</v>
      </c>
      <c r="AQ4706" t="s">
        <v>129</v>
      </c>
      <c r="AR4706">
        <v>-161</v>
      </c>
      <c r="AS4706">
        <v>-93</v>
      </c>
      <c r="AT4706">
        <v>-1664</v>
      </c>
      <c r="BB4706">
        <v>1200</v>
      </c>
      <c r="BC4706">
        <v>1</v>
      </c>
      <c r="BD4706" t="str">
        <f t="shared" si="1730"/>
        <v xml:space="preserve">N887QR  </v>
      </c>
      <c r="BE4706">
        <v>1</v>
      </c>
      <c r="BG4706">
        <v>0</v>
      </c>
      <c r="BH4706">
        <v>0</v>
      </c>
      <c r="BI4706">
        <v>0</v>
      </c>
      <c r="BJ4706">
        <v>3700</v>
      </c>
      <c r="BK4706">
        <v>-500</v>
      </c>
      <c r="BL4706" t="s">
        <v>163</v>
      </c>
      <c r="BM4706">
        <v>1</v>
      </c>
      <c r="BN4706">
        <v>1</v>
      </c>
      <c r="BO4706">
        <v>1</v>
      </c>
      <c r="BP4706">
        <v>0</v>
      </c>
      <c r="BS4706">
        <v>0</v>
      </c>
      <c r="BT4706">
        <v>0</v>
      </c>
      <c r="BU4706">
        <v>0</v>
      </c>
      <c r="CE4706" t="str">
        <f t="shared" si="1740"/>
        <v>19:38:07.953</v>
      </c>
      <c r="CF4706">
        <v>953323718</v>
      </c>
      <c r="CS4706">
        <v>0</v>
      </c>
      <c r="CT4706">
        <v>2</v>
      </c>
      <c r="CU4706">
        <v>0</v>
      </c>
      <c r="CV4706">
        <v>2</v>
      </c>
      <c r="CW4706">
        <v>0</v>
      </c>
      <c r="CX4706">
        <v>5</v>
      </c>
      <c r="CY4706">
        <v>7</v>
      </c>
      <c r="CZ4706" t="s">
        <v>131</v>
      </c>
      <c r="DA4706">
        <v>286</v>
      </c>
      <c r="DB4706">
        <v>0</v>
      </c>
      <c r="DC4706" t="s">
        <v>132</v>
      </c>
      <c r="DD4706" t="s">
        <v>133</v>
      </c>
      <c r="DG4706">
        <v>922938</v>
      </c>
      <c r="DI4706">
        <v>0</v>
      </c>
      <c r="DJ4706">
        <v>0</v>
      </c>
      <c r="DK4706">
        <v>1</v>
      </c>
      <c r="DL4706">
        <v>0</v>
      </c>
      <c r="DM4706">
        <v>0</v>
      </c>
      <c r="DN4706">
        <v>1</v>
      </c>
      <c r="DO4706">
        <v>0</v>
      </c>
      <c r="DP4706">
        <v>0</v>
      </c>
      <c r="DQ4706">
        <v>0</v>
      </c>
      <c r="DR4706">
        <v>0</v>
      </c>
      <c r="DS4706">
        <v>0</v>
      </c>
    </row>
    <row r="4707" spans="1:123" x14ac:dyDescent="0.3">
      <c r="A4707" t="str">
        <f>"10/04/2022 19:38:08.339"</f>
        <v>10/04/2022 19:38:08.339</v>
      </c>
      <c r="C4707" t="str">
        <f t="shared" si="1721"/>
        <v>FFDFD3C0</v>
      </c>
      <c r="D4707" t="s">
        <v>143</v>
      </c>
      <c r="E4707">
        <v>20</v>
      </c>
      <c r="F4707">
        <v>1020</v>
      </c>
      <c r="G4707" t="s">
        <v>144</v>
      </c>
      <c r="J4707" t="s">
        <v>145</v>
      </c>
      <c r="K4707">
        <v>0</v>
      </c>
      <c r="L4707">
        <v>3</v>
      </c>
      <c r="M4707">
        <v>0</v>
      </c>
      <c r="N4707">
        <v>2</v>
      </c>
      <c r="O4707">
        <v>0</v>
      </c>
      <c r="P4707">
        <v>1</v>
      </c>
      <c r="Q4707">
        <v>0</v>
      </c>
      <c r="S4707" t="str">
        <f t="shared" si="1738"/>
        <v>19:38:07.000</v>
      </c>
      <c r="T4707" t="str">
        <f t="shared" si="1738"/>
        <v>19:38:07.000</v>
      </c>
      <c r="U4707" t="str">
        <f t="shared" si="1729"/>
        <v>AC3944</v>
      </c>
      <c r="V4707">
        <v>0</v>
      </c>
      <c r="W4707">
        <v>0</v>
      </c>
      <c r="X4707">
        <v>2</v>
      </c>
      <c r="Y4707">
        <v>0</v>
      </c>
      <c r="AA4707">
        <v>1</v>
      </c>
      <c r="AB4707">
        <v>8</v>
      </c>
      <c r="AC4707">
        <v>3</v>
      </c>
      <c r="AD4707">
        <v>0</v>
      </c>
      <c r="AE4707">
        <v>9</v>
      </c>
      <c r="AF4707" t="s">
        <v>138</v>
      </c>
      <c r="AG4707">
        <v>0</v>
      </c>
      <c r="AH4707">
        <v>3</v>
      </c>
      <c r="AI4707">
        <v>1</v>
      </c>
      <c r="AJ4707">
        <v>0</v>
      </c>
      <c r="AK4707" t="s">
        <v>1474</v>
      </c>
      <c r="AL4707">
        <v>32.718508</v>
      </c>
      <c r="AM4707" t="s">
        <v>1475</v>
      </c>
      <c r="AN4707">
        <v>-116.741624</v>
      </c>
      <c r="AO4707">
        <v>25</v>
      </c>
      <c r="AP4707">
        <v>4200</v>
      </c>
      <c r="AQ4707" t="s">
        <v>129</v>
      </c>
      <c r="AR4707">
        <v>-161</v>
      </c>
      <c r="AS4707">
        <v>-93</v>
      </c>
      <c r="AT4707">
        <v>-1664</v>
      </c>
      <c r="BB4707">
        <v>1200</v>
      </c>
      <c r="BC4707">
        <v>1</v>
      </c>
      <c r="BD4707" t="str">
        <f t="shared" si="1730"/>
        <v xml:space="preserve">N887QR  </v>
      </c>
      <c r="BE4707">
        <v>1</v>
      </c>
      <c r="BG4707">
        <v>0</v>
      </c>
      <c r="BH4707">
        <v>0</v>
      </c>
      <c r="BI4707">
        <v>0</v>
      </c>
      <c r="BJ4707">
        <v>3700</v>
      </c>
      <c r="BK4707">
        <v>-500</v>
      </c>
      <c r="BL4707" t="s">
        <v>163</v>
      </c>
      <c r="BM4707">
        <v>1</v>
      </c>
      <c r="BN4707">
        <v>1</v>
      </c>
      <c r="BO4707">
        <v>1</v>
      </c>
      <c r="BP4707">
        <v>0</v>
      </c>
      <c r="BS4707">
        <v>0</v>
      </c>
      <c r="BT4707">
        <v>0</v>
      </c>
      <c r="BU4707">
        <v>0</v>
      </c>
      <c r="CE4707" t="str">
        <f t="shared" si="1740"/>
        <v>19:38:07.953</v>
      </c>
      <c r="CF4707">
        <v>953323718</v>
      </c>
      <c r="CS4707">
        <v>0</v>
      </c>
      <c r="CT4707">
        <v>2</v>
      </c>
      <c r="CU4707">
        <v>0</v>
      </c>
      <c r="CV4707">
        <v>2</v>
      </c>
      <c r="CW4707">
        <v>0</v>
      </c>
      <c r="CX4707">
        <v>5</v>
      </c>
      <c r="CY4707">
        <v>7</v>
      </c>
      <c r="CZ4707" t="s">
        <v>131</v>
      </c>
      <c r="DA4707">
        <v>286</v>
      </c>
      <c r="DB4707">
        <v>0</v>
      </c>
      <c r="DC4707" t="s">
        <v>132</v>
      </c>
      <c r="DD4707" t="s">
        <v>133</v>
      </c>
      <c r="DG4707">
        <v>922938</v>
      </c>
      <c r="DI4707">
        <v>0</v>
      </c>
      <c r="DJ4707">
        <v>0</v>
      </c>
      <c r="DK4707">
        <v>1</v>
      </c>
      <c r="DL4707">
        <v>0</v>
      </c>
      <c r="DM4707">
        <v>0</v>
      </c>
      <c r="DN4707">
        <v>1</v>
      </c>
      <c r="DO4707">
        <v>0</v>
      </c>
      <c r="DP4707">
        <v>0</v>
      </c>
      <c r="DQ4707">
        <v>0</v>
      </c>
      <c r="DR4707">
        <v>0</v>
      </c>
      <c r="DS4707">
        <v>0</v>
      </c>
    </row>
    <row r="4708" spans="1:123" x14ac:dyDescent="0.3">
      <c r="A4708" t="str">
        <f>"10/04/2022 19:38:09.621"</f>
        <v>10/04/2022 19:38:09.621</v>
      </c>
      <c r="C4708" t="str">
        <f t="shared" si="1721"/>
        <v>FFDFD3C0</v>
      </c>
      <c r="D4708" t="s">
        <v>147</v>
      </c>
      <c r="E4708">
        <v>3</v>
      </c>
      <c r="H4708">
        <v>166</v>
      </c>
      <c r="I4708" t="s">
        <v>144</v>
      </c>
      <c r="J4708" t="s">
        <v>148</v>
      </c>
      <c r="K4708">
        <v>0</v>
      </c>
      <c r="L4708">
        <v>3</v>
      </c>
      <c r="M4708">
        <v>0</v>
      </c>
      <c r="N4708">
        <v>2</v>
      </c>
      <c r="O4708">
        <v>0</v>
      </c>
      <c r="P4708">
        <v>1</v>
      </c>
      <c r="Q4708">
        <v>0</v>
      </c>
      <c r="S4708" t="str">
        <f t="shared" ref="S4708:T4717" si="1741">"19:38:09.000"</f>
        <v>19:38:09.000</v>
      </c>
      <c r="T4708" t="str">
        <f t="shared" si="1741"/>
        <v>19:38:09.000</v>
      </c>
      <c r="U4708" t="str">
        <f t="shared" si="1729"/>
        <v>AC3944</v>
      </c>
      <c r="V4708">
        <v>0</v>
      </c>
      <c r="W4708">
        <v>0</v>
      </c>
      <c r="X4708">
        <v>2</v>
      </c>
      <c r="Y4708">
        <v>0</v>
      </c>
      <c r="AA4708">
        <v>1</v>
      </c>
      <c r="AB4708">
        <v>8</v>
      </c>
      <c r="AC4708">
        <v>3</v>
      </c>
      <c r="AD4708">
        <v>0</v>
      </c>
      <c r="AE4708">
        <v>9</v>
      </c>
      <c r="AF4708" t="s">
        <v>138</v>
      </c>
      <c r="AG4708">
        <v>0</v>
      </c>
      <c r="AH4708">
        <v>3</v>
      </c>
      <c r="AI4708">
        <v>1</v>
      </c>
      <c r="AJ4708">
        <v>0</v>
      </c>
      <c r="AK4708" t="s">
        <v>1476</v>
      </c>
      <c r="AL4708">
        <v>32.718164999999999</v>
      </c>
      <c r="AM4708" t="s">
        <v>1477</v>
      </c>
      <c r="AN4708">
        <v>-116.742332</v>
      </c>
      <c r="AO4708">
        <v>25</v>
      </c>
      <c r="AP4708">
        <v>4200</v>
      </c>
      <c r="AQ4708" t="s">
        <v>129</v>
      </c>
      <c r="AR4708">
        <v>-160</v>
      </c>
      <c r="AS4708">
        <v>-93</v>
      </c>
      <c r="AT4708">
        <v>-1664</v>
      </c>
      <c r="BB4708">
        <v>1200</v>
      </c>
      <c r="BC4708">
        <v>1</v>
      </c>
      <c r="BD4708" t="str">
        <f t="shared" si="1730"/>
        <v xml:space="preserve">N887QR  </v>
      </c>
      <c r="BE4708">
        <v>1</v>
      </c>
      <c r="BG4708">
        <v>0</v>
      </c>
      <c r="BH4708">
        <v>0</v>
      </c>
      <c r="BI4708">
        <v>0</v>
      </c>
      <c r="BJ4708">
        <v>3700</v>
      </c>
      <c r="BK4708">
        <v>-500</v>
      </c>
      <c r="BL4708" t="s">
        <v>163</v>
      </c>
      <c r="BM4708">
        <v>1</v>
      </c>
      <c r="BN4708">
        <v>1</v>
      </c>
      <c r="BO4708">
        <v>1</v>
      </c>
      <c r="BP4708">
        <v>0</v>
      </c>
      <c r="BS4708">
        <v>0</v>
      </c>
      <c r="BT4708">
        <v>0</v>
      </c>
      <c r="BU4708">
        <v>0</v>
      </c>
      <c r="CE4708" t="str">
        <f t="shared" ref="CE4708:CE4714" si="1742">"19:38:09.420"</f>
        <v>19:38:09.420</v>
      </c>
      <c r="CF4708">
        <v>419578042</v>
      </c>
      <c r="CS4708">
        <v>0</v>
      </c>
      <c r="CT4708">
        <v>2</v>
      </c>
      <c r="CU4708">
        <v>0</v>
      </c>
      <c r="CV4708">
        <v>2</v>
      </c>
      <c r="CW4708">
        <v>0</v>
      </c>
      <c r="CX4708">
        <v>5</v>
      </c>
      <c r="CY4708">
        <v>7</v>
      </c>
      <c r="CZ4708" t="s">
        <v>131</v>
      </c>
      <c r="DA4708">
        <v>286</v>
      </c>
      <c r="DB4708">
        <v>0</v>
      </c>
      <c r="DC4708" t="s">
        <v>132</v>
      </c>
      <c r="DD4708" t="s">
        <v>133</v>
      </c>
      <c r="DG4708">
        <v>923296</v>
      </c>
      <c r="DI4708">
        <v>0</v>
      </c>
      <c r="DJ4708">
        <v>0</v>
      </c>
      <c r="DK4708">
        <v>0</v>
      </c>
      <c r="DL4708">
        <v>0</v>
      </c>
      <c r="DM4708">
        <v>0</v>
      </c>
      <c r="DN4708">
        <v>1</v>
      </c>
      <c r="DO4708">
        <v>0</v>
      </c>
      <c r="DP4708">
        <v>0</v>
      </c>
      <c r="DQ4708">
        <v>0</v>
      </c>
      <c r="DR4708">
        <v>0</v>
      </c>
      <c r="DS4708">
        <v>0</v>
      </c>
    </row>
    <row r="4709" spans="1:123" x14ac:dyDescent="0.3">
      <c r="A4709" t="str">
        <f t="shared" ref="A4709:A4714" si="1743">"10/04/2022 19:38:09.699"</f>
        <v>10/04/2022 19:38:09.699</v>
      </c>
      <c r="C4709" t="str">
        <f t="shared" si="1721"/>
        <v>FFDFD3C0</v>
      </c>
      <c r="D4709" t="s">
        <v>136</v>
      </c>
      <c r="E4709">
        <v>8</v>
      </c>
      <c r="H4709">
        <v>225</v>
      </c>
      <c r="I4709" t="s">
        <v>137</v>
      </c>
      <c r="J4709" t="s">
        <v>138</v>
      </c>
      <c r="K4709">
        <v>0</v>
      </c>
      <c r="L4709">
        <v>3</v>
      </c>
      <c r="M4709">
        <v>0</v>
      </c>
      <c r="N4709">
        <v>2</v>
      </c>
      <c r="O4709">
        <v>0</v>
      </c>
      <c r="P4709">
        <v>1</v>
      </c>
      <c r="Q4709">
        <v>0</v>
      </c>
      <c r="S4709" t="str">
        <f t="shared" si="1741"/>
        <v>19:38:09.000</v>
      </c>
      <c r="T4709" t="str">
        <f t="shared" si="1741"/>
        <v>19:38:09.000</v>
      </c>
      <c r="U4709" t="str">
        <f t="shared" si="1729"/>
        <v>AC3944</v>
      </c>
      <c r="V4709">
        <v>0</v>
      </c>
      <c r="W4709">
        <v>0</v>
      </c>
      <c r="X4709">
        <v>2</v>
      </c>
      <c r="Y4709">
        <v>0</v>
      </c>
      <c r="AA4709">
        <v>1</v>
      </c>
      <c r="AB4709">
        <v>8</v>
      </c>
      <c r="AC4709">
        <v>3</v>
      </c>
      <c r="AD4709">
        <v>0</v>
      </c>
      <c r="AE4709">
        <v>9</v>
      </c>
      <c r="AF4709" t="s">
        <v>138</v>
      </c>
      <c r="AG4709">
        <v>0</v>
      </c>
      <c r="AH4709">
        <v>3</v>
      </c>
      <c r="AI4709">
        <v>1</v>
      </c>
      <c r="AJ4709">
        <v>0</v>
      </c>
      <c r="AK4709" t="s">
        <v>1476</v>
      </c>
      <c r="AL4709">
        <v>32.718164999999999</v>
      </c>
      <c r="AM4709" t="s">
        <v>1477</v>
      </c>
      <c r="AN4709">
        <v>-116.742332</v>
      </c>
      <c r="AO4709">
        <v>25</v>
      </c>
      <c r="AP4709">
        <v>4200</v>
      </c>
      <c r="AQ4709" t="s">
        <v>129</v>
      </c>
      <c r="AR4709">
        <v>-160</v>
      </c>
      <c r="AS4709">
        <v>-93</v>
      </c>
      <c r="AT4709">
        <v>-1664</v>
      </c>
      <c r="BB4709">
        <v>1200</v>
      </c>
      <c r="BC4709">
        <v>1</v>
      </c>
      <c r="BD4709" t="str">
        <f t="shared" si="1730"/>
        <v xml:space="preserve">N887QR  </v>
      </c>
      <c r="BE4709">
        <v>1</v>
      </c>
      <c r="BG4709">
        <v>0</v>
      </c>
      <c r="BH4709">
        <v>0</v>
      </c>
      <c r="BI4709">
        <v>0</v>
      </c>
      <c r="BJ4709">
        <v>3700</v>
      </c>
      <c r="BK4709">
        <v>-500</v>
      </c>
      <c r="BL4709" t="s">
        <v>163</v>
      </c>
      <c r="BM4709">
        <v>1</v>
      </c>
      <c r="BN4709">
        <v>1</v>
      </c>
      <c r="BO4709">
        <v>1</v>
      </c>
      <c r="BP4709">
        <v>0</v>
      </c>
      <c r="BS4709">
        <v>0</v>
      </c>
      <c r="BT4709">
        <v>0</v>
      </c>
      <c r="BU4709">
        <v>0</v>
      </c>
      <c r="CE4709" t="str">
        <f t="shared" si="1742"/>
        <v>19:38:09.420</v>
      </c>
      <c r="CF4709">
        <v>419578042</v>
      </c>
      <c r="CS4709">
        <v>0</v>
      </c>
      <c r="CT4709">
        <v>2</v>
      </c>
      <c r="CU4709">
        <v>0</v>
      </c>
      <c r="CV4709">
        <v>2</v>
      </c>
      <c r="CW4709">
        <v>0</v>
      </c>
      <c r="CX4709">
        <v>5</v>
      </c>
      <c r="CY4709">
        <v>7</v>
      </c>
      <c r="CZ4709" t="s">
        <v>131</v>
      </c>
      <c r="DA4709">
        <v>286</v>
      </c>
      <c r="DB4709">
        <v>0</v>
      </c>
      <c r="DC4709" t="s">
        <v>132</v>
      </c>
      <c r="DD4709" t="s">
        <v>133</v>
      </c>
      <c r="DG4709">
        <v>923296</v>
      </c>
      <c r="DI4709">
        <v>0</v>
      </c>
      <c r="DJ4709">
        <v>0</v>
      </c>
      <c r="DK4709">
        <v>1</v>
      </c>
      <c r="DL4709">
        <v>0</v>
      </c>
      <c r="DM4709">
        <v>0</v>
      </c>
      <c r="DN4709">
        <v>1</v>
      </c>
      <c r="DO4709">
        <v>0</v>
      </c>
      <c r="DP4709">
        <v>0</v>
      </c>
      <c r="DQ4709">
        <v>0</v>
      </c>
      <c r="DR4709">
        <v>0</v>
      </c>
      <c r="DS4709">
        <v>0</v>
      </c>
    </row>
    <row r="4710" spans="1:123" x14ac:dyDescent="0.3">
      <c r="A4710" t="str">
        <f t="shared" si="1743"/>
        <v>10/04/2022 19:38:09.699</v>
      </c>
      <c r="C4710" t="str">
        <f t="shared" si="1721"/>
        <v>FFDFD3C0</v>
      </c>
      <c r="D4710" t="s">
        <v>141</v>
      </c>
      <c r="E4710">
        <v>3</v>
      </c>
      <c r="H4710">
        <v>3</v>
      </c>
      <c r="I4710" t="s">
        <v>146</v>
      </c>
      <c r="J4710" t="s">
        <v>138</v>
      </c>
      <c r="K4710">
        <v>0</v>
      </c>
      <c r="L4710">
        <v>3</v>
      </c>
      <c r="M4710">
        <v>0</v>
      </c>
      <c r="N4710">
        <v>2</v>
      </c>
      <c r="O4710">
        <v>0</v>
      </c>
      <c r="P4710">
        <v>1</v>
      </c>
      <c r="Q4710">
        <v>0</v>
      </c>
      <c r="S4710" t="str">
        <f t="shared" si="1741"/>
        <v>19:38:09.000</v>
      </c>
      <c r="T4710" t="str">
        <f t="shared" si="1741"/>
        <v>19:38:09.000</v>
      </c>
      <c r="U4710" t="str">
        <f t="shared" si="1729"/>
        <v>AC3944</v>
      </c>
      <c r="V4710">
        <v>0</v>
      </c>
      <c r="W4710">
        <v>0</v>
      </c>
      <c r="X4710">
        <v>2</v>
      </c>
      <c r="Y4710">
        <v>0</v>
      </c>
      <c r="AA4710">
        <v>1</v>
      </c>
      <c r="AB4710">
        <v>8</v>
      </c>
      <c r="AC4710">
        <v>3</v>
      </c>
      <c r="AD4710">
        <v>0</v>
      </c>
      <c r="AE4710">
        <v>9</v>
      </c>
      <c r="AF4710" t="s">
        <v>138</v>
      </c>
      <c r="AG4710">
        <v>0</v>
      </c>
      <c r="AH4710">
        <v>3</v>
      </c>
      <c r="AI4710">
        <v>1</v>
      </c>
      <c r="AJ4710">
        <v>0</v>
      </c>
      <c r="AK4710" t="s">
        <v>1476</v>
      </c>
      <c r="AL4710">
        <v>32.718164999999999</v>
      </c>
      <c r="AM4710" t="s">
        <v>1477</v>
      </c>
      <c r="AN4710">
        <v>-116.742332</v>
      </c>
      <c r="AO4710">
        <v>25</v>
      </c>
      <c r="AP4710">
        <v>4200</v>
      </c>
      <c r="AQ4710" t="s">
        <v>129</v>
      </c>
      <c r="AR4710">
        <v>-160</v>
      </c>
      <c r="AS4710">
        <v>-93</v>
      </c>
      <c r="AT4710">
        <v>-1664</v>
      </c>
      <c r="BB4710">
        <v>1200</v>
      </c>
      <c r="BC4710">
        <v>1</v>
      </c>
      <c r="BD4710" t="str">
        <f t="shared" si="1730"/>
        <v xml:space="preserve">N887QR  </v>
      </c>
      <c r="BE4710">
        <v>1</v>
      </c>
      <c r="BG4710">
        <v>0</v>
      </c>
      <c r="BH4710">
        <v>0</v>
      </c>
      <c r="BI4710">
        <v>0</v>
      </c>
      <c r="BJ4710">
        <v>3700</v>
      </c>
      <c r="BK4710">
        <v>-500</v>
      </c>
      <c r="BL4710" t="s">
        <v>163</v>
      </c>
      <c r="BM4710">
        <v>1</v>
      </c>
      <c r="BN4710">
        <v>1</v>
      </c>
      <c r="BO4710">
        <v>1</v>
      </c>
      <c r="BP4710">
        <v>0</v>
      </c>
      <c r="BS4710">
        <v>0</v>
      </c>
      <c r="BT4710">
        <v>0</v>
      </c>
      <c r="BU4710">
        <v>0</v>
      </c>
      <c r="CE4710" t="str">
        <f t="shared" si="1742"/>
        <v>19:38:09.420</v>
      </c>
      <c r="CF4710">
        <v>419578042</v>
      </c>
      <c r="CS4710">
        <v>0</v>
      </c>
      <c r="CT4710">
        <v>2</v>
      </c>
      <c r="CU4710">
        <v>0</v>
      </c>
      <c r="CV4710">
        <v>2</v>
      </c>
      <c r="CW4710">
        <v>0</v>
      </c>
      <c r="CX4710">
        <v>5</v>
      </c>
      <c r="CY4710">
        <v>7</v>
      </c>
      <c r="CZ4710" t="s">
        <v>131</v>
      </c>
      <c r="DA4710">
        <v>286</v>
      </c>
      <c r="DB4710">
        <v>0</v>
      </c>
      <c r="DC4710" t="s">
        <v>132</v>
      </c>
      <c r="DD4710" t="s">
        <v>133</v>
      </c>
      <c r="DG4710">
        <v>923296</v>
      </c>
      <c r="DI4710">
        <v>0</v>
      </c>
      <c r="DJ4710">
        <v>0</v>
      </c>
      <c r="DK4710">
        <v>1</v>
      </c>
      <c r="DL4710">
        <v>0</v>
      </c>
      <c r="DM4710">
        <v>0</v>
      </c>
      <c r="DN4710">
        <v>1</v>
      </c>
      <c r="DO4710">
        <v>0</v>
      </c>
      <c r="DP4710">
        <v>0</v>
      </c>
      <c r="DQ4710">
        <v>0</v>
      </c>
      <c r="DR4710">
        <v>0</v>
      </c>
      <c r="DS4710">
        <v>0</v>
      </c>
    </row>
    <row r="4711" spans="1:123" x14ac:dyDescent="0.3">
      <c r="A4711" t="str">
        <f t="shared" si="1743"/>
        <v>10/04/2022 19:38:09.699</v>
      </c>
      <c r="C4711" t="str">
        <f t="shared" si="1721"/>
        <v>FFDFD3C0</v>
      </c>
      <c r="D4711" t="s">
        <v>134</v>
      </c>
      <c r="E4711">
        <v>15</v>
      </c>
      <c r="J4711" t="s">
        <v>135</v>
      </c>
      <c r="K4711">
        <v>0</v>
      </c>
      <c r="L4711">
        <v>3</v>
      </c>
      <c r="M4711">
        <v>0</v>
      </c>
      <c r="N4711">
        <v>2</v>
      </c>
      <c r="O4711">
        <v>0</v>
      </c>
      <c r="P4711">
        <v>1</v>
      </c>
      <c r="Q4711">
        <v>0</v>
      </c>
      <c r="S4711" t="str">
        <f t="shared" si="1741"/>
        <v>19:38:09.000</v>
      </c>
      <c r="T4711" t="str">
        <f t="shared" si="1741"/>
        <v>19:38:09.000</v>
      </c>
      <c r="U4711" t="str">
        <f t="shared" si="1729"/>
        <v>AC3944</v>
      </c>
      <c r="V4711">
        <v>0</v>
      </c>
      <c r="W4711">
        <v>0</v>
      </c>
      <c r="X4711">
        <v>2</v>
      </c>
      <c r="Y4711">
        <v>0</v>
      </c>
      <c r="AA4711">
        <v>1</v>
      </c>
      <c r="AB4711">
        <v>8</v>
      </c>
      <c r="AC4711">
        <v>3</v>
      </c>
      <c r="AD4711">
        <v>0</v>
      </c>
      <c r="AE4711">
        <v>9</v>
      </c>
      <c r="AF4711" t="s">
        <v>138</v>
      </c>
      <c r="AG4711">
        <v>0</v>
      </c>
      <c r="AH4711">
        <v>3</v>
      </c>
      <c r="AI4711">
        <v>1</v>
      </c>
      <c r="AJ4711">
        <v>0</v>
      </c>
      <c r="AK4711" t="s">
        <v>1476</v>
      </c>
      <c r="AL4711">
        <v>32.718164999999999</v>
      </c>
      <c r="AM4711" t="s">
        <v>1477</v>
      </c>
      <c r="AN4711">
        <v>-116.742332</v>
      </c>
      <c r="AO4711">
        <v>25</v>
      </c>
      <c r="AP4711">
        <v>4200</v>
      </c>
      <c r="AQ4711" t="s">
        <v>129</v>
      </c>
      <c r="AR4711">
        <v>-160</v>
      </c>
      <c r="AS4711">
        <v>-93</v>
      </c>
      <c r="AT4711">
        <v>-1664</v>
      </c>
      <c r="BB4711">
        <v>1200</v>
      </c>
      <c r="BC4711">
        <v>1</v>
      </c>
      <c r="BD4711" t="str">
        <f t="shared" si="1730"/>
        <v xml:space="preserve">N887QR  </v>
      </c>
      <c r="BE4711">
        <v>1</v>
      </c>
      <c r="BG4711">
        <v>0</v>
      </c>
      <c r="BH4711">
        <v>0</v>
      </c>
      <c r="BI4711">
        <v>0</v>
      </c>
      <c r="BJ4711">
        <v>3700</v>
      </c>
      <c r="BK4711">
        <v>-500</v>
      </c>
      <c r="BL4711" t="s">
        <v>163</v>
      </c>
      <c r="BM4711">
        <v>1</v>
      </c>
      <c r="BN4711">
        <v>1</v>
      </c>
      <c r="BO4711">
        <v>1</v>
      </c>
      <c r="BP4711">
        <v>0</v>
      </c>
      <c r="BS4711">
        <v>0</v>
      </c>
      <c r="BT4711">
        <v>0</v>
      </c>
      <c r="BU4711">
        <v>0</v>
      </c>
      <c r="CE4711" t="str">
        <f t="shared" si="1742"/>
        <v>19:38:09.420</v>
      </c>
      <c r="CF4711">
        <v>419578042</v>
      </c>
      <c r="CS4711">
        <v>0</v>
      </c>
      <c r="CT4711">
        <v>2</v>
      </c>
      <c r="CU4711">
        <v>0</v>
      </c>
      <c r="CV4711">
        <v>2</v>
      </c>
      <c r="CW4711">
        <v>0</v>
      </c>
      <c r="CX4711">
        <v>5</v>
      </c>
      <c r="CY4711">
        <v>7</v>
      </c>
      <c r="CZ4711" t="s">
        <v>131</v>
      </c>
      <c r="DA4711">
        <v>286</v>
      </c>
      <c r="DB4711">
        <v>0</v>
      </c>
      <c r="DC4711" t="s">
        <v>132</v>
      </c>
      <c r="DD4711" t="s">
        <v>133</v>
      </c>
      <c r="DG4711">
        <v>923296</v>
      </c>
      <c r="DI4711">
        <v>0</v>
      </c>
      <c r="DJ4711">
        <v>0</v>
      </c>
      <c r="DK4711">
        <v>1</v>
      </c>
      <c r="DL4711">
        <v>0</v>
      </c>
      <c r="DM4711">
        <v>0</v>
      </c>
      <c r="DN4711">
        <v>1</v>
      </c>
      <c r="DO4711">
        <v>0</v>
      </c>
      <c r="DP4711">
        <v>0</v>
      </c>
      <c r="DQ4711">
        <v>0</v>
      </c>
      <c r="DR4711">
        <v>0</v>
      </c>
      <c r="DS4711">
        <v>0</v>
      </c>
    </row>
    <row r="4712" spans="1:123" x14ac:dyDescent="0.3">
      <c r="A4712" t="str">
        <f t="shared" si="1743"/>
        <v>10/04/2022 19:38:09.699</v>
      </c>
      <c r="C4712" t="str">
        <f t="shared" si="1721"/>
        <v>FFDFD3C0</v>
      </c>
      <c r="D4712" t="s">
        <v>141</v>
      </c>
      <c r="E4712">
        <v>4</v>
      </c>
      <c r="H4712">
        <v>4</v>
      </c>
      <c r="I4712" t="s">
        <v>142</v>
      </c>
      <c r="J4712" t="s">
        <v>138</v>
      </c>
      <c r="K4712">
        <v>0</v>
      </c>
      <c r="L4712">
        <v>3</v>
      </c>
      <c r="M4712">
        <v>0</v>
      </c>
      <c r="N4712">
        <v>2</v>
      </c>
      <c r="O4712">
        <v>0</v>
      </c>
      <c r="P4712">
        <v>1</v>
      </c>
      <c r="Q4712">
        <v>0</v>
      </c>
      <c r="S4712" t="str">
        <f t="shared" si="1741"/>
        <v>19:38:09.000</v>
      </c>
      <c r="T4712" t="str">
        <f t="shared" si="1741"/>
        <v>19:38:09.000</v>
      </c>
      <c r="U4712" t="str">
        <f t="shared" si="1729"/>
        <v>AC3944</v>
      </c>
      <c r="V4712">
        <v>0</v>
      </c>
      <c r="W4712">
        <v>0</v>
      </c>
      <c r="X4712">
        <v>2</v>
      </c>
      <c r="Y4712">
        <v>0</v>
      </c>
      <c r="AA4712">
        <v>1</v>
      </c>
      <c r="AB4712">
        <v>8</v>
      </c>
      <c r="AC4712">
        <v>3</v>
      </c>
      <c r="AD4712">
        <v>0</v>
      </c>
      <c r="AE4712">
        <v>9</v>
      </c>
      <c r="AF4712" t="s">
        <v>138</v>
      </c>
      <c r="AG4712">
        <v>0</v>
      </c>
      <c r="AH4712">
        <v>3</v>
      </c>
      <c r="AI4712">
        <v>1</v>
      </c>
      <c r="AJ4712">
        <v>0</v>
      </c>
      <c r="AK4712" t="s">
        <v>1476</v>
      </c>
      <c r="AL4712">
        <v>32.718164999999999</v>
      </c>
      <c r="AM4712" t="s">
        <v>1477</v>
      </c>
      <c r="AN4712">
        <v>-116.742332</v>
      </c>
      <c r="AO4712">
        <v>25</v>
      </c>
      <c r="AP4712">
        <v>4200</v>
      </c>
      <c r="AQ4712" t="s">
        <v>129</v>
      </c>
      <c r="AR4712">
        <v>-160</v>
      </c>
      <c r="AS4712">
        <v>-93</v>
      </c>
      <c r="AT4712">
        <v>-1664</v>
      </c>
      <c r="BB4712">
        <v>1200</v>
      </c>
      <c r="BC4712">
        <v>1</v>
      </c>
      <c r="BD4712" t="str">
        <f t="shared" si="1730"/>
        <v xml:space="preserve">N887QR  </v>
      </c>
      <c r="BE4712">
        <v>1</v>
      </c>
      <c r="BG4712">
        <v>0</v>
      </c>
      <c r="BH4712">
        <v>0</v>
      </c>
      <c r="BI4712">
        <v>0</v>
      </c>
      <c r="BJ4712">
        <v>3700</v>
      </c>
      <c r="BK4712">
        <v>-500</v>
      </c>
      <c r="BL4712" t="s">
        <v>163</v>
      </c>
      <c r="BM4712">
        <v>1</v>
      </c>
      <c r="BN4712">
        <v>1</v>
      </c>
      <c r="BO4712">
        <v>1</v>
      </c>
      <c r="BP4712">
        <v>0</v>
      </c>
      <c r="BS4712">
        <v>0</v>
      </c>
      <c r="BT4712">
        <v>0</v>
      </c>
      <c r="BU4712">
        <v>0</v>
      </c>
      <c r="CE4712" t="str">
        <f t="shared" si="1742"/>
        <v>19:38:09.420</v>
      </c>
      <c r="CF4712">
        <v>419578042</v>
      </c>
      <c r="CS4712">
        <v>0</v>
      </c>
      <c r="CT4712">
        <v>2</v>
      </c>
      <c r="CU4712">
        <v>0</v>
      </c>
      <c r="CV4712">
        <v>2</v>
      </c>
      <c r="CW4712">
        <v>0</v>
      </c>
      <c r="CX4712">
        <v>5</v>
      </c>
      <c r="CY4712">
        <v>7</v>
      </c>
      <c r="CZ4712" t="s">
        <v>131</v>
      </c>
      <c r="DA4712">
        <v>286</v>
      </c>
      <c r="DB4712">
        <v>0</v>
      </c>
      <c r="DC4712" t="s">
        <v>132</v>
      </c>
      <c r="DD4712" t="s">
        <v>133</v>
      </c>
      <c r="DG4712">
        <v>923296</v>
      </c>
      <c r="DI4712">
        <v>0</v>
      </c>
      <c r="DJ4712">
        <v>0</v>
      </c>
      <c r="DK4712">
        <v>0</v>
      </c>
      <c r="DL4712">
        <v>0</v>
      </c>
      <c r="DM4712">
        <v>0</v>
      </c>
      <c r="DN4712">
        <v>1</v>
      </c>
      <c r="DO4712">
        <v>0</v>
      </c>
      <c r="DP4712">
        <v>0</v>
      </c>
      <c r="DQ4712">
        <v>0</v>
      </c>
      <c r="DR4712">
        <v>0</v>
      </c>
      <c r="DS4712">
        <v>0</v>
      </c>
    </row>
    <row r="4713" spans="1:123" x14ac:dyDescent="0.3">
      <c r="A4713" t="str">
        <f t="shared" si="1743"/>
        <v>10/04/2022 19:38:09.699</v>
      </c>
      <c r="C4713" t="str">
        <f t="shared" si="1721"/>
        <v>FFDFD3C0</v>
      </c>
      <c r="D4713" t="s">
        <v>143</v>
      </c>
      <c r="E4713">
        <v>20</v>
      </c>
      <c r="F4713">
        <v>1020</v>
      </c>
      <c r="G4713" t="s">
        <v>144</v>
      </c>
      <c r="J4713" t="s">
        <v>145</v>
      </c>
      <c r="K4713">
        <v>0</v>
      </c>
      <c r="L4713">
        <v>3</v>
      </c>
      <c r="M4713">
        <v>0</v>
      </c>
      <c r="N4713">
        <v>2</v>
      </c>
      <c r="O4713">
        <v>0</v>
      </c>
      <c r="P4713">
        <v>1</v>
      </c>
      <c r="Q4713">
        <v>0</v>
      </c>
      <c r="S4713" t="str">
        <f t="shared" si="1741"/>
        <v>19:38:09.000</v>
      </c>
      <c r="T4713" t="str">
        <f t="shared" si="1741"/>
        <v>19:38:09.000</v>
      </c>
      <c r="U4713" t="str">
        <f t="shared" si="1729"/>
        <v>AC3944</v>
      </c>
      <c r="V4713">
        <v>0</v>
      </c>
      <c r="W4713">
        <v>0</v>
      </c>
      <c r="X4713">
        <v>2</v>
      </c>
      <c r="Y4713">
        <v>0</v>
      </c>
      <c r="AA4713">
        <v>1</v>
      </c>
      <c r="AB4713">
        <v>8</v>
      </c>
      <c r="AC4713">
        <v>3</v>
      </c>
      <c r="AD4713">
        <v>0</v>
      </c>
      <c r="AE4713">
        <v>9</v>
      </c>
      <c r="AF4713" t="s">
        <v>138</v>
      </c>
      <c r="AG4713">
        <v>0</v>
      </c>
      <c r="AH4713">
        <v>3</v>
      </c>
      <c r="AI4713">
        <v>1</v>
      </c>
      <c r="AJ4713">
        <v>0</v>
      </c>
      <c r="AK4713" t="s">
        <v>1476</v>
      </c>
      <c r="AL4713">
        <v>32.718164999999999</v>
      </c>
      <c r="AM4713" t="s">
        <v>1477</v>
      </c>
      <c r="AN4713">
        <v>-116.742332</v>
      </c>
      <c r="AO4713">
        <v>25</v>
      </c>
      <c r="AP4713">
        <v>4200</v>
      </c>
      <c r="AQ4713" t="s">
        <v>129</v>
      </c>
      <c r="AR4713">
        <v>-160</v>
      </c>
      <c r="AS4713">
        <v>-93</v>
      </c>
      <c r="AT4713">
        <v>-1664</v>
      </c>
      <c r="BB4713">
        <v>1200</v>
      </c>
      <c r="BC4713">
        <v>1</v>
      </c>
      <c r="BD4713" t="str">
        <f t="shared" si="1730"/>
        <v xml:space="preserve">N887QR  </v>
      </c>
      <c r="BE4713">
        <v>1</v>
      </c>
      <c r="BG4713">
        <v>0</v>
      </c>
      <c r="BH4713">
        <v>0</v>
      </c>
      <c r="BI4713">
        <v>0</v>
      </c>
      <c r="BJ4713">
        <v>3700</v>
      </c>
      <c r="BK4713">
        <v>-500</v>
      </c>
      <c r="BL4713" t="s">
        <v>163</v>
      </c>
      <c r="BM4713">
        <v>1</v>
      </c>
      <c r="BN4713">
        <v>1</v>
      </c>
      <c r="BO4713">
        <v>1</v>
      </c>
      <c r="BP4713">
        <v>0</v>
      </c>
      <c r="BS4713">
        <v>0</v>
      </c>
      <c r="BT4713">
        <v>0</v>
      </c>
      <c r="BU4713">
        <v>0</v>
      </c>
      <c r="CE4713" t="str">
        <f t="shared" si="1742"/>
        <v>19:38:09.420</v>
      </c>
      <c r="CF4713">
        <v>419578042</v>
      </c>
      <c r="CS4713">
        <v>0</v>
      </c>
      <c r="CT4713">
        <v>2</v>
      </c>
      <c r="CU4713">
        <v>0</v>
      </c>
      <c r="CV4713">
        <v>2</v>
      </c>
      <c r="CW4713">
        <v>0</v>
      </c>
      <c r="CX4713">
        <v>5</v>
      </c>
      <c r="CY4713">
        <v>7</v>
      </c>
      <c r="CZ4713" t="s">
        <v>131</v>
      </c>
      <c r="DA4713">
        <v>286</v>
      </c>
      <c r="DB4713">
        <v>0</v>
      </c>
      <c r="DC4713" t="s">
        <v>132</v>
      </c>
      <c r="DD4713" t="s">
        <v>133</v>
      </c>
      <c r="DG4713">
        <v>923296</v>
      </c>
      <c r="DI4713">
        <v>0</v>
      </c>
      <c r="DJ4713">
        <v>0</v>
      </c>
      <c r="DK4713">
        <v>1</v>
      </c>
      <c r="DL4713">
        <v>0</v>
      </c>
      <c r="DM4713">
        <v>0</v>
      </c>
      <c r="DN4713">
        <v>1</v>
      </c>
      <c r="DO4713">
        <v>0</v>
      </c>
      <c r="DP4713">
        <v>0</v>
      </c>
      <c r="DQ4713">
        <v>0</v>
      </c>
      <c r="DR4713">
        <v>0</v>
      </c>
      <c r="DS4713">
        <v>0</v>
      </c>
    </row>
    <row r="4714" spans="1:123" x14ac:dyDescent="0.3">
      <c r="A4714" t="str">
        <f t="shared" si="1743"/>
        <v>10/04/2022 19:38:09.699</v>
      </c>
      <c r="C4714" t="str">
        <f t="shared" si="1721"/>
        <v>FFDFD3C0</v>
      </c>
      <c r="D4714" t="s">
        <v>123</v>
      </c>
      <c r="E4714">
        <v>7</v>
      </c>
      <c r="F4714">
        <v>2007</v>
      </c>
      <c r="G4714" t="s">
        <v>124</v>
      </c>
      <c r="J4714" t="s">
        <v>125</v>
      </c>
      <c r="K4714">
        <v>0</v>
      </c>
      <c r="L4714">
        <v>3</v>
      </c>
      <c r="M4714">
        <v>0</v>
      </c>
      <c r="N4714">
        <v>2</v>
      </c>
      <c r="O4714">
        <v>0</v>
      </c>
      <c r="P4714">
        <v>1</v>
      </c>
      <c r="Q4714">
        <v>0</v>
      </c>
      <c r="S4714" t="str">
        <f t="shared" si="1741"/>
        <v>19:38:09.000</v>
      </c>
      <c r="T4714" t="str">
        <f t="shared" si="1741"/>
        <v>19:38:09.000</v>
      </c>
      <c r="U4714" t="str">
        <f t="shared" si="1729"/>
        <v>AC3944</v>
      </c>
      <c r="V4714">
        <v>0</v>
      </c>
      <c r="W4714">
        <v>0</v>
      </c>
      <c r="X4714">
        <v>2</v>
      </c>
      <c r="Y4714">
        <v>0</v>
      </c>
      <c r="AA4714">
        <v>1</v>
      </c>
      <c r="AB4714">
        <v>8</v>
      </c>
      <c r="AC4714">
        <v>3</v>
      </c>
      <c r="AD4714">
        <v>0</v>
      </c>
      <c r="AE4714">
        <v>9</v>
      </c>
      <c r="AF4714" t="s">
        <v>138</v>
      </c>
      <c r="AG4714">
        <v>0</v>
      </c>
      <c r="AH4714">
        <v>3</v>
      </c>
      <c r="AI4714">
        <v>1</v>
      </c>
      <c r="AJ4714">
        <v>0</v>
      </c>
      <c r="AK4714" t="s">
        <v>1476</v>
      </c>
      <c r="AL4714">
        <v>32.718164999999999</v>
      </c>
      <c r="AM4714" t="s">
        <v>1477</v>
      </c>
      <c r="AN4714">
        <v>-116.742332</v>
      </c>
      <c r="AO4714">
        <v>25</v>
      </c>
      <c r="AP4714">
        <v>4200</v>
      </c>
      <c r="AQ4714" t="s">
        <v>129</v>
      </c>
      <c r="AR4714">
        <v>-160</v>
      </c>
      <c r="AS4714">
        <v>-93</v>
      </c>
      <c r="AT4714">
        <v>-1664</v>
      </c>
      <c r="BB4714">
        <v>1200</v>
      </c>
      <c r="BC4714">
        <v>1</v>
      </c>
      <c r="BD4714" t="str">
        <f t="shared" si="1730"/>
        <v xml:space="preserve">N887QR  </v>
      </c>
      <c r="BE4714">
        <v>1</v>
      </c>
      <c r="BG4714">
        <v>0</v>
      </c>
      <c r="BH4714">
        <v>0</v>
      </c>
      <c r="BI4714">
        <v>0</v>
      </c>
      <c r="BJ4714">
        <v>3700</v>
      </c>
      <c r="BK4714">
        <v>-500</v>
      </c>
      <c r="BL4714" t="s">
        <v>163</v>
      </c>
      <c r="BM4714">
        <v>1</v>
      </c>
      <c r="BN4714">
        <v>1</v>
      </c>
      <c r="BO4714">
        <v>1</v>
      </c>
      <c r="BP4714">
        <v>0</v>
      </c>
      <c r="BS4714">
        <v>0</v>
      </c>
      <c r="BT4714">
        <v>0</v>
      </c>
      <c r="BU4714">
        <v>0</v>
      </c>
      <c r="CE4714" t="str">
        <f t="shared" si="1742"/>
        <v>19:38:09.420</v>
      </c>
      <c r="CF4714">
        <v>419578042</v>
      </c>
      <c r="CS4714">
        <v>0</v>
      </c>
      <c r="CT4714">
        <v>2</v>
      </c>
      <c r="CU4714">
        <v>0</v>
      </c>
      <c r="CV4714">
        <v>2</v>
      </c>
      <c r="CW4714">
        <v>0</v>
      </c>
      <c r="CX4714">
        <v>5</v>
      </c>
      <c r="CY4714">
        <v>7</v>
      </c>
      <c r="CZ4714" t="s">
        <v>131</v>
      </c>
      <c r="DA4714">
        <v>286</v>
      </c>
      <c r="DB4714">
        <v>0</v>
      </c>
      <c r="DC4714" t="s">
        <v>132</v>
      </c>
      <c r="DD4714" t="s">
        <v>133</v>
      </c>
      <c r="DG4714">
        <v>923296</v>
      </c>
      <c r="DI4714">
        <v>0</v>
      </c>
      <c r="DJ4714">
        <v>0</v>
      </c>
      <c r="DK4714">
        <v>1</v>
      </c>
      <c r="DL4714">
        <v>0</v>
      </c>
      <c r="DM4714">
        <v>0</v>
      </c>
      <c r="DN4714">
        <v>1</v>
      </c>
      <c r="DO4714">
        <v>0</v>
      </c>
      <c r="DP4714">
        <v>0</v>
      </c>
      <c r="DQ4714">
        <v>0</v>
      </c>
      <c r="DR4714">
        <v>0</v>
      </c>
      <c r="DS4714">
        <v>0</v>
      </c>
    </row>
    <row r="4715" spans="1:123" x14ac:dyDescent="0.3">
      <c r="A4715" t="str">
        <f>"10/04/2022 19:38:10.371"</f>
        <v>10/04/2022 19:38:10.371</v>
      </c>
      <c r="C4715" t="str">
        <f t="shared" ref="C4715:C4778" si="1744">"FFDFD3C0"</f>
        <v>FFDFD3C0</v>
      </c>
      <c r="D4715" t="s">
        <v>141</v>
      </c>
      <c r="E4715">
        <v>4</v>
      </c>
      <c r="H4715">
        <v>4</v>
      </c>
      <c r="I4715" t="s">
        <v>142</v>
      </c>
      <c r="J4715" t="s">
        <v>138</v>
      </c>
      <c r="K4715">
        <v>0</v>
      </c>
      <c r="L4715">
        <v>3</v>
      </c>
      <c r="M4715">
        <v>0</v>
      </c>
      <c r="N4715">
        <v>2</v>
      </c>
      <c r="O4715">
        <v>0</v>
      </c>
      <c r="P4715">
        <v>1</v>
      </c>
      <c r="Q4715">
        <v>0</v>
      </c>
      <c r="S4715" t="str">
        <f t="shared" si="1741"/>
        <v>19:38:09.000</v>
      </c>
      <c r="T4715" t="str">
        <f t="shared" si="1741"/>
        <v>19:38:09.000</v>
      </c>
      <c r="U4715" t="str">
        <f t="shared" si="1729"/>
        <v>AC3944</v>
      </c>
      <c r="V4715">
        <v>0</v>
      </c>
      <c r="W4715">
        <v>0</v>
      </c>
      <c r="X4715">
        <v>2</v>
      </c>
      <c r="Y4715">
        <v>0</v>
      </c>
      <c r="AA4715">
        <v>1</v>
      </c>
      <c r="AB4715">
        <v>8</v>
      </c>
      <c r="AC4715">
        <v>3</v>
      </c>
      <c r="AD4715">
        <v>0</v>
      </c>
      <c r="AE4715">
        <v>9</v>
      </c>
      <c r="AF4715" t="s">
        <v>138</v>
      </c>
      <c r="AG4715">
        <v>0</v>
      </c>
      <c r="AH4715">
        <v>3</v>
      </c>
      <c r="AI4715">
        <v>1</v>
      </c>
      <c r="AJ4715">
        <v>0</v>
      </c>
      <c r="AK4715" t="s">
        <v>1478</v>
      </c>
      <c r="AL4715">
        <v>32.717736000000002</v>
      </c>
      <c r="AM4715" t="s">
        <v>1479</v>
      </c>
      <c r="AN4715">
        <v>-116.743212</v>
      </c>
      <c r="AO4715">
        <v>25</v>
      </c>
      <c r="AP4715">
        <v>4100</v>
      </c>
      <c r="AQ4715" t="s">
        <v>129</v>
      </c>
      <c r="AR4715">
        <v>-160</v>
      </c>
      <c r="AS4715">
        <v>-92</v>
      </c>
      <c r="AT4715">
        <v>-1664</v>
      </c>
      <c r="BB4715">
        <v>1200</v>
      </c>
      <c r="BC4715">
        <v>1</v>
      </c>
      <c r="BD4715" t="str">
        <f t="shared" si="1730"/>
        <v xml:space="preserve">N887QR  </v>
      </c>
      <c r="BE4715">
        <v>1</v>
      </c>
      <c r="BG4715">
        <v>0</v>
      </c>
      <c r="BH4715">
        <v>0</v>
      </c>
      <c r="BI4715">
        <v>0</v>
      </c>
      <c r="BJ4715">
        <v>3625</v>
      </c>
      <c r="BK4715">
        <v>-475</v>
      </c>
      <c r="BL4715" t="s">
        <v>163</v>
      </c>
      <c r="BM4715">
        <v>1</v>
      </c>
      <c r="BN4715">
        <v>1</v>
      </c>
      <c r="BO4715">
        <v>1</v>
      </c>
      <c r="BP4715">
        <v>0</v>
      </c>
      <c r="BS4715">
        <v>0</v>
      </c>
      <c r="BT4715">
        <v>0</v>
      </c>
      <c r="BU4715">
        <v>0</v>
      </c>
      <c r="CE4715" t="str">
        <f>"19:38:09.959"</f>
        <v>19:38:09.959</v>
      </c>
      <c r="CF4715">
        <v>958579643</v>
      </c>
      <c r="CS4715">
        <v>0</v>
      </c>
      <c r="CT4715">
        <v>2</v>
      </c>
      <c r="CU4715">
        <v>0</v>
      </c>
      <c r="CV4715">
        <v>2</v>
      </c>
      <c r="CW4715">
        <v>0</v>
      </c>
      <c r="CX4715">
        <v>5</v>
      </c>
      <c r="CY4715">
        <v>7</v>
      </c>
      <c r="CZ4715" t="s">
        <v>131</v>
      </c>
      <c r="DA4715">
        <v>286</v>
      </c>
      <c r="DB4715">
        <v>0</v>
      </c>
      <c r="DC4715" t="s">
        <v>132</v>
      </c>
      <c r="DD4715" t="s">
        <v>133</v>
      </c>
      <c r="DG4715">
        <v>923442</v>
      </c>
      <c r="DI4715">
        <v>0</v>
      </c>
      <c r="DJ4715">
        <v>0</v>
      </c>
      <c r="DK4715">
        <v>0</v>
      </c>
      <c r="DL4715">
        <v>0</v>
      </c>
      <c r="DM4715">
        <v>0</v>
      </c>
      <c r="DN4715">
        <v>1</v>
      </c>
      <c r="DO4715">
        <v>0</v>
      </c>
      <c r="DP4715">
        <v>0</v>
      </c>
      <c r="DQ4715">
        <v>0</v>
      </c>
      <c r="DR4715">
        <v>0</v>
      </c>
      <c r="DS4715">
        <v>0</v>
      </c>
    </row>
    <row r="4716" spans="1:123" x14ac:dyDescent="0.3">
      <c r="A4716" t="str">
        <f>"10/04/2022 19:38:10.371"</f>
        <v>10/04/2022 19:38:10.371</v>
      </c>
      <c r="C4716" t="str">
        <f t="shared" si="1744"/>
        <v>FFDFD3C0</v>
      </c>
      <c r="D4716" t="s">
        <v>143</v>
      </c>
      <c r="E4716">
        <v>20</v>
      </c>
      <c r="F4716">
        <v>1020</v>
      </c>
      <c r="G4716" t="s">
        <v>144</v>
      </c>
      <c r="J4716" t="s">
        <v>145</v>
      </c>
      <c r="K4716">
        <v>0</v>
      </c>
      <c r="L4716">
        <v>3</v>
      </c>
      <c r="M4716">
        <v>0</v>
      </c>
      <c r="N4716">
        <v>2</v>
      </c>
      <c r="O4716">
        <v>0</v>
      </c>
      <c r="P4716">
        <v>1</v>
      </c>
      <c r="Q4716">
        <v>0</v>
      </c>
      <c r="S4716" t="str">
        <f t="shared" si="1741"/>
        <v>19:38:09.000</v>
      </c>
      <c r="T4716" t="str">
        <f t="shared" si="1741"/>
        <v>19:38:09.000</v>
      </c>
      <c r="U4716" t="str">
        <f t="shared" si="1729"/>
        <v>AC3944</v>
      </c>
      <c r="V4716">
        <v>0</v>
      </c>
      <c r="W4716">
        <v>0</v>
      </c>
      <c r="X4716">
        <v>2</v>
      </c>
      <c r="Y4716">
        <v>0</v>
      </c>
      <c r="AA4716">
        <v>1</v>
      </c>
      <c r="AB4716">
        <v>8</v>
      </c>
      <c r="AC4716">
        <v>3</v>
      </c>
      <c r="AD4716">
        <v>0</v>
      </c>
      <c r="AE4716">
        <v>9</v>
      </c>
      <c r="AF4716" t="s">
        <v>138</v>
      </c>
      <c r="AG4716">
        <v>0</v>
      </c>
      <c r="AH4716">
        <v>3</v>
      </c>
      <c r="AI4716">
        <v>1</v>
      </c>
      <c r="AJ4716">
        <v>0</v>
      </c>
      <c r="AK4716" t="s">
        <v>1478</v>
      </c>
      <c r="AL4716">
        <v>32.717736000000002</v>
      </c>
      <c r="AM4716" t="s">
        <v>1479</v>
      </c>
      <c r="AN4716">
        <v>-116.743212</v>
      </c>
      <c r="AO4716">
        <v>25</v>
      </c>
      <c r="AP4716">
        <v>4100</v>
      </c>
      <c r="AQ4716" t="s">
        <v>129</v>
      </c>
      <c r="AR4716">
        <v>-160</v>
      </c>
      <c r="AS4716">
        <v>-92</v>
      </c>
      <c r="AT4716">
        <v>-1664</v>
      </c>
      <c r="BB4716">
        <v>1200</v>
      </c>
      <c r="BC4716">
        <v>1</v>
      </c>
      <c r="BD4716" t="str">
        <f t="shared" si="1730"/>
        <v xml:space="preserve">N887QR  </v>
      </c>
      <c r="BE4716">
        <v>1</v>
      </c>
      <c r="BG4716">
        <v>0</v>
      </c>
      <c r="BH4716">
        <v>0</v>
      </c>
      <c r="BI4716">
        <v>0</v>
      </c>
      <c r="BJ4716">
        <v>3625</v>
      </c>
      <c r="BK4716">
        <v>-475</v>
      </c>
      <c r="BL4716" t="s">
        <v>163</v>
      </c>
      <c r="BM4716">
        <v>1</v>
      </c>
      <c r="BN4716">
        <v>1</v>
      </c>
      <c r="BO4716">
        <v>1</v>
      </c>
      <c r="BP4716">
        <v>0</v>
      </c>
      <c r="BS4716">
        <v>0</v>
      </c>
      <c r="BT4716">
        <v>0</v>
      </c>
      <c r="BU4716">
        <v>0</v>
      </c>
      <c r="CE4716" t="str">
        <f>"19:38:09.959"</f>
        <v>19:38:09.959</v>
      </c>
      <c r="CF4716">
        <v>958579643</v>
      </c>
      <c r="CS4716">
        <v>0</v>
      </c>
      <c r="CT4716">
        <v>2</v>
      </c>
      <c r="CU4716">
        <v>0</v>
      </c>
      <c r="CV4716">
        <v>2</v>
      </c>
      <c r="CW4716">
        <v>0</v>
      </c>
      <c r="CX4716">
        <v>5</v>
      </c>
      <c r="CY4716">
        <v>7</v>
      </c>
      <c r="CZ4716" t="s">
        <v>131</v>
      </c>
      <c r="DA4716">
        <v>286</v>
      </c>
      <c r="DB4716">
        <v>0</v>
      </c>
      <c r="DC4716" t="s">
        <v>132</v>
      </c>
      <c r="DD4716" t="s">
        <v>133</v>
      </c>
      <c r="DG4716">
        <v>923442</v>
      </c>
      <c r="DI4716">
        <v>0</v>
      </c>
      <c r="DJ4716">
        <v>0</v>
      </c>
      <c r="DK4716">
        <v>1</v>
      </c>
      <c r="DL4716">
        <v>0</v>
      </c>
      <c r="DM4716">
        <v>0</v>
      </c>
      <c r="DN4716">
        <v>1</v>
      </c>
      <c r="DO4716">
        <v>0</v>
      </c>
      <c r="DP4716">
        <v>0</v>
      </c>
      <c r="DQ4716">
        <v>0</v>
      </c>
      <c r="DR4716">
        <v>0</v>
      </c>
      <c r="DS4716">
        <v>0</v>
      </c>
    </row>
    <row r="4717" spans="1:123" x14ac:dyDescent="0.3">
      <c r="A4717" t="str">
        <f>"10/04/2022 19:38:10.371"</f>
        <v>10/04/2022 19:38:10.371</v>
      </c>
      <c r="C4717" t="str">
        <f t="shared" si="1744"/>
        <v>FFDFD3C0</v>
      </c>
      <c r="D4717" t="s">
        <v>147</v>
      </c>
      <c r="E4717">
        <v>3</v>
      </c>
      <c r="H4717">
        <v>166</v>
      </c>
      <c r="I4717" t="s">
        <v>144</v>
      </c>
      <c r="J4717" t="s">
        <v>148</v>
      </c>
      <c r="K4717">
        <v>0</v>
      </c>
      <c r="L4717">
        <v>3</v>
      </c>
      <c r="M4717">
        <v>0</v>
      </c>
      <c r="N4717">
        <v>2</v>
      </c>
      <c r="O4717">
        <v>0</v>
      </c>
      <c r="P4717">
        <v>1</v>
      </c>
      <c r="Q4717">
        <v>0</v>
      </c>
      <c r="S4717" t="str">
        <f t="shared" si="1741"/>
        <v>19:38:09.000</v>
      </c>
      <c r="T4717" t="str">
        <f t="shared" si="1741"/>
        <v>19:38:09.000</v>
      </c>
      <c r="U4717" t="str">
        <f t="shared" si="1729"/>
        <v>AC3944</v>
      </c>
      <c r="V4717">
        <v>0</v>
      </c>
      <c r="W4717">
        <v>0</v>
      </c>
      <c r="X4717">
        <v>2</v>
      </c>
      <c r="Y4717">
        <v>0</v>
      </c>
      <c r="AA4717">
        <v>1</v>
      </c>
      <c r="AB4717">
        <v>8</v>
      </c>
      <c r="AC4717">
        <v>3</v>
      </c>
      <c r="AD4717">
        <v>0</v>
      </c>
      <c r="AE4717">
        <v>9</v>
      </c>
      <c r="AF4717" t="s">
        <v>138</v>
      </c>
      <c r="AG4717">
        <v>0</v>
      </c>
      <c r="AH4717">
        <v>3</v>
      </c>
      <c r="AI4717">
        <v>1</v>
      </c>
      <c r="AJ4717">
        <v>0</v>
      </c>
      <c r="AK4717" t="s">
        <v>1478</v>
      </c>
      <c r="AL4717">
        <v>32.717736000000002</v>
      </c>
      <c r="AM4717" t="s">
        <v>1479</v>
      </c>
      <c r="AN4717">
        <v>-116.743212</v>
      </c>
      <c r="AO4717">
        <v>25</v>
      </c>
      <c r="AP4717">
        <v>4100</v>
      </c>
      <c r="AQ4717" t="s">
        <v>129</v>
      </c>
      <c r="AR4717">
        <v>-160</v>
      </c>
      <c r="AS4717">
        <v>-92</v>
      </c>
      <c r="AT4717">
        <v>-1664</v>
      </c>
      <c r="BB4717">
        <v>1200</v>
      </c>
      <c r="BC4717">
        <v>1</v>
      </c>
      <c r="BD4717" t="str">
        <f t="shared" si="1730"/>
        <v xml:space="preserve">N887QR  </v>
      </c>
      <c r="BE4717">
        <v>1</v>
      </c>
      <c r="BG4717">
        <v>0</v>
      </c>
      <c r="BH4717">
        <v>0</v>
      </c>
      <c r="BI4717">
        <v>0</v>
      </c>
      <c r="BJ4717">
        <v>3625</v>
      </c>
      <c r="BK4717">
        <v>-475</v>
      </c>
      <c r="BL4717" t="s">
        <v>163</v>
      </c>
      <c r="BM4717">
        <v>1</v>
      </c>
      <c r="BN4717">
        <v>1</v>
      </c>
      <c r="BO4717">
        <v>1</v>
      </c>
      <c r="BP4717">
        <v>0</v>
      </c>
      <c r="BS4717">
        <v>0</v>
      </c>
      <c r="BT4717">
        <v>0</v>
      </c>
      <c r="BU4717">
        <v>0</v>
      </c>
      <c r="CE4717" t="str">
        <f>"19:38:09.959"</f>
        <v>19:38:09.959</v>
      </c>
      <c r="CF4717">
        <v>958579643</v>
      </c>
      <c r="CS4717">
        <v>0</v>
      </c>
      <c r="CT4717">
        <v>2</v>
      </c>
      <c r="CU4717">
        <v>0</v>
      </c>
      <c r="CV4717">
        <v>2</v>
      </c>
      <c r="CW4717">
        <v>0</v>
      </c>
      <c r="CX4717">
        <v>5</v>
      </c>
      <c r="CY4717">
        <v>7</v>
      </c>
      <c r="CZ4717" t="s">
        <v>131</v>
      </c>
      <c r="DA4717">
        <v>286</v>
      </c>
      <c r="DB4717">
        <v>0</v>
      </c>
      <c r="DC4717" t="s">
        <v>132</v>
      </c>
      <c r="DD4717" t="s">
        <v>133</v>
      </c>
      <c r="DG4717">
        <v>923442</v>
      </c>
      <c r="DI4717">
        <v>0</v>
      </c>
      <c r="DJ4717">
        <v>0</v>
      </c>
      <c r="DK4717">
        <v>1</v>
      </c>
      <c r="DL4717">
        <v>0</v>
      </c>
      <c r="DM4717">
        <v>0</v>
      </c>
      <c r="DN4717">
        <v>1</v>
      </c>
      <c r="DO4717">
        <v>0</v>
      </c>
      <c r="DP4717">
        <v>0</v>
      </c>
      <c r="DQ4717">
        <v>0</v>
      </c>
      <c r="DR4717">
        <v>0</v>
      </c>
      <c r="DS4717">
        <v>0</v>
      </c>
    </row>
    <row r="4718" spans="1:123" x14ac:dyDescent="0.3">
      <c r="A4718" t="str">
        <f t="shared" ref="A4718:A4724" si="1745">"10/04/2022 19:38:11.137"</f>
        <v>10/04/2022 19:38:11.137</v>
      </c>
      <c r="C4718" t="str">
        <f t="shared" si="1744"/>
        <v>FFDFD3C0</v>
      </c>
      <c r="D4718" t="s">
        <v>141</v>
      </c>
      <c r="E4718">
        <v>4</v>
      </c>
      <c r="H4718">
        <v>4</v>
      </c>
      <c r="I4718" t="s">
        <v>142</v>
      </c>
      <c r="J4718" t="s">
        <v>138</v>
      </c>
      <c r="K4718">
        <v>0</v>
      </c>
      <c r="L4718">
        <v>3</v>
      </c>
      <c r="M4718">
        <v>0</v>
      </c>
      <c r="N4718">
        <v>2</v>
      </c>
      <c r="O4718">
        <v>0</v>
      </c>
      <c r="P4718">
        <v>1</v>
      </c>
      <c r="Q4718">
        <v>0</v>
      </c>
      <c r="S4718" t="str">
        <f t="shared" ref="S4718:T4724" si="1746">"19:38:10.000"</f>
        <v>19:38:10.000</v>
      </c>
      <c r="T4718" t="str">
        <f t="shared" si="1746"/>
        <v>19:38:10.000</v>
      </c>
      <c r="U4718" t="str">
        <f t="shared" si="1729"/>
        <v>AC3944</v>
      </c>
      <c r="V4718">
        <v>0</v>
      </c>
      <c r="W4718">
        <v>0</v>
      </c>
      <c r="X4718">
        <v>2</v>
      </c>
      <c r="Y4718">
        <v>0</v>
      </c>
      <c r="AA4718">
        <v>1</v>
      </c>
      <c r="AB4718">
        <v>8</v>
      </c>
      <c r="AC4718">
        <v>3</v>
      </c>
      <c r="AD4718">
        <v>0</v>
      </c>
      <c r="AE4718">
        <v>9</v>
      </c>
      <c r="AF4718" t="s">
        <v>138</v>
      </c>
      <c r="AG4718">
        <v>0</v>
      </c>
      <c r="AH4718">
        <v>3</v>
      </c>
      <c r="AI4718">
        <v>1</v>
      </c>
      <c r="AJ4718">
        <v>0</v>
      </c>
      <c r="AK4718" t="s">
        <v>1480</v>
      </c>
      <c r="AL4718">
        <v>32.717221000000002</v>
      </c>
      <c r="AM4718" t="s">
        <v>1481</v>
      </c>
      <c r="AN4718">
        <v>-116.744285</v>
      </c>
      <c r="AO4718">
        <v>25</v>
      </c>
      <c r="AP4718">
        <v>4100</v>
      </c>
      <c r="AQ4718" t="s">
        <v>129</v>
      </c>
      <c r="AR4718">
        <v>-160</v>
      </c>
      <c r="AS4718">
        <v>-93</v>
      </c>
      <c r="AT4718">
        <v>-1728</v>
      </c>
      <c r="BB4718">
        <v>1200</v>
      </c>
      <c r="BC4718">
        <v>1</v>
      </c>
      <c r="BD4718" t="str">
        <f t="shared" si="1730"/>
        <v xml:space="preserve">N887QR  </v>
      </c>
      <c r="BE4718">
        <v>1</v>
      </c>
      <c r="BG4718">
        <v>0</v>
      </c>
      <c r="BH4718">
        <v>0</v>
      </c>
      <c r="BI4718">
        <v>0</v>
      </c>
      <c r="BJ4718">
        <v>3625</v>
      </c>
      <c r="BK4718">
        <v>-475</v>
      </c>
      <c r="BL4718" t="s">
        <v>163</v>
      </c>
      <c r="BM4718">
        <v>1</v>
      </c>
      <c r="BN4718">
        <v>1</v>
      </c>
      <c r="BO4718">
        <v>1</v>
      </c>
      <c r="BP4718">
        <v>0</v>
      </c>
      <c r="BS4718">
        <v>0</v>
      </c>
      <c r="BT4718">
        <v>0</v>
      </c>
      <c r="BU4718">
        <v>0</v>
      </c>
      <c r="CE4718" t="str">
        <f t="shared" ref="CE4718:CE4724" si="1747">"19:38:10.814"</f>
        <v>19:38:10.814</v>
      </c>
      <c r="CF4718">
        <v>813832128</v>
      </c>
      <c r="CS4718">
        <v>0</v>
      </c>
      <c r="CT4718">
        <v>2</v>
      </c>
      <c r="CU4718">
        <v>0</v>
      </c>
      <c r="CV4718">
        <v>2</v>
      </c>
      <c r="CW4718">
        <v>0</v>
      </c>
      <c r="CX4718">
        <v>6</v>
      </c>
      <c r="CY4718">
        <v>7</v>
      </c>
      <c r="CZ4718" t="s">
        <v>131</v>
      </c>
      <c r="DA4718">
        <v>286</v>
      </c>
      <c r="DB4718">
        <v>0</v>
      </c>
      <c r="DC4718" t="s">
        <v>132</v>
      </c>
      <c r="DD4718" t="s">
        <v>133</v>
      </c>
      <c r="DG4718">
        <v>923635</v>
      </c>
      <c r="DI4718">
        <v>1</v>
      </c>
      <c r="DJ4718">
        <v>0</v>
      </c>
      <c r="DK4718">
        <v>0</v>
      </c>
      <c r="DL4718">
        <v>0</v>
      </c>
      <c r="DM4718">
        <v>0</v>
      </c>
      <c r="DN4718">
        <v>1</v>
      </c>
      <c r="DO4718">
        <v>0</v>
      </c>
      <c r="DP4718">
        <v>0</v>
      </c>
      <c r="DQ4718">
        <v>0</v>
      </c>
      <c r="DR4718">
        <v>0</v>
      </c>
      <c r="DS4718">
        <v>0</v>
      </c>
    </row>
    <row r="4719" spans="1:123" x14ac:dyDescent="0.3">
      <c r="A4719" t="str">
        <f t="shared" si="1745"/>
        <v>10/04/2022 19:38:11.137</v>
      </c>
      <c r="C4719" t="str">
        <f t="shared" si="1744"/>
        <v>FFDFD3C0</v>
      </c>
      <c r="D4719" t="s">
        <v>143</v>
      </c>
      <c r="E4719">
        <v>20</v>
      </c>
      <c r="F4719">
        <v>1020</v>
      </c>
      <c r="G4719" t="s">
        <v>144</v>
      </c>
      <c r="J4719" t="s">
        <v>145</v>
      </c>
      <c r="K4719">
        <v>0</v>
      </c>
      <c r="L4719">
        <v>3</v>
      </c>
      <c r="M4719">
        <v>0</v>
      </c>
      <c r="N4719">
        <v>2</v>
      </c>
      <c r="O4719">
        <v>0</v>
      </c>
      <c r="P4719">
        <v>1</v>
      </c>
      <c r="Q4719">
        <v>0</v>
      </c>
      <c r="S4719" t="str">
        <f t="shared" si="1746"/>
        <v>19:38:10.000</v>
      </c>
      <c r="T4719" t="str">
        <f t="shared" si="1746"/>
        <v>19:38:10.000</v>
      </c>
      <c r="U4719" t="str">
        <f t="shared" si="1729"/>
        <v>AC3944</v>
      </c>
      <c r="V4719">
        <v>0</v>
      </c>
      <c r="W4719">
        <v>0</v>
      </c>
      <c r="X4719">
        <v>2</v>
      </c>
      <c r="Y4719">
        <v>0</v>
      </c>
      <c r="AA4719">
        <v>1</v>
      </c>
      <c r="AB4719">
        <v>8</v>
      </c>
      <c r="AC4719">
        <v>3</v>
      </c>
      <c r="AD4719">
        <v>0</v>
      </c>
      <c r="AE4719">
        <v>9</v>
      </c>
      <c r="AF4719" t="s">
        <v>138</v>
      </c>
      <c r="AG4719">
        <v>0</v>
      </c>
      <c r="AH4719">
        <v>3</v>
      </c>
      <c r="AI4719">
        <v>1</v>
      </c>
      <c r="AJ4719">
        <v>0</v>
      </c>
      <c r="AK4719" t="s">
        <v>1480</v>
      </c>
      <c r="AL4719">
        <v>32.717221000000002</v>
      </c>
      <c r="AM4719" t="s">
        <v>1481</v>
      </c>
      <c r="AN4719">
        <v>-116.744285</v>
      </c>
      <c r="AO4719">
        <v>25</v>
      </c>
      <c r="AP4719">
        <v>4100</v>
      </c>
      <c r="AQ4719" t="s">
        <v>129</v>
      </c>
      <c r="AR4719">
        <v>-160</v>
      </c>
      <c r="AS4719">
        <v>-93</v>
      </c>
      <c r="AT4719">
        <v>-1728</v>
      </c>
      <c r="BB4719">
        <v>1200</v>
      </c>
      <c r="BC4719">
        <v>1</v>
      </c>
      <c r="BD4719" t="str">
        <f t="shared" si="1730"/>
        <v xml:space="preserve">N887QR  </v>
      </c>
      <c r="BE4719">
        <v>1</v>
      </c>
      <c r="BG4719">
        <v>0</v>
      </c>
      <c r="BH4719">
        <v>0</v>
      </c>
      <c r="BI4719">
        <v>0</v>
      </c>
      <c r="BJ4719">
        <v>3625</v>
      </c>
      <c r="BK4719">
        <v>-475</v>
      </c>
      <c r="BL4719" t="s">
        <v>163</v>
      </c>
      <c r="BM4719">
        <v>1</v>
      </c>
      <c r="BN4719">
        <v>1</v>
      </c>
      <c r="BO4719">
        <v>1</v>
      </c>
      <c r="BP4719">
        <v>0</v>
      </c>
      <c r="BS4719">
        <v>0</v>
      </c>
      <c r="BT4719">
        <v>0</v>
      </c>
      <c r="BU4719">
        <v>0</v>
      </c>
      <c r="CE4719" t="str">
        <f t="shared" si="1747"/>
        <v>19:38:10.814</v>
      </c>
      <c r="CF4719">
        <v>813832128</v>
      </c>
      <c r="CS4719">
        <v>0</v>
      </c>
      <c r="CT4719">
        <v>2</v>
      </c>
      <c r="CU4719">
        <v>0</v>
      </c>
      <c r="CV4719">
        <v>2</v>
      </c>
      <c r="CW4719">
        <v>0</v>
      </c>
      <c r="CX4719">
        <v>6</v>
      </c>
      <c r="CY4719">
        <v>7</v>
      </c>
      <c r="CZ4719" t="s">
        <v>131</v>
      </c>
      <c r="DA4719">
        <v>286</v>
      </c>
      <c r="DB4719">
        <v>0</v>
      </c>
      <c r="DC4719" t="s">
        <v>132</v>
      </c>
      <c r="DD4719" t="s">
        <v>133</v>
      </c>
      <c r="DG4719">
        <v>923635</v>
      </c>
      <c r="DI4719">
        <v>1</v>
      </c>
      <c r="DJ4719">
        <v>0</v>
      </c>
      <c r="DK4719">
        <v>1</v>
      </c>
      <c r="DL4719">
        <v>0</v>
      </c>
      <c r="DM4719">
        <v>0</v>
      </c>
      <c r="DN4719">
        <v>1</v>
      </c>
      <c r="DO4719">
        <v>0</v>
      </c>
      <c r="DP4719">
        <v>0</v>
      </c>
      <c r="DQ4719">
        <v>0</v>
      </c>
      <c r="DR4719">
        <v>0</v>
      </c>
      <c r="DS4719">
        <v>0</v>
      </c>
    </row>
    <row r="4720" spans="1:123" x14ac:dyDescent="0.3">
      <c r="A4720" t="str">
        <f t="shared" si="1745"/>
        <v>10/04/2022 19:38:11.137</v>
      </c>
      <c r="C4720" t="str">
        <f t="shared" si="1744"/>
        <v>FFDFD3C0</v>
      </c>
      <c r="D4720" t="s">
        <v>123</v>
      </c>
      <c r="E4720">
        <v>7</v>
      </c>
      <c r="F4720">
        <v>2007</v>
      </c>
      <c r="G4720" t="s">
        <v>124</v>
      </c>
      <c r="J4720" t="s">
        <v>125</v>
      </c>
      <c r="K4720">
        <v>0</v>
      </c>
      <c r="L4720">
        <v>3</v>
      </c>
      <c r="M4720">
        <v>0</v>
      </c>
      <c r="N4720">
        <v>2</v>
      </c>
      <c r="O4720">
        <v>0</v>
      </c>
      <c r="P4720">
        <v>1</v>
      </c>
      <c r="Q4720">
        <v>0</v>
      </c>
      <c r="S4720" t="str">
        <f t="shared" si="1746"/>
        <v>19:38:10.000</v>
      </c>
      <c r="T4720" t="str">
        <f t="shared" si="1746"/>
        <v>19:38:10.000</v>
      </c>
      <c r="U4720" t="str">
        <f t="shared" si="1729"/>
        <v>AC3944</v>
      </c>
      <c r="V4720">
        <v>0</v>
      </c>
      <c r="W4720">
        <v>0</v>
      </c>
      <c r="X4720">
        <v>2</v>
      </c>
      <c r="Y4720">
        <v>0</v>
      </c>
      <c r="AA4720">
        <v>1</v>
      </c>
      <c r="AB4720">
        <v>8</v>
      </c>
      <c r="AC4720">
        <v>3</v>
      </c>
      <c r="AD4720">
        <v>0</v>
      </c>
      <c r="AE4720">
        <v>9</v>
      </c>
      <c r="AF4720" t="s">
        <v>138</v>
      </c>
      <c r="AG4720">
        <v>0</v>
      </c>
      <c r="AH4720">
        <v>3</v>
      </c>
      <c r="AI4720">
        <v>1</v>
      </c>
      <c r="AJ4720">
        <v>0</v>
      </c>
      <c r="AK4720" t="s">
        <v>1480</v>
      </c>
      <c r="AL4720">
        <v>32.717221000000002</v>
      </c>
      <c r="AM4720" t="s">
        <v>1481</v>
      </c>
      <c r="AN4720">
        <v>-116.744285</v>
      </c>
      <c r="AO4720">
        <v>25</v>
      </c>
      <c r="AP4720">
        <v>4100</v>
      </c>
      <c r="AQ4720" t="s">
        <v>129</v>
      </c>
      <c r="AR4720">
        <v>-160</v>
      </c>
      <c r="AS4720">
        <v>-93</v>
      </c>
      <c r="AT4720">
        <v>-1728</v>
      </c>
      <c r="BB4720">
        <v>1200</v>
      </c>
      <c r="BC4720">
        <v>1</v>
      </c>
      <c r="BD4720" t="str">
        <f t="shared" si="1730"/>
        <v xml:space="preserve">N887QR  </v>
      </c>
      <c r="BE4720">
        <v>1</v>
      </c>
      <c r="BG4720">
        <v>0</v>
      </c>
      <c r="BH4720">
        <v>0</v>
      </c>
      <c r="BI4720">
        <v>0</v>
      </c>
      <c r="BJ4720">
        <v>3625</v>
      </c>
      <c r="BK4720">
        <v>-475</v>
      </c>
      <c r="BL4720" t="s">
        <v>163</v>
      </c>
      <c r="BM4720">
        <v>1</v>
      </c>
      <c r="BN4720">
        <v>1</v>
      </c>
      <c r="BO4720">
        <v>1</v>
      </c>
      <c r="BP4720">
        <v>0</v>
      </c>
      <c r="BS4720">
        <v>0</v>
      </c>
      <c r="BT4720">
        <v>0</v>
      </c>
      <c r="BU4720">
        <v>0</v>
      </c>
      <c r="CE4720" t="str">
        <f t="shared" si="1747"/>
        <v>19:38:10.814</v>
      </c>
      <c r="CF4720">
        <v>813832128</v>
      </c>
      <c r="CS4720">
        <v>0</v>
      </c>
      <c r="CT4720">
        <v>2</v>
      </c>
      <c r="CU4720">
        <v>0</v>
      </c>
      <c r="CV4720">
        <v>2</v>
      </c>
      <c r="CW4720">
        <v>0</v>
      </c>
      <c r="CX4720">
        <v>6</v>
      </c>
      <c r="CY4720">
        <v>7</v>
      </c>
      <c r="CZ4720" t="s">
        <v>131</v>
      </c>
      <c r="DA4720">
        <v>286</v>
      </c>
      <c r="DB4720">
        <v>0</v>
      </c>
      <c r="DC4720" t="s">
        <v>132</v>
      </c>
      <c r="DD4720" t="s">
        <v>133</v>
      </c>
      <c r="DG4720">
        <v>923635</v>
      </c>
      <c r="DI4720">
        <v>1</v>
      </c>
      <c r="DJ4720">
        <v>0</v>
      </c>
      <c r="DK4720">
        <v>1</v>
      </c>
      <c r="DL4720">
        <v>0</v>
      </c>
      <c r="DM4720">
        <v>0</v>
      </c>
      <c r="DN4720">
        <v>1</v>
      </c>
      <c r="DO4720">
        <v>0</v>
      </c>
      <c r="DP4720">
        <v>0</v>
      </c>
      <c r="DQ4720">
        <v>0</v>
      </c>
      <c r="DR4720">
        <v>0</v>
      </c>
      <c r="DS4720">
        <v>0</v>
      </c>
    </row>
    <row r="4721" spans="1:123" x14ac:dyDescent="0.3">
      <c r="A4721" t="str">
        <f t="shared" si="1745"/>
        <v>10/04/2022 19:38:11.137</v>
      </c>
      <c r="C4721" t="str">
        <f t="shared" si="1744"/>
        <v>FFDFD3C0</v>
      </c>
      <c r="D4721" t="s">
        <v>147</v>
      </c>
      <c r="E4721">
        <v>3</v>
      </c>
      <c r="H4721">
        <v>166</v>
      </c>
      <c r="I4721" t="s">
        <v>144</v>
      </c>
      <c r="J4721" t="s">
        <v>148</v>
      </c>
      <c r="K4721">
        <v>0</v>
      </c>
      <c r="L4721">
        <v>3</v>
      </c>
      <c r="M4721">
        <v>0</v>
      </c>
      <c r="N4721">
        <v>2</v>
      </c>
      <c r="O4721">
        <v>0</v>
      </c>
      <c r="P4721">
        <v>1</v>
      </c>
      <c r="Q4721">
        <v>0</v>
      </c>
      <c r="S4721" t="str">
        <f t="shared" si="1746"/>
        <v>19:38:10.000</v>
      </c>
      <c r="T4721" t="str">
        <f t="shared" si="1746"/>
        <v>19:38:10.000</v>
      </c>
      <c r="U4721" t="str">
        <f t="shared" si="1729"/>
        <v>AC3944</v>
      </c>
      <c r="V4721">
        <v>0</v>
      </c>
      <c r="W4721">
        <v>0</v>
      </c>
      <c r="X4721">
        <v>2</v>
      </c>
      <c r="Y4721">
        <v>0</v>
      </c>
      <c r="AA4721">
        <v>1</v>
      </c>
      <c r="AB4721">
        <v>8</v>
      </c>
      <c r="AC4721">
        <v>3</v>
      </c>
      <c r="AD4721">
        <v>0</v>
      </c>
      <c r="AE4721">
        <v>9</v>
      </c>
      <c r="AF4721" t="s">
        <v>138</v>
      </c>
      <c r="AG4721">
        <v>0</v>
      </c>
      <c r="AH4721">
        <v>3</v>
      </c>
      <c r="AI4721">
        <v>1</v>
      </c>
      <c r="AJ4721">
        <v>0</v>
      </c>
      <c r="AK4721" t="s">
        <v>1480</v>
      </c>
      <c r="AL4721">
        <v>32.717221000000002</v>
      </c>
      <c r="AM4721" t="s">
        <v>1481</v>
      </c>
      <c r="AN4721">
        <v>-116.744285</v>
      </c>
      <c r="AO4721">
        <v>25</v>
      </c>
      <c r="AP4721">
        <v>4100</v>
      </c>
      <c r="AQ4721" t="s">
        <v>129</v>
      </c>
      <c r="AR4721">
        <v>-160</v>
      </c>
      <c r="AS4721">
        <v>-93</v>
      </c>
      <c r="AT4721">
        <v>-1728</v>
      </c>
      <c r="BB4721">
        <v>1200</v>
      </c>
      <c r="BC4721">
        <v>1</v>
      </c>
      <c r="BD4721" t="str">
        <f t="shared" si="1730"/>
        <v xml:space="preserve">N887QR  </v>
      </c>
      <c r="BE4721">
        <v>1</v>
      </c>
      <c r="BG4721">
        <v>0</v>
      </c>
      <c r="BH4721">
        <v>0</v>
      </c>
      <c r="BI4721">
        <v>0</v>
      </c>
      <c r="BJ4721">
        <v>3625</v>
      </c>
      <c r="BK4721">
        <v>-475</v>
      </c>
      <c r="BL4721" t="s">
        <v>163</v>
      </c>
      <c r="BM4721">
        <v>1</v>
      </c>
      <c r="BN4721">
        <v>1</v>
      </c>
      <c r="BO4721">
        <v>1</v>
      </c>
      <c r="BP4721">
        <v>0</v>
      </c>
      <c r="BS4721">
        <v>0</v>
      </c>
      <c r="BT4721">
        <v>0</v>
      </c>
      <c r="BU4721">
        <v>0</v>
      </c>
      <c r="CE4721" t="str">
        <f t="shared" si="1747"/>
        <v>19:38:10.814</v>
      </c>
      <c r="CF4721">
        <v>813832128</v>
      </c>
      <c r="CS4721">
        <v>0</v>
      </c>
      <c r="CT4721">
        <v>2</v>
      </c>
      <c r="CU4721">
        <v>0</v>
      </c>
      <c r="CV4721">
        <v>2</v>
      </c>
      <c r="CW4721">
        <v>0</v>
      </c>
      <c r="CX4721">
        <v>6</v>
      </c>
      <c r="CY4721">
        <v>7</v>
      </c>
      <c r="CZ4721" t="s">
        <v>131</v>
      </c>
      <c r="DA4721">
        <v>286</v>
      </c>
      <c r="DB4721">
        <v>0</v>
      </c>
      <c r="DC4721" t="s">
        <v>132</v>
      </c>
      <c r="DD4721" t="s">
        <v>133</v>
      </c>
      <c r="DG4721">
        <v>923635</v>
      </c>
      <c r="DI4721">
        <v>1</v>
      </c>
      <c r="DJ4721">
        <v>0</v>
      </c>
      <c r="DK4721">
        <v>1</v>
      </c>
      <c r="DL4721">
        <v>0</v>
      </c>
      <c r="DM4721">
        <v>0</v>
      </c>
      <c r="DN4721">
        <v>1</v>
      </c>
      <c r="DO4721">
        <v>0</v>
      </c>
      <c r="DP4721">
        <v>0</v>
      </c>
      <c r="DQ4721">
        <v>0</v>
      </c>
      <c r="DR4721">
        <v>0</v>
      </c>
      <c r="DS4721">
        <v>0</v>
      </c>
    </row>
    <row r="4722" spans="1:123" x14ac:dyDescent="0.3">
      <c r="A4722" t="str">
        <f t="shared" si="1745"/>
        <v>10/04/2022 19:38:11.137</v>
      </c>
      <c r="C4722" t="str">
        <f t="shared" si="1744"/>
        <v>FFDFD3C0</v>
      </c>
      <c r="D4722" t="s">
        <v>141</v>
      </c>
      <c r="E4722">
        <v>3</v>
      </c>
      <c r="H4722">
        <v>3</v>
      </c>
      <c r="I4722" t="s">
        <v>146</v>
      </c>
      <c r="J4722" t="s">
        <v>138</v>
      </c>
      <c r="K4722">
        <v>0</v>
      </c>
      <c r="L4722">
        <v>3</v>
      </c>
      <c r="M4722">
        <v>0</v>
      </c>
      <c r="N4722">
        <v>2</v>
      </c>
      <c r="O4722">
        <v>0</v>
      </c>
      <c r="P4722">
        <v>1</v>
      </c>
      <c r="Q4722">
        <v>0</v>
      </c>
      <c r="S4722" t="str">
        <f t="shared" si="1746"/>
        <v>19:38:10.000</v>
      </c>
      <c r="T4722" t="str">
        <f t="shared" si="1746"/>
        <v>19:38:10.000</v>
      </c>
      <c r="U4722" t="str">
        <f t="shared" si="1729"/>
        <v>AC3944</v>
      </c>
      <c r="V4722">
        <v>0</v>
      </c>
      <c r="W4722">
        <v>0</v>
      </c>
      <c r="X4722">
        <v>2</v>
      </c>
      <c r="Y4722">
        <v>0</v>
      </c>
      <c r="AA4722">
        <v>1</v>
      </c>
      <c r="AB4722">
        <v>8</v>
      </c>
      <c r="AC4722">
        <v>3</v>
      </c>
      <c r="AD4722">
        <v>0</v>
      </c>
      <c r="AE4722">
        <v>9</v>
      </c>
      <c r="AF4722" t="s">
        <v>138</v>
      </c>
      <c r="AG4722">
        <v>0</v>
      </c>
      <c r="AH4722">
        <v>3</v>
      </c>
      <c r="AI4722">
        <v>1</v>
      </c>
      <c r="AJ4722">
        <v>0</v>
      </c>
      <c r="AK4722" t="s">
        <v>1480</v>
      </c>
      <c r="AL4722">
        <v>32.717221000000002</v>
      </c>
      <c r="AM4722" t="s">
        <v>1481</v>
      </c>
      <c r="AN4722">
        <v>-116.744285</v>
      </c>
      <c r="AO4722">
        <v>25</v>
      </c>
      <c r="AP4722">
        <v>4100</v>
      </c>
      <c r="AQ4722" t="s">
        <v>129</v>
      </c>
      <c r="AR4722">
        <v>-160</v>
      </c>
      <c r="AS4722">
        <v>-93</v>
      </c>
      <c r="AT4722">
        <v>-1728</v>
      </c>
      <c r="BB4722">
        <v>1200</v>
      </c>
      <c r="BC4722">
        <v>1</v>
      </c>
      <c r="BD4722" t="str">
        <f t="shared" si="1730"/>
        <v xml:space="preserve">N887QR  </v>
      </c>
      <c r="BE4722">
        <v>1</v>
      </c>
      <c r="BG4722">
        <v>0</v>
      </c>
      <c r="BH4722">
        <v>0</v>
      </c>
      <c r="BI4722">
        <v>0</v>
      </c>
      <c r="BJ4722">
        <v>3625</v>
      </c>
      <c r="BK4722">
        <v>-475</v>
      </c>
      <c r="BL4722" t="s">
        <v>163</v>
      </c>
      <c r="BM4722">
        <v>1</v>
      </c>
      <c r="BN4722">
        <v>1</v>
      </c>
      <c r="BO4722">
        <v>1</v>
      </c>
      <c r="BP4722">
        <v>0</v>
      </c>
      <c r="BS4722">
        <v>0</v>
      </c>
      <c r="BT4722">
        <v>0</v>
      </c>
      <c r="BU4722">
        <v>0</v>
      </c>
      <c r="CE4722" t="str">
        <f t="shared" si="1747"/>
        <v>19:38:10.814</v>
      </c>
      <c r="CF4722">
        <v>813832128</v>
      </c>
      <c r="CS4722">
        <v>0</v>
      </c>
      <c r="CT4722">
        <v>2</v>
      </c>
      <c r="CU4722">
        <v>0</v>
      </c>
      <c r="CV4722">
        <v>2</v>
      </c>
      <c r="CW4722">
        <v>0</v>
      </c>
      <c r="CX4722">
        <v>6</v>
      </c>
      <c r="CY4722">
        <v>7</v>
      </c>
      <c r="CZ4722" t="s">
        <v>131</v>
      </c>
      <c r="DA4722">
        <v>286</v>
      </c>
      <c r="DB4722">
        <v>0</v>
      </c>
      <c r="DC4722" t="s">
        <v>132</v>
      </c>
      <c r="DD4722" t="s">
        <v>133</v>
      </c>
      <c r="DG4722">
        <v>923635</v>
      </c>
      <c r="DI4722">
        <v>1</v>
      </c>
      <c r="DJ4722">
        <v>0</v>
      </c>
      <c r="DK4722">
        <v>1</v>
      </c>
      <c r="DL4722">
        <v>0</v>
      </c>
      <c r="DM4722">
        <v>0</v>
      </c>
      <c r="DN4722">
        <v>1</v>
      </c>
      <c r="DO4722">
        <v>0</v>
      </c>
      <c r="DP4722">
        <v>0</v>
      </c>
      <c r="DQ4722">
        <v>0</v>
      </c>
      <c r="DR4722">
        <v>0</v>
      </c>
      <c r="DS4722">
        <v>0</v>
      </c>
    </row>
    <row r="4723" spans="1:123" x14ac:dyDescent="0.3">
      <c r="A4723" t="str">
        <f t="shared" si="1745"/>
        <v>10/04/2022 19:38:11.137</v>
      </c>
      <c r="C4723" t="str">
        <f t="shared" si="1744"/>
        <v>FFDFD3C0</v>
      </c>
      <c r="D4723" t="s">
        <v>134</v>
      </c>
      <c r="E4723">
        <v>15</v>
      </c>
      <c r="J4723" t="s">
        <v>135</v>
      </c>
      <c r="K4723">
        <v>0</v>
      </c>
      <c r="L4723">
        <v>3</v>
      </c>
      <c r="M4723">
        <v>0</v>
      </c>
      <c r="N4723">
        <v>2</v>
      </c>
      <c r="O4723">
        <v>0</v>
      </c>
      <c r="P4723">
        <v>1</v>
      </c>
      <c r="Q4723">
        <v>0</v>
      </c>
      <c r="S4723" t="str">
        <f t="shared" si="1746"/>
        <v>19:38:10.000</v>
      </c>
      <c r="T4723" t="str">
        <f t="shared" si="1746"/>
        <v>19:38:10.000</v>
      </c>
      <c r="U4723" t="str">
        <f t="shared" si="1729"/>
        <v>AC3944</v>
      </c>
      <c r="V4723">
        <v>0</v>
      </c>
      <c r="W4723">
        <v>0</v>
      </c>
      <c r="X4723">
        <v>2</v>
      </c>
      <c r="Y4723">
        <v>0</v>
      </c>
      <c r="AA4723">
        <v>1</v>
      </c>
      <c r="AB4723">
        <v>8</v>
      </c>
      <c r="AC4723">
        <v>3</v>
      </c>
      <c r="AD4723">
        <v>0</v>
      </c>
      <c r="AE4723">
        <v>9</v>
      </c>
      <c r="AF4723" t="s">
        <v>138</v>
      </c>
      <c r="AG4723">
        <v>0</v>
      </c>
      <c r="AH4723">
        <v>3</v>
      </c>
      <c r="AI4723">
        <v>1</v>
      </c>
      <c r="AJ4723">
        <v>0</v>
      </c>
      <c r="AK4723" t="s">
        <v>1480</v>
      </c>
      <c r="AL4723">
        <v>32.717221000000002</v>
      </c>
      <c r="AM4723" t="s">
        <v>1481</v>
      </c>
      <c r="AN4723">
        <v>-116.744285</v>
      </c>
      <c r="AO4723">
        <v>25</v>
      </c>
      <c r="AP4723">
        <v>4100</v>
      </c>
      <c r="AQ4723" t="s">
        <v>129</v>
      </c>
      <c r="AR4723">
        <v>-160</v>
      </c>
      <c r="AS4723">
        <v>-93</v>
      </c>
      <c r="AT4723">
        <v>-1728</v>
      </c>
      <c r="BB4723">
        <v>1200</v>
      </c>
      <c r="BC4723">
        <v>1</v>
      </c>
      <c r="BD4723" t="str">
        <f t="shared" si="1730"/>
        <v xml:space="preserve">N887QR  </v>
      </c>
      <c r="BE4723">
        <v>1</v>
      </c>
      <c r="BG4723">
        <v>0</v>
      </c>
      <c r="BH4723">
        <v>0</v>
      </c>
      <c r="BI4723">
        <v>0</v>
      </c>
      <c r="BJ4723">
        <v>3625</v>
      </c>
      <c r="BK4723">
        <v>-475</v>
      </c>
      <c r="BL4723" t="s">
        <v>163</v>
      </c>
      <c r="BM4723">
        <v>1</v>
      </c>
      <c r="BN4723">
        <v>1</v>
      </c>
      <c r="BO4723">
        <v>1</v>
      </c>
      <c r="BP4723">
        <v>0</v>
      </c>
      <c r="BS4723">
        <v>0</v>
      </c>
      <c r="BT4723">
        <v>0</v>
      </c>
      <c r="BU4723">
        <v>0</v>
      </c>
      <c r="CE4723" t="str">
        <f t="shared" si="1747"/>
        <v>19:38:10.814</v>
      </c>
      <c r="CF4723">
        <v>813832128</v>
      </c>
      <c r="CS4723">
        <v>0</v>
      </c>
      <c r="CT4723">
        <v>2</v>
      </c>
      <c r="CU4723">
        <v>0</v>
      </c>
      <c r="CV4723">
        <v>2</v>
      </c>
      <c r="CW4723">
        <v>0</v>
      </c>
      <c r="CX4723">
        <v>6</v>
      </c>
      <c r="CY4723">
        <v>7</v>
      </c>
      <c r="CZ4723" t="s">
        <v>131</v>
      </c>
      <c r="DA4723">
        <v>286</v>
      </c>
      <c r="DB4723">
        <v>0</v>
      </c>
      <c r="DC4723" t="s">
        <v>132</v>
      </c>
      <c r="DD4723" t="s">
        <v>133</v>
      </c>
      <c r="DG4723">
        <v>923635</v>
      </c>
      <c r="DI4723">
        <v>1</v>
      </c>
      <c r="DJ4723">
        <v>0</v>
      </c>
      <c r="DK4723">
        <v>1</v>
      </c>
      <c r="DL4723">
        <v>0</v>
      </c>
      <c r="DM4723">
        <v>0</v>
      </c>
      <c r="DN4723">
        <v>1</v>
      </c>
      <c r="DO4723">
        <v>0</v>
      </c>
      <c r="DP4723">
        <v>0</v>
      </c>
      <c r="DQ4723">
        <v>0</v>
      </c>
      <c r="DR4723">
        <v>0</v>
      </c>
      <c r="DS4723">
        <v>0</v>
      </c>
    </row>
    <row r="4724" spans="1:123" x14ac:dyDescent="0.3">
      <c r="A4724" t="str">
        <f t="shared" si="1745"/>
        <v>10/04/2022 19:38:11.137</v>
      </c>
      <c r="C4724" t="str">
        <f t="shared" si="1744"/>
        <v>FFDFD3C0</v>
      </c>
      <c r="D4724" t="s">
        <v>136</v>
      </c>
      <c r="E4724">
        <v>8</v>
      </c>
      <c r="H4724">
        <v>225</v>
      </c>
      <c r="I4724" t="s">
        <v>137</v>
      </c>
      <c r="J4724" t="s">
        <v>138</v>
      </c>
      <c r="K4724">
        <v>0</v>
      </c>
      <c r="L4724">
        <v>3</v>
      </c>
      <c r="M4724">
        <v>0</v>
      </c>
      <c r="N4724">
        <v>2</v>
      </c>
      <c r="O4724">
        <v>0</v>
      </c>
      <c r="P4724">
        <v>1</v>
      </c>
      <c r="Q4724">
        <v>0</v>
      </c>
      <c r="S4724" t="str">
        <f t="shared" si="1746"/>
        <v>19:38:10.000</v>
      </c>
      <c r="T4724" t="str">
        <f t="shared" si="1746"/>
        <v>19:38:10.000</v>
      </c>
      <c r="U4724" t="str">
        <f t="shared" si="1729"/>
        <v>AC3944</v>
      </c>
      <c r="V4724">
        <v>0</v>
      </c>
      <c r="W4724">
        <v>0</v>
      </c>
      <c r="X4724">
        <v>2</v>
      </c>
      <c r="Y4724">
        <v>0</v>
      </c>
      <c r="AA4724">
        <v>1</v>
      </c>
      <c r="AB4724">
        <v>8</v>
      </c>
      <c r="AC4724">
        <v>3</v>
      </c>
      <c r="AD4724">
        <v>0</v>
      </c>
      <c r="AE4724">
        <v>9</v>
      </c>
      <c r="AF4724" t="s">
        <v>138</v>
      </c>
      <c r="AG4724">
        <v>0</v>
      </c>
      <c r="AH4724">
        <v>3</v>
      </c>
      <c r="AI4724">
        <v>1</v>
      </c>
      <c r="AJ4724">
        <v>0</v>
      </c>
      <c r="AK4724" t="s">
        <v>1480</v>
      </c>
      <c r="AL4724">
        <v>32.717221000000002</v>
      </c>
      <c r="AM4724" t="s">
        <v>1481</v>
      </c>
      <c r="AN4724">
        <v>-116.744285</v>
      </c>
      <c r="AO4724">
        <v>25</v>
      </c>
      <c r="AP4724">
        <v>4100</v>
      </c>
      <c r="AQ4724" t="s">
        <v>129</v>
      </c>
      <c r="AR4724">
        <v>-160</v>
      </c>
      <c r="AS4724">
        <v>-93</v>
      </c>
      <c r="AT4724">
        <v>-1728</v>
      </c>
      <c r="BB4724">
        <v>1200</v>
      </c>
      <c r="BC4724">
        <v>1</v>
      </c>
      <c r="BD4724" t="str">
        <f t="shared" si="1730"/>
        <v xml:space="preserve">N887QR  </v>
      </c>
      <c r="BE4724">
        <v>1</v>
      </c>
      <c r="BG4724">
        <v>0</v>
      </c>
      <c r="BH4724">
        <v>0</v>
      </c>
      <c r="BI4724">
        <v>0</v>
      </c>
      <c r="BJ4724">
        <v>3625</v>
      </c>
      <c r="BK4724">
        <v>-475</v>
      </c>
      <c r="BL4724" t="s">
        <v>163</v>
      </c>
      <c r="BM4724">
        <v>1</v>
      </c>
      <c r="BN4724">
        <v>1</v>
      </c>
      <c r="BO4724">
        <v>1</v>
      </c>
      <c r="BP4724">
        <v>0</v>
      </c>
      <c r="BS4724">
        <v>0</v>
      </c>
      <c r="BT4724">
        <v>0</v>
      </c>
      <c r="BU4724">
        <v>0</v>
      </c>
      <c r="CE4724" t="str">
        <f t="shared" si="1747"/>
        <v>19:38:10.814</v>
      </c>
      <c r="CF4724">
        <v>813832128</v>
      </c>
      <c r="CS4724">
        <v>0</v>
      </c>
      <c r="CT4724">
        <v>2</v>
      </c>
      <c r="CU4724">
        <v>0</v>
      </c>
      <c r="CV4724">
        <v>2</v>
      </c>
      <c r="CW4724">
        <v>0</v>
      </c>
      <c r="CX4724">
        <v>6</v>
      </c>
      <c r="CY4724">
        <v>7</v>
      </c>
      <c r="CZ4724" t="s">
        <v>131</v>
      </c>
      <c r="DA4724">
        <v>286</v>
      </c>
      <c r="DB4724">
        <v>0</v>
      </c>
      <c r="DC4724" t="s">
        <v>132</v>
      </c>
      <c r="DD4724" t="s">
        <v>133</v>
      </c>
      <c r="DG4724">
        <v>923635</v>
      </c>
      <c r="DI4724">
        <v>1</v>
      </c>
      <c r="DJ4724">
        <v>0</v>
      </c>
      <c r="DK4724">
        <v>1</v>
      </c>
      <c r="DL4724">
        <v>0</v>
      </c>
      <c r="DM4724">
        <v>0</v>
      </c>
      <c r="DN4724">
        <v>1</v>
      </c>
      <c r="DO4724">
        <v>0</v>
      </c>
      <c r="DP4724">
        <v>0</v>
      </c>
      <c r="DQ4724">
        <v>0</v>
      </c>
      <c r="DR4724">
        <v>0</v>
      </c>
      <c r="DS4724">
        <v>0</v>
      </c>
    </row>
    <row r="4725" spans="1:123" x14ac:dyDescent="0.3">
      <c r="A4725" t="str">
        <f>"10/04/2022 19:38:12.668"</f>
        <v>10/04/2022 19:38:12.668</v>
      </c>
      <c r="C4725" t="str">
        <f t="shared" si="1744"/>
        <v>FFDFD3C0</v>
      </c>
      <c r="D4725" t="s">
        <v>143</v>
      </c>
      <c r="E4725">
        <v>20</v>
      </c>
      <c r="F4725">
        <v>1020</v>
      </c>
      <c r="G4725" t="s">
        <v>144</v>
      </c>
      <c r="J4725" t="s">
        <v>145</v>
      </c>
      <c r="K4725">
        <v>0</v>
      </c>
      <c r="L4725">
        <v>3</v>
      </c>
      <c r="M4725">
        <v>0</v>
      </c>
      <c r="N4725">
        <v>2</v>
      </c>
      <c r="O4725">
        <v>0</v>
      </c>
      <c r="P4725">
        <v>1</v>
      </c>
      <c r="Q4725">
        <v>0</v>
      </c>
      <c r="S4725" t="str">
        <f t="shared" ref="S4725:T4738" si="1748">"19:38:12.000"</f>
        <v>19:38:12.000</v>
      </c>
      <c r="T4725" t="str">
        <f t="shared" si="1748"/>
        <v>19:38:12.000</v>
      </c>
      <c r="U4725" t="str">
        <f t="shared" si="1729"/>
        <v>AC3944</v>
      </c>
      <c r="V4725">
        <v>0</v>
      </c>
      <c r="W4725">
        <v>0</v>
      </c>
      <c r="X4725">
        <v>2</v>
      </c>
      <c r="Y4725">
        <v>0</v>
      </c>
      <c r="AA4725">
        <v>1</v>
      </c>
      <c r="AB4725">
        <v>8</v>
      </c>
      <c r="AC4725">
        <v>3</v>
      </c>
      <c r="AD4725">
        <v>0</v>
      </c>
      <c r="AE4725">
        <v>9</v>
      </c>
      <c r="AF4725" t="s">
        <v>138</v>
      </c>
      <c r="AG4725">
        <v>0</v>
      </c>
      <c r="AH4725">
        <v>3</v>
      </c>
      <c r="AI4725">
        <v>1</v>
      </c>
      <c r="AJ4725">
        <v>0</v>
      </c>
      <c r="AK4725" t="s">
        <v>1482</v>
      </c>
      <c r="AL4725">
        <v>32.716791999999998</v>
      </c>
      <c r="AM4725" t="s">
        <v>1483</v>
      </c>
      <c r="AN4725">
        <v>-116.745164</v>
      </c>
      <c r="AO4725">
        <v>25</v>
      </c>
      <c r="AP4725">
        <v>4000</v>
      </c>
      <c r="AQ4725" t="s">
        <v>129</v>
      </c>
      <c r="AR4725">
        <v>-159</v>
      </c>
      <c r="AS4725">
        <v>-92</v>
      </c>
      <c r="AT4725">
        <v>-1792</v>
      </c>
      <c r="BB4725">
        <v>1200</v>
      </c>
      <c r="BC4725">
        <v>1</v>
      </c>
      <c r="BD4725" t="str">
        <f t="shared" si="1730"/>
        <v xml:space="preserve">N887QR  </v>
      </c>
      <c r="BE4725">
        <v>1</v>
      </c>
      <c r="BG4725">
        <v>0</v>
      </c>
      <c r="BH4725">
        <v>0</v>
      </c>
      <c r="BI4725">
        <v>0</v>
      </c>
      <c r="BJ4725">
        <v>3625</v>
      </c>
      <c r="BK4725">
        <v>-375</v>
      </c>
      <c r="BL4725" t="s">
        <v>163</v>
      </c>
      <c r="BM4725">
        <v>1</v>
      </c>
      <c r="BN4725">
        <v>1</v>
      </c>
      <c r="BO4725">
        <v>1</v>
      </c>
      <c r="BP4725">
        <v>0</v>
      </c>
      <c r="BS4725">
        <v>0</v>
      </c>
      <c r="BT4725">
        <v>0</v>
      </c>
      <c r="BU4725">
        <v>0</v>
      </c>
      <c r="CE4725" t="str">
        <f t="shared" ref="CE4725:CE4731" si="1749">"19:38:12.330"</f>
        <v>19:38:12.330</v>
      </c>
      <c r="CF4725">
        <v>330086581</v>
      </c>
      <c r="CS4725">
        <v>0</v>
      </c>
      <c r="CT4725">
        <v>2</v>
      </c>
      <c r="CU4725">
        <v>0</v>
      </c>
      <c r="CV4725">
        <v>2</v>
      </c>
      <c r="CW4725">
        <v>0</v>
      </c>
      <c r="CX4725">
        <v>6</v>
      </c>
      <c r="CY4725">
        <v>7</v>
      </c>
      <c r="CZ4725" t="s">
        <v>131</v>
      </c>
      <c r="DA4725">
        <v>286</v>
      </c>
      <c r="DB4725">
        <v>0</v>
      </c>
      <c r="DC4725" t="s">
        <v>132</v>
      </c>
      <c r="DD4725" t="s">
        <v>133</v>
      </c>
      <c r="DG4725">
        <v>923996</v>
      </c>
      <c r="DI4725">
        <v>1</v>
      </c>
      <c r="DJ4725">
        <v>0</v>
      </c>
      <c r="DK4725">
        <v>0</v>
      </c>
      <c r="DL4725">
        <v>0</v>
      </c>
      <c r="DM4725">
        <v>0</v>
      </c>
      <c r="DN4725">
        <v>1</v>
      </c>
      <c r="DO4725">
        <v>0</v>
      </c>
      <c r="DP4725">
        <v>0</v>
      </c>
      <c r="DQ4725">
        <v>0</v>
      </c>
      <c r="DR4725">
        <v>0</v>
      </c>
      <c r="DS4725">
        <v>0</v>
      </c>
    </row>
    <row r="4726" spans="1:123" x14ac:dyDescent="0.3">
      <c r="A4726" t="str">
        <f>"10/04/2022 19:38:12.668"</f>
        <v>10/04/2022 19:38:12.668</v>
      </c>
      <c r="C4726" t="str">
        <f t="shared" si="1744"/>
        <v>FFDFD3C0</v>
      </c>
      <c r="D4726" t="s">
        <v>123</v>
      </c>
      <c r="E4726">
        <v>7</v>
      </c>
      <c r="F4726">
        <v>2007</v>
      </c>
      <c r="G4726" t="s">
        <v>124</v>
      </c>
      <c r="J4726" t="s">
        <v>125</v>
      </c>
      <c r="K4726">
        <v>0</v>
      </c>
      <c r="L4726">
        <v>3</v>
      </c>
      <c r="M4726">
        <v>0</v>
      </c>
      <c r="N4726">
        <v>2</v>
      </c>
      <c r="O4726">
        <v>0</v>
      </c>
      <c r="P4726">
        <v>1</v>
      </c>
      <c r="Q4726">
        <v>0</v>
      </c>
      <c r="S4726" t="str">
        <f t="shared" si="1748"/>
        <v>19:38:12.000</v>
      </c>
      <c r="T4726" t="str">
        <f t="shared" si="1748"/>
        <v>19:38:12.000</v>
      </c>
      <c r="U4726" t="str">
        <f t="shared" si="1729"/>
        <v>AC3944</v>
      </c>
      <c r="V4726">
        <v>0</v>
      </c>
      <c r="W4726">
        <v>0</v>
      </c>
      <c r="X4726">
        <v>2</v>
      </c>
      <c r="Y4726">
        <v>0</v>
      </c>
      <c r="AA4726">
        <v>1</v>
      </c>
      <c r="AB4726">
        <v>8</v>
      </c>
      <c r="AC4726">
        <v>3</v>
      </c>
      <c r="AD4726">
        <v>0</v>
      </c>
      <c r="AE4726">
        <v>9</v>
      </c>
      <c r="AF4726" t="s">
        <v>138</v>
      </c>
      <c r="AG4726">
        <v>0</v>
      </c>
      <c r="AH4726">
        <v>3</v>
      </c>
      <c r="AI4726">
        <v>1</v>
      </c>
      <c r="AJ4726">
        <v>0</v>
      </c>
      <c r="AK4726" t="s">
        <v>1482</v>
      </c>
      <c r="AL4726">
        <v>32.716791999999998</v>
      </c>
      <c r="AM4726" t="s">
        <v>1483</v>
      </c>
      <c r="AN4726">
        <v>-116.745164</v>
      </c>
      <c r="AO4726">
        <v>25</v>
      </c>
      <c r="AP4726">
        <v>4000</v>
      </c>
      <c r="AQ4726" t="s">
        <v>129</v>
      </c>
      <c r="AR4726">
        <v>-159</v>
      </c>
      <c r="AS4726">
        <v>-92</v>
      </c>
      <c r="AT4726">
        <v>-1792</v>
      </c>
      <c r="BB4726">
        <v>1200</v>
      </c>
      <c r="BC4726">
        <v>1</v>
      </c>
      <c r="BD4726" t="str">
        <f t="shared" si="1730"/>
        <v xml:space="preserve">N887QR  </v>
      </c>
      <c r="BE4726">
        <v>1</v>
      </c>
      <c r="BG4726">
        <v>0</v>
      </c>
      <c r="BH4726">
        <v>0</v>
      </c>
      <c r="BI4726">
        <v>0</v>
      </c>
      <c r="BJ4726">
        <v>3625</v>
      </c>
      <c r="BK4726">
        <v>-375</v>
      </c>
      <c r="BL4726" t="s">
        <v>163</v>
      </c>
      <c r="BM4726">
        <v>1</v>
      </c>
      <c r="BN4726">
        <v>1</v>
      </c>
      <c r="BO4726">
        <v>1</v>
      </c>
      <c r="BP4726">
        <v>0</v>
      </c>
      <c r="BS4726">
        <v>0</v>
      </c>
      <c r="BT4726">
        <v>0</v>
      </c>
      <c r="BU4726">
        <v>0</v>
      </c>
      <c r="CE4726" t="str">
        <f t="shared" si="1749"/>
        <v>19:38:12.330</v>
      </c>
      <c r="CF4726">
        <v>330086581</v>
      </c>
      <c r="CS4726">
        <v>0</v>
      </c>
      <c r="CT4726">
        <v>2</v>
      </c>
      <c r="CU4726">
        <v>0</v>
      </c>
      <c r="CV4726">
        <v>2</v>
      </c>
      <c r="CW4726">
        <v>0</v>
      </c>
      <c r="CX4726">
        <v>6</v>
      </c>
      <c r="CY4726">
        <v>7</v>
      </c>
      <c r="CZ4726" t="s">
        <v>131</v>
      </c>
      <c r="DA4726">
        <v>286</v>
      </c>
      <c r="DB4726">
        <v>0</v>
      </c>
      <c r="DC4726" t="s">
        <v>132</v>
      </c>
      <c r="DD4726" t="s">
        <v>133</v>
      </c>
      <c r="DG4726">
        <v>923996</v>
      </c>
      <c r="DI4726">
        <v>1</v>
      </c>
      <c r="DJ4726">
        <v>0</v>
      </c>
      <c r="DK4726">
        <v>1</v>
      </c>
      <c r="DL4726">
        <v>0</v>
      </c>
      <c r="DM4726">
        <v>0</v>
      </c>
      <c r="DN4726">
        <v>1</v>
      </c>
      <c r="DO4726">
        <v>0</v>
      </c>
      <c r="DP4726">
        <v>0</v>
      </c>
      <c r="DQ4726">
        <v>0</v>
      </c>
      <c r="DR4726">
        <v>0</v>
      </c>
      <c r="DS4726">
        <v>0</v>
      </c>
    </row>
    <row r="4727" spans="1:123" x14ac:dyDescent="0.3">
      <c r="A4727" t="str">
        <f>"10/04/2022 19:38:12.699"</f>
        <v>10/04/2022 19:38:12.699</v>
      </c>
      <c r="C4727" t="str">
        <f t="shared" si="1744"/>
        <v>FFDFD3C0</v>
      </c>
      <c r="D4727" t="s">
        <v>147</v>
      </c>
      <c r="E4727">
        <v>3</v>
      </c>
      <c r="H4727">
        <v>166</v>
      </c>
      <c r="I4727" t="s">
        <v>144</v>
      </c>
      <c r="J4727" t="s">
        <v>148</v>
      </c>
      <c r="K4727">
        <v>0</v>
      </c>
      <c r="L4727">
        <v>3</v>
      </c>
      <c r="M4727">
        <v>0</v>
      </c>
      <c r="N4727">
        <v>2</v>
      </c>
      <c r="O4727">
        <v>0</v>
      </c>
      <c r="P4727">
        <v>1</v>
      </c>
      <c r="Q4727">
        <v>0</v>
      </c>
      <c r="S4727" t="str">
        <f t="shared" si="1748"/>
        <v>19:38:12.000</v>
      </c>
      <c r="T4727" t="str">
        <f t="shared" si="1748"/>
        <v>19:38:12.000</v>
      </c>
      <c r="U4727" t="str">
        <f t="shared" si="1729"/>
        <v>AC3944</v>
      </c>
      <c r="V4727">
        <v>0</v>
      </c>
      <c r="W4727">
        <v>0</v>
      </c>
      <c r="X4727">
        <v>2</v>
      </c>
      <c r="Y4727">
        <v>0</v>
      </c>
      <c r="AA4727">
        <v>1</v>
      </c>
      <c r="AB4727">
        <v>8</v>
      </c>
      <c r="AC4727">
        <v>3</v>
      </c>
      <c r="AD4727">
        <v>0</v>
      </c>
      <c r="AE4727">
        <v>9</v>
      </c>
      <c r="AF4727" t="s">
        <v>138</v>
      </c>
      <c r="AG4727">
        <v>0</v>
      </c>
      <c r="AH4727">
        <v>3</v>
      </c>
      <c r="AI4727">
        <v>1</v>
      </c>
      <c r="AJ4727">
        <v>0</v>
      </c>
      <c r="AK4727" t="s">
        <v>1482</v>
      </c>
      <c r="AL4727">
        <v>32.716791999999998</v>
      </c>
      <c r="AM4727" t="s">
        <v>1483</v>
      </c>
      <c r="AN4727">
        <v>-116.745164</v>
      </c>
      <c r="AO4727">
        <v>25</v>
      </c>
      <c r="AP4727">
        <v>4000</v>
      </c>
      <c r="AQ4727" t="s">
        <v>129</v>
      </c>
      <c r="AR4727">
        <v>-159</v>
      </c>
      <c r="AS4727">
        <v>-92</v>
      </c>
      <c r="AT4727">
        <v>-1792</v>
      </c>
      <c r="BB4727">
        <v>1200</v>
      </c>
      <c r="BC4727">
        <v>1</v>
      </c>
      <c r="BD4727" t="str">
        <f t="shared" si="1730"/>
        <v xml:space="preserve">N887QR  </v>
      </c>
      <c r="BE4727">
        <v>1</v>
      </c>
      <c r="BG4727">
        <v>0</v>
      </c>
      <c r="BH4727">
        <v>0</v>
      </c>
      <c r="BI4727">
        <v>0</v>
      </c>
      <c r="BJ4727">
        <v>3625</v>
      </c>
      <c r="BK4727">
        <v>-375</v>
      </c>
      <c r="BL4727" t="s">
        <v>163</v>
      </c>
      <c r="BM4727">
        <v>1</v>
      </c>
      <c r="BN4727">
        <v>1</v>
      </c>
      <c r="BO4727">
        <v>1</v>
      </c>
      <c r="BP4727">
        <v>0</v>
      </c>
      <c r="BS4727">
        <v>0</v>
      </c>
      <c r="BT4727">
        <v>0</v>
      </c>
      <c r="BU4727">
        <v>0</v>
      </c>
      <c r="CE4727" t="str">
        <f t="shared" si="1749"/>
        <v>19:38:12.330</v>
      </c>
      <c r="CF4727">
        <v>330086581</v>
      </c>
      <c r="CS4727">
        <v>0</v>
      </c>
      <c r="CT4727">
        <v>2</v>
      </c>
      <c r="CU4727">
        <v>0</v>
      </c>
      <c r="CV4727">
        <v>2</v>
      </c>
      <c r="CW4727">
        <v>0</v>
      </c>
      <c r="CX4727">
        <v>6</v>
      </c>
      <c r="CY4727">
        <v>7</v>
      </c>
      <c r="CZ4727" t="s">
        <v>131</v>
      </c>
      <c r="DA4727">
        <v>286</v>
      </c>
      <c r="DB4727">
        <v>0</v>
      </c>
      <c r="DC4727" t="s">
        <v>132</v>
      </c>
      <c r="DD4727" t="s">
        <v>133</v>
      </c>
      <c r="DG4727">
        <v>923996</v>
      </c>
      <c r="DI4727">
        <v>1</v>
      </c>
      <c r="DJ4727">
        <v>0</v>
      </c>
      <c r="DK4727">
        <v>1</v>
      </c>
      <c r="DL4727">
        <v>0</v>
      </c>
      <c r="DM4727">
        <v>0</v>
      </c>
      <c r="DN4727">
        <v>1</v>
      </c>
      <c r="DO4727">
        <v>0</v>
      </c>
      <c r="DP4727">
        <v>0</v>
      </c>
      <c r="DQ4727">
        <v>0</v>
      </c>
      <c r="DR4727">
        <v>0</v>
      </c>
      <c r="DS4727">
        <v>0</v>
      </c>
    </row>
    <row r="4728" spans="1:123" x14ac:dyDescent="0.3">
      <c r="A4728" t="str">
        <f>"10/04/2022 19:38:12.699"</f>
        <v>10/04/2022 19:38:12.699</v>
      </c>
      <c r="C4728" t="str">
        <f t="shared" si="1744"/>
        <v>FFDFD3C0</v>
      </c>
      <c r="D4728" t="s">
        <v>141</v>
      </c>
      <c r="E4728">
        <v>3</v>
      </c>
      <c r="H4728">
        <v>3</v>
      </c>
      <c r="I4728" t="s">
        <v>146</v>
      </c>
      <c r="J4728" t="s">
        <v>138</v>
      </c>
      <c r="K4728">
        <v>0</v>
      </c>
      <c r="L4728">
        <v>3</v>
      </c>
      <c r="M4728">
        <v>0</v>
      </c>
      <c r="N4728">
        <v>2</v>
      </c>
      <c r="O4728">
        <v>0</v>
      </c>
      <c r="P4728">
        <v>1</v>
      </c>
      <c r="Q4728">
        <v>0</v>
      </c>
      <c r="S4728" t="str">
        <f t="shared" si="1748"/>
        <v>19:38:12.000</v>
      </c>
      <c r="T4728" t="str">
        <f t="shared" si="1748"/>
        <v>19:38:12.000</v>
      </c>
      <c r="U4728" t="str">
        <f t="shared" si="1729"/>
        <v>AC3944</v>
      </c>
      <c r="V4728">
        <v>0</v>
      </c>
      <c r="W4728">
        <v>0</v>
      </c>
      <c r="X4728">
        <v>2</v>
      </c>
      <c r="Y4728">
        <v>0</v>
      </c>
      <c r="AA4728">
        <v>1</v>
      </c>
      <c r="AB4728">
        <v>8</v>
      </c>
      <c r="AC4728">
        <v>3</v>
      </c>
      <c r="AD4728">
        <v>0</v>
      </c>
      <c r="AE4728">
        <v>9</v>
      </c>
      <c r="AF4728" t="s">
        <v>138</v>
      </c>
      <c r="AG4728">
        <v>0</v>
      </c>
      <c r="AH4728">
        <v>3</v>
      </c>
      <c r="AI4728">
        <v>1</v>
      </c>
      <c r="AJ4728">
        <v>0</v>
      </c>
      <c r="AK4728" t="s">
        <v>1482</v>
      </c>
      <c r="AL4728">
        <v>32.716791999999998</v>
      </c>
      <c r="AM4728" t="s">
        <v>1483</v>
      </c>
      <c r="AN4728">
        <v>-116.745164</v>
      </c>
      <c r="AO4728">
        <v>25</v>
      </c>
      <c r="AP4728">
        <v>4000</v>
      </c>
      <c r="AQ4728" t="s">
        <v>129</v>
      </c>
      <c r="AR4728">
        <v>-159</v>
      </c>
      <c r="AS4728">
        <v>-92</v>
      </c>
      <c r="AT4728">
        <v>-1792</v>
      </c>
      <c r="BB4728">
        <v>1200</v>
      </c>
      <c r="BC4728">
        <v>1</v>
      </c>
      <c r="BD4728" t="str">
        <f t="shared" si="1730"/>
        <v xml:space="preserve">N887QR  </v>
      </c>
      <c r="BE4728">
        <v>1</v>
      </c>
      <c r="BG4728">
        <v>0</v>
      </c>
      <c r="BH4728">
        <v>0</v>
      </c>
      <c r="BI4728">
        <v>0</v>
      </c>
      <c r="BJ4728">
        <v>3625</v>
      </c>
      <c r="BK4728">
        <v>-375</v>
      </c>
      <c r="BL4728" t="s">
        <v>163</v>
      </c>
      <c r="BM4728">
        <v>1</v>
      </c>
      <c r="BN4728">
        <v>1</v>
      </c>
      <c r="BO4728">
        <v>1</v>
      </c>
      <c r="BP4728">
        <v>0</v>
      </c>
      <c r="BS4728">
        <v>0</v>
      </c>
      <c r="BT4728">
        <v>0</v>
      </c>
      <c r="BU4728">
        <v>0</v>
      </c>
      <c r="CE4728" t="str">
        <f t="shared" si="1749"/>
        <v>19:38:12.330</v>
      </c>
      <c r="CF4728">
        <v>330086581</v>
      </c>
      <c r="CS4728">
        <v>0</v>
      </c>
      <c r="CT4728">
        <v>2</v>
      </c>
      <c r="CU4728">
        <v>0</v>
      </c>
      <c r="CV4728">
        <v>2</v>
      </c>
      <c r="CW4728">
        <v>0</v>
      </c>
      <c r="CX4728">
        <v>6</v>
      </c>
      <c r="CY4728">
        <v>7</v>
      </c>
      <c r="CZ4728" t="s">
        <v>131</v>
      </c>
      <c r="DA4728">
        <v>286</v>
      </c>
      <c r="DB4728">
        <v>0</v>
      </c>
      <c r="DC4728" t="s">
        <v>132</v>
      </c>
      <c r="DD4728" t="s">
        <v>133</v>
      </c>
      <c r="DG4728">
        <v>923996</v>
      </c>
      <c r="DI4728">
        <v>1</v>
      </c>
      <c r="DJ4728">
        <v>0</v>
      </c>
      <c r="DK4728">
        <v>1</v>
      </c>
      <c r="DL4728">
        <v>0</v>
      </c>
      <c r="DM4728">
        <v>0</v>
      </c>
      <c r="DN4728">
        <v>1</v>
      </c>
      <c r="DO4728">
        <v>0</v>
      </c>
      <c r="DP4728">
        <v>0</v>
      </c>
      <c r="DQ4728">
        <v>0</v>
      </c>
      <c r="DR4728">
        <v>0</v>
      </c>
      <c r="DS4728">
        <v>0</v>
      </c>
    </row>
    <row r="4729" spans="1:123" x14ac:dyDescent="0.3">
      <c r="A4729" t="str">
        <f>"10/04/2022 19:38:12.699"</f>
        <v>10/04/2022 19:38:12.699</v>
      </c>
      <c r="C4729" t="str">
        <f t="shared" si="1744"/>
        <v>FFDFD3C0</v>
      </c>
      <c r="D4729" t="s">
        <v>136</v>
      </c>
      <c r="E4729">
        <v>8</v>
      </c>
      <c r="H4729">
        <v>225</v>
      </c>
      <c r="I4729" t="s">
        <v>137</v>
      </c>
      <c r="J4729" t="s">
        <v>138</v>
      </c>
      <c r="K4729">
        <v>0</v>
      </c>
      <c r="L4729">
        <v>3</v>
      </c>
      <c r="M4729">
        <v>0</v>
      </c>
      <c r="N4729">
        <v>2</v>
      </c>
      <c r="O4729">
        <v>0</v>
      </c>
      <c r="P4729">
        <v>1</v>
      </c>
      <c r="Q4729">
        <v>0</v>
      </c>
      <c r="S4729" t="str">
        <f t="shared" si="1748"/>
        <v>19:38:12.000</v>
      </c>
      <c r="T4729" t="str">
        <f t="shared" si="1748"/>
        <v>19:38:12.000</v>
      </c>
      <c r="U4729" t="str">
        <f t="shared" si="1729"/>
        <v>AC3944</v>
      </c>
      <c r="V4729">
        <v>0</v>
      </c>
      <c r="W4729">
        <v>0</v>
      </c>
      <c r="X4729">
        <v>2</v>
      </c>
      <c r="Y4729">
        <v>0</v>
      </c>
      <c r="AA4729">
        <v>1</v>
      </c>
      <c r="AB4729">
        <v>8</v>
      </c>
      <c r="AC4729">
        <v>3</v>
      </c>
      <c r="AD4729">
        <v>0</v>
      </c>
      <c r="AE4729">
        <v>9</v>
      </c>
      <c r="AF4729" t="s">
        <v>138</v>
      </c>
      <c r="AG4729">
        <v>0</v>
      </c>
      <c r="AH4729">
        <v>3</v>
      </c>
      <c r="AI4729">
        <v>1</v>
      </c>
      <c r="AJ4729">
        <v>0</v>
      </c>
      <c r="AK4729" t="s">
        <v>1482</v>
      </c>
      <c r="AL4729">
        <v>32.716791999999998</v>
      </c>
      <c r="AM4729" t="s">
        <v>1483</v>
      </c>
      <c r="AN4729">
        <v>-116.745164</v>
      </c>
      <c r="AO4729">
        <v>25</v>
      </c>
      <c r="AP4729">
        <v>4000</v>
      </c>
      <c r="AQ4729" t="s">
        <v>129</v>
      </c>
      <c r="AR4729">
        <v>-159</v>
      </c>
      <c r="AS4729">
        <v>-92</v>
      </c>
      <c r="AT4729">
        <v>-1792</v>
      </c>
      <c r="BB4729">
        <v>1200</v>
      </c>
      <c r="BC4729">
        <v>1</v>
      </c>
      <c r="BD4729" t="str">
        <f t="shared" si="1730"/>
        <v xml:space="preserve">N887QR  </v>
      </c>
      <c r="BE4729">
        <v>1</v>
      </c>
      <c r="BG4729">
        <v>0</v>
      </c>
      <c r="BH4729">
        <v>0</v>
      </c>
      <c r="BI4729">
        <v>0</v>
      </c>
      <c r="BJ4729">
        <v>3625</v>
      </c>
      <c r="BK4729">
        <v>-375</v>
      </c>
      <c r="BL4729" t="s">
        <v>163</v>
      </c>
      <c r="BM4729">
        <v>1</v>
      </c>
      <c r="BN4729">
        <v>1</v>
      </c>
      <c r="BO4729">
        <v>1</v>
      </c>
      <c r="BP4729">
        <v>0</v>
      </c>
      <c r="BS4729">
        <v>0</v>
      </c>
      <c r="BT4729">
        <v>0</v>
      </c>
      <c r="BU4729">
        <v>0</v>
      </c>
      <c r="CE4729" t="str">
        <f t="shared" si="1749"/>
        <v>19:38:12.330</v>
      </c>
      <c r="CF4729">
        <v>330086581</v>
      </c>
      <c r="CS4729">
        <v>0</v>
      </c>
      <c r="CT4729">
        <v>2</v>
      </c>
      <c r="CU4729">
        <v>0</v>
      </c>
      <c r="CV4729">
        <v>2</v>
      </c>
      <c r="CW4729">
        <v>0</v>
      </c>
      <c r="CX4729">
        <v>6</v>
      </c>
      <c r="CY4729">
        <v>7</v>
      </c>
      <c r="CZ4729" t="s">
        <v>131</v>
      </c>
      <c r="DA4729">
        <v>286</v>
      </c>
      <c r="DB4729">
        <v>0</v>
      </c>
      <c r="DC4729" t="s">
        <v>132</v>
      </c>
      <c r="DD4729" t="s">
        <v>133</v>
      </c>
      <c r="DG4729">
        <v>923996</v>
      </c>
      <c r="DI4729">
        <v>1</v>
      </c>
      <c r="DJ4729">
        <v>0</v>
      </c>
      <c r="DK4729">
        <v>1</v>
      </c>
      <c r="DL4729">
        <v>0</v>
      </c>
      <c r="DM4729">
        <v>0</v>
      </c>
      <c r="DN4729">
        <v>1</v>
      </c>
      <c r="DO4729">
        <v>0</v>
      </c>
      <c r="DP4729">
        <v>0</v>
      </c>
      <c r="DQ4729">
        <v>0</v>
      </c>
      <c r="DR4729">
        <v>0</v>
      </c>
      <c r="DS4729">
        <v>0</v>
      </c>
    </row>
    <row r="4730" spans="1:123" x14ac:dyDescent="0.3">
      <c r="A4730" t="str">
        <f>"10/04/2022 19:38:12.699"</f>
        <v>10/04/2022 19:38:12.699</v>
      </c>
      <c r="C4730" t="str">
        <f t="shared" si="1744"/>
        <v>FFDFD3C0</v>
      </c>
      <c r="D4730" t="s">
        <v>134</v>
      </c>
      <c r="E4730">
        <v>15</v>
      </c>
      <c r="J4730" t="s">
        <v>135</v>
      </c>
      <c r="K4730">
        <v>0</v>
      </c>
      <c r="L4730">
        <v>3</v>
      </c>
      <c r="M4730">
        <v>0</v>
      </c>
      <c r="N4730">
        <v>2</v>
      </c>
      <c r="O4730">
        <v>0</v>
      </c>
      <c r="P4730">
        <v>1</v>
      </c>
      <c r="Q4730">
        <v>0</v>
      </c>
      <c r="S4730" t="str">
        <f t="shared" si="1748"/>
        <v>19:38:12.000</v>
      </c>
      <c r="T4730" t="str">
        <f t="shared" si="1748"/>
        <v>19:38:12.000</v>
      </c>
      <c r="U4730" t="str">
        <f t="shared" si="1729"/>
        <v>AC3944</v>
      </c>
      <c r="V4730">
        <v>0</v>
      </c>
      <c r="W4730">
        <v>0</v>
      </c>
      <c r="X4730">
        <v>2</v>
      </c>
      <c r="Y4730">
        <v>0</v>
      </c>
      <c r="AA4730">
        <v>1</v>
      </c>
      <c r="AB4730">
        <v>8</v>
      </c>
      <c r="AC4730">
        <v>3</v>
      </c>
      <c r="AD4730">
        <v>0</v>
      </c>
      <c r="AE4730">
        <v>9</v>
      </c>
      <c r="AF4730" t="s">
        <v>138</v>
      </c>
      <c r="AG4730">
        <v>0</v>
      </c>
      <c r="AH4730">
        <v>3</v>
      </c>
      <c r="AI4730">
        <v>1</v>
      </c>
      <c r="AJ4730">
        <v>0</v>
      </c>
      <c r="AK4730" t="s">
        <v>1482</v>
      </c>
      <c r="AL4730">
        <v>32.716791999999998</v>
      </c>
      <c r="AM4730" t="s">
        <v>1483</v>
      </c>
      <c r="AN4730">
        <v>-116.745164</v>
      </c>
      <c r="AO4730">
        <v>25</v>
      </c>
      <c r="AP4730">
        <v>4000</v>
      </c>
      <c r="AQ4730" t="s">
        <v>129</v>
      </c>
      <c r="AR4730">
        <v>-159</v>
      </c>
      <c r="AS4730">
        <v>-92</v>
      </c>
      <c r="AT4730">
        <v>-1792</v>
      </c>
      <c r="BB4730">
        <v>1200</v>
      </c>
      <c r="BC4730">
        <v>1</v>
      </c>
      <c r="BD4730" t="str">
        <f t="shared" si="1730"/>
        <v xml:space="preserve">N887QR  </v>
      </c>
      <c r="BE4730">
        <v>1</v>
      </c>
      <c r="BG4730">
        <v>0</v>
      </c>
      <c r="BH4730">
        <v>0</v>
      </c>
      <c r="BI4730">
        <v>0</v>
      </c>
      <c r="BJ4730">
        <v>3625</v>
      </c>
      <c r="BK4730">
        <v>-375</v>
      </c>
      <c r="BL4730" t="s">
        <v>163</v>
      </c>
      <c r="BM4730">
        <v>1</v>
      </c>
      <c r="BN4730">
        <v>1</v>
      </c>
      <c r="BO4730">
        <v>1</v>
      </c>
      <c r="BP4730">
        <v>0</v>
      </c>
      <c r="BS4730">
        <v>0</v>
      </c>
      <c r="BT4730">
        <v>0</v>
      </c>
      <c r="BU4730">
        <v>0</v>
      </c>
      <c r="CE4730" t="str">
        <f t="shared" si="1749"/>
        <v>19:38:12.330</v>
      </c>
      <c r="CF4730">
        <v>330086581</v>
      </c>
      <c r="CS4730">
        <v>0</v>
      </c>
      <c r="CT4730">
        <v>2</v>
      </c>
      <c r="CU4730">
        <v>0</v>
      </c>
      <c r="CV4730">
        <v>2</v>
      </c>
      <c r="CW4730">
        <v>0</v>
      </c>
      <c r="CX4730">
        <v>6</v>
      </c>
      <c r="CY4730">
        <v>7</v>
      </c>
      <c r="CZ4730" t="s">
        <v>131</v>
      </c>
      <c r="DA4730">
        <v>286</v>
      </c>
      <c r="DB4730">
        <v>0</v>
      </c>
      <c r="DC4730" t="s">
        <v>132</v>
      </c>
      <c r="DD4730" t="s">
        <v>133</v>
      </c>
      <c r="DG4730">
        <v>923996</v>
      </c>
      <c r="DI4730">
        <v>1</v>
      </c>
      <c r="DJ4730">
        <v>0</v>
      </c>
      <c r="DK4730">
        <v>1</v>
      </c>
      <c r="DL4730">
        <v>0</v>
      </c>
      <c r="DM4730">
        <v>0</v>
      </c>
      <c r="DN4730">
        <v>1</v>
      </c>
      <c r="DO4730">
        <v>0</v>
      </c>
      <c r="DP4730">
        <v>0</v>
      </c>
      <c r="DQ4730">
        <v>0</v>
      </c>
      <c r="DR4730">
        <v>0</v>
      </c>
      <c r="DS4730">
        <v>0</v>
      </c>
    </row>
    <row r="4731" spans="1:123" x14ac:dyDescent="0.3">
      <c r="A4731" t="str">
        <f>"10/04/2022 19:38:12.714"</f>
        <v>10/04/2022 19:38:12.714</v>
      </c>
      <c r="C4731" t="str">
        <f t="shared" si="1744"/>
        <v>FFDFD3C0</v>
      </c>
      <c r="D4731" t="s">
        <v>141</v>
      </c>
      <c r="E4731">
        <v>4</v>
      </c>
      <c r="H4731">
        <v>4</v>
      </c>
      <c r="I4731" t="s">
        <v>142</v>
      </c>
      <c r="J4731" t="s">
        <v>138</v>
      </c>
      <c r="K4731">
        <v>0</v>
      </c>
      <c r="L4731">
        <v>3</v>
      </c>
      <c r="M4731">
        <v>0</v>
      </c>
      <c r="N4731">
        <v>2</v>
      </c>
      <c r="O4731">
        <v>0</v>
      </c>
      <c r="P4731">
        <v>1</v>
      </c>
      <c r="Q4731">
        <v>0</v>
      </c>
      <c r="S4731" t="str">
        <f t="shared" si="1748"/>
        <v>19:38:12.000</v>
      </c>
      <c r="T4731" t="str">
        <f t="shared" si="1748"/>
        <v>19:38:12.000</v>
      </c>
      <c r="U4731" t="str">
        <f t="shared" si="1729"/>
        <v>AC3944</v>
      </c>
      <c r="V4731">
        <v>0</v>
      </c>
      <c r="W4731">
        <v>0</v>
      </c>
      <c r="X4731">
        <v>2</v>
      </c>
      <c r="Y4731">
        <v>0</v>
      </c>
      <c r="AA4731">
        <v>1</v>
      </c>
      <c r="AB4731">
        <v>8</v>
      </c>
      <c r="AC4731">
        <v>3</v>
      </c>
      <c r="AD4731">
        <v>0</v>
      </c>
      <c r="AE4731">
        <v>9</v>
      </c>
      <c r="AF4731" t="s">
        <v>138</v>
      </c>
      <c r="AG4731">
        <v>0</v>
      </c>
      <c r="AH4731">
        <v>3</v>
      </c>
      <c r="AI4731">
        <v>1</v>
      </c>
      <c r="AJ4731">
        <v>0</v>
      </c>
      <c r="AK4731" t="s">
        <v>1482</v>
      </c>
      <c r="AL4731">
        <v>32.716791999999998</v>
      </c>
      <c r="AM4731" t="s">
        <v>1483</v>
      </c>
      <c r="AN4731">
        <v>-116.745164</v>
      </c>
      <c r="AO4731">
        <v>25</v>
      </c>
      <c r="AP4731">
        <v>4000</v>
      </c>
      <c r="AQ4731" t="s">
        <v>129</v>
      </c>
      <c r="AR4731">
        <v>-159</v>
      </c>
      <c r="AS4731">
        <v>-92</v>
      </c>
      <c r="AT4731">
        <v>-1792</v>
      </c>
      <c r="BB4731">
        <v>1200</v>
      </c>
      <c r="BC4731">
        <v>1</v>
      </c>
      <c r="BD4731" t="str">
        <f t="shared" si="1730"/>
        <v xml:space="preserve">N887QR  </v>
      </c>
      <c r="BE4731">
        <v>1</v>
      </c>
      <c r="BG4731">
        <v>0</v>
      </c>
      <c r="BH4731">
        <v>0</v>
      </c>
      <c r="BI4731">
        <v>0</v>
      </c>
      <c r="BJ4731">
        <v>3625</v>
      </c>
      <c r="BK4731">
        <v>-375</v>
      </c>
      <c r="BL4731" t="s">
        <v>163</v>
      </c>
      <c r="BM4731">
        <v>1</v>
      </c>
      <c r="BN4731">
        <v>1</v>
      </c>
      <c r="BO4731">
        <v>1</v>
      </c>
      <c r="BP4731">
        <v>0</v>
      </c>
      <c r="BS4731">
        <v>0</v>
      </c>
      <c r="BT4731">
        <v>0</v>
      </c>
      <c r="BU4731">
        <v>0</v>
      </c>
      <c r="CE4731" t="str">
        <f t="shared" si="1749"/>
        <v>19:38:12.330</v>
      </c>
      <c r="CF4731">
        <v>330086581</v>
      </c>
      <c r="CS4731">
        <v>0</v>
      </c>
      <c r="CT4731">
        <v>2</v>
      </c>
      <c r="CU4731">
        <v>0</v>
      </c>
      <c r="CV4731">
        <v>2</v>
      </c>
      <c r="CW4731">
        <v>0</v>
      </c>
      <c r="CX4731">
        <v>6</v>
      </c>
      <c r="CY4731">
        <v>7</v>
      </c>
      <c r="CZ4731" t="s">
        <v>131</v>
      </c>
      <c r="DA4731">
        <v>286</v>
      </c>
      <c r="DB4731">
        <v>0</v>
      </c>
      <c r="DC4731" t="s">
        <v>132</v>
      </c>
      <c r="DD4731" t="s">
        <v>133</v>
      </c>
      <c r="DG4731">
        <v>923996</v>
      </c>
      <c r="DI4731">
        <v>1</v>
      </c>
      <c r="DJ4731">
        <v>0</v>
      </c>
      <c r="DK4731">
        <v>1</v>
      </c>
      <c r="DL4731">
        <v>0</v>
      </c>
      <c r="DM4731">
        <v>0</v>
      </c>
      <c r="DN4731">
        <v>1</v>
      </c>
      <c r="DO4731">
        <v>0</v>
      </c>
      <c r="DP4731">
        <v>0</v>
      </c>
      <c r="DQ4731">
        <v>0</v>
      </c>
      <c r="DR4731">
        <v>0</v>
      </c>
      <c r="DS4731">
        <v>0</v>
      </c>
    </row>
    <row r="4732" spans="1:123" x14ac:dyDescent="0.3">
      <c r="A4732" t="str">
        <f t="shared" ref="A4732:A4738" si="1750">"10/04/2022 19:38:13.230"</f>
        <v>10/04/2022 19:38:13.230</v>
      </c>
      <c r="C4732" t="str">
        <f t="shared" si="1744"/>
        <v>FFDFD3C0</v>
      </c>
      <c r="D4732" t="s">
        <v>147</v>
      </c>
      <c r="E4732">
        <v>3</v>
      </c>
      <c r="H4732">
        <v>166</v>
      </c>
      <c r="I4732" t="s">
        <v>144</v>
      </c>
      <c r="J4732" t="s">
        <v>148</v>
      </c>
      <c r="K4732">
        <v>0</v>
      </c>
      <c r="L4732">
        <v>3</v>
      </c>
      <c r="M4732">
        <v>0</v>
      </c>
      <c r="N4732">
        <v>2</v>
      </c>
      <c r="O4732">
        <v>0</v>
      </c>
      <c r="P4732">
        <v>1</v>
      </c>
      <c r="Q4732">
        <v>0</v>
      </c>
      <c r="S4732" t="str">
        <f t="shared" si="1748"/>
        <v>19:38:12.000</v>
      </c>
      <c r="T4732" t="str">
        <f t="shared" si="1748"/>
        <v>19:38:12.000</v>
      </c>
      <c r="U4732" t="str">
        <f t="shared" si="1729"/>
        <v>AC3944</v>
      </c>
      <c r="V4732">
        <v>0</v>
      </c>
      <c r="W4732">
        <v>0</v>
      </c>
      <c r="X4732">
        <v>2</v>
      </c>
      <c r="Y4732">
        <v>0</v>
      </c>
      <c r="AA4732">
        <v>1</v>
      </c>
      <c r="AB4732">
        <v>8</v>
      </c>
      <c r="AC4732">
        <v>3</v>
      </c>
      <c r="AD4732">
        <v>0</v>
      </c>
      <c r="AE4732">
        <v>9</v>
      </c>
      <c r="AF4732" t="s">
        <v>138</v>
      </c>
      <c r="AG4732">
        <v>0</v>
      </c>
      <c r="AH4732">
        <v>3</v>
      </c>
      <c r="AI4732">
        <v>1</v>
      </c>
      <c r="AJ4732">
        <v>0</v>
      </c>
      <c r="AK4732" t="s">
        <v>1484</v>
      </c>
      <c r="AL4732">
        <v>32.716361999999997</v>
      </c>
      <c r="AM4732" t="s">
        <v>1485</v>
      </c>
      <c r="AN4732">
        <v>-116.74602299999999</v>
      </c>
      <c r="AO4732">
        <v>25</v>
      </c>
      <c r="AP4732">
        <v>4000</v>
      </c>
      <c r="AQ4732" t="s">
        <v>129</v>
      </c>
      <c r="AR4732">
        <v>-160</v>
      </c>
      <c r="AS4732">
        <v>-92</v>
      </c>
      <c r="AT4732">
        <v>-1792</v>
      </c>
      <c r="BB4732">
        <v>1200</v>
      </c>
      <c r="BC4732">
        <v>1</v>
      </c>
      <c r="BD4732" t="str">
        <f t="shared" si="1730"/>
        <v xml:space="preserve">N887QR  </v>
      </c>
      <c r="BE4732">
        <v>1</v>
      </c>
      <c r="BG4732">
        <v>0</v>
      </c>
      <c r="BH4732">
        <v>0</v>
      </c>
      <c r="BI4732">
        <v>0</v>
      </c>
      <c r="BJ4732">
        <v>3525</v>
      </c>
      <c r="BK4732">
        <v>-475</v>
      </c>
      <c r="BL4732" t="s">
        <v>163</v>
      </c>
      <c r="BM4732">
        <v>1</v>
      </c>
      <c r="BN4732">
        <v>1</v>
      </c>
      <c r="BO4732">
        <v>1</v>
      </c>
      <c r="BP4732">
        <v>0</v>
      </c>
      <c r="BS4732">
        <v>0</v>
      </c>
      <c r="BT4732">
        <v>0</v>
      </c>
      <c r="BU4732">
        <v>0</v>
      </c>
      <c r="CE4732" t="str">
        <f t="shared" ref="CE4732:CE4738" si="1751">"19:38:12.775"</f>
        <v>19:38:12.775</v>
      </c>
      <c r="CF4732">
        <v>775337856</v>
      </c>
      <c r="CS4732">
        <v>0</v>
      </c>
      <c r="CT4732">
        <v>2</v>
      </c>
      <c r="CU4732">
        <v>0</v>
      </c>
      <c r="CV4732">
        <v>2</v>
      </c>
      <c r="CW4732">
        <v>0</v>
      </c>
      <c r="CX4732">
        <v>6</v>
      </c>
      <c r="CY4732">
        <v>7</v>
      </c>
      <c r="CZ4732" t="s">
        <v>131</v>
      </c>
      <c r="DA4732">
        <v>286</v>
      </c>
      <c r="DB4732">
        <v>0</v>
      </c>
      <c r="DC4732" t="s">
        <v>132</v>
      </c>
      <c r="DD4732" t="s">
        <v>133</v>
      </c>
      <c r="DG4732">
        <v>924104</v>
      </c>
      <c r="DI4732">
        <v>1</v>
      </c>
      <c r="DJ4732">
        <v>0</v>
      </c>
      <c r="DK4732">
        <v>0</v>
      </c>
      <c r="DL4732">
        <v>0</v>
      </c>
      <c r="DM4732">
        <v>0</v>
      </c>
      <c r="DN4732">
        <v>1</v>
      </c>
      <c r="DO4732">
        <v>0</v>
      </c>
      <c r="DP4732">
        <v>0</v>
      </c>
      <c r="DQ4732">
        <v>0</v>
      </c>
      <c r="DR4732">
        <v>0</v>
      </c>
      <c r="DS4732">
        <v>0</v>
      </c>
    </row>
    <row r="4733" spans="1:123" x14ac:dyDescent="0.3">
      <c r="A4733" t="str">
        <f t="shared" si="1750"/>
        <v>10/04/2022 19:38:13.230</v>
      </c>
      <c r="C4733" t="str">
        <f t="shared" si="1744"/>
        <v>FFDFD3C0</v>
      </c>
      <c r="D4733" t="s">
        <v>141</v>
      </c>
      <c r="E4733">
        <v>3</v>
      </c>
      <c r="H4733">
        <v>3</v>
      </c>
      <c r="I4733" t="s">
        <v>146</v>
      </c>
      <c r="J4733" t="s">
        <v>138</v>
      </c>
      <c r="K4733">
        <v>0</v>
      </c>
      <c r="L4733">
        <v>3</v>
      </c>
      <c r="M4733">
        <v>0</v>
      </c>
      <c r="N4733">
        <v>2</v>
      </c>
      <c r="O4733">
        <v>0</v>
      </c>
      <c r="P4733">
        <v>1</v>
      </c>
      <c r="Q4733">
        <v>0</v>
      </c>
      <c r="S4733" t="str">
        <f t="shared" si="1748"/>
        <v>19:38:12.000</v>
      </c>
      <c r="T4733" t="str">
        <f t="shared" si="1748"/>
        <v>19:38:12.000</v>
      </c>
      <c r="U4733" t="str">
        <f t="shared" si="1729"/>
        <v>AC3944</v>
      </c>
      <c r="V4733">
        <v>0</v>
      </c>
      <c r="W4733">
        <v>0</v>
      </c>
      <c r="X4733">
        <v>2</v>
      </c>
      <c r="Y4733">
        <v>0</v>
      </c>
      <c r="AA4733">
        <v>1</v>
      </c>
      <c r="AB4733">
        <v>8</v>
      </c>
      <c r="AC4733">
        <v>3</v>
      </c>
      <c r="AD4733">
        <v>0</v>
      </c>
      <c r="AE4733">
        <v>9</v>
      </c>
      <c r="AF4733" t="s">
        <v>138</v>
      </c>
      <c r="AG4733">
        <v>0</v>
      </c>
      <c r="AH4733">
        <v>3</v>
      </c>
      <c r="AI4733">
        <v>1</v>
      </c>
      <c r="AJ4733">
        <v>0</v>
      </c>
      <c r="AK4733" t="s">
        <v>1484</v>
      </c>
      <c r="AL4733">
        <v>32.716361999999997</v>
      </c>
      <c r="AM4733" t="s">
        <v>1485</v>
      </c>
      <c r="AN4733">
        <v>-116.74602299999999</v>
      </c>
      <c r="AO4733">
        <v>25</v>
      </c>
      <c r="AP4733">
        <v>4000</v>
      </c>
      <c r="AQ4733" t="s">
        <v>129</v>
      </c>
      <c r="AR4733">
        <v>-160</v>
      </c>
      <c r="AS4733">
        <v>-92</v>
      </c>
      <c r="AT4733">
        <v>-1792</v>
      </c>
      <c r="BB4733">
        <v>1200</v>
      </c>
      <c r="BC4733">
        <v>1</v>
      </c>
      <c r="BD4733" t="str">
        <f t="shared" si="1730"/>
        <v xml:space="preserve">N887QR  </v>
      </c>
      <c r="BE4733">
        <v>1</v>
      </c>
      <c r="BG4733">
        <v>0</v>
      </c>
      <c r="BH4733">
        <v>0</v>
      </c>
      <c r="BI4733">
        <v>0</v>
      </c>
      <c r="BJ4733">
        <v>3525</v>
      </c>
      <c r="BK4733">
        <v>-475</v>
      </c>
      <c r="BL4733" t="s">
        <v>163</v>
      </c>
      <c r="BM4733">
        <v>1</v>
      </c>
      <c r="BN4733">
        <v>1</v>
      </c>
      <c r="BO4733">
        <v>1</v>
      </c>
      <c r="BP4733">
        <v>0</v>
      </c>
      <c r="BS4733">
        <v>0</v>
      </c>
      <c r="BT4733">
        <v>0</v>
      </c>
      <c r="BU4733">
        <v>0</v>
      </c>
      <c r="CE4733" t="str">
        <f t="shared" si="1751"/>
        <v>19:38:12.775</v>
      </c>
      <c r="CF4733">
        <v>775337856</v>
      </c>
      <c r="CS4733">
        <v>0</v>
      </c>
      <c r="CT4733">
        <v>2</v>
      </c>
      <c r="CU4733">
        <v>0</v>
      </c>
      <c r="CV4733">
        <v>2</v>
      </c>
      <c r="CW4733">
        <v>0</v>
      </c>
      <c r="CX4733">
        <v>6</v>
      </c>
      <c r="CY4733">
        <v>7</v>
      </c>
      <c r="CZ4733" t="s">
        <v>131</v>
      </c>
      <c r="DA4733">
        <v>286</v>
      </c>
      <c r="DB4733">
        <v>0</v>
      </c>
      <c r="DC4733" t="s">
        <v>132</v>
      </c>
      <c r="DD4733" t="s">
        <v>133</v>
      </c>
      <c r="DG4733">
        <v>924104</v>
      </c>
      <c r="DI4733">
        <v>1</v>
      </c>
      <c r="DJ4733">
        <v>0</v>
      </c>
      <c r="DK4733">
        <v>1</v>
      </c>
      <c r="DL4733">
        <v>0</v>
      </c>
      <c r="DM4733">
        <v>0</v>
      </c>
      <c r="DN4733">
        <v>1</v>
      </c>
      <c r="DO4733">
        <v>0</v>
      </c>
      <c r="DP4733">
        <v>0</v>
      </c>
      <c r="DQ4733">
        <v>0</v>
      </c>
      <c r="DR4733">
        <v>0</v>
      </c>
      <c r="DS4733">
        <v>0</v>
      </c>
    </row>
    <row r="4734" spans="1:123" x14ac:dyDescent="0.3">
      <c r="A4734" t="str">
        <f t="shared" si="1750"/>
        <v>10/04/2022 19:38:13.230</v>
      </c>
      <c r="C4734" t="str">
        <f t="shared" si="1744"/>
        <v>FFDFD3C0</v>
      </c>
      <c r="D4734" t="s">
        <v>134</v>
      </c>
      <c r="E4734">
        <v>15</v>
      </c>
      <c r="J4734" t="s">
        <v>135</v>
      </c>
      <c r="K4734">
        <v>0</v>
      </c>
      <c r="L4734">
        <v>3</v>
      </c>
      <c r="M4734">
        <v>0</v>
      </c>
      <c r="N4734">
        <v>2</v>
      </c>
      <c r="O4734">
        <v>0</v>
      </c>
      <c r="P4734">
        <v>1</v>
      </c>
      <c r="Q4734">
        <v>0</v>
      </c>
      <c r="S4734" t="str">
        <f t="shared" si="1748"/>
        <v>19:38:12.000</v>
      </c>
      <c r="T4734" t="str">
        <f t="shared" si="1748"/>
        <v>19:38:12.000</v>
      </c>
      <c r="U4734" t="str">
        <f t="shared" si="1729"/>
        <v>AC3944</v>
      </c>
      <c r="V4734">
        <v>0</v>
      </c>
      <c r="W4734">
        <v>0</v>
      </c>
      <c r="X4734">
        <v>2</v>
      </c>
      <c r="Y4734">
        <v>0</v>
      </c>
      <c r="AA4734">
        <v>1</v>
      </c>
      <c r="AB4734">
        <v>8</v>
      </c>
      <c r="AC4734">
        <v>3</v>
      </c>
      <c r="AD4734">
        <v>0</v>
      </c>
      <c r="AE4734">
        <v>9</v>
      </c>
      <c r="AF4734" t="s">
        <v>138</v>
      </c>
      <c r="AG4734">
        <v>0</v>
      </c>
      <c r="AH4734">
        <v>3</v>
      </c>
      <c r="AI4734">
        <v>1</v>
      </c>
      <c r="AJ4734">
        <v>0</v>
      </c>
      <c r="AK4734" t="s">
        <v>1484</v>
      </c>
      <c r="AL4734">
        <v>32.716361999999997</v>
      </c>
      <c r="AM4734" t="s">
        <v>1485</v>
      </c>
      <c r="AN4734">
        <v>-116.74602299999999</v>
      </c>
      <c r="AO4734">
        <v>25</v>
      </c>
      <c r="AP4734">
        <v>4000</v>
      </c>
      <c r="AQ4734" t="s">
        <v>129</v>
      </c>
      <c r="AR4734">
        <v>-160</v>
      </c>
      <c r="AS4734">
        <v>-92</v>
      </c>
      <c r="AT4734">
        <v>-1792</v>
      </c>
      <c r="BB4734">
        <v>1200</v>
      </c>
      <c r="BC4734">
        <v>1</v>
      </c>
      <c r="BD4734" t="str">
        <f t="shared" si="1730"/>
        <v xml:space="preserve">N887QR  </v>
      </c>
      <c r="BE4734">
        <v>1</v>
      </c>
      <c r="BG4734">
        <v>0</v>
      </c>
      <c r="BH4734">
        <v>0</v>
      </c>
      <c r="BI4734">
        <v>0</v>
      </c>
      <c r="BJ4734">
        <v>3525</v>
      </c>
      <c r="BK4734">
        <v>-475</v>
      </c>
      <c r="BL4734" t="s">
        <v>163</v>
      </c>
      <c r="BM4734">
        <v>1</v>
      </c>
      <c r="BN4734">
        <v>1</v>
      </c>
      <c r="BO4734">
        <v>1</v>
      </c>
      <c r="BP4734">
        <v>0</v>
      </c>
      <c r="BS4734">
        <v>0</v>
      </c>
      <c r="BT4734">
        <v>0</v>
      </c>
      <c r="BU4734">
        <v>0</v>
      </c>
      <c r="CE4734" t="str">
        <f t="shared" si="1751"/>
        <v>19:38:12.775</v>
      </c>
      <c r="CF4734">
        <v>775337856</v>
      </c>
      <c r="CS4734">
        <v>0</v>
      </c>
      <c r="CT4734">
        <v>2</v>
      </c>
      <c r="CU4734">
        <v>0</v>
      </c>
      <c r="CV4734">
        <v>2</v>
      </c>
      <c r="CW4734">
        <v>0</v>
      </c>
      <c r="CX4734">
        <v>6</v>
      </c>
      <c r="CY4734">
        <v>7</v>
      </c>
      <c r="CZ4734" t="s">
        <v>131</v>
      </c>
      <c r="DA4734">
        <v>286</v>
      </c>
      <c r="DB4734">
        <v>0</v>
      </c>
      <c r="DC4734" t="s">
        <v>132</v>
      </c>
      <c r="DD4734" t="s">
        <v>133</v>
      </c>
      <c r="DG4734">
        <v>924104</v>
      </c>
      <c r="DI4734">
        <v>1</v>
      </c>
      <c r="DJ4734">
        <v>0</v>
      </c>
      <c r="DK4734">
        <v>0</v>
      </c>
      <c r="DL4734">
        <v>0</v>
      </c>
      <c r="DM4734">
        <v>0</v>
      </c>
      <c r="DN4734">
        <v>1</v>
      </c>
      <c r="DO4734">
        <v>0</v>
      </c>
      <c r="DP4734">
        <v>0</v>
      </c>
      <c r="DQ4734">
        <v>0</v>
      </c>
      <c r="DR4734">
        <v>0</v>
      </c>
      <c r="DS4734">
        <v>0</v>
      </c>
    </row>
    <row r="4735" spans="1:123" x14ac:dyDescent="0.3">
      <c r="A4735" t="str">
        <f t="shared" si="1750"/>
        <v>10/04/2022 19:38:13.230</v>
      </c>
      <c r="C4735" t="str">
        <f t="shared" si="1744"/>
        <v>FFDFD3C0</v>
      </c>
      <c r="D4735" t="s">
        <v>136</v>
      </c>
      <c r="E4735">
        <v>8</v>
      </c>
      <c r="H4735">
        <v>225</v>
      </c>
      <c r="I4735" t="s">
        <v>137</v>
      </c>
      <c r="J4735" t="s">
        <v>138</v>
      </c>
      <c r="K4735">
        <v>0</v>
      </c>
      <c r="L4735">
        <v>3</v>
      </c>
      <c r="M4735">
        <v>0</v>
      </c>
      <c r="N4735">
        <v>2</v>
      </c>
      <c r="O4735">
        <v>0</v>
      </c>
      <c r="P4735">
        <v>1</v>
      </c>
      <c r="Q4735">
        <v>0</v>
      </c>
      <c r="S4735" t="str">
        <f t="shared" si="1748"/>
        <v>19:38:12.000</v>
      </c>
      <c r="T4735" t="str">
        <f t="shared" si="1748"/>
        <v>19:38:12.000</v>
      </c>
      <c r="U4735" t="str">
        <f t="shared" si="1729"/>
        <v>AC3944</v>
      </c>
      <c r="V4735">
        <v>0</v>
      </c>
      <c r="W4735">
        <v>0</v>
      </c>
      <c r="X4735">
        <v>2</v>
      </c>
      <c r="Y4735">
        <v>0</v>
      </c>
      <c r="AA4735">
        <v>1</v>
      </c>
      <c r="AB4735">
        <v>8</v>
      </c>
      <c r="AC4735">
        <v>3</v>
      </c>
      <c r="AD4735">
        <v>0</v>
      </c>
      <c r="AE4735">
        <v>9</v>
      </c>
      <c r="AF4735" t="s">
        <v>138</v>
      </c>
      <c r="AG4735">
        <v>0</v>
      </c>
      <c r="AH4735">
        <v>3</v>
      </c>
      <c r="AI4735">
        <v>1</v>
      </c>
      <c r="AJ4735">
        <v>0</v>
      </c>
      <c r="AK4735" t="s">
        <v>1484</v>
      </c>
      <c r="AL4735">
        <v>32.716361999999997</v>
      </c>
      <c r="AM4735" t="s">
        <v>1485</v>
      </c>
      <c r="AN4735">
        <v>-116.74602299999999</v>
      </c>
      <c r="AO4735">
        <v>25</v>
      </c>
      <c r="AP4735">
        <v>4000</v>
      </c>
      <c r="AQ4735" t="s">
        <v>129</v>
      </c>
      <c r="AR4735">
        <v>-160</v>
      </c>
      <c r="AS4735">
        <v>-92</v>
      </c>
      <c r="AT4735">
        <v>-1792</v>
      </c>
      <c r="BB4735">
        <v>1200</v>
      </c>
      <c r="BC4735">
        <v>1</v>
      </c>
      <c r="BD4735" t="str">
        <f t="shared" si="1730"/>
        <v xml:space="preserve">N887QR  </v>
      </c>
      <c r="BE4735">
        <v>1</v>
      </c>
      <c r="BG4735">
        <v>0</v>
      </c>
      <c r="BH4735">
        <v>0</v>
      </c>
      <c r="BI4735">
        <v>0</v>
      </c>
      <c r="BJ4735">
        <v>3525</v>
      </c>
      <c r="BK4735">
        <v>-475</v>
      </c>
      <c r="BL4735" t="s">
        <v>163</v>
      </c>
      <c r="BM4735">
        <v>1</v>
      </c>
      <c r="BN4735">
        <v>1</v>
      </c>
      <c r="BO4735">
        <v>1</v>
      </c>
      <c r="BP4735">
        <v>0</v>
      </c>
      <c r="BS4735">
        <v>0</v>
      </c>
      <c r="BT4735">
        <v>0</v>
      </c>
      <c r="BU4735">
        <v>0</v>
      </c>
      <c r="CE4735" t="str">
        <f t="shared" si="1751"/>
        <v>19:38:12.775</v>
      </c>
      <c r="CF4735">
        <v>775337856</v>
      </c>
      <c r="CS4735">
        <v>0</v>
      </c>
      <c r="CT4735">
        <v>2</v>
      </c>
      <c r="CU4735">
        <v>0</v>
      </c>
      <c r="CV4735">
        <v>2</v>
      </c>
      <c r="CW4735">
        <v>0</v>
      </c>
      <c r="CX4735">
        <v>6</v>
      </c>
      <c r="CY4735">
        <v>7</v>
      </c>
      <c r="CZ4735" t="s">
        <v>131</v>
      </c>
      <c r="DA4735">
        <v>286</v>
      </c>
      <c r="DB4735">
        <v>0</v>
      </c>
      <c r="DC4735" t="s">
        <v>132</v>
      </c>
      <c r="DD4735" t="s">
        <v>133</v>
      </c>
      <c r="DG4735">
        <v>924104</v>
      </c>
      <c r="DI4735">
        <v>1</v>
      </c>
      <c r="DJ4735">
        <v>0</v>
      </c>
      <c r="DK4735">
        <v>1</v>
      </c>
      <c r="DL4735">
        <v>0</v>
      </c>
      <c r="DM4735">
        <v>0</v>
      </c>
      <c r="DN4735">
        <v>1</v>
      </c>
      <c r="DO4735">
        <v>0</v>
      </c>
      <c r="DP4735">
        <v>0</v>
      </c>
      <c r="DQ4735">
        <v>0</v>
      </c>
      <c r="DR4735">
        <v>0</v>
      </c>
      <c r="DS4735">
        <v>0</v>
      </c>
    </row>
    <row r="4736" spans="1:123" x14ac:dyDescent="0.3">
      <c r="A4736" t="str">
        <f t="shared" si="1750"/>
        <v>10/04/2022 19:38:13.230</v>
      </c>
      <c r="C4736" t="str">
        <f t="shared" si="1744"/>
        <v>FFDFD3C0</v>
      </c>
      <c r="D4736" t="s">
        <v>141</v>
      </c>
      <c r="E4736">
        <v>4</v>
      </c>
      <c r="H4736">
        <v>4</v>
      </c>
      <c r="I4736" t="s">
        <v>142</v>
      </c>
      <c r="J4736" t="s">
        <v>138</v>
      </c>
      <c r="K4736">
        <v>0</v>
      </c>
      <c r="L4736">
        <v>3</v>
      </c>
      <c r="M4736">
        <v>0</v>
      </c>
      <c r="N4736">
        <v>2</v>
      </c>
      <c r="O4736">
        <v>0</v>
      </c>
      <c r="P4736">
        <v>1</v>
      </c>
      <c r="Q4736">
        <v>0</v>
      </c>
      <c r="S4736" t="str">
        <f t="shared" si="1748"/>
        <v>19:38:12.000</v>
      </c>
      <c r="T4736" t="str">
        <f t="shared" si="1748"/>
        <v>19:38:12.000</v>
      </c>
      <c r="U4736" t="str">
        <f t="shared" si="1729"/>
        <v>AC3944</v>
      </c>
      <c r="V4736">
        <v>0</v>
      </c>
      <c r="W4736">
        <v>0</v>
      </c>
      <c r="X4736">
        <v>2</v>
      </c>
      <c r="Y4736">
        <v>0</v>
      </c>
      <c r="AA4736">
        <v>1</v>
      </c>
      <c r="AB4736">
        <v>8</v>
      </c>
      <c r="AC4736">
        <v>3</v>
      </c>
      <c r="AD4736">
        <v>0</v>
      </c>
      <c r="AE4736">
        <v>9</v>
      </c>
      <c r="AF4736" t="s">
        <v>138</v>
      </c>
      <c r="AG4736">
        <v>0</v>
      </c>
      <c r="AH4736">
        <v>3</v>
      </c>
      <c r="AI4736">
        <v>1</v>
      </c>
      <c r="AJ4736">
        <v>0</v>
      </c>
      <c r="AK4736" t="s">
        <v>1484</v>
      </c>
      <c r="AL4736">
        <v>32.716361999999997</v>
      </c>
      <c r="AM4736" t="s">
        <v>1485</v>
      </c>
      <c r="AN4736">
        <v>-116.74602299999999</v>
      </c>
      <c r="AO4736">
        <v>25</v>
      </c>
      <c r="AP4736">
        <v>4000</v>
      </c>
      <c r="AQ4736" t="s">
        <v>129</v>
      </c>
      <c r="AR4736">
        <v>-160</v>
      </c>
      <c r="AS4736">
        <v>-92</v>
      </c>
      <c r="AT4736">
        <v>-1792</v>
      </c>
      <c r="BB4736">
        <v>1200</v>
      </c>
      <c r="BC4736">
        <v>1</v>
      </c>
      <c r="BD4736" t="str">
        <f t="shared" si="1730"/>
        <v xml:space="preserve">N887QR  </v>
      </c>
      <c r="BE4736">
        <v>1</v>
      </c>
      <c r="BG4736">
        <v>0</v>
      </c>
      <c r="BH4736">
        <v>0</v>
      </c>
      <c r="BI4736">
        <v>0</v>
      </c>
      <c r="BJ4736">
        <v>3525</v>
      </c>
      <c r="BK4736">
        <v>-475</v>
      </c>
      <c r="BL4736" t="s">
        <v>163</v>
      </c>
      <c r="BM4736">
        <v>1</v>
      </c>
      <c r="BN4736">
        <v>1</v>
      </c>
      <c r="BO4736">
        <v>1</v>
      </c>
      <c r="BP4736">
        <v>0</v>
      </c>
      <c r="BS4736">
        <v>0</v>
      </c>
      <c r="BT4736">
        <v>0</v>
      </c>
      <c r="BU4736">
        <v>0</v>
      </c>
      <c r="CE4736" t="str">
        <f t="shared" si="1751"/>
        <v>19:38:12.775</v>
      </c>
      <c r="CF4736">
        <v>775337856</v>
      </c>
      <c r="CS4736">
        <v>0</v>
      </c>
      <c r="CT4736">
        <v>2</v>
      </c>
      <c r="CU4736">
        <v>0</v>
      </c>
      <c r="CV4736">
        <v>2</v>
      </c>
      <c r="CW4736">
        <v>0</v>
      </c>
      <c r="CX4736">
        <v>6</v>
      </c>
      <c r="CY4736">
        <v>7</v>
      </c>
      <c r="CZ4736" t="s">
        <v>131</v>
      </c>
      <c r="DA4736">
        <v>286</v>
      </c>
      <c r="DB4736">
        <v>0</v>
      </c>
      <c r="DC4736" t="s">
        <v>132</v>
      </c>
      <c r="DD4736" t="s">
        <v>133</v>
      </c>
      <c r="DG4736">
        <v>924104</v>
      </c>
      <c r="DI4736">
        <v>1</v>
      </c>
      <c r="DJ4736">
        <v>0</v>
      </c>
      <c r="DK4736">
        <v>1</v>
      </c>
      <c r="DL4736">
        <v>0</v>
      </c>
      <c r="DM4736">
        <v>0</v>
      </c>
      <c r="DN4736">
        <v>1</v>
      </c>
      <c r="DO4736">
        <v>0</v>
      </c>
      <c r="DP4736">
        <v>0</v>
      </c>
      <c r="DQ4736">
        <v>0</v>
      </c>
      <c r="DR4736">
        <v>0</v>
      </c>
      <c r="DS4736">
        <v>0</v>
      </c>
    </row>
    <row r="4737" spans="1:123" x14ac:dyDescent="0.3">
      <c r="A4737" t="str">
        <f t="shared" si="1750"/>
        <v>10/04/2022 19:38:13.230</v>
      </c>
      <c r="C4737" t="str">
        <f t="shared" si="1744"/>
        <v>FFDFD3C0</v>
      </c>
      <c r="D4737" t="s">
        <v>143</v>
      </c>
      <c r="E4737">
        <v>20</v>
      </c>
      <c r="F4737">
        <v>1020</v>
      </c>
      <c r="G4737" t="s">
        <v>144</v>
      </c>
      <c r="J4737" t="s">
        <v>145</v>
      </c>
      <c r="K4737">
        <v>0</v>
      </c>
      <c r="L4737">
        <v>3</v>
      </c>
      <c r="M4737">
        <v>0</v>
      </c>
      <c r="N4737">
        <v>2</v>
      </c>
      <c r="O4737">
        <v>0</v>
      </c>
      <c r="P4737">
        <v>1</v>
      </c>
      <c r="Q4737">
        <v>0</v>
      </c>
      <c r="S4737" t="str">
        <f t="shared" si="1748"/>
        <v>19:38:12.000</v>
      </c>
      <c r="T4737" t="str">
        <f t="shared" si="1748"/>
        <v>19:38:12.000</v>
      </c>
      <c r="U4737" t="str">
        <f t="shared" si="1729"/>
        <v>AC3944</v>
      </c>
      <c r="V4737">
        <v>0</v>
      </c>
      <c r="W4737">
        <v>0</v>
      </c>
      <c r="X4737">
        <v>2</v>
      </c>
      <c r="Y4737">
        <v>0</v>
      </c>
      <c r="AA4737">
        <v>1</v>
      </c>
      <c r="AB4737">
        <v>8</v>
      </c>
      <c r="AC4737">
        <v>3</v>
      </c>
      <c r="AD4737">
        <v>0</v>
      </c>
      <c r="AE4737">
        <v>9</v>
      </c>
      <c r="AF4737" t="s">
        <v>138</v>
      </c>
      <c r="AG4737">
        <v>0</v>
      </c>
      <c r="AH4737">
        <v>3</v>
      </c>
      <c r="AI4737">
        <v>1</v>
      </c>
      <c r="AJ4737">
        <v>0</v>
      </c>
      <c r="AK4737" t="s">
        <v>1484</v>
      </c>
      <c r="AL4737">
        <v>32.716361999999997</v>
      </c>
      <c r="AM4737" t="s">
        <v>1485</v>
      </c>
      <c r="AN4737">
        <v>-116.74602299999999</v>
      </c>
      <c r="AO4737">
        <v>25</v>
      </c>
      <c r="AP4737">
        <v>4000</v>
      </c>
      <c r="AQ4737" t="s">
        <v>129</v>
      </c>
      <c r="AR4737">
        <v>-160</v>
      </c>
      <c r="AS4737">
        <v>-92</v>
      </c>
      <c r="AT4737">
        <v>-1792</v>
      </c>
      <c r="BB4737">
        <v>1200</v>
      </c>
      <c r="BC4737">
        <v>1</v>
      </c>
      <c r="BD4737" t="str">
        <f t="shared" si="1730"/>
        <v xml:space="preserve">N887QR  </v>
      </c>
      <c r="BE4737">
        <v>1</v>
      </c>
      <c r="BG4737">
        <v>0</v>
      </c>
      <c r="BH4737">
        <v>0</v>
      </c>
      <c r="BI4737">
        <v>0</v>
      </c>
      <c r="BJ4737">
        <v>3525</v>
      </c>
      <c r="BK4737">
        <v>-475</v>
      </c>
      <c r="BL4737" t="s">
        <v>163</v>
      </c>
      <c r="BM4737">
        <v>1</v>
      </c>
      <c r="BN4737">
        <v>1</v>
      </c>
      <c r="BO4737">
        <v>1</v>
      </c>
      <c r="BP4737">
        <v>0</v>
      </c>
      <c r="BS4737">
        <v>0</v>
      </c>
      <c r="BT4737">
        <v>0</v>
      </c>
      <c r="BU4737">
        <v>0</v>
      </c>
      <c r="CE4737" t="str">
        <f t="shared" si="1751"/>
        <v>19:38:12.775</v>
      </c>
      <c r="CF4737">
        <v>775337856</v>
      </c>
      <c r="CS4737">
        <v>0</v>
      </c>
      <c r="CT4737">
        <v>2</v>
      </c>
      <c r="CU4737">
        <v>0</v>
      </c>
      <c r="CV4737">
        <v>2</v>
      </c>
      <c r="CW4737">
        <v>0</v>
      </c>
      <c r="CX4737">
        <v>6</v>
      </c>
      <c r="CY4737">
        <v>7</v>
      </c>
      <c r="CZ4737" t="s">
        <v>131</v>
      </c>
      <c r="DA4737">
        <v>286</v>
      </c>
      <c r="DB4737">
        <v>0</v>
      </c>
      <c r="DC4737" t="s">
        <v>132</v>
      </c>
      <c r="DD4737" t="s">
        <v>133</v>
      </c>
      <c r="DG4737">
        <v>924104</v>
      </c>
      <c r="DI4737">
        <v>1</v>
      </c>
      <c r="DJ4737">
        <v>0</v>
      </c>
      <c r="DK4737">
        <v>1</v>
      </c>
      <c r="DL4737">
        <v>0</v>
      </c>
      <c r="DM4737">
        <v>0</v>
      </c>
      <c r="DN4737">
        <v>1</v>
      </c>
      <c r="DO4737">
        <v>0</v>
      </c>
      <c r="DP4737">
        <v>0</v>
      </c>
      <c r="DQ4737">
        <v>0</v>
      </c>
      <c r="DR4737">
        <v>0</v>
      </c>
      <c r="DS4737">
        <v>0</v>
      </c>
    </row>
    <row r="4738" spans="1:123" x14ac:dyDescent="0.3">
      <c r="A4738" t="str">
        <f t="shared" si="1750"/>
        <v>10/04/2022 19:38:13.230</v>
      </c>
      <c r="C4738" t="str">
        <f t="shared" si="1744"/>
        <v>FFDFD3C0</v>
      </c>
      <c r="D4738" t="s">
        <v>123</v>
      </c>
      <c r="E4738">
        <v>7</v>
      </c>
      <c r="F4738">
        <v>2007</v>
      </c>
      <c r="G4738" t="s">
        <v>124</v>
      </c>
      <c r="J4738" t="s">
        <v>125</v>
      </c>
      <c r="K4738">
        <v>0</v>
      </c>
      <c r="L4738">
        <v>3</v>
      </c>
      <c r="M4738">
        <v>0</v>
      </c>
      <c r="N4738">
        <v>2</v>
      </c>
      <c r="O4738">
        <v>0</v>
      </c>
      <c r="P4738">
        <v>1</v>
      </c>
      <c r="Q4738">
        <v>0</v>
      </c>
      <c r="S4738" t="str">
        <f t="shared" si="1748"/>
        <v>19:38:12.000</v>
      </c>
      <c r="T4738" t="str">
        <f t="shared" si="1748"/>
        <v>19:38:12.000</v>
      </c>
      <c r="U4738" t="str">
        <f t="shared" ref="U4738:U4801" si="1752">"AC3944"</f>
        <v>AC3944</v>
      </c>
      <c r="V4738">
        <v>0</v>
      </c>
      <c r="W4738">
        <v>0</v>
      </c>
      <c r="X4738">
        <v>2</v>
      </c>
      <c r="Y4738">
        <v>0</v>
      </c>
      <c r="AA4738">
        <v>1</v>
      </c>
      <c r="AB4738">
        <v>8</v>
      </c>
      <c r="AC4738">
        <v>3</v>
      </c>
      <c r="AD4738">
        <v>0</v>
      </c>
      <c r="AE4738">
        <v>9</v>
      </c>
      <c r="AF4738" t="s">
        <v>138</v>
      </c>
      <c r="AG4738">
        <v>0</v>
      </c>
      <c r="AH4738">
        <v>3</v>
      </c>
      <c r="AI4738">
        <v>1</v>
      </c>
      <c r="AJ4738">
        <v>0</v>
      </c>
      <c r="AK4738" t="s">
        <v>1484</v>
      </c>
      <c r="AL4738">
        <v>32.716361999999997</v>
      </c>
      <c r="AM4738" t="s">
        <v>1485</v>
      </c>
      <c r="AN4738">
        <v>-116.74602299999999</v>
      </c>
      <c r="AO4738">
        <v>25</v>
      </c>
      <c r="AP4738">
        <v>4000</v>
      </c>
      <c r="AQ4738" t="s">
        <v>129</v>
      </c>
      <c r="AR4738">
        <v>-160</v>
      </c>
      <c r="AS4738">
        <v>-92</v>
      </c>
      <c r="AT4738">
        <v>-1792</v>
      </c>
      <c r="BB4738">
        <v>1200</v>
      </c>
      <c r="BC4738">
        <v>1</v>
      </c>
      <c r="BD4738" t="str">
        <f t="shared" ref="BD4738:BD4801" si="1753">"N887QR  "</f>
        <v xml:space="preserve">N887QR  </v>
      </c>
      <c r="BE4738">
        <v>1</v>
      </c>
      <c r="BG4738">
        <v>0</v>
      </c>
      <c r="BH4738">
        <v>0</v>
      </c>
      <c r="BI4738">
        <v>0</v>
      </c>
      <c r="BJ4738">
        <v>3525</v>
      </c>
      <c r="BK4738">
        <v>-475</v>
      </c>
      <c r="BL4738" t="s">
        <v>163</v>
      </c>
      <c r="BM4738">
        <v>1</v>
      </c>
      <c r="BN4738">
        <v>1</v>
      </c>
      <c r="BO4738">
        <v>1</v>
      </c>
      <c r="BP4738">
        <v>0</v>
      </c>
      <c r="BS4738">
        <v>0</v>
      </c>
      <c r="BT4738">
        <v>0</v>
      </c>
      <c r="BU4738">
        <v>0</v>
      </c>
      <c r="CE4738" t="str">
        <f t="shared" si="1751"/>
        <v>19:38:12.775</v>
      </c>
      <c r="CF4738">
        <v>775337856</v>
      </c>
      <c r="CS4738">
        <v>0</v>
      </c>
      <c r="CT4738">
        <v>2</v>
      </c>
      <c r="CU4738">
        <v>0</v>
      </c>
      <c r="CV4738">
        <v>2</v>
      </c>
      <c r="CW4738">
        <v>0</v>
      </c>
      <c r="CX4738">
        <v>6</v>
      </c>
      <c r="CY4738">
        <v>7</v>
      </c>
      <c r="CZ4738" t="s">
        <v>131</v>
      </c>
      <c r="DA4738">
        <v>286</v>
      </c>
      <c r="DB4738">
        <v>0</v>
      </c>
      <c r="DC4738" t="s">
        <v>132</v>
      </c>
      <c r="DD4738" t="s">
        <v>133</v>
      </c>
      <c r="DG4738">
        <v>924104</v>
      </c>
      <c r="DI4738">
        <v>1</v>
      </c>
      <c r="DJ4738">
        <v>0</v>
      </c>
      <c r="DK4738">
        <v>1</v>
      </c>
      <c r="DL4738">
        <v>0</v>
      </c>
      <c r="DM4738">
        <v>0</v>
      </c>
      <c r="DN4738">
        <v>1</v>
      </c>
      <c r="DO4738">
        <v>0</v>
      </c>
      <c r="DP4738">
        <v>0</v>
      </c>
      <c r="DQ4738">
        <v>0</v>
      </c>
      <c r="DR4738">
        <v>0</v>
      </c>
      <c r="DS4738">
        <v>0</v>
      </c>
    </row>
    <row r="4739" spans="1:123" x14ac:dyDescent="0.3">
      <c r="A4739" t="str">
        <f t="shared" ref="A4739:A4745" si="1754">"10/04/2022 19:38:14.308"</f>
        <v>10/04/2022 19:38:14.308</v>
      </c>
      <c r="C4739" t="str">
        <f t="shared" si="1744"/>
        <v>FFDFD3C0</v>
      </c>
      <c r="D4739" t="s">
        <v>147</v>
      </c>
      <c r="E4739">
        <v>3</v>
      </c>
      <c r="H4739">
        <v>166</v>
      </c>
      <c r="I4739" t="s">
        <v>144</v>
      </c>
      <c r="J4739" t="s">
        <v>148</v>
      </c>
      <c r="K4739">
        <v>0</v>
      </c>
      <c r="L4739">
        <v>3</v>
      </c>
      <c r="M4739">
        <v>0</v>
      </c>
      <c r="N4739">
        <v>2</v>
      </c>
      <c r="O4739">
        <v>0</v>
      </c>
      <c r="P4739">
        <v>1</v>
      </c>
      <c r="Q4739">
        <v>0</v>
      </c>
      <c r="S4739" t="str">
        <f t="shared" ref="S4739:T4745" si="1755">"19:38:13.000"</f>
        <v>19:38:13.000</v>
      </c>
      <c r="T4739" t="str">
        <f t="shared" si="1755"/>
        <v>19:38:13.000</v>
      </c>
      <c r="U4739" t="str">
        <f t="shared" si="1752"/>
        <v>AC3944</v>
      </c>
      <c r="V4739">
        <v>0</v>
      </c>
      <c r="W4739">
        <v>0</v>
      </c>
      <c r="X4739">
        <v>2</v>
      </c>
      <c r="Y4739">
        <v>0</v>
      </c>
      <c r="AA4739">
        <v>1</v>
      </c>
      <c r="AB4739">
        <v>8</v>
      </c>
      <c r="AC4739">
        <v>3</v>
      </c>
      <c r="AD4739">
        <v>0</v>
      </c>
      <c r="AE4739">
        <v>9</v>
      </c>
      <c r="AF4739" t="s">
        <v>138</v>
      </c>
      <c r="AG4739">
        <v>0</v>
      </c>
      <c r="AH4739">
        <v>3</v>
      </c>
      <c r="AI4739">
        <v>1</v>
      </c>
      <c r="AJ4739">
        <v>0</v>
      </c>
      <c r="AK4739" t="s">
        <v>1486</v>
      </c>
      <c r="AL4739">
        <v>32.715933</v>
      </c>
      <c r="AM4739" t="s">
        <v>1487</v>
      </c>
      <c r="AN4739">
        <v>-116.74692400000001</v>
      </c>
      <c r="AO4739">
        <v>25</v>
      </c>
      <c r="AP4739">
        <v>4000</v>
      </c>
      <c r="AQ4739" t="s">
        <v>129</v>
      </c>
      <c r="AR4739">
        <v>-159</v>
      </c>
      <c r="AS4739">
        <v>-93</v>
      </c>
      <c r="AT4739">
        <v>-1792</v>
      </c>
      <c r="BB4739">
        <v>1200</v>
      </c>
      <c r="BC4739">
        <v>1</v>
      </c>
      <c r="BD4739" t="str">
        <f t="shared" si="1753"/>
        <v xml:space="preserve">N887QR  </v>
      </c>
      <c r="BE4739">
        <v>1</v>
      </c>
      <c r="BG4739">
        <v>0</v>
      </c>
      <c r="BH4739">
        <v>0</v>
      </c>
      <c r="BI4739">
        <v>0</v>
      </c>
      <c r="BJ4739">
        <v>3525</v>
      </c>
      <c r="BK4739">
        <v>-475</v>
      </c>
      <c r="BL4739" t="s">
        <v>163</v>
      </c>
      <c r="BM4739">
        <v>1</v>
      </c>
      <c r="BN4739">
        <v>1</v>
      </c>
      <c r="BO4739">
        <v>1</v>
      </c>
      <c r="BP4739">
        <v>0</v>
      </c>
      <c r="BS4739">
        <v>0</v>
      </c>
      <c r="BT4739">
        <v>0</v>
      </c>
      <c r="BU4739">
        <v>0</v>
      </c>
      <c r="CE4739" t="str">
        <f t="shared" ref="CE4739:CE4745" si="1756">"19:38:13.871"</f>
        <v>19:38:13.871</v>
      </c>
      <c r="CF4739">
        <v>871091112</v>
      </c>
      <c r="CS4739">
        <v>0</v>
      </c>
      <c r="CT4739">
        <v>2</v>
      </c>
      <c r="CU4739">
        <v>0</v>
      </c>
      <c r="CV4739">
        <v>2</v>
      </c>
      <c r="CW4739">
        <v>0</v>
      </c>
      <c r="CX4739">
        <v>6</v>
      </c>
      <c r="CY4739">
        <v>7</v>
      </c>
      <c r="CZ4739" t="s">
        <v>131</v>
      </c>
      <c r="DA4739">
        <v>286</v>
      </c>
      <c r="DB4739">
        <v>0</v>
      </c>
      <c r="DC4739" t="s">
        <v>132</v>
      </c>
      <c r="DD4739" t="s">
        <v>133</v>
      </c>
      <c r="DG4739">
        <v>924387</v>
      </c>
      <c r="DI4739">
        <v>1</v>
      </c>
      <c r="DJ4739">
        <v>0</v>
      </c>
      <c r="DK4739">
        <v>0</v>
      </c>
      <c r="DL4739">
        <v>0</v>
      </c>
      <c r="DM4739">
        <v>0</v>
      </c>
      <c r="DN4739">
        <v>1</v>
      </c>
      <c r="DO4739">
        <v>0</v>
      </c>
      <c r="DP4739">
        <v>0</v>
      </c>
      <c r="DQ4739">
        <v>0</v>
      </c>
      <c r="DR4739">
        <v>0</v>
      </c>
      <c r="DS4739">
        <v>0</v>
      </c>
    </row>
    <row r="4740" spans="1:123" x14ac:dyDescent="0.3">
      <c r="A4740" t="str">
        <f t="shared" si="1754"/>
        <v>10/04/2022 19:38:14.308</v>
      </c>
      <c r="C4740" t="str">
        <f t="shared" si="1744"/>
        <v>FFDFD3C0</v>
      </c>
      <c r="D4740" t="s">
        <v>136</v>
      </c>
      <c r="E4740">
        <v>8</v>
      </c>
      <c r="H4740">
        <v>225</v>
      </c>
      <c r="I4740" t="s">
        <v>137</v>
      </c>
      <c r="J4740" t="s">
        <v>138</v>
      </c>
      <c r="K4740">
        <v>0</v>
      </c>
      <c r="L4740">
        <v>3</v>
      </c>
      <c r="M4740">
        <v>0</v>
      </c>
      <c r="N4740">
        <v>2</v>
      </c>
      <c r="O4740">
        <v>0</v>
      </c>
      <c r="P4740">
        <v>1</v>
      </c>
      <c r="Q4740">
        <v>0</v>
      </c>
      <c r="S4740" t="str">
        <f t="shared" si="1755"/>
        <v>19:38:13.000</v>
      </c>
      <c r="T4740" t="str">
        <f t="shared" si="1755"/>
        <v>19:38:13.000</v>
      </c>
      <c r="U4740" t="str">
        <f t="shared" si="1752"/>
        <v>AC3944</v>
      </c>
      <c r="V4740">
        <v>0</v>
      </c>
      <c r="W4740">
        <v>0</v>
      </c>
      <c r="X4740">
        <v>2</v>
      </c>
      <c r="Y4740">
        <v>0</v>
      </c>
      <c r="AA4740">
        <v>1</v>
      </c>
      <c r="AB4740">
        <v>8</v>
      </c>
      <c r="AC4740">
        <v>3</v>
      </c>
      <c r="AD4740">
        <v>0</v>
      </c>
      <c r="AE4740">
        <v>9</v>
      </c>
      <c r="AF4740" t="s">
        <v>138</v>
      </c>
      <c r="AG4740">
        <v>0</v>
      </c>
      <c r="AH4740">
        <v>3</v>
      </c>
      <c r="AI4740">
        <v>1</v>
      </c>
      <c r="AJ4740">
        <v>0</v>
      </c>
      <c r="AK4740" t="s">
        <v>1486</v>
      </c>
      <c r="AL4740">
        <v>32.715933</v>
      </c>
      <c r="AM4740" t="s">
        <v>1487</v>
      </c>
      <c r="AN4740">
        <v>-116.74692400000001</v>
      </c>
      <c r="AO4740">
        <v>25</v>
      </c>
      <c r="AP4740">
        <v>4000</v>
      </c>
      <c r="AQ4740" t="s">
        <v>129</v>
      </c>
      <c r="AR4740">
        <v>-159</v>
      </c>
      <c r="AS4740">
        <v>-93</v>
      </c>
      <c r="AT4740">
        <v>-1792</v>
      </c>
      <c r="BB4740">
        <v>1200</v>
      </c>
      <c r="BC4740">
        <v>1</v>
      </c>
      <c r="BD4740" t="str">
        <f t="shared" si="1753"/>
        <v xml:space="preserve">N887QR  </v>
      </c>
      <c r="BE4740">
        <v>1</v>
      </c>
      <c r="BG4740">
        <v>0</v>
      </c>
      <c r="BH4740">
        <v>0</v>
      </c>
      <c r="BI4740">
        <v>0</v>
      </c>
      <c r="BJ4740">
        <v>3525</v>
      </c>
      <c r="BK4740">
        <v>-475</v>
      </c>
      <c r="BL4740" t="s">
        <v>163</v>
      </c>
      <c r="BM4740">
        <v>1</v>
      </c>
      <c r="BN4740">
        <v>1</v>
      </c>
      <c r="BO4740">
        <v>1</v>
      </c>
      <c r="BP4740">
        <v>0</v>
      </c>
      <c r="BS4740">
        <v>0</v>
      </c>
      <c r="BT4740">
        <v>0</v>
      </c>
      <c r="BU4740">
        <v>0</v>
      </c>
      <c r="CE4740" t="str">
        <f t="shared" si="1756"/>
        <v>19:38:13.871</v>
      </c>
      <c r="CF4740">
        <v>871091112</v>
      </c>
      <c r="CS4740">
        <v>0</v>
      </c>
      <c r="CT4740">
        <v>2</v>
      </c>
      <c r="CU4740">
        <v>0</v>
      </c>
      <c r="CV4740">
        <v>2</v>
      </c>
      <c r="CW4740">
        <v>0</v>
      </c>
      <c r="CX4740">
        <v>6</v>
      </c>
      <c r="CY4740">
        <v>7</v>
      </c>
      <c r="CZ4740" t="s">
        <v>131</v>
      </c>
      <c r="DA4740">
        <v>286</v>
      </c>
      <c r="DB4740">
        <v>0</v>
      </c>
      <c r="DC4740" t="s">
        <v>132</v>
      </c>
      <c r="DD4740" t="s">
        <v>133</v>
      </c>
      <c r="DG4740">
        <v>924387</v>
      </c>
      <c r="DI4740">
        <v>1</v>
      </c>
      <c r="DJ4740">
        <v>0</v>
      </c>
      <c r="DK4740">
        <v>1</v>
      </c>
      <c r="DL4740">
        <v>0</v>
      </c>
      <c r="DM4740">
        <v>0</v>
      </c>
      <c r="DN4740">
        <v>1</v>
      </c>
      <c r="DO4740">
        <v>0</v>
      </c>
      <c r="DP4740">
        <v>0</v>
      </c>
      <c r="DQ4740">
        <v>0</v>
      </c>
      <c r="DR4740">
        <v>0</v>
      </c>
      <c r="DS4740">
        <v>0</v>
      </c>
    </row>
    <row r="4741" spans="1:123" x14ac:dyDescent="0.3">
      <c r="A4741" t="str">
        <f t="shared" si="1754"/>
        <v>10/04/2022 19:38:14.308</v>
      </c>
      <c r="C4741" t="str">
        <f t="shared" si="1744"/>
        <v>FFDFD3C0</v>
      </c>
      <c r="D4741" t="s">
        <v>141</v>
      </c>
      <c r="E4741">
        <v>3</v>
      </c>
      <c r="H4741">
        <v>3</v>
      </c>
      <c r="I4741" t="s">
        <v>146</v>
      </c>
      <c r="J4741" t="s">
        <v>138</v>
      </c>
      <c r="K4741">
        <v>0</v>
      </c>
      <c r="L4741">
        <v>3</v>
      </c>
      <c r="M4741">
        <v>0</v>
      </c>
      <c r="N4741">
        <v>2</v>
      </c>
      <c r="O4741">
        <v>0</v>
      </c>
      <c r="P4741">
        <v>1</v>
      </c>
      <c r="Q4741">
        <v>0</v>
      </c>
      <c r="S4741" t="str">
        <f t="shared" si="1755"/>
        <v>19:38:13.000</v>
      </c>
      <c r="T4741" t="str">
        <f t="shared" si="1755"/>
        <v>19:38:13.000</v>
      </c>
      <c r="U4741" t="str">
        <f t="shared" si="1752"/>
        <v>AC3944</v>
      </c>
      <c r="V4741">
        <v>0</v>
      </c>
      <c r="W4741">
        <v>0</v>
      </c>
      <c r="X4741">
        <v>2</v>
      </c>
      <c r="Y4741">
        <v>0</v>
      </c>
      <c r="AA4741">
        <v>1</v>
      </c>
      <c r="AB4741">
        <v>8</v>
      </c>
      <c r="AC4741">
        <v>3</v>
      </c>
      <c r="AD4741">
        <v>0</v>
      </c>
      <c r="AE4741">
        <v>9</v>
      </c>
      <c r="AF4741" t="s">
        <v>138</v>
      </c>
      <c r="AG4741">
        <v>0</v>
      </c>
      <c r="AH4741">
        <v>3</v>
      </c>
      <c r="AI4741">
        <v>1</v>
      </c>
      <c r="AJ4741">
        <v>0</v>
      </c>
      <c r="AK4741" t="s">
        <v>1486</v>
      </c>
      <c r="AL4741">
        <v>32.715933</v>
      </c>
      <c r="AM4741" t="s">
        <v>1487</v>
      </c>
      <c r="AN4741">
        <v>-116.74692400000001</v>
      </c>
      <c r="AO4741">
        <v>25</v>
      </c>
      <c r="AP4741">
        <v>4000</v>
      </c>
      <c r="AQ4741" t="s">
        <v>129</v>
      </c>
      <c r="AR4741">
        <v>-159</v>
      </c>
      <c r="AS4741">
        <v>-93</v>
      </c>
      <c r="AT4741">
        <v>-1792</v>
      </c>
      <c r="BB4741">
        <v>1200</v>
      </c>
      <c r="BC4741">
        <v>1</v>
      </c>
      <c r="BD4741" t="str">
        <f t="shared" si="1753"/>
        <v xml:space="preserve">N887QR  </v>
      </c>
      <c r="BE4741">
        <v>1</v>
      </c>
      <c r="BG4741">
        <v>0</v>
      </c>
      <c r="BH4741">
        <v>0</v>
      </c>
      <c r="BI4741">
        <v>0</v>
      </c>
      <c r="BJ4741">
        <v>3525</v>
      </c>
      <c r="BK4741">
        <v>-475</v>
      </c>
      <c r="BL4741" t="s">
        <v>163</v>
      </c>
      <c r="BM4741">
        <v>1</v>
      </c>
      <c r="BN4741">
        <v>1</v>
      </c>
      <c r="BO4741">
        <v>1</v>
      </c>
      <c r="BP4741">
        <v>0</v>
      </c>
      <c r="BS4741">
        <v>0</v>
      </c>
      <c r="BT4741">
        <v>0</v>
      </c>
      <c r="BU4741">
        <v>0</v>
      </c>
      <c r="CE4741" t="str">
        <f t="shared" si="1756"/>
        <v>19:38:13.871</v>
      </c>
      <c r="CF4741">
        <v>871091112</v>
      </c>
      <c r="CS4741">
        <v>0</v>
      </c>
      <c r="CT4741">
        <v>2</v>
      </c>
      <c r="CU4741">
        <v>0</v>
      </c>
      <c r="CV4741">
        <v>2</v>
      </c>
      <c r="CW4741">
        <v>0</v>
      </c>
      <c r="CX4741">
        <v>6</v>
      </c>
      <c r="CY4741">
        <v>7</v>
      </c>
      <c r="CZ4741" t="s">
        <v>131</v>
      </c>
      <c r="DA4741">
        <v>286</v>
      </c>
      <c r="DB4741">
        <v>0</v>
      </c>
      <c r="DC4741" t="s">
        <v>132</v>
      </c>
      <c r="DD4741" t="s">
        <v>133</v>
      </c>
      <c r="DG4741">
        <v>924387</v>
      </c>
      <c r="DI4741">
        <v>1</v>
      </c>
      <c r="DJ4741">
        <v>0</v>
      </c>
      <c r="DK4741">
        <v>1</v>
      </c>
      <c r="DL4741">
        <v>0</v>
      </c>
      <c r="DM4741">
        <v>0</v>
      </c>
      <c r="DN4741">
        <v>1</v>
      </c>
      <c r="DO4741">
        <v>0</v>
      </c>
      <c r="DP4741">
        <v>0</v>
      </c>
      <c r="DQ4741">
        <v>0</v>
      </c>
      <c r="DR4741">
        <v>0</v>
      </c>
      <c r="DS4741">
        <v>0</v>
      </c>
    </row>
    <row r="4742" spans="1:123" x14ac:dyDescent="0.3">
      <c r="A4742" t="str">
        <f t="shared" si="1754"/>
        <v>10/04/2022 19:38:14.308</v>
      </c>
      <c r="C4742" t="str">
        <f t="shared" si="1744"/>
        <v>FFDFD3C0</v>
      </c>
      <c r="D4742" t="s">
        <v>134</v>
      </c>
      <c r="E4742">
        <v>15</v>
      </c>
      <c r="J4742" t="s">
        <v>135</v>
      </c>
      <c r="K4742">
        <v>0</v>
      </c>
      <c r="L4742">
        <v>3</v>
      </c>
      <c r="M4742">
        <v>0</v>
      </c>
      <c r="N4742">
        <v>2</v>
      </c>
      <c r="O4742">
        <v>0</v>
      </c>
      <c r="P4742">
        <v>1</v>
      </c>
      <c r="Q4742">
        <v>0</v>
      </c>
      <c r="S4742" t="str">
        <f t="shared" si="1755"/>
        <v>19:38:13.000</v>
      </c>
      <c r="T4742" t="str">
        <f t="shared" si="1755"/>
        <v>19:38:13.000</v>
      </c>
      <c r="U4742" t="str">
        <f t="shared" si="1752"/>
        <v>AC3944</v>
      </c>
      <c r="V4742">
        <v>0</v>
      </c>
      <c r="W4742">
        <v>0</v>
      </c>
      <c r="X4742">
        <v>2</v>
      </c>
      <c r="Y4742">
        <v>0</v>
      </c>
      <c r="AA4742">
        <v>1</v>
      </c>
      <c r="AB4742">
        <v>8</v>
      </c>
      <c r="AC4742">
        <v>3</v>
      </c>
      <c r="AD4742">
        <v>0</v>
      </c>
      <c r="AE4742">
        <v>9</v>
      </c>
      <c r="AF4742" t="s">
        <v>138</v>
      </c>
      <c r="AG4742">
        <v>0</v>
      </c>
      <c r="AH4742">
        <v>3</v>
      </c>
      <c r="AI4742">
        <v>1</v>
      </c>
      <c r="AJ4742">
        <v>0</v>
      </c>
      <c r="AK4742" t="s">
        <v>1486</v>
      </c>
      <c r="AL4742">
        <v>32.715933</v>
      </c>
      <c r="AM4742" t="s">
        <v>1487</v>
      </c>
      <c r="AN4742">
        <v>-116.74692400000001</v>
      </c>
      <c r="AO4742">
        <v>25</v>
      </c>
      <c r="AP4742">
        <v>4000</v>
      </c>
      <c r="AQ4742" t="s">
        <v>129</v>
      </c>
      <c r="AR4742">
        <v>-159</v>
      </c>
      <c r="AS4742">
        <v>-93</v>
      </c>
      <c r="AT4742">
        <v>-1792</v>
      </c>
      <c r="BB4742">
        <v>1200</v>
      </c>
      <c r="BC4742">
        <v>1</v>
      </c>
      <c r="BD4742" t="str">
        <f t="shared" si="1753"/>
        <v xml:space="preserve">N887QR  </v>
      </c>
      <c r="BE4742">
        <v>1</v>
      </c>
      <c r="BG4742">
        <v>0</v>
      </c>
      <c r="BH4742">
        <v>0</v>
      </c>
      <c r="BI4742">
        <v>0</v>
      </c>
      <c r="BJ4742">
        <v>3525</v>
      </c>
      <c r="BK4742">
        <v>-475</v>
      </c>
      <c r="BL4742" t="s">
        <v>163</v>
      </c>
      <c r="BM4742">
        <v>1</v>
      </c>
      <c r="BN4742">
        <v>1</v>
      </c>
      <c r="BO4742">
        <v>1</v>
      </c>
      <c r="BP4742">
        <v>0</v>
      </c>
      <c r="BS4742">
        <v>0</v>
      </c>
      <c r="BT4742">
        <v>0</v>
      </c>
      <c r="BU4742">
        <v>0</v>
      </c>
      <c r="CE4742" t="str">
        <f t="shared" si="1756"/>
        <v>19:38:13.871</v>
      </c>
      <c r="CF4742">
        <v>871091112</v>
      </c>
      <c r="CS4742">
        <v>0</v>
      </c>
      <c r="CT4742">
        <v>2</v>
      </c>
      <c r="CU4742">
        <v>0</v>
      </c>
      <c r="CV4742">
        <v>2</v>
      </c>
      <c r="CW4742">
        <v>0</v>
      </c>
      <c r="CX4742">
        <v>6</v>
      </c>
      <c r="CY4742">
        <v>7</v>
      </c>
      <c r="CZ4742" t="s">
        <v>131</v>
      </c>
      <c r="DA4742">
        <v>286</v>
      </c>
      <c r="DB4742">
        <v>0</v>
      </c>
      <c r="DC4742" t="s">
        <v>132</v>
      </c>
      <c r="DD4742" t="s">
        <v>133</v>
      </c>
      <c r="DG4742">
        <v>924387</v>
      </c>
      <c r="DI4742">
        <v>1</v>
      </c>
      <c r="DJ4742">
        <v>0</v>
      </c>
      <c r="DK4742">
        <v>1</v>
      </c>
      <c r="DL4742">
        <v>0</v>
      </c>
      <c r="DM4742">
        <v>0</v>
      </c>
      <c r="DN4742">
        <v>1</v>
      </c>
      <c r="DO4742">
        <v>0</v>
      </c>
      <c r="DP4742">
        <v>0</v>
      </c>
      <c r="DQ4742">
        <v>0</v>
      </c>
      <c r="DR4742">
        <v>0</v>
      </c>
      <c r="DS4742">
        <v>0</v>
      </c>
    </row>
    <row r="4743" spans="1:123" x14ac:dyDescent="0.3">
      <c r="A4743" t="str">
        <f t="shared" si="1754"/>
        <v>10/04/2022 19:38:14.308</v>
      </c>
      <c r="C4743" t="str">
        <f t="shared" si="1744"/>
        <v>FFDFD3C0</v>
      </c>
      <c r="D4743" t="s">
        <v>141</v>
      </c>
      <c r="E4743">
        <v>4</v>
      </c>
      <c r="H4743">
        <v>4</v>
      </c>
      <c r="I4743" t="s">
        <v>142</v>
      </c>
      <c r="J4743" t="s">
        <v>138</v>
      </c>
      <c r="K4743">
        <v>0</v>
      </c>
      <c r="L4743">
        <v>3</v>
      </c>
      <c r="M4743">
        <v>0</v>
      </c>
      <c r="N4743">
        <v>2</v>
      </c>
      <c r="O4743">
        <v>0</v>
      </c>
      <c r="P4743">
        <v>1</v>
      </c>
      <c r="Q4743">
        <v>0</v>
      </c>
      <c r="S4743" t="str">
        <f t="shared" si="1755"/>
        <v>19:38:13.000</v>
      </c>
      <c r="T4743" t="str">
        <f t="shared" si="1755"/>
        <v>19:38:13.000</v>
      </c>
      <c r="U4743" t="str">
        <f t="shared" si="1752"/>
        <v>AC3944</v>
      </c>
      <c r="V4743">
        <v>0</v>
      </c>
      <c r="W4743">
        <v>0</v>
      </c>
      <c r="X4743">
        <v>2</v>
      </c>
      <c r="Y4743">
        <v>0</v>
      </c>
      <c r="AA4743">
        <v>1</v>
      </c>
      <c r="AB4743">
        <v>8</v>
      </c>
      <c r="AC4743">
        <v>3</v>
      </c>
      <c r="AD4743">
        <v>0</v>
      </c>
      <c r="AE4743">
        <v>9</v>
      </c>
      <c r="AF4743" t="s">
        <v>138</v>
      </c>
      <c r="AG4743">
        <v>0</v>
      </c>
      <c r="AH4743">
        <v>3</v>
      </c>
      <c r="AI4743">
        <v>1</v>
      </c>
      <c r="AJ4743">
        <v>0</v>
      </c>
      <c r="AK4743" t="s">
        <v>1486</v>
      </c>
      <c r="AL4743">
        <v>32.715933</v>
      </c>
      <c r="AM4743" t="s">
        <v>1487</v>
      </c>
      <c r="AN4743">
        <v>-116.74692400000001</v>
      </c>
      <c r="AO4743">
        <v>25</v>
      </c>
      <c r="AP4743">
        <v>4000</v>
      </c>
      <c r="AQ4743" t="s">
        <v>129</v>
      </c>
      <c r="AR4743">
        <v>-159</v>
      </c>
      <c r="AS4743">
        <v>-93</v>
      </c>
      <c r="AT4743">
        <v>-1792</v>
      </c>
      <c r="BB4743">
        <v>1200</v>
      </c>
      <c r="BC4743">
        <v>1</v>
      </c>
      <c r="BD4743" t="str">
        <f t="shared" si="1753"/>
        <v xml:space="preserve">N887QR  </v>
      </c>
      <c r="BE4743">
        <v>1</v>
      </c>
      <c r="BG4743">
        <v>0</v>
      </c>
      <c r="BH4743">
        <v>0</v>
      </c>
      <c r="BI4743">
        <v>0</v>
      </c>
      <c r="BJ4743">
        <v>3525</v>
      </c>
      <c r="BK4743">
        <v>-475</v>
      </c>
      <c r="BL4743" t="s">
        <v>163</v>
      </c>
      <c r="BM4743">
        <v>1</v>
      </c>
      <c r="BN4743">
        <v>1</v>
      </c>
      <c r="BO4743">
        <v>1</v>
      </c>
      <c r="BP4743">
        <v>0</v>
      </c>
      <c r="BS4743">
        <v>0</v>
      </c>
      <c r="BT4743">
        <v>0</v>
      </c>
      <c r="BU4743">
        <v>0</v>
      </c>
      <c r="CE4743" t="str">
        <f t="shared" si="1756"/>
        <v>19:38:13.871</v>
      </c>
      <c r="CF4743">
        <v>871091112</v>
      </c>
      <c r="CS4743">
        <v>0</v>
      </c>
      <c r="CT4743">
        <v>2</v>
      </c>
      <c r="CU4743">
        <v>0</v>
      </c>
      <c r="CV4743">
        <v>2</v>
      </c>
      <c r="CW4743">
        <v>0</v>
      </c>
      <c r="CX4743">
        <v>6</v>
      </c>
      <c r="CY4743">
        <v>7</v>
      </c>
      <c r="CZ4743" t="s">
        <v>131</v>
      </c>
      <c r="DA4743">
        <v>286</v>
      </c>
      <c r="DB4743">
        <v>0</v>
      </c>
      <c r="DC4743" t="s">
        <v>132</v>
      </c>
      <c r="DD4743" t="s">
        <v>133</v>
      </c>
      <c r="DG4743">
        <v>924387</v>
      </c>
      <c r="DI4743">
        <v>1</v>
      </c>
      <c r="DJ4743">
        <v>0</v>
      </c>
      <c r="DK4743">
        <v>1</v>
      </c>
      <c r="DL4743">
        <v>0</v>
      </c>
      <c r="DM4743">
        <v>0</v>
      </c>
      <c r="DN4743">
        <v>1</v>
      </c>
      <c r="DO4743">
        <v>0</v>
      </c>
      <c r="DP4743">
        <v>0</v>
      </c>
      <c r="DQ4743">
        <v>0</v>
      </c>
      <c r="DR4743">
        <v>0</v>
      </c>
      <c r="DS4743">
        <v>0</v>
      </c>
    </row>
    <row r="4744" spans="1:123" x14ac:dyDescent="0.3">
      <c r="A4744" t="str">
        <f t="shared" si="1754"/>
        <v>10/04/2022 19:38:14.308</v>
      </c>
      <c r="C4744" t="str">
        <f t="shared" si="1744"/>
        <v>FFDFD3C0</v>
      </c>
      <c r="D4744" t="s">
        <v>143</v>
      </c>
      <c r="E4744">
        <v>20</v>
      </c>
      <c r="F4744">
        <v>1020</v>
      </c>
      <c r="G4744" t="s">
        <v>144</v>
      </c>
      <c r="J4744" t="s">
        <v>145</v>
      </c>
      <c r="K4744">
        <v>0</v>
      </c>
      <c r="L4744">
        <v>3</v>
      </c>
      <c r="M4744">
        <v>0</v>
      </c>
      <c r="N4744">
        <v>2</v>
      </c>
      <c r="O4744">
        <v>0</v>
      </c>
      <c r="P4744">
        <v>1</v>
      </c>
      <c r="Q4744">
        <v>0</v>
      </c>
      <c r="S4744" t="str">
        <f t="shared" si="1755"/>
        <v>19:38:13.000</v>
      </c>
      <c r="T4744" t="str">
        <f t="shared" si="1755"/>
        <v>19:38:13.000</v>
      </c>
      <c r="U4744" t="str">
        <f t="shared" si="1752"/>
        <v>AC3944</v>
      </c>
      <c r="V4744">
        <v>0</v>
      </c>
      <c r="W4744">
        <v>0</v>
      </c>
      <c r="X4744">
        <v>2</v>
      </c>
      <c r="Y4744">
        <v>0</v>
      </c>
      <c r="AA4744">
        <v>1</v>
      </c>
      <c r="AB4744">
        <v>8</v>
      </c>
      <c r="AC4744">
        <v>3</v>
      </c>
      <c r="AD4744">
        <v>0</v>
      </c>
      <c r="AE4744">
        <v>9</v>
      </c>
      <c r="AF4744" t="s">
        <v>138</v>
      </c>
      <c r="AG4744">
        <v>0</v>
      </c>
      <c r="AH4744">
        <v>3</v>
      </c>
      <c r="AI4744">
        <v>1</v>
      </c>
      <c r="AJ4744">
        <v>0</v>
      </c>
      <c r="AK4744" t="s">
        <v>1486</v>
      </c>
      <c r="AL4744">
        <v>32.715933</v>
      </c>
      <c r="AM4744" t="s">
        <v>1487</v>
      </c>
      <c r="AN4744">
        <v>-116.74692400000001</v>
      </c>
      <c r="AO4744">
        <v>25</v>
      </c>
      <c r="AP4744">
        <v>4000</v>
      </c>
      <c r="AQ4744" t="s">
        <v>129</v>
      </c>
      <c r="AR4744">
        <v>-159</v>
      </c>
      <c r="AS4744">
        <v>-93</v>
      </c>
      <c r="AT4744">
        <v>-1792</v>
      </c>
      <c r="BB4744">
        <v>1200</v>
      </c>
      <c r="BC4744">
        <v>1</v>
      </c>
      <c r="BD4744" t="str">
        <f t="shared" si="1753"/>
        <v xml:space="preserve">N887QR  </v>
      </c>
      <c r="BE4744">
        <v>1</v>
      </c>
      <c r="BG4744">
        <v>0</v>
      </c>
      <c r="BH4744">
        <v>0</v>
      </c>
      <c r="BI4744">
        <v>0</v>
      </c>
      <c r="BJ4744">
        <v>3525</v>
      </c>
      <c r="BK4744">
        <v>-475</v>
      </c>
      <c r="BL4744" t="s">
        <v>163</v>
      </c>
      <c r="BM4744">
        <v>1</v>
      </c>
      <c r="BN4744">
        <v>1</v>
      </c>
      <c r="BO4744">
        <v>1</v>
      </c>
      <c r="BP4744">
        <v>0</v>
      </c>
      <c r="BS4744">
        <v>0</v>
      </c>
      <c r="BT4744">
        <v>0</v>
      </c>
      <c r="BU4744">
        <v>0</v>
      </c>
      <c r="CE4744" t="str">
        <f t="shared" si="1756"/>
        <v>19:38:13.871</v>
      </c>
      <c r="CF4744">
        <v>871091112</v>
      </c>
      <c r="CS4744">
        <v>0</v>
      </c>
      <c r="CT4744">
        <v>2</v>
      </c>
      <c r="CU4744">
        <v>0</v>
      </c>
      <c r="CV4744">
        <v>2</v>
      </c>
      <c r="CW4744">
        <v>0</v>
      </c>
      <c r="CX4744">
        <v>6</v>
      </c>
      <c r="CY4744">
        <v>7</v>
      </c>
      <c r="CZ4744" t="s">
        <v>131</v>
      </c>
      <c r="DA4744">
        <v>286</v>
      </c>
      <c r="DB4744">
        <v>0</v>
      </c>
      <c r="DC4744" t="s">
        <v>132</v>
      </c>
      <c r="DD4744" t="s">
        <v>133</v>
      </c>
      <c r="DG4744">
        <v>924387</v>
      </c>
      <c r="DI4744">
        <v>1</v>
      </c>
      <c r="DJ4744">
        <v>0</v>
      </c>
      <c r="DK4744">
        <v>1</v>
      </c>
      <c r="DL4744">
        <v>0</v>
      </c>
      <c r="DM4744">
        <v>0</v>
      </c>
      <c r="DN4744">
        <v>1</v>
      </c>
      <c r="DO4744">
        <v>0</v>
      </c>
      <c r="DP4744">
        <v>0</v>
      </c>
      <c r="DQ4744">
        <v>0</v>
      </c>
      <c r="DR4744">
        <v>0</v>
      </c>
      <c r="DS4744">
        <v>0</v>
      </c>
    </row>
    <row r="4745" spans="1:123" x14ac:dyDescent="0.3">
      <c r="A4745" t="str">
        <f t="shared" si="1754"/>
        <v>10/04/2022 19:38:14.308</v>
      </c>
      <c r="C4745" t="str">
        <f t="shared" si="1744"/>
        <v>FFDFD3C0</v>
      </c>
      <c r="D4745" t="s">
        <v>123</v>
      </c>
      <c r="E4745">
        <v>7</v>
      </c>
      <c r="F4745">
        <v>2007</v>
      </c>
      <c r="G4745" t="s">
        <v>124</v>
      </c>
      <c r="J4745" t="s">
        <v>125</v>
      </c>
      <c r="K4745">
        <v>0</v>
      </c>
      <c r="L4745">
        <v>3</v>
      </c>
      <c r="M4745">
        <v>0</v>
      </c>
      <c r="N4745">
        <v>2</v>
      </c>
      <c r="O4745">
        <v>0</v>
      </c>
      <c r="P4745">
        <v>1</v>
      </c>
      <c r="Q4745">
        <v>0</v>
      </c>
      <c r="S4745" t="str">
        <f t="shared" si="1755"/>
        <v>19:38:13.000</v>
      </c>
      <c r="T4745" t="str">
        <f t="shared" si="1755"/>
        <v>19:38:13.000</v>
      </c>
      <c r="U4745" t="str">
        <f t="shared" si="1752"/>
        <v>AC3944</v>
      </c>
      <c r="V4745">
        <v>0</v>
      </c>
      <c r="W4745">
        <v>0</v>
      </c>
      <c r="X4745">
        <v>2</v>
      </c>
      <c r="Y4745">
        <v>0</v>
      </c>
      <c r="AA4745">
        <v>1</v>
      </c>
      <c r="AB4745">
        <v>8</v>
      </c>
      <c r="AC4745">
        <v>3</v>
      </c>
      <c r="AD4745">
        <v>0</v>
      </c>
      <c r="AE4745">
        <v>9</v>
      </c>
      <c r="AF4745" t="s">
        <v>138</v>
      </c>
      <c r="AG4745">
        <v>0</v>
      </c>
      <c r="AH4745">
        <v>3</v>
      </c>
      <c r="AI4745">
        <v>1</v>
      </c>
      <c r="AJ4745">
        <v>0</v>
      </c>
      <c r="AK4745" t="s">
        <v>1486</v>
      </c>
      <c r="AL4745">
        <v>32.715933</v>
      </c>
      <c r="AM4745" t="s">
        <v>1487</v>
      </c>
      <c r="AN4745">
        <v>-116.74692400000001</v>
      </c>
      <c r="AO4745">
        <v>25</v>
      </c>
      <c r="AP4745">
        <v>4000</v>
      </c>
      <c r="AQ4745" t="s">
        <v>129</v>
      </c>
      <c r="AR4745">
        <v>-159</v>
      </c>
      <c r="AS4745">
        <v>-93</v>
      </c>
      <c r="AT4745">
        <v>-1792</v>
      </c>
      <c r="BB4745">
        <v>1200</v>
      </c>
      <c r="BC4745">
        <v>1</v>
      </c>
      <c r="BD4745" t="str">
        <f t="shared" si="1753"/>
        <v xml:space="preserve">N887QR  </v>
      </c>
      <c r="BE4745">
        <v>1</v>
      </c>
      <c r="BG4745">
        <v>0</v>
      </c>
      <c r="BH4745">
        <v>0</v>
      </c>
      <c r="BI4745">
        <v>0</v>
      </c>
      <c r="BJ4745">
        <v>3525</v>
      </c>
      <c r="BK4745">
        <v>-475</v>
      </c>
      <c r="BL4745" t="s">
        <v>163</v>
      </c>
      <c r="BM4745">
        <v>1</v>
      </c>
      <c r="BN4745">
        <v>1</v>
      </c>
      <c r="BO4745">
        <v>1</v>
      </c>
      <c r="BP4745">
        <v>0</v>
      </c>
      <c r="BS4745">
        <v>0</v>
      </c>
      <c r="BT4745">
        <v>0</v>
      </c>
      <c r="BU4745">
        <v>0</v>
      </c>
      <c r="CE4745" t="str">
        <f t="shared" si="1756"/>
        <v>19:38:13.871</v>
      </c>
      <c r="CF4745">
        <v>871091112</v>
      </c>
      <c r="CS4745">
        <v>0</v>
      </c>
      <c r="CT4745">
        <v>2</v>
      </c>
      <c r="CU4745">
        <v>0</v>
      </c>
      <c r="CV4745">
        <v>2</v>
      </c>
      <c r="CW4745">
        <v>0</v>
      </c>
      <c r="CX4745">
        <v>6</v>
      </c>
      <c r="CY4745">
        <v>7</v>
      </c>
      <c r="CZ4745" t="s">
        <v>131</v>
      </c>
      <c r="DA4745">
        <v>286</v>
      </c>
      <c r="DB4745">
        <v>0</v>
      </c>
      <c r="DC4745" t="s">
        <v>132</v>
      </c>
      <c r="DD4745" t="s">
        <v>133</v>
      </c>
      <c r="DG4745">
        <v>924387</v>
      </c>
      <c r="DI4745">
        <v>1</v>
      </c>
      <c r="DJ4745">
        <v>0</v>
      </c>
      <c r="DK4745">
        <v>1</v>
      </c>
      <c r="DL4745">
        <v>0</v>
      </c>
      <c r="DM4745">
        <v>0</v>
      </c>
      <c r="DN4745">
        <v>1</v>
      </c>
      <c r="DO4745">
        <v>0</v>
      </c>
      <c r="DP4745">
        <v>0</v>
      </c>
      <c r="DQ4745">
        <v>0</v>
      </c>
      <c r="DR4745">
        <v>0</v>
      </c>
      <c r="DS4745">
        <v>0</v>
      </c>
    </row>
    <row r="4746" spans="1:123" x14ac:dyDescent="0.3">
      <c r="A4746" t="str">
        <f>"10/04/2022 19:38:15.731"</f>
        <v>10/04/2022 19:38:15.731</v>
      </c>
      <c r="C4746" t="str">
        <f t="shared" si="1744"/>
        <v>FFDFD3C0</v>
      </c>
      <c r="D4746" t="s">
        <v>134</v>
      </c>
      <c r="E4746">
        <v>15</v>
      </c>
      <c r="J4746" t="s">
        <v>135</v>
      </c>
      <c r="K4746">
        <v>0</v>
      </c>
      <c r="L4746">
        <v>3</v>
      </c>
      <c r="M4746">
        <v>0</v>
      </c>
      <c r="N4746">
        <v>2</v>
      </c>
      <c r="O4746">
        <v>0</v>
      </c>
      <c r="P4746">
        <v>1</v>
      </c>
      <c r="Q4746">
        <v>0</v>
      </c>
      <c r="S4746" t="str">
        <f t="shared" ref="S4746:T4759" si="1757">"19:38:15.000"</f>
        <v>19:38:15.000</v>
      </c>
      <c r="T4746" t="str">
        <f t="shared" si="1757"/>
        <v>19:38:15.000</v>
      </c>
      <c r="U4746" t="str">
        <f t="shared" si="1752"/>
        <v>AC3944</v>
      </c>
      <c r="V4746">
        <v>0</v>
      </c>
      <c r="W4746">
        <v>0</v>
      </c>
      <c r="X4746">
        <v>2</v>
      </c>
      <c r="Y4746">
        <v>0</v>
      </c>
      <c r="AA4746">
        <v>1</v>
      </c>
      <c r="AB4746">
        <v>8</v>
      </c>
      <c r="AC4746">
        <v>3</v>
      </c>
      <c r="AD4746">
        <v>0</v>
      </c>
      <c r="AE4746">
        <v>9</v>
      </c>
      <c r="AF4746" t="s">
        <v>138</v>
      </c>
      <c r="AG4746">
        <v>0</v>
      </c>
      <c r="AH4746">
        <v>3</v>
      </c>
      <c r="AI4746">
        <v>1</v>
      </c>
      <c r="AJ4746">
        <v>0</v>
      </c>
      <c r="AK4746" t="s">
        <v>1073</v>
      </c>
      <c r="AL4746">
        <v>32.715482999999999</v>
      </c>
      <c r="AM4746" t="s">
        <v>1488</v>
      </c>
      <c r="AN4746">
        <v>-116.747782</v>
      </c>
      <c r="AO4746">
        <v>25</v>
      </c>
      <c r="AP4746">
        <v>4000</v>
      </c>
      <c r="AQ4746" t="s">
        <v>129</v>
      </c>
      <c r="AR4746">
        <v>-158</v>
      </c>
      <c r="AS4746">
        <v>-96</v>
      </c>
      <c r="AT4746">
        <v>-1920</v>
      </c>
      <c r="BB4746">
        <v>1200</v>
      </c>
      <c r="BC4746">
        <v>1</v>
      </c>
      <c r="BD4746" t="str">
        <f t="shared" si="1753"/>
        <v xml:space="preserve">N887QR  </v>
      </c>
      <c r="BE4746">
        <v>1</v>
      </c>
      <c r="BG4746">
        <v>0</v>
      </c>
      <c r="BH4746">
        <v>0</v>
      </c>
      <c r="BI4746">
        <v>0</v>
      </c>
      <c r="BJ4746">
        <v>3450</v>
      </c>
      <c r="BK4746">
        <v>-550</v>
      </c>
      <c r="BL4746" t="s">
        <v>163</v>
      </c>
      <c r="BM4746">
        <v>1</v>
      </c>
      <c r="BN4746">
        <v>1</v>
      </c>
      <c r="BO4746">
        <v>1</v>
      </c>
      <c r="BP4746">
        <v>0</v>
      </c>
      <c r="BS4746">
        <v>0</v>
      </c>
      <c r="BT4746">
        <v>0</v>
      </c>
      <c r="BU4746">
        <v>0</v>
      </c>
      <c r="CE4746" t="str">
        <f t="shared" ref="CE4746:CE4752" si="1758">"19:38:15.106"</f>
        <v>19:38:15.106</v>
      </c>
      <c r="CF4746">
        <v>106094743</v>
      </c>
      <c r="CS4746">
        <v>0</v>
      </c>
      <c r="CT4746">
        <v>2</v>
      </c>
      <c r="CU4746">
        <v>0</v>
      </c>
      <c r="CV4746">
        <v>2</v>
      </c>
      <c r="CW4746">
        <v>3</v>
      </c>
      <c r="CX4746">
        <v>6</v>
      </c>
      <c r="CY4746">
        <v>7</v>
      </c>
      <c r="CZ4746" t="s">
        <v>131</v>
      </c>
      <c r="DA4746">
        <v>286</v>
      </c>
      <c r="DB4746">
        <v>0</v>
      </c>
      <c r="DC4746" t="s">
        <v>132</v>
      </c>
      <c r="DD4746" t="s">
        <v>133</v>
      </c>
      <c r="DG4746">
        <v>924674</v>
      </c>
      <c r="DI4746">
        <v>1</v>
      </c>
      <c r="DJ4746">
        <v>0</v>
      </c>
      <c r="DK4746">
        <v>0</v>
      </c>
      <c r="DL4746">
        <v>0</v>
      </c>
      <c r="DM4746">
        <v>0</v>
      </c>
      <c r="DN4746">
        <v>1</v>
      </c>
      <c r="DO4746">
        <v>0</v>
      </c>
      <c r="DP4746">
        <v>0</v>
      </c>
      <c r="DQ4746">
        <v>0</v>
      </c>
      <c r="DR4746">
        <v>0</v>
      </c>
      <c r="DS4746">
        <v>0</v>
      </c>
    </row>
    <row r="4747" spans="1:123" x14ac:dyDescent="0.3">
      <c r="A4747" t="str">
        <f>"10/04/2022 19:38:15.731"</f>
        <v>10/04/2022 19:38:15.731</v>
      </c>
      <c r="C4747" t="str">
        <f t="shared" si="1744"/>
        <v>FFDFD3C0</v>
      </c>
      <c r="D4747" t="s">
        <v>141</v>
      </c>
      <c r="E4747">
        <v>4</v>
      </c>
      <c r="H4747">
        <v>4</v>
      </c>
      <c r="I4747" t="s">
        <v>142</v>
      </c>
      <c r="J4747" t="s">
        <v>138</v>
      </c>
      <c r="K4747">
        <v>0</v>
      </c>
      <c r="L4747">
        <v>3</v>
      </c>
      <c r="M4747">
        <v>0</v>
      </c>
      <c r="N4747">
        <v>2</v>
      </c>
      <c r="O4747">
        <v>0</v>
      </c>
      <c r="P4747">
        <v>1</v>
      </c>
      <c r="Q4747">
        <v>0</v>
      </c>
      <c r="S4747" t="str">
        <f t="shared" si="1757"/>
        <v>19:38:15.000</v>
      </c>
      <c r="T4747" t="str">
        <f t="shared" si="1757"/>
        <v>19:38:15.000</v>
      </c>
      <c r="U4747" t="str">
        <f t="shared" si="1752"/>
        <v>AC3944</v>
      </c>
      <c r="V4747">
        <v>0</v>
      </c>
      <c r="W4747">
        <v>0</v>
      </c>
      <c r="X4747">
        <v>2</v>
      </c>
      <c r="Y4747">
        <v>0</v>
      </c>
      <c r="AA4747">
        <v>1</v>
      </c>
      <c r="AB4747">
        <v>8</v>
      </c>
      <c r="AC4747">
        <v>3</v>
      </c>
      <c r="AD4747">
        <v>0</v>
      </c>
      <c r="AE4747">
        <v>9</v>
      </c>
      <c r="AF4747" t="s">
        <v>138</v>
      </c>
      <c r="AG4747">
        <v>0</v>
      </c>
      <c r="AH4747">
        <v>3</v>
      </c>
      <c r="AI4747">
        <v>1</v>
      </c>
      <c r="AJ4747">
        <v>0</v>
      </c>
      <c r="AK4747" t="s">
        <v>1073</v>
      </c>
      <c r="AL4747">
        <v>32.715482999999999</v>
      </c>
      <c r="AM4747" t="s">
        <v>1488</v>
      </c>
      <c r="AN4747">
        <v>-116.747782</v>
      </c>
      <c r="AO4747">
        <v>25</v>
      </c>
      <c r="AP4747">
        <v>4000</v>
      </c>
      <c r="AQ4747" t="s">
        <v>129</v>
      </c>
      <c r="AR4747">
        <v>-158</v>
      </c>
      <c r="AS4747">
        <v>-96</v>
      </c>
      <c r="AT4747">
        <v>-1920</v>
      </c>
      <c r="BB4747">
        <v>1200</v>
      </c>
      <c r="BC4747">
        <v>1</v>
      </c>
      <c r="BD4747" t="str">
        <f t="shared" si="1753"/>
        <v xml:space="preserve">N887QR  </v>
      </c>
      <c r="BE4747">
        <v>1</v>
      </c>
      <c r="BG4747">
        <v>0</v>
      </c>
      <c r="BH4747">
        <v>0</v>
      </c>
      <c r="BI4747">
        <v>0</v>
      </c>
      <c r="BJ4747">
        <v>3450</v>
      </c>
      <c r="BK4747">
        <v>-550</v>
      </c>
      <c r="BL4747" t="s">
        <v>163</v>
      </c>
      <c r="BM4747">
        <v>1</v>
      </c>
      <c r="BN4747">
        <v>1</v>
      </c>
      <c r="BO4747">
        <v>1</v>
      </c>
      <c r="BP4747">
        <v>0</v>
      </c>
      <c r="BS4747">
        <v>0</v>
      </c>
      <c r="BT4747">
        <v>0</v>
      </c>
      <c r="BU4747">
        <v>0</v>
      </c>
      <c r="CE4747" t="str">
        <f t="shared" si="1758"/>
        <v>19:38:15.106</v>
      </c>
      <c r="CF4747">
        <v>106094743</v>
      </c>
      <c r="CS4747">
        <v>0</v>
      </c>
      <c r="CT4747">
        <v>2</v>
      </c>
      <c r="CU4747">
        <v>0</v>
      </c>
      <c r="CV4747">
        <v>2</v>
      </c>
      <c r="CW4747">
        <v>3</v>
      </c>
      <c r="CX4747">
        <v>6</v>
      </c>
      <c r="CY4747">
        <v>7</v>
      </c>
      <c r="CZ4747" t="s">
        <v>131</v>
      </c>
      <c r="DA4747">
        <v>286</v>
      </c>
      <c r="DB4747">
        <v>0</v>
      </c>
      <c r="DC4747" t="s">
        <v>132</v>
      </c>
      <c r="DD4747" t="s">
        <v>133</v>
      </c>
      <c r="DG4747">
        <v>924674</v>
      </c>
      <c r="DI4747">
        <v>1</v>
      </c>
      <c r="DJ4747">
        <v>0</v>
      </c>
      <c r="DK4747">
        <v>1</v>
      </c>
      <c r="DL4747">
        <v>0</v>
      </c>
      <c r="DM4747">
        <v>0</v>
      </c>
      <c r="DN4747">
        <v>1</v>
      </c>
      <c r="DO4747">
        <v>0</v>
      </c>
      <c r="DP4747">
        <v>0</v>
      </c>
      <c r="DQ4747">
        <v>0</v>
      </c>
      <c r="DR4747">
        <v>0</v>
      </c>
      <c r="DS4747">
        <v>0</v>
      </c>
    </row>
    <row r="4748" spans="1:123" x14ac:dyDescent="0.3">
      <c r="A4748" t="str">
        <f>"10/04/2022 19:38:15.747"</f>
        <v>10/04/2022 19:38:15.747</v>
      </c>
      <c r="C4748" t="str">
        <f t="shared" si="1744"/>
        <v>FFDFD3C0</v>
      </c>
      <c r="D4748" t="s">
        <v>143</v>
      </c>
      <c r="E4748">
        <v>20</v>
      </c>
      <c r="F4748">
        <v>1020</v>
      </c>
      <c r="G4748" t="s">
        <v>144</v>
      </c>
      <c r="J4748" t="s">
        <v>145</v>
      </c>
      <c r="K4748">
        <v>0</v>
      </c>
      <c r="L4748">
        <v>3</v>
      </c>
      <c r="M4748">
        <v>0</v>
      </c>
      <c r="N4748">
        <v>2</v>
      </c>
      <c r="O4748">
        <v>0</v>
      </c>
      <c r="P4748">
        <v>1</v>
      </c>
      <c r="Q4748">
        <v>0</v>
      </c>
      <c r="S4748" t="str">
        <f t="shared" si="1757"/>
        <v>19:38:15.000</v>
      </c>
      <c r="T4748" t="str">
        <f t="shared" si="1757"/>
        <v>19:38:15.000</v>
      </c>
      <c r="U4748" t="str">
        <f t="shared" si="1752"/>
        <v>AC3944</v>
      </c>
      <c r="V4748">
        <v>0</v>
      </c>
      <c r="W4748">
        <v>0</v>
      </c>
      <c r="X4748">
        <v>2</v>
      </c>
      <c r="Y4748">
        <v>0</v>
      </c>
      <c r="AA4748">
        <v>1</v>
      </c>
      <c r="AB4748">
        <v>8</v>
      </c>
      <c r="AC4748">
        <v>3</v>
      </c>
      <c r="AD4748">
        <v>0</v>
      </c>
      <c r="AE4748">
        <v>9</v>
      </c>
      <c r="AF4748" t="s">
        <v>138</v>
      </c>
      <c r="AG4748">
        <v>0</v>
      </c>
      <c r="AH4748">
        <v>3</v>
      </c>
      <c r="AI4748">
        <v>1</v>
      </c>
      <c r="AJ4748">
        <v>0</v>
      </c>
      <c r="AK4748" t="s">
        <v>1073</v>
      </c>
      <c r="AL4748">
        <v>32.715482999999999</v>
      </c>
      <c r="AM4748" t="s">
        <v>1488</v>
      </c>
      <c r="AN4748">
        <v>-116.747782</v>
      </c>
      <c r="AO4748">
        <v>25</v>
      </c>
      <c r="AP4748">
        <v>4000</v>
      </c>
      <c r="AQ4748" t="s">
        <v>129</v>
      </c>
      <c r="AR4748">
        <v>-158</v>
      </c>
      <c r="AS4748">
        <v>-96</v>
      </c>
      <c r="AT4748">
        <v>-1920</v>
      </c>
      <c r="BB4748">
        <v>1200</v>
      </c>
      <c r="BC4748">
        <v>1</v>
      </c>
      <c r="BD4748" t="str">
        <f t="shared" si="1753"/>
        <v xml:space="preserve">N887QR  </v>
      </c>
      <c r="BE4748">
        <v>1</v>
      </c>
      <c r="BG4748">
        <v>0</v>
      </c>
      <c r="BH4748">
        <v>0</v>
      </c>
      <c r="BI4748">
        <v>0</v>
      </c>
      <c r="BJ4748">
        <v>3450</v>
      </c>
      <c r="BK4748">
        <v>-550</v>
      </c>
      <c r="BL4748" t="s">
        <v>163</v>
      </c>
      <c r="BM4748">
        <v>1</v>
      </c>
      <c r="BN4748">
        <v>1</v>
      </c>
      <c r="BO4748">
        <v>1</v>
      </c>
      <c r="BP4748">
        <v>0</v>
      </c>
      <c r="BS4748">
        <v>0</v>
      </c>
      <c r="BT4748">
        <v>0</v>
      </c>
      <c r="BU4748">
        <v>0</v>
      </c>
      <c r="CE4748" t="str">
        <f t="shared" si="1758"/>
        <v>19:38:15.106</v>
      </c>
      <c r="CF4748">
        <v>106094743</v>
      </c>
      <c r="CS4748">
        <v>0</v>
      </c>
      <c r="CT4748">
        <v>2</v>
      </c>
      <c r="CU4748">
        <v>0</v>
      </c>
      <c r="CV4748">
        <v>2</v>
      </c>
      <c r="CW4748">
        <v>3</v>
      </c>
      <c r="CX4748">
        <v>6</v>
      </c>
      <c r="CY4748">
        <v>7</v>
      </c>
      <c r="CZ4748" t="s">
        <v>131</v>
      </c>
      <c r="DA4748">
        <v>286</v>
      </c>
      <c r="DB4748">
        <v>0</v>
      </c>
      <c r="DC4748" t="s">
        <v>132</v>
      </c>
      <c r="DD4748" t="s">
        <v>133</v>
      </c>
      <c r="DG4748">
        <v>924674</v>
      </c>
      <c r="DI4748">
        <v>1</v>
      </c>
      <c r="DJ4748">
        <v>0</v>
      </c>
      <c r="DK4748">
        <v>1</v>
      </c>
      <c r="DL4748">
        <v>0</v>
      </c>
      <c r="DM4748">
        <v>0</v>
      </c>
      <c r="DN4748">
        <v>1</v>
      </c>
      <c r="DO4748">
        <v>0</v>
      </c>
      <c r="DP4748">
        <v>0</v>
      </c>
      <c r="DQ4748">
        <v>0</v>
      </c>
      <c r="DR4748">
        <v>0</v>
      </c>
      <c r="DS4748">
        <v>0</v>
      </c>
    </row>
    <row r="4749" spans="1:123" x14ac:dyDescent="0.3">
      <c r="A4749" t="str">
        <f>"10/04/2022 19:38:15.747"</f>
        <v>10/04/2022 19:38:15.747</v>
      </c>
      <c r="C4749" t="str">
        <f t="shared" si="1744"/>
        <v>FFDFD3C0</v>
      </c>
      <c r="D4749" t="s">
        <v>123</v>
      </c>
      <c r="E4749">
        <v>7</v>
      </c>
      <c r="F4749">
        <v>2007</v>
      </c>
      <c r="G4749" t="s">
        <v>124</v>
      </c>
      <c r="J4749" t="s">
        <v>125</v>
      </c>
      <c r="K4749">
        <v>0</v>
      </c>
      <c r="L4749">
        <v>3</v>
      </c>
      <c r="M4749">
        <v>0</v>
      </c>
      <c r="N4749">
        <v>2</v>
      </c>
      <c r="O4749">
        <v>0</v>
      </c>
      <c r="P4749">
        <v>1</v>
      </c>
      <c r="Q4749">
        <v>0</v>
      </c>
      <c r="S4749" t="str">
        <f t="shared" si="1757"/>
        <v>19:38:15.000</v>
      </c>
      <c r="T4749" t="str">
        <f t="shared" si="1757"/>
        <v>19:38:15.000</v>
      </c>
      <c r="U4749" t="str">
        <f t="shared" si="1752"/>
        <v>AC3944</v>
      </c>
      <c r="V4749">
        <v>0</v>
      </c>
      <c r="W4749">
        <v>0</v>
      </c>
      <c r="X4749">
        <v>2</v>
      </c>
      <c r="Y4749">
        <v>0</v>
      </c>
      <c r="AA4749">
        <v>1</v>
      </c>
      <c r="AB4749">
        <v>8</v>
      </c>
      <c r="AC4749">
        <v>3</v>
      </c>
      <c r="AD4749">
        <v>0</v>
      </c>
      <c r="AE4749">
        <v>9</v>
      </c>
      <c r="AF4749" t="s">
        <v>138</v>
      </c>
      <c r="AG4749">
        <v>0</v>
      </c>
      <c r="AH4749">
        <v>3</v>
      </c>
      <c r="AI4749">
        <v>1</v>
      </c>
      <c r="AJ4749">
        <v>0</v>
      </c>
      <c r="AK4749" t="s">
        <v>1073</v>
      </c>
      <c r="AL4749">
        <v>32.715482999999999</v>
      </c>
      <c r="AM4749" t="s">
        <v>1488</v>
      </c>
      <c r="AN4749">
        <v>-116.747782</v>
      </c>
      <c r="AO4749">
        <v>25</v>
      </c>
      <c r="AP4749">
        <v>4000</v>
      </c>
      <c r="AQ4749" t="s">
        <v>129</v>
      </c>
      <c r="AR4749">
        <v>-158</v>
      </c>
      <c r="AS4749">
        <v>-96</v>
      </c>
      <c r="AT4749">
        <v>-1920</v>
      </c>
      <c r="BB4749">
        <v>1200</v>
      </c>
      <c r="BC4749">
        <v>1</v>
      </c>
      <c r="BD4749" t="str">
        <f t="shared" si="1753"/>
        <v xml:space="preserve">N887QR  </v>
      </c>
      <c r="BE4749">
        <v>1</v>
      </c>
      <c r="BG4749">
        <v>0</v>
      </c>
      <c r="BH4749">
        <v>0</v>
      </c>
      <c r="BI4749">
        <v>0</v>
      </c>
      <c r="BJ4749">
        <v>3450</v>
      </c>
      <c r="BK4749">
        <v>-550</v>
      </c>
      <c r="BL4749" t="s">
        <v>163</v>
      </c>
      <c r="BM4749">
        <v>1</v>
      </c>
      <c r="BN4749">
        <v>1</v>
      </c>
      <c r="BO4749">
        <v>1</v>
      </c>
      <c r="BP4749">
        <v>0</v>
      </c>
      <c r="BS4749">
        <v>0</v>
      </c>
      <c r="BT4749">
        <v>0</v>
      </c>
      <c r="BU4749">
        <v>0</v>
      </c>
      <c r="CE4749" t="str">
        <f t="shared" si="1758"/>
        <v>19:38:15.106</v>
      </c>
      <c r="CF4749">
        <v>106094743</v>
      </c>
      <c r="CS4749">
        <v>0</v>
      </c>
      <c r="CT4749">
        <v>2</v>
      </c>
      <c r="CU4749">
        <v>0</v>
      </c>
      <c r="CV4749">
        <v>2</v>
      </c>
      <c r="CW4749">
        <v>3</v>
      </c>
      <c r="CX4749">
        <v>6</v>
      </c>
      <c r="CY4749">
        <v>7</v>
      </c>
      <c r="CZ4749" t="s">
        <v>131</v>
      </c>
      <c r="DA4749">
        <v>286</v>
      </c>
      <c r="DB4749">
        <v>0</v>
      </c>
      <c r="DC4749" t="s">
        <v>132</v>
      </c>
      <c r="DD4749" t="s">
        <v>133</v>
      </c>
      <c r="DG4749">
        <v>924674</v>
      </c>
      <c r="DI4749">
        <v>1</v>
      </c>
      <c r="DJ4749">
        <v>0</v>
      </c>
      <c r="DK4749">
        <v>1</v>
      </c>
      <c r="DL4749">
        <v>0</v>
      </c>
      <c r="DM4749">
        <v>0</v>
      </c>
      <c r="DN4749">
        <v>1</v>
      </c>
      <c r="DO4749">
        <v>0</v>
      </c>
      <c r="DP4749">
        <v>0</v>
      </c>
      <c r="DQ4749">
        <v>0</v>
      </c>
      <c r="DR4749">
        <v>0</v>
      </c>
      <c r="DS4749">
        <v>0</v>
      </c>
    </row>
    <row r="4750" spans="1:123" x14ac:dyDescent="0.3">
      <c r="A4750" t="str">
        <f>"10/04/2022 19:38:15.747"</f>
        <v>10/04/2022 19:38:15.747</v>
      </c>
      <c r="C4750" t="str">
        <f t="shared" si="1744"/>
        <v>FFDFD3C0</v>
      </c>
      <c r="D4750" t="s">
        <v>147</v>
      </c>
      <c r="E4750">
        <v>3</v>
      </c>
      <c r="H4750">
        <v>166</v>
      </c>
      <c r="I4750" t="s">
        <v>144</v>
      </c>
      <c r="J4750" t="s">
        <v>148</v>
      </c>
      <c r="K4750">
        <v>0</v>
      </c>
      <c r="L4750">
        <v>3</v>
      </c>
      <c r="M4750">
        <v>0</v>
      </c>
      <c r="N4750">
        <v>2</v>
      </c>
      <c r="O4750">
        <v>0</v>
      </c>
      <c r="P4750">
        <v>1</v>
      </c>
      <c r="Q4750">
        <v>0</v>
      </c>
      <c r="S4750" t="str">
        <f t="shared" si="1757"/>
        <v>19:38:15.000</v>
      </c>
      <c r="T4750" t="str">
        <f t="shared" si="1757"/>
        <v>19:38:15.000</v>
      </c>
      <c r="U4750" t="str">
        <f t="shared" si="1752"/>
        <v>AC3944</v>
      </c>
      <c r="V4750">
        <v>0</v>
      </c>
      <c r="W4750">
        <v>0</v>
      </c>
      <c r="X4750">
        <v>2</v>
      </c>
      <c r="Y4750">
        <v>0</v>
      </c>
      <c r="AA4750">
        <v>1</v>
      </c>
      <c r="AB4750">
        <v>8</v>
      </c>
      <c r="AC4750">
        <v>3</v>
      </c>
      <c r="AD4750">
        <v>0</v>
      </c>
      <c r="AE4750">
        <v>9</v>
      </c>
      <c r="AF4750" t="s">
        <v>138</v>
      </c>
      <c r="AG4750">
        <v>0</v>
      </c>
      <c r="AH4750">
        <v>3</v>
      </c>
      <c r="AI4750">
        <v>1</v>
      </c>
      <c r="AJ4750">
        <v>0</v>
      </c>
      <c r="AK4750" t="s">
        <v>1073</v>
      </c>
      <c r="AL4750">
        <v>32.715482999999999</v>
      </c>
      <c r="AM4750" t="s">
        <v>1488</v>
      </c>
      <c r="AN4750">
        <v>-116.747782</v>
      </c>
      <c r="AO4750">
        <v>25</v>
      </c>
      <c r="AP4750">
        <v>4000</v>
      </c>
      <c r="AQ4750" t="s">
        <v>129</v>
      </c>
      <c r="AR4750">
        <v>-158</v>
      </c>
      <c r="AS4750">
        <v>-96</v>
      </c>
      <c r="AT4750">
        <v>-1920</v>
      </c>
      <c r="BB4750">
        <v>1200</v>
      </c>
      <c r="BC4750">
        <v>1</v>
      </c>
      <c r="BD4750" t="str">
        <f t="shared" si="1753"/>
        <v xml:space="preserve">N887QR  </v>
      </c>
      <c r="BE4750">
        <v>1</v>
      </c>
      <c r="BG4750">
        <v>0</v>
      </c>
      <c r="BH4750">
        <v>0</v>
      </c>
      <c r="BI4750">
        <v>0</v>
      </c>
      <c r="BJ4750">
        <v>3450</v>
      </c>
      <c r="BK4750">
        <v>-550</v>
      </c>
      <c r="BL4750" t="s">
        <v>163</v>
      </c>
      <c r="BM4750">
        <v>1</v>
      </c>
      <c r="BN4750">
        <v>1</v>
      </c>
      <c r="BO4750">
        <v>1</v>
      </c>
      <c r="BP4750">
        <v>0</v>
      </c>
      <c r="BS4750">
        <v>0</v>
      </c>
      <c r="BT4750">
        <v>0</v>
      </c>
      <c r="BU4750">
        <v>0</v>
      </c>
      <c r="CE4750" t="str">
        <f t="shared" si="1758"/>
        <v>19:38:15.106</v>
      </c>
      <c r="CF4750">
        <v>106094743</v>
      </c>
      <c r="CS4750">
        <v>0</v>
      </c>
      <c r="CT4750">
        <v>2</v>
      </c>
      <c r="CU4750">
        <v>0</v>
      </c>
      <c r="CV4750">
        <v>2</v>
      </c>
      <c r="CW4750">
        <v>3</v>
      </c>
      <c r="CX4750">
        <v>6</v>
      </c>
      <c r="CY4750">
        <v>7</v>
      </c>
      <c r="CZ4750" t="s">
        <v>131</v>
      </c>
      <c r="DA4750">
        <v>286</v>
      </c>
      <c r="DB4750">
        <v>0</v>
      </c>
      <c r="DC4750" t="s">
        <v>132</v>
      </c>
      <c r="DD4750" t="s">
        <v>133</v>
      </c>
      <c r="DG4750">
        <v>924674</v>
      </c>
      <c r="DI4750">
        <v>1</v>
      </c>
      <c r="DJ4750">
        <v>0</v>
      </c>
      <c r="DK4750">
        <v>1</v>
      </c>
      <c r="DL4750">
        <v>0</v>
      </c>
      <c r="DM4750">
        <v>0</v>
      </c>
      <c r="DN4750">
        <v>1</v>
      </c>
      <c r="DO4750">
        <v>0</v>
      </c>
      <c r="DP4750">
        <v>0</v>
      </c>
      <c r="DQ4750">
        <v>0</v>
      </c>
      <c r="DR4750">
        <v>0</v>
      </c>
      <c r="DS4750">
        <v>0</v>
      </c>
    </row>
    <row r="4751" spans="1:123" x14ac:dyDescent="0.3">
      <c r="A4751" t="str">
        <f>"10/04/2022 19:38:15.747"</f>
        <v>10/04/2022 19:38:15.747</v>
      </c>
      <c r="C4751" t="str">
        <f t="shared" si="1744"/>
        <v>FFDFD3C0</v>
      </c>
      <c r="D4751" t="s">
        <v>136</v>
      </c>
      <c r="E4751">
        <v>8</v>
      </c>
      <c r="H4751">
        <v>225</v>
      </c>
      <c r="I4751" t="s">
        <v>137</v>
      </c>
      <c r="J4751" t="s">
        <v>138</v>
      </c>
      <c r="K4751">
        <v>0</v>
      </c>
      <c r="L4751">
        <v>3</v>
      </c>
      <c r="M4751">
        <v>0</v>
      </c>
      <c r="N4751">
        <v>2</v>
      </c>
      <c r="O4751">
        <v>0</v>
      </c>
      <c r="P4751">
        <v>1</v>
      </c>
      <c r="Q4751">
        <v>0</v>
      </c>
      <c r="S4751" t="str">
        <f t="shared" si="1757"/>
        <v>19:38:15.000</v>
      </c>
      <c r="T4751" t="str">
        <f t="shared" si="1757"/>
        <v>19:38:15.000</v>
      </c>
      <c r="U4751" t="str">
        <f t="shared" si="1752"/>
        <v>AC3944</v>
      </c>
      <c r="V4751">
        <v>0</v>
      </c>
      <c r="W4751">
        <v>0</v>
      </c>
      <c r="X4751">
        <v>2</v>
      </c>
      <c r="Y4751">
        <v>0</v>
      </c>
      <c r="AA4751">
        <v>1</v>
      </c>
      <c r="AB4751">
        <v>8</v>
      </c>
      <c r="AC4751">
        <v>3</v>
      </c>
      <c r="AD4751">
        <v>0</v>
      </c>
      <c r="AE4751">
        <v>9</v>
      </c>
      <c r="AF4751" t="s">
        <v>138</v>
      </c>
      <c r="AG4751">
        <v>0</v>
      </c>
      <c r="AH4751">
        <v>3</v>
      </c>
      <c r="AI4751">
        <v>1</v>
      </c>
      <c r="AJ4751">
        <v>0</v>
      </c>
      <c r="AK4751" t="s">
        <v>1073</v>
      </c>
      <c r="AL4751">
        <v>32.715482999999999</v>
      </c>
      <c r="AM4751" t="s">
        <v>1488</v>
      </c>
      <c r="AN4751">
        <v>-116.747782</v>
      </c>
      <c r="AO4751">
        <v>25</v>
      </c>
      <c r="AP4751">
        <v>4000</v>
      </c>
      <c r="AQ4751" t="s">
        <v>129</v>
      </c>
      <c r="AR4751">
        <v>-158</v>
      </c>
      <c r="AS4751">
        <v>-96</v>
      </c>
      <c r="AT4751">
        <v>-1920</v>
      </c>
      <c r="BB4751">
        <v>1200</v>
      </c>
      <c r="BC4751">
        <v>1</v>
      </c>
      <c r="BD4751" t="str">
        <f t="shared" si="1753"/>
        <v xml:space="preserve">N887QR  </v>
      </c>
      <c r="BE4751">
        <v>1</v>
      </c>
      <c r="BG4751">
        <v>0</v>
      </c>
      <c r="BH4751">
        <v>0</v>
      </c>
      <c r="BI4751">
        <v>0</v>
      </c>
      <c r="BJ4751">
        <v>3450</v>
      </c>
      <c r="BK4751">
        <v>-550</v>
      </c>
      <c r="BL4751" t="s">
        <v>163</v>
      </c>
      <c r="BM4751">
        <v>1</v>
      </c>
      <c r="BN4751">
        <v>1</v>
      </c>
      <c r="BO4751">
        <v>1</v>
      </c>
      <c r="BP4751">
        <v>0</v>
      </c>
      <c r="BS4751">
        <v>0</v>
      </c>
      <c r="BT4751">
        <v>0</v>
      </c>
      <c r="BU4751">
        <v>0</v>
      </c>
      <c r="CE4751" t="str">
        <f t="shared" si="1758"/>
        <v>19:38:15.106</v>
      </c>
      <c r="CF4751">
        <v>106094743</v>
      </c>
      <c r="CS4751">
        <v>0</v>
      </c>
      <c r="CT4751">
        <v>2</v>
      </c>
      <c r="CU4751">
        <v>0</v>
      </c>
      <c r="CV4751">
        <v>2</v>
      </c>
      <c r="CW4751">
        <v>3</v>
      </c>
      <c r="CX4751">
        <v>6</v>
      </c>
      <c r="CY4751">
        <v>7</v>
      </c>
      <c r="CZ4751" t="s">
        <v>131</v>
      </c>
      <c r="DA4751">
        <v>286</v>
      </c>
      <c r="DB4751">
        <v>0</v>
      </c>
      <c r="DC4751" t="s">
        <v>132</v>
      </c>
      <c r="DD4751" t="s">
        <v>133</v>
      </c>
      <c r="DG4751">
        <v>924674</v>
      </c>
      <c r="DI4751">
        <v>1</v>
      </c>
      <c r="DJ4751">
        <v>0</v>
      </c>
      <c r="DK4751">
        <v>1</v>
      </c>
      <c r="DL4751">
        <v>0</v>
      </c>
      <c r="DM4751">
        <v>0</v>
      </c>
      <c r="DN4751">
        <v>1</v>
      </c>
      <c r="DO4751">
        <v>0</v>
      </c>
      <c r="DP4751">
        <v>0</v>
      </c>
      <c r="DQ4751">
        <v>0</v>
      </c>
      <c r="DR4751">
        <v>0</v>
      </c>
      <c r="DS4751">
        <v>0</v>
      </c>
    </row>
    <row r="4752" spans="1:123" x14ac:dyDescent="0.3">
      <c r="A4752" t="str">
        <f>"10/04/2022 19:38:15.747"</f>
        <v>10/04/2022 19:38:15.747</v>
      </c>
      <c r="C4752" t="str">
        <f t="shared" si="1744"/>
        <v>FFDFD3C0</v>
      </c>
      <c r="D4752" t="s">
        <v>141</v>
      </c>
      <c r="E4752">
        <v>3</v>
      </c>
      <c r="H4752">
        <v>3</v>
      </c>
      <c r="I4752" t="s">
        <v>146</v>
      </c>
      <c r="J4752" t="s">
        <v>138</v>
      </c>
      <c r="K4752">
        <v>0</v>
      </c>
      <c r="L4752">
        <v>3</v>
      </c>
      <c r="M4752">
        <v>0</v>
      </c>
      <c r="N4752">
        <v>2</v>
      </c>
      <c r="O4752">
        <v>0</v>
      </c>
      <c r="P4752">
        <v>1</v>
      </c>
      <c r="Q4752">
        <v>0</v>
      </c>
      <c r="S4752" t="str">
        <f t="shared" si="1757"/>
        <v>19:38:15.000</v>
      </c>
      <c r="T4752" t="str">
        <f t="shared" si="1757"/>
        <v>19:38:15.000</v>
      </c>
      <c r="U4752" t="str">
        <f t="shared" si="1752"/>
        <v>AC3944</v>
      </c>
      <c r="V4752">
        <v>0</v>
      </c>
      <c r="W4752">
        <v>0</v>
      </c>
      <c r="X4752">
        <v>2</v>
      </c>
      <c r="Y4752">
        <v>0</v>
      </c>
      <c r="AA4752">
        <v>1</v>
      </c>
      <c r="AB4752">
        <v>8</v>
      </c>
      <c r="AC4752">
        <v>3</v>
      </c>
      <c r="AD4752">
        <v>0</v>
      </c>
      <c r="AE4752">
        <v>9</v>
      </c>
      <c r="AF4752" t="s">
        <v>138</v>
      </c>
      <c r="AG4752">
        <v>0</v>
      </c>
      <c r="AH4752">
        <v>3</v>
      </c>
      <c r="AI4752">
        <v>1</v>
      </c>
      <c r="AJ4752">
        <v>0</v>
      </c>
      <c r="AK4752" t="s">
        <v>1073</v>
      </c>
      <c r="AL4752">
        <v>32.715482999999999</v>
      </c>
      <c r="AM4752" t="s">
        <v>1488</v>
      </c>
      <c r="AN4752">
        <v>-116.747782</v>
      </c>
      <c r="AO4752">
        <v>25</v>
      </c>
      <c r="AP4752">
        <v>4000</v>
      </c>
      <c r="AQ4752" t="s">
        <v>129</v>
      </c>
      <c r="AR4752">
        <v>-158</v>
      </c>
      <c r="AS4752">
        <v>-96</v>
      </c>
      <c r="AT4752">
        <v>-1920</v>
      </c>
      <c r="BB4752">
        <v>1200</v>
      </c>
      <c r="BC4752">
        <v>1</v>
      </c>
      <c r="BD4752" t="str">
        <f t="shared" si="1753"/>
        <v xml:space="preserve">N887QR  </v>
      </c>
      <c r="BE4752">
        <v>1</v>
      </c>
      <c r="BG4752">
        <v>0</v>
      </c>
      <c r="BH4752">
        <v>0</v>
      </c>
      <c r="BI4752">
        <v>0</v>
      </c>
      <c r="BJ4752">
        <v>3450</v>
      </c>
      <c r="BK4752">
        <v>-550</v>
      </c>
      <c r="BL4752" t="s">
        <v>163</v>
      </c>
      <c r="BM4752">
        <v>1</v>
      </c>
      <c r="BN4752">
        <v>1</v>
      </c>
      <c r="BO4752">
        <v>1</v>
      </c>
      <c r="BP4752">
        <v>0</v>
      </c>
      <c r="BS4752">
        <v>0</v>
      </c>
      <c r="BT4752">
        <v>0</v>
      </c>
      <c r="BU4752">
        <v>0</v>
      </c>
      <c r="CE4752" t="str">
        <f t="shared" si="1758"/>
        <v>19:38:15.106</v>
      </c>
      <c r="CF4752">
        <v>106094743</v>
      </c>
      <c r="CS4752">
        <v>0</v>
      </c>
      <c r="CT4752">
        <v>2</v>
      </c>
      <c r="CU4752">
        <v>0</v>
      </c>
      <c r="CV4752">
        <v>2</v>
      </c>
      <c r="CW4752">
        <v>3</v>
      </c>
      <c r="CX4752">
        <v>6</v>
      </c>
      <c r="CY4752">
        <v>7</v>
      </c>
      <c r="CZ4752" t="s">
        <v>131</v>
      </c>
      <c r="DA4752">
        <v>286</v>
      </c>
      <c r="DB4752">
        <v>0</v>
      </c>
      <c r="DC4752" t="s">
        <v>132</v>
      </c>
      <c r="DD4752" t="s">
        <v>133</v>
      </c>
      <c r="DG4752">
        <v>924674</v>
      </c>
      <c r="DI4752">
        <v>1</v>
      </c>
      <c r="DJ4752">
        <v>0</v>
      </c>
      <c r="DK4752">
        <v>1</v>
      </c>
      <c r="DL4752">
        <v>0</v>
      </c>
      <c r="DM4752">
        <v>0</v>
      </c>
      <c r="DN4752">
        <v>1</v>
      </c>
      <c r="DO4752">
        <v>0</v>
      </c>
      <c r="DP4752">
        <v>0</v>
      </c>
      <c r="DQ4752">
        <v>0</v>
      </c>
      <c r="DR4752">
        <v>0</v>
      </c>
      <c r="DS4752">
        <v>0</v>
      </c>
    </row>
    <row r="4753" spans="1:123" x14ac:dyDescent="0.3">
      <c r="A4753" t="str">
        <f>"10/04/2022 19:38:16.200"</f>
        <v>10/04/2022 19:38:16.200</v>
      </c>
      <c r="C4753" t="str">
        <f t="shared" si="1744"/>
        <v>FFDFD3C0</v>
      </c>
      <c r="D4753" t="s">
        <v>136</v>
      </c>
      <c r="E4753">
        <v>8</v>
      </c>
      <c r="H4753">
        <v>225</v>
      </c>
      <c r="I4753" t="s">
        <v>137</v>
      </c>
      <c r="J4753" t="s">
        <v>138</v>
      </c>
      <c r="K4753">
        <v>0</v>
      </c>
      <c r="L4753">
        <v>3</v>
      </c>
      <c r="M4753">
        <v>0</v>
      </c>
      <c r="N4753">
        <v>2</v>
      </c>
      <c r="O4753">
        <v>0</v>
      </c>
      <c r="P4753">
        <v>1</v>
      </c>
      <c r="Q4753">
        <v>0</v>
      </c>
      <c r="S4753" t="str">
        <f t="shared" si="1757"/>
        <v>19:38:15.000</v>
      </c>
      <c r="T4753" t="str">
        <f t="shared" si="1757"/>
        <v>19:38:15.000</v>
      </c>
      <c r="U4753" t="str">
        <f t="shared" si="1752"/>
        <v>AC3944</v>
      </c>
      <c r="V4753">
        <v>0</v>
      </c>
      <c r="W4753">
        <v>0</v>
      </c>
      <c r="X4753">
        <v>2</v>
      </c>
      <c r="Y4753">
        <v>0</v>
      </c>
      <c r="AA4753">
        <v>1</v>
      </c>
      <c r="AB4753">
        <v>8</v>
      </c>
      <c r="AC4753">
        <v>3</v>
      </c>
      <c r="AD4753">
        <v>0</v>
      </c>
      <c r="AE4753">
        <v>9</v>
      </c>
      <c r="AF4753" t="s">
        <v>138</v>
      </c>
      <c r="AG4753">
        <v>0</v>
      </c>
      <c r="AH4753">
        <v>3</v>
      </c>
      <c r="AI4753">
        <v>1</v>
      </c>
      <c r="AJ4753">
        <v>0</v>
      </c>
      <c r="AK4753" t="s">
        <v>1489</v>
      </c>
      <c r="AL4753">
        <v>32.715032000000001</v>
      </c>
      <c r="AM4753" t="s">
        <v>1490</v>
      </c>
      <c r="AN4753">
        <v>-116.748662</v>
      </c>
      <c r="AO4753">
        <v>25</v>
      </c>
      <c r="AP4753">
        <v>3900</v>
      </c>
      <c r="AQ4753" t="s">
        <v>129</v>
      </c>
      <c r="AR4753">
        <v>-156</v>
      </c>
      <c r="AS4753">
        <v>-98</v>
      </c>
      <c r="AT4753">
        <v>-1920</v>
      </c>
      <c r="BB4753">
        <v>1200</v>
      </c>
      <c r="BC4753">
        <v>1</v>
      </c>
      <c r="BD4753" t="str">
        <f t="shared" si="1753"/>
        <v xml:space="preserve">N887QR  </v>
      </c>
      <c r="BE4753">
        <v>1</v>
      </c>
      <c r="BG4753">
        <v>0</v>
      </c>
      <c r="BH4753">
        <v>0</v>
      </c>
      <c r="BI4753">
        <v>0</v>
      </c>
      <c r="BJ4753">
        <v>3425</v>
      </c>
      <c r="BK4753">
        <v>-475</v>
      </c>
      <c r="BL4753" t="s">
        <v>163</v>
      </c>
      <c r="BM4753">
        <v>1</v>
      </c>
      <c r="BN4753">
        <v>1</v>
      </c>
      <c r="BO4753">
        <v>1</v>
      </c>
      <c r="BP4753">
        <v>0</v>
      </c>
      <c r="BS4753">
        <v>0</v>
      </c>
      <c r="BT4753">
        <v>0</v>
      </c>
      <c r="BU4753">
        <v>0</v>
      </c>
      <c r="CE4753" t="str">
        <f t="shared" ref="CE4753:CE4759" si="1759">"19:38:15.982"</f>
        <v>19:38:15.982</v>
      </c>
      <c r="CF4753">
        <v>981597310</v>
      </c>
      <c r="CS4753">
        <v>0</v>
      </c>
      <c r="CT4753">
        <v>2</v>
      </c>
      <c r="CU4753">
        <v>0</v>
      </c>
      <c r="CV4753">
        <v>2</v>
      </c>
      <c r="CW4753">
        <v>0</v>
      </c>
      <c r="CX4753">
        <v>6</v>
      </c>
      <c r="CY4753">
        <v>7</v>
      </c>
      <c r="CZ4753" t="s">
        <v>131</v>
      </c>
      <c r="DA4753">
        <v>286</v>
      </c>
      <c r="DB4753">
        <v>0</v>
      </c>
      <c r="DC4753" t="s">
        <v>132</v>
      </c>
      <c r="DD4753" t="s">
        <v>133</v>
      </c>
      <c r="DG4753">
        <v>924913</v>
      </c>
      <c r="DI4753">
        <v>1</v>
      </c>
      <c r="DJ4753">
        <v>0</v>
      </c>
      <c r="DK4753">
        <v>0</v>
      </c>
      <c r="DL4753">
        <v>0</v>
      </c>
      <c r="DM4753">
        <v>0</v>
      </c>
      <c r="DN4753">
        <v>1</v>
      </c>
      <c r="DO4753">
        <v>0</v>
      </c>
      <c r="DP4753">
        <v>0</v>
      </c>
      <c r="DQ4753">
        <v>0</v>
      </c>
      <c r="DR4753">
        <v>0</v>
      </c>
      <c r="DS4753">
        <v>0</v>
      </c>
    </row>
    <row r="4754" spans="1:123" x14ac:dyDescent="0.3">
      <c r="A4754" t="str">
        <f>"10/04/2022 19:38:16.200"</f>
        <v>10/04/2022 19:38:16.200</v>
      </c>
      <c r="C4754" t="str">
        <f t="shared" si="1744"/>
        <v>FFDFD3C0</v>
      </c>
      <c r="D4754" t="s">
        <v>141</v>
      </c>
      <c r="E4754">
        <v>3</v>
      </c>
      <c r="H4754">
        <v>3</v>
      </c>
      <c r="I4754" t="s">
        <v>146</v>
      </c>
      <c r="J4754" t="s">
        <v>138</v>
      </c>
      <c r="K4754">
        <v>0</v>
      </c>
      <c r="L4754">
        <v>3</v>
      </c>
      <c r="M4754">
        <v>0</v>
      </c>
      <c r="N4754">
        <v>2</v>
      </c>
      <c r="O4754">
        <v>0</v>
      </c>
      <c r="P4754">
        <v>1</v>
      </c>
      <c r="Q4754">
        <v>0</v>
      </c>
      <c r="S4754" t="str">
        <f t="shared" si="1757"/>
        <v>19:38:15.000</v>
      </c>
      <c r="T4754" t="str">
        <f t="shared" si="1757"/>
        <v>19:38:15.000</v>
      </c>
      <c r="U4754" t="str">
        <f t="shared" si="1752"/>
        <v>AC3944</v>
      </c>
      <c r="V4754">
        <v>0</v>
      </c>
      <c r="W4754">
        <v>0</v>
      </c>
      <c r="X4754">
        <v>2</v>
      </c>
      <c r="Y4754">
        <v>0</v>
      </c>
      <c r="AA4754">
        <v>1</v>
      </c>
      <c r="AB4754">
        <v>8</v>
      </c>
      <c r="AC4754">
        <v>3</v>
      </c>
      <c r="AD4754">
        <v>0</v>
      </c>
      <c r="AE4754">
        <v>9</v>
      </c>
      <c r="AF4754" t="s">
        <v>138</v>
      </c>
      <c r="AG4754">
        <v>0</v>
      </c>
      <c r="AH4754">
        <v>3</v>
      </c>
      <c r="AI4754">
        <v>1</v>
      </c>
      <c r="AJ4754">
        <v>0</v>
      </c>
      <c r="AK4754" t="s">
        <v>1489</v>
      </c>
      <c r="AL4754">
        <v>32.715032000000001</v>
      </c>
      <c r="AM4754" t="s">
        <v>1490</v>
      </c>
      <c r="AN4754">
        <v>-116.748662</v>
      </c>
      <c r="AO4754">
        <v>25</v>
      </c>
      <c r="AP4754">
        <v>3900</v>
      </c>
      <c r="AQ4754" t="s">
        <v>129</v>
      </c>
      <c r="AR4754">
        <v>-156</v>
      </c>
      <c r="AS4754">
        <v>-98</v>
      </c>
      <c r="AT4754">
        <v>-1920</v>
      </c>
      <c r="BB4754">
        <v>1200</v>
      </c>
      <c r="BC4754">
        <v>1</v>
      </c>
      <c r="BD4754" t="str">
        <f t="shared" si="1753"/>
        <v xml:space="preserve">N887QR  </v>
      </c>
      <c r="BE4754">
        <v>1</v>
      </c>
      <c r="BG4754">
        <v>0</v>
      </c>
      <c r="BH4754">
        <v>0</v>
      </c>
      <c r="BI4754">
        <v>0</v>
      </c>
      <c r="BJ4754">
        <v>3425</v>
      </c>
      <c r="BK4754">
        <v>-475</v>
      </c>
      <c r="BL4754" t="s">
        <v>163</v>
      </c>
      <c r="BM4754">
        <v>1</v>
      </c>
      <c r="BN4754">
        <v>1</v>
      </c>
      <c r="BO4754">
        <v>1</v>
      </c>
      <c r="BP4754">
        <v>0</v>
      </c>
      <c r="BS4754">
        <v>0</v>
      </c>
      <c r="BT4754">
        <v>0</v>
      </c>
      <c r="BU4754">
        <v>0</v>
      </c>
      <c r="CE4754" t="str">
        <f t="shared" si="1759"/>
        <v>19:38:15.982</v>
      </c>
      <c r="CF4754">
        <v>981597310</v>
      </c>
      <c r="CS4754">
        <v>0</v>
      </c>
      <c r="CT4754">
        <v>2</v>
      </c>
      <c r="CU4754">
        <v>0</v>
      </c>
      <c r="CV4754">
        <v>2</v>
      </c>
      <c r="CW4754">
        <v>0</v>
      </c>
      <c r="CX4754">
        <v>6</v>
      </c>
      <c r="CY4754">
        <v>7</v>
      </c>
      <c r="CZ4754" t="s">
        <v>131</v>
      </c>
      <c r="DA4754">
        <v>286</v>
      </c>
      <c r="DB4754">
        <v>0</v>
      </c>
      <c r="DC4754" t="s">
        <v>132</v>
      </c>
      <c r="DD4754" t="s">
        <v>133</v>
      </c>
      <c r="DG4754">
        <v>924913</v>
      </c>
      <c r="DI4754">
        <v>1</v>
      </c>
      <c r="DJ4754">
        <v>0</v>
      </c>
      <c r="DK4754">
        <v>1</v>
      </c>
      <c r="DL4754">
        <v>0</v>
      </c>
      <c r="DM4754">
        <v>0</v>
      </c>
      <c r="DN4754">
        <v>1</v>
      </c>
      <c r="DO4754">
        <v>0</v>
      </c>
      <c r="DP4754">
        <v>0</v>
      </c>
      <c r="DQ4754">
        <v>0</v>
      </c>
      <c r="DR4754">
        <v>0</v>
      </c>
      <c r="DS4754">
        <v>0</v>
      </c>
    </row>
    <row r="4755" spans="1:123" x14ac:dyDescent="0.3">
      <c r="A4755" t="str">
        <f>"10/04/2022 19:38:16.231"</f>
        <v>10/04/2022 19:38:16.231</v>
      </c>
      <c r="C4755" t="str">
        <f t="shared" si="1744"/>
        <v>FFDFD3C0</v>
      </c>
      <c r="D4755" t="s">
        <v>141</v>
      </c>
      <c r="E4755">
        <v>4</v>
      </c>
      <c r="H4755">
        <v>4</v>
      </c>
      <c r="I4755" t="s">
        <v>142</v>
      </c>
      <c r="J4755" t="s">
        <v>138</v>
      </c>
      <c r="K4755">
        <v>0</v>
      </c>
      <c r="L4755">
        <v>3</v>
      </c>
      <c r="M4755">
        <v>0</v>
      </c>
      <c r="N4755">
        <v>2</v>
      </c>
      <c r="O4755">
        <v>0</v>
      </c>
      <c r="P4755">
        <v>1</v>
      </c>
      <c r="Q4755">
        <v>0</v>
      </c>
      <c r="S4755" t="str">
        <f t="shared" si="1757"/>
        <v>19:38:15.000</v>
      </c>
      <c r="T4755" t="str">
        <f t="shared" si="1757"/>
        <v>19:38:15.000</v>
      </c>
      <c r="U4755" t="str">
        <f t="shared" si="1752"/>
        <v>AC3944</v>
      </c>
      <c r="V4755">
        <v>0</v>
      </c>
      <c r="W4755">
        <v>0</v>
      </c>
      <c r="X4755">
        <v>2</v>
      </c>
      <c r="Y4755">
        <v>0</v>
      </c>
      <c r="AA4755">
        <v>1</v>
      </c>
      <c r="AB4755">
        <v>8</v>
      </c>
      <c r="AC4755">
        <v>3</v>
      </c>
      <c r="AD4755">
        <v>0</v>
      </c>
      <c r="AE4755">
        <v>9</v>
      </c>
      <c r="AF4755" t="s">
        <v>138</v>
      </c>
      <c r="AG4755">
        <v>0</v>
      </c>
      <c r="AH4755">
        <v>3</v>
      </c>
      <c r="AI4755">
        <v>1</v>
      </c>
      <c r="AJ4755">
        <v>0</v>
      </c>
      <c r="AK4755" t="s">
        <v>1489</v>
      </c>
      <c r="AL4755">
        <v>32.715032000000001</v>
      </c>
      <c r="AM4755" t="s">
        <v>1490</v>
      </c>
      <c r="AN4755">
        <v>-116.748662</v>
      </c>
      <c r="AO4755">
        <v>25</v>
      </c>
      <c r="AP4755">
        <v>3900</v>
      </c>
      <c r="AQ4755" t="s">
        <v>129</v>
      </c>
      <c r="AR4755">
        <v>-156</v>
      </c>
      <c r="AS4755">
        <v>-98</v>
      </c>
      <c r="AT4755">
        <v>-1920</v>
      </c>
      <c r="BB4755">
        <v>1200</v>
      </c>
      <c r="BC4755">
        <v>1</v>
      </c>
      <c r="BD4755" t="str">
        <f t="shared" si="1753"/>
        <v xml:space="preserve">N887QR  </v>
      </c>
      <c r="BE4755">
        <v>1</v>
      </c>
      <c r="BG4755">
        <v>0</v>
      </c>
      <c r="BH4755">
        <v>0</v>
      </c>
      <c r="BI4755">
        <v>0</v>
      </c>
      <c r="BJ4755">
        <v>3425</v>
      </c>
      <c r="BK4755">
        <v>-475</v>
      </c>
      <c r="BL4755" t="s">
        <v>163</v>
      </c>
      <c r="BM4755">
        <v>1</v>
      </c>
      <c r="BN4755">
        <v>1</v>
      </c>
      <c r="BO4755">
        <v>1</v>
      </c>
      <c r="BP4755">
        <v>0</v>
      </c>
      <c r="BS4755">
        <v>0</v>
      </c>
      <c r="BT4755">
        <v>0</v>
      </c>
      <c r="BU4755">
        <v>0</v>
      </c>
      <c r="CE4755" t="str">
        <f t="shared" si="1759"/>
        <v>19:38:15.982</v>
      </c>
      <c r="CF4755">
        <v>981597310</v>
      </c>
      <c r="CS4755">
        <v>0</v>
      </c>
      <c r="CT4755">
        <v>2</v>
      </c>
      <c r="CU4755">
        <v>0</v>
      </c>
      <c r="CV4755">
        <v>2</v>
      </c>
      <c r="CW4755">
        <v>0</v>
      </c>
      <c r="CX4755">
        <v>6</v>
      </c>
      <c r="CY4755">
        <v>7</v>
      </c>
      <c r="CZ4755" t="s">
        <v>131</v>
      </c>
      <c r="DA4755">
        <v>286</v>
      </c>
      <c r="DB4755">
        <v>0</v>
      </c>
      <c r="DC4755" t="s">
        <v>132</v>
      </c>
      <c r="DD4755" t="s">
        <v>133</v>
      </c>
      <c r="DG4755">
        <v>924913</v>
      </c>
      <c r="DI4755">
        <v>1</v>
      </c>
      <c r="DJ4755">
        <v>0</v>
      </c>
      <c r="DK4755">
        <v>1</v>
      </c>
      <c r="DL4755">
        <v>0</v>
      </c>
      <c r="DM4755">
        <v>0</v>
      </c>
      <c r="DN4755">
        <v>1</v>
      </c>
      <c r="DO4755">
        <v>0</v>
      </c>
      <c r="DP4755">
        <v>0</v>
      </c>
      <c r="DQ4755">
        <v>0</v>
      </c>
      <c r="DR4755">
        <v>0</v>
      </c>
      <c r="DS4755">
        <v>0</v>
      </c>
    </row>
    <row r="4756" spans="1:123" x14ac:dyDescent="0.3">
      <c r="A4756" t="str">
        <f>"10/04/2022 19:38:16.231"</f>
        <v>10/04/2022 19:38:16.231</v>
      </c>
      <c r="C4756" t="str">
        <f t="shared" si="1744"/>
        <v>FFDFD3C0</v>
      </c>
      <c r="D4756" t="s">
        <v>134</v>
      </c>
      <c r="E4756">
        <v>15</v>
      </c>
      <c r="J4756" t="s">
        <v>135</v>
      </c>
      <c r="K4756">
        <v>0</v>
      </c>
      <c r="L4756">
        <v>3</v>
      </c>
      <c r="M4756">
        <v>0</v>
      </c>
      <c r="N4756">
        <v>2</v>
      </c>
      <c r="O4756">
        <v>0</v>
      </c>
      <c r="P4756">
        <v>1</v>
      </c>
      <c r="Q4756">
        <v>0</v>
      </c>
      <c r="S4756" t="str">
        <f t="shared" si="1757"/>
        <v>19:38:15.000</v>
      </c>
      <c r="T4756" t="str">
        <f t="shared" si="1757"/>
        <v>19:38:15.000</v>
      </c>
      <c r="U4756" t="str">
        <f t="shared" si="1752"/>
        <v>AC3944</v>
      </c>
      <c r="V4756">
        <v>0</v>
      </c>
      <c r="W4756">
        <v>0</v>
      </c>
      <c r="X4756">
        <v>2</v>
      </c>
      <c r="Y4756">
        <v>0</v>
      </c>
      <c r="AA4756">
        <v>1</v>
      </c>
      <c r="AB4756">
        <v>8</v>
      </c>
      <c r="AC4756">
        <v>3</v>
      </c>
      <c r="AD4756">
        <v>0</v>
      </c>
      <c r="AE4756">
        <v>9</v>
      </c>
      <c r="AF4756" t="s">
        <v>138</v>
      </c>
      <c r="AG4756">
        <v>0</v>
      </c>
      <c r="AH4756">
        <v>3</v>
      </c>
      <c r="AI4756">
        <v>1</v>
      </c>
      <c r="AJ4756">
        <v>0</v>
      </c>
      <c r="AK4756" t="s">
        <v>1489</v>
      </c>
      <c r="AL4756">
        <v>32.715032000000001</v>
      </c>
      <c r="AM4756" t="s">
        <v>1490</v>
      </c>
      <c r="AN4756">
        <v>-116.748662</v>
      </c>
      <c r="AO4756">
        <v>25</v>
      </c>
      <c r="AP4756">
        <v>3900</v>
      </c>
      <c r="AQ4756" t="s">
        <v>129</v>
      </c>
      <c r="AR4756">
        <v>-156</v>
      </c>
      <c r="AS4756">
        <v>-98</v>
      </c>
      <c r="AT4756">
        <v>-1920</v>
      </c>
      <c r="BB4756">
        <v>1200</v>
      </c>
      <c r="BC4756">
        <v>1</v>
      </c>
      <c r="BD4756" t="str">
        <f t="shared" si="1753"/>
        <v xml:space="preserve">N887QR  </v>
      </c>
      <c r="BE4756">
        <v>1</v>
      </c>
      <c r="BG4756">
        <v>0</v>
      </c>
      <c r="BH4756">
        <v>0</v>
      </c>
      <c r="BI4756">
        <v>0</v>
      </c>
      <c r="BJ4756">
        <v>3425</v>
      </c>
      <c r="BK4756">
        <v>-475</v>
      </c>
      <c r="BL4756" t="s">
        <v>163</v>
      </c>
      <c r="BM4756">
        <v>1</v>
      </c>
      <c r="BN4756">
        <v>1</v>
      </c>
      <c r="BO4756">
        <v>1</v>
      </c>
      <c r="BP4756">
        <v>0</v>
      </c>
      <c r="BS4756">
        <v>0</v>
      </c>
      <c r="BT4756">
        <v>0</v>
      </c>
      <c r="BU4756">
        <v>0</v>
      </c>
      <c r="CE4756" t="str">
        <f t="shared" si="1759"/>
        <v>19:38:15.982</v>
      </c>
      <c r="CF4756">
        <v>981597310</v>
      </c>
      <c r="CS4756">
        <v>0</v>
      </c>
      <c r="CT4756">
        <v>2</v>
      </c>
      <c r="CU4756">
        <v>0</v>
      </c>
      <c r="CV4756">
        <v>2</v>
      </c>
      <c r="CW4756">
        <v>0</v>
      </c>
      <c r="CX4756">
        <v>6</v>
      </c>
      <c r="CY4756">
        <v>7</v>
      </c>
      <c r="CZ4756" t="s">
        <v>131</v>
      </c>
      <c r="DA4756">
        <v>286</v>
      </c>
      <c r="DB4756">
        <v>0</v>
      </c>
      <c r="DC4756" t="s">
        <v>132</v>
      </c>
      <c r="DD4756" t="s">
        <v>133</v>
      </c>
      <c r="DG4756">
        <v>924913</v>
      </c>
      <c r="DI4756">
        <v>1</v>
      </c>
      <c r="DJ4756">
        <v>0</v>
      </c>
      <c r="DK4756">
        <v>1</v>
      </c>
      <c r="DL4756">
        <v>0</v>
      </c>
      <c r="DM4756">
        <v>0</v>
      </c>
      <c r="DN4756">
        <v>1</v>
      </c>
      <c r="DO4756">
        <v>0</v>
      </c>
      <c r="DP4756">
        <v>0</v>
      </c>
      <c r="DQ4756">
        <v>0</v>
      </c>
      <c r="DR4756">
        <v>0</v>
      </c>
      <c r="DS4756">
        <v>0</v>
      </c>
    </row>
    <row r="4757" spans="1:123" x14ac:dyDescent="0.3">
      <c r="A4757" t="str">
        <f>"10/04/2022 19:38:16.231"</f>
        <v>10/04/2022 19:38:16.231</v>
      </c>
      <c r="C4757" t="str">
        <f t="shared" si="1744"/>
        <v>FFDFD3C0</v>
      </c>
      <c r="D4757" t="s">
        <v>143</v>
      </c>
      <c r="E4757">
        <v>20</v>
      </c>
      <c r="F4757">
        <v>1020</v>
      </c>
      <c r="G4757" t="s">
        <v>144</v>
      </c>
      <c r="J4757" t="s">
        <v>145</v>
      </c>
      <c r="K4757">
        <v>0</v>
      </c>
      <c r="L4757">
        <v>3</v>
      </c>
      <c r="M4757">
        <v>0</v>
      </c>
      <c r="N4757">
        <v>2</v>
      </c>
      <c r="O4757">
        <v>0</v>
      </c>
      <c r="P4757">
        <v>1</v>
      </c>
      <c r="Q4757">
        <v>0</v>
      </c>
      <c r="S4757" t="str">
        <f t="shared" si="1757"/>
        <v>19:38:15.000</v>
      </c>
      <c r="T4757" t="str">
        <f t="shared" si="1757"/>
        <v>19:38:15.000</v>
      </c>
      <c r="U4757" t="str">
        <f t="shared" si="1752"/>
        <v>AC3944</v>
      </c>
      <c r="V4757">
        <v>0</v>
      </c>
      <c r="W4757">
        <v>0</v>
      </c>
      <c r="X4757">
        <v>2</v>
      </c>
      <c r="Y4757">
        <v>0</v>
      </c>
      <c r="AA4757">
        <v>1</v>
      </c>
      <c r="AB4757">
        <v>8</v>
      </c>
      <c r="AC4757">
        <v>3</v>
      </c>
      <c r="AD4757">
        <v>0</v>
      </c>
      <c r="AE4757">
        <v>9</v>
      </c>
      <c r="AF4757" t="s">
        <v>138</v>
      </c>
      <c r="AG4757">
        <v>0</v>
      </c>
      <c r="AH4757">
        <v>3</v>
      </c>
      <c r="AI4757">
        <v>1</v>
      </c>
      <c r="AJ4757">
        <v>0</v>
      </c>
      <c r="AK4757" t="s">
        <v>1489</v>
      </c>
      <c r="AL4757">
        <v>32.715032000000001</v>
      </c>
      <c r="AM4757" t="s">
        <v>1490</v>
      </c>
      <c r="AN4757">
        <v>-116.748662</v>
      </c>
      <c r="AO4757">
        <v>25</v>
      </c>
      <c r="AP4757">
        <v>3900</v>
      </c>
      <c r="AQ4757" t="s">
        <v>129</v>
      </c>
      <c r="AR4757">
        <v>-156</v>
      </c>
      <c r="AS4757">
        <v>-98</v>
      </c>
      <c r="AT4757">
        <v>-1920</v>
      </c>
      <c r="BB4757">
        <v>1200</v>
      </c>
      <c r="BC4757">
        <v>1</v>
      </c>
      <c r="BD4757" t="str">
        <f t="shared" si="1753"/>
        <v xml:space="preserve">N887QR  </v>
      </c>
      <c r="BE4757">
        <v>1</v>
      </c>
      <c r="BG4757">
        <v>0</v>
      </c>
      <c r="BH4757">
        <v>0</v>
      </c>
      <c r="BI4757">
        <v>0</v>
      </c>
      <c r="BJ4757">
        <v>3425</v>
      </c>
      <c r="BK4757">
        <v>-475</v>
      </c>
      <c r="BL4757" t="s">
        <v>163</v>
      </c>
      <c r="BM4757">
        <v>1</v>
      </c>
      <c r="BN4757">
        <v>1</v>
      </c>
      <c r="BO4757">
        <v>1</v>
      </c>
      <c r="BP4757">
        <v>0</v>
      </c>
      <c r="BS4757">
        <v>0</v>
      </c>
      <c r="BT4757">
        <v>0</v>
      </c>
      <c r="BU4757">
        <v>0</v>
      </c>
      <c r="CE4757" t="str">
        <f t="shared" si="1759"/>
        <v>19:38:15.982</v>
      </c>
      <c r="CF4757">
        <v>981597310</v>
      </c>
      <c r="CS4757">
        <v>0</v>
      </c>
      <c r="CT4757">
        <v>2</v>
      </c>
      <c r="CU4757">
        <v>0</v>
      </c>
      <c r="CV4757">
        <v>2</v>
      </c>
      <c r="CW4757">
        <v>0</v>
      </c>
      <c r="CX4757">
        <v>6</v>
      </c>
      <c r="CY4757">
        <v>7</v>
      </c>
      <c r="CZ4757" t="s">
        <v>131</v>
      </c>
      <c r="DA4757">
        <v>286</v>
      </c>
      <c r="DB4757">
        <v>0</v>
      </c>
      <c r="DC4757" t="s">
        <v>132</v>
      </c>
      <c r="DD4757" t="s">
        <v>133</v>
      </c>
      <c r="DG4757">
        <v>924913</v>
      </c>
      <c r="DI4757">
        <v>1</v>
      </c>
      <c r="DJ4757">
        <v>0</v>
      </c>
      <c r="DK4757">
        <v>1</v>
      </c>
      <c r="DL4757">
        <v>0</v>
      </c>
      <c r="DM4757">
        <v>0</v>
      </c>
      <c r="DN4757">
        <v>1</v>
      </c>
      <c r="DO4757">
        <v>0</v>
      </c>
      <c r="DP4757">
        <v>0</v>
      </c>
      <c r="DQ4757">
        <v>0</v>
      </c>
      <c r="DR4757">
        <v>0</v>
      </c>
      <c r="DS4757">
        <v>0</v>
      </c>
    </row>
    <row r="4758" spans="1:123" x14ac:dyDescent="0.3">
      <c r="A4758" t="str">
        <f>"10/04/2022 19:38:16.231"</f>
        <v>10/04/2022 19:38:16.231</v>
      </c>
      <c r="C4758" t="str">
        <f t="shared" si="1744"/>
        <v>FFDFD3C0</v>
      </c>
      <c r="D4758" t="s">
        <v>123</v>
      </c>
      <c r="E4758">
        <v>7</v>
      </c>
      <c r="F4758">
        <v>2007</v>
      </c>
      <c r="G4758" t="s">
        <v>124</v>
      </c>
      <c r="J4758" t="s">
        <v>125</v>
      </c>
      <c r="K4758">
        <v>0</v>
      </c>
      <c r="L4758">
        <v>3</v>
      </c>
      <c r="M4758">
        <v>0</v>
      </c>
      <c r="N4758">
        <v>2</v>
      </c>
      <c r="O4758">
        <v>0</v>
      </c>
      <c r="P4758">
        <v>1</v>
      </c>
      <c r="Q4758">
        <v>0</v>
      </c>
      <c r="S4758" t="str">
        <f t="shared" si="1757"/>
        <v>19:38:15.000</v>
      </c>
      <c r="T4758" t="str">
        <f t="shared" si="1757"/>
        <v>19:38:15.000</v>
      </c>
      <c r="U4758" t="str">
        <f t="shared" si="1752"/>
        <v>AC3944</v>
      </c>
      <c r="V4758">
        <v>0</v>
      </c>
      <c r="W4758">
        <v>0</v>
      </c>
      <c r="X4758">
        <v>2</v>
      </c>
      <c r="Y4758">
        <v>0</v>
      </c>
      <c r="AA4758">
        <v>1</v>
      </c>
      <c r="AB4758">
        <v>8</v>
      </c>
      <c r="AC4758">
        <v>3</v>
      </c>
      <c r="AD4758">
        <v>0</v>
      </c>
      <c r="AE4758">
        <v>9</v>
      </c>
      <c r="AF4758" t="s">
        <v>138</v>
      </c>
      <c r="AG4758">
        <v>0</v>
      </c>
      <c r="AH4758">
        <v>3</v>
      </c>
      <c r="AI4758">
        <v>1</v>
      </c>
      <c r="AJ4758">
        <v>0</v>
      </c>
      <c r="AK4758" t="s">
        <v>1489</v>
      </c>
      <c r="AL4758">
        <v>32.715032000000001</v>
      </c>
      <c r="AM4758" t="s">
        <v>1490</v>
      </c>
      <c r="AN4758">
        <v>-116.748662</v>
      </c>
      <c r="AO4758">
        <v>25</v>
      </c>
      <c r="AP4758">
        <v>3900</v>
      </c>
      <c r="AQ4758" t="s">
        <v>129</v>
      </c>
      <c r="AR4758">
        <v>-156</v>
      </c>
      <c r="AS4758">
        <v>-98</v>
      </c>
      <c r="AT4758">
        <v>-1920</v>
      </c>
      <c r="BB4758">
        <v>1200</v>
      </c>
      <c r="BC4758">
        <v>1</v>
      </c>
      <c r="BD4758" t="str">
        <f t="shared" si="1753"/>
        <v xml:space="preserve">N887QR  </v>
      </c>
      <c r="BE4758">
        <v>1</v>
      </c>
      <c r="BG4758">
        <v>0</v>
      </c>
      <c r="BH4758">
        <v>0</v>
      </c>
      <c r="BI4758">
        <v>0</v>
      </c>
      <c r="BJ4758">
        <v>3425</v>
      </c>
      <c r="BK4758">
        <v>-475</v>
      </c>
      <c r="BL4758" t="s">
        <v>163</v>
      </c>
      <c r="BM4758">
        <v>1</v>
      </c>
      <c r="BN4758">
        <v>1</v>
      </c>
      <c r="BO4758">
        <v>1</v>
      </c>
      <c r="BP4758">
        <v>0</v>
      </c>
      <c r="BS4758">
        <v>0</v>
      </c>
      <c r="BT4758">
        <v>0</v>
      </c>
      <c r="BU4758">
        <v>0</v>
      </c>
      <c r="CE4758" t="str">
        <f t="shared" si="1759"/>
        <v>19:38:15.982</v>
      </c>
      <c r="CF4758">
        <v>981597310</v>
      </c>
      <c r="CS4758">
        <v>0</v>
      </c>
      <c r="CT4758">
        <v>2</v>
      </c>
      <c r="CU4758">
        <v>0</v>
      </c>
      <c r="CV4758">
        <v>2</v>
      </c>
      <c r="CW4758">
        <v>0</v>
      </c>
      <c r="CX4758">
        <v>6</v>
      </c>
      <c r="CY4758">
        <v>7</v>
      </c>
      <c r="CZ4758" t="s">
        <v>131</v>
      </c>
      <c r="DA4758">
        <v>286</v>
      </c>
      <c r="DB4758">
        <v>0</v>
      </c>
      <c r="DC4758" t="s">
        <v>132</v>
      </c>
      <c r="DD4758" t="s">
        <v>133</v>
      </c>
      <c r="DG4758">
        <v>924913</v>
      </c>
      <c r="DI4758">
        <v>1</v>
      </c>
      <c r="DJ4758">
        <v>0</v>
      </c>
      <c r="DK4758">
        <v>1</v>
      </c>
      <c r="DL4758">
        <v>0</v>
      </c>
      <c r="DM4758">
        <v>0</v>
      </c>
      <c r="DN4758">
        <v>1</v>
      </c>
      <c r="DO4758">
        <v>0</v>
      </c>
      <c r="DP4758">
        <v>0</v>
      </c>
      <c r="DQ4758">
        <v>0</v>
      </c>
      <c r="DR4758">
        <v>0</v>
      </c>
      <c r="DS4758">
        <v>0</v>
      </c>
    </row>
    <row r="4759" spans="1:123" x14ac:dyDescent="0.3">
      <c r="A4759" t="str">
        <f>"10/04/2022 19:38:16.231"</f>
        <v>10/04/2022 19:38:16.231</v>
      </c>
      <c r="C4759" t="str">
        <f t="shared" si="1744"/>
        <v>FFDFD3C0</v>
      </c>
      <c r="D4759" t="s">
        <v>147</v>
      </c>
      <c r="E4759">
        <v>3</v>
      </c>
      <c r="H4759">
        <v>166</v>
      </c>
      <c r="I4759" t="s">
        <v>144</v>
      </c>
      <c r="J4759" t="s">
        <v>148</v>
      </c>
      <c r="K4759">
        <v>0</v>
      </c>
      <c r="L4759">
        <v>3</v>
      </c>
      <c r="M4759">
        <v>0</v>
      </c>
      <c r="N4759">
        <v>2</v>
      </c>
      <c r="O4759">
        <v>0</v>
      </c>
      <c r="P4759">
        <v>1</v>
      </c>
      <c r="Q4759">
        <v>0</v>
      </c>
      <c r="S4759" t="str">
        <f t="shared" si="1757"/>
        <v>19:38:15.000</v>
      </c>
      <c r="T4759" t="str">
        <f t="shared" si="1757"/>
        <v>19:38:15.000</v>
      </c>
      <c r="U4759" t="str">
        <f t="shared" si="1752"/>
        <v>AC3944</v>
      </c>
      <c r="V4759">
        <v>0</v>
      </c>
      <c r="W4759">
        <v>0</v>
      </c>
      <c r="X4759">
        <v>2</v>
      </c>
      <c r="Y4759">
        <v>0</v>
      </c>
      <c r="AA4759">
        <v>1</v>
      </c>
      <c r="AB4759">
        <v>8</v>
      </c>
      <c r="AC4759">
        <v>3</v>
      </c>
      <c r="AD4759">
        <v>0</v>
      </c>
      <c r="AE4759">
        <v>9</v>
      </c>
      <c r="AF4759" t="s">
        <v>138</v>
      </c>
      <c r="AG4759">
        <v>0</v>
      </c>
      <c r="AH4759">
        <v>3</v>
      </c>
      <c r="AI4759">
        <v>1</v>
      </c>
      <c r="AJ4759">
        <v>0</v>
      </c>
      <c r="AK4759" t="s">
        <v>1489</v>
      </c>
      <c r="AL4759">
        <v>32.715032000000001</v>
      </c>
      <c r="AM4759" t="s">
        <v>1490</v>
      </c>
      <c r="AN4759">
        <v>-116.748662</v>
      </c>
      <c r="AO4759">
        <v>25</v>
      </c>
      <c r="AP4759">
        <v>3900</v>
      </c>
      <c r="AQ4759" t="s">
        <v>129</v>
      </c>
      <c r="AR4759">
        <v>-156</v>
      </c>
      <c r="AS4759">
        <v>-98</v>
      </c>
      <c r="AT4759">
        <v>-1920</v>
      </c>
      <c r="BB4759">
        <v>1200</v>
      </c>
      <c r="BC4759">
        <v>1</v>
      </c>
      <c r="BD4759" t="str">
        <f t="shared" si="1753"/>
        <v xml:space="preserve">N887QR  </v>
      </c>
      <c r="BE4759">
        <v>1</v>
      </c>
      <c r="BG4759">
        <v>0</v>
      </c>
      <c r="BH4759">
        <v>0</v>
      </c>
      <c r="BI4759">
        <v>0</v>
      </c>
      <c r="BJ4759">
        <v>3425</v>
      </c>
      <c r="BK4759">
        <v>-475</v>
      </c>
      <c r="BL4759" t="s">
        <v>163</v>
      </c>
      <c r="BM4759">
        <v>1</v>
      </c>
      <c r="BN4759">
        <v>1</v>
      </c>
      <c r="BO4759">
        <v>1</v>
      </c>
      <c r="BP4759">
        <v>0</v>
      </c>
      <c r="BS4759">
        <v>0</v>
      </c>
      <c r="BT4759">
        <v>0</v>
      </c>
      <c r="BU4759">
        <v>0</v>
      </c>
      <c r="CE4759" t="str">
        <f t="shared" si="1759"/>
        <v>19:38:15.982</v>
      </c>
      <c r="CF4759">
        <v>981597310</v>
      </c>
      <c r="CS4759">
        <v>0</v>
      </c>
      <c r="CT4759">
        <v>2</v>
      </c>
      <c r="CU4759">
        <v>0</v>
      </c>
      <c r="CV4759">
        <v>2</v>
      </c>
      <c r="CW4759">
        <v>0</v>
      </c>
      <c r="CX4759">
        <v>6</v>
      </c>
      <c r="CY4759">
        <v>7</v>
      </c>
      <c r="CZ4759" t="s">
        <v>131</v>
      </c>
      <c r="DA4759">
        <v>286</v>
      </c>
      <c r="DB4759">
        <v>0</v>
      </c>
      <c r="DC4759" t="s">
        <v>132</v>
      </c>
      <c r="DD4759" t="s">
        <v>133</v>
      </c>
      <c r="DG4759">
        <v>924913</v>
      </c>
      <c r="DI4759">
        <v>1</v>
      </c>
      <c r="DJ4759">
        <v>0</v>
      </c>
      <c r="DK4759">
        <v>1</v>
      </c>
      <c r="DL4759">
        <v>0</v>
      </c>
      <c r="DM4759">
        <v>0</v>
      </c>
      <c r="DN4759">
        <v>1</v>
      </c>
      <c r="DO4759">
        <v>0</v>
      </c>
      <c r="DP4759">
        <v>0</v>
      </c>
      <c r="DQ4759">
        <v>0</v>
      </c>
      <c r="DR4759">
        <v>0</v>
      </c>
      <c r="DS4759">
        <v>0</v>
      </c>
    </row>
    <row r="4760" spans="1:123" x14ac:dyDescent="0.3">
      <c r="A4760" t="str">
        <f>"10/04/2022 19:38:17.199"</f>
        <v>10/04/2022 19:38:17.199</v>
      </c>
      <c r="C4760" t="str">
        <f t="shared" si="1744"/>
        <v>FFDFD3C0</v>
      </c>
      <c r="D4760" t="s">
        <v>147</v>
      </c>
      <c r="E4760">
        <v>3</v>
      </c>
      <c r="H4760">
        <v>166</v>
      </c>
      <c r="I4760" t="s">
        <v>144</v>
      </c>
      <c r="J4760" t="s">
        <v>148</v>
      </c>
      <c r="K4760">
        <v>0</v>
      </c>
      <c r="L4760">
        <v>3</v>
      </c>
      <c r="M4760">
        <v>0</v>
      </c>
      <c r="N4760">
        <v>2</v>
      </c>
      <c r="O4760">
        <v>0</v>
      </c>
      <c r="P4760">
        <v>1</v>
      </c>
      <c r="Q4760">
        <v>0</v>
      </c>
      <c r="S4760" t="str">
        <f t="shared" ref="S4760:T4766" si="1760">"19:38:16.000"</f>
        <v>19:38:16.000</v>
      </c>
      <c r="T4760" t="str">
        <f t="shared" si="1760"/>
        <v>19:38:16.000</v>
      </c>
      <c r="U4760" t="str">
        <f t="shared" si="1752"/>
        <v>AC3944</v>
      </c>
      <c r="V4760">
        <v>0</v>
      </c>
      <c r="W4760">
        <v>0</v>
      </c>
      <c r="X4760">
        <v>2</v>
      </c>
      <c r="Y4760">
        <v>0</v>
      </c>
      <c r="AA4760">
        <v>1</v>
      </c>
      <c r="AB4760">
        <v>8</v>
      </c>
      <c r="AC4760">
        <v>3</v>
      </c>
      <c r="AD4760">
        <v>0</v>
      </c>
      <c r="AE4760">
        <v>9</v>
      </c>
      <c r="AF4760" t="s">
        <v>138</v>
      </c>
      <c r="AG4760">
        <v>0</v>
      </c>
      <c r="AH4760">
        <v>3</v>
      </c>
      <c r="AI4760">
        <v>1</v>
      </c>
      <c r="AJ4760">
        <v>0</v>
      </c>
      <c r="AK4760" t="s">
        <v>1491</v>
      </c>
      <c r="AL4760">
        <v>32.714666999999999</v>
      </c>
      <c r="AM4760" t="s">
        <v>1492</v>
      </c>
      <c r="AN4760">
        <v>-116.74932699999999</v>
      </c>
      <c r="AO4760">
        <v>25</v>
      </c>
      <c r="AP4760">
        <v>3900</v>
      </c>
      <c r="AQ4760" t="s">
        <v>129</v>
      </c>
      <c r="AR4760">
        <v>-156</v>
      </c>
      <c r="AS4760">
        <v>-98</v>
      </c>
      <c r="AT4760">
        <v>-2048</v>
      </c>
      <c r="BB4760">
        <v>1200</v>
      </c>
      <c r="BC4760">
        <v>1</v>
      </c>
      <c r="BD4760" t="str">
        <f t="shared" si="1753"/>
        <v xml:space="preserve">N887QR  </v>
      </c>
      <c r="BE4760">
        <v>1</v>
      </c>
      <c r="BG4760">
        <v>0</v>
      </c>
      <c r="BH4760">
        <v>0</v>
      </c>
      <c r="BI4760">
        <v>0</v>
      </c>
      <c r="BJ4760">
        <v>3425</v>
      </c>
      <c r="BK4760">
        <v>-475</v>
      </c>
      <c r="BL4760" t="s">
        <v>163</v>
      </c>
      <c r="BM4760">
        <v>1</v>
      </c>
      <c r="BN4760">
        <v>1</v>
      </c>
      <c r="BO4760">
        <v>1</v>
      </c>
      <c r="BP4760">
        <v>0</v>
      </c>
      <c r="BS4760">
        <v>0</v>
      </c>
      <c r="BT4760">
        <v>0</v>
      </c>
      <c r="BU4760">
        <v>0</v>
      </c>
      <c r="CE4760" t="str">
        <f t="shared" ref="CE4760:CE4766" si="1761">"19:38:16.807"</f>
        <v>19:38:16.807</v>
      </c>
      <c r="CF4760">
        <v>807099747</v>
      </c>
      <c r="CS4760">
        <v>0</v>
      </c>
      <c r="CT4760">
        <v>2</v>
      </c>
      <c r="CU4760">
        <v>0</v>
      </c>
      <c r="CV4760">
        <v>2</v>
      </c>
      <c r="CW4760">
        <v>0</v>
      </c>
      <c r="CX4760">
        <v>6</v>
      </c>
      <c r="CY4760">
        <v>7</v>
      </c>
      <c r="CZ4760" t="s">
        <v>131</v>
      </c>
      <c r="DA4760">
        <v>286</v>
      </c>
      <c r="DB4760">
        <v>0</v>
      </c>
      <c r="DC4760" t="s">
        <v>132</v>
      </c>
      <c r="DD4760" t="s">
        <v>133</v>
      </c>
      <c r="DG4760">
        <v>925116</v>
      </c>
      <c r="DI4760">
        <v>1</v>
      </c>
      <c r="DJ4760">
        <v>0</v>
      </c>
      <c r="DK4760">
        <v>0</v>
      </c>
      <c r="DL4760">
        <v>0</v>
      </c>
      <c r="DM4760">
        <v>0</v>
      </c>
      <c r="DN4760">
        <v>1</v>
      </c>
      <c r="DO4760">
        <v>0</v>
      </c>
      <c r="DP4760">
        <v>0</v>
      </c>
      <c r="DQ4760">
        <v>0</v>
      </c>
      <c r="DR4760">
        <v>0</v>
      </c>
      <c r="DS4760">
        <v>0</v>
      </c>
    </row>
    <row r="4761" spans="1:123" x14ac:dyDescent="0.3">
      <c r="A4761" t="str">
        <f>"10/04/2022 19:38:17.199"</f>
        <v>10/04/2022 19:38:17.199</v>
      </c>
      <c r="C4761" t="str">
        <f t="shared" si="1744"/>
        <v>FFDFD3C0</v>
      </c>
      <c r="D4761" t="s">
        <v>136</v>
      </c>
      <c r="E4761">
        <v>8</v>
      </c>
      <c r="H4761">
        <v>225</v>
      </c>
      <c r="I4761" t="s">
        <v>137</v>
      </c>
      <c r="J4761" t="s">
        <v>138</v>
      </c>
      <c r="K4761">
        <v>0</v>
      </c>
      <c r="L4761">
        <v>3</v>
      </c>
      <c r="M4761">
        <v>0</v>
      </c>
      <c r="N4761">
        <v>2</v>
      </c>
      <c r="O4761">
        <v>0</v>
      </c>
      <c r="P4761">
        <v>1</v>
      </c>
      <c r="Q4761">
        <v>0</v>
      </c>
      <c r="S4761" t="str">
        <f t="shared" si="1760"/>
        <v>19:38:16.000</v>
      </c>
      <c r="T4761" t="str">
        <f t="shared" si="1760"/>
        <v>19:38:16.000</v>
      </c>
      <c r="U4761" t="str">
        <f t="shared" si="1752"/>
        <v>AC3944</v>
      </c>
      <c r="V4761">
        <v>0</v>
      </c>
      <c r="W4761">
        <v>0</v>
      </c>
      <c r="X4761">
        <v>2</v>
      </c>
      <c r="Y4761">
        <v>0</v>
      </c>
      <c r="AA4761">
        <v>1</v>
      </c>
      <c r="AB4761">
        <v>8</v>
      </c>
      <c r="AC4761">
        <v>3</v>
      </c>
      <c r="AD4761">
        <v>0</v>
      </c>
      <c r="AE4761">
        <v>9</v>
      </c>
      <c r="AF4761" t="s">
        <v>138</v>
      </c>
      <c r="AG4761">
        <v>0</v>
      </c>
      <c r="AH4761">
        <v>3</v>
      </c>
      <c r="AI4761">
        <v>1</v>
      </c>
      <c r="AJ4761">
        <v>0</v>
      </c>
      <c r="AK4761" t="s">
        <v>1491</v>
      </c>
      <c r="AL4761">
        <v>32.714666999999999</v>
      </c>
      <c r="AM4761" t="s">
        <v>1492</v>
      </c>
      <c r="AN4761">
        <v>-116.74932699999999</v>
      </c>
      <c r="AO4761">
        <v>25</v>
      </c>
      <c r="AP4761">
        <v>3900</v>
      </c>
      <c r="AQ4761" t="s">
        <v>129</v>
      </c>
      <c r="AR4761">
        <v>-156</v>
      </c>
      <c r="AS4761">
        <v>-98</v>
      </c>
      <c r="AT4761">
        <v>-2048</v>
      </c>
      <c r="BB4761">
        <v>1200</v>
      </c>
      <c r="BC4761">
        <v>1</v>
      </c>
      <c r="BD4761" t="str">
        <f t="shared" si="1753"/>
        <v xml:space="preserve">N887QR  </v>
      </c>
      <c r="BE4761">
        <v>1</v>
      </c>
      <c r="BG4761">
        <v>0</v>
      </c>
      <c r="BH4761">
        <v>0</v>
      </c>
      <c r="BI4761">
        <v>0</v>
      </c>
      <c r="BJ4761">
        <v>3425</v>
      </c>
      <c r="BK4761">
        <v>-475</v>
      </c>
      <c r="BL4761" t="s">
        <v>163</v>
      </c>
      <c r="BM4761">
        <v>1</v>
      </c>
      <c r="BN4761">
        <v>1</v>
      </c>
      <c r="BO4761">
        <v>1</v>
      </c>
      <c r="BP4761">
        <v>0</v>
      </c>
      <c r="BS4761">
        <v>0</v>
      </c>
      <c r="BT4761">
        <v>0</v>
      </c>
      <c r="BU4761">
        <v>0</v>
      </c>
      <c r="CE4761" t="str">
        <f t="shared" si="1761"/>
        <v>19:38:16.807</v>
      </c>
      <c r="CF4761">
        <v>807099747</v>
      </c>
      <c r="CS4761">
        <v>0</v>
      </c>
      <c r="CT4761">
        <v>2</v>
      </c>
      <c r="CU4761">
        <v>0</v>
      </c>
      <c r="CV4761">
        <v>2</v>
      </c>
      <c r="CW4761">
        <v>0</v>
      </c>
      <c r="CX4761">
        <v>6</v>
      </c>
      <c r="CY4761">
        <v>7</v>
      </c>
      <c r="CZ4761" t="s">
        <v>131</v>
      </c>
      <c r="DA4761">
        <v>286</v>
      </c>
      <c r="DB4761">
        <v>0</v>
      </c>
      <c r="DC4761" t="s">
        <v>132</v>
      </c>
      <c r="DD4761" t="s">
        <v>133</v>
      </c>
      <c r="DG4761">
        <v>925116</v>
      </c>
      <c r="DI4761">
        <v>1</v>
      </c>
      <c r="DJ4761">
        <v>0</v>
      </c>
      <c r="DK4761">
        <v>0</v>
      </c>
      <c r="DL4761">
        <v>0</v>
      </c>
      <c r="DM4761">
        <v>0</v>
      </c>
      <c r="DN4761">
        <v>1</v>
      </c>
      <c r="DO4761">
        <v>0</v>
      </c>
      <c r="DP4761">
        <v>0</v>
      </c>
      <c r="DQ4761">
        <v>0</v>
      </c>
      <c r="DR4761">
        <v>0</v>
      </c>
      <c r="DS4761">
        <v>0</v>
      </c>
    </row>
    <row r="4762" spans="1:123" x14ac:dyDescent="0.3">
      <c r="A4762" t="str">
        <f>"10/04/2022 19:38:17.199"</f>
        <v>10/04/2022 19:38:17.199</v>
      </c>
      <c r="C4762" t="str">
        <f t="shared" si="1744"/>
        <v>FFDFD3C0</v>
      </c>
      <c r="D4762" t="s">
        <v>141</v>
      </c>
      <c r="E4762">
        <v>3</v>
      </c>
      <c r="H4762">
        <v>3</v>
      </c>
      <c r="I4762" t="s">
        <v>146</v>
      </c>
      <c r="J4762" t="s">
        <v>138</v>
      </c>
      <c r="K4762">
        <v>0</v>
      </c>
      <c r="L4762">
        <v>3</v>
      </c>
      <c r="M4762">
        <v>0</v>
      </c>
      <c r="N4762">
        <v>2</v>
      </c>
      <c r="O4762">
        <v>0</v>
      </c>
      <c r="P4762">
        <v>1</v>
      </c>
      <c r="Q4762">
        <v>0</v>
      </c>
      <c r="S4762" t="str">
        <f t="shared" si="1760"/>
        <v>19:38:16.000</v>
      </c>
      <c r="T4762" t="str">
        <f t="shared" si="1760"/>
        <v>19:38:16.000</v>
      </c>
      <c r="U4762" t="str">
        <f t="shared" si="1752"/>
        <v>AC3944</v>
      </c>
      <c r="V4762">
        <v>0</v>
      </c>
      <c r="W4762">
        <v>0</v>
      </c>
      <c r="X4762">
        <v>2</v>
      </c>
      <c r="Y4762">
        <v>0</v>
      </c>
      <c r="AA4762">
        <v>1</v>
      </c>
      <c r="AB4762">
        <v>8</v>
      </c>
      <c r="AC4762">
        <v>3</v>
      </c>
      <c r="AD4762">
        <v>0</v>
      </c>
      <c r="AE4762">
        <v>9</v>
      </c>
      <c r="AF4762" t="s">
        <v>138</v>
      </c>
      <c r="AG4762">
        <v>0</v>
      </c>
      <c r="AH4762">
        <v>3</v>
      </c>
      <c r="AI4762">
        <v>1</v>
      </c>
      <c r="AJ4762">
        <v>0</v>
      </c>
      <c r="AK4762" t="s">
        <v>1491</v>
      </c>
      <c r="AL4762">
        <v>32.714666999999999</v>
      </c>
      <c r="AM4762" t="s">
        <v>1492</v>
      </c>
      <c r="AN4762">
        <v>-116.74932699999999</v>
      </c>
      <c r="AO4762">
        <v>25</v>
      </c>
      <c r="AP4762">
        <v>3900</v>
      </c>
      <c r="AQ4762" t="s">
        <v>129</v>
      </c>
      <c r="AR4762">
        <v>-156</v>
      </c>
      <c r="AS4762">
        <v>-98</v>
      </c>
      <c r="AT4762">
        <v>-2048</v>
      </c>
      <c r="BB4762">
        <v>1200</v>
      </c>
      <c r="BC4762">
        <v>1</v>
      </c>
      <c r="BD4762" t="str">
        <f t="shared" si="1753"/>
        <v xml:space="preserve">N887QR  </v>
      </c>
      <c r="BE4762">
        <v>1</v>
      </c>
      <c r="BG4762">
        <v>0</v>
      </c>
      <c r="BH4762">
        <v>0</v>
      </c>
      <c r="BI4762">
        <v>0</v>
      </c>
      <c r="BJ4762">
        <v>3425</v>
      </c>
      <c r="BK4762">
        <v>-475</v>
      </c>
      <c r="BL4762" t="s">
        <v>163</v>
      </c>
      <c r="BM4762">
        <v>1</v>
      </c>
      <c r="BN4762">
        <v>1</v>
      </c>
      <c r="BO4762">
        <v>1</v>
      </c>
      <c r="BP4762">
        <v>0</v>
      </c>
      <c r="BS4762">
        <v>0</v>
      </c>
      <c r="BT4762">
        <v>0</v>
      </c>
      <c r="BU4762">
        <v>0</v>
      </c>
      <c r="CE4762" t="str">
        <f t="shared" si="1761"/>
        <v>19:38:16.807</v>
      </c>
      <c r="CF4762">
        <v>807099747</v>
      </c>
      <c r="CS4762">
        <v>0</v>
      </c>
      <c r="CT4762">
        <v>2</v>
      </c>
      <c r="CU4762">
        <v>0</v>
      </c>
      <c r="CV4762">
        <v>2</v>
      </c>
      <c r="CW4762">
        <v>0</v>
      </c>
      <c r="CX4762">
        <v>6</v>
      </c>
      <c r="CY4762">
        <v>7</v>
      </c>
      <c r="CZ4762" t="s">
        <v>131</v>
      </c>
      <c r="DA4762">
        <v>286</v>
      </c>
      <c r="DB4762">
        <v>0</v>
      </c>
      <c r="DC4762" t="s">
        <v>132</v>
      </c>
      <c r="DD4762" t="s">
        <v>133</v>
      </c>
      <c r="DG4762">
        <v>925116</v>
      </c>
      <c r="DI4762">
        <v>1</v>
      </c>
      <c r="DJ4762">
        <v>0</v>
      </c>
      <c r="DK4762">
        <v>1</v>
      </c>
      <c r="DL4762">
        <v>0</v>
      </c>
      <c r="DM4762">
        <v>0</v>
      </c>
      <c r="DN4762">
        <v>1</v>
      </c>
      <c r="DO4762">
        <v>0</v>
      </c>
      <c r="DP4762">
        <v>0</v>
      </c>
      <c r="DQ4762">
        <v>0</v>
      </c>
      <c r="DR4762">
        <v>0</v>
      </c>
      <c r="DS4762">
        <v>0</v>
      </c>
    </row>
    <row r="4763" spans="1:123" x14ac:dyDescent="0.3">
      <c r="A4763" t="str">
        <f>"10/04/2022 19:38:17.199"</f>
        <v>10/04/2022 19:38:17.199</v>
      </c>
      <c r="C4763" t="str">
        <f t="shared" si="1744"/>
        <v>FFDFD3C0</v>
      </c>
      <c r="D4763" t="s">
        <v>141</v>
      </c>
      <c r="E4763">
        <v>4</v>
      </c>
      <c r="H4763">
        <v>4</v>
      </c>
      <c r="I4763" t="s">
        <v>142</v>
      </c>
      <c r="J4763" t="s">
        <v>138</v>
      </c>
      <c r="K4763">
        <v>0</v>
      </c>
      <c r="L4763">
        <v>3</v>
      </c>
      <c r="M4763">
        <v>0</v>
      </c>
      <c r="N4763">
        <v>2</v>
      </c>
      <c r="O4763">
        <v>0</v>
      </c>
      <c r="P4763">
        <v>1</v>
      </c>
      <c r="Q4763">
        <v>0</v>
      </c>
      <c r="S4763" t="str">
        <f t="shared" si="1760"/>
        <v>19:38:16.000</v>
      </c>
      <c r="T4763" t="str">
        <f t="shared" si="1760"/>
        <v>19:38:16.000</v>
      </c>
      <c r="U4763" t="str">
        <f t="shared" si="1752"/>
        <v>AC3944</v>
      </c>
      <c r="V4763">
        <v>0</v>
      </c>
      <c r="W4763">
        <v>0</v>
      </c>
      <c r="X4763">
        <v>2</v>
      </c>
      <c r="Y4763">
        <v>0</v>
      </c>
      <c r="AA4763">
        <v>1</v>
      </c>
      <c r="AB4763">
        <v>8</v>
      </c>
      <c r="AC4763">
        <v>3</v>
      </c>
      <c r="AD4763">
        <v>0</v>
      </c>
      <c r="AE4763">
        <v>9</v>
      </c>
      <c r="AF4763" t="s">
        <v>138</v>
      </c>
      <c r="AG4763">
        <v>0</v>
      </c>
      <c r="AH4763">
        <v>3</v>
      </c>
      <c r="AI4763">
        <v>1</v>
      </c>
      <c r="AJ4763">
        <v>0</v>
      </c>
      <c r="AK4763" t="s">
        <v>1491</v>
      </c>
      <c r="AL4763">
        <v>32.714666999999999</v>
      </c>
      <c r="AM4763" t="s">
        <v>1492</v>
      </c>
      <c r="AN4763">
        <v>-116.74932699999999</v>
      </c>
      <c r="AO4763">
        <v>25</v>
      </c>
      <c r="AP4763">
        <v>3900</v>
      </c>
      <c r="AQ4763" t="s">
        <v>129</v>
      </c>
      <c r="AR4763">
        <v>-156</v>
      </c>
      <c r="AS4763">
        <v>-98</v>
      </c>
      <c r="AT4763">
        <v>-2048</v>
      </c>
      <c r="BB4763">
        <v>1200</v>
      </c>
      <c r="BC4763">
        <v>1</v>
      </c>
      <c r="BD4763" t="str">
        <f t="shared" si="1753"/>
        <v xml:space="preserve">N887QR  </v>
      </c>
      <c r="BE4763">
        <v>1</v>
      </c>
      <c r="BG4763">
        <v>0</v>
      </c>
      <c r="BH4763">
        <v>0</v>
      </c>
      <c r="BI4763">
        <v>0</v>
      </c>
      <c r="BJ4763">
        <v>3425</v>
      </c>
      <c r="BK4763">
        <v>-475</v>
      </c>
      <c r="BL4763" t="s">
        <v>163</v>
      </c>
      <c r="BM4763">
        <v>1</v>
      </c>
      <c r="BN4763">
        <v>1</v>
      </c>
      <c r="BO4763">
        <v>1</v>
      </c>
      <c r="BP4763">
        <v>0</v>
      </c>
      <c r="BS4763">
        <v>0</v>
      </c>
      <c r="BT4763">
        <v>0</v>
      </c>
      <c r="BU4763">
        <v>0</v>
      </c>
      <c r="CE4763" t="str">
        <f t="shared" si="1761"/>
        <v>19:38:16.807</v>
      </c>
      <c r="CF4763">
        <v>807099747</v>
      </c>
      <c r="CS4763">
        <v>0</v>
      </c>
      <c r="CT4763">
        <v>2</v>
      </c>
      <c r="CU4763">
        <v>0</v>
      </c>
      <c r="CV4763">
        <v>2</v>
      </c>
      <c r="CW4763">
        <v>0</v>
      </c>
      <c r="CX4763">
        <v>6</v>
      </c>
      <c r="CY4763">
        <v>7</v>
      </c>
      <c r="CZ4763" t="s">
        <v>131</v>
      </c>
      <c r="DA4763">
        <v>286</v>
      </c>
      <c r="DB4763">
        <v>0</v>
      </c>
      <c r="DC4763" t="s">
        <v>132</v>
      </c>
      <c r="DD4763" t="s">
        <v>133</v>
      </c>
      <c r="DG4763">
        <v>925116</v>
      </c>
      <c r="DI4763">
        <v>1</v>
      </c>
      <c r="DJ4763">
        <v>0</v>
      </c>
      <c r="DK4763">
        <v>1</v>
      </c>
      <c r="DL4763">
        <v>0</v>
      </c>
      <c r="DM4763">
        <v>0</v>
      </c>
      <c r="DN4763">
        <v>1</v>
      </c>
      <c r="DO4763">
        <v>0</v>
      </c>
      <c r="DP4763">
        <v>0</v>
      </c>
      <c r="DQ4763">
        <v>0</v>
      </c>
      <c r="DR4763">
        <v>0</v>
      </c>
      <c r="DS4763">
        <v>0</v>
      </c>
    </row>
    <row r="4764" spans="1:123" x14ac:dyDescent="0.3">
      <c r="A4764" t="str">
        <f>"10/04/2022 19:38:17.230"</f>
        <v>10/04/2022 19:38:17.230</v>
      </c>
      <c r="C4764" t="str">
        <f t="shared" si="1744"/>
        <v>FFDFD3C0</v>
      </c>
      <c r="D4764" t="s">
        <v>143</v>
      </c>
      <c r="E4764">
        <v>20</v>
      </c>
      <c r="F4764">
        <v>1020</v>
      </c>
      <c r="G4764" t="s">
        <v>144</v>
      </c>
      <c r="J4764" t="s">
        <v>145</v>
      </c>
      <c r="K4764">
        <v>0</v>
      </c>
      <c r="L4764">
        <v>3</v>
      </c>
      <c r="M4764">
        <v>0</v>
      </c>
      <c r="N4764">
        <v>2</v>
      </c>
      <c r="O4764">
        <v>0</v>
      </c>
      <c r="P4764">
        <v>1</v>
      </c>
      <c r="Q4764">
        <v>0</v>
      </c>
      <c r="S4764" t="str">
        <f t="shared" si="1760"/>
        <v>19:38:16.000</v>
      </c>
      <c r="T4764" t="str">
        <f t="shared" si="1760"/>
        <v>19:38:16.000</v>
      </c>
      <c r="U4764" t="str">
        <f t="shared" si="1752"/>
        <v>AC3944</v>
      </c>
      <c r="V4764">
        <v>0</v>
      </c>
      <c r="W4764">
        <v>0</v>
      </c>
      <c r="X4764">
        <v>2</v>
      </c>
      <c r="Y4764">
        <v>0</v>
      </c>
      <c r="AA4764">
        <v>1</v>
      </c>
      <c r="AB4764">
        <v>8</v>
      </c>
      <c r="AC4764">
        <v>3</v>
      </c>
      <c r="AD4764">
        <v>0</v>
      </c>
      <c r="AE4764">
        <v>9</v>
      </c>
      <c r="AF4764" t="s">
        <v>138</v>
      </c>
      <c r="AG4764">
        <v>0</v>
      </c>
      <c r="AH4764">
        <v>3</v>
      </c>
      <c r="AI4764">
        <v>1</v>
      </c>
      <c r="AJ4764">
        <v>0</v>
      </c>
      <c r="AK4764" t="s">
        <v>1491</v>
      </c>
      <c r="AL4764">
        <v>32.714666999999999</v>
      </c>
      <c r="AM4764" t="s">
        <v>1492</v>
      </c>
      <c r="AN4764">
        <v>-116.74932699999999</v>
      </c>
      <c r="AO4764">
        <v>25</v>
      </c>
      <c r="AP4764">
        <v>3900</v>
      </c>
      <c r="AQ4764" t="s">
        <v>129</v>
      </c>
      <c r="AR4764">
        <v>-156</v>
      </c>
      <c r="AS4764">
        <v>-98</v>
      </c>
      <c r="AT4764">
        <v>-2048</v>
      </c>
      <c r="BB4764">
        <v>1200</v>
      </c>
      <c r="BC4764">
        <v>1</v>
      </c>
      <c r="BD4764" t="str">
        <f t="shared" si="1753"/>
        <v xml:space="preserve">N887QR  </v>
      </c>
      <c r="BE4764">
        <v>1</v>
      </c>
      <c r="BG4764">
        <v>0</v>
      </c>
      <c r="BH4764">
        <v>0</v>
      </c>
      <c r="BI4764">
        <v>0</v>
      </c>
      <c r="BJ4764">
        <v>3425</v>
      </c>
      <c r="BK4764">
        <v>-475</v>
      </c>
      <c r="BL4764" t="s">
        <v>163</v>
      </c>
      <c r="BM4764">
        <v>1</v>
      </c>
      <c r="BN4764">
        <v>1</v>
      </c>
      <c r="BO4764">
        <v>1</v>
      </c>
      <c r="BP4764">
        <v>0</v>
      </c>
      <c r="BS4764">
        <v>0</v>
      </c>
      <c r="BT4764">
        <v>0</v>
      </c>
      <c r="BU4764">
        <v>0</v>
      </c>
      <c r="CE4764" t="str">
        <f t="shared" si="1761"/>
        <v>19:38:16.807</v>
      </c>
      <c r="CF4764">
        <v>807099747</v>
      </c>
      <c r="CS4764">
        <v>0</v>
      </c>
      <c r="CT4764">
        <v>2</v>
      </c>
      <c r="CU4764">
        <v>0</v>
      </c>
      <c r="CV4764">
        <v>2</v>
      </c>
      <c r="CW4764">
        <v>0</v>
      </c>
      <c r="CX4764">
        <v>6</v>
      </c>
      <c r="CY4764">
        <v>7</v>
      </c>
      <c r="CZ4764" t="s">
        <v>131</v>
      </c>
      <c r="DA4764">
        <v>286</v>
      </c>
      <c r="DB4764">
        <v>0</v>
      </c>
      <c r="DC4764" t="s">
        <v>132</v>
      </c>
      <c r="DD4764" t="s">
        <v>133</v>
      </c>
      <c r="DG4764">
        <v>925116</v>
      </c>
      <c r="DI4764">
        <v>1</v>
      </c>
      <c r="DJ4764">
        <v>0</v>
      </c>
      <c r="DK4764">
        <v>1</v>
      </c>
      <c r="DL4764">
        <v>0</v>
      </c>
      <c r="DM4764">
        <v>0</v>
      </c>
      <c r="DN4764">
        <v>1</v>
      </c>
      <c r="DO4764">
        <v>0</v>
      </c>
      <c r="DP4764">
        <v>0</v>
      </c>
      <c r="DQ4764">
        <v>0</v>
      </c>
      <c r="DR4764">
        <v>0</v>
      </c>
      <c r="DS4764">
        <v>0</v>
      </c>
    </row>
    <row r="4765" spans="1:123" x14ac:dyDescent="0.3">
      <c r="A4765" t="str">
        <f>"10/04/2022 19:38:17.230"</f>
        <v>10/04/2022 19:38:17.230</v>
      </c>
      <c r="C4765" t="str">
        <f t="shared" si="1744"/>
        <v>FFDFD3C0</v>
      </c>
      <c r="D4765" t="s">
        <v>134</v>
      </c>
      <c r="E4765">
        <v>15</v>
      </c>
      <c r="J4765" t="s">
        <v>135</v>
      </c>
      <c r="K4765">
        <v>0</v>
      </c>
      <c r="L4765">
        <v>3</v>
      </c>
      <c r="M4765">
        <v>0</v>
      </c>
      <c r="N4765">
        <v>2</v>
      </c>
      <c r="O4765">
        <v>0</v>
      </c>
      <c r="P4765">
        <v>1</v>
      </c>
      <c r="Q4765">
        <v>0</v>
      </c>
      <c r="S4765" t="str">
        <f t="shared" si="1760"/>
        <v>19:38:16.000</v>
      </c>
      <c r="T4765" t="str">
        <f t="shared" si="1760"/>
        <v>19:38:16.000</v>
      </c>
      <c r="U4765" t="str">
        <f t="shared" si="1752"/>
        <v>AC3944</v>
      </c>
      <c r="V4765">
        <v>0</v>
      </c>
      <c r="W4765">
        <v>0</v>
      </c>
      <c r="X4765">
        <v>2</v>
      </c>
      <c r="Y4765">
        <v>0</v>
      </c>
      <c r="AA4765">
        <v>1</v>
      </c>
      <c r="AB4765">
        <v>8</v>
      </c>
      <c r="AC4765">
        <v>3</v>
      </c>
      <c r="AD4765">
        <v>0</v>
      </c>
      <c r="AE4765">
        <v>9</v>
      </c>
      <c r="AF4765" t="s">
        <v>138</v>
      </c>
      <c r="AG4765">
        <v>0</v>
      </c>
      <c r="AH4765">
        <v>3</v>
      </c>
      <c r="AI4765">
        <v>1</v>
      </c>
      <c r="AJ4765">
        <v>0</v>
      </c>
      <c r="AK4765" t="s">
        <v>1491</v>
      </c>
      <c r="AL4765">
        <v>32.714666999999999</v>
      </c>
      <c r="AM4765" t="s">
        <v>1492</v>
      </c>
      <c r="AN4765">
        <v>-116.74932699999999</v>
      </c>
      <c r="AO4765">
        <v>25</v>
      </c>
      <c r="AP4765">
        <v>3900</v>
      </c>
      <c r="AQ4765" t="s">
        <v>129</v>
      </c>
      <c r="AR4765">
        <v>-156</v>
      </c>
      <c r="AS4765">
        <v>-98</v>
      </c>
      <c r="AT4765">
        <v>-2048</v>
      </c>
      <c r="BB4765">
        <v>1200</v>
      </c>
      <c r="BC4765">
        <v>1</v>
      </c>
      <c r="BD4765" t="str">
        <f t="shared" si="1753"/>
        <v xml:space="preserve">N887QR  </v>
      </c>
      <c r="BE4765">
        <v>1</v>
      </c>
      <c r="BG4765">
        <v>0</v>
      </c>
      <c r="BH4765">
        <v>0</v>
      </c>
      <c r="BI4765">
        <v>0</v>
      </c>
      <c r="BJ4765">
        <v>3425</v>
      </c>
      <c r="BK4765">
        <v>-475</v>
      </c>
      <c r="BL4765" t="s">
        <v>163</v>
      </c>
      <c r="BM4765">
        <v>1</v>
      </c>
      <c r="BN4765">
        <v>1</v>
      </c>
      <c r="BO4765">
        <v>1</v>
      </c>
      <c r="BP4765">
        <v>0</v>
      </c>
      <c r="BS4765">
        <v>0</v>
      </c>
      <c r="BT4765">
        <v>0</v>
      </c>
      <c r="BU4765">
        <v>0</v>
      </c>
      <c r="CE4765" t="str">
        <f t="shared" si="1761"/>
        <v>19:38:16.807</v>
      </c>
      <c r="CF4765">
        <v>807099747</v>
      </c>
      <c r="CS4765">
        <v>0</v>
      </c>
      <c r="CT4765">
        <v>2</v>
      </c>
      <c r="CU4765">
        <v>0</v>
      </c>
      <c r="CV4765">
        <v>2</v>
      </c>
      <c r="CW4765">
        <v>0</v>
      </c>
      <c r="CX4765">
        <v>6</v>
      </c>
      <c r="CY4765">
        <v>7</v>
      </c>
      <c r="CZ4765" t="s">
        <v>131</v>
      </c>
      <c r="DA4765">
        <v>286</v>
      </c>
      <c r="DB4765">
        <v>0</v>
      </c>
      <c r="DC4765" t="s">
        <v>132</v>
      </c>
      <c r="DD4765" t="s">
        <v>133</v>
      </c>
      <c r="DG4765">
        <v>925116</v>
      </c>
      <c r="DI4765">
        <v>1</v>
      </c>
      <c r="DJ4765">
        <v>0</v>
      </c>
      <c r="DK4765">
        <v>1</v>
      </c>
      <c r="DL4765">
        <v>0</v>
      </c>
      <c r="DM4765">
        <v>0</v>
      </c>
      <c r="DN4765">
        <v>1</v>
      </c>
      <c r="DO4765">
        <v>0</v>
      </c>
      <c r="DP4765">
        <v>0</v>
      </c>
      <c r="DQ4765">
        <v>0</v>
      </c>
      <c r="DR4765">
        <v>0</v>
      </c>
      <c r="DS4765">
        <v>0</v>
      </c>
    </row>
    <row r="4766" spans="1:123" x14ac:dyDescent="0.3">
      <c r="A4766" t="str">
        <f>"10/04/2022 19:38:17.230"</f>
        <v>10/04/2022 19:38:17.230</v>
      </c>
      <c r="C4766" t="str">
        <f t="shared" si="1744"/>
        <v>FFDFD3C0</v>
      </c>
      <c r="D4766" t="s">
        <v>123</v>
      </c>
      <c r="E4766">
        <v>7</v>
      </c>
      <c r="F4766">
        <v>2007</v>
      </c>
      <c r="G4766" t="s">
        <v>124</v>
      </c>
      <c r="J4766" t="s">
        <v>125</v>
      </c>
      <c r="K4766">
        <v>0</v>
      </c>
      <c r="L4766">
        <v>3</v>
      </c>
      <c r="M4766">
        <v>0</v>
      </c>
      <c r="N4766">
        <v>2</v>
      </c>
      <c r="O4766">
        <v>0</v>
      </c>
      <c r="P4766">
        <v>1</v>
      </c>
      <c r="Q4766">
        <v>0</v>
      </c>
      <c r="S4766" t="str">
        <f t="shared" si="1760"/>
        <v>19:38:16.000</v>
      </c>
      <c r="T4766" t="str">
        <f t="shared" si="1760"/>
        <v>19:38:16.000</v>
      </c>
      <c r="U4766" t="str">
        <f t="shared" si="1752"/>
        <v>AC3944</v>
      </c>
      <c r="V4766">
        <v>0</v>
      </c>
      <c r="W4766">
        <v>0</v>
      </c>
      <c r="X4766">
        <v>2</v>
      </c>
      <c r="Y4766">
        <v>0</v>
      </c>
      <c r="AA4766">
        <v>1</v>
      </c>
      <c r="AB4766">
        <v>8</v>
      </c>
      <c r="AC4766">
        <v>3</v>
      </c>
      <c r="AD4766">
        <v>0</v>
      </c>
      <c r="AE4766">
        <v>9</v>
      </c>
      <c r="AF4766" t="s">
        <v>138</v>
      </c>
      <c r="AG4766">
        <v>0</v>
      </c>
      <c r="AH4766">
        <v>3</v>
      </c>
      <c r="AI4766">
        <v>1</v>
      </c>
      <c r="AJ4766">
        <v>0</v>
      </c>
      <c r="AK4766" t="s">
        <v>1491</v>
      </c>
      <c r="AL4766">
        <v>32.714666999999999</v>
      </c>
      <c r="AM4766" t="s">
        <v>1492</v>
      </c>
      <c r="AN4766">
        <v>-116.74932699999999</v>
      </c>
      <c r="AO4766">
        <v>25</v>
      </c>
      <c r="AP4766">
        <v>3900</v>
      </c>
      <c r="AQ4766" t="s">
        <v>129</v>
      </c>
      <c r="AR4766">
        <v>-156</v>
      </c>
      <c r="AS4766">
        <v>-98</v>
      </c>
      <c r="AT4766">
        <v>-2048</v>
      </c>
      <c r="BB4766">
        <v>1200</v>
      </c>
      <c r="BC4766">
        <v>1</v>
      </c>
      <c r="BD4766" t="str">
        <f t="shared" si="1753"/>
        <v xml:space="preserve">N887QR  </v>
      </c>
      <c r="BE4766">
        <v>1</v>
      </c>
      <c r="BG4766">
        <v>0</v>
      </c>
      <c r="BH4766">
        <v>0</v>
      </c>
      <c r="BI4766">
        <v>0</v>
      </c>
      <c r="BJ4766">
        <v>3425</v>
      </c>
      <c r="BK4766">
        <v>-475</v>
      </c>
      <c r="BL4766" t="s">
        <v>163</v>
      </c>
      <c r="BM4766">
        <v>1</v>
      </c>
      <c r="BN4766">
        <v>1</v>
      </c>
      <c r="BO4766">
        <v>1</v>
      </c>
      <c r="BP4766">
        <v>0</v>
      </c>
      <c r="BS4766">
        <v>0</v>
      </c>
      <c r="BT4766">
        <v>0</v>
      </c>
      <c r="BU4766">
        <v>0</v>
      </c>
      <c r="CE4766" t="str">
        <f t="shared" si="1761"/>
        <v>19:38:16.807</v>
      </c>
      <c r="CF4766">
        <v>807099747</v>
      </c>
      <c r="CS4766">
        <v>0</v>
      </c>
      <c r="CT4766">
        <v>2</v>
      </c>
      <c r="CU4766">
        <v>0</v>
      </c>
      <c r="CV4766">
        <v>2</v>
      </c>
      <c r="CW4766">
        <v>0</v>
      </c>
      <c r="CX4766">
        <v>6</v>
      </c>
      <c r="CY4766">
        <v>7</v>
      </c>
      <c r="CZ4766" t="s">
        <v>131</v>
      </c>
      <c r="DA4766">
        <v>286</v>
      </c>
      <c r="DB4766">
        <v>0</v>
      </c>
      <c r="DC4766" t="s">
        <v>132</v>
      </c>
      <c r="DD4766" t="s">
        <v>133</v>
      </c>
      <c r="DG4766">
        <v>925116</v>
      </c>
      <c r="DI4766">
        <v>1</v>
      </c>
      <c r="DJ4766">
        <v>0</v>
      </c>
      <c r="DK4766">
        <v>1</v>
      </c>
      <c r="DL4766">
        <v>0</v>
      </c>
      <c r="DM4766">
        <v>0</v>
      </c>
      <c r="DN4766">
        <v>1</v>
      </c>
      <c r="DO4766">
        <v>0</v>
      </c>
      <c r="DP4766">
        <v>0</v>
      </c>
      <c r="DQ4766">
        <v>0</v>
      </c>
      <c r="DR4766">
        <v>0</v>
      </c>
      <c r="DS4766">
        <v>0</v>
      </c>
    </row>
    <row r="4767" spans="1:123" x14ac:dyDescent="0.3">
      <c r="A4767" t="str">
        <f t="shared" ref="A4767:A4773" si="1762">"10/04/2022 19:38:18.777"</f>
        <v>10/04/2022 19:38:18.777</v>
      </c>
      <c r="C4767" t="str">
        <f t="shared" si="1744"/>
        <v>FFDFD3C0</v>
      </c>
      <c r="D4767" t="s">
        <v>147</v>
      </c>
      <c r="E4767">
        <v>3</v>
      </c>
      <c r="H4767">
        <v>166</v>
      </c>
      <c r="I4767" t="s">
        <v>144</v>
      </c>
      <c r="J4767" t="s">
        <v>148</v>
      </c>
      <c r="K4767">
        <v>0</v>
      </c>
      <c r="L4767">
        <v>3</v>
      </c>
      <c r="M4767">
        <v>0</v>
      </c>
      <c r="N4767">
        <v>2</v>
      </c>
      <c r="O4767">
        <v>0</v>
      </c>
      <c r="P4767">
        <v>1</v>
      </c>
      <c r="Q4767">
        <v>0</v>
      </c>
      <c r="S4767" t="str">
        <f t="shared" ref="S4767:T4773" si="1763">"19:38:18.000"</f>
        <v>19:38:18.000</v>
      </c>
      <c r="T4767" t="str">
        <f t="shared" si="1763"/>
        <v>19:38:18.000</v>
      </c>
      <c r="U4767" t="str">
        <f t="shared" si="1752"/>
        <v>AC3944</v>
      </c>
      <c r="V4767">
        <v>0</v>
      </c>
      <c r="W4767">
        <v>0</v>
      </c>
      <c r="X4767">
        <v>2</v>
      </c>
      <c r="Y4767">
        <v>0</v>
      </c>
      <c r="AA4767">
        <v>1</v>
      </c>
      <c r="AB4767">
        <v>8</v>
      </c>
      <c r="AC4767">
        <v>3</v>
      </c>
      <c r="AD4767">
        <v>0</v>
      </c>
      <c r="AE4767">
        <v>9</v>
      </c>
      <c r="AF4767" t="s">
        <v>138</v>
      </c>
      <c r="AG4767">
        <v>0</v>
      </c>
      <c r="AH4767">
        <v>3</v>
      </c>
      <c r="AI4767">
        <v>1</v>
      </c>
      <c r="AJ4767">
        <v>0</v>
      </c>
      <c r="AK4767" t="s">
        <v>1493</v>
      </c>
      <c r="AL4767">
        <v>32.714216999999998</v>
      </c>
      <c r="AM4767" t="s">
        <v>1494</v>
      </c>
      <c r="AN4767">
        <v>-116.750207</v>
      </c>
      <c r="AO4767">
        <v>25</v>
      </c>
      <c r="AP4767">
        <v>3900</v>
      </c>
      <c r="AQ4767" t="s">
        <v>129</v>
      </c>
      <c r="AR4767">
        <v>-156</v>
      </c>
      <c r="AS4767">
        <v>-99</v>
      </c>
      <c r="AT4767">
        <v>-2048</v>
      </c>
      <c r="BB4767">
        <v>1200</v>
      </c>
      <c r="BC4767">
        <v>1</v>
      </c>
      <c r="BD4767" t="str">
        <f t="shared" si="1753"/>
        <v xml:space="preserve">N887QR  </v>
      </c>
      <c r="BE4767">
        <v>1</v>
      </c>
      <c r="BG4767">
        <v>0</v>
      </c>
      <c r="BH4767">
        <v>0</v>
      </c>
      <c r="BI4767">
        <v>0</v>
      </c>
      <c r="BJ4767">
        <v>3350</v>
      </c>
      <c r="BK4767">
        <v>-550</v>
      </c>
      <c r="BL4767" t="s">
        <v>163</v>
      </c>
      <c r="BM4767">
        <v>1</v>
      </c>
      <c r="BN4767">
        <v>1</v>
      </c>
      <c r="BO4767">
        <v>1</v>
      </c>
      <c r="BP4767">
        <v>0</v>
      </c>
      <c r="BS4767">
        <v>0</v>
      </c>
      <c r="BT4767">
        <v>0</v>
      </c>
      <c r="BU4767">
        <v>0</v>
      </c>
      <c r="CE4767" t="str">
        <f t="shared" ref="CE4767:CE4773" si="1764">"19:38:18.465"</f>
        <v>19:38:18.465</v>
      </c>
      <c r="CF4767">
        <v>464604604</v>
      </c>
      <c r="CS4767">
        <v>0</v>
      </c>
      <c r="CT4767">
        <v>2</v>
      </c>
      <c r="CU4767">
        <v>0</v>
      </c>
      <c r="CV4767">
        <v>2</v>
      </c>
      <c r="CW4767">
        <v>0</v>
      </c>
      <c r="CX4767">
        <v>6</v>
      </c>
      <c r="CY4767">
        <v>7</v>
      </c>
      <c r="CZ4767" t="s">
        <v>131</v>
      </c>
      <c r="DA4767">
        <v>286</v>
      </c>
      <c r="DB4767">
        <v>0</v>
      </c>
      <c r="DC4767" t="s">
        <v>132</v>
      </c>
      <c r="DD4767" t="s">
        <v>133</v>
      </c>
      <c r="DG4767">
        <v>925543</v>
      </c>
      <c r="DI4767">
        <v>1</v>
      </c>
      <c r="DJ4767">
        <v>0</v>
      </c>
      <c r="DK4767">
        <v>0</v>
      </c>
      <c r="DL4767">
        <v>0</v>
      </c>
      <c r="DM4767">
        <v>0</v>
      </c>
      <c r="DN4767">
        <v>1</v>
      </c>
      <c r="DO4767">
        <v>0</v>
      </c>
      <c r="DP4767">
        <v>0</v>
      </c>
      <c r="DQ4767">
        <v>0</v>
      </c>
      <c r="DR4767">
        <v>0</v>
      </c>
      <c r="DS4767">
        <v>0</v>
      </c>
    </row>
    <row r="4768" spans="1:123" x14ac:dyDescent="0.3">
      <c r="A4768" t="str">
        <f t="shared" si="1762"/>
        <v>10/04/2022 19:38:18.777</v>
      </c>
      <c r="C4768" t="str">
        <f t="shared" si="1744"/>
        <v>FFDFD3C0</v>
      </c>
      <c r="D4768" t="s">
        <v>136</v>
      </c>
      <c r="E4768">
        <v>8</v>
      </c>
      <c r="H4768">
        <v>225</v>
      </c>
      <c r="I4768" t="s">
        <v>137</v>
      </c>
      <c r="J4768" t="s">
        <v>138</v>
      </c>
      <c r="K4768">
        <v>0</v>
      </c>
      <c r="L4768">
        <v>3</v>
      </c>
      <c r="M4768">
        <v>0</v>
      </c>
      <c r="N4768">
        <v>2</v>
      </c>
      <c r="O4768">
        <v>0</v>
      </c>
      <c r="P4768">
        <v>1</v>
      </c>
      <c r="Q4768">
        <v>0</v>
      </c>
      <c r="S4768" t="str">
        <f t="shared" si="1763"/>
        <v>19:38:18.000</v>
      </c>
      <c r="T4768" t="str">
        <f t="shared" si="1763"/>
        <v>19:38:18.000</v>
      </c>
      <c r="U4768" t="str">
        <f t="shared" si="1752"/>
        <v>AC3944</v>
      </c>
      <c r="V4768">
        <v>0</v>
      </c>
      <c r="W4768">
        <v>0</v>
      </c>
      <c r="X4768">
        <v>2</v>
      </c>
      <c r="Y4768">
        <v>0</v>
      </c>
      <c r="AA4768">
        <v>1</v>
      </c>
      <c r="AB4768">
        <v>8</v>
      </c>
      <c r="AC4768">
        <v>3</v>
      </c>
      <c r="AD4768">
        <v>0</v>
      </c>
      <c r="AE4768">
        <v>9</v>
      </c>
      <c r="AF4768" t="s">
        <v>138</v>
      </c>
      <c r="AG4768">
        <v>0</v>
      </c>
      <c r="AH4768">
        <v>3</v>
      </c>
      <c r="AI4768">
        <v>1</v>
      </c>
      <c r="AJ4768">
        <v>0</v>
      </c>
      <c r="AK4768" t="s">
        <v>1493</v>
      </c>
      <c r="AL4768">
        <v>32.714216999999998</v>
      </c>
      <c r="AM4768" t="s">
        <v>1494</v>
      </c>
      <c r="AN4768">
        <v>-116.750207</v>
      </c>
      <c r="AO4768">
        <v>25</v>
      </c>
      <c r="AP4768">
        <v>3900</v>
      </c>
      <c r="AQ4768" t="s">
        <v>129</v>
      </c>
      <c r="AR4768">
        <v>-156</v>
      </c>
      <c r="AS4768">
        <v>-99</v>
      </c>
      <c r="AT4768">
        <v>-2048</v>
      </c>
      <c r="BB4768">
        <v>1200</v>
      </c>
      <c r="BC4768">
        <v>1</v>
      </c>
      <c r="BD4768" t="str">
        <f t="shared" si="1753"/>
        <v xml:space="preserve">N887QR  </v>
      </c>
      <c r="BE4768">
        <v>1</v>
      </c>
      <c r="BG4768">
        <v>0</v>
      </c>
      <c r="BH4768">
        <v>0</v>
      </c>
      <c r="BI4768">
        <v>0</v>
      </c>
      <c r="BJ4768">
        <v>3350</v>
      </c>
      <c r="BK4768">
        <v>-550</v>
      </c>
      <c r="BL4768" t="s">
        <v>163</v>
      </c>
      <c r="BM4768">
        <v>1</v>
      </c>
      <c r="BN4768">
        <v>1</v>
      </c>
      <c r="BO4768">
        <v>1</v>
      </c>
      <c r="BP4768">
        <v>0</v>
      </c>
      <c r="BS4768">
        <v>0</v>
      </c>
      <c r="BT4768">
        <v>0</v>
      </c>
      <c r="BU4768">
        <v>0</v>
      </c>
      <c r="CE4768" t="str">
        <f t="shared" si="1764"/>
        <v>19:38:18.465</v>
      </c>
      <c r="CF4768">
        <v>464604604</v>
      </c>
      <c r="CS4768">
        <v>0</v>
      </c>
      <c r="CT4768">
        <v>2</v>
      </c>
      <c r="CU4768">
        <v>0</v>
      </c>
      <c r="CV4768">
        <v>2</v>
      </c>
      <c r="CW4768">
        <v>0</v>
      </c>
      <c r="CX4768">
        <v>6</v>
      </c>
      <c r="CY4768">
        <v>7</v>
      </c>
      <c r="CZ4768" t="s">
        <v>131</v>
      </c>
      <c r="DA4768">
        <v>286</v>
      </c>
      <c r="DB4768">
        <v>0</v>
      </c>
      <c r="DC4768" t="s">
        <v>132</v>
      </c>
      <c r="DD4768" t="s">
        <v>133</v>
      </c>
      <c r="DG4768">
        <v>925543</v>
      </c>
      <c r="DI4768">
        <v>1</v>
      </c>
      <c r="DJ4768">
        <v>0</v>
      </c>
      <c r="DK4768">
        <v>1</v>
      </c>
      <c r="DL4768">
        <v>0</v>
      </c>
      <c r="DM4768">
        <v>0</v>
      </c>
      <c r="DN4768">
        <v>1</v>
      </c>
      <c r="DO4768">
        <v>0</v>
      </c>
      <c r="DP4768">
        <v>0</v>
      </c>
      <c r="DQ4768">
        <v>0</v>
      </c>
      <c r="DR4768">
        <v>0</v>
      </c>
      <c r="DS4768">
        <v>0</v>
      </c>
    </row>
    <row r="4769" spans="1:123" x14ac:dyDescent="0.3">
      <c r="A4769" t="str">
        <f t="shared" si="1762"/>
        <v>10/04/2022 19:38:18.777</v>
      </c>
      <c r="C4769" t="str">
        <f t="shared" si="1744"/>
        <v>FFDFD3C0</v>
      </c>
      <c r="D4769" t="s">
        <v>141</v>
      </c>
      <c r="E4769">
        <v>4</v>
      </c>
      <c r="H4769">
        <v>4</v>
      </c>
      <c r="I4769" t="s">
        <v>142</v>
      </c>
      <c r="J4769" t="s">
        <v>138</v>
      </c>
      <c r="K4769">
        <v>0</v>
      </c>
      <c r="L4769">
        <v>3</v>
      </c>
      <c r="M4769">
        <v>0</v>
      </c>
      <c r="N4769">
        <v>2</v>
      </c>
      <c r="O4769">
        <v>0</v>
      </c>
      <c r="P4769">
        <v>1</v>
      </c>
      <c r="Q4769">
        <v>0</v>
      </c>
      <c r="S4769" t="str">
        <f t="shared" si="1763"/>
        <v>19:38:18.000</v>
      </c>
      <c r="T4769" t="str">
        <f t="shared" si="1763"/>
        <v>19:38:18.000</v>
      </c>
      <c r="U4769" t="str">
        <f t="shared" si="1752"/>
        <v>AC3944</v>
      </c>
      <c r="V4769">
        <v>0</v>
      </c>
      <c r="W4769">
        <v>0</v>
      </c>
      <c r="X4769">
        <v>2</v>
      </c>
      <c r="Y4769">
        <v>0</v>
      </c>
      <c r="AA4769">
        <v>1</v>
      </c>
      <c r="AB4769">
        <v>8</v>
      </c>
      <c r="AC4769">
        <v>3</v>
      </c>
      <c r="AD4769">
        <v>0</v>
      </c>
      <c r="AE4769">
        <v>9</v>
      </c>
      <c r="AF4769" t="s">
        <v>138</v>
      </c>
      <c r="AG4769">
        <v>0</v>
      </c>
      <c r="AH4769">
        <v>3</v>
      </c>
      <c r="AI4769">
        <v>1</v>
      </c>
      <c r="AJ4769">
        <v>0</v>
      </c>
      <c r="AK4769" t="s">
        <v>1493</v>
      </c>
      <c r="AL4769">
        <v>32.714216999999998</v>
      </c>
      <c r="AM4769" t="s">
        <v>1494</v>
      </c>
      <c r="AN4769">
        <v>-116.750207</v>
      </c>
      <c r="AO4769">
        <v>25</v>
      </c>
      <c r="AP4769">
        <v>3900</v>
      </c>
      <c r="AQ4769" t="s">
        <v>129</v>
      </c>
      <c r="AR4769">
        <v>-156</v>
      </c>
      <c r="AS4769">
        <v>-99</v>
      </c>
      <c r="AT4769">
        <v>-2048</v>
      </c>
      <c r="BB4769">
        <v>1200</v>
      </c>
      <c r="BC4769">
        <v>1</v>
      </c>
      <c r="BD4769" t="str">
        <f t="shared" si="1753"/>
        <v xml:space="preserve">N887QR  </v>
      </c>
      <c r="BE4769">
        <v>1</v>
      </c>
      <c r="BG4769">
        <v>0</v>
      </c>
      <c r="BH4769">
        <v>0</v>
      </c>
      <c r="BI4769">
        <v>0</v>
      </c>
      <c r="BJ4769">
        <v>3350</v>
      </c>
      <c r="BK4769">
        <v>-550</v>
      </c>
      <c r="BL4769" t="s">
        <v>163</v>
      </c>
      <c r="BM4769">
        <v>1</v>
      </c>
      <c r="BN4769">
        <v>1</v>
      </c>
      <c r="BO4769">
        <v>1</v>
      </c>
      <c r="BP4769">
        <v>0</v>
      </c>
      <c r="BS4769">
        <v>0</v>
      </c>
      <c r="BT4769">
        <v>0</v>
      </c>
      <c r="BU4769">
        <v>0</v>
      </c>
      <c r="CE4769" t="str">
        <f t="shared" si="1764"/>
        <v>19:38:18.465</v>
      </c>
      <c r="CF4769">
        <v>464604604</v>
      </c>
      <c r="CS4769">
        <v>0</v>
      </c>
      <c r="CT4769">
        <v>2</v>
      </c>
      <c r="CU4769">
        <v>0</v>
      </c>
      <c r="CV4769">
        <v>2</v>
      </c>
      <c r="CW4769">
        <v>0</v>
      </c>
      <c r="CX4769">
        <v>6</v>
      </c>
      <c r="CY4769">
        <v>7</v>
      </c>
      <c r="CZ4769" t="s">
        <v>131</v>
      </c>
      <c r="DA4769">
        <v>286</v>
      </c>
      <c r="DB4769">
        <v>0</v>
      </c>
      <c r="DC4769" t="s">
        <v>132</v>
      </c>
      <c r="DD4769" t="s">
        <v>133</v>
      </c>
      <c r="DG4769">
        <v>925543</v>
      </c>
      <c r="DI4769">
        <v>1</v>
      </c>
      <c r="DJ4769">
        <v>0</v>
      </c>
      <c r="DK4769">
        <v>1</v>
      </c>
      <c r="DL4769">
        <v>0</v>
      </c>
      <c r="DM4769">
        <v>0</v>
      </c>
      <c r="DN4769">
        <v>1</v>
      </c>
      <c r="DO4769">
        <v>0</v>
      </c>
      <c r="DP4769">
        <v>0</v>
      </c>
      <c r="DQ4769">
        <v>0</v>
      </c>
      <c r="DR4769">
        <v>0</v>
      </c>
      <c r="DS4769">
        <v>0</v>
      </c>
    </row>
    <row r="4770" spans="1:123" x14ac:dyDescent="0.3">
      <c r="A4770" t="str">
        <f t="shared" si="1762"/>
        <v>10/04/2022 19:38:18.777</v>
      </c>
      <c r="C4770" t="str">
        <f t="shared" si="1744"/>
        <v>FFDFD3C0</v>
      </c>
      <c r="D4770" t="s">
        <v>143</v>
      </c>
      <c r="E4770">
        <v>20</v>
      </c>
      <c r="F4770">
        <v>1020</v>
      </c>
      <c r="G4770" t="s">
        <v>144</v>
      </c>
      <c r="J4770" t="s">
        <v>145</v>
      </c>
      <c r="K4770">
        <v>0</v>
      </c>
      <c r="L4770">
        <v>3</v>
      </c>
      <c r="M4770">
        <v>0</v>
      </c>
      <c r="N4770">
        <v>2</v>
      </c>
      <c r="O4770">
        <v>0</v>
      </c>
      <c r="P4770">
        <v>1</v>
      </c>
      <c r="Q4770">
        <v>0</v>
      </c>
      <c r="S4770" t="str">
        <f t="shared" si="1763"/>
        <v>19:38:18.000</v>
      </c>
      <c r="T4770" t="str">
        <f t="shared" si="1763"/>
        <v>19:38:18.000</v>
      </c>
      <c r="U4770" t="str">
        <f t="shared" si="1752"/>
        <v>AC3944</v>
      </c>
      <c r="V4770">
        <v>0</v>
      </c>
      <c r="W4770">
        <v>0</v>
      </c>
      <c r="X4770">
        <v>2</v>
      </c>
      <c r="Y4770">
        <v>0</v>
      </c>
      <c r="AA4770">
        <v>1</v>
      </c>
      <c r="AB4770">
        <v>8</v>
      </c>
      <c r="AC4770">
        <v>3</v>
      </c>
      <c r="AD4770">
        <v>0</v>
      </c>
      <c r="AE4770">
        <v>9</v>
      </c>
      <c r="AF4770" t="s">
        <v>138</v>
      </c>
      <c r="AG4770">
        <v>0</v>
      </c>
      <c r="AH4770">
        <v>3</v>
      </c>
      <c r="AI4770">
        <v>1</v>
      </c>
      <c r="AJ4770">
        <v>0</v>
      </c>
      <c r="AK4770" t="s">
        <v>1493</v>
      </c>
      <c r="AL4770">
        <v>32.714216999999998</v>
      </c>
      <c r="AM4770" t="s">
        <v>1494</v>
      </c>
      <c r="AN4770">
        <v>-116.750207</v>
      </c>
      <c r="AO4770">
        <v>25</v>
      </c>
      <c r="AP4770">
        <v>3900</v>
      </c>
      <c r="AQ4770" t="s">
        <v>129</v>
      </c>
      <c r="AR4770">
        <v>-156</v>
      </c>
      <c r="AS4770">
        <v>-99</v>
      </c>
      <c r="AT4770">
        <v>-2048</v>
      </c>
      <c r="BB4770">
        <v>1200</v>
      </c>
      <c r="BC4770">
        <v>1</v>
      </c>
      <c r="BD4770" t="str">
        <f t="shared" si="1753"/>
        <v xml:space="preserve">N887QR  </v>
      </c>
      <c r="BE4770">
        <v>1</v>
      </c>
      <c r="BG4770">
        <v>0</v>
      </c>
      <c r="BH4770">
        <v>0</v>
      </c>
      <c r="BI4770">
        <v>0</v>
      </c>
      <c r="BJ4770">
        <v>3350</v>
      </c>
      <c r="BK4770">
        <v>-550</v>
      </c>
      <c r="BL4770" t="s">
        <v>163</v>
      </c>
      <c r="BM4770">
        <v>1</v>
      </c>
      <c r="BN4770">
        <v>1</v>
      </c>
      <c r="BO4770">
        <v>1</v>
      </c>
      <c r="BP4770">
        <v>0</v>
      </c>
      <c r="BS4770">
        <v>0</v>
      </c>
      <c r="BT4770">
        <v>0</v>
      </c>
      <c r="BU4770">
        <v>0</v>
      </c>
      <c r="CE4770" t="str">
        <f t="shared" si="1764"/>
        <v>19:38:18.465</v>
      </c>
      <c r="CF4770">
        <v>464604604</v>
      </c>
      <c r="CS4770">
        <v>0</v>
      </c>
      <c r="CT4770">
        <v>2</v>
      </c>
      <c r="CU4770">
        <v>0</v>
      </c>
      <c r="CV4770">
        <v>2</v>
      </c>
      <c r="CW4770">
        <v>0</v>
      </c>
      <c r="CX4770">
        <v>6</v>
      </c>
      <c r="CY4770">
        <v>7</v>
      </c>
      <c r="CZ4770" t="s">
        <v>131</v>
      </c>
      <c r="DA4770">
        <v>286</v>
      </c>
      <c r="DB4770">
        <v>0</v>
      </c>
      <c r="DC4770" t="s">
        <v>132</v>
      </c>
      <c r="DD4770" t="s">
        <v>133</v>
      </c>
      <c r="DG4770">
        <v>925543</v>
      </c>
      <c r="DI4770">
        <v>1</v>
      </c>
      <c r="DJ4770">
        <v>0</v>
      </c>
      <c r="DK4770">
        <v>1</v>
      </c>
      <c r="DL4770">
        <v>0</v>
      </c>
      <c r="DM4770">
        <v>0</v>
      </c>
      <c r="DN4770">
        <v>1</v>
      </c>
      <c r="DO4770">
        <v>0</v>
      </c>
      <c r="DP4770">
        <v>0</v>
      </c>
      <c r="DQ4770">
        <v>0</v>
      </c>
      <c r="DR4770">
        <v>0</v>
      </c>
      <c r="DS4770">
        <v>0</v>
      </c>
    </row>
    <row r="4771" spans="1:123" x14ac:dyDescent="0.3">
      <c r="A4771" t="str">
        <f t="shared" si="1762"/>
        <v>10/04/2022 19:38:18.777</v>
      </c>
      <c r="C4771" t="str">
        <f t="shared" si="1744"/>
        <v>FFDFD3C0</v>
      </c>
      <c r="D4771" t="s">
        <v>141</v>
      </c>
      <c r="E4771">
        <v>3</v>
      </c>
      <c r="H4771">
        <v>3</v>
      </c>
      <c r="I4771" t="s">
        <v>146</v>
      </c>
      <c r="J4771" t="s">
        <v>138</v>
      </c>
      <c r="K4771">
        <v>0</v>
      </c>
      <c r="L4771">
        <v>3</v>
      </c>
      <c r="M4771">
        <v>0</v>
      </c>
      <c r="N4771">
        <v>2</v>
      </c>
      <c r="O4771">
        <v>0</v>
      </c>
      <c r="P4771">
        <v>1</v>
      </c>
      <c r="Q4771">
        <v>0</v>
      </c>
      <c r="S4771" t="str">
        <f t="shared" si="1763"/>
        <v>19:38:18.000</v>
      </c>
      <c r="T4771" t="str">
        <f t="shared" si="1763"/>
        <v>19:38:18.000</v>
      </c>
      <c r="U4771" t="str">
        <f t="shared" si="1752"/>
        <v>AC3944</v>
      </c>
      <c r="V4771">
        <v>0</v>
      </c>
      <c r="W4771">
        <v>0</v>
      </c>
      <c r="X4771">
        <v>2</v>
      </c>
      <c r="Y4771">
        <v>0</v>
      </c>
      <c r="AA4771">
        <v>1</v>
      </c>
      <c r="AB4771">
        <v>8</v>
      </c>
      <c r="AC4771">
        <v>3</v>
      </c>
      <c r="AD4771">
        <v>0</v>
      </c>
      <c r="AE4771">
        <v>9</v>
      </c>
      <c r="AF4771" t="s">
        <v>138</v>
      </c>
      <c r="AG4771">
        <v>0</v>
      </c>
      <c r="AH4771">
        <v>3</v>
      </c>
      <c r="AI4771">
        <v>1</v>
      </c>
      <c r="AJ4771">
        <v>0</v>
      </c>
      <c r="AK4771" t="s">
        <v>1493</v>
      </c>
      <c r="AL4771">
        <v>32.714216999999998</v>
      </c>
      <c r="AM4771" t="s">
        <v>1494</v>
      </c>
      <c r="AN4771">
        <v>-116.750207</v>
      </c>
      <c r="AO4771">
        <v>25</v>
      </c>
      <c r="AP4771">
        <v>3900</v>
      </c>
      <c r="AQ4771" t="s">
        <v>129</v>
      </c>
      <c r="AR4771">
        <v>-156</v>
      </c>
      <c r="AS4771">
        <v>-99</v>
      </c>
      <c r="AT4771">
        <v>-2048</v>
      </c>
      <c r="BB4771">
        <v>1200</v>
      </c>
      <c r="BC4771">
        <v>1</v>
      </c>
      <c r="BD4771" t="str">
        <f t="shared" si="1753"/>
        <v xml:space="preserve">N887QR  </v>
      </c>
      <c r="BE4771">
        <v>1</v>
      </c>
      <c r="BG4771">
        <v>0</v>
      </c>
      <c r="BH4771">
        <v>0</v>
      </c>
      <c r="BI4771">
        <v>0</v>
      </c>
      <c r="BJ4771">
        <v>3350</v>
      </c>
      <c r="BK4771">
        <v>-550</v>
      </c>
      <c r="BL4771" t="s">
        <v>163</v>
      </c>
      <c r="BM4771">
        <v>1</v>
      </c>
      <c r="BN4771">
        <v>1</v>
      </c>
      <c r="BO4771">
        <v>1</v>
      </c>
      <c r="BP4771">
        <v>0</v>
      </c>
      <c r="BS4771">
        <v>0</v>
      </c>
      <c r="BT4771">
        <v>0</v>
      </c>
      <c r="BU4771">
        <v>0</v>
      </c>
      <c r="CE4771" t="str">
        <f t="shared" si="1764"/>
        <v>19:38:18.465</v>
      </c>
      <c r="CF4771">
        <v>464604604</v>
      </c>
      <c r="CS4771">
        <v>0</v>
      </c>
      <c r="CT4771">
        <v>2</v>
      </c>
      <c r="CU4771">
        <v>0</v>
      </c>
      <c r="CV4771">
        <v>2</v>
      </c>
      <c r="CW4771">
        <v>0</v>
      </c>
      <c r="CX4771">
        <v>6</v>
      </c>
      <c r="CY4771">
        <v>7</v>
      </c>
      <c r="CZ4771" t="s">
        <v>131</v>
      </c>
      <c r="DA4771">
        <v>286</v>
      </c>
      <c r="DB4771">
        <v>0</v>
      </c>
      <c r="DC4771" t="s">
        <v>132</v>
      </c>
      <c r="DD4771" t="s">
        <v>133</v>
      </c>
      <c r="DG4771">
        <v>925543</v>
      </c>
      <c r="DI4771">
        <v>1</v>
      </c>
      <c r="DJ4771">
        <v>0</v>
      </c>
      <c r="DK4771">
        <v>1</v>
      </c>
      <c r="DL4771">
        <v>0</v>
      </c>
      <c r="DM4771">
        <v>0</v>
      </c>
      <c r="DN4771">
        <v>1</v>
      </c>
      <c r="DO4771">
        <v>0</v>
      </c>
      <c r="DP4771">
        <v>0</v>
      </c>
      <c r="DQ4771">
        <v>0</v>
      </c>
      <c r="DR4771">
        <v>0</v>
      </c>
      <c r="DS4771">
        <v>0</v>
      </c>
    </row>
    <row r="4772" spans="1:123" x14ac:dyDescent="0.3">
      <c r="A4772" t="str">
        <f t="shared" si="1762"/>
        <v>10/04/2022 19:38:18.777</v>
      </c>
      <c r="C4772" t="str">
        <f t="shared" si="1744"/>
        <v>FFDFD3C0</v>
      </c>
      <c r="D4772" t="s">
        <v>123</v>
      </c>
      <c r="E4772">
        <v>7</v>
      </c>
      <c r="F4772">
        <v>2007</v>
      </c>
      <c r="G4772" t="s">
        <v>124</v>
      </c>
      <c r="J4772" t="s">
        <v>125</v>
      </c>
      <c r="K4772">
        <v>0</v>
      </c>
      <c r="L4772">
        <v>3</v>
      </c>
      <c r="M4772">
        <v>0</v>
      </c>
      <c r="N4772">
        <v>2</v>
      </c>
      <c r="O4772">
        <v>0</v>
      </c>
      <c r="P4772">
        <v>1</v>
      </c>
      <c r="Q4772">
        <v>0</v>
      </c>
      <c r="S4772" t="str">
        <f t="shared" si="1763"/>
        <v>19:38:18.000</v>
      </c>
      <c r="T4772" t="str">
        <f t="shared" si="1763"/>
        <v>19:38:18.000</v>
      </c>
      <c r="U4772" t="str">
        <f t="shared" si="1752"/>
        <v>AC3944</v>
      </c>
      <c r="V4772">
        <v>0</v>
      </c>
      <c r="W4772">
        <v>0</v>
      </c>
      <c r="X4772">
        <v>2</v>
      </c>
      <c r="Y4772">
        <v>0</v>
      </c>
      <c r="AA4772">
        <v>1</v>
      </c>
      <c r="AB4772">
        <v>8</v>
      </c>
      <c r="AC4772">
        <v>3</v>
      </c>
      <c r="AD4772">
        <v>0</v>
      </c>
      <c r="AE4772">
        <v>9</v>
      </c>
      <c r="AF4772" t="s">
        <v>138</v>
      </c>
      <c r="AG4772">
        <v>0</v>
      </c>
      <c r="AH4772">
        <v>3</v>
      </c>
      <c r="AI4772">
        <v>1</v>
      </c>
      <c r="AJ4772">
        <v>0</v>
      </c>
      <c r="AK4772" t="s">
        <v>1493</v>
      </c>
      <c r="AL4772">
        <v>32.714216999999998</v>
      </c>
      <c r="AM4772" t="s">
        <v>1494</v>
      </c>
      <c r="AN4772">
        <v>-116.750207</v>
      </c>
      <c r="AO4772">
        <v>25</v>
      </c>
      <c r="AP4772">
        <v>3900</v>
      </c>
      <c r="AQ4772" t="s">
        <v>129</v>
      </c>
      <c r="AR4772">
        <v>-156</v>
      </c>
      <c r="AS4772">
        <v>-99</v>
      </c>
      <c r="AT4772">
        <v>-2048</v>
      </c>
      <c r="BB4772">
        <v>1200</v>
      </c>
      <c r="BC4772">
        <v>1</v>
      </c>
      <c r="BD4772" t="str">
        <f t="shared" si="1753"/>
        <v xml:space="preserve">N887QR  </v>
      </c>
      <c r="BE4772">
        <v>1</v>
      </c>
      <c r="BG4772">
        <v>0</v>
      </c>
      <c r="BH4772">
        <v>0</v>
      </c>
      <c r="BI4772">
        <v>0</v>
      </c>
      <c r="BJ4772">
        <v>3350</v>
      </c>
      <c r="BK4772">
        <v>-550</v>
      </c>
      <c r="BL4772" t="s">
        <v>163</v>
      </c>
      <c r="BM4772">
        <v>1</v>
      </c>
      <c r="BN4772">
        <v>1</v>
      </c>
      <c r="BO4772">
        <v>1</v>
      </c>
      <c r="BP4772">
        <v>0</v>
      </c>
      <c r="BS4772">
        <v>0</v>
      </c>
      <c r="BT4772">
        <v>0</v>
      </c>
      <c r="BU4772">
        <v>0</v>
      </c>
      <c r="CE4772" t="str">
        <f t="shared" si="1764"/>
        <v>19:38:18.465</v>
      </c>
      <c r="CF4772">
        <v>464604604</v>
      </c>
      <c r="CS4772">
        <v>0</v>
      </c>
      <c r="CT4772">
        <v>2</v>
      </c>
      <c r="CU4772">
        <v>0</v>
      </c>
      <c r="CV4772">
        <v>2</v>
      </c>
      <c r="CW4772">
        <v>0</v>
      </c>
      <c r="CX4772">
        <v>6</v>
      </c>
      <c r="CY4772">
        <v>7</v>
      </c>
      <c r="CZ4772" t="s">
        <v>131</v>
      </c>
      <c r="DA4772">
        <v>286</v>
      </c>
      <c r="DB4772">
        <v>0</v>
      </c>
      <c r="DC4772" t="s">
        <v>132</v>
      </c>
      <c r="DD4772" t="s">
        <v>133</v>
      </c>
      <c r="DG4772">
        <v>925543</v>
      </c>
      <c r="DI4772">
        <v>1</v>
      </c>
      <c r="DJ4772">
        <v>0</v>
      </c>
      <c r="DK4772">
        <v>1</v>
      </c>
      <c r="DL4772">
        <v>0</v>
      </c>
      <c r="DM4772">
        <v>0</v>
      </c>
      <c r="DN4772">
        <v>1</v>
      </c>
      <c r="DO4772">
        <v>0</v>
      </c>
      <c r="DP4772">
        <v>0</v>
      </c>
      <c r="DQ4772">
        <v>0</v>
      </c>
      <c r="DR4772">
        <v>0</v>
      </c>
      <c r="DS4772">
        <v>0</v>
      </c>
    </row>
    <row r="4773" spans="1:123" x14ac:dyDescent="0.3">
      <c r="A4773" t="str">
        <f t="shared" si="1762"/>
        <v>10/04/2022 19:38:18.777</v>
      </c>
      <c r="C4773" t="str">
        <f t="shared" si="1744"/>
        <v>FFDFD3C0</v>
      </c>
      <c r="D4773" t="s">
        <v>134</v>
      </c>
      <c r="E4773">
        <v>15</v>
      </c>
      <c r="J4773" t="s">
        <v>135</v>
      </c>
      <c r="K4773">
        <v>0</v>
      </c>
      <c r="L4773">
        <v>3</v>
      </c>
      <c r="M4773">
        <v>0</v>
      </c>
      <c r="N4773">
        <v>2</v>
      </c>
      <c r="O4773">
        <v>0</v>
      </c>
      <c r="P4773">
        <v>1</v>
      </c>
      <c r="Q4773">
        <v>0</v>
      </c>
      <c r="S4773" t="str">
        <f t="shared" si="1763"/>
        <v>19:38:18.000</v>
      </c>
      <c r="T4773" t="str">
        <f t="shared" si="1763"/>
        <v>19:38:18.000</v>
      </c>
      <c r="U4773" t="str">
        <f t="shared" si="1752"/>
        <v>AC3944</v>
      </c>
      <c r="V4773">
        <v>0</v>
      </c>
      <c r="W4773">
        <v>0</v>
      </c>
      <c r="X4773">
        <v>2</v>
      </c>
      <c r="Y4773">
        <v>0</v>
      </c>
      <c r="AA4773">
        <v>1</v>
      </c>
      <c r="AB4773">
        <v>8</v>
      </c>
      <c r="AC4773">
        <v>3</v>
      </c>
      <c r="AD4773">
        <v>0</v>
      </c>
      <c r="AE4773">
        <v>9</v>
      </c>
      <c r="AF4773" t="s">
        <v>138</v>
      </c>
      <c r="AG4773">
        <v>0</v>
      </c>
      <c r="AH4773">
        <v>3</v>
      </c>
      <c r="AI4773">
        <v>1</v>
      </c>
      <c r="AJ4773">
        <v>0</v>
      </c>
      <c r="AK4773" t="s">
        <v>1493</v>
      </c>
      <c r="AL4773">
        <v>32.714216999999998</v>
      </c>
      <c r="AM4773" t="s">
        <v>1494</v>
      </c>
      <c r="AN4773">
        <v>-116.750207</v>
      </c>
      <c r="AO4773">
        <v>25</v>
      </c>
      <c r="AP4773">
        <v>3900</v>
      </c>
      <c r="AQ4773" t="s">
        <v>129</v>
      </c>
      <c r="AR4773">
        <v>-156</v>
      </c>
      <c r="AS4773">
        <v>-99</v>
      </c>
      <c r="AT4773">
        <v>-2048</v>
      </c>
      <c r="BB4773">
        <v>1200</v>
      </c>
      <c r="BC4773">
        <v>1</v>
      </c>
      <c r="BD4773" t="str">
        <f t="shared" si="1753"/>
        <v xml:space="preserve">N887QR  </v>
      </c>
      <c r="BE4773">
        <v>1</v>
      </c>
      <c r="BG4773">
        <v>0</v>
      </c>
      <c r="BH4773">
        <v>0</v>
      </c>
      <c r="BI4773">
        <v>0</v>
      </c>
      <c r="BJ4773">
        <v>3350</v>
      </c>
      <c r="BK4773">
        <v>-550</v>
      </c>
      <c r="BL4773" t="s">
        <v>163</v>
      </c>
      <c r="BM4773">
        <v>1</v>
      </c>
      <c r="BN4773">
        <v>1</v>
      </c>
      <c r="BO4773">
        <v>1</v>
      </c>
      <c r="BP4773">
        <v>0</v>
      </c>
      <c r="BS4773">
        <v>0</v>
      </c>
      <c r="BT4773">
        <v>0</v>
      </c>
      <c r="BU4773">
        <v>0</v>
      </c>
      <c r="CE4773" t="str">
        <f t="shared" si="1764"/>
        <v>19:38:18.465</v>
      </c>
      <c r="CF4773">
        <v>464604604</v>
      </c>
      <c r="CS4773">
        <v>0</v>
      </c>
      <c r="CT4773">
        <v>2</v>
      </c>
      <c r="CU4773">
        <v>0</v>
      </c>
      <c r="CV4773">
        <v>2</v>
      </c>
      <c r="CW4773">
        <v>0</v>
      </c>
      <c r="CX4773">
        <v>6</v>
      </c>
      <c r="CY4773">
        <v>7</v>
      </c>
      <c r="CZ4773" t="s">
        <v>131</v>
      </c>
      <c r="DA4773">
        <v>286</v>
      </c>
      <c r="DB4773">
        <v>0</v>
      </c>
      <c r="DC4773" t="s">
        <v>132</v>
      </c>
      <c r="DD4773" t="s">
        <v>133</v>
      </c>
      <c r="DG4773">
        <v>925543</v>
      </c>
      <c r="DI4773">
        <v>1</v>
      </c>
      <c r="DJ4773">
        <v>0</v>
      </c>
      <c r="DK4773">
        <v>1</v>
      </c>
      <c r="DL4773">
        <v>0</v>
      </c>
      <c r="DM4773">
        <v>0</v>
      </c>
      <c r="DN4773">
        <v>1</v>
      </c>
      <c r="DO4773">
        <v>0</v>
      </c>
      <c r="DP4773">
        <v>0</v>
      </c>
      <c r="DQ4773">
        <v>0</v>
      </c>
      <c r="DR4773">
        <v>0</v>
      </c>
      <c r="DS4773">
        <v>0</v>
      </c>
    </row>
    <row r="4774" spans="1:123" x14ac:dyDescent="0.3">
      <c r="A4774" t="str">
        <f>"10/04/2022 19:38:19.652"</f>
        <v>10/04/2022 19:38:19.652</v>
      </c>
      <c r="C4774" t="str">
        <f t="shared" si="1744"/>
        <v>FFDFD3C0</v>
      </c>
      <c r="D4774" t="s">
        <v>123</v>
      </c>
      <c r="E4774">
        <v>7</v>
      </c>
      <c r="F4774">
        <v>2007</v>
      </c>
      <c r="G4774" t="s">
        <v>124</v>
      </c>
      <c r="J4774" t="s">
        <v>125</v>
      </c>
      <c r="K4774">
        <v>0</v>
      </c>
      <c r="L4774">
        <v>3</v>
      </c>
      <c r="M4774">
        <v>0</v>
      </c>
      <c r="N4774">
        <v>2</v>
      </c>
      <c r="O4774">
        <v>0</v>
      </c>
      <c r="P4774">
        <v>1</v>
      </c>
      <c r="Q4774">
        <v>0</v>
      </c>
      <c r="S4774" t="str">
        <f t="shared" ref="S4774:T4777" si="1765">"19:38:19.000"</f>
        <v>19:38:19.000</v>
      </c>
      <c r="T4774" t="str">
        <f t="shared" si="1765"/>
        <v>19:38:19.000</v>
      </c>
      <c r="U4774" t="str">
        <f t="shared" si="1752"/>
        <v>AC3944</v>
      </c>
      <c r="V4774">
        <v>0</v>
      </c>
      <c r="W4774">
        <v>0</v>
      </c>
      <c r="X4774">
        <v>2</v>
      </c>
      <c r="Y4774">
        <v>0</v>
      </c>
      <c r="AA4774">
        <v>1</v>
      </c>
      <c r="AB4774">
        <v>8</v>
      </c>
      <c r="AC4774">
        <v>3</v>
      </c>
      <c r="AD4774">
        <v>0</v>
      </c>
      <c r="AE4774">
        <v>9</v>
      </c>
      <c r="AF4774" t="s">
        <v>138</v>
      </c>
      <c r="AG4774">
        <v>0</v>
      </c>
      <c r="AH4774">
        <v>3</v>
      </c>
      <c r="AI4774">
        <v>1</v>
      </c>
      <c r="AJ4774">
        <v>0</v>
      </c>
      <c r="AK4774" t="s">
        <v>1495</v>
      </c>
      <c r="AL4774">
        <v>32.713659</v>
      </c>
      <c r="AM4774" t="s">
        <v>989</v>
      </c>
      <c r="AN4774">
        <v>-116.751237</v>
      </c>
      <c r="AO4774">
        <v>25</v>
      </c>
      <c r="AP4774">
        <v>3800</v>
      </c>
      <c r="AQ4774" t="s">
        <v>129</v>
      </c>
      <c r="AR4774">
        <v>-155</v>
      </c>
      <c r="AS4774">
        <v>-100</v>
      </c>
      <c r="AT4774">
        <v>-2048</v>
      </c>
      <c r="BB4774">
        <v>1200</v>
      </c>
      <c r="BC4774">
        <v>1</v>
      </c>
      <c r="BD4774" t="str">
        <f t="shared" si="1753"/>
        <v xml:space="preserve">N887QR  </v>
      </c>
      <c r="BE4774">
        <v>1</v>
      </c>
      <c r="BG4774">
        <v>0</v>
      </c>
      <c r="BH4774">
        <v>0</v>
      </c>
      <c r="BI4774">
        <v>0</v>
      </c>
      <c r="BJ4774">
        <v>3350</v>
      </c>
      <c r="BK4774">
        <v>-450</v>
      </c>
      <c r="BL4774" t="s">
        <v>163</v>
      </c>
      <c r="BM4774">
        <v>1</v>
      </c>
      <c r="BN4774">
        <v>1</v>
      </c>
      <c r="BO4774">
        <v>1</v>
      </c>
      <c r="BP4774">
        <v>0</v>
      </c>
      <c r="BS4774">
        <v>0</v>
      </c>
      <c r="BT4774">
        <v>0</v>
      </c>
      <c r="BU4774">
        <v>0</v>
      </c>
      <c r="CE4774" t="str">
        <f>"19:38:19.278"</f>
        <v>19:38:19.278</v>
      </c>
      <c r="CF4774">
        <v>278356970</v>
      </c>
      <c r="CS4774">
        <v>0</v>
      </c>
      <c r="CT4774">
        <v>2</v>
      </c>
      <c r="CU4774">
        <v>0</v>
      </c>
      <c r="CV4774">
        <v>2</v>
      </c>
      <c r="CW4774">
        <v>0</v>
      </c>
      <c r="CX4774">
        <v>6</v>
      </c>
      <c r="CY4774">
        <v>7</v>
      </c>
      <c r="CZ4774" t="s">
        <v>131</v>
      </c>
      <c r="DA4774">
        <v>286</v>
      </c>
      <c r="DB4774">
        <v>0</v>
      </c>
      <c r="DC4774" t="s">
        <v>132</v>
      </c>
      <c r="DD4774" t="s">
        <v>133</v>
      </c>
      <c r="DG4774">
        <v>925746</v>
      </c>
      <c r="DI4774">
        <v>1</v>
      </c>
      <c r="DJ4774">
        <v>0</v>
      </c>
      <c r="DK4774">
        <v>0</v>
      </c>
      <c r="DL4774">
        <v>0</v>
      </c>
      <c r="DM4774">
        <v>0</v>
      </c>
      <c r="DN4774">
        <v>1</v>
      </c>
      <c r="DO4774">
        <v>0</v>
      </c>
      <c r="DP4774">
        <v>0</v>
      </c>
      <c r="DQ4774">
        <v>0</v>
      </c>
      <c r="DR4774">
        <v>0</v>
      </c>
      <c r="DS4774">
        <v>0</v>
      </c>
    </row>
    <row r="4775" spans="1:123" x14ac:dyDescent="0.3">
      <c r="A4775" t="str">
        <f>"10/04/2022 19:38:19.652"</f>
        <v>10/04/2022 19:38:19.652</v>
      </c>
      <c r="C4775" t="str">
        <f t="shared" si="1744"/>
        <v>FFDFD3C0</v>
      </c>
      <c r="D4775" t="s">
        <v>141</v>
      </c>
      <c r="E4775">
        <v>3</v>
      </c>
      <c r="H4775">
        <v>3</v>
      </c>
      <c r="I4775" t="s">
        <v>146</v>
      </c>
      <c r="J4775" t="s">
        <v>138</v>
      </c>
      <c r="K4775">
        <v>0</v>
      </c>
      <c r="L4775">
        <v>3</v>
      </c>
      <c r="M4775">
        <v>0</v>
      </c>
      <c r="N4775">
        <v>2</v>
      </c>
      <c r="O4775">
        <v>0</v>
      </c>
      <c r="P4775">
        <v>1</v>
      </c>
      <c r="Q4775">
        <v>0</v>
      </c>
      <c r="S4775" t="str">
        <f t="shared" si="1765"/>
        <v>19:38:19.000</v>
      </c>
      <c r="T4775" t="str">
        <f t="shared" si="1765"/>
        <v>19:38:19.000</v>
      </c>
      <c r="U4775" t="str">
        <f t="shared" si="1752"/>
        <v>AC3944</v>
      </c>
      <c r="V4775">
        <v>0</v>
      </c>
      <c r="W4775">
        <v>0</v>
      </c>
      <c r="X4775">
        <v>2</v>
      </c>
      <c r="Y4775">
        <v>0</v>
      </c>
      <c r="AA4775">
        <v>1</v>
      </c>
      <c r="AB4775">
        <v>8</v>
      </c>
      <c r="AC4775">
        <v>3</v>
      </c>
      <c r="AD4775">
        <v>0</v>
      </c>
      <c r="AE4775">
        <v>9</v>
      </c>
      <c r="AF4775" t="s">
        <v>138</v>
      </c>
      <c r="AG4775">
        <v>0</v>
      </c>
      <c r="AH4775">
        <v>3</v>
      </c>
      <c r="AI4775">
        <v>1</v>
      </c>
      <c r="AJ4775">
        <v>0</v>
      </c>
      <c r="AK4775" t="s">
        <v>1495</v>
      </c>
      <c r="AL4775">
        <v>32.713659</v>
      </c>
      <c r="AM4775" t="s">
        <v>989</v>
      </c>
      <c r="AN4775">
        <v>-116.751237</v>
      </c>
      <c r="AO4775">
        <v>25</v>
      </c>
      <c r="AP4775">
        <v>3800</v>
      </c>
      <c r="AQ4775" t="s">
        <v>129</v>
      </c>
      <c r="AR4775">
        <v>-155</v>
      </c>
      <c r="AS4775">
        <v>-100</v>
      </c>
      <c r="AT4775">
        <v>-2048</v>
      </c>
      <c r="BB4775">
        <v>1200</v>
      </c>
      <c r="BC4775">
        <v>1</v>
      </c>
      <c r="BD4775" t="str">
        <f t="shared" si="1753"/>
        <v xml:space="preserve">N887QR  </v>
      </c>
      <c r="BE4775">
        <v>1</v>
      </c>
      <c r="BG4775">
        <v>0</v>
      </c>
      <c r="BH4775">
        <v>0</v>
      </c>
      <c r="BI4775">
        <v>0</v>
      </c>
      <c r="BJ4775">
        <v>3350</v>
      </c>
      <c r="BK4775">
        <v>-450</v>
      </c>
      <c r="BL4775" t="s">
        <v>163</v>
      </c>
      <c r="BM4775">
        <v>1</v>
      </c>
      <c r="BN4775">
        <v>1</v>
      </c>
      <c r="BO4775">
        <v>1</v>
      </c>
      <c r="BP4775">
        <v>0</v>
      </c>
      <c r="BS4775">
        <v>0</v>
      </c>
      <c r="BT4775">
        <v>0</v>
      </c>
      <c r="BU4775">
        <v>0</v>
      </c>
      <c r="CE4775" t="str">
        <f>"19:38:19.278"</f>
        <v>19:38:19.278</v>
      </c>
      <c r="CF4775">
        <v>278356970</v>
      </c>
      <c r="CS4775">
        <v>0</v>
      </c>
      <c r="CT4775">
        <v>2</v>
      </c>
      <c r="CU4775">
        <v>0</v>
      </c>
      <c r="CV4775">
        <v>2</v>
      </c>
      <c r="CW4775">
        <v>0</v>
      </c>
      <c r="CX4775">
        <v>6</v>
      </c>
      <c r="CY4775">
        <v>7</v>
      </c>
      <c r="CZ4775" t="s">
        <v>131</v>
      </c>
      <c r="DA4775">
        <v>286</v>
      </c>
      <c r="DB4775">
        <v>0</v>
      </c>
      <c r="DC4775" t="s">
        <v>132</v>
      </c>
      <c r="DD4775" t="s">
        <v>133</v>
      </c>
      <c r="DG4775">
        <v>925746</v>
      </c>
      <c r="DI4775">
        <v>1</v>
      </c>
      <c r="DJ4775">
        <v>0</v>
      </c>
      <c r="DK4775">
        <v>1</v>
      </c>
      <c r="DL4775">
        <v>0</v>
      </c>
      <c r="DM4775">
        <v>0</v>
      </c>
      <c r="DN4775">
        <v>1</v>
      </c>
      <c r="DO4775">
        <v>0</v>
      </c>
      <c r="DP4775">
        <v>0</v>
      </c>
      <c r="DQ4775">
        <v>0</v>
      </c>
      <c r="DR4775">
        <v>0</v>
      </c>
      <c r="DS4775">
        <v>0</v>
      </c>
    </row>
    <row r="4776" spans="1:123" x14ac:dyDescent="0.3">
      <c r="A4776" t="str">
        <f>"10/04/2022 19:38:19.652"</f>
        <v>10/04/2022 19:38:19.652</v>
      </c>
      <c r="C4776" t="str">
        <f t="shared" si="1744"/>
        <v>FFDFD3C0</v>
      </c>
      <c r="D4776" t="s">
        <v>134</v>
      </c>
      <c r="E4776">
        <v>15</v>
      </c>
      <c r="J4776" t="s">
        <v>135</v>
      </c>
      <c r="K4776">
        <v>0</v>
      </c>
      <c r="L4776">
        <v>3</v>
      </c>
      <c r="M4776">
        <v>0</v>
      </c>
      <c r="N4776">
        <v>2</v>
      </c>
      <c r="O4776">
        <v>0</v>
      </c>
      <c r="P4776">
        <v>1</v>
      </c>
      <c r="Q4776">
        <v>0</v>
      </c>
      <c r="S4776" t="str">
        <f t="shared" si="1765"/>
        <v>19:38:19.000</v>
      </c>
      <c r="T4776" t="str">
        <f t="shared" si="1765"/>
        <v>19:38:19.000</v>
      </c>
      <c r="U4776" t="str">
        <f t="shared" si="1752"/>
        <v>AC3944</v>
      </c>
      <c r="V4776">
        <v>0</v>
      </c>
      <c r="W4776">
        <v>0</v>
      </c>
      <c r="X4776">
        <v>2</v>
      </c>
      <c r="Y4776">
        <v>0</v>
      </c>
      <c r="AA4776">
        <v>1</v>
      </c>
      <c r="AB4776">
        <v>8</v>
      </c>
      <c r="AC4776">
        <v>3</v>
      </c>
      <c r="AD4776">
        <v>0</v>
      </c>
      <c r="AE4776">
        <v>9</v>
      </c>
      <c r="AF4776" t="s">
        <v>138</v>
      </c>
      <c r="AG4776">
        <v>0</v>
      </c>
      <c r="AH4776">
        <v>3</v>
      </c>
      <c r="AI4776">
        <v>1</v>
      </c>
      <c r="AJ4776">
        <v>0</v>
      </c>
      <c r="AK4776" t="s">
        <v>1495</v>
      </c>
      <c r="AL4776">
        <v>32.713659</v>
      </c>
      <c r="AM4776" t="s">
        <v>989</v>
      </c>
      <c r="AN4776">
        <v>-116.751237</v>
      </c>
      <c r="AO4776">
        <v>25</v>
      </c>
      <c r="AP4776">
        <v>3800</v>
      </c>
      <c r="AQ4776" t="s">
        <v>129</v>
      </c>
      <c r="AR4776">
        <v>-155</v>
      </c>
      <c r="AS4776">
        <v>-100</v>
      </c>
      <c r="AT4776">
        <v>-2048</v>
      </c>
      <c r="BB4776">
        <v>1200</v>
      </c>
      <c r="BC4776">
        <v>1</v>
      </c>
      <c r="BD4776" t="str">
        <f t="shared" si="1753"/>
        <v xml:space="preserve">N887QR  </v>
      </c>
      <c r="BE4776">
        <v>1</v>
      </c>
      <c r="BG4776">
        <v>0</v>
      </c>
      <c r="BH4776">
        <v>0</v>
      </c>
      <c r="BI4776">
        <v>0</v>
      </c>
      <c r="BJ4776">
        <v>3350</v>
      </c>
      <c r="BK4776">
        <v>-450</v>
      </c>
      <c r="BL4776" t="s">
        <v>163</v>
      </c>
      <c r="BM4776">
        <v>1</v>
      </c>
      <c r="BN4776">
        <v>1</v>
      </c>
      <c r="BO4776">
        <v>1</v>
      </c>
      <c r="BP4776">
        <v>0</v>
      </c>
      <c r="BS4776">
        <v>0</v>
      </c>
      <c r="BT4776">
        <v>0</v>
      </c>
      <c r="BU4776">
        <v>0</v>
      </c>
      <c r="CE4776" t="str">
        <f>"19:38:19.278"</f>
        <v>19:38:19.278</v>
      </c>
      <c r="CF4776">
        <v>278356970</v>
      </c>
      <c r="CS4776">
        <v>0</v>
      </c>
      <c r="CT4776">
        <v>2</v>
      </c>
      <c r="CU4776">
        <v>0</v>
      </c>
      <c r="CV4776">
        <v>2</v>
      </c>
      <c r="CW4776">
        <v>0</v>
      </c>
      <c r="CX4776">
        <v>6</v>
      </c>
      <c r="CY4776">
        <v>7</v>
      </c>
      <c r="CZ4776" t="s">
        <v>131</v>
      </c>
      <c r="DA4776">
        <v>286</v>
      </c>
      <c r="DB4776">
        <v>0</v>
      </c>
      <c r="DC4776" t="s">
        <v>132</v>
      </c>
      <c r="DD4776" t="s">
        <v>133</v>
      </c>
      <c r="DG4776">
        <v>925746</v>
      </c>
      <c r="DI4776">
        <v>1</v>
      </c>
      <c r="DJ4776">
        <v>0</v>
      </c>
      <c r="DK4776">
        <v>1</v>
      </c>
      <c r="DL4776">
        <v>0</v>
      </c>
      <c r="DM4776">
        <v>0</v>
      </c>
      <c r="DN4776">
        <v>1</v>
      </c>
      <c r="DO4776">
        <v>0</v>
      </c>
      <c r="DP4776">
        <v>0</v>
      </c>
      <c r="DQ4776">
        <v>0</v>
      </c>
      <c r="DR4776">
        <v>0</v>
      </c>
      <c r="DS4776">
        <v>0</v>
      </c>
    </row>
    <row r="4777" spans="1:123" x14ac:dyDescent="0.3">
      <c r="A4777" t="str">
        <f>"10/04/2022 19:38:19.652"</f>
        <v>10/04/2022 19:38:19.652</v>
      </c>
      <c r="C4777" t="str">
        <f t="shared" si="1744"/>
        <v>FFDFD3C0</v>
      </c>
      <c r="D4777" t="s">
        <v>147</v>
      </c>
      <c r="E4777">
        <v>3</v>
      </c>
      <c r="H4777">
        <v>166</v>
      </c>
      <c r="I4777" t="s">
        <v>144</v>
      </c>
      <c r="J4777" t="s">
        <v>148</v>
      </c>
      <c r="K4777">
        <v>0</v>
      </c>
      <c r="L4777">
        <v>3</v>
      </c>
      <c r="M4777">
        <v>0</v>
      </c>
      <c r="N4777">
        <v>2</v>
      </c>
      <c r="O4777">
        <v>0</v>
      </c>
      <c r="P4777">
        <v>1</v>
      </c>
      <c r="Q4777">
        <v>0</v>
      </c>
      <c r="S4777" t="str">
        <f t="shared" si="1765"/>
        <v>19:38:19.000</v>
      </c>
      <c r="T4777" t="str">
        <f t="shared" si="1765"/>
        <v>19:38:19.000</v>
      </c>
      <c r="U4777" t="str">
        <f t="shared" si="1752"/>
        <v>AC3944</v>
      </c>
      <c r="V4777">
        <v>0</v>
      </c>
      <c r="W4777">
        <v>0</v>
      </c>
      <c r="X4777">
        <v>2</v>
      </c>
      <c r="Y4777">
        <v>0</v>
      </c>
      <c r="AA4777">
        <v>1</v>
      </c>
      <c r="AB4777">
        <v>8</v>
      </c>
      <c r="AC4777">
        <v>3</v>
      </c>
      <c r="AD4777">
        <v>0</v>
      </c>
      <c r="AE4777">
        <v>9</v>
      </c>
      <c r="AF4777" t="s">
        <v>138</v>
      </c>
      <c r="AG4777">
        <v>0</v>
      </c>
      <c r="AH4777">
        <v>3</v>
      </c>
      <c r="AI4777">
        <v>1</v>
      </c>
      <c r="AJ4777">
        <v>0</v>
      </c>
      <c r="AK4777" t="s">
        <v>1495</v>
      </c>
      <c r="AL4777">
        <v>32.713659</v>
      </c>
      <c r="AM4777" t="s">
        <v>989</v>
      </c>
      <c r="AN4777">
        <v>-116.751237</v>
      </c>
      <c r="AO4777">
        <v>25</v>
      </c>
      <c r="AP4777">
        <v>3800</v>
      </c>
      <c r="AQ4777" t="s">
        <v>129</v>
      </c>
      <c r="AR4777">
        <v>-155</v>
      </c>
      <c r="AS4777">
        <v>-100</v>
      </c>
      <c r="AT4777">
        <v>-2048</v>
      </c>
      <c r="BB4777">
        <v>1200</v>
      </c>
      <c r="BC4777">
        <v>1</v>
      </c>
      <c r="BD4777" t="str">
        <f t="shared" si="1753"/>
        <v xml:space="preserve">N887QR  </v>
      </c>
      <c r="BE4777">
        <v>1</v>
      </c>
      <c r="BG4777">
        <v>0</v>
      </c>
      <c r="BH4777">
        <v>0</v>
      </c>
      <c r="BI4777">
        <v>0</v>
      </c>
      <c r="BJ4777">
        <v>3350</v>
      </c>
      <c r="BK4777">
        <v>-450</v>
      </c>
      <c r="BL4777" t="s">
        <v>163</v>
      </c>
      <c r="BM4777">
        <v>1</v>
      </c>
      <c r="BN4777">
        <v>1</v>
      </c>
      <c r="BO4777">
        <v>1</v>
      </c>
      <c r="BP4777">
        <v>0</v>
      </c>
      <c r="BS4777">
        <v>0</v>
      </c>
      <c r="BT4777">
        <v>0</v>
      </c>
      <c r="BU4777">
        <v>0</v>
      </c>
      <c r="CE4777" t="str">
        <f>"19:38:19.278"</f>
        <v>19:38:19.278</v>
      </c>
      <c r="CF4777">
        <v>278356970</v>
      </c>
      <c r="CS4777">
        <v>0</v>
      </c>
      <c r="CT4777">
        <v>2</v>
      </c>
      <c r="CU4777">
        <v>0</v>
      </c>
      <c r="CV4777">
        <v>2</v>
      </c>
      <c r="CW4777">
        <v>0</v>
      </c>
      <c r="CX4777">
        <v>6</v>
      </c>
      <c r="CY4777">
        <v>7</v>
      </c>
      <c r="CZ4777" t="s">
        <v>131</v>
      </c>
      <c r="DA4777">
        <v>286</v>
      </c>
      <c r="DB4777">
        <v>0</v>
      </c>
      <c r="DC4777" t="s">
        <v>132</v>
      </c>
      <c r="DD4777" t="s">
        <v>133</v>
      </c>
      <c r="DG4777">
        <v>925746</v>
      </c>
      <c r="DI4777">
        <v>1</v>
      </c>
      <c r="DJ4777">
        <v>0</v>
      </c>
      <c r="DK4777">
        <v>1</v>
      </c>
      <c r="DL4777">
        <v>0</v>
      </c>
      <c r="DM4777">
        <v>0</v>
      </c>
      <c r="DN4777">
        <v>1</v>
      </c>
      <c r="DO4777">
        <v>0</v>
      </c>
      <c r="DP4777">
        <v>0</v>
      </c>
      <c r="DQ4777">
        <v>0</v>
      </c>
      <c r="DR4777">
        <v>0</v>
      </c>
      <c r="DS4777">
        <v>0</v>
      </c>
    </row>
    <row r="4778" spans="1:123" x14ac:dyDescent="0.3">
      <c r="A4778" t="str">
        <f t="shared" ref="A4778:A4784" si="1766">"10/04/2022 19:38:20.607"</f>
        <v>10/04/2022 19:38:20.607</v>
      </c>
      <c r="C4778" t="str">
        <f t="shared" si="1744"/>
        <v>FFDFD3C0</v>
      </c>
      <c r="D4778" t="s">
        <v>134</v>
      </c>
      <c r="E4778">
        <v>15</v>
      </c>
      <c r="J4778" t="s">
        <v>135</v>
      </c>
      <c r="K4778">
        <v>0</v>
      </c>
      <c r="L4778">
        <v>3</v>
      </c>
      <c r="M4778">
        <v>0</v>
      </c>
      <c r="N4778">
        <v>2</v>
      </c>
      <c r="O4778">
        <v>0</v>
      </c>
      <c r="P4778">
        <v>1</v>
      </c>
      <c r="Q4778">
        <v>0</v>
      </c>
      <c r="S4778" t="str">
        <f t="shared" ref="S4778:T4784" si="1767">"19:38:20.000"</f>
        <v>19:38:20.000</v>
      </c>
      <c r="T4778" t="str">
        <f t="shared" si="1767"/>
        <v>19:38:20.000</v>
      </c>
      <c r="U4778" t="str">
        <f t="shared" si="1752"/>
        <v>AC3944</v>
      </c>
      <c r="V4778">
        <v>0</v>
      </c>
      <c r="W4778">
        <v>0</v>
      </c>
      <c r="X4778">
        <v>2</v>
      </c>
      <c r="Y4778">
        <v>0</v>
      </c>
      <c r="AA4778">
        <v>1</v>
      </c>
      <c r="AB4778">
        <v>8</v>
      </c>
      <c r="AC4778">
        <v>3</v>
      </c>
      <c r="AD4778">
        <v>0</v>
      </c>
      <c r="AE4778">
        <v>9</v>
      </c>
      <c r="AF4778" t="s">
        <v>138</v>
      </c>
      <c r="AG4778">
        <v>0</v>
      </c>
      <c r="AH4778">
        <v>3</v>
      </c>
      <c r="AI4778">
        <v>1</v>
      </c>
      <c r="AJ4778">
        <v>0</v>
      </c>
      <c r="AK4778" t="s">
        <v>1496</v>
      </c>
      <c r="AL4778">
        <v>32.713186999999998</v>
      </c>
      <c r="AM4778" t="s">
        <v>1100</v>
      </c>
      <c r="AN4778">
        <v>-116.752095</v>
      </c>
      <c r="AO4778">
        <v>25</v>
      </c>
      <c r="AP4778">
        <v>3800</v>
      </c>
      <c r="AQ4778" t="s">
        <v>129</v>
      </c>
      <c r="AR4778">
        <v>-154</v>
      </c>
      <c r="AS4778">
        <v>-101</v>
      </c>
      <c r="AT4778">
        <v>-2048</v>
      </c>
      <c r="BB4778">
        <v>1200</v>
      </c>
      <c r="BC4778">
        <v>1</v>
      </c>
      <c r="BD4778" t="str">
        <f t="shared" si="1753"/>
        <v xml:space="preserve">N887QR  </v>
      </c>
      <c r="BE4778">
        <v>1</v>
      </c>
      <c r="BG4778">
        <v>0</v>
      </c>
      <c r="BH4778">
        <v>0</v>
      </c>
      <c r="BI4778">
        <v>0</v>
      </c>
      <c r="BJ4778">
        <v>3350</v>
      </c>
      <c r="BK4778">
        <v>-450</v>
      </c>
      <c r="BL4778" t="s">
        <v>163</v>
      </c>
      <c r="BM4778">
        <v>1</v>
      </c>
      <c r="BN4778">
        <v>1</v>
      </c>
      <c r="BO4778">
        <v>1</v>
      </c>
      <c r="BP4778">
        <v>0</v>
      </c>
      <c r="BS4778">
        <v>0</v>
      </c>
      <c r="BT4778">
        <v>0</v>
      </c>
      <c r="BU4778">
        <v>0</v>
      </c>
      <c r="CE4778" t="str">
        <f t="shared" ref="CE4778:CE4784" si="1768">"19:38:20.314"</f>
        <v>19:38:20.314</v>
      </c>
      <c r="CF4778">
        <v>313859969</v>
      </c>
      <c r="CS4778">
        <v>0</v>
      </c>
      <c r="CT4778">
        <v>2</v>
      </c>
      <c r="CU4778">
        <v>0</v>
      </c>
      <c r="CV4778">
        <v>2</v>
      </c>
      <c r="CW4778">
        <v>0</v>
      </c>
      <c r="CX4778">
        <v>3</v>
      </c>
      <c r="CY4778">
        <v>7</v>
      </c>
      <c r="CZ4778" t="s">
        <v>131</v>
      </c>
      <c r="DA4778">
        <v>286</v>
      </c>
      <c r="DB4778">
        <v>0</v>
      </c>
      <c r="DC4778" t="s">
        <v>132</v>
      </c>
      <c r="DD4778" t="s">
        <v>133</v>
      </c>
      <c r="DG4778">
        <v>926011</v>
      </c>
      <c r="DI4778">
        <v>1</v>
      </c>
      <c r="DJ4778">
        <v>0</v>
      </c>
      <c r="DK4778">
        <v>0</v>
      </c>
      <c r="DL4778">
        <v>0</v>
      </c>
      <c r="DM4778">
        <v>0</v>
      </c>
      <c r="DN4778">
        <v>1</v>
      </c>
      <c r="DO4778">
        <v>0</v>
      </c>
      <c r="DP4778">
        <v>0</v>
      </c>
      <c r="DQ4778">
        <v>0</v>
      </c>
      <c r="DR4778">
        <v>0</v>
      </c>
      <c r="DS4778">
        <v>0</v>
      </c>
    </row>
    <row r="4779" spans="1:123" x14ac:dyDescent="0.3">
      <c r="A4779" t="str">
        <f t="shared" si="1766"/>
        <v>10/04/2022 19:38:20.607</v>
      </c>
      <c r="C4779" t="str">
        <f t="shared" ref="C4779:C4842" si="1769">"FFDFD3C0"</f>
        <v>FFDFD3C0</v>
      </c>
      <c r="D4779" t="s">
        <v>147</v>
      </c>
      <c r="E4779">
        <v>3</v>
      </c>
      <c r="H4779">
        <v>166</v>
      </c>
      <c r="I4779" t="s">
        <v>144</v>
      </c>
      <c r="J4779" t="s">
        <v>148</v>
      </c>
      <c r="K4779">
        <v>0</v>
      </c>
      <c r="L4779">
        <v>3</v>
      </c>
      <c r="M4779">
        <v>0</v>
      </c>
      <c r="N4779">
        <v>2</v>
      </c>
      <c r="O4779">
        <v>0</v>
      </c>
      <c r="P4779">
        <v>1</v>
      </c>
      <c r="Q4779">
        <v>0</v>
      </c>
      <c r="S4779" t="str">
        <f t="shared" si="1767"/>
        <v>19:38:20.000</v>
      </c>
      <c r="T4779" t="str">
        <f t="shared" si="1767"/>
        <v>19:38:20.000</v>
      </c>
      <c r="U4779" t="str">
        <f t="shared" si="1752"/>
        <v>AC3944</v>
      </c>
      <c r="V4779">
        <v>0</v>
      </c>
      <c r="W4779">
        <v>0</v>
      </c>
      <c r="X4779">
        <v>2</v>
      </c>
      <c r="Y4779">
        <v>0</v>
      </c>
      <c r="AA4779">
        <v>1</v>
      </c>
      <c r="AB4779">
        <v>8</v>
      </c>
      <c r="AC4779">
        <v>3</v>
      </c>
      <c r="AD4779">
        <v>0</v>
      </c>
      <c r="AE4779">
        <v>9</v>
      </c>
      <c r="AF4779" t="s">
        <v>138</v>
      </c>
      <c r="AG4779">
        <v>0</v>
      </c>
      <c r="AH4779">
        <v>3</v>
      </c>
      <c r="AI4779">
        <v>1</v>
      </c>
      <c r="AJ4779">
        <v>0</v>
      </c>
      <c r="AK4779" t="s">
        <v>1496</v>
      </c>
      <c r="AL4779">
        <v>32.713186999999998</v>
      </c>
      <c r="AM4779" t="s">
        <v>1100</v>
      </c>
      <c r="AN4779">
        <v>-116.752095</v>
      </c>
      <c r="AO4779">
        <v>25</v>
      </c>
      <c r="AP4779">
        <v>3800</v>
      </c>
      <c r="AQ4779" t="s">
        <v>129</v>
      </c>
      <c r="AR4779">
        <v>-154</v>
      </c>
      <c r="AS4779">
        <v>-101</v>
      </c>
      <c r="AT4779">
        <v>-2048</v>
      </c>
      <c r="BB4779">
        <v>1200</v>
      </c>
      <c r="BC4779">
        <v>1</v>
      </c>
      <c r="BD4779" t="str">
        <f t="shared" si="1753"/>
        <v xml:space="preserve">N887QR  </v>
      </c>
      <c r="BE4779">
        <v>1</v>
      </c>
      <c r="BG4779">
        <v>0</v>
      </c>
      <c r="BH4779">
        <v>0</v>
      </c>
      <c r="BI4779">
        <v>0</v>
      </c>
      <c r="BJ4779">
        <v>3350</v>
      </c>
      <c r="BK4779">
        <v>-450</v>
      </c>
      <c r="BL4779" t="s">
        <v>163</v>
      </c>
      <c r="BM4779">
        <v>1</v>
      </c>
      <c r="BN4779">
        <v>1</v>
      </c>
      <c r="BO4779">
        <v>1</v>
      </c>
      <c r="BP4779">
        <v>0</v>
      </c>
      <c r="BS4779">
        <v>0</v>
      </c>
      <c r="BT4779">
        <v>0</v>
      </c>
      <c r="BU4779">
        <v>0</v>
      </c>
      <c r="CE4779" t="str">
        <f t="shared" si="1768"/>
        <v>19:38:20.314</v>
      </c>
      <c r="CF4779">
        <v>313859969</v>
      </c>
      <c r="CS4779">
        <v>0</v>
      </c>
      <c r="CT4779">
        <v>2</v>
      </c>
      <c r="CU4779">
        <v>0</v>
      </c>
      <c r="CV4779">
        <v>2</v>
      </c>
      <c r="CW4779">
        <v>0</v>
      </c>
      <c r="CX4779">
        <v>3</v>
      </c>
      <c r="CY4779">
        <v>7</v>
      </c>
      <c r="CZ4779" t="s">
        <v>131</v>
      </c>
      <c r="DA4779">
        <v>286</v>
      </c>
      <c r="DB4779">
        <v>0</v>
      </c>
      <c r="DC4779" t="s">
        <v>132</v>
      </c>
      <c r="DD4779" t="s">
        <v>133</v>
      </c>
      <c r="DG4779">
        <v>926011</v>
      </c>
      <c r="DI4779">
        <v>1</v>
      </c>
      <c r="DJ4779">
        <v>0</v>
      </c>
      <c r="DK4779">
        <v>0</v>
      </c>
      <c r="DL4779">
        <v>0</v>
      </c>
      <c r="DM4779">
        <v>0</v>
      </c>
      <c r="DN4779">
        <v>1</v>
      </c>
      <c r="DO4779">
        <v>0</v>
      </c>
      <c r="DP4779">
        <v>0</v>
      </c>
      <c r="DQ4779">
        <v>0</v>
      </c>
      <c r="DR4779">
        <v>0</v>
      </c>
      <c r="DS4779">
        <v>0</v>
      </c>
    </row>
    <row r="4780" spans="1:123" x14ac:dyDescent="0.3">
      <c r="A4780" t="str">
        <f t="shared" si="1766"/>
        <v>10/04/2022 19:38:20.607</v>
      </c>
      <c r="C4780" t="str">
        <f t="shared" si="1769"/>
        <v>FFDFD3C0</v>
      </c>
      <c r="D4780" t="s">
        <v>141</v>
      </c>
      <c r="E4780">
        <v>4</v>
      </c>
      <c r="H4780">
        <v>4</v>
      </c>
      <c r="I4780" t="s">
        <v>142</v>
      </c>
      <c r="J4780" t="s">
        <v>138</v>
      </c>
      <c r="K4780">
        <v>0</v>
      </c>
      <c r="L4780">
        <v>3</v>
      </c>
      <c r="M4780">
        <v>0</v>
      </c>
      <c r="N4780">
        <v>2</v>
      </c>
      <c r="O4780">
        <v>0</v>
      </c>
      <c r="P4780">
        <v>1</v>
      </c>
      <c r="Q4780">
        <v>0</v>
      </c>
      <c r="S4780" t="str">
        <f t="shared" si="1767"/>
        <v>19:38:20.000</v>
      </c>
      <c r="T4780" t="str">
        <f t="shared" si="1767"/>
        <v>19:38:20.000</v>
      </c>
      <c r="U4780" t="str">
        <f t="shared" si="1752"/>
        <v>AC3944</v>
      </c>
      <c r="V4780">
        <v>0</v>
      </c>
      <c r="W4780">
        <v>0</v>
      </c>
      <c r="X4780">
        <v>2</v>
      </c>
      <c r="Y4780">
        <v>0</v>
      </c>
      <c r="AA4780">
        <v>1</v>
      </c>
      <c r="AB4780">
        <v>8</v>
      </c>
      <c r="AC4780">
        <v>3</v>
      </c>
      <c r="AD4780">
        <v>0</v>
      </c>
      <c r="AE4780">
        <v>9</v>
      </c>
      <c r="AF4780" t="s">
        <v>138</v>
      </c>
      <c r="AG4780">
        <v>0</v>
      </c>
      <c r="AH4780">
        <v>3</v>
      </c>
      <c r="AI4780">
        <v>1</v>
      </c>
      <c r="AJ4780">
        <v>0</v>
      </c>
      <c r="AK4780" t="s">
        <v>1496</v>
      </c>
      <c r="AL4780">
        <v>32.713186999999998</v>
      </c>
      <c r="AM4780" t="s">
        <v>1100</v>
      </c>
      <c r="AN4780">
        <v>-116.752095</v>
      </c>
      <c r="AO4780">
        <v>25</v>
      </c>
      <c r="AP4780">
        <v>3800</v>
      </c>
      <c r="AQ4780" t="s">
        <v>129</v>
      </c>
      <c r="AR4780">
        <v>-154</v>
      </c>
      <c r="AS4780">
        <v>-101</v>
      </c>
      <c r="AT4780">
        <v>-2048</v>
      </c>
      <c r="BB4780">
        <v>1200</v>
      </c>
      <c r="BC4780">
        <v>1</v>
      </c>
      <c r="BD4780" t="str">
        <f t="shared" si="1753"/>
        <v xml:space="preserve">N887QR  </v>
      </c>
      <c r="BE4780">
        <v>1</v>
      </c>
      <c r="BG4780">
        <v>0</v>
      </c>
      <c r="BH4780">
        <v>0</v>
      </c>
      <c r="BI4780">
        <v>0</v>
      </c>
      <c r="BJ4780">
        <v>3350</v>
      </c>
      <c r="BK4780">
        <v>-450</v>
      </c>
      <c r="BL4780" t="s">
        <v>163</v>
      </c>
      <c r="BM4780">
        <v>1</v>
      </c>
      <c r="BN4780">
        <v>1</v>
      </c>
      <c r="BO4780">
        <v>1</v>
      </c>
      <c r="BP4780">
        <v>0</v>
      </c>
      <c r="BS4780">
        <v>0</v>
      </c>
      <c r="BT4780">
        <v>0</v>
      </c>
      <c r="BU4780">
        <v>0</v>
      </c>
      <c r="CE4780" t="str">
        <f t="shared" si="1768"/>
        <v>19:38:20.314</v>
      </c>
      <c r="CF4780">
        <v>313859969</v>
      </c>
      <c r="CS4780">
        <v>0</v>
      </c>
      <c r="CT4780">
        <v>2</v>
      </c>
      <c r="CU4780">
        <v>0</v>
      </c>
      <c r="CV4780">
        <v>2</v>
      </c>
      <c r="CW4780">
        <v>0</v>
      </c>
      <c r="CX4780">
        <v>3</v>
      </c>
      <c r="CY4780">
        <v>7</v>
      </c>
      <c r="CZ4780" t="s">
        <v>131</v>
      </c>
      <c r="DA4780">
        <v>286</v>
      </c>
      <c r="DB4780">
        <v>0</v>
      </c>
      <c r="DC4780" t="s">
        <v>132</v>
      </c>
      <c r="DD4780" t="s">
        <v>133</v>
      </c>
      <c r="DG4780">
        <v>926011</v>
      </c>
      <c r="DI4780">
        <v>1</v>
      </c>
      <c r="DJ4780">
        <v>0</v>
      </c>
      <c r="DK4780">
        <v>1</v>
      </c>
      <c r="DL4780">
        <v>0</v>
      </c>
      <c r="DM4780">
        <v>0</v>
      </c>
      <c r="DN4780">
        <v>1</v>
      </c>
      <c r="DO4780">
        <v>0</v>
      </c>
      <c r="DP4780">
        <v>0</v>
      </c>
      <c r="DQ4780">
        <v>0</v>
      </c>
      <c r="DR4780">
        <v>0</v>
      </c>
      <c r="DS4780">
        <v>0</v>
      </c>
    </row>
    <row r="4781" spans="1:123" x14ac:dyDescent="0.3">
      <c r="A4781" t="str">
        <f t="shared" si="1766"/>
        <v>10/04/2022 19:38:20.607</v>
      </c>
      <c r="C4781" t="str">
        <f t="shared" si="1769"/>
        <v>FFDFD3C0</v>
      </c>
      <c r="D4781" t="s">
        <v>136</v>
      </c>
      <c r="E4781">
        <v>8</v>
      </c>
      <c r="H4781">
        <v>225</v>
      </c>
      <c r="I4781" t="s">
        <v>137</v>
      </c>
      <c r="J4781" t="s">
        <v>138</v>
      </c>
      <c r="K4781">
        <v>0</v>
      </c>
      <c r="L4781">
        <v>3</v>
      </c>
      <c r="M4781">
        <v>0</v>
      </c>
      <c r="N4781">
        <v>2</v>
      </c>
      <c r="O4781">
        <v>0</v>
      </c>
      <c r="P4781">
        <v>1</v>
      </c>
      <c r="Q4781">
        <v>0</v>
      </c>
      <c r="S4781" t="str">
        <f t="shared" si="1767"/>
        <v>19:38:20.000</v>
      </c>
      <c r="T4781" t="str">
        <f t="shared" si="1767"/>
        <v>19:38:20.000</v>
      </c>
      <c r="U4781" t="str">
        <f t="shared" si="1752"/>
        <v>AC3944</v>
      </c>
      <c r="V4781">
        <v>0</v>
      </c>
      <c r="W4781">
        <v>0</v>
      </c>
      <c r="X4781">
        <v>2</v>
      </c>
      <c r="Y4781">
        <v>0</v>
      </c>
      <c r="AA4781">
        <v>1</v>
      </c>
      <c r="AB4781">
        <v>8</v>
      </c>
      <c r="AC4781">
        <v>3</v>
      </c>
      <c r="AD4781">
        <v>0</v>
      </c>
      <c r="AE4781">
        <v>9</v>
      </c>
      <c r="AF4781" t="s">
        <v>138</v>
      </c>
      <c r="AG4781">
        <v>0</v>
      </c>
      <c r="AH4781">
        <v>3</v>
      </c>
      <c r="AI4781">
        <v>1</v>
      </c>
      <c r="AJ4781">
        <v>0</v>
      </c>
      <c r="AK4781" t="s">
        <v>1496</v>
      </c>
      <c r="AL4781">
        <v>32.713186999999998</v>
      </c>
      <c r="AM4781" t="s">
        <v>1100</v>
      </c>
      <c r="AN4781">
        <v>-116.752095</v>
      </c>
      <c r="AO4781">
        <v>25</v>
      </c>
      <c r="AP4781">
        <v>3800</v>
      </c>
      <c r="AQ4781" t="s">
        <v>129</v>
      </c>
      <c r="AR4781">
        <v>-154</v>
      </c>
      <c r="AS4781">
        <v>-101</v>
      </c>
      <c r="AT4781">
        <v>-2048</v>
      </c>
      <c r="BB4781">
        <v>1200</v>
      </c>
      <c r="BC4781">
        <v>1</v>
      </c>
      <c r="BD4781" t="str">
        <f t="shared" si="1753"/>
        <v xml:space="preserve">N887QR  </v>
      </c>
      <c r="BE4781">
        <v>1</v>
      </c>
      <c r="BG4781">
        <v>0</v>
      </c>
      <c r="BH4781">
        <v>0</v>
      </c>
      <c r="BI4781">
        <v>0</v>
      </c>
      <c r="BJ4781">
        <v>3350</v>
      </c>
      <c r="BK4781">
        <v>-450</v>
      </c>
      <c r="BL4781" t="s">
        <v>163</v>
      </c>
      <c r="BM4781">
        <v>1</v>
      </c>
      <c r="BN4781">
        <v>1</v>
      </c>
      <c r="BO4781">
        <v>1</v>
      </c>
      <c r="BP4781">
        <v>0</v>
      </c>
      <c r="BS4781">
        <v>0</v>
      </c>
      <c r="BT4781">
        <v>0</v>
      </c>
      <c r="BU4781">
        <v>0</v>
      </c>
      <c r="CE4781" t="str">
        <f t="shared" si="1768"/>
        <v>19:38:20.314</v>
      </c>
      <c r="CF4781">
        <v>313859969</v>
      </c>
      <c r="CS4781">
        <v>0</v>
      </c>
      <c r="CT4781">
        <v>2</v>
      </c>
      <c r="CU4781">
        <v>0</v>
      </c>
      <c r="CV4781">
        <v>2</v>
      </c>
      <c r="CW4781">
        <v>0</v>
      </c>
      <c r="CX4781">
        <v>3</v>
      </c>
      <c r="CY4781">
        <v>7</v>
      </c>
      <c r="CZ4781" t="s">
        <v>131</v>
      </c>
      <c r="DA4781">
        <v>286</v>
      </c>
      <c r="DB4781">
        <v>0</v>
      </c>
      <c r="DC4781" t="s">
        <v>132</v>
      </c>
      <c r="DD4781" t="s">
        <v>133</v>
      </c>
      <c r="DG4781">
        <v>926011</v>
      </c>
      <c r="DI4781">
        <v>1</v>
      </c>
      <c r="DJ4781">
        <v>0</v>
      </c>
      <c r="DK4781">
        <v>1</v>
      </c>
      <c r="DL4781">
        <v>0</v>
      </c>
      <c r="DM4781">
        <v>0</v>
      </c>
      <c r="DN4781">
        <v>1</v>
      </c>
      <c r="DO4781">
        <v>0</v>
      </c>
      <c r="DP4781">
        <v>0</v>
      </c>
      <c r="DQ4781">
        <v>0</v>
      </c>
      <c r="DR4781">
        <v>0</v>
      </c>
      <c r="DS4781">
        <v>0</v>
      </c>
    </row>
    <row r="4782" spans="1:123" x14ac:dyDescent="0.3">
      <c r="A4782" t="str">
        <f t="shared" si="1766"/>
        <v>10/04/2022 19:38:20.607</v>
      </c>
      <c r="C4782" t="str">
        <f t="shared" si="1769"/>
        <v>FFDFD3C0</v>
      </c>
      <c r="D4782" t="s">
        <v>143</v>
      </c>
      <c r="E4782">
        <v>20</v>
      </c>
      <c r="F4782">
        <v>1020</v>
      </c>
      <c r="G4782" t="s">
        <v>144</v>
      </c>
      <c r="J4782" t="s">
        <v>145</v>
      </c>
      <c r="K4782">
        <v>0</v>
      </c>
      <c r="L4782">
        <v>3</v>
      </c>
      <c r="M4782">
        <v>0</v>
      </c>
      <c r="N4782">
        <v>2</v>
      </c>
      <c r="O4782">
        <v>0</v>
      </c>
      <c r="P4782">
        <v>1</v>
      </c>
      <c r="Q4782">
        <v>0</v>
      </c>
      <c r="S4782" t="str">
        <f t="shared" si="1767"/>
        <v>19:38:20.000</v>
      </c>
      <c r="T4782" t="str">
        <f t="shared" si="1767"/>
        <v>19:38:20.000</v>
      </c>
      <c r="U4782" t="str">
        <f t="shared" si="1752"/>
        <v>AC3944</v>
      </c>
      <c r="V4782">
        <v>0</v>
      </c>
      <c r="W4782">
        <v>0</v>
      </c>
      <c r="X4782">
        <v>2</v>
      </c>
      <c r="Y4782">
        <v>0</v>
      </c>
      <c r="AA4782">
        <v>1</v>
      </c>
      <c r="AB4782">
        <v>8</v>
      </c>
      <c r="AC4782">
        <v>3</v>
      </c>
      <c r="AD4782">
        <v>0</v>
      </c>
      <c r="AE4782">
        <v>9</v>
      </c>
      <c r="AF4782" t="s">
        <v>138</v>
      </c>
      <c r="AG4782">
        <v>0</v>
      </c>
      <c r="AH4782">
        <v>3</v>
      </c>
      <c r="AI4782">
        <v>1</v>
      </c>
      <c r="AJ4782">
        <v>0</v>
      </c>
      <c r="AK4782" t="s">
        <v>1496</v>
      </c>
      <c r="AL4782">
        <v>32.713186999999998</v>
      </c>
      <c r="AM4782" t="s">
        <v>1100</v>
      </c>
      <c r="AN4782">
        <v>-116.752095</v>
      </c>
      <c r="AO4782">
        <v>25</v>
      </c>
      <c r="AP4782">
        <v>3800</v>
      </c>
      <c r="AQ4782" t="s">
        <v>129</v>
      </c>
      <c r="AR4782">
        <v>-154</v>
      </c>
      <c r="AS4782">
        <v>-101</v>
      </c>
      <c r="AT4782">
        <v>-2048</v>
      </c>
      <c r="BB4782">
        <v>1200</v>
      </c>
      <c r="BC4782">
        <v>1</v>
      </c>
      <c r="BD4782" t="str">
        <f t="shared" si="1753"/>
        <v xml:space="preserve">N887QR  </v>
      </c>
      <c r="BE4782">
        <v>1</v>
      </c>
      <c r="BG4782">
        <v>0</v>
      </c>
      <c r="BH4782">
        <v>0</v>
      </c>
      <c r="BI4782">
        <v>0</v>
      </c>
      <c r="BJ4782">
        <v>3350</v>
      </c>
      <c r="BK4782">
        <v>-450</v>
      </c>
      <c r="BL4782" t="s">
        <v>163</v>
      </c>
      <c r="BM4782">
        <v>1</v>
      </c>
      <c r="BN4782">
        <v>1</v>
      </c>
      <c r="BO4782">
        <v>1</v>
      </c>
      <c r="BP4782">
        <v>0</v>
      </c>
      <c r="BS4782">
        <v>0</v>
      </c>
      <c r="BT4782">
        <v>0</v>
      </c>
      <c r="BU4782">
        <v>0</v>
      </c>
      <c r="CE4782" t="str">
        <f t="shared" si="1768"/>
        <v>19:38:20.314</v>
      </c>
      <c r="CF4782">
        <v>313859969</v>
      </c>
      <c r="CS4782">
        <v>0</v>
      </c>
      <c r="CT4782">
        <v>2</v>
      </c>
      <c r="CU4782">
        <v>0</v>
      </c>
      <c r="CV4782">
        <v>2</v>
      </c>
      <c r="CW4782">
        <v>0</v>
      </c>
      <c r="CX4782">
        <v>3</v>
      </c>
      <c r="CY4782">
        <v>7</v>
      </c>
      <c r="CZ4782" t="s">
        <v>131</v>
      </c>
      <c r="DA4782">
        <v>286</v>
      </c>
      <c r="DB4782">
        <v>0</v>
      </c>
      <c r="DC4782" t="s">
        <v>132</v>
      </c>
      <c r="DD4782" t="s">
        <v>133</v>
      </c>
      <c r="DG4782">
        <v>926011</v>
      </c>
      <c r="DI4782">
        <v>1</v>
      </c>
      <c r="DJ4782">
        <v>0</v>
      </c>
      <c r="DK4782">
        <v>1</v>
      </c>
      <c r="DL4782">
        <v>0</v>
      </c>
      <c r="DM4782">
        <v>0</v>
      </c>
      <c r="DN4782">
        <v>1</v>
      </c>
      <c r="DO4782">
        <v>0</v>
      </c>
      <c r="DP4782">
        <v>0</v>
      </c>
      <c r="DQ4782">
        <v>0</v>
      </c>
      <c r="DR4782">
        <v>0</v>
      </c>
      <c r="DS4782">
        <v>0</v>
      </c>
    </row>
    <row r="4783" spans="1:123" x14ac:dyDescent="0.3">
      <c r="A4783" t="str">
        <f t="shared" si="1766"/>
        <v>10/04/2022 19:38:20.607</v>
      </c>
      <c r="C4783" t="str">
        <f t="shared" si="1769"/>
        <v>FFDFD3C0</v>
      </c>
      <c r="D4783" t="s">
        <v>123</v>
      </c>
      <c r="E4783">
        <v>7</v>
      </c>
      <c r="F4783">
        <v>2007</v>
      </c>
      <c r="G4783" t="s">
        <v>124</v>
      </c>
      <c r="J4783" t="s">
        <v>125</v>
      </c>
      <c r="K4783">
        <v>0</v>
      </c>
      <c r="L4783">
        <v>3</v>
      </c>
      <c r="M4783">
        <v>0</v>
      </c>
      <c r="N4783">
        <v>2</v>
      </c>
      <c r="O4783">
        <v>0</v>
      </c>
      <c r="P4783">
        <v>1</v>
      </c>
      <c r="Q4783">
        <v>0</v>
      </c>
      <c r="S4783" t="str">
        <f t="shared" si="1767"/>
        <v>19:38:20.000</v>
      </c>
      <c r="T4783" t="str">
        <f t="shared" si="1767"/>
        <v>19:38:20.000</v>
      </c>
      <c r="U4783" t="str">
        <f t="shared" si="1752"/>
        <v>AC3944</v>
      </c>
      <c r="V4783">
        <v>0</v>
      </c>
      <c r="W4783">
        <v>0</v>
      </c>
      <c r="X4783">
        <v>2</v>
      </c>
      <c r="Y4783">
        <v>0</v>
      </c>
      <c r="AA4783">
        <v>1</v>
      </c>
      <c r="AB4783">
        <v>8</v>
      </c>
      <c r="AC4783">
        <v>3</v>
      </c>
      <c r="AD4783">
        <v>0</v>
      </c>
      <c r="AE4783">
        <v>9</v>
      </c>
      <c r="AF4783" t="s">
        <v>138</v>
      </c>
      <c r="AG4783">
        <v>0</v>
      </c>
      <c r="AH4783">
        <v>3</v>
      </c>
      <c r="AI4783">
        <v>1</v>
      </c>
      <c r="AJ4783">
        <v>0</v>
      </c>
      <c r="AK4783" t="s">
        <v>1496</v>
      </c>
      <c r="AL4783">
        <v>32.713186999999998</v>
      </c>
      <c r="AM4783" t="s">
        <v>1100</v>
      </c>
      <c r="AN4783">
        <v>-116.752095</v>
      </c>
      <c r="AO4783">
        <v>25</v>
      </c>
      <c r="AP4783">
        <v>3800</v>
      </c>
      <c r="AQ4783" t="s">
        <v>129</v>
      </c>
      <c r="AR4783">
        <v>-154</v>
      </c>
      <c r="AS4783">
        <v>-101</v>
      </c>
      <c r="AT4783">
        <v>-2048</v>
      </c>
      <c r="BB4783">
        <v>1200</v>
      </c>
      <c r="BC4783">
        <v>1</v>
      </c>
      <c r="BD4783" t="str">
        <f t="shared" si="1753"/>
        <v xml:space="preserve">N887QR  </v>
      </c>
      <c r="BE4783">
        <v>1</v>
      </c>
      <c r="BG4783">
        <v>0</v>
      </c>
      <c r="BH4783">
        <v>0</v>
      </c>
      <c r="BI4783">
        <v>0</v>
      </c>
      <c r="BJ4783">
        <v>3350</v>
      </c>
      <c r="BK4783">
        <v>-450</v>
      </c>
      <c r="BL4783" t="s">
        <v>163</v>
      </c>
      <c r="BM4783">
        <v>1</v>
      </c>
      <c r="BN4783">
        <v>1</v>
      </c>
      <c r="BO4783">
        <v>1</v>
      </c>
      <c r="BP4783">
        <v>0</v>
      </c>
      <c r="BS4783">
        <v>0</v>
      </c>
      <c r="BT4783">
        <v>0</v>
      </c>
      <c r="BU4783">
        <v>0</v>
      </c>
      <c r="CE4783" t="str">
        <f t="shared" si="1768"/>
        <v>19:38:20.314</v>
      </c>
      <c r="CF4783">
        <v>313859969</v>
      </c>
      <c r="CS4783">
        <v>0</v>
      </c>
      <c r="CT4783">
        <v>2</v>
      </c>
      <c r="CU4783">
        <v>0</v>
      </c>
      <c r="CV4783">
        <v>2</v>
      </c>
      <c r="CW4783">
        <v>0</v>
      </c>
      <c r="CX4783">
        <v>3</v>
      </c>
      <c r="CY4783">
        <v>7</v>
      </c>
      <c r="CZ4783" t="s">
        <v>131</v>
      </c>
      <c r="DA4783">
        <v>286</v>
      </c>
      <c r="DB4783">
        <v>0</v>
      </c>
      <c r="DC4783" t="s">
        <v>132</v>
      </c>
      <c r="DD4783" t="s">
        <v>133</v>
      </c>
      <c r="DG4783">
        <v>926011</v>
      </c>
      <c r="DI4783">
        <v>1</v>
      </c>
      <c r="DJ4783">
        <v>0</v>
      </c>
      <c r="DK4783">
        <v>1</v>
      </c>
      <c r="DL4783">
        <v>0</v>
      </c>
      <c r="DM4783">
        <v>0</v>
      </c>
      <c r="DN4783">
        <v>1</v>
      </c>
      <c r="DO4783">
        <v>0</v>
      </c>
      <c r="DP4783">
        <v>0</v>
      </c>
      <c r="DQ4783">
        <v>0</v>
      </c>
      <c r="DR4783">
        <v>0</v>
      </c>
      <c r="DS4783">
        <v>0</v>
      </c>
    </row>
    <row r="4784" spans="1:123" x14ac:dyDescent="0.3">
      <c r="A4784" t="str">
        <f t="shared" si="1766"/>
        <v>10/04/2022 19:38:20.607</v>
      </c>
      <c r="C4784" t="str">
        <f t="shared" si="1769"/>
        <v>FFDFD3C0</v>
      </c>
      <c r="D4784" t="s">
        <v>141</v>
      </c>
      <c r="E4784">
        <v>3</v>
      </c>
      <c r="H4784">
        <v>3</v>
      </c>
      <c r="I4784" t="s">
        <v>146</v>
      </c>
      <c r="J4784" t="s">
        <v>138</v>
      </c>
      <c r="K4784">
        <v>0</v>
      </c>
      <c r="L4784">
        <v>3</v>
      </c>
      <c r="M4784">
        <v>0</v>
      </c>
      <c r="N4784">
        <v>2</v>
      </c>
      <c r="O4784">
        <v>0</v>
      </c>
      <c r="P4784">
        <v>1</v>
      </c>
      <c r="Q4784">
        <v>0</v>
      </c>
      <c r="S4784" t="str">
        <f t="shared" si="1767"/>
        <v>19:38:20.000</v>
      </c>
      <c r="T4784" t="str">
        <f t="shared" si="1767"/>
        <v>19:38:20.000</v>
      </c>
      <c r="U4784" t="str">
        <f t="shared" si="1752"/>
        <v>AC3944</v>
      </c>
      <c r="V4784">
        <v>0</v>
      </c>
      <c r="W4784">
        <v>0</v>
      </c>
      <c r="X4784">
        <v>2</v>
      </c>
      <c r="Y4784">
        <v>0</v>
      </c>
      <c r="AA4784">
        <v>1</v>
      </c>
      <c r="AB4784">
        <v>8</v>
      </c>
      <c r="AC4784">
        <v>3</v>
      </c>
      <c r="AD4784">
        <v>0</v>
      </c>
      <c r="AE4784">
        <v>9</v>
      </c>
      <c r="AF4784" t="s">
        <v>138</v>
      </c>
      <c r="AG4784">
        <v>0</v>
      </c>
      <c r="AH4784">
        <v>3</v>
      </c>
      <c r="AI4784">
        <v>1</v>
      </c>
      <c r="AJ4784">
        <v>0</v>
      </c>
      <c r="AK4784" t="s">
        <v>1496</v>
      </c>
      <c r="AL4784">
        <v>32.713186999999998</v>
      </c>
      <c r="AM4784" t="s">
        <v>1100</v>
      </c>
      <c r="AN4784">
        <v>-116.752095</v>
      </c>
      <c r="AO4784">
        <v>25</v>
      </c>
      <c r="AP4784">
        <v>3800</v>
      </c>
      <c r="AQ4784" t="s">
        <v>129</v>
      </c>
      <c r="AR4784">
        <v>-154</v>
      </c>
      <c r="AS4784">
        <v>-101</v>
      </c>
      <c r="AT4784">
        <v>-2048</v>
      </c>
      <c r="BB4784">
        <v>1200</v>
      </c>
      <c r="BC4784">
        <v>1</v>
      </c>
      <c r="BD4784" t="str">
        <f t="shared" si="1753"/>
        <v xml:space="preserve">N887QR  </v>
      </c>
      <c r="BE4784">
        <v>1</v>
      </c>
      <c r="BG4784">
        <v>0</v>
      </c>
      <c r="BH4784">
        <v>0</v>
      </c>
      <c r="BI4784">
        <v>0</v>
      </c>
      <c r="BJ4784">
        <v>3350</v>
      </c>
      <c r="BK4784">
        <v>-450</v>
      </c>
      <c r="BL4784" t="s">
        <v>163</v>
      </c>
      <c r="BM4784">
        <v>1</v>
      </c>
      <c r="BN4784">
        <v>1</v>
      </c>
      <c r="BO4784">
        <v>1</v>
      </c>
      <c r="BP4784">
        <v>0</v>
      </c>
      <c r="BS4784">
        <v>0</v>
      </c>
      <c r="BT4784">
        <v>0</v>
      </c>
      <c r="BU4784">
        <v>0</v>
      </c>
      <c r="CE4784" t="str">
        <f t="shared" si="1768"/>
        <v>19:38:20.314</v>
      </c>
      <c r="CF4784">
        <v>313859969</v>
      </c>
      <c r="CS4784">
        <v>0</v>
      </c>
      <c r="CT4784">
        <v>2</v>
      </c>
      <c r="CU4784">
        <v>0</v>
      </c>
      <c r="CV4784">
        <v>2</v>
      </c>
      <c r="CW4784">
        <v>0</v>
      </c>
      <c r="CX4784">
        <v>3</v>
      </c>
      <c r="CY4784">
        <v>7</v>
      </c>
      <c r="CZ4784" t="s">
        <v>131</v>
      </c>
      <c r="DA4784">
        <v>286</v>
      </c>
      <c r="DB4784">
        <v>0</v>
      </c>
      <c r="DC4784" t="s">
        <v>132</v>
      </c>
      <c r="DD4784" t="s">
        <v>133</v>
      </c>
      <c r="DG4784">
        <v>926011</v>
      </c>
      <c r="DI4784">
        <v>1</v>
      </c>
      <c r="DJ4784">
        <v>0</v>
      </c>
      <c r="DK4784">
        <v>1</v>
      </c>
      <c r="DL4784">
        <v>0</v>
      </c>
      <c r="DM4784">
        <v>0</v>
      </c>
      <c r="DN4784">
        <v>1</v>
      </c>
      <c r="DO4784">
        <v>0</v>
      </c>
      <c r="DP4784">
        <v>0</v>
      </c>
      <c r="DQ4784">
        <v>0</v>
      </c>
      <c r="DR4784">
        <v>0</v>
      </c>
      <c r="DS4784">
        <v>0</v>
      </c>
    </row>
    <row r="4785" spans="1:123" x14ac:dyDescent="0.3">
      <c r="A4785" t="str">
        <f t="shared" ref="A4785:A4791" si="1770">"10/04/2022 19:38:21.559"</f>
        <v>10/04/2022 19:38:21.559</v>
      </c>
      <c r="C4785" t="str">
        <f t="shared" si="1769"/>
        <v>FFDFD3C0</v>
      </c>
      <c r="D4785" t="s">
        <v>134</v>
      </c>
      <c r="E4785">
        <v>15</v>
      </c>
      <c r="J4785" t="s">
        <v>135</v>
      </c>
      <c r="K4785">
        <v>0</v>
      </c>
      <c r="L4785">
        <v>3</v>
      </c>
      <c r="M4785">
        <v>0</v>
      </c>
      <c r="N4785">
        <v>2</v>
      </c>
      <c r="O4785">
        <v>0</v>
      </c>
      <c r="P4785">
        <v>1</v>
      </c>
      <c r="Q4785">
        <v>0</v>
      </c>
      <c r="S4785" t="str">
        <f t="shared" ref="S4785:T4798" si="1771">"19:38:21.000"</f>
        <v>19:38:21.000</v>
      </c>
      <c r="T4785" t="str">
        <f t="shared" si="1771"/>
        <v>19:38:21.000</v>
      </c>
      <c r="U4785" t="str">
        <f t="shared" si="1752"/>
        <v>AC3944</v>
      </c>
      <c r="V4785">
        <v>0</v>
      </c>
      <c r="W4785">
        <v>0</v>
      </c>
      <c r="X4785">
        <v>2</v>
      </c>
      <c r="Y4785">
        <v>0</v>
      </c>
      <c r="AA4785">
        <v>1</v>
      </c>
      <c r="AB4785">
        <v>8</v>
      </c>
      <c r="AC4785">
        <v>3</v>
      </c>
      <c r="AD4785">
        <v>0</v>
      </c>
      <c r="AE4785">
        <v>9</v>
      </c>
      <c r="AF4785" t="s">
        <v>138</v>
      </c>
      <c r="AG4785">
        <v>0</v>
      </c>
      <c r="AH4785">
        <v>3</v>
      </c>
      <c r="AI4785">
        <v>1</v>
      </c>
      <c r="AJ4785">
        <v>0</v>
      </c>
      <c r="AK4785" t="s">
        <v>1497</v>
      </c>
      <c r="AL4785">
        <v>32.712736</v>
      </c>
      <c r="AM4785" t="s">
        <v>1498</v>
      </c>
      <c r="AN4785">
        <v>-116.752932</v>
      </c>
      <c r="AO4785">
        <v>25</v>
      </c>
      <c r="AP4785">
        <v>3700</v>
      </c>
      <c r="AQ4785" t="s">
        <v>129</v>
      </c>
      <c r="AR4785">
        <v>-154</v>
      </c>
      <c r="AS4785">
        <v>-102</v>
      </c>
      <c r="AT4785">
        <v>-2048</v>
      </c>
      <c r="BB4785">
        <v>1200</v>
      </c>
      <c r="BC4785">
        <v>1</v>
      </c>
      <c r="BD4785" t="str">
        <f t="shared" si="1753"/>
        <v xml:space="preserve">N887QR  </v>
      </c>
      <c r="BE4785">
        <v>1</v>
      </c>
      <c r="BG4785">
        <v>0</v>
      </c>
      <c r="BH4785">
        <v>0</v>
      </c>
      <c r="BI4785">
        <v>0</v>
      </c>
      <c r="BJ4785">
        <v>3250</v>
      </c>
      <c r="BK4785">
        <v>-450</v>
      </c>
      <c r="BL4785" t="s">
        <v>163</v>
      </c>
      <c r="BM4785">
        <v>1</v>
      </c>
      <c r="BN4785">
        <v>1</v>
      </c>
      <c r="BO4785">
        <v>1</v>
      </c>
      <c r="BP4785">
        <v>0</v>
      </c>
      <c r="BS4785">
        <v>0</v>
      </c>
      <c r="BT4785">
        <v>0</v>
      </c>
      <c r="BU4785">
        <v>0</v>
      </c>
      <c r="CE4785" t="str">
        <f t="shared" ref="CE4785:CE4791" si="1772">"19:38:21.317"</f>
        <v>19:38:21.317</v>
      </c>
      <c r="CF4785">
        <v>316939877</v>
      </c>
      <c r="CS4785">
        <v>0</v>
      </c>
      <c r="CT4785">
        <v>2</v>
      </c>
      <c r="CU4785">
        <v>0</v>
      </c>
      <c r="CV4785">
        <v>2</v>
      </c>
      <c r="CW4785">
        <v>0</v>
      </c>
      <c r="CX4785">
        <v>3</v>
      </c>
      <c r="CY4785">
        <v>7</v>
      </c>
      <c r="CZ4785" t="s">
        <v>131</v>
      </c>
      <c r="DA4785">
        <v>300</v>
      </c>
      <c r="DB4785">
        <v>0</v>
      </c>
      <c r="DC4785" t="s">
        <v>176</v>
      </c>
      <c r="DD4785" t="s">
        <v>177</v>
      </c>
      <c r="DG4785">
        <v>5472468</v>
      </c>
      <c r="DI4785">
        <v>1</v>
      </c>
      <c r="DJ4785">
        <v>0</v>
      </c>
      <c r="DK4785">
        <v>0</v>
      </c>
      <c r="DL4785">
        <v>0</v>
      </c>
      <c r="DM4785">
        <v>0</v>
      </c>
      <c r="DN4785">
        <v>1</v>
      </c>
      <c r="DO4785">
        <v>0</v>
      </c>
      <c r="DP4785">
        <v>0</v>
      </c>
      <c r="DQ4785">
        <v>0</v>
      </c>
      <c r="DR4785">
        <v>0</v>
      </c>
      <c r="DS4785">
        <v>0</v>
      </c>
    </row>
    <row r="4786" spans="1:123" x14ac:dyDescent="0.3">
      <c r="A4786" t="str">
        <f t="shared" si="1770"/>
        <v>10/04/2022 19:38:21.559</v>
      </c>
      <c r="C4786" t="str">
        <f t="shared" si="1769"/>
        <v>FFDFD3C0</v>
      </c>
      <c r="D4786" t="s">
        <v>147</v>
      </c>
      <c r="E4786">
        <v>3</v>
      </c>
      <c r="H4786">
        <v>166</v>
      </c>
      <c r="I4786" t="s">
        <v>144</v>
      </c>
      <c r="J4786" t="s">
        <v>148</v>
      </c>
      <c r="K4786">
        <v>0</v>
      </c>
      <c r="L4786">
        <v>3</v>
      </c>
      <c r="M4786">
        <v>0</v>
      </c>
      <c r="N4786">
        <v>2</v>
      </c>
      <c r="O4786">
        <v>0</v>
      </c>
      <c r="P4786">
        <v>1</v>
      </c>
      <c r="Q4786">
        <v>0</v>
      </c>
      <c r="S4786" t="str">
        <f t="shared" si="1771"/>
        <v>19:38:21.000</v>
      </c>
      <c r="T4786" t="str">
        <f t="shared" si="1771"/>
        <v>19:38:21.000</v>
      </c>
      <c r="U4786" t="str">
        <f t="shared" si="1752"/>
        <v>AC3944</v>
      </c>
      <c r="V4786">
        <v>0</v>
      </c>
      <c r="W4786">
        <v>0</v>
      </c>
      <c r="X4786">
        <v>2</v>
      </c>
      <c r="Y4786">
        <v>0</v>
      </c>
      <c r="AA4786">
        <v>1</v>
      </c>
      <c r="AB4786">
        <v>8</v>
      </c>
      <c r="AC4786">
        <v>3</v>
      </c>
      <c r="AD4786">
        <v>0</v>
      </c>
      <c r="AE4786">
        <v>9</v>
      </c>
      <c r="AF4786" t="s">
        <v>138</v>
      </c>
      <c r="AG4786">
        <v>0</v>
      </c>
      <c r="AH4786">
        <v>3</v>
      </c>
      <c r="AI4786">
        <v>1</v>
      </c>
      <c r="AJ4786">
        <v>0</v>
      </c>
      <c r="AK4786" t="s">
        <v>1497</v>
      </c>
      <c r="AL4786">
        <v>32.712736</v>
      </c>
      <c r="AM4786" t="s">
        <v>1498</v>
      </c>
      <c r="AN4786">
        <v>-116.752932</v>
      </c>
      <c r="AO4786">
        <v>25</v>
      </c>
      <c r="AP4786">
        <v>3700</v>
      </c>
      <c r="AQ4786" t="s">
        <v>129</v>
      </c>
      <c r="AR4786">
        <v>-154</v>
      </c>
      <c r="AS4786">
        <v>-102</v>
      </c>
      <c r="AT4786">
        <v>-2048</v>
      </c>
      <c r="BB4786">
        <v>1200</v>
      </c>
      <c r="BC4786">
        <v>1</v>
      </c>
      <c r="BD4786" t="str">
        <f t="shared" si="1753"/>
        <v xml:space="preserve">N887QR  </v>
      </c>
      <c r="BE4786">
        <v>1</v>
      </c>
      <c r="BG4786">
        <v>0</v>
      </c>
      <c r="BH4786">
        <v>0</v>
      </c>
      <c r="BI4786">
        <v>0</v>
      </c>
      <c r="BJ4786">
        <v>3250</v>
      </c>
      <c r="BK4786">
        <v>-450</v>
      </c>
      <c r="BL4786" t="s">
        <v>163</v>
      </c>
      <c r="BM4786">
        <v>1</v>
      </c>
      <c r="BN4786">
        <v>1</v>
      </c>
      <c r="BO4786">
        <v>1</v>
      </c>
      <c r="BP4786">
        <v>0</v>
      </c>
      <c r="BS4786">
        <v>0</v>
      </c>
      <c r="BT4786">
        <v>0</v>
      </c>
      <c r="BU4786">
        <v>0</v>
      </c>
      <c r="CE4786" t="str">
        <f t="shared" si="1772"/>
        <v>19:38:21.317</v>
      </c>
      <c r="CF4786">
        <v>316939877</v>
      </c>
      <c r="CS4786">
        <v>0</v>
      </c>
      <c r="CT4786">
        <v>2</v>
      </c>
      <c r="CU4786">
        <v>0</v>
      </c>
      <c r="CV4786">
        <v>2</v>
      </c>
      <c r="CW4786">
        <v>0</v>
      </c>
      <c r="CX4786">
        <v>3</v>
      </c>
      <c r="CY4786">
        <v>7</v>
      </c>
      <c r="CZ4786" t="s">
        <v>131</v>
      </c>
      <c r="DA4786">
        <v>300</v>
      </c>
      <c r="DB4786">
        <v>0</v>
      </c>
      <c r="DC4786" t="s">
        <v>176</v>
      </c>
      <c r="DD4786" t="s">
        <v>177</v>
      </c>
      <c r="DG4786">
        <v>5472468</v>
      </c>
      <c r="DI4786">
        <v>1</v>
      </c>
      <c r="DJ4786">
        <v>0</v>
      </c>
      <c r="DK4786">
        <v>1</v>
      </c>
      <c r="DL4786">
        <v>0</v>
      </c>
      <c r="DM4786">
        <v>0</v>
      </c>
      <c r="DN4786">
        <v>1</v>
      </c>
      <c r="DO4786">
        <v>0</v>
      </c>
      <c r="DP4786">
        <v>0</v>
      </c>
      <c r="DQ4786">
        <v>0</v>
      </c>
      <c r="DR4786">
        <v>0</v>
      </c>
      <c r="DS4786">
        <v>0</v>
      </c>
    </row>
    <row r="4787" spans="1:123" x14ac:dyDescent="0.3">
      <c r="A4787" t="str">
        <f t="shared" si="1770"/>
        <v>10/04/2022 19:38:21.559</v>
      </c>
      <c r="C4787" t="str">
        <f t="shared" si="1769"/>
        <v>FFDFD3C0</v>
      </c>
      <c r="D4787" t="s">
        <v>141</v>
      </c>
      <c r="E4787">
        <v>4</v>
      </c>
      <c r="H4787">
        <v>4</v>
      </c>
      <c r="I4787" t="s">
        <v>142</v>
      </c>
      <c r="J4787" t="s">
        <v>138</v>
      </c>
      <c r="K4787">
        <v>0</v>
      </c>
      <c r="L4787">
        <v>3</v>
      </c>
      <c r="M4787">
        <v>0</v>
      </c>
      <c r="N4787">
        <v>2</v>
      </c>
      <c r="O4787">
        <v>0</v>
      </c>
      <c r="P4787">
        <v>1</v>
      </c>
      <c r="Q4787">
        <v>0</v>
      </c>
      <c r="S4787" t="str">
        <f t="shared" si="1771"/>
        <v>19:38:21.000</v>
      </c>
      <c r="T4787" t="str">
        <f t="shared" si="1771"/>
        <v>19:38:21.000</v>
      </c>
      <c r="U4787" t="str">
        <f t="shared" si="1752"/>
        <v>AC3944</v>
      </c>
      <c r="V4787">
        <v>0</v>
      </c>
      <c r="W4787">
        <v>0</v>
      </c>
      <c r="X4787">
        <v>2</v>
      </c>
      <c r="Y4787">
        <v>0</v>
      </c>
      <c r="AA4787">
        <v>1</v>
      </c>
      <c r="AB4787">
        <v>8</v>
      </c>
      <c r="AC4787">
        <v>3</v>
      </c>
      <c r="AD4787">
        <v>0</v>
      </c>
      <c r="AE4787">
        <v>9</v>
      </c>
      <c r="AF4787" t="s">
        <v>138</v>
      </c>
      <c r="AG4787">
        <v>0</v>
      </c>
      <c r="AH4787">
        <v>3</v>
      </c>
      <c r="AI4787">
        <v>1</v>
      </c>
      <c r="AJ4787">
        <v>0</v>
      </c>
      <c r="AK4787" t="s">
        <v>1497</v>
      </c>
      <c r="AL4787">
        <v>32.712736</v>
      </c>
      <c r="AM4787" t="s">
        <v>1498</v>
      </c>
      <c r="AN4787">
        <v>-116.752932</v>
      </c>
      <c r="AO4787">
        <v>25</v>
      </c>
      <c r="AP4787">
        <v>3700</v>
      </c>
      <c r="AQ4787" t="s">
        <v>129</v>
      </c>
      <c r="AR4787">
        <v>-154</v>
      </c>
      <c r="AS4787">
        <v>-102</v>
      </c>
      <c r="AT4787">
        <v>-2048</v>
      </c>
      <c r="BB4787">
        <v>1200</v>
      </c>
      <c r="BC4787">
        <v>1</v>
      </c>
      <c r="BD4787" t="str">
        <f t="shared" si="1753"/>
        <v xml:space="preserve">N887QR  </v>
      </c>
      <c r="BE4787">
        <v>1</v>
      </c>
      <c r="BG4787">
        <v>0</v>
      </c>
      <c r="BH4787">
        <v>0</v>
      </c>
      <c r="BI4787">
        <v>0</v>
      </c>
      <c r="BJ4787">
        <v>3250</v>
      </c>
      <c r="BK4787">
        <v>-450</v>
      </c>
      <c r="BL4787" t="s">
        <v>163</v>
      </c>
      <c r="BM4787">
        <v>1</v>
      </c>
      <c r="BN4787">
        <v>1</v>
      </c>
      <c r="BO4787">
        <v>1</v>
      </c>
      <c r="BP4787">
        <v>0</v>
      </c>
      <c r="BS4787">
        <v>0</v>
      </c>
      <c r="BT4787">
        <v>0</v>
      </c>
      <c r="BU4787">
        <v>0</v>
      </c>
      <c r="CE4787" t="str">
        <f t="shared" si="1772"/>
        <v>19:38:21.317</v>
      </c>
      <c r="CF4787">
        <v>316939877</v>
      </c>
      <c r="CS4787">
        <v>0</v>
      </c>
      <c r="CT4787">
        <v>2</v>
      </c>
      <c r="CU4787">
        <v>0</v>
      </c>
      <c r="CV4787">
        <v>2</v>
      </c>
      <c r="CW4787">
        <v>0</v>
      </c>
      <c r="CX4787">
        <v>3</v>
      </c>
      <c r="CY4787">
        <v>7</v>
      </c>
      <c r="CZ4787" t="s">
        <v>131</v>
      </c>
      <c r="DA4787">
        <v>300</v>
      </c>
      <c r="DB4787">
        <v>0</v>
      </c>
      <c r="DC4787" t="s">
        <v>176</v>
      </c>
      <c r="DD4787" t="s">
        <v>177</v>
      </c>
      <c r="DG4787">
        <v>5472468</v>
      </c>
      <c r="DI4787">
        <v>1</v>
      </c>
      <c r="DJ4787">
        <v>0</v>
      </c>
      <c r="DK4787">
        <v>1</v>
      </c>
      <c r="DL4787">
        <v>0</v>
      </c>
      <c r="DM4787">
        <v>0</v>
      </c>
      <c r="DN4787">
        <v>1</v>
      </c>
      <c r="DO4787">
        <v>0</v>
      </c>
      <c r="DP4787">
        <v>0</v>
      </c>
      <c r="DQ4787">
        <v>0</v>
      </c>
      <c r="DR4787">
        <v>0</v>
      </c>
      <c r="DS4787">
        <v>0</v>
      </c>
    </row>
    <row r="4788" spans="1:123" x14ac:dyDescent="0.3">
      <c r="A4788" t="str">
        <f t="shared" si="1770"/>
        <v>10/04/2022 19:38:21.559</v>
      </c>
      <c r="C4788" t="str">
        <f t="shared" si="1769"/>
        <v>FFDFD3C0</v>
      </c>
      <c r="D4788" t="s">
        <v>136</v>
      </c>
      <c r="E4788">
        <v>8</v>
      </c>
      <c r="H4788">
        <v>225</v>
      </c>
      <c r="I4788" t="s">
        <v>137</v>
      </c>
      <c r="J4788" t="s">
        <v>138</v>
      </c>
      <c r="K4788">
        <v>0</v>
      </c>
      <c r="L4788">
        <v>3</v>
      </c>
      <c r="M4788">
        <v>0</v>
      </c>
      <c r="N4788">
        <v>2</v>
      </c>
      <c r="O4788">
        <v>0</v>
      </c>
      <c r="P4788">
        <v>1</v>
      </c>
      <c r="Q4788">
        <v>0</v>
      </c>
      <c r="S4788" t="str">
        <f t="shared" si="1771"/>
        <v>19:38:21.000</v>
      </c>
      <c r="T4788" t="str">
        <f t="shared" si="1771"/>
        <v>19:38:21.000</v>
      </c>
      <c r="U4788" t="str">
        <f t="shared" si="1752"/>
        <v>AC3944</v>
      </c>
      <c r="V4788">
        <v>0</v>
      </c>
      <c r="W4788">
        <v>0</v>
      </c>
      <c r="X4788">
        <v>2</v>
      </c>
      <c r="Y4788">
        <v>0</v>
      </c>
      <c r="AA4788">
        <v>1</v>
      </c>
      <c r="AB4788">
        <v>8</v>
      </c>
      <c r="AC4788">
        <v>3</v>
      </c>
      <c r="AD4788">
        <v>0</v>
      </c>
      <c r="AE4788">
        <v>9</v>
      </c>
      <c r="AF4788" t="s">
        <v>138</v>
      </c>
      <c r="AG4788">
        <v>0</v>
      </c>
      <c r="AH4788">
        <v>3</v>
      </c>
      <c r="AI4788">
        <v>1</v>
      </c>
      <c r="AJ4788">
        <v>0</v>
      </c>
      <c r="AK4788" t="s">
        <v>1497</v>
      </c>
      <c r="AL4788">
        <v>32.712736</v>
      </c>
      <c r="AM4788" t="s">
        <v>1498</v>
      </c>
      <c r="AN4788">
        <v>-116.752932</v>
      </c>
      <c r="AO4788">
        <v>25</v>
      </c>
      <c r="AP4788">
        <v>3700</v>
      </c>
      <c r="AQ4788" t="s">
        <v>129</v>
      </c>
      <c r="AR4788">
        <v>-154</v>
      </c>
      <c r="AS4788">
        <v>-102</v>
      </c>
      <c r="AT4788">
        <v>-2048</v>
      </c>
      <c r="BB4788">
        <v>1200</v>
      </c>
      <c r="BC4788">
        <v>1</v>
      </c>
      <c r="BD4788" t="str">
        <f t="shared" si="1753"/>
        <v xml:space="preserve">N887QR  </v>
      </c>
      <c r="BE4788">
        <v>1</v>
      </c>
      <c r="BG4788">
        <v>0</v>
      </c>
      <c r="BH4788">
        <v>0</v>
      </c>
      <c r="BI4788">
        <v>0</v>
      </c>
      <c r="BJ4788">
        <v>3250</v>
      </c>
      <c r="BK4788">
        <v>-450</v>
      </c>
      <c r="BL4788" t="s">
        <v>163</v>
      </c>
      <c r="BM4788">
        <v>1</v>
      </c>
      <c r="BN4788">
        <v>1</v>
      </c>
      <c r="BO4788">
        <v>1</v>
      </c>
      <c r="BP4788">
        <v>0</v>
      </c>
      <c r="BS4788">
        <v>0</v>
      </c>
      <c r="BT4788">
        <v>0</v>
      </c>
      <c r="BU4788">
        <v>0</v>
      </c>
      <c r="CE4788" t="str">
        <f t="shared" si="1772"/>
        <v>19:38:21.317</v>
      </c>
      <c r="CF4788">
        <v>316939877</v>
      </c>
      <c r="CS4788">
        <v>0</v>
      </c>
      <c r="CT4788">
        <v>2</v>
      </c>
      <c r="CU4788">
        <v>0</v>
      </c>
      <c r="CV4788">
        <v>2</v>
      </c>
      <c r="CW4788">
        <v>0</v>
      </c>
      <c r="CX4788">
        <v>3</v>
      </c>
      <c r="CY4788">
        <v>7</v>
      </c>
      <c r="CZ4788" t="s">
        <v>131</v>
      </c>
      <c r="DA4788">
        <v>300</v>
      </c>
      <c r="DB4788">
        <v>0</v>
      </c>
      <c r="DC4788" t="s">
        <v>176</v>
      </c>
      <c r="DD4788" t="s">
        <v>177</v>
      </c>
      <c r="DG4788">
        <v>5472468</v>
      </c>
      <c r="DI4788">
        <v>1</v>
      </c>
      <c r="DJ4788">
        <v>0</v>
      </c>
      <c r="DK4788">
        <v>1</v>
      </c>
      <c r="DL4788">
        <v>0</v>
      </c>
      <c r="DM4788">
        <v>0</v>
      </c>
      <c r="DN4788">
        <v>1</v>
      </c>
      <c r="DO4788">
        <v>0</v>
      </c>
      <c r="DP4788">
        <v>0</v>
      </c>
      <c r="DQ4788">
        <v>0</v>
      </c>
      <c r="DR4788">
        <v>0</v>
      </c>
      <c r="DS4788">
        <v>0</v>
      </c>
    </row>
    <row r="4789" spans="1:123" x14ac:dyDescent="0.3">
      <c r="A4789" t="str">
        <f t="shared" si="1770"/>
        <v>10/04/2022 19:38:21.559</v>
      </c>
      <c r="C4789" t="str">
        <f t="shared" si="1769"/>
        <v>FFDFD3C0</v>
      </c>
      <c r="D4789" t="s">
        <v>143</v>
      </c>
      <c r="E4789">
        <v>20</v>
      </c>
      <c r="F4789">
        <v>1020</v>
      </c>
      <c r="G4789" t="s">
        <v>144</v>
      </c>
      <c r="J4789" t="s">
        <v>145</v>
      </c>
      <c r="K4789">
        <v>0</v>
      </c>
      <c r="L4789">
        <v>3</v>
      </c>
      <c r="M4789">
        <v>0</v>
      </c>
      <c r="N4789">
        <v>2</v>
      </c>
      <c r="O4789">
        <v>0</v>
      </c>
      <c r="P4789">
        <v>1</v>
      </c>
      <c r="Q4789">
        <v>0</v>
      </c>
      <c r="S4789" t="str">
        <f t="shared" si="1771"/>
        <v>19:38:21.000</v>
      </c>
      <c r="T4789" t="str">
        <f t="shared" si="1771"/>
        <v>19:38:21.000</v>
      </c>
      <c r="U4789" t="str">
        <f t="shared" si="1752"/>
        <v>AC3944</v>
      </c>
      <c r="V4789">
        <v>0</v>
      </c>
      <c r="W4789">
        <v>0</v>
      </c>
      <c r="X4789">
        <v>2</v>
      </c>
      <c r="Y4789">
        <v>0</v>
      </c>
      <c r="AA4789">
        <v>1</v>
      </c>
      <c r="AB4789">
        <v>8</v>
      </c>
      <c r="AC4789">
        <v>3</v>
      </c>
      <c r="AD4789">
        <v>0</v>
      </c>
      <c r="AE4789">
        <v>9</v>
      </c>
      <c r="AF4789" t="s">
        <v>138</v>
      </c>
      <c r="AG4789">
        <v>0</v>
      </c>
      <c r="AH4789">
        <v>3</v>
      </c>
      <c r="AI4789">
        <v>1</v>
      </c>
      <c r="AJ4789">
        <v>0</v>
      </c>
      <c r="AK4789" t="s">
        <v>1497</v>
      </c>
      <c r="AL4789">
        <v>32.712736</v>
      </c>
      <c r="AM4789" t="s">
        <v>1498</v>
      </c>
      <c r="AN4789">
        <v>-116.752932</v>
      </c>
      <c r="AO4789">
        <v>25</v>
      </c>
      <c r="AP4789">
        <v>3700</v>
      </c>
      <c r="AQ4789" t="s">
        <v>129</v>
      </c>
      <c r="AR4789">
        <v>-154</v>
      </c>
      <c r="AS4789">
        <v>-102</v>
      </c>
      <c r="AT4789">
        <v>-2048</v>
      </c>
      <c r="BB4789">
        <v>1200</v>
      </c>
      <c r="BC4789">
        <v>1</v>
      </c>
      <c r="BD4789" t="str">
        <f t="shared" si="1753"/>
        <v xml:space="preserve">N887QR  </v>
      </c>
      <c r="BE4789">
        <v>1</v>
      </c>
      <c r="BG4789">
        <v>0</v>
      </c>
      <c r="BH4789">
        <v>0</v>
      </c>
      <c r="BI4789">
        <v>0</v>
      </c>
      <c r="BJ4789">
        <v>3250</v>
      </c>
      <c r="BK4789">
        <v>-450</v>
      </c>
      <c r="BL4789" t="s">
        <v>163</v>
      </c>
      <c r="BM4789">
        <v>1</v>
      </c>
      <c r="BN4789">
        <v>1</v>
      </c>
      <c r="BO4789">
        <v>1</v>
      </c>
      <c r="BP4789">
        <v>0</v>
      </c>
      <c r="BS4789">
        <v>0</v>
      </c>
      <c r="BT4789">
        <v>0</v>
      </c>
      <c r="BU4789">
        <v>0</v>
      </c>
      <c r="CE4789" t="str">
        <f t="shared" si="1772"/>
        <v>19:38:21.317</v>
      </c>
      <c r="CF4789">
        <v>316939877</v>
      </c>
      <c r="CS4789">
        <v>0</v>
      </c>
      <c r="CT4789">
        <v>2</v>
      </c>
      <c r="CU4789">
        <v>0</v>
      </c>
      <c r="CV4789">
        <v>2</v>
      </c>
      <c r="CW4789">
        <v>0</v>
      </c>
      <c r="CX4789">
        <v>3</v>
      </c>
      <c r="CY4789">
        <v>7</v>
      </c>
      <c r="CZ4789" t="s">
        <v>131</v>
      </c>
      <c r="DA4789">
        <v>300</v>
      </c>
      <c r="DB4789">
        <v>0</v>
      </c>
      <c r="DC4789" t="s">
        <v>176</v>
      </c>
      <c r="DD4789" t="s">
        <v>177</v>
      </c>
      <c r="DG4789">
        <v>5472468</v>
      </c>
      <c r="DI4789">
        <v>1</v>
      </c>
      <c r="DJ4789">
        <v>0</v>
      </c>
      <c r="DK4789">
        <v>1</v>
      </c>
      <c r="DL4789">
        <v>0</v>
      </c>
      <c r="DM4789">
        <v>0</v>
      </c>
      <c r="DN4789">
        <v>1</v>
      </c>
      <c r="DO4789">
        <v>0</v>
      </c>
      <c r="DP4789">
        <v>0</v>
      </c>
      <c r="DQ4789">
        <v>0</v>
      </c>
      <c r="DR4789">
        <v>0</v>
      </c>
      <c r="DS4789">
        <v>0</v>
      </c>
    </row>
    <row r="4790" spans="1:123" x14ac:dyDescent="0.3">
      <c r="A4790" t="str">
        <f t="shared" si="1770"/>
        <v>10/04/2022 19:38:21.559</v>
      </c>
      <c r="C4790" t="str">
        <f t="shared" si="1769"/>
        <v>FFDFD3C0</v>
      </c>
      <c r="D4790" t="s">
        <v>123</v>
      </c>
      <c r="E4790">
        <v>7</v>
      </c>
      <c r="F4790">
        <v>2007</v>
      </c>
      <c r="G4790" t="s">
        <v>124</v>
      </c>
      <c r="J4790" t="s">
        <v>125</v>
      </c>
      <c r="K4790">
        <v>0</v>
      </c>
      <c r="L4790">
        <v>3</v>
      </c>
      <c r="M4790">
        <v>0</v>
      </c>
      <c r="N4790">
        <v>2</v>
      </c>
      <c r="O4790">
        <v>0</v>
      </c>
      <c r="P4790">
        <v>1</v>
      </c>
      <c r="Q4790">
        <v>0</v>
      </c>
      <c r="S4790" t="str">
        <f t="shared" si="1771"/>
        <v>19:38:21.000</v>
      </c>
      <c r="T4790" t="str">
        <f t="shared" si="1771"/>
        <v>19:38:21.000</v>
      </c>
      <c r="U4790" t="str">
        <f t="shared" si="1752"/>
        <v>AC3944</v>
      </c>
      <c r="V4790">
        <v>0</v>
      </c>
      <c r="W4790">
        <v>0</v>
      </c>
      <c r="X4790">
        <v>2</v>
      </c>
      <c r="Y4790">
        <v>0</v>
      </c>
      <c r="AA4790">
        <v>1</v>
      </c>
      <c r="AB4790">
        <v>8</v>
      </c>
      <c r="AC4790">
        <v>3</v>
      </c>
      <c r="AD4790">
        <v>0</v>
      </c>
      <c r="AE4790">
        <v>9</v>
      </c>
      <c r="AF4790" t="s">
        <v>138</v>
      </c>
      <c r="AG4790">
        <v>0</v>
      </c>
      <c r="AH4790">
        <v>3</v>
      </c>
      <c r="AI4790">
        <v>1</v>
      </c>
      <c r="AJ4790">
        <v>0</v>
      </c>
      <c r="AK4790" t="s">
        <v>1497</v>
      </c>
      <c r="AL4790">
        <v>32.712736</v>
      </c>
      <c r="AM4790" t="s">
        <v>1498</v>
      </c>
      <c r="AN4790">
        <v>-116.752932</v>
      </c>
      <c r="AO4790">
        <v>25</v>
      </c>
      <c r="AP4790">
        <v>3700</v>
      </c>
      <c r="AQ4790" t="s">
        <v>129</v>
      </c>
      <c r="AR4790">
        <v>-154</v>
      </c>
      <c r="AS4790">
        <v>-102</v>
      </c>
      <c r="AT4790">
        <v>-2048</v>
      </c>
      <c r="BB4790">
        <v>1200</v>
      </c>
      <c r="BC4790">
        <v>1</v>
      </c>
      <c r="BD4790" t="str">
        <f t="shared" si="1753"/>
        <v xml:space="preserve">N887QR  </v>
      </c>
      <c r="BE4790">
        <v>1</v>
      </c>
      <c r="BG4790">
        <v>0</v>
      </c>
      <c r="BH4790">
        <v>0</v>
      </c>
      <c r="BI4790">
        <v>0</v>
      </c>
      <c r="BJ4790">
        <v>3250</v>
      </c>
      <c r="BK4790">
        <v>-450</v>
      </c>
      <c r="BL4790" t="s">
        <v>163</v>
      </c>
      <c r="BM4790">
        <v>1</v>
      </c>
      <c r="BN4790">
        <v>1</v>
      </c>
      <c r="BO4790">
        <v>1</v>
      </c>
      <c r="BP4790">
        <v>0</v>
      </c>
      <c r="BS4790">
        <v>0</v>
      </c>
      <c r="BT4790">
        <v>0</v>
      </c>
      <c r="BU4790">
        <v>0</v>
      </c>
      <c r="CE4790" t="str">
        <f t="shared" si="1772"/>
        <v>19:38:21.317</v>
      </c>
      <c r="CF4790">
        <v>316939877</v>
      </c>
      <c r="CS4790">
        <v>0</v>
      </c>
      <c r="CT4790">
        <v>2</v>
      </c>
      <c r="CU4790">
        <v>0</v>
      </c>
      <c r="CV4790">
        <v>2</v>
      </c>
      <c r="CW4790">
        <v>0</v>
      </c>
      <c r="CX4790">
        <v>3</v>
      </c>
      <c r="CY4790">
        <v>7</v>
      </c>
      <c r="CZ4790" t="s">
        <v>131</v>
      </c>
      <c r="DA4790">
        <v>300</v>
      </c>
      <c r="DB4790">
        <v>0</v>
      </c>
      <c r="DC4790" t="s">
        <v>176</v>
      </c>
      <c r="DD4790" t="s">
        <v>177</v>
      </c>
      <c r="DG4790">
        <v>5472468</v>
      </c>
      <c r="DI4790">
        <v>1</v>
      </c>
      <c r="DJ4790">
        <v>0</v>
      </c>
      <c r="DK4790">
        <v>1</v>
      </c>
      <c r="DL4790">
        <v>0</v>
      </c>
      <c r="DM4790">
        <v>0</v>
      </c>
      <c r="DN4790">
        <v>1</v>
      </c>
      <c r="DO4790">
        <v>0</v>
      </c>
      <c r="DP4790">
        <v>0</v>
      </c>
      <c r="DQ4790">
        <v>0</v>
      </c>
      <c r="DR4790">
        <v>0</v>
      </c>
      <c r="DS4790">
        <v>0</v>
      </c>
    </row>
    <row r="4791" spans="1:123" x14ac:dyDescent="0.3">
      <c r="A4791" t="str">
        <f t="shared" si="1770"/>
        <v>10/04/2022 19:38:21.559</v>
      </c>
      <c r="C4791" t="str">
        <f t="shared" si="1769"/>
        <v>FFDFD3C0</v>
      </c>
      <c r="D4791" t="s">
        <v>141</v>
      </c>
      <c r="E4791">
        <v>3</v>
      </c>
      <c r="H4791">
        <v>3</v>
      </c>
      <c r="I4791" t="s">
        <v>146</v>
      </c>
      <c r="J4791" t="s">
        <v>138</v>
      </c>
      <c r="K4791">
        <v>0</v>
      </c>
      <c r="L4791">
        <v>3</v>
      </c>
      <c r="M4791">
        <v>0</v>
      </c>
      <c r="N4791">
        <v>2</v>
      </c>
      <c r="O4791">
        <v>0</v>
      </c>
      <c r="P4791">
        <v>1</v>
      </c>
      <c r="Q4791">
        <v>0</v>
      </c>
      <c r="S4791" t="str">
        <f t="shared" si="1771"/>
        <v>19:38:21.000</v>
      </c>
      <c r="T4791" t="str">
        <f t="shared" si="1771"/>
        <v>19:38:21.000</v>
      </c>
      <c r="U4791" t="str">
        <f t="shared" si="1752"/>
        <v>AC3944</v>
      </c>
      <c r="V4791">
        <v>0</v>
      </c>
      <c r="W4791">
        <v>0</v>
      </c>
      <c r="X4791">
        <v>2</v>
      </c>
      <c r="Y4791">
        <v>0</v>
      </c>
      <c r="AA4791">
        <v>1</v>
      </c>
      <c r="AB4791">
        <v>8</v>
      </c>
      <c r="AC4791">
        <v>3</v>
      </c>
      <c r="AD4791">
        <v>0</v>
      </c>
      <c r="AE4791">
        <v>9</v>
      </c>
      <c r="AF4791" t="s">
        <v>138</v>
      </c>
      <c r="AG4791">
        <v>0</v>
      </c>
      <c r="AH4791">
        <v>3</v>
      </c>
      <c r="AI4791">
        <v>1</v>
      </c>
      <c r="AJ4791">
        <v>0</v>
      </c>
      <c r="AK4791" t="s">
        <v>1497</v>
      </c>
      <c r="AL4791">
        <v>32.712736</v>
      </c>
      <c r="AM4791" t="s">
        <v>1498</v>
      </c>
      <c r="AN4791">
        <v>-116.752932</v>
      </c>
      <c r="AO4791">
        <v>25</v>
      </c>
      <c r="AP4791">
        <v>3700</v>
      </c>
      <c r="AQ4791" t="s">
        <v>129</v>
      </c>
      <c r="AR4791">
        <v>-154</v>
      </c>
      <c r="AS4791">
        <v>-102</v>
      </c>
      <c r="AT4791">
        <v>-2048</v>
      </c>
      <c r="BB4791">
        <v>1200</v>
      </c>
      <c r="BC4791">
        <v>1</v>
      </c>
      <c r="BD4791" t="str">
        <f t="shared" si="1753"/>
        <v xml:space="preserve">N887QR  </v>
      </c>
      <c r="BE4791">
        <v>1</v>
      </c>
      <c r="BG4791">
        <v>0</v>
      </c>
      <c r="BH4791">
        <v>0</v>
      </c>
      <c r="BI4791">
        <v>0</v>
      </c>
      <c r="BJ4791">
        <v>3250</v>
      </c>
      <c r="BK4791">
        <v>-450</v>
      </c>
      <c r="BL4791" t="s">
        <v>163</v>
      </c>
      <c r="BM4791">
        <v>1</v>
      </c>
      <c r="BN4791">
        <v>1</v>
      </c>
      <c r="BO4791">
        <v>1</v>
      </c>
      <c r="BP4791">
        <v>0</v>
      </c>
      <c r="BS4791">
        <v>0</v>
      </c>
      <c r="BT4791">
        <v>0</v>
      </c>
      <c r="BU4791">
        <v>0</v>
      </c>
      <c r="CE4791" t="str">
        <f t="shared" si="1772"/>
        <v>19:38:21.317</v>
      </c>
      <c r="CF4791">
        <v>316939877</v>
      </c>
      <c r="CS4791">
        <v>0</v>
      </c>
      <c r="CT4791">
        <v>2</v>
      </c>
      <c r="CU4791">
        <v>0</v>
      </c>
      <c r="CV4791">
        <v>2</v>
      </c>
      <c r="CW4791">
        <v>0</v>
      </c>
      <c r="CX4791">
        <v>3</v>
      </c>
      <c r="CY4791">
        <v>7</v>
      </c>
      <c r="CZ4791" t="s">
        <v>131</v>
      </c>
      <c r="DA4791">
        <v>300</v>
      </c>
      <c r="DB4791">
        <v>0</v>
      </c>
      <c r="DC4791" t="s">
        <v>176</v>
      </c>
      <c r="DD4791" t="s">
        <v>177</v>
      </c>
      <c r="DG4791">
        <v>5472468</v>
      </c>
      <c r="DI4791">
        <v>1</v>
      </c>
      <c r="DJ4791">
        <v>0</v>
      </c>
      <c r="DK4791">
        <v>1</v>
      </c>
      <c r="DL4791">
        <v>0</v>
      </c>
      <c r="DM4791">
        <v>0</v>
      </c>
      <c r="DN4791">
        <v>1</v>
      </c>
      <c r="DO4791">
        <v>0</v>
      </c>
      <c r="DP4791">
        <v>0</v>
      </c>
      <c r="DQ4791">
        <v>0</v>
      </c>
      <c r="DR4791">
        <v>0</v>
      </c>
      <c r="DS4791">
        <v>0</v>
      </c>
    </row>
    <row r="4792" spans="1:123" x14ac:dyDescent="0.3">
      <c r="A4792" t="str">
        <f t="shared" ref="A4792:A4798" si="1773">"10/04/2022 19:38:22.199"</f>
        <v>10/04/2022 19:38:22.199</v>
      </c>
      <c r="C4792" t="str">
        <f t="shared" si="1769"/>
        <v>FFDFD3C0</v>
      </c>
      <c r="D4792" t="s">
        <v>147</v>
      </c>
      <c r="E4792">
        <v>3</v>
      </c>
      <c r="H4792">
        <v>166</v>
      </c>
      <c r="I4792" t="s">
        <v>144</v>
      </c>
      <c r="J4792" t="s">
        <v>148</v>
      </c>
      <c r="K4792">
        <v>0</v>
      </c>
      <c r="L4792">
        <v>3</v>
      </c>
      <c r="M4792">
        <v>0</v>
      </c>
      <c r="N4792">
        <v>2</v>
      </c>
      <c r="O4792">
        <v>0</v>
      </c>
      <c r="P4792">
        <v>1</v>
      </c>
      <c r="Q4792">
        <v>0</v>
      </c>
      <c r="S4792" t="str">
        <f t="shared" si="1771"/>
        <v>19:38:21.000</v>
      </c>
      <c r="T4792" t="str">
        <f t="shared" si="1771"/>
        <v>19:38:21.000</v>
      </c>
      <c r="U4792" t="str">
        <f t="shared" si="1752"/>
        <v>AC3944</v>
      </c>
      <c r="V4792">
        <v>0</v>
      </c>
      <c r="W4792">
        <v>0</v>
      </c>
      <c r="X4792">
        <v>2</v>
      </c>
      <c r="Y4792">
        <v>0</v>
      </c>
      <c r="AA4792">
        <v>1</v>
      </c>
      <c r="AB4792">
        <v>8</v>
      </c>
      <c r="AC4792">
        <v>3</v>
      </c>
      <c r="AD4792">
        <v>0</v>
      </c>
      <c r="AE4792">
        <v>9</v>
      </c>
      <c r="AF4792" t="s">
        <v>138</v>
      </c>
      <c r="AG4792">
        <v>0</v>
      </c>
      <c r="AH4792">
        <v>3</v>
      </c>
      <c r="AI4792">
        <v>1</v>
      </c>
      <c r="AJ4792">
        <v>0</v>
      </c>
      <c r="AK4792" t="s">
        <v>1499</v>
      </c>
      <c r="AL4792">
        <v>32.712243000000001</v>
      </c>
      <c r="AM4792" t="s">
        <v>1500</v>
      </c>
      <c r="AN4792">
        <v>-116.75379</v>
      </c>
      <c r="AO4792">
        <v>25</v>
      </c>
      <c r="AP4792">
        <v>3700</v>
      </c>
      <c r="AQ4792" t="s">
        <v>129</v>
      </c>
      <c r="AR4792">
        <v>-153</v>
      </c>
      <c r="AS4792">
        <v>-103</v>
      </c>
      <c r="AT4792">
        <v>-2048</v>
      </c>
      <c r="BB4792">
        <v>1200</v>
      </c>
      <c r="BC4792">
        <v>1</v>
      </c>
      <c r="BD4792" t="str">
        <f t="shared" si="1753"/>
        <v xml:space="preserve">N887QR  </v>
      </c>
      <c r="BE4792">
        <v>1</v>
      </c>
      <c r="BG4792">
        <v>0</v>
      </c>
      <c r="BH4792">
        <v>0</v>
      </c>
      <c r="BI4792">
        <v>0</v>
      </c>
      <c r="BJ4792">
        <v>3250</v>
      </c>
      <c r="BK4792">
        <v>-450</v>
      </c>
      <c r="BL4792" t="s">
        <v>163</v>
      </c>
      <c r="BM4792">
        <v>1</v>
      </c>
      <c r="BN4792">
        <v>1</v>
      </c>
      <c r="BO4792">
        <v>1</v>
      </c>
      <c r="BP4792">
        <v>0</v>
      </c>
      <c r="BS4792">
        <v>0</v>
      </c>
      <c r="BT4792">
        <v>0</v>
      </c>
      <c r="BU4792">
        <v>0</v>
      </c>
      <c r="CE4792" t="str">
        <f t="shared" ref="CE4792:CE4798" si="1774">"19:38:21.933"</f>
        <v>19:38:21.933</v>
      </c>
      <c r="CF4792">
        <v>932691891</v>
      </c>
      <c r="CS4792">
        <v>0</v>
      </c>
      <c r="CT4792">
        <v>2</v>
      </c>
      <c r="CU4792">
        <v>0</v>
      </c>
      <c r="CV4792">
        <v>2</v>
      </c>
      <c r="CW4792">
        <v>0</v>
      </c>
      <c r="CX4792">
        <v>3</v>
      </c>
      <c r="CY4792">
        <v>7</v>
      </c>
      <c r="CZ4792" t="s">
        <v>131</v>
      </c>
      <c r="DA4792">
        <v>300</v>
      </c>
      <c r="DB4792">
        <v>0</v>
      </c>
      <c r="DC4792" t="s">
        <v>176</v>
      </c>
      <c r="DD4792" t="s">
        <v>177</v>
      </c>
      <c r="DG4792">
        <v>5472564</v>
      </c>
      <c r="DI4792">
        <v>1</v>
      </c>
      <c r="DJ4792">
        <v>0</v>
      </c>
      <c r="DK4792">
        <v>0</v>
      </c>
      <c r="DL4792">
        <v>0</v>
      </c>
      <c r="DM4792">
        <v>0</v>
      </c>
      <c r="DN4792">
        <v>1</v>
      </c>
      <c r="DO4792">
        <v>0</v>
      </c>
      <c r="DP4792">
        <v>0</v>
      </c>
      <c r="DQ4792">
        <v>0</v>
      </c>
      <c r="DR4792">
        <v>0</v>
      </c>
      <c r="DS4792">
        <v>0</v>
      </c>
    </row>
    <row r="4793" spans="1:123" x14ac:dyDescent="0.3">
      <c r="A4793" t="str">
        <f t="shared" si="1773"/>
        <v>10/04/2022 19:38:22.199</v>
      </c>
      <c r="C4793" t="str">
        <f t="shared" si="1769"/>
        <v>FFDFD3C0</v>
      </c>
      <c r="D4793" t="s">
        <v>141</v>
      </c>
      <c r="E4793">
        <v>4</v>
      </c>
      <c r="H4793">
        <v>4</v>
      </c>
      <c r="I4793" t="s">
        <v>142</v>
      </c>
      <c r="J4793" t="s">
        <v>138</v>
      </c>
      <c r="K4793">
        <v>0</v>
      </c>
      <c r="L4793">
        <v>3</v>
      </c>
      <c r="M4793">
        <v>0</v>
      </c>
      <c r="N4793">
        <v>2</v>
      </c>
      <c r="O4793">
        <v>0</v>
      </c>
      <c r="P4793">
        <v>1</v>
      </c>
      <c r="Q4793">
        <v>0</v>
      </c>
      <c r="S4793" t="str">
        <f t="shared" si="1771"/>
        <v>19:38:21.000</v>
      </c>
      <c r="T4793" t="str">
        <f t="shared" si="1771"/>
        <v>19:38:21.000</v>
      </c>
      <c r="U4793" t="str">
        <f t="shared" si="1752"/>
        <v>AC3944</v>
      </c>
      <c r="V4793">
        <v>0</v>
      </c>
      <c r="W4793">
        <v>0</v>
      </c>
      <c r="X4793">
        <v>2</v>
      </c>
      <c r="Y4793">
        <v>0</v>
      </c>
      <c r="AA4793">
        <v>1</v>
      </c>
      <c r="AB4793">
        <v>8</v>
      </c>
      <c r="AC4793">
        <v>3</v>
      </c>
      <c r="AD4793">
        <v>0</v>
      </c>
      <c r="AE4793">
        <v>9</v>
      </c>
      <c r="AF4793" t="s">
        <v>138</v>
      </c>
      <c r="AG4793">
        <v>0</v>
      </c>
      <c r="AH4793">
        <v>3</v>
      </c>
      <c r="AI4793">
        <v>1</v>
      </c>
      <c r="AJ4793">
        <v>0</v>
      </c>
      <c r="AK4793" t="s">
        <v>1499</v>
      </c>
      <c r="AL4793">
        <v>32.712243000000001</v>
      </c>
      <c r="AM4793" t="s">
        <v>1500</v>
      </c>
      <c r="AN4793">
        <v>-116.75379</v>
      </c>
      <c r="AO4793">
        <v>25</v>
      </c>
      <c r="AP4793">
        <v>3700</v>
      </c>
      <c r="AQ4793" t="s">
        <v>129</v>
      </c>
      <c r="AR4793">
        <v>-153</v>
      </c>
      <c r="AS4793">
        <v>-103</v>
      </c>
      <c r="AT4793">
        <v>-2048</v>
      </c>
      <c r="BB4793">
        <v>1200</v>
      </c>
      <c r="BC4793">
        <v>1</v>
      </c>
      <c r="BD4793" t="str">
        <f t="shared" si="1753"/>
        <v xml:space="preserve">N887QR  </v>
      </c>
      <c r="BE4793">
        <v>1</v>
      </c>
      <c r="BG4793">
        <v>0</v>
      </c>
      <c r="BH4793">
        <v>0</v>
      </c>
      <c r="BI4793">
        <v>0</v>
      </c>
      <c r="BJ4793">
        <v>3250</v>
      </c>
      <c r="BK4793">
        <v>-450</v>
      </c>
      <c r="BL4793" t="s">
        <v>163</v>
      </c>
      <c r="BM4793">
        <v>1</v>
      </c>
      <c r="BN4793">
        <v>1</v>
      </c>
      <c r="BO4793">
        <v>1</v>
      </c>
      <c r="BP4793">
        <v>0</v>
      </c>
      <c r="BS4793">
        <v>0</v>
      </c>
      <c r="BT4793">
        <v>0</v>
      </c>
      <c r="BU4793">
        <v>0</v>
      </c>
      <c r="CE4793" t="str">
        <f t="shared" si="1774"/>
        <v>19:38:21.933</v>
      </c>
      <c r="CF4793">
        <v>932691891</v>
      </c>
      <c r="CS4793">
        <v>0</v>
      </c>
      <c r="CT4793">
        <v>2</v>
      </c>
      <c r="CU4793">
        <v>0</v>
      </c>
      <c r="CV4793">
        <v>2</v>
      </c>
      <c r="CW4793">
        <v>0</v>
      </c>
      <c r="CX4793">
        <v>3</v>
      </c>
      <c r="CY4793">
        <v>7</v>
      </c>
      <c r="CZ4793" t="s">
        <v>131</v>
      </c>
      <c r="DA4793">
        <v>300</v>
      </c>
      <c r="DB4793">
        <v>0</v>
      </c>
      <c r="DC4793" t="s">
        <v>176</v>
      </c>
      <c r="DD4793" t="s">
        <v>177</v>
      </c>
      <c r="DG4793">
        <v>5472564</v>
      </c>
      <c r="DI4793">
        <v>1</v>
      </c>
      <c r="DJ4793">
        <v>0</v>
      </c>
      <c r="DK4793">
        <v>1</v>
      </c>
      <c r="DL4793">
        <v>0</v>
      </c>
      <c r="DM4793">
        <v>0</v>
      </c>
      <c r="DN4793">
        <v>1</v>
      </c>
      <c r="DO4793">
        <v>0</v>
      </c>
      <c r="DP4793">
        <v>0</v>
      </c>
      <c r="DQ4793">
        <v>0</v>
      </c>
      <c r="DR4793">
        <v>0</v>
      </c>
      <c r="DS4793">
        <v>0</v>
      </c>
    </row>
    <row r="4794" spans="1:123" x14ac:dyDescent="0.3">
      <c r="A4794" t="str">
        <f t="shared" si="1773"/>
        <v>10/04/2022 19:38:22.199</v>
      </c>
      <c r="C4794" t="str">
        <f t="shared" si="1769"/>
        <v>FFDFD3C0</v>
      </c>
      <c r="D4794" t="s">
        <v>143</v>
      </c>
      <c r="E4794">
        <v>20</v>
      </c>
      <c r="F4794">
        <v>1020</v>
      </c>
      <c r="G4794" t="s">
        <v>144</v>
      </c>
      <c r="J4794" t="s">
        <v>145</v>
      </c>
      <c r="K4794">
        <v>0</v>
      </c>
      <c r="L4794">
        <v>3</v>
      </c>
      <c r="M4794">
        <v>0</v>
      </c>
      <c r="N4794">
        <v>2</v>
      </c>
      <c r="O4794">
        <v>0</v>
      </c>
      <c r="P4794">
        <v>1</v>
      </c>
      <c r="Q4794">
        <v>0</v>
      </c>
      <c r="S4794" t="str">
        <f t="shared" si="1771"/>
        <v>19:38:21.000</v>
      </c>
      <c r="T4794" t="str">
        <f t="shared" si="1771"/>
        <v>19:38:21.000</v>
      </c>
      <c r="U4794" t="str">
        <f t="shared" si="1752"/>
        <v>AC3944</v>
      </c>
      <c r="V4794">
        <v>0</v>
      </c>
      <c r="W4794">
        <v>0</v>
      </c>
      <c r="X4794">
        <v>2</v>
      </c>
      <c r="Y4794">
        <v>0</v>
      </c>
      <c r="AA4794">
        <v>1</v>
      </c>
      <c r="AB4794">
        <v>8</v>
      </c>
      <c r="AC4794">
        <v>3</v>
      </c>
      <c r="AD4794">
        <v>0</v>
      </c>
      <c r="AE4794">
        <v>9</v>
      </c>
      <c r="AF4794" t="s">
        <v>138</v>
      </c>
      <c r="AG4794">
        <v>0</v>
      </c>
      <c r="AH4794">
        <v>3</v>
      </c>
      <c r="AI4794">
        <v>1</v>
      </c>
      <c r="AJ4794">
        <v>0</v>
      </c>
      <c r="AK4794" t="s">
        <v>1499</v>
      </c>
      <c r="AL4794">
        <v>32.712243000000001</v>
      </c>
      <c r="AM4794" t="s">
        <v>1500</v>
      </c>
      <c r="AN4794">
        <v>-116.75379</v>
      </c>
      <c r="AO4794">
        <v>25</v>
      </c>
      <c r="AP4794">
        <v>3700</v>
      </c>
      <c r="AQ4794" t="s">
        <v>129</v>
      </c>
      <c r="AR4794">
        <v>-153</v>
      </c>
      <c r="AS4794">
        <v>-103</v>
      </c>
      <c r="AT4794">
        <v>-2048</v>
      </c>
      <c r="BB4794">
        <v>1200</v>
      </c>
      <c r="BC4794">
        <v>1</v>
      </c>
      <c r="BD4794" t="str">
        <f t="shared" si="1753"/>
        <v xml:space="preserve">N887QR  </v>
      </c>
      <c r="BE4794">
        <v>1</v>
      </c>
      <c r="BG4794">
        <v>0</v>
      </c>
      <c r="BH4794">
        <v>0</v>
      </c>
      <c r="BI4794">
        <v>0</v>
      </c>
      <c r="BJ4794">
        <v>3250</v>
      </c>
      <c r="BK4794">
        <v>-450</v>
      </c>
      <c r="BL4794" t="s">
        <v>163</v>
      </c>
      <c r="BM4794">
        <v>1</v>
      </c>
      <c r="BN4794">
        <v>1</v>
      </c>
      <c r="BO4794">
        <v>1</v>
      </c>
      <c r="BP4794">
        <v>0</v>
      </c>
      <c r="BS4794">
        <v>0</v>
      </c>
      <c r="BT4794">
        <v>0</v>
      </c>
      <c r="BU4794">
        <v>0</v>
      </c>
      <c r="CE4794" t="str">
        <f t="shared" si="1774"/>
        <v>19:38:21.933</v>
      </c>
      <c r="CF4794">
        <v>932691891</v>
      </c>
      <c r="CS4794">
        <v>0</v>
      </c>
      <c r="CT4794">
        <v>2</v>
      </c>
      <c r="CU4794">
        <v>0</v>
      </c>
      <c r="CV4794">
        <v>2</v>
      </c>
      <c r="CW4794">
        <v>0</v>
      </c>
      <c r="CX4794">
        <v>3</v>
      </c>
      <c r="CY4794">
        <v>7</v>
      </c>
      <c r="CZ4794" t="s">
        <v>131</v>
      </c>
      <c r="DA4794">
        <v>300</v>
      </c>
      <c r="DB4794">
        <v>0</v>
      </c>
      <c r="DC4794" t="s">
        <v>176</v>
      </c>
      <c r="DD4794" t="s">
        <v>177</v>
      </c>
      <c r="DG4794">
        <v>5472564</v>
      </c>
      <c r="DI4794">
        <v>1</v>
      </c>
      <c r="DJ4794">
        <v>0</v>
      </c>
      <c r="DK4794">
        <v>1</v>
      </c>
      <c r="DL4794">
        <v>0</v>
      </c>
      <c r="DM4794">
        <v>0</v>
      </c>
      <c r="DN4794">
        <v>1</v>
      </c>
      <c r="DO4794">
        <v>0</v>
      </c>
      <c r="DP4794">
        <v>0</v>
      </c>
      <c r="DQ4794">
        <v>0</v>
      </c>
      <c r="DR4794">
        <v>0</v>
      </c>
      <c r="DS4794">
        <v>0</v>
      </c>
    </row>
    <row r="4795" spans="1:123" x14ac:dyDescent="0.3">
      <c r="A4795" t="str">
        <f t="shared" si="1773"/>
        <v>10/04/2022 19:38:22.199</v>
      </c>
      <c r="C4795" t="str">
        <f t="shared" si="1769"/>
        <v>FFDFD3C0</v>
      </c>
      <c r="D4795" t="s">
        <v>136</v>
      </c>
      <c r="E4795">
        <v>8</v>
      </c>
      <c r="H4795">
        <v>225</v>
      </c>
      <c r="I4795" t="s">
        <v>137</v>
      </c>
      <c r="J4795" t="s">
        <v>138</v>
      </c>
      <c r="K4795">
        <v>0</v>
      </c>
      <c r="L4795">
        <v>3</v>
      </c>
      <c r="M4795">
        <v>0</v>
      </c>
      <c r="N4795">
        <v>2</v>
      </c>
      <c r="O4795">
        <v>0</v>
      </c>
      <c r="P4795">
        <v>1</v>
      </c>
      <c r="Q4795">
        <v>0</v>
      </c>
      <c r="S4795" t="str">
        <f t="shared" si="1771"/>
        <v>19:38:21.000</v>
      </c>
      <c r="T4795" t="str">
        <f t="shared" si="1771"/>
        <v>19:38:21.000</v>
      </c>
      <c r="U4795" t="str">
        <f t="shared" si="1752"/>
        <v>AC3944</v>
      </c>
      <c r="V4795">
        <v>0</v>
      </c>
      <c r="W4795">
        <v>0</v>
      </c>
      <c r="X4795">
        <v>2</v>
      </c>
      <c r="Y4795">
        <v>0</v>
      </c>
      <c r="AA4795">
        <v>1</v>
      </c>
      <c r="AB4795">
        <v>8</v>
      </c>
      <c r="AC4795">
        <v>3</v>
      </c>
      <c r="AD4795">
        <v>0</v>
      </c>
      <c r="AE4795">
        <v>9</v>
      </c>
      <c r="AF4795" t="s">
        <v>138</v>
      </c>
      <c r="AG4795">
        <v>0</v>
      </c>
      <c r="AH4795">
        <v>3</v>
      </c>
      <c r="AI4795">
        <v>1</v>
      </c>
      <c r="AJ4795">
        <v>0</v>
      </c>
      <c r="AK4795" t="s">
        <v>1499</v>
      </c>
      <c r="AL4795">
        <v>32.712243000000001</v>
      </c>
      <c r="AM4795" t="s">
        <v>1500</v>
      </c>
      <c r="AN4795">
        <v>-116.75379</v>
      </c>
      <c r="AO4795">
        <v>25</v>
      </c>
      <c r="AP4795">
        <v>3700</v>
      </c>
      <c r="AQ4795" t="s">
        <v>129</v>
      </c>
      <c r="AR4795">
        <v>-153</v>
      </c>
      <c r="AS4795">
        <v>-103</v>
      </c>
      <c r="AT4795">
        <v>-2048</v>
      </c>
      <c r="BB4795">
        <v>1200</v>
      </c>
      <c r="BC4795">
        <v>1</v>
      </c>
      <c r="BD4795" t="str">
        <f t="shared" si="1753"/>
        <v xml:space="preserve">N887QR  </v>
      </c>
      <c r="BE4795">
        <v>1</v>
      </c>
      <c r="BG4795">
        <v>0</v>
      </c>
      <c r="BH4795">
        <v>0</v>
      </c>
      <c r="BI4795">
        <v>0</v>
      </c>
      <c r="BJ4795">
        <v>3250</v>
      </c>
      <c r="BK4795">
        <v>-450</v>
      </c>
      <c r="BL4795" t="s">
        <v>163</v>
      </c>
      <c r="BM4795">
        <v>1</v>
      </c>
      <c r="BN4795">
        <v>1</v>
      </c>
      <c r="BO4795">
        <v>1</v>
      </c>
      <c r="BP4795">
        <v>0</v>
      </c>
      <c r="BS4795">
        <v>0</v>
      </c>
      <c r="BT4795">
        <v>0</v>
      </c>
      <c r="BU4795">
        <v>0</v>
      </c>
      <c r="CE4795" t="str">
        <f t="shared" si="1774"/>
        <v>19:38:21.933</v>
      </c>
      <c r="CF4795">
        <v>932691891</v>
      </c>
      <c r="CS4795">
        <v>0</v>
      </c>
      <c r="CT4795">
        <v>2</v>
      </c>
      <c r="CU4795">
        <v>0</v>
      </c>
      <c r="CV4795">
        <v>2</v>
      </c>
      <c r="CW4795">
        <v>0</v>
      </c>
      <c r="CX4795">
        <v>3</v>
      </c>
      <c r="CY4795">
        <v>7</v>
      </c>
      <c r="CZ4795" t="s">
        <v>131</v>
      </c>
      <c r="DA4795">
        <v>300</v>
      </c>
      <c r="DB4795">
        <v>0</v>
      </c>
      <c r="DC4795" t="s">
        <v>176</v>
      </c>
      <c r="DD4795" t="s">
        <v>177</v>
      </c>
      <c r="DG4795">
        <v>5472564</v>
      </c>
      <c r="DI4795">
        <v>1</v>
      </c>
      <c r="DJ4795">
        <v>0</v>
      </c>
      <c r="DK4795">
        <v>1</v>
      </c>
      <c r="DL4795">
        <v>0</v>
      </c>
      <c r="DM4795">
        <v>0</v>
      </c>
      <c r="DN4795">
        <v>1</v>
      </c>
      <c r="DO4795">
        <v>0</v>
      </c>
      <c r="DP4795">
        <v>0</v>
      </c>
      <c r="DQ4795">
        <v>0</v>
      </c>
      <c r="DR4795">
        <v>0</v>
      </c>
      <c r="DS4795">
        <v>0</v>
      </c>
    </row>
    <row r="4796" spans="1:123" x14ac:dyDescent="0.3">
      <c r="A4796" t="str">
        <f t="shared" si="1773"/>
        <v>10/04/2022 19:38:22.199</v>
      </c>
      <c r="C4796" t="str">
        <f t="shared" si="1769"/>
        <v>FFDFD3C0</v>
      </c>
      <c r="D4796" t="s">
        <v>123</v>
      </c>
      <c r="E4796">
        <v>7</v>
      </c>
      <c r="F4796">
        <v>2007</v>
      </c>
      <c r="G4796" t="s">
        <v>124</v>
      </c>
      <c r="J4796" t="s">
        <v>125</v>
      </c>
      <c r="K4796">
        <v>0</v>
      </c>
      <c r="L4796">
        <v>3</v>
      </c>
      <c r="M4796">
        <v>0</v>
      </c>
      <c r="N4796">
        <v>2</v>
      </c>
      <c r="O4796">
        <v>0</v>
      </c>
      <c r="P4796">
        <v>1</v>
      </c>
      <c r="Q4796">
        <v>0</v>
      </c>
      <c r="S4796" t="str">
        <f t="shared" si="1771"/>
        <v>19:38:21.000</v>
      </c>
      <c r="T4796" t="str">
        <f t="shared" si="1771"/>
        <v>19:38:21.000</v>
      </c>
      <c r="U4796" t="str">
        <f t="shared" si="1752"/>
        <v>AC3944</v>
      </c>
      <c r="V4796">
        <v>0</v>
      </c>
      <c r="W4796">
        <v>0</v>
      </c>
      <c r="X4796">
        <v>2</v>
      </c>
      <c r="Y4796">
        <v>0</v>
      </c>
      <c r="AA4796">
        <v>1</v>
      </c>
      <c r="AB4796">
        <v>8</v>
      </c>
      <c r="AC4796">
        <v>3</v>
      </c>
      <c r="AD4796">
        <v>0</v>
      </c>
      <c r="AE4796">
        <v>9</v>
      </c>
      <c r="AF4796" t="s">
        <v>138</v>
      </c>
      <c r="AG4796">
        <v>0</v>
      </c>
      <c r="AH4796">
        <v>3</v>
      </c>
      <c r="AI4796">
        <v>1</v>
      </c>
      <c r="AJ4796">
        <v>0</v>
      </c>
      <c r="AK4796" t="s">
        <v>1499</v>
      </c>
      <c r="AL4796">
        <v>32.712243000000001</v>
      </c>
      <c r="AM4796" t="s">
        <v>1500</v>
      </c>
      <c r="AN4796">
        <v>-116.75379</v>
      </c>
      <c r="AO4796">
        <v>25</v>
      </c>
      <c r="AP4796">
        <v>3700</v>
      </c>
      <c r="AQ4796" t="s">
        <v>129</v>
      </c>
      <c r="AR4796">
        <v>-153</v>
      </c>
      <c r="AS4796">
        <v>-103</v>
      </c>
      <c r="AT4796">
        <v>-2048</v>
      </c>
      <c r="BB4796">
        <v>1200</v>
      </c>
      <c r="BC4796">
        <v>1</v>
      </c>
      <c r="BD4796" t="str">
        <f t="shared" si="1753"/>
        <v xml:space="preserve">N887QR  </v>
      </c>
      <c r="BE4796">
        <v>1</v>
      </c>
      <c r="BG4796">
        <v>0</v>
      </c>
      <c r="BH4796">
        <v>0</v>
      </c>
      <c r="BI4796">
        <v>0</v>
      </c>
      <c r="BJ4796">
        <v>3250</v>
      </c>
      <c r="BK4796">
        <v>-450</v>
      </c>
      <c r="BL4796" t="s">
        <v>163</v>
      </c>
      <c r="BM4796">
        <v>1</v>
      </c>
      <c r="BN4796">
        <v>1</v>
      </c>
      <c r="BO4796">
        <v>1</v>
      </c>
      <c r="BP4796">
        <v>0</v>
      </c>
      <c r="BS4796">
        <v>0</v>
      </c>
      <c r="BT4796">
        <v>0</v>
      </c>
      <c r="BU4796">
        <v>0</v>
      </c>
      <c r="CE4796" t="str">
        <f t="shared" si="1774"/>
        <v>19:38:21.933</v>
      </c>
      <c r="CF4796">
        <v>932691891</v>
      </c>
      <c r="CS4796">
        <v>0</v>
      </c>
      <c r="CT4796">
        <v>2</v>
      </c>
      <c r="CU4796">
        <v>0</v>
      </c>
      <c r="CV4796">
        <v>2</v>
      </c>
      <c r="CW4796">
        <v>0</v>
      </c>
      <c r="CX4796">
        <v>3</v>
      </c>
      <c r="CY4796">
        <v>7</v>
      </c>
      <c r="CZ4796" t="s">
        <v>131</v>
      </c>
      <c r="DA4796">
        <v>300</v>
      </c>
      <c r="DB4796">
        <v>0</v>
      </c>
      <c r="DC4796" t="s">
        <v>176</v>
      </c>
      <c r="DD4796" t="s">
        <v>177</v>
      </c>
      <c r="DG4796">
        <v>5472564</v>
      </c>
      <c r="DI4796">
        <v>1</v>
      </c>
      <c r="DJ4796">
        <v>0</v>
      </c>
      <c r="DK4796">
        <v>1</v>
      </c>
      <c r="DL4796">
        <v>0</v>
      </c>
      <c r="DM4796">
        <v>0</v>
      </c>
      <c r="DN4796">
        <v>1</v>
      </c>
      <c r="DO4796">
        <v>0</v>
      </c>
      <c r="DP4796">
        <v>0</v>
      </c>
      <c r="DQ4796">
        <v>0</v>
      </c>
      <c r="DR4796">
        <v>0</v>
      </c>
      <c r="DS4796">
        <v>0</v>
      </c>
    </row>
    <row r="4797" spans="1:123" x14ac:dyDescent="0.3">
      <c r="A4797" t="str">
        <f t="shared" si="1773"/>
        <v>10/04/2022 19:38:22.199</v>
      </c>
      <c r="C4797" t="str">
        <f t="shared" si="1769"/>
        <v>FFDFD3C0</v>
      </c>
      <c r="D4797" t="s">
        <v>141</v>
      </c>
      <c r="E4797">
        <v>3</v>
      </c>
      <c r="H4797">
        <v>3</v>
      </c>
      <c r="I4797" t="s">
        <v>146</v>
      </c>
      <c r="J4797" t="s">
        <v>138</v>
      </c>
      <c r="K4797">
        <v>0</v>
      </c>
      <c r="L4797">
        <v>3</v>
      </c>
      <c r="M4797">
        <v>0</v>
      </c>
      <c r="N4797">
        <v>2</v>
      </c>
      <c r="O4797">
        <v>0</v>
      </c>
      <c r="P4797">
        <v>1</v>
      </c>
      <c r="Q4797">
        <v>0</v>
      </c>
      <c r="S4797" t="str">
        <f t="shared" si="1771"/>
        <v>19:38:21.000</v>
      </c>
      <c r="T4797" t="str">
        <f t="shared" si="1771"/>
        <v>19:38:21.000</v>
      </c>
      <c r="U4797" t="str">
        <f t="shared" si="1752"/>
        <v>AC3944</v>
      </c>
      <c r="V4797">
        <v>0</v>
      </c>
      <c r="W4797">
        <v>0</v>
      </c>
      <c r="X4797">
        <v>2</v>
      </c>
      <c r="Y4797">
        <v>0</v>
      </c>
      <c r="AA4797">
        <v>1</v>
      </c>
      <c r="AB4797">
        <v>8</v>
      </c>
      <c r="AC4797">
        <v>3</v>
      </c>
      <c r="AD4797">
        <v>0</v>
      </c>
      <c r="AE4797">
        <v>9</v>
      </c>
      <c r="AF4797" t="s">
        <v>138</v>
      </c>
      <c r="AG4797">
        <v>0</v>
      </c>
      <c r="AH4797">
        <v>3</v>
      </c>
      <c r="AI4797">
        <v>1</v>
      </c>
      <c r="AJ4797">
        <v>0</v>
      </c>
      <c r="AK4797" t="s">
        <v>1499</v>
      </c>
      <c r="AL4797">
        <v>32.712243000000001</v>
      </c>
      <c r="AM4797" t="s">
        <v>1500</v>
      </c>
      <c r="AN4797">
        <v>-116.75379</v>
      </c>
      <c r="AO4797">
        <v>25</v>
      </c>
      <c r="AP4797">
        <v>3700</v>
      </c>
      <c r="AQ4797" t="s">
        <v>129</v>
      </c>
      <c r="AR4797">
        <v>-153</v>
      </c>
      <c r="AS4797">
        <v>-103</v>
      </c>
      <c r="AT4797">
        <v>-2048</v>
      </c>
      <c r="BB4797">
        <v>1200</v>
      </c>
      <c r="BC4797">
        <v>1</v>
      </c>
      <c r="BD4797" t="str">
        <f t="shared" si="1753"/>
        <v xml:space="preserve">N887QR  </v>
      </c>
      <c r="BE4797">
        <v>1</v>
      </c>
      <c r="BG4797">
        <v>0</v>
      </c>
      <c r="BH4797">
        <v>0</v>
      </c>
      <c r="BI4797">
        <v>0</v>
      </c>
      <c r="BJ4797">
        <v>3250</v>
      </c>
      <c r="BK4797">
        <v>-450</v>
      </c>
      <c r="BL4797" t="s">
        <v>163</v>
      </c>
      <c r="BM4797">
        <v>1</v>
      </c>
      <c r="BN4797">
        <v>1</v>
      </c>
      <c r="BO4797">
        <v>1</v>
      </c>
      <c r="BP4797">
        <v>0</v>
      </c>
      <c r="BS4797">
        <v>0</v>
      </c>
      <c r="BT4797">
        <v>0</v>
      </c>
      <c r="BU4797">
        <v>0</v>
      </c>
      <c r="CE4797" t="str">
        <f t="shared" si="1774"/>
        <v>19:38:21.933</v>
      </c>
      <c r="CF4797">
        <v>932691891</v>
      </c>
      <c r="CS4797">
        <v>0</v>
      </c>
      <c r="CT4797">
        <v>2</v>
      </c>
      <c r="CU4797">
        <v>0</v>
      </c>
      <c r="CV4797">
        <v>2</v>
      </c>
      <c r="CW4797">
        <v>0</v>
      </c>
      <c r="CX4797">
        <v>3</v>
      </c>
      <c r="CY4797">
        <v>7</v>
      </c>
      <c r="CZ4797" t="s">
        <v>131</v>
      </c>
      <c r="DA4797">
        <v>300</v>
      </c>
      <c r="DB4797">
        <v>0</v>
      </c>
      <c r="DC4797" t="s">
        <v>176</v>
      </c>
      <c r="DD4797" t="s">
        <v>177</v>
      </c>
      <c r="DG4797">
        <v>5472564</v>
      </c>
      <c r="DI4797">
        <v>1</v>
      </c>
      <c r="DJ4797">
        <v>0</v>
      </c>
      <c r="DK4797">
        <v>1</v>
      </c>
      <c r="DL4797">
        <v>0</v>
      </c>
      <c r="DM4797">
        <v>0</v>
      </c>
      <c r="DN4797">
        <v>1</v>
      </c>
      <c r="DO4797">
        <v>0</v>
      </c>
      <c r="DP4797">
        <v>0</v>
      </c>
      <c r="DQ4797">
        <v>0</v>
      </c>
      <c r="DR4797">
        <v>0</v>
      </c>
      <c r="DS4797">
        <v>0</v>
      </c>
    </row>
    <row r="4798" spans="1:123" x14ac:dyDescent="0.3">
      <c r="A4798" t="str">
        <f t="shared" si="1773"/>
        <v>10/04/2022 19:38:22.199</v>
      </c>
      <c r="C4798" t="str">
        <f t="shared" si="1769"/>
        <v>FFDFD3C0</v>
      </c>
      <c r="D4798" t="s">
        <v>134</v>
      </c>
      <c r="E4798">
        <v>15</v>
      </c>
      <c r="J4798" t="s">
        <v>135</v>
      </c>
      <c r="K4798">
        <v>0</v>
      </c>
      <c r="L4798">
        <v>3</v>
      </c>
      <c r="M4798">
        <v>0</v>
      </c>
      <c r="N4798">
        <v>2</v>
      </c>
      <c r="O4798">
        <v>0</v>
      </c>
      <c r="P4798">
        <v>1</v>
      </c>
      <c r="Q4798">
        <v>0</v>
      </c>
      <c r="S4798" t="str">
        <f t="shared" si="1771"/>
        <v>19:38:21.000</v>
      </c>
      <c r="T4798" t="str">
        <f t="shared" si="1771"/>
        <v>19:38:21.000</v>
      </c>
      <c r="U4798" t="str">
        <f t="shared" si="1752"/>
        <v>AC3944</v>
      </c>
      <c r="V4798">
        <v>0</v>
      </c>
      <c r="W4798">
        <v>0</v>
      </c>
      <c r="X4798">
        <v>2</v>
      </c>
      <c r="Y4798">
        <v>0</v>
      </c>
      <c r="AA4798">
        <v>1</v>
      </c>
      <c r="AB4798">
        <v>8</v>
      </c>
      <c r="AC4798">
        <v>3</v>
      </c>
      <c r="AD4798">
        <v>0</v>
      </c>
      <c r="AE4798">
        <v>9</v>
      </c>
      <c r="AF4798" t="s">
        <v>138</v>
      </c>
      <c r="AG4798">
        <v>0</v>
      </c>
      <c r="AH4798">
        <v>3</v>
      </c>
      <c r="AI4798">
        <v>1</v>
      </c>
      <c r="AJ4798">
        <v>0</v>
      </c>
      <c r="AK4798" t="s">
        <v>1499</v>
      </c>
      <c r="AL4798">
        <v>32.712243000000001</v>
      </c>
      <c r="AM4798" t="s">
        <v>1500</v>
      </c>
      <c r="AN4798">
        <v>-116.75379</v>
      </c>
      <c r="AO4798">
        <v>25</v>
      </c>
      <c r="AP4798">
        <v>3700</v>
      </c>
      <c r="AQ4798" t="s">
        <v>129</v>
      </c>
      <c r="AR4798">
        <v>-153</v>
      </c>
      <c r="AS4798">
        <v>-103</v>
      </c>
      <c r="AT4798">
        <v>-2048</v>
      </c>
      <c r="BB4798">
        <v>1200</v>
      </c>
      <c r="BC4798">
        <v>1</v>
      </c>
      <c r="BD4798" t="str">
        <f t="shared" si="1753"/>
        <v xml:space="preserve">N887QR  </v>
      </c>
      <c r="BE4798">
        <v>1</v>
      </c>
      <c r="BG4798">
        <v>0</v>
      </c>
      <c r="BH4798">
        <v>0</v>
      </c>
      <c r="BI4798">
        <v>0</v>
      </c>
      <c r="BJ4798">
        <v>3250</v>
      </c>
      <c r="BK4798">
        <v>-450</v>
      </c>
      <c r="BL4798" t="s">
        <v>163</v>
      </c>
      <c r="BM4798">
        <v>1</v>
      </c>
      <c r="BN4798">
        <v>1</v>
      </c>
      <c r="BO4798">
        <v>1</v>
      </c>
      <c r="BP4798">
        <v>0</v>
      </c>
      <c r="BS4798">
        <v>0</v>
      </c>
      <c r="BT4798">
        <v>0</v>
      </c>
      <c r="BU4798">
        <v>0</v>
      </c>
      <c r="CE4798" t="str">
        <f t="shared" si="1774"/>
        <v>19:38:21.933</v>
      </c>
      <c r="CF4798">
        <v>932691891</v>
      </c>
      <c r="CS4798">
        <v>0</v>
      </c>
      <c r="CT4798">
        <v>2</v>
      </c>
      <c r="CU4798">
        <v>0</v>
      </c>
      <c r="CV4798">
        <v>2</v>
      </c>
      <c r="CW4798">
        <v>0</v>
      </c>
      <c r="CX4798">
        <v>3</v>
      </c>
      <c r="CY4798">
        <v>7</v>
      </c>
      <c r="CZ4798" t="s">
        <v>131</v>
      </c>
      <c r="DA4798">
        <v>300</v>
      </c>
      <c r="DB4798">
        <v>0</v>
      </c>
      <c r="DC4798" t="s">
        <v>176</v>
      </c>
      <c r="DD4798" t="s">
        <v>177</v>
      </c>
      <c r="DG4798">
        <v>5472564</v>
      </c>
      <c r="DI4798">
        <v>1</v>
      </c>
      <c r="DJ4798">
        <v>0</v>
      </c>
      <c r="DK4798">
        <v>1</v>
      </c>
      <c r="DL4798">
        <v>0</v>
      </c>
      <c r="DM4798">
        <v>0</v>
      </c>
      <c r="DN4798">
        <v>1</v>
      </c>
      <c r="DO4798">
        <v>0</v>
      </c>
      <c r="DP4798">
        <v>0</v>
      </c>
      <c r="DQ4798">
        <v>0</v>
      </c>
      <c r="DR4798">
        <v>0</v>
      </c>
      <c r="DS4798">
        <v>0</v>
      </c>
    </row>
    <row r="4799" spans="1:123" x14ac:dyDescent="0.3">
      <c r="A4799" t="str">
        <f t="shared" ref="A4799:A4805" si="1775">"10/04/2022 19:38:23.918"</f>
        <v>10/04/2022 19:38:23.918</v>
      </c>
      <c r="C4799" t="str">
        <f t="shared" si="1769"/>
        <v>FFDFD3C0</v>
      </c>
      <c r="D4799" t="s">
        <v>134</v>
      </c>
      <c r="E4799">
        <v>15</v>
      </c>
      <c r="J4799" t="s">
        <v>135</v>
      </c>
      <c r="K4799">
        <v>0</v>
      </c>
      <c r="L4799">
        <v>3</v>
      </c>
      <c r="M4799">
        <v>0</v>
      </c>
      <c r="N4799">
        <v>2</v>
      </c>
      <c r="O4799">
        <v>0</v>
      </c>
      <c r="P4799">
        <v>1</v>
      </c>
      <c r="Q4799">
        <v>0</v>
      </c>
      <c r="S4799" t="str">
        <f t="shared" ref="S4799:T4805" si="1776">"19:38:23.000"</f>
        <v>19:38:23.000</v>
      </c>
      <c r="T4799" t="str">
        <f t="shared" si="1776"/>
        <v>19:38:23.000</v>
      </c>
      <c r="U4799" t="str">
        <f t="shared" si="1752"/>
        <v>AC3944</v>
      </c>
      <c r="V4799">
        <v>0</v>
      </c>
      <c r="W4799">
        <v>0</v>
      </c>
      <c r="X4799">
        <v>2</v>
      </c>
      <c r="Y4799">
        <v>0</v>
      </c>
      <c r="AA4799">
        <v>1</v>
      </c>
      <c r="AB4799">
        <v>8</v>
      </c>
      <c r="AC4799">
        <v>3</v>
      </c>
      <c r="AD4799">
        <v>0</v>
      </c>
      <c r="AE4799">
        <v>9</v>
      </c>
      <c r="AF4799" t="s">
        <v>138</v>
      </c>
      <c r="AG4799">
        <v>0</v>
      </c>
      <c r="AH4799">
        <v>3</v>
      </c>
      <c r="AI4799">
        <v>1</v>
      </c>
      <c r="AJ4799">
        <v>0</v>
      </c>
      <c r="AK4799" t="s">
        <v>1501</v>
      </c>
      <c r="AL4799">
        <v>32.711770999999999</v>
      </c>
      <c r="AM4799" t="s">
        <v>1502</v>
      </c>
      <c r="AN4799">
        <v>-116.754627</v>
      </c>
      <c r="AO4799">
        <v>25</v>
      </c>
      <c r="AP4799">
        <v>3700</v>
      </c>
      <c r="AQ4799" t="s">
        <v>129</v>
      </c>
      <c r="AR4799">
        <v>-153</v>
      </c>
      <c r="AS4799">
        <v>-104</v>
      </c>
      <c r="AT4799">
        <v>-1984</v>
      </c>
      <c r="BB4799">
        <v>1200</v>
      </c>
      <c r="BC4799">
        <v>1</v>
      </c>
      <c r="BD4799" t="str">
        <f t="shared" si="1753"/>
        <v xml:space="preserve">N887QR  </v>
      </c>
      <c r="BE4799">
        <v>1</v>
      </c>
      <c r="BG4799">
        <v>0</v>
      </c>
      <c r="BH4799">
        <v>0</v>
      </c>
      <c r="BI4799">
        <v>0</v>
      </c>
      <c r="BJ4799">
        <v>3175</v>
      </c>
      <c r="BK4799">
        <v>-525</v>
      </c>
      <c r="BL4799" t="s">
        <v>163</v>
      </c>
      <c r="BM4799">
        <v>1</v>
      </c>
      <c r="BN4799">
        <v>1</v>
      </c>
      <c r="BO4799">
        <v>1</v>
      </c>
      <c r="BP4799">
        <v>0</v>
      </c>
      <c r="BS4799">
        <v>0</v>
      </c>
      <c r="BT4799">
        <v>0</v>
      </c>
      <c r="BU4799">
        <v>0</v>
      </c>
      <c r="CE4799" t="str">
        <f t="shared" ref="CE4799:CE4805" si="1777">"19:38:23.524"</f>
        <v>19:38:23.524</v>
      </c>
      <c r="CF4799">
        <v>524447016</v>
      </c>
      <c r="CS4799">
        <v>0</v>
      </c>
      <c r="CT4799">
        <v>2</v>
      </c>
      <c r="CU4799">
        <v>0</v>
      </c>
      <c r="CV4799">
        <v>2</v>
      </c>
      <c r="CW4799">
        <v>0</v>
      </c>
      <c r="CX4799">
        <v>4</v>
      </c>
      <c r="CY4799">
        <v>7</v>
      </c>
      <c r="CZ4799" t="s">
        <v>131</v>
      </c>
      <c r="DA4799">
        <v>300</v>
      </c>
      <c r="DB4799">
        <v>0</v>
      </c>
      <c r="DC4799" t="s">
        <v>176</v>
      </c>
      <c r="DD4799" t="s">
        <v>177</v>
      </c>
      <c r="DG4799">
        <v>5472829</v>
      </c>
      <c r="DI4799">
        <v>1</v>
      </c>
      <c r="DJ4799">
        <v>0</v>
      </c>
      <c r="DK4799">
        <v>0</v>
      </c>
      <c r="DL4799">
        <v>0</v>
      </c>
      <c r="DM4799">
        <v>0</v>
      </c>
      <c r="DN4799">
        <v>1</v>
      </c>
      <c r="DO4799">
        <v>0</v>
      </c>
      <c r="DP4799">
        <v>0</v>
      </c>
      <c r="DQ4799">
        <v>0</v>
      </c>
      <c r="DR4799">
        <v>0</v>
      </c>
      <c r="DS4799">
        <v>0</v>
      </c>
    </row>
    <row r="4800" spans="1:123" x14ac:dyDescent="0.3">
      <c r="A4800" t="str">
        <f t="shared" si="1775"/>
        <v>10/04/2022 19:38:23.918</v>
      </c>
      <c r="C4800" t="str">
        <f t="shared" si="1769"/>
        <v>FFDFD3C0</v>
      </c>
      <c r="D4800" t="s">
        <v>141</v>
      </c>
      <c r="E4800">
        <v>4</v>
      </c>
      <c r="H4800">
        <v>4</v>
      </c>
      <c r="I4800" t="s">
        <v>142</v>
      </c>
      <c r="J4800" t="s">
        <v>138</v>
      </c>
      <c r="K4800">
        <v>0</v>
      </c>
      <c r="L4800">
        <v>3</v>
      </c>
      <c r="M4800">
        <v>0</v>
      </c>
      <c r="N4800">
        <v>2</v>
      </c>
      <c r="O4800">
        <v>0</v>
      </c>
      <c r="P4800">
        <v>1</v>
      </c>
      <c r="Q4800">
        <v>0</v>
      </c>
      <c r="S4800" t="str">
        <f t="shared" si="1776"/>
        <v>19:38:23.000</v>
      </c>
      <c r="T4800" t="str">
        <f t="shared" si="1776"/>
        <v>19:38:23.000</v>
      </c>
      <c r="U4800" t="str">
        <f t="shared" si="1752"/>
        <v>AC3944</v>
      </c>
      <c r="V4800">
        <v>0</v>
      </c>
      <c r="W4800">
        <v>0</v>
      </c>
      <c r="X4800">
        <v>2</v>
      </c>
      <c r="Y4800">
        <v>0</v>
      </c>
      <c r="AA4800">
        <v>1</v>
      </c>
      <c r="AB4800">
        <v>8</v>
      </c>
      <c r="AC4800">
        <v>3</v>
      </c>
      <c r="AD4800">
        <v>0</v>
      </c>
      <c r="AE4800">
        <v>9</v>
      </c>
      <c r="AF4800" t="s">
        <v>138</v>
      </c>
      <c r="AG4800">
        <v>0</v>
      </c>
      <c r="AH4800">
        <v>3</v>
      </c>
      <c r="AI4800">
        <v>1</v>
      </c>
      <c r="AJ4800">
        <v>0</v>
      </c>
      <c r="AK4800" t="s">
        <v>1501</v>
      </c>
      <c r="AL4800">
        <v>32.711770999999999</v>
      </c>
      <c r="AM4800" t="s">
        <v>1502</v>
      </c>
      <c r="AN4800">
        <v>-116.754627</v>
      </c>
      <c r="AO4800">
        <v>25</v>
      </c>
      <c r="AP4800">
        <v>3700</v>
      </c>
      <c r="AQ4800" t="s">
        <v>129</v>
      </c>
      <c r="AR4800">
        <v>-153</v>
      </c>
      <c r="AS4800">
        <v>-104</v>
      </c>
      <c r="AT4800">
        <v>-1984</v>
      </c>
      <c r="BB4800">
        <v>1200</v>
      </c>
      <c r="BC4800">
        <v>1</v>
      </c>
      <c r="BD4800" t="str">
        <f t="shared" si="1753"/>
        <v xml:space="preserve">N887QR  </v>
      </c>
      <c r="BE4800">
        <v>1</v>
      </c>
      <c r="BG4800">
        <v>0</v>
      </c>
      <c r="BH4800">
        <v>0</v>
      </c>
      <c r="BI4800">
        <v>0</v>
      </c>
      <c r="BJ4800">
        <v>3175</v>
      </c>
      <c r="BK4800">
        <v>-525</v>
      </c>
      <c r="BL4800" t="s">
        <v>163</v>
      </c>
      <c r="BM4800">
        <v>1</v>
      </c>
      <c r="BN4800">
        <v>1</v>
      </c>
      <c r="BO4800">
        <v>1</v>
      </c>
      <c r="BP4800">
        <v>0</v>
      </c>
      <c r="BS4800">
        <v>0</v>
      </c>
      <c r="BT4800">
        <v>0</v>
      </c>
      <c r="BU4800">
        <v>0</v>
      </c>
      <c r="CE4800" t="str">
        <f t="shared" si="1777"/>
        <v>19:38:23.524</v>
      </c>
      <c r="CF4800">
        <v>524447016</v>
      </c>
      <c r="CS4800">
        <v>0</v>
      </c>
      <c r="CT4800">
        <v>2</v>
      </c>
      <c r="CU4800">
        <v>0</v>
      </c>
      <c r="CV4800">
        <v>2</v>
      </c>
      <c r="CW4800">
        <v>0</v>
      </c>
      <c r="CX4800">
        <v>4</v>
      </c>
      <c r="CY4800">
        <v>7</v>
      </c>
      <c r="CZ4800" t="s">
        <v>131</v>
      </c>
      <c r="DA4800">
        <v>300</v>
      </c>
      <c r="DB4800">
        <v>0</v>
      </c>
      <c r="DC4800" t="s">
        <v>176</v>
      </c>
      <c r="DD4800" t="s">
        <v>177</v>
      </c>
      <c r="DG4800">
        <v>5472829</v>
      </c>
      <c r="DI4800">
        <v>1</v>
      </c>
      <c r="DJ4800">
        <v>0</v>
      </c>
      <c r="DK4800">
        <v>1</v>
      </c>
      <c r="DL4800">
        <v>0</v>
      </c>
      <c r="DM4800">
        <v>0</v>
      </c>
      <c r="DN4800">
        <v>1</v>
      </c>
      <c r="DO4800">
        <v>0</v>
      </c>
      <c r="DP4800">
        <v>0</v>
      </c>
      <c r="DQ4800">
        <v>0</v>
      </c>
      <c r="DR4800">
        <v>0</v>
      </c>
      <c r="DS4800">
        <v>0</v>
      </c>
    </row>
    <row r="4801" spans="1:123" x14ac:dyDescent="0.3">
      <c r="A4801" t="str">
        <f t="shared" si="1775"/>
        <v>10/04/2022 19:38:23.918</v>
      </c>
      <c r="C4801" t="str">
        <f t="shared" si="1769"/>
        <v>FFDFD3C0</v>
      </c>
      <c r="D4801" t="s">
        <v>147</v>
      </c>
      <c r="E4801">
        <v>3</v>
      </c>
      <c r="H4801">
        <v>166</v>
      </c>
      <c r="I4801" t="s">
        <v>144</v>
      </c>
      <c r="J4801" t="s">
        <v>148</v>
      </c>
      <c r="K4801">
        <v>0</v>
      </c>
      <c r="L4801">
        <v>3</v>
      </c>
      <c r="M4801">
        <v>0</v>
      </c>
      <c r="N4801">
        <v>2</v>
      </c>
      <c r="O4801">
        <v>0</v>
      </c>
      <c r="P4801">
        <v>1</v>
      </c>
      <c r="Q4801">
        <v>0</v>
      </c>
      <c r="S4801" t="str">
        <f t="shared" si="1776"/>
        <v>19:38:23.000</v>
      </c>
      <c r="T4801" t="str">
        <f t="shared" si="1776"/>
        <v>19:38:23.000</v>
      </c>
      <c r="U4801" t="str">
        <f t="shared" si="1752"/>
        <v>AC3944</v>
      </c>
      <c r="V4801">
        <v>0</v>
      </c>
      <c r="W4801">
        <v>0</v>
      </c>
      <c r="X4801">
        <v>2</v>
      </c>
      <c r="Y4801">
        <v>0</v>
      </c>
      <c r="AA4801">
        <v>1</v>
      </c>
      <c r="AB4801">
        <v>8</v>
      </c>
      <c r="AC4801">
        <v>3</v>
      </c>
      <c r="AD4801">
        <v>0</v>
      </c>
      <c r="AE4801">
        <v>9</v>
      </c>
      <c r="AF4801" t="s">
        <v>138</v>
      </c>
      <c r="AG4801">
        <v>0</v>
      </c>
      <c r="AH4801">
        <v>3</v>
      </c>
      <c r="AI4801">
        <v>1</v>
      </c>
      <c r="AJ4801">
        <v>0</v>
      </c>
      <c r="AK4801" t="s">
        <v>1501</v>
      </c>
      <c r="AL4801">
        <v>32.711770999999999</v>
      </c>
      <c r="AM4801" t="s">
        <v>1502</v>
      </c>
      <c r="AN4801">
        <v>-116.754627</v>
      </c>
      <c r="AO4801">
        <v>25</v>
      </c>
      <c r="AP4801">
        <v>3700</v>
      </c>
      <c r="AQ4801" t="s">
        <v>129</v>
      </c>
      <c r="AR4801">
        <v>-153</v>
      </c>
      <c r="AS4801">
        <v>-104</v>
      </c>
      <c r="AT4801">
        <v>-1984</v>
      </c>
      <c r="BB4801">
        <v>1200</v>
      </c>
      <c r="BC4801">
        <v>1</v>
      </c>
      <c r="BD4801" t="str">
        <f t="shared" si="1753"/>
        <v xml:space="preserve">N887QR  </v>
      </c>
      <c r="BE4801">
        <v>1</v>
      </c>
      <c r="BG4801">
        <v>0</v>
      </c>
      <c r="BH4801">
        <v>0</v>
      </c>
      <c r="BI4801">
        <v>0</v>
      </c>
      <c r="BJ4801">
        <v>3175</v>
      </c>
      <c r="BK4801">
        <v>-525</v>
      </c>
      <c r="BL4801" t="s">
        <v>163</v>
      </c>
      <c r="BM4801">
        <v>1</v>
      </c>
      <c r="BN4801">
        <v>1</v>
      </c>
      <c r="BO4801">
        <v>1</v>
      </c>
      <c r="BP4801">
        <v>0</v>
      </c>
      <c r="BS4801">
        <v>0</v>
      </c>
      <c r="BT4801">
        <v>0</v>
      </c>
      <c r="BU4801">
        <v>0</v>
      </c>
      <c r="CE4801" t="str">
        <f t="shared" si="1777"/>
        <v>19:38:23.524</v>
      </c>
      <c r="CF4801">
        <v>524447016</v>
      </c>
      <c r="CS4801">
        <v>0</v>
      </c>
      <c r="CT4801">
        <v>2</v>
      </c>
      <c r="CU4801">
        <v>0</v>
      </c>
      <c r="CV4801">
        <v>2</v>
      </c>
      <c r="CW4801">
        <v>0</v>
      </c>
      <c r="CX4801">
        <v>4</v>
      </c>
      <c r="CY4801">
        <v>7</v>
      </c>
      <c r="CZ4801" t="s">
        <v>131</v>
      </c>
      <c r="DA4801">
        <v>300</v>
      </c>
      <c r="DB4801">
        <v>0</v>
      </c>
      <c r="DC4801" t="s">
        <v>176</v>
      </c>
      <c r="DD4801" t="s">
        <v>177</v>
      </c>
      <c r="DG4801">
        <v>5472829</v>
      </c>
      <c r="DI4801">
        <v>1</v>
      </c>
      <c r="DJ4801">
        <v>0</v>
      </c>
      <c r="DK4801">
        <v>1</v>
      </c>
      <c r="DL4801">
        <v>0</v>
      </c>
      <c r="DM4801">
        <v>0</v>
      </c>
      <c r="DN4801">
        <v>1</v>
      </c>
      <c r="DO4801">
        <v>0</v>
      </c>
      <c r="DP4801">
        <v>0</v>
      </c>
      <c r="DQ4801">
        <v>0</v>
      </c>
      <c r="DR4801">
        <v>0</v>
      </c>
      <c r="DS4801">
        <v>0</v>
      </c>
    </row>
    <row r="4802" spans="1:123" x14ac:dyDescent="0.3">
      <c r="A4802" t="str">
        <f t="shared" si="1775"/>
        <v>10/04/2022 19:38:23.918</v>
      </c>
      <c r="C4802" t="str">
        <f t="shared" si="1769"/>
        <v>FFDFD3C0</v>
      </c>
      <c r="D4802" t="s">
        <v>143</v>
      </c>
      <c r="E4802">
        <v>20</v>
      </c>
      <c r="F4802">
        <v>1020</v>
      </c>
      <c r="G4802" t="s">
        <v>144</v>
      </c>
      <c r="J4802" t="s">
        <v>145</v>
      </c>
      <c r="K4802">
        <v>0</v>
      </c>
      <c r="L4802">
        <v>3</v>
      </c>
      <c r="M4802">
        <v>0</v>
      </c>
      <c r="N4802">
        <v>2</v>
      </c>
      <c r="O4802">
        <v>0</v>
      </c>
      <c r="P4802">
        <v>1</v>
      </c>
      <c r="Q4802">
        <v>0</v>
      </c>
      <c r="S4802" t="str">
        <f t="shared" si="1776"/>
        <v>19:38:23.000</v>
      </c>
      <c r="T4802" t="str">
        <f t="shared" si="1776"/>
        <v>19:38:23.000</v>
      </c>
      <c r="U4802" t="str">
        <f t="shared" ref="U4802:U4861" si="1778">"AC3944"</f>
        <v>AC3944</v>
      </c>
      <c r="V4802">
        <v>0</v>
      </c>
      <c r="W4802">
        <v>0</v>
      </c>
      <c r="X4802">
        <v>2</v>
      </c>
      <c r="Y4802">
        <v>0</v>
      </c>
      <c r="AA4802">
        <v>1</v>
      </c>
      <c r="AB4802">
        <v>8</v>
      </c>
      <c r="AC4802">
        <v>3</v>
      </c>
      <c r="AD4802">
        <v>0</v>
      </c>
      <c r="AE4802">
        <v>9</v>
      </c>
      <c r="AF4802" t="s">
        <v>138</v>
      </c>
      <c r="AG4802">
        <v>0</v>
      </c>
      <c r="AH4802">
        <v>3</v>
      </c>
      <c r="AI4802">
        <v>1</v>
      </c>
      <c r="AJ4802">
        <v>0</v>
      </c>
      <c r="AK4802" t="s">
        <v>1501</v>
      </c>
      <c r="AL4802">
        <v>32.711770999999999</v>
      </c>
      <c r="AM4802" t="s">
        <v>1502</v>
      </c>
      <c r="AN4802">
        <v>-116.754627</v>
      </c>
      <c r="AO4802">
        <v>25</v>
      </c>
      <c r="AP4802">
        <v>3700</v>
      </c>
      <c r="AQ4802" t="s">
        <v>129</v>
      </c>
      <c r="AR4802">
        <v>-153</v>
      </c>
      <c r="AS4802">
        <v>-104</v>
      </c>
      <c r="AT4802">
        <v>-1984</v>
      </c>
      <c r="BB4802">
        <v>1200</v>
      </c>
      <c r="BC4802">
        <v>1</v>
      </c>
      <c r="BD4802" t="str">
        <f t="shared" ref="BD4802:BD4861" si="1779">"N887QR  "</f>
        <v xml:space="preserve">N887QR  </v>
      </c>
      <c r="BE4802">
        <v>1</v>
      </c>
      <c r="BG4802">
        <v>0</v>
      </c>
      <c r="BH4802">
        <v>0</v>
      </c>
      <c r="BI4802">
        <v>0</v>
      </c>
      <c r="BJ4802">
        <v>3175</v>
      </c>
      <c r="BK4802">
        <v>-525</v>
      </c>
      <c r="BL4802" t="s">
        <v>163</v>
      </c>
      <c r="BM4802">
        <v>1</v>
      </c>
      <c r="BN4802">
        <v>1</v>
      </c>
      <c r="BO4802">
        <v>1</v>
      </c>
      <c r="BP4802">
        <v>0</v>
      </c>
      <c r="BS4802">
        <v>0</v>
      </c>
      <c r="BT4802">
        <v>0</v>
      </c>
      <c r="BU4802">
        <v>0</v>
      </c>
      <c r="CE4802" t="str">
        <f t="shared" si="1777"/>
        <v>19:38:23.524</v>
      </c>
      <c r="CF4802">
        <v>524447016</v>
      </c>
      <c r="CS4802">
        <v>0</v>
      </c>
      <c r="CT4802">
        <v>2</v>
      </c>
      <c r="CU4802">
        <v>0</v>
      </c>
      <c r="CV4802">
        <v>2</v>
      </c>
      <c r="CW4802">
        <v>0</v>
      </c>
      <c r="CX4802">
        <v>4</v>
      </c>
      <c r="CY4802">
        <v>7</v>
      </c>
      <c r="CZ4802" t="s">
        <v>131</v>
      </c>
      <c r="DA4802">
        <v>300</v>
      </c>
      <c r="DB4802">
        <v>0</v>
      </c>
      <c r="DC4802" t="s">
        <v>176</v>
      </c>
      <c r="DD4802" t="s">
        <v>177</v>
      </c>
      <c r="DG4802">
        <v>5472829</v>
      </c>
      <c r="DI4802">
        <v>1</v>
      </c>
      <c r="DJ4802">
        <v>0</v>
      </c>
      <c r="DK4802">
        <v>1</v>
      </c>
      <c r="DL4802">
        <v>0</v>
      </c>
      <c r="DM4802">
        <v>0</v>
      </c>
      <c r="DN4802">
        <v>1</v>
      </c>
      <c r="DO4802">
        <v>0</v>
      </c>
      <c r="DP4802">
        <v>0</v>
      </c>
      <c r="DQ4802">
        <v>0</v>
      </c>
      <c r="DR4802">
        <v>0</v>
      </c>
      <c r="DS4802">
        <v>0</v>
      </c>
    </row>
    <row r="4803" spans="1:123" x14ac:dyDescent="0.3">
      <c r="A4803" t="str">
        <f t="shared" si="1775"/>
        <v>10/04/2022 19:38:23.918</v>
      </c>
      <c r="C4803" t="str">
        <f t="shared" si="1769"/>
        <v>FFDFD3C0</v>
      </c>
      <c r="D4803" t="s">
        <v>136</v>
      </c>
      <c r="E4803">
        <v>8</v>
      </c>
      <c r="H4803">
        <v>225</v>
      </c>
      <c r="I4803" t="s">
        <v>137</v>
      </c>
      <c r="J4803" t="s">
        <v>138</v>
      </c>
      <c r="K4803">
        <v>0</v>
      </c>
      <c r="L4803">
        <v>3</v>
      </c>
      <c r="M4803">
        <v>0</v>
      </c>
      <c r="N4803">
        <v>2</v>
      </c>
      <c r="O4803">
        <v>0</v>
      </c>
      <c r="P4803">
        <v>1</v>
      </c>
      <c r="Q4803">
        <v>0</v>
      </c>
      <c r="S4803" t="str">
        <f t="shared" si="1776"/>
        <v>19:38:23.000</v>
      </c>
      <c r="T4803" t="str">
        <f t="shared" si="1776"/>
        <v>19:38:23.000</v>
      </c>
      <c r="U4803" t="str">
        <f t="shared" si="1778"/>
        <v>AC3944</v>
      </c>
      <c r="V4803">
        <v>0</v>
      </c>
      <c r="W4803">
        <v>0</v>
      </c>
      <c r="X4803">
        <v>2</v>
      </c>
      <c r="Y4803">
        <v>0</v>
      </c>
      <c r="AA4803">
        <v>1</v>
      </c>
      <c r="AB4803">
        <v>8</v>
      </c>
      <c r="AC4803">
        <v>3</v>
      </c>
      <c r="AD4803">
        <v>0</v>
      </c>
      <c r="AE4803">
        <v>9</v>
      </c>
      <c r="AF4803" t="s">
        <v>138</v>
      </c>
      <c r="AG4803">
        <v>0</v>
      </c>
      <c r="AH4803">
        <v>3</v>
      </c>
      <c r="AI4803">
        <v>1</v>
      </c>
      <c r="AJ4803">
        <v>0</v>
      </c>
      <c r="AK4803" t="s">
        <v>1501</v>
      </c>
      <c r="AL4803">
        <v>32.711770999999999</v>
      </c>
      <c r="AM4803" t="s">
        <v>1502</v>
      </c>
      <c r="AN4803">
        <v>-116.754627</v>
      </c>
      <c r="AO4803">
        <v>25</v>
      </c>
      <c r="AP4803">
        <v>3700</v>
      </c>
      <c r="AQ4803" t="s">
        <v>129</v>
      </c>
      <c r="AR4803">
        <v>-153</v>
      </c>
      <c r="AS4803">
        <v>-104</v>
      </c>
      <c r="AT4803">
        <v>-1984</v>
      </c>
      <c r="BB4803">
        <v>1200</v>
      </c>
      <c r="BC4803">
        <v>1</v>
      </c>
      <c r="BD4803" t="str">
        <f t="shared" si="1779"/>
        <v xml:space="preserve">N887QR  </v>
      </c>
      <c r="BE4803">
        <v>1</v>
      </c>
      <c r="BG4803">
        <v>0</v>
      </c>
      <c r="BH4803">
        <v>0</v>
      </c>
      <c r="BI4803">
        <v>0</v>
      </c>
      <c r="BJ4803">
        <v>3175</v>
      </c>
      <c r="BK4803">
        <v>-525</v>
      </c>
      <c r="BL4803" t="s">
        <v>163</v>
      </c>
      <c r="BM4803">
        <v>1</v>
      </c>
      <c r="BN4803">
        <v>1</v>
      </c>
      <c r="BO4803">
        <v>1</v>
      </c>
      <c r="BP4803">
        <v>0</v>
      </c>
      <c r="BS4803">
        <v>0</v>
      </c>
      <c r="BT4803">
        <v>0</v>
      </c>
      <c r="BU4803">
        <v>0</v>
      </c>
      <c r="CE4803" t="str">
        <f t="shared" si="1777"/>
        <v>19:38:23.524</v>
      </c>
      <c r="CF4803">
        <v>524447016</v>
      </c>
      <c r="CS4803">
        <v>0</v>
      </c>
      <c r="CT4803">
        <v>2</v>
      </c>
      <c r="CU4803">
        <v>0</v>
      </c>
      <c r="CV4803">
        <v>2</v>
      </c>
      <c r="CW4803">
        <v>0</v>
      </c>
      <c r="CX4803">
        <v>4</v>
      </c>
      <c r="CY4803">
        <v>7</v>
      </c>
      <c r="CZ4803" t="s">
        <v>131</v>
      </c>
      <c r="DA4803">
        <v>300</v>
      </c>
      <c r="DB4803">
        <v>0</v>
      </c>
      <c r="DC4803" t="s">
        <v>176</v>
      </c>
      <c r="DD4803" t="s">
        <v>177</v>
      </c>
      <c r="DG4803">
        <v>5472829</v>
      </c>
      <c r="DI4803">
        <v>1</v>
      </c>
      <c r="DJ4803">
        <v>0</v>
      </c>
      <c r="DK4803">
        <v>1</v>
      </c>
      <c r="DL4803">
        <v>0</v>
      </c>
      <c r="DM4803">
        <v>0</v>
      </c>
      <c r="DN4803">
        <v>1</v>
      </c>
      <c r="DO4803">
        <v>0</v>
      </c>
      <c r="DP4803">
        <v>0</v>
      </c>
      <c r="DQ4803">
        <v>0</v>
      </c>
      <c r="DR4803">
        <v>0</v>
      </c>
      <c r="DS4803">
        <v>0</v>
      </c>
    </row>
    <row r="4804" spans="1:123" x14ac:dyDescent="0.3">
      <c r="A4804" t="str">
        <f t="shared" si="1775"/>
        <v>10/04/2022 19:38:23.918</v>
      </c>
      <c r="C4804" t="str">
        <f t="shared" si="1769"/>
        <v>FFDFD3C0</v>
      </c>
      <c r="D4804" t="s">
        <v>123</v>
      </c>
      <c r="E4804">
        <v>7</v>
      </c>
      <c r="F4804">
        <v>2007</v>
      </c>
      <c r="G4804" t="s">
        <v>124</v>
      </c>
      <c r="J4804" t="s">
        <v>125</v>
      </c>
      <c r="K4804">
        <v>0</v>
      </c>
      <c r="L4804">
        <v>3</v>
      </c>
      <c r="M4804">
        <v>0</v>
      </c>
      <c r="N4804">
        <v>2</v>
      </c>
      <c r="O4804">
        <v>0</v>
      </c>
      <c r="P4804">
        <v>1</v>
      </c>
      <c r="Q4804">
        <v>0</v>
      </c>
      <c r="S4804" t="str">
        <f t="shared" si="1776"/>
        <v>19:38:23.000</v>
      </c>
      <c r="T4804" t="str">
        <f t="shared" si="1776"/>
        <v>19:38:23.000</v>
      </c>
      <c r="U4804" t="str">
        <f t="shared" si="1778"/>
        <v>AC3944</v>
      </c>
      <c r="V4804">
        <v>0</v>
      </c>
      <c r="W4804">
        <v>0</v>
      </c>
      <c r="X4804">
        <v>2</v>
      </c>
      <c r="Y4804">
        <v>0</v>
      </c>
      <c r="AA4804">
        <v>1</v>
      </c>
      <c r="AB4804">
        <v>8</v>
      </c>
      <c r="AC4804">
        <v>3</v>
      </c>
      <c r="AD4804">
        <v>0</v>
      </c>
      <c r="AE4804">
        <v>9</v>
      </c>
      <c r="AF4804" t="s">
        <v>138</v>
      </c>
      <c r="AG4804">
        <v>0</v>
      </c>
      <c r="AH4804">
        <v>3</v>
      </c>
      <c r="AI4804">
        <v>1</v>
      </c>
      <c r="AJ4804">
        <v>0</v>
      </c>
      <c r="AK4804" t="s">
        <v>1501</v>
      </c>
      <c r="AL4804">
        <v>32.711770999999999</v>
      </c>
      <c r="AM4804" t="s">
        <v>1502</v>
      </c>
      <c r="AN4804">
        <v>-116.754627</v>
      </c>
      <c r="AO4804">
        <v>25</v>
      </c>
      <c r="AP4804">
        <v>3700</v>
      </c>
      <c r="AQ4804" t="s">
        <v>129</v>
      </c>
      <c r="AR4804">
        <v>-153</v>
      </c>
      <c r="AS4804">
        <v>-104</v>
      </c>
      <c r="AT4804">
        <v>-1984</v>
      </c>
      <c r="BB4804">
        <v>1200</v>
      </c>
      <c r="BC4804">
        <v>1</v>
      </c>
      <c r="BD4804" t="str">
        <f t="shared" si="1779"/>
        <v xml:space="preserve">N887QR  </v>
      </c>
      <c r="BE4804">
        <v>1</v>
      </c>
      <c r="BG4804">
        <v>0</v>
      </c>
      <c r="BH4804">
        <v>0</v>
      </c>
      <c r="BI4804">
        <v>0</v>
      </c>
      <c r="BJ4804">
        <v>3175</v>
      </c>
      <c r="BK4804">
        <v>-525</v>
      </c>
      <c r="BL4804" t="s">
        <v>163</v>
      </c>
      <c r="BM4804">
        <v>1</v>
      </c>
      <c r="BN4804">
        <v>1</v>
      </c>
      <c r="BO4804">
        <v>1</v>
      </c>
      <c r="BP4804">
        <v>0</v>
      </c>
      <c r="BS4804">
        <v>0</v>
      </c>
      <c r="BT4804">
        <v>0</v>
      </c>
      <c r="BU4804">
        <v>0</v>
      </c>
      <c r="CE4804" t="str">
        <f t="shared" si="1777"/>
        <v>19:38:23.524</v>
      </c>
      <c r="CF4804">
        <v>524447016</v>
      </c>
      <c r="CS4804">
        <v>0</v>
      </c>
      <c r="CT4804">
        <v>2</v>
      </c>
      <c r="CU4804">
        <v>0</v>
      </c>
      <c r="CV4804">
        <v>2</v>
      </c>
      <c r="CW4804">
        <v>0</v>
      </c>
      <c r="CX4804">
        <v>4</v>
      </c>
      <c r="CY4804">
        <v>7</v>
      </c>
      <c r="CZ4804" t="s">
        <v>131</v>
      </c>
      <c r="DA4804">
        <v>300</v>
      </c>
      <c r="DB4804">
        <v>0</v>
      </c>
      <c r="DC4804" t="s">
        <v>176</v>
      </c>
      <c r="DD4804" t="s">
        <v>177</v>
      </c>
      <c r="DG4804">
        <v>5472829</v>
      </c>
      <c r="DI4804">
        <v>1</v>
      </c>
      <c r="DJ4804">
        <v>0</v>
      </c>
      <c r="DK4804">
        <v>1</v>
      </c>
      <c r="DL4804">
        <v>0</v>
      </c>
      <c r="DM4804">
        <v>0</v>
      </c>
      <c r="DN4804">
        <v>1</v>
      </c>
      <c r="DO4804">
        <v>0</v>
      </c>
      <c r="DP4804">
        <v>0</v>
      </c>
      <c r="DQ4804">
        <v>0</v>
      </c>
      <c r="DR4804">
        <v>0</v>
      </c>
      <c r="DS4804">
        <v>0</v>
      </c>
    </row>
    <row r="4805" spans="1:123" x14ac:dyDescent="0.3">
      <c r="A4805" t="str">
        <f t="shared" si="1775"/>
        <v>10/04/2022 19:38:23.918</v>
      </c>
      <c r="C4805" t="str">
        <f t="shared" si="1769"/>
        <v>FFDFD3C0</v>
      </c>
      <c r="D4805" t="s">
        <v>141</v>
      </c>
      <c r="E4805">
        <v>3</v>
      </c>
      <c r="H4805">
        <v>3</v>
      </c>
      <c r="I4805" t="s">
        <v>146</v>
      </c>
      <c r="J4805" t="s">
        <v>138</v>
      </c>
      <c r="K4805">
        <v>0</v>
      </c>
      <c r="L4805">
        <v>3</v>
      </c>
      <c r="M4805">
        <v>0</v>
      </c>
      <c r="N4805">
        <v>2</v>
      </c>
      <c r="O4805">
        <v>0</v>
      </c>
      <c r="P4805">
        <v>1</v>
      </c>
      <c r="Q4805">
        <v>0</v>
      </c>
      <c r="S4805" t="str">
        <f t="shared" si="1776"/>
        <v>19:38:23.000</v>
      </c>
      <c r="T4805" t="str">
        <f t="shared" si="1776"/>
        <v>19:38:23.000</v>
      </c>
      <c r="U4805" t="str">
        <f t="shared" si="1778"/>
        <v>AC3944</v>
      </c>
      <c r="V4805">
        <v>0</v>
      </c>
      <c r="W4805">
        <v>0</v>
      </c>
      <c r="X4805">
        <v>2</v>
      </c>
      <c r="Y4805">
        <v>0</v>
      </c>
      <c r="AA4805">
        <v>1</v>
      </c>
      <c r="AB4805">
        <v>8</v>
      </c>
      <c r="AC4805">
        <v>3</v>
      </c>
      <c r="AD4805">
        <v>0</v>
      </c>
      <c r="AE4805">
        <v>9</v>
      </c>
      <c r="AF4805" t="s">
        <v>138</v>
      </c>
      <c r="AG4805">
        <v>0</v>
      </c>
      <c r="AH4805">
        <v>3</v>
      </c>
      <c r="AI4805">
        <v>1</v>
      </c>
      <c r="AJ4805">
        <v>0</v>
      </c>
      <c r="AK4805" t="s">
        <v>1501</v>
      </c>
      <c r="AL4805">
        <v>32.711770999999999</v>
      </c>
      <c r="AM4805" t="s">
        <v>1502</v>
      </c>
      <c r="AN4805">
        <v>-116.754627</v>
      </c>
      <c r="AO4805">
        <v>25</v>
      </c>
      <c r="AP4805">
        <v>3700</v>
      </c>
      <c r="AQ4805" t="s">
        <v>129</v>
      </c>
      <c r="AR4805">
        <v>-153</v>
      </c>
      <c r="AS4805">
        <v>-104</v>
      </c>
      <c r="AT4805">
        <v>-1984</v>
      </c>
      <c r="BB4805">
        <v>1200</v>
      </c>
      <c r="BC4805">
        <v>1</v>
      </c>
      <c r="BD4805" t="str">
        <f t="shared" si="1779"/>
        <v xml:space="preserve">N887QR  </v>
      </c>
      <c r="BE4805">
        <v>1</v>
      </c>
      <c r="BG4805">
        <v>0</v>
      </c>
      <c r="BH4805">
        <v>0</v>
      </c>
      <c r="BI4805">
        <v>0</v>
      </c>
      <c r="BJ4805">
        <v>3175</v>
      </c>
      <c r="BK4805">
        <v>-525</v>
      </c>
      <c r="BL4805" t="s">
        <v>163</v>
      </c>
      <c r="BM4805">
        <v>1</v>
      </c>
      <c r="BN4805">
        <v>1</v>
      </c>
      <c r="BO4805">
        <v>1</v>
      </c>
      <c r="BP4805">
        <v>0</v>
      </c>
      <c r="BS4805">
        <v>0</v>
      </c>
      <c r="BT4805">
        <v>0</v>
      </c>
      <c r="BU4805">
        <v>0</v>
      </c>
      <c r="CE4805" t="str">
        <f t="shared" si="1777"/>
        <v>19:38:23.524</v>
      </c>
      <c r="CF4805">
        <v>524447016</v>
      </c>
      <c r="CS4805">
        <v>0</v>
      </c>
      <c r="CT4805">
        <v>2</v>
      </c>
      <c r="CU4805">
        <v>0</v>
      </c>
      <c r="CV4805">
        <v>2</v>
      </c>
      <c r="CW4805">
        <v>0</v>
      </c>
      <c r="CX4805">
        <v>4</v>
      </c>
      <c r="CY4805">
        <v>7</v>
      </c>
      <c r="CZ4805" t="s">
        <v>131</v>
      </c>
      <c r="DA4805">
        <v>300</v>
      </c>
      <c r="DB4805">
        <v>0</v>
      </c>
      <c r="DC4805" t="s">
        <v>176</v>
      </c>
      <c r="DD4805" t="s">
        <v>177</v>
      </c>
      <c r="DG4805">
        <v>5472829</v>
      </c>
      <c r="DI4805">
        <v>1</v>
      </c>
      <c r="DJ4805">
        <v>0</v>
      </c>
      <c r="DK4805">
        <v>1</v>
      </c>
      <c r="DL4805">
        <v>0</v>
      </c>
      <c r="DM4805">
        <v>0</v>
      </c>
      <c r="DN4805">
        <v>1</v>
      </c>
      <c r="DO4805">
        <v>0</v>
      </c>
      <c r="DP4805">
        <v>0</v>
      </c>
      <c r="DQ4805">
        <v>0</v>
      </c>
      <c r="DR4805">
        <v>0</v>
      </c>
      <c r="DS4805">
        <v>0</v>
      </c>
    </row>
    <row r="4806" spans="1:123" x14ac:dyDescent="0.3">
      <c r="A4806" t="str">
        <f>"10/04/2022 19:38:24.887"</f>
        <v>10/04/2022 19:38:24.887</v>
      </c>
      <c r="C4806" t="str">
        <f t="shared" si="1769"/>
        <v>FFDFD3C0</v>
      </c>
      <c r="D4806" t="s">
        <v>136</v>
      </c>
      <c r="E4806">
        <v>8</v>
      </c>
      <c r="H4806">
        <v>225</v>
      </c>
      <c r="I4806" t="s">
        <v>137</v>
      </c>
      <c r="J4806" t="s">
        <v>138</v>
      </c>
      <c r="K4806">
        <v>0</v>
      </c>
      <c r="L4806">
        <v>3</v>
      </c>
      <c r="M4806">
        <v>0</v>
      </c>
      <c r="N4806">
        <v>2</v>
      </c>
      <c r="O4806">
        <v>0</v>
      </c>
      <c r="P4806">
        <v>1</v>
      </c>
      <c r="Q4806">
        <v>0</v>
      </c>
      <c r="S4806" t="str">
        <f t="shared" ref="S4806:T4812" si="1780">"19:38:24.000"</f>
        <v>19:38:24.000</v>
      </c>
      <c r="T4806" t="str">
        <f t="shared" si="1780"/>
        <v>19:38:24.000</v>
      </c>
      <c r="U4806" t="str">
        <f t="shared" si="1778"/>
        <v>AC3944</v>
      </c>
      <c r="V4806">
        <v>0</v>
      </c>
      <c r="W4806">
        <v>0</v>
      </c>
      <c r="X4806">
        <v>2</v>
      </c>
      <c r="Y4806">
        <v>0</v>
      </c>
      <c r="AA4806">
        <v>1</v>
      </c>
      <c r="AB4806">
        <v>8</v>
      </c>
      <c r="AC4806">
        <v>3</v>
      </c>
      <c r="AD4806">
        <v>0</v>
      </c>
      <c r="AE4806">
        <v>9</v>
      </c>
      <c r="AF4806" t="s">
        <v>138</v>
      </c>
      <c r="AG4806">
        <v>0</v>
      </c>
      <c r="AH4806">
        <v>3</v>
      </c>
      <c r="AI4806">
        <v>1</v>
      </c>
      <c r="AJ4806">
        <v>0</v>
      </c>
      <c r="AK4806" t="s">
        <v>1503</v>
      </c>
      <c r="AL4806">
        <v>32.711297999999999</v>
      </c>
      <c r="AM4806" t="s">
        <v>1504</v>
      </c>
      <c r="AN4806">
        <v>-116.755486</v>
      </c>
      <c r="AO4806">
        <v>25</v>
      </c>
      <c r="AP4806">
        <v>3600</v>
      </c>
      <c r="AQ4806" t="s">
        <v>129</v>
      </c>
      <c r="AR4806">
        <v>-153</v>
      </c>
      <c r="AS4806">
        <v>-105</v>
      </c>
      <c r="AT4806">
        <v>-2048</v>
      </c>
      <c r="BB4806">
        <v>1200</v>
      </c>
      <c r="BC4806">
        <v>1</v>
      </c>
      <c r="BD4806" t="str">
        <f t="shared" si="1779"/>
        <v xml:space="preserve">N887QR  </v>
      </c>
      <c r="BE4806">
        <v>1</v>
      </c>
      <c r="BG4806">
        <v>0</v>
      </c>
      <c r="BH4806">
        <v>0</v>
      </c>
      <c r="BI4806">
        <v>0</v>
      </c>
      <c r="BJ4806">
        <v>3150</v>
      </c>
      <c r="BK4806">
        <v>-450</v>
      </c>
      <c r="BL4806" t="s">
        <v>163</v>
      </c>
      <c r="BM4806">
        <v>1</v>
      </c>
      <c r="BN4806">
        <v>1</v>
      </c>
      <c r="BO4806">
        <v>1</v>
      </c>
      <c r="BP4806">
        <v>0</v>
      </c>
      <c r="BS4806">
        <v>0</v>
      </c>
      <c r="BT4806">
        <v>0</v>
      </c>
      <c r="BU4806">
        <v>0</v>
      </c>
      <c r="CE4806" t="str">
        <f t="shared" ref="CE4806:CE4812" si="1781">"19:38:24.520"</f>
        <v>19:38:24.520</v>
      </c>
      <c r="CF4806">
        <v>520450291</v>
      </c>
      <c r="CS4806">
        <v>0</v>
      </c>
      <c r="CT4806">
        <v>2</v>
      </c>
      <c r="CU4806">
        <v>0</v>
      </c>
      <c r="CV4806">
        <v>2</v>
      </c>
      <c r="CW4806">
        <v>0</v>
      </c>
      <c r="CX4806">
        <v>3</v>
      </c>
      <c r="CY4806">
        <v>7</v>
      </c>
      <c r="CZ4806" t="s">
        <v>131</v>
      </c>
      <c r="DA4806">
        <v>300</v>
      </c>
      <c r="DB4806">
        <v>0</v>
      </c>
      <c r="DC4806" t="s">
        <v>176</v>
      </c>
      <c r="DD4806" t="s">
        <v>177</v>
      </c>
      <c r="DG4806">
        <v>5472992</v>
      </c>
      <c r="DI4806">
        <v>1</v>
      </c>
      <c r="DJ4806">
        <v>0</v>
      </c>
      <c r="DK4806">
        <v>0</v>
      </c>
      <c r="DL4806">
        <v>0</v>
      </c>
      <c r="DM4806">
        <v>0</v>
      </c>
      <c r="DN4806">
        <v>1</v>
      </c>
      <c r="DO4806">
        <v>0</v>
      </c>
      <c r="DP4806">
        <v>0</v>
      </c>
      <c r="DQ4806">
        <v>0</v>
      </c>
      <c r="DR4806">
        <v>0</v>
      </c>
      <c r="DS4806">
        <v>0</v>
      </c>
    </row>
    <row r="4807" spans="1:123" x14ac:dyDescent="0.3">
      <c r="A4807" t="str">
        <f>"10/04/2022 19:38:24.887"</f>
        <v>10/04/2022 19:38:24.887</v>
      </c>
      <c r="C4807" t="str">
        <f t="shared" si="1769"/>
        <v>FFDFD3C0</v>
      </c>
      <c r="D4807" t="s">
        <v>123</v>
      </c>
      <c r="E4807">
        <v>7</v>
      </c>
      <c r="F4807">
        <v>2007</v>
      </c>
      <c r="G4807" t="s">
        <v>124</v>
      </c>
      <c r="J4807" t="s">
        <v>125</v>
      </c>
      <c r="K4807">
        <v>0</v>
      </c>
      <c r="L4807">
        <v>3</v>
      </c>
      <c r="M4807">
        <v>0</v>
      </c>
      <c r="N4807">
        <v>2</v>
      </c>
      <c r="O4807">
        <v>0</v>
      </c>
      <c r="P4807">
        <v>1</v>
      </c>
      <c r="Q4807">
        <v>0</v>
      </c>
      <c r="S4807" t="str">
        <f t="shared" si="1780"/>
        <v>19:38:24.000</v>
      </c>
      <c r="T4807" t="str">
        <f t="shared" si="1780"/>
        <v>19:38:24.000</v>
      </c>
      <c r="U4807" t="str">
        <f t="shared" si="1778"/>
        <v>AC3944</v>
      </c>
      <c r="V4807">
        <v>0</v>
      </c>
      <c r="W4807">
        <v>0</v>
      </c>
      <c r="X4807">
        <v>2</v>
      </c>
      <c r="Y4807">
        <v>0</v>
      </c>
      <c r="AA4807">
        <v>1</v>
      </c>
      <c r="AB4807">
        <v>8</v>
      </c>
      <c r="AC4807">
        <v>3</v>
      </c>
      <c r="AD4807">
        <v>0</v>
      </c>
      <c r="AE4807">
        <v>9</v>
      </c>
      <c r="AF4807" t="s">
        <v>138</v>
      </c>
      <c r="AG4807">
        <v>0</v>
      </c>
      <c r="AH4807">
        <v>3</v>
      </c>
      <c r="AI4807">
        <v>1</v>
      </c>
      <c r="AJ4807">
        <v>0</v>
      </c>
      <c r="AK4807" t="s">
        <v>1503</v>
      </c>
      <c r="AL4807">
        <v>32.711297999999999</v>
      </c>
      <c r="AM4807" t="s">
        <v>1504</v>
      </c>
      <c r="AN4807">
        <v>-116.755486</v>
      </c>
      <c r="AO4807">
        <v>25</v>
      </c>
      <c r="AP4807">
        <v>3600</v>
      </c>
      <c r="AQ4807" t="s">
        <v>129</v>
      </c>
      <c r="AR4807">
        <v>-153</v>
      </c>
      <c r="AS4807">
        <v>-105</v>
      </c>
      <c r="AT4807">
        <v>-2048</v>
      </c>
      <c r="BB4807">
        <v>1200</v>
      </c>
      <c r="BC4807">
        <v>1</v>
      </c>
      <c r="BD4807" t="str">
        <f t="shared" si="1779"/>
        <v xml:space="preserve">N887QR  </v>
      </c>
      <c r="BE4807">
        <v>1</v>
      </c>
      <c r="BG4807">
        <v>0</v>
      </c>
      <c r="BH4807">
        <v>0</v>
      </c>
      <c r="BI4807">
        <v>0</v>
      </c>
      <c r="BJ4807">
        <v>3150</v>
      </c>
      <c r="BK4807">
        <v>-450</v>
      </c>
      <c r="BL4807" t="s">
        <v>163</v>
      </c>
      <c r="BM4807">
        <v>1</v>
      </c>
      <c r="BN4807">
        <v>1</v>
      </c>
      <c r="BO4807">
        <v>1</v>
      </c>
      <c r="BP4807">
        <v>0</v>
      </c>
      <c r="BS4807">
        <v>0</v>
      </c>
      <c r="BT4807">
        <v>0</v>
      </c>
      <c r="BU4807">
        <v>0</v>
      </c>
      <c r="CE4807" t="str">
        <f t="shared" si="1781"/>
        <v>19:38:24.520</v>
      </c>
      <c r="CF4807">
        <v>520450291</v>
      </c>
      <c r="CS4807">
        <v>0</v>
      </c>
      <c r="CT4807">
        <v>2</v>
      </c>
      <c r="CU4807">
        <v>0</v>
      </c>
      <c r="CV4807">
        <v>2</v>
      </c>
      <c r="CW4807">
        <v>0</v>
      </c>
      <c r="CX4807">
        <v>3</v>
      </c>
      <c r="CY4807">
        <v>7</v>
      </c>
      <c r="CZ4807" t="s">
        <v>131</v>
      </c>
      <c r="DA4807">
        <v>300</v>
      </c>
      <c r="DB4807">
        <v>0</v>
      </c>
      <c r="DC4807" t="s">
        <v>176</v>
      </c>
      <c r="DD4807" t="s">
        <v>177</v>
      </c>
      <c r="DG4807">
        <v>5472992</v>
      </c>
      <c r="DI4807">
        <v>1</v>
      </c>
      <c r="DJ4807">
        <v>0</v>
      </c>
      <c r="DK4807">
        <v>1</v>
      </c>
      <c r="DL4807">
        <v>0</v>
      </c>
      <c r="DM4807">
        <v>0</v>
      </c>
      <c r="DN4807">
        <v>1</v>
      </c>
      <c r="DO4807">
        <v>0</v>
      </c>
      <c r="DP4807">
        <v>0</v>
      </c>
      <c r="DQ4807">
        <v>0</v>
      </c>
      <c r="DR4807">
        <v>0</v>
      </c>
      <c r="DS4807">
        <v>0</v>
      </c>
    </row>
    <row r="4808" spans="1:123" x14ac:dyDescent="0.3">
      <c r="A4808" t="str">
        <f>"10/04/2022 19:38:24.887"</f>
        <v>10/04/2022 19:38:24.887</v>
      </c>
      <c r="C4808" t="str">
        <f t="shared" si="1769"/>
        <v>FFDFD3C0</v>
      </c>
      <c r="D4808" t="s">
        <v>141</v>
      </c>
      <c r="E4808">
        <v>3</v>
      </c>
      <c r="H4808">
        <v>3</v>
      </c>
      <c r="I4808" t="s">
        <v>146</v>
      </c>
      <c r="J4808" t="s">
        <v>138</v>
      </c>
      <c r="K4808">
        <v>0</v>
      </c>
      <c r="L4808">
        <v>3</v>
      </c>
      <c r="M4808">
        <v>0</v>
      </c>
      <c r="N4808">
        <v>2</v>
      </c>
      <c r="O4808">
        <v>0</v>
      </c>
      <c r="P4808">
        <v>1</v>
      </c>
      <c r="Q4808">
        <v>0</v>
      </c>
      <c r="S4808" t="str">
        <f t="shared" si="1780"/>
        <v>19:38:24.000</v>
      </c>
      <c r="T4808" t="str">
        <f t="shared" si="1780"/>
        <v>19:38:24.000</v>
      </c>
      <c r="U4808" t="str">
        <f t="shared" si="1778"/>
        <v>AC3944</v>
      </c>
      <c r="V4808">
        <v>0</v>
      </c>
      <c r="W4808">
        <v>0</v>
      </c>
      <c r="X4808">
        <v>2</v>
      </c>
      <c r="Y4808">
        <v>0</v>
      </c>
      <c r="AA4808">
        <v>1</v>
      </c>
      <c r="AB4808">
        <v>8</v>
      </c>
      <c r="AC4808">
        <v>3</v>
      </c>
      <c r="AD4808">
        <v>0</v>
      </c>
      <c r="AE4808">
        <v>9</v>
      </c>
      <c r="AF4808" t="s">
        <v>138</v>
      </c>
      <c r="AG4808">
        <v>0</v>
      </c>
      <c r="AH4808">
        <v>3</v>
      </c>
      <c r="AI4808">
        <v>1</v>
      </c>
      <c r="AJ4808">
        <v>0</v>
      </c>
      <c r="AK4808" t="s">
        <v>1503</v>
      </c>
      <c r="AL4808">
        <v>32.711297999999999</v>
      </c>
      <c r="AM4808" t="s">
        <v>1504</v>
      </c>
      <c r="AN4808">
        <v>-116.755486</v>
      </c>
      <c r="AO4808">
        <v>25</v>
      </c>
      <c r="AP4808">
        <v>3600</v>
      </c>
      <c r="AQ4808" t="s">
        <v>129</v>
      </c>
      <c r="AR4808">
        <v>-153</v>
      </c>
      <c r="AS4808">
        <v>-105</v>
      </c>
      <c r="AT4808">
        <v>-2048</v>
      </c>
      <c r="BB4808">
        <v>1200</v>
      </c>
      <c r="BC4808">
        <v>1</v>
      </c>
      <c r="BD4808" t="str">
        <f t="shared" si="1779"/>
        <v xml:space="preserve">N887QR  </v>
      </c>
      <c r="BE4808">
        <v>1</v>
      </c>
      <c r="BG4808">
        <v>0</v>
      </c>
      <c r="BH4808">
        <v>0</v>
      </c>
      <c r="BI4808">
        <v>0</v>
      </c>
      <c r="BJ4808">
        <v>3150</v>
      </c>
      <c r="BK4808">
        <v>-450</v>
      </c>
      <c r="BL4808" t="s">
        <v>163</v>
      </c>
      <c r="BM4808">
        <v>1</v>
      </c>
      <c r="BN4808">
        <v>1</v>
      </c>
      <c r="BO4808">
        <v>1</v>
      </c>
      <c r="BP4808">
        <v>0</v>
      </c>
      <c r="BS4808">
        <v>0</v>
      </c>
      <c r="BT4808">
        <v>0</v>
      </c>
      <c r="BU4808">
        <v>0</v>
      </c>
      <c r="CE4808" t="str">
        <f t="shared" si="1781"/>
        <v>19:38:24.520</v>
      </c>
      <c r="CF4808">
        <v>520450291</v>
      </c>
      <c r="CS4808">
        <v>0</v>
      </c>
      <c r="CT4808">
        <v>2</v>
      </c>
      <c r="CU4808">
        <v>0</v>
      </c>
      <c r="CV4808">
        <v>2</v>
      </c>
      <c r="CW4808">
        <v>0</v>
      </c>
      <c r="CX4808">
        <v>3</v>
      </c>
      <c r="CY4808">
        <v>7</v>
      </c>
      <c r="CZ4808" t="s">
        <v>131</v>
      </c>
      <c r="DA4808">
        <v>300</v>
      </c>
      <c r="DB4808">
        <v>0</v>
      </c>
      <c r="DC4808" t="s">
        <v>176</v>
      </c>
      <c r="DD4808" t="s">
        <v>177</v>
      </c>
      <c r="DG4808">
        <v>5472992</v>
      </c>
      <c r="DI4808">
        <v>1</v>
      </c>
      <c r="DJ4808">
        <v>0</v>
      </c>
      <c r="DK4808">
        <v>1</v>
      </c>
      <c r="DL4808">
        <v>0</v>
      </c>
      <c r="DM4808">
        <v>0</v>
      </c>
      <c r="DN4808">
        <v>1</v>
      </c>
      <c r="DO4808">
        <v>0</v>
      </c>
      <c r="DP4808">
        <v>0</v>
      </c>
      <c r="DQ4808">
        <v>0</v>
      </c>
      <c r="DR4808">
        <v>0</v>
      </c>
      <c r="DS4808">
        <v>0</v>
      </c>
    </row>
    <row r="4809" spans="1:123" x14ac:dyDescent="0.3">
      <c r="A4809" t="str">
        <f>"10/04/2022 19:38:24.965"</f>
        <v>10/04/2022 19:38:24.965</v>
      </c>
      <c r="C4809" t="str">
        <f t="shared" si="1769"/>
        <v>FFDFD3C0</v>
      </c>
      <c r="D4809" t="s">
        <v>134</v>
      </c>
      <c r="E4809">
        <v>15</v>
      </c>
      <c r="J4809" t="s">
        <v>135</v>
      </c>
      <c r="K4809">
        <v>0</v>
      </c>
      <c r="L4809">
        <v>3</v>
      </c>
      <c r="M4809">
        <v>0</v>
      </c>
      <c r="N4809">
        <v>2</v>
      </c>
      <c r="O4809">
        <v>0</v>
      </c>
      <c r="P4809">
        <v>1</v>
      </c>
      <c r="Q4809">
        <v>0</v>
      </c>
      <c r="S4809" t="str">
        <f t="shared" si="1780"/>
        <v>19:38:24.000</v>
      </c>
      <c r="T4809" t="str">
        <f t="shared" si="1780"/>
        <v>19:38:24.000</v>
      </c>
      <c r="U4809" t="str">
        <f t="shared" si="1778"/>
        <v>AC3944</v>
      </c>
      <c r="V4809">
        <v>0</v>
      </c>
      <c r="W4809">
        <v>0</v>
      </c>
      <c r="X4809">
        <v>2</v>
      </c>
      <c r="Y4809">
        <v>0</v>
      </c>
      <c r="AA4809">
        <v>1</v>
      </c>
      <c r="AB4809">
        <v>8</v>
      </c>
      <c r="AC4809">
        <v>3</v>
      </c>
      <c r="AD4809">
        <v>0</v>
      </c>
      <c r="AE4809">
        <v>9</v>
      </c>
      <c r="AF4809" t="s">
        <v>138</v>
      </c>
      <c r="AG4809">
        <v>0</v>
      </c>
      <c r="AH4809">
        <v>3</v>
      </c>
      <c r="AI4809">
        <v>1</v>
      </c>
      <c r="AJ4809">
        <v>0</v>
      </c>
      <c r="AK4809" t="s">
        <v>1503</v>
      </c>
      <c r="AL4809">
        <v>32.711297999999999</v>
      </c>
      <c r="AM4809" t="s">
        <v>1504</v>
      </c>
      <c r="AN4809">
        <v>-116.755486</v>
      </c>
      <c r="AO4809">
        <v>25</v>
      </c>
      <c r="AP4809">
        <v>3600</v>
      </c>
      <c r="AQ4809" t="s">
        <v>129</v>
      </c>
      <c r="AR4809">
        <v>-153</v>
      </c>
      <c r="AS4809">
        <v>-105</v>
      </c>
      <c r="AT4809">
        <v>-2048</v>
      </c>
      <c r="BB4809">
        <v>1200</v>
      </c>
      <c r="BC4809">
        <v>1</v>
      </c>
      <c r="BD4809" t="str">
        <f t="shared" si="1779"/>
        <v xml:space="preserve">N887QR  </v>
      </c>
      <c r="BE4809">
        <v>1</v>
      </c>
      <c r="BG4809">
        <v>0</v>
      </c>
      <c r="BH4809">
        <v>0</v>
      </c>
      <c r="BI4809">
        <v>0</v>
      </c>
      <c r="BJ4809">
        <v>3150</v>
      </c>
      <c r="BK4809">
        <v>-450</v>
      </c>
      <c r="BL4809" t="s">
        <v>163</v>
      </c>
      <c r="BM4809">
        <v>1</v>
      </c>
      <c r="BN4809">
        <v>1</v>
      </c>
      <c r="BO4809">
        <v>1</v>
      </c>
      <c r="BP4809">
        <v>0</v>
      </c>
      <c r="BS4809">
        <v>0</v>
      </c>
      <c r="BT4809">
        <v>0</v>
      </c>
      <c r="BU4809">
        <v>0</v>
      </c>
      <c r="CE4809" t="str">
        <f t="shared" si="1781"/>
        <v>19:38:24.520</v>
      </c>
      <c r="CF4809">
        <v>520450291</v>
      </c>
      <c r="CS4809">
        <v>0</v>
      </c>
      <c r="CT4809">
        <v>2</v>
      </c>
      <c r="CU4809">
        <v>0</v>
      </c>
      <c r="CV4809">
        <v>2</v>
      </c>
      <c r="CW4809">
        <v>0</v>
      </c>
      <c r="CX4809">
        <v>3</v>
      </c>
      <c r="CY4809">
        <v>7</v>
      </c>
      <c r="CZ4809" t="s">
        <v>131</v>
      </c>
      <c r="DA4809">
        <v>300</v>
      </c>
      <c r="DB4809">
        <v>0</v>
      </c>
      <c r="DC4809" t="s">
        <v>176</v>
      </c>
      <c r="DD4809" t="s">
        <v>177</v>
      </c>
      <c r="DG4809">
        <v>5472992</v>
      </c>
      <c r="DI4809">
        <v>1</v>
      </c>
      <c r="DJ4809">
        <v>0</v>
      </c>
      <c r="DK4809">
        <v>0</v>
      </c>
      <c r="DL4809">
        <v>0</v>
      </c>
      <c r="DM4809">
        <v>0</v>
      </c>
      <c r="DN4809">
        <v>1</v>
      </c>
      <c r="DO4809">
        <v>0</v>
      </c>
      <c r="DP4809">
        <v>0</v>
      </c>
      <c r="DQ4809">
        <v>0</v>
      </c>
      <c r="DR4809">
        <v>0</v>
      </c>
      <c r="DS4809">
        <v>0</v>
      </c>
    </row>
    <row r="4810" spans="1:123" x14ac:dyDescent="0.3">
      <c r="A4810" t="str">
        <f>"10/04/2022 19:38:24.965"</f>
        <v>10/04/2022 19:38:24.965</v>
      </c>
      <c r="C4810" t="str">
        <f t="shared" si="1769"/>
        <v>FFDFD3C0</v>
      </c>
      <c r="D4810" t="s">
        <v>141</v>
      </c>
      <c r="E4810">
        <v>4</v>
      </c>
      <c r="H4810">
        <v>4</v>
      </c>
      <c r="I4810" t="s">
        <v>142</v>
      </c>
      <c r="J4810" t="s">
        <v>138</v>
      </c>
      <c r="K4810">
        <v>0</v>
      </c>
      <c r="L4810">
        <v>3</v>
      </c>
      <c r="M4810">
        <v>0</v>
      </c>
      <c r="N4810">
        <v>2</v>
      </c>
      <c r="O4810">
        <v>0</v>
      </c>
      <c r="P4810">
        <v>1</v>
      </c>
      <c r="Q4810">
        <v>0</v>
      </c>
      <c r="S4810" t="str">
        <f t="shared" si="1780"/>
        <v>19:38:24.000</v>
      </c>
      <c r="T4810" t="str">
        <f t="shared" si="1780"/>
        <v>19:38:24.000</v>
      </c>
      <c r="U4810" t="str">
        <f t="shared" si="1778"/>
        <v>AC3944</v>
      </c>
      <c r="V4810">
        <v>0</v>
      </c>
      <c r="W4810">
        <v>0</v>
      </c>
      <c r="X4810">
        <v>2</v>
      </c>
      <c r="Y4810">
        <v>0</v>
      </c>
      <c r="AA4810">
        <v>1</v>
      </c>
      <c r="AB4810">
        <v>8</v>
      </c>
      <c r="AC4810">
        <v>3</v>
      </c>
      <c r="AD4810">
        <v>0</v>
      </c>
      <c r="AE4810">
        <v>9</v>
      </c>
      <c r="AF4810" t="s">
        <v>138</v>
      </c>
      <c r="AG4810">
        <v>0</v>
      </c>
      <c r="AH4810">
        <v>3</v>
      </c>
      <c r="AI4810">
        <v>1</v>
      </c>
      <c r="AJ4810">
        <v>0</v>
      </c>
      <c r="AK4810" t="s">
        <v>1503</v>
      </c>
      <c r="AL4810">
        <v>32.711297999999999</v>
      </c>
      <c r="AM4810" t="s">
        <v>1504</v>
      </c>
      <c r="AN4810">
        <v>-116.755486</v>
      </c>
      <c r="AO4810">
        <v>25</v>
      </c>
      <c r="AP4810">
        <v>3600</v>
      </c>
      <c r="AQ4810" t="s">
        <v>129</v>
      </c>
      <c r="AR4810">
        <v>-153</v>
      </c>
      <c r="AS4810">
        <v>-105</v>
      </c>
      <c r="AT4810">
        <v>-2048</v>
      </c>
      <c r="BB4810">
        <v>1200</v>
      </c>
      <c r="BC4810">
        <v>1</v>
      </c>
      <c r="BD4810" t="str">
        <f t="shared" si="1779"/>
        <v xml:space="preserve">N887QR  </v>
      </c>
      <c r="BE4810">
        <v>1</v>
      </c>
      <c r="BG4810">
        <v>0</v>
      </c>
      <c r="BH4810">
        <v>0</v>
      </c>
      <c r="BI4810">
        <v>0</v>
      </c>
      <c r="BJ4810">
        <v>3150</v>
      </c>
      <c r="BK4810">
        <v>-450</v>
      </c>
      <c r="BL4810" t="s">
        <v>163</v>
      </c>
      <c r="BM4810">
        <v>1</v>
      </c>
      <c r="BN4810">
        <v>1</v>
      </c>
      <c r="BO4810">
        <v>1</v>
      </c>
      <c r="BP4810">
        <v>0</v>
      </c>
      <c r="BS4810">
        <v>0</v>
      </c>
      <c r="BT4810">
        <v>0</v>
      </c>
      <c r="BU4810">
        <v>0</v>
      </c>
      <c r="CE4810" t="str">
        <f t="shared" si="1781"/>
        <v>19:38:24.520</v>
      </c>
      <c r="CF4810">
        <v>520450291</v>
      </c>
      <c r="CS4810">
        <v>0</v>
      </c>
      <c r="CT4810">
        <v>2</v>
      </c>
      <c r="CU4810">
        <v>0</v>
      </c>
      <c r="CV4810">
        <v>2</v>
      </c>
      <c r="CW4810">
        <v>0</v>
      </c>
      <c r="CX4810">
        <v>3</v>
      </c>
      <c r="CY4810">
        <v>7</v>
      </c>
      <c r="CZ4810" t="s">
        <v>131</v>
      </c>
      <c r="DA4810">
        <v>300</v>
      </c>
      <c r="DB4810">
        <v>0</v>
      </c>
      <c r="DC4810" t="s">
        <v>176</v>
      </c>
      <c r="DD4810" t="s">
        <v>177</v>
      </c>
      <c r="DG4810">
        <v>5472992</v>
      </c>
      <c r="DI4810">
        <v>1</v>
      </c>
      <c r="DJ4810">
        <v>0</v>
      </c>
      <c r="DK4810">
        <v>1</v>
      </c>
      <c r="DL4810">
        <v>0</v>
      </c>
      <c r="DM4810">
        <v>0</v>
      </c>
      <c r="DN4810">
        <v>1</v>
      </c>
      <c r="DO4810">
        <v>0</v>
      </c>
      <c r="DP4810">
        <v>0</v>
      </c>
      <c r="DQ4810">
        <v>0</v>
      </c>
      <c r="DR4810">
        <v>0</v>
      </c>
      <c r="DS4810">
        <v>0</v>
      </c>
    </row>
    <row r="4811" spans="1:123" x14ac:dyDescent="0.3">
      <c r="A4811" t="str">
        <f>"10/04/2022 19:38:24.965"</f>
        <v>10/04/2022 19:38:24.965</v>
      </c>
      <c r="C4811" t="str">
        <f t="shared" si="1769"/>
        <v>FFDFD3C0</v>
      </c>
      <c r="D4811" t="s">
        <v>147</v>
      </c>
      <c r="E4811">
        <v>3</v>
      </c>
      <c r="H4811">
        <v>166</v>
      </c>
      <c r="I4811" t="s">
        <v>144</v>
      </c>
      <c r="J4811" t="s">
        <v>148</v>
      </c>
      <c r="K4811">
        <v>0</v>
      </c>
      <c r="L4811">
        <v>3</v>
      </c>
      <c r="M4811">
        <v>0</v>
      </c>
      <c r="N4811">
        <v>2</v>
      </c>
      <c r="O4811">
        <v>0</v>
      </c>
      <c r="P4811">
        <v>1</v>
      </c>
      <c r="Q4811">
        <v>0</v>
      </c>
      <c r="S4811" t="str">
        <f t="shared" si="1780"/>
        <v>19:38:24.000</v>
      </c>
      <c r="T4811" t="str">
        <f t="shared" si="1780"/>
        <v>19:38:24.000</v>
      </c>
      <c r="U4811" t="str">
        <f t="shared" si="1778"/>
        <v>AC3944</v>
      </c>
      <c r="V4811">
        <v>0</v>
      </c>
      <c r="W4811">
        <v>0</v>
      </c>
      <c r="X4811">
        <v>2</v>
      </c>
      <c r="Y4811">
        <v>0</v>
      </c>
      <c r="AA4811">
        <v>1</v>
      </c>
      <c r="AB4811">
        <v>8</v>
      </c>
      <c r="AC4811">
        <v>3</v>
      </c>
      <c r="AD4811">
        <v>0</v>
      </c>
      <c r="AE4811">
        <v>9</v>
      </c>
      <c r="AF4811" t="s">
        <v>138</v>
      </c>
      <c r="AG4811">
        <v>0</v>
      </c>
      <c r="AH4811">
        <v>3</v>
      </c>
      <c r="AI4811">
        <v>1</v>
      </c>
      <c r="AJ4811">
        <v>0</v>
      </c>
      <c r="AK4811" t="s">
        <v>1503</v>
      </c>
      <c r="AL4811">
        <v>32.711297999999999</v>
      </c>
      <c r="AM4811" t="s">
        <v>1504</v>
      </c>
      <c r="AN4811">
        <v>-116.755486</v>
      </c>
      <c r="AO4811">
        <v>25</v>
      </c>
      <c r="AP4811">
        <v>3600</v>
      </c>
      <c r="AQ4811" t="s">
        <v>129</v>
      </c>
      <c r="AR4811">
        <v>-153</v>
      </c>
      <c r="AS4811">
        <v>-105</v>
      </c>
      <c r="AT4811">
        <v>-2048</v>
      </c>
      <c r="BB4811">
        <v>1200</v>
      </c>
      <c r="BC4811">
        <v>1</v>
      </c>
      <c r="BD4811" t="str">
        <f t="shared" si="1779"/>
        <v xml:space="preserve">N887QR  </v>
      </c>
      <c r="BE4811">
        <v>1</v>
      </c>
      <c r="BG4811">
        <v>0</v>
      </c>
      <c r="BH4811">
        <v>0</v>
      </c>
      <c r="BI4811">
        <v>0</v>
      </c>
      <c r="BJ4811">
        <v>3150</v>
      </c>
      <c r="BK4811">
        <v>-450</v>
      </c>
      <c r="BL4811" t="s">
        <v>163</v>
      </c>
      <c r="BM4811">
        <v>1</v>
      </c>
      <c r="BN4811">
        <v>1</v>
      </c>
      <c r="BO4811">
        <v>1</v>
      </c>
      <c r="BP4811">
        <v>0</v>
      </c>
      <c r="BS4811">
        <v>0</v>
      </c>
      <c r="BT4811">
        <v>0</v>
      </c>
      <c r="BU4811">
        <v>0</v>
      </c>
      <c r="CE4811" t="str">
        <f t="shared" si="1781"/>
        <v>19:38:24.520</v>
      </c>
      <c r="CF4811">
        <v>520450291</v>
      </c>
      <c r="CS4811">
        <v>0</v>
      </c>
      <c r="CT4811">
        <v>2</v>
      </c>
      <c r="CU4811">
        <v>0</v>
      </c>
      <c r="CV4811">
        <v>2</v>
      </c>
      <c r="CW4811">
        <v>0</v>
      </c>
      <c r="CX4811">
        <v>3</v>
      </c>
      <c r="CY4811">
        <v>7</v>
      </c>
      <c r="CZ4811" t="s">
        <v>131</v>
      </c>
      <c r="DA4811">
        <v>300</v>
      </c>
      <c r="DB4811">
        <v>0</v>
      </c>
      <c r="DC4811" t="s">
        <v>176</v>
      </c>
      <c r="DD4811" t="s">
        <v>177</v>
      </c>
      <c r="DG4811">
        <v>5472992</v>
      </c>
      <c r="DI4811">
        <v>1</v>
      </c>
      <c r="DJ4811">
        <v>0</v>
      </c>
      <c r="DK4811">
        <v>1</v>
      </c>
      <c r="DL4811">
        <v>0</v>
      </c>
      <c r="DM4811">
        <v>0</v>
      </c>
      <c r="DN4811">
        <v>1</v>
      </c>
      <c r="DO4811">
        <v>0</v>
      </c>
      <c r="DP4811">
        <v>0</v>
      </c>
      <c r="DQ4811">
        <v>0</v>
      </c>
      <c r="DR4811">
        <v>0</v>
      </c>
      <c r="DS4811">
        <v>0</v>
      </c>
    </row>
    <row r="4812" spans="1:123" x14ac:dyDescent="0.3">
      <c r="A4812" t="str">
        <f>"10/04/2022 19:38:24.965"</f>
        <v>10/04/2022 19:38:24.965</v>
      </c>
      <c r="C4812" t="str">
        <f t="shared" si="1769"/>
        <v>FFDFD3C0</v>
      </c>
      <c r="D4812" t="s">
        <v>143</v>
      </c>
      <c r="E4812">
        <v>20</v>
      </c>
      <c r="F4812">
        <v>1020</v>
      </c>
      <c r="G4812" t="s">
        <v>144</v>
      </c>
      <c r="J4812" t="s">
        <v>145</v>
      </c>
      <c r="K4812">
        <v>0</v>
      </c>
      <c r="L4812">
        <v>3</v>
      </c>
      <c r="M4812">
        <v>0</v>
      </c>
      <c r="N4812">
        <v>2</v>
      </c>
      <c r="O4812">
        <v>0</v>
      </c>
      <c r="P4812">
        <v>1</v>
      </c>
      <c r="Q4812">
        <v>0</v>
      </c>
      <c r="S4812" t="str">
        <f t="shared" si="1780"/>
        <v>19:38:24.000</v>
      </c>
      <c r="T4812" t="str">
        <f t="shared" si="1780"/>
        <v>19:38:24.000</v>
      </c>
      <c r="U4812" t="str">
        <f t="shared" si="1778"/>
        <v>AC3944</v>
      </c>
      <c r="V4812">
        <v>0</v>
      </c>
      <c r="W4812">
        <v>0</v>
      </c>
      <c r="X4812">
        <v>2</v>
      </c>
      <c r="Y4812">
        <v>0</v>
      </c>
      <c r="AA4812">
        <v>1</v>
      </c>
      <c r="AB4812">
        <v>8</v>
      </c>
      <c r="AC4812">
        <v>3</v>
      </c>
      <c r="AD4812">
        <v>0</v>
      </c>
      <c r="AE4812">
        <v>9</v>
      </c>
      <c r="AF4812" t="s">
        <v>138</v>
      </c>
      <c r="AG4812">
        <v>0</v>
      </c>
      <c r="AH4812">
        <v>3</v>
      </c>
      <c r="AI4812">
        <v>1</v>
      </c>
      <c r="AJ4812">
        <v>0</v>
      </c>
      <c r="AK4812" t="s">
        <v>1503</v>
      </c>
      <c r="AL4812">
        <v>32.711297999999999</v>
      </c>
      <c r="AM4812" t="s">
        <v>1504</v>
      </c>
      <c r="AN4812">
        <v>-116.755486</v>
      </c>
      <c r="AO4812">
        <v>25</v>
      </c>
      <c r="AP4812">
        <v>3600</v>
      </c>
      <c r="AQ4812" t="s">
        <v>129</v>
      </c>
      <c r="AR4812">
        <v>-153</v>
      </c>
      <c r="AS4812">
        <v>-105</v>
      </c>
      <c r="AT4812">
        <v>-2048</v>
      </c>
      <c r="BB4812">
        <v>1200</v>
      </c>
      <c r="BC4812">
        <v>1</v>
      </c>
      <c r="BD4812" t="str">
        <f t="shared" si="1779"/>
        <v xml:space="preserve">N887QR  </v>
      </c>
      <c r="BE4812">
        <v>1</v>
      </c>
      <c r="BG4812">
        <v>0</v>
      </c>
      <c r="BH4812">
        <v>0</v>
      </c>
      <c r="BI4812">
        <v>0</v>
      </c>
      <c r="BJ4812">
        <v>3150</v>
      </c>
      <c r="BK4812">
        <v>-450</v>
      </c>
      <c r="BL4812" t="s">
        <v>163</v>
      </c>
      <c r="BM4812">
        <v>1</v>
      </c>
      <c r="BN4812">
        <v>1</v>
      </c>
      <c r="BO4812">
        <v>1</v>
      </c>
      <c r="BP4812">
        <v>0</v>
      </c>
      <c r="BS4812">
        <v>0</v>
      </c>
      <c r="BT4812">
        <v>0</v>
      </c>
      <c r="BU4812">
        <v>0</v>
      </c>
      <c r="CE4812" t="str">
        <f t="shared" si="1781"/>
        <v>19:38:24.520</v>
      </c>
      <c r="CF4812">
        <v>520450291</v>
      </c>
      <c r="CS4812">
        <v>0</v>
      </c>
      <c r="CT4812">
        <v>2</v>
      </c>
      <c r="CU4812">
        <v>0</v>
      </c>
      <c r="CV4812">
        <v>2</v>
      </c>
      <c r="CW4812">
        <v>0</v>
      </c>
      <c r="CX4812">
        <v>3</v>
      </c>
      <c r="CY4812">
        <v>7</v>
      </c>
      <c r="CZ4812" t="s">
        <v>131</v>
      </c>
      <c r="DA4812">
        <v>300</v>
      </c>
      <c r="DB4812">
        <v>0</v>
      </c>
      <c r="DC4812" t="s">
        <v>176</v>
      </c>
      <c r="DD4812" t="s">
        <v>177</v>
      </c>
      <c r="DG4812">
        <v>5472992</v>
      </c>
      <c r="DI4812">
        <v>1</v>
      </c>
      <c r="DJ4812">
        <v>0</v>
      </c>
      <c r="DK4812">
        <v>1</v>
      </c>
      <c r="DL4812">
        <v>0</v>
      </c>
      <c r="DM4812">
        <v>0</v>
      </c>
      <c r="DN4812">
        <v>1</v>
      </c>
      <c r="DO4812">
        <v>0</v>
      </c>
      <c r="DP4812">
        <v>0</v>
      </c>
      <c r="DQ4812">
        <v>0</v>
      </c>
      <c r="DR4812">
        <v>0</v>
      </c>
      <c r="DS4812">
        <v>0</v>
      </c>
    </row>
    <row r="4813" spans="1:123" x14ac:dyDescent="0.3">
      <c r="A4813" t="str">
        <f t="shared" ref="A4813:A4819" si="1782">"10/04/2022 19:38:25.356"</f>
        <v>10/04/2022 19:38:25.356</v>
      </c>
      <c r="C4813" t="str">
        <f t="shared" si="1769"/>
        <v>FFDFD3C0</v>
      </c>
      <c r="D4813" t="s">
        <v>147</v>
      </c>
      <c r="E4813">
        <v>3</v>
      </c>
      <c r="H4813">
        <v>166</v>
      </c>
      <c r="I4813" t="s">
        <v>144</v>
      </c>
      <c r="J4813" t="s">
        <v>148</v>
      </c>
      <c r="K4813">
        <v>0</v>
      </c>
      <c r="L4813">
        <v>3</v>
      </c>
      <c r="M4813">
        <v>0</v>
      </c>
      <c r="N4813">
        <v>2</v>
      </c>
      <c r="O4813">
        <v>0</v>
      </c>
      <c r="P4813">
        <v>1</v>
      </c>
      <c r="Q4813">
        <v>0</v>
      </c>
      <c r="S4813" t="str">
        <f t="shared" ref="S4813:T4819" si="1783">"19:38:25.000"</f>
        <v>19:38:25.000</v>
      </c>
      <c r="T4813" t="str">
        <f t="shared" si="1783"/>
        <v>19:38:25.000</v>
      </c>
      <c r="U4813" t="str">
        <f t="shared" si="1778"/>
        <v>AC3944</v>
      </c>
      <c r="V4813">
        <v>0</v>
      </c>
      <c r="W4813">
        <v>0</v>
      </c>
      <c r="X4813">
        <v>2</v>
      </c>
      <c r="Y4813">
        <v>0</v>
      </c>
      <c r="AA4813">
        <v>1</v>
      </c>
      <c r="AB4813">
        <v>8</v>
      </c>
      <c r="AC4813">
        <v>3</v>
      </c>
      <c r="AD4813">
        <v>0</v>
      </c>
      <c r="AE4813">
        <v>9</v>
      </c>
      <c r="AF4813" t="s">
        <v>138</v>
      </c>
      <c r="AG4813">
        <v>0</v>
      </c>
      <c r="AH4813">
        <v>3</v>
      </c>
      <c r="AI4813">
        <v>1</v>
      </c>
      <c r="AJ4813">
        <v>0</v>
      </c>
      <c r="AK4813" t="s">
        <v>1505</v>
      </c>
      <c r="AL4813">
        <v>32.710805000000001</v>
      </c>
      <c r="AM4813" t="s">
        <v>1506</v>
      </c>
      <c r="AN4813">
        <v>-116.75630099999999</v>
      </c>
      <c r="AO4813">
        <v>25</v>
      </c>
      <c r="AP4813">
        <v>3600</v>
      </c>
      <c r="AQ4813" t="s">
        <v>129</v>
      </c>
      <c r="AR4813">
        <v>-152</v>
      </c>
      <c r="AS4813">
        <v>-105</v>
      </c>
      <c r="AT4813">
        <v>-2048</v>
      </c>
      <c r="BB4813">
        <v>1200</v>
      </c>
      <c r="BC4813">
        <v>1</v>
      </c>
      <c r="BD4813" t="str">
        <f t="shared" si="1779"/>
        <v xml:space="preserve">N887QR  </v>
      </c>
      <c r="BE4813">
        <v>1</v>
      </c>
      <c r="BG4813">
        <v>0</v>
      </c>
      <c r="BH4813">
        <v>0</v>
      </c>
      <c r="BI4813">
        <v>0</v>
      </c>
      <c r="BJ4813">
        <v>3150</v>
      </c>
      <c r="BK4813">
        <v>-450</v>
      </c>
      <c r="BL4813" t="s">
        <v>163</v>
      </c>
      <c r="BM4813">
        <v>1</v>
      </c>
      <c r="BN4813">
        <v>1</v>
      </c>
      <c r="BO4813">
        <v>1</v>
      </c>
      <c r="BP4813">
        <v>0</v>
      </c>
      <c r="BS4813">
        <v>0</v>
      </c>
      <c r="BT4813">
        <v>0</v>
      </c>
      <c r="BU4813">
        <v>0</v>
      </c>
      <c r="CE4813" t="str">
        <f t="shared" ref="CE4813:CE4819" si="1784">"19:38:25.101"</f>
        <v>19:38:25.101</v>
      </c>
      <c r="CF4813">
        <v>100952187</v>
      </c>
      <c r="CS4813">
        <v>0</v>
      </c>
      <c r="CT4813">
        <v>2</v>
      </c>
      <c r="CU4813">
        <v>0</v>
      </c>
      <c r="CV4813">
        <v>2</v>
      </c>
      <c r="CW4813">
        <v>0</v>
      </c>
      <c r="CX4813">
        <v>4</v>
      </c>
      <c r="CY4813">
        <v>7</v>
      </c>
      <c r="CZ4813" t="s">
        <v>131</v>
      </c>
      <c r="DA4813">
        <v>300</v>
      </c>
      <c r="DB4813">
        <v>0</v>
      </c>
      <c r="DC4813" t="s">
        <v>176</v>
      </c>
      <c r="DD4813" t="s">
        <v>177</v>
      </c>
      <c r="DG4813">
        <v>5473081</v>
      </c>
      <c r="DI4813">
        <v>1</v>
      </c>
      <c r="DJ4813">
        <v>0</v>
      </c>
      <c r="DK4813">
        <v>0</v>
      </c>
      <c r="DL4813">
        <v>0</v>
      </c>
      <c r="DM4813">
        <v>0</v>
      </c>
      <c r="DN4813">
        <v>1</v>
      </c>
      <c r="DO4813">
        <v>0</v>
      </c>
      <c r="DP4813">
        <v>0</v>
      </c>
      <c r="DQ4813">
        <v>0</v>
      </c>
      <c r="DR4813">
        <v>0</v>
      </c>
      <c r="DS4813">
        <v>0</v>
      </c>
    </row>
    <row r="4814" spans="1:123" x14ac:dyDescent="0.3">
      <c r="A4814" t="str">
        <f t="shared" si="1782"/>
        <v>10/04/2022 19:38:25.356</v>
      </c>
      <c r="C4814" t="str">
        <f t="shared" si="1769"/>
        <v>FFDFD3C0</v>
      </c>
      <c r="D4814" t="s">
        <v>136</v>
      </c>
      <c r="E4814">
        <v>8</v>
      </c>
      <c r="H4814">
        <v>225</v>
      </c>
      <c r="I4814" t="s">
        <v>137</v>
      </c>
      <c r="J4814" t="s">
        <v>138</v>
      </c>
      <c r="K4814">
        <v>0</v>
      </c>
      <c r="L4814">
        <v>3</v>
      </c>
      <c r="M4814">
        <v>0</v>
      </c>
      <c r="N4814">
        <v>2</v>
      </c>
      <c r="O4814">
        <v>0</v>
      </c>
      <c r="P4814">
        <v>1</v>
      </c>
      <c r="Q4814">
        <v>0</v>
      </c>
      <c r="S4814" t="str">
        <f t="shared" si="1783"/>
        <v>19:38:25.000</v>
      </c>
      <c r="T4814" t="str">
        <f t="shared" si="1783"/>
        <v>19:38:25.000</v>
      </c>
      <c r="U4814" t="str">
        <f t="shared" si="1778"/>
        <v>AC3944</v>
      </c>
      <c r="V4814">
        <v>0</v>
      </c>
      <c r="W4814">
        <v>0</v>
      </c>
      <c r="X4814">
        <v>2</v>
      </c>
      <c r="Y4814">
        <v>0</v>
      </c>
      <c r="AA4814">
        <v>1</v>
      </c>
      <c r="AB4814">
        <v>8</v>
      </c>
      <c r="AC4814">
        <v>3</v>
      </c>
      <c r="AD4814">
        <v>0</v>
      </c>
      <c r="AE4814">
        <v>9</v>
      </c>
      <c r="AF4814" t="s">
        <v>138</v>
      </c>
      <c r="AG4814">
        <v>0</v>
      </c>
      <c r="AH4814">
        <v>3</v>
      </c>
      <c r="AI4814">
        <v>1</v>
      </c>
      <c r="AJ4814">
        <v>0</v>
      </c>
      <c r="AK4814" t="s">
        <v>1505</v>
      </c>
      <c r="AL4814">
        <v>32.710805000000001</v>
      </c>
      <c r="AM4814" t="s">
        <v>1506</v>
      </c>
      <c r="AN4814">
        <v>-116.75630099999999</v>
      </c>
      <c r="AO4814">
        <v>25</v>
      </c>
      <c r="AP4814">
        <v>3600</v>
      </c>
      <c r="AQ4814" t="s">
        <v>129</v>
      </c>
      <c r="AR4814">
        <v>-152</v>
      </c>
      <c r="AS4814">
        <v>-105</v>
      </c>
      <c r="AT4814">
        <v>-2048</v>
      </c>
      <c r="BB4814">
        <v>1200</v>
      </c>
      <c r="BC4814">
        <v>1</v>
      </c>
      <c r="BD4814" t="str">
        <f t="shared" si="1779"/>
        <v xml:space="preserve">N887QR  </v>
      </c>
      <c r="BE4814">
        <v>1</v>
      </c>
      <c r="BG4814">
        <v>0</v>
      </c>
      <c r="BH4814">
        <v>0</v>
      </c>
      <c r="BI4814">
        <v>0</v>
      </c>
      <c r="BJ4814">
        <v>3150</v>
      </c>
      <c r="BK4814">
        <v>-450</v>
      </c>
      <c r="BL4814" t="s">
        <v>163</v>
      </c>
      <c r="BM4814">
        <v>1</v>
      </c>
      <c r="BN4814">
        <v>1</v>
      </c>
      <c r="BO4814">
        <v>1</v>
      </c>
      <c r="BP4814">
        <v>0</v>
      </c>
      <c r="BS4814">
        <v>0</v>
      </c>
      <c r="BT4814">
        <v>0</v>
      </c>
      <c r="BU4814">
        <v>0</v>
      </c>
      <c r="CE4814" t="str">
        <f t="shared" si="1784"/>
        <v>19:38:25.101</v>
      </c>
      <c r="CF4814">
        <v>100952187</v>
      </c>
      <c r="CS4814">
        <v>0</v>
      </c>
      <c r="CT4814">
        <v>2</v>
      </c>
      <c r="CU4814">
        <v>0</v>
      </c>
      <c r="CV4814">
        <v>2</v>
      </c>
      <c r="CW4814">
        <v>0</v>
      </c>
      <c r="CX4814">
        <v>4</v>
      </c>
      <c r="CY4814">
        <v>7</v>
      </c>
      <c r="CZ4814" t="s">
        <v>131</v>
      </c>
      <c r="DA4814">
        <v>300</v>
      </c>
      <c r="DB4814">
        <v>0</v>
      </c>
      <c r="DC4814" t="s">
        <v>176</v>
      </c>
      <c r="DD4814" t="s">
        <v>177</v>
      </c>
      <c r="DG4814">
        <v>5473081</v>
      </c>
      <c r="DI4814">
        <v>1</v>
      </c>
      <c r="DJ4814">
        <v>0</v>
      </c>
      <c r="DK4814">
        <v>1</v>
      </c>
      <c r="DL4814">
        <v>0</v>
      </c>
      <c r="DM4814">
        <v>0</v>
      </c>
      <c r="DN4814">
        <v>1</v>
      </c>
      <c r="DO4814">
        <v>0</v>
      </c>
      <c r="DP4814">
        <v>0</v>
      </c>
      <c r="DQ4814">
        <v>0</v>
      </c>
      <c r="DR4814">
        <v>0</v>
      </c>
      <c r="DS4814">
        <v>0</v>
      </c>
    </row>
    <row r="4815" spans="1:123" x14ac:dyDescent="0.3">
      <c r="A4815" t="str">
        <f t="shared" si="1782"/>
        <v>10/04/2022 19:38:25.356</v>
      </c>
      <c r="C4815" t="str">
        <f t="shared" si="1769"/>
        <v>FFDFD3C0</v>
      </c>
      <c r="D4815" t="s">
        <v>123</v>
      </c>
      <c r="E4815">
        <v>7</v>
      </c>
      <c r="F4815">
        <v>2007</v>
      </c>
      <c r="G4815" t="s">
        <v>124</v>
      </c>
      <c r="J4815" t="s">
        <v>125</v>
      </c>
      <c r="K4815">
        <v>0</v>
      </c>
      <c r="L4815">
        <v>3</v>
      </c>
      <c r="M4815">
        <v>0</v>
      </c>
      <c r="N4815">
        <v>2</v>
      </c>
      <c r="O4815">
        <v>0</v>
      </c>
      <c r="P4815">
        <v>1</v>
      </c>
      <c r="Q4815">
        <v>0</v>
      </c>
      <c r="S4815" t="str">
        <f t="shared" si="1783"/>
        <v>19:38:25.000</v>
      </c>
      <c r="T4815" t="str">
        <f t="shared" si="1783"/>
        <v>19:38:25.000</v>
      </c>
      <c r="U4815" t="str">
        <f t="shared" si="1778"/>
        <v>AC3944</v>
      </c>
      <c r="V4815">
        <v>0</v>
      </c>
      <c r="W4815">
        <v>0</v>
      </c>
      <c r="X4815">
        <v>2</v>
      </c>
      <c r="Y4815">
        <v>0</v>
      </c>
      <c r="AA4815">
        <v>1</v>
      </c>
      <c r="AB4815">
        <v>8</v>
      </c>
      <c r="AC4815">
        <v>3</v>
      </c>
      <c r="AD4815">
        <v>0</v>
      </c>
      <c r="AE4815">
        <v>9</v>
      </c>
      <c r="AF4815" t="s">
        <v>138</v>
      </c>
      <c r="AG4815">
        <v>0</v>
      </c>
      <c r="AH4815">
        <v>3</v>
      </c>
      <c r="AI4815">
        <v>1</v>
      </c>
      <c r="AJ4815">
        <v>0</v>
      </c>
      <c r="AK4815" t="s">
        <v>1505</v>
      </c>
      <c r="AL4815">
        <v>32.710805000000001</v>
      </c>
      <c r="AM4815" t="s">
        <v>1506</v>
      </c>
      <c r="AN4815">
        <v>-116.75630099999999</v>
      </c>
      <c r="AO4815">
        <v>25</v>
      </c>
      <c r="AP4815">
        <v>3600</v>
      </c>
      <c r="AQ4815" t="s">
        <v>129</v>
      </c>
      <c r="AR4815">
        <v>-152</v>
      </c>
      <c r="AS4815">
        <v>-105</v>
      </c>
      <c r="AT4815">
        <v>-2048</v>
      </c>
      <c r="BB4815">
        <v>1200</v>
      </c>
      <c r="BC4815">
        <v>1</v>
      </c>
      <c r="BD4815" t="str">
        <f t="shared" si="1779"/>
        <v xml:space="preserve">N887QR  </v>
      </c>
      <c r="BE4815">
        <v>1</v>
      </c>
      <c r="BG4815">
        <v>0</v>
      </c>
      <c r="BH4815">
        <v>0</v>
      </c>
      <c r="BI4815">
        <v>0</v>
      </c>
      <c r="BJ4815">
        <v>3150</v>
      </c>
      <c r="BK4815">
        <v>-450</v>
      </c>
      <c r="BL4815" t="s">
        <v>163</v>
      </c>
      <c r="BM4815">
        <v>1</v>
      </c>
      <c r="BN4815">
        <v>1</v>
      </c>
      <c r="BO4815">
        <v>1</v>
      </c>
      <c r="BP4815">
        <v>0</v>
      </c>
      <c r="BS4815">
        <v>0</v>
      </c>
      <c r="BT4815">
        <v>0</v>
      </c>
      <c r="BU4815">
        <v>0</v>
      </c>
      <c r="CE4815" t="str">
        <f t="shared" si="1784"/>
        <v>19:38:25.101</v>
      </c>
      <c r="CF4815">
        <v>100952187</v>
      </c>
      <c r="CS4815">
        <v>0</v>
      </c>
      <c r="CT4815">
        <v>2</v>
      </c>
      <c r="CU4815">
        <v>0</v>
      </c>
      <c r="CV4815">
        <v>2</v>
      </c>
      <c r="CW4815">
        <v>0</v>
      </c>
      <c r="CX4815">
        <v>4</v>
      </c>
      <c r="CY4815">
        <v>7</v>
      </c>
      <c r="CZ4815" t="s">
        <v>131</v>
      </c>
      <c r="DA4815">
        <v>300</v>
      </c>
      <c r="DB4815">
        <v>0</v>
      </c>
      <c r="DC4815" t="s">
        <v>176</v>
      </c>
      <c r="DD4815" t="s">
        <v>177</v>
      </c>
      <c r="DG4815">
        <v>5473081</v>
      </c>
      <c r="DI4815">
        <v>1</v>
      </c>
      <c r="DJ4815">
        <v>0</v>
      </c>
      <c r="DK4815">
        <v>1</v>
      </c>
      <c r="DL4815">
        <v>0</v>
      </c>
      <c r="DM4815">
        <v>0</v>
      </c>
      <c r="DN4815">
        <v>1</v>
      </c>
      <c r="DO4815">
        <v>0</v>
      </c>
      <c r="DP4815">
        <v>0</v>
      </c>
      <c r="DQ4815">
        <v>0</v>
      </c>
      <c r="DR4815">
        <v>0</v>
      </c>
      <c r="DS4815">
        <v>0</v>
      </c>
    </row>
    <row r="4816" spans="1:123" x14ac:dyDescent="0.3">
      <c r="A4816" t="str">
        <f t="shared" si="1782"/>
        <v>10/04/2022 19:38:25.356</v>
      </c>
      <c r="C4816" t="str">
        <f t="shared" si="1769"/>
        <v>FFDFD3C0</v>
      </c>
      <c r="D4816" t="s">
        <v>141</v>
      </c>
      <c r="E4816">
        <v>3</v>
      </c>
      <c r="H4816">
        <v>3</v>
      </c>
      <c r="I4816" t="s">
        <v>146</v>
      </c>
      <c r="J4816" t="s">
        <v>138</v>
      </c>
      <c r="K4816">
        <v>0</v>
      </c>
      <c r="L4816">
        <v>3</v>
      </c>
      <c r="M4816">
        <v>0</v>
      </c>
      <c r="N4816">
        <v>2</v>
      </c>
      <c r="O4816">
        <v>0</v>
      </c>
      <c r="P4816">
        <v>1</v>
      </c>
      <c r="Q4816">
        <v>0</v>
      </c>
      <c r="S4816" t="str">
        <f t="shared" si="1783"/>
        <v>19:38:25.000</v>
      </c>
      <c r="T4816" t="str">
        <f t="shared" si="1783"/>
        <v>19:38:25.000</v>
      </c>
      <c r="U4816" t="str">
        <f t="shared" si="1778"/>
        <v>AC3944</v>
      </c>
      <c r="V4816">
        <v>0</v>
      </c>
      <c r="W4816">
        <v>0</v>
      </c>
      <c r="X4816">
        <v>2</v>
      </c>
      <c r="Y4816">
        <v>0</v>
      </c>
      <c r="AA4816">
        <v>1</v>
      </c>
      <c r="AB4816">
        <v>8</v>
      </c>
      <c r="AC4816">
        <v>3</v>
      </c>
      <c r="AD4816">
        <v>0</v>
      </c>
      <c r="AE4816">
        <v>9</v>
      </c>
      <c r="AF4816" t="s">
        <v>138</v>
      </c>
      <c r="AG4816">
        <v>0</v>
      </c>
      <c r="AH4816">
        <v>3</v>
      </c>
      <c r="AI4816">
        <v>1</v>
      </c>
      <c r="AJ4816">
        <v>0</v>
      </c>
      <c r="AK4816" t="s">
        <v>1505</v>
      </c>
      <c r="AL4816">
        <v>32.710805000000001</v>
      </c>
      <c r="AM4816" t="s">
        <v>1506</v>
      </c>
      <c r="AN4816">
        <v>-116.75630099999999</v>
      </c>
      <c r="AO4816">
        <v>25</v>
      </c>
      <c r="AP4816">
        <v>3600</v>
      </c>
      <c r="AQ4816" t="s">
        <v>129</v>
      </c>
      <c r="AR4816">
        <v>-152</v>
      </c>
      <c r="AS4816">
        <v>-105</v>
      </c>
      <c r="AT4816">
        <v>-2048</v>
      </c>
      <c r="BB4816">
        <v>1200</v>
      </c>
      <c r="BC4816">
        <v>1</v>
      </c>
      <c r="BD4816" t="str">
        <f t="shared" si="1779"/>
        <v xml:space="preserve">N887QR  </v>
      </c>
      <c r="BE4816">
        <v>1</v>
      </c>
      <c r="BG4816">
        <v>0</v>
      </c>
      <c r="BH4816">
        <v>0</v>
      </c>
      <c r="BI4816">
        <v>0</v>
      </c>
      <c r="BJ4816">
        <v>3150</v>
      </c>
      <c r="BK4816">
        <v>-450</v>
      </c>
      <c r="BL4816" t="s">
        <v>163</v>
      </c>
      <c r="BM4816">
        <v>1</v>
      </c>
      <c r="BN4816">
        <v>1</v>
      </c>
      <c r="BO4816">
        <v>1</v>
      </c>
      <c r="BP4816">
        <v>0</v>
      </c>
      <c r="BS4816">
        <v>0</v>
      </c>
      <c r="BT4816">
        <v>0</v>
      </c>
      <c r="BU4816">
        <v>0</v>
      </c>
      <c r="CE4816" t="str">
        <f t="shared" si="1784"/>
        <v>19:38:25.101</v>
      </c>
      <c r="CF4816">
        <v>100952187</v>
      </c>
      <c r="CS4816">
        <v>0</v>
      </c>
      <c r="CT4816">
        <v>2</v>
      </c>
      <c r="CU4816">
        <v>0</v>
      </c>
      <c r="CV4816">
        <v>2</v>
      </c>
      <c r="CW4816">
        <v>0</v>
      </c>
      <c r="CX4816">
        <v>4</v>
      </c>
      <c r="CY4816">
        <v>7</v>
      </c>
      <c r="CZ4816" t="s">
        <v>131</v>
      </c>
      <c r="DA4816">
        <v>300</v>
      </c>
      <c r="DB4816">
        <v>0</v>
      </c>
      <c r="DC4816" t="s">
        <v>176</v>
      </c>
      <c r="DD4816" t="s">
        <v>177</v>
      </c>
      <c r="DG4816">
        <v>5473081</v>
      </c>
      <c r="DI4816">
        <v>1</v>
      </c>
      <c r="DJ4816">
        <v>0</v>
      </c>
      <c r="DK4816">
        <v>1</v>
      </c>
      <c r="DL4816">
        <v>0</v>
      </c>
      <c r="DM4816">
        <v>0</v>
      </c>
      <c r="DN4816">
        <v>1</v>
      </c>
      <c r="DO4816">
        <v>0</v>
      </c>
      <c r="DP4816">
        <v>0</v>
      </c>
      <c r="DQ4816">
        <v>0</v>
      </c>
      <c r="DR4816">
        <v>0</v>
      </c>
      <c r="DS4816">
        <v>0</v>
      </c>
    </row>
    <row r="4817" spans="1:123" x14ac:dyDescent="0.3">
      <c r="A4817" t="str">
        <f t="shared" si="1782"/>
        <v>10/04/2022 19:38:25.356</v>
      </c>
      <c r="C4817" t="str">
        <f t="shared" si="1769"/>
        <v>FFDFD3C0</v>
      </c>
      <c r="D4817" t="s">
        <v>134</v>
      </c>
      <c r="E4817">
        <v>15</v>
      </c>
      <c r="J4817" t="s">
        <v>135</v>
      </c>
      <c r="K4817">
        <v>0</v>
      </c>
      <c r="L4817">
        <v>3</v>
      </c>
      <c r="M4817">
        <v>0</v>
      </c>
      <c r="N4817">
        <v>2</v>
      </c>
      <c r="O4817">
        <v>0</v>
      </c>
      <c r="P4817">
        <v>1</v>
      </c>
      <c r="Q4817">
        <v>0</v>
      </c>
      <c r="S4817" t="str">
        <f t="shared" si="1783"/>
        <v>19:38:25.000</v>
      </c>
      <c r="T4817" t="str">
        <f t="shared" si="1783"/>
        <v>19:38:25.000</v>
      </c>
      <c r="U4817" t="str">
        <f t="shared" si="1778"/>
        <v>AC3944</v>
      </c>
      <c r="V4817">
        <v>0</v>
      </c>
      <c r="W4817">
        <v>0</v>
      </c>
      <c r="X4817">
        <v>2</v>
      </c>
      <c r="Y4817">
        <v>0</v>
      </c>
      <c r="AA4817">
        <v>1</v>
      </c>
      <c r="AB4817">
        <v>8</v>
      </c>
      <c r="AC4817">
        <v>3</v>
      </c>
      <c r="AD4817">
        <v>0</v>
      </c>
      <c r="AE4817">
        <v>9</v>
      </c>
      <c r="AF4817" t="s">
        <v>138</v>
      </c>
      <c r="AG4817">
        <v>0</v>
      </c>
      <c r="AH4817">
        <v>3</v>
      </c>
      <c r="AI4817">
        <v>1</v>
      </c>
      <c r="AJ4817">
        <v>0</v>
      </c>
      <c r="AK4817" t="s">
        <v>1505</v>
      </c>
      <c r="AL4817">
        <v>32.710805000000001</v>
      </c>
      <c r="AM4817" t="s">
        <v>1506</v>
      </c>
      <c r="AN4817">
        <v>-116.75630099999999</v>
      </c>
      <c r="AO4817">
        <v>25</v>
      </c>
      <c r="AP4817">
        <v>3600</v>
      </c>
      <c r="AQ4817" t="s">
        <v>129</v>
      </c>
      <c r="AR4817">
        <v>-152</v>
      </c>
      <c r="AS4817">
        <v>-105</v>
      </c>
      <c r="AT4817">
        <v>-2048</v>
      </c>
      <c r="BB4817">
        <v>1200</v>
      </c>
      <c r="BC4817">
        <v>1</v>
      </c>
      <c r="BD4817" t="str">
        <f t="shared" si="1779"/>
        <v xml:space="preserve">N887QR  </v>
      </c>
      <c r="BE4817">
        <v>1</v>
      </c>
      <c r="BG4817">
        <v>0</v>
      </c>
      <c r="BH4817">
        <v>0</v>
      </c>
      <c r="BI4817">
        <v>0</v>
      </c>
      <c r="BJ4817">
        <v>3150</v>
      </c>
      <c r="BK4817">
        <v>-450</v>
      </c>
      <c r="BL4817" t="s">
        <v>163</v>
      </c>
      <c r="BM4817">
        <v>1</v>
      </c>
      <c r="BN4817">
        <v>1</v>
      </c>
      <c r="BO4817">
        <v>1</v>
      </c>
      <c r="BP4817">
        <v>0</v>
      </c>
      <c r="BS4817">
        <v>0</v>
      </c>
      <c r="BT4817">
        <v>0</v>
      </c>
      <c r="BU4817">
        <v>0</v>
      </c>
      <c r="CE4817" t="str">
        <f t="shared" si="1784"/>
        <v>19:38:25.101</v>
      </c>
      <c r="CF4817">
        <v>100952187</v>
      </c>
      <c r="CS4817">
        <v>0</v>
      </c>
      <c r="CT4817">
        <v>2</v>
      </c>
      <c r="CU4817">
        <v>0</v>
      </c>
      <c r="CV4817">
        <v>2</v>
      </c>
      <c r="CW4817">
        <v>0</v>
      </c>
      <c r="CX4817">
        <v>4</v>
      </c>
      <c r="CY4817">
        <v>7</v>
      </c>
      <c r="CZ4817" t="s">
        <v>131</v>
      </c>
      <c r="DA4817">
        <v>300</v>
      </c>
      <c r="DB4817">
        <v>0</v>
      </c>
      <c r="DC4817" t="s">
        <v>176</v>
      </c>
      <c r="DD4817" t="s">
        <v>177</v>
      </c>
      <c r="DG4817">
        <v>5473081</v>
      </c>
      <c r="DI4817">
        <v>1</v>
      </c>
      <c r="DJ4817">
        <v>0</v>
      </c>
      <c r="DK4817">
        <v>1</v>
      </c>
      <c r="DL4817">
        <v>0</v>
      </c>
      <c r="DM4817">
        <v>0</v>
      </c>
      <c r="DN4817">
        <v>1</v>
      </c>
      <c r="DO4817">
        <v>0</v>
      </c>
      <c r="DP4817">
        <v>0</v>
      </c>
      <c r="DQ4817">
        <v>0</v>
      </c>
      <c r="DR4817">
        <v>0</v>
      </c>
      <c r="DS4817">
        <v>0</v>
      </c>
    </row>
    <row r="4818" spans="1:123" x14ac:dyDescent="0.3">
      <c r="A4818" t="str">
        <f t="shared" si="1782"/>
        <v>10/04/2022 19:38:25.356</v>
      </c>
      <c r="C4818" t="str">
        <f t="shared" si="1769"/>
        <v>FFDFD3C0</v>
      </c>
      <c r="D4818" t="s">
        <v>141</v>
      </c>
      <c r="E4818">
        <v>4</v>
      </c>
      <c r="H4818">
        <v>4</v>
      </c>
      <c r="I4818" t="s">
        <v>142</v>
      </c>
      <c r="J4818" t="s">
        <v>138</v>
      </c>
      <c r="K4818">
        <v>0</v>
      </c>
      <c r="L4818">
        <v>3</v>
      </c>
      <c r="M4818">
        <v>0</v>
      </c>
      <c r="N4818">
        <v>2</v>
      </c>
      <c r="O4818">
        <v>0</v>
      </c>
      <c r="P4818">
        <v>1</v>
      </c>
      <c r="Q4818">
        <v>0</v>
      </c>
      <c r="S4818" t="str">
        <f t="shared" si="1783"/>
        <v>19:38:25.000</v>
      </c>
      <c r="T4818" t="str">
        <f t="shared" si="1783"/>
        <v>19:38:25.000</v>
      </c>
      <c r="U4818" t="str">
        <f t="shared" si="1778"/>
        <v>AC3944</v>
      </c>
      <c r="V4818">
        <v>0</v>
      </c>
      <c r="W4818">
        <v>0</v>
      </c>
      <c r="X4818">
        <v>2</v>
      </c>
      <c r="Y4818">
        <v>0</v>
      </c>
      <c r="AA4818">
        <v>1</v>
      </c>
      <c r="AB4818">
        <v>8</v>
      </c>
      <c r="AC4818">
        <v>3</v>
      </c>
      <c r="AD4818">
        <v>0</v>
      </c>
      <c r="AE4818">
        <v>9</v>
      </c>
      <c r="AF4818" t="s">
        <v>138</v>
      </c>
      <c r="AG4818">
        <v>0</v>
      </c>
      <c r="AH4818">
        <v>3</v>
      </c>
      <c r="AI4818">
        <v>1</v>
      </c>
      <c r="AJ4818">
        <v>0</v>
      </c>
      <c r="AK4818" t="s">
        <v>1505</v>
      </c>
      <c r="AL4818">
        <v>32.710805000000001</v>
      </c>
      <c r="AM4818" t="s">
        <v>1506</v>
      </c>
      <c r="AN4818">
        <v>-116.75630099999999</v>
      </c>
      <c r="AO4818">
        <v>25</v>
      </c>
      <c r="AP4818">
        <v>3600</v>
      </c>
      <c r="AQ4818" t="s">
        <v>129</v>
      </c>
      <c r="AR4818">
        <v>-152</v>
      </c>
      <c r="AS4818">
        <v>-105</v>
      </c>
      <c r="AT4818">
        <v>-2048</v>
      </c>
      <c r="BB4818">
        <v>1200</v>
      </c>
      <c r="BC4818">
        <v>1</v>
      </c>
      <c r="BD4818" t="str">
        <f t="shared" si="1779"/>
        <v xml:space="preserve">N887QR  </v>
      </c>
      <c r="BE4818">
        <v>1</v>
      </c>
      <c r="BG4818">
        <v>0</v>
      </c>
      <c r="BH4818">
        <v>0</v>
      </c>
      <c r="BI4818">
        <v>0</v>
      </c>
      <c r="BJ4818">
        <v>3150</v>
      </c>
      <c r="BK4818">
        <v>-450</v>
      </c>
      <c r="BL4818" t="s">
        <v>163</v>
      </c>
      <c r="BM4818">
        <v>1</v>
      </c>
      <c r="BN4818">
        <v>1</v>
      </c>
      <c r="BO4818">
        <v>1</v>
      </c>
      <c r="BP4818">
        <v>0</v>
      </c>
      <c r="BS4818">
        <v>0</v>
      </c>
      <c r="BT4818">
        <v>0</v>
      </c>
      <c r="BU4818">
        <v>0</v>
      </c>
      <c r="CE4818" t="str">
        <f t="shared" si="1784"/>
        <v>19:38:25.101</v>
      </c>
      <c r="CF4818">
        <v>100952187</v>
      </c>
      <c r="CS4818">
        <v>0</v>
      </c>
      <c r="CT4818">
        <v>2</v>
      </c>
      <c r="CU4818">
        <v>0</v>
      </c>
      <c r="CV4818">
        <v>2</v>
      </c>
      <c r="CW4818">
        <v>0</v>
      </c>
      <c r="CX4818">
        <v>4</v>
      </c>
      <c r="CY4818">
        <v>7</v>
      </c>
      <c r="CZ4818" t="s">
        <v>131</v>
      </c>
      <c r="DA4818">
        <v>300</v>
      </c>
      <c r="DB4818">
        <v>0</v>
      </c>
      <c r="DC4818" t="s">
        <v>176</v>
      </c>
      <c r="DD4818" t="s">
        <v>177</v>
      </c>
      <c r="DG4818">
        <v>5473081</v>
      </c>
      <c r="DI4818">
        <v>1</v>
      </c>
      <c r="DJ4818">
        <v>0</v>
      </c>
      <c r="DK4818">
        <v>1</v>
      </c>
      <c r="DL4818">
        <v>0</v>
      </c>
      <c r="DM4818">
        <v>0</v>
      </c>
      <c r="DN4818">
        <v>1</v>
      </c>
      <c r="DO4818">
        <v>0</v>
      </c>
      <c r="DP4818">
        <v>0</v>
      </c>
      <c r="DQ4818">
        <v>0</v>
      </c>
      <c r="DR4818">
        <v>0</v>
      </c>
      <c r="DS4818">
        <v>0</v>
      </c>
    </row>
    <row r="4819" spans="1:123" x14ac:dyDescent="0.3">
      <c r="A4819" t="str">
        <f t="shared" si="1782"/>
        <v>10/04/2022 19:38:25.356</v>
      </c>
      <c r="C4819" t="str">
        <f t="shared" si="1769"/>
        <v>FFDFD3C0</v>
      </c>
      <c r="D4819" t="s">
        <v>143</v>
      </c>
      <c r="E4819">
        <v>20</v>
      </c>
      <c r="F4819">
        <v>1020</v>
      </c>
      <c r="G4819" t="s">
        <v>144</v>
      </c>
      <c r="J4819" t="s">
        <v>145</v>
      </c>
      <c r="K4819">
        <v>0</v>
      </c>
      <c r="L4819">
        <v>3</v>
      </c>
      <c r="M4819">
        <v>0</v>
      </c>
      <c r="N4819">
        <v>2</v>
      </c>
      <c r="O4819">
        <v>0</v>
      </c>
      <c r="P4819">
        <v>1</v>
      </c>
      <c r="Q4819">
        <v>0</v>
      </c>
      <c r="S4819" t="str">
        <f t="shared" si="1783"/>
        <v>19:38:25.000</v>
      </c>
      <c r="T4819" t="str">
        <f t="shared" si="1783"/>
        <v>19:38:25.000</v>
      </c>
      <c r="U4819" t="str">
        <f t="shared" si="1778"/>
        <v>AC3944</v>
      </c>
      <c r="V4819">
        <v>0</v>
      </c>
      <c r="W4819">
        <v>0</v>
      </c>
      <c r="X4819">
        <v>2</v>
      </c>
      <c r="Y4819">
        <v>0</v>
      </c>
      <c r="AA4819">
        <v>1</v>
      </c>
      <c r="AB4819">
        <v>8</v>
      </c>
      <c r="AC4819">
        <v>3</v>
      </c>
      <c r="AD4819">
        <v>0</v>
      </c>
      <c r="AE4819">
        <v>9</v>
      </c>
      <c r="AF4819" t="s">
        <v>138</v>
      </c>
      <c r="AG4819">
        <v>0</v>
      </c>
      <c r="AH4819">
        <v>3</v>
      </c>
      <c r="AI4819">
        <v>1</v>
      </c>
      <c r="AJ4819">
        <v>0</v>
      </c>
      <c r="AK4819" t="s">
        <v>1505</v>
      </c>
      <c r="AL4819">
        <v>32.710805000000001</v>
      </c>
      <c r="AM4819" t="s">
        <v>1506</v>
      </c>
      <c r="AN4819">
        <v>-116.75630099999999</v>
      </c>
      <c r="AO4819">
        <v>25</v>
      </c>
      <c r="AP4819">
        <v>3600</v>
      </c>
      <c r="AQ4819" t="s">
        <v>129</v>
      </c>
      <c r="AR4819">
        <v>-152</v>
      </c>
      <c r="AS4819">
        <v>-105</v>
      </c>
      <c r="AT4819">
        <v>-2048</v>
      </c>
      <c r="BB4819">
        <v>1200</v>
      </c>
      <c r="BC4819">
        <v>1</v>
      </c>
      <c r="BD4819" t="str">
        <f t="shared" si="1779"/>
        <v xml:space="preserve">N887QR  </v>
      </c>
      <c r="BE4819">
        <v>1</v>
      </c>
      <c r="BG4819">
        <v>0</v>
      </c>
      <c r="BH4819">
        <v>0</v>
      </c>
      <c r="BI4819">
        <v>0</v>
      </c>
      <c r="BJ4819">
        <v>3150</v>
      </c>
      <c r="BK4819">
        <v>-450</v>
      </c>
      <c r="BL4819" t="s">
        <v>163</v>
      </c>
      <c r="BM4819">
        <v>1</v>
      </c>
      <c r="BN4819">
        <v>1</v>
      </c>
      <c r="BO4819">
        <v>1</v>
      </c>
      <c r="BP4819">
        <v>0</v>
      </c>
      <c r="BS4819">
        <v>0</v>
      </c>
      <c r="BT4819">
        <v>0</v>
      </c>
      <c r="BU4819">
        <v>0</v>
      </c>
      <c r="CE4819" t="str">
        <f t="shared" si="1784"/>
        <v>19:38:25.101</v>
      </c>
      <c r="CF4819">
        <v>100952187</v>
      </c>
      <c r="CS4819">
        <v>0</v>
      </c>
      <c r="CT4819">
        <v>2</v>
      </c>
      <c r="CU4819">
        <v>0</v>
      </c>
      <c r="CV4819">
        <v>2</v>
      </c>
      <c r="CW4819">
        <v>0</v>
      </c>
      <c r="CX4819">
        <v>4</v>
      </c>
      <c r="CY4819">
        <v>7</v>
      </c>
      <c r="CZ4819" t="s">
        <v>131</v>
      </c>
      <c r="DA4819">
        <v>300</v>
      </c>
      <c r="DB4819">
        <v>0</v>
      </c>
      <c r="DC4819" t="s">
        <v>176</v>
      </c>
      <c r="DD4819" t="s">
        <v>177</v>
      </c>
      <c r="DG4819">
        <v>5473081</v>
      </c>
      <c r="DI4819">
        <v>1</v>
      </c>
      <c r="DJ4819">
        <v>0</v>
      </c>
      <c r="DK4819">
        <v>1</v>
      </c>
      <c r="DL4819">
        <v>0</v>
      </c>
      <c r="DM4819">
        <v>0</v>
      </c>
      <c r="DN4819">
        <v>1</v>
      </c>
      <c r="DO4819">
        <v>0</v>
      </c>
      <c r="DP4819">
        <v>0</v>
      </c>
      <c r="DQ4819">
        <v>0</v>
      </c>
      <c r="DR4819">
        <v>0</v>
      </c>
      <c r="DS4819">
        <v>0</v>
      </c>
    </row>
    <row r="4820" spans="1:123" x14ac:dyDescent="0.3">
      <c r="A4820" t="str">
        <f>"10/04/2022 19:38:26.770"</f>
        <v>10/04/2022 19:38:26.770</v>
      </c>
      <c r="C4820" t="str">
        <f t="shared" si="1769"/>
        <v>FFDFD3C0</v>
      </c>
      <c r="D4820" t="s">
        <v>141</v>
      </c>
      <c r="E4820">
        <v>4</v>
      </c>
      <c r="H4820">
        <v>4</v>
      </c>
      <c r="I4820" t="s">
        <v>142</v>
      </c>
      <c r="J4820" t="s">
        <v>138</v>
      </c>
      <c r="K4820">
        <v>0</v>
      </c>
      <c r="L4820">
        <v>3</v>
      </c>
      <c r="M4820">
        <v>0</v>
      </c>
      <c r="N4820">
        <v>2</v>
      </c>
      <c r="O4820">
        <v>0</v>
      </c>
      <c r="P4820">
        <v>1</v>
      </c>
      <c r="Q4820">
        <v>0</v>
      </c>
      <c r="S4820" t="str">
        <f t="shared" ref="S4820:T4826" si="1785">"19:38:26.000"</f>
        <v>19:38:26.000</v>
      </c>
      <c r="T4820" t="str">
        <f t="shared" si="1785"/>
        <v>19:38:26.000</v>
      </c>
      <c r="U4820" t="str">
        <f t="shared" si="1778"/>
        <v>AC3944</v>
      </c>
      <c r="V4820">
        <v>0</v>
      </c>
      <c r="W4820">
        <v>0</v>
      </c>
      <c r="X4820">
        <v>2</v>
      </c>
      <c r="Y4820">
        <v>0</v>
      </c>
      <c r="AA4820">
        <v>1</v>
      </c>
      <c r="AB4820">
        <v>8</v>
      </c>
      <c r="AC4820">
        <v>3</v>
      </c>
      <c r="AD4820">
        <v>0</v>
      </c>
      <c r="AE4820">
        <v>9</v>
      </c>
      <c r="AF4820" t="s">
        <v>138</v>
      </c>
      <c r="AG4820">
        <v>0</v>
      </c>
      <c r="AH4820">
        <v>3</v>
      </c>
      <c r="AI4820">
        <v>1</v>
      </c>
      <c r="AJ4820">
        <v>0</v>
      </c>
      <c r="AK4820" t="s">
        <v>1507</v>
      </c>
      <c r="AL4820">
        <v>32.710419000000002</v>
      </c>
      <c r="AM4820" t="s">
        <v>1508</v>
      </c>
      <c r="AN4820">
        <v>-116.75698800000001</v>
      </c>
      <c r="AO4820">
        <v>25</v>
      </c>
      <c r="AP4820">
        <v>3600</v>
      </c>
      <c r="AQ4820" t="s">
        <v>129</v>
      </c>
      <c r="AR4820">
        <v>-151</v>
      </c>
      <c r="AS4820">
        <v>-106</v>
      </c>
      <c r="AT4820">
        <v>-1920</v>
      </c>
      <c r="BB4820">
        <v>1200</v>
      </c>
      <c r="BC4820">
        <v>1</v>
      </c>
      <c r="BD4820" t="str">
        <f t="shared" si="1779"/>
        <v xml:space="preserve">N887QR  </v>
      </c>
      <c r="BE4820">
        <v>1</v>
      </c>
      <c r="BG4820">
        <v>0</v>
      </c>
      <c r="BH4820">
        <v>0</v>
      </c>
      <c r="BI4820">
        <v>0</v>
      </c>
      <c r="BJ4820">
        <v>3100</v>
      </c>
      <c r="BK4820">
        <v>-500</v>
      </c>
      <c r="BL4820" t="s">
        <v>163</v>
      </c>
      <c r="BM4820">
        <v>1</v>
      </c>
      <c r="BN4820">
        <v>1</v>
      </c>
      <c r="BO4820">
        <v>1</v>
      </c>
      <c r="BP4820">
        <v>0</v>
      </c>
      <c r="BS4820">
        <v>0</v>
      </c>
      <c r="BT4820">
        <v>0</v>
      </c>
      <c r="BU4820">
        <v>0</v>
      </c>
      <c r="CE4820" t="str">
        <f t="shared" ref="CE4820:CE4826" si="1786">"19:38:26.479"</f>
        <v>19:38:26.479</v>
      </c>
      <c r="CF4820">
        <v>479456644</v>
      </c>
      <c r="CS4820">
        <v>0</v>
      </c>
      <c r="CT4820">
        <v>2</v>
      </c>
      <c r="CU4820">
        <v>0</v>
      </c>
      <c r="CV4820">
        <v>2</v>
      </c>
      <c r="CW4820">
        <v>0</v>
      </c>
      <c r="CX4820">
        <v>4</v>
      </c>
      <c r="CY4820">
        <v>7</v>
      </c>
      <c r="CZ4820" t="s">
        <v>131</v>
      </c>
      <c r="DA4820">
        <v>300</v>
      </c>
      <c r="DB4820">
        <v>0</v>
      </c>
      <c r="DC4820" t="s">
        <v>176</v>
      </c>
      <c r="DD4820" t="s">
        <v>177</v>
      </c>
      <c r="DG4820">
        <v>5473299</v>
      </c>
      <c r="DI4820">
        <v>1</v>
      </c>
      <c r="DJ4820">
        <v>0</v>
      </c>
      <c r="DK4820">
        <v>0</v>
      </c>
      <c r="DL4820">
        <v>0</v>
      </c>
      <c r="DM4820">
        <v>0</v>
      </c>
      <c r="DN4820">
        <v>1</v>
      </c>
      <c r="DO4820">
        <v>0</v>
      </c>
      <c r="DP4820">
        <v>0</v>
      </c>
      <c r="DQ4820">
        <v>0</v>
      </c>
      <c r="DR4820">
        <v>0</v>
      </c>
      <c r="DS4820">
        <v>0</v>
      </c>
    </row>
    <row r="4821" spans="1:123" x14ac:dyDescent="0.3">
      <c r="A4821" t="str">
        <f t="shared" ref="A4821:A4826" si="1787">"10/04/2022 19:38:26.771"</f>
        <v>10/04/2022 19:38:26.771</v>
      </c>
      <c r="C4821" t="str">
        <f t="shared" si="1769"/>
        <v>FFDFD3C0</v>
      </c>
      <c r="D4821" t="s">
        <v>147</v>
      </c>
      <c r="E4821">
        <v>3</v>
      </c>
      <c r="H4821">
        <v>166</v>
      </c>
      <c r="I4821" t="s">
        <v>144</v>
      </c>
      <c r="J4821" t="s">
        <v>148</v>
      </c>
      <c r="K4821">
        <v>0</v>
      </c>
      <c r="L4821">
        <v>3</v>
      </c>
      <c r="M4821">
        <v>0</v>
      </c>
      <c r="N4821">
        <v>2</v>
      </c>
      <c r="O4821">
        <v>0</v>
      </c>
      <c r="P4821">
        <v>1</v>
      </c>
      <c r="Q4821">
        <v>0</v>
      </c>
      <c r="S4821" t="str">
        <f t="shared" si="1785"/>
        <v>19:38:26.000</v>
      </c>
      <c r="T4821" t="str">
        <f t="shared" si="1785"/>
        <v>19:38:26.000</v>
      </c>
      <c r="U4821" t="str">
        <f t="shared" si="1778"/>
        <v>AC3944</v>
      </c>
      <c r="V4821">
        <v>0</v>
      </c>
      <c r="W4821">
        <v>0</v>
      </c>
      <c r="X4821">
        <v>2</v>
      </c>
      <c r="Y4821">
        <v>0</v>
      </c>
      <c r="AA4821">
        <v>1</v>
      </c>
      <c r="AB4821">
        <v>8</v>
      </c>
      <c r="AC4821">
        <v>3</v>
      </c>
      <c r="AD4821">
        <v>0</v>
      </c>
      <c r="AE4821">
        <v>9</v>
      </c>
      <c r="AF4821" t="s">
        <v>138</v>
      </c>
      <c r="AG4821">
        <v>0</v>
      </c>
      <c r="AH4821">
        <v>3</v>
      </c>
      <c r="AI4821">
        <v>1</v>
      </c>
      <c r="AJ4821">
        <v>0</v>
      </c>
      <c r="AK4821" t="s">
        <v>1507</v>
      </c>
      <c r="AL4821">
        <v>32.710419000000002</v>
      </c>
      <c r="AM4821" t="s">
        <v>1508</v>
      </c>
      <c r="AN4821">
        <v>-116.75698800000001</v>
      </c>
      <c r="AO4821">
        <v>25</v>
      </c>
      <c r="AP4821">
        <v>3600</v>
      </c>
      <c r="AQ4821" t="s">
        <v>129</v>
      </c>
      <c r="AR4821">
        <v>-151</v>
      </c>
      <c r="AS4821">
        <v>-106</v>
      </c>
      <c r="AT4821">
        <v>-1920</v>
      </c>
      <c r="BB4821">
        <v>1200</v>
      </c>
      <c r="BC4821">
        <v>1</v>
      </c>
      <c r="BD4821" t="str">
        <f t="shared" si="1779"/>
        <v xml:space="preserve">N887QR  </v>
      </c>
      <c r="BE4821">
        <v>1</v>
      </c>
      <c r="BG4821">
        <v>0</v>
      </c>
      <c r="BH4821">
        <v>0</v>
      </c>
      <c r="BI4821">
        <v>0</v>
      </c>
      <c r="BJ4821">
        <v>3100</v>
      </c>
      <c r="BK4821">
        <v>-500</v>
      </c>
      <c r="BL4821" t="s">
        <v>163</v>
      </c>
      <c r="BM4821">
        <v>1</v>
      </c>
      <c r="BN4821">
        <v>1</v>
      </c>
      <c r="BO4821">
        <v>1</v>
      </c>
      <c r="BP4821">
        <v>0</v>
      </c>
      <c r="BS4821">
        <v>0</v>
      </c>
      <c r="BT4821">
        <v>0</v>
      </c>
      <c r="BU4821">
        <v>0</v>
      </c>
      <c r="CE4821" t="str">
        <f t="shared" si="1786"/>
        <v>19:38:26.479</v>
      </c>
      <c r="CF4821">
        <v>479456644</v>
      </c>
      <c r="CS4821">
        <v>0</v>
      </c>
      <c r="CT4821">
        <v>2</v>
      </c>
      <c r="CU4821">
        <v>0</v>
      </c>
      <c r="CV4821">
        <v>2</v>
      </c>
      <c r="CW4821">
        <v>0</v>
      </c>
      <c r="CX4821">
        <v>4</v>
      </c>
      <c r="CY4821">
        <v>7</v>
      </c>
      <c r="CZ4821" t="s">
        <v>131</v>
      </c>
      <c r="DA4821">
        <v>300</v>
      </c>
      <c r="DB4821">
        <v>0</v>
      </c>
      <c r="DC4821" t="s">
        <v>176</v>
      </c>
      <c r="DD4821" t="s">
        <v>177</v>
      </c>
      <c r="DG4821">
        <v>5473299</v>
      </c>
      <c r="DI4821">
        <v>1</v>
      </c>
      <c r="DJ4821">
        <v>0</v>
      </c>
      <c r="DK4821">
        <v>1</v>
      </c>
      <c r="DL4821">
        <v>0</v>
      </c>
      <c r="DM4821">
        <v>0</v>
      </c>
      <c r="DN4821">
        <v>1</v>
      </c>
      <c r="DO4821">
        <v>0</v>
      </c>
      <c r="DP4821">
        <v>0</v>
      </c>
      <c r="DQ4821">
        <v>0</v>
      </c>
      <c r="DR4821">
        <v>0</v>
      </c>
      <c r="DS4821">
        <v>0</v>
      </c>
    </row>
    <row r="4822" spans="1:123" x14ac:dyDescent="0.3">
      <c r="A4822" t="str">
        <f t="shared" si="1787"/>
        <v>10/04/2022 19:38:26.771</v>
      </c>
      <c r="C4822" t="str">
        <f t="shared" si="1769"/>
        <v>FFDFD3C0</v>
      </c>
      <c r="D4822" t="s">
        <v>143</v>
      </c>
      <c r="E4822">
        <v>20</v>
      </c>
      <c r="F4822">
        <v>1020</v>
      </c>
      <c r="G4822" t="s">
        <v>144</v>
      </c>
      <c r="J4822" t="s">
        <v>145</v>
      </c>
      <c r="K4822">
        <v>0</v>
      </c>
      <c r="L4822">
        <v>3</v>
      </c>
      <c r="M4822">
        <v>0</v>
      </c>
      <c r="N4822">
        <v>2</v>
      </c>
      <c r="O4822">
        <v>0</v>
      </c>
      <c r="P4822">
        <v>1</v>
      </c>
      <c r="Q4822">
        <v>0</v>
      </c>
      <c r="S4822" t="str">
        <f t="shared" si="1785"/>
        <v>19:38:26.000</v>
      </c>
      <c r="T4822" t="str">
        <f t="shared" si="1785"/>
        <v>19:38:26.000</v>
      </c>
      <c r="U4822" t="str">
        <f t="shared" si="1778"/>
        <v>AC3944</v>
      </c>
      <c r="V4822">
        <v>0</v>
      </c>
      <c r="W4822">
        <v>0</v>
      </c>
      <c r="X4822">
        <v>2</v>
      </c>
      <c r="Y4822">
        <v>0</v>
      </c>
      <c r="AA4822">
        <v>1</v>
      </c>
      <c r="AB4822">
        <v>8</v>
      </c>
      <c r="AC4822">
        <v>3</v>
      </c>
      <c r="AD4822">
        <v>0</v>
      </c>
      <c r="AE4822">
        <v>9</v>
      </c>
      <c r="AF4822" t="s">
        <v>138</v>
      </c>
      <c r="AG4822">
        <v>0</v>
      </c>
      <c r="AH4822">
        <v>3</v>
      </c>
      <c r="AI4822">
        <v>1</v>
      </c>
      <c r="AJ4822">
        <v>0</v>
      </c>
      <c r="AK4822" t="s">
        <v>1507</v>
      </c>
      <c r="AL4822">
        <v>32.710419000000002</v>
      </c>
      <c r="AM4822" t="s">
        <v>1508</v>
      </c>
      <c r="AN4822">
        <v>-116.75698800000001</v>
      </c>
      <c r="AO4822">
        <v>25</v>
      </c>
      <c r="AP4822">
        <v>3600</v>
      </c>
      <c r="AQ4822" t="s">
        <v>129</v>
      </c>
      <c r="AR4822">
        <v>-151</v>
      </c>
      <c r="AS4822">
        <v>-106</v>
      </c>
      <c r="AT4822">
        <v>-1920</v>
      </c>
      <c r="BB4822">
        <v>1200</v>
      </c>
      <c r="BC4822">
        <v>1</v>
      </c>
      <c r="BD4822" t="str">
        <f t="shared" si="1779"/>
        <v xml:space="preserve">N887QR  </v>
      </c>
      <c r="BE4822">
        <v>1</v>
      </c>
      <c r="BG4822">
        <v>0</v>
      </c>
      <c r="BH4822">
        <v>0</v>
      </c>
      <c r="BI4822">
        <v>0</v>
      </c>
      <c r="BJ4822">
        <v>3100</v>
      </c>
      <c r="BK4822">
        <v>-500</v>
      </c>
      <c r="BL4822" t="s">
        <v>163</v>
      </c>
      <c r="BM4822">
        <v>1</v>
      </c>
      <c r="BN4822">
        <v>1</v>
      </c>
      <c r="BO4822">
        <v>1</v>
      </c>
      <c r="BP4822">
        <v>0</v>
      </c>
      <c r="BS4822">
        <v>0</v>
      </c>
      <c r="BT4822">
        <v>0</v>
      </c>
      <c r="BU4822">
        <v>0</v>
      </c>
      <c r="CE4822" t="str">
        <f t="shared" si="1786"/>
        <v>19:38:26.479</v>
      </c>
      <c r="CF4822">
        <v>479456644</v>
      </c>
      <c r="CS4822">
        <v>0</v>
      </c>
      <c r="CT4822">
        <v>2</v>
      </c>
      <c r="CU4822">
        <v>0</v>
      </c>
      <c r="CV4822">
        <v>2</v>
      </c>
      <c r="CW4822">
        <v>0</v>
      </c>
      <c r="CX4822">
        <v>4</v>
      </c>
      <c r="CY4822">
        <v>7</v>
      </c>
      <c r="CZ4822" t="s">
        <v>131</v>
      </c>
      <c r="DA4822">
        <v>300</v>
      </c>
      <c r="DB4822">
        <v>0</v>
      </c>
      <c r="DC4822" t="s">
        <v>176</v>
      </c>
      <c r="DD4822" t="s">
        <v>177</v>
      </c>
      <c r="DG4822">
        <v>5473299</v>
      </c>
      <c r="DI4822">
        <v>1</v>
      </c>
      <c r="DJ4822">
        <v>0</v>
      </c>
      <c r="DK4822">
        <v>1</v>
      </c>
      <c r="DL4822">
        <v>0</v>
      </c>
      <c r="DM4822">
        <v>0</v>
      </c>
      <c r="DN4822">
        <v>1</v>
      </c>
      <c r="DO4822">
        <v>0</v>
      </c>
      <c r="DP4822">
        <v>0</v>
      </c>
      <c r="DQ4822">
        <v>0</v>
      </c>
      <c r="DR4822">
        <v>0</v>
      </c>
      <c r="DS4822">
        <v>0</v>
      </c>
    </row>
    <row r="4823" spans="1:123" x14ac:dyDescent="0.3">
      <c r="A4823" t="str">
        <f t="shared" si="1787"/>
        <v>10/04/2022 19:38:26.771</v>
      </c>
      <c r="C4823" t="str">
        <f t="shared" si="1769"/>
        <v>FFDFD3C0</v>
      </c>
      <c r="D4823" t="s">
        <v>134</v>
      </c>
      <c r="E4823">
        <v>15</v>
      </c>
      <c r="J4823" t="s">
        <v>135</v>
      </c>
      <c r="K4823">
        <v>0</v>
      </c>
      <c r="L4823">
        <v>3</v>
      </c>
      <c r="M4823">
        <v>0</v>
      </c>
      <c r="N4823">
        <v>2</v>
      </c>
      <c r="O4823">
        <v>0</v>
      </c>
      <c r="P4823">
        <v>1</v>
      </c>
      <c r="Q4823">
        <v>0</v>
      </c>
      <c r="S4823" t="str">
        <f t="shared" si="1785"/>
        <v>19:38:26.000</v>
      </c>
      <c r="T4823" t="str">
        <f t="shared" si="1785"/>
        <v>19:38:26.000</v>
      </c>
      <c r="U4823" t="str">
        <f t="shared" si="1778"/>
        <v>AC3944</v>
      </c>
      <c r="V4823">
        <v>0</v>
      </c>
      <c r="W4823">
        <v>0</v>
      </c>
      <c r="X4823">
        <v>2</v>
      </c>
      <c r="Y4823">
        <v>0</v>
      </c>
      <c r="AA4823">
        <v>1</v>
      </c>
      <c r="AB4823">
        <v>8</v>
      </c>
      <c r="AC4823">
        <v>3</v>
      </c>
      <c r="AD4823">
        <v>0</v>
      </c>
      <c r="AE4823">
        <v>9</v>
      </c>
      <c r="AF4823" t="s">
        <v>138</v>
      </c>
      <c r="AG4823">
        <v>0</v>
      </c>
      <c r="AH4823">
        <v>3</v>
      </c>
      <c r="AI4823">
        <v>1</v>
      </c>
      <c r="AJ4823">
        <v>0</v>
      </c>
      <c r="AK4823" t="s">
        <v>1507</v>
      </c>
      <c r="AL4823">
        <v>32.710419000000002</v>
      </c>
      <c r="AM4823" t="s">
        <v>1508</v>
      </c>
      <c r="AN4823">
        <v>-116.75698800000001</v>
      </c>
      <c r="AO4823">
        <v>25</v>
      </c>
      <c r="AP4823">
        <v>3600</v>
      </c>
      <c r="AQ4823" t="s">
        <v>129</v>
      </c>
      <c r="AR4823">
        <v>-151</v>
      </c>
      <c r="AS4823">
        <v>-106</v>
      </c>
      <c r="AT4823">
        <v>-1920</v>
      </c>
      <c r="BB4823">
        <v>1200</v>
      </c>
      <c r="BC4823">
        <v>1</v>
      </c>
      <c r="BD4823" t="str">
        <f t="shared" si="1779"/>
        <v xml:space="preserve">N887QR  </v>
      </c>
      <c r="BE4823">
        <v>1</v>
      </c>
      <c r="BG4823">
        <v>0</v>
      </c>
      <c r="BH4823">
        <v>0</v>
      </c>
      <c r="BI4823">
        <v>0</v>
      </c>
      <c r="BJ4823">
        <v>3100</v>
      </c>
      <c r="BK4823">
        <v>-500</v>
      </c>
      <c r="BL4823" t="s">
        <v>163</v>
      </c>
      <c r="BM4823">
        <v>1</v>
      </c>
      <c r="BN4823">
        <v>1</v>
      </c>
      <c r="BO4823">
        <v>1</v>
      </c>
      <c r="BP4823">
        <v>0</v>
      </c>
      <c r="BS4823">
        <v>0</v>
      </c>
      <c r="BT4823">
        <v>0</v>
      </c>
      <c r="BU4823">
        <v>0</v>
      </c>
      <c r="CE4823" t="str">
        <f t="shared" si="1786"/>
        <v>19:38:26.479</v>
      </c>
      <c r="CF4823">
        <v>479456644</v>
      </c>
      <c r="CS4823">
        <v>0</v>
      </c>
      <c r="CT4823">
        <v>2</v>
      </c>
      <c r="CU4823">
        <v>0</v>
      </c>
      <c r="CV4823">
        <v>2</v>
      </c>
      <c r="CW4823">
        <v>0</v>
      </c>
      <c r="CX4823">
        <v>4</v>
      </c>
      <c r="CY4823">
        <v>7</v>
      </c>
      <c r="CZ4823" t="s">
        <v>131</v>
      </c>
      <c r="DA4823">
        <v>300</v>
      </c>
      <c r="DB4823">
        <v>0</v>
      </c>
      <c r="DC4823" t="s">
        <v>176</v>
      </c>
      <c r="DD4823" t="s">
        <v>177</v>
      </c>
      <c r="DG4823">
        <v>5473299</v>
      </c>
      <c r="DI4823">
        <v>1</v>
      </c>
      <c r="DJ4823">
        <v>0</v>
      </c>
      <c r="DK4823">
        <v>1</v>
      </c>
      <c r="DL4823">
        <v>0</v>
      </c>
      <c r="DM4823">
        <v>0</v>
      </c>
      <c r="DN4823">
        <v>1</v>
      </c>
      <c r="DO4823">
        <v>0</v>
      </c>
      <c r="DP4823">
        <v>0</v>
      </c>
      <c r="DQ4823">
        <v>0</v>
      </c>
      <c r="DR4823">
        <v>0</v>
      </c>
      <c r="DS4823">
        <v>0</v>
      </c>
    </row>
    <row r="4824" spans="1:123" x14ac:dyDescent="0.3">
      <c r="A4824" t="str">
        <f t="shared" si="1787"/>
        <v>10/04/2022 19:38:26.771</v>
      </c>
      <c r="C4824" t="str">
        <f t="shared" si="1769"/>
        <v>FFDFD3C0</v>
      </c>
      <c r="D4824" t="s">
        <v>123</v>
      </c>
      <c r="E4824">
        <v>7</v>
      </c>
      <c r="F4824">
        <v>2007</v>
      </c>
      <c r="G4824" t="s">
        <v>124</v>
      </c>
      <c r="J4824" t="s">
        <v>125</v>
      </c>
      <c r="K4824">
        <v>0</v>
      </c>
      <c r="L4824">
        <v>3</v>
      </c>
      <c r="M4824">
        <v>0</v>
      </c>
      <c r="N4824">
        <v>2</v>
      </c>
      <c r="O4824">
        <v>0</v>
      </c>
      <c r="P4824">
        <v>1</v>
      </c>
      <c r="Q4824">
        <v>0</v>
      </c>
      <c r="S4824" t="str">
        <f t="shared" si="1785"/>
        <v>19:38:26.000</v>
      </c>
      <c r="T4824" t="str">
        <f t="shared" si="1785"/>
        <v>19:38:26.000</v>
      </c>
      <c r="U4824" t="str">
        <f t="shared" si="1778"/>
        <v>AC3944</v>
      </c>
      <c r="V4824">
        <v>0</v>
      </c>
      <c r="W4824">
        <v>0</v>
      </c>
      <c r="X4824">
        <v>2</v>
      </c>
      <c r="Y4824">
        <v>0</v>
      </c>
      <c r="AA4824">
        <v>1</v>
      </c>
      <c r="AB4824">
        <v>8</v>
      </c>
      <c r="AC4824">
        <v>3</v>
      </c>
      <c r="AD4824">
        <v>0</v>
      </c>
      <c r="AE4824">
        <v>9</v>
      </c>
      <c r="AF4824" t="s">
        <v>138</v>
      </c>
      <c r="AG4824">
        <v>0</v>
      </c>
      <c r="AH4824">
        <v>3</v>
      </c>
      <c r="AI4824">
        <v>1</v>
      </c>
      <c r="AJ4824">
        <v>0</v>
      </c>
      <c r="AK4824" t="s">
        <v>1507</v>
      </c>
      <c r="AL4824">
        <v>32.710419000000002</v>
      </c>
      <c r="AM4824" t="s">
        <v>1508</v>
      </c>
      <c r="AN4824">
        <v>-116.75698800000001</v>
      </c>
      <c r="AO4824">
        <v>25</v>
      </c>
      <c r="AP4824">
        <v>3600</v>
      </c>
      <c r="AQ4824" t="s">
        <v>129</v>
      </c>
      <c r="AR4824">
        <v>-151</v>
      </c>
      <c r="AS4824">
        <v>-106</v>
      </c>
      <c r="AT4824">
        <v>-1920</v>
      </c>
      <c r="BB4824">
        <v>1200</v>
      </c>
      <c r="BC4824">
        <v>1</v>
      </c>
      <c r="BD4824" t="str">
        <f t="shared" si="1779"/>
        <v xml:space="preserve">N887QR  </v>
      </c>
      <c r="BE4824">
        <v>1</v>
      </c>
      <c r="BG4824">
        <v>0</v>
      </c>
      <c r="BH4824">
        <v>0</v>
      </c>
      <c r="BI4824">
        <v>0</v>
      </c>
      <c r="BJ4824">
        <v>3100</v>
      </c>
      <c r="BK4824">
        <v>-500</v>
      </c>
      <c r="BL4824" t="s">
        <v>163</v>
      </c>
      <c r="BM4824">
        <v>1</v>
      </c>
      <c r="BN4824">
        <v>1</v>
      </c>
      <c r="BO4824">
        <v>1</v>
      </c>
      <c r="BP4824">
        <v>0</v>
      </c>
      <c r="BS4824">
        <v>0</v>
      </c>
      <c r="BT4824">
        <v>0</v>
      </c>
      <c r="BU4824">
        <v>0</v>
      </c>
      <c r="CE4824" t="str">
        <f t="shared" si="1786"/>
        <v>19:38:26.479</v>
      </c>
      <c r="CF4824">
        <v>479456644</v>
      </c>
      <c r="CS4824">
        <v>0</v>
      </c>
      <c r="CT4824">
        <v>2</v>
      </c>
      <c r="CU4824">
        <v>0</v>
      </c>
      <c r="CV4824">
        <v>2</v>
      </c>
      <c r="CW4824">
        <v>0</v>
      </c>
      <c r="CX4824">
        <v>4</v>
      </c>
      <c r="CY4824">
        <v>7</v>
      </c>
      <c r="CZ4824" t="s">
        <v>131</v>
      </c>
      <c r="DA4824">
        <v>300</v>
      </c>
      <c r="DB4824">
        <v>0</v>
      </c>
      <c r="DC4824" t="s">
        <v>176</v>
      </c>
      <c r="DD4824" t="s">
        <v>177</v>
      </c>
      <c r="DG4824">
        <v>5473299</v>
      </c>
      <c r="DI4824">
        <v>1</v>
      </c>
      <c r="DJ4824">
        <v>0</v>
      </c>
      <c r="DK4824">
        <v>0</v>
      </c>
      <c r="DL4824">
        <v>0</v>
      </c>
      <c r="DM4824">
        <v>0</v>
      </c>
      <c r="DN4824">
        <v>1</v>
      </c>
      <c r="DO4824">
        <v>0</v>
      </c>
      <c r="DP4824">
        <v>0</v>
      </c>
      <c r="DQ4824">
        <v>0</v>
      </c>
      <c r="DR4824">
        <v>0</v>
      </c>
      <c r="DS4824">
        <v>0</v>
      </c>
    </row>
    <row r="4825" spans="1:123" x14ac:dyDescent="0.3">
      <c r="A4825" t="str">
        <f t="shared" si="1787"/>
        <v>10/04/2022 19:38:26.771</v>
      </c>
      <c r="C4825" t="str">
        <f t="shared" si="1769"/>
        <v>FFDFD3C0</v>
      </c>
      <c r="D4825" t="s">
        <v>136</v>
      </c>
      <c r="E4825">
        <v>8</v>
      </c>
      <c r="H4825">
        <v>225</v>
      </c>
      <c r="I4825" t="s">
        <v>137</v>
      </c>
      <c r="J4825" t="s">
        <v>138</v>
      </c>
      <c r="K4825">
        <v>0</v>
      </c>
      <c r="L4825">
        <v>3</v>
      </c>
      <c r="M4825">
        <v>0</v>
      </c>
      <c r="N4825">
        <v>2</v>
      </c>
      <c r="O4825">
        <v>0</v>
      </c>
      <c r="P4825">
        <v>1</v>
      </c>
      <c r="Q4825">
        <v>0</v>
      </c>
      <c r="S4825" t="str">
        <f t="shared" si="1785"/>
        <v>19:38:26.000</v>
      </c>
      <c r="T4825" t="str">
        <f t="shared" si="1785"/>
        <v>19:38:26.000</v>
      </c>
      <c r="U4825" t="str">
        <f t="shared" si="1778"/>
        <v>AC3944</v>
      </c>
      <c r="V4825">
        <v>0</v>
      </c>
      <c r="W4825">
        <v>0</v>
      </c>
      <c r="X4825">
        <v>2</v>
      </c>
      <c r="Y4825">
        <v>0</v>
      </c>
      <c r="AA4825">
        <v>1</v>
      </c>
      <c r="AB4825">
        <v>8</v>
      </c>
      <c r="AC4825">
        <v>3</v>
      </c>
      <c r="AD4825">
        <v>0</v>
      </c>
      <c r="AE4825">
        <v>9</v>
      </c>
      <c r="AF4825" t="s">
        <v>138</v>
      </c>
      <c r="AG4825">
        <v>0</v>
      </c>
      <c r="AH4825">
        <v>3</v>
      </c>
      <c r="AI4825">
        <v>1</v>
      </c>
      <c r="AJ4825">
        <v>0</v>
      </c>
      <c r="AK4825" t="s">
        <v>1507</v>
      </c>
      <c r="AL4825">
        <v>32.710419000000002</v>
      </c>
      <c r="AM4825" t="s">
        <v>1508</v>
      </c>
      <c r="AN4825">
        <v>-116.75698800000001</v>
      </c>
      <c r="AO4825">
        <v>25</v>
      </c>
      <c r="AP4825">
        <v>3600</v>
      </c>
      <c r="AQ4825" t="s">
        <v>129</v>
      </c>
      <c r="AR4825">
        <v>-151</v>
      </c>
      <c r="AS4825">
        <v>-106</v>
      </c>
      <c r="AT4825">
        <v>-1920</v>
      </c>
      <c r="BB4825">
        <v>1200</v>
      </c>
      <c r="BC4825">
        <v>1</v>
      </c>
      <c r="BD4825" t="str">
        <f t="shared" si="1779"/>
        <v xml:space="preserve">N887QR  </v>
      </c>
      <c r="BE4825">
        <v>1</v>
      </c>
      <c r="BG4825">
        <v>0</v>
      </c>
      <c r="BH4825">
        <v>0</v>
      </c>
      <c r="BI4825">
        <v>0</v>
      </c>
      <c r="BJ4825">
        <v>3100</v>
      </c>
      <c r="BK4825">
        <v>-500</v>
      </c>
      <c r="BL4825" t="s">
        <v>163</v>
      </c>
      <c r="BM4825">
        <v>1</v>
      </c>
      <c r="BN4825">
        <v>1</v>
      </c>
      <c r="BO4825">
        <v>1</v>
      </c>
      <c r="BP4825">
        <v>0</v>
      </c>
      <c r="BS4825">
        <v>0</v>
      </c>
      <c r="BT4825">
        <v>0</v>
      </c>
      <c r="BU4825">
        <v>0</v>
      </c>
      <c r="CE4825" t="str">
        <f t="shared" si="1786"/>
        <v>19:38:26.479</v>
      </c>
      <c r="CF4825">
        <v>479456644</v>
      </c>
      <c r="CS4825">
        <v>0</v>
      </c>
      <c r="CT4825">
        <v>2</v>
      </c>
      <c r="CU4825">
        <v>0</v>
      </c>
      <c r="CV4825">
        <v>2</v>
      </c>
      <c r="CW4825">
        <v>0</v>
      </c>
      <c r="CX4825">
        <v>4</v>
      </c>
      <c r="CY4825">
        <v>7</v>
      </c>
      <c r="CZ4825" t="s">
        <v>131</v>
      </c>
      <c r="DA4825">
        <v>300</v>
      </c>
      <c r="DB4825">
        <v>0</v>
      </c>
      <c r="DC4825" t="s">
        <v>176</v>
      </c>
      <c r="DD4825" t="s">
        <v>177</v>
      </c>
      <c r="DG4825">
        <v>5473299</v>
      </c>
      <c r="DI4825">
        <v>1</v>
      </c>
      <c r="DJ4825">
        <v>0</v>
      </c>
      <c r="DK4825">
        <v>1</v>
      </c>
      <c r="DL4825">
        <v>0</v>
      </c>
      <c r="DM4825">
        <v>0</v>
      </c>
      <c r="DN4825">
        <v>1</v>
      </c>
      <c r="DO4825">
        <v>0</v>
      </c>
      <c r="DP4825">
        <v>0</v>
      </c>
      <c r="DQ4825">
        <v>0</v>
      </c>
      <c r="DR4825">
        <v>0</v>
      </c>
      <c r="DS4825">
        <v>0</v>
      </c>
    </row>
    <row r="4826" spans="1:123" x14ac:dyDescent="0.3">
      <c r="A4826" t="str">
        <f t="shared" si="1787"/>
        <v>10/04/2022 19:38:26.771</v>
      </c>
      <c r="C4826" t="str">
        <f t="shared" si="1769"/>
        <v>FFDFD3C0</v>
      </c>
      <c r="D4826" t="s">
        <v>141</v>
      </c>
      <c r="E4826">
        <v>3</v>
      </c>
      <c r="H4826">
        <v>3</v>
      </c>
      <c r="I4826" t="s">
        <v>146</v>
      </c>
      <c r="J4826" t="s">
        <v>138</v>
      </c>
      <c r="K4826">
        <v>0</v>
      </c>
      <c r="L4826">
        <v>3</v>
      </c>
      <c r="M4826">
        <v>0</v>
      </c>
      <c r="N4826">
        <v>2</v>
      </c>
      <c r="O4826">
        <v>0</v>
      </c>
      <c r="P4826">
        <v>1</v>
      </c>
      <c r="Q4826">
        <v>0</v>
      </c>
      <c r="S4826" t="str">
        <f t="shared" si="1785"/>
        <v>19:38:26.000</v>
      </c>
      <c r="T4826" t="str">
        <f t="shared" si="1785"/>
        <v>19:38:26.000</v>
      </c>
      <c r="U4826" t="str">
        <f t="shared" si="1778"/>
        <v>AC3944</v>
      </c>
      <c r="V4826">
        <v>0</v>
      </c>
      <c r="W4826">
        <v>0</v>
      </c>
      <c r="X4826">
        <v>2</v>
      </c>
      <c r="Y4826">
        <v>0</v>
      </c>
      <c r="AA4826">
        <v>1</v>
      </c>
      <c r="AB4826">
        <v>8</v>
      </c>
      <c r="AC4826">
        <v>3</v>
      </c>
      <c r="AD4826">
        <v>0</v>
      </c>
      <c r="AE4826">
        <v>9</v>
      </c>
      <c r="AF4826" t="s">
        <v>138</v>
      </c>
      <c r="AG4826">
        <v>0</v>
      </c>
      <c r="AH4826">
        <v>3</v>
      </c>
      <c r="AI4826">
        <v>1</v>
      </c>
      <c r="AJ4826">
        <v>0</v>
      </c>
      <c r="AK4826" t="s">
        <v>1507</v>
      </c>
      <c r="AL4826">
        <v>32.710419000000002</v>
      </c>
      <c r="AM4826" t="s">
        <v>1508</v>
      </c>
      <c r="AN4826">
        <v>-116.75698800000001</v>
      </c>
      <c r="AO4826">
        <v>25</v>
      </c>
      <c r="AP4826">
        <v>3600</v>
      </c>
      <c r="AQ4826" t="s">
        <v>129</v>
      </c>
      <c r="AR4826">
        <v>-151</v>
      </c>
      <c r="AS4826">
        <v>-106</v>
      </c>
      <c r="AT4826">
        <v>-1920</v>
      </c>
      <c r="BB4826">
        <v>1200</v>
      </c>
      <c r="BC4826">
        <v>1</v>
      </c>
      <c r="BD4826" t="str">
        <f t="shared" si="1779"/>
        <v xml:space="preserve">N887QR  </v>
      </c>
      <c r="BE4826">
        <v>1</v>
      </c>
      <c r="BG4826">
        <v>0</v>
      </c>
      <c r="BH4826">
        <v>0</v>
      </c>
      <c r="BI4826">
        <v>0</v>
      </c>
      <c r="BJ4826">
        <v>3100</v>
      </c>
      <c r="BK4826">
        <v>-500</v>
      </c>
      <c r="BL4826" t="s">
        <v>163</v>
      </c>
      <c r="BM4826">
        <v>1</v>
      </c>
      <c r="BN4826">
        <v>1</v>
      </c>
      <c r="BO4826">
        <v>1</v>
      </c>
      <c r="BP4826">
        <v>0</v>
      </c>
      <c r="BS4826">
        <v>0</v>
      </c>
      <c r="BT4826">
        <v>0</v>
      </c>
      <c r="BU4826">
        <v>0</v>
      </c>
      <c r="CE4826" t="str">
        <f t="shared" si="1786"/>
        <v>19:38:26.479</v>
      </c>
      <c r="CF4826">
        <v>479456644</v>
      </c>
      <c r="CS4826">
        <v>0</v>
      </c>
      <c r="CT4826">
        <v>2</v>
      </c>
      <c r="CU4826">
        <v>0</v>
      </c>
      <c r="CV4826">
        <v>2</v>
      </c>
      <c r="CW4826">
        <v>0</v>
      </c>
      <c r="CX4826">
        <v>4</v>
      </c>
      <c r="CY4826">
        <v>7</v>
      </c>
      <c r="CZ4826" t="s">
        <v>131</v>
      </c>
      <c r="DA4826">
        <v>300</v>
      </c>
      <c r="DB4826">
        <v>0</v>
      </c>
      <c r="DC4826" t="s">
        <v>176</v>
      </c>
      <c r="DD4826" t="s">
        <v>177</v>
      </c>
      <c r="DG4826">
        <v>5473299</v>
      </c>
      <c r="DI4826">
        <v>1</v>
      </c>
      <c r="DJ4826">
        <v>0</v>
      </c>
      <c r="DK4826">
        <v>1</v>
      </c>
      <c r="DL4826">
        <v>0</v>
      </c>
      <c r="DM4826">
        <v>0</v>
      </c>
      <c r="DN4826">
        <v>1</v>
      </c>
      <c r="DO4826">
        <v>0</v>
      </c>
      <c r="DP4826">
        <v>0</v>
      </c>
      <c r="DQ4826">
        <v>0</v>
      </c>
      <c r="DR4826">
        <v>0</v>
      </c>
      <c r="DS4826">
        <v>0</v>
      </c>
    </row>
    <row r="4827" spans="1:123" x14ac:dyDescent="0.3">
      <c r="A4827" t="str">
        <f t="shared" ref="A4827:A4833" si="1788">"10/04/2022 19:38:27.323"</f>
        <v>10/04/2022 19:38:27.323</v>
      </c>
      <c r="C4827" t="str">
        <f t="shared" si="1769"/>
        <v>FFDFD3C0</v>
      </c>
      <c r="D4827" t="s">
        <v>141</v>
      </c>
      <c r="E4827">
        <v>4</v>
      </c>
      <c r="H4827">
        <v>4</v>
      </c>
      <c r="I4827" t="s">
        <v>142</v>
      </c>
      <c r="J4827" t="s">
        <v>138</v>
      </c>
      <c r="K4827">
        <v>0</v>
      </c>
      <c r="L4827">
        <v>3</v>
      </c>
      <c r="M4827">
        <v>0</v>
      </c>
      <c r="N4827">
        <v>2</v>
      </c>
      <c r="O4827">
        <v>0</v>
      </c>
      <c r="P4827">
        <v>1</v>
      </c>
      <c r="Q4827">
        <v>0</v>
      </c>
      <c r="S4827" t="str">
        <f t="shared" ref="S4827:T4833" si="1789">"19:38:27.000"</f>
        <v>19:38:27.000</v>
      </c>
      <c r="T4827" t="str">
        <f t="shared" si="1789"/>
        <v>19:38:27.000</v>
      </c>
      <c r="U4827" t="str">
        <f t="shared" si="1778"/>
        <v>AC3944</v>
      </c>
      <c r="V4827">
        <v>0</v>
      </c>
      <c r="W4827">
        <v>0</v>
      </c>
      <c r="X4827">
        <v>2</v>
      </c>
      <c r="Y4827">
        <v>0</v>
      </c>
      <c r="AA4827">
        <v>1</v>
      </c>
      <c r="AB4827">
        <v>8</v>
      </c>
      <c r="AC4827">
        <v>3</v>
      </c>
      <c r="AD4827">
        <v>0</v>
      </c>
      <c r="AE4827">
        <v>9</v>
      </c>
      <c r="AF4827" t="s">
        <v>138</v>
      </c>
      <c r="AG4827">
        <v>0</v>
      </c>
      <c r="AH4827">
        <v>3</v>
      </c>
      <c r="AI4827">
        <v>1</v>
      </c>
      <c r="AJ4827">
        <v>0</v>
      </c>
      <c r="AK4827" t="s">
        <v>1509</v>
      </c>
      <c r="AL4827">
        <v>32.709924999999998</v>
      </c>
      <c r="AM4827" t="s">
        <v>1510</v>
      </c>
      <c r="AN4827">
        <v>-116.757824</v>
      </c>
      <c r="AO4827">
        <v>25</v>
      </c>
      <c r="AP4827">
        <v>3600</v>
      </c>
      <c r="AQ4827" t="s">
        <v>129</v>
      </c>
      <c r="AR4827">
        <v>-151</v>
      </c>
      <c r="AS4827">
        <v>-107</v>
      </c>
      <c r="AT4827">
        <v>-1920</v>
      </c>
      <c r="BB4827">
        <v>1200</v>
      </c>
      <c r="BC4827">
        <v>1</v>
      </c>
      <c r="BD4827" t="str">
        <f t="shared" si="1779"/>
        <v xml:space="preserve">N887QR  </v>
      </c>
      <c r="BE4827">
        <v>1</v>
      </c>
      <c r="BG4827">
        <v>0</v>
      </c>
      <c r="BH4827">
        <v>0</v>
      </c>
      <c r="BI4827">
        <v>0</v>
      </c>
      <c r="BJ4827">
        <v>3100</v>
      </c>
      <c r="BK4827">
        <v>-500</v>
      </c>
      <c r="BL4827" t="s">
        <v>163</v>
      </c>
      <c r="BM4827">
        <v>1</v>
      </c>
      <c r="BN4827">
        <v>1</v>
      </c>
      <c r="BO4827">
        <v>1</v>
      </c>
      <c r="BP4827">
        <v>0</v>
      </c>
      <c r="BS4827">
        <v>0</v>
      </c>
      <c r="BT4827">
        <v>0</v>
      </c>
      <c r="BU4827">
        <v>0</v>
      </c>
      <c r="CE4827" t="str">
        <f t="shared" ref="CE4827:CE4833" si="1790">"19:38:27.050"</f>
        <v>19:38:27.050</v>
      </c>
      <c r="CF4827">
        <v>49708537</v>
      </c>
      <c r="CS4827">
        <v>0</v>
      </c>
      <c r="CT4827">
        <v>2</v>
      </c>
      <c r="CU4827">
        <v>0</v>
      </c>
      <c r="CV4827">
        <v>2</v>
      </c>
      <c r="CW4827">
        <v>0</v>
      </c>
      <c r="CX4827">
        <v>4</v>
      </c>
      <c r="CY4827">
        <v>7</v>
      </c>
      <c r="CZ4827" t="s">
        <v>131</v>
      </c>
      <c r="DA4827">
        <v>300</v>
      </c>
      <c r="DB4827">
        <v>0</v>
      </c>
      <c r="DC4827" t="s">
        <v>176</v>
      </c>
      <c r="DD4827" t="s">
        <v>177</v>
      </c>
      <c r="DG4827">
        <v>5473393</v>
      </c>
      <c r="DI4827">
        <v>1</v>
      </c>
      <c r="DJ4827">
        <v>0</v>
      </c>
      <c r="DK4827">
        <v>0</v>
      </c>
      <c r="DL4827">
        <v>0</v>
      </c>
      <c r="DM4827">
        <v>0</v>
      </c>
      <c r="DN4827">
        <v>1</v>
      </c>
      <c r="DO4827">
        <v>0</v>
      </c>
      <c r="DP4827">
        <v>0</v>
      </c>
      <c r="DQ4827">
        <v>0</v>
      </c>
      <c r="DR4827">
        <v>0</v>
      </c>
      <c r="DS4827">
        <v>0</v>
      </c>
    </row>
    <row r="4828" spans="1:123" x14ac:dyDescent="0.3">
      <c r="A4828" t="str">
        <f t="shared" si="1788"/>
        <v>10/04/2022 19:38:27.323</v>
      </c>
      <c r="C4828" t="str">
        <f t="shared" si="1769"/>
        <v>FFDFD3C0</v>
      </c>
      <c r="D4828" t="s">
        <v>147</v>
      </c>
      <c r="E4828">
        <v>3</v>
      </c>
      <c r="H4828">
        <v>166</v>
      </c>
      <c r="I4828" t="s">
        <v>144</v>
      </c>
      <c r="J4828" t="s">
        <v>148</v>
      </c>
      <c r="K4828">
        <v>0</v>
      </c>
      <c r="L4828">
        <v>3</v>
      </c>
      <c r="M4828">
        <v>0</v>
      </c>
      <c r="N4828">
        <v>2</v>
      </c>
      <c r="O4828">
        <v>0</v>
      </c>
      <c r="P4828">
        <v>1</v>
      </c>
      <c r="Q4828">
        <v>0</v>
      </c>
      <c r="S4828" t="str">
        <f t="shared" si="1789"/>
        <v>19:38:27.000</v>
      </c>
      <c r="T4828" t="str">
        <f t="shared" si="1789"/>
        <v>19:38:27.000</v>
      </c>
      <c r="U4828" t="str">
        <f t="shared" si="1778"/>
        <v>AC3944</v>
      </c>
      <c r="V4828">
        <v>0</v>
      </c>
      <c r="W4828">
        <v>0</v>
      </c>
      <c r="X4828">
        <v>2</v>
      </c>
      <c r="Y4828">
        <v>0</v>
      </c>
      <c r="AA4828">
        <v>1</v>
      </c>
      <c r="AB4828">
        <v>8</v>
      </c>
      <c r="AC4828">
        <v>3</v>
      </c>
      <c r="AD4828">
        <v>0</v>
      </c>
      <c r="AE4828">
        <v>9</v>
      </c>
      <c r="AF4828" t="s">
        <v>138</v>
      </c>
      <c r="AG4828">
        <v>0</v>
      </c>
      <c r="AH4828">
        <v>3</v>
      </c>
      <c r="AI4828">
        <v>1</v>
      </c>
      <c r="AJ4828">
        <v>0</v>
      </c>
      <c r="AK4828" t="s">
        <v>1509</v>
      </c>
      <c r="AL4828">
        <v>32.709924999999998</v>
      </c>
      <c r="AM4828" t="s">
        <v>1510</v>
      </c>
      <c r="AN4828">
        <v>-116.757824</v>
      </c>
      <c r="AO4828">
        <v>25</v>
      </c>
      <c r="AP4828">
        <v>3600</v>
      </c>
      <c r="AQ4828" t="s">
        <v>129</v>
      </c>
      <c r="AR4828">
        <v>-151</v>
      </c>
      <c r="AS4828">
        <v>-107</v>
      </c>
      <c r="AT4828">
        <v>-1920</v>
      </c>
      <c r="BB4828">
        <v>1200</v>
      </c>
      <c r="BC4828">
        <v>1</v>
      </c>
      <c r="BD4828" t="str">
        <f t="shared" si="1779"/>
        <v xml:space="preserve">N887QR  </v>
      </c>
      <c r="BE4828">
        <v>1</v>
      </c>
      <c r="BG4828">
        <v>0</v>
      </c>
      <c r="BH4828">
        <v>0</v>
      </c>
      <c r="BI4828">
        <v>0</v>
      </c>
      <c r="BJ4828">
        <v>3100</v>
      </c>
      <c r="BK4828">
        <v>-500</v>
      </c>
      <c r="BL4828" t="s">
        <v>163</v>
      </c>
      <c r="BM4828">
        <v>1</v>
      </c>
      <c r="BN4828">
        <v>1</v>
      </c>
      <c r="BO4828">
        <v>1</v>
      </c>
      <c r="BP4828">
        <v>0</v>
      </c>
      <c r="BS4828">
        <v>0</v>
      </c>
      <c r="BT4828">
        <v>0</v>
      </c>
      <c r="BU4828">
        <v>0</v>
      </c>
      <c r="CE4828" t="str">
        <f t="shared" si="1790"/>
        <v>19:38:27.050</v>
      </c>
      <c r="CF4828">
        <v>49708537</v>
      </c>
      <c r="CS4828">
        <v>0</v>
      </c>
      <c r="CT4828">
        <v>2</v>
      </c>
      <c r="CU4828">
        <v>0</v>
      </c>
      <c r="CV4828">
        <v>2</v>
      </c>
      <c r="CW4828">
        <v>0</v>
      </c>
      <c r="CX4828">
        <v>4</v>
      </c>
      <c r="CY4828">
        <v>7</v>
      </c>
      <c r="CZ4828" t="s">
        <v>131</v>
      </c>
      <c r="DA4828">
        <v>300</v>
      </c>
      <c r="DB4828">
        <v>0</v>
      </c>
      <c r="DC4828" t="s">
        <v>176</v>
      </c>
      <c r="DD4828" t="s">
        <v>177</v>
      </c>
      <c r="DG4828">
        <v>5473393</v>
      </c>
      <c r="DI4828">
        <v>1</v>
      </c>
      <c r="DJ4828">
        <v>0</v>
      </c>
      <c r="DK4828">
        <v>1</v>
      </c>
      <c r="DL4828">
        <v>0</v>
      </c>
      <c r="DM4828">
        <v>0</v>
      </c>
      <c r="DN4828">
        <v>1</v>
      </c>
      <c r="DO4828">
        <v>0</v>
      </c>
      <c r="DP4828">
        <v>0</v>
      </c>
      <c r="DQ4828">
        <v>0</v>
      </c>
      <c r="DR4828">
        <v>0</v>
      </c>
      <c r="DS4828">
        <v>0</v>
      </c>
    </row>
    <row r="4829" spans="1:123" x14ac:dyDescent="0.3">
      <c r="A4829" t="str">
        <f t="shared" si="1788"/>
        <v>10/04/2022 19:38:27.323</v>
      </c>
      <c r="C4829" t="str">
        <f t="shared" si="1769"/>
        <v>FFDFD3C0</v>
      </c>
      <c r="D4829" t="s">
        <v>143</v>
      </c>
      <c r="E4829">
        <v>20</v>
      </c>
      <c r="F4829">
        <v>1020</v>
      </c>
      <c r="G4829" t="s">
        <v>144</v>
      </c>
      <c r="J4829" t="s">
        <v>145</v>
      </c>
      <c r="K4829">
        <v>0</v>
      </c>
      <c r="L4829">
        <v>3</v>
      </c>
      <c r="M4829">
        <v>0</v>
      </c>
      <c r="N4829">
        <v>2</v>
      </c>
      <c r="O4829">
        <v>0</v>
      </c>
      <c r="P4829">
        <v>1</v>
      </c>
      <c r="Q4829">
        <v>0</v>
      </c>
      <c r="S4829" t="str">
        <f t="shared" si="1789"/>
        <v>19:38:27.000</v>
      </c>
      <c r="T4829" t="str">
        <f t="shared" si="1789"/>
        <v>19:38:27.000</v>
      </c>
      <c r="U4829" t="str">
        <f t="shared" si="1778"/>
        <v>AC3944</v>
      </c>
      <c r="V4829">
        <v>0</v>
      </c>
      <c r="W4829">
        <v>0</v>
      </c>
      <c r="X4829">
        <v>2</v>
      </c>
      <c r="Y4829">
        <v>0</v>
      </c>
      <c r="AA4829">
        <v>1</v>
      </c>
      <c r="AB4829">
        <v>8</v>
      </c>
      <c r="AC4829">
        <v>3</v>
      </c>
      <c r="AD4829">
        <v>0</v>
      </c>
      <c r="AE4829">
        <v>9</v>
      </c>
      <c r="AF4829" t="s">
        <v>138</v>
      </c>
      <c r="AG4829">
        <v>0</v>
      </c>
      <c r="AH4829">
        <v>3</v>
      </c>
      <c r="AI4829">
        <v>1</v>
      </c>
      <c r="AJ4829">
        <v>0</v>
      </c>
      <c r="AK4829" t="s">
        <v>1509</v>
      </c>
      <c r="AL4829">
        <v>32.709924999999998</v>
      </c>
      <c r="AM4829" t="s">
        <v>1510</v>
      </c>
      <c r="AN4829">
        <v>-116.757824</v>
      </c>
      <c r="AO4829">
        <v>25</v>
      </c>
      <c r="AP4829">
        <v>3600</v>
      </c>
      <c r="AQ4829" t="s">
        <v>129</v>
      </c>
      <c r="AR4829">
        <v>-151</v>
      </c>
      <c r="AS4829">
        <v>-107</v>
      </c>
      <c r="AT4829">
        <v>-1920</v>
      </c>
      <c r="BB4829">
        <v>1200</v>
      </c>
      <c r="BC4829">
        <v>1</v>
      </c>
      <c r="BD4829" t="str">
        <f t="shared" si="1779"/>
        <v xml:space="preserve">N887QR  </v>
      </c>
      <c r="BE4829">
        <v>1</v>
      </c>
      <c r="BG4829">
        <v>0</v>
      </c>
      <c r="BH4829">
        <v>0</v>
      </c>
      <c r="BI4829">
        <v>0</v>
      </c>
      <c r="BJ4829">
        <v>3100</v>
      </c>
      <c r="BK4829">
        <v>-500</v>
      </c>
      <c r="BL4829" t="s">
        <v>163</v>
      </c>
      <c r="BM4829">
        <v>1</v>
      </c>
      <c r="BN4829">
        <v>1</v>
      </c>
      <c r="BO4829">
        <v>1</v>
      </c>
      <c r="BP4829">
        <v>0</v>
      </c>
      <c r="BS4829">
        <v>0</v>
      </c>
      <c r="BT4829">
        <v>0</v>
      </c>
      <c r="BU4829">
        <v>0</v>
      </c>
      <c r="CE4829" t="str">
        <f t="shared" si="1790"/>
        <v>19:38:27.050</v>
      </c>
      <c r="CF4829">
        <v>49708537</v>
      </c>
      <c r="CS4829">
        <v>0</v>
      </c>
      <c r="CT4829">
        <v>2</v>
      </c>
      <c r="CU4829">
        <v>0</v>
      </c>
      <c r="CV4829">
        <v>2</v>
      </c>
      <c r="CW4829">
        <v>0</v>
      </c>
      <c r="CX4829">
        <v>4</v>
      </c>
      <c r="CY4829">
        <v>7</v>
      </c>
      <c r="CZ4829" t="s">
        <v>131</v>
      </c>
      <c r="DA4829">
        <v>300</v>
      </c>
      <c r="DB4829">
        <v>0</v>
      </c>
      <c r="DC4829" t="s">
        <v>176</v>
      </c>
      <c r="DD4829" t="s">
        <v>177</v>
      </c>
      <c r="DG4829">
        <v>5473393</v>
      </c>
      <c r="DI4829">
        <v>1</v>
      </c>
      <c r="DJ4829">
        <v>0</v>
      </c>
      <c r="DK4829">
        <v>1</v>
      </c>
      <c r="DL4829">
        <v>0</v>
      </c>
      <c r="DM4829">
        <v>0</v>
      </c>
      <c r="DN4829">
        <v>1</v>
      </c>
      <c r="DO4829">
        <v>0</v>
      </c>
      <c r="DP4829">
        <v>0</v>
      </c>
      <c r="DQ4829">
        <v>0</v>
      </c>
      <c r="DR4829">
        <v>0</v>
      </c>
      <c r="DS4829">
        <v>0</v>
      </c>
    </row>
    <row r="4830" spans="1:123" x14ac:dyDescent="0.3">
      <c r="A4830" t="str">
        <f t="shared" si="1788"/>
        <v>10/04/2022 19:38:27.323</v>
      </c>
      <c r="C4830" t="str">
        <f t="shared" si="1769"/>
        <v>FFDFD3C0</v>
      </c>
      <c r="D4830" t="s">
        <v>134</v>
      </c>
      <c r="E4830">
        <v>15</v>
      </c>
      <c r="J4830" t="s">
        <v>135</v>
      </c>
      <c r="K4830">
        <v>0</v>
      </c>
      <c r="L4830">
        <v>3</v>
      </c>
      <c r="M4830">
        <v>0</v>
      </c>
      <c r="N4830">
        <v>2</v>
      </c>
      <c r="O4830">
        <v>0</v>
      </c>
      <c r="P4830">
        <v>1</v>
      </c>
      <c r="Q4830">
        <v>0</v>
      </c>
      <c r="S4830" t="str">
        <f t="shared" si="1789"/>
        <v>19:38:27.000</v>
      </c>
      <c r="T4830" t="str">
        <f t="shared" si="1789"/>
        <v>19:38:27.000</v>
      </c>
      <c r="U4830" t="str">
        <f t="shared" si="1778"/>
        <v>AC3944</v>
      </c>
      <c r="V4830">
        <v>0</v>
      </c>
      <c r="W4830">
        <v>0</v>
      </c>
      <c r="X4830">
        <v>2</v>
      </c>
      <c r="Y4830">
        <v>0</v>
      </c>
      <c r="AA4830">
        <v>1</v>
      </c>
      <c r="AB4830">
        <v>8</v>
      </c>
      <c r="AC4830">
        <v>3</v>
      </c>
      <c r="AD4830">
        <v>0</v>
      </c>
      <c r="AE4830">
        <v>9</v>
      </c>
      <c r="AF4830" t="s">
        <v>138</v>
      </c>
      <c r="AG4830">
        <v>0</v>
      </c>
      <c r="AH4830">
        <v>3</v>
      </c>
      <c r="AI4830">
        <v>1</v>
      </c>
      <c r="AJ4830">
        <v>0</v>
      </c>
      <c r="AK4830" t="s">
        <v>1509</v>
      </c>
      <c r="AL4830">
        <v>32.709924999999998</v>
      </c>
      <c r="AM4830" t="s">
        <v>1510</v>
      </c>
      <c r="AN4830">
        <v>-116.757824</v>
      </c>
      <c r="AO4830">
        <v>25</v>
      </c>
      <c r="AP4830">
        <v>3600</v>
      </c>
      <c r="AQ4830" t="s">
        <v>129</v>
      </c>
      <c r="AR4830">
        <v>-151</v>
      </c>
      <c r="AS4830">
        <v>-107</v>
      </c>
      <c r="AT4830">
        <v>-1920</v>
      </c>
      <c r="BB4830">
        <v>1200</v>
      </c>
      <c r="BC4830">
        <v>1</v>
      </c>
      <c r="BD4830" t="str">
        <f t="shared" si="1779"/>
        <v xml:space="preserve">N887QR  </v>
      </c>
      <c r="BE4830">
        <v>1</v>
      </c>
      <c r="BG4830">
        <v>0</v>
      </c>
      <c r="BH4830">
        <v>0</v>
      </c>
      <c r="BI4830">
        <v>0</v>
      </c>
      <c r="BJ4830">
        <v>3100</v>
      </c>
      <c r="BK4830">
        <v>-500</v>
      </c>
      <c r="BL4830" t="s">
        <v>163</v>
      </c>
      <c r="BM4830">
        <v>1</v>
      </c>
      <c r="BN4830">
        <v>1</v>
      </c>
      <c r="BO4830">
        <v>1</v>
      </c>
      <c r="BP4830">
        <v>0</v>
      </c>
      <c r="BS4830">
        <v>0</v>
      </c>
      <c r="BT4830">
        <v>0</v>
      </c>
      <c r="BU4830">
        <v>0</v>
      </c>
      <c r="CE4830" t="str">
        <f t="shared" si="1790"/>
        <v>19:38:27.050</v>
      </c>
      <c r="CF4830">
        <v>49708537</v>
      </c>
      <c r="CS4830">
        <v>0</v>
      </c>
      <c r="CT4830">
        <v>2</v>
      </c>
      <c r="CU4830">
        <v>0</v>
      </c>
      <c r="CV4830">
        <v>2</v>
      </c>
      <c r="CW4830">
        <v>0</v>
      </c>
      <c r="CX4830">
        <v>4</v>
      </c>
      <c r="CY4830">
        <v>7</v>
      </c>
      <c r="CZ4830" t="s">
        <v>131</v>
      </c>
      <c r="DA4830">
        <v>300</v>
      </c>
      <c r="DB4830">
        <v>0</v>
      </c>
      <c r="DC4830" t="s">
        <v>176</v>
      </c>
      <c r="DD4830" t="s">
        <v>177</v>
      </c>
      <c r="DG4830">
        <v>5473393</v>
      </c>
      <c r="DI4830">
        <v>1</v>
      </c>
      <c r="DJ4830">
        <v>0</v>
      </c>
      <c r="DK4830">
        <v>1</v>
      </c>
      <c r="DL4830">
        <v>0</v>
      </c>
      <c r="DM4830">
        <v>0</v>
      </c>
      <c r="DN4830">
        <v>1</v>
      </c>
      <c r="DO4830">
        <v>0</v>
      </c>
      <c r="DP4830">
        <v>0</v>
      </c>
      <c r="DQ4830">
        <v>0</v>
      </c>
      <c r="DR4830">
        <v>0</v>
      </c>
      <c r="DS4830">
        <v>0</v>
      </c>
    </row>
    <row r="4831" spans="1:123" x14ac:dyDescent="0.3">
      <c r="A4831" t="str">
        <f t="shared" si="1788"/>
        <v>10/04/2022 19:38:27.323</v>
      </c>
      <c r="C4831" t="str">
        <f t="shared" si="1769"/>
        <v>FFDFD3C0</v>
      </c>
      <c r="D4831" t="s">
        <v>123</v>
      </c>
      <c r="E4831">
        <v>7</v>
      </c>
      <c r="F4831">
        <v>2007</v>
      </c>
      <c r="G4831" t="s">
        <v>124</v>
      </c>
      <c r="J4831" t="s">
        <v>125</v>
      </c>
      <c r="K4831">
        <v>0</v>
      </c>
      <c r="L4831">
        <v>3</v>
      </c>
      <c r="M4831">
        <v>0</v>
      </c>
      <c r="N4831">
        <v>2</v>
      </c>
      <c r="O4831">
        <v>0</v>
      </c>
      <c r="P4831">
        <v>1</v>
      </c>
      <c r="Q4831">
        <v>0</v>
      </c>
      <c r="S4831" t="str">
        <f t="shared" si="1789"/>
        <v>19:38:27.000</v>
      </c>
      <c r="T4831" t="str">
        <f t="shared" si="1789"/>
        <v>19:38:27.000</v>
      </c>
      <c r="U4831" t="str">
        <f t="shared" si="1778"/>
        <v>AC3944</v>
      </c>
      <c r="V4831">
        <v>0</v>
      </c>
      <c r="W4831">
        <v>0</v>
      </c>
      <c r="X4831">
        <v>2</v>
      </c>
      <c r="Y4831">
        <v>0</v>
      </c>
      <c r="AA4831">
        <v>1</v>
      </c>
      <c r="AB4831">
        <v>8</v>
      </c>
      <c r="AC4831">
        <v>3</v>
      </c>
      <c r="AD4831">
        <v>0</v>
      </c>
      <c r="AE4831">
        <v>9</v>
      </c>
      <c r="AF4831" t="s">
        <v>138</v>
      </c>
      <c r="AG4831">
        <v>0</v>
      </c>
      <c r="AH4831">
        <v>3</v>
      </c>
      <c r="AI4831">
        <v>1</v>
      </c>
      <c r="AJ4831">
        <v>0</v>
      </c>
      <c r="AK4831" t="s">
        <v>1509</v>
      </c>
      <c r="AL4831">
        <v>32.709924999999998</v>
      </c>
      <c r="AM4831" t="s">
        <v>1510</v>
      </c>
      <c r="AN4831">
        <v>-116.757824</v>
      </c>
      <c r="AO4831">
        <v>25</v>
      </c>
      <c r="AP4831">
        <v>3600</v>
      </c>
      <c r="AQ4831" t="s">
        <v>129</v>
      </c>
      <c r="AR4831">
        <v>-151</v>
      </c>
      <c r="AS4831">
        <v>-107</v>
      </c>
      <c r="AT4831">
        <v>-1920</v>
      </c>
      <c r="BB4831">
        <v>1200</v>
      </c>
      <c r="BC4831">
        <v>1</v>
      </c>
      <c r="BD4831" t="str">
        <f t="shared" si="1779"/>
        <v xml:space="preserve">N887QR  </v>
      </c>
      <c r="BE4831">
        <v>1</v>
      </c>
      <c r="BG4831">
        <v>0</v>
      </c>
      <c r="BH4831">
        <v>0</v>
      </c>
      <c r="BI4831">
        <v>0</v>
      </c>
      <c r="BJ4831">
        <v>3100</v>
      </c>
      <c r="BK4831">
        <v>-500</v>
      </c>
      <c r="BL4831" t="s">
        <v>163</v>
      </c>
      <c r="BM4831">
        <v>1</v>
      </c>
      <c r="BN4831">
        <v>1</v>
      </c>
      <c r="BO4831">
        <v>1</v>
      </c>
      <c r="BP4831">
        <v>0</v>
      </c>
      <c r="BS4831">
        <v>0</v>
      </c>
      <c r="BT4831">
        <v>0</v>
      </c>
      <c r="BU4831">
        <v>0</v>
      </c>
      <c r="CE4831" t="str">
        <f t="shared" si="1790"/>
        <v>19:38:27.050</v>
      </c>
      <c r="CF4831">
        <v>49708537</v>
      </c>
      <c r="CS4831">
        <v>0</v>
      </c>
      <c r="CT4831">
        <v>2</v>
      </c>
      <c r="CU4831">
        <v>0</v>
      </c>
      <c r="CV4831">
        <v>2</v>
      </c>
      <c r="CW4831">
        <v>0</v>
      </c>
      <c r="CX4831">
        <v>4</v>
      </c>
      <c r="CY4831">
        <v>7</v>
      </c>
      <c r="CZ4831" t="s">
        <v>131</v>
      </c>
      <c r="DA4831">
        <v>300</v>
      </c>
      <c r="DB4831">
        <v>0</v>
      </c>
      <c r="DC4831" t="s">
        <v>176</v>
      </c>
      <c r="DD4831" t="s">
        <v>177</v>
      </c>
      <c r="DG4831">
        <v>5473393</v>
      </c>
      <c r="DI4831">
        <v>1</v>
      </c>
      <c r="DJ4831">
        <v>0</v>
      </c>
      <c r="DK4831">
        <v>1</v>
      </c>
      <c r="DL4831">
        <v>0</v>
      </c>
      <c r="DM4831">
        <v>0</v>
      </c>
      <c r="DN4831">
        <v>1</v>
      </c>
      <c r="DO4831">
        <v>0</v>
      </c>
      <c r="DP4831">
        <v>0</v>
      </c>
      <c r="DQ4831">
        <v>0</v>
      </c>
      <c r="DR4831">
        <v>0</v>
      </c>
      <c r="DS4831">
        <v>0</v>
      </c>
    </row>
    <row r="4832" spans="1:123" x14ac:dyDescent="0.3">
      <c r="A4832" t="str">
        <f t="shared" si="1788"/>
        <v>10/04/2022 19:38:27.323</v>
      </c>
      <c r="C4832" t="str">
        <f t="shared" si="1769"/>
        <v>FFDFD3C0</v>
      </c>
      <c r="D4832" t="s">
        <v>136</v>
      </c>
      <c r="E4832">
        <v>8</v>
      </c>
      <c r="H4832">
        <v>225</v>
      </c>
      <c r="I4832" t="s">
        <v>137</v>
      </c>
      <c r="J4832" t="s">
        <v>138</v>
      </c>
      <c r="K4832">
        <v>0</v>
      </c>
      <c r="L4832">
        <v>3</v>
      </c>
      <c r="M4832">
        <v>0</v>
      </c>
      <c r="N4832">
        <v>2</v>
      </c>
      <c r="O4832">
        <v>0</v>
      </c>
      <c r="P4832">
        <v>1</v>
      </c>
      <c r="Q4832">
        <v>0</v>
      </c>
      <c r="S4832" t="str">
        <f t="shared" si="1789"/>
        <v>19:38:27.000</v>
      </c>
      <c r="T4832" t="str">
        <f t="shared" si="1789"/>
        <v>19:38:27.000</v>
      </c>
      <c r="U4832" t="str">
        <f t="shared" si="1778"/>
        <v>AC3944</v>
      </c>
      <c r="V4832">
        <v>0</v>
      </c>
      <c r="W4832">
        <v>0</v>
      </c>
      <c r="X4832">
        <v>2</v>
      </c>
      <c r="Y4832">
        <v>0</v>
      </c>
      <c r="AA4832">
        <v>1</v>
      </c>
      <c r="AB4832">
        <v>8</v>
      </c>
      <c r="AC4832">
        <v>3</v>
      </c>
      <c r="AD4832">
        <v>0</v>
      </c>
      <c r="AE4832">
        <v>9</v>
      </c>
      <c r="AF4832" t="s">
        <v>138</v>
      </c>
      <c r="AG4832">
        <v>0</v>
      </c>
      <c r="AH4832">
        <v>3</v>
      </c>
      <c r="AI4832">
        <v>1</v>
      </c>
      <c r="AJ4832">
        <v>0</v>
      </c>
      <c r="AK4832" t="s">
        <v>1509</v>
      </c>
      <c r="AL4832">
        <v>32.709924999999998</v>
      </c>
      <c r="AM4832" t="s">
        <v>1510</v>
      </c>
      <c r="AN4832">
        <v>-116.757824</v>
      </c>
      <c r="AO4832">
        <v>25</v>
      </c>
      <c r="AP4832">
        <v>3600</v>
      </c>
      <c r="AQ4832" t="s">
        <v>129</v>
      </c>
      <c r="AR4832">
        <v>-151</v>
      </c>
      <c r="AS4832">
        <v>-107</v>
      </c>
      <c r="AT4832">
        <v>-1920</v>
      </c>
      <c r="BB4832">
        <v>1200</v>
      </c>
      <c r="BC4832">
        <v>1</v>
      </c>
      <c r="BD4832" t="str">
        <f t="shared" si="1779"/>
        <v xml:space="preserve">N887QR  </v>
      </c>
      <c r="BE4832">
        <v>1</v>
      </c>
      <c r="BG4832">
        <v>0</v>
      </c>
      <c r="BH4832">
        <v>0</v>
      </c>
      <c r="BI4832">
        <v>0</v>
      </c>
      <c r="BJ4832">
        <v>3100</v>
      </c>
      <c r="BK4832">
        <v>-500</v>
      </c>
      <c r="BL4832" t="s">
        <v>163</v>
      </c>
      <c r="BM4832">
        <v>1</v>
      </c>
      <c r="BN4832">
        <v>1</v>
      </c>
      <c r="BO4832">
        <v>1</v>
      </c>
      <c r="BP4832">
        <v>0</v>
      </c>
      <c r="BS4832">
        <v>0</v>
      </c>
      <c r="BT4832">
        <v>0</v>
      </c>
      <c r="BU4832">
        <v>0</v>
      </c>
      <c r="CE4832" t="str">
        <f t="shared" si="1790"/>
        <v>19:38:27.050</v>
      </c>
      <c r="CF4832">
        <v>49708537</v>
      </c>
      <c r="CS4832">
        <v>0</v>
      </c>
      <c r="CT4832">
        <v>2</v>
      </c>
      <c r="CU4832">
        <v>0</v>
      </c>
      <c r="CV4832">
        <v>2</v>
      </c>
      <c r="CW4832">
        <v>0</v>
      </c>
      <c r="CX4832">
        <v>4</v>
      </c>
      <c r="CY4832">
        <v>7</v>
      </c>
      <c r="CZ4832" t="s">
        <v>131</v>
      </c>
      <c r="DA4832">
        <v>300</v>
      </c>
      <c r="DB4832">
        <v>0</v>
      </c>
      <c r="DC4832" t="s">
        <v>176</v>
      </c>
      <c r="DD4832" t="s">
        <v>177</v>
      </c>
      <c r="DG4832">
        <v>5473393</v>
      </c>
      <c r="DI4832">
        <v>1</v>
      </c>
      <c r="DJ4832">
        <v>0</v>
      </c>
      <c r="DK4832">
        <v>1</v>
      </c>
      <c r="DL4832">
        <v>0</v>
      </c>
      <c r="DM4832">
        <v>0</v>
      </c>
      <c r="DN4832">
        <v>1</v>
      </c>
      <c r="DO4832">
        <v>0</v>
      </c>
      <c r="DP4832">
        <v>0</v>
      </c>
      <c r="DQ4832">
        <v>0</v>
      </c>
      <c r="DR4832">
        <v>0</v>
      </c>
      <c r="DS4832">
        <v>0</v>
      </c>
    </row>
    <row r="4833" spans="1:123" x14ac:dyDescent="0.3">
      <c r="A4833" t="str">
        <f t="shared" si="1788"/>
        <v>10/04/2022 19:38:27.323</v>
      </c>
      <c r="C4833" t="str">
        <f t="shared" si="1769"/>
        <v>FFDFD3C0</v>
      </c>
      <c r="D4833" t="s">
        <v>141</v>
      </c>
      <c r="E4833">
        <v>3</v>
      </c>
      <c r="H4833">
        <v>3</v>
      </c>
      <c r="I4833" t="s">
        <v>146</v>
      </c>
      <c r="J4833" t="s">
        <v>138</v>
      </c>
      <c r="K4833">
        <v>0</v>
      </c>
      <c r="L4833">
        <v>3</v>
      </c>
      <c r="M4833">
        <v>0</v>
      </c>
      <c r="N4833">
        <v>2</v>
      </c>
      <c r="O4833">
        <v>0</v>
      </c>
      <c r="P4833">
        <v>1</v>
      </c>
      <c r="Q4833">
        <v>0</v>
      </c>
      <c r="S4833" t="str">
        <f t="shared" si="1789"/>
        <v>19:38:27.000</v>
      </c>
      <c r="T4833" t="str">
        <f t="shared" si="1789"/>
        <v>19:38:27.000</v>
      </c>
      <c r="U4833" t="str">
        <f t="shared" si="1778"/>
        <v>AC3944</v>
      </c>
      <c r="V4833">
        <v>0</v>
      </c>
      <c r="W4833">
        <v>0</v>
      </c>
      <c r="X4833">
        <v>2</v>
      </c>
      <c r="Y4833">
        <v>0</v>
      </c>
      <c r="AA4833">
        <v>1</v>
      </c>
      <c r="AB4833">
        <v>8</v>
      </c>
      <c r="AC4833">
        <v>3</v>
      </c>
      <c r="AD4833">
        <v>0</v>
      </c>
      <c r="AE4833">
        <v>9</v>
      </c>
      <c r="AF4833" t="s">
        <v>138</v>
      </c>
      <c r="AG4833">
        <v>0</v>
      </c>
      <c r="AH4833">
        <v>3</v>
      </c>
      <c r="AI4833">
        <v>1</v>
      </c>
      <c r="AJ4833">
        <v>0</v>
      </c>
      <c r="AK4833" t="s">
        <v>1509</v>
      </c>
      <c r="AL4833">
        <v>32.709924999999998</v>
      </c>
      <c r="AM4833" t="s">
        <v>1510</v>
      </c>
      <c r="AN4833">
        <v>-116.757824</v>
      </c>
      <c r="AO4833">
        <v>25</v>
      </c>
      <c r="AP4833">
        <v>3600</v>
      </c>
      <c r="AQ4833" t="s">
        <v>129</v>
      </c>
      <c r="AR4833">
        <v>-151</v>
      </c>
      <c r="AS4833">
        <v>-107</v>
      </c>
      <c r="AT4833">
        <v>-1920</v>
      </c>
      <c r="BB4833">
        <v>1200</v>
      </c>
      <c r="BC4833">
        <v>1</v>
      </c>
      <c r="BD4833" t="str">
        <f t="shared" si="1779"/>
        <v xml:space="preserve">N887QR  </v>
      </c>
      <c r="BE4833">
        <v>1</v>
      </c>
      <c r="BG4833">
        <v>0</v>
      </c>
      <c r="BH4833">
        <v>0</v>
      </c>
      <c r="BI4833">
        <v>0</v>
      </c>
      <c r="BJ4833">
        <v>3100</v>
      </c>
      <c r="BK4833">
        <v>-500</v>
      </c>
      <c r="BL4833" t="s">
        <v>163</v>
      </c>
      <c r="BM4833">
        <v>1</v>
      </c>
      <c r="BN4833">
        <v>1</v>
      </c>
      <c r="BO4833">
        <v>1</v>
      </c>
      <c r="BP4833">
        <v>0</v>
      </c>
      <c r="BS4833">
        <v>0</v>
      </c>
      <c r="BT4833">
        <v>0</v>
      </c>
      <c r="BU4833">
        <v>0</v>
      </c>
      <c r="CE4833" t="str">
        <f t="shared" si="1790"/>
        <v>19:38:27.050</v>
      </c>
      <c r="CF4833">
        <v>49708537</v>
      </c>
      <c r="CS4833">
        <v>0</v>
      </c>
      <c r="CT4833">
        <v>2</v>
      </c>
      <c r="CU4833">
        <v>0</v>
      </c>
      <c r="CV4833">
        <v>2</v>
      </c>
      <c r="CW4833">
        <v>0</v>
      </c>
      <c r="CX4833">
        <v>4</v>
      </c>
      <c r="CY4833">
        <v>7</v>
      </c>
      <c r="CZ4833" t="s">
        <v>131</v>
      </c>
      <c r="DA4833">
        <v>300</v>
      </c>
      <c r="DB4833">
        <v>0</v>
      </c>
      <c r="DC4833" t="s">
        <v>176</v>
      </c>
      <c r="DD4833" t="s">
        <v>177</v>
      </c>
      <c r="DG4833">
        <v>5473393</v>
      </c>
      <c r="DI4833">
        <v>1</v>
      </c>
      <c r="DJ4833">
        <v>0</v>
      </c>
      <c r="DK4833">
        <v>1</v>
      </c>
      <c r="DL4833">
        <v>0</v>
      </c>
      <c r="DM4833">
        <v>0</v>
      </c>
      <c r="DN4833">
        <v>1</v>
      </c>
      <c r="DO4833">
        <v>0</v>
      </c>
      <c r="DP4833">
        <v>0</v>
      </c>
      <c r="DQ4833">
        <v>0</v>
      </c>
      <c r="DR4833">
        <v>0</v>
      </c>
      <c r="DS4833">
        <v>0</v>
      </c>
    </row>
    <row r="4834" spans="1:123" x14ac:dyDescent="0.3">
      <c r="A4834" t="str">
        <f t="shared" ref="A4834:A4840" si="1791">"10/04/2022 19:38:29.402"</f>
        <v>10/04/2022 19:38:29.402</v>
      </c>
      <c r="C4834" t="str">
        <f t="shared" si="1769"/>
        <v>FFDFD3C0</v>
      </c>
      <c r="D4834" t="s">
        <v>141</v>
      </c>
      <c r="E4834">
        <v>4</v>
      </c>
      <c r="H4834">
        <v>4</v>
      </c>
      <c r="I4834" t="s">
        <v>142</v>
      </c>
      <c r="J4834" t="s">
        <v>138</v>
      </c>
      <c r="K4834">
        <v>0</v>
      </c>
      <c r="L4834">
        <v>3</v>
      </c>
      <c r="M4834">
        <v>0</v>
      </c>
      <c r="N4834">
        <v>2</v>
      </c>
      <c r="O4834">
        <v>0</v>
      </c>
      <c r="P4834">
        <v>1</v>
      </c>
      <c r="Q4834">
        <v>0</v>
      </c>
      <c r="S4834" t="str">
        <f t="shared" ref="S4834:T4840" si="1792">"19:38:29.000"</f>
        <v>19:38:29.000</v>
      </c>
      <c r="T4834" t="str">
        <f t="shared" si="1792"/>
        <v>19:38:29.000</v>
      </c>
      <c r="U4834" t="str">
        <f t="shared" si="1778"/>
        <v>AC3944</v>
      </c>
      <c r="V4834">
        <v>0</v>
      </c>
      <c r="W4834">
        <v>0</v>
      </c>
      <c r="X4834">
        <v>2</v>
      </c>
      <c r="Y4834">
        <v>0</v>
      </c>
      <c r="AA4834">
        <v>1</v>
      </c>
      <c r="AB4834">
        <v>8</v>
      </c>
      <c r="AC4834">
        <v>3</v>
      </c>
      <c r="AD4834">
        <v>0</v>
      </c>
      <c r="AE4834">
        <v>9</v>
      </c>
      <c r="AF4834" t="s">
        <v>138</v>
      </c>
      <c r="AG4834">
        <v>0</v>
      </c>
      <c r="AH4834">
        <v>3</v>
      </c>
      <c r="AI4834">
        <v>1</v>
      </c>
      <c r="AJ4834">
        <v>0</v>
      </c>
      <c r="AK4834" t="s">
        <v>1511</v>
      </c>
      <c r="AL4834">
        <v>32.708831000000004</v>
      </c>
      <c r="AM4834" t="s">
        <v>1512</v>
      </c>
      <c r="AN4834">
        <v>-116.759648</v>
      </c>
      <c r="AO4834">
        <v>25</v>
      </c>
      <c r="AP4834">
        <v>3500</v>
      </c>
      <c r="AQ4834" t="s">
        <v>129</v>
      </c>
      <c r="AR4834">
        <v>-150</v>
      </c>
      <c r="AS4834">
        <v>-107</v>
      </c>
      <c r="AT4834">
        <v>-1664</v>
      </c>
      <c r="BB4834">
        <v>1200</v>
      </c>
      <c r="BC4834">
        <v>1</v>
      </c>
      <c r="BD4834" t="str">
        <f t="shared" si="1779"/>
        <v xml:space="preserve">N887QR  </v>
      </c>
      <c r="BE4834">
        <v>1</v>
      </c>
      <c r="BG4834">
        <v>0</v>
      </c>
      <c r="BH4834">
        <v>0</v>
      </c>
      <c r="BI4834">
        <v>0</v>
      </c>
      <c r="BJ4834">
        <v>3025</v>
      </c>
      <c r="BK4834">
        <v>-475</v>
      </c>
      <c r="BL4834" t="s">
        <v>163</v>
      </c>
      <c r="BM4834">
        <v>1</v>
      </c>
      <c r="BN4834">
        <v>1</v>
      </c>
      <c r="BO4834">
        <v>1</v>
      </c>
      <c r="BP4834">
        <v>0</v>
      </c>
      <c r="BS4834">
        <v>0</v>
      </c>
      <c r="BT4834">
        <v>0</v>
      </c>
      <c r="BU4834">
        <v>0</v>
      </c>
      <c r="CE4834" t="str">
        <f t="shared" ref="CE4834:CE4840" si="1793">"19:38:29.164"</f>
        <v>19:38:29.164</v>
      </c>
      <c r="CF4834">
        <v>164465403</v>
      </c>
      <c r="CS4834">
        <v>0</v>
      </c>
      <c r="CT4834">
        <v>2</v>
      </c>
      <c r="CU4834">
        <v>0</v>
      </c>
      <c r="CV4834">
        <v>2</v>
      </c>
      <c r="CW4834">
        <v>0</v>
      </c>
      <c r="CX4834">
        <v>4</v>
      </c>
      <c r="CY4834">
        <v>7</v>
      </c>
      <c r="CZ4834" t="s">
        <v>131</v>
      </c>
      <c r="DA4834">
        <v>300</v>
      </c>
      <c r="DB4834">
        <v>0</v>
      </c>
      <c r="DC4834" t="s">
        <v>176</v>
      </c>
      <c r="DD4834" t="s">
        <v>177</v>
      </c>
      <c r="DG4834">
        <v>5473758</v>
      </c>
      <c r="DI4834">
        <v>1</v>
      </c>
      <c r="DJ4834">
        <v>0</v>
      </c>
      <c r="DK4834">
        <v>0</v>
      </c>
      <c r="DL4834">
        <v>0</v>
      </c>
      <c r="DM4834">
        <v>0</v>
      </c>
      <c r="DN4834">
        <v>1</v>
      </c>
      <c r="DO4834">
        <v>0</v>
      </c>
      <c r="DP4834">
        <v>0</v>
      </c>
      <c r="DQ4834">
        <v>0</v>
      </c>
      <c r="DR4834">
        <v>0</v>
      </c>
      <c r="DS4834">
        <v>0</v>
      </c>
    </row>
    <row r="4835" spans="1:123" x14ac:dyDescent="0.3">
      <c r="A4835" t="str">
        <f t="shared" si="1791"/>
        <v>10/04/2022 19:38:29.402</v>
      </c>
      <c r="C4835" t="str">
        <f t="shared" si="1769"/>
        <v>FFDFD3C0</v>
      </c>
      <c r="D4835" t="s">
        <v>143</v>
      </c>
      <c r="E4835">
        <v>20</v>
      </c>
      <c r="F4835">
        <v>1020</v>
      </c>
      <c r="G4835" t="s">
        <v>144</v>
      </c>
      <c r="J4835" t="s">
        <v>145</v>
      </c>
      <c r="K4835">
        <v>0</v>
      </c>
      <c r="L4835">
        <v>3</v>
      </c>
      <c r="M4835">
        <v>0</v>
      </c>
      <c r="N4835">
        <v>2</v>
      </c>
      <c r="O4835">
        <v>0</v>
      </c>
      <c r="P4835">
        <v>1</v>
      </c>
      <c r="Q4835">
        <v>0</v>
      </c>
      <c r="S4835" t="str">
        <f t="shared" si="1792"/>
        <v>19:38:29.000</v>
      </c>
      <c r="T4835" t="str">
        <f t="shared" si="1792"/>
        <v>19:38:29.000</v>
      </c>
      <c r="U4835" t="str">
        <f t="shared" si="1778"/>
        <v>AC3944</v>
      </c>
      <c r="V4835">
        <v>0</v>
      </c>
      <c r="W4835">
        <v>0</v>
      </c>
      <c r="X4835">
        <v>2</v>
      </c>
      <c r="Y4835">
        <v>0</v>
      </c>
      <c r="AA4835">
        <v>1</v>
      </c>
      <c r="AB4835">
        <v>8</v>
      </c>
      <c r="AC4835">
        <v>3</v>
      </c>
      <c r="AD4835">
        <v>0</v>
      </c>
      <c r="AE4835">
        <v>9</v>
      </c>
      <c r="AF4835" t="s">
        <v>138</v>
      </c>
      <c r="AG4835">
        <v>0</v>
      </c>
      <c r="AH4835">
        <v>3</v>
      </c>
      <c r="AI4835">
        <v>1</v>
      </c>
      <c r="AJ4835">
        <v>0</v>
      </c>
      <c r="AK4835" t="s">
        <v>1511</v>
      </c>
      <c r="AL4835">
        <v>32.708831000000004</v>
      </c>
      <c r="AM4835" t="s">
        <v>1512</v>
      </c>
      <c r="AN4835">
        <v>-116.759648</v>
      </c>
      <c r="AO4835">
        <v>25</v>
      </c>
      <c r="AP4835">
        <v>3500</v>
      </c>
      <c r="AQ4835" t="s">
        <v>129</v>
      </c>
      <c r="AR4835">
        <v>-150</v>
      </c>
      <c r="AS4835">
        <v>-107</v>
      </c>
      <c r="AT4835">
        <v>-1664</v>
      </c>
      <c r="BB4835">
        <v>1200</v>
      </c>
      <c r="BC4835">
        <v>1</v>
      </c>
      <c r="BD4835" t="str">
        <f t="shared" si="1779"/>
        <v xml:space="preserve">N887QR  </v>
      </c>
      <c r="BE4835">
        <v>1</v>
      </c>
      <c r="BG4835">
        <v>0</v>
      </c>
      <c r="BH4835">
        <v>0</v>
      </c>
      <c r="BI4835">
        <v>0</v>
      </c>
      <c r="BJ4835">
        <v>3025</v>
      </c>
      <c r="BK4835">
        <v>-475</v>
      </c>
      <c r="BL4835" t="s">
        <v>163</v>
      </c>
      <c r="BM4835">
        <v>1</v>
      </c>
      <c r="BN4835">
        <v>1</v>
      </c>
      <c r="BO4835">
        <v>1</v>
      </c>
      <c r="BP4835">
        <v>0</v>
      </c>
      <c r="BS4835">
        <v>0</v>
      </c>
      <c r="BT4835">
        <v>0</v>
      </c>
      <c r="BU4835">
        <v>0</v>
      </c>
      <c r="CE4835" t="str">
        <f t="shared" si="1793"/>
        <v>19:38:29.164</v>
      </c>
      <c r="CF4835">
        <v>164465403</v>
      </c>
      <c r="CS4835">
        <v>0</v>
      </c>
      <c r="CT4835">
        <v>2</v>
      </c>
      <c r="CU4835">
        <v>0</v>
      </c>
      <c r="CV4835">
        <v>2</v>
      </c>
      <c r="CW4835">
        <v>0</v>
      </c>
      <c r="CX4835">
        <v>4</v>
      </c>
      <c r="CY4835">
        <v>7</v>
      </c>
      <c r="CZ4835" t="s">
        <v>131</v>
      </c>
      <c r="DA4835">
        <v>300</v>
      </c>
      <c r="DB4835">
        <v>0</v>
      </c>
      <c r="DC4835" t="s">
        <v>176</v>
      </c>
      <c r="DD4835" t="s">
        <v>177</v>
      </c>
      <c r="DG4835">
        <v>5473758</v>
      </c>
      <c r="DI4835">
        <v>1</v>
      </c>
      <c r="DJ4835">
        <v>0</v>
      </c>
      <c r="DK4835">
        <v>1</v>
      </c>
      <c r="DL4835">
        <v>0</v>
      </c>
      <c r="DM4835">
        <v>0</v>
      </c>
      <c r="DN4835">
        <v>1</v>
      </c>
      <c r="DO4835">
        <v>0</v>
      </c>
      <c r="DP4835">
        <v>0</v>
      </c>
      <c r="DQ4835">
        <v>0</v>
      </c>
      <c r="DR4835">
        <v>0</v>
      </c>
      <c r="DS4835">
        <v>0</v>
      </c>
    </row>
    <row r="4836" spans="1:123" x14ac:dyDescent="0.3">
      <c r="A4836" t="str">
        <f t="shared" si="1791"/>
        <v>10/04/2022 19:38:29.402</v>
      </c>
      <c r="C4836" t="str">
        <f t="shared" si="1769"/>
        <v>FFDFD3C0</v>
      </c>
      <c r="D4836" t="s">
        <v>147</v>
      </c>
      <c r="E4836">
        <v>3</v>
      </c>
      <c r="H4836">
        <v>166</v>
      </c>
      <c r="I4836" t="s">
        <v>144</v>
      </c>
      <c r="J4836" t="s">
        <v>148</v>
      </c>
      <c r="K4836">
        <v>0</v>
      </c>
      <c r="L4836">
        <v>3</v>
      </c>
      <c r="M4836">
        <v>0</v>
      </c>
      <c r="N4836">
        <v>2</v>
      </c>
      <c r="O4836">
        <v>0</v>
      </c>
      <c r="P4836">
        <v>1</v>
      </c>
      <c r="Q4836">
        <v>0</v>
      </c>
      <c r="S4836" t="str">
        <f t="shared" si="1792"/>
        <v>19:38:29.000</v>
      </c>
      <c r="T4836" t="str">
        <f t="shared" si="1792"/>
        <v>19:38:29.000</v>
      </c>
      <c r="U4836" t="str">
        <f t="shared" si="1778"/>
        <v>AC3944</v>
      </c>
      <c r="V4836">
        <v>0</v>
      </c>
      <c r="W4836">
        <v>0</v>
      </c>
      <c r="X4836">
        <v>2</v>
      </c>
      <c r="Y4836">
        <v>0</v>
      </c>
      <c r="AA4836">
        <v>1</v>
      </c>
      <c r="AB4836">
        <v>8</v>
      </c>
      <c r="AC4836">
        <v>3</v>
      </c>
      <c r="AD4836">
        <v>0</v>
      </c>
      <c r="AE4836">
        <v>9</v>
      </c>
      <c r="AF4836" t="s">
        <v>138</v>
      </c>
      <c r="AG4836">
        <v>0</v>
      </c>
      <c r="AH4836">
        <v>3</v>
      </c>
      <c r="AI4836">
        <v>1</v>
      </c>
      <c r="AJ4836">
        <v>0</v>
      </c>
      <c r="AK4836" t="s">
        <v>1511</v>
      </c>
      <c r="AL4836">
        <v>32.708831000000004</v>
      </c>
      <c r="AM4836" t="s">
        <v>1512</v>
      </c>
      <c r="AN4836">
        <v>-116.759648</v>
      </c>
      <c r="AO4836">
        <v>25</v>
      </c>
      <c r="AP4836">
        <v>3500</v>
      </c>
      <c r="AQ4836" t="s">
        <v>129</v>
      </c>
      <c r="AR4836">
        <v>-150</v>
      </c>
      <c r="AS4836">
        <v>-107</v>
      </c>
      <c r="AT4836">
        <v>-1664</v>
      </c>
      <c r="BB4836">
        <v>1200</v>
      </c>
      <c r="BC4836">
        <v>1</v>
      </c>
      <c r="BD4836" t="str">
        <f t="shared" si="1779"/>
        <v xml:space="preserve">N887QR  </v>
      </c>
      <c r="BE4836">
        <v>1</v>
      </c>
      <c r="BG4836">
        <v>0</v>
      </c>
      <c r="BH4836">
        <v>0</v>
      </c>
      <c r="BI4836">
        <v>0</v>
      </c>
      <c r="BJ4836">
        <v>3025</v>
      </c>
      <c r="BK4836">
        <v>-475</v>
      </c>
      <c r="BL4836" t="s">
        <v>163</v>
      </c>
      <c r="BM4836">
        <v>1</v>
      </c>
      <c r="BN4836">
        <v>1</v>
      </c>
      <c r="BO4836">
        <v>1</v>
      </c>
      <c r="BP4836">
        <v>0</v>
      </c>
      <c r="BS4836">
        <v>0</v>
      </c>
      <c r="BT4836">
        <v>0</v>
      </c>
      <c r="BU4836">
        <v>0</v>
      </c>
      <c r="CE4836" t="str">
        <f t="shared" si="1793"/>
        <v>19:38:29.164</v>
      </c>
      <c r="CF4836">
        <v>164465403</v>
      </c>
      <c r="CS4836">
        <v>0</v>
      </c>
      <c r="CT4836">
        <v>2</v>
      </c>
      <c r="CU4836">
        <v>0</v>
      </c>
      <c r="CV4836">
        <v>2</v>
      </c>
      <c r="CW4836">
        <v>0</v>
      </c>
      <c r="CX4836">
        <v>4</v>
      </c>
      <c r="CY4836">
        <v>7</v>
      </c>
      <c r="CZ4836" t="s">
        <v>131</v>
      </c>
      <c r="DA4836">
        <v>300</v>
      </c>
      <c r="DB4836">
        <v>0</v>
      </c>
      <c r="DC4836" t="s">
        <v>176</v>
      </c>
      <c r="DD4836" t="s">
        <v>177</v>
      </c>
      <c r="DG4836">
        <v>5473758</v>
      </c>
      <c r="DI4836">
        <v>1</v>
      </c>
      <c r="DJ4836">
        <v>0</v>
      </c>
      <c r="DK4836">
        <v>1</v>
      </c>
      <c r="DL4836">
        <v>0</v>
      </c>
      <c r="DM4836">
        <v>0</v>
      </c>
      <c r="DN4836">
        <v>1</v>
      </c>
      <c r="DO4836">
        <v>0</v>
      </c>
      <c r="DP4836">
        <v>0</v>
      </c>
      <c r="DQ4836">
        <v>0</v>
      </c>
      <c r="DR4836">
        <v>0</v>
      </c>
      <c r="DS4836">
        <v>0</v>
      </c>
    </row>
    <row r="4837" spans="1:123" x14ac:dyDescent="0.3">
      <c r="A4837" t="str">
        <f t="shared" si="1791"/>
        <v>10/04/2022 19:38:29.402</v>
      </c>
      <c r="C4837" t="str">
        <f t="shared" si="1769"/>
        <v>FFDFD3C0</v>
      </c>
      <c r="D4837" t="s">
        <v>123</v>
      </c>
      <c r="E4837">
        <v>7</v>
      </c>
      <c r="F4837">
        <v>2007</v>
      </c>
      <c r="G4837" t="s">
        <v>124</v>
      </c>
      <c r="J4837" t="s">
        <v>125</v>
      </c>
      <c r="K4837">
        <v>0</v>
      </c>
      <c r="L4837">
        <v>3</v>
      </c>
      <c r="M4837">
        <v>0</v>
      </c>
      <c r="N4837">
        <v>2</v>
      </c>
      <c r="O4837">
        <v>0</v>
      </c>
      <c r="P4837">
        <v>1</v>
      </c>
      <c r="Q4837">
        <v>0</v>
      </c>
      <c r="S4837" t="str">
        <f t="shared" si="1792"/>
        <v>19:38:29.000</v>
      </c>
      <c r="T4837" t="str">
        <f t="shared" si="1792"/>
        <v>19:38:29.000</v>
      </c>
      <c r="U4837" t="str">
        <f t="shared" si="1778"/>
        <v>AC3944</v>
      </c>
      <c r="V4837">
        <v>0</v>
      </c>
      <c r="W4837">
        <v>0</v>
      </c>
      <c r="X4837">
        <v>2</v>
      </c>
      <c r="Y4837">
        <v>0</v>
      </c>
      <c r="AA4837">
        <v>1</v>
      </c>
      <c r="AB4837">
        <v>8</v>
      </c>
      <c r="AC4837">
        <v>3</v>
      </c>
      <c r="AD4837">
        <v>0</v>
      </c>
      <c r="AE4837">
        <v>9</v>
      </c>
      <c r="AF4837" t="s">
        <v>138</v>
      </c>
      <c r="AG4837">
        <v>0</v>
      </c>
      <c r="AH4837">
        <v>3</v>
      </c>
      <c r="AI4837">
        <v>1</v>
      </c>
      <c r="AJ4837">
        <v>0</v>
      </c>
      <c r="AK4837" t="s">
        <v>1511</v>
      </c>
      <c r="AL4837">
        <v>32.708831000000004</v>
      </c>
      <c r="AM4837" t="s">
        <v>1512</v>
      </c>
      <c r="AN4837">
        <v>-116.759648</v>
      </c>
      <c r="AO4837">
        <v>25</v>
      </c>
      <c r="AP4837">
        <v>3500</v>
      </c>
      <c r="AQ4837" t="s">
        <v>129</v>
      </c>
      <c r="AR4837">
        <v>-150</v>
      </c>
      <c r="AS4837">
        <v>-107</v>
      </c>
      <c r="AT4837">
        <v>-1664</v>
      </c>
      <c r="BB4837">
        <v>1200</v>
      </c>
      <c r="BC4837">
        <v>1</v>
      </c>
      <c r="BD4837" t="str">
        <f t="shared" si="1779"/>
        <v xml:space="preserve">N887QR  </v>
      </c>
      <c r="BE4837">
        <v>1</v>
      </c>
      <c r="BG4837">
        <v>0</v>
      </c>
      <c r="BH4837">
        <v>0</v>
      </c>
      <c r="BI4837">
        <v>0</v>
      </c>
      <c r="BJ4837">
        <v>3025</v>
      </c>
      <c r="BK4837">
        <v>-475</v>
      </c>
      <c r="BL4837" t="s">
        <v>163</v>
      </c>
      <c r="BM4837">
        <v>1</v>
      </c>
      <c r="BN4837">
        <v>1</v>
      </c>
      <c r="BO4837">
        <v>1</v>
      </c>
      <c r="BP4837">
        <v>0</v>
      </c>
      <c r="BS4837">
        <v>0</v>
      </c>
      <c r="BT4837">
        <v>0</v>
      </c>
      <c r="BU4837">
        <v>0</v>
      </c>
      <c r="CE4837" t="str">
        <f t="shared" si="1793"/>
        <v>19:38:29.164</v>
      </c>
      <c r="CF4837">
        <v>164465403</v>
      </c>
      <c r="CS4837">
        <v>0</v>
      </c>
      <c r="CT4837">
        <v>2</v>
      </c>
      <c r="CU4837">
        <v>0</v>
      </c>
      <c r="CV4837">
        <v>2</v>
      </c>
      <c r="CW4837">
        <v>0</v>
      </c>
      <c r="CX4837">
        <v>4</v>
      </c>
      <c r="CY4837">
        <v>7</v>
      </c>
      <c r="CZ4837" t="s">
        <v>131</v>
      </c>
      <c r="DA4837">
        <v>300</v>
      </c>
      <c r="DB4837">
        <v>0</v>
      </c>
      <c r="DC4837" t="s">
        <v>176</v>
      </c>
      <c r="DD4837" t="s">
        <v>177</v>
      </c>
      <c r="DG4837">
        <v>5473758</v>
      </c>
      <c r="DI4837">
        <v>1</v>
      </c>
      <c r="DJ4837">
        <v>0</v>
      </c>
      <c r="DK4837">
        <v>1</v>
      </c>
      <c r="DL4837">
        <v>0</v>
      </c>
      <c r="DM4837">
        <v>0</v>
      </c>
      <c r="DN4837">
        <v>1</v>
      </c>
      <c r="DO4837">
        <v>0</v>
      </c>
      <c r="DP4837">
        <v>0</v>
      </c>
      <c r="DQ4837">
        <v>0</v>
      </c>
      <c r="DR4837">
        <v>0</v>
      </c>
      <c r="DS4837">
        <v>0</v>
      </c>
    </row>
    <row r="4838" spans="1:123" x14ac:dyDescent="0.3">
      <c r="A4838" t="str">
        <f t="shared" si="1791"/>
        <v>10/04/2022 19:38:29.402</v>
      </c>
      <c r="C4838" t="str">
        <f t="shared" si="1769"/>
        <v>FFDFD3C0</v>
      </c>
      <c r="D4838" t="s">
        <v>136</v>
      </c>
      <c r="E4838">
        <v>8</v>
      </c>
      <c r="H4838">
        <v>225</v>
      </c>
      <c r="I4838" t="s">
        <v>137</v>
      </c>
      <c r="J4838" t="s">
        <v>138</v>
      </c>
      <c r="K4838">
        <v>0</v>
      </c>
      <c r="L4838">
        <v>3</v>
      </c>
      <c r="M4838">
        <v>0</v>
      </c>
      <c r="N4838">
        <v>2</v>
      </c>
      <c r="O4838">
        <v>0</v>
      </c>
      <c r="P4838">
        <v>1</v>
      </c>
      <c r="Q4838">
        <v>0</v>
      </c>
      <c r="S4838" t="str">
        <f t="shared" si="1792"/>
        <v>19:38:29.000</v>
      </c>
      <c r="T4838" t="str">
        <f t="shared" si="1792"/>
        <v>19:38:29.000</v>
      </c>
      <c r="U4838" t="str">
        <f t="shared" si="1778"/>
        <v>AC3944</v>
      </c>
      <c r="V4838">
        <v>0</v>
      </c>
      <c r="W4838">
        <v>0</v>
      </c>
      <c r="X4838">
        <v>2</v>
      </c>
      <c r="Y4838">
        <v>0</v>
      </c>
      <c r="AA4838">
        <v>1</v>
      </c>
      <c r="AB4838">
        <v>8</v>
      </c>
      <c r="AC4838">
        <v>3</v>
      </c>
      <c r="AD4838">
        <v>0</v>
      </c>
      <c r="AE4838">
        <v>9</v>
      </c>
      <c r="AF4838" t="s">
        <v>138</v>
      </c>
      <c r="AG4838">
        <v>0</v>
      </c>
      <c r="AH4838">
        <v>3</v>
      </c>
      <c r="AI4838">
        <v>1</v>
      </c>
      <c r="AJ4838">
        <v>0</v>
      </c>
      <c r="AK4838" t="s">
        <v>1511</v>
      </c>
      <c r="AL4838">
        <v>32.708831000000004</v>
      </c>
      <c r="AM4838" t="s">
        <v>1512</v>
      </c>
      <c r="AN4838">
        <v>-116.759648</v>
      </c>
      <c r="AO4838">
        <v>25</v>
      </c>
      <c r="AP4838">
        <v>3500</v>
      </c>
      <c r="AQ4838" t="s">
        <v>129</v>
      </c>
      <c r="AR4838">
        <v>-150</v>
      </c>
      <c r="AS4838">
        <v>-107</v>
      </c>
      <c r="AT4838">
        <v>-1664</v>
      </c>
      <c r="BB4838">
        <v>1200</v>
      </c>
      <c r="BC4838">
        <v>1</v>
      </c>
      <c r="BD4838" t="str">
        <f t="shared" si="1779"/>
        <v xml:space="preserve">N887QR  </v>
      </c>
      <c r="BE4838">
        <v>1</v>
      </c>
      <c r="BG4838">
        <v>0</v>
      </c>
      <c r="BH4838">
        <v>0</v>
      </c>
      <c r="BI4838">
        <v>0</v>
      </c>
      <c r="BJ4838">
        <v>3025</v>
      </c>
      <c r="BK4838">
        <v>-475</v>
      </c>
      <c r="BL4838" t="s">
        <v>163</v>
      </c>
      <c r="BM4838">
        <v>1</v>
      </c>
      <c r="BN4838">
        <v>1</v>
      </c>
      <c r="BO4838">
        <v>1</v>
      </c>
      <c r="BP4838">
        <v>0</v>
      </c>
      <c r="BS4838">
        <v>0</v>
      </c>
      <c r="BT4838">
        <v>0</v>
      </c>
      <c r="BU4838">
        <v>0</v>
      </c>
      <c r="CE4838" t="str">
        <f t="shared" si="1793"/>
        <v>19:38:29.164</v>
      </c>
      <c r="CF4838">
        <v>164465403</v>
      </c>
      <c r="CS4838">
        <v>0</v>
      </c>
      <c r="CT4838">
        <v>2</v>
      </c>
      <c r="CU4838">
        <v>0</v>
      </c>
      <c r="CV4838">
        <v>2</v>
      </c>
      <c r="CW4838">
        <v>0</v>
      </c>
      <c r="CX4838">
        <v>4</v>
      </c>
      <c r="CY4838">
        <v>7</v>
      </c>
      <c r="CZ4838" t="s">
        <v>131</v>
      </c>
      <c r="DA4838">
        <v>300</v>
      </c>
      <c r="DB4838">
        <v>0</v>
      </c>
      <c r="DC4838" t="s">
        <v>176</v>
      </c>
      <c r="DD4838" t="s">
        <v>177</v>
      </c>
      <c r="DG4838">
        <v>5473758</v>
      </c>
      <c r="DI4838">
        <v>1</v>
      </c>
      <c r="DJ4838">
        <v>0</v>
      </c>
      <c r="DK4838">
        <v>1</v>
      </c>
      <c r="DL4838">
        <v>0</v>
      </c>
      <c r="DM4838">
        <v>0</v>
      </c>
      <c r="DN4838">
        <v>1</v>
      </c>
      <c r="DO4838">
        <v>0</v>
      </c>
      <c r="DP4838">
        <v>0</v>
      </c>
      <c r="DQ4838">
        <v>0</v>
      </c>
      <c r="DR4838">
        <v>0</v>
      </c>
      <c r="DS4838">
        <v>0</v>
      </c>
    </row>
    <row r="4839" spans="1:123" x14ac:dyDescent="0.3">
      <c r="A4839" t="str">
        <f t="shared" si="1791"/>
        <v>10/04/2022 19:38:29.402</v>
      </c>
      <c r="C4839" t="str">
        <f t="shared" si="1769"/>
        <v>FFDFD3C0</v>
      </c>
      <c r="D4839" t="s">
        <v>134</v>
      </c>
      <c r="E4839">
        <v>15</v>
      </c>
      <c r="J4839" t="s">
        <v>135</v>
      </c>
      <c r="K4839">
        <v>0</v>
      </c>
      <c r="L4839">
        <v>3</v>
      </c>
      <c r="M4839">
        <v>0</v>
      </c>
      <c r="N4839">
        <v>2</v>
      </c>
      <c r="O4839">
        <v>0</v>
      </c>
      <c r="P4839">
        <v>1</v>
      </c>
      <c r="Q4839">
        <v>0</v>
      </c>
      <c r="S4839" t="str">
        <f t="shared" si="1792"/>
        <v>19:38:29.000</v>
      </c>
      <c r="T4839" t="str">
        <f t="shared" si="1792"/>
        <v>19:38:29.000</v>
      </c>
      <c r="U4839" t="str">
        <f t="shared" si="1778"/>
        <v>AC3944</v>
      </c>
      <c r="V4839">
        <v>0</v>
      </c>
      <c r="W4839">
        <v>0</v>
      </c>
      <c r="X4839">
        <v>2</v>
      </c>
      <c r="Y4839">
        <v>0</v>
      </c>
      <c r="AA4839">
        <v>1</v>
      </c>
      <c r="AB4839">
        <v>8</v>
      </c>
      <c r="AC4839">
        <v>3</v>
      </c>
      <c r="AD4839">
        <v>0</v>
      </c>
      <c r="AE4839">
        <v>9</v>
      </c>
      <c r="AF4839" t="s">
        <v>138</v>
      </c>
      <c r="AG4839">
        <v>0</v>
      </c>
      <c r="AH4839">
        <v>3</v>
      </c>
      <c r="AI4839">
        <v>1</v>
      </c>
      <c r="AJ4839">
        <v>0</v>
      </c>
      <c r="AK4839" t="s">
        <v>1511</v>
      </c>
      <c r="AL4839">
        <v>32.708831000000004</v>
      </c>
      <c r="AM4839" t="s">
        <v>1512</v>
      </c>
      <c r="AN4839">
        <v>-116.759648</v>
      </c>
      <c r="AO4839">
        <v>25</v>
      </c>
      <c r="AP4839">
        <v>3500</v>
      </c>
      <c r="AQ4839" t="s">
        <v>129</v>
      </c>
      <c r="AR4839">
        <v>-150</v>
      </c>
      <c r="AS4839">
        <v>-107</v>
      </c>
      <c r="AT4839">
        <v>-1664</v>
      </c>
      <c r="BB4839">
        <v>1200</v>
      </c>
      <c r="BC4839">
        <v>1</v>
      </c>
      <c r="BD4839" t="str">
        <f t="shared" si="1779"/>
        <v xml:space="preserve">N887QR  </v>
      </c>
      <c r="BE4839">
        <v>1</v>
      </c>
      <c r="BG4839">
        <v>0</v>
      </c>
      <c r="BH4839">
        <v>0</v>
      </c>
      <c r="BI4839">
        <v>0</v>
      </c>
      <c r="BJ4839">
        <v>3025</v>
      </c>
      <c r="BK4839">
        <v>-475</v>
      </c>
      <c r="BL4839" t="s">
        <v>163</v>
      </c>
      <c r="BM4839">
        <v>1</v>
      </c>
      <c r="BN4839">
        <v>1</v>
      </c>
      <c r="BO4839">
        <v>1</v>
      </c>
      <c r="BP4839">
        <v>0</v>
      </c>
      <c r="BS4839">
        <v>0</v>
      </c>
      <c r="BT4839">
        <v>0</v>
      </c>
      <c r="BU4839">
        <v>0</v>
      </c>
      <c r="CE4839" t="str">
        <f t="shared" si="1793"/>
        <v>19:38:29.164</v>
      </c>
      <c r="CF4839">
        <v>164465403</v>
      </c>
      <c r="CS4839">
        <v>0</v>
      </c>
      <c r="CT4839">
        <v>2</v>
      </c>
      <c r="CU4839">
        <v>0</v>
      </c>
      <c r="CV4839">
        <v>2</v>
      </c>
      <c r="CW4839">
        <v>0</v>
      </c>
      <c r="CX4839">
        <v>4</v>
      </c>
      <c r="CY4839">
        <v>7</v>
      </c>
      <c r="CZ4839" t="s">
        <v>131</v>
      </c>
      <c r="DA4839">
        <v>300</v>
      </c>
      <c r="DB4839">
        <v>0</v>
      </c>
      <c r="DC4839" t="s">
        <v>176</v>
      </c>
      <c r="DD4839" t="s">
        <v>177</v>
      </c>
      <c r="DG4839">
        <v>5473758</v>
      </c>
      <c r="DI4839">
        <v>1</v>
      </c>
      <c r="DJ4839">
        <v>0</v>
      </c>
      <c r="DK4839">
        <v>1</v>
      </c>
      <c r="DL4839">
        <v>0</v>
      </c>
      <c r="DM4839">
        <v>0</v>
      </c>
      <c r="DN4839">
        <v>1</v>
      </c>
      <c r="DO4839">
        <v>0</v>
      </c>
      <c r="DP4839">
        <v>0</v>
      </c>
      <c r="DQ4839">
        <v>0</v>
      </c>
      <c r="DR4839">
        <v>0</v>
      </c>
      <c r="DS4839">
        <v>0</v>
      </c>
    </row>
    <row r="4840" spans="1:123" x14ac:dyDescent="0.3">
      <c r="A4840" t="str">
        <f t="shared" si="1791"/>
        <v>10/04/2022 19:38:29.402</v>
      </c>
      <c r="C4840" t="str">
        <f t="shared" si="1769"/>
        <v>FFDFD3C0</v>
      </c>
      <c r="D4840" t="s">
        <v>141</v>
      </c>
      <c r="E4840">
        <v>3</v>
      </c>
      <c r="H4840">
        <v>3</v>
      </c>
      <c r="I4840" t="s">
        <v>146</v>
      </c>
      <c r="J4840" t="s">
        <v>138</v>
      </c>
      <c r="K4840">
        <v>0</v>
      </c>
      <c r="L4840">
        <v>3</v>
      </c>
      <c r="M4840">
        <v>0</v>
      </c>
      <c r="N4840">
        <v>2</v>
      </c>
      <c r="O4840">
        <v>0</v>
      </c>
      <c r="P4840">
        <v>1</v>
      </c>
      <c r="Q4840">
        <v>0</v>
      </c>
      <c r="S4840" t="str">
        <f t="shared" si="1792"/>
        <v>19:38:29.000</v>
      </c>
      <c r="T4840" t="str">
        <f t="shared" si="1792"/>
        <v>19:38:29.000</v>
      </c>
      <c r="U4840" t="str">
        <f t="shared" si="1778"/>
        <v>AC3944</v>
      </c>
      <c r="V4840">
        <v>0</v>
      </c>
      <c r="W4840">
        <v>0</v>
      </c>
      <c r="X4840">
        <v>2</v>
      </c>
      <c r="Y4840">
        <v>0</v>
      </c>
      <c r="AA4840">
        <v>1</v>
      </c>
      <c r="AB4840">
        <v>8</v>
      </c>
      <c r="AC4840">
        <v>3</v>
      </c>
      <c r="AD4840">
        <v>0</v>
      </c>
      <c r="AE4840">
        <v>9</v>
      </c>
      <c r="AF4840" t="s">
        <v>138</v>
      </c>
      <c r="AG4840">
        <v>0</v>
      </c>
      <c r="AH4840">
        <v>3</v>
      </c>
      <c r="AI4840">
        <v>1</v>
      </c>
      <c r="AJ4840">
        <v>0</v>
      </c>
      <c r="AK4840" t="s">
        <v>1511</v>
      </c>
      <c r="AL4840">
        <v>32.708831000000004</v>
      </c>
      <c r="AM4840" t="s">
        <v>1512</v>
      </c>
      <c r="AN4840">
        <v>-116.759648</v>
      </c>
      <c r="AO4840">
        <v>25</v>
      </c>
      <c r="AP4840">
        <v>3500</v>
      </c>
      <c r="AQ4840" t="s">
        <v>129</v>
      </c>
      <c r="AR4840">
        <v>-150</v>
      </c>
      <c r="AS4840">
        <v>-107</v>
      </c>
      <c r="AT4840">
        <v>-1664</v>
      </c>
      <c r="BB4840">
        <v>1200</v>
      </c>
      <c r="BC4840">
        <v>1</v>
      </c>
      <c r="BD4840" t="str">
        <f t="shared" si="1779"/>
        <v xml:space="preserve">N887QR  </v>
      </c>
      <c r="BE4840">
        <v>1</v>
      </c>
      <c r="BG4840">
        <v>0</v>
      </c>
      <c r="BH4840">
        <v>0</v>
      </c>
      <c r="BI4840">
        <v>0</v>
      </c>
      <c r="BJ4840">
        <v>3025</v>
      </c>
      <c r="BK4840">
        <v>-475</v>
      </c>
      <c r="BL4840" t="s">
        <v>163</v>
      </c>
      <c r="BM4840">
        <v>1</v>
      </c>
      <c r="BN4840">
        <v>1</v>
      </c>
      <c r="BO4840">
        <v>1</v>
      </c>
      <c r="BP4840">
        <v>0</v>
      </c>
      <c r="BS4840">
        <v>0</v>
      </c>
      <c r="BT4840">
        <v>0</v>
      </c>
      <c r="BU4840">
        <v>0</v>
      </c>
      <c r="CE4840" t="str">
        <f t="shared" si="1793"/>
        <v>19:38:29.164</v>
      </c>
      <c r="CF4840">
        <v>164465403</v>
      </c>
      <c r="CS4840">
        <v>0</v>
      </c>
      <c r="CT4840">
        <v>2</v>
      </c>
      <c r="CU4840">
        <v>0</v>
      </c>
      <c r="CV4840">
        <v>2</v>
      </c>
      <c r="CW4840">
        <v>0</v>
      </c>
      <c r="CX4840">
        <v>4</v>
      </c>
      <c r="CY4840">
        <v>7</v>
      </c>
      <c r="CZ4840" t="s">
        <v>131</v>
      </c>
      <c r="DA4840">
        <v>300</v>
      </c>
      <c r="DB4840">
        <v>0</v>
      </c>
      <c r="DC4840" t="s">
        <v>176</v>
      </c>
      <c r="DD4840" t="s">
        <v>177</v>
      </c>
      <c r="DG4840">
        <v>5473758</v>
      </c>
      <c r="DI4840">
        <v>1</v>
      </c>
      <c r="DJ4840">
        <v>0</v>
      </c>
      <c r="DK4840">
        <v>1</v>
      </c>
      <c r="DL4840">
        <v>0</v>
      </c>
      <c r="DM4840">
        <v>0</v>
      </c>
      <c r="DN4840">
        <v>1</v>
      </c>
      <c r="DO4840">
        <v>0</v>
      </c>
      <c r="DP4840">
        <v>0</v>
      </c>
      <c r="DQ4840">
        <v>0</v>
      </c>
      <c r="DR4840">
        <v>0</v>
      </c>
      <c r="DS4840">
        <v>0</v>
      </c>
    </row>
    <row r="4841" spans="1:123" x14ac:dyDescent="0.3">
      <c r="A4841" t="str">
        <f>"10/04/2022 19:38:31.653"</f>
        <v>10/04/2022 19:38:31.653</v>
      </c>
      <c r="C4841" t="str">
        <f t="shared" si="1769"/>
        <v>FFDFD3C0</v>
      </c>
      <c r="D4841" t="s">
        <v>136</v>
      </c>
      <c r="E4841">
        <v>8</v>
      </c>
      <c r="H4841">
        <v>225</v>
      </c>
      <c r="I4841" t="s">
        <v>137</v>
      </c>
      <c r="J4841" t="s">
        <v>138</v>
      </c>
      <c r="K4841">
        <v>0</v>
      </c>
      <c r="L4841">
        <v>3</v>
      </c>
      <c r="M4841">
        <v>0</v>
      </c>
      <c r="N4841">
        <v>2</v>
      </c>
      <c r="O4841">
        <v>0</v>
      </c>
      <c r="P4841">
        <v>1</v>
      </c>
      <c r="Q4841">
        <v>0</v>
      </c>
      <c r="S4841" t="str">
        <f t="shared" ref="S4841:T4847" si="1794">"19:38:31.000"</f>
        <v>19:38:31.000</v>
      </c>
      <c r="T4841" t="str">
        <f t="shared" si="1794"/>
        <v>19:38:31.000</v>
      </c>
      <c r="U4841" t="str">
        <f t="shared" si="1778"/>
        <v>AC3944</v>
      </c>
      <c r="V4841">
        <v>0</v>
      </c>
      <c r="W4841">
        <v>0</v>
      </c>
      <c r="X4841">
        <v>2</v>
      </c>
      <c r="Y4841">
        <v>0</v>
      </c>
      <c r="AA4841">
        <v>1</v>
      </c>
      <c r="AB4841">
        <v>8</v>
      </c>
      <c r="AC4841">
        <v>3</v>
      </c>
      <c r="AD4841">
        <v>0</v>
      </c>
      <c r="AE4841">
        <v>9</v>
      </c>
      <c r="AF4841" t="s">
        <v>138</v>
      </c>
      <c r="AG4841">
        <v>0</v>
      </c>
      <c r="AH4841">
        <v>3</v>
      </c>
      <c r="AI4841">
        <v>1</v>
      </c>
      <c r="AJ4841">
        <v>0</v>
      </c>
      <c r="AK4841" t="s">
        <v>1513</v>
      </c>
      <c r="AL4841">
        <v>32.707822</v>
      </c>
      <c r="AM4841" t="s">
        <v>1514</v>
      </c>
      <c r="AN4841">
        <v>-116.761301</v>
      </c>
      <c r="AO4841">
        <v>25</v>
      </c>
      <c r="AP4841">
        <v>3500</v>
      </c>
      <c r="AQ4841" t="s">
        <v>129</v>
      </c>
      <c r="AR4841">
        <v>-150</v>
      </c>
      <c r="AS4841">
        <v>-106</v>
      </c>
      <c r="AT4841">
        <v>-1600</v>
      </c>
      <c r="BB4841">
        <v>1200</v>
      </c>
      <c r="BC4841">
        <v>1</v>
      </c>
      <c r="BD4841" t="str">
        <f t="shared" si="1779"/>
        <v xml:space="preserve">N887QR  </v>
      </c>
      <c r="BE4841">
        <v>1</v>
      </c>
      <c r="BG4841">
        <v>0</v>
      </c>
      <c r="BH4841">
        <v>0</v>
      </c>
      <c r="BI4841">
        <v>0</v>
      </c>
      <c r="BJ4841">
        <v>2950</v>
      </c>
      <c r="BK4841">
        <v>-550</v>
      </c>
      <c r="BL4841" t="s">
        <v>163</v>
      </c>
      <c r="BM4841">
        <v>1</v>
      </c>
      <c r="BN4841">
        <v>1</v>
      </c>
      <c r="BO4841">
        <v>1</v>
      </c>
      <c r="BP4841">
        <v>0</v>
      </c>
      <c r="BS4841">
        <v>0</v>
      </c>
      <c r="BT4841">
        <v>0</v>
      </c>
      <c r="BU4841">
        <v>0</v>
      </c>
      <c r="CE4841" t="str">
        <f t="shared" ref="CE4841:CE4847" si="1795">"19:38:31.448"</f>
        <v>19:38:31.448</v>
      </c>
      <c r="CF4841">
        <v>448222818</v>
      </c>
      <c r="CS4841">
        <v>0</v>
      </c>
      <c r="CT4841">
        <v>2</v>
      </c>
      <c r="CU4841">
        <v>0</v>
      </c>
      <c r="CV4841">
        <v>2</v>
      </c>
      <c r="CW4841">
        <v>0</v>
      </c>
      <c r="CX4841">
        <v>3</v>
      </c>
      <c r="CY4841">
        <v>7</v>
      </c>
      <c r="CZ4841" t="s">
        <v>131</v>
      </c>
      <c r="DA4841">
        <v>300</v>
      </c>
      <c r="DB4841">
        <v>0</v>
      </c>
      <c r="DC4841" t="s">
        <v>176</v>
      </c>
      <c r="DD4841" t="s">
        <v>177</v>
      </c>
      <c r="DG4841">
        <v>5474133</v>
      </c>
      <c r="DI4841">
        <v>1</v>
      </c>
      <c r="DJ4841">
        <v>0</v>
      </c>
      <c r="DK4841">
        <v>0</v>
      </c>
      <c r="DL4841">
        <v>0</v>
      </c>
      <c r="DM4841">
        <v>0</v>
      </c>
      <c r="DN4841">
        <v>1</v>
      </c>
      <c r="DO4841">
        <v>0</v>
      </c>
      <c r="DP4841">
        <v>0</v>
      </c>
      <c r="DQ4841">
        <v>0</v>
      </c>
      <c r="DR4841">
        <v>0</v>
      </c>
      <c r="DS4841">
        <v>0</v>
      </c>
    </row>
    <row r="4842" spans="1:123" x14ac:dyDescent="0.3">
      <c r="A4842" t="str">
        <f>"10/04/2022 19:38:31.653"</f>
        <v>10/04/2022 19:38:31.653</v>
      </c>
      <c r="C4842" t="str">
        <f t="shared" si="1769"/>
        <v>FFDFD3C0</v>
      </c>
      <c r="D4842" t="s">
        <v>147</v>
      </c>
      <c r="E4842">
        <v>3</v>
      </c>
      <c r="H4842">
        <v>166</v>
      </c>
      <c r="I4842" t="s">
        <v>144</v>
      </c>
      <c r="J4842" t="s">
        <v>148</v>
      </c>
      <c r="K4842">
        <v>0</v>
      </c>
      <c r="L4842">
        <v>3</v>
      </c>
      <c r="M4842">
        <v>0</v>
      </c>
      <c r="N4842">
        <v>2</v>
      </c>
      <c r="O4842">
        <v>0</v>
      </c>
      <c r="P4842">
        <v>1</v>
      </c>
      <c r="Q4842">
        <v>0</v>
      </c>
      <c r="S4842" t="str">
        <f t="shared" si="1794"/>
        <v>19:38:31.000</v>
      </c>
      <c r="T4842" t="str">
        <f t="shared" si="1794"/>
        <v>19:38:31.000</v>
      </c>
      <c r="U4842" t="str">
        <f t="shared" si="1778"/>
        <v>AC3944</v>
      </c>
      <c r="V4842">
        <v>0</v>
      </c>
      <c r="W4842">
        <v>0</v>
      </c>
      <c r="X4842">
        <v>2</v>
      </c>
      <c r="Y4842">
        <v>0</v>
      </c>
      <c r="AA4842">
        <v>1</v>
      </c>
      <c r="AB4842">
        <v>8</v>
      </c>
      <c r="AC4842">
        <v>3</v>
      </c>
      <c r="AD4842">
        <v>0</v>
      </c>
      <c r="AE4842">
        <v>9</v>
      </c>
      <c r="AF4842" t="s">
        <v>138</v>
      </c>
      <c r="AG4842">
        <v>0</v>
      </c>
      <c r="AH4842">
        <v>3</v>
      </c>
      <c r="AI4842">
        <v>1</v>
      </c>
      <c r="AJ4842">
        <v>0</v>
      </c>
      <c r="AK4842" t="s">
        <v>1513</v>
      </c>
      <c r="AL4842">
        <v>32.707822</v>
      </c>
      <c r="AM4842" t="s">
        <v>1514</v>
      </c>
      <c r="AN4842">
        <v>-116.761301</v>
      </c>
      <c r="AO4842">
        <v>25</v>
      </c>
      <c r="AP4842">
        <v>3500</v>
      </c>
      <c r="AQ4842" t="s">
        <v>129</v>
      </c>
      <c r="AR4842">
        <v>-150</v>
      </c>
      <c r="AS4842">
        <v>-106</v>
      </c>
      <c r="AT4842">
        <v>-1600</v>
      </c>
      <c r="BB4842">
        <v>1200</v>
      </c>
      <c r="BC4842">
        <v>1</v>
      </c>
      <c r="BD4842" t="str">
        <f t="shared" si="1779"/>
        <v xml:space="preserve">N887QR  </v>
      </c>
      <c r="BE4842">
        <v>1</v>
      </c>
      <c r="BG4842">
        <v>0</v>
      </c>
      <c r="BH4842">
        <v>0</v>
      </c>
      <c r="BI4842">
        <v>0</v>
      </c>
      <c r="BJ4842">
        <v>2950</v>
      </c>
      <c r="BK4842">
        <v>-550</v>
      </c>
      <c r="BL4842" t="s">
        <v>163</v>
      </c>
      <c r="BM4842">
        <v>1</v>
      </c>
      <c r="BN4842">
        <v>1</v>
      </c>
      <c r="BO4842">
        <v>1</v>
      </c>
      <c r="BP4842">
        <v>0</v>
      </c>
      <c r="BS4842">
        <v>0</v>
      </c>
      <c r="BT4842">
        <v>0</v>
      </c>
      <c r="BU4842">
        <v>0</v>
      </c>
      <c r="CE4842" t="str">
        <f t="shared" si="1795"/>
        <v>19:38:31.448</v>
      </c>
      <c r="CF4842">
        <v>448222818</v>
      </c>
      <c r="CS4842">
        <v>0</v>
      </c>
      <c r="CT4842">
        <v>2</v>
      </c>
      <c r="CU4842">
        <v>0</v>
      </c>
      <c r="CV4842">
        <v>2</v>
      </c>
      <c r="CW4842">
        <v>0</v>
      </c>
      <c r="CX4842">
        <v>3</v>
      </c>
      <c r="CY4842">
        <v>7</v>
      </c>
      <c r="CZ4842" t="s">
        <v>131</v>
      </c>
      <c r="DA4842">
        <v>300</v>
      </c>
      <c r="DB4842">
        <v>0</v>
      </c>
      <c r="DC4842" t="s">
        <v>176</v>
      </c>
      <c r="DD4842" t="s">
        <v>177</v>
      </c>
      <c r="DG4842">
        <v>5474133</v>
      </c>
      <c r="DI4842">
        <v>1</v>
      </c>
      <c r="DJ4842">
        <v>0</v>
      </c>
      <c r="DK4842">
        <v>1</v>
      </c>
      <c r="DL4842">
        <v>0</v>
      </c>
      <c r="DM4842">
        <v>0</v>
      </c>
      <c r="DN4842">
        <v>1</v>
      </c>
      <c r="DO4842">
        <v>0</v>
      </c>
      <c r="DP4842">
        <v>0</v>
      </c>
      <c r="DQ4842">
        <v>0</v>
      </c>
      <c r="DR4842">
        <v>0</v>
      </c>
      <c r="DS4842">
        <v>0</v>
      </c>
    </row>
    <row r="4843" spans="1:123" x14ac:dyDescent="0.3">
      <c r="A4843" t="str">
        <f>"10/04/2022 19:38:31.762"</f>
        <v>10/04/2022 19:38:31.762</v>
      </c>
      <c r="C4843" t="str">
        <f t="shared" ref="C4843:C4861" si="1796">"FFDFD3C0"</f>
        <v>FFDFD3C0</v>
      </c>
      <c r="D4843" t="s">
        <v>134</v>
      </c>
      <c r="E4843">
        <v>15</v>
      </c>
      <c r="J4843" t="s">
        <v>135</v>
      </c>
      <c r="K4843">
        <v>0</v>
      </c>
      <c r="L4843">
        <v>3</v>
      </c>
      <c r="M4843">
        <v>0</v>
      </c>
      <c r="N4843">
        <v>2</v>
      </c>
      <c r="O4843">
        <v>0</v>
      </c>
      <c r="P4843">
        <v>1</v>
      </c>
      <c r="Q4843">
        <v>0</v>
      </c>
      <c r="S4843" t="str">
        <f t="shared" si="1794"/>
        <v>19:38:31.000</v>
      </c>
      <c r="T4843" t="str">
        <f t="shared" si="1794"/>
        <v>19:38:31.000</v>
      </c>
      <c r="U4843" t="str">
        <f t="shared" si="1778"/>
        <v>AC3944</v>
      </c>
      <c r="V4843">
        <v>0</v>
      </c>
      <c r="W4843">
        <v>0</v>
      </c>
      <c r="X4843">
        <v>2</v>
      </c>
      <c r="Y4843">
        <v>0</v>
      </c>
      <c r="AA4843">
        <v>1</v>
      </c>
      <c r="AB4843">
        <v>8</v>
      </c>
      <c r="AC4843">
        <v>3</v>
      </c>
      <c r="AD4843">
        <v>0</v>
      </c>
      <c r="AE4843">
        <v>9</v>
      </c>
      <c r="AF4843" t="s">
        <v>138</v>
      </c>
      <c r="AG4843">
        <v>0</v>
      </c>
      <c r="AH4843">
        <v>3</v>
      </c>
      <c r="AI4843">
        <v>1</v>
      </c>
      <c r="AJ4843">
        <v>0</v>
      </c>
      <c r="AK4843" t="s">
        <v>1513</v>
      </c>
      <c r="AL4843">
        <v>32.707822</v>
      </c>
      <c r="AM4843" t="s">
        <v>1514</v>
      </c>
      <c r="AN4843">
        <v>-116.761301</v>
      </c>
      <c r="AO4843">
        <v>25</v>
      </c>
      <c r="AP4843">
        <v>3500</v>
      </c>
      <c r="AQ4843" t="s">
        <v>129</v>
      </c>
      <c r="AR4843">
        <v>-150</v>
      </c>
      <c r="AS4843">
        <v>-106</v>
      </c>
      <c r="AT4843">
        <v>-1600</v>
      </c>
      <c r="BB4843">
        <v>1200</v>
      </c>
      <c r="BC4843">
        <v>1</v>
      </c>
      <c r="BD4843" t="str">
        <f t="shared" si="1779"/>
        <v xml:space="preserve">N887QR  </v>
      </c>
      <c r="BE4843">
        <v>1</v>
      </c>
      <c r="BG4843">
        <v>0</v>
      </c>
      <c r="BH4843">
        <v>0</v>
      </c>
      <c r="BI4843">
        <v>0</v>
      </c>
      <c r="BJ4843">
        <v>2950</v>
      </c>
      <c r="BK4843">
        <v>-550</v>
      </c>
      <c r="BL4843" t="s">
        <v>163</v>
      </c>
      <c r="BM4843">
        <v>1</v>
      </c>
      <c r="BN4843">
        <v>1</v>
      </c>
      <c r="BO4843">
        <v>1</v>
      </c>
      <c r="BP4843">
        <v>0</v>
      </c>
      <c r="BS4843">
        <v>0</v>
      </c>
      <c r="BT4843">
        <v>0</v>
      </c>
      <c r="BU4843">
        <v>0</v>
      </c>
      <c r="CE4843" t="str">
        <f t="shared" si="1795"/>
        <v>19:38:31.448</v>
      </c>
      <c r="CF4843">
        <v>448222818</v>
      </c>
      <c r="CS4843">
        <v>0</v>
      </c>
      <c r="CT4843">
        <v>2</v>
      </c>
      <c r="CU4843">
        <v>0</v>
      </c>
      <c r="CV4843">
        <v>2</v>
      </c>
      <c r="CW4843">
        <v>0</v>
      </c>
      <c r="CX4843">
        <v>3</v>
      </c>
      <c r="CY4843">
        <v>7</v>
      </c>
      <c r="CZ4843" t="s">
        <v>131</v>
      </c>
      <c r="DA4843">
        <v>300</v>
      </c>
      <c r="DB4843">
        <v>0</v>
      </c>
      <c r="DC4843" t="s">
        <v>176</v>
      </c>
      <c r="DD4843" t="s">
        <v>177</v>
      </c>
      <c r="DG4843">
        <v>5474133</v>
      </c>
      <c r="DI4843">
        <v>1</v>
      </c>
      <c r="DJ4843">
        <v>0</v>
      </c>
      <c r="DK4843">
        <v>1</v>
      </c>
      <c r="DL4843">
        <v>0</v>
      </c>
      <c r="DM4843">
        <v>0</v>
      </c>
      <c r="DN4843">
        <v>1</v>
      </c>
      <c r="DO4843">
        <v>0</v>
      </c>
      <c r="DP4843">
        <v>0</v>
      </c>
      <c r="DQ4843">
        <v>0</v>
      </c>
      <c r="DR4843">
        <v>0</v>
      </c>
      <c r="DS4843">
        <v>0</v>
      </c>
    </row>
    <row r="4844" spans="1:123" x14ac:dyDescent="0.3">
      <c r="A4844" t="str">
        <f>"10/04/2022 19:38:31.762"</f>
        <v>10/04/2022 19:38:31.762</v>
      </c>
      <c r="C4844" t="str">
        <f t="shared" si="1796"/>
        <v>FFDFD3C0</v>
      </c>
      <c r="D4844" t="s">
        <v>141</v>
      </c>
      <c r="E4844">
        <v>3</v>
      </c>
      <c r="H4844">
        <v>3</v>
      </c>
      <c r="I4844" t="s">
        <v>146</v>
      </c>
      <c r="J4844" t="s">
        <v>138</v>
      </c>
      <c r="K4844">
        <v>0</v>
      </c>
      <c r="L4844">
        <v>3</v>
      </c>
      <c r="M4844">
        <v>0</v>
      </c>
      <c r="N4844">
        <v>2</v>
      </c>
      <c r="O4844">
        <v>0</v>
      </c>
      <c r="P4844">
        <v>1</v>
      </c>
      <c r="Q4844">
        <v>0</v>
      </c>
      <c r="S4844" t="str">
        <f t="shared" si="1794"/>
        <v>19:38:31.000</v>
      </c>
      <c r="T4844" t="str">
        <f t="shared" si="1794"/>
        <v>19:38:31.000</v>
      </c>
      <c r="U4844" t="str">
        <f t="shared" si="1778"/>
        <v>AC3944</v>
      </c>
      <c r="V4844">
        <v>0</v>
      </c>
      <c r="W4844">
        <v>0</v>
      </c>
      <c r="X4844">
        <v>2</v>
      </c>
      <c r="Y4844">
        <v>0</v>
      </c>
      <c r="AA4844">
        <v>1</v>
      </c>
      <c r="AB4844">
        <v>8</v>
      </c>
      <c r="AC4844">
        <v>3</v>
      </c>
      <c r="AD4844">
        <v>0</v>
      </c>
      <c r="AE4844">
        <v>9</v>
      </c>
      <c r="AF4844" t="s">
        <v>138</v>
      </c>
      <c r="AG4844">
        <v>0</v>
      </c>
      <c r="AH4844">
        <v>3</v>
      </c>
      <c r="AI4844">
        <v>1</v>
      </c>
      <c r="AJ4844">
        <v>0</v>
      </c>
      <c r="AK4844" t="s">
        <v>1513</v>
      </c>
      <c r="AL4844">
        <v>32.707822</v>
      </c>
      <c r="AM4844" t="s">
        <v>1514</v>
      </c>
      <c r="AN4844">
        <v>-116.761301</v>
      </c>
      <c r="AO4844">
        <v>25</v>
      </c>
      <c r="AP4844">
        <v>3500</v>
      </c>
      <c r="AQ4844" t="s">
        <v>129</v>
      </c>
      <c r="AR4844">
        <v>-150</v>
      </c>
      <c r="AS4844">
        <v>-106</v>
      </c>
      <c r="AT4844">
        <v>-1600</v>
      </c>
      <c r="BB4844">
        <v>1200</v>
      </c>
      <c r="BC4844">
        <v>1</v>
      </c>
      <c r="BD4844" t="str">
        <f t="shared" si="1779"/>
        <v xml:space="preserve">N887QR  </v>
      </c>
      <c r="BE4844">
        <v>1</v>
      </c>
      <c r="BG4844">
        <v>0</v>
      </c>
      <c r="BH4844">
        <v>0</v>
      </c>
      <c r="BI4844">
        <v>0</v>
      </c>
      <c r="BJ4844">
        <v>2950</v>
      </c>
      <c r="BK4844">
        <v>-550</v>
      </c>
      <c r="BL4844" t="s">
        <v>163</v>
      </c>
      <c r="BM4844">
        <v>1</v>
      </c>
      <c r="BN4844">
        <v>1</v>
      </c>
      <c r="BO4844">
        <v>1</v>
      </c>
      <c r="BP4844">
        <v>0</v>
      </c>
      <c r="BS4844">
        <v>0</v>
      </c>
      <c r="BT4844">
        <v>0</v>
      </c>
      <c r="BU4844">
        <v>0</v>
      </c>
      <c r="CE4844" t="str">
        <f t="shared" si="1795"/>
        <v>19:38:31.448</v>
      </c>
      <c r="CF4844">
        <v>448222818</v>
      </c>
      <c r="CS4844">
        <v>0</v>
      </c>
      <c r="CT4844">
        <v>2</v>
      </c>
      <c r="CU4844">
        <v>0</v>
      </c>
      <c r="CV4844">
        <v>2</v>
      </c>
      <c r="CW4844">
        <v>0</v>
      </c>
      <c r="CX4844">
        <v>3</v>
      </c>
      <c r="CY4844">
        <v>7</v>
      </c>
      <c r="CZ4844" t="s">
        <v>131</v>
      </c>
      <c r="DA4844">
        <v>300</v>
      </c>
      <c r="DB4844">
        <v>0</v>
      </c>
      <c r="DC4844" t="s">
        <v>176</v>
      </c>
      <c r="DD4844" t="s">
        <v>177</v>
      </c>
      <c r="DG4844">
        <v>5474133</v>
      </c>
      <c r="DI4844">
        <v>1</v>
      </c>
      <c r="DJ4844">
        <v>0</v>
      </c>
      <c r="DK4844">
        <v>1</v>
      </c>
      <c r="DL4844">
        <v>0</v>
      </c>
      <c r="DM4844">
        <v>0</v>
      </c>
      <c r="DN4844">
        <v>1</v>
      </c>
      <c r="DO4844">
        <v>0</v>
      </c>
      <c r="DP4844">
        <v>0</v>
      </c>
      <c r="DQ4844">
        <v>0</v>
      </c>
      <c r="DR4844">
        <v>0</v>
      </c>
      <c r="DS4844">
        <v>0</v>
      </c>
    </row>
    <row r="4845" spans="1:123" x14ac:dyDescent="0.3">
      <c r="A4845" t="str">
        <f>"10/04/2022 19:38:31.762"</f>
        <v>10/04/2022 19:38:31.762</v>
      </c>
      <c r="C4845" t="str">
        <f t="shared" si="1796"/>
        <v>FFDFD3C0</v>
      </c>
      <c r="D4845" t="s">
        <v>141</v>
      </c>
      <c r="E4845">
        <v>4</v>
      </c>
      <c r="H4845">
        <v>4</v>
      </c>
      <c r="I4845" t="s">
        <v>142</v>
      </c>
      <c r="J4845" t="s">
        <v>138</v>
      </c>
      <c r="K4845">
        <v>0</v>
      </c>
      <c r="L4845">
        <v>3</v>
      </c>
      <c r="M4845">
        <v>0</v>
      </c>
      <c r="N4845">
        <v>2</v>
      </c>
      <c r="O4845">
        <v>0</v>
      </c>
      <c r="P4845">
        <v>1</v>
      </c>
      <c r="Q4845">
        <v>0</v>
      </c>
      <c r="S4845" t="str">
        <f t="shared" si="1794"/>
        <v>19:38:31.000</v>
      </c>
      <c r="T4845" t="str">
        <f t="shared" si="1794"/>
        <v>19:38:31.000</v>
      </c>
      <c r="U4845" t="str">
        <f t="shared" si="1778"/>
        <v>AC3944</v>
      </c>
      <c r="V4845">
        <v>0</v>
      </c>
      <c r="W4845">
        <v>0</v>
      </c>
      <c r="X4845">
        <v>2</v>
      </c>
      <c r="Y4845">
        <v>0</v>
      </c>
      <c r="AA4845">
        <v>1</v>
      </c>
      <c r="AB4845">
        <v>8</v>
      </c>
      <c r="AC4845">
        <v>3</v>
      </c>
      <c r="AD4845">
        <v>0</v>
      </c>
      <c r="AE4845">
        <v>9</v>
      </c>
      <c r="AF4845" t="s">
        <v>138</v>
      </c>
      <c r="AG4845">
        <v>0</v>
      </c>
      <c r="AH4845">
        <v>3</v>
      </c>
      <c r="AI4845">
        <v>1</v>
      </c>
      <c r="AJ4845">
        <v>0</v>
      </c>
      <c r="AK4845" t="s">
        <v>1513</v>
      </c>
      <c r="AL4845">
        <v>32.707822</v>
      </c>
      <c r="AM4845" t="s">
        <v>1514</v>
      </c>
      <c r="AN4845">
        <v>-116.761301</v>
      </c>
      <c r="AO4845">
        <v>25</v>
      </c>
      <c r="AP4845">
        <v>3500</v>
      </c>
      <c r="AQ4845" t="s">
        <v>129</v>
      </c>
      <c r="AR4845">
        <v>-150</v>
      </c>
      <c r="AS4845">
        <v>-106</v>
      </c>
      <c r="AT4845">
        <v>-1600</v>
      </c>
      <c r="BB4845">
        <v>1200</v>
      </c>
      <c r="BC4845">
        <v>1</v>
      </c>
      <c r="BD4845" t="str">
        <f t="shared" si="1779"/>
        <v xml:space="preserve">N887QR  </v>
      </c>
      <c r="BE4845">
        <v>1</v>
      </c>
      <c r="BG4845">
        <v>0</v>
      </c>
      <c r="BH4845">
        <v>0</v>
      </c>
      <c r="BI4845">
        <v>0</v>
      </c>
      <c r="BJ4845">
        <v>2950</v>
      </c>
      <c r="BK4845">
        <v>-550</v>
      </c>
      <c r="BL4845" t="s">
        <v>163</v>
      </c>
      <c r="BM4845">
        <v>1</v>
      </c>
      <c r="BN4845">
        <v>1</v>
      </c>
      <c r="BO4845">
        <v>1</v>
      </c>
      <c r="BP4845">
        <v>0</v>
      </c>
      <c r="BS4845">
        <v>0</v>
      </c>
      <c r="BT4845">
        <v>0</v>
      </c>
      <c r="BU4845">
        <v>0</v>
      </c>
      <c r="CE4845" t="str">
        <f t="shared" si="1795"/>
        <v>19:38:31.448</v>
      </c>
      <c r="CF4845">
        <v>448222818</v>
      </c>
      <c r="CS4845">
        <v>0</v>
      </c>
      <c r="CT4845">
        <v>2</v>
      </c>
      <c r="CU4845">
        <v>0</v>
      </c>
      <c r="CV4845">
        <v>2</v>
      </c>
      <c r="CW4845">
        <v>0</v>
      </c>
      <c r="CX4845">
        <v>3</v>
      </c>
      <c r="CY4845">
        <v>7</v>
      </c>
      <c r="CZ4845" t="s">
        <v>131</v>
      </c>
      <c r="DA4845">
        <v>300</v>
      </c>
      <c r="DB4845">
        <v>0</v>
      </c>
      <c r="DC4845" t="s">
        <v>176</v>
      </c>
      <c r="DD4845" t="s">
        <v>177</v>
      </c>
      <c r="DG4845">
        <v>5474133</v>
      </c>
      <c r="DI4845">
        <v>1</v>
      </c>
      <c r="DJ4845">
        <v>0</v>
      </c>
      <c r="DK4845">
        <v>1</v>
      </c>
      <c r="DL4845">
        <v>0</v>
      </c>
      <c r="DM4845">
        <v>0</v>
      </c>
      <c r="DN4845">
        <v>1</v>
      </c>
      <c r="DO4845">
        <v>0</v>
      </c>
      <c r="DP4845">
        <v>0</v>
      </c>
      <c r="DQ4845">
        <v>0</v>
      </c>
      <c r="DR4845">
        <v>0</v>
      </c>
      <c r="DS4845">
        <v>0</v>
      </c>
    </row>
    <row r="4846" spans="1:123" x14ac:dyDescent="0.3">
      <c r="A4846" t="str">
        <f>"10/04/2022 19:38:31.778"</f>
        <v>10/04/2022 19:38:31.778</v>
      </c>
      <c r="C4846" t="str">
        <f t="shared" si="1796"/>
        <v>FFDFD3C0</v>
      </c>
      <c r="D4846" t="s">
        <v>123</v>
      </c>
      <c r="E4846">
        <v>7</v>
      </c>
      <c r="F4846">
        <v>2007</v>
      </c>
      <c r="G4846" t="s">
        <v>124</v>
      </c>
      <c r="J4846" t="s">
        <v>125</v>
      </c>
      <c r="K4846">
        <v>0</v>
      </c>
      <c r="L4846">
        <v>3</v>
      </c>
      <c r="M4846">
        <v>0</v>
      </c>
      <c r="N4846">
        <v>2</v>
      </c>
      <c r="O4846">
        <v>0</v>
      </c>
      <c r="P4846">
        <v>1</v>
      </c>
      <c r="Q4846">
        <v>0</v>
      </c>
      <c r="S4846" t="str">
        <f t="shared" si="1794"/>
        <v>19:38:31.000</v>
      </c>
      <c r="T4846" t="str">
        <f t="shared" si="1794"/>
        <v>19:38:31.000</v>
      </c>
      <c r="U4846" t="str">
        <f t="shared" si="1778"/>
        <v>AC3944</v>
      </c>
      <c r="V4846">
        <v>0</v>
      </c>
      <c r="W4846">
        <v>0</v>
      </c>
      <c r="X4846">
        <v>2</v>
      </c>
      <c r="Y4846">
        <v>0</v>
      </c>
      <c r="AA4846">
        <v>1</v>
      </c>
      <c r="AB4846">
        <v>8</v>
      </c>
      <c r="AC4846">
        <v>3</v>
      </c>
      <c r="AD4846">
        <v>0</v>
      </c>
      <c r="AE4846">
        <v>9</v>
      </c>
      <c r="AF4846" t="s">
        <v>138</v>
      </c>
      <c r="AG4846">
        <v>0</v>
      </c>
      <c r="AH4846">
        <v>3</v>
      </c>
      <c r="AI4846">
        <v>1</v>
      </c>
      <c r="AJ4846">
        <v>0</v>
      </c>
      <c r="AK4846" t="s">
        <v>1513</v>
      </c>
      <c r="AL4846">
        <v>32.707822</v>
      </c>
      <c r="AM4846" t="s">
        <v>1514</v>
      </c>
      <c r="AN4846">
        <v>-116.761301</v>
      </c>
      <c r="AO4846">
        <v>25</v>
      </c>
      <c r="AP4846">
        <v>3500</v>
      </c>
      <c r="AQ4846" t="s">
        <v>129</v>
      </c>
      <c r="AR4846">
        <v>-150</v>
      </c>
      <c r="AS4846">
        <v>-106</v>
      </c>
      <c r="AT4846">
        <v>-1600</v>
      </c>
      <c r="BB4846">
        <v>1200</v>
      </c>
      <c r="BC4846">
        <v>1</v>
      </c>
      <c r="BD4846" t="str">
        <f t="shared" si="1779"/>
        <v xml:space="preserve">N887QR  </v>
      </c>
      <c r="BE4846">
        <v>1</v>
      </c>
      <c r="BG4846">
        <v>0</v>
      </c>
      <c r="BH4846">
        <v>0</v>
      </c>
      <c r="BI4846">
        <v>0</v>
      </c>
      <c r="BJ4846">
        <v>2950</v>
      </c>
      <c r="BK4846">
        <v>-550</v>
      </c>
      <c r="BL4846" t="s">
        <v>163</v>
      </c>
      <c r="BM4846">
        <v>1</v>
      </c>
      <c r="BN4846">
        <v>1</v>
      </c>
      <c r="BO4846">
        <v>1</v>
      </c>
      <c r="BP4846">
        <v>0</v>
      </c>
      <c r="BS4846">
        <v>0</v>
      </c>
      <c r="BT4846">
        <v>0</v>
      </c>
      <c r="BU4846">
        <v>0</v>
      </c>
      <c r="CE4846" t="str">
        <f t="shared" si="1795"/>
        <v>19:38:31.448</v>
      </c>
      <c r="CF4846">
        <v>448222818</v>
      </c>
      <c r="CS4846">
        <v>0</v>
      </c>
      <c r="CT4846">
        <v>2</v>
      </c>
      <c r="CU4846">
        <v>0</v>
      </c>
      <c r="CV4846">
        <v>2</v>
      </c>
      <c r="CW4846">
        <v>0</v>
      </c>
      <c r="CX4846">
        <v>3</v>
      </c>
      <c r="CY4846">
        <v>7</v>
      </c>
      <c r="CZ4846" t="s">
        <v>131</v>
      </c>
      <c r="DA4846">
        <v>300</v>
      </c>
      <c r="DB4846">
        <v>0</v>
      </c>
      <c r="DC4846" t="s">
        <v>176</v>
      </c>
      <c r="DD4846" t="s">
        <v>177</v>
      </c>
      <c r="DG4846">
        <v>5474133</v>
      </c>
      <c r="DI4846">
        <v>1</v>
      </c>
      <c r="DJ4846">
        <v>0</v>
      </c>
      <c r="DK4846">
        <v>1</v>
      </c>
      <c r="DL4846">
        <v>0</v>
      </c>
      <c r="DM4846">
        <v>0</v>
      </c>
      <c r="DN4846">
        <v>1</v>
      </c>
      <c r="DO4846">
        <v>0</v>
      </c>
      <c r="DP4846">
        <v>0</v>
      </c>
      <c r="DQ4846">
        <v>0</v>
      </c>
      <c r="DR4846">
        <v>0</v>
      </c>
      <c r="DS4846">
        <v>0</v>
      </c>
    </row>
    <row r="4847" spans="1:123" x14ac:dyDescent="0.3">
      <c r="A4847" t="str">
        <f>"10/04/2022 19:38:31.762"</f>
        <v>10/04/2022 19:38:31.762</v>
      </c>
      <c r="C4847" t="str">
        <f t="shared" si="1796"/>
        <v>FFDFD3C0</v>
      </c>
      <c r="D4847" t="s">
        <v>143</v>
      </c>
      <c r="E4847">
        <v>20</v>
      </c>
      <c r="F4847">
        <v>1020</v>
      </c>
      <c r="G4847" t="s">
        <v>144</v>
      </c>
      <c r="J4847" t="s">
        <v>145</v>
      </c>
      <c r="K4847">
        <v>0</v>
      </c>
      <c r="L4847">
        <v>3</v>
      </c>
      <c r="M4847">
        <v>0</v>
      </c>
      <c r="N4847">
        <v>2</v>
      </c>
      <c r="O4847">
        <v>0</v>
      </c>
      <c r="P4847">
        <v>1</v>
      </c>
      <c r="Q4847">
        <v>0</v>
      </c>
      <c r="S4847" t="str">
        <f t="shared" si="1794"/>
        <v>19:38:31.000</v>
      </c>
      <c r="T4847" t="str">
        <f t="shared" si="1794"/>
        <v>19:38:31.000</v>
      </c>
      <c r="U4847" t="str">
        <f t="shared" si="1778"/>
        <v>AC3944</v>
      </c>
      <c r="V4847">
        <v>0</v>
      </c>
      <c r="W4847">
        <v>0</v>
      </c>
      <c r="X4847">
        <v>2</v>
      </c>
      <c r="Y4847">
        <v>0</v>
      </c>
      <c r="AA4847">
        <v>1</v>
      </c>
      <c r="AB4847">
        <v>8</v>
      </c>
      <c r="AC4847">
        <v>3</v>
      </c>
      <c r="AD4847">
        <v>0</v>
      </c>
      <c r="AE4847">
        <v>9</v>
      </c>
      <c r="AF4847" t="s">
        <v>138</v>
      </c>
      <c r="AG4847">
        <v>0</v>
      </c>
      <c r="AH4847">
        <v>3</v>
      </c>
      <c r="AI4847">
        <v>1</v>
      </c>
      <c r="AJ4847">
        <v>0</v>
      </c>
      <c r="AK4847" t="s">
        <v>1513</v>
      </c>
      <c r="AL4847">
        <v>32.707822</v>
      </c>
      <c r="AM4847" t="s">
        <v>1514</v>
      </c>
      <c r="AN4847">
        <v>-116.761301</v>
      </c>
      <c r="AO4847">
        <v>25</v>
      </c>
      <c r="AP4847">
        <v>3500</v>
      </c>
      <c r="AQ4847" t="s">
        <v>129</v>
      </c>
      <c r="AR4847">
        <v>-150</v>
      </c>
      <c r="AS4847">
        <v>-106</v>
      </c>
      <c r="AT4847">
        <v>-1600</v>
      </c>
      <c r="BB4847">
        <v>1200</v>
      </c>
      <c r="BC4847">
        <v>1</v>
      </c>
      <c r="BD4847" t="str">
        <f t="shared" si="1779"/>
        <v xml:space="preserve">N887QR  </v>
      </c>
      <c r="BE4847">
        <v>1</v>
      </c>
      <c r="BG4847">
        <v>0</v>
      </c>
      <c r="BH4847">
        <v>0</v>
      </c>
      <c r="BI4847">
        <v>0</v>
      </c>
      <c r="BJ4847">
        <v>2950</v>
      </c>
      <c r="BK4847">
        <v>-550</v>
      </c>
      <c r="BL4847" t="s">
        <v>163</v>
      </c>
      <c r="BM4847">
        <v>1</v>
      </c>
      <c r="BN4847">
        <v>1</v>
      </c>
      <c r="BO4847">
        <v>1</v>
      </c>
      <c r="BP4847">
        <v>0</v>
      </c>
      <c r="BS4847">
        <v>0</v>
      </c>
      <c r="BT4847">
        <v>0</v>
      </c>
      <c r="BU4847">
        <v>0</v>
      </c>
      <c r="CE4847" t="str">
        <f t="shared" si="1795"/>
        <v>19:38:31.448</v>
      </c>
      <c r="CF4847">
        <v>448222818</v>
      </c>
      <c r="CS4847">
        <v>0</v>
      </c>
      <c r="CT4847">
        <v>2</v>
      </c>
      <c r="CU4847">
        <v>0</v>
      </c>
      <c r="CV4847">
        <v>2</v>
      </c>
      <c r="CW4847">
        <v>0</v>
      </c>
      <c r="CX4847">
        <v>3</v>
      </c>
      <c r="CY4847">
        <v>7</v>
      </c>
      <c r="CZ4847" t="s">
        <v>131</v>
      </c>
      <c r="DA4847">
        <v>300</v>
      </c>
      <c r="DB4847">
        <v>0</v>
      </c>
      <c r="DC4847" t="s">
        <v>176</v>
      </c>
      <c r="DD4847" t="s">
        <v>177</v>
      </c>
      <c r="DG4847">
        <v>5474133</v>
      </c>
      <c r="DI4847">
        <v>1</v>
      </c>
      <c r="DJ4847">
        <v>0</v>
      </c>
      <c r="DK4847">
        <v>1</v>
      </c>
      <c r="DL4847">
        <v>0</v>
      </c>
      <c r="DM4847">
        <v>0</v>
      </c>
      <c r="DN4847">
        <v>1</v>
      </c>
      <c r="DO4847">
        <v>0</v>
      </c>
      <c r="DP4847">
        <v>0</v>
      </c>
      <c r="DQ4847">
        <v>0</v>
      </c>
      <c r="DR4847">
        <v>0</v>
      </c>
      <c r="DS4847">
        <v>0</v>
      </c>
    </row>
    <row r="4848" spans="1:123" x14ac:dyDescent="0.3">
      <c r="A4848" t="str">
        <f>"10/04/2022 19:38:32.496"</f>
        <v>10/04/2022 19:38:32.496</v>
      </c>
      <c r="C4848" t="str">
        <f t="shared" si="1796"/>
        <v>FFDFD3C0</v>
      </c>
      <c r="D4848" t="s">
        <v>134</v>
      </c>
      <c r="E4848">
        <v>15</v>
      </c>
      <c r="J4848" t="s">
        <v>135</v>
      </c>
      <c r="K4848">
        <v>0</v>
      </c>
      <c r="L4848">
        <v>3</v>
      </c>
      <c r="M4848">
        <v>0</v>
      </c>
      <c r="N4848">
        <v>2</v>
      </c>
      <c r="O4848">
        <v>0</v>
      </c>
      <c r="P4848">
        <v>1</v>
      </c>
      <c r="Q4848">
        <v>0</v>
      </c>
      <c r="S4848" t="str">
        <f t="shared" ref="S4848:T4854" si="1797">"19:38:32.000"</f>
        <v>19:38:32.000</v>
      </c>
      <c r="T4848" t="str">
        <f t="shared" si="1797"/>
        <v>19:38:32.000</v>
      </c>
      <c r="U4848" t="str">
        <f t="shared" si="1778"/>
        <v>AC3944</v>
      </c>
      <c r="V4848">
        <v>0</v>
      </c>
      <c r="W4848">
        <v>0</v>
      </c>
      <c r="X4848">
        <v>2</v>
      </c>
      <c r="Y4848">
        <v>0</v>
      </c>
      <c r="AA4848">
        <v>1</v>
      </c>
      <c r="AB4848">
        <v>8</v>
      </c>
      <c r="AC4848">
        <v>3</v>
      </c>
      <c r="AD4848">
        <v>0</v>
      </c>
      <c r="AE4848">
        <v>9</v>
      </c>
      <c r="AF4848" t="s">
        <v>138</v>
      </c>
      <c r="AG4848">
        <v>0</v>
      </c>
      <c r="AH4848">
        <v>3</v>
      </c>
      <c r="AI4848">
        <v>1</v>
      </c>
      <c r="AJ4848">
        <v>0</v>
      </c>
      <c r="AK4848" t="s">
        <v>1515</v>
      </c>
      <c r="AL4848">
        <v>32.707329000000001</v>
      </c>
      <c r="AM4848" t="s">
        <v>1516</v>
      </c>
      <c r="AN4848">
        <v>-116.76211600000001</v>
      </c>
      <c r="AO4848">
        <v>25</v>
      </c>
      <c r="AP4848">
        <v>3500</v>
      </c>
      <c r="AQ4848" t="s">
        <v>129</v>
      </c>
      <c r="AR4848">
        <v>-151</v>
      </c>
      <c r="AS4848">
        <v>-106</v>
      </c>
      <c r="AT4848">
        <v>-1664</v>
      </c>
      <c r="BB4848">
        <v>1200</v>
      </c>
      <c r="BC4848">
        <v>1</v>
      </c>
      <c r="BD4848" t="str">
        <f t="shared" si="1779"/>
        <v xml:space="preserve">N887QR  </v>
      </c>
      <c r="BE4848">
        <v>1</v>
      </c>
      <c r="BG4848">
        <v>0</v>
      </c>
      <c r="BH4848">
        <v>0</v>
      </c>
      <c r="BI4848">
        <v>0</v>
      </c>
      <c r="BJ4848">
        <v>2925</v>
      </c>
      <c r="BK4848">
        <v>-575</v>
      </c>
      <c r="BL4848" t="s">
        <v>163</v>
      </c>
      <c r="BM4848">
        <v>1</v>
      </c>
      <c r="BN4848">
        <v>1</v>
      </c>
      <c r="BO4848">
        <v>1</v>
      </c>
      <c r="BP4848">
        <v>0</v>
      </c>
      <c r="BS4848">
        <v>0</v>
      </c>
      <c r="BT4848">
        <v>0</v>
      </c>
      <c r="BU4848">
        <v>0</v>
      </c>
      <c r="CE4848" t="str">
        <f t="shared" ref="CE4848:CE4854" si="1798">"19:38:32.167"</f>
        <v>19:38:32.167</v>
      </c>
      <c r="CF4848">
        <v>166975185</v>
      </c>
      <c r="CS4848">
        <v>0</v>
      </c>
      <c r="CT4848">
        <v>2</v>
      </c>
      <c r="CU4848">
        <v>0</v>
      </c>
      <c r="CV4848">
        <v>2</v>
      </c>
      <c r="CW4848">
        <v>0</v>
      </c>
      <c r="CX4848">
        <v>3</v>
      </c>
      <c r="CY4848">
        <v>7</v>
      </c>
      <c r="CZ4848" t="s">
        <v>131</v>
      </c>
      <c r="DA4848">
        <v>300</v>
      </c>
      <c r="DB4848">
        <v>0</v>
      </c>
      <c r="DC4848" t="s">
        <v>176</v>
      </c>
      <c r="DD4848" t="s">
        <v>177</v>
      </c>
      <c r="DG4848">
        <v>5474248</v>
      </c>
      <c r="DI4848">
        <v>1</v>
      </c>
      <c r="DJ4848">
        <v>0</v>
      </c>
      <c r="DK4848">
        <v>0</v>
      </c>
      <c r="DL4848">
        <v>0</v>
      </c>
      <c r="DM4848">
        <v>0</v>
      </c>
      <c r="DN4848">
        <v>1</v>
      </c>
      <c r="DO4848">
        <v>0</v>
      </c>
      <c r="DP4848">
        <v>0</v>
      </c>
      <c r="DQ4848">
        <v>0</v>
      </c>
      <c r="DR4848">
        <v>0</v>
      </c>
      <c r="DS4848">
        <v>0</v>
      </c>
    </row>
    <row r="4849" spans="1:123" x14ac:dyDescent="0.3">
      <c r="A4849" t="str">
        <f>"10/04/2022 19:38:32.496"</f>
        <v>10/04/2022 19:38:32.496</v>
      </c>
      <c r="C4849" t="str">
        <f t="shared" si="1796"/>
        <v>FFDFD3C0</v>
      </c>
      <c r="D4849" t="s">
        <v>141</v>
      </c>
      <c r="E4849">
        <v>3</v>
      </c>
      <c r="H4849">
        <v>3</v>
      </c>
      <c r="I4849" t="s">
        <v>146</v>
      </c>
      <c r="J4849" t="s">
        <v>138</v>
      </c>
      <c r="K4849">
        <v>0</v>
      </c>
      <c r="L4849">
        <v>3</v>
      </c>
      <c r="M4849">
        <v>0</v>
      </c>
      <c r="N4849">
        <v>2</v>
      </c>
      <c r="O4849">
        <v>0</v>
      </c>
      <c r="P4849">
        <v>1</v>
      </c>
      <c r="Q4849">
        <v>0</v>
      </c>
      <c r="S4849" t="str">
        <f t="shared" si="1797"/>
        <v>19:38:32.000</v>
      </c>
      <c r="T4849" t="str">
        <f t="shared" si="1797"/>
        <v>19:38:32.000</v>
      </c>
      <c r="U4849" t="str">
        <f t="shared" si="1778"/>
        <v>AC3944</v>
      </c>
      <c r="V4849">
        <v>0</v>
      </c>
      <c r="W4849">
        <v>0</v>
      </c>
      <c r="X4849">
        <v>2</v>
      </c>
      <c r="Y4849">
        <v>0</v>
      </c>
      <c r="AA4849">
        <v>1</v>
      </c>
      <c r="AB4849">
        <v>8</v>
      </c>
      <c r="AC4849">
        <v>3</v>
      </c>
      <c r="AD4849">
        <v>0</v>
      </c>
      <c r="AE4849">
        <v>9</v>
      </c>
      <c r="AF4849" t="s">
        <v>138</v>
      </c>
      <c r="AG4849">
        <v>0</v>
      </c>
      <c r="AH4849">
        <v>3</v>
      </c>
      <c r="AI4849">
        <v>1</v>
      </c>
      <c r="AJ4849">
        <v>0</v>
      </c>
      <c r="AK4849" t="s">
        <v>1515</v>
      </c>
      <c r="AL4849">
        <v>32.707329000000001</v>
      </c>
      <c r="AM4849" t="s">
        <v>1516</v>
      </c>
      <c r="AN4849">
        <v>-116.76211600000001</v>
      </c>
      <c r="AO4849">
        <v>25</v>
      </c>
      <c r="AP4849">
        <v>3500</v>
      </c>
      <c r="AQ4849" t="s">
        <v>129</v>
      </c>
      <c r="AR4849">
        <v>-151</v>
      </c>
      <c r="AS4849">
        <v>-106</v>
      </c>
      <c r="AT4849">
        <v>-1664</v>
      </c>
      <c r="BB4849">
        <v>1200</v>
      </c>
      <c r="BC4849">
        <v>1</v>
      </c>
      <c r="BD4849" t="str">
        <f t="shared" si="1779"/>
        <v xml:space="preserve">N887QR  </v>
      </c>
      <c r="BE4849">
        <v>1</v>
      </c>
      <c r="BG4849">
        <v>0</v>
      </c>
      <c r="BH4849">
        <v>0</v>
      </c>
      <c r="BI4849">
        <v>0</v>
      </c>
      <c r="BJ4849">
        <v>2925</v>
      </c>
      <c r="BK4849">
        <v>-575</v>
      </c>
      <c r="BL4849" t="s">
        <v>163</v>
      </c>
      <c r="BM4849">
        <v>1</v>
      </c>
      <c r="BN4849">
        <v>1</v>
      </c>
      <c r="BO4849">
        <v>1</v>
      </c>
      <c r="BP4849">
        <v>0</v>
      </c>
      <c r="BS4849">
        <v>0</v>
      </c>
      <c r="BT4849">
        <v>0</v>
      </c>
      <c r="BU4849">
        <v>0</v>
      </c>
      <c r="CE4849" t="str">
        <f t="shared" si="1798"/>
        <v>19:38:32.167</v>
      </c>
      <c r="CF4849">
        <v>166975185</v>
      </c>
      <c r="CS4849">
        <v>0</v>
      </c>
      <c r="CT4849">
        <v>2</v>
      </c>
      <c r="CU4849">
        <v>0</v>
      </c>
      <c r="CV4849">
        <v>2</v>
      </c>
      <c r="CW4849">
        <v>0</v>
      </c>
      <c r="CX4849">
        <v>3</v>
      </c>
      <c r="CY4849">
        <v>7</v>
      </c>
      <c r="CZ4849" t="s">
        <v>131</v>
      </c>
      <c r="DA4849">
        <v>300</v>
      </c>
      <c r="DB4849">
        <v>0</v>
      </c>
      <c r="DC4849" t="s">
        <v>176</v>
      </c>
      <c r="DD4849" t="s">
        <v>177</v>
      </c>
      <c r="DG4849">
        <v>5474248</v>
      </c>
      <c r="DI4849">
        <v>1</v>
      </c>
      <c r="DJ4849">
        <v>0</v>
      </c>
      <c r="DK4849">
        <v>1</v>
      </c>
      <c r="DL4849">
        <v>0</v>
      </c>
      <c r="DM4849">
        <v>0</v>
      </c>
      <c r="DN4849">
        <v>1</v>
      </c>
      <c r="DO4849">
        <v>0</v>
      </c>
      <c r="DP4849">
        <v>0</v>
      </c>
      <c r="DQ4849">
        <v>0</v>
      </c>
      <c r="DR4849">
        <v>0</v>
      </c>
      <c r="DS4849">
        <v>0</v>
      </c>
    </row>
    <row r="4850" spans="1:123" x14ac:dyDescent="0.3">
      <c r="A4850" t="str">
        <f>"10/04/2022 19:38:32.559"</f>
        <v>10/04/2022 19:38:32.559</v>
      </c>
      <c r="C4850" t="str">
        <f t="shared" si="1796"/>
        <v>FFDFD3C0</v>
      </c>
      <c r="D4850" t="s">
        <v>141</v>
      </c>
      <c r="E4850">
        <v>4</v>
      </c>
      <c r="H4850">
        <v>4</v>
      </c>
      <c r="I4850" t="s">
        <v>142</v>
      </c>
      <c r="J4850" t="s">
        <v>138</v>
      </c>
      <c r="K4850">
        <v>0</v>
      </c>
      <c r="L4850">
        <v>3</v>
      </c>
      <c r="M4850">
        <v>0</v>
      </c>
      <c r="N4850">
        <v>2</v>
      </c>
      <c r="O4850">
        <v>0</v>
      </c>
      <c r="P4850">
        <v>1</v>
      </c>
      <c r="Q4850">
        <v>0</v>
      </c>
      <c r="S4850" t="str">
        <f t="shared" si="1797"/>
        <v>19:38:32.000</v>
      </c>
      <c r="T4850" t="str">
        <f t="shared" si="1797"/>
        <v>19:38:32.000</v>
      </c>
      <c r="U4850" t="str">
        <f t="shared" si="1778"/>
        <v>AC3944</v>
      </c>
      <c r="V4850">
        <v>0</v>
      </c>
      <c r="W4850">
        <v>0</v>
      </c>
      <c r="X4850">
        <v>2</v>
      </c>
      <c r="Y4850">
        <v>0</v>
      </c>
      <c r="AA4850">
        <v>1</v>
      </c>
      <c r="AB4850">
        <v>8</v>
      </c>
      <c r="AC4850">
        <v>3</v>
      </c>
      <c r="AD4850">
        <v>0</v>
      </c>
      <c r="AE4850">
        <v>9</v>
      </c>
      <c r="AF4850" t="s">
        <v>138</v>
      </c>
      <c r="AG4850">
        <v>0</v>
      </c>
      <c r="AH4850">
        <v>3</v>
      </c>
      <c r="AI4850">
        <v>1</v>
      </c>
      <c r="AJ4850">
        <v>0</v>
      </c>
      <c r="AK4850" t="s">
        <v>1515</v>
      </c>
      <c r="AL4850">
        <v>32.707329000000001</v>
      </c>
      <c r="AM4850" t="s">
        <v>1516</v>
      </c>
      <c r="AN4850">
        <v>-116.76211600000001</v>
      </c>
      <c r="AO4850">
        <v>25</v>
      </c>
      <c r="AP4850">
        <v>3500</v>
      </c>
      <c r="AQ4850" t="s">
        <v>129</v>
      </c>
      <c r="AR4850">
        <v>-151</v>
      </c>
      <c r="AS4850">
        <v>-106</v>
      </c>
      <c r="AT4850">
        <v>-1664</v>
      </c>
      <c r="BB4850">
        <v>1200</v>
      </c>
      <c r="BC4850">
        <v>1</v>
      </c>
      <c r="BD4850" t="str">
        <f t="shared" si="1779"/>
        <v xml:space="preserve">N887QR  </v>
      </c>
      <c r="BE4850">
        <v>1</v>
      </c>
      <c r="BG4850">
        <v>0</v>
      </c>
      <c r="BH4850">
        <v>0</v>
      </c>
      <c r="BI4850">
        <v>0</v>
      </c>
      <c r="BJ4850">
        <v>2925</v>
      </c>
      <c r="BK4850">
        <v>-575</v>
      </c>
      <c r="BL4850" t="s">
        <v>163</v>
      </c>
      <c r="BM4850">
        <v>1</v>
      </c>
      <c r="BN4850">
        <v>1</v>
      </c>
      <c r="BO4850">
        <v>1</v>
      </c>
      <c r="BP4850">
        <v>0</v>
      </c>
      <c r="BS4850">
        <v>0</v>
      </c>
      <c r="BT4850">
        <v>0</v>
      </c>
      <c r="BU4850">
        <v>0</v>
      </c>
      <c r="CE4850" t="str">
        <f t="shared" si="1798"/>
        <v>19:38:32.167</v>
      </c>
      <c r="CF4850">
        <v>166975185</v>
      </c>
      <c r="CS4850">
        <v>0</v>
      </c>
      <c r="CT4850">
        <v>2</v>
      </c>
      <c r="CU4850">
        <v>0</v>
      </c>
      <c r="CV4850">
        <v>2</v>
      </c>
      <c r="CW4850">
        <v>0</v>
      </c>
      <c r="CX4850">
        <v>3</v>
      </c>
      <c r="CY4850">
        <v>7</v>
      </c>
      <c r="CZ4850" t="s">
        <v>131</v>
      </c>
      <c r="DA4850">
        <v>300</v>
      </c>
      <c r="DB4850">
        <v>0</v>
      </c>
      <c r="DC4850" t="s">
        <v>176</v>
      </c>
      <c r="DD4850" t="s">
        <v>177</v>
      </c>
      <c r="DG4850">
        <v>5474248</v>
      </c>
      <c r="DI4850">
        <v>1</v>
      </c>
      <c r="DJ4850">
        <v>0</v>
      </c>
      <c r="DK4850">
        <v>1</v>
      </c>
      <c r="DL4850">
        <v>0</v>
      </c>
      <c r="DM4850">
        <v>0</v>
      </c>
      <c r="DN4850">
        <v>1</v>
      </c>
      <c r="DO4850">
        <v>0</v>
      </c>
      <c r="DP4850">
        <v>0</v>
      </c>
      <c r="DQ4850">
        <v>0</v>
      </c>
      <c r="DR4850">
        <v>0</v>
      </c>
      <c r="DS4850">
        <v>0</v>
      </c>
    </row>
    <row r="4851" spans="1:123" x14ac:dyDescent="0.3">
      <c r="A4851" t="str">
        <f>"10/04/2022 19:38:32.559"</f>
        <v>10/04/2022 19:38:32.559</v>
      </c>
      <c r="C4851" t="str">
        <f t="shared" si="1796"/>
        <v>FFDFD3C0</v>
      </c>
      <c r="D4851" t="s">
        <v>143</v>
      </c>
      <c r="E4851">
        <v>20</v>
      </c>
      <c r="F4851">
        <v>1020</v>
      </c>
      <c r="G4851" t="s">
        <v>144</v>
      </c>
      <c r="J4851" t="s">
        <v>145</v>
      </c>
      <c r="K4851">
        <v>0</v>
      </c>
      <c r="L4851">
        <v>3</v>
      </c>
      <c r="M4851">
        <v>0</v>
      </c>
      <c r="N4851">
        <v>2</v>
      </c>
      <c r="O4851">
        <v>0</v>
      </c>
      <c r="P4851">
        <v>1</v>
      </c>
      <c r="Q4851">
        <v>0</v>
      </c>
      <c r="S4851" t="str">
        <f t="shared" si="1797"/>
        <v>19:38:32.000</v>
      </c>
      <c r="T4851" t="str">
        <f t="shared" si="1797"/>
        <v>19:38:32.000</v>
      </c>
      <c r="U4851" t="str">
        <f t="shared" si="1778"/>
        <v>AC3944</v>
      </c>
      <c r="V4851">
        <v>0</v>
      </c>
      <c r="W4851">
        <v>0</v>
      </c>
      <c r="X4851">
        <v>2</v>
      </c>
      <c r="Y4851">
        <v>0</v>
      </c>
      <c r="AA4851">
        <v>1</v>
      </c>
      <c r="AB4851">
        <v>8</v>
      </c>
      <c r="AC4851">
        <v>3</v>
      </c>
      <c r="AD4851">
        <v>0</v>
      </c>
      <c r="AE4851">
        <v>9</v>
      </c>
      <c r="AF4851" t="s">
        <v>138</v>
      </c>
      <c r="AG4851">
        <v>0</v>
      </c>
      <c r="AH4851">
        <v>3</v>
      </c>
      <c r="AI4851">
        <v>1</v>
      </c>
      <c r="AJ4851">
        <v>0</v>
      </c>
      <c r="AK4851" t="s">
        <v>1515</v>
      </c>
      <c r="AL4851">
        <v>32.707329000000001</v>
      </c>
      <c r="AM4851" t="s">
        <v>1516</v>
      </c>
      <c r="AN4851">
        <v>-116.76211600000001</v>
      </c>
      <c r="AO4851">
        <v>25</v>
      </c>
      <c r="AP4851">
        <v>3500</v>
      </c>
      <c r="AQ4851" t="s">
        <v>129</v>
      </c>
      <c r="AR4851">
        <v>-151</v>
      </c>
      <c r="AS4851">
        <v>-106</v>
      </c>
      <c r="AT4851">
        <v>-1664</v>
      </c>
      <c r="BB4851">
        <v>1200</v>
      </c>
      <c r="BC4851">
        <v>1</v>
      </c>
      <c r="BD4851" t="str">
        <f t="shared" si="1779"/>
        <v xml:space="preserve">N887QR  </v>
      </c>
      <c r="BE4851">
        <v>1</v>
      </c>
      <c r="BG4851">
        <v>0</v>
      </c>
      <c r="BH4851">
        <v>0</v>
      </c>
      <c r="BI4851">
        <v>0</v>
      </c>
      <c r="BJ4851">
        <v>2925</v>
      </c>
      <c r="BK4851">
        <v>-575</v>
      </c>
      <c r="BL4851" t="s">
        <v>163</v>
      </c>
      <c r="BM4851">
        <v>1</v>
      </c>
      <c r="BN4851">
        <v>1</v>
      </c>
      <c r="BO4851">
        <v>1</v>
      </c>
      <c r="BP4851">
        <v>0</v>
      </c>
      <c r="BS4851">
        <v>0</v>
      </c>
      <c r="BT4851">
        <v>0</v>
      </c>
      <c r="BU4851">
        <v>0</v>
      </c>
      <c r="CE4851" t="str">
        <f t="shared" si="1798"/>
        <v>19:38:32.167</v>
      </c>
      <c r="CF4851">
        <v>166975185</v>
      </c>
      <c r="CS4851">
        <v>0</v>
      </c>
      <c r="CT4851">
        <v>2</v>
      </c>
      <c r="CU4851">
        <v>0</v>
      </c>
      <c r="CV4851">
        <v>2</v>
      </c>
      <c r="CW4851">
        <v>0</v>
      </c>
      <c r="CX4851">
        <v>3</v>
      </c>
      <c r="CY4851">
        <v>7</v>
      </c>
      <c r="CZ4851" t="s">
        <v>131</v>
      </c>
      <c r="DA4851">
        <v>300</v>
      </c>
      <c r="DB4851">
        <v>0</v>
      </c>
      <c r="DC4851" t="s">
        <v>176</v>
      </c>
      <c r="DD4851" t="s">
        <v>177</v>
      </c>
      <c r="DG4851">
        <v>5474248</v>
      </c>
      <c r="DI4851">
        <v>1</v>
      </c>
      <c r="DJ4851">
        <v>0</v>
      </c>
      <c r="DK4851">
        <v>0</v>
      </c>
      <c r="DL4851">
        <v>0</v>
      </c>
      <c r="DM4851">
        <v>0</v>
      </c>
      <c r="DN4851">
        <v>1</v>
      </c>
      <c r="DO4851">
        <v>0</v>
      </c>
      <c r="DP4851">
        <v>0</v>
      </c>
      <c r="DQ4851">
        <v>0</v>
      </c>
      <c r="DR4851">
        <v>0</v>
      </c>
      <c r="DS4851">
        <v>0</v>
      </c>
    </row>
    <row r="4852" spans="1:123" x14ac:dyDescent="0.3">
      <c r="A4852" t="str">
        <f>"10/04/2022 19:38:32.559"</f>
        <v>10/04/2022 19:38:32.559</v>
      </c>
      <c r="C4852" t="str">
        <f t="shared" si="1796"/>
        <v>FFDFD3C0</v>
      </c>
      <c r="D4852" t="s">
        <v>123</v>
      </c>
      <c r="E4852">
        <v>7</v>
      </c>
      <c r="F4852">
        <v>2007</v>
      </c>
      <c r="G4852" t="s">
        <v>124</v>
      </c>
      <c r="J4852" t="s">
        <v>125</v>
      </c>
      <c r="K4852">
        <v>0</v>
      </c>
      <c r="L4852">
        <v>3</v>
      </c>
      <c r="M4852">
        <v>0</v>
      </c>
      <c r="N4852">
        <v>2</v>
      </c>
      <c r="O4852">
        <v>0</v>
      </c>
      <c r="P4852">
        <v>1</v>
      </c>
      <c r="Q4852">
        <v>0</v>
      </c>
      <c r="S4852" t="str">
        <f t="shared" si="1797"/>
        <v>19:38:32.000</v>
      </c>
      <c r="T4852" t="str">
        <f t="shared" si="1797"/>
        <v>19:38:32.000</v>
      </c>
      <c r="U4852" t="str">
        <f t="shared" si="1778"/>
        <v>AC3944</v>
      </c>
      <c r="V4852">
        <v>0</v>
      </c>
      <c r="W4852">
        <v>0</v>
      </c>
      <c r="X4852">
        <v>2</v>
      </c>
      <c r="Y4852">
        <v>0</v>
      </c>
      <c r="AA4852">
        <v>1</v>
      </c>
      <c r="AB4852">
        <v>8</v>
      </c>
      <c r="AC4852">
        <v>3</v>
      </c>
      <c r="AD4852">
        <v>0</v>
      </c>
      <c r="AE4852">
        <v>9</v>
      </c>
      <c r="AF4852" t="s">
        <v>138</v>
      </c>
      <c r="AG4852">
        <v>0</v>
      </c>
      <c r="AH4852">
        <v>3</v>
      </c>
      <c r="AI4852">
        <v>1</v>
      </c>
      <c r="AJ4852">
        <v>0</v>
      </c>
      <c r="AK4852" t="s">
        <v>1515</v>
      </c>
      <c r="AL4852">
        <v>32.707329000000001</v>
      </c>
      <c r="AM4852" t="s">
        <v>1516</v>
      </c>
      <c r="AN4852">
        <v>-116.76211600000001</v>
      </c>
      <c r="AO4852">
        <v>25</v>
      </c>
      <c r="AP4852">
        <v>3500</v>
      </c>
      <c r="AQ4852" t="s">
        <v>129</v>
      </c>
      <c r="AR4852">
        <v>-151</v>
      </c>
      <c r="AS4852">
        <v>-106</v>
      </c>
      <c r="AT4852">
        <v>-1664</v>
      </c>
      <c r="BB4852">
        <v>1200</v>
      </c>
      <c r="BC4852">
        <v>1</v>
      </c>
      <c r="BD4852" t="str">
        <f t="shared" si="1779"/>
        <v xml:space="preserve">N887QR  </v>
      </c>
      <c r="BE4852">
        <v>1</v>
      </c>
      <c r="BG4852">
        <v>0</v>
      </c>
      <c r="BH4852">
        <v>0</v>
      </c>
      <c r="BI4852">
        <v>0</v>
      </c>
      <c r="BJ4852">
        <v>2925</v>
      </c>
      <c r="BK4852">
        <v>-575</v>
      </c>
      <c r="BL4852" t="s">
        <v>163</v>
      </c>
      <c r="BM4852">
        <v>1</v>
      </c>
      <c r="BN4852">
        <v>1</v>
      </c>
      <c r="BO4852">
        <v>1</v>
      </c>
      <c r="BP4852">
        <v>0</v>
      </c>
      <c r="BS4852">
        <v>0</v>
      </c>
      <c r="BT4852">
        <v>0</v>
      </c>
      <c r="BU4852">
        <v>0</v>
      </c>
      <c r="CE4852" t="str">
        <f t="shared" si="1798"/>
        <v>19:38:32.167</v>
      </c>
      <c r="CF4852">
        <v>166975185</v>
      </c>
      <c r="CS4852">
        <v>0</v>
      </c>
      <c r="CT4852">
        <v>2</v>
      </c>
      <c r="CU4852">
        <v>0</v>
      </c>
      <c r="CV4852">
        <v>2</v>
      </c>
      <c r="CW4852">
        <v>0</v>
      </c>
      <c r="CX4852">
        <v>3</v>
      </c>
      <c r="CY4852">
        <v>7</v>
      </c>
      <c r="CZ4852" t="s">
        <v>131</v>
      </c>
      <c r="DA4852">
        <v>300</v>
      </c>
      <c r="DB4852">
        <v>0</v>
      </c>
      <c r="DC4852" t="s">
        <v>176</v>
      </c>
      <c r="DD4852" t="s">
        <v>177</v>
      </c>
      <c r="DG4852">
        <v>5474248</v>
      </c>
      <c r="DI4852">
        <v>1</v>
      </c>
      <c r="DJ4852">
        <v>0</v>
      </c>
      <c r="DK4852">
        <v>1</v>
      </c>
      <c r="DL4852">
        <v>0</v>
      </c>
      <c r="DM4852">
        <v>0</v>
      </c>
      <c r="DN4852">
        <v>1</v>
      </c>
      <c r="DO4852">
        <v>0</v>
      </c>
      <c r="DP4852">
        <v>0</v>
      </c>
      <c r="DQ4852">
        <v>0</v>
      </c>
      <c r="DR4852">
        <v>0</v>
      </c>
      <c r="DS4852">
        <v>0</v>
      </c>
    </row>
    <row r="4853" spans="1:123" x14ac:dyDescent="0.3">
      <c r="A4853" t="str">
        <f>"10/04/2022 19:38:32.559"</f>
        <v>10/04/2022 19:38:32.559</v>
      </c>
      <c r="C4853" t="str">
        <f t="shared" si="1796"/>
        <v>FFDFD3C0</v>
      </c>
      <c r="D4853" t="s">
        <v>147</v>
      </c>
      <c r="E4853">
        <v>3</v>
      </c>
      <c r="H4853">
        <v>166</v>
      </c>
      <c r="I4853" t="s">
        <v>144</v>
      </c>
      <c r="J4853" t="s">
        <v>148</v>
      </c>
      <c r="K4853">
        <v>0</v>
      </c>
      <c r="L4853">
        <v>3</v>
      </c>
      <c r="M4853">
        <v>0</v>
      </c>
      <c r="N4853">
        <v>2</v>
      </c>
      <c r="O4853">
        <v>0</v>
      </c>
      <c r="P4853">
        <v>1</v>
      </c>
      <c r="Q4853">
        <v>0</v>
      </c>
      <c r="S4853" t="str">
        <f t="shared" si="1797"/>
        <v>19:38:32.000</v>
      </c>
      <c r="T4853" t="str">
        <f t="shared" si="1797"/>
        <v>19:38:32.000</v>
      </c>
      <c r="U4853" t="str">
        <f t="shared" si="1778"/>
        <v>AC3944</v>
      </c>
      <c r="V4853">
        <v>0</v>
      </c>
      <c r="W4853">
        <v>0</v>
      </c>
      <c r="X4853">
        <v>2</v>
      </c>
      <c r="Y4853">
        <v>0</v>
      </c>
      <c r="AA4853">
        <v>1</v>
      </c>
      <c r="AB4853">
        <v>8</v>
      </c>
      <c r="AC4853">
        <v>3</v>
      </c>
      <c r="AD4853">
        <v>0</v>
      </c>
      <c r="AE4853">
        <v>9</v>
      </c>
      <c r="AF4853" t="s">
        <v>138</v>
      </c>
      <c r="AG4853">
        <v>0</v>
      </c>
      <c r="AH4853">
        <v>3</v>
      </c>
      <c r="AI4853">
        <v>1</v>
      </c>
      <c r="AJ4853">
        <v>0</v>
      </c>
      <c r="AK4853" t="s">
        <v>1515</v>
      </c>
      <c r="AL4853">
        <v>32.707329000000001</v>
      </c>
      <c r="AM4853" t="s">
        <v>1516</v>
      </c>
      <c r="AN4853">
        <v>-116.76211600000001</v>
      </c>
      <c r="AO4853">
        <v>25</v>
      </c>
      <c r="AP4853">
        <v>3500</v>
      </c>
      <c r="AQ4853" t="s">
        <v>129</v>
      </c>
      <c r="AR4853">
        <v>-151</v>
      </c>
      <c r="AS4853">
        <v>-106</v>
      </c>
      <c r="AT4853">
        <v>-1664</v>
      </c>
      <c r="BB4853">
        <v>1200</v>
      </c>
      <c r="BC4853">
        <v>1</v>
      </c>
      <c r="BD4853" t="str">
        <f t="shared" si="1779"/>
        <v xml:space="preserve">N887QR  </v>
      </c>
      <c r="BE4853">
        <v>1</v>
      </c>
      <c r="BG4853">
        <v>0</v>
      </c>
      <c r="BH4853">
        <v>0</v>
      </c>
      <c r="BI4853">
        <v>0</v>
      </c>
      <c r="BJ4853">
        <v>2925</v>
      </c>
      <c r="BK4853">
        <v>-575</v>
      </c>
      <c r="BL4853" t="s">
        <v>163</v>
      </c>
      <c r="BM4853">
        <v>1</v>
      </c>
      <c r="BN4853">
        <v>1</v>
      </c>
      <c r="BO4853">
        <v>1</v>
      </c>
      <c r="BP4853">
        <v>0</v>
      </c>
      <c r="BS4853">
        <v>0</v>
      </c>
      <c r="BT4853">
        <v>0</v>
      </c>
      <c r="BU4853">
        <v>0</v>
      </c>
      <c r="CE4853" t="str">
        <f t="shared" si="1798"/>
        <v>19:38:32.167</v>
      </c>
      <c r="CF4853">
        <v>166975185</v>
      </c>
      <c r="CS4853">
        <v>0</v>
      </c>
      <c r="CT4853">
        <v>2</v>
      </c>
      <c r="CU4853">
        <v>0</v>
      </c>
      <c r="CV4853">
        <v>2</v>
      </c>
      <c r="CW4853">
        <v>0</v>
      </c>
      <c r="CX4853">
        <v>3</v>
      </c>
      <c r="CY4853">
        <v>7</v>
      </c>
      <c r="CZ4853" t="s">
        <v>131</v>
      </c>
      <c r="DA4853">
        <v>300</v>
      </c>
      <c r="DB4853">
        <v>0</v>
      </c>
      <c r="DC4853" t="s">
        <v>176</v>
      </c>
      <c r="DD4853" t="s">
        <v>177</v>
      </c>
      <c r="DG4853">
        <v>5474248</v>
      </c>
      <c r="DI4853">
        <v>1</v>
      </c>
      <c r="DJ4853">
        <v>0</v>
      </c>
      <c r="DK4853">
        <v>1</v>
      </c>
      <c r="DL4853">
        <v>0</v>
      </c>
      <c r="DM4853">
        <v>0</v>
      </c>
      <c r="DN4853">
        <v>1</v>
      </c>
      <c r="DO4853">
        <v>0</v>
      </c>
      <c r="DP4853">
        <v>0</v>
      </c>
      <c r="DQ4853">
        <v>0</v>
      </c>
      <c r="DR4853">
        <v>0</v>
      </c>
      <c r="DS4853">
        <v>0</v>
      </c>
    </row>
    <row r="4854" spans="1:123" x14ac:dyDescent="0.3">
      <c r="A4854" t="str">
        <f>"10/04/2022 19:38:32.559"</f>
        <v>10/04/2022 19:38:32.559</v>
      </c>
      <c r="C4854" t="str">
        <f t="shared" si="1796"/>
        <v>FFDFD3C0</v>
      </c>
      <c r="D4854" t="s">
        <v>136</v>
      </c>
      <c r="E4854">
        <v>8</v>
      </c>
      <c r="H4854">
        <v>225</v>
      </c>
      <c r="I4854" t="s">
        <v>137</v>
      </c>
      <c r="J4854" t="s">
        <v>138</v>
      </c>
      <c r="K4854">
        <v>0</v>
      </c>
      <c r="L4854">
        <v>3</v>
      </c>
      <c r="M4854">
        <v>0</v>
      </c>
      <c r="N4854">
        <v>2</v>
      </c>
      <c r="O4854">
        <v>0</v>
      </c>
      <c r="P4854">
        <v>1</v>
      </c>
      <c r="Q4854">
        <v>0</v>
      </c>
      <c r="S4854" t="str">
        <f t="shared" si="1797"/>
        <v>19:38:32.000</v>
      </c>
      <c r="T4854" t="str">
        <f t="shared" si="1797"/>
        <v>19:38:32.000</v>
      </c>
      <c r="U4854" t="str">
        <f t="shared" si="1778"/>
        <v>AC3944</v>
      </c>
      <c r="V4854">
        <v>0</v>
      </c>
      <c r="W4854">
        <v>0</v>
      </c>
      <c r="X4854">
        <v>2</v>
      </c>
      <c r="Y4854">
        <v>0</v>
      </c>
      <c r="AA4854">
        <v>1</v>
      </c>
      <c r="AB4854">
        <v>8</v>
      </c>
      <c r="AC4854">
        <v>3</v>
      </c>
      <c r="AD4854">
        <v>0</v>
      </c>
      <c r="AE4854">
        <v>9</v>
      </c>
      <c r="AF4854" t="s">
        <v>138</v>
      </c>
      <c r="AG4854">
        <v>0</v>
      </c>
      <c r="AH4854">
        <v>3</v>
      </c>
      <c r="AI4854">
        <v>1</v>
      </c>
      <c r="AJ4854">
        <v>0</v>
      </c>
      <c r="AK4854" t="s">
        <v>1515</v>
      </c>
      <c r="AL4854">
        <v>32.707329000000001</v>
      </c>
      <c r="AM4854" t="s">
        <v>1516</v>
      </c>
      <c r="AN4854">
        <v>-116.76211600000001</v>
      </c>
      <c r="AO4854">
        <v>25</v>
      </c>
      <c r="AP4854">
        <v>3500</v>
      </c>
      <c r="AQ4854" t="s">
        <v>129</v>
      </c>
      <c r="AR4854">
        <v>-151</v>
      </c>
      <c r="AS4854">
        <v>-106</v>
      </c>
      <c r="AT4854">
        <v>-1664</v>
      </c>
      <c r="BB4854">
        <v>1200</v>
      </c>
      <c r="BC4854">
        <v>1</v>
      </c>
      <c r="BD4854" t="str">
        <f t="shared" si="1779"/>
        <v xml:space="preserve">N887QR  </v>
      </c>
      <c r="BE4854">
        <v>1</v>
      </c>
      <c r="BG4854">
        <v>0</v>
      </c>
      <c r="BH4854">
        <v>0</v>
      </c>
      <c r="BI4854">
        <v>0</v>
      </c>
      <c r="BJ4854">
        <v>2925</v>
      </c>
      <c r="BK4854">
        <v>-575</v>
      </c>
      <c r="BL4854" t="s">
        <v>163</v>
      </c>
      <c r="BM4854">
        <v>1</v>
      </c>
      <c r="BN4854">
        <v>1</v>
      </c>
      <c r="BO4854">
        <v>1</v>
      </c>
      <c r="BP4854">
        <v>0</v>
      </c>
      <c r="BS4854">
        <v>0</v>
      </c>
      <c r="BT4854">
        <v>0</v>
      </c>
      <c r="BU4854">
        <v>0</v>
      </c>
      <c r="CE4854" t="str">
        <f t="shared" si="1798"/>
        <v>19:38:32.167</v>
      </c>
      <c r="CF4854">
        <v>166975185</v>
      </c>
      <c r="CS4854">
        <v>0</v>
      </c>
      <c r="CT4854">
        <v>2</v>
      </c>
      <c r="CU4854">
        <v>0</v>
      </c>
      <c r="CV4854">
        <v>2</v>
      </c>
      <c r="CW4854">
        <v>0</v>
      </c>
      <c r="CX4854">
        <v>3</v>
      </c>
      <c r="CY4854">
        <v>7</v>
      </c>
      <c r="CZ4854" t="s">
        <v>131</v>
      </c>
      <c r="DA4854">
        <v>300</v>
      </c>
      <c r="DB4854">
        <v>0</v>
      </c>
      <c r="DC4854" t="s">
        <v>176</v>
      </c>
      <c r="DD4854" t="s">
        <v>177</v>
      </c>
      <c r="DG4854">
        <v>5474248</v>
      </c>
      <c r="DI4854">
        <v>1</v>
      </c>
      <c r="DJ4854">
        <v>0</v>
      </c>
      <c r="DK4854">
        <v>1</v>
      </c>
      <c r="DL4854">
        <v>0</v>
      </c>
      <c r="DM4854">
        <v>0</v>
      </c>
      <c r="DN4854">
        <v>1</v>
      </c>
      <c r="DO4854">
        <v>0</v>
      </c>
      <c r="DP4854">
        <v>0</v>
      </c>
      <c r="DQ4854">
        <v>0</v>
      </c>
      <c r="DR4854">
        <v>0</v>
      </c>
      <c r="DS4854">
        <v>0</v>
      </c>
    </row>
    <row r="4855" spans="1:123" x14ac:dyDescent="0.3">
      <c r="A4855" t="str">
        <f t="shared" ref="A4855:A4861" si="1799">"10/04/2022 19:38:33.325"</f>
        <v>10/04/2022 19:38:33.325</v>
      </c>
      <c r="C4855" t="str">
        <f t="shared" si="1796"/>
        <v>FFDFD3C0</v>
      </c>
      <c r="D4855" t="s">
        <v>134</v>
      </c>
      <c r="E4855">
        <v>15</v>
      </c>
      <c r="J4855" t="s">
        <v>135</v>
      </c>
      <c r="K4855">
        <v>0</v>
      </c>
      <c r="L4855">
        <v>3</v>
      </c>
      <c r="M4855">
        <v>0</v>
      </c>
      <c r="N4855">
        <v>2</v>
      </c>
      <c r="O4855">
        <v>0</v>
      </c>
      <c r="P4855">
        <v>1</v>
      </c>
      <c r="Q4855">
        <v>0</v>
      </c>
      <c r="S4855" t="str">
        <f t="shared" ref="S4855:T4861" si="1800">"19:38:33.000"</f>
        <v>19:38:33.000</v>
      </c>
      <c r="T4855" t="str">
        <f t="shared" si="1800"/>
        <v>19:38:33.000</v>
      </c>
      <c r="U4855" t="str">
        <f t="shared" si="1778"/>
        <v>AC3944</v>
      </c>
      <c r="V4855">
        <v>0</v>
      </c>
      <c r="W4855">
        <v>0</v>
      </c>
      <c r="X4855">
        <v>2</v>
      </c>
      <c r="Y4855">
        <v>0</v>
      </c>
      <c r="AA4855">
        <v>1</v>
      </c>
      <c r="AB4855">
        <v>8</v>
      </c>
      <c r="AC4855">
        <v>3</v>
      </c>
      <c r="AD4855">
        <v>0</v>
      </c>
      <c r="AE4855">
        <v>9</v>
      </c>
      <c r="AF4855" t="s">
        <v>138</v>
      </c>
      <c r="AG4855">
        <v>0</v>
      </c>
      <c r="AH4855">
        <v>3</v>
      </c>
      <c r="AI4855">
        <v>1</v>
      </c>
      <c r="AJ4855">
        <v>0</v>
      </c>
      <c r="AK4855" t="s">
        <v>1517</v>
      </c>
      <c r="AL4855">
        <v>32.706834999999998</v>
      </c>
      <c r="AM4855" t="s">
        <v>1518</v>
      </c>
      <c r="AN4855">
        <v>-116.762953</v>
      </c>
      <c r="AO4855">
        <v>25</v>
      </c>
      <c r="AP4855">
        <v>3400</v>
      </c>
      <c r="AQ4855" t="s">
        <v>129</v>
      </c>
      <c r="AR4855">
        <v>-149</v>
      </c>
      <c r="AS4855">
        <v>-103</v>
      </c>
      <c r="AT4855">
        <v>-1664</v>
      </c>
      <c r="BB4855">
        <v>1200</v>
      </c>
      <c r="BC4855">
        <v>1</v>
      </c>
      <c r="BD4855" t="str">
        <f t="shared" si="1779"/>
        <v xml:space="preserve">N887QR  </v>
      </c>
      <c r="BE4855">
        <v>1</v>
      </c>
      <c r="BG4855">
        <v>0</v>
      </c>
      <c r="BH4855">
        <v>0</v>
      </c>
      <c r="BI4855">
        <v>0</v>
      </c>
      <c r="BJ4855">
        <v>2925</v>
      </c>
      <c r="BK4855">
        <v>-475</v>
      </c>
      <c r="BL4855" t="s">
        <v>163</v>
      </c>
      <c r="BM4855">
        <v>1</v>
      </c>
      <c r="BN4855">
        <v>1</v>
      </c>
      <c r="BO4855">
        <v>1</v>
      </c>
      <c r="BP4855">
        <v>0</v>
      </c>
      <c r="BS4855">
        <v>0</v>
      </c>
      <c r="BT4855">
        <v>0</v>
      </c>
      <c r="BU4855">
        <v>0</v>
      </c>
      <c r="CE4855" t="str">
        <f t="shared" ref="CE4855:CE4861" si="1801">"19:38:33.101"</f>
        <v>19:38:33.101</v>
      </c>
      <c r="CF4855">
        <v>101228340</v>
      </c>
      <c r="CS4855">
        <v>0</v>
      </c>
      <c r="CT4855">
        <v>2</v>
      </c>
      <c r="CU4855">
        <v>0</v>
      </c>
      <c r="CV4855">
        <v>2</v>
      </c>
      <c r="CW4855">
        <v>0</v>
      </c>
      <c r="CX4855">
        <v>3</v>
      </c>
      <c r="CY4855">
        <v>7</v>
      </c>
      <c r="CZ4855" t="s">
        <v>131</v>
      </c>
      <c r="DA4855">
        <v>300</v>
      </c>
      <c r="DB4855">
        <v>0</v>
      </c>
      <c r="DC4855" t="s">
        <v>176</v>
      </c>
      <c r="DD4855" t="s">
        <v>177</v>
      </c>
      <c r="DG4855">
        <v>5474409</v>
      </c>
      <c r="DI4855">
        <v>1</v>
      </c>
      <c r="DJ4855">
        <v>0</v>
      </c>
      <c r="DK4855">
        <v>0</v>
      </c>
      <c r="DL4855">
        <v>0</v>
      </c>
      <c r="DM4855">
        <v>0</v>
      </c>
      <c r="DN4855">
        <v>1</v>
      </c>
      <c r="DO4855">
        <v>0</v>
      </c>
      <c r="DP4855">
        <v>0</v>
      </c>
      <c r="DQ4855">
        <v>0</v>
      </c>
      <c r="DR4855">
        <v>0</v>
      </c>
      <c r="DS4855">
        <v>0</v>
      </c>
    </row>
    <row r="4856" spans="1:123" x14ac:dyDescent="0.3">
      <c r="A4856" t="str">
        <f t="shared" si="1799"/>
        <v>10/04/2022 19:38:33.325</v>
      </c>
      <c r="C4856" t="str">
        <f t="shared" si="1796"/>
        <v>FFDFD3C0</v>
      </c>
      <c r="D4856" t="s">
        <v>141</v>
      </c>
      <c r="E4856">
        <v>3</v>
      </c>
      <c r="H4856">
        <v>3</v>
      </c>
      <c r="I4856" t="s">
        <v>146</v>
      </c>
      <c r="J4856" t="s">
        <v>138</v>
      </c>
      <c r="K4856">
        <v>0</v>
      </c>
      <c r="L4856">
        <v>3</v>
      </c>
      <c r="M4856">
        <v>0</v>
      </c>
      <c r="N4856">
        <v>2</v>
      </c>
      <c r="O4856">
        <v>0</v>
      </c>
      <c r="P4856">
        <v>1</v>
      </c>
      <c r="Q4856">
        <v>0</v>
      </c>
      <c r="S4856" t="str">
        <f t="shared" si="1800"/>
        <v>19:38:33.000</v>
      </c>
      <c r="T4856" t="str">
        <f t="shared" si="1800"/>
        <v>19:38:33.000</v>
      </c>
      <c r="U4856" t="str">
        <f t="shared" si="1778"/>
        <v>AC3944</v>
      </c>
      <c r="V4856">
        <v>0</v>
      </c>
      <c r="W4856">
        <v>0</v>
      </c>
      <c r="X4856">
        <v>2</v>
      </c>
      <c r="Y4856">
        <v>0</v>
      </c>
      <c r="AA4856">
        <v>1</v>
      </c>
      <c r="AB4856">
        <v>8</v>
      </c>
      <c r="AC4856">
        <v>3</v>
      </c>
      <c r="AD4856">
        <v>0</v>
      </c>
      <c r="AE4856">
        <v>9</v>
      </c>
      <c r="AF4856" t="s">
        <v>138</v>
      </c>
      <c r="AG4856">
        <v>0</v>
      </c>
      <c r="AH4856">
        <v>3</v>
      </c>
      <c r="AI4856">
        <v>1</v>
      </c>
      <c r="AJ4856">
        <v>0</v>
      </c>
      <c r="AK4856" t="s">
        <v>1517</v>
      </c>
      <c r="AL4856">
        <v>32.706834999999998</v>
      </c>
      <c r="AM4856" t="s">
        <v>1518</v>
      </c>
      <c r="AN4856">
        <v>-116.762953</v>
      </c>
      <c r="AO4856">
        <v>25</v>
      </c>
      <c r="AP4856">
        <v>3400</v>
      </c>
      <c r="AQ4856" t="s">
        <v>129</v>
      </c>
      <c r="AR4856">
        <v>-149</v>
      </c>
      <c r="AS4856">
        <v>-103</v>
      </c>
      <c r="AT4856">
        <v>-1664</v>
      </c>
      <c r="BB4856">
        <v>1200</v>
      </c>
      <c r="BC4856">
        <v>1</v>
      </c>
      <c r="BD4856" t="str">
        <f t="shared" si="1779"/>
        <v xml:space="preserve">N887QR  </v>
      </c>
      <c r="BE4856">
        <v>1</v>
      </c>
      <c r="BG4856">
        <v>0</v>
      </c>
      <c r="BH4856">
        <v>0</v>
      </c>
      <c r="BI4856">
        <v>0</v>
      </c>
      <c r="BJ4856">
        <v>2925</v>
      </c>
      <c r="BK4856">
        <v>-475</v>
      </c>
      <c r="BL4856" t="s">
        <v>163</v>
      </c>
      <c r="BM4856">
        <v>1</v>
      </c>
      <c r="BN4856">
        <v>1</v>
      </c>
      <c r="BO4856">
        <v>1</v>
      </c>
      <c r="BP4856">
        <v>0</v>
      </c>
      <c r="BS4856">
        <v>0</v>
      </c>
      <c r="BT4856">
        <v>0</v>
      </c>
      <c r="BU4856">
        <v>0</v>
      </c>
      <c r="CE4856" t="str">
        <f t="shared" si="1801"/>
        <v>19:38:33.101</v>
      </c>
      <c r="CF4856">
        <v>101228340</v>
      </c>
      <c r="CS4856">
        <v>0</v>
      </c>
      <c r="CT4856">
        <v>2</v>
      </c>
      <c r="CU4856">
        <v>0</v>
      </c>
      <c r="CV4856">
        <v>2</v>
      </c>
      <c r="CW4856">
        <v>0</v>
      </c>
      <c r="CX4856">
        <v>3</v>
      </c>
      <c r="CY4856">
        <v>7</v>
      </c>
      <c r="CZ4856" t="s">
        <v>131</v>
      </c>
      <c r="DA4856">
        <v>300</v>
      </c>
      <c r="DB4856">
        <v>0</v>
      </c>
      <c r="DC4856" t="s">
        <v>176</v>
      </c>
      <c r="DD4856" t="s">
        <v>177</v>
      </c>
      <c r="DG4856">
        <v>5474409</v>
      </c>
      <c r="DI4856">
        <v>1</v>
      </c>
      <c r="DJ4856">
        <v>0</v>
      </c>
      <c r="DK4856">
        <v>1</v>
      </c>
      <c r="DL4856">
        <v>0</v>
      </c>
      <c r="DM4856">
        <v>0</v>
      </c>
      <c r="DN4856">
        <v>1</v>
      </c>
      <c r="DO4856">
        <v>0</v>
      </c>
      <c r="DP4856">
        <v>0</v>
      </c>
      <c r="DQ4856">
        <v>0</v>
      </c>
      <c r="DR4856">
        <v>0</v>
      </c>
      <c r="DS4856">
        <v>0</v>
      </c>
    </row>
    <row r="4857" spans="1:123" x14ac:dyDescent="0.3">
      <c r="A4857" t="str">
        <f t="shared" si="1799"/>
        <v>10/04/2022 19:38:33.325</v>
      </c>
      <c r="C4857" t="str">
        <f t="shared" si="1796"/>
        <v>FFDFD3C0</v>
      </c>
      <c r="D4857" t="s">
        <v>141</v>
      </c>
      <c r="E4857">
        <v>4</v>
      </c>
      <c r="H4857">
        <v>4</v>
      </c>
      <c r="I4857" t="s">
        <v>142</v>
      </c>
      <c r="J4857" t="s">
        <v>138</v>
      </c>
      <c r="K4857">
        <v>0</v>
      </c>
      <c r="L4857">
        <v>3</v>
      </c>
      <c r="M4857">
        <v>0</v>
      </c>
      <c r="N4857">
        <v>2</v>
      </c>
      <c r="O4857">
        <v>0</v>
      </c>
      <c r="P4857">
        <v>1</v>
      </c>
      <c r="Q4857">
        <v>0</v>
      </c>
      <c r="S4857" t="str">
        <f t="shared" si="1800"/>
        <v>19:38:33.000</v>
      </c>
      <c r="T4857" t="str">
        <f t="shared" si="1800"/>
        <v>19:38:33.000</v>
      </c>
      <c r="U4857" t="str">
        <f t="shared" si="1778"/>
        <v>AC3944</v>
      </c>
      <c r="V4857">
        <v>0</v>
      </c>
      <c r="W4857">
        <v>0</v>
      </c>
      <c r="X4857">
        <v>2</v>
      </c>
      <c r="Y4857">
        <v>0</v>
      </c>
      <c r="AA4857">
        <v>1</v>
      </c>
      <c r="AB4857">
        <v>8</v>
      </c>
      <c r="AC4857">
        <v>3</v>
      </c>
      <c r="AD4857">
        <v>0</v>
      </c>
      <c r="AE4857">
        <v>9</v>
      </c>
      <c r="AF4857" t="s">
        <v>138</v>
      </c>
      <c r="AG4857">
        <v>0</v>
      </c>
      <c r="AH4857">
        <v>3</v>
      </c>
      <c r="AI4857">
        <v>1</v>
      </c>
      <c r="AJ4857">
        <v>0</v>
      </c>
      <c r="AK4857" t="s">
        <v>1517</v>
      </c>
      <c r="AL4857">
        <v>32.706834999999998</v>
      </c>
      <c r="AM4857" t="s">
        <v>1518</v>
      </c>
      <c r="AN4857">
        <v>-116.762953</v>
      </c>
      <c r="AO4857">
        <v>25</v>
      </c>
      <c r="AP4857">
        <v>3400</v>
      </c>
      <c r="AQ4857" t="s">
        <v>129</v>
      </c>
      <c r="AR4857">
        <v>-149</v>
      </c>
      <c r="AS4857">
        <v>-103</v>
      </c>
      <c r="AT4857">
        <v>-1664</v>
      </c>
      <c r="BB4857">
        <v>1200</v>
      </c>
      <c r="BC4857">
        <v>1</v>
      </c>
      <c r="BD4857" t="str">
        <f t="shared" si="1779"/>
        <v xml:space="preserve">N887QR  </v>
      </c>
      <c r="BE4857">
        <v>1</v>
      </c>
      <c r="BG4857">
        <v>0</v>
      </c>
      <c r="BH4857">
        <v>0</v>
      </c>
      <c r="BI4857">
        <v>0</v>
      </c>
      <c r="BJ4857">
        <v>2925</v>
      </c>
      <c r="BK4857">
        <v>-475</v>
      </c>
      <c r="BL4857" t="s">
        <v>163</v>
      </c>
      <c r="BM4857">
        <v>1</v>
      </c>
      <c r="BN4857">
        <v>1</v>
      </c>
      <c r="BO4857">
        <v>1</v>
      </c>
      <c r="BP4857">
        <v>0</v>
      </c>
      <c r="BS4857">
        <v>0</v>
      </c>
      <c r="BT4857">
        <v>0</v>
      </c>
      <c r="BU4857">
        <v>0</v>
      </c>
      <c r="CE4857" t="str">
        <f t="shared" si="1801"/>
        <v>19:38:33.101</v>
      </c>
      <c r="CF4857">
        <v>101228340</v>
      </c>
      <c r="CS4857">
        <v>0</v>
      </c>
      <c r="CT4857">
        <v>2</v>
      </c>
      <c r="CU4857">
        <v>0</v>
      </c>
      <c r="CV4857">
        <v>2</v>
      </c>
      <c r="CW4857">
        <v>0</v>
      </c>
      <c r="CX4857">
        <v>3</v>
      </c>
      <c r="CY4857">
        <v>7</v>
      </c>
      <c r="CZ4857" t="s">
        <v>131</v>
      </c>
      <c r="DA4857">
        <v>300</v>
      </c>
      <c r="DB4857">
        <v>0</v>
      </c>
      <c r="DC4857" t="s">
        <v>176</v>
      </c>
      <c r="DD4857" t="s">
        <v>177</v>
      </c>
      <c r="DG4857">
        <v>5474409</v>
      </c>
      <c r="DI4857">
        <v>1</v>
      </c>
      <c r="DJ4857">
        <v>0</v>
      </c>
      <c r="DK4857">
        <v>1</v>
      </c>
      <c r="DL4857">
        <v>0</v>
      </c>
      <c r="DM4857">
        <v>0</v>
      </c>
      <c r="DN4857">
        <v>1</v>
      </c>
      <c r="DO4857">
        <v>0</v>
      </c>
      <c r="DP4857">
        <v>0</v>
      </c>
      <c r="DQ4857">
        <v>0</v>
      </c>
      <c r="DR4857">
        <v>0</v>
      </c>
      <c r="DS4857">
        <v>0</v>
      </c>
    </row>
    <row r="4858" spans="1:123" x14ac:dyDescent="0.3">
      <c r="A4858" t="str">
        <f t="shared" si="1799"/>
        <v>10/04/2022 19:38:33.325</v>
      </c>
      <c r="C4858" t="str">
        <f t="shared" si="1796"/>
        <v>FFDFD3C0</v>
      </c>
      <c r="D4858" t="s">
        <v>143</v>
      </c>
      <c r="E4858">
        <v>20</v>
      </c>
      <c r="F4858">
        <v>1020</v>
      </c>
      <c r="G4858" t="s">
        <v>144</v>
      </c>
      <c r="J4858" t="s">
        <v>145</v>
      </c>
      <c r="K4858">
        <v>0</v>
      </c>
      <c r="L4858">
        <v>3</v>
      </c>
      <c r="M4858">
        <v>0</v>
      </c>
      <c r="N4858">
        <v>2</v>
      </c>
      <c r="O4858">
        <v>0</v>
      </c>
      <c r="P4858">
        <v>1</v>
      </c>
      <c r="Q4858">
        <v>0</v>
      </c>
      <c r="S4858" t="str">
        <f t="shared" si="1800"/>
        <v>19:38:33.000</v>
      </c>
      <c r="T4858" t="str">
        <f t="shared" si="1800"/>
        <v>19:38:33.000</v>
      </c>
      <c r="U4858" t="str">
        <f t="shared" si="1778"/>
        <v>AC3944</v>
      </c>
      <c r="V4858">
        <v>0</v>
      </c>
      <c r="W4858">
        <v>0</v>
      </c>
      <c r="X4858">
        <v>2</v>
      </c>
      <c r="Y4858">
        <v>0</v>
      </c>
      <c r="AA4858">
        <v>1</v>
      </c>
      <c r="AB4858">
        <v>8</v>
      </c>
      <c r="AC4858">
        <v>3</v>
      </c>
      <c r="AD4858">
        <v>0</v>
      </c>
      <c r="AE4858">
        <v>9</v>
      </c>
      <c r="AF4858" t="s">
        <v>138</v>
      </c>
      <c r="AG4858">
        <v>0</v>
      </c>
      <c r="AH4858">
        <v>3</v>
      </c>
      <c r="AI4858">
        <v>1</v>
      </c>
      <c r="AJ4858">
        <v>0</v>
      </c>
      <c r="AK4858" t="s">
        <v>1517</v>
      </c>
      <c r="AL4858">
        <v>32.706834999999998</v>
      </c>
      <c r="AM4858" t="s">
        <v>1518</v>
      </c>
      <c r="AN4858">
        <v>-116.762953</v>
      </c>
      <c r="AO4858">
        <v>25</v>
      </c>
      <c r="AP4858">
        <v>3400</v>
      </c>
      <c r="AQ4858" t="s">
        <v>129</v>
      </c>
      <c r="AR4858">
        <v>-149</v>
      </c>
      <c r="AS4858">
        <v>-103</v>
      </c>
      <c r="AT4858">
        <v>-1664</v>
      </c>
      <c r="BB4858">
        <v>1200</v>
      </c>
      <c r="BC4858">
        <v>1</v>
      </c>
      <c r="BD4858" t="str">
        <f t="shared" si="1779"/>
        <v xml:space="preserve">N887QR  </v>
      </c>
      <c r="BE4858">
        <v>1</v>
      </c>
      <c r="BG4858">
        <v>0</v>
      </c>
      <c r="BH4858">
        <v>0</v>
      </c>
      <c r="BI4858">
        <v>0</v>
      </c>
      <c r="BJ4858">
        <v>2925</v>
      </c>
      <c r="BK4858">
        <v>-475</v>
      </c>
      <c r="BL4858" t="s">
        <v>163</v>
      </c>
      <c r="BM4858">
        <v>1</v>
      </c>
      <c r="BN4858">
        <v>1</v>
      </c>
      <c r="BO4858">
        <v>1</v>
      </c>
      <c r="BP4858">
        <v>0</v>
      </c>
      <c r="BS4858">
        <v>0</v>
      </c>
      <c r="BT4858">
        <v>0</v>
      </c>
      <c r="BU4858">
        <v>0</v>
      </c>
      <c r="CE4858" t="str">
        <f t="shared" si="1801"/>
        <v>19:38:33.101</v>
      </c>
      <c r="CF4858">
        <v>101228340</v>
      </c>
      <c r="CS4858">
        <v>0</v>
      </c>
      <c r="CT4858">
        <v>2</v>
      </c>
      <c r="CU4858">
        <v>0</v>
      </c>
      <c r="CV4858">
        <v>2</v>
      </c>
      <c r="CW4858">
        <v>0</v>
      </c>
      <c r="CX4858">
        <v>3</v>
      </c>
      <c r="CY4858">
        <v>7</v>
      </c>
      <c r="CZ4858" t="s">
        <v>131</v>
      </c>
      <c r="DA4858">
        <v>300</v>
      </c>
      <c r="DB4858">
        <v>0</v>
      </c>
      <c r="DC4858" t="s">
        <v>176</v>
      </c>
      <c r="DD4858" t="s">
        <v>177</v>
      </c>
      <c r="DG4858">
        <v>5474409</v>
      </c>
      <c r="DI4858">
        <v>1</v>
      </c>
      <c r="DJ4858">
        <v>0</v>
      </c>
      <c r="DK4858">
        <v>1</v>
      </c>
      <c r="DL4858">
        <v>0</v>
      </c>
      <c r="DM4858">
        <v>0</v>
      </c>
      <c r="DN4858">
        <v>1</v>
      </c>
      <c r="DO4858">
        <v>0</v>
      </c>
      <c r="DP4858">
        <v>0</v>
      </c>
      <c r="DQ4858">
        <v>0</v>
      </c>
      <c r="DR4858">
        <v>0</v>
      </c>
      <c r="DS4858">
        <v>0</v>
      </c>
    </row>
    <row r="4859" spans="1:123" x14ac:dyDescent="0.3">
      <c r="A4859" t="str">
        <f t="shared" si="1799"/>
        <v>10/04/2022 19:38:33.325</v>
      </c>
      <c r="C4859" t="str">
        <f t="shared" si="1796"/>
        <v>FFDFD3C0</v>
      </c>
      <c r="D4859" t="s">
        <v>123</v>
      </c>
      <c r="E4859">
        <v>7</v>
      </c>
      <c r="F4859">
        <v>2007</v>
      </c>
      <c r="G4859" t="s">
        <v>124</v>
      </c>
      <c r="J4859" t="s">
        <v>125</v>
      </c>
      <c r="K4859">
        <v>0</v>
      </c>
      <c r="L4859">
        <v>3</v>
      </c>
      <c r="M4859">
        <v>0</v>
      </c>
      <c r="N4859">
        <v>2</v>
      </c>
      <c r="O4859">
        <v>0</v>
      </c>
      <c r="P4859">
        <v>1</v>
      </c>
      <c r="Q4859">
        <v>0</v>
      </c>
      <c r="S4859" t="str">
        <f t="shared" si="1800"/>
        <v>19:38:33.000</v>
      </c>
      <c r="T4859" t="str">
        <f t="shared" si="1800"/>
        <v>19:38:33.000</v>
      </c>
      <c r="U4859" t="str">
        <f t="shared" si="1778"/>
        <v>AC3944</v>
      </c>
      <c r="V4859">
        <v>0</v>
      </c>
      <c r="W4859">
        <v>0</v>
      </c>
      <c r="X4859">
        <v>2</v>
      </c>
      <c r="Y4859">
        <v>0</v>
      </c>
      <c r="AA4859">
        <v>1</v>
      </c>
      <c r="AB4859">
        <v>8</v>
      </c>
      <c r="AC4859">
        <v>3</v>
      </c>
      <c r="AD4859">
        <v>0</v>
      </c>
      <c r="AE4859">
        <v>9</v>
      </c>
      <c r="AF4859" t="s">
        <v>138</v>
      </c>
      <c r="AG4859">
        <v>0</v>
      </c>
      <c r="AH4859">
        <v>3</v>
      </c>
      <c r="AI4859">
        <v>1</v>
      </c>
      <c r="AJ4859">
        <v>0</v>
      </c>
      <c r="AK4859" t="s">
        <v>1517</v>
      </c>
      <c r="AL4859">
        <v>32.706834999999998</v>
      </c>
      <c r="AM4859" t="s">
        <v>1518</v>
      </c>
      <c r="AN4859">
        <v>-116.762953</v>
      </c>
      <c r="AO4859">
        <v>25</v>
      </c>
      <c r="AP4859">
        <v>3400</v>
      </c>
      <c r="AQ4859" t="s">
        <v>129</v>
      </c>
      <c r="AR4859">
        <v>-149</v>
      </c>
      <c r="AS4859">
        <v>-103</v>
      </c>
      <c r="AT4859">
        <v>-1664</v>
      </c>
      <c r="BB4859">
        <v>1200</v>
      </c>
      <c r="BC4859">
        <v>1</v>
      </c>
      <c r="BD4859" t="str">
        <f t="shared" si="1779"/>
        <v xml:space="preserve">N887QR  </v>
      </c>
      <c r="BE4859">
        <v>1</v>
      </c>
      <c r="BG4859">
        <v>0</v>
      </c>
      <c r="BH4859">
        <v>0</v>
      </c>
      <c r="BI4859">
        <v>0</v>
      </c>
      <c r="BJ4859">
        <v>2925</v>
      </c>
      <c r="BK4859">
        <v>-475</v>
      </c>
      <c r="BL4859" t="s">
        <v>163</v>
      </c>
      <c r="BM4859">
        <v>1</v>
      </c>
      <c r="BN4859">
        <v>1</v>
      </c>
      <c r="BO4859">
        <v>1</v>
      </c>
      <c r="BP4859">
        <v>0</v>
      </c>
      <c r="BS4859">
        <v>0</v>
      </c>
      <c r="BT4859">
        <v>0</v>
      </c>
      <c r="BU4859">
        <v>0</v>
      </c>
      <c r="CE4859" t="str">
        <f t="shared" si="1801"/>
        <v>19:38:33.101</v>
      </c>
      <c r="CF4859">
        <v>101228340</v>
      </c>
      <c r="CS4859">
        <v>0</v>
      </c>
      <c r="CT4859">
        <v>2</v>
      </c>
      <c r="CU4859">
        <v>0</v>
      </c>
      <c r="CV4859">
        <v>2</v>
      </c>
      <c r="CW4859">
        <v>0</v>
      </c>
      <c r="CX4859">
        <v>3</v>
      </c>
      <c r="CY4859">
        <v>7</v>
      </c>
      <c r="CZ4859" t="s">
        <v>131</v>
      </c>
      <c r="DA4859">
        <v>300</v>
      </c>
      <c r="DB4859">
        <v>0</v>
      </c>
      <c r="DC4859" t="s">
        <v>176</v>
      </c>
      <c r="DD4859" t="s">
        <v>177</v>
      </c>
      <c r="DG4859">
        <v>5474409</v>
      </c>
      <c r="DI4859">
        <v>1</v>
      </c>
      <c r="DJ4859">
        <v>0</v>
      </c>
      <c r="DK4859">
        <v>1</v>
      </c>
      <c r="DL4859">
        <v>0</v>
      </c>
      <c r="DM4859">
        <v>0</v>
      </c>
      <c r="DN4859">
        <v>1</v>
      </c>
      <c r="DO4859">
        <v>0</v>
      </c>
      <c r="DP4859">
        <v>0</v>
      </c>
      <c r="DQ4859">
        <v>0</v>
      </c>
      <c r="DR4859">
        <v>0</v>
      </c>
      <c r="DS4859">
        <v>0</v>
      </c>
    </row>
    <row r="4860" spans="1:123" x14ac:dyDescent="0.3">
      <c r="A4860" t="str">
        <f t="shared" si="1799"/>
        <v>10/04/2022 19:38:33.325</v>
      </c>
      <c r="C4860" t="str">
        <f t="shared" si="1796"/>
        <v>FFDFD3C0</v>
      </c>
      <c r="D4860" t="s">
        <v>147</v>
      </c>
      <c r="E4860">
        <v>3</v>
      </c>
      <c r="H4860">
        <v>166</v>
      </c>
      <c r="I4860" t="s">
        <v>144</v>
      </c>
      <c r="J4860" t="s">
        <v>148</v>
      </c>
      <c r="K4860">
        <v>0</v>
      </c>
      <c r="L4860">
        <v>3</v>
      </c>
      <c r="M4860">
        <v>0</v>
      </c>
      <c r="N4860">
        <v>2</v>
      </c>
      <c r="O4860">
        <v>0</v>
      </c>
      <c r="P4860">
        <v>1</v>
      </c>
      <c r="Q4860">
        <v>0</v>
      </c>
      <c r="S4860" t="str">
        <f t="shared" si="1800"/>
        <v>19:38:33.000</v>
      </c>
      <c r="T4860" t="str">
        <f t="shared" si="1800"/>
        <v>19:38:33.000</v>
      </c>
      <c r="U4860" t="str">
        <f t="shared" si="1778"/>
        <v>AC3944</v>
      </c>
      <c r="V4860">
        <v>0</v>
      </c>
      <c r="W4860">
        <v>0</v>
      </c>
      <c r="X4860">
        <v>2</v>
      </c>
      <c r="Y4860">
        <v>0</v>
      </c>
      <c r="AA4860">
        <v>1</v>
      </c>
      <c r="AB4860">
        <v>8</v>
      </c>
      <c r="AC4860">
        <v>3</v>
      </c>
      <c r="AD4860">
        <v>0</v>
      </c>
      <c r="AE4860">
        <v>9</v>
      </c>
      <c r="AF4860" t="s">
        <v>138</v>
      </c>
      <c r="AG4860">
        <v>0</v>
      </c>
      <c r="AH4860">
        <v>3</v>
      </c>
      <c r="AI4860">
        <v>1</v>
      </c>
      <c r="AJ4860">
        <v>0</v>
      </c>
      <c r="AK4860" t="s">
        <v>1517</v>
      </c>
      <c r="AL4860">
        <v>32.706834999999998</v>
      </c>
      <c r="AM4860" t="s">
        <v>1518</v>
      </c>
      <c r="AN4860">
        <v>-116.762953</v>
      </c>
      <c r="AO4860">
        <v>25</v>
      </c>
      <c r="AP4860">
        <v>3400</v>
      </c>
      <c r="AQ4860" t="s">
        <v>129</v>
      </c>
      <c r="AR4860">
        <v>-149</v>
      </c>
      <c r="AS4860">
        <v>-103</v>
      </c>
      <c r="AT4860">
        <v>-1664</v>
      </c>
      <c r="BB4860">
        <v>1200</v>
      </c>
      <c r="BC4860">
        <v>1</v>
      </c>
      <c r="BD4860" t="str">
        <f t="shared" si="1779"/>
        <v xml:space="preserve">N887QR  </v>
      </c>
      <c r="BE4860">
        <v>1</v>
      </c>
      <c r="BG4860">
        <v>0</v>
      </c>
      <c r="BH4860">
        <v>0</v>
      </c>
      <c r="BI4860">
        <v>0</v>
      </c>
      <c r="BJ4860">
        <v>2925</v>
      </c>
      <c r="BK4860">
        <v>-475</v>
      </c>
      <c r="BL4860" t="s">
        <v>163</v>
      </c>
      <c r="BM4860">
        <v>1</v>
      </c>
      <c r="BN4860">
        <v>1</v>
      </c>
      <c r="BO4860">
        <v>1</v>
      </c>
      <c r="BP4860">
        <v>0</v>
      </c>
      <c r="BS4860">
        <v>0</v>
      </c>
      <c r="BT4860">
        <v>0</v>
      </c>
      <c r="BU4860">
        <v>0</v>
      </c>
      <c r="CE4860" t="str">
        <f t="shared" si="1801"/>
        <v>19:38:33.101</v>
      </c>
      <c r="CF4860">
        <v>101228340</v>
      </c>
      <c r="CS4860">
        <v>0</v>
      </c>
      <c r="CT4860">
        <v>2</v>
      </c>
      <c r="CU4860">
        <v>0</v>
      </c>
      <c r="CV4860">
        <v>2</v>
      </c>
      <c r="CW4860">
        <v>0</v>
      </c>
      <c r="CX4860">
        <v>3</v>
      </c>
      <c r="CY4860">
        <v>7</v>
      </c>
      <c r="CZ4860" t="s">
        <v>131</v>
      </c>
      <c r="DA4860">
        <v>300</v>
      </c>
      <c r="DB4860">
        <v>0</v>
      </c>
      <c r="DC4860" t="s">
        <v>176</v>
      </c>
      <c r="DD4860" t="s">
        <v>177</v>
      </c>
      <c r="DG4860">
        <v>5474409</v>
      </c>
      <c r="DI4860">
        <v>1</v>
      </c>
      <c r="DJ4860">
        <v>0</v>
      </c>
      <c r="DK4860">
        <v>1</v>
      </c>
      <c r="DL4860">
        <v>0</v>
      </c>
      <c r="DM4860">
        <v>0</v>
      </c>
      <c r="DN4860">
        <v>1</v>
      </c>
      <c r="DO4860">
        <v>0</v>
      </c>
      <c r="DP4860">
        <v>0</v>
      </c>
      <c r="DQ4860">
        <v>0</v>
      </c>
      <c r="DR4860">
        <v>0</v>
      </c>
      <c r="DS4860">
        <v>0</v>
      </c>
    </row>
    <row r="4861" spans="1:123" x14ac:dyDescent="0.3">
      <c r="A4861" t="str">
        <f t="shared" si="1799"/>
        <v>10/04/2022 19:38:33.325</v>
      </c>
      <c r="C4861" t="str">
        <f t="shared" si="1796"/>
        <v>FFDFD3C0</v>
      </c>
      <c r="D4861" t="s">
        <v>136</v>
      </c>
      <c r="E4861">
        <v>8</v>
      </c>
      <c r="H4861">
        <v>225</v>
      </c>
      <c r="I4861" t="s">
        <v>137</v>
      </c>
      <c r="J4861" t="s">
        <v>138</v>
      </c>
      <c r="K4861">
        <v>0</v>
      </c>
      <c r="L4861">
        <v>3</v>
      </c>
      <c r="M4861">
        <v>0</v>
      </c>
      <c r="N4861">
        <v>2</v>
      </c>
      <c r="O4861">
        <v>0</v>
      </c>
      <c r="P4861">
        <v>1</v>
      </c>
      <c r="Q4861">
        <v>0</v>
      </c>
      <c r="S4861" t="str">
        <f t="shared" si="1800"/>
        <v>19:38:33.000</v>
      </c>
      <c r="T4861" t="str">
        <f t="shared" si="1800"/>
        <v>19:38:33.000</v>
      </c>
      <c r="U4861" t="str">
        <f t="shared" si="1778"/>
        <v>AC3944</v>
      </c>
      <c r="V4861">
        <v>0</v>
      </c>
      <c r="W4861">
        <v>0</v>
      </c>
      <c r="X4861">
        <v>2</v>
      </c>
      <c r="Y4861">
        <v>0</v>
      </c>
      <c r="AA4861">
        <v>1</v>
      </c>
      <c r="AB4861">
        <v>8</v>
      </c>
      <c r="AC4861">
        <v>3</v>
      </c>
      <c r="AD4861">
        <v>0</v>
      </c>
      <c r="AE4861">
        <v>9</v>
      </c>
      <c r="AF4861" t="s">
        <v>138</v>
      </c>
      <c r="AG4861">
        <v>0</v>
      </c>
      <c r="AH4861">
        <v>3</v>
      </c>
      <c r="AI4861">
        <v>1</v>
      </c>
      <c r="AJ4861">
        <v>0</v>
      </c>
      <c r="AK4861" t="s">
        <v>1517</v>
      </c>
      <c r="AL4861">
        <v>32.706834999999998</v>
      </c>
      <c r="AM4861" t="s">
        <v>1518</v>
      </c>
      <c r="AN4861">
        <v>-116.762953</v>
      </c>
      <c r="AO4861">
        <v>25</v>
      </c>
      <c r="AP4861">
        <v>3400</v>
      </c>
      <c r="AQ4861" t="s">
        <v>129</v>
      </c>
      <c r="AR4861">
        <v>-149</v>
      </c>
      <c r="AS4861">
        <v>-103</v>
      </c>
      <c r="AT4861">
        <v>-1664</v>
      </c>
      <c r="BB4861">
        <v>1200</v>
      </c>
      <c r="BC4861">
        <v>1</v>
      </c>
      <c r="BD4861" t="str">
        <f t="shared" si="1779"/>
        <v xml:space="preserve">N887QR  </v>
      </c>
      <c r="BE4861">
        <v>1</v>
      </c>
      <c r="BG4861">
        <v>0</v>
      </c>
      <c r="BH4861">
        <v>0</v>
      </c>
      <c r="BI4861">
        <v>0</v>
      </c>
      <c r="BJ4861">
        <v>2925</v>
      </c>
      <c r="BK4861">
        <v>-475</v>
      </c>
      <c r="BL4861" t="s">
        <v>163</v>
      </c>
      <c r="BM4861">
        <v>1</v>
      </c>
      <c r="BN4861">
        <v>1</v>
      </c>
      <c r="BO4861">
        <v>1</v>
      </c>
      <c r="BP4861">
        <v>0</v>
      </c>
      <c r="BS4861">
        <v>0</v>
      </c>
      <c r="BT4861">
        <v>0</v>
      </c>
      <c r="BU4861">
        <v>0</v>
      </c>
      <c r="CE4861" t="str">
        <f t="shared" si="1801"/>
        <v>19:38:33.101</v>
      </c>
      <c r="CF4861">
        <v>101228340</v>
      </c>
      <c r="CS4861">
        <v>0</v>
      </c>
      <c r="CT4861">
        <v>2</v>
      </c>
      <c r="CU4861">
        <v>0</v>
      </c>
      <c r="CV4861">
        <v>2</v>
      </c>
      <c r="CW4861">
        <v>0</v>
      </c>
      <c r="CX4861">
        <v>3</v>
      </c>
      <c r="CY4861">
        <v>7</v>
      </c>
      <c r="CZ4861" t="s">
        <v>131</v>
      </c>
      <c r="DA4861">
        <v>300</v>
      </c>
      <c r="DB4861">
        <v>0</v>
      </c>
      <c r="DC4861" t="s">
        <v>176</v>
      </c>
      <c r="DD4861" t="s">
        <v>177</v>
      </c>
      <c r="DG4861">
        <v>5474409</v>
      </c>
      <c r="DI4861">
        <v>1</v>
      </c>
      <c r="DJ4861">
        <v>0</v>
      </c>
      <c r="DK4861">
        <v>1</v>
      </c>
      <c r="DL4861">
        <v>0</v>
      </c>
      <c r="DM4861">
        <v>0</v>
      </c>
      <c r="DN4861">
        <v>1</v>
      </c>
      <c r="DO4861">
        <v>0</v>
      </c>
      <c r="DP4861">
        <v>0</v>
      </c>
      <c r="DQ4861">
        <v>0</v>
      </c>
      <c r="DR4861">
        <v>0</v>
      </c>
      <c r="DS4861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20221004_AC3944_497083612_ADSB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Torgerson, Anne (FAA)</dc:creator>
  <cp:lastModifiedBy>Nepomuceno Eleazar</cp:lastModifiedBy>
  <dcterms:created xsi:type="dcterms:W3CDTF">2022-10-05T12:19:46Z</dcterms:created>
  <dcterms:modified xsi:type="dcterms:W3CDTF">2022-10-11T15:17:55Z</dcterms:modified>
</cp:coreProperties>
</file>